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5.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G:\Drives compartilhados\03 CTN Projetos\2. Projetos em Andamento\_Executivo_IA\thozen-electra\"/>
    </mc:Choice>
  </mc:AlternateContent>
  <xr:revisionPtr revIDLastSave="0" documentId="13_ncr:1_{EB7105C7-D994-4832-8B1B-F3CF628DB527}" xr6:coauthVersionLast="47" xr6:coauthVersionMax="47" xr10:uidLastSave="{00000000-0000-0000-0000-000000000000}"/>
  <bookViews>
    <workbookView xWindow="28680" yWindow="-120" windowWidth="29040" windowHeight="15720" tabRatio="601" firstSheet="11" activeTab="2" xr2:uid="{00000000-000D-0000-FFFF-FFFF00000000}"/>
  </bookViews>
  <sheets>
    <sheet name="CAPA" sheetId="44" r:id="rId5"/>
    <sheet name="EAP" sheetId="107" r:id="rId9"/>
    <sheet name="LOUÇAS E METAIS" sheetId="114" r:id="rId23"/>
    <sheet name="Ger_Executivo_Manual" sheetId="129" state="hidden" r:id="rId1"/>
    <sheet name="Orçamento" sheetId="126" state="hidden" r:id="rId2"/>
    <sheet name="Composições" sheetId="127" state="hidden" r:id="rId3"/>
    <sheet name="Insumos (2)" sheetId="128" state="hidden" r:id="rId4"/>
    <sheet name="PROJETOS" sheetId="105" state="hidden" r:id="rId6"/>
    <sheet name="Ger_Tec e Adm" sheetId="104" state="hidden" r:id="rId7"/>
    <sheet name="Ger_Executivo_Cartesian" sheetId="8" state="hidden" r:id="rId8"/>
    <sheet name="CPU" sheetId="4" state="hidden" r:id="rId15"/>
    <sheet name="Insumos" sheetId="5" state="hidden" r:id="rId16"/>
  </sheets>
  <definedNames>
    <definedName name="\0">#REF!</definedName>
    <definedName name="\1">#REF!</definedName>
    <definedName name="\a">#REF!</definedName>
    <definedName name="\b">#REF!</definedName>
    <definedName name="\c">#REF!</definedName>
    <definedName name="\d">#REF!</definedName>
    <definedName name="\e">#REF!</definedName>
    <definedName name="\i">#REF!</definedName>
    <definedName name="\J">#REF!</definedName>
    <definedName name="\k">#REF!</definedName>
    <definedName name="\l">#N/A</definedName>
    <definedName name="\m">#REF!</definedName>
    <definedName name="\o">#REF!</definedName>
    <definedName name="\p">#REF!</definedName>
    <definedName name="\r">#REF!</definedName>
    <definedName name="\T">#REF!</definedName>
    <definedName name="\xasd" hidden="1">{#N/A,#N/A,FALSE,"Plan1";#N/A,#N/A,FALSE,"Plan2"}</definedName>
    <definedName name="\z">#REF!</definedName>
    <definedName name="_">#REF!</definedName>
    <definedName name="_\0">#REF!</definedName>
    <definedName name="_\1">#REF!</definedName>
    <definedName name="_\a">#REF!</definedName>
    <definedName name="_\b">#REF!</definedName>
    <definedName name="_\c">#REF!</definedName>
    <definedName name="_\d">#REF!</definedName>
    <definedName name="_\e">#REF!</definedName>
    <definedName name="_\i">#REF!</definedName>
    <definedName name="_\J">#REF!</definedName>
    <definedName name="_\k">#REF!</definedName>
    <definedName name="_\l">#N/A</definedName>
    <definedName name="_\m">#REF!</definedName>
    <definedName name="_\o">#REF!</definedName>
    <definedName name="_\p">#REF!</definedName>
    <definedName name="_\r">#REF!</definedName>
    <definedName name="_\T">#REF!</definedName>
    <definedName name="_\xasd" hidden="1">{#N/A,#N/A,FALSE,"Plan1";#N/A,#N/A,FALSE,"Plan2"}</definedName>
    <definedName name="_\z">#REF!</definedName>
    <definedName name="__">#REF!</definedName>
    <definedName name="________________r1">{#N/A,#N/A,FALSE,"GERAL";#N/A,#N/A,FALSE,"012-96";#N/A,#N/A,FALSE,"018-96";#N/A,#N/A,FALSE,"027-96";#N/A,#N/A,FALSE,"059-96";#N/A,#N/A,FALSE,"076-96";#N/A,#N/A,FALSE,"019-97";#N/A,#N/A,FALSE,"021-97";#N/A,#N/A,FALSE,"022-97";#N/A,#N/A,FALSE,"028-97"}</definedName>
    <definedName name="______________r1">{#N/A,#N/A,FALSE,"GERAL";#N/A,#N/A,FALSE,"012-96";#N/A,#N/A,FALSE,"018-96";#N/A,#N/A,FALSE,"027-96";#N/A,#N/A,FALSE,"059-96";#N/A,#N/A,FALSE,"076-96";#N/A,#N/A,FALSE,"019-97";#N/A,#N/A,FALSE,"021-97";#N/A,#N/A,FALSE,"022-97";#N/A,#N/A,FALSE,"028-97"}</definedName>
    <definedName name="_____________r1">{#N/A,#N/A,FALSE,"GERAL";#N/A,#N/A,FALSE,"012-96";#N/A,#N/A,FALSE,"018-96";#N/A,#N/A,FALSE,"027-96";#N/A,#N/A,FALSE,"059-96";#N/A,#N/A,FALSE,"076-96";#N/A,#N/A,FALSE,"019-97";#N/A,#N/A,FALSE,"021-97";#N/A,#N/A,FALSE,"022-97";#N/A,#N/A,FALSE,"028-97"}</definedName>
    <definedName name="____________r1">{#N/A,#N/A,FALSE,"GERAL";#N/A,#N/A,FALSE,"012-96";#N/A,#N/A,FALSE,"018-96";#N/A,#N/A,FALSE,"027-96";#N/A,#N/A,FALSE,"059-96";#N/A,#N/A,FALSE,"076-96";#N/A,#N/A,FALSE,"019-97";#N/A,#N/A,FALSE,"021-97";#N/A,#N/A,FALSE,"022-97";#N/A,#N/A,FALSE,"028-97"}</definedName>
    <definedName name="___________r1">{#N/A,#N/A,FALSE,"GERAL";#N/A,#N/A,FALSE,"012-96";#N/A,#N/A,FALSE,"018-96";#N/A,#N/A,FALSE,"027-96";#N/A,#N/A,FALSE,"059-96";#N/A,#N/A,FALSE,"076-96";#N/A,#N/A,FALSE,"019-97";#N/A,#N/A,FALSE,"021-97";#N/A,#N/A,FALSE,"022-97";#N/A,#N/A,FALSE,"028-97"}</definedName>
    <definedName name="_________r1">{#N/A,#N/A,FALSE,"GERAL";#N/A,#N/A,FALSE,"012-96";#N/A,#N/A,FALSE,"018-96";#N/A,#N/A,FALSE,"027-96";#N/A,#N/A,FALSE,"059-96";#N/A,#N/A,FALSE,"076-96";#N/A,#N/A,FALSE,"019-97";#N/A,#N/A,FALSE,"021-97";#N/A,#N/A,FALSE,"022-97";#N/A,#N/A,FALSE,"028-97"}</definedName>
    <definedName name="________r1">{#N/A,#N/A,FALSE,"GERAL";#N/A,#N/A,FALSE,"012-96";#N/A,#N/A,FALSE,"018-96";#N/A,#N/A,FALSE,"027-96";#N/A,#N/A,FALSE,"059-96";#N/A,#N/A,FALSE,"076-96";#N/A,#N/A,FALSE,"019-97";#N/A,#N/A,FALSE,"021-97";#N/A,#N/A,FALSE,"022-97";#N/A,#N/A,FALSE,"028-97"}</definedName>
    <definedName name="_______r1">{#N/A,#N/A,FALSE,"GERAL";#N/A,#N/A,FALSE,"012-96";#N/A,#N/A,FALSE,"018-96";#N/A,#N/A,FALSE,"027-96";#N/A,#N/A,FALSE,"059-96";#N/A,#N/A,FALSE,"076-96";#N/A,#N/A,FALSE,"019-97";#N/A,#N/A,FALSE,"021-97";#N/A,#N/A,FALSE,"022-97";#N/A,#N/A,FALSE,"028-97"}</definedName>
    <definedName name="______ACR10">#REF!</definedName>
    <definedName name="______ACR15">#REF!</definedName>
    <definedName name="______acr20">#REF!</definedName>
    <definedName name="______acr5">#REF!</definedName>
    <definedName name="______ARQ1">#REF!</definedName>
    <definedName name="______QT100">#REF!</definedName>
    <definedName name="______QT2">#REF!</definedName>
    <definedName name="______QT3">#REF!</definedName>
    <definedName name="______QT4">#REF!</definedName>
    <definedName name="______QT50">#REF!</definedName>
    <definedName name="______QT75">#REF!</definedName>
    <definedName name="______r1">{#N/A,#N/A,FALSE,"GERAL";#N/A,#N/A,FALSE,"012-96";#N/A,#N/A,FALSE,"018-96";#N/A,#N/A,FALSE,"027-96";#N/A,#N/A,FALSE,"059-96";#N/A,#N/A,FALSE,"076-96";#N/A,#N/A,FALSE,"019-97";#N/A,#N/A,FALSE,"021-97";#N/A,#N/A,FALSE,"022-97";#N/A,#N/A,FALSE,"028-97"}</definedName>
    <definedName name="_____ACR10">#REF!</definedName>
    <definedName name="_____ACR15">#REF!</definedName>
    <definedName name="_____acr20">#REF!</definedName>
    <definedName name="_____acr5">#REF!</definedName>
    <definedName name="_____ARQ1">#REF!</definedName>
    <definedName name="_____key2">#REF!</definedName>
    <definedName name="_____QT100">#REF!</definedName>
    <definedName name="_____QT2">#REF!</definedName>
    <definedName name="_____QT3">#REF!</definedName>
    <definedName name="_____QT4">#REF!</definedName>
    <definedName name="_____QT50">#REF!</definedName>
    <definedName name="_____QT75">#REF!</definedName>
    <definedName name="_____r1">{#N/A,#N/A,FALSE,"GERAL";#N/A,#N/A,FALSE,"012-96";#N/A,#N/A,FALSE,"018-96";#N/A,#N/A,FALSE,"027-96";#N/A,#N/A,FALSE,"059-96";#N/A,#N/A,FALSE,"076-96";#N/A,#N/A,FALSE,"019-97";#N/A,#N/A,FALSE,"021-97";#N/A,#N/A,FALSE,"022-97";#N/A,#N/A,FALSE,"028-97"}</definedName>
    <definedName name="____key2">#REF!</definedName>
    <definedName name="____la29">#REF!</definedName>
    <definedName name="____la3">#REF!</definedName>
    <definedName name="____la31">#REF!</definedName>
    <definedName name="____la32">#REF!</definedName>
    <definedName name="____la4">#REF!</definedName>
    <definedName name="____la5">#REF!</definedName>
    <definedName name="____la6">#REF!</definedName>
    <definedName name="____la7">#REF!</definedName>
    <definedName name="____la8">#REF!</definedName>
    <definedName name="____la9">#REF!</definedName>
    <definedName name="____lb1">#REF!</definedName>
    <definedName name="____lb10">#REF!</definedName>
    <definedName name="____lb11">#REF!</definedName>
    <definedName name="____lb12">#REF!</definedName>
    <definedName name="____lb13">#REF!</definedName>
    <definedName name="____lb14">#REF!</definedName>
    <definedName name="____lb15">#REF!</definedName>
    <definedName name="____lb16">#REF!</definedName>
    <definedName name="____lb17">#REF!</definedName>
    <definedName name="____lb18">#REF!</definedName>
    <definedName name="____lb19">#REF!</definedName>
    <definedName name="____lb2">#REF!</definedName>
    <definedName name="____lb20">#REF!</definedName>
    <definedName name="____lb21">#REF!</definedName>
    <definedName name="____lb22">#REF!</definedName>
    <definedName name="____lb23">#REF!</definedName>
    <definedName name="____lb24">#REF!</definedName>
    <definedName name="____lb25">#REF!</definedName>
    <definedName name="____lb27">#REF!</definedName>
    <definedName name="____lb28">#REF!</definedName>
    <definedName name="____lb29">#REF!</definedName>
    <definedName name="____lb3">#REF!</definedName>
    <definedName name="____lb30">#REF!</definedName>
    <definedName name="____lb31">#REF!</definedName>
    <definedName name="____lb32">#REF!</definedName>
    <definedName name="____lb4">#REF!</definedName>
    <definedName name="____lb5">#REF!</definedName>
    <definedName name="____lb6">#REF!</definedName>
    <definedName name="____lb7">#REF!</definedName>
    <definedName name="____lb8">#REF!</definedName>
    <definedName name="____lb9">#REF!</definedName>
    <definedName name="____lbc1">#REF!</definedName>
    <definedName name="____lbc10">#REF!</definedName>
    <definedName name="____lbc11">#REF!</definedName>
    <definedName name="____lbc12">#REF!</definedName>
    <definedName name="____lbc13">#REF!</definedName>
    <definedName name="____lbc14">#REF!</definedName>
    <definedName name="____lbc15">#REF!</definedName>
    <definedName name="____lbc16">#REF!</definedName>
    <definedName name="____lbc17">#REF!</definedName>
    <definedName name="____lbc18">#REF!</definedName>
    <definedName name="____lbc19">#REF!</definedName>
    <definedName name="____lbc2">#REF!</definedName>
    <definedName name="____lbc20">#REF!</definedName>
    <definedName name="____lbc21">#REF!</definedName>
    <definedName name="____lbc22">#REF!</definedName>
    <definedName name="____lbc23">#REF!</definedName>
    <definedName name="____lbc24">#REF!</definedName>
    <definedName name="____lbc25">#REF!</definedName>
    <definedName name="____lbc26">#REF!</definedName>
    <definedName name="____lbc27">#REF!</definedName>
    <definedName name="____lbc28">#REF!</definedName>
    <definedName name="____lbc29">#REF!</definedName>
    <definedName name="____lbc3">#REF!</definedName>
    <definedName name="____lbc31">#REF!</definedName>
    <definedName name="____lbc32">#REF!</definedName>
    <definedName name="____lbc4">#REF!</definedName>
    <definedName name="____lbc5">#REF!</definedName>
    <definedName name="____lbc6">#REF!</definedName>
    <definedName name="____lbc7">#REF!</definedName>
    <definedName name="____lbc8">#REF!</definedName>
    <definedName name="____lbc9">#REF!</definedName>
    <definedName name="____ld26">#REF!</definedName>
    <definedName name="____ld31">#REF!</definedName>
    <definedName name="____le31">#REF!</definedName>
    <definedName name="____lf31">#REF!</definedName>
    <definedName name="____PK2">{"'장비'!$A$3:$M$12"}</definedName>
    <definedName name="____PKG3">{"'장비'!$A$3:$M$12"}</definedName>
    <definedName name="____qqq222">{"'장비'!$A$3:$M$12"}</definedName>
    <definedName name="____r1">{#N/A,#N/A,FALSE,"GERAL";#N/A,#N/A,FALSE,"012-96";#N/A,#N/A,FALSE,"018-96";#N/A,#N/A,FALSE,"027-96";#N/A,#N/A,FALSE,"059-96";#N/A,#N/A,FALSE,"076-96";#N/A,#N/A,FALSE,"019-97";#N/A,#N/A,FALSE,"021-97";#N/A,#N/A,FALSE,"022-97";#N/A,#N/A,FALSE,"028-97"}</definedName>
    <definedName name="____x10">#REF!</definedName>
    <definedName name="____x11">#REF!</definedName>
    <definedName name="____x12">#REF!</definedName>
    <definedName name="____x13">#REF!</definedName>
    <definedName name="____x14">#REF!</definedName>
    <definedName name="____x15">#REF!</definedName>
    <definedName name="____x16">#REF!</definedName>
    <definedName name="____x17">#REF!</definedName>
    <definedName name="____x18">#REF!</definedName>
    <definedName name="____x19">#REF!</definedName>
    <definedName name="____x20">#REF!</definedName>
    <definedName name="____x21">#REF!</definedName>
    <definedName name="____x22">#REF!</definedName>
    <definedName name="____x23">#REF!</definedName>
    <definedName name="____x24">#REF!</definedName>
    <definedName name="____x25">#REF!</definedName>
    <definedName name="____x28">#REF!</definedName>
    <definedName name="____x29">#REF!</definedName>
    <definedName name="____x32">#REF!</definedName>
    <definedName name="____x4">#REF!</definedName>
    <definedName name="____x5">#REF!</definedName>
    <definedName name="____x6">#REF!</definedName>
    <definedName name="____x7">#REF!</definedName>
    <definedName name="____x8">#REF!</definedName>
    <definedName name="____x9">#REF!</definedName>
    <definedName name="___ACR10">#REF!</definedName>
    <definedName name="___ACR15">#REF!</definedName>
    <definedName name="___acr20">#REF!</definedName>
    <definedName name="___acr5">#REF!</definedName>
    <definedName name="___ARQ1">#REF!</definedName>
    <definedName name="_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_key2">#REF!</definedName>
    <definedName name="___la29">#REF!</definedName>
    <definedName name="___la3">#REF!</definedName>
    <definedName name="___la31">#REF!</definedName>
    <definedName name="___la32">#REF!</definedName>
    <definedName name="___la4">#REF!</definedName>
    <definedName name="___la5">#REF!</definedName>
    <definedName name="___la6">#REF!</definedName>
    <definedName name="___la7">#REF!</definedName>
    <definedName name="___la8">#REF!</definedName>
    <definedName name="___la9">#REF!</definedName>
    <definedName name="___lb1">#REF!</definedName>
    <definedName name="___lb10">#REF!</definedName>
    <definedName name="___lb11">#REF!</definedName>
    <definedName name="___lb12">#REF!</definedName>
    <definedName name="___lb13">#REF!</definedName>
    <definedName name="___lb14">#REF!</definedName>
    <definedName name="___lb15">#REF!</definedName>
    <definedName name="___lb16">#REF!</definedName>
    <definedName name="___lb17">#REF!</definedName>
    <definedName name="___lb18">#REF!</definedName>
    <definedName name="___lb19">#REF!</definedName>
    <definedName name="___lb2">#REF!</definedName>
    <definedName name="___lb20">#REF!</definedName>
    <definedName name="___lb21">#REF!</definedName>
    <definedName name="___lb22">#REF!</definedName>
    <definedName name="___lb23">#REF!</definedName>
    <definedName name="___lb24">#REF!</definedName>
    <definedName name="___lb25">#REF!</definedName>
    <definedName name="___lb27">#REF!</definedName>
    <definedName name="___lb28">#REF!</definedName>
    <definedName name="___lb29">#REF!</definedName>
    <definedName name="___lb3">#REF!</definedName>
    <definedName name="___lb30">#REF!</definedName>
    <definedName name="___lb31">#REF!</definedName>
    <definedName name="___lb32">#REF!</definedName>
    <definedName name="___lb4">#REF!</definedName>
    <definedName name="___lb5">#REF!</definedName>
    <definedName name="___lb6">#REF!</definedName>
    <definedName name="___lb7">#REF!</definedName>
    <definedName name="___lb8">#REF!</definedName>
    <definedName name="___lb9">#REF!</definedName>
    <definedName name="___lbc1">#REF!</definedName>
    <definedName name="___lbc10">#REF!</definedName>
    <definedName name="___lbc11">#REF!</definedName>
    <definedName name="___lbc12">#REF!</definedName>
    <definedName name="___lbc13">#REF!</definedName>
    <definedName name="___lbc14">#REF!</definedName>
    <definedName name="___lbc15">#REF!</definedName>
    <definedName name="___lbc16">#REF!</definedName>
    <definedName name="___lbc17">#REF!</definedName>
    <definedName name="___lbc18">#REF!</definedName>
    <definedName name="___lbc19">#REF!</definedName>
    <definedName name="___lbc2">#REF!</definedName>
    <definedName name="___lbc20">#REF!</definedName>
    <definedName name="___lbc21">#REF!</definedName>
    <definedName name="___lbc22">#REF!</definedName>
    <definedName name="___lbc23">#REF!</definedName>
    <definedName name="___lbc24">#REF!</definedName>
    <definedName name="___lbc25">#REF!</definedName>
    <definedName name="___lbc26">#REF!</definedName>
    <definedName name="___lbc27">#REF!</definedName>
    <definedName name="___lbc28">#REF!</definedName>
    <definedName name="___lbc29">#REF!</definedName>
    <definedName name="___lbc3">#REF!</definedName>
    <definedName name="___lbc31">#REF!</definedName>
    <definedName name="___lbc32">#REF!</definedName>
    <definedName name="___lbc4">#REF!</definedName>
    <definedName name="___lbc5">#REF!</definedName>
    <definedName name="___lbc6">#REF!</definedName>
    <definedName name="___lbc7">#REF!</definedName>
    <definedName name="___lbc8">#REF!</definedName>
    <definedName name="___lbc9">#REF!</definedName>
    <definedName name="___ld26">#REF!</definedName>
    <definedName name="___ld31">#REF!</definedName>
    <definedName name="___le31">#REF!</definedName>
    <definedName name="___lf31">#REF!</definedName>
    <definedName name="___PK2">{"'장비'!$A$3:$M$12"}</definedName>
    <definedName name="___PKG3">{"'장비'!$A$3:$M$12"}</definedName>
    <definedName name="___qqq222">{"'장비'!$A$3:$M$12"}</definedName>
    <definedName name="___QT100">#REF!</definedName>
    <definedName name="___QT2">#REF!</definedName>
    <definedName name="___QT3">#REF!</definedName>
    <definedName name="___QT4">#REF!</definedName>
    <definedName name="___QT50">#REF!</definedName>
    <definedName name="___QT75">#REF!</definedName>
    <definedName name="___r1">{#N/A,#N/A,FALSE,"GERAL";#N/A,#N/A,FALSE,"012-96";#N/A,#N/A,FALSE,"018-96";#N/A,#N/A,FALSE,"027-96";#N/A,#N/A,FALSE,"059-96";#N/A,#N/A,FALSE,"076-96";#N/A,#N/A,FALSE,"019-97";#N/A,#N/A,FALSE,"021-97";#N/A,#N/A,FALSE,"022-97";#N/A,#N/A,FALSE,"028-97"}</definedName>
    <definedName name="___x10">#REF!</definedName>
    <definedName name="___x11">#REF!</definedName>
    <definedName name="___x12">#REF!</definedName>
    <definedName name="___x13">#REF!</definedName>
    <definedName name="___x14">#REF!</definedName>
    <definedName name="___x15">#REF!</definedName>
    <definedName name="___x16">#REF!</definedName>
    <definedName name="___x17">#REF!</definedName>
    <definedName name="___x18">#REF!</definedName>
    <definedName name="___x19">#REF!</definedName>
    <definedName name="___x20">#REF!</definedName>
    <definedName name="___x21">#REF!</definedName>
    <definedName name="___x22">#REF!</definedName>
    <definedName name="___x23">#REF!</definedName>
    <definedName name="___x24">#REF!</definedName>
    <definedName name="___x25">#REF!</definedName>
    <definedName name="___x28">#REF!</definedName>
    <definedName name="___x29">#REF!</definedName>
    <definedName name="___x32">#REF!</definedName>
    <definedName name="___x4">#REF!</definedName>
    <definedName name="___x5">#REF!</definedName>
    <definedName name="___x6">#REF!</definedName>
    <definedName name="___x7">#REF!</definedName>
    <definedName name="___x8">#REF!</definedName>
    <definedName name="___x9">#REF!</definedName>
    <definedName name="__123Graph_A">#REF!</definedName>
    <definedName name="__123Graph_AChart1">#REF!</definedName>
    <definedName name="__123Graph_ACurrent">#REF!</definedName>
    <definedName name="__123Graph_ACUSTO">#REF!</definedName>
    <definedName name="__123Graph_AFAT">#REF!</definedName>
    <definedName name="__123Graph_AGRA1">#REF!</definedName>
    <definedName name="__123Graph_ARES">#REF!</definedName>
    <definedName name="__123Graph_B">#REF!</definedName>
    <definedName name="__123Graph_BChart1">#REF!</definedName>
    <definedName name="__123Graph_BCurrent">#REF!</definedName>
    <definedName name="__123Graph_BCUSTO">#REF!</definedName>
    <definedName name="__123Graph_BFAT">#REF!</definedName>
    <definedName name="__123Graph_BPERFORMANCE">#REF!</definedName>
    <definedName name="__123Graph_BRES">#REF!</definedName>
    <definedName name="__123Graph_C">#REF!</definedName>
    <definedName name="__123Graph_D">#REF!</definedName>
    <definedName name="__123Graph_E">#REF!</definedName>
    <definedName name="__123Graph_F">#REF!</definedName>
    <definedName name="__123Graph_LBL_A">#REF!</definedName>
    <definedName name="__123Graph_LBL_B">#REF!</definedName>
    <definedName name="__123Graph_X">#REF!</definedName>
    <definedName name="__123Graph_XChart1">#REF!</definedName>
    <definedName name="__123Graph_XCurrent">#REF!</definedName>
    <definedName name="__123Graph_XCUSTO">#REF!</definedName>
    <definedName name="__123Graph_XFAT">#REF!</definedName>
    <definedName name="__123Graph_XGRA1">#REF!</definedName>
    <definedName name="__123Graph_XRES">#REF!</definedName>
    <definedName name="__ACR10">#REF!</definedName>
    <definedName name="__ACR15">#REF!</definedName>
    <definedName name="__acr20">#REF!</definedName>
    <definedName name="__acr5">#REF!</definedName>
    <definedName name="__ARQ1">#REF!</definedName>
    <definedName name="__Axe3">#REF!</definedName>
    <definedName name="__Axe4">#REF!</definedName>
    <definedName name="_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_htm2">#REF!</definedName>
    <definedName name="__htn2">#REF!</definedName>
    <definedName name="__iss2">#REF!</definedName>
    <definedName name="__key2">#REF!</definedName>
    <definedName name="__la29">#REF!</definedName>
    <definedName name="__la3">#REF!</definedName>
    <definedName name="__la31">#REF!</definedName>
    <definedName name="__la32">#REF!</definedName>
    <definedName name="__la4">#REF!</definedName>
    <definedName name="__la5">#REF!</definedName>
    <definedName name="__la6">#REF!</definedName>
    <definedName name="__la7">#REF!</definedName>
    <definedName name="__la8">#REF!</definedName>
    <definedName name="__la9">#REF!</definedName>
    <definedName name="__lb1">#REF!</definedName>
    <definedName name="__lb10">#REF!</definedName>
    <definedName name="__lb11">#REF!</definedName>
    <definedName name="__lb12">#REF!</definedName>
    <definedName name="__lb13">#REF!</definedName>
    <definedName name="__lb14">#REF!</definedName>
    <definedName name="__lb15">#REF!</definedName>
    <definedName name="__lb16">#REF!</definedName>
    <definedName name="__lb17">#REF!</definedName>
    <definedName name="__lb18">#REF!</definedName>
    <definedName name="__lb19">#REF!</definedName>
    <definedName name="__lb2">#REF!</definedName>
    <definedName name="__lb20">#REF!</definedName>
    <definedName name="__lb21">#REF!</definedName>
    <definedName name="__lb22">#REF!</definedName>
    <definedName name="__lb23">#REF!</definedName>
    <definedName name="__lb24">#REF!</definedName>
    <definedName name="__lb25">#REF!</definedName>
    <definedName name="__lb27">#REF!</definedName>
    <definedName name="__lb28">#REF!</definedName>
    <definedName name="__lb29">#REF!</definedName>
    <definedName name="__lb3">#REF!</definedName>
    <definedName name="__lb30">#REF!</definedName>
    <definedName name="__lb31">#REF!</definedName>
    <definedName name="__lb32">#REF!</definedName>
    <definedName name="__lb4">#REF!</definedName>
    <definedName name="__lb5">#REF!</definedName>
    <definedName name="__lb6">#REF!</definedName>
    <definedName name="__lb7">#REF!</definedName>
    <definedName name="__lb8">#REF!</definedName>
    <definedName name="__lb9">#REF!</definedName>
    <definedName name="__lbc1">#REF!</definedName>
    <definedName name="__lbc10">#REF!</definedName>
    <definedName name="__lbc11">#REF!</definedName>
    <definedName name="__lbc12">#REF!</definedName>
    <definedName name="__lbc13">#REF!</definedName>
    <definedName name="__lbc14">#REF!</definedName>
    <definedName name="__lbc15">#REF!</definedName>
    <definedName name="__lbc16">#REF!</definedName>
    <definedName name="__lbc17">#REF!</definedName>
    <definedName name="__lbc18">#REF!</definedName>
    <definedName name="__lbc19">#REF!</definedName>
    <definedName name="__lbc2">#REF!</definedName>
    <definedName name="__lbc20">#REF!</definedName>
    <definedName name="__lbc21">#REF!</definedName>
    <definedName name="__lbc22">#REF!</definedName>
    <definedName name="__lbc23">#REF!</definedName>
    <definedName name="__lbc24">#REF!</definedName>
    <definedName name="__lbc25">#REF!</definedName>
    <definedName name="__lbc26">#REF!</definedName>
    <definedName name="__lbc27">#REF!</definedName>
    <definedName name="__lbc28">#REF!</definedName>
    <definedName name="__lbc29">#REF!</definedName>
    <definedName name="__lbc3">#REF!</definedName>
    <definedName name="__lbc31">#REF!</definedName>
    <definedName name="__lbc32">#REF!</definedName>
    <definedName name="__lbc4">#REF!</definedName>
    <definedName name="__lbc5">#REF!</definedName>
    <definedName name="__lbc6">#REF!</definedName>
    <definedName name="__lbc7">#REF!</definedName>
    <definedName name="__lbc8">#REF!</definedName>
    <definedName name="__lbc9">#REF!</definedName>
    <definedName name="__ld26">#REF!</definedName>
    <definedName name="__ld31">#REF!</definedName>
    <definedName name="__le31">#REF!</definedName>
    <definedName name="__lf31">#REF!</definedName>
    <definedName name="__PK2">{"'장비'!$A$3:$M$12"}</definedName>
    <definedName name="__PKG3">{"'장비'!$A$3:$M$12"}</definedName>
    <definedName name="__qqq222">{"'장비'!$A$3:$M$12"}</definedName>
    <definedName name="__QT100">#REF!</definedName>
    <definedName name="__QT2">#REF!</definedName>
    <definedName name="__QT3">#REF!</definedName>
    <definedName name="__QT4">#REF!</definedName>
    <definedName name="__QT50">#REF!</definedName>
    <definedName name="__QT75">#REF!</definedName>
    <definedName name="__r1">{#N/A,#N/A,FALSE,"GERAL";#N/A,#N/A,FALSE,"012-96";#N/A,#N/A,FALSE,"018-96";#N/A,#N/A,FALSE,"027-96";#N/A,#N/A,FALSE,"059-96";#N/A,#N/A,FALSE,"076-96";#N/A,#N/A,FALSE,"019-97";#N/A,#N/A,FALSE,"021-97";#N/A,#N/A,FALSE,"022-97";#N/A,#N/A,FALSE,"028-97"}</definedName>
    <definedName name="__r2">{#N/A,#N/A,FALSE,"GERAL";#N/A,#N/A,FALSE,"012-96";#N/A,#N/A,FALSE,"018-96";#N/A,#N/A,FALSE,"027-96";#N/A,#N/A,FALSE,"059-96";#N/A,#N/A,FALSE,"076-96";#N/A,#N/A,FALSE,"019-97";#N/A,#N/A,FALSE,"021-97";#N/A,#N/A,FALSE,"022-97";#N/A,#N/A,FALSE,"028-97"}</definedName>
    <definedName name="__x10">#REF!</definedName>
    <definedName name="__x11">#REF!</definedName>
    <definedName name="__x12">#REF!</definedName>
    <definedName name="__x13">#REF!</definedName>
    <definedName name="__x14">#REF!</definedName>
    <definedName name="__x15">#REF!</definedName>
    <definedName name="__x16">#REF!</definedName>
    <definedName name="__x17">#REF!</definedName>
    <definedName name="__x18">#REF!</definedName>
    <definedName name="__x19">#REF!</definedName>
    <definedName name="__x20">#REF!</definedName>
    <definedName name="__x21">#REF!</definedName>
    <definedName name="__x22">#REF!</definedName>
    <definedName name="__x23">#REF!</definedName>
    <definedName name="__x24">#REF!</definedName>
    <definedName name="__x25">#REF!</definedName>
    <definedName name="__x28">#REF!</definedName>
    <definedName name="__x29">#REF!</definedName>
    <definedName name="__x32">#REF!</definedName>
    <definedName name="__x4">#REF!</definedName>
    <definedName name="__x5">#REF!</definedName>
    <definedName name="__x6">#REF!</definedName>
    <definedName name="__x7">#REF!</definedName>
    <definedName name="__x8">#REF!</definedName>
    <definedName name="__x9">#REF!</definedName>
    <definedName name="_0.CURVA_OBRA">#REF!</definedName>
    <definedName name="_00.VAR._GASTO">#REF!</definedName>
    <definedName name="_000.CURVA_FINA">#REF!</definedName>
    <definedName name="_1">#REF!</definedName>
    <definedName name="_1__123Graph_ACHART_1">#REF!</definedName>
    <definedName name="_10__123Graph_CCHART_1">#REF!</definedName>
    <definedName name="_11.SERV.TECNIC">#REF!</definedName>
    <definedName name="_11__123Graph_DCHART_1">#REF!</definedName>
    <definedName name="_12.GAST_GERAIS">#REF!</definedName>
    <definedName name="_12__123Graph_XChart_1A">#REF!</definedName>
    <definedName name="_13.P._PERMAN.">#REF!</definedName>
    <definedName name="_15.IMPL._CANT">#REF!</definedName>
    <definedName name="_16.EQUIPAM.">#REF!</definedName>
    <definedName name="_17.OPER._CANT.">#REF!</definedName>
    <definedName name="_19.TRANC_LIMP.">#REF!</definedName>
    <definedName name="_1Dist_Val">#REF!</definedName>
    <definedName name="_2">#REF!</definedName>
    <definedName name="_2__123Graph_BCHART_1">#REF!</definedName>
    <definedName name="_25.PREP.TERREN">#REF!</definedName>
    <definedName name="_27.FUND._ESCOR">#REF!</definedName>
    <definedName name="_2F">#REF!</definedName>
    <definedName name="_3__123Graph_XCHART_1">#REF!</definedName>
    <definedName name="_31_32_33.C_A">#REF!</definedName>
    <definedName name="_41.ALVENARIA">#REF!</definedName>
    <definedName name="_47.IMP._ISOLA.">#REF!</definedName>
    <definedName name="_5__123Graph_ACHART_1">#REF!</definedName>
    <definedName name="_51.REV.ARGAMAS">#REF!</definedName>
    <definedName name="_52.REV.CERAM.I">#REF!</definedName>
    <definedName name="_53.REV.CERAM.E">#REF!</definedName>
    <definedName name="_54.TACOS_E_ASS">#REF!</definedName>
    <definedName name="_55.MARM._E_GRA">#REF!</definedName>
    <definedName name="_56.MARMORITE">#REF!</definedName>
    <definedName name="_59.OUTRS_REVES">#REF!</definedName>
    <definedName name="_6__123Graph_AChart_1A">#REF!</definedName>
    <definedName name="_61.ESQUAD._MAD">#REF!</definedName>
    <definedName name="_63.ESQUAD._ALU">#REF!</definedName>
    <definedName name="_65.ESQUAD._FER">#REF!</definedName>
    <definedName name="_67.VIDROS">#REF!</definedName>
    <definedName name="_7__123Graph_ACHART_2">#REF!</definedName>
    <definedName name="_71_73.I.ELET_H">#REF!</definedName>
    <definedName name="_77.OUTRAS_INST.">#REF!</definedName>
    <definedName name="_78.ELEVADORES">#REF!</definedName>
    <definedName name="_8__123Graph_BChart_1A">#REF!</definedName>
    <definedName name="_81.APAR._SANIT">#REF!</definedName>
    <definedName name="_83_85.PINT_LIM">#REF!</definedName>
    <definedName name="_9__123Graph_BCHART_2">#REF!</definedName>
    <definedName name="_ACR10">#REF!</definedName>
    <definedName name="_ACR15">#REF!</definedName>
    <definedName name="_acr20">#REF!</definedName>
    <definedName name="_acr5">#REF!</definedName>
    <definedName name="_akhnsdkjsdb">#REF!</definedName>
    <definedName name="_AMO_UniqueIdentifier">"'54256040-62ff-475a-9348-dbdfce08df30'"</definedName>
    <definedName name="_ARQ1">#REF!</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7</definedName>
    <definedName name="_AtRisk_SimSetting_ReportsList">0</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e3">#REF!</definedName>
    <definedName name="_Axe4">#REF!</definedName>
    <definedName name="_Builtin13">#REF!</definedName>
    <definedName name="_CAB1">#REF!</definedName>
    <definedName name="_CAB2">#REF!</definedName>
    <definedName name="_CO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Dist_Bin">#REF!</definedName>
    <definedName name="_Dist_Values">#REF!</definedName>
    <definedName name="_ECS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Fill">#REF!</definedName>
    <definedName name="_fill1">#REF!</definedName>
    <definedName name="_FiltrarBancoDados2">#REF!</definedName>
    <definedName name="_xlnm._FilterDatabase" hidden="1">#REF!</definedName>
    <definedName name="_htm2">#REF!</definedName>
    <definedName name="_htn2">#REF!</definedName>
    <definedName name="_IA0542">{#N/A,#N/A,FALSE,"Plan1";#N/A,#N/A,FALSE,"Plan2"}</definedName>
    <definedName name="_iss2">#REF!</definedName>
    <definedName name="_IV65617">#REF!</definedName>
    <definedName name="_IV65999">#REF!</definedName>
    <definedName name="_IV66000">#REF!</definedName>
    <definedName name="_IV67021">#REF!</definedName>
    <definedName name="_IV67022">#REF!</definedName>
    <definedName name="_Key1">#REF!</definedName>
    <definedName name="_Key2">#REF!</definedName>
    <definedName name="_KEY3">#REF!</definedName>
    <definedName name="_key4">#REF!</definedName>
    <definedName name="_l">#REF!</definedName>
    <definedName name="_la29">#REF!</definedName>
    <definedName name="_la3">#REF!</definedName>
    <definedName name="_la31">#REF!</definedName>
    <definedName name="_la32">#REF!</definedName>
    <definedName name="_la4">#REF!</definedName>
    <definedName name="_la5">#REF!</definedName>
    <definedName name="_la6">#REF!</definedName>
    <definedName name="_la7">#REF!</definedName>
    <definedName name="_la8">#REF!</definedName>
    <definedName name="_la9">#REF!</definedName>
    <definedName name="_lb1">#REF!</definedName>
    <definedName name="_lb10">#REF!</definedName>
    <definedName name="_lb11">#REF!</definedName>
    <definedName name="_lb12">#REF!</definedName>
    <definedName name="_lb13">#REF!</definedName>
    <definedName name="_lb14">#REF!</definedName>
    <definedName name="_lb15">#REF!</definedName>
    <definedName name="_lb16">#REF!</definedName>
    <definedName name="_lb17">#REF!</definedName>
    <definedName name="_lb18">#REF!</definedName>
    <definedName name="_lb19">#REF!</definedName>
    <definedName name="_lb2">#REF!</definedName>
    <definedName name="_lb20">#REF!</definedName>
    <definedName name="_lb21">#REF!</definedName>
    <definedName name="_lb22">#REF!</definedName>
    <definedName name="_lb23">#REF!</definedName>
    <definedName name="_lb24">#REF!</definedName>
    <definedName name="_lb25">#REF!</definedName>
    <definedName name="_lb27">#REF!</definedName>
    <definedName name="_lb28">#REF!</definedName>
    <definedName name="_lb29">#REF!</definedName>
    <definedName name="_lb3">#REF!</definedName>
    <definedName name="_lb30">#REF!</definedName>
    <definedName name="_lb31">#REF!</definedName>
    <definedName name="_lb32">#REF!</definedName>
    <definedName name="_lb4">#REF!</definedName>
    <definedName name="_lb5">#REF!</definedName>
    <definedName name="_lb6">#REF!</definedName>
    <definedName name="_lb7">#REF!</definedName>
    <definedName name="_lb8">#REF!</definedName>
    <definedName name="_lb9">#REF!</definedName>
    <definedName name="_lbc1">#REF!</definedName>
    <definedName name="_lbc10">#REF!</definedName>
    <definedName name="_lbc11">#REF!</definedName>
    <definedName name="_lbc12">#REF!</definedName>
    <definedName name="_lbc13">#REF!</definedName>
    <definedName name="_lbc14">#REF!</definedName>
    <definedName name="_lbc15">#REF!</definedName>
    <definedName name="_lbc16">#REF!</definedName>
    <definedName name="_lbc17">#REF!</definedName>
    <definedName name="_lbc18">#REF!</definedName>
    <definedName name="_lbc19">#REF!</definedName>
    <definedName name="_lbc2">#REF!</definedName>
    <definedName name="_lbc20">#REF!</definedName>
    <definedName name="_lbc21">#REF!</definedName>
    <definedName name="_lbc22">#REF!</definedName>
    <definedName name="_lbc23">#REF!</definedName>
    <definedName name="_lbc24">#REF!</definedName>
    <definedName name="_lbc25">#REF!</definedName>
    <definedName name="_lbc26">#REF!</definedName>
    <definedName name="_lbc27">#REF!</definedName>
    <definedName name="_lbc28">#REF!</definedName>
    <definedName name="_lbc29">#REF!</definedName>
    <definedName name="_lbc3">#REF!</definedName>
    <definedName name="_lbc31">#REF!</definedName>
    <definedName name="_lbc32">#REF!</definedName>
    <definedName name="_lbc4">#REF!</definedName>
    <definedName name="_lbc5">#REF!</definedName>
    <definedName name="_lbc6">#REF!</definedName>
    <definedName name="_lbc7">#REF!</definedName>
    <definedName name="_lbc8">#REF!</definedName>
    <definedName name="_lbc9">#REF!</definedName>
    <definedName name="_ld26">#REF!</definedName>
    <definedName name="_ld31">#REF!</definedName>
    <definedName name="_le31">#REF!</definedName>
    <definedName name="_lf31">#REF!</definedName>
    <definedName name="_MatInverse_In">#REF!</definedName>
    <definedName name="_MatMult_A">#REF!</definedName>
    <definedName name="_MatMult_AxB">#REF!</definedName>
    <definedName name="_MatMult_B">#REF!</definedName>
    <definedName name="_new11">{#N/A,#N/A,FALSE,"Global by BU";#N/A,#N/A,FALSE,"U.S. by BU";#N/A,#N/A,FALSE,"Canada by BU";#N/A,#N/A,FALSE,"Europe by BU";#N/A,#N/A,FALSE,"Asia by BU";#N/A,#N/A,FALSE,"Cala by BU"}</definedName>
    <definedName name="_Order1">0</definedName>
    <definedName name="_Order2">255</definedName>
    <definedName name="_Parse_Out">#REF!</definedName>
    <definedName name="_PAV01">#REF!</definedName>
    <definedName name="_PAV02">#REF!</definedName>
    <definedName name="_PAV03">#REF!</definedName>
    <definedName name="_PAV04">#REF!</definedName>
    <definedName name="_PAV05">#REF!</definedName>
    <definedName name="_PAV06">#REF!</definedName>
    <definedName name="_PAV07">#REF!</definedName>
    <definedName name="_PAV08">#REF!</definedName>
    <definedName name="_PAV09">#REF!</definedName>
    <definedName name="_PAV10">#REF!</definedName>
    <definedName name="_PAV11">#REF!</definedName>
    <definedName name="_PK2">{"'장비'!$A$3:$M$12"}</definedName>
    <definedName name="_PKG3">{"'장비'!$A$3:$M$12"}</definedName>
    <definedName name="_qqq222">{"'장비'!$A$3:$M$12"}</definedName>
    <definedName name="_QT100">#REF!</definedName>
    <definedName name="_QT2">#REF!</definedName>
    <definedName name="_QT3">#REF!</definedName>
    <definedName name="_QT4">#REF!</definedName>
    <definedName name="_QT50">#REF!</definedName>
    <definedName name="_QT75">#REF!</definedName>
    <definedName name="_r1">{#N/A,#N/A,FALSE,"GERAL";#N/A,#N/A,FALSE,"012-96";#N/A,#N/A,FALSE,"018-96";#N/A,#N/A,FALSE,"027-96";#N/A,#N/A,FALSE,"059-96";#N/A,#N/A,FALSE,"076-96";#N/A,#N/A,FALSE,"019-97";#N/A,#N/A,FALSE,"021-97";#N/A,#N/A,FALSE,"022-97";#N/A,#N/A,FALSE,"028-97"}</definedName>
    <definedName name="_R2">{#N/A,#N/A,FALSE,"GERAL";#N/A,#N/A,FALSE,"012-96";#N/A,#N/A,FALSE,"018-96";#N/A,#N/A,FALSE,"027-96";#N/A,#N/A,FALSE,"059-96";#N/A,#N/A,FALSE,"076-96";#N/A,#N/A,FALSE,"019-97";#N/A,#N/A,FALSE,"021-97";#N/A,#N/A,FALSE,"022-97";#N/A,#N/A,FALSE,"028-97"}</definedName>
    <definedName name="_Regression_Int">1</definedName>
    <definedName name="_Regression_Out">#REF!</definedName>
    <definedName name="_Regression_X">#REF!</definedName>
    <definedName name="_Regression_Y">#REF!</definedName>
    <definedName name="_sfe5">{TRUE,TRUE,-1.25,-15.5,604.5,366.75,FALSE,FALSE,TRUE,TRUE,0,1,#N/A,1,#N/A,9.0125,24.4117647058824,1,FALSE,FALSE,3,TRUE,1,FALSE,100,"Swvu.PLANILHA2.","ACwvu.PLANILHA2.",#N/A,FALSE,FALSE,0.787401575,0.34,0.46,0.5,1,"","",FALSE,FALSE,FALSE,FALSE,1,#N/A,1,1,FALSE,FALSE,#N/A,#N/A,FALSE,FALSE,FALSE,9,65532,65532,FALSE,FALSE,TRUE,TRUE,TRUE}</definedName>
    <definedName name="_Sort">#REF!</definedName>
    <definedName name="_T">#REF!</definedName>
    <definedName name="_Table1_In1">#REF!</definedName>
    <definedName name="_Table1_Out">#REF!</definedName>
    <definedName name="_wer3">{#N/A,#N/A,FALSE,"Plan1";#N/A,#N/A,FALSE,"Plan2"}</definedName>
    <definedName name="_wrn.pendencias">{#N/A,#N/A,FALSE,"GERAL";#N/A,#N/A,FALSE,"012-96";#N/A,#N/A,FALSE,"018-96";#N/A,#N/A,FALSE,"027-96";#N/A,#N/A,FALSE,"059-96";#N/A,#N/A,FALSE,"076-96";#N/A,#N/A,FALSE,"019-97";#N/A,#N/A,FALSE,"021-97";#N/A,#N/A,FALSE,"022-97";#N/A,#N/A,FALSE,"028-97"}</definedName>
    <definedName name="_x10">#REF!</definedName>
    <definedName name="_x11">#REF!</definedName>
    <definedName name="_x12">#REF!</definedName>
    <definedName name="_x13">#REF!</definedName>
    <definedName name="_x14">#REF!</definedName>
    <definedName name="_x15">#REF!</definedName>
    <definedName name="_x16">#REF!</definedName>
    <definedName name="_x17">#REF!</definedName>
    <definedName name="_x18">#REF!</definedName>
    <definedName name="_x19">#REF!</definedName>
    <definedName name="_x20">#REF!</definedName>
    <definedName name="_x21">#REF!</definedName>
    <definedName name="_x22">#REF!</definedName>
    <definedName name="_x23">#REF!</definedName>
    <definedName name="_x24">#REF!</definedName>
    <definedName name="_x25">#REF!</definedName>
    <definedName name="_x28">#REF!</definedName>
    <definedName name="_x29">#REF!</definedName>
    <definedName name="_x32">#REF!</definedName>
    <definedName name="_x4">#REF!</definedName>
    <definedName name="_x5">#REF!</definedName>
    <definedName name="_x6">#REF!</definedName>
    <definedName name="_x7">#REF!</definedName>
    <definedName name="_x8">#REF!</definedName>
    <definedName name="_x9">#REF!</definedName>
    <definedName name="_xlcn.WorksheetConnection_2018_03ResumoRGOObrasRJ.xlsbTabela1">#REF!</definedName>
    <definedName name="_xlcn.WorksheetConnection_ProjetocontrolefisicoefinanceiroRJ.xlsxTabela31">#REF!</definedName>
    <definedName name="´cAE°eE¹" hidden="1">#REF!</definedName>
    <definedName name="￠￥cAE¡ÆeEⓒo" hidden="1">#REF!</definedName>
    <definedName name="a">#REF!</definedName>
    <definedName name="a\sgt" hidden="1">{#N/A,#N/A,FALSE,"Plan1";#N/A,#N/A,FALSE,"Plan2"}</definedName>
    <definedName name="aa">#REF!</definedName>
    <definedName name="aaa">#REF!</definedName>
    <definedName name="AAAA">{TRUE,TRUE,-1.25,-15.5,604.5,366.75,FALSE,FALSE,TRUE,TRUE,0,1,#N/A,1,#N/A,9.0125,24.4117647058824,1,FALSE,FALSE,3,TRUE,1,FALSE,100,"Swvu.PLANILHA2.","ACwvu.PLANILHA2.",#N/A,FALSE,FALSE,0.787401575,0.34,0.46,0.5,1,"","",FALSE,FALSE,FALSE,FALSE,1,#N/A,1,1,FALSE,FALSE,#N/A,#N/A,FALSE,FALSE,FALSE,9,65532,65532,FALSE,FALSE,TRUE,TRUE,TRUE}</definedName>
    <definedName name="aaaaaaaaa">{TRUE,TRUE,-1.25,-15.5,604.5,366.75,FALSE,FALSE,TRUE,TRUE,0,1,#N/A,1,#N/A,9.0125,24.4117647058824,1,FALSE,FALSE,3,TRUE,1,FALSE,100,"Swvu.PLANILHA2.","ACwvu.PLANILHA2.",#N/A,FALSE,FALSE,0.787401575,0.34,0.46,0.5,1,"","",FALSE,FALSE,FALSE,FALSE,1,#N/A,1,1,FALSE,FALSE,#N/A,#N/A,FALSE,FALSE,FALSE,9,65532,65532,FALSE,FALSE,TRUE,TRUE,TRUE}</definedName>
    <definedName name="aaaadc">#REF!</definedName>
    <definedName name="aaacccc">{#N/A,#N/A,FALSE,"Plan1";#N/A,#N/A,FALSE,"Plan2"}</definedName>
    <definedName name="aaas">#REF!</definedName>
    <definedName name="AB">#REF!</definedName>
    <definedName name="Abat_ISS">#REF!</definedName>
    <definedName name="ab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BCD">#REF!</definedName>
    <definedName name="abebqt">#REF!</definedName>
    <definedName name="abr17RJ">#REF!</definedName>
    <definedName name="ABRIL">#REF!</definedName>
    <definedName name="ABRIL2001">#REF!</definedName>
    <definedName name="ac">#REF!</definedName>
    <definedName name="Acabam.">#REF!</definedName>
    <definedName name="ACADUC">#REF!</definedName>
    <definedName name="ACBEB">#REF!</definedName>
    <definedName name="ACBOMB">#REF!</definedName>
    <definedName name="AccessDatabase">"C:\posec\DATABASE\vlv_list\vlvlist1.mdb"</definedName>
    <definedName name="ACCHAF">#REF!</definedName>
    <definedName name="ACCLINK.XLS_Localization_Table_List">"$A$1:$B$11"</definedName>
    <definedName name="ACCLINK.XLS_Localization_Table_List1">"$A$13:$B$31"</definedName>
    <definedName name="ACCLINK.XLS_Localization_Table_List10">"$A$13:$B$33"</definedName>
    <definedName name="ACCLINK.XLS_Localization_Table_List11">"$A$13:$B$33"</definedName>
    <definedName name="ACCLINK.XLS_Localization_Table_List12">"$A$13:$B$33"</definedName>
    <definedName name="ACCLINK.XLS_Localization_Table_List13">"$A$13:$B$33"</definedName>
    <definedName name="ACCLINK.XLS_Localization_Table_List14">"$A$13:$B$33"</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CLINK.XLS_Localization_Table_List4">"$A$13:$B$31"</definedName>
    <definedName name="ACCLINK.XLS_Localization_Table_List5">"$A$13:$B$31"</definedName>
    <definedName name="ACCLINK.XLS_Localization_Table_List6">"$A$13:$B$31"</definedName>
    <definedName name="ACCLINK.XLS_Localization_Table_List7">"$A$13:$B$31"</definedName>
    <definedName name="ACCLINK.XLS_Localization_Table_List8">"$A$13:$B$31"</definedName>
    <definedName name="ACCLINK.XLS_Localization_Table_List9">"$A$13:$B$33"</definedName>
    <definedName name="acdb">#REF!</definedName>
    <definedName name="ACDER">#REF!</definedName>
    <definedName name="ACDIV">#REF!</definedName>
    <definedName name="ACDS">#REF!</definedName>
    <definedName name="ACEQP">#REF!</definedName>
    <definedName name="ACHAFQT">#REF!</definedName>
    <definedName name="achar18">#REF!</definedName>
    <definedName name="achar19">#REF!</definedName>
    <definedName name="achart1">#REF!</definedName>
    <definedName name="achart10">#REF!</definedName>
    <definedName name="achart11">#REF!</definedName>
    <definedName name="achart12">#REF!</definedName>
    <definedName name="achart13">#REF!</definedName>
    <definedName name="achart14">#REF!</definedName>
    <definedName name="achart15">#REF!</definedName>
    <definedName name="achart16">#REF!</definedName>
    <definedName name="achart17">#REF!</definedName>
    <definedName name="achart2">#REF!</definedName>
    <definedName name="achart20">#REF!</definedName>
    <definedName name="achart21">#REF!</definedName>
    <definedName name="achart22">#REF!</definedName>
    <definedName name="achart23">#REF!</definedName>
    <definedName name="achart24">#REF!</definedName>
    <definedName name="achart25">#REF!</definedName>
    <definedName name="achart26">#REF!</definedName>
    <definedName name="achart27">#REF!</definedName>
    <definedName name="achart28">#REF!</definedName>
    <definedName name="achart29">#REF!</definedName>
    <definedName name="achart3">#REF!</definedName>
    <definedName name="achart30">#REF!</definedName>
    <definedName name="achart31">#REF!</definedName>
    <definedName name="achart32">#REF!</definedName>
    <definedName name="achart4">#REF!</definedName>
    <definedName name="achart5">#REF!</definedName>
    <definedName name="achart6">#REF!</definedName>
    <definedName name="achart7">#REF!</definedName>
    <definedName name="achart8">#REF!</definedName>
    <definedName name="achart9">#REF!</definedName>
    <definedName name="ACMUR">#REF!</definedName>
    <definedName name="açoeeer">{#N/A,#N/A,FALSE,"Plan1";#N/A,#N/A,FALSE,"Plan2"}</definedName>
    <definedName name="ACOMP">#REF!</definedName>
    <definedName name="ACONT2">#REF!</definedName>
    <definedName name="ACPIPA">#REF!</definedName>
    <definedName name="ACTRANSP">#REF!</definedName>
    <definedName name="ACwvu.Características.">#REF!</definedName>
    <definedName name="ACwvu.Ciclos.">#REF!</definedName>
    <definedName name="ACwvu.Custos.">#REF!</definedName>
    <definedName name="ACwvu.PLANILHA2.">#REF!</definedName>
    <definedName name="ACwvu.Recursos.">#REF!</definedName>
    <definedName name="ad">{#N/A,#N/A,FALSE,"Plan1";#N/A,#N/A,FALSE,"Plan2"}</definedName>
    <definedName name="adads">{#N/A,#N/A,FALSE,"Plan1";#N/A,#N/A,FALSE,"Plan2"}</definedName>
    <definedName name="adads2">{#N/A,#N/A,FALSE,"Plan1";#N/A,#N/A,FALSE,"Plan2"}</definedName>
    <definedName name="adced">{#N/A,#N/A,FALSE,"Plan1";#N/A,#N/A,FALSE,"Plan2"}</definedName>
    <definedName name="adced2">{#N/A,#N/A,FALSE,"Plan1";#N/A,#N/A,FALSE,"Plan2"}</definedName>
    <definedName name="ader">{#N/A,#N/A,FALSE,"Plan1";#N/A,#N/A,FALSE,"Plan2"}</definedName>
    <definedName name="ader2">{#N/A,#N/A,FALSE,"Plan1";#N/A,#N/A,FALSE,"Plan2"}</definedName>
    <definedName name="adesr">{#N/A,#N/A,FALSE,"Plan1";#N/A,#N/A,FALSE,"Plan2"}</definedName>
    <definedName name="adew">"3ORZTPXRHBU97C8AJ5UM8CAVA"</definedName>
    <definedName name="adewr">{#N/A,#N/A,FALSE,"Plan1";#N/A,#N/A,FALSE,"Plan2"}</definedName>
    <definedName name="adf">{#N/A,#N/A,FALSE,"Plan1";#N/A,#N/A,FALSE,"Plan2"}</definedName>
    <definedName name="ADITIVO_BRUTO">#REF!</definedName>
    <definedName name="ADITIVO_LIQUIDO">#REF!</definedName>
    <definedName name="ADM.EXTERNA">#REF!</definedName>
    <definedName name="adsfr">{#N/A,#N/A,FALSE,"Plan1";#N/A,#N/A,FALSE,"Plan2"}</definedName>
    <definedName name="adssrgtg">{#N/A,#N/A,FALSE,"Plan1";#N/A,#N/A,FALSE,"Plan2"}</definedName>
    <definedName name="adtsetrr6t">{#N/A,#N/A,FALSE,"Plan1";#N/A,#N/A,FALSE,"Plan2"}</definedName>
    <definedName name="ADUCQT">#REF!</definedName>
    <definedName name="adwr">{#N/A,#N/A,FALSE,"Plan1";#N/A,#N/A,FALSE,"Plan2"}</definedName>
    <definedName name="aeiresft">{#N/A,#N/A,FALSE,"Plan1";#N/A,#N/A,FALSE,"Plan2"}</definedName>
    <definedName name="aEL3QE">{#N/A,#N/A,FALSE,"Plan1";#N/A,#N/A,FALSE,"Plan2"}</definedName>
    <definedName name="afeasfre">{#N/A,#N/A,FALSE,"Plan1";#N/A,#N/A,FALSE,"Plan2"}</definedName>
    <definedName name="agdsf">#REF!</definedName>
    <definedName name="ago17RJ">#REF!</definedName>
    <definedName name="AGOSTO">#REF!</definedName>
    <definedName name="agua">{#N/A,#N/A,FALSE,"GERAL";#N/A,#N/A,FALSE,"012-96";#N/A,#N/A,FALSE,"018-96";#N/A,#N/A,FALSE,"027-96";#N/A,#N/A,FALSE,"059-96";#N/A,#N/A,FALSE,"076-96";#N/A,#N/A,FALSE,"019-97";#N/A,#N/A,FALSE,"021-97";#N/A,#N/A,FALSE,"022-97";#N/A,#N/A,FALSE,"028-97"}</definedName>
    <definedName name="AH">{#N/A,#N/A,FALSE,"CCTV"}</definedName>
    <definedName name="AITEM">#REF!</definedName>
    <definedName name="Ajudante_Geral">#REF!</definedName>
    <definedName name="ajudante_mes">#REF!</definedName>
    <definedName name="AL">#REF!</definedName>
    <definedName name="ALTADUC">#REF!</definedName>
    <definedName name="ALTBOMB">#REF!</definedName>
    <definedName name="ALTCAP">#REF!</definedName>
    <definedName name="ALTDER">#REF!</definedName>
    <definedName name="ALTEQUIP">#REF!</definedName>
    <definedName name="ALTIEQP">#REF!</definedName>
    <definedName name="ALTMUR">#REF!</definedName>
    <definedName name="ALTRES10">#REF!</definedName>
    <definedName name="ALTRES15">#REF!</definedName>
    <definedName name="ALTRES20">#REF!</definedName>
    <definedName name="ALTTRANS">#REF!</definedName>
    <definedName name="ALUMÍNIO_2">#REF!</definedName>
    <definedName name="angelo">#REF!</definedName>
    <definedName name="anscount">3</definedName>
    <definedName name="AQE">{"'장비'!$A$3:$M$12"}</definedName>
    <definedName name="AQTEMP1">#REF!</definedName>
    <definedName name="AQTEMP2">#REF!</definedName>
    <definedName name="ArComprimido">{"'Estimativa de Lançamento-JAN'!$A$1:$AI$85"}</definedName>
    <definedName name="area">{#N/A,#N/A,FALSE,"Plan1";#N/A,#N/A,FALSE,"Plan2"}</definedName>
    <definedName name="área">#REF!</definedName>
    <definedName name="Área_Construída">#REF!</definedName>
    <definedName name="_xlnm.Print_Area">#REF!</definedName>
    <definedName name="Área_impressão_IM">#REF!</definedName>
    <definedName name="Área_Privativa">#REF!</definedName>
    <definedName name="Área_Terreno">#REF!</definedName>
    <definedName name="area1">#REF!</definedName>
    <definedName name="Areaimpresso">#REF!</definedName>
    <definedName name="ARM">#REF!</definedName>
    <definedName name="ARMABLOCOS">#REF!</definedName>
    <definedName name="ARMAÇÃO">#REF!</definedName>
    <definedName name="ARQ">#REF!</definedName>
    <definedName name="ARQERR">#REF!</definedName>
    <definedName name="ARQPLAN">#REF!</definedName>
    <definedName name="ARQT">#REF!</definedName>
    <definedName name="ARQTEMP">#REF!</definedName>
    <definedName name="ARQTXT">#REF!</definedName>
    <definedName name="ARTEMP">#REF!</definedName>
    <definedName name="AS">#REF!</definedName>
    <definedName name="AS2DocOpenMode">"AS2DocumentBrowse"</definedName>
    <definedName name="asawe3">{#N/A,#N/A,FALSE,"Plan1";#N/A,#N/A,FALSE,"Plan2"}</definedName>
    <definedName name="ASD">17</definedName>
    <definedName name="ASDA">{#N/A,#N/A,FALSE,"Plan1";#N/A,#N/A,FALSE,"Plan2"}</definedName>
    <definedName name="asdade">{#N/A,#N/A,FALSE,"Plan1";#N/A,#N/A,FALSE,"Plan2"}</definedName>
    <definedName name="asdas">{#N/A,#N/A,FALSE,"Plan1";#N/A,#N/A,FALSE,"Plan2"}</definedName>
    <definedName name="asdawed">{#N/A,#N/A,FALSE,"Plan1";#N/A,#N/A,FALSE,"Plan2"}</definedName>
    <definedName name="ASDER">{#N/A,#N/A,FALSE,"Plan1";#N/A,#N/A,FALSE,"Plan2"}</definedName>
    <definedName name="asderr">{#N/A,#N/A,FALSE,"Plan1";#N/A,#N/A,FALSE,"Plan2"}</definedName>
    <definedName name="asdesre">{#N/A,#N/A,FALSE,"Plan1";#N/A,#N/A,FALSE,"Plan2"}</definedName>
    <definedName name="asdewr">{#N/A,#N/A,FALSE,"Plan1";#N/A,#N/A,FALSE,"Plan2"}</definedName>
    <definedName name="ASDFASDF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ASDFAD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asdfrrtr">{TRUE,TRUE,-1.25,-15.5,604.5,366.75,FALSE,FALSE,TRUE,TRUE,0,1,#N/A,1,#N/A,9.0125,24.4117647058824,1,FALSE,FALSE,3,TRUE,1,FALSE,100,"Swvu.PLANILHA2.","ACwvu.PLANILHA2.",#N/A,FALSE,FALSE,0.787401575,0.34,0.46,0.5,1,"","",FALSE,FALSE,FALSE,FALSE,1,#N/A,1,1,FALSE,FALSE,#N/A,#N/A,FALSE,FALSE,FALSE,9,65532,65532,FALSE,FALSE,TRUE,TRUE,TRUE}</definedName>
    <definedName name="asdfs">{#N/A,#N/A,FALSE,"Plan1";#N/A,#N/A,FALSE,"Plan2"}</definedName>
    <definedName name="asdg">{#N/A,#N/A,FALSE,"Plan1";#N/A,#N/A,FALSE,"Plan2"}</definedName>
    <definedName name="asdjksej">#REF!</definedName>
    <definedName name="asdked">{TRUE,TRUE,-1.25,-15.5,604.5,366.75,FALSE,FALSE,TRUE,TRUE,0,1,#N/A,1,#N/A,9.0125,24.4117647058824,1,FALSE,FALSE,3,TRUE,1,FALSE,100,"Swvu.PLANILHA2.","ACwvu.PLANILHA2.",#N/A,FALSE,FALSE,0.787401575,0.34,0.46,0.5,1,"","",FALSE,FALSE,FALSE,FALSE,1,#N/A,1,1,FALSE,FALSE,#N/A,#N/A,FALSE,FALSE,FALSE,9,65532,65532,FALSE,FALSE,TRUE,TRUE,TRUE}</definedName>
    <definedName name="asdlas">{#N/A,#N/A,FALSE,"Plan1";#N/A,#N/A,FALSE,"Plan2"}</definedName>
    <definedName name="asdqwe">{#N/A,#N/A,FALSE,"Plan1";#N/A,#N/A,FALSE,"Plan2"}</definedName>
    <definedName name="asdsa">{#N/A,#N/A,FALSE,"Plan1";#N/A,#N/A,FALSE,"Plan2"}</definedName>
    <definedName name="asdser">{#N/A,#N/A,FALSE,"Plan1";#N/A,#N/A,FALSE,"Plan2"}</definedName>
    <definedName name="asdwef">{#N/A,#N/A,FALSE,"Plan1";#N/A,#N/A,FALSE,"Plan2"}</definedName>
    <definedName name="aseiuw">#REF!</definedName>
    <definedName name="ASET">{#N/A,#N/A,FALSE,"Plan1";#N/A,#N/A,FALSE,"Plan2"}</definedName>
    <definedName name="asfDSF">{#N/A,#N/A,FALSE,"Plan1";#N/A,#N/A,FALSE,"Plan2"}</definedName>
    <definedName name="ASFERTE">{#N/A,#N/A,FALSE,"Plan1";#N/A,#N/A,FALSE,"Plan2"}</definedName>
    <definedName name="asfl">{#N/A,#N/A,FALSE,"Plan1";#N/A,#N/A,FALSE,"Plan2"}</definedName>
    <definedName name="asfsz">{#N/A,#N/A,FALSE,"Plan1";#N/A,#N/A,FALSE,"Plan2"}</definedName>
    <definedName name="askserf">{#N/A,#N/A,FALSE,"Plan1";#N/A,#N/A,FALSE,"Plan2"}</definedName>
    <definedName name="ASSFSDF">{#N/A,#N/A,FALSE,"Plan1";#N/A,#N/A,FALSE,"Plan2"}</definedName>
    <definedName name="asw">{#N/A,#N/A,FALSE,"Plan1";#N/A,#N/A,FALSE,"Plan2"}</definedName>
    <definedName name="Até_Chaves">#REF!</definedName>
    <definedName name="ATIVOS">{#N/A,#N/A,FALSE,"F-01"}</definedName>
    <definedName name="Ato">#REF!</definedName>
    <definedName name="ATUAL">#REF!</definedName>
    <definedName name="aux">#REF!</definedName>
    <definedName name="AUXILIO">#REF!</definedName>
    <definedName name="avulsos">#REF!</definedName>
    <definedName name="awdjw">{#N/A,#N/A,FALSE,"Plan1";#N/A,#N/A,FALSE,"Plan2"}</definedName>
    <definedName name="aweqw4">{#N/A,#N/A,FALSE,"Plan1";#N/A,#N/A,FALSE,"Plan2"}</definedName>
    <definedName name="awssdwaer">{#N/A,#N/A,FALSE,"Plan1";#N/A,#N/A,FALSE,"Plan2"}</definedName>
    <definedName name="AZ">#REF!</definedName>
    <definedName name="B">#REF!</definedName>
    <definedName name="BA">#REF!</definedName>
    <definedName name="balão1">"AutoForma 17"</definedName>
    <definedName name="BANCO">#REF!</definedName>
    <definedName name="Banco_dados_IM">#REF!</definedName>
    <definedName name="_xlnm.Database">#REF!</definedName>
    <definedName name="BANCO1">#REF!</definedName>
    <definedName name="BANCO2">#REF!</definedName>
    <definedName name="BANCO3">#REF!</definedName>
    <definedName name="BANCO4">#REF!</definedName>
    <definedName name="BASE">OFFSET(#REF!,0,0,COUNTA(#REF!)+1,5)</definedName>
    <definedName name="BASE_DE_DADOS_FLUXO_DE_CAIXA">OFFSET(#REF!,0,0,COUNTA(#REF!),COUNTA(#REF!))</definedName>
    <definedName name="BASE_FL_CX_3S">OFFSET(#REF!,0,0,COUNTA(#REF!),COUNTA(#REF!))</definedName>
    <definedName name="BASE_FLUXO_CAIXA_2017">OFFSET(#REF!,0,0,COUNTA(#REF!),COUNTA(#REF!))</definedName>
    <definedName name="bb">#REF!</definedName>
    <definedName name="bbb">#REF!</definedName>
    <definedName name="bbbbbbbbbbbbbbb">{"'Edit'!$A$1:$V$2277"}</definedName>
    <definedName name="bchar10">#REF!</definedName>
    <definedName name="bchart1">#REF!</definedName>
    <definedName name="bchart11">#REF!</definedName>
    <definedName name="bchart12">#REF!</definedName>
    <definedName name="bchart13">#REF!</definedName>
    <definedName name="bchart14">#REF!</definedName>
    <definedName name="bchart15">#REF!</definedName>
    <definedName name="bchart16">#REF!</definedName>
    <definedName name="bchart17">#REF!</definedName>
    <definedName name="bchart18">#REF!</definedName>
    <definedName name="bchart19">#REF!</definedName>
    <definedName name="bchart2">#REF!</definedName>
    <definedName name="bchart20">#REF!</definedName>
    <definedName name="bchart21">#REF!</definedName>
    <definedName name="bchart22">#REF!</definedName>
    <definedName name="bchart23">#REF!</definedName>
    <definedName name="bchart24">#REF!</definedName>
    <definedName name="bchart25">#REF!</definedName>
    <definedName name="bchart26">#REF!</definedName>
    <definedName name="bchart27">#REF!</definedName>
    <definedName name="bchart28">#REF!</definedName>
    <definedName name="bchart29">#REF!</definedName>
    <definedName name="bchart3">#REF!</definedName>
    <definedName name="bchart30">#REF!</definedName>
    <definedName name="bchart31">#REF!</definedName>
    <definedName name="bchart32">#REF!</definedName>
    <definedName name="bchart4">#REF!</definedName>
    <definedName name="bchart5">#REF!</definedName>
    <definedName name="bchart6">#REF!</definedName>
    <definedName name="bchart7">#REF!</definedName>
    <definedName name="bchart8">#REF!</definedName>
    <definedName name="bchart9">#REF!</definedName>
    <definedName name="BD">#REF!</definedName>
    <definedName name="BDA">#REF!</definedName>
    <definedName name="bdfjghf">{#N/A,#N/A,FALSE,"Plan1";#N/A,#N/A,FALSE,"Plan2"}</definedName>
    <definedName name="BDI">#REF!</definedName>
    <definedName name="bdzbfbdr">{#N/A,#N/A,FALSE,"Plan1";#N/A,#N/A,FALSE,"Plan2"}</definedName>
    <definedName name="be">#REF!</definedName>
    <definedName name="bebqt">#REF!</definedName>
    <definedName name="bela_cdi">#REF!</definedName>
    <definedName name="bela_hist">#REF!</definedName>
    <definedName name="bela_uss">#REF!</definedName>
    <definedName name="bg">#REF!</definedName>
    <definedName name="BGG">{#N/A,#N/A,FALSE,"Plan1";#N/A,#N/A,FALSE,"Plan2"}</definedName>
    <definedName name="bhjgfhfhg">{TRUE,TRUE,-1.25,-15.5,604.5,366.75,FALSE,FALSE,TRUE,TRUE,0,1,#N/A,1,#N/A,9.0125,24.4117647058824,1,FALSE,FALSE,3,TRUE,1,FALSE,100,"Swvu.PLANILHA2.","ACwvu.PLANILHA2.",#N/A,FALSE,FALSE,0.787401575,0.34,0.46,0.5,1,"","",FALSE,FALSE,FALSE,FALSE,1,#N/A,1,1,FALSE,FALSE,#N/A,#N/A,FALSE,FALSE,FALSE,9,65532,65532,FALSE,FALSE,TRUE,TRUE,TRUE}</definedName>
    <definedName name="BJGO">{TRUE,TRUE,-1.25,-15.5,604.5,366.75,FALSE,FALSE,TRUE,TRUE,0,1,#N/A,1,#N/A,9.0125,24.4117647058824,1,FALSE,FALSE,3,TRUE,1,FALSE,100,"Swvu.PLANILHA2.","ACwvu.PLANILHA2.",#N/A,FALSE,FALSE,0.787401575,0.34,0.46,0.5,1,"","",FALSE,FALSE,FALSE,FALSE,1,#N/A,1,1,FALSE,FALSE,#N/A,#N/A,FALSE,FALSE,FALSE,9,65532,65532,FALSE,FALSE,TRUE,TRUE,TRUE}</definedName>
    <definedName name="BJSDKHFE">{#N/A,#N/A,FALSE,"Plan1";#N/A,#N/A,FALSE,"Plan2"}</definedName>
    <definedName name="bloco">#REF!</definedName>
    <definedName name="BLPH1">#REF!</definedName>
    <definedName name="BLPH100">#REF!</definedName>
    <definedName name="BLPH101">#REF!</definedName>
    <definedName name="BLPH102">#REF!</definedName>
    <definedName name="BLPH103">#REF!</definedName>
    <definedName name="BLPH104">#REF!</definedName>
    <definedName name="BLPH107">#REF!</definedName>
    <definedName name="BLPH2">#REF!</definedName>
    <definedName name="BLPH3">#REF!</definedName>
    <definedName name="BLPH4">#REF!</definedName>
    <definedName name="BLPH5">#REF!</definedName>
    <definedName name="BLPH6">#REF!</definedName>
    <definedName name="BLPH7">#REF!</definedName>
    <definedName name="BLPH8">#REF!</definedName>
    <definedName name="BLPH96">#REF!</definedName>
    <definedName name="BLPH97">#REF!</definedName>
    <definedName name="BLPH98">#REF!</definedName>
    <definedName name="BLPH99">#REF!</definedName>
    <definedName name="bmdgghrtfde">{#N/A,#N/A,FALSE,"Plan1";#N/A,#N/A,FALSE,"Plan2"}</definedName>
    <definedName name="bnkjhjhdfxgt">{#N/A,#N/A,FALSE,"Plan1";#N/A,#N/A,FALSE,"Plan2"}</definedName>
    <definedName name="BORBA2">#REF!</definedName>
    <definedName name="BORDA1">#REF!</definedName>
    <definedName name="BuiltIn_Print_Area">#REF!</definedName>
    <definedName name="BuiltIn_Print_Area___0">#REF!</definedName>
    <definedName name="BuiltIn_Print_Titles">#REF!</definedName>
    <definedName name="BuiltIn_Print_Titles___0">#REF!</definedName>
    <definedName name="BV">#REF!</definedName>
    <definedName name="bxnzfmkzxbhdf">{#N/A,#N/A,FALSE,"Plan1";#N/A,#N/A,FALSE,"Plan2"}</definedName>
    <definedName name="ca">#REF!</definedName>
    <definedName name="CAB">#REF!</definedName>
    <definedName name="CAFS">"Carlos Antonio Fernandes da Silva"</definedName>
    <definedName name="CAGR">#REF!</definedName>
    <definedName name="caixa">#REF!</definedName>
    <definedName name="caixas">{#N/A,#N/A,FALSE,"GERAL";#N/A,#N/A,FALSE,"012-96";#N/A,#N/A,FALSE,"018-96";#N/A,#N/A,FALSE,"027-96";#N/A,#N/A,FALSE,"059-96";#N/A,#N/A,FALSE,"076-96";#N/A,#N/A,FALSE,"019-97";#N/A,#N/A,FALSE,"021-97";#N/A,#N/A,FALSE,"022-97";#N/A,#N/A,FALSE,"028-97"}</definedName>
    <definedName name="Cambio">#REF!</definedName>
    <definedName name="CAMP">#REF!</definedName>
    <definedName name="CAMPOS">#REF!</definedName>
    <definedName name="çaos\ewapo" hidden="1">{#N/A,#N/A,FALSE,"Plan1";#N/A,#N/A,FALSE,"Plan2"}</definedName>
    <definedName name="Capa">#REF!</definedName>
    <definedName name="CAPA2">#REF!</definedName>
    <definedName name="CAPA55">#REF!</definedName>
    <definedName name="CAPA55A">#REF!</definedName>
    <definedName name="CAPELA">#REF!</definedName>
    <definedName name="CARLA">#REF!</definedName>
    <definedName name="CARLOS1">#REF!</definedName>
    <definedName name="CARTÃO4">#REF!</definedName>
    <definedName name="CAT6_IP">{#N/A,#N/A,FALSE,"F-01"}</definedName>
    <definedName name="categori45">#REF!</definedName>
    <definedName name="CATEGORIA1">#REF!</definedName>
    <definedName name="CATEGORIA10">#REF!</definedName>
    <definedName name="CATEGORIA11">#REF!</definedName>
    <definedName name="CATEGORIA12">#REF!</definedName>
    <definedName name="CATEGORIA13">#REF!</definedName>
    <definedName name="CATEGORIA14">#REF!</definedName>
    <definedName name="CATEGORIA15">#REF!</definedName>
    <definedName name="CATEGORIA16">#REF!</definedName>
    <definedName name="CATEGORIA17">#REF!</definedName>
    <definedName name="CATEGORIA18">#REF!</definedName>
    <definedName name="CATEGORIA19">#REF!</definedName>
    <definedName name="CATEGORIA2">#REF!</definedName>
    <definedName name="CATEGORIA20">#REF!</definedName>
    <definedName name="CATEGORIA21">#REF!</definedName>
    <definedName name="CATEGORIA22">#REF!</definedName>
    <definedName name="CATEGORIA3">#REF!</definedName>
    <definedName name="CATEGORIA4">#REF!</definedName>
    <definedName name="CATEGORIA5">#REF!</definedName>
    <definedName name="CATEGORIA6">#REF!</definedName>
    <definedName name="CATEGORIA7">#REF!</definedName>
    <definedName name="CATEGORIA8">#REF!</definedName>
    <definedName name="CATEGORIA9">#REF!</definedName>
    <definedName name="CATORZE">#REF!</definedName>
    <definedName name="CAUX2">OFFSET(#REF!,0,0,COUNTA(#REF!)+1,1)</definedName>
    <definedName name="CAUX3">OFFSET(#REF!,0,0,COUNTA(#REF!)+1,1)</definedName>
    <definedName name="CCC">#REF!</definedName>
    <definedName name="ççç">{#N/A,#N/A,FALSE,"Plan1";#N/A,#N/A,FALSE,"Plan2"}</definedName>
    <definedName name="cccc">{#N/A,#N/A,FALSE,"Plan1";#N/A,#N/A,FALSE,"Plan2"}</definedName>
    <definedName name="ççççççç">{TRUE,TRUE,-1.25,-15.5,604.5,366.75,FALSE,FALSE,TRUE,TRUE,0,1,#N/A,1,#N/A,9.0125,24.4117647058824,1,FALSE,FALSE,3,TRUE,1,FALSE,100,"Swvu.PLANILHA2.","ACwvu.PLANILHA2.",#N/A,FALSE,FALSE,0.787401575,0.34,0.46,0.5,1,"","",FALSE,FALSE,FALSE,FALSE,1,#N/A,1,1,FALSE,FALSE,#N/A,#N/A,FALSE,FALSE,FALSE,9,65532,65532,FALSE,FALSE,TRUE,TRUE,TRUE}</definedName>
    <definedName name="cccccccc">{TRUE,TRUE,-1.25,-15.5,604.5,366.75,FALSE,FALSE,TRUE,TRUE,0,1,#N/A,1,#N/A,9.0125,24.4117647058824,1,FALSE,FALSE,3,TRUE,1,FALSE,100,"Swvu.PLANILHA2.","ACwvu.PLANILHA2.",#N/A,FALSE,FALSE,0.787401575,0.34,0.46,0.5,1,"","",FALSE,FALSE,FALSE,FALSE,1,#N/A,1,1,FALSE,FALSE,#N/A,#N/A,FALSE,FALSE,FALSE,9,65532,65532,FALSE,FALSE,TRUE,TRUE,TRUE}</definedName>
    <definedName name="cccccccccccccccc">{"HW",#N/A,FALSE,"1998"}</definedName>
    <definedName name="cchart1">#REF!</definedName>
    <definedName name="cchart10">#REF!</definedName>
    <definedName name="cchart11">#REF!</definedName>
    <definedName name="cchart12">#REF!</definedName>
    <definedName name="cchart13">#REF!</definedName>
    <definedName name="cchart14">#REF!</definedName>
    <definedName name="cchart15">#REF!</definedName>
    <definedName name="cchart16">#REF!</definedName>
    <definedName name="cchart17">#REF!</definedName>
    <definedName name="cchart18">#REF!</definedName>
    <definedName name="cchart19">#REF!</definedName>
    <definedName name="cchart2">#REF!</definedName>
    <definedName name="cchart20">#REF!</definedName>
    <definedName name="cchart21">#REF!</definedName>
    <definedName name="cchart22">#REF!</definedName>
    <definedName name="cchart23">#REF!</definedName>
    <definedName name="cchart24">#REF!</definedName>
    <definedName name="cchart25">#REF!</definedName>
    <definedName name="cchart26">#REF!</definedName>
    <definedName name="cchart27">#REF!</definedName>
    <definedName name="cchart28">#REF!</definedName>
    <definedName name="cchart29">#REF!</definedName>
    <definedName name="cchart3">#REF!</definedName>
    <definedName name="cchart31">#REF!</definedName>
    <definedName name="cchart32">#REF!</definedName>
    <definedName name="cchart4">#REF!</definedName>
    <definedName name="cchart5">#REF!</definedName>
    <definedName name="cchart6">#REF!</definedName>
    <definedName name="cchart7">#REF!</definedName>
    <definedName name="cchart8">#REF!</definedName>
    <definedName name="cchart9">#REF!</definedName>
    <definedName name="çcklfjk">{TRUE,TRUE,-1.25,-15.5,604.5,366.75,FALSE,FALSE,TRUE,TRUE,0,1,#N/A,1,#N/A,9.0125,24.4117647058824,1,FALSE,FALSE,3,TRUE,1,FALSE,100,"Swvu.PLANILHA2.","ACwvu.PLANILHA2.",#N/A,FALSE,FALSE,0.787401575,0.34,0.46,0.5,1,"","",FALSE,FALSE,FALSE,FALSE,1,#N/A,1,1,FALSE,FALSE,#N/A,#N/A,FALSE,FALSE,FALSE,9,65532,65532,FALSE,FALSE,TRUE,TRUE,TRUE}</definedName>
    <definedName name="CD">#REF!</definedName>
    <definedName name="çdfmerf">{#N/A,#N/A,FALSE,"Plan1";#N/A,#N/A,FALSE,"Plan2"}</definedName>
    <definedName name="CDSGHE">{#N/A,#N/A,FALSE,"Plan1";#N/A,#N/A,FALSE,"Plan2"}</definedName>
    <definedName name="cdvthd">#REF!</definedName>
    <definedName name="Cel_Constr">#REF!</definedName>
    <definedName name="CestaExcel">#REF!</definedName>
    <definedName name="CevaG">#REF!</definedName>
    <definedName name="CevaGS">#REF!</definedName>
    <definedName name="çfhjglkjhkljyhj">{TRUE,TRUE,-1.25,-15.5,604.5,366.75,FALSE,FALSE,TRUE,TRUE,0,1,#N/A,1,#N/A,9.0125,24.4117647058824,1,FALSE,FALSE,3,TRUE,1,FALSE,100,"Swvu.PLANILHA2.","ACwvu.PLANILHA2.",#N/A,FALSE,FALSE,0.787401575,0.34,0.46,0.5,1,"","",FALSE,FALSE,FALSE,FALSE,1,#N/A,1,1,FALSE,FALSE,#N/A,#N/A,FALSE,FALSE,FALSE,9,65532,65532,FALSE,FALSE,TRUE,TRUE,TRUE}</definedName>
    <definedName name="çflçf">{#N/A,#N/A,FALSE,"Plan1";#N/A,#N/A,FALSE,"Plan2"}</definedName>
    <definedName name="CHAFQT">#REF!</definedName>
    <definedName name="Chaves">#REF!</definedName>
    <definedName name="chfch">{#N/A,#N/A,FALSE,"Plan1";#N/A,#N/A,FALSE,"Plan2"}</definedName>
    <definedName name="CI">#REF!</definedName>
    <definedName name="cidades">#REF!</definedName>
    <definedName name="CIFIXA">#REF!</definedName>
    <definedName name="CINCO">#REF!</definedName>
    <definedName name="CITOTAL">#REF!</definedName>
    <definedName name="CIVAR">#REF!</definedName>
    <definedName name="ÇJKRÇLFS">{"Econ Consolidado",#N/A,FALSE,"Econ Consol";"Fluxo de Caixa",#N/A,FALSE,"Fluxo Caixa";"Investimentos",#N/A,FALSE,"Investimentos"}</definedName>
    <definedName name="ÇJsrejtçe">{#N/A,#N/A,FALSE,"Plan1";#N/A,#N/A,FALSE,"Plan2"}</definedName>
    <definedName name="çkaçekow">{#N/A,#N/A,FALSE,"Plan1";#N/A,#N/A,FALSE,"Plan2"}</definedName>
    <definedName name="ÇKSDOEKR">{#N/A,#N/A,FALSE,"Plan1";#N/A,#N/A,FALSE,"Plan2"}</definedName>
    <definedName name="çl">{#N/A,#N/A,FALSE,"Plan1";#N/A,#N/A,FALSE,"Plan2"}</definedName>
    <definedName name="çlassde">{#N/A,#N/A,FALSE,"Plan1";#N/A,#N/A,FALSE,"Plan2"}</definedName>
    <definedName name="Classificação">#REF!</definedName>
    <definedName name="çlçlç">{#N/A,#N/A,FALSE,"Plan1";#N/A,#N/A,FALSE,"Plan2"}</definedName>
    <definedName name="çld">{#N/A,#N/A,FALSE,"Plan1";#N/A,#N/A,FALSE,"Plan2"}</definedName>
    <definedName name="çlererr">{#N/A,#N/A,FALSE,"Plan1";#N/A,#N/A,FALSE,"Plan2"}</definedName>
    <definedName name="çlertert">{#N/A,#N/A,FALSE,"Plan1";#N/A,#N/A,FALSE,"Plan2"}</definedName>
    <definedName name="çlkdflçkrlr">#REF!</definedName>
    <definedName name="çll">{#N/A,#N/A,FALSE,"Plan1";#N/A,#N/A,FALSE,"Plan2"}</definedName>
    <definedName name="CMC">{#N/A,#N/A,FALSE,"GERAL";#N/A,#N/A,FALSE,"012-96";#N/A,#N/A,FALSE,"018-96";#N/A,#N/A,FALSE,"027-96";#N/A,#N/A,FALSE,"059-96";#N/A,#N/A,FALSE,"076-96";#N/A,#N/A,FALSE,"019-97";#N/A,#N/A,FALSE,"021-97";#N/A,#N/A,FALSE,"022-97";#N/A,#N/A,FALSE,"028-97"}</definedName>
    <definedName name="COBRANÇA">#REF!</definedName>
    <definedName name="Cod_Esquadrias">#REF!</definedName>
    <definedName name="CÓDG">OFFSET(#REF!,0,0,COUNTA(#REF!),1)</definedName>
    <definedName name="codigo2">#REF!</definedName>
    <definedName name="codigo3">#REF!</definedName>
    <definedName name="CÓDT">OFFSET(#REF!,0,0,COUNTA(#REF!)+1,1)</definedName>
    <definedName name="COFINS">#REF!</definedName>
    <definedName name="cofins2">#REF!</definedName>
    <definedName name="COGS">#REF!</definedName>
    <definedName name="COLSUB">#REF!</definedName>
    <definedName name="COMISSOES">#REF!</definedName>
    <definedName name="COMPOSICAO">#REF!</definedName>
    <definedName name="composição">#REF!</definedName>
    <definedName name="COMPR">#REF!</definedName>
    <definedName name="COMPRIMENTO">#REF!</definedName>
    <definedName name="COMPROMETIDO">#REF!</definedName>
    <definedName name="CONFIRMAR">{#N/A,#N/A,TRUE,"Quinzena 01 à 15-04-98 "}</definedName>
    <definedName name="cont">{#N/A,#N/A,FALSE,"Plan1";#N/A,#N/A,FALSE,"Plan2"}</definedName>
    <definedName name="CONT1">#REF!</definedName>
    <definedName name="CONT2">#REF!</definedName>
    <definedName name="CONT3">#REF!</definedName>
    <definedName name="CONTAIT">#REF!</definedName>
    <definedName name="CONTREC">#REF!</definedName>
    <definedName name="CONTRES">#REF!</definedName>
    <definedName name="CONTROLE">#REF!</definedName>
    <definedName name="Controle_Tecnologico">{#N/A,#N/A,FALSE,"Plan1";#N/A,#N/A,FALSE,"Plan2"}</definedName>
    <definedName name="Controle_tecnologico1">#REF!</definedName>
    <definedName name="CONVERSÃO">#REF!</definedName>
    <definedName name="cpmf">#REF!</definedName>
    <definedName name="Credor_Rel_Sienge">#REF!</definedName>
    <definedName name="_xlnm.Criteria">#REF!</definedName>
    <definedName name="CRONG">#REF!</definedName>
    <definedName name="cronograma">#REF!</definedName>
    <definedName name="CRONOGRAMA_FÍSICO_FINANCEIRO">#REF!</definedName>
    <definedName name="CS">#REF!</definedName>
    <definedName name="cs_diferida">#REF!</definedName>
    <definedName name="ÇSAÇDFW">{TRUE,TRUE,-1.25,-15.5,604.5,366.75,FALSE,FALSE,TRUE,TRUE,0,1,#N/A,1,#N/A,9.0125,24.4117647058824,1,FALSE,FALSE,3,TRUE,1,FALSE,100,"Swvu.PLANILHA2.","ACwvu.PLANILHA2.",#N/A,FALSE,FALSE,0.787401575,0.34,0.46,0.5,1,"","",FALSE,FALSE,FALSE,FALSE,1,#N/A,1,1,FALSE,FALSE,#N/A,#N/A,FALSE,FALSE,FALSE,9,65532,65532,FALSE,FALSE,TRUE,TRUE,TRUE}</definedName>
    <definedName name="çsdkfçdrkt">#REF!</definedName>
    <definedName name="CSER">{TRUE,TRUE,-1.25,-15.5,604.5,366.75,FALSE,FALSE,TRUE,TRUE,0,1,#N/A,1,#N/A,9.0125,24.4117647058824,1,FALSE,FALSE,3,TRUE,1,FALSE,100,"Swvu.PLANILHA2.","ACwvu.PLANILHA2.",#N/A,FALSE,FALSE,0.787401575,0.34,0.46,0.5,1,"","",FALSE,FALSE,FALSE,FALSE,1,#N/A,1,1,FALSE,FALSE,#N/A,#N/A,FALSE,FALSE,FALSE,9,65532,65532,FALSE,FALSE,TRUE,TRUE,TRUE}</definedName>
    <definedName name="ÇSLÇDLFKD">{#N/A,#N/A,FALSE,"Plan1";#N/A,#N/A,FALSE,"Plan2"}</definedName>
    <definedName name="CTH">{#N/A,#N/A,FALSE,"GERAL";#N/A,#N/A,FALSE,"012-96";#N/A,#N/A,FALSE,"018-96";#N/A,#N/A,FALSE,"027-96";#N/A,#N/A,FALSE,"059-96";#N/A,#N/A,FALSE,"076-96";#N/A,#N/A,FALSE,"019-97";#N/A,#N/A,FALSE,"021-97";#N/A,#N/A,FALSE,"022-97";#N/A,#N/A,FALSE,"028-97"}</definedName>
    <definedName name="CUST_DIR_IND">#REF!</definedName>
    <definedName name="CUSTINDIRETO">#REF!</definedName>
    <definedName name="CUSTO_DIR_IND">#REF!</definedName>
    <definedName name="Custo_Direto_de_Obras_Civis_e_Instalações_...........................................">#REF!</definedName>
    <definedName name="Custo_Direto_em_geral">#REF!</definedName>
    <definedName name="custo_financing">#REF!</definedName>
    <definedName name="CUSTO_OUTROS">#REF!</definedName>
    <definedName name="Custo_Outros1">#REF!</definedName>
    <definedName name="CUSTODIRETO">#REF!</definedName>
    <definedName name="CUSTODIRETO_R">#REF!</definedName>
    <definedName name="CUSTODIRETO_U">#REF!</definedName>
    <definedName name="CUSTODIRETO1">#REF!</definedName>
    <definedName name="CUSTOFIN">#REF!</definedName>
    <definedName name="D">#REF!</definedName>
    <definedName name="da">#REF!</definedName>
    <definedName name="dalmo">{#N/A,#N/A,FALSE,"GERAL";#N/A,#N/A,FALSE,"012-96";#N/A,#N/A,FALSE,"018-96";#N/A,#N/A,FALSE,"027-96";#N/A,#N/A,FALSE,"059-96";#N/A,#N/A,FALSE,"076-96";#N/A,#N/A,FALSE,"019-97";#N/A,#N/A,FALSE,"021-97";#N/A,#N/A,FALSE,"022-97";#N/A,#N/A,FALSE,"028-97"}</definedName>
    <definedName name="dasfrt">{#N/A,#N/A,FALSE,"Plan1";#N/A,#N/A,FALSE,"Plan2"}</definedName>
    <definedName name="DATA">#REF!</definedName>
    <definedName name="Data_base">#REF!</definedName>
    <definedName name="data_base_VL">#REF!</definedName>
    <definedName name="DATA_COTAÇÃO">#REF!</definedName>
    <definedName name="DATA_ENTREGA">#REF!</definedName>
    <definedName name="DATA_FECHA">#REF!</definedName>
    <definedName name="Data_Inicio">#REF!</definedName>
    <definedName name="Data_Lançado_Sienge">#REF!</definedName>
    <definedName name="Data_Pagamento_Sienge">#REF!</definedName>
    <definedName name="Data_Previsão_Medição_Fin_Medição">#REF!</definedName>
    <definedName name="Data_Tendência_Recebimento_Fin_Medições">#REF!</definedName>
    <definedName name="DATA1">#REF!</definedName>
    <definedName name="DATA3">#REF!</definedName>
    <definedName name="DATA4">#REF!</definedName>
    <definedName name="DATA6">#REF!</definedName>
    <definedName name="Database">#REF!</definedName>
    <definedName name="DataChaves_MAP">#REF!</definedName>
    <definedName name="DatasOut13AteDez20">#REF!</definedName>
    <definedName name="DÇDL">{#N/A,#N/A,FALSE,"Plan1";#N/A,#N/A,FALSE,"Plan2"}</definedName>
    <definedName name="dchart26">#REF!</definedName>
    <definedName name="dchart31">#REF!</definedName>
    <definedName name="dcnsfgdjkgb">{#N/A,#N/A,FALSE,"Plan1";#N/A,#N/A,FALSE,"Plan2"}</definedName>
    <definedName name="DÇWK">{#N/A,#N/A,FALSE,"Plan1";#N/A,#N/A,FALSE,"Plan2"}</definedName>
    <definedName name="D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DD">#REF!</definedName>
    <definedName name="ddddd">{#N/A,#N/A,FALSE,"Plan1";#N/A,#N/A,FALSE,"Plan2"}</definedName>
    <definedName name="ddddddddddd">#REF!</definedName>
    <definedName name="dddddddddddddddddddddddddd">#REF!</definedName>
    <definedName name="dddddddddddddppppppppp">#REF!</definedName>
    <definedName name="dde">{#N/A,#N/A,FALSE,"Plan1";#N/A,#N/A,FALSE,"Plan2"}</definedName>
    <definedName name="ddfs">#REF!</definedName>
    <definedName name="ddgfdvgdg">{TRUE,TRUE,-1.25,-15.5,604.5,366.75,FALSE,FALSE,TRUE,TRUE,0,1,#N/A,1,#N/A,9.0125,24.4117647058824,1,FALSE,FALSE,3,TRUE,1,FALSE,100,"Swvu.PLANILHA2.","ACwvu.PLANILHA2.",#N/A,FALSE,FALSE,0.787401575,0.34,0.46,0.5,1,"","",FALSE,FALSE,FALSE,FALSE,1,#N/A,1,1,FALSE,FALSE,#N/A,#N/A,FALSE,FALSE,FALSE,9,65532,65532,FALSE,FALSE,TRUE,TRUE,TRUE}</definedName>
    <definedName name="DDGSFG">{#N/A,#N/A,FALSE,"Plan1";#N/A,#N/A,FALSE,"Plan2"}</definedName>
    <definedName name="dede">{#N/A,#N/A,FALSE,"Plan1";#N/A,#N/A,FALSE,"Plan2"}</definedName>
    <definedName name="defasagem">OFFSET(INDEX(#REF!,MATCH(#REF!,#REF!,0)),1,0,COUNTA(#REF!)-1)</definedName>
    <definedName name="depara">#REF!</definedName>
    <definedName name="DERIVQT">#REF!</definedName>
    <definedName name="des">{#N/A,#N/A,FALSE,"Plan1";#N/A,#N/A,FALSE,"Plan2"}</definedName>
    <definedName name="desc">{#N/A,#N/A,FALSE,"Plan1";#N/A,#N/A,FALSE,"Plan2"}</definedName>
    <definedName name="DESCONTO">#REF!</definedName>
    <definedName name="DESCRIÇÃO_OBRA">#REF!</definedName>
    <definedName name="DespFatur">#REF!</definedName>
    <definedName name="DEZ">#REF!</definedName>
    <definedName name="dez17RJ">#REF!</definedName>
    <definedName name="DEZEMBRO">#REF!</definedName>
    <definedName name="DEZENOVE">#REF!</definedName>
    <definedName name="DEZESSEIS">#REF!</definedName>
    <definedName name="DEZESSETE">#REF!</definedName>
    <definedName name="DEZOITO">#REF!</definedName>
    <definedName name="df">{TRUE,TRUE,-1.25,-15.5,604.5,366.75,FALSE,FALSE,TRUE,TRUE,0,1,#N/A,1,#N/A,9.0125,24.4117647058824,1,FALSE,FALSE,3,TRUE,1,FALSE,100,"Swvu.PLANILHA2.","ACwvu.PLANILHA2.",#N/A,FALSE,FALSE,0.787401575,0.34,0.46,0.5,1,"","",FALSE,FALSE,FALSE,FALSE,1,#N/A,1,1,FALSE,FALSE,#N/A,#N/A,FALSE,FALSE,FALSE,9,65532,65532,FALSE,FALSE,TRUE,TRUE,TRUE}</definedName>
    <definedName name="DFD">{#N/A,#N/A,FALSE,"명세표"}</definedName>
    <definedName name="dfdftyr">{TRUE,TRUE,-1.25,-15.5,604.5,366.75,FALSE,FALSE,TRUE,TRUE,0,1,#N/A,1,#N/A,9.0125,24.4117647058824,1,FALSE,FALSE,3,TRUE,1,FALSE,100,"Swvu.PLANILHA2.","ACwvu.PLANILHA2.",#N/A,FALSE,FALSE,0.787401575,0.34,0.46,0.5,1,"","",FALSE,FALSE,FALSE,FALSE,1,#N/A,1,1,FALSE,FALSE,#N/A,#N/A,FALSE,FALSE,FALSE,9,65532,65532,FALSE,FALSE,TRUE,TRUE,TRUE}</definedName>
    <definedName name="dfdjgfdfgdf">{#N/A,#N/A,FALSE,"Plan1";#N/A,#N/A,FALSE,"Plan2"}</definedName>
    <definedName name="dfdrtrr">{#N/A,#N/A,FALSE,"Plan1";#N/A,#N/A,FALSE,"Plan2"}</definedName>
    <definedName name="DFDSG">{#N/A,#N/A,FALSE,"Plan1";#N/A,#N/A,FALSE,"Plan2"}</definedName>
    <definedName name="dfer">{#N/A,#N/A,FALSE,"Plan1";#N/A,#N/A,FALSE,"Plan2"}</definedName>
    <definedName name="dffbty">{#N/A,#N/A,FALSE,"Plan1";#N/A,#N/A,FALSE,"Plan2"}</definedName>
    <definedName name="dffgk">{TRUE,TRUE,-1.25,-15.5,604.5,366.75,FALSE,FALSE,TRUE,TRUE,0,1,#N/A,1,#N/A,9.0125,24.4117647058824,1,FALSE,FALSE,3,TRUE,1,FALSE,100,"Swvu.PLANILHA2.","ACwvu.PLANILHA2.",#N/A,FALSE,FALSE,0.787401575,0.34,0.46,0.5,1,"","",FALSE,FALSE,FALSE,FALSE,1,#N/A,1,1,FALSE,FALSE,#N/A,#N/A,FALSE,FALSE,FALSE,9,65532,65532,FALSE,FALSE,TRUE,TRUE,TRUE}</definedName>
    <definedName name="dffhg">{#N/A,#N/A,FALSE,"Plan1";#N/A,#N/A,FALSE,"Plan2"}</definedName>
    <definedName name="dfg">{#N/A,#N/A,FALSE,"Plan1";#N/A,#N/A,FALSE,"Plan2"}</definedName>
    <definedName name="dfgdf">{#N/A,#N/A,FALSE,"Plan1";#N/A,#N/A,FALSE,"Plan2"}</definedName>
    <definedName name="dfgdytygr">{#N/A,#N/A,FALSE,"Plan1";#N/A,#N/A,FALSE,"Plan2"}</definedName>
    <definedName name="dfgftrrdt5">{#N/A,#N/A,FALSE,"Plan1";#N/A,#N/A,FALSE,"Plan2"}</definedName>
    <definedName name="dfgh">#REF!</definedName>
    <definedName name="dfghjfhsg">{#N/A,#N/A,FALSE,"Plan1";#N/A,#N/A,FALSE,"Plan2"}</definedName>
    <definedName name="dfgj">{#N/A,#N/A,FALSE,"Plan1";#N/A,#N/A,FALSE,"Plan2"}</definedName>
    <definedName name="dfgjfttyd">{#N/A,#N/A,FALSE,"Plan1";#N/A,#N/A,FALSE,"Plan2"}</definedName>
    <definedName name="dfgjjtdrtg">{#N/A,#N/A,FALSE,"Plan1";#N/A,#N/A,FALSE,"Plan2"}</definedName>
    <definedName name="dfgt">{#N/A,#N/A,FALSE,"Plan1";#N/A,#N/A,FALSE,"Plan2"}</definedName>
    <definedName name="dfgtrkjhk">{#N/A,#N/A,FALSE,"Plan1";#N/A,#N/A,FALSE,"Plan2"}</definedName>
    <definedName name="dfgty">{#N/A,#N/A,FALSE,"Plan1";#N/A,#N/A,FALSE,"Plan2"}</definedName>
    <definedName name="dfhdgfdgf">{#N/A,#N/A,FALSE,"Plan1";#N/A,#N/A,FALSE,"Plan2"}</definedName>
    <definedName name="DFHDJGJFHJGF">{#N/A,#N/A,FALSE,"Plan1";#N/A,#N/A,FALSE,"Plan2"}</definedName>
    <definedName name="dfhdyg">{#N/A,#N/A,FALSE,"Plan1";#N/A,#N/A,FALSE,"Plan2"}</definedName>
    <definedName name="DFHGDHUR">{#N/A,#N/A,FALSE,"Plan1";#N/A,#N/A,FALSE,"Plan2"}</definedName>
    <definedName name="dfhgjfgdhfjdrf">{#N/A,#N/A,FALSE,"Plan1";#N/A,#N/A,FALSE,"Plan2"}</definedName>
    <definedName name="dfhgkhfut">{#N/A,#N/A,FALSE,"Plan1";#N/A,#N/A,FALSE,"Plan2"}</definedName>
    <definedName name="dfhgkjdhkjghjd">#REF!</definedName>
    <definedName name="dfhguitrhfg">{#N/A,#N/A,FALSE,"Plan1";#N/A,#N/A,FALSE,"Plan2"}</definedName>
    <definedName name="DFHKHDGKJHDKS">{#N/A,#N/A,FALSE,"Plan1";#N/A,#N/A,FALSE,"Plan2"}</definedName>
    <definedName name="dfijvnqienvvnjv">#REF!</definedName>
    <definedName name="dfjgjfhykjt">{TRUE,TRUE,-1.25,-15.5,604.5,366.75,FALSE,FALSE,TRUE,TRUE,0,1,#N/A,1,#N/A,9.0125,24.4117647058824,1,FALSE,FALSE,3,TRUE,1,FALSE,100,"Swvu.PLANILHA2.","ACwvu.PLANILHA2.",#N/A,FALSE,FALSE,0.787401575,0.34,0.46,0.5,1,"","",FALSE,FALSE,FALSE,FALSE,1,#N/A,1,1,FALSE,FALSE,#N/A,#N/A,FALSE,FALSE,FALSE,9,65532,65532,FALSE,FALSE,TRUE,TRUE,TRUE}</definedName>
    <definedName name="dfjkgtdftr">{#N/A,#N/A,FALSE,"Plan1";#N/A,#N/A,FALSE,"Plan2"}</definedName>
    <definedName name="dfkhgfgf">{TRUE,TRUE,-1.25,-15.5,604.5,366.75,FALSE,FALSE,TRUE,TRUE,0,1,#N/A,1,#N/A,9.0125,24.4117647058824,1,FALSE,FALSE,3,TRUE,1,FALSE,100,"Swvu.PLANILHA2.","ACwvu.PLANILHA2.",#N/A,FALSE,FALSE,0.787401575,0.34,0.46,0.5,1,"","",FALSE,FALSE,FALSE,FALSE,1,#N/A,1,1,FALSE,FALSE,#N/A,#N/A,FALSE,FALSE,FALSE,9,65532,65532,FALSE,FALSE,TRUE,TRUE,TRUE}</definedName>
    <definedName name="dfkj">{TRUE,TRUE,-1.25,-15.5,604.5,366.75,FALSE,FALSE,TRUE,TRUE,0,1,#N/A,1,#N/A,9.0125,24.4117647058824,1,FALSE,FALSE,3,TRUE,1,FALSE,100,"Swvu.PLANILHA2.","ACwvu.PLANILHA2.",#N/A,FALSE,FALSE,0.787401575,0.34,0.46,0.5,1,"","",FALSE,FALSE,FALSE,FALSE,1,#N/A,1,1,FALSE,FALSE,#N/A,#N/A,FALSE,FALSE,FALSE,9,65532,65532,FALSE,FALSE,TRUE,TRUE,TRUE}</definedName>
    <definedName name="dfknfhkdrj">{#N/A,#N/A,FALSE,"Plan1";#N/A,#N/A,FALSE,"Plan2"}</definedName>
    <definedName name="dfnert">{#N/A,#N/A,FALSE,"Plan1";#N/A,#N/A,FALSE,"Plan2"}</definedName>
    <definedName name="dfrt">{#N/A,#N/A,FALSE,"Plan1";#N/A,#N/A,FALSE,"Plan2"}</definedName>
    <definedName name="dfsdr5tt">{#N/A,#N/A,FALSE,"Plan1";#N/A,#N/A,FALSE,"Plan2"}</definedName>
    <definedName name="dfsds">#REF!</definedName>
    <definedName name="dfsdt">{TRUE,TRUE,-1.25,-15.5,604.5,366.75,FALSE,FALSE,TRUE,TRUE,0,1,#N/A,1,#N/A,9.0125,24.4117647058824,1,FALSE,FALSE,3,TRUE,1,FALSE,100,"Swvu.PLANILHA2.","ACwvu.PLANILHA2.",#N/A,FALSE,FALSE,0.787401575,0.34,0.46,0.5,1,"","",FALSE,FALSE,FALSE,FALSE,1,#N/A,1,1,FALSE,FALSE,#N/A,#N/A,FALSE,FALSE,FALSE,9,65532,65532,FALSE,FALSE,TRUE,TRUE,TRUE}</definedName>
    <definedName name="dfsdtr">{#N/A,#N/A,FALSE,"Plan1";#N/A,#N/A,FALSE,"Plan2"}</definedName>
    <definedName name="dfsf">{#N/A,#N/A,FALSE,"Plan1";#N/A,#N/A,FALSE,"Plan2"}</definedName>
    <definedName name="DFT">{#N/A,#N/A,FALSE,"Plan1";#N/A,#N/A,FALSE,"Plan2"}</definedName>
    <definedName name="DFTRTTY">{#N/A,#N/A,FALSE,"Plan1";#N/A,#N/A,FALSE,"Plan2"}</definedName>
    <definedName name="dfurghifdjyhits">{#N/A,#N/A,FALSE,"Plan1";#N/A,#N/A,FALSE,"Plan2"}</definedName>
    <definedName name="dfxgdrged">{#N/A,#N/A,FALSE,"Plan1";#N/A,#N/A,FALSE,"Plan2"}</definedName>
    <definedName name="dgfrtyt">{#N/A,#N/A,FALSE,"Plan1";#N/A,#N/A,FALSE,"Plan2"}</definedName>
    <definedName name="dggfdg">{#N/A,#N/A,FALSE,"Plan1";#N/A,#N/A,FALSE,"Plan2"}</definedName>
    <definedName name="dgldfhgkljslh">{#N/A,#N/A,FALSE,"Plan1";#N/A,#N/A,FALSE,"Plan2"}</definedName>
    <definedName name="dhfgdhrehrwe">{#N/A,#N/A,FALSE,"Plan1";#N/A,#N/A,FALSE,"Plan2"}</definedName>
    <definedName name="dhgfdgrfgdfgd">{#N/A,#N/A,FALSE,"Plan1";#N/A,#N/A,FALSE,"Plan2"}</definedName>
    <definedName name="dhkjfhdhfjdh">{#N/A,#N/A,FALSE,"Plan1";#N/A,#N/A,FALSE,"Plan2"}</definedName>
    <definedName name="DHTJRT">{#N/A,#N/A,FALSE,"Plan1";#N/A,#N/A,FALSE,"Plan2"}</definedName>
    <definedName name="DI">#REF!</definedName>
    <definedName name="dia3estac">#REF!</definedName>
    <definedName name="diaestaca">#REF!</definedName>
    <definedName name="diambase">#REF!</definedName>
    <definedName name="DIFQT">#REF!</definedName>
    <definedName name="dijghdhks">{#N/A,#N/A,FALSE,"Plan1";#N/A,#N/A,FALSE,"Plan2"}</definedName>
    <definedName name="DIMENSÕES">#REF!</definedName>
    <definedName name="DIR_OPER">#REF!</definedName>
    <definedName name="DIR_TECNICO">#REF!</definedName>
    <definedName name="direto">#REF!</definedName>
    <definedName name="DIRETORIA">#REF!</definedName>
    <definedName name="diretorias">#REF!</definedName>
    <definedName name="Discrim">#REF!</definedName>
    <definedName name="DISCRIMINAÇÃO">#REF!</definedName>
    <definedName name="Discriminação_Controladoria">#REF!</definedName>
    <definedName name="DistCidade">#REF!</definedName>
    <definedName name="distratos">#REF!</definedName>
    <definedName name="div">#REF!</definedName>
    <definedName name="djasdrjas">{#N/A,#N/A,FALSE,"Plan1";#N/A,#N/A,FALSE,"Plan2"}</definedName>
    <definedName name="djf">{TRUE,TRUE,-1.25,-15.5,604.5,366.75,FALSE,FALSE,TRUE,TRUE,0,1,#N/A,1,#N/A,9.0125,24.4117647058824,1,FALSE,FALSE,3,TRUE,1,FALSE,100,"Swvu.PLANILHA2.","ACwvu.PLANILHA2.",#N/A,FALSE,FALSE,0.787401575,0.34,0.46,0.5,1,"","",FALSE,FALSE,FALSE,FALSE,1,#N/A,1,1,FALSE,FALSE,#N/A,#N/A,FALSE,FALSE,FALSE,9,65532,65532,FALSE,FALSE,TRUE,TRUE,TRUE}</definedName>
    <definedName name="djfkhjhfgrgdfh">{#N/A,#N/A,FALSE,"Plan1";#N/A,#N/A,FALSE,"Plan2"}</definedName>
    <definedName name="djfkhsdkjhf">{#N/A,#N/A,FALSE,"Plan1";#N/A,#N/A,FALSE,"Plan2"}</definedName>
    <definedName name="djfldjsgljslkjtg">{#N/A,#N/A,FALSE,"Plan1";#N/A,#N/A,FALSE,"Plan2"}</definedName>
    <definedName name="djflkdjgdth">{#N/A,#N/A,FALSE,"Plan1";#N/A,#N/A,FALSE,"Plan2"}</definedName>
    <definedName name="DJFLKDJGKTJYJT">{#N/A,#N/A,FALSE,"Plan1";#N/A,#N/A,FALSE,"Plan2"}</definedName>
    <definedName name="djgkfjgtiyty">{#N/A,#N/A,FALSE,"Plan1";#N/A,#N/A,FALSE,"Plan2"}</definedName>
    <definedName name="djrkehrjfhng">{#N/A,#N/A,FALSE,"Plan1";#N/A,#N/A,FALSE,"Plan2"}</definedName>
    <definedName name="djswfr">#REF!</definedName>
    <definedName name="djtkjldfr">{#N/A,#N/A,FALSE,"Plan1";#N/A,#N/A,FALSE,"Plan2"}</definedName>
    <definedName name="DJXDLFGDFG">{#N/A,#N/A,FALSE,"Plan1";#N/A,#N/A,FALSE,"Plan2"}</definedName>
    <definedName name="dkdkdkdkd">{#N/A,#N/A,FALSE,"명세표"}</definedName>
    <definedName name="dkfhskgf">{#N/A,#N/A,FALSE,"Plan1";#N/A,#N/A,FALSE,"Plan2"}</definedName>
    <definedName name="dkjfk">{#N/A,#N/A,FALSE,"Plan1";#N/A,#N/A,FALSE,"Plan2"}</definedName>
    <definedName name="DKLD">{#N/A,#N/A,FALSE,"Plan1";#N/A,#N/A,FALSE,"Plan2"}</definedName>
    <definedName name="DKLFJDKFD">{#N/A,#N/A,FALSE,"Plan1";#N/A,#N/A,FALSE,"Plan2"}</definedName>
    <definedName name="dklfjgirtgid">{#N/A,#N/A,FALSE,"Plan1";#N/A,#N/A,FALSE,"Plan2"}</definedName>
    <definedName name="dklfm">{TRUE,TRUE,-1.25,-15.5,604.5,366.75,FALSE,FALSE,TRUE,TRUE,0,1,#N/A,1,#N/A,9.0125,24.4117647058824,1,FALSE,FALSE,3,TRUE,1,FALSE,100,"Swvu.PLANILHA2.","ACwvu.PLANILHA2.",#N/A,FALSE,FALSE,0.787401575,0.34,0.46,0.5,1,"","",FALSE,FALSE,FALSE,FALSE,1,#N/A,1,1,FALSE,FALSE,#N/A,#N/A,FALSE,FALSE,FALSE,9,65532,65532,FALSE,FALSE,TRUE,TRUE,TRUE}</definedName>
    <definedName name="dmbfmndbmtrhed">{#N/A,#N/A,FALSE,"Plan1";#N/A,#N/A,FALSE,"Plan2"}</definedName>
    <definedName name="DNFJKDHTKRE">{#N/A,#N/A,FALSE,"Plan1";#N/A,#N/A,FALSE,"Plan2"}</definedName>
    <definedName name="dng">{#N/A,#N/A,FALSE,"GERAL";#N/A,#N/A,FALSE,"012-96";#N/A,#N/A,FALSE,"018-96";#N/A,#N/A,FALSE,"027-96";#N/A,#N/A,FALSE,"059-96";#N/A,#N/A,FALSE,"076-96";#N/A,#N/A,FALSE,"019-97";#N/A,#N/A,FALSE,"021-97";#N/A,#N/A,FALSE,"022-97";#N/A,#N/A,FALSE,"028-97"}</definedName>
    <definedName name="DOCUMENT">#REF!</definedName>
    <definedName name="DOIS">#REF!</definedName>
    <definedName name="dolar">#REF!</definedName>
    <definedName name="dolar_dez">#REF!</definedName>
    <definedName name="dolar_nov">#REF!</definedName>
    <definedName name="dolar_out">#REF!</definedName>
    <definedName name="dolar2">#REF!</definedName>
    <definedName name="dolarabr">#REF!</definedName>
    <definedName name="dolarabr02">#REF!</definedName>
    <definedName name="DolarAgo">#REF!</definedName>
    <definedName name="dolarago02">#REF!</definedName>
    <definedName name="dolardez">#REF!</definedName>
    <definedName name="dolarfev">#REF!</definedName>
    <definedName name="dolarfev02">#REF!</definedName>
    <definedName name="dolarfimdez">#REF!</definedName>
    <definedName name="dolarFimJun">#REF!</definedName>
    <definedName name="dolarfindez">#REF!</definedName>
    <definedName name="dolarfinmar">#REF!</definedName>
    <definedName name="DolarFinSet">#REF!</definedName>
    <definedName name="dolarjan">#REF!</definedName>
    <definedName name="dolarjan02">#REF!</definedName>
    <definedName name="DolarJul">#REF!</definedName>
    <definedName name="dolarjul02">#REF!</definedName>
    <definedName name="dolarjun">#REF!</definedName>
    <definedName name="dolarjun02">#REF!</definedName>
    <definedName name="dolarmai">#REF!</definedName>
    <definedName name="dolarmai02">#REF!</definedName>
    <definedName name="dolarmar">#REF!</definedName>
    <definedName name="dolarmar02">#REF!</definedName>
    <definedName name="dolarnov">#REF!</definedName>
    <definedName name="dolarout">#REF!</definedName>
    <definedName name="DolarSet">#REF!</definedName>
    <definedName name="dolarset02">#REF!</definedName>
    <definedName name="DOZE">#REF!</definedName>
    <definedName name="DRE">#REF!</definedName>
    <definedName name="drewr">{#N/A,#N/A,FALSE,"Plan1";#N/A,#N/A,FALSE,"Plan2"}</definedName>
    <definedName name="DRRJR">{#N/A,#N/A,FALSE,"Plan1";#N/A,#N/A,FALSE,"Plan2"}</definedName>
    <definedName name="drtr">#REF!</definedName>
    <definedName name="drtrt">{"'Estimativa de Lançamento-JAN'!$A$1:$AI$85"}</definedName>
    <definedName name="dsdrf">{#N/A,#N/A,FALSE,"Plan1";#N/A,#N/A,FALSE,"Plan2"}</definedName>
    <definedName name="dsfdf">{#N/A,#N/A,FALSE,"Plan1";#N/A,#N/A,FALSE,"Plan2"}</definedName>
    <definedName name="dsfg">{#N/A,#N/A,FALSE,"Plan1";#N/A,#N/A,FALSE,"Plan2"}</definedName>
    <definedName name="DSFKDSKH">{#N/A,#N/A,FALSE,"Plan1";#N/A,#N/A,FALSE,"Plan2"}</definedName>
    <definedName name="DSFRT">{TRUE,TRUE,-1.25,-15.5,604.5,366.75,FALSE,FALSE,TRUE,TRUE,0,1,#N/A,1,#N/A,9.0125,24.4117647058824,1,FALSE,FALSE,3,TRUE,1,FALSE,100,"Swvu.PLANILHA2.","ACwvu.PLANILHA2.",#N/A,FALSE,FALSE,0.787401575,0.34,0.46,0.5,1,"","",FALSE,FALSE,FALSE,FALSE,1,#N/A,1,1,FALSE,FALSE,#N/A,#N/A,FALSE,FALSE,FALSE,9,65532,65532,FALSE,FALSE,TRUE,TRUE,TRUE}</definedName>
    <definedName name="dsfrtyy">{#N/A,#N/A,FALSE,"Plan1";#N/A,#N/A,FALSE,"Plan2"}</definedName>
    <definedName name="DSFSAD">{#N/A,#N/A,FALSE,"Plan1";#N/A,#N/A,FALSE,"Plan2"}</definedName>
    <definedName name="dsfsdf">{#N/A,#N/A,FALSE,"Plan1";#N/A,#N/A,FALSE,"Plan2"}</definedName>
    <definedName name="dsfsdgfb">{#N/A,#N/A,FALSE,"Plan1";#N/A,#N/A,FALSE,"Plan2"}</definedName>
    <definedName name="dsgfr">{#N/A,#N/A,FALSE,"Plan1";#N/A,#N/A,FALSE,"Plan2"}</definedName>
    <definedName name="dshfkhkrhesru">{#N/A,#N/A,FALSE,"Plan1";#N/A,#N/A,FALSE,"Plan2"}</definedName>
    <definedName name="dsjkthkr">{#N/A,#N/A,FALSE,"Plan1";#N/A,#N/A,FALSE,"Plan2"}</definedName>
    <definedName name="dskfdhksdfh">4</definedName>
    <definedName name="DSLFJSLFJ">{#N/A,#N/A,FALSE,"Plan1";#N/A,#N/A,FALSE,"Plan2"}</definedName>
    <definedName name="dslfkf">4</definedName>
    <definedName name="dsrffg">{TRUE,TRUE,-1.25,-15.5,604.5,366.75,FALSE,FALSE,TRUE,TRUE,0,1,#N/A,1,#N/A,9.0125,24.4117647058824,1,FALSE,FALSE,3,TRUE,1,FALSE,100,"Swvu.PLANILHA2.","ACwvu.PLANILHA2.",#N/A,FALSE,FALSE,0.787401575,0.34,0.46,0.5,1,"","",FALSE,FALSE,FALSE,FALSE,1,#N/A,1,1,FALSE,FALSE,#N/A,#N/A,FALSE,FALSE,FALSE,9,65532,65532,FALSE,FALSE,TRUE,TRUE,TRUE}</definedName>
    <definedName name="dsrgdergdrg">{#N/A,#N/A,FALSE,"GERAL";#N/A,#N/A,FALSE,"012-96";#N/A,#N/A,FALSE,"018-96";#N/A,#N/A,FALSE,"027-96";#N/A,#N/A,FALSE,"059-96";#N/A,#N/A,FALSE,"076-96";#N/A,#N/A,FALSE,"019-97";#N/A,#N/A,FALSE,"021-97";#N/A,#N/A,FALSE,"022-97";#N/A,#N/A,FALSE,"028-97"}</definedName>
    <definedName name="dss">{#N/A,#N/A,FALSE,"Plan1";#N/A,#N/A,FALSE,"Plan2"}</definedName>
    <definedName name="dtgsrytt">{#N/A,#N/A,FALSE,"Plan1";#N/A,#N/A,FALSE,"Plan2"}</definedName>
    <definedName name="dtrjkhtrgkfh">{#N/A,#N/A,FALSE,"Plan1";#N/A,#N/A,FALSE,"Plan2"}</definedName>
    <definedName name="dttjuk">{#N/A,#N/A,FALSE,"Plan1";#N/A,#N/A,FALSE,"Plan2"}</definedName>
    <definedName name="dvtry">{TRUE,TRUE,-1.25,-15.5,604.5,366.75,FALSE,FALSE,TRUE,TRUE,0,1,#N/A,1,#N/A,9.0125,24.4117647058824,1,FALSE,FALSE,3,TRUE,1,FALSE,100,"Swvu.PLANILHA2.","ACwvu.PLANILHA2.",#N/A,FALSE,FALSE,0.787401575,0.34,0.46,0.5,1,"","",FALSE,FALSE,FALSE,FALSE,1,#N/A,1,1,FALSE,FALSE,#N/A,#N/A,FALSE,FALSE,FALSE,9,65532,65532,FALSE,FALSE,TRUE,TRUE,TRUE}</definedName>
    <definedName name="dwetrt">{#N/A,#N/A,FALSE,"Plan1";#N/A,#N/A,FALSE,"Plan2"}</definedName>
    <definedName name="dwqhdjwqgdwq">#REF!</definedName>
    <definedName name="DY">{#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DYHYGJDHZKGF">{#N/A,#N/A,FALSE,"Plan1";#N/A,#N/A,FALSE,"Plan2"}</definedName>
    <definedName name="dzdfr">{#N/A,#N/A,FALSE,"Plan1";#N/A,#N/A,FALSE,"Plan2"}</definedName>
    <definedName name="e">{TRUE,TRUE,-1.25,-15.5,604.5,366.75,FALSE,FALSE,TRUE,TRUE,0,1,#N/A,1,#N/A,9.0125,24.4117647058824,1,FALSE,FALSE,3,TRUE,1,FALSE,100,"Swvu.PLANILHA2.","ACwvu.PLANILHA2.",#N/A,FALSE,FALSE,0.787401575,0.34,0.46,0.5,1,"","",FALSE,FALSE,FALSE,FALSE,1,#N/A,1,1,FALSE,FALSE,#N/A,#N/A,FALSE,FALSE,FALSE,9,65532,65532,FALSE,FALSE,TRUE,TRUE,TRUE}</definedName>
    <definedName name="ea">#REF!</definedName>
    <definedName name="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EW">{#N/A,#N/A,FALSE,"F-01"}</definedName>
    <definedName name="ECEW_1">{#N/A,#N/A,FALSE,"F-01"}</definedName>
    <definedName name="echart31">#REF!</definedName>
    <definedName name="EcoPark">#REF!</definedName>
    <definedName name="EC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E">{#N/A,#N/A,FALSE,"Plan1";#N/A,#N/A,FALSE,"Plan2"}</definedName>
    <definedName name="ee">#REF!</definedName>
    <definedName name="eee">{#N/A,#N/A,FALSE,"ET-CAPA";#N/A,#N/A,FALSE,"ET-PAG1";#N/A,#N/A,FALSE,"ET-PAG2";#N/A,#N/A,FALSE,"ET-PAG3";#N/A,#N/A,FALSE,"ET-PAG4";#N/A,#N/A,FALSE,"ET-PAG5"}</definedName>
    <definedName name="EF">#REF!</definedName>
    <definedName name="efestfr">{#N/A,#N/A,FALSE,"Plan1";#N/A,#N/A,FALSE,"Plan2"}</definedName>
    <definedName name="EFICIÊNCIA">#REF!</definedName>
    <definedName name="Eficiência1">#REF!</definedName>
    <definedName name="efrdrt">{#N/A,#N/A,FALSE,"Plan1";#N/A,#N/A,FALSE,"Plan2"}</definedName>
    <definedName name="efrg">{#N/A,#N/A,FALSE,"Plan1";#N/A,#N/A,FALSE,"Plan2"}</definedName>
    <definedName name="efsgfr">{#N/A,#N/A,FALSE,"Plan1";#N/A,#N/A,FALSE,"Plan2"}</definedName>
    <definedName name="eixo_x_fluxo_graf1">IFERROR(OFFSET(INDEX(#REF!,MATCH((INDEX(#REF!,MATCH(1,#REF!,0))),#REF!,0)),0,0,1,COUNTIF(#REF!,"&gt;=0")+COUNTIF(#REF!,"&lt;0")),0)</definedName>
    <definedName name="eixo_x_graf2">IFERROR(OFFSET(INDEX(#REF!,MATCH((INDEX(#REF!,MATCH(1,#REF!,0))),#REF!,0)),0,0,1,COUNTIF(#REF!,"&gt;=0")+COUNTIF(#REF!,"&lt;0")),0)</definedName>
    <definedName name="eixo_x_graf3_distratos">#REF!</definedName>
    <definedName name="eixo_x_graf3_vendas">#REF!</definedName>
    <definedName name="eixo_y_cury_graf2">IFERROR(OFFSET(INDEX(#REF!,MATCH((INDEX(#REF!,MATCH(1,#REF!,0))),#REF!,0)),0,0,1,COUNTIF(#REF!,"&gt;=0")+COUNTIF(#REF!,"&lt;0")),0)</definedName>
    <definedName name="eixo_y_fluxo_graf1">IFERROR(IF(#REF!="Nominal", OFFSET(INDEX(#REF!,MATCH((INDEX(#REF!,MATCH(1,#REF!,0))),#REF!,0)),0,0,1,COUNTIF(#REF!,"&gt;=0")+COUNTIF(#REF!,"&lt;0")), OFFSET(INDEX(#REF!,MATCH((INDEX(#REF!,MATCH(1,#REF!,0))),#REF!,0)),0,0,1,COUNTIF(#REF!,"&gt;=0")+COUNTIF(#REF!,"&lt;0"))),0)</definedName>
    <definedName name="eixo_y_forecast_graf1">IFERROR(IF(#REF!="Nominal", OFFSET(INDEX(#REF!,MATCH((INDEX(#REF!,MATCH(1,#REF!,0))),#REF!,0)),0,0,1,COUNTIF(#REF!,"&gt;=0")+COUNTIF(#REF!,"&lt;0")), OFFSET(INDEX(#REF!,MATCH((INDEX(#REF!,MATCH(1,#REF!,0))),#REF!,0)),0,0,1,COUNTIF(#REF!,"&gt;=0")+COUNTIF(#REF!,"&lt;0"))),0)</definedName>
    <definedName name="eixo_y_graf1_obrareal">IFERROR(IF(#REF!="Nominal", OFFSET(INDEX(#REF!,MATCH((INDEX(#REF!,MATCH(1,#REF!,0))),#REF!,0)),0,0,1,COUNTIF(#REF!,"&gt;=0")+COUNTIF(#REF!,"&lt;0")), OFFSET(INDEX(#REF!,MATCH((INDEX(#REF!,MATCH(1,#REF!,0))),#REF!,0)),0,0,1,COUNTIF(#REF!,"&gt;=0")+COUNTIF(#REF!,"&lt;0"))),0)</definedName>
    <definedName name="eixo_y_graf1_obraVL">IFERROR(IF(#REF!="Nominal", OFFSET(INDEX(#REF!,MATCH((INDEX(#REF!,MATCH(1,#REF!,0))),#REF!,0)),0,0,1,COUNTIF(#REF!,"&gt;=0")+COUNTIF(#REF!,"&lt;0")), OFFSET(INDEX(#REF!,MATCH((INDEX(#REF!,MATCH(1,#REF!,0))),#REF!,0)),0,0,1,COUNTIF(#REF!,"&gt;=0")+COUNTIF(#REF!,"&lt;0"))),0)</definedName>
    <definedName name="eixo_y_graf3">#REF!</definedName>
    <definedName name="eixo_y_socio_graf2">IFERROR(OFFSET(INDEX(#REF!,MATCH((INDEX(#REF!,MATCH(1,#REF!,0))),#REF!,0)),0,0,1,COUNTIF(#REF!,"&gt;=0")+COUNTIF(#REF!,"&lt;0")),0)</definedName>
    <definedName name="eixo_y_viab_graf1">IFERROR(IF(#REF!="Nominal", OFFSET(INDEX(#REF!,MATCH((INDEX(#REF!,MATCH(1,#REF!,0))),#REF!,0)),0,0,1,COUNTIF(#REF!,"&gt;=0")+COUNTIF(#REF!,"&lt;0")), OFFSET(INDEX(#REF!,MATCH((INDEX(#REF!,MATCH(1,#REF!,0))),#REF!,0)),0,0,1,COUNTIF(#REF!,"&gt;=0")+COUNTIF(#REF!,"&lt;0"))),0)</definedName>
    <definedName name="EM">#REF!</definedName>
    <definedName name="Empreend">#REF!</definedName>
    <definedName name="Empreendimentos">#REF!</definedName>
    <definedName name="empresas">#REF!</definedName>
    <definedName name="encanador">#REF!</definedName>
    <definedName name="EPI">#REF!</definedName>
    <definedName name="EQUIP">#REF!</definedName>
    <definedName name="equipamento">#REF!</definedName>
    <definedName name="ER">{#N/A,#N/A,FALSE,"GERAL";#N/A,#N/A,FALSE,"012-96";#N/A,#N/A,FALSE,"018-96";#N/A,#N/A,FALSE,"027-96";#N/A,#N/A,FALSE,"059-96";#N/A,#N/A,FALSE,"076-96";#N/A,#N/A,FALSE,"019-97";#N/A,#N/A,FALSE,"021-97";#N/A,#N/A,FALSE,"022-97";#N/A,#N/A,FALSE,"028-97"}</definedName>
    <definedName name="ergerger">{TRUE,TRUE,-1.25,-15.5,604.5,366.75,FALSE,FALSE,TRUE,TRUE,0,1,#N/A,1,#N/A,9.0125,24.4117647058824,1,FALSE,FALSE,3,TRUE,1,FALSE,100,"Swvu.PLANILHA2.","ACwvu.PLANILHA2.",#N/A,FALSE,FALSE,0.787401575,0.34,0.46,0.5,1,"","",FALSE,FALSE,FALSE,FALSE,1,#N/A,1,1,FALSE,FALSE,#N/A,#N/A,FALSE,FALSE,FALSE,9,65532,65532,FALSE,FALSE,TRUE,TRUE,TRUE}</definedName>
    <definedName name="ergfhyu">{#N/A,#N/A,FALSE,"Plan1";#N/A,#N/A,FALSE,"Plan2"}</definedName>
    <definedName name="erne_cdi">#REF!</definedName>
    <definedName name="erne_hist">#REF!</definedName>
    <definedName name="erne_uss">#REF!</definedName>
    <definedName name="erte">#REF!</definedName>
    <definedName name="ESGFDSFD">{#N/A,#N/A,FALSE,"Plan1";#N/A,#N/A,FALSE,"Plan2"}</definedName>
    <definedName name="esp">#REF!</definedName>
    <definedName name="ESPESSURA">#REF!</definedName>
    <definedName name="estaca">#REF!</definedName>
    <definedName name="estaca3">#REF!</definedName>
    <definedName name="ESTADO">#REF!</definedName>
    <definedName name="estados">#REF!</definedName>
    <definedName name="estagiário">#REF!</definedName>
    <definedName name="ESTOQUE">#REF!</definedName>
    <definedName name="Etq_final">#REF!</definedName>
    <definedName name="EU">{#N/A,#N/A,FALSE,"Plan1";#N/A,#N/A,FALSE,"Plan2"}</definedName>
    <definedName name="EV__LASTREFTIME__">39965.7223611111</definedName>
    <definedName name="EVL">{"Econ Consolidado",#N/A,FALSE,"Econ Consol";"Fluxo de Caixa",#N/A,FALSE,"Fluxo Caixa";"Investimentos",#N/A,FALSE,"Investimentos"}</definedName>
    <definedName name="Evol.">{"Econ Consolidado",#N/A,FALSE,"Econ Consol";"Fluxo de Caixa",#N/A,FALSE,"Fluxo Caixa";"Investimentos",#N/A,FALSE,"Investimentos"}</definedName>
    <definedName name="ewfr">{#N/A,#N/A,FALSE,"Plan1";#N/A,#N/A,FALSE,"Plan2"}</definedName>
    <definedName name="exce_cdi">#REF!</definedName>
    <definedName name="exce_hist">#REF!</definedName>
    <definedName name="exce_uss">#REF!</definedName>
    <definedName name="Excel_BuiltIn__FilterDatabase_1">#REF!</definedName>
    <definedName name="Excel_BuiltIn__FilterDatabase_1_1">#REF!</definedName>
    <definedName name="Excel_BuiltIn__FilterDatabase_6">#REF!</definedName>
    <definedName name="Excel_BuiltIn_Print_Area_0">#REF!</definedName>
    <definedName name="Excel_BuiltIn_Print_Area_1_1">#REF!</definedName>
    <definedName name="Excel_BuiltIn_Print_Titles_1_1_1">#REF!</definedName>
    <definedName name="Excel_BuiltIn_Print_Titles_1_1_4">#REF!</definedName>
    <definedName name="Excel_BuiltIn_Print_Titles_1_1_5">#REF!</definedName>
    <definedName name="Exrate">#REF!</definedName>
    <definedName name="eyruieyteta">{#N/A,#N/A,FALSE,"Plan1";#N/A,#N/A,FALSE,"Plan2"}</definedName>
    <definedName name="f">#REF!</definedName>
    <definedName name="FACULDADE">#REF!</definedName>
    <definedName name="FAL">#REF!</definedName>
    <definedName name="farialima">#REF!</definedName>
    <definedName name="FAS">{"'Total'!$A$1","'Total'!$A$3"}</definedName>
    <definedName name="fasfasf">{#N/A,#N/A,TRUE,"Quinzena 01 à 15-04-98 "}</definedName>
    <definedName name="FATOR_K">#REF!</definedName>
    <definedName name="FATORK">#REF!</definedName>
    <definedName name="FBancaria">#REF!</definedName>
    <definedName name="fchart31">#REF!</definedName>
    <definedName name="fddhght">{#N/A,#N/A,FALSE,"Plan1";#N/A,#N/A,FALSE,"Plan2"}</definedName>
    <definedName name="fdfgd">{#N/A,#N/A,FALSE,"Plan1";#N/A,#N/A,FALSE,"Plan2"}</definedName>
    <definedName name="fdfng">{#N/A,#N/A,FALSE,"GERAL";#N/A,#N/A,FALSE,"012-96";#N/A,#N/A,FALSE,"018-96";#N/A,#N/A,FALSE,"027-96";#N/A,#N/A,FALSE,"059-96";#N/A,#N/A,FALSE,"076-96";#N/A,#N/A,FALSE,"019-97";#N/A,#N/A,FALSE,"021-97";#N/A,#N/A,FALSE,"022-97";#N/A,#N/A,FALSE,"028-97"}</definedName>
    <definedName name="fdgaf">{#N/A,#N/A,FALSE,"Plan1";#N/A,#N/A,FALSE,"Plan2"}</definedName>
    <definedName name="fdgdfg">{TRUE,TRUE,-1.25,-15.5,604.5,366.75,FALSE,FALSE,TRUE,TRUE,0,1,#N/A,1,#N/A,9.0125,24.4117647058824,1,FALSE,FALSE,3,TRUE,1,FALSE,100,"Swvu.PLANILHA2.","ACwvu.PLANILHA2.",#N/A,FALSE,FALSE,0.787401575,0.34,0.46,0.5,1,"","",FALSE,FALSE,FALSE,FALSE,1,#N/A,1,1,FALSE,FALSE,#N/A,#N/A,FALSE,FALSE,FALSE,9,65532,65532,FALSE,FALSE,TRUE,TRUE,TRUE}</definedName>
    <definedName name="FDGFDJHGZEDR">{#N/A,#N/A,FALSE,"Plan1";#N/A,#N/A,FALSE,"Plan2"}</definedName>
    <definedName name="fdgfyhygfuj">{#N/A,#N/A,FALSE,"Plan1";#N/A,#N/A,FALSE,"Plan2"}</definedName>
    <definedName name="fdhgfdf">{#N/A,#N/A,FALSE,"Plan1";#N/A,#N/A,FALSE,"Plan2"}</definedName>
    <definedName name="fdjfgdfjg">{#N/A,#N/A,FALSE,"Plan1";#N/A,#N/A,FALSE,"Plan2"}</definedName>
    <definedName name="fdjghkshtygt">{#N/A,#N/A,FALSE,"Plan1";#N/A,#N/A,FALSE,"Plan2"}</definedName>
    <definedName name="fdnhgf">{"'Estimativa de Lançamento-JAN'!$A$1:$AI$85"}</definedName>
    <definedName name="fdsf">{#N/A,#N/A,FALSE,"Plan1";#N/A,#N/A,FALSE,"Plan2"}</definedName>
    <definedName name="FE">#REF!</definedName>
    <definedName name="fefefefe">#REF!</definedName>
    <definedName name="FER">#REF!</definedName>
    <definedName name="fev17RJ">#REF!</definedName>
    <definedName name="FEVEREIRO2001">#REF!</definedName>
    <definedName name="ff">#REF!</definedName>
    <definedName name="fffefes">#REF!</definedName>
    <definedName name="fffff">{#N/A,#N/A,FALSE,"Plan1";#N/A,#N/A,FALSE,"Plan2"}</definedName>
    <definedName name="FFFFFFF">#REF!</definedName>
    <definedName name="FFTY">{#N/A,#N/A,FALSE,"GERAL";#N/A,#N/A,FALSE,"012-96";#N/A,#N/A,FALSE,"018-96";#N/A,#N/A,FALSE,"027-96";#N/A,#N/A,FALSE,"059-96";#N/A,#N/A,FALSE,"076-96";#N/A,#N/A,FALSE,"019-97";#N/A,#N/A,FALSE,"021-97";#N/A,#N/A,FALSE,"022-97";#N/A,#N/A,FALSE,"028-97"}</definedName>
    <definedName name="fg">{#N/A,#N/A,FALSE,"Plan1";#N/A,#N/A,FALSE,"Plan2"}</definedName>
    <definedName name="fgg">{"'장비'!$A$3:$M$12"}</definedName>
    <definedName name="fghfh">{"'Estimativa de Lançamento-JAN'!$A$1:$AI$85"}</definedName>
    <definedName name="fghgfh">{#N/A,#N/A,FALSE,"Plan1";#N/A,#N/A,FALSE,"Plan2"}</definedName>
    <definedName name="FGJHFGK">{#N/A,#N/A,FALSE,"Plan1";#N/A,#N/A,FALSE,"Plan2"}</definedName>
    <definedName name="fgktyhdft">{TRUE,TRUE,-1.25,-15.5,604.5,366.75,FALSE,FALSE,TRUE,TRUE,0,1,#N/A,1,#N/A,9.0125,24.4117647058824,1,FALSE,FALSE,3,TRUE,1,FALSE,100,"Swvu.PLANILHA2.","ACwvu.PLANILHA2.",#N/A,FALSE,FALSE,0.787401575,0.34,0.46,0.5,1,"","",FALSE,FALSE,FALSE,FALSE,1,#N/A,1,1,FALSE,FALSE,#N/A,#N/A,FALSE,FALSE,FALSE,9,65532,65532,FALSE,FALSE,TRUE,TRUE,TRUE}</definedName>
    <definedName name="fgtrgty">{#N/A,#N/A,FALSE,"Plan1";#N/A,#N/A,FALSE,"Plan2"}</definedName>
    <definedName name="fgty">#REF!</definedName>
    <definedName name="fhgjfgyt">{#N/A,#N/A,FALSE,"Plan1";#N/A,#N/A,FALSE,"Plan2"}</definedName>
    <definedName name="fhgjkhtrfg">{#N/A,#N/A,FALSE,"Plan1";#N/A,#N/A,FALSE,"Plan2"}</definedName>
    <definedName name="FHGTGSRSG">{#N/A,#N/A,FALSE,"Plan1";#N/A,#N/A,FALSE,"Plan2"}</definedName>
    <definedName name="FIELD">{#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ILTRO">{#N/A,#N/A,TRUE,"Quinzena 01 à 15-04-98 "}</definedName>
    <definedName name="Filtro_Rel_Sienge">#REF!</definedName>
    <definedName name="Firs_hist">#REF!</definedName>
    <definedName name="First_cdi">#REF!</definedName>
    <definedName name="First_uss">#REF!</definedName>
    <definedName name="fjdhfgjdhtgu">{#N/A,#N/A,FALSE,"Plan1";#N/A,#N/A,FALSE,"Plan2"}</definedName>
    <definedName name="fjfjg">{#N/A,#N/A,FALSE,"명세표"}</definedName>
    <definedName name="FJGHJ">{TRUE,TRUE,-1.25,-15.5,604.5,366.75,FALSE,FALSE,TRUE,TRUE,0,1,#N/A,1,#N/A,9.0125,24.4117647058824,1,FALSE,FALSE,3,TRUE,1,FALSE,100,"Swvu.PLANILHA2.","ACwvu.PLANILHA2.",#N/A,FALSE,FALSE,0.787401575,0.34,0.46,0.5,1,"","",FALSE,FALSE,FALSE,FALSE,1,#N/A,1,1,FALSE,FALSE,#N/A,#N/A,FALSE,FALSE,FALSE,9,65532,65532,FALSE,FALSE,TRUE,TRUE,TRUE}</definedName>
    <definedName name="FJHJHG">{#N/A,#N/A,FALSE,"Plan1";#N/A,#N/A,FALSE,"Plan2"}</definedName>
    <definedName name="fjtgfhf">{TRUE,TRUE,-1.25,-15.5,604.5,366.75,FALSE,FALSE,TRUE,TRUE,0,1,#N/A,1,#N/A,9.0125,24.4117647058824,1,FALSE,FALSE,3,TRUE,1,FALSE,100,"Swvu.PLANILHA2.","ACwvu.PLANILHA2.",#N/A,FALSE,FALSE,0.787401575,0.34,0.46,0.5,1,"","",FALSE,FALSE,FALSE,FALSE,1,#N/A,1,1,FALSE,FALSE,#N/A,#N/A,FALSE,FALSE,FALSE,9,65532,65532,FALSE,FALSE,TRUE,TRUE,TRUE}</definedName>
    <definedName name="FKF">{#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fkfw">{#N/A,#N/A,FALSE,"Plan1";#N/A,#N/A,FALSE,"Plan2"}</definedName>
    <definedName name="fl">#REF!</definedName>
    <definedName name="FL_1">#REF!</definedName>
    <definedName name="FL_2">#REF!</definedName>
    <definedName name="FL_3">#REF!</definedName>
    <definedName name="Fluxo_captação">#REF!</definedName>
    <definedName name="FOLHA2">#REF!</definedName>
    <definedName name="Format">#REF!</definedName>
    <definedName name="Formato_da_Loja">#REF!</definedName>
    <definedName name="FORMULA">#REF!</definedName>
    <definedName name="FORNECEDOR">OFFSET(#REF!,6,0,COUNTA(#REF!))</definedName>
    <definedName name="FORNECEDOR_2">OFFSET(#REF!,6,0,COUNTA(#REF!))</definedName>
    <definedName name="FORNECEDOR_3">OFFSET(#REF!,6,0,COUNTA(#REF!))</definedName>
    <definedName name="FORNECEDOR_4">OFFSET(#REF!,6,0,COUNTA(#REF!))</definedName>
    <definedName name="FORNECEDOR_5">OFFSET(#REF!,6,0,COUNTA(#REF!))</definedName>
    <definedName name="FORNECEDOR_7">OFFSET(#REF!,6,0,COUNTA(#REF!))</definedName>
    <definedName name="FORNECEDOR_8">OFFSET(#REF!,6,0,COUNTA(#REF!))</definedName>
    <definedName name="frçt4r">{#N/A,#N/A,FALSE,"Plan1";#N/A,#N/A,FALSE,"Plan2"}</definedName>
    <definedName name="frdtty">{#N/A,#N/A,FALSE,"Plan1";#N/A,#N/A,FALSE,"Plan2"}</definedName>
    <definedName name="fsdfsf">{#N/A,#N/A,FALSE,"GERAL";#N/A,#N/A,FALSE,"012-96";#N/A,#N/A,FALSE,"018-96";#N/A,#N/A,FALSE,"027-96";#N/A,#N/A,FALSE,"059-96";#N/A,#N/A,FALSE,"076-96";#N/A,#N/A,FALSE,"019-97";#N/A,#N/A,FALSE,"021-97";#N/A,#N/A,FALSE,"022-97";#N/A,#N/A,FALSE,"028-97"}</definedName>
    <definedName name="fuihgjk">{#N/A,#N/A,FALSE,"Plan1";#N/A,#N/A,FALSE,"Plan2"}</definedName>
    <definedName name="fuste">#REF!</definedName>
    <definedName name="fxjghkfg">{#N/A,#N/A,FALSE,"Plan1";#N/A,#N/A,FALSE,"Plan2"}</definedName>
    <definedName name="g_10">#REF!</definedName>
    <definedName name="g_11">#REF!</definedName>
    <definedName name="g_12">#REF!</definedName>
    <definedName name="g_13">#REF!</definedName>
    <definedName name="g_15">#REF!</definedName>
    <definedName name="g_16">#REF!</definedName>
    <definedName name="g_17">#REF!</definedName>
    <definedName name="g_19">#REF!</definedName>
    <definedName name="g_21">#REF!</definedName>
    <definedName name="g_25">#REF!</definedName>
    <definedName name="g_27">#REF!</definedName>
    <definedName name="g_31">#REF!</definedName>
    <definedName name="g_32">#REF!</definedName>
    <definedName name="g_33">#REF!</definedName>
    <definedName name="g_34">#REF!</definedName>
    <definedName name="G_35">#REF!</definedName>
    <definedName name="g_37">#REF!</definedName>
    <definedName name="g_41">#REF!</definedName>
    <definedName name="g_42">#REF!</definedName>
    <definedName name="g_45">#REF!</definedName>
    <definedName name="g_47">#REF!</definedName>
    <definedName name="g_51">#REF!</definedName>
    <definedName name="g_52">#REF!</definedName>
    <definedName name="g_53">#REF!</definedName>
    <definedName name="G_54">#REF!</definedName>
    <definedName name="G_55">#REF!</definedName>
    <definedName name="G_56">#REF!</definedName>
    <definedName name="G_57">#REF!</definedName>
    <definedName name="G_58">#REF!</definedName>
    <definedName name="G_59">#REF!</definedName>
    <definedName name="G_61">#REF!</definedName>
    <definedName name="G_63">#REF!</definedName>
    <definedName name="G_65">#REF!</definedName>
    <definedName name="G_67">#REF!</definedName>
    <definedName name="g_68">#REF!</definedName>
    <definedName name="g_69">#REF!</definedName>
    <definedName name="G_71">#REF!</definedName>
    <definedName name="G_73">#REF!</definedName>
    <definedName name="G_75">#REF!</definedName>
    <definedName name="G_77">#REF!</definedName>
    <definedName name="G_78">#REF!</definedName>
    <definedName name="G_81">#REF!</definedName>
    <definedName name="G_83">#REF!</definedName>
    <definedName name="G_85">#REF!</definedName>
    <definedName name="G_87">#REF!</definedName>
    <definedName name="G_90">#REF!</definedName>
    <definedName name="G_91">#REF!</definedName>
    <definedName name="G_92">#REF!</definedName>
    <definedName name="G_94">#REF!</definedName>
    <definedName name="G_95">#REF!</definedName>
    <definedName name="G_96">#REF!</definedName>
    <definedName name="galo">{#N/A,#N/A,FALSE,"GERAL";#N/A,#N/A,FALSE,"012-96";#N/A,#N/A,FALSE,"018-96";#N/A,#N/A,FALSE,"027-96";#N/A,#N/A,FALSE,"059-96";#N/A,#N/A,FALSE,"076-96";#N/A,#N/A,FALSE,"019-97";#N/A,#N/A,FALSE,"021-97";#N/A,#N/A,FALSE,"022-97";#N/A,#N/A,FALSE,"028-97"}</definedName>
    <definedName name="GARAGEM">#REF!</definedName>
    <definedName name="garcia">#REF!</definedName>
    <definedName name="GASTOS_JULHO">#REF!</definedName>
    <definedName name="gbdjkvhgd">{#N/A,#N/A,FALSE,"Plan1";#N/A,#N/A,FALSE,"Plan2"}</definedName>
    <definedName name="gbdsjgsjfdgj">{#N/A,#N/A,FALSE,"Plan1";#N/A,#N/A,FALSE,"Plan2"}</definedName>
    <definedName name="gdfdhgfjgj">{#N/A,#N/A,FALSE,"Plan1";#N/A,#N/A,FALSE,"Plan2"}</definedName>
    <definedName name="gdfgdstggt">{#N/A,#N/A,FALSE,"Plan1";#N/A,#N/A,FALSE,"Plan2"}</definedName>
    <definedName name="GDFHGRJGFJDRF">{"Econ Consolidado",#N/A,FALSE,"Econ Consol";"Fluxo de Caixa",#N/A,FALSE,"Fluxo Caixa";"Investimentos",#N/A,FALSE,"Investimentos"}</definedName>
    <definedName name="gdfigfhuyuy">{#N/A,#N/A,FALSE,"Plan1";#N/A,#N/A,FALSE,"Plan2"}</definedName>
    <definedName name="gdfsgfew">{#N/A,#N/A,FALSE,"Plan1";#N/A,#N/A,FALSE,"Plan2"}</definedName>
    <definedName name="gdhfgdhfgf">{#N/A,#N/A,FALSE,"Plan1";#N/A,#N/A,FALSE,"Plan2"}</definedName>
    <definedName name="gdsfhefrwrw">{#N/A,#N/A,FALSE,"Plan1";#N/A,#N/A,FALSE,"Plan2"}</definedName>
    <definedName name="GER_TECNICO">#REF!</definedName>
    <definedName name="Gerentes">#REF!</definedName>
    <definedName name="geshrjhed">{#N/A,#N/A,FALSE,"Plan1";#N/A,#N/A,FALSE,"Plan2"}</definedName>
    <definedName name="gestao">OFFSET(INDEX(#REF!,MATCH(#REF!,#REF!,0)),1,0,COUNTA(#REF!)-1)</definedName>
    <definedName name="gfdcgnkf">{#N/A,#N/A,FALSE,"Plan1";#N/A,#N/A,FALSE,"Plan2"}</definedName>
    <definedName name="gfdjtgur">{#N/A,#N/A,FALSE,"Plan1";#N/A,#N/A,FALSE,"Plan2"}</definedName>
    <definedName name="gfdrtg">#REF!</definedName>
    <definedName name="gfgdhxgfdhf">{#N/A,#N/A,FALSE,"Plan1";#N/A,#N/A,FALSE,"Plan2"}</definedName>
    <definedName name="gfhfdtgjb">{#N/A,#N/A,FALSE,"Plan1";#N/A,#N/A,FALSE,"Plan2"}</definedName>
    <definedName name="gfjdshrtjhtged">{#N/A,#N/A,FALSE,"Plan1";#N/A,#N/A,FALSE,"Plan2"}</definedName>
    <definedName name="gfjgkddgfd">{#N/A,#N/A,FALSE,"Plan1";#N/A,#N/A,FALSE,"Plan2"}</definedName>
    <definedName name="gfsghjdgygr">{#N/A,#N/A,FALSE,"Plan1";#N/A,#N/A,FALSE,"Plan2"}</definedName>
    <definedName name="gftfy">{#N/A,#N/A,FALSE,"Plan1";#N/A,#N/A,FALSE,"Plan2"}</definedName>
    <definedName name="gfty">{#N/A,#N/A,FALSE,"Plan1";#N/A,#N/A,FALSE,"Plan2"}</definedName>
    <definedName name="GFUJU9">{#N/A,#N/A,FALSE,"Plan1";#N/A,#N/A,FALSE,"Plan2"}</definedName>
    <definedName name="ggg">{#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GGGG">{#N/A,#N/A,FALSE,"Plan1";#N/A,#N/A,FALSE,"Plan2"}</definedName>
    <definedName name="gggggggggg">{TRUE,TRUE,-1.25,-15.5,604.5,366.75,FALSE,FALSE,TRUE,TRUE,0,1,#N/A,1,#N/A,9.0125,24.4117647058824,1,FALSE,FALSE,3,TRUE,1,FALSE,100,"Swvu.PLANILHA2.","ACwvu.PLANILHA2.",#N/A,FALSE,FALSE,0.787401575,0.34,0.46,0.5,1,"","",FALSE,FALSE,FALSE,FALSE,1,#N/A,1,1,FALSE,FALSE,#N/A,#N/A,FALSE,FALSE,FALSE,9,65532,65532,FALSE,FALSE,TRUE,TRUE,TRUE}</definedName>
    <definedName name="gh">{"'장비'!$A$3:$M$12"}</definedName>
    <definedName name="ghfgdfrtert">{#N/A,#N/A,FALSE,"Plan1";#N/A,#N/A,FALSE,"Plan2"}</definedName>
    <definedName name="ghfhghft">{#N/A,#N/A,FALSE,"Plan1";#N/A,#N/A,FALSE,"Plan2"}</definedName>
    <definedName name="ghjg">{"'Estimativa de Lançamento-JAN'!$A$1:$AI$85"}</definedName>
    <definedName name="ghkfhgh">{#N/A,#N/A,FALSE,"Plan1";#N/A,#N/A,FALSE,"Plan2"}</definedName>
    <definedName name="ghkjh">{#N/A,#N/A,FALSE,"ENG'G(보호계전기)"}</definedName>
    <definedName name="GJ">{#N/A,#N/A,FALSE,"GERAL";#N/A,#N/A,FALSE,"012-96";#N/A,#N/A,FALSE,"018-96";#N/A,#N/A,FALSE,"027-96";#N/A,#N/A,FALSE,"059-96";#N/A,#N/A,FALSE,"076-96";#N/A,#N/A,FALSE,"019-97";#N/A,#N/A,FALSE,"021-97";#N/A,#N/A,FALSE,"022-97";#N/A,#N/A,FALSE,"028-97"}</definedName>
    <definedName name="gjfhjktgcf">{#N/A,#N/A,FALSE,"Plan1";#N/A,#N/A,FALSE,"Plan2"}</definedName>
    <definedName name="GJG">{TRUE,TRUE,-1.25,-15.5,604.5,366.75,FALSE,FALSE,TRUE,TRUE,0,1,#N/A,1,#N/A,9.0125,24.4117647058824,1,FALSE,FALSE,3,TRUE,1,FALSE,100,"Swvu.PLANILHA2.","ACwvu.PLANILHA2.",#N/A,FALSE,FALSE,0.787401575,0.34,0.46,0.5,1,"","",FALSE,FALSE,FALSE,FALSE,1,#N/A,1,1,FALSE,FALSE,#N/A,#N/A,FALSE,FALSE,FALSE,9,65532,65532,FALSE,FALSE,TRUE,TRUE,TRUE}</definedName>
    <definedName name="gjgh">{#N/A,#N/A,FALSE,"GERAL";#N/A,#N/A,FALSE,"012-96";#N/A,#N/A,FALSE,"018-96";#N/A,#N/A,FALSE,"027-96";#N/A,#N/A,FALSE,"059-96";#N/A,#N/A,FALSE,"076-96";#N/A,#N/A,FALSE,"019-97";#N/A,#N/A,FALSE,"021-97";#N/A,#N/A,FALSE,"022-97";#N/A,#N/A,FALSE,"028-97"}</definedName>
    <definedName name="GJK">{#N/A,#N/A,FALSE,"GERAL";#N/A,#N/A,FALSE,"012-96";#N/A,#N/A,FALSE,"018-96";#N/A,#N/A,FALSE,"027-96";#N/A,#N/A,FALSE,"059-96";#N/A,#N/A,FALSE,"076-96";#N/A,#N/A,FALSE,"019-97";#N/A,#N/A,FALSE,"021-97";#N/A,#N/A,FALSE,"022-97";#N/A,#N/A,FALSE,"028-97"}</definedName>
    <definedName name="gjkhgjhjfggfjhfg">{#N/A,#N/A,FALSE,"Plan1";#N/A,#N/A,FALSE,"Plan2"}</definedName>
    <definedName name="glgl">{#N/A,#N/A,FALSE,"Plan1";#N/A,#N/A,FALSE,"Plan2"}</definedName>
    <definedName name="GLOBAL">#REF!</definedName>
    <definedName name="gnfrth">{TRUE,TRUE,-1.25,-15.5,604.5,366.75,FALSE,FALSE,TRUE,TRUE,0,1,#N/A,1,#N/A,9.0125,24.4117647058824,1,FALSE,FALSE,3,TRUE,1,FALSE,100,"Swvu.PLANILHA2.","ACwvu.PLANILHA2.",#N/A,FALSE,FALSE,0.787401575,0.34,0.46,0.5,1,"","",FALSE,FALSE,FALSE,FALSE,1,#N/A,1,1,FALSE,FALSE,#N/A,#N/A,FALSE,FALSE,FALSE,9,65532,65532,FALSE,FALSE,TRUE,TRUE,TRUE}</definedName>
    <definedName name="grec_cdi">#REF!</definedName>
    <definedName name="grec_hist">#REF!</definedName>
    <definedName name="grec_uss">#REF!</definedName>
    <definedName name="grua">#REF!</definedName>
    <definedName name="GSDWJSTGE">{TRUE,TRUE,-1.25,-15.5,604.5,366.75,FALSE,FALSE,TRUE,TRUE,0,1,#N/A,1,#N/A,9.0125,24.4117647058824,1,FALSE,FALSE,3,TRUE,1,FALSE,100,"Swvu.PLANILHA2.","ACwvu.PLANILHA2.",#N/A,FALSE,FALSE,0.787401575,0.34,0.46,0.5,1,"","",FALSE,FALSE,FALSE,FALSE,1,#N/A,1,1,FALSE,FALSE,#N/A,#N/A,FALSE,FALSE,FALSE,9,65532,65532,FALSE,FALSE,TRUE,TRUE,TRUE}</definedName>
    <definedName name="gtuigsdyugsdf">{#N/A,#N/A,FALSE,"Plan1";#N/A,#N/A,FALSE,"Plan2"}</definedName>
    <definedName name="GUI">{#N/A,#N/A,FALSE,"GERAL";#N/A,#N/A,FALSE,"012-96";#N/A,#N/A,FALSE,"018-96";#N/A,#N/A,FALSE,"027-96";#N/A,#N/A,FALSE,"059-96";#N/A,#N/A,FALSE,"076-96";#N/A,#N/A,FALSE,"019-97";#N/A,#N/A,FALSE,"021-97";#N/A,#N/A,FALSE,"022-97";#N/A,#N/A,FALSE,"028-97"}</definedName>
    <definedName name="GV">{#N/A,#N/A,FALSE,"CCTV"}</definedName>
    <definedName name="h">#REF!</definedName>
    <definedName name="hbjgjuae">#REF!</definedName>
    <definedName name="hcjfkhdghfktg">{#N/A,#N/A,FALSE,"Plan1";#N/A,#N/A,FALSE,"Plan2"}</definedName>
    <definedName name="hckhjfdkgfdg">#REF!</definedName>
    <definedName name="hddfndgdfgf">{TRUE,TRUE,-1.25,-15.5,604.5,366.75,FALSE,FALSE,TRUE,TRUE,0,1,#N/A,1,#N/A,9.0125,24.4117647058824,1,FALSE,FALSE,3,TRUE,1,FALSE,100,"Swvu.PLANILHA2.","ACwvu.PLANILHA2.",#N/A,FALSE,FALSE,0.787401575,0.34,0.46,0.5,1,"","",FALSE,FALSE,FALSE,FALSE,1,#N/A,1,1,FALSE,FALSE,#N/A,#N/A,FALSE,FALSE,FALSE,9,65532,65532,FALSE,FALSE,TRUE,TRUE,TRUE}</definedName>
    <definedName name="HDFGHGST">{#N/A,#N/A,FALSE,"Plan1";#N/A,#N/A,FALSE,"Plan2"}</definedName>
    <definedName name="HDFGJKHKFDHTY">{#N/A,#N/A,FALSE,"Plan1";#N/A,#N/A,FALSE,"Plan2"}</definedName>
    <definedName name="hdfhdhrtgd">{#N/A,#N/A,FALSE,"Plan1";#N/A,#N/A,FALSE,"Plan2"}</definedName>
    <definedName name="hdfhftde">{#N/A,#N/A,FALSE,"Plan1";#N/A,#N/A,FALSE,"Plan2"}</definedName>
    <definedName name="hdfhgkdhgtrf">{#N/A,#N/A,FALSE,"Plan1";#N/A,#N/A,FALSE,"Plan2"}</definedName>
    <definedName name="hdfjhdkzhgdr">{#N/A,#N/A,FALSE,"Plan1";#N/A,#N/A,FALSE,"Plan2"}</definedName>
    <definedName name="hdfjkgvjgtd">{#N/A,#N/A,FALSE,"Plan1";#N/A,#N/A,FALSE,"Plan2"}</definedName>
    <definedName name="hdfjkhdhrute">{#N/A,#N/A,FALSE,"Plan1";#N/A,#N/A,FALSE,"Plan2"}</definedName>
    <definedName name="HDFKGVF">{#N/A,#N/A,FALSE,"Plan1";#N/A,#N/A,FALSE,"Plan2"}</definedName>
    <definedName name="hdgfhdgtdrt">{#N/A,#N/A,FALSE,"Plan1";#N/A,#N/A,FALSE,"Plan2"}</definedName>
    <definedName name="hdghgtgtrgd">{#N/A,#N/A,FALSE,"Plan1";#N/A,#N/A,FALSE,"Plan2"}</definedName>
    <definedName name="HDHDGHTUHDTG">{#N/A,#N/A,FALSE,"Plan1";#N/A,#N/A,FALSE,"Plan2"}</definedName>
    <definedName name="hdhghfthrrhy">{#N/A,#N/A,FALSE,"Plan1";#N/A,#N/A,FALSE,"Plan2"}</definedName>
    <definedName name="hdkfjhydjh">{#N/A,#N/A,FALSE,"Plan1";#N/A,#N/A,FALSE,"Plan2"}</definedName>
    <definedName name="hdsgfgrrdgr">{#N/A,#N/A,FALSE,"Plan1";#N/A,#N/A,FALSE,"Plan2"}</definedName>
    <definedName name="hdtertkkdsa">{#N/A,#N/A,FALSE,"Plan1";#N/A,#N/A,FALSE,"Plan2"}</definedName>
    <definedName name="Header">#REF!</definedName>
    <definedName name="HEDHA">{#N/A,#N/A,FALSE,"Plan1";#N/A,#N/A,FALSE,"Plan2"}</definedName>
    <definedName name="heife">{TRUE,TRUE,-1.25,-15.5,604.5,366.75,FALSE,FALSE,TRUE,TRUE,0,1,#N/A,1,#N/A,9.0125,24.4117647058824,1,FALSE,FALSE,3,TRUE,1,FALSE,100,"Swvu.PLANILHA2.","ACwvu.PLANILHA2.",#N/A,FALSE,FALSE,0.787401575,0.34,0.46,0.5,1,"","",FALSE,FALSE,FALSE,FALSE,1,#N/A,1,1,FALSE,FALSE,#N/A,#N/A,FALSE,FALSE,FALSE,9,65532,65532,FALSE,FALSE,TRUE,TRUE,TRUE}</definedName>
    <definedName name="HELP">#REF!</definedName>
    <definedName name="herkfdshfker">{#N/A,#N/A,FALSE,"Plan1";#N/A,#N/A,FALSE,"Plan2"}</definedName>
    <definedName name="hersdtretyt">{#N/A,#N/A,FALSE,"Plan1";#N/A,#N/A,FALSE,"Plan2"}</definedName>
    <definedName name="HFDJTHTRS">{TRUE,TRUE,-1.25,-15.5,604.5,366.75,FALSE,FALSE,TRUE,TRUE,0,1,#N/A,1,#N/A,9.0125,24.4117647058824,1,FALSE,FALSE,3,TRUE,1,FALSE,100,"Swvu.PLANILHA2.","ACwvu.PLANILHA2.",#N/A,FALSE,FALSE,0.787401575,0.34,0.46,0.5,1,"","",FALSE,FALSE,FALSE,FALSE,1,#N/A,1,1,FALSE,FALSE,#N/A,#N/A,FALSE,FALSE,FALSE,9,65532,65532,FALSE,FALSE,TRUE,TRUE,TRUE}</definedName>
    <definedName name="HFDKHGFR">{#N/A,#N/A,FALSE,"Plan1";#N/A,#N/A,FALSE,"Plan2"}</definedName>
    <definedName name="hfdkhgkfdhtj">{#N/A,#N/A,FALSE,"Plan1";#N/A,#N/A,FALSE,"Plan2"}</definedName>
    <definedName name="hfgfktgkhyt">{#N/A,#N/A,FALSE,"Plan1";#N/A,#N/A,FALSE,"Plan2"}</definedName>
    <definedName name="hfghdkhrgkjg">{#N/A,#N/A,FALSE,"Plan1";#N/A,#N/A,FALSE,"Plan2"}</definedName>
    <definedName name="hfighfth">{#N/A,#N/A,FALSE,"Plan1";#N/A,#N/A,FALSE,"Plan2"}</definedName>
    <definedName name="hfjghtfuyrf">{#N/A,#N/A,FALSE,"Plan1";#N/A,#N/A,FALSE,"Plan2"}</definedName>
    <definedName name="HFKJHDJGHFJ">{#N/A,#N/A,FALSE,"Plan1";#N/A,#N/A,FALSE,"Plan2"}</definedName>
    <definedName name="hgdesgfgsj">{#N/A,#N/A,FALSE,"Plan1";#N/A,#N/A,FALSE,"Plan2"}</definedName>
    <definedName name="hgdgfd">{#N/A,#N/A,FALSE,"Plan1";#N/A,#N/A,FALSE,"Plan2"}</definedName>
    <definedName name="hgfhjkdfhj">{#N/A,#N/A,FALSE,"Plan1";#N/A,#N/A,FALSE,"Plan2"}</definedName>
    <definedName name="hgg">{#N/A,#N/A,FALSE,"Plan1";#N/A,#N/A,FALSE,"Plan2"}</definedName>
    <definedName name="hgjdfgghg">{#N/A,#N/A,FALSE,"Plan1";#N/A,#N/A,FALSE,"Plan2"}</definedName>
    <definedName name="hgjkfdhg">{#N/A,#N/A,FALSE,"Plan1";#N/A,#N/A,FALSE,"Plan2"}</definedName>
    <definedName name="hgkdfhkfk">{#N/A,#N/A,FALSE,"Plan1";#N/A,#N/A,FALSE,"Plan2"}</definedName>
    <definedName name="hgkjhdfhtrdyt">{#N/A,#N/A,FALSE,"Plan1";#N/A,#N/A,FALSE,"Plan2"}</definedName>
    <definedName name="hgkjhdfkhgtfhg">{#N/A,#N/A,FALSE,"Plan1";#N/A,#N/A,FALSE,"Plan2"}</definedName>
    <definedName name="hgkjhkfhsdkdhgk">{#N/A,#N/A,FALSE,"Plan1";#N/A,#N/A,FALSE,"Plan2"}</definedName>
    <definedName name="hgsufgdhghd">{#N/A,#N/A,FALSE,"Plan1";#N/A,#N/A,FALSE,"Plan2"}</definedName>
    <definedName name="HHGFHTYUT">{#N/A,#N/A,FALSE,"Plan1";#N/A,#N/A,FALSE,"Plan2"}</definedName>
    <definedName name="hhh">{"'Total'!$A$1","'Total'!$A$3"}</definedName>
    <definedName name="HHIHLK">#REF!</definedName>
    <definedName name="hik">{#N/A,#N/A,FALSE,"TABLE"}</definedName>
    <definedName name="hist">#REF!</definedName>
    <definedName name="HIST1">#REF!</definedName>
    <definedName name="HISTEQ">#REF!</definedName>
    <definedName name="HISTOGRAMA">#REF!</definedName>
    <definedName name="hjdgtjdjxrfg">{#N/A,#N/A,FALSE,"Plan1";#N/A,#N/A,FALSE,"Plan2"}</definedName>
    <definedName name="HJFDGD">{#N/A,#N/A,FALSE,"Plan1";#N/A,#N/A,FALSE,"Plan2"}</definedName>
    <definedName name="HJGASD">{#N/A,#N/A,FALSE,"Plan1";#N/A,#N/A,FALSE,"Plan2"}</definedName>
    <definedName name="HJGFGTFDG">{#N/A,#N/A,FALSE,"Plan1";#N/A,#N/A,FALSE,"Plan2"}</definedName>
    <definedName name="hjgfhdsgfhsd">{#N/A,#N/A,FALSE,"Plan1";#N/A,#N/A,FALSE,"Plan2"}</definedName>
    <definedName name="hjgxfjgdjyftr">{#N/A,#N/A,FALSE,"Plan1";#N/A,#N/A,FALSE,"Plan2"}</definedName>
    <definedName name="hjgyugasd">{#N/A,#N/A,FALSE,"Plan1";#N/A,#N/A,FALSE,"Plan2"}</definedName>
    <definedName name="hjjfyfy">{#N/A,#N/A,FALSE,"Plan1";#N/A,#N/A,FALSE,"Plan2"}</definedName>
    <definedName name="hjkchkvjhdjkgh">{#N/A,#N/A,FALSE,"Plan1";#N/A,#N/A,FALSE,"Plan2"}</definedName>
    <definedName name="hjkfjdyht">{#N/A,#N/A,FALSE,"Plan1";#N/A,#N/A,FALSE,"Plan2"}</definedName>
    <definedName name="hjsdffe">{TRUE,TRUE,-1.25,-15.5,604.5,366.75,FALSE,FALSE,TRUE,TRUE,0,1,#N/A,1,#N/A,9.0125,24.4117647058824,1,FALSE,FALSE,3,TRUE,1,FALSE,100,"Swvu.PLANILHA2.","ACwvu.PLANILHA2.",#N/A,FALSE,FALSE,0.787401575,0.34,0.46,0.5,1,"","",FALSE,FALSE,FALSE,FALSE,1,#N/A,1,1,FALSE,FALSE,#N/A,#N/A,FALSE,FALSE,FALSE,9,65532,65532,FALSE,FALSE,TRUE,TRUE,TRUE}</definedName>
    <definedName name="hjsdkhk">{#N/A,#N/A,FALSE,"Plan1";#N/A,#N/A,FALSE,"Plan2"}</definedName>
    <definedName name="hjsdsdrjfrh">2</definedName>
    <definedName name="hjsrdfre">{"Econ Consolidado",#N/A,FALSE,"Econ Consol";"Fluxo de Caixa",#N/A,FALSE,"Fluxo Caixa";"Investimentos",#N/A,FALSE,"Investimentos"}</definedName>
    <definedName name="HKewewsr">{#N/A,#N/A,FALSE,"Plan1";#N/A,#N/A,FALSE,"Plan2"}</definedName>
    <definedName name="hkhdskacd">{#N/A,#N/A,FALSE,"Plan1";#N/A,#N/A,FALSE,"Plan2"}</definedName>
    <definedName name="hkjfgfhgfh">{#N/A,#N/A,FALSE,"Plan1";#N/A,#N/A,FALSE,"Plan2"}</definedName>
    <definedName name="hkjfhgjkfhghfg">{#N/A,#N/A,FALSE,"Plan1";#N/A,#N/A,FALSE,"Plan2"}</definedName>
    <definedName name="HKLZHFRH">{#N/A,#N/A,FALSE,"Plan1";#N/A,#N/A,FALSE,"Plan2"}</definedName>
    <definedName name="ho">{#N/A,#N/A,FALSE,"TABLE"}</definedName>
    <definedName name="HOJE">#REF!</definedName>
    <definedName name="HONORARIOS">#REF!</definedName>
    <definedName name="HOSPEDES">#REF!</definedName>
    <definedName name="HOTEL">#REF!</definedName>
    <definedName name="hrterte">{#N/A,#N/A,FALSE,"Plan1";#N/A,#N/A,FALSE,"Plan2"}</definedName>
    <definedName name="hsdf">{#N/A,#N/A,FALSE,"Plan1";#N/A,#N/A,FALSE,"Plan2"}</definedName>
    <definedName name="hsdfgdgudrt">{#N/A,#N/A,FALSE,"Plan1";#N/A,#N/A,FALSE,"Plan2"}</definedName>
    <definedName name="hsdfjkdhur">{#N/A,#N/A,FALSE,"Plan1";#N/A,#N/A,FALSE,"Plan2"}</definedName>
    <definedName name="hsdgftdhtr">{TRUE,TRUE,-1.25,-15.5,604.5,366.75,FALSE,FALSE,TRUE,TRUE,0,1,#N/A,1,#N/A,9.0125,24.4117647058824,1,FALSE,FALSE,3,TRUE,1,FALSE,100,"Swvu.PLANILHA2.","ACwvu.PLANILHA2.",#N/A,FALSE,FALSE,0.787401575,0.34,0.46,0.5,1,"","",FALSE,FALSE,FALSE,FALSE,1,#N/A,1,1,FALSE,FALSE,#N/A,#N/A,FALSE,FALSE,FALSE,9,65532,65532,FALSE,FALSE,TRUE,TRUE,TRUE}</definedName>
    <definedName name="hsdjffd">{#N/A,#N/A,FALSE,"Plan1";#N/A,#N/A,FALSE,"Plan2"}</definedName>
    <definedName name="hsdjffe">{#N/A,#N/A,FALSE,"Plan1";#N/A,#N/A,FALSE,"Plan2"}</definedName>
    <definedName name="HSFIHDTR">{"Econ Consolidado",#N/A,FALSE,"Econ Consol";"Fluxo de Caixa",#N/A,FALSE,"Fluxo Caixa";"Investimentos",#N/A,FALSE,"Investimentos"}</definedName>
    <definedName name="hsfjkdshrgf">{#N/A,#N/A,FALSE,"Plan1";#N/A,#N/A,FALSE,"Plan2"}</definedName>
    <definedName name="hthhrtetdre">{#N/A,#N/A,FALSE,"Plan1";#N/A,#N/A,FALSE,"Plan2"}</definedName>
    <definedName name="HTM">#REF!</definedName>
    <definedName name="HTML_CodePage">949</definedName>
    <definedName name="HTML_Control">{"'장비'!$A$3:$M$12"}</definedName>
    <definedName name="HTML_Description">""</definedName>
    <definedName name="HTML_Email">""</definedName>
    <definedName name="HTML_Header">"장비"</definedName>
    <definedName name="HTML_LastUpdate">"97-08-05"</definedName>
    <definedName name="HTML_LineAfter">FALSE</definedName>
    <definedName name="HTML_LineBefore">FALSE</definedName>
    <definedName name="HTML_Name">"이진화"</definedName>
    <definedName name="HTML_OBDlg2">TRUE</definedName>
    <definedName name="HTML_OBDlg4">TRUE</definedName>
    <definedName name="HTML_OS">0</definedName>
    <definedName name="HTML_PathFile">"C:\My Documents\MyHTML.htm"</definedName>
    <definedName name="HTML_Title">"가산동미라보"</definedName>
    <definedName name="HTML2_CONTROL">{"'Estimativa de Lançamento-JAN'!$A$1:$AI$85"}</definedName>
    <definedName name="HTML3_CONTROL">{"'Estimativa de Lançamento-JAN'!$A$1:$AI$85"}</definedName>
    <definedName name="HTMLControl">{"'Edit'!$A$1:$V$2277"}</definedName>
    <definedName name="HTN">#REF!</definedName>
    <definedName name="HVJKHGKFXHFD">{#N/A,#N/A,FALSE,"Plan1";#N/A,#N/A,FALSE,"Plan2"}</definedName>
    <definedName name="hwekjhekhf">{#N/A,#N/A,FALSE,"Plan1";#N/A,#N/A,FALSE,"Plan2"}</definedName>
    <definedName name="HXFRE">{#N/A,#N/A,FALSE,"Plan1";#N/A,#N/A,FALSE,"Plan2"}</definedName>
    <definedName name="HXKJFGDKHG">{#N/A,#N/A,FALSE,"Plan1";#N/A,#N/A,FALSE,"Plan2"}</definedName>
    <definedName name="I">#REF!</definedName>
    <definedName name="ibir_cdi">#REF!</definedName>
    <definedName name="ibir_hist">#REF!</definedName>
    <definedName name="ibir_uss">#REF!</definedName>
    <definedName name="IC">#REF!</definedName>
    <definedName name="icoa_cdi">#REF!</definedName>
    <definedName name="icoa_hist">#REF!</definedName>
    <definedName name="icoa_uss">#REF!</definedName>
    <definedName name="Identificação">#REF!</definedName>
    <definedName name="idfhgkjhfkthy">{#N/A,#N/A,FALSE,"Plan1";#N/A,#N/A,FALSE,"Plan2"}</definedName>
    <definedName name="ieroweft">{#N/A,#N/A,FALSE,"Plan1";#N/A,#N/A,FALSE,"Plan2"}</definedName>
    <definedName name="iewpotqi5poejy">{#N/A,#N/A,FALSE,"Plan1";#N/A,#N/A,FALSE,"Plan2"}</definedName>
    <definedName name="ihdfifguhgfuiyh">{TRUE,TRUE,-1.25,-15.5,604.5,366.75,FALSE,FALSE,TRUE,TRUE,0,1,#N/A,1,#N/A,9.0125,24.4117647058824,1,FALSE,FALSE,3,TRUE,1,FALSE,100,"Swvu.PLANILHA2.","ACwvu.PLANILHA2.",#N/A,FALSE,FALSE,0.787401575,0.34,0.46,0.5,1,"","",FALSE,FALSE,FALSE,FALSE,1,#N/A,1,1,FALSE,FALSE,#N/A,#N/A,FALSE,FALSE,FALSE,9,65532,65532,FALSE,FALSE,TRUE,TRUE,TRUE}</definedName>
    <definedName name="ihdsitrrt">{TRUE,TRUE,-1.25,-15.5,604.5,366.75,FALSE,FALSE,TRUE,TRUE,0,1,#N/A,1,#N/A,9.0125,24.4117647058824,1,FALSE,FALSE,3,TRUE,1,FALSE,100,"Swvu.PLANILHA2.","ACwvu.PLANILHA2.",#N/A,FALSE,FALSE,0.787401575,0.34,0.46,0.5,1,"","",FALSE,FALSE,FALSE,FALSE,1,#N/A,1,1,FALSE,FALSE,#N/A,#N/A,FALSE,FALSE,FALSE,9,65532,65532,FALSE,FALSE,TRUE,TRUE,TRUE}</definedName>
    <definedName name="iheidhgufr">#REF!</definedName>
    <definedName name="ihfdkjhktgrd">{#N/A,#N/A,FALSE,"Plan1";#N/A,#N/A,FALSE,"Plan2"}</definedName>
    <definedName name="ihrtetw4r">{#N/A,#N/A,FALSE,"Plan1";#N/A,#N/A,FALSE,"Plan2"}</definedName>
    <definedName name="II">#REF!</definedName>
    <definedName name="IIASDSAWE">{"Econ Consolidado",#N/A,FALSE,"Econ Consol";"Fluxo de Caixa",#N/A,FALSE,"Fluxo Caixa";"Investimentos",#N/A,FALSE,"Investimentos"}</definedName>
    <definedName name="III">#REF!</definedName>
    <definedName name="iinstalações">{#N/A,#N/A,FALSE,"GERAL";#N/A,#N/A,FALSE,"012-96";#N/A,#N/A,FALSE,"018-96";#N/A,#N/A,FALSE,"027-96";#N/A,#N/A,FALSE,"059-96";#N/A,#N/A,FALSE,"076-96";#N/A,#N/A,FALSE,"019-97";#N/A,#N/A,FALSE,"021-97";#N/A,#N/A,FALSE,"022-97";#N/A,#N/A,FALSE,"028-97"}</definedName>
    <definedName name="ilhweilrji4e">{#N/A,#N/A,FALSE,"Plan1";#N/A,#N/A,FALSE,"Plan2"}</definedName>
    <definedName name="ilsdr4wfr">{TRUE,TRUE,-1.25,-15.5,604.5,366.75,FALSE,FALSE,TRUE,TRUE,0,1,#N/A,1,#N/A,9.0125,24.4117647058824,1,FALSE,FALSE,3,TRUE,1,FALSE,100,"Swvu.PLANILHA2.","ACwvu.PLANILHA2.",#N/A,FALSE,FALSE,0.787401575,0.34,0.46,0.5,1,"","",FALSE,FALSE,FALSE,FALSE,1,#N/A,1,1,FALSE,FALSE,#N/A,#N/A,FALSE,FALSE,FALSE,9,65532,65532,FALSE,FALSE,TRUE,TRUE,TRUE}</definedName>
    <definedName name="IM">#REF!</definedName>
    <definedName name="IMP">#REF!</definedName>
    <definedName name="IMPERMEABILIZ.">#REF!</definedName>
    <definedName name="IMPF">#REF!</definedName>
    <definedName name="IMPI">#REF!</definedName>
    <definedName name="IMPOSTO">#REF!</definedName>
    <definedName name="INCC">#REF!</definedName>
    <definedName name="Incorido_Aplicado_X_Físico">#REF!</definedName>
    <definedName name="INCORPORAÇÃO">#REF!</definedName>
    <definedName name="Index">#REF!</definedName>
    <definedName name="Indice">#REF!</definedName>
    <definedName name="indice_correcao_proj">#REF!</definedName>
    <definedName name="infra">#REF!</definedName>
    <definedName name="Infra_OBra_Sienge">#REF!</definedName>
    <definedName name="Infra_Projetos_Sienge">#REF!</definedName>
    <definedName name="INFRA2">#REF!</definedName>
    <definedName name="Insatalações">{#N/A,#N/A,FALSE,"GERAL";#N/A,#N/A,FALSE,"012-96";#N/A,#N/A,FALSE,"018-96";#N/A,#N/A,FALSE,"027-96";#N/A,#N/A,FALSE,"059-96";#N/A,#N/A,FALSE,"076-96";#N/A,#N/A,FALSE,"019-97";#N/A,#N/A,FALSE,"021-97";#N/A,#N/A,FALSE,"022-97";#N/A,#N/A,FALSE,"028-97"}</definedName>
    <definedName name="INSS_Bloqueado_Fin_Medição">#REF!</definedName>
    <definedName name="Inss_Bloqueado_Previsão_Fin_Medições">#REF!</definedName>
    <definedName name="instalaçoes2">{#N/A,#N/A,FALSE,"GERAL";#N/A,#N/A,FALSE,"012-96";#N/A,#N/A,FALSE,"018-96";#N/A,#N/A,FALSE,"027-96";#N/A,#N/A,FALSE,"059-96";#N/A,#N/A,FALSE,"076-96";#N/A,#N/A,FALSE,"019-97";#N/A,#N/A,FALSE,"021-97";#N/A,#N/A,FALSE,"022-97";#N/A,#N/A,FALSE,"028-97"}</definedName>
    <definedName name="INSU">OFFSET(#REF!,0,0,COUNTA(#REF!),1)</definedName>
    <definedName name="INSUMOS">#REF!</definedName>
    <definedName name="INT.FILTRO.NBASE">#REF!</definedName>
    <definedName name="INTEGRA">{"'Edit'!$A$1:$V$2277"}</definedName>
    <definedName name="IO">196.003</definedName>
    <definedName name="ioeriotyt">{#N/A,#N/A,FALSE,"Plan1";#N/A,#N/A,FALSE,"Plan2"}</definedName>
    <definedName name="iohudtorh">{#N/A,#N/A,FALSE,"Plan1";#N/A,#N/A,FALSE,"Plan2"}</definedName>
    <definedName name="iojtkheayed">{#N/A,#N/A,FALSE,"Plan1";#N/A,#N/A,FALSE,"Plan2"}</definedName>
    <definedName name="iouweroieuw4">{#N/A,#N/A,FALSE,"Plan1";#N/A,#N/A,FALSE,"Plan2"}</definedName>
    <definedName name="iphifpgh">{#N/A,#N/A,FALSE,"Plan1";#N/A,#N/A,FALSE,"Plan2"}</definedName>
    <definedName name="IPMF">#REF!</definedName>
    <definedName name="ipodsifgpdsr">{TRUE,TRUE,-1.25,-15.5,604.5,366.75,FALSE,FALSE,TRUE,TRUE,0,1,#N/A,1,#N/A,9.0125,24.4117647058824,1,FALSE,FALSE,3,TRUE,1,FALSE,100,"Swvu.PLANILHA2.","ACwvu.PLANILHA2.",#N/A,FALSE,FALSE,0.787401575,0.34,0.46,0.5,1,"","",FALSE,FALSE,FALSE,FALSE,1,#N/A,1,1,FALSE,FALSE,#N/A,#N/A,FALSE,FALSE,FALSE,9,65532,65532,FALSE,FALSE,TRUE,TRUE,TRUE}</definedName>
    <definedName name="ipotjrjketjr">{#N/A,#N/A,FALSE,"Plan1";#N/A,#N/A,FALSE,"Plan2"}</definedName>
    <definedName name="IQ_ADDIN">"AUTO"</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AMES_REVISION_DATE_">40730.4399768518</definedName>
    <definedName name="IQ_NTM">6000</definedName>
    <definedName name="IQ_TODAY">0</definedName>
    <definedName name="IQ_WEEK">50000</definedName>
    <definedName name="IQ_YTD">3000</definedName>
    <definedName name="IQ_YTDMONTH">130000</definedName>
    <definedName name="IR_diferido">#REF!</definedName>
    <definedName name="ISOPOR">#REF!</definedName>
    <definedName name="ISS">#REF!</definedName>
    <definedName name="ItalieNS">#REF!</definedName>
    <definedName name="ItalieNT">#REF!</definedName>
    <definedName name="itc_cdi">#REF!</definedName>
    <definedName name="itc_hist">#REF!</definedName>
    <definedName name="itc_uss">#REF!</definedName>
    <definedName name="item_1">#REF!</definedName>
    <definedName name="ITEMCONT">#REF!</definedName>
    <definedName name="ITEMDER">#REF!</definedName>
    <definedName name="ITEMIZAÇÃO">#REF!</definedName>
    <definedName name="ITEMIZAÇÃO_2">#REF!</definedName>
    <definedName name="ITEMIZAÇÃO_3">#REF!</definedName>
    <definedName name="ITEMIZAÇÃO_4">#REF!</definedName>
    <definedName name="ITEMIZAÇÃO_5">#REF!</definedName>
    <definedName name="ITEMIZAÇÃO_7">#REF!</definedName>
    <definedName name="ITEMIZAÇÃO_8">#REF!</definedName>
    <definedName name="ITEMR20">#REF!</definedName>
    <definedName name="ITEM별상세업무분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M별업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ITENS">#REF!</definedName>
    <definedName name="ITENS0">#REF!</definedName>
    <definedName name="ITENS1">#REF!</definedName>
    <definedName name="ITENSP">#REF!</definedName>
    <definedName name="ITENSPMED">#REF!</definedName>
    <definedName name="IUGFGDFUYR">{TRUE,TRUE,-1.25,-15.5,604.5,366.75,FALSE,FALSE,TRUE,TRUE,0,1,#N/A,1,#N/A,9.0125,24.4117647058824,1,FALSE,FALSE,3,TRUE,1,FALSE,100,"Swvu.PLANILHA2.","ACwvu.PLANILHA2.",#N/A,FALSE,FALSE,0.787401575,0.34,0.46,0.5,1,"","",FALSE,FALSE,FALSE,FALSE,1,#N/A,1,1,FALSE,FALSE,#N/A,#N/A,FALSE,FALSE,FALSE,9,65532,65532,FALSE,FALSE,TRUE,TRUE,TRUE}</definedName>
    <definedName name="IV">#REF!</definedName>
    <definedName name="iyguygiyt">{#N/A,#N/A,FALSE,"Plan1";#N/A,#N/A,FALSE,"Plan2"}</definedName>
    <definedName name="iyuyheturtd">{#N/A,#N/A,FALSE,"Plan1";#N/A,#N/A,FALSE,"Plan2"}</definedName>
    <definedName name="j">{TRUE,TRUE,-1.25,-15.5,604.5,366.75,FALSE,FALSE,TRUE,TRUE,0,1,#N/A,1,#N/A,9.0125,24.4117647058824,1,FALSE,FALSE,3,TRUE,1,FALSE,100,"Swvu.PLANILHA2.","ACwvu.PLANILHA2.",#N/A,FALSE,FALSE,0.787401575,0.34,0.46,0.5,1,"","",FALSE,FALSE,FALSE,FALSE,1,#N/A,1,1,FALSE,FALSE,#N/A,#N/A,FALSE,FALSE,FALSE,9,65532,65532,FALSE,FALSE,TRUE,TRUE,TRUE}</definedName>
    <definedName name="jalejdasjf">{#N/A,#N/A,FALSE,"Plan1";#N/A,#N/A,FALSE,"Plan2"}</definedName>
    <definedName name="jan_05">#REF!</definedName>
    <definedName name="jan17RJ">#REF!</definedName>
    <definedName name="JANEIRO2001">#REF!</definedName>
    <definedName name="JASDJS">{#N/A,#N/A,FALSE,"Plan1";#N/A,#N/A,FALSE,"Plan2"}</definedName>
    <definedName name="jaskldjlse">{#N/A,#N/A,FALSE,"Plan1";#N/A,#N/A,FALSE,"Plan2"}</definedName>
    <definedName name="JASLDKLD">{#N/A,#N/A,FALSE,"Plan1";#N/A,#N/A,FALSE,"Plan2"}</definedName>
    <definedName name="jasoe">#REF!</definedName>
    <definedName name="jbzxffcbgdhgft">#REF!</definedName>
    <definedName name="JÇDFHDF">{"Econ Consolidado",#N/A,FALSE,"Econ Consol";"Fluxo de Caixa",#N/A,FALSE,"Fluxo Caixa";"Investimentos",#N/A,FALSE,"Investimentos"}</definedName>
    <definedName name="jdbgftbhr">{#N/A,#N/A,FALSE,"Plan1";#N/A,#N/A,FALSE,"Plan2"}</definedName>
    <definedName name="jdfgkrhgft">#REF!</definedName>
    <definedName name="jdfgldfjgklh">{#N/A,#N/A,FALSE,"Plan1";#N/A,#N/A,FALSE,"Plan2"}</definedName>
    <definedName name="jdfhjkdrhjtkgr">{TRUE,TRUE,-1.25,-15.5,604.5,366.75,FALSE,FALSE,TRUE,TRUE,0,1,#N/A,1,#N/A,9.0125,24.4117647058824,1,FALSE,FALSE,3,TRUE,1,FALSE,100,"Swvu.PLANILHA2.","ACwvu.PLANILHA2.",#N/A,FALSE,FALSE,0.787401575,0.34,0.46,0.5,1,"","",FALSE,FALSE,FALSE,FALSE,1,#N/A,1,1,FALSE,FALSE,#N/A,#N/A,FALSE,FALSE,FALSE,9,65532,65532,FALSE,FALSE,TRUE,TRUE,TRUE}</definedName>
    <definedName name="jdfjdtrgt">{#N/A,#N/A,FALSE,"Plan1";#N/A,#N/A,FALSE,"Plan2"}</definedName>
    <definedName name="JDFJLDJR">{#N/A,#N/A,FALSE,"Plan1";#N/A,#N/A,FALSE,"Plan2"}</definedName>
    <definedName name="jdfkgitfgdrtt">{#N/A,#N/A,FALSE,"Plan1";#N/A,#N/A,FALSE,"Plan2"}</definedName>
    <definedName name="JDFKHFKJ">{#N/A,#N/A,FALSE,"Plan1";#N/A,#N/A,FALSE,"Plan2"}</definedName>
    <definedName name="jdfklgtdtr">{#N/A,#N/A,FALSE,"Plan1";#N/A,#N/A,FALSE,"Plan2"}</definedName>
    <definedName name="JDFKTHRT">{#N/A,#N/A,FALSE,"Plan1";#N/A,#N/A,FALSE,"Plan2"}</definedName>
    <definedName name="JDFLKJDRF">{#N/A,#N/A,FALSE,"Plan1";#N/A,#N/A,FALSE,"Plan2"}</definedName>
    <definedName name="jdfzlkjgfdht">{#N/A,#N/A,FALSE,"Plan1";#N/A,#N/A,FALSE,"Plan2"}</definedName>
    <definedName name="jdglhfghkt">{#N/A,#N/A,FALSE,"Plan1";#N/A,#N/A,FALSE,"Plan2"}</definedName>
    <definedName name="jdhfjdhgfd">{#N/A,#N/A,FALSE,"Plan1";#N/A,#N/A,FALSE,"Plan2"}</definedName>
    <definedName name="jdjdjdjd">{#N/A,#N/A,FALSE,"명세표"}</definedName>
    <definedName name="jdkfhgjhf">{#N/A,#N/A,FALSE,"Plan1";#N/A,#N/A,FALSE,"Plan2"}</definedName>
    <definedName name="jdkfjdtr">{#N/A,#N/A,FALSE,"Plan1";#N/A,#N/A,FALSE,"Plan2"}</definedName>
    <definedName name="jdljgftldjti5r">{#N/A,#N/A,FALSE,"Plan1";#N/A,#N/A,FALSE,"Plan2"}</definedName>
    <definedName name="JDLKJDASGF">{#N/A,#N/A,FALSE,"Plan1";#N/A,#N/A,FALSE,"Plan2"}</definedName>
    <definedName name="jdrfkdjfghrtfjg">{#N/A,#N/A,FALSE,"Plan1";#N/A,#N/A,FALSE,"Plan2"}</definedName>
    <definedName name="jdskfhdk">{#N/A,#N/A,FALSE,"Plan1";#N/A,#N/A,FALSE,"Plan2"}</definedName>
    <definedName name="JDSKLGKDRHGGF">{#N/A,#N/A,FALSE,"Plan1";#N/A,#N/A,FALSE,"Plan2"}</definedName>
    <definedName name="jefsgfr">{#N/A,#N/A,FALSE,"Plan1";#N/A,#N/A,FALSE,"Plan2"}</definedName>
    <definedName name="JERHIEHYURE">{#N/A,#N/A,FALSE,"Plan1";#N/A,#N/A,FALSE,"Plan2"}</definedName>
    <definedName name="jfddlsrtyty">{#N/A,#N/A,FALSE,"Plan1";#N/A,#N/A,FALSE,"Plan2"}</definedName>
    <definedName name="jfdjtgdjghitfyh">{#N/A,#N/A,FALSE,"Plan1";#N/A,#N/A,FALSE,"Plan2"}</definedName>
    <definedName name="jfdkgkftftg">{#N/A,#N/A,FALSE,"Plan1";#N/A,#N/A,FALSE,"Plan2"}</definedName>
    <definedName name="jfghjkfdhtkyru">{TRUE,TRUE,-1.25,-15.5,604.5,366.75,FALSE,FALSE,TRUE,TRUE,0,1,#N/A,1,#N/A,9.0125,24.4117647058824,1,FALSE,FALSE,3,TRUE,1,FALSE,100,"Swvu.PLANILHA2.","ACwvu.PLANILHA2.",#N/A,FALSE,FALSE,0.787401575,0.34,0.46,0.5,1,"","",FALSE,FALSE,FALSE,FALSE,1,#N/A,1,1,FALSE,FALSE,#N/A,#N/A,FALSE,FALSE,FALSE,9,65532,65532,FALSE,FALSE,TRUE,TRUE,TRUE}</definedName>
    <definedName name="JFGJYHTY">{#N/A,#N/A,FALSE,"Plan1";#N/A,#N/A,FALSE,"Plan2"}</definedName>
    <definedName name="jfgkflcnjkglc">{#N/A,#N/A,FALSE,"Plan1";#N/A,#N/A,FALSE,"Plan2"}</definedName>
    <definedName name="JFHRE">{#N/A,#N/A,FALSE,"Plan1";#N/A,#N/A,FALSE,"Plan2"}</definedName>
    <definedName name="jfkdls5jtirjd">{#N/A,#N/A,FALSE,"Plan1";#N/A,#N/A,FALSE,"Plan2"}</definedName>
    <definedName name="jfkljdkfcj">{#N/A,#N/A,FALSE,"Plan1";#N/A,#N/A,FALSE,"Plan2"}</definedName>
    <definedName name="jfkrhdtghdut">{#N/A,#N/A,FALSE,"Plan1";#N/A,#N/A,FALSE,"Plan2"}</definedName>
    <definedName name="JFRESR">{#N/A,#N/A,FALSE,"Plan1";#N/A,#N/A,FALSE,"Plan2"}</definedName>
    <definedName name="jgdfdgfjgdj">{#N/A,#N/A,FALSE,"Plan1";#N/A,#N/A,FALSE,"Plan2"}</definedName>
    <definedName name="jgdfght">{#N/A,#N/A,FALSE,"Plan1";#N/A,#N/A,FALSE,"Plan2"}</definedName>
    <definedName name="jgfgdsgfdhrf">{#N/A,#N/A,FALSE,"Plan1";#N/A,#N/A,FALSE,"Plan2"}</definedName>
    <definedName name="JGFJGTFT">{#N/A,#N/A,FALSE,"Plan1";#N/A,#N/A,FALSE,"Plan2"}</definedName>
    <definedName name="JGJSFJKSDGB">17</definedName>
    <definedName name="jgkjkhjuftgi">{#N/A,#N/A,FALSE,"Plan1";#N/A,#N/A,FALSE,"Plan2"}</definedName>
    <definedName name="jhd">{TRUE,TRUE,-1.25,-15.5,604.5,366.75,FALSE,FALSE,TRUE,TRUE,0,1,#N/A,1,#N/A,9.0125,24.4117647058824,1,FALSE,FALSE,3,TRUE,1,FALSE,100,"Swvu.PLANILHA2.","ACwvu.PLANILHA2.",#N/A,FALSE,FALSE,0.787401575,0.34,0.46,0.5,1,"","",FALSE,FALSE,FALSE,FALSE,1,#N/A,1,1,FALSE,FALSE,#N/A,#N/A,FALSE,FALSE,FALSE,9,65532,65532,FALSE,FALSE,TRUE,TRUE,TRUE}</definedName>
    <definedName name="jhdfjjhirft">{#N/A,#N/A,FALSE,"Plan1";#N/A,#N/A,FALSE,"Plan2"}</definedName>
    <definedName name="jhdfjkhtrdhf">{#N/A,#N/A,FALSE,"Plan1";#N/A,#N/A,FALSE,"Plan2"}</definedName>
    <definedName name="jhdfuthr">{#N/A,#N/A,FALSE,"Plan1";#N/A,#N/A,FALSE,"Plan2"}</definedName>
    <definedName name="JHDFZGRDHF">{"Econ Consolidado",#N/A,FALSE,"Econ Consol";"Fluxo de Caixa",#N/A,FALSE,"Fluxo Caixa";"Investimentos",#N/A,FALSE,"Investimentos"}</definedName>
    <definedName name="JHERKHKFGH">{#N/A,#N/A,FALSE,"Plan1";#N/A,#N/A,FALSE,"Plan2"}</definedName>
    <definedName name="jhfhhztfhe">#REF!</definedName>
    <definedName name="JHGKJFJFJGL">{#N/A,#N/A,FALSE,"Plan1";#N/A,#N/A,FALSE,"Plan2"}</definedName>
    <definedName name="jhsdjkhfuks">{#N/A,#N/A,FALSE,"Plan1";#N/A,#N/A,FALSE,"Plan2"}</definedName>
    <definedName name="jisdrkje">{#N/A,#N/A,FALSE,"Plan1";#N/A,#N/A,FALSE,"Plan2"}</definedName>
    <definedName name="jishfrieyhtau">{#N/A,#N/A,FALSE,"Plan1";#N/A,#N/A,FALSE,"Plan2"}</definedName>
    <definedName name="jiu">{TRUE,TRUE,-1.25,-15.5,604.5,366.75,FALSE,FALSE,TRUE,TRUE,0,1,#N/A,1,#N/A,9.0125,24.4117647058824,1,FALSE,FALSE,3,TRUE,1,FALSE,100,"Swvu.PLANILHA2.","ACwvu.PLANILHA2.",#N/A,FALSE,FALSE,0.787401575,0.34,0.46,0.5,1,"","",FALSE,FALSE,FALSE,FALSE,1,#N/A,1,1,FALSE,FALSE,#N/A,#N/A,FALSE,FALSE,FALSE,9,65532,65532,FALSE,FALSE,TRUE,TRUE,TRUE}</definedName>
    <definedName name="jj">{"'Apr-00'!$B$4:$AD$44"}</definedName>
    <definedName name="jjfdsktyhhy">{#N/A,#N/A,FALSE,"Plan1";#N/A,#N/A,FALSE,"Plan2"}</definedName>
    <definedName name="jjjjjjjjjjjjjjjjjjjj">#REF!</definedName>
    <definedName name="jjkjkjk">{#N/A,#N/A,FALSE,"Plan1";#N/A,#N/A,FALSE,"Plan2"}</definedName>
    <definedName name="JKDCK">{#N/A,#N/A,FALSE,"Plan1";#N/A,#N/A,FALSE,"Plan2"}</definedName>
    <definedName name="JKDFHKHFR">{#N/A,#N/A,FALSE,"Plan1";#N/A,#N/A,FALSE,"Plan2"}</definedName>
    <definedName name="JKDFTRDRJ">{#N/A,#N/A,FALSE,"Plan1";#N/A,#N/A,FALSE,"Plan2"}</definedName>
    <definedName name="jkdhfukhddf">{#N/A,#N/A,FALSE,"Plan1";#N/A,#N/A,FALSE,"Plan2"}</definedName>
    <definedName name="JKDRKGJHTDRF">{TRUE,TRUE,-1.25,-15.5,604.5,366.75,FALSE,FALSE,TRUE,TRUE,0,1,#N/A,1,#N/A,9.0125,24.4117647058824,1,FALSE,FALSE,3,TRUE,1,FALSE,100,"Swvu.PLANILHA2.","ACwvu.PLANILHA2.",#N/A,FALSE,FALSE,0.787401575,0.34,0.46,0.5,1,"","",FALSE,FALSE,FALSE,FALSE,1,#N/A,1,1,FALSE,FALSE,#N/A,#N/A,FALSE,FALSE,FALSE,9,65532,65532,FALSE,FALSE,TRUE,TRUE,TRUE}</definedName>
    <definedName name="jkelsjreja">{#N/A,#N/A,FALSE,"Plan1";#N/A,#N/A,FALSE,"Plan2"}</definedName>
    <definedName name="jkfhjgkfhghh">{#N/A,#N/A,FALSE,"Plan1";#N/A,#N/A,FALSE,"Plan2"}</definedName>
    <definedName name="jkhderjkhes">{#N/A,#N/A,FALSE,"Plan1";#N/A,#N/A,FALSE,"Plan2"}</definedName>
    <definedName name="jkhdfhfd">{#N/A,#N/A,FALSE,"Plan1";#N/A,#N/A,FALSE,"Plan2"}</definedName>
    <definedName name="jkhfhestr">{TRUE,TRUE,-1.25,-15.5,604.5,366.75,FALSE,FALSE,TRUE,TRUE,0,1,#N/A,1,#N/A,9.0125,24.4117647058824,1,FALSE,FALSE,3,TRUE,1,FALSE,100,"Swvu.PLANILHA2.","ACwvu.PLANILHA2.",#N/A,FALSE,FALSE,0.787401575,0.34,0.46,0.5,1,"","",FALSE,FALSE,FALSE,FALSE,1,#N/A,1,1,FALSE,FALSE,#N/A,#N/A,FALSE,FALSE,FALSE,9,65532,65532,FALSE,FALSE,TRUE,TRUE,TRUE}</definedName>
    <definedName name="JKHFKJHGKFTHUDET">{#N/A,#N/A,FALSE,"Plan1";#N/A,#N/A,FALSE,"Plan2"}</definedName>
    <definedName name="JKHGDHFUHTG">{#N/A,#N/A,FALSE,"Plan1";#N/A,#N/A,FALSE,"Plan2"}</definedName>
    <definedName name="jkhsdzjkfyiu">{#N/A,#N/A,FALSE,"Plan1";#N/A,#N/A,FALSE,"Plan2"}</definedName>
    <definedName name="jkjsdkhfdhrf">{#N/A,#N/A,FALSE,"Plan1";#N/A,#N/A,FALSE,"Plan2"}</definedName>
    <definedName name="jklgfsjgtjtg">{#N/A,#N/A,FALSE,"Plan1";#N/A,#N/A,FALSE,"Plan2"}</definedName>
    <definedName name="jksldfjsdhf">{#N/A,#N/A,FALSE,"Plan1";#N/A,#N/A,FALSE,"Plan2"}</definedName>
    <definedName name="jkxhcjkhfr">{#N/A,#N/A,FALSE,"Plan1";#N/A,#N/A,FALSE,"Plan2"}</definedName>
    <definedName name="JNGCKFKJFGH">{#N/A,#N/A,FALSE,"Plan1";#N/A,#N/A,FALSE,"Plan2"}</definedName>
    <definedName name="JOALDO">#REF!</definedName>
    <definedName name="joao_cdi">#REF!</definedName>
    <definedName name="joao_hist">#REF!</definedName>
    <definedName name="joao_uss">#REF!</definedName>
    <definedName name="JREJRW">{#N/A,#N/A,FALSE,"Plan1";#N/A,#N/A,FALSE,"Plan2"}</definedName>
    <definedName name="JSADKAH">{"Econ Consolidado",#N/A,FALSE,"Econ Consol";"Fluxo de Caixa",#N/A,FALSE,"Fluxo Caixa";"Investimentos",#N/A,FALSE,"Investimentos"}</definedName>
    <definedName name="JSDAJRE">{#N/A,#N/A,FALSE,"Plan1";#N/A,#N/A,FALSE,"Plan2"}</definedName>
    <definedName name="jsdffsed">{TRUE,TRUE,-1.25,-15.5,604.5,366.75,FALSE,FALSE,TRUE,TRUE,0,1,#N/A,1,#N/A,9.0125,24.4117647058824,1,FALSE,FALSE,3,TRUE,1,FALSE,100,"Swvu.PLANILHA2.","ACwvu.PLANILHA2.",#N/A,FALSE,FALSE,0.787401575,0.34,0.46,0.5,1,"","",FALSE,FALSE,FALSE,FALSE,1,#N/A,1,1,FALSE,FALSE,#N/A,#N/A,FALSE,FALSE,FALSE,9,65532,65532,FALSE,FALSE,TRUE,TRUE,TRUE}</definedName>
    <definedName name="jsdfjgx">{#N/A,#N/A,FALSE,"Plan1";#N/A,#N/A,FALSE,"Plan2"}</definedName>
    <definedName name="jsdfkgnfr">#REF!</definedName>
    <definedName name="jsdfsdfd">{#N/A,#N/A,FALSE,"Plan1";#N/A,#N/A,FALSE,"Plan2"}</definedName>
    <definedName name="jsdljficd">{#N/A,#N/A,FALSE,"Plan1";#N/A,#N/A,FALSE,"Plan2"}</definedName>
    <definedName name="JSDTLFJDRG">{#N/A,#N/A,FALSE,"Plan1";#N/A,#N/A,FALSE,"Plan2"}</definedName>
    <definedName name="jsfjsjferwea">{#N/A,#N/A,FALSE,"Plan1";#N/A,#N/A,FALSE,"Plan2"}</definedName>
    <definedName name="jslrjer">{#N/A,#N/A,FALSE,"Plan1";#N/A,#N/A,FALSE,"Plan2"}</definedName>
    <definedName name="juklhkhdf">{#N/A,#N/A,FALSE,"Plan1";#N/A,#N/A,FALSE,"Plan2"}</definedName>
    <definedName name="jul17RJ">#REF!</definedName>
    <definedName name="JULHO">#REF!</definedName>
    <definedName name="JULHO2001">#REF!</definedName>
    <definedName name="JULHO99">{#N/A,#N/A,TRUE,"Quinzena 01 à 15-04-98 "}</definedName>
    <definedName name="jun17RJ">#REF!</definedName>
    <definedName name="JUNHO">#REF!</definedName>
    <definedName name="JUNHO2001">#REF!</definedName>
    <definedName name="JurosTpMes">#REF!</definedName>
    <definedName name="jwekljd">{#N/A,#N/A,FALSE,"Plan1";#N/A,#N/A,FALSE,"Plan2"}</definedName>
    <definedName name="JWEOITORU5Y">{#N/A,#N/A,FALSE,"Plan1";#N/A,#N/A,FALSE,"Plan2"}</definedName>
    <definedName name="jxdfjsrf">{#N/A,#N/A,FALSE,"Plan1";#N/A,#N/A,FALSE,"Plan2"}</definedName>
    <definedName name="jxdklfjv">{TRUE,TRUE,-1.25,-15.5,604.5,366.75,FALSE,FALSE,TRUE,TRUE,0,1,#N/A,1,#N/A,9.0125,24.4117647058824,1,FALSE,FALSE,3,TRUE,1,FALSE,100,"Swvu.PLANILHA2.","ACwvu.PLANILHA2.",#N/A,FALSE,FALSE,0.787401575,0.34,0.46,0.5,1,"","",FALSE,FALSE,FALSE,FALSE,1,#N/A,1,1,FALSE,FALSE,#N/A,#N/A,FALSE,FALSE,FALSE,9,65532,65532,FALSE,FALSE,TRUE,TRUE,TRUE}</definedName>
    <definedName name="JY">#REF!</definedName>
    <definedName name="jzsdjkszl">{#N/A,#N/A,FALSE,"Plan1";#N/A,#N/A,FALSE,"Plan2"}</definedName>
    <definedName name="JZXFKLJLDJF">{#N/A,#N/A,FALSE,"Plan1";#N/A,#N/A,FALSE,"Plan2"}</definedName>
    <definedName name="jzxklfdlvgfg">{#N/A,#N/A,FALSE,"Plan1";#N/A,#N/A,FALSE,"Plan2"}</definedName>
    <definedName name="k">{#N/A,#N/A,FALSE,"Plan1";#N/A,#N/A,FALSE,"Plan2"}</definedName>
    <definedName name="K_1">#REF!</definedName>
    <definedName name="kaedkroswr">{"Econ Consolidado",#N/A,FALSE,"Econ Consol";"Fluxo de Caixa",#N/A,FALSE,"Fluxo Caixa";"Investimentos",#N/A,FALSE,"Investimentos"}</definedName>
    <definedName name="kapa">#REF!</definedName>
    <definedName name="kç\lKçaksdçaqew" hidden="1">{#N/A,#N/A,FALSE,"Plan1";#N/A,#N/A,FALSE,"Plan2"}</definedName>
    <definedName name="kçdasekr">{#N/A,#N/A,FALSE,"Plan1";#N/A,#N/A,FALSE,"Plan2"}</definedName>
    <definedName name="kçfdljtredr">{#N/A,#N/A,FALSE,"Plan1";#N/A,#N/A,FALSE,"Plan2"}</definedName>
    <definedName name="KCIVIL">#REF!</definedName>
    <definedName name="kclçkglf">{#N/A,#N/A,FALSE,"Plan1";#N/A,#N/A,FALSE,"Plan2"}</definedName>
    <definedName name="kçlkasçkere">{#N/A,#N/A,FALSE,"Plan1";#N/A,#N/A,FALSE,"Plan2"}</definedName>
    <definedName name="kdfbngtjkbf">{#N/A,#N/A,FALSE,"Plan1";#N/A,#N/A,FALSE,"Plan2"}</definedName>
    <definedName name="kdfhkghkrh">{#N/A,#N/A,FALSE,"Plan1";#N/A,#N/A,FALSE,"Plan2"}</definedName>
    <definedName name="kdfierer">{TRUE,TRUE,-1.25,-15.5,604.5,366.75,FALSE,FALSE,TRUE,TRUE,0,1,#N/A,1,#N/A,9.0125,24.4117647058824,1,FALSE,FALSE,3,TRUE,1,FALSE,100,"Swvu.PLANILHA2.","ACwvu.PLANILHA2.",#N/A,FALSE,FALSE,0.787401575,0.34,0.46,0.5,1,"","",FALSE,FALSE,FALSE,FALSE,1,#N/A,1,1,FALSE,FALSE,#N/A,#N/A,FALSE,FALSE,FALSE,9,65532,65532,FALSE,FALSE,TRUE,TRUE,TRUE}</definedName>
    <definedName name="kdfkçrkf">{#N/A,#N/A,FALSE,"Plan1";#N/A,#N/A,FALSE,"Plan2"}</definedName>
    <definedName name="kdfljlfr">{#N/A,#N/A,FALSE,"Plan1";#N/A,#N/A,FALSE,"Plan2"}</definedName>
    <definedName name="kdhfgkdfhytgu">{#N/A,#N/A,FALSE,"Plan1";#N/A,#N/A,FALSE,"Plan2"}</definedName>
    <definedName name="kdhgftfg">{#N/A,#N/A,FALSE,"Plan1";#N/A,#N/A,FALSE,"Plan2"}</definedName>
    <definedName name="KDHKFGKKHGF">{#N/A,#N/A,FALSE,"Plan1";#N/A,#N/A,FALSE,"Plan2"}</definedName>
    <definedName name="kdjfdr">#REF!</definedName>
    <definedName name="kdjgkfjgd">{#N/A,#N/A,FALSE,"Plan1";#N/A,#N/A,FALSE,"Plan2"}</definedName>
    <definedName name="kdjglkdlgjd">{#N/A,#N/A,FALSE,"Plan1";#N/A,#N/A,FALSE,"Plan2"}</definedName>
    <definedName name="kdjsfkldjgkty">{#N/A,#N/A,FALSE,"Plan1";#N/A,#N/A,FALSE,"Plan2"}</definedName>
    <definedName name="KDJU">{"'장비'!$A$3:$M$12"}</definedName>
    <definedName name="kdkjhgdkfhjk">{#N/A,#N/A,FALSE,"Plan1";#N/A,#N/A,FALSE,"Plan2"}</definedName>
    <definedName name="kdsf">{#N/A,#N/A,FALSE,"Plan1";#N/A,#N/A,FALSE,"Plan2"}</definedName>
    <definedName name="kdsr">{#N/A,#N/A,FALSE,"Plan1";#N/A,#N/A,FALSE,"Plan2"}</definedName>
    <definedName name="kergtfdstr">{#N/A,#N/A,FALSE,"Plan1";#N/A,#N/A,FALSE,"Plan2"}</definedName>
    <definedName name="kesp">#REF!</definedName>
    <definedName name="KFDKTHGT">{#N/A,#N/A,FALSE,"Plan1";#N/A,#N/A,FALSE,"Plan2"}</definedName>
    <definedName name="kfdxlfdzs">{"Econ Consolidado",#N/A,FALSE,"Econ Consol";"Fluxo de Caixa",#N/A,FALSE,"Fluxo Caixa";"Investimentos",#N/A,FALSE,"Investimentos"}</definedName>
    <definedName name="kfgkhjkjhy">{#N/A,#N/A,FALSE,"Plan1";#N/A,#N/A,FALSE,"Plan2"}</definedName>
    <definedName name="KFJFDSDF">{#N/A,#N/A,FALSE,"Plan1";#N/A,#N/A,FALSE,"Plan2"}</definedName>
    <definedName name="kfnkeasd">{#N/A,#N/A,FALSE,"Plan1";#N/A,#N/A,FALSE,"Plan2"}</definedName>
    <definedName name="khdjkfkjhtg">{#N/A,#N/A,FALSE,"Plan1";#N/A,#N/A,FALSE,"Plan2"}</definedName>
    <definedName name="khdkfjhhfsdg">{#N/A,#N/A,FALSE,"Plan1";#N/A,#N/A,FALSE,"Plan2"}</definedName>
    <definedName name="khdkjfhgudytu">{#N/A,#N/A,FALSE,"Plan1";#N/A,#N/A,FALSE,"Plan2"}</definedName>
    <definedName name="khfdghhhgd">{#N/A,#N/A,FALSE,"Plan1";#N/A,#N/A,FALSE,"Plan2"}</definedName>
    <definedName name="khfdkjhsdjf">{#N/A,#N/A,FALSE,"Plan1";#N/A,#N/A,FALSE,"Plan2"}</definedName>
    <definedName name="khgdkftfy">{#N/A,#N/A,FALSE,"Plan1";#N/A,#N/A,FALSE,"Plan2"}</definedName>
    <definedName name="khgfhhtuhf">{#N/A,#N/A,FALSE,"Plan1";#N/A,#N/A,FALSE,"Plan2"}</definedName>
    <definedName name="khjkh">{TRUE,TRUE,-1.25,-15.5,604.5,366.75,FALSE,FALSE,TRUE,TRUE,0,1,#N/A,1,#N/A,9.0125,24.4117647058824,1,FALSE,FALSE,3,TRUE,1,FALSE,100,"Swvu.PLANILHA2.","ACwvu.PLANILHA2.",#N/A,FALSE,FALSE,0.787401575,0.34,0.46,0.5,1,"","",FALSE,FALSE,FALSE,FALSE,1,#N/A,1,1,FALSE,FALSE,#N/A,#N/A,FALSE,FALSE,FALSE,9,65532,65532,FALSE,FALSE,TRUE,TRUE,TRUE}</definedName>
    <definedName name="KHJKLSDF">{#N/A,#N/A,FALSE,"Plan1";#N/A,#N/A,FALSE,"Plan2"}</definedName>
    <definedName name="kieret">{#N/A,#N/A,FALSE,"Plan1";#N/A,#N/A,FALSE,"Plan2"}</definedName>
    <definedName name="kiweokwr">#REF!</definedName>
    <definedName name="kjchkfhsezk">{#N/A,#N/A,FALSE,"Plan1";#N/A,#N/A,FALSE,"Plan2"}</definedName>
    <definedName name="kjdghksef">{#N/A,#N/A,FALSE,"Plan1";#N/A,#N/A,FALSE,"Plan2"}</definedName>
    <definedName name="kjdkftyhtert">{#N/A,#N/A,FALSE,"Plan1";#N/A,#N/A,FALSE,"Plan2"}</definedName>
    <definedName name="kjdlfkjds">{#N/A,#N/A,FALSE,"Plan1";#N/A,#N/A,FALSE,"Plan2"}</definedName>
    <definedName name="kjdzhfytrfy">{#N/A,#N/A,FALSE,"Plan1";#N/A,#N/A,FALSE,"Plan2"}</definedName>
    <definedName name="kjhdfgjthdft">{#N/A,#N/A,FALSE,"Plan1";#N/A,#N/A,FALSE,"Plan2"}</definedName>
    <definedName name="kjhsdfk">{TRUE,TRUE,-1.25,-15.5,604.5,366.75,FALSE,FALSE,TRUE,TRUE,0,1,#N/A,1,#N/A,9.0125,24.4117647058824,1,FALSE,FALSE,3,TRUE,1,FALSE,100,"Swvu.PLANILHA2.","ACwvu.PLANILHA2.",#N/A,FALSE,FALSE,0.787401575,0.34,0.46,0.5,1,"","",FALSE,FALSE,FALSE,FALSE,1,#N/A,1,1,FALSE,FALSE,#N/A,#N/A,FALSE,FALSE,FALSE,9,65532,65532,FALSE,FALSE,TRUE,TRUE,TRUE}</definedName>
    <definedName name="kjhsiorf">{#N/A,#N/A,FALSE,"Plan1";#N/A,#N/A,FALSE,"Plan2"}</definedName>
    <definedName name="KJJ">{TRUE,TRUE,-1.25,-15.5,604.5,366.75,FALSE,FALSE,TRUE,TRUE,0,1,#N/A,1,#N/A,9.0125,24.4117647058824,1,FALSE,FALSE,3,TRUE,1,FALSE,100,"Swvu.PLANILHA2.","ACwvu.PLANILHA2.",#N/A,FALSE,FALSE,0.787401575,0.34,0.46,0.5,1,"","",FALSE,FALSE,FALSE,FALSE,1,#N/A,1,1,FALSE,FALSE,#N/A,#N/A,FALSE,FALSE,FALSE,9,65532,65532,FALSE,FALSE,TRUE,TRUE,TRUE}</definedName>
    <definedName name="kjjwww">{#N/A,#N/A,FALSE,"Plan1";#N/A,#N/A,FALSE,"Plan2"}</definedName>
    <definedName name="kjl">{#N/A,#N/A,FALSE,"ENG'G(보호계전기)"}</definedName>
    <definedName name="KJOI">{#N/A,#N/A,FALSE,"Plan1";#N/A,#N/A,FALSE,"Plan2"}</definedName>
    <definedName name="kjqwerw">{#N/A,#N/A,FALSE,"Plan1";#N/A,#N/A,FALSE,"Plan2"}</definedName>
    <definedName name="kjsfert">{#N/A,#N/A,FALSE,"Plan1";#N/A,#N/A,FALSE,"Plan2"}</definedName>
    <definedName name="KJXCFKR">{#N/A,#N/A,FALSE,"Plan1";#N/A,#N/A,FALSE,"Plan2"}</definedName>
    <definedName name="KJXDFD">{#N/A,#N/A,FALSE,"Plan1";#N/A,#N/A,FALSE,"Plan2"}</definedName>
    <definedName name="kjydhfkjghkjfh">#REF!</definedName>
    <definedName name="kk">#REF!</definedName>
    <definedName name="kkf">{TRUE,TRUE,-1.25,-15.5,604.5,366.75,FALSE,FALSE,TRUE,TRUE,0,1,#N/A,1,#N/A,9.0125,24.4117647058824,1,FALSE,FALSE,3,TRUE,1,FALSE,100,"Swvu.PLANILHA2.","ACwvu.PLANILHA2.",#N/A,FALSE,FALSE,0.787401575,0.34,0.46,0.5,1,"","",FALSE,FALSE,FALSE,FALSE,1,#N/A,1,1,FALSE,FALSE,#N/A,#N/A,FALSE,FALSE,FALSE,9,65532,65532,FALSE,FALSE,TRUE,TRUE,TRUE}</definedName>
    <definedName name="kkk">{#N/A,#N/A,FALSE,"Plan1";#N/A,#N/A,FALSE,"Plan2"}</definedName>
    <definedName name="kkkkk">{#N/A,#N/A,FALSE,"Plan1";#N/A,#N/A,FALSE,"Plan2"}</definedName>
    <definedName name="kkkkkk">{#N/A,#N/A,FALSE,"Plan1";#N/A,#N/A,FALSE,"Plan2"}</definedName>
    <definedName name="kko">{TRUE,TRUE,-1.25,-15.5,604.5,366.75,FALSE,FALSE,TRUE,TRUE,0,1,#N/A,1,#N/A,9.0125,24.4117647058824,1,FALSE,FALSE,3,TRUE,1,FALSE,100,"Swvu.PLANILHA2.","ACwvu.PLANILHA2.",#N/A,FALSE,FALSE,0.787401575,0.34,0.46,0.5,1,"","",FALSE,FALSE,FALSE,FALSE,1,#N/A,1,1,FALSE,FALSE,#N/A,#N/A,FALSE,FALSE,FALSE,9,65532,65532,FALSE,FALSE,TRUE,TRUE,TRUE}</definedName>
    <definedName name="kksaklçer">{#N/A,#N/A,FALSE,"Plan1";#N/A,#N/A,FALSE,"Plan2"}</definedName>
    <definedName name="kksarde">{#N/A,#N/A,FALSE,"Plan1";#N/A,#N/A,FALSE,"Plan2"}</definedName>
    <definedName name="klaskldjsw">{#N/A,#N/A,FALSE,"Plan1";#N/A,#N/A,FALSE,"Plan2"}</definedName>
    <definedName name="klçkop">{#N/A,#N/A,FALSE,"Plan1";#N/A,#N/A,FALSE,"Plan2"}</definedName>
    <definedName name="KLDFNTRDT">{#N/A,#N/A,FALSE,"Plan1";#N/A,#N/A,FALSE,"Plan2"}</definedName>
    <definedName name="klhjsdklhdf">{#N/A,#N/A,FALSE,"Plan1";#N/A,#N/A,FALSE,"Plan2"}</definedName>
    <definedName name="KLHSKLRHWE">{#N/A,#N/A,FALSE,"Plan1";#N/A,#N/A,FALSE,"Plan2"}</definedName>
    <definedName name="KLJASKJD">{#N/A,#N/A,FALSE,"Plan1";#N/A,#N/A,FALSE,"Plan2"}</definedName>
    <definedName name="KLJDXLG">{TRUE,TRUE,-1.25,-15.5,604.5,366.75,FALSE,FALSE,TRUE,TRUE,0,1,#N/A,1,#N/A,9.0125,24.4117647058824,1,FALSE,FALSE,3,TRUE,1,FALSE,100,"Swvu.PLANILHA2.","ACwvu.PLANILHA2.",#N/A,FALSE,FALSE,0.787401575,0.34,0.46,0.5,1,"","",FALSE,FALSE,FALSE,FALSE,1,#N/A,1,1,FALSE,FALSE,#N/A,#N/A,FALSE,FALSE,FALSE,9,65532,65532,FALSE,FALSE,TRUE,TRUE,TRUE}</definedName>
    <definedName name="kljeflwr">{#N/A,#N/A,FALSE,"Plan1";#N/A,#N/A,FALSE,"Plan2"}</definedName>
    <definedName name="kljflgjrf">{#N/A,#N/A,FALSE,"Plan1";#N/A,#N/A,FALSE,"Plan2"}</definedName>
    <definedName name="kljgfdfr">{#N/A,#N/A,FALSE,"Plan1";#N/A,#N/A,FALSE,"Plan2"}</definedName>
    <definedName name="kljgfjrt">{#N/A,#N/A,FALSE,"Plan1";#N/A,#N/A,FALSE,"Plan2"}</definedName>
    <definedName name="kljlkdfj">{#N/A,#N/A,FALSE,"Plan1";#N/A,#N/A,FALSE,"Plan2"}</definedName>
    <definedName name="kljsakjfr">{#N/A,#N/A,FALSE,"Plan1";#N/A,#N/A,FALSE,"Plan2"}</definedName>
    <definedName name="kljsdje">{#N/A,#N/A,FALSE,"Plan1";#N/A,#N/A,FALSE,"Plan2"}</definedName>
    <definedName name="kljsfwe">{#N/A,#N/A,FALSE,"Plan1";#N/A,#N/A,FALSE,"Plan2"}</definedName>
    <definedName name="klk">{#N/A,#N/A,FALSE,"Plan1";#N/A,#N/A,FALSE,"Plan2"}</definedName>
    <definedName name="KLKKLKÇJÇ">{#N/A,#N/A,FALSE,"Plan1";#N/A,#N/A,FALSE,"Plan2"}</definedName>
    <definedName name="KLSDFT">{#N/A,#N/A,FALSE,"Plan1";#N/A,#N/A,FALSE,"Plan2"}</definedName>
    <definedName name="KLSDHSJKHF">{#N/A,#N/A,FALSE,"Plan1";#N/A,#N/A,FALSE,"Plan2"}</definedName>
    <definedName name="klsdkre">{#N/A,#N/A,FALSE,"Plan1";#N/A,#N/A,FALSE,"Plan2"}</definedName>
    <definedName name="KLSIDJE">{#N/A,#N/A,FALSE,"Plan1";#N/A,#N/A,FALSE,"Plan2"}</definedName>
    <definedName name="klsjarsf">{#N/A,#N/A,FALSE,"Plan1";#N/A,#N/A,FALSE,"Plan2"}</definedName>
    <definedName name="klsjdwe">#REF!</definedName>
    <definedName name="klxhjfdkhser">{#N/A,#N/A,FALSE,"Plan1";#N/A,#N/A,FALSE,"Plan2"}</definedName>
    <definedName name="kopipnsdfne">{#N/A,#N/A,FALSE,"Plan1";#N/A,#N/A,FALSE,"Plan2"}</definedName>
    <definedName name="kp">{TRUE,TRUE,-1.25,-15.5,604.5,366.75,FALSE,FALSE,TRUE,TRUE,0,1,#N/A,1,#N/A,9.0125,24.4117647058824,1,FALSE,FALSE,3,TRUE,1,FALSE,100,"Swvu.PLANILHA2.","ACwvu.PLANILHA2.",#N/A,FALSE,FALSE,0.787401575,0.34,0.46,0.5,1,"","",FALSE,FALSE,FALSE,FALSE,1,#N/A,1,1,FALSE,FALSE,#N/A,#N/A,FALSE,FALSE,FALSE,9,65532,65532,FALSE,FALSE,TRUE,TRUE,TRUE}</definedName>
    <definedName name="KSDLÇKSÇF">{TRUE,TRUE,-1.25,-15.5,604.5,366.75,FALSE,FALSE,TRUE,TRUE,0,1,#N/A,1,#N/A,9.0125,24.4117647058824,1,FALSE,FALSE,3,TRUE,1,FALSE,100,"Swvu.PLANILHA2.","ACwvu.PLANILHA2.",#N/A,FALSE,FALSE,0.787401575,0.34,0.46,0.5,1,"","",FALSE,FALSE,FALSE,FALSE,1,#N/A,1,1,FALSE,FALSE,#N/A,#N/A,FALSE,FALSE,FALSE,9,65532,65532,FALSE,FALSE,TRUE,TRUE,TRUE}</definedName>
    <definedName name="KSDLDF">{#N/A,#N/A,FALSE,"Plan1";#N/A,#N/A,FALSE,"Plan2"}</definedName>
    <definedName name="ksdlkfsçzd">{#N/A,#N/A,FALSE,"Plan1";#N/A,#N/A,FALSE,"Plan2"}</definedName>
    <definedName name="KSDNFK">#REF!</definedName>
    <definedName name="ksdoçierfe">{#N/A,#N/A,FALSE,"Plan1";#N/A,#N/A,FALSE,"Plan2"}</definedName>
    <definedName name="ksdtrdrkf">{#N/A,#N/A,FALSE,"Plan1";#N/A,#N/A,FALSE,"Plan2"}</definedName>
    <definedName name="KSFÇJDFJL">{#N/A,#N/A,FALSE,"Plan1";#N/A,#N/A,FALSE,"Plan2"}</definedName>
    <definedName name="ksfhse">{#N/A,#N/A,FALSE,"Plan1";#N/A,#N/A,FALSE,"Plan2"}</definedName>
    <definedName name="KSRKOE">{#N/A,#N/A,FALSE,"Plan1";#N/A,#N/A,FALSE,"Plan2"}</definedName>
    <definedName name="KSWKE">{#N/A,#N/A,FALSE,"Plan1";#N/A,#N/A,FALSE,"Plan2"}</definedName>
    <definedName name="kubus">#REF!</definedName>
    <definedName name="kubus1">#REF!</definedName>
    <definedName name="kysdusf">{#N/A,#N/A,FALSE,"Plan1";#N/A,#N/A,FALSE,"Plan2"}</definedName>
    <definedName name="kzslçdkçle">{#N/A,#N/A,FALSE,"Plan1";#N/A,#N/A,FALSE,"Plan2"}</definedName>
    <definedName name="L_">#REF!</definedName>
    <definedName name="LAEKWRK">{#N/A,#N/A,FALSE,"Plan1";#N/A,#N/A,FALSE,"Plan2"}</definedName>
    <definedName name="laeqwep">#REF!</definedName>
    <definedName name="LAKDEWRF">{#N/A,#N/A,FALSE,"Plan1";#N/A,#N/A,FALSE,"Plan2"}</definedName>
    <definedName name="Lancamentos">#REF!</definedName>
    <definedName name="LARGURA">#REF!</definedName>
    <definedName name="LASÇDSRLF">{#N/A,#N/A,FALSE,"Plan1";#N/A,#N/A,FALSE,"Plan2"}</definedName>
    <definedName name="LASDAKWE">25</definedName>
    <definedName name="lasrlswer">{#N/A,#N/A,FALSE,"Plan1";#N/A,#N/A,FALSE,"Plan2"}</definedName>
    <definedName name="LAZER">#REF!</definedName>
    <definedName name="lbla1">#REF!</definedName>
    <definedName name="lbla10">#REF!</definedName>
    <definedName name="lbla11">#REF!</definedName>
    <definedName name="lbla12">#REF!</definedName>
    <definedName name="lbla13">#REF!</definedName>
    <definedName name="lbla14">#REF!</definedName>
    <definedName name="lbla15">#REF!</definedName>
    <definedName name="lbla16">#REF!</definedName>
    <definedName name="lbla17">#REF!</definedName>
    <definedName name="lbla18">#REF!</definedName>
    <definedName name="lbla19">#REF!</definedName>
    <definedName name="lbla2">#REF!</definedName>
    <definedName name="lbla20">#REF!</definedName>
    <definedName name="lbla21">#REF!</definedName>
    <definedName name="lbla22">#REF!</definedName>
    <definedName name="lbla23">#REF!</definedName>
    <definedName name="lbla24">#REF!</definedName>
    <definedName name="lbla25">#REF!</definedName>
    <definedName name="lbla27">#REF!</definedName>
    <definedName name="lbla28">#REF!</definedName>
    <definedName name="lçadple4r">{#N/A,#N/A,FALSE,"Plan1";#N/A,#N/A,FALSE,"Plan2"}</definedName>
    <definedName name="lçasser">{#N/A,#N/A,FALSE,"Plan1";#N/A,#N/A,FALSE,"Plan2"}</definedName>
    <definedName name="lcdgjtklfrn">{#N/A,#N/A,FALSE,"Plan1";#N/A,#N/A,FALSE,"Plan2"}</definedName>
    <definedName name="lçfklsdkçaer">{#N/A,#N/A,FALSE,"Plan1";#N/A,#N/A,FALSE,"Plan2"}</definedName>
    <definedName name="lçjkgf">{#N/A,#N/A,FALSE,"Plan1";#N/A,#N/A,FALSE,"Plan2"}</definedName>
    <definedName name="LÇJSLDFJ">{#N/A,#N/A,FALSE,"Plan1";#N/A,#N/A,FALSE,"Plan2"}</definedName>
    <definedName name="LÇKÇSDRLK">{#N/A,#N/A,FALSE,"Plan1";#N/A,#N/A,FALSE,"Plan2"}</definedName>
    <definedName name="lçkdfkdstkre">25</definedName>
    <definedName name="lçkl">{TRUE,TRUE,-1.25,-15.5,604.5,366.75,FALSE,FALSE,TRUE,TRUE,0,1,#N/A,1,#N/A,9.0125,24.4117647058824,1,FALSE,FALSE,3,TRUE,1,FALSE,100,"Swvu.PLANILHA2.","ACwvu.PLANILHA2.",#N/A,FALSE,FALSE,0.787401575,0.34,0.46,0.5,1,"","",FALSE,FALSE,FALSE,FALSE,1,#N/A,1,1,FALSE,FALSE,#N/A,#N/A,FALSE,FALSE,FALSE,9,65532,65532,FALSE,FALSE,TRUE,TRUE,TRUE}</definedName>
    <definedName name="lçl">{TRUE,TRUE,-1.25,-15.5,604.5,366.75,FALSE,FALSE,TRUE,TRUE,0,1,#N/A,1,#N/A,9.0125,24.4117647058824,1,FALSE,FALSE,3,TRUE,1,FALSE,100,"Swvu.PLANILHA2.","ACwvu.PLANILHA2.",#N/A,FALSE,FALSE,0.787401575,0.34,0.46,0.5,1,"","",FALSE,FALSE,FALSE,FALSE,1,#N/A,1,1,FALSE,FALSE,#N/A,#N/A,FALSE,FALSE,FALSE,9,65532,65532,FALSE,FALSE,TRUE,TRUE,TRUE}</definedName>
    <definedName name="lçlfklçdglfdgt">{#N/A,#N/A,FALSE,"Plan1";#N/A,#N/A,FALSE,"Plan2"}</definedName>
    <definedName name="lçslrr4r">{#N/A,#N/A,FALSE,"Plan1";#N/A,#N/A,FALSE,"Plan2"}</definedName>
    <definedName name="ldfjgry">{#N/A,#N/A,FALSE,"Plan1";#N/A,#N/A,FALSE,"Plan2"}</definedName>
    <definedName name="ldfjgtilrf">{#N/A,#N/A,FALSE,"Plan1";#N/A,#N/A,FALSE,"Plan2"}</definedName>
    <definedName name="ldk">{#N/A,#N/A,FALSE,"Plan1";#N/A,#N/A,FALSE,"Plan2"}</definedName>
    <definedName name="ldkgkdfjgkh">{#N/A,#N/A,FALSE,"Plan1";#N/A,#N/A,FALSE,"Plan2"}</definedName>
    <definedName name="LDTJGR">{#N/A,#N/A,FALSE,"Plan1";#N/A,#N/A,FALSE,"Plan2"}</definedName>
    <definedName name="Leg">#REF!</definedName>
    <definedName name="legr_cdi">#REF!</definedName>
    <definedName name="legr_hist">#REF!</definedName>
    <definedName name="legr_uss">#REF!</definedName>
    <definedName name="LEKGF">{TRUE,TRUE,-1.25,-15.5,604.5,366.75,FALSE,FALSE,TRUE,TRUE,0,1,#N/A,1,#N/A,9.0125,24.4117647058824,1,FALSE,FALSE,3,TRUE,1,FALSE,100,"Swvu.PLANILHA2.","ACwvu.PLANILHA2.",#N/A,FALSE,FALSE,0.787401575,0.34,0.46,0.5,1,"","",FALSE,FALSE,FALSE,FALSE,1,#N/A,1,1,FALSE,FALSE,#N/A,#N/A,FALSE,FALSE,FALSE,9,65532,65532,FALSE,FALSE,TRUE,TRUE,TRUE}</definedName>
    <definedName name="LEVANTAMENTO">#REF!</definedName>
    <definedName name="lfjdjrt">{#N/A,#N/A,FALSE,"Plan1";#N/A,#N/A,FALSE,"Plan2"}</definedName>
    <definedName name="LI">#REF!</definedName>
    <definedName name="LIDER_OPER">#REF!</definedName>
    <definedName name="lidfjgklruf">{#N/A,#N/A,FALSE,"Plan1";#N/A,#N/A,FALSE,"Plan2"}</definedName>
    <definedName name="LII">#REF!</definedName>
    <definedName name="LIII">#REF!</definedName>
    <definedName name="LIMBO">#REF!</definedName>
    <definedName name="limcount">3</definedName>
    <definedName name="LIN">#REF!</definedName>
    <definedName name="lis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STA">#REF!</definedName>
    <definedName name="LISTA_CONTAS">#REF!</definedName>
    <definedName name="lista_empresa">OFFSET(INDEX(#REF!,MATCH(#REF!,#REF!,0)),1,0,COUNTA(#REF!)-1)</definedName>
    <definedName name="LISTA_FORNECEDORES">#REF!</definedName>
    <definedName name="LISTSEL">#REF!</definedName>
    <definedName name="listt">{#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LIV">#REF!</definedName>
    <definedName name="LIX">#REF!</definedName>
    <definedName name="ljdfkgyt">{#N/A,#N/A,FALSE,"Plan1";#N/A,#N/A,FALSE,"Plan2"}</definedName>
    <definedName name="LJDFLJRL">{#N/A,#N/A,FALSE,"Plan1";#N/A,#N/A,FALSE,"Plan2"}</definedName>
    <definedName name="ljsdfrd">{#N/A,#N/A,FALSE,"Plan1";#N/A,#N/A,FALSE,"Plan2"}</definedName>
    <definedName name="LJSFLDJDLKFJG">#REF!</definedName>
    <definedName name="LK">{#N/A,#N/A,TRUE,"Quinzena 01 à 15-04-98 "}</definedName>
    <definedName name="lkasdkeo">{#N/A,#N/A,FALSE,"Plan1";#N/A,#N/A,FALSE,"Plan2"}</definedName>
    <definedName name="lkdeasr">{TRUE,TRUE,-1.25,-15.5,604.5,366.75,FALSE,FALSE,TRUE,TRUE,0,1,#N/A,1,#N/A,9.0125,24.4117647058824,1,FALSE,FALSE,3,TRUE,1,FALSE,100,"Swvu.PLANILHA2.","ACwvu.PLANILHA2.",#N/A,FALSE,FALSE,0.787401575,0.34,0.46,0.5,1,"","",FALSE,FALSE,FALSE,FALSE,1,#N/A,1,1,FALSE,FALSE,#N/A,#N/A,FALSE,FALSE,FALSE,9,65532,65532,FALSE,FALSE,TRUE,TRUE,TRUE}</definedName>
    <definedName name="lkdzxfsdrf">{#N/A,#N/A,FALSE,"Plan1";#N/A,#N/A,FALSE,"Plan2"}</definedName>
    <definedName name="lkfdkçtktr">{#N/A,#N/A,FALSE,"Plan1";#N/A,#N/A,FALSE,"Plan2"}</definedName>
    <definedName name="lkjr4">17</definedName>
    <definedName name="LKSSDKÇ\E" hidden="1">{#N/A,#N/A,FALSE,"Plan1";#N/A,#N/A,FALSE,"Plan2"}</definedName>
    <definedName name="lkt">{#N/A,#N/A,FALSE,"Plan1";#N/A,#N/A,FALSE,"Plan2"}</definedName>
    <definedName name="lktlyklt">{#N/A,#N/A,FALSE,"Plan1";#N/A,#N/A,FALSE,"Plan2"}</definedName>
    <definedName name="LKTTYT">{#N/A,#N/A,FALSE,"Plan1";#N/A,#N/A,FALSE,"Plan2"}</definedName>
    <definedName name="llgg">{#N/A,#N/A,FALSE,"Plan1";#N/A,#N/A,FALSE,"Plan2"}</definedName>
    <definedName name="LLL">{#N/A,#N/A,FALSE,"Plan1";#N/A,#N/A,FALSE,"Plan2"}</definedName>
    <definedName name="LM_AR">{#N/A,#N/A,FALSE,"F-01"}</definedName>
    <definedName name="LM_AT">{#N/A,#N/A,FALSE,"F-01"}</definedName>
    <definedName name="LM_INC">{#N/A,#N/A,FALSE,"F-01"}</definedName>
    <definedName name="LMPASD">{TRUE,TRUE,-1.25,-15.5,604.5,366.75,FALSE,FALSE,TRUE,TRUE,0,1,#N/A,1,#N/A,9.0125,24.4117647058824,1,FALSE,FALSE,3,TRUE,1,FALSE,100,"Swvu.PLANILHA2.","ACwvu.PLANILHA2.",#N/A,FALSE,FALSE,0.787401575,0.34,0.46,0.5,1,"","",FALSE,FALSE,FALSE,FALSE,1,#N/A,1,1,FALSE,FALSE,#N/A,#N/A,FALSE,FALSE,FALSE,9,65532,65532,FALSE,FALSE,TRUE,TRUE,TRUE}</definedName>
    <definedName name="LO">{TRUE,TRUE,-1.25,-15.5,604.5,366.75,FALSE,FALSE,TRUE,TRUE,0,1,#N/A,1,#N/A,9.0125,24.4117647058824,1,FALSE,FALSE,3,TRUE,1,FALSE,100,"Swvu.PLANILHA2.","ACwvu.PLANILHA2.",#N/A,FALSE,FALSE,0.787401575,0.34,0.46,0.5,1,"","",FALSE,FALSE,FALSE,FALSE,1,#N/A,1,1,FALSE,FALSE,#N/A,#N/A,FALSE,FALSE,FALSE,9,65532,65532,FALSE,FALSE,TRUE,TRUE,TRUE}</definedName>
    <definedName name="LOCALMENU">#REF!</definedName>
    <definedName name="LOCALOBRA">#REF!</definedName>
    <definedName name="LS">#REF!</definedName>
    <definedName name="LSDFKLDKFTR">{#N/A,#N/A,FALSE,"Plan1";#N/A,#N/A,FALSE,"Plan2"}</definedName>
    <definedName name="lsdjser">{TRUE,TRUE,-1.25,-15.5,604.5,366.75,FALSE,FALSE,TRUE,TRUE,0,1,#N/A,1,#N/A,9.0125,24.4117647058824,1,FALSE,FALSE,3,TRUE,1,FALSE,100,"Swvu.PLANILHA2.","ACwvu.PLANILHA2.",#N/A,FALSE,FALSE,0.787401575,0.34,0.46,0.5,1,"","",FALSE,FALSE,FALSE,FALSE,1,#N/A,1,1,FALSE,FALSE,#N/A,#N/A,FALSE,FALSE,FALSE,9,65532,65532,FALSE,FALSE,TRUE,TRUE,TRUE}</definedName>
    <definedName name="lsdkljfkg">{#N/A,#N/A,FALSE,"Plan1";#N/A,#N/A,FALSE,"Plan2"}</definedName>
    <definedName name="lsdsder">{#N/A,#N/A,FALSE,"Plan1";#N/A,#N/A,FALSE,"Plan2"}</definedName>
    <definedName name="ltj6ljyhdjhngças">{#N/A,#N/A,FALSE,"Plan1";#N/A,#N/A,FALSE,"Plan2"}</definedName>
    <definedName name="LUCRO">#REF!</definedName>
    <definedName name="luis_cdi">#REF!</definedName>
    <definedName name="luis_hist">#REF!</definedName>
    <definedName name="luis_uss">#REF!</definedName>
    <definedName name="LV">#REF!</definedName>
    <definedName name="LVI">#REF!</definedName>
    <definedName name="LVII">#REF!</definedName>
    <definedName name="LVIII">#REF!</definedName>
    <definedName name="lwaeddew">#REF!</definedName>
    <definedName name="LXX">#REF!</definedName>
    <definedName name="LXXI">#REF!</definedName>
    <definedName name="LXXII">#REF!</definedName>
    <definedName name="LXXIII">#REF!</definedName>
    <definedName name="LXXIV">#REF!</definedName>
    <definedName name="LXXIX">#REF!</definedName>
    <definedName name="LXXV">#REF!</definedName>
    <definedName name="LXXVI">#REF!</definedName>
    <definedName name="LXXVII">#REF!</definedName>
    <definedName name="LXXVIII">#REF!</definedName>
    <definedName name="LXXX">#REF!</definedName>
    <definedName name="LXXXI">#REF!</definedName>
    <definedName name="LXXXII">#REF!</definedName>
    <definedName name="LXXXIII">#REF!</definedName>
    <definedName name="LXXXIV">#REF!</definedName>
    <definedName name="LXXXV">#REF!</definedName>
    <definedName name="m">{TRUE,TRUE,-1.25,-15.5,604.5,366.75,FALSE,FALSE,TRUE,TRUE,0,1,#N/A,1,#N/A,9.0125,24.4117647058824,1,FALSE,FALSE,3,TRUE,1,FALSE,100,"Swvu.PLANILHA2.","ACwvu.PLANILHA2.",#N/A,FALSE,FALSE,0.787401575,0.34,0.46,0.5,1,"","",FALSE,FALSE,FALSE,FALSE,1,#N/A,1,1,FALSE,FALSE,#N/A,#N/A,FALSE,FALSE,FALSE,9,65532,65532,FALSE,FALSE,TRUE,TRUE,TRUE}</definedName>
    <definedName name="MADRI">#REF!</definedName>
    <definedName name="mai17RJ">#REF!</definedName>
    <definedName name="MAIO">#REF!</definedName>
    <definedName name="MAIO2001">#REF!</definedName>
    <definedName name="MAISAP">{#N/A,#N/A,FALSE,"Plan1";#N/A,#N/A,FALSE,"Plan2"}</definedName>
    <definedName name="MANTO">{#N/A,#N/A,FALSE,"GERAL";#N/A,#N/A,FALSE,"012-96";#N/A,#N/A,FALSE,"018-96";#N/A,#N/A,FALSE,"027-96";#N/A,#N/A,FALSE,"059-96";#N/A,#N/A,FALSE,"076-96";#N/A,#N/A,FALSE,"019-97";#N/A,#N/A,FALSE,"021-97";#N/A,#N/A,FALSE,"022-97";#N/A,#N/A,FALSE,"028-97"}</definedName>
    <definedName name="MAO_DE_OBRA">#REF!</definedName>
    <definedName name="mar17RJ">#REF!</definedName>
    <definedName name="MARCAX">#REF!</definedName>
    <definedName name="MARÇO">#REF!</definedName>
    <definedName name="MARÇO2001">#REF!</definedName>
    <definedName name="martha">#REF!</definedName>
    <definedName name="MASTER">{#N/A,#N/A,FALSE,"GERAL";#N/A,#N/A,FALSE,"012-96";#N/A,#N/A,FALSE,"018-96";#N/A,#N/A,FALSE,"027-96";#N/A,#N/A,FALSE,"059-96";#N/A,#N/A,FALSE,"076-96";#N/A,#N/A,FALSE,"019-97";#N/A,#N/A,FALSE,"021-97";#N/A,#N/A,FALSE,"022-97";#N/A,#N/A,FALSE,"028-97"}</definedName>
    <definedName name="MATERIAL">#REF!</definedName>
    <definedName name="mattubcust">{#N/A,#N/A,FALSE,"GERAL";#N/A,#N/A,FALSE,"012-96";#N/A,#N/A,FALSE,"018-96";#N/A,#N/A,FALSE,"027-96";#N/A,#N/A,FALSE,"059-96";#N/A,#N/A,FALSE,"076-96";#N/A,#N/A,FALSE,"019-97";#N/A,#N/A,FALSE,"021-97";#N/A,#N/A,FALSE,"022-97";#N/A,#N/A,FALSE,"028-97"}</definedName>
    <definedName name="MAURILIO">{#N/A,#N/A,FALSE,"Plan1";#N/A,#N/A,FALSE,"Plan2"}</definedName>
    <definedName name="MC">{#N/A,#N/A,FALSE,"GERAL";#N/A,#N/A,FALSE,"012-96";#N/A,#N/A,FALSE,"018-96";#N/A,#N/A,FALSE,"027-96";#N/A,#N/A,FALSE,"059-96";#N/A,#N/A,FALSE,"076-96";#N/A,#N/A,FALSE,"019-97";#N/A,#N/A,FALSE,"021-97";#N/A,#N/A,FALSE,"022-97";#N/A,#N/A,FALSE,"028-97"}</definedName>
    <definedName name="MCM">{#N/A,#N/A,FALSE,"GERAL";#N/A,#N/A,FALSE,"012-96";#N/A,#N/A,FALSE,"018-96";#N/A,#N/A,FALSE,"027-96";#N/A,#N/A,FALSE,"059-96";#N/A,#N/A,FALSE,"076-96";#N/A,#N/A,FALSE,"019-97";#N/A,#N/A,FALSE,"021-97";#N/A,#N/A,FALSE,"022-97";#N/A,#N/A,FALSE,"028-97"}</definedName>
    <definedName name="MCMV">#REF!</definedName>
    <definedName name="mdfgtr">{#N/A,#N/A,FALSE,"Plan1";#N/A,#N/A,FALSE,"Plan2"}</definedName>
    <definedName name="MDSÇLFJKJSD">{#N/A,#N/A,FALSE,"Plan1";#N/A,#N/A,FALSE,"Plan2"}</definedName>
    <definedName name="ME">{"HW",#N/A,FALSE,"1998"}</definedName>
    <definedName name="Medido_Fin_Medições">#REF!</definedName>
    <definedName name="melo_cdi">#REF!</definedName>
    <definedName name="melo_hist">#REF!</definedName>
    <definedName name="melo_uss">#REF!</definedName>
    <definedName name="MEMÓRIA">#REF!</definedName>
    <definedName name="memória2">#REF!</definedName>
    <definedName name="mensal">#REF!</definedName>
    <definedName name="MENU">#REF!</definedName>
    <definedName name="MENU1">#REF!</definedName>
    <definedName name="MENU2">#REF!</definedName>
    <definedName name="MENU3">#REF!</definedName>
    <definedName name="MENU4">#REF!</definedName>
    <definedName name="MENU5">#REF!</definedName>
    <definedName name="MENU6">#REF!</definedName>
    <definedName name="MENUBOM">#REF!</definedName>
    <definedName name="MENUEQP">#REF!</definedName>
    <definedName name="MENUFIM">#REF!</definedName>
    <definedName name="MENUMED">#REF!</definedName>
    <definedName name="MENUOBRA">#REF!</definedName>
    <definedName name="MENUOUT">#REF!</definedName>
    <definedName name="MENUOUTRO">#REF!</definedName>
    <definedName name="menures">#REF!</definedName>
    <definedName name="Mês_data_base">#REF!</definedName>
    <definedName name="Mês_Medição_Fin_Medições">#REF!</definedName>
    <definedName name="mes_relatorio">#REF!</definedName>
    <definedName name="Meses">#REF!</definedName>
    <definedName name="MESTRE">{#N/A,#N/A,FALSE,"GERAL";#N/A,#N/A,FALSE,"012-96";#N/A,#N/A,FALSE,"018-96";#N/A,#N/A,FALSE,"027-96";#N/A,#N/A,FALSE,"059-96";#N/A,#N/A,FALSE,"076-96";#N/A,#N/A,FALSE,"019-97";#N/A,#N/A,FALSE,"021-97";#N/A,#N/A,FALSE,"022-97";#N/A,#N/A,FALSE,"028-97"}</definedName>
    <definedName name="meta_venda">#REF!</definedName>
    <definedName name="MetaBP">#REF!</definedName>
    <definedName name="MILENA">#REF!</definedName>
    <definedName name="Minha_Casa_Minha_Vida">#REF!</definedName>
    <definedName name="MLMÇLKJKI">{#N/A,#N/A,FALSE,"Plan1";#N/A,#N/A,FALSE,"Plan2"}</definedName>
    <definedName name="MM">{TRUE,TRUE,-1.25,-15.5,604.5,366.75,FALSE,FALSE,TRUE,TRUE,0,1,#N/A,1,#N/A,9.0125,24.4117647058824,1,FALSE,FALSE,3,TRUE,1,FALSE,100,"Swvu.PLANILHA2.","ACwvu.PLANILHA2.",#N/A,FALSE,FALSE,0.787401575,0.34,0.46,0.5,1,"","",FALSE,FALSE,FALSE,FALSE,1,#N/A,1,1,FALSE,FALSE,#N/A,#N/A,FALSE,FALSE,FALSE,9,65532,65532,FALSE,FALSE,TRUE,TRUE,TRUE}</definedName>
    <definedName name="mmmmm">{"tabela",#N/A,FALSE,"Tabela";"decoração",#N/A,FALSE,"Decor.";"Informações",#N/A,FALSE,"Inform."}</definedName>
    <definedName name="mmmmmmm">{TRUE,TRUE,-1.25,-15.5,604.5,366.75,FALSE,FALSE,TRUE,TRUE,0,1,#N/A,1,#N/A,9.0125,24.4117647058824,1,FALSE,FALSE,3,TRUE,1,FALSE,100,"Swvu.PLANILHA2.","ACwvu.PLANILHA2.",#N/A,FALSE,FALSE,0.787401575,0.34,0.46,0.5,1,"","",FALSE,FALSE,FALSE,FALSE,1,#N/A,1,1,FALSE,FALSE,#N/A,#N/A,FALSE,FALSE,FALSE,9,65532,65532,FALSE,FALSE,TRUE,TRUE,TRUE}</definedName>
    <definedName name="MNBXFKGS">{#N/A,#N/A,FALSE,"Plan1";#N/A,#N/A,FALSE,"Plan2"}</definedName>
    <definedName name="mncvbgcvmc">{#N/A,#N/A,FALSE,"Plan1";#N/A,#N/A,FALSE,"Plan2"}</definedName>
    <definedName name="MNDKZSFNCEA">{#N/A,#N/A,FALSE,"Plan1";#N/A,#N/A,FALSE,"Plan2"}</definedName>
    <definedName name="mnhdshfgfhd">{#N/A,#N/A,FALSE,"Plan1";#N/A,#N/A,FALSE,"Plan2"}</definedName>
    <definedName name="mo">#REF!</definedName>
    <definedName name="mobra">{#N/A,#N/A,FALSE,"GERAL";#N/A,#N/A,FALSE,"012-96";#N/A,#N/A,FALSE,"018-96";#N/A,#N/A,FALSE,"027-96";#N/A,#N/A,FALSE,"059-96";#N/A,#N/A,FALSE,"076-96";#N/A,#N/A,FALSE,"019-97";#N/A,#N/A,FALSE,"021-97";#N/A,#N/A,FALSE,"022-97";#N/A,#N/A,FALSE,"028-97"}</definedName>
    <definedName name="Modelo1">{#N/A,#N/A,FALSE,"cdi";#N/A,#N/A,FALSE,"debent";#N/A,#N/A,FALSE,"fdos";#N/A,#N/A,FALSE,"resumo"}</definedName>
    <definedName name="Modelo1a">{#N/A,#N/A,FALSE,"cdi";#N/A,#N/A,FALSE,"debent";#N/A,#N/A,FALSE,"fdos";#N/A,#N/A,FALSE,"resumo"}</definedName>
    <definedName name="Modelo2">{#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módulo">#REF!</definedName>
    <definedName name="mond_cdi">#REF!</definedName>
    <definedName name="mond_hist">#REF!</definedName>
    <definedName name="mond_uss">#REF!</definedName>
    <definedName name="MP">{#N/A,#N/A,FALSE,"CCTV"}</definedName>
    <definedName name="MSDFJKDT">25</definedName>
    <definedName name="MSDRFSWER">{"Econ Consolidado",#N/A,FALSE,"Econ Consol";"Fluxo de Caixa",#N/A,FALSE,"Fluxo Caixa";"Investimentos",#N/A,FALSE,"Investimentos"}</definedName>
    <definedName name="MURBOMB">#REF!</definedName>
    <definedName name="mzshdjshjs">{#N/A,#N/A,FALSE,"Plan1";#N/A,#N/A,FALSE,"Plan2"}</definedName>
    <definedName name="na">{#N/A,#N/A,FALSE,"$170M Cash";#N/A,#N/A,FALSE,"$250M Cash";#N/A,#N/A,FALSE,"$325M Cash"}</definedName>
    <definedName name="ncdgrdhrtg">{#N/A,#N/A,FALSE,"Plan1";#N/A,#N/A,FALSE,"Plan2"}</definedName>
    <definedName name="nchngdfhgdh">{#N/A,#N/A,FALSE,"Plan1";#N/A,#N/A,FALSE,"Plan2"}</definedName>
    <definedName name="NCJFKNGJHF">{#N/A,#N/A,FALSE,"Plan1";#N/A,#N/A,FALSE,"Plan2"}</definedName>
    <definedName name="NDATA">#REF!</definedName>
    <definedName name="ndcxhgdhf">{#N/A,#N/A,FALSE,"Plan1";#N/A,#N/A,FALSE,"Plan2"}</definedName>
    <definedName name="ndfjnjkrhdgt">{#N/A,#N/A,FALSE,"Plan1";#N/A,#N/A,FALSE,"Plan2"}</definedName>
    <definedName name="ndfkghkjthfyst">{#N/A,#N/A,FALSE,"Plan1";#N/A,#N/A,FALSE,"Plan2"}</definedName>
    <definedName name="ndfldslvjnvberugberqubquierbv">#REF!</definedName>
    <definedName name="NDJGKFKGHUFG">{#N/A,#N/A,FALSE,"Plan1";#N/A,#N/A,FALSE,"Plan2"}</definedName>
    <definedName name="ndrjkt">{#N/A,#N/A,FALSE,"Plan1";#N/A,#N/A,FALSE,"Plan2"}</definedName>
    <definedName name="new">{#N/A,#N/A,FALSE,"Global by BU";#N/A,#N/A,FALSE,"U.S. by BU";#N/A,#N/A,FALSE,"Canada by BU";#N/A,#N/A,FALSE,"Europe by BU";#N/A,#N/A,FALSE,"Asia by BU";#N/A,#N/A,FALSE,"Cala by BU"}</definedName>
    <definedName name="NEWNAME">{#N/A,#N/A,FALSE,"CCTV"}</definedName>
    <definedName name="nfgjkhvhfghnf">{TRUE,TRUE,-1.25,-15.5,604.5,366.75,FALSE,FALSE,TRUE,TRUE,0,1,#N/A,1,#N/A,9.0125,24.4117647058824,1,FALSE,FALSE,3,TRUE,1,FALSE,100,"Swvu.PLANILHA2.","ACwvu.PLANILHA2.",#N/A,FALSE,FALSE,0.787401575,0.34,0.46,0.5,1,"","",FALSE,FALSE,FALSE,FALSE,1,#N/A,1,1,FALSE,FALSE,#N/A,#N/A,FALSE,FALSE,FALSE,9,65532,65532,FALSE,FALSE,TRUE,TRUE,TRUE}</definedName>
    <definedName name="nfkhdjkthde">{#N/A,#N/A,FALSE,"Plan1";#N/A,#N/A,FALSE,"Plan2"}</definedName>
    <definedName name="nhj">{TRUE,TRUE,-1.25,-15.5,604.5,366.75,FALSE,FALSE,TRUE,TRUE,0,1,#N/A,1,#N/A,9.0125,24.4117647058824,1,FALSE,FALSE,3,TRUE,1,FALSE,100,"Swvu.PLANILHA2.","ACwvu.PLANILHA2.",#N/A,FALSE,FALSE,0.787401575,0.34,0.46,0.5,1,"","",FALSE,FALSE,FALSE,FALSE,1,#N/A,1,1,FALSE,FALSE,#N/A,#N/A,FALSE,FALSE,FALSE,9,65532,65532,FALSE,FALSE,TRUE,TRUE,TRUE}</definedName>
    <definedName name="NHJHFDSHF">{#N/A,#N/A,FALSE,"Plan1";#N/A,#N/A,FALSE,"Plan2"}</definedName>
    <definedName name="NJSDFHERTG">{#N/A,#N/A,FALSE,"Plan1";#N/A,#N/A,FALSE,"Plan2"}</definedName>
    <definedName name="nkfnsskdn">{#N/A,#N/A,FALSE,"Plan1";#N/A,#N/A,FALSE,"Plan2"}</definedName>
    <definedName name="NKJL">{TRUE,TRUE,-1.25,-15.5,604.5,366.75,FALSE,FALSE,TRUE,TRUE,0,1,#N/A,1,#N/A,9.0125,24.4117647058824,1,FALSE,FALSE,3,TRUE,1,FALSE,100,"Swvu.PLANILHA2.","ACwvu.PLANILHA2.",#N/A,FALSE,FALSE,0.787401575,0.34,0.46,0.5,1,"","",FALSE,FALSE,FALSE,FALSE,1,#N/A,1,1,FALSE,FALSE,#N/A,#N/A,FALSE,FALSE,FALSE,9,65532,65532,FALSE,FALSE,TRUE,TRUE,TRUE}</definedName>
    <definedName name="nl">#REF!</definedName>
    <definedName name="nlaksjdwe">{#N/A,#N/A,FALSE,"Plan1";#N/A,#N/A,FALSE,"Plan2"}</definedName>
    <definedName name="nljsdfljfdsfr">{#N/A,#N/A,FALSE,"Plan1";#N/A,#N/A,FALSE,"Plan2"}</definedName>
    <definedName name="nm_k1">#REF!</definedName>
    <definedName name="nm_k2">#REF!</definedName>
    <definedName name="nm_k3">#REF!</definedName>
    <definedName name="nmjdfhxj">{#N/A,#N/A,FALSE,"Plan1";#N/A,#N/A,FALSE,"Plan2"}</definedName>
    <definedName name="nnmn">{#N/A,#N/A,FALSE,"Plan1";#N/A,#N/A,FALSE,"Plan2"}</definedName>
    <definedName name="nnn">{#N/A,#N/A,FALSE,"Plan1";#N/A,#N/A,FALSE,"Plan2"}</definedName>
    <definedName name="nnnnnnnnnnn">{"HW",#N/A,FALSE,"1998"}</definedName>
    <definedName name="NNNNNNNNNNNNNNN">{#N/A,#N/A,FALSE,"Plan1";#N/A,#N/A,FALSE,"Plan2"}</definedName>
    <definedName name="nnnnnnnnnnnnnnnnnnnn">{#N/A,#N/A,FALSE,"Plan1";#N/A,#N/A,FALSE,"Plan2"}</definedName>
    <definedName name="NNXFT">{#N/A,#N/A,FALSE,"Plan1";#N/A,#N/A,FALSE,"Plan2"}</definedName>
    <definedName name="no">#REF!</definedName>
    <definedName name="NOME">#REF!</definedName>
    <definedName name="nome2">#REF!</definedName>
    <definedName name="NOMEITEM">#REF!</definedName>
    <definedName name="NOMEOBRA">#REF!</definedName>
    <definedName name="nov17RJ">#REF!</definedName>
    <definedName name="NOVE">#REF!</definedName>
    <definedName name="NOVEMBRO">#REF!</definedName>
    <definedName name="nsdkfndgfdnatf">{#N/A,#N/A,FALSE,"Plan1";#N/A,#N/A,FALSE,"Plan2"}</definedName>
    <definedName name="nsfljdiljrf">{#N/A,#N/A,FALSE,"Plan1";#N/A,#N/A,FALSE,"Plan2"}</definedName>
    <definedName name="NUCOPIAS">#REF!</definedName>
    <definedName name="NUMOBRA">#REF!</definedName>
    <definedName name="NutN">#REF!</definedName>
    <definedName name="nzxcnnjkd">{#N/A,#N/A,FALSE,"Plan1";#N/A,#N/A,FALSE,"Plan2"}</definedName>
    <definedName name="OAE">#REF!</definedName>
    <definedName name="OBRA">#REF!</definedName>
    <definedName name="Obra_Fin_Medição">#REF!</definedName>
    <definedName name="OBRA_PROJETADO">#REF!</definedName>
    <definedName name="Obra_Rel_Controladoria">#REF!</definedName>
    <definedName name="Obra_Sienge">#REF!</definedName>
    <definedName name="Obra2_Fin_Medição">#REF!</definedName>
    <definedName name="OBRALOC">#REF!</definedName>
    <definedName name="OBRAS">#REF!</definedName>
    <definedName name="Obras_Apoio_Rel_Controladoria">#REF!</definedName>
    <definedName name="OBRAS_REALIZADO">#REF!</definedName>
    <definedName name="OBRASEL">#REF!</definedName>
    <definedName name="odflgj">25</definedName>
    <definedName name="odfuudor">{#N/A,#N/A,FALSE,"Plan1";#N/A,#N/A,FALSE,"Plan2"}</definedName>
    <definedName name="ODH">#REF!</definedName>
    <definedName name="oficial_mes">#REF!</definedName>
    <definedName name="oficial2_mes">#REF!</definedName>
    <definedName name="oiditrot">{#N/A,#N/A,FALSE,"Plan1";#N/A,#N/A,FALSE,"Plan2"}</definedName>
    <definedName name="oio">{#N/A,#N/A,FALSE,"Plan1";#N/A,#N/A,FALSE,"Plan2"}</definedName>
    <definedName name="OITO">#REF!</definedName>
    <definedName name="oiufioorif">#REF!</definedName>
    <definedName name="OJÇLJ">{#N/A,#N/A,FALSE,"Plan1";#N/A,#N/A,FALSE,"Plan2"}</definedName>
    <definedName name="ojkdfit">{#N/A,#N/A,FALSE,"Plan1";#N/A,#N/A,FALSE,"Plan2"}</definedName>
    <definedName name="oMISSOS">#REF!</definedName>
    <definedName name="ONZE">#REF!</definedName>
    <definedName name="ooo">{#N/A,#N/A,FALSE,"Plan1";#N/A,#N/A,FALSE,"Plan2"}</definedName>
    <definedName name="OPASEDWED">{"Econ Consolidado",#N/A,FALSE,"Econ Consol";"Fluxo de Caixa",#N/A,FALSE,"Fluxo Caixa";"Investimentos",#N/A,FALSE,"Investimentos"}</definedName>
    <definedName name="opcao_taxa_desconto">#REF!</definedName>
    <definedName name="opções">#REF!</definedName>
    <definedName name="opiwre">{#N/A,#N/A,FALSE,"Plan1";#N/A,#N/A,FALSE,"Plan2"}</definedName>
    <definedName name="ORCAMEN">#REF!</definedName>
    <definedName name="Orcamentistas">#REF!</definedName>
    <definedName name="origem_recebiveis">#REF!</definedName>
    <definedName name="origem_unidades">#REF!</definedName>
    <definedName name="Origem2_Recebimento_Fin_Medições">#REF!</definedName>
    <definedName name="os">{#N/A,#N/A,FALSE,"TABLE"}</definedName>
    <definedName name="osca_cdi">#REF!</definedName>
    <definedName name="osca_hist">#REF!</definedName>
    <definedName name="osca_uss">#REF!</definedName>
    <definedName name="otodgkrjglsrd">{#N/A,#N/A,FALSE,"Plan1";#N/A,#N/A,FALSE,"Plan2"}</definedName>
    <definedName name="OUERWRSR">{#N/A,#N/A,FALSE,"Plan1";#N/A,#N/A,FALSE,"Plan2"}</definedName>
    <definedName name="out17RJ">#REF!</definedName>
    <definedName name="outro">#REF!</definedName>
    <definedName name="OUTROS">#REF!</definedName>
    <definedName name="OUTROS_CCUSTO">#REF!</definedName>
    <definedName name="Outros_Pisos">#REF!</definedName>
    <definedName name="Outros1">#REF!</definedName>
    <definedName name="OUTUBRO">#REF!</definedName>
    <definedName name="overhau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fo_cdi">#REF!</definedName>
    <definedName name="oxfo_hist">#REF!</definedName>
    <definedName name="oxfo_uss">#REF!</definedName>
    <definedName name="P">#REF!</definedName>
    <definedName name="PA">#REF!</definedName>
    <definedName name="Padrao_A">#REF!</definedName>
    <definedName name="Padrao_B">#REF!</definedName>
    <definedName name="Padrao_C">#REF!</definedName>
    <definedName name="Padrao_D">#REF!</definedName>
    <definedName name="Padrao_E">#REF!</definedName>
    <definedName name="Padrao_F">#REF!</definedName>
    <definedName name="Pagamento_Num">ROW()-Linha_Cabeçalho</definedName>
    <definedName name="Pago_Até_2015_Controladoria">#REF!</definedName>
    <definedName name="Pal_Workbook_GUID">"3HURD34M2XKWJ5V6M4BWCR5Q"</definedName>
    <definedName name="PAP">#REF!</definedName>
    <definedName name="PARAM_FIS_1">#REF!</definedName>
    <definedName name="PARAM_FIS_2">#REF!</definedName>
    <definedName name="ParamValues1">#REF!</definedName>
    <definedName name="ParamValues2">#REF!</definedName>
    <definedName name="Parao_E">#REF!</definedName>
    <definedName name="Parede1">#REF!</definedName>
    <definedName name="Parede2">#REF!</definedName>
    <definedName name="PAREDES">#REF!</definedName>
    <definedName name="PAV">#REF!</definedName>
    <definedName name="PAVILHAO">#REF!</definedName>
    <definedName name="PAVT">#REF!</definedName>
    <definedName name="pçgktr">#REF!</definedName>
    <definedName name="PDER">#REF!</definedName>
    <definedName name="PDIVERS">#REF!</definedName>
    <definedName name="PE">#REF!</definedName>
    <definedName name="PEMD">#REF!</definedName>
    <definedName name="Pendencias">{#N/A,#N/A,FALSE,"GERAL";#N/A,#N/A,FALSE,"012-96";#N/A,#N/A,FALSE,"018-96";#N/A,#N/A,FALSE,"027-96";#N/A,#N/A,FALSE,"059-96";#N/A,#N/A,FALSE,"076-96";#N/A,#N/A,FALSE,"019-97";#N/A,#N/A,FALSE,"021-97";#N/A,#N/A,FALSE,"022-97";#N/A,#N/A,FALSE,"028-97"}</definedName>
    <definedName name="pendencias2">{#N/A,#N/A,FALSE,"GERAL";#N/A,#N/A,FALSE,"012-96";#N/A,#N/A,FALSE,"018-96";#N/A,#N/A,FALSE,"027-96";#N/A,#N/A,FALSE,"059-96";#N/A,#N/A,FALSE,"076-96";#N/A,#N/A,FALSE,"019-97";#N/A,#N/A,FALSE,"021-97";#N/A,#N/A,FALSE,"022-97";#N/A,#N/A,FALSE,"028-97"}</definedName>
    <definedName name="pendencias3">{#N/A,#N/A,FALSE,"GERAL";#N/A,#N/A,FALSE,"012-96";#N/A,#N/A,FALSE,"018-96";#N/A,#N/A,FALSE,"027-96";#N/A,#N/A,FALSE,"059-96";#N/A,#N/A,FALSE,"076-96";#N/A,#N/A,FALSE,"019-97";#N/A,#N/A,FALSE,"021-97";#N/A,#N/A,FALSE,"022-97";#N/A,#N/A,FALSE,"028-97"}</definedName>
    <definedName name="perfura">#REF!</definedName>
    <definedName name="Perímetro_lajão">#REF!</definedName>
    <definedName name="Perímetro_Terreno">#REF!</definedName>
    <definedName name="Perímetro_torre">#REF!</definedName>
    <definedName name="pessoal">#REF!</definedName>
    <definedName name="petro2">#REF!</definedName>
    <definedName name="PhyG">#REF!</definedName>
    <definedName name="PhyGS">#REF!</definedName>
    <definedName name="PI">#REF!</definedName>
    <definedName name="piaz">{TRUE,TRUE,-1.25,-15.5,604.5,366.75,FALSE,FALSE,TRUE,TRUE,0,1,#N/A,1,#N/A,9.0125,24.4117647058824,1,FALSE,FALSE,3,TRUE,1,FALSE,100,"Swvu.PLANILHA2.","ACwvu.PLANILHA2.",#N/A,FALSE,FALSE,0.787401575,0.34,0.46,0.5,1,"","",FALSE,FALSE,FALSE,FALSE,1,#N/A,1,1,FALSE,FALSE,#N/A,#N/A,FALSE,FALSE,FALSE,9,65532,65532,FALSE,FALSE,TRUE,TRUE,TRUE}</definedName>
    <definedName name="PIEQUIP">#REF!</definedName>
    <definedName name="Pintura">#REF!</definedName>
    <definedName name="PIS_COFINS">#REF!</definedName>
    <definedName name="PisCofins">#REF!</definedName>
    <definedName name="Piso1">#REF!</definedName>
    <definedName name="Piso2">#REF!</definedName>
    <definedName name="PISOS">#REF!</definedName>
    <definedName name="PL">#REF!</definedName>
    <definedName name="PLACAS">{#N/A,#N/A,TRUE,"Quinzena 01 à 15-04-98 "}</definedName>
    <definedName name="Placas_Areas">{#N/A,#N/A,TRUE,"Quinzena 01 à 15-04-98 "}</definedName>
    <definedName name="PLAN">#REF!</definedName>
    <definedName name="plan2">{TRUE,TRUE,-1.25,-15.5,604.5,366.75,FALSE,FALSE,TRUE,TRUE,0,1,#N/A,1,#N/A,9.0125,24.4117647058824,1,FALSE,FALSE,3,TRUE,1,FALSE,100,"Swvu.PLANILHA2.","ACwvu.PLANILHA2.",#N/A,FALSE,FALSE,0.787401575,0.34,0.46,0.5,1,"","",FALSE,FALSE,FALSE,FALSE,1,#N/A,1,1,FALSE,FALSE,#N/A,#N/A,FALSE,FALSE,FALSE,9,65532,65532,FALSE,FALSE,TRUE,TRUE,TRUE}</definedName>
    <definedName name="PLANILHA">#REF!</definedName>
    <definedName name="Planilha2">#REF!</definedName>
    <definedName name="plasçdeaw">{#N/A,#N/A,FALSE,"Plan1";#N/A,#N/A,FALSE,"Plan2"}</definedName>
    <definedName name="plaslrswe">{#N/A,#N/A,FALSE,"Plan1";#N/A,#N/A,FALSE,"Plan2"}</definedName>
    <definedName name="pls">#REF!</definedName>
    <definedName name="plsearpef">{#N/A,#N/A,FALSE,"Plan1";#N/A,#N/A,FALSE,"Plan2"}</definedName>
    <definedName name="plss">{#N/A,#N/A,FALSE,"Plan1";#N/A,#N/A,FALSE,"Plan2"}</definedName>
    <definedName name="PMUR">#REF!</definedName>
    <definedName name="PN2건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기계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N2배관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onderações">#REF!</definedName>
    <definedName name="Pós_Chaves">#REF!</definedName>
    <definedName name="pr">#REF!</definedName>
    <definedName name="PRAZO">#REF!</definedName>
    <definedName name="Prazo_da_Estrutura">#REF!</definedName>
    <definedName name="PRAZO_EDITAL">#REF!</definedName>
    <definedName name="Prazo_Obra">#REF!</definedName>
    <definedName name="PRAZO_ORC">#REF!</definedName>
    <definedName name="prazo2">#REF!</definedName>
    <definedName name="PRE">#REF!</definedName>
    <definedName name="PREÇ">OFFSET(#REF!,0,0,COUNTA(#REF!),1)</definedName>
    <definedName name="Preço">ROW()-Linha_Cabeçalho</definedName>
    <definedName name="Previsão_Inicial_abr_16">#REF!</definedName>
    <definedName name="Previsão_Inicial_ago_16">#REF!</definedName>
    <definedName name="Previsão_Inicial_dez_16">#REF!</definedName>
    <definedName name="Previsão_Inicial_fev_16">#REF!</definedName>
    <definedName name="Previsão_Inicial_jan_16">#REF!</definedName>
    <definedName name="Previsão_Inicial_jul_16">#REF!</definedName>
    <definedName name="Previsão_Inicial_jun_16">#REF!</definedName>
    <definedName name="Previsão_Inicial_mai_16">#REF!</definedName>
    <definedName name="Previsão_Inicial_mar_16">#REF!</definedName>
    <definedName name="Previsão_Inicial_nov_16">#REF!</definedName>
    <definedName name="Previsão_Inicial_out_16">#REF!</definedName>
    <definedName name="Previsão_Inicial_set_16">#REF!</definedName>
    <definedName name="Previsão_Vento1">#REF!</definedName>
    <definedName name="Previsto_a_medir_Fin_Medições">#REF!</definedName>
    <definedName name="print">{#N/A,#N/A,FALSE,"$170M Cash";#N/A,#N/A,FALSE,"$250M Cash";#N/A,#N/A,FALSE,"$325M Cash"}</definedName>
    <definedName name="Print_Area">#REF!</definedName>
    <definedName name="Print_Area_MI">#REF!</definedName>
    <definedName name="Print_Titles">#REF!</definedName>
    <definedName name="PRINT_TITLES_MI">#REF!</definedName>
    <definedName name="programa">#REF!</definedName>
    <definedName name="Programaa">#REF!</definedName>
    <definedName name="Projeção_torre">#REF!</definedName>
    <definedName name="projeto_nome_com">IF((COUNTA(#REF!)-2)&gt;1,"TERRENO "&amp;VLOOKUP(#REF!,#REF!,8,0),VLOOKUP(#REF!,#REF!,3,0))</definedName>
    <definedName name="PROPAGANDA">#REF!</definedName>
    <definedName name="ptirigyiotut">{#N/A,#N/A,FALSE,"Plan1";#N/A,#N/A,FALSE,"Plan2"}</definedName>
    <definedName name="PWER3">{#N/A,#N/A,FALSE,"Plan1";#N/A,#N/A,FALSE,"Plan2"}</definedName>
    <definedName name="q">#REF!</definedName>
    <definedName name="QCLIENTE_PCLIENTE">#REF!</definedName>
    <definedName name="QCliente_PCliente1">#REF!</definedName>
    <definedName name="qe">#REF!</definedName>
    <definedName name="qee">#REF!</definedName>
    <definedName name="qkqh1">{#N/A,#N/A,FALSE,"명세표"}</definedName>
    <definedName name="QOAS_POAS">#REF!</definedName>
    <definedName name="Q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QQQ">#REF!:#REF!</definedName>
    <definedName name="QQQQQQQQ">#REF!</definedName>
    <definedName name="QREAL_PCLIENTE">#REF!</definedName>
    <definedName name="QReal_PCliente1">#REF!</definedName>
    <definedName name="QSQWSE">{#N/A,#N/A,FALSE,"Plan1";#N/A,#N/A,FALSE,"Plan2"}</definedName>
    <definedName name="qtd_mensal">#REF!</definedName>
    <definedName name="qtd3esta">#REF!</definedName>
    <definedName name="qtdbase">#REF!</definedName>
    <definedName name="qtdbltub">#REF!</definedName>
    <definedName name="qtdestac">#REF!</definedName>
    <definedName name="qtdsap">#REF!</definedName>
    <definedName name="qtdtub">#REF!</definedName>
    <definedName name="QTNULO">#REF!</definedName>
    <definedName name="QTPADRAO">#REF!</definedName>
    <definedName name="QTRES">#REF!</definedName>
    <definedName name="QuadraE">#REF!</definedName>
    <definedName name="quadrocompar.">#REF!</definedName>
    <definedName name="QUANT">#REF!</definedName>
    <definedName name="Quant_Aptos">#REF!</definedName>
    <definedName name="Quant_Cremalheira">#REF!</definedName>
    <definedName name="Quant_grua">#REF!</definedName>
    <definedName name="Quant_pav_lajão">#REF!</definedName>
    <definedName name="Quant_tipo">#REF!</definedName>
    <definedName name="Quant_torres">#REF!</definedName>
    <definedName name="Quantidade_Elevadores">#REF!</definedName>
    <definedName name="QUANTP">#REF!</definedName>
    <definedName name="QUATRO">#REF!</definedName>
    <definedName name="QUINZE">#REF!</definedName>
    <definedName name="qwdqw">{#N/A,#N/A,FALSE,"Plan1";#N/A,#N/A,FALSE,"Plan2"}</definedName>
    <definedName name="qweqwe">{#N/A,#N/A,FALSE,"Plan1";#N/A,#N/A,FALSE,"Plan2"}</definedName>
    <definedName name="qweqwe4">{TRUE,TRUE,-1.25,-15.5,604.5,366.75,FALSE,FALSE,TRUE,TRUE,0,1,#N/A,1,#N/A,9.0125,24.4117647058824,1,FALSE,FALSE,3,TRUE,1,FALSE,100,"Swvu.PLANILHA2.","ACwvu.PLANILHA2.",#N/A,FALSE,FALSE,0.787401575,0.34,0.46,0.5,1,"","",FALSE,FALSE,FALSE,FALSE,1,#N/A,1,1,FALSE,FALSE,#N/A,#N/A,FALSE,FALSE,FALSE,9,65532,65532,FALSE,FALSE,TRUE,TRUE,TRUE}</definedName>
    <definedName name="qwewqe">#REF!</definedName>
    <definedName name="qwqw">#REF!</definedName>
    <definedName name="R.imobAtualiz">#REF!</definedName>
    <definedName name="R_CorretAtualiz">#REF!</definedName>
    <definedName name="R_G.Cobr.Atualiz">#REF!</definedName>
    <definedName name="R_PmaisJAtualiz">#REF!</definedName>
    <definedName name="R_Prev.PerdaAtualiz">#REF!</definedName>
    <definedName name="RADIO">{"HW",#N/A,FALSE,"1998"}</definedName>
    <definedName name="RANGE">#REF!</definedName>
    <definedName name="RANGE1">#REF!</definedName>
    <definedName name="RANGE2">#REF!</definedName>
    <definedName name="RARQIMP">#REF!</definedName>
    <definedName name="RawData">#REF!</definedName>
    <definedName name="RE">#REF!</definedName>
    <definedName name="RECADUC">#REF!</definedName>
    <definedName name="Recebido_Acumulado_2015_Controladoria">#REF!</definedName>
    <definedName name="REF">{TRUE,TRUE,-1.25,-15.5,604.5,366.75,FALSE,FALSE,TRUE,TRUE,0,1,#N/A,1,#N/A,9.0125,24.4117647058824,1,FALSE,FALSE,3,TRUE,1,FALSE,100,"Swvu.PLANILHA2.","ACwvu.PLANILHA2.",#N/A,FALSE,FALSE,0.787401575,0.34,0.46,0.5,1,"","",FALSE,FALSE,FALSE,FALSE,1,#N/A,1,1,FALSE,FALSE,#N/A,#N/A,FALSE,FALSE,FALSE,9,65532,65532,FALSE,FALSE,TRUE,TRUE,TRUE}</definedName>
    <definedName name="reforsu">#REF!</definedName>
    <definedName name="REL_RJ">#REF!</definedName>
    <definedName name="REL_SP">#REF!</definedName>
    <definedName name="relat3">#REF!</definedName>
    <definedName name="ren">#REF!</definedName>
    <definedName name="REPETIÇÃO">#REF!</definedName>
    <definedName name="ReqC">#REF!</definedName>
    <definedName name="Responsável_Rel_Controladoria">#REF!</definedName>
    <definedName name="resum">{"'Ethernet Hubs'!$A$1:$F$14","'Licences'!$A$1:$F$16","'Ports and Converters'!$A$1:$F$46","'Standard Routers'!$A$1:$F$28","'Ports and Converters'!$A$1:$G$46","'Router Chassis'!$A$1:$F$21","'Cables and Connectors'!$A$1:$F$41","'Support, Training and Docs'!$A$1:$F$6","'Management'!$A$1:$F$8"}</definedName>
    <definedName name="RESUMO">#REF!</definedName>
    <definedName name="RESUMO2">{#N/A,#N/A,TRUE,"Quinzena 01 à 15-04-98 "}</definedName>
    <definedName name="REV">#REF!</definedName>
    <definedName name="RF">{#N/A,#N/A,FALSE,"CCTV"}</definedName>
    <definedName name="rgedrfrgfdg">{#N/A,#N/A,FALSE,"Plan1";#N/A,#N/A,FALSE,"Plan2"}</definedName>
    <definedName name="rhdrmq">{#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RI">#REF!</definedName>
    <definedName name="ridbeb">#REF!</definedName>
    <definedName name="RIDCHAF">#REF!</definedName>
    <definedName name="ridres05">#REF!</definedName>
    <definedName name="RIDRES10">#REF!</definedName>
    <definedName name="RIDRES15">#REF!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MultipleCPUSupportEnabled">TRUE</definedName>
    <definedName name="RiskNumIterations">1000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SwapState">"True"</definedName>
    <definedName name="RiskUpdateDisplay">FALSE</definedName>
    <definedName name="RiskUseDifferentSeedForEachSim">FALSE</definedName>
    <definedName name="RiskUseFixedSeed">FALSE</definedName>
    <definedName name="RiskUseMultipleCPUs">TRUE</definedName>
    <definedName name="RO">#REF!</definedName>
    <definedName name="Rodapé">#REF!</definedName>
    <definedName name="RODAPÉS">#REF!</definedName>
    <definedName name="ROMANO">#REF!</definedName>
    <definedName name="ROTCOMP">#REF!</definedName>
    <definedName name="ROTIMP">#REF!</definedName>
    <definedName name="ROTRES">#REF!</definedName>
    <definedName name="RQTADUC">#REF!</definedName>
    <definedName name="rqtbeb">#REF!</definedName>
    <definedName name="RQTCHAF">#REF!</definedName>
    <definedName name="RQTDERV">#REF!</definedName>
    <definedName name="rres05">#REF!</definedName>
    <definedName name="RRES10">#REF!</definedName>
    <definedName name="RRES15">#REF!</definedName>
    <definedName name="RRES20">#REF!</definedName>
    <definedName name="RRR">#REF!</definedName>
    <definedName name="rrrrr">{"'장비'!$A$3:$M$12"}</definedName>
    <definedName name="rrrrrrrr">{"'장비'!$A$3:$M$12"}</definedName>
    <definedName name="rrrrrrrrrrr">{#N/A,#N/A,TRUE,"Quinzena 01 à 15-04-98 "}</definedName>
    <definedName name="RSEQ">#REF!</definedName>
    <definedName name="RSUBTOT">#REF!</definedName>
    <definedName name="rtitbeb">#REF!</definedName>
    <definedName name="RTITCHAF">#REF!</definedName>
    <definedName name="rtubos">#REF!</definedName>
    <definedName name="RTYE">{"'장비'!$A$3:$M$12"}</definedName>
    <definedName name="s">#REF!</definedName>
    <definedName name="sa">{#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aa">{#N/A,#N/A,FALSE,"GERAL";#N/A,#N/A,FALSE,"012-96";#N/A,#N/A,FALSE,"018-96";#N/A,#N/A,FALSE,"027-96";#N/A,#N/A,FALSE,"059-96";#N/A,#N/A,FALSE,"076-96";#N/A,#N/A,FALSE,"019-97";#N/A,#N/A,FALSE,"021-97";#N/A,#N/A,FALSE,"022-97";#N/A,#N/A,FALSE,"028-97"}</definedName>
    <definedName name="sad">{TRUE,TRUE,-1.25,-15.5,604.5,366.75,FALSE,FALSE,TRUE,TRUE,0,1,#N/A,1,#N/A,9.0125,24.4117647058824,1,FALSE,FALSE,3,TRUE,1,FALSE,100,"Swvu.PLANILHA2.","ACwvu.PLANILHA2.",#N/A,FALSE,FALSE,0.787401575,0.34,0.46,0.5,1,"","",FALSE,FALSE,FALSE,FALSE,1,#N/A,1,1,FALSE,FALSE,#N/A,#N/A,FALSE,FALSE,FALSE,9,65532,65532,FALSE,FALSE,TRUE,TRUE,TRUE}</definedName>
    <definedName name="sadasd">{#N/A,#N/A,FALSE,"Plan1";#N/A,#N/A,FALSE,"Plan2"}</definedName>
    <definedName name="sadked">{TRUE,TRUE,-1.25,-15.5,604.5,366.75,FALSE,FALSE,TRUE,TRUE,0,1,#N/A,1,#N/A,9.0125,24.4117647058824,1,FALSE,FALSE,3,TRUE,1,FALSE,100,"Swvu.PLANILHA2.","ACwvu.PLANILHA2.",#N/A,FALSE,FALSE,0.787401575,0.34,0.46,0.5,1,"","",FALSE,FALSE,FALSE,FALSE,1,#N/A,1,1,FALSE,FALSE,#N/A,#N/A,FALSE,FALSE,FALSE,9,65532,65532,FALSE,FALSE,TRUE,TRUE,TRUE}</definedName>
    <definedName name="sadkrjkedft">{#N/A,#N/A,FALSE,"Plan1";#N/A,#N/A,FALSE,"Plan2"}</definedName>
    <definedName name="SADSRTR">{#N/A,#N/A,FALSE,"Plan1";#N/A,#N/A,FALSE,"Plan2"}</definedName>
    <definedName name="sadwde">{#N/A,#N/A,FALSE,"Plan1";#N/A,#N/A,FALSE,"Plan2"}</definedName>
    <definedName name="Salas">#REF!</definedName>
    <definedName name="sanjay">{#N/A,#N/A,FALSE,"TABLE"}</definedName>
    <definedName name="sapata">#REF!</definedName>
    <definedName name="SAPBEXrevision">14</definedName>
    <definedName name="SAPBEXsysID">"BW3"</definedName>
    <definedName name="SAPBEXwbID">"3SO04G3IWYENSZLK6QOKKYLB2"</definedName>
    <definedName name="SAS">{#N/A,#N/A,FALSE,"Plan1";#N/A,#N/A,FALSE,"Plan2"}</definedName>
    <definedName name="sasads">{#N/A,#N/A,FALSE,"Plan1";#N/A,#N/A,FALSE,"Plan2"}</definedName>
    <definedName name="SC">#REF!</definedName>
    <definedName name="sçadldfsfd">25</definedName>
    <definedName name="sda">#REF!</definedName>
    <definedName name="sdaer">{TRUE,TRUE,-1.25,-15.5,604.5,366.75,FALSE,FALSE,TRUE,TRUE,0,1,#N/A,1,#N/A,9.0125,24.4117647058824,1,FALSE,FALSE,3,TRUE,1,FALSE,100,"Swvu.PLANILHA2.","ACwvu.PLANILHA2.",#N/A,FALSE,FALSE,0.787401575,0.34,0.46,0.5,1,"","",FALSE,FALSE,FALSE,FALSE,1,#N/A,1,1,FALSE,FALSE,#N/A,#N/A,FALSE,FALSE,FALSE,9,65532,65532,FALSE,FALSE,TRUE,TRUE,TRUE}</definedName>
    <definedName name="SDAOTGFR">{#N/A,#N/A,FALSE,"Plan1";#N/A,#N/A,FALSE,"Plan2"}</definedName>
    <definedName name="sdckd">{#N/A,#N/A,FALSE,"Plan1";#N/A,#N/A,FALSE,"Plan2"}</definedName>
    <definedName name="SDDFKSEDE">{#N/A,#N/A,FALSE,"Plan1";#N/A,#N/A,FALSE,"Plan2"}</definedName>
    <definedName name="sddkslker">{#N/A,#N/A,FALSE,"Plan1";#N/A,#N/A,FALSE,"Plan2"}</definedName>
    <definedName name="sdefrr">{TRUE,TRUE,-1.25,-15.5,604.5,366.75,FALSE,FALSE,TRUE,TRUE,0,1,#N/A,1,#N/A,9.0125,24.4117647058824,1,FALSE,FALSE,3,TRUE,1,FALSE,100,"Swvu.PLANILHA2.","ACwvu.PLANILHA2.",#N/A,FALSE,FALSE,0.787401575,0.34,0.46,0.5,1,"","",FALSE,FALSE,FALSE,FALSE,1,#N/A,1,1,FALSE,FALSE,#N/A,#N/A,FALSE,FALSE,FALSE,9,65532,65532,FALSE,FALSE,TRUE,TRUE,TRUE}</definedName>
    <definedName name="sderj">{TRUE,TRUE,-1.25,-15.5,604.5,366.75,FALSE,FALSE,TRUE,TRUE,0,1,#N/A,1,#N/A,9.0125,24.4117647058824,1,FALSE,FALSE,3,TRUE,1,FALSE,100,"Swvu.PLANILHA2.","ACwvu.PLANILHA2.",#N/A,FALSE,FALSE,0.787401575,0.34,0.46,0.5,1,"","",FALSE,FALSE,FALSE,FALSE,1,#N/A,1,1,FALSE,FALSE,#N/A,#N/A,FALSE,FALSE,FALSE,9,65532,65532,FALSE,FALSE,TRUE,TRUE,TRUE}</definedName>
    <definedName name="sdert">#REF!</definedName>
    <definedName name="sdfd">{TRUE,TRUE,-1.25,-15.5,604.5,366.75,FALSE,FALSE,TRUE,TRUE,0,1,#N/A,1,#N/A,9.0125,24.4117647058824,1,FALSE,FALSE,3,TRUE,1,FALSE,100,"Swvu.PLANILHA2.","ACwvu.PLANILHA2.",#N/A,FALSE,FALSE,0.787401575,0.34,0.46,0.5,1,"","",FALSE,FALSE,FALSE,FALSE,1,#N/A,1,1,FALSE,FALSE,#N/A,#N/A,FALSE,FALSE,FALSE,9,65532,65532,FALSE,FALSE,TRUE,TRUE,TRUE}</definedName>
    <definedName name="sdfdds">{#N/A,#N/A,FALSE,"Plan1";#N/A,#N/A,FALSE,"Plan2"}</definedName>
    <definedName name="sdfdfc">{#N/A,#N/A,FALSE,"Plan1";#N/A,#N/A,FALSE,"Plan2"}</definedName>
    <definedName name="sdfdfr">{TRUE,TRUE,-1.25,-15.5,604.5,366.75,FALSE,FALSE,TRUE,TRUE,0,1,#N/A,1,#N/A,9.0125,24.4117647058824,1,FALSE,FALSE,3,TRUE,1,FALSE,100,"Swvu.PLANILHA2.","ACwvu.PLANILHA2.",#N/A,FALSE,FALSE,0.787401575,0.34,0.46,0.5,1,"","",FALSE,FALSE,FALSE,FALSE,1,#N/A,1,1,FALSE,FALSE,#N/A,#N/A,FALSE,FALSE,FALSE,9,65532,65532,FALSE,FALSE,TRUE,TRUE,TRUE}</definedName>
    <definedName name="sdfdgft">{#N/A,#N/A,FALSE,"Plan1";#N/A,#N/A,FALSE,"Plan2"}</definedName>
    <definedName name="sdfdsf">{#N/A,#N/A,FALSE,"Plan1";#N/A,#N/A,FALSE,"Plan2"}</definedName>
    <definedName name="sdfdsf\da" hidden="1">{#N/A,#N/A,FALSE,"Plan1";#N/A,#N/A,FALSE,"Plan2"}</definedName>
    <definedName name="SDFEDRT">{#N/A,#N/A,FALSE,"Plan1";#N/A,#N/A,FALSE,"Plan2"}</definedName>
    <definedName name="sdfer">{#N/A,#N/A,FALSE,"Plan1";#N/A,#N/A,FALSE,"Plan2"}</definedName>
    <definedName name="sdferr">{#N/A,#N/A,FALSE,"Plan1";#N/A,#N/A,FALSE,"Plan2"}</definedName>
    <definedName name="sdfet">{TRUE,TRUE,-1.25,-15.5,604.5,366.75,FALSE,FALSE,TRUE,TRUE,0,1,#N/A,1,#N/A,9.0125,24.4117647058824,1,FALSE,FALSE,3,TRUE,1,FALSE,100,"Swvu.PLANILHA2.","ACwvu.PLANILHA2.",#N/A,FALSE,FALSE,0.787401575,0.34,0.46,0.5,1,"","",FALSE,FALSE,FALSE,FALSE,1,#N/A,1,1,FALSE,FALSE,#N/A,#N/A,FALSE,FALSE,FALSE,9,65532,65532,FALSE,FALSE,TRUE,TRUE,TRUE}</definedName>
    <definedName name="SDFGJFSRF">{#N/A,#N/A,FALSE,"Plan1";#N/A,#N/A,FALSE,"Plan2"}</definedName>
    <definedName name="sdfgtr">{#N/A,#N/A,FALSE,"Plan1";#N/A,#N/A,FALSE,"Plan2"}</definedName>
    <definedName name="sdfjdetrt">{#N/A,#N/A,FALSE,"Plan1";#N/A,#N/A,FALSE,"Plan2"}</definedName>
    <definedName name="SDFJDRTJEIDR">{#N/A,#N/A,FALSE,"Plan1";#N/A,#N/A,FALSE,"Plan2"}</definedName>
    <definedName name="sdfjergtij">{#N/A,#N/A,FALSE,"Plan1";#N/A,#N/A,FALSE,"Plan2"}</definedName>
    <definedName name="SDFOPJKWE">{#N/A,#N/A,FALSE,"Plan1";#N/A,#N/A,FALSE,"Plan2"}</definedName>
    <definedName name="sdfrdt5">{TRUE,TRUE,-1.25,-15.5,604.5,366.75,FALSE,FALSE,TRUE,TRUE,0,1,#N/A,1,#N/A,9.0125,24.4117647058824,1,FALSE,FALSE,3,TRUE,1,FALSE,100,"Swvu.PLANILHA2.","ACwvu.PLANILHA2.",#N/A,FALSE,FALSE,0.787401575,0.34,0.46,0.5,1,"","",FALSE,FALSE,FALSE,FALSE,1,#N/A,1,1,FALSE,FALSE,#N/A,#N/A,FALSE,FALSE,FALSE,9,65532,65532,FALSE,FALSE,TRUE,TRUE,TRUE}</definedName>
    <definedName name="sdfrt">{#N/A,#N/A,FALSE,"Plan1";#N/A,#N/A,FALSE,"Plan2"}</definedName>
    <definedName name="SDFRTKK">{#N/A,#N/A,FALSE,"Plan1";#N/A,#N/A,FALSE,"Plan2"}</definedName>
    <definedName name="SDFRTR">{#N/A,#N/A,FALSE,"Plan1";#N/A,#N/A,FALSE,"Plan2"}</definedName>
    <definedName name="sdfry6">{#N/A,#N/A,FALSE,"Plan1";#N/A,#N/A,FALSE,"Plan2"}</definedName>
    <definedName name="sdfsaf">{#N/A,#N/A,FALSE,"Plan1";#N/A,#N/A,FALSE,"Plan2"}</definedName>
    <definedName name="sdfsd">{"'Estimativa de Lançamento-JAN'!$A$1:$AI$85"}</definedName>
    <definedName name="sdfsdfg">{#N/A,#N/A,FALSE,"Plan1";#N/A,#N/A,FALSE,"Plan2"}</definedName>
    <definedName name="SDFSDFK">{#N/A,#N/A,FALSE,"Plan1";#N/A,#N/A,FALSE,"Plan2"}</definedName>
    <definedName name="sdfsdgftret">{#N/A,#N/A,FALSE,"Plan1";#N/A,#N/A,FALSE,"Plan2"}</definedName>
    <definedName name="sdfsdr">1</definedName>
    <definedName name="sdfsf">{#N/A,#N/A,FALSE,"Plan1";#N/A,#N/A,FALSE,"Plan2"}</definedName>
    <definedName name="SDFSFRT">{"Econ Consolidado",#N/A,FALSE,"Econ Consol";"Fluxo de Caixa",#N/A,FALSE,"Fluxo Caixa";"Investimentos",#N/A,FALSE,"Investimentos"}</definedName>
    <definedName name="sdfsr">{#N/A,#N/A,FALSE,"Plan1";#N/A,#N/A,FALSE,"Plan2"}</definedName>
    <definedName name="sdfty">{#N/A,#N/A,FALSE,"Plan1";#N/A,#N/A,FALSE,"Plan2"}</definedName>
    <definedName name="sdgdf">{#N/A,#N/A,FALSE,"Plan1";#N/A,#N/A,FALSE,"Plan2"}</definedName>
    <definedName name="sdgfrt">{#N/A,#N/A,FALSE,"Plan1";#N/A,#N/A,FALSE,"Plan2"}</definedName>
    <definedName name="sdgft">{#N/A,#N/A,FALSE,"Plan1";#N/A,#N/A,FALSE,"Plan2"}</definedName>
    <definedName name="sdgt">{#N/A,#N/A,FALSE,"Plan1";#N/A,#N/A,FALSE,"Plan2"}</definedName>
    <definedName name="sdgtry">#REF!</definedName>
    <definedName name="sdhfghdsfg">{#N/A,#N/A,FALSE,"Plan1";#N/A,#N/A,FALSE,"Plan2"}</definedName>
    <definedName name="SDHFJKHDFJRE">{#N/A,#N/A,FALSE,"Plan1";#N/A,#N/A,FALSE,"Plan2"}</definedName>
    <definedName name="SDHKFDRKGTR">{#N/A,#N/A,FALSE,"Plan1";#N/A,#N/A,FALSE,"Plan2"}</definedName>
    <definedName name="sdjdswger">{#N/A,#N/A,FALSE,"Plan1";#N/A,#N/A,FALSE,"Plan2"}</definedName>
    <definedName name="sdjfdf">{#N/A,#N/A,FALSE,"Plan1";#N/A,#N/A,FALSE,"Plan2"}</definedName>
    <definedName name="sdjfhdjk">{#N/A,#N/A,FALSE,"Plan1";#N/A,#N/A,FALSE,"Plan2"}</definedName>
    <definedName name="SDJFJDER">{#N/A,#N/A,FALSE,"Plan1";#N/A,#N/A,FALSE,"Plan2"}</definedName>
    <definedName name="sdjflsdjfl">{#N/A,#N/A,FALSE,"Plan1";#N/A,#N/A,FALSE,"Plan2"}</definedName>
    <definedName name="SDJHF">{#N/A,#N/A,FALSE,"Plan1";#N/A,#N/A,FALSE,"Plan2"}</definedName>
    <definedName name="sdjrderertrr">{#N/A,#N/A,FALSE,"Plan1";#N/A,#N/A,FALSE,"Plan2"}</definedName>
    <definedName name="sdkdjk">{#N/A,#N/A,FALSE,"Plan1";#N/A,#N/A,FALSE,"Plan2"}</definedName>
    <definedName name="sdkfjhkdgfhk">{TRUE,TRUE,-1.25,-15.5,604.5,366.75,FALSE,FALSE,TRUE,TRUE,0,1,#N/A,1,#N/A,9.0125,24.4117647058824,1,FALSE,FALSE,3,TRUE,1,FALSE,100,"Swvu.PLANILHA2.","ACwvu.PLANILHA2.",#N/A,FALSE,FALSE,0.787401575,0.34,0.46,0.5,1,"","",FALSE,FALSE,FALSE,FALSE,1,#N/A,1,1,FALSE,FALSE,#N/A,#N/A,FALSE,FALSE,FALSE,9,65532,65532,FALSE,FALSE,TRUE,TRUE,TRUE}</definedName>
    <definedName name="sdkfnjd">{#N/A,#N/A,FALSE,"Plan1";#N/A,#N/A,FALSE,"Plan2"}</definedName>
    <definedName name="sdkk">{#N/A,#N/A,FALSE,"Plan1";#N/A,#N/A,FALSE,"Plan2"}</definedName>
    <definedName name="sdlfsdflj">{#N/A,#N/A,FALSE,"Plan1";#N/A,#N/A,FALSE,"Plan2"}</definedName>
    <definedName name="sdmfmdfsgfd">{#N/A,#N/A,FALSE,"Plan1";#N/A,#N/A,FALSE,"Plan2"}</definedName>
    <definedName name="sdr">{TRUE,TRUE,-1.25,-15.5,604.5,366.75,FALSE,FALSE,TRUE,TRUE,0,1,#N/A,1,#N/A,9.0125,24.4117647058824,1,FALSE,FALSE,3,TRUE,1,FALSE,100,"Swvu.PLANILHA2.","ACwvu.PLANILHA2.",#N/A,FALSE,FALSE,0.787401575,0.34,0.46,0.5,1,"","",FALSE,FALSE,FALSE,FALSE,1,#N/A,1,1,FALSE,FALSE,#N/A,#N/A,FALSE,FALSE,FALSE,9,65532,65532,FALSE,FALSE,TRUE,TRUE,TRUE}</definedName>
    <definedName name="sdrfgt">{#N/A,#N/A,FALSE,"Plan1";#N/A,#N/A,FALSE,"Plan2"}</definedName>
    <definedName name="sdsd">{#N/A,#N/A,FALSE,"Plan1";#N/A,#N/A,FALSE,"Plan2"}</definedName>
    <definedName name="sdser">{#N/A,#N/A,FALSE,"Plan1";#N/A,#N/A,FALSE,"Plan2"}</definedName>
    <definedName name="sdsre">{#N/A,#N/A,FALSE,"Plan1";#N/A,#N/A,FALSE,"Plan2"}</definedName>
    <definedName name="sdss">{#N/A,#N/A,FALSE,"Plan1";#N/A,#N/A,FALSE,"Plan2"}</definedName>
    <definedName name="sdtrtg">#REF!</definedName>
    <definedName name="sdusi">{TRUE,TRUE,-1.25,-15.5,604.5,366.75,FALSE,FALSE,TRUE,TRUE,0,1,#N/A,1,#N/A,9.0125,24.4117647058824,1,FALSE,FALSE,3,TRUE,1,FALSE,100,"Swvu.PLANILHA2.","ACwvu.PLANILHA2.",#N/A,FALSE,FALSE,0.787401575,0.34,0.46,0.5,1,"","",FALSE,FALSE,FALSE,FALSE,1,#N/A,1,1,FALSE,FALSE,#N/A,#N/A,FALSE,FALSE,FALSE,9,65532,65532,FALSE,FALSE,TRUE,TRUE,TRUE}</definedName>
    <definedName name="SDWER">{"Econ Consolidado",#N/A,FALSE,"Econ Consol";"Fluxo de Caixa",#N/A,FALSE,"Fluxo Caixa";"Investimentos",#N/A,FALSE,"Investimentos"}</definedName>
    <definedName name="sdxfrt">{#N/A,#N/A,FALSE,"Plan1";#N/A,#N/A,FALSE,"Plan2"}</definedName>
    <definedName name="SDZFERF">{#N/A,#N/A,FALSE,"Plan1";#N/A,#N/A,FALSE,"Plan2"}</definedName>
    <definedName name="se">#REF!</definedName>
    <definedName name="SEDE">#REF!</definedName>
    <definedName name="sefret4rt">{TRUE,TRUE,-1.25,-15.5,604.5,366.75,FALSE,FALSE,TRUE,TRUE,0,1,#N/A,1,#N/A,9.0125,24.4117647058824,1,FALSE,FALSE,3,TRUE,1,FALSE,100,"Swvu.PLANILHA2.","ACwvu.PLANILHA2.",#N/A,FALSE,FALSE,0.787401575,0.34,0.46,0.5,1,"","",FALSE,FALSE,FALSE,FALSE,1,#N/A,1,1,FALSE,FALSE,#N/A,#N/A,FALSE,FALSE,FALSE,9,65532,65532,FALSE,FALSE,TRUE,TRUE,TRUE}</definedName>
    <definedName name="SEG">#REF!</definedName>
    <definedName name="segftru">{#N/A,#N/A,FALSE,"Plan1";#N/A,#N/A,FALSE,"Plan2"}</definedName>
    <definedName name="SegmentaçãodeDados_UF1">""</definedName>
    <definedName name="SegmentaçãodeDados_UF11">""</definedName>
    <definedName name="SegmentaçãodeDados_UF12">""</definedName>
    <definedName name="SEIS">#REF!</definedName>
    <definedName name="sencount">3</definedName>
    <definedName name="SEQUENCIA">#REF!</definedName>
    <definedName name="SEREWRSWE">{"tabela",#N/A,FALSE,"Tabela";"decoração",#N/A,FALSE,"Decor.";"Informações",#N/A,FALSE,"Inform."}</definedName>
    <definedName name="Set_17">#REF!</definedName>
    <definedName name="SETE">#REF!</definedName>
    <definedName name="SETEMBRO">#REF!</definedName>
    <definedName name="setRJ17">#REF!</definedName>
    <definedName name="severo">#REF!</definedName>
    <definedName name="sf">{#N/A,#N/A,FALSE,"Plan1";#N/A,#N/A,FALSE,"Plan2"}</definedName>
    <definedName name="sfcrert">{TRUE,TRUE,-1.25,-15.5,604.5,366.75,FALSE,FALSE,TRUE,TRUE,0,1,#N/A,1,#N/A,9.0125,24.4117647058824,1,FALSE,FALSE,3,TRUE,1,FALSE,100,"Swvu.PLANILHA2.","ACwvu.PLANILHA2.",#N/A,FALSE,FALSE,0.787401575,0.34,0.46,0.5,1,"","",FALSE,FALSE,FALSE,FALSE,1,#N/A,1,1,FALSE,FALSE,#N/A,#N/A,FALSE,FALSE,FALSE,9,65532,65532,FALSE,FALSE,TRUE,TRUE,TRUE}</definedName>
    <definedName name="sfddfd">{#N/A,#N/A,FALSE,"Plan1";#N/A,#N/A,FALSE,"Plan2"}</definedName>
    <definedName name="sfds">{#N/A,#N/A,FALSE,"Plan1";#N/A,#N/A,FALSE,"Plan2"}</definedName>
    <definedName name="sfdsd">{#N/A,#N/A,FALSE,"Plan1";#N/A,#N/A,FALSE,"Plan2"}</definedName>
    <definedName name="SFDSF">34</definedName>
    <definedName name="sfrsdrgt">{#N/A,#N/A,FALSE,"Plan1";#N/A,#N/A,FALSE,"Plan2"}</definedName>
    <definedName name="SFRT">{#N/A,#N/A,FALSE,"Plan1";#N/A,#N/A,FALSE,"Plan2"}</definedName>
    <definedName name="sfsdferf">{#N/A,#N/A,FALSE,"Plan1";#N/A,#N/A,FALSE,"Plan2"}</definedName>
    <definedName name="sfsdfs">34</definedName>
    <definedName name="SFSDS">{#N/A,#N/A,FALSE,"Plan1";#N/A,#N/A,FALSE,"Plan2"}</definedName>
    <definedName name="SGarantia">#REF!</definedName>
    <definedName name="sgtghty">{#N/A,#N/A,FALSE,"Plan1";#N/A,#N/A,FALSE,"Plan2"}</definedName>
    <definedName name="SH">{#N/A,#N/A,FALSE,"GERAL";#N/A,#N/A,FALSE,"012-96";#N/A,#N/A,FALSE,"018-96";#N/A,#N/A,FALSE,"027-96";#N/A,#N/A,FALSE,"059-96";#N/A,#N/A,FALSE,"076-96";#N/A,#N/A,FALSE,"019-97";#N/A,#N/A,FALSE,"021-97";#N/A,#N/A,FALSE,"022-97";#N/A,#N/A,FALSE,"028-97"}</definedName>
    <definedName name="SHARED_FORMULA_0">#REF!</definedName>
    <definedName name="SHARED_FORMULA_1">#REF!</definedName>
    <definedName name="SHARED_FORMULA_10">#REF!</definedName>
    <definedName name="SHARED_FORMULA_11">#REF!</definedName>
    <definedName name="SHARED_FORMULA_12">#REF!</definedName>
    <definedName name="SHARED_FORMULA_13">#REF!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7">#REF!</definedName>
    <definedName name="SHARED_FORMULA_8">#REF!</definedName>
    <definedName name="SHARED_FORMULA_9">#REF!</definedName>
    <definedName name="SIH">#REF!</definedName>
    <definedName name="SISTEM1">#REF!</definedName>
    <definedName name="SISTEM2">#REF!</definedName>
    <definedName name="SIV">#REF!</definedName>
    <definedName name="sjawe">{#N/A,#N/A,FALSE,"Plan1";#N/A,#N/A,FALSE,"Plan2"}</definedName>
    <definedName name="sjdffd">{#N/A,#N/A,FALSE,"Plan1";#N/A,#N/A,FALSE,"Plan2"}</definedName>
    <definedName name="SJDFHDJSF">{TRUE,TRUE,-1.25,-15.5,604.5,366.75,FALSE,FALSE,TRUE,TRUE,0,1,#N/A,1,#N/A,9.0125,24.4117647058824,1,FALSE,FALSE,3,TRUE,1,FALSE,100,"Swvu.PLANILHA2.","ACwvu.PLANILHA2.",#N/A,FALSE,FALSE,0.787401575,0.34,0.46,0.5,1,"","",FALSE,FALSE,FALSE,FALSE,1,#N/A,1,1,FALSE,FALSE,#N/A,#N/A,FALSE,FALSE,FALSE,9,65532,65532,FALSE,FALSE,TRUE,TRUE,TRUE}</definedName>
    <definedName name="SJDHFHRE">{#N/A,#N/A,FALSE,"Plan1";#N/A,#N/A,FALSE,"Plan2"}</definedName>
    <definedName name="SJDKJDE">{"Econ Consolidado",#N/A,FALSE,"Econ Consol";"Fluxo de Caixa",#N/A,FALSE,"Fluxo Caixa";"Investimentos",#N/A,FALSE,"Investimentos"}</definedName>
    <definedName name="sjekwjri">{#N/A,#N/A,FALSE,"Plan1";#N/A,#N/A,FALSE,"Plan2"}</definedName>
    <definedName name="sjfkdhsfds">{#N/A,#N/A,FALSE,"Plan1";#N/A,#N/A,FALSE,"Plan2"}</definedName>
    <definedName name="sjkdljslkrje">{#N/A,#N/A,FALSE,"Plan1";#N/A,#N/A,FALSE,"Plan2"}</definedName>
    <definedName name="skadadaszs">{#N/A,#N/A,FALSE,"Plan1";#N/A,#N/A,FALSE,"Plan2"}</definedName>
    <definedName name="SKASH">{#N/A,#N/A,FALSE,"Plan1";#N/A,#N/A,FALSE,"Plan2"}</definedName>
    <definedName name="skldfrde">{#N/A,#N/A,FALSE,"Plan1";#N/A,#N/A,FALSE,"Plan2"}</definedName>
    <definedName name="skosroer">{#N/A,#N/A,FALSE,"Plan1";#N/A,#N/A,FALSE,"Plan2"}</definedName>
    <definedName name="SO">#REF!</definedName>
    <definedName name="solver_lin">0</definedName>
    <definedName name="solver_num">0</definedName>
    <definedName name="solver_rel1">3</definedName>
    <definedName name="solver_rhs1">0</definedName>
    <definedName name="solver_tmp">0</definedName>
    <definedName name="solver_typ">1</definedName>
    <definedName name="solver_val">0</definedName>
    <definedName name="soma">#REF!</definedName>
    <definedName name="sp">{#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AR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pec구매">{#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sQEWWE">{#N/A,#N/A,FALSE,"Plan1";#N/A,#N/A,FALSE,"Plan2"}</definedName>
    <definedName name="SR">#REF!</definedName>
    <definedName name="SRH">{#N/A,#N/A,FALSE,"GERAL";#N/A,#N/A,FALSE,"012-96";#N/A,#N/A,FALSE,"018-96";#N/A,#N/A,FALSE,"027-96";#N/A,#N/A,FALSE,"059-96";#N/A,#N/A,FALSE,"076-96";#N/A,#N/A,FALSE,"019-97";#N/A,#N/A,FALSE,"021-97";#N/A,#N/A,FALSE,"022-97";#N/A,#N/A,FALSE,"028-97"}</definedName>
    <definedName name="SRTSRT">{#N/A,#N/A,FALSE,"GERAL";#N/A,#N/A,FALSE,"012-96";#N/A,#N/A,FALSE,"018-96";#N/A,#N/A,FALSE,"027-96";#N/A,#N/A,FALSE,"059-96";#N/A,#N/A,FALSE,"076-96";#N/A,#N/A,FALSE,"019-97";#N/A,#N/A,FALSE,"021-97";#N/A,#N/A,FALSE,"022-97";#N/A,#N/A,FALSE,"028-97"}</definedName>
    <definedName name="SRTST">{#N/A,#N/A,FALSE,"GERAL";#N/A,#N/A,FALSE,"012-96";#N/A,#N/A,FALSE,"018-96";#N/A,#N/A,FALSE,"027-96";#N/A,#N/A,FALSE,"059-96";#N/A,#N/A,FALSE,"076-96";#N/A,#N/A,FALSE,"019-97";#N/A,#N/A,FALSE,"021-97";#N/A,#N/A,FALSE,"022-97";#N/A,#N/A,FALSE,"028-97"}</definedName>
    <definedName name="SS">#REF!</definedName>
    <definedName name="sssss">#REF!</definedName>
    <definedName name="stake_cury">#REF!</definedName>
    <definedName name="status_projeto">OFFSET(INDEX(#REF!,MATCH(#REF!,#REF!,0)),1,0,COUNTA(#REF!)-1)</definedName>
    <definedName name="SUB_TOTAL_1">#REF!</definedName>
    <definedName name="SUBDER">#REF!</definedName>
    <definedName name="SUBDIV">#REF!</definedName>
    <definedName name="SUBEQP">#REF!</definedName>
    <definedName name="SUBMUR">#REF!</definedName>
    <definedName name="summ">#REF!</definedName>
    <definedName name="susref">#REF!</definedName>
    <definedName name="Swvu.Características.">#REF!</definedName>
    <definedName name="Swvu.Ciclos.">#REF!</definedName>
    <definedName name="Swvu.Custos.">#REF!</definedName>
    <definedName name="Swvu.PLANILHA2.">#REF!</definedName>
    <definedName name="Swvu.Recursos.">#REF!</definedName>
    <definedName name="T_actual">#REF!</definedName>
    <definedName name="t_cc">#REF!</definedName>
    <definedName name="t_KSB1_Transport">#REF!</definedName>
    <definedName name="tab">{TRUE,TRUE,-1.25,-15.5,604.5,366.75,FALSE,FALSE,TRUE,TRUE,0,1,#N/A,1,#N/A,9.0125,24.4117647058824,1,FALSE,FALSE,3,TRUE,1,FALSE,100,"Swvu.PLANILHA2.","ACwvu.PLANILHA2.",#N/A,FALSE,FALSE,0.787401575,0.34,0.46,0.5,1,"","",FALSE,FALSE,FALSE,FALSE,1,#N/A,1,1,FALSE,FALSE,#N/A,#N/A,FALSE,FALSE,FALSE,9,65532,65532,FALSE,FALSE,TRUE,TRUE,TRUE}</definedName>
    <definedName name="TAB_GASTOS">#REF!</definedName>
    <definedName name="TABACABAMENTOS">#REF!</definedName>
    <definedName name="tabela">#REF!</definedName>
    <definedName name="Tabela_Atribuição">#REF!</definedName>
    <definedName name="TABELA_DE_REVESTIMENTOS">#REF!</definedName>
    <definedName name="Tabela_Recursos">#REF!</definedName>
    <definedName name="Tabela_Tarefas">#REF!</definedName>
    <definedName name="Tabela1">#REF!</definedName>
    <definedName name="Tabela2">#REF!</definedName>
    <definedName name="tabela3">#REF!</definedName>
    <definedName name="TABREF">#REF!</definedName>
    <definedName name="tania">#REF!</definedName>
    <definedName name="TAUX2">OFFSET(#REF!,0,0,COUNTA(#REF!)+1,1)</definedName>
    <definedName name="TAUX3">OFFSET(#REF!,0,0,COUNTA(#REF!)+1,1)</definedName>
    <definedName name="TAXA_VENTO">#REF!</definedName>
    <definedName name="TAXAS">#REF!</definedName>
    <definedName name="TbDin">OFFSET(#REF!,0,0,COUNTA(#REF!),13)</definedName>
    <definedName name="tc">#REF!</definedName>
    <definedName name="TE">#REF!</definedName>
    <definedName name="TECLA">#REF!</definedName>
    <definedName name="Tendência_Obra_Controladoria">#REF!</definedName>
    <definedName name="TERRENO">#REF!</definedName>
    <definedName name="Test">{"'Edit'!$A$1:$V$2277"}</definedName>
    <definedName name="TESTANDO">{#N/A,#N/A,TRUE,"Quinzena 01 à 15-04-98 "}</definedName>
    <definedName name="teste">#REF!</definedName>
    <definedName name="teste1">{#N/A,#N/A,FALSE,"GERAL";#N/A,#N/A,FALSE,"012-96";#N/A,#N/A,FALSE,"018-96";#N/A,#N/A,FALSE,"027-96";#N/A,#N/A,FALSE,"059-96";#N/A,#N/A,FALSE,"076-96";#N/A,#N/A,FALSE,"019-97";#N/A,#N/A,FALSE,"021-97";#N/A,#N/A,FALSE,"022-97";#N/A,#N/A,FALSE,"028-97"}</definedName>
    <definedName name="teste3">#REF!</definedName>
    <definedName name="TESTHKEY">#REF!</definedName>
    <definedName name="teto1">#REF!</definedName>
    <definedName name="Teto2">#REF!</definedName>
    <definedName name="tetuytw">#REF!</definedName>
    <definedName name="TextRefCopyRangeCount">1</definedName>
    <definedName name="thjgsergsr">{#N/A,#N/A,FALSE,"Plan1";#N/A,#N/A,FALSE,"Plan2"}</definedName>
    <definedName name="THYJ">{#N/A,#N/A,FALSE,"Plan1";#N/A,#N/A,FALSE,"Plan2"}</definedName>
    <definedName name="tihjgih">{#N/A,#N/A,FALSE,"Plan1";#N/A,#N/A,FALSE,"Plan2"}</definedName>
    <definedName name="TIPO_CTT">#REF!</definedName>
    <definedName name="Tipo_de_Diretoria">#REF!</definedName>
    <definedName name="Tipo_de_Gestao">#REF!</definedName>
    <definedName name="Tipo_de_Padrao">#REF!</definedName>
    <definedName name="Tipo_de_Regiao">#REF!</definedName>
    <definedName name="Tipo_de_Segmento">#REF!</definedName>
    <definedName name="Tipo_de_Status">#REF!</definedName>
    <definedName name="Tipo_de_UF">#REF!</definedName>
    <definedName name="Tipo_de_Unidade_de_Negocio">#REF!</definedName>
    <definedName name="Tipo_do_cliente">#REF!</definedName>
    <definedName name="tipo_subtotal">#REF!</definedName>
    <definedName name="tipobloco">#REF!</definedName>
    <definedName name="titbeb">#REF!</definedName>
    <definedName name="TITCHAF">#REF!</definedName>
    <definedName name="TituloMkt">#REF!</definedName>
    <definedName name="titulos">#REF!</definedName>
    <definedName name="_xlnm.Print_Titles">#REF!</definedName>
    <definedName name="Títulos_impressão_IM">#REF!</definedName>
    <definedName name="TMO">#REF!</definedName>
    <definedName name="TOLTAL2">#REF!</definedName>
    <definedName name="TOT">#REF!</definedName>
    <definedName name="tot3estac">#REF!</definedName>
    <definedName name="TOTAIS">#REF!</definedName>
    <definedName name="Total">#REF!</definedName>
    <definedName name="Total_2016_Rel_Controladoria">#REF!</definedName>
    <definedName name="Total_Parcelas_MAP">#REF!</definedName>
    <definedName name="total_unid">#REF!</definedName>
    <definedName name="TOTAL1">#REF!</definedName>
    <definedName name="TOTAL10">#REF!</definedName>
    <definedName name="TOTAL11">#REF!</definedName>
    <definedName name="TOTAL12">#REF!</definedName>
    <definedName name="TOTAL13">#REF!</definedName>
    <definedName name="TOTAL14">#REF!</definedName>
    <definedName name="TOTAL15">#REF!</definedName>
    <definedName name="TOTAL16">#REF!</definedName>
    <definedName name="TOTAL2">#REF!</definedName>
    <definedName name="TOTAL3">#REF!</definedName>
    <definedName name="TOTAL4">#REF!</definedName>
    <definedName name="TOTAL5">#REF!</definedName>
    <definedName name="TOTAL6">#REF!</definedName>
    <definedName name="TOTAL7">#REF!</definedName>
    <definedName name="TOTAL8">#REF!</definedName>
    <definedName name="TOTAL9">#REF!</definedName>
    <definedName name="TOTALITEM">#REF!</definedName>
    <definedName name="totbase">#REF!</definedName>
    <definedName name="totestaca">#REF!</definedName>
    <definedName name="TOTG">OFFSET(#REF!,0,0,COUNTA(#REF!),1)</definedName>
    <definedName name="totperfura">#REF!</definedName>
    <definedName name="TOTQTS">#REF!</definedName>
    <definedName name="TOTT">OFFSET(#REF!,0,0,COUNTA(#REF!)+1,1)</definedName>
    <definedName name="TR">#REF!</definedName>
    <definedName name="Transferencia1">#REF!</definedName>
    <definedName name="TRES">#REF!</definedName>
    <definedName name="TREZE">#REF!</definedName>
    <definedName name="tri">#REF!</definedName>
    <definedName name="Trimestre_data_base">#REF!</definedName>
    <definedName name="trjyidih">{#N/A,#N/A,FALSE,"Plan1";#N/A,#N/A,FALSE,"Plan2"}</definedName>
    <definedName name="TRP">#REF!</definedName>
    <definedName name="TTT">#REF!</definedName>
    <definedName name="TURNO">#REF!</definedName>
    <definedName name="tuyedjsksj">{#N/A,#N/A,FALSE,"Plan1";#N/A,#N/A,FALSE,"Plan2"}</definedName>
    <definedName name="TX_ADM">#REF!</definedName>
    <definedName name="tx_desconto_real">#REF!</definedName>
    <definedName name="TxAplicMes">#REF!</definedName>
    <definedName name="TxCdiMes">#REF!</definedName>
    <definedName name="TxDescMes">#REF!</definedName>
    <definedName name="TxSecuritizacaoMes">#REF!</definedName>
    <definedName name="TxSfhEco">#REF!</definedName>
    <definedName name="TxSfhMap">#REF!</definedName>
    <definedName name="TXTEQUIP">#REF!</definedName>
    <definedName name="TXTMARCA">#REF!</definedName>
    <definedName name="TXTMOD">#REF!</definedName>
    <definedName name="TXTPOT">#REF!</definedName>
    <definedName name="TYHGFHFHG">{#N/A,#N/A,FALSE,"Plan1";#N/A,#N/A,FALSE,"Plan2"}</definedName>
    <definedName name="u">{#N/A,#N/A,FALSE,"ET-CAPA";#N/A,#N/A,FALSE,"ET-PAG1";#N/A,#N/A,FALSE,"ET-PAG2";#N/A,#N/A,FALSE,"ET-PAG3";#N/A,#N/A,FALSE,"ET-PAG4";#N/A,#N/A,FALSE,"ET-PAG5"}</definedName>
    <definedName name="udhgfhfg">{#N/A,#N/A,FALSE,"Plan1";#N/A,#N/A,FALSE,"Plan2"}</definedName>
    <definedName name="ueiutriuef">{#N/A,#N/A,FALSE,"Plan1";#N/A,#N/A,FALSE,"Plan2"}</definedName>
    <definedName name="UENSIT">#REF!</definedName>
    <definedName name="UENSITS">#REF!</definedName>
    <definedName name="UHGSDUS">{#N/A,#N/A,FALSE,"Plan1";#N/A,#N/A,FALSE,"Plan2"}</definedName>
    <definedName name="UI">#REF!</definedName>
    <definedName name="UIHWER45R">{#N/A,#N/A,FALSE,"Plan1";#N/A,#N/A,FALSE,"Plan2"}</definedName>
    <definedName name="uiosderuiu">{#N/A,#N/A,FALSE,"Plan1";#N/A,#N/A,FALSE,"Plan2"}</definedName>
    <definedName name="UIOURET">{#N/A,#N/A,FALSE,"Plan1";#N/A,#N/A,FALSE,"Plan2"}</definedName>
    <definedName name="uiwuer">{#N/A,#N/A,FALSE,"Plan1";#N/A,#N/A,FALSE,"Plan2"}</definedName>
    <definedName name="UKHDFDSGUDFKD">{#N/A,#N/A,FALSE,"Plan1";#N/A,#N/A,FALSE,"Plan2"}</definedName>
    <definedName name="UM">#REF!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D">OFFSET(#REF!,0,0,COUNTA(#REF!),1)</definedName>
    <definedName name="unit">{#N/A,#N/A,FALSE,"GERAL";#N/A,#N/A,FALSE,"012-96";#N/A,#N/A,FALSE,"018-96";#N/A,#N/A,FALSE,"027-96";#N/A,#N/A,FALSE,"059-96";#N/A,#N/A,FALSE,"076-96";#N/A,#N/A,FALSE,"019-97";#N/A,#N/A,FALSE,"021-97";#N/A,#N/A,FALSE,"022-97";#N/A,#N/A,FALSE,"028-97"}</definedName>
    <definedName name="univ_cdi">#REF!</definedName>
    <definedName name="univ_hist">#REF!</definedName>
    <definedName name="univ_uss">#REF!</definedName>
    <definedName name="UPS">{#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uryrtyt">{#N/A,#N/A,FALSE,"Plan1";#N/A,#N/A,FALSE,"Plan2"}</definedName>
    <definedName name="V">#REF!</definedName>
    <definedName name="VALIDADE_EXECUÇÃO">#REF!</definedName>
    <definedName name="Valor_PLS_Controladoria">#REF!</definedName>
    <definedName name="Valor_Previsto_Fin_Medições">#REF!</definedName>
    <definedName name="VALOR_REAIS">#REF!</definedName>
    <definedName name="Valor_Recebido_Fin_Medições">#REF!</definedName>
    <definedName name="Valor_Sienge">#REF!</definedName>
    <definedName name="VALOR_VENDA">#REF!</definedName>
    <definedName name="valores_diferidos">#REF!</definedName>
    <definedName name="valv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VAOS">#REF!</definedName>
    <definedName name="vdsgfrhgfr">{#N/A,#N/A,FALSE,"Plan1";#N/A,#N/A,FALSE,"Plan2"}</definedName>
    <definedName name="Veiculos">#REF!</definedName>
    <definedName name="VENDA_ADOTADA">#REF!</definedName>
    <definedName name="VENDAFINAL_R">#REF!</definedName>
    <definedName name="VENDAFINAL_U">#REF!</definedName>
    <definedName name="Vendas">#REF!</definedName>
    <definedName name="vendas_">#REF!</definedName>
    <definedName name="VERIFICAR">{#N/A,#N/A,TRUE,"Quinzena 01 à 15-04-98 "}</definedName>
    <definedName name="versao_estudo">#REF!</definedName>
    <definedName name="vfbg">#REF!</definedName>
    <definedName name="vfnijfd">{TRUE,TRUE,-1.25,-15.5,604.5,366.75,FALSE,FALSE,TRUE,TRUE,0,1,#N/A,1,#N/A,9.0125,24.4117647058824,1,FALSE,FALSE,3,TRUE,1,FALSE,100,"Swvu.PLANILHA2.","ACwvu.PLANILHA2.",#N/A,FALSE,FALSE,0.787401575,0.34,0.46,0.5,1,"","",FALSE,FALSE,FALSE,FALSE,1,#N/A,1,1,FALSE,FALSE,#N/A,#N/A,FALSE,FALSE,FALSE,9,65532,65532,FALSE,FALSE,TRUE,TRUE,TRUE}</definedName>
    <definedName name="VFV">{#N/A,#N/A,FALSE,"Plan1";#N/A,#N/A,FALSE,"Plan2"}</definedName>
    <definedName name="VI">#REF!</definedName>
    <definedName name="VINTE">#REF!</definedName>
    <definedName name="visao_cashflow">#REF!</definedName>
    <definedName name="visao_VL">#REF!</definedName>
    <definedName name="vl_cd">#REF!</definedName>
    <definedName name="vl_k1">#REF!</definedName>
    <definedName name="vl_k2">#REF!</definedName>
    <definedName name="vl_k3">#REF!</definedName>
    <definedName name="vld_classificacao">IF(#REF!="Ativa",OFFSET(INDEX(rng_list_classificacao,MATCH(#REF!,rng_list_classificacao,0)),1,0,COUNTA(rng_list_classificacao)-1),#REF!)</definedName>
    <definedName name="vld_regional">OFFSET(INDEX(rng_list_regional,MATCH(#REF!,rng_list_regional,0)),1,0,COUNTA(rng_list_regional)-1)</definedName>
    <definedName name="vld_segmento">IF(#REF!="Ativa",OFFSET(INDEX(rng_list_segmento,MATCH(#REF!,rng_list_segmento,0)),1,0,COUNTA(rng_list_segmento)-1),#REF!)</definedName>
    <definedName name="vld_sociedade">OFFSET(INDEX(rng_list_sociedade,MATCH(#REF!,rng_list_sociedade,0)),1,0,COUNTA(rng_list_sociedade)-1)</definedName>
    <definedName name="vld_status_empresa">OFFSET(INDEX(rng_list_status_empresa,MATCH(#REF!,rng_list_status_empresa,0)),1,0,COUNTA(rng_list_status_empresa)-1)</definedName>
    <definedName name="vld_status_lancamento">IF(#REF!="Ativa",OFFSET(INDEX(rng_list_status_lancamento,MATCH(#REF!,rng_list_status_lancamento,0)),1,0,COUNTA(rng_list_status_lancamento)-1),#REF!)</definedName>
    <definedName name="vld_status_projeto">IF(#REF!="Ativa",OFFSET(INDEX(rng_list_status_projeto,MATCH(#REF!,rng_list_status_projeto,0)),1,0,COUNTA(rng_list_status_projeto)-1),#REF!)</definedName>
    <definedName name="vld_status_viabilidade">OFFSET(INDEX(rng_list_status_viabilidade,MATCH(#REF!,rng_list_status_viabilidade,0)),1,0,COUNTA(rng_list_status_viabilidade)-1)</definedName>
    <definedName name="VOLUME1">#REF!</definedName>
    <definedName name="VOLUME2">#REF!</definedName>
    <definedName name="VOLUME3">#REF!</definedName>
    <definedName name="VSDHFGDFGR">{#N/A,#N/A,FALSE,"Plan1";#N/A,#N/A,FALSE,"Plan2"}</definedName>
    <definedName name="vvbb">{"tabela",#N/A,FALSE,"Tabela";"decoração",#N/A,FALSE,"Decor.";"Informações",#N/A,FALSE,"Inform."}</definedName>
    <definedName name="vvcbnb">{#N/A,#N/A,FALSE,"Plan1";#N/A,#N/A,FALSE,"Plan2"}</definedName>
    <definedName name="vvvvv">{"Econ Consolidado",#N/A,FALSE,"Econ Consol";"Fluxo de Caixa",#N/A,FALSE,"Fluxo Caixa";"Investimentos",#N/A,FALSE,"Investimentos"}</definedName>
    <definedName name="vvvvvv">{#N/A,#N/A,FALSE,"Plan1";#N/A,#N/A,FALSE,"Plan2"}</definedName>
    <definedName name="vvvvvvvvvvvvvvvvv">{"HW",#N/A,FALSE,"1998"}</definedName>
    <definedName name="VX">#REF!</definedName>
    <definedName name="w">#REF!</definedName>
    <definedName name="wacc">#REF!</definedName>
    <definedName name="wadalrdjlaev">{TRUE,TRUE,-1.25,-15.5,604.5,366.75,FALSE,FALSE,TRUE,TRUE,0,1,#N/A,1,#N/A,9.0125,24.4117647058824,1,FALSE,FALSE,3,TRUE,1,FALSE,100,"Swvu.PLANILHA2.","ACwvu.PLANILHA2.",#N/A,FALSE,FALSE,0.787401575,0.34,0.46,0.5,1,"","",FALSE,FALSE,FALSE,FALSE,1,#N/A,1,1,FALSE,FALSE,#N/A,#N/A,FALSE,FALSE,FALSE,9,65532,65532,FALSE,FALSE,TRUE,TRUE,TRUE}</definedName>
    <definedName name="water">{#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dewr">#REF!</definedName>
    <definedName name="WE">#REF!</definedName>
    <definedName name="weki_9701.xls">#REF!</definedName>
    <definedName name="wekir9701.xls">#REF!</definedName>
    <definedName name="werw4tr">{#N/A,#N/A,FALSE,"Plan1";#N/A,#N/A,FALSE,"Plan2"}</definedName>
    <definedName name="wetoedjtkdr">{#N/A,#N/A,FALSE,"Plan1";#N/A,#N/A,FALSE,"Plan2"}</definedName>
    <definedName name="WHATS">{"'Edit'!$A$1:$V$2277"}</definedName>
    <definedName name="win.VESSEL">{#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TENS">#REF!</definedName>
    <definedName name="WKJHIR">{#N/A,#N/A,FALSE,"Plan1";#N/A,#N/A,FALSE,"Plan2"}</definedName>
    <definedName name="WLQ">{#N/A,#N/A,FALSE,"명세표"}</definedName>
    <definedName name="WNMLOCAL">#REF!</definedName>
    <definedName name="WNMMUN">#REF!</definedName>
    <definedName name="WNMSERV">#REF!</definedName>
    <definedName name="worl_cdi">#REF!</definedName>
    <definedName name="worl_hist">#REF!</definedName>
    <definedName name="worl_uss">#REF!</definedName>
    <definedName name="WRITE">{#N/A,#N/A,FALSE,"CCTV"}</definedName>
    <definedName name="wrn.BM.">{#N/A,#N/A,FALSE,"CCTV"}</definedName>
    <definedName name="wrn.Brita98.xls.">{#N/A,#N/A,TRUE,"Quinzena 01 à 15-04-98 "}</definedName>
    <definedName name="wrn.Completo.">{"EconCons (Econômico - Consolidado)",#N/A,FALSE,"Econômico - Consolidado";"CaixaCons",#N/A,FALSE,"Caixa - Consolidado";"Rio Branco",#N/A,FALSE,"Rio Branco";"Itajaí",#N/A,FALSE,"Itajaí";"Esteio",#N/A,FALSE,"Esteio";"P. Machado",#N/A,FALSE,"P. Machado";"InvestCons (Invest Consolidado)",#N/A,FALSE,"Invest Consolidado"}</definedName>
    <definedName name="wrn.Cons.">{"EconCons",#N/A,TRUE,"Econômico - Consolidado";"CaixaCons",#N/A,TRUE,"Caixa - Consolidado";"InvestCons",#N/A,TRUE,"Invest Consolidado"}</definedName>
    <definedName name="wrn.Consolidado.">{"Econ Consolidado",#N/A,FALSE,"Econ Consol";"Fluxo de Caixa",#N/A,FALSE,"Fluxo Caixa";"Investimentos",#N/A,FALSE,"Investimentos"}</definedName>
    <definedName name="wrn.GERAL.">{#N/A,#N/A,FALSE,"ET-CAPA";#N/A,#N/A,FALSE,"ET-PAG1";#N/A,#N/A,FALSE,"ET-PAG2";#N/A,#N/A,FALSE,"ET-PAG3";#N/A,#N/A,FALSE,"ET-PAG4";#N/A,#N/A,FALSE,"ET-PAG5"}</definedName>
    <definedName name="wrn.HAGE.">{#N/A,#N/A,FALSE,"cdi";#N/A,#N/A,FALSE,"debent";#N/A,#N/A,FALSE,"fdos";#N/A,#N/A,FALSE,"resumo"}</definedName>
    <definedName name="wrn.HAGE01">{#N/A,#N/A,FALSE,"cdi";#N/A,#N/A,FALSE,"debent";#N/A,#N/A,FALSE,"fdos";#N/A,#N/A,FALSE,"resumo"}</definedName>
    <definedName name="wrn.HW.">{"HW",#N/A,FALSE,"1998"}</definedName>
    <definedName name="wrn.imp_flx.">{#N/A,#N/A,FALSE,"CONSOLID";#N/A,#N/A,FALSE,"CIMENTO";#N/A,#N/A,FALSE,"METALURGIA";#N/A,#N/A,FALSE,"PAPEL";#N/A,#N/A,FALSE,"QUÍMICA";#N/A,#N/A,FALSE,"AGROINDL";#N/A,#N/A,FALSE,"OUTROS";#N/A,#N/A,FALSE,"REAL_ORCADO"}</definedName>
    <definedName name="wrn.IMPRESSO.">{#N/A,#N/A,FALSE,"Plan1";#N/A,#N/A,FALSE,"Plan2"}</definedName>
    <definedName name="wrn.Imprimir.">{"tabela",#N/A,FALSE,"Tabela";"decoração",#N/A,FALSE,"Decor.";"Informações",#N/A,FALSE,"Inform."}</definedName>
    <definedName name="wrn.LPU._.MG.">{"MG-2002-F1",#N/A,FALSE,"PPU-Telemig";"MG-2002-F2",#N/A,FALSE,"PPU-Telemig";"MG-2002-F3",#N/A,FALSE,"PPU-Telemig";"MG-2002-F4",#N/A,FALSE,"PPU-Telemig";"MG-2003-F1",#N/A,FALSE,"PPU-Telemig";"MG-2004-F1",#N/A,FALSE,"PPU-Telemig"}</definedName>
    <definedName name="wrn.MGM機器リスト.">{#N/A,#N/A,TRUE,"表紙";#N/A,#N/A,TRUE,"DMC合成";#N/A,#N/A,TRUE,"DMC回収･精製";#N/A,#N/A,TRUE,"MPC工程";#N/A,#N/A,TRUE,"DPC工程";#N/A,#N/A,TRUE,"ANI工程";#N/A,#N/A,TRUE,"PHOｰ触媒工程";#N/A,#N/A,TRUE,"用役"}</definedName>
    <definedName name="wrn.mode_lev.xls.">{#N/A,#N/A,FALSE,"ALVENARIA";#N/A,#N/A,FALSE,"BLOCOS";#N/A,#N/A,FALSE,"CINTAS";#N/A,#N/A,FALSE,"CORTINA";#N/A,#N/A,FALSE,"LAJES";#N/A,#N/A,FALSE,"PILARES";#N/A,#N/A,FALSE,"VIGAS"}</definedName>
    <definedName name="wrn.Month._.Report._.Package.">{#N/A,#N/A,FALSE,"Global Wls Trend";#N/A,#N/A,FALSE,"Region Trend";#N/A,#N/A,FALSE,"PBU Trend"}</definedName>
    <definedName name="wrn.Monthly._.Report._.Package.">{#N/A,#N/A,FALSE,"Global by BU";#N/A,#N/A,FALSE,"U.S. by BU";#N/A,#N/A,FALSE,"Canada by BU";#N/A,#N/A,FALSE,"Europe by BU";#N/A,#N/A,FALSE,"Asia by BU";#N/A,#N/A,FALSE,"Cala by BU"}</definedName>
    <definedName name="wrn.PENDENCIAS.">{#N/A,#N/A,FALSE,"GERAL";#N/A,#N/A,FALSE,"012-96";#N/A,#N/A,FALSE,"018-96";#N/A,#N/A,FALSE,"027-96";#N/A,#N/A,FALSE,"059-96";#N/A,#N/A,FALSE,"076-96";#N/A,#N/A,FALSE,"019-97";#N/A,#N/A,FALSE,"021-97";#N/A,#N/A,FALSE,"022-97";#N/A,#N/A,FALSE,"028-97"}</definedName>
    <definedName name="wrn.Planiha._.de._.Medição._.F._.01.">{#N/A,#N/A,FALSE,"F-01"}</definedName>
    <definedName name="wrn.Planiha._.de._.Medição._.F._.01._1">{#N/A,#N/A,FALSE,"F-01"}</definedName>
    <definedName name="wrn.Planilha_de_Medição_F_02">{#N/A,#N/A,FALSE,"F-01"}</definedName>
    <definedName name="wrn.print._.all.">{#N/A,#N/A,FALSE,"$170M Cash";#N/A,#N/A,FALSE,"$250M Cash";#N/A,#N/A,FALSE,"$325M Cash"}</definedName>
    <definedName name="wrn.PrintAll.">{#N/A,#N/A,FALSE,"Sheet1";#N/A,#N/A,FALSE,"Sheet2";#N/A,#N/A,FALSE,"Sheet3";#N/A,#N/A,FALSE,"Sheet4";#N/A,#N/A,FALSE,"Sheet5";#N/A,#N/A,FALSE,"Sheet6";#N/A,#N/A,FALSE,"Sheet7";#N/A,#N/A,FALSE,"Sheet8";#N/A,#N/A,FALSE,"Sheet9"}</definedName>
    <definedName name="wrn.PrintCurr.">{#N/A,#N/A,FALSE,"Sheet1";#N/A,#N/A,FALSE,"Sheet2";#N/A,#N/A,FALSE,"Sheet3"}</definedName>
    <definedName name="wrn.PrintPrev1.">{#N/A,#N/A,FALSE,"Sheet4";#N/A,#N/A,FALSE,"Sheet5";#N/A,#N/A,FALSE,"Sheet6"}</definedName>
    <definedName name="wrn.PrintPrev2.">{#N/A,#N/A,FALSE,"Sheet7";#N/A,#N/A,FALSE,"Sheet8";#N/A,#N/A,FALSE,"Sheet9"}</definedName>
    <definedName name="wrn.Quadros._.relatório.">{#N/A,#N/A,FALSE,"QD_F1 Invest Detalhado";#N/A,#N/A,FALSE,"QD_F3 Invest_Comparado";#N/A,#N/A,FALSE,"QD_B Trafego";#N/A,#N/A,FALSE,"QD_D0 Custos Operacionais";#N/A,#N/A,FALSE,"QD_C Receita";#N/A,#N/A,FALSE,"QD_D Custos";#N/A,#N/A,FALSE,"QD_E Resultado";#N/A,#N/A,FALSE,"QD_G Fluxo Caixa"}</definedName>
    <definedName name="wrn.REPORT.">{#N/A,#N/A,FALSE,"표지";#N/A,#N/A,FALSE,"목차";#N/A,#N/A,FALSE,"내용1";#N/A,#N/A,FALSE,"내용2";#N/A,#N/A,FALSE,"결론";#N/A,#N/A,FALSE,"첨부";#N/A,#N/A,FALSE,"진공도달시간";#N/A,#N/A,FALSE,"배가스속도"}</definedName>
    <definedName name="wrn.STAFFS.">{#N/A,#N/A,FALSE,"TABLE"}</definedName>
    <definedName name="wrn.TERCEIRO.">{#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RCEIRO01">{#N/A,#N/A,FALSE,"corret.gmotors";#N/A,#N/A,FALSE,"front.gv";#N/A,#N/A,FALSE,"correto.sandi";#N/A,#N/A,FALSE,"agrorio.rod.agric";#N/A,#N/A,FALSE,"promo.postop";#N/A,#N/A,FALSE,"rodocred.sandi";#N/A,#N/A,FALSE,"correto.front";#N/A,#N/A,FALSE,"correto.j.piratini";#N/A,#N/A,FALSE,"riocamp.dm";#N/A,#N/A,FALSE,"campos.daihatsu ";#N/A,#N/A,FALSE,"cuiabá.daihatsu ";#N/A,#N/A,FALSE,"cirasa.daihatsu ";#N/A,#N/A,FALSE,"front.daihatsu";#N/A,#N/A,FALSE,"g.motors.daihatsu ";#N/A,#N/A,FALSE,"belem.daihatsu ";#N/A,#N/A,FALSE,"rioverm.daihatsu";#N/A,#N/A,FALSE,"rodocred.g.motors";#N/A,#N/A,FALSE,"rondo.sandi";#N/A,#N/A,FALSE,"promo.rodoren.";#N/A,#N/A,FALSE,"link.promo";#N/A,#N/A,FALSE,"verd.com.verd.sa";#N/A,#N/A,FALSE,"frigo.ruy";#N/A,#N/A,FALSE,"correto.daihatsu";#N/A,#N/A,FALSE,"gv.belem";#N/A,#N/A,FALSE,"front.dm";#N/A,#N/A,FALSE,"rond.corret";#N/A,#N/A,FALSE,"rioverm.corret";#N/A,#N/A,FALSE,"corret.cuiabá";#N/A,#N/A,FALSE,"agro.fazbacuri";#N/A,#N/A,FALSE,"corret.dm";#N/A,#N/A,FALSE,"verdade.dm";#N/A,#N/A,FALSE,"rioverm.dm";#N/A,#N/A,FALSE,"rond.dm";#N/A,#N/A,FALSE,"cuiabá.dm";#N/A,#N/A,FALSE,"verdcom.dm";#N/A,#N/A,FALSE,"gv.gmotors";#N/A,#N/A,FALSE,"lavínia.dm";#N/A,#N/A,FALSE,"gv.sandíesel";#N/A,#N/A,FALSE,"corret.wvjr";#N/A,#N/A,FALSE,"daihatsu.factoring";#N/A,#N/A,FALSE,"sadive.dm";#N/A,#N/A,FALSE,"corret.cuiabá";#N/A,#N/A,FALSE,"corret.hsf";#N/A,#N/A,FALSE,"cirasa.gminas";#N/A,#N/A,FALSE,"fazbac.rodagric"}</definedName>
    <definedName name="wrn.test1.">{#N/A,#N/A,FALSE,"명세표"}</definedName>
    <definedName name="wrn.Unidades.">{"Rio Branco",#N/A,FALSE,"Rio Branco";"Itajaí",#N/A,FALSE,"Itajaí";"Pinheiro Machado",#N/A,FALSE,"PMachado";"Esteio",#N/A,FALSE,"Esteio"}</definedName>
    <definedName name="wrn.VESSEL및N2._.구입사양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견적.">{#N/A,#N/A,FALSE,"Sheet1";#N/A,#N/A,FALSE,"Sheet2";#N/A,#N/A,FALSE,"TAB96-1"}</definedName>
    <definedName name="wrn.보호계전기.">{#N/A,#N/A,FALSE,"ENG'G(보호계전기)"}</definedName>
    <definedName name="wrn.현장._.NCR._.분석.">{#N/A,#N/A,FALSE,"현장 NCR 분석";#N/A,#N/A,FALSE,"현장품질감사";#N/A,#N/A,FALSE,"현장품질감사"}</definedName>
    <definedName name="wrn1.Cons.">{"EconCons",#N/A,TRUE,"Econômico - Consolidado";"CaixaCons",#N/A,TRUE,"Caixa - Consolidado";"InvestCons",#N/A,TRUE,"Invest Consolidado"}</definedName>
    <definedName name="wrn1.print._.all.">{#N/A,#N/A,FALSE,"$170M Cash";#N/A,#N/A,FALSE,"$250M Cash";#N/A,#N/A,FALSE,"$325M Cash"}</definedName>
    <definedName name="WRS">{"'장비'!$A$3:$M$12"}</definedName>
    <definedName name="wrt">{#N/A,#N/A,FALSE,"$170M Cash";#N/A,#N/A,FALSE,"$250M Cash";#N/A,#N/A,FALSE,"$325M Cash"}</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w">{#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wwwwwwwww">{"'Ethernet Hubs'!$A$1:$F$14","'Licences'!$A$1:$F$16","'Ports and Converters'!$A$1:$F$46","'Standard Routers'!$A$1:$F$28","'Ports and Converters'!$A$1:$G$46","'Router Chassis'!$A$1:$F$21","'Cables and Connectors'!$A$1:$F$41","'Support, Training and Docs'!$A$1:$F$6","'Management'!$A$1:$F$8"}</definedName>
    <definedName name="X">#REF!</definedName>
    <definedName name="XALFA">#REF!</definedName>
    <definedName name="XC">#REF!</definedName>
    <definedName name="xcfrt">{#N/A,#N/A,FALSE,"Plan1";#N/A,#N/A,FALSE,"Plan2"}</definedName>
    <definedName name="xcgjkfghf">{#N/A,#N/A,FALSE,"Plan1";#N/A,#N/A,FALSE,"Plan2"}</definedName>
    <definedName name="XCGJKVHFDG">{#N/A,#N/A,FALSE,"Plan1";#N/A,#N/A,FALSE,"Plan2"}</definedName>
    <definedName name="xcgtrty">{TRUE,TRUE,-1.25,-15.5,604.5,366.75,FALSE,FALSE,TRUE,TRUE,0,1,#N/A,1,#N/A,9.0125,24.4117647058824,1,FALSE,FALSE,3,TRUE,1,FALSE,100,"Swvu.PLANILHA2.","ACwvu.PLANILHA2.",#N/A,FALSE,FALSE,0.787401575,0.34,0.46,0.5,1,"","",FALSE,FALSE,FALSE,FALSE,1,#N/A,1,1,FALSE,FALSE,#N/A,#N/A,FALSE,FALSE,FALSE,9,65532,65532,FALSE,FALSE,TRUE,TRUE,TRUE}</definedName>
    <definedName name="XCGVRT">{TRUE,TRUE,-1.25,-15.5,604.5,366.75,FALSE,FALSE,TRUE,TRUE,0,1,#N/A,1,#N/A,9.0125,24.4117647058824,1,FALSE,FALSE,3,TRUE,1,FALSE,100,"Swvu.PLANILHA2.","ACwvu.PLANILHA2.",#N/A,FALSE,FALSE,0.787401575,0.34,0.46,0.5,1,"","",FALSE,FALSE,FALSE,FALSE,1,#N/A,1,1,FALSE,FALSE,#N/A,#N/A,FALSE,FALSE,FALSE,9,65532,65532,FALSE,FALSE,TRUE,TRUE,TRUE}</definedName>
    <definedName name="XCI">#REF!</definedName>
    <definedName name="XCII">#REF!</definedName>
    <definedName name="XCIII">#REF!</definedName>
    <definedName name="XCIV">#REF!</definedName>
    <definedName name="XCIX">#REF!</definedName>
    <definedName name="xçl">{#N/A,#N/A,FALSE,"Plan1";#N/A,#N/A,FALSE,"Plan2"}</definedName>
    <definedName name="xcndj">{#N/A,#N/A,FALSE,"Plan1";#N/A,#N/A,FALSE,"Plan2"}</definedName>
    <definedName name="XCV">#REF!</definedName>
    <definedName name="XCVGGT">{#N/A,#N/A,FALSE,"Plan1";#N/A,#N/A,FALSE,"Plan2"}</definedName>
    <definedName name="XCVI">#REF!</definedName>
    <definedName name="XCVII">#REF!</definedName>
    <definedName name="XCVIII">#REF!</definedName>
    <definedName name="xcvrg">{#N/A,#N/A,FALSE,"Plan1";#N/A,#N/A,FALSE,"Plan2"}</definedName>
    <definedName name="XDATA">#REF!</definedName>
    <definedName name="xdfeft">{TRUE,TRUE,-1.25,-15.5,604.5,366.75,FALSE,FALSE,TRUE,TRUE,0,1,#N/A,1,#N/A,9.0125,24.4117647058824,1,FALSE,FALSE,3,TRUE,1,FALSE,100,"Swvu.PLANILHA2.","ACwvu.PLANILHA2.",#N/A,FALSE,FALSE,0.787401575,0.34,0.46,0.5,1,"","",FALSE,FALSE,FALSE,FALSE,1,#N/A,1,1,FALSE,FALSE,#N/A,#N/A,FALSE,FALSE,FALSE,9,65532,65532,FALSE,FALSE,TRUE,TRUE,TRUE}</definedName>
    <definedName name="xdgtyhyt">{#N/A,#N/A,FALSE,"Plan1";#N/A,#N/A,FALSE,"Plan2"}</definedName>
    <definedName name="xfdlfj">{#N/A,#N/A,FALSE,"Plan1";#N/A,#N/A,FALSE,"Plan2"}</definedName>
    <definedName name="xfdxfdf">{#N/A,#N/A,FALSE,"Plan1";#N/A,#N/A,FALSE,"Plan2"}</definedName>
    <definedName name="XFJKLDJKLGJ">{TRUE,TRUE,-1.25,-15.5,604.5,366.75,FALSE,FALSE,TRUE,TRUE,0,1,#N/A,1,#N/A,9.0125,24.4117647058824,1,FALSE,FALSE,3,TRUE,1,FALSE,100,"Swvu.PLANILHA2.","ACwvu.PLANILHA2.",#N/A,FALSE,FALSE,0.787401575,0.34,0.46,0.5,1,"","",FALSE,FALSE,FALSE,FALSE,1,#N/A,1,1,FALSE,FALSE,#N/A,#N/A,FALSE,FALSE,FALSE,9,65532,65532,FALSE,FALSE,TRUE,TRUE,TRUE}</definedName>
    <definedName name="xfrty">{#N/A,#N/A,FALSE,"Plan1";#N/A,#N/A,FALSE,"Plan2"}</definedName>
    <definedName name="XFT">{TRUE,TRUE,-1.25,-15.5,604.5,366.75,FALSE,FALSE,TRUE,TRUE,0,1,#N/A,1,#N/A,9.0125,24.4117647058824,1,FALSE,FALSE,3,TRUE,1,FALSE,100,"Swvu.PLANILHA2.","ACwvu.PLANILHA2.",#N/A,FALSE,FALSE,0.787401575,0.34,0.46,0.5,1,"","",FALSE,FALSE,FALSE,FALSE,1,#N/A,1,1,FALSE,FALSE,#N/A,#N/A,FALSE,FALSE,FALSE,9,65532,65532,FALSE,FALSE,TRUE,TRUE,TRUE}</definedName>
    <definedName name="xfvchdhhd">{"Econ Consolidado",#N/A,FALSE,"Econ Consol";"Fluxo de Caixa",#N/A,FALSE,"Fluxo Caixa";"Investimentos",#N/A,FALSE,"Investimentos"}</definedName>
    <definedName name="xfvgcfgt">{#N/A,#N/A,FALSE,"Plan1";#N/A,#N/A,FALSE,"Plan2"}</definedName>
    <definedName name="xgrg">{#N/A,#N/A,FALSE,"Plan1";#N/A,#N/A,FALSE,"Plan2"}</definedName>
    <definedName name="XI">#REF!</definedName>
    <definedName name="XII">#REF!</definedName>
    <definedName name="XIII">#REF!</definedName>
    <definedName name="XITEM">#REF!</definedName>
    <definedName name="XIV">#REF!</definedName>
    <definedName name="XLOC">#REF!</definedName>
    <definedName name="xmght">{#N/A,#N/A,FALSE,"Plan1";#N/A,#N/A,FALSE,"Plan2"}</definedName>
    <definedName name="xnInforme_quantos_bebedouros____bebqt__if_bebqt__0__xlQt.bebedouros_invalida___ENTER_p_reinformar__xresp__branch_rqtderv">#REF!</definedName>
    <definedName name="XNUCOPIAS">#REF!</definedName>
    <definedName name="xo">{#N/A,#N/A,FALSE,"Global by BU";#N/A,#N/A,FALSE,"U.S. by BU";#N/A,#N/A,FALSE,"Canada by BU";#N/A,#N/A,FALSE,"Europe by BU";#N/A,#N/A,FALSE,"Asia by BU";#N/A,#N/A,FALSE,"Cala by BU"}</definedName>
    <definedName name="XREF_COLUMN_1">#REF!</definedName>
    <definedName name="XREF_COLUMN_2">#REF!</definedName>
    <definedName name="XREF_COLUMN_3">#REF!</definedName>
    <definedName name="XREF_COLUMN_4">#REF!</definedName>
    <definedName name="XRefColumnsCount">1</definedName>
    <definedName name="XRefCopy2">#REF!</definedName>
    <definedName name="XRefCopy3Row">#REF!</definedName>
    <definedName name="XRefCopy4Row">#REF!</definedName>
    <definedName name="XRefCopy6">#REF!</definedName>
    <definedName name="XRefCopyRangeCount">1</definedName>
    <definedName name="XRefPaste2">#REF!</definedName>
    <definedName name="XRefPaste4">#REF!</definedName>
    <definedName name="XRefPaste5">#REF!</definedName>
    <definedName name="XRefPaste6">#REF!</definedName>
    <definedName name="XRefPaste7Row">#REF!</definedName>
    <definedName name="XRefPasteRangeCount">1</definedName>
    <definedName name="XRESP">#REF!</definedName>
    <definedName name="XTITRES">#REF!</definedName>
    <definedName name="XV">#REF!</definedName>
    <definedName name="XX">#REF!</definedName>
    <definedName name="XXI">#REF!</definedName>
    <definedName name="XXII">#REF!</definedName>
    <definedName name="XXIII">#REF!</definedName>
    <definedName name="XXIV">#REF!</definedName>
    <definedName name="XXV">#REF!</definedName>
    <definedName name="XXX">#REF!</definedName>
    <definedName name="XXXI">#REF!</definedName>
    <definedName name="XXXII">#REF!</definedName>
    <definedName name="XXXIII">#REF!</definedName>
    <definedName name="XXXIV">#REF!</definedName>
    <definedName name="XXXIX">#REF!</definedName>
    <definedName name="XXXV">#REF!</definedName>
    <definedName name="XXXVI">#REF!</definedName>
    <definedName name="XXXVII">#REF!</definedName>
    <definedName name="XXXVIII">#REF!</definedName>
    <definedName name="xxxx">{TRUE,TRUE,-1.25,-15.5,604.5,366.75,FALSE,FALSE,TRUE,TRUE,0,1,#N/A,1,#N/A,9.0125,24.4117647058824,1,FALSE,FALSE,3,TRUE,1,FALSE,100,"Swvu.PLANILHA2.","ACwvu.PLANILHA2.",#N/A,FALSE,FALSE,0.787401575,0.34,0.46,0.5,1,"","",FALSE,FALSE,FALSE,FALSE,1,#N/A,1,1,FALSE,FALSE,#N/A,#N/A,FALSE,FALSE,FALSE,9,65532,65532,FALSE,FALSE,TRUE,TRUE,TRUE}</definedName>
    <definedName name="XXXXX">{#N/A,#N/A,FALSE,"GERAL";#N/A,#N/A,FALSE,"012-96";#N/A,#N/A,FALSE,"018-96";#N/A,#N/A,FALSE,"027-96";#N/A,#N/A,FALSE,"059-96";#N/A,#N/A,FALSE,"076-96";#N/A,#N/A,FALSE,"019-97";#N/A,#N/A,FALSE,"021-97";#N/A,#N/A,FALSE,"022-97";#N/A,#N/A,FALSE,"028-97"}</definedName>
    <definedName name="xxxxxxxxxxxx">#REF!</definedName>
    <definedName name="xxxxxxxxxxxxxx">{#N/A,#N/A,FALSE,"Plan1";#N/A,#N/A,FALSE,"Plan2"}</definedName>
    <definedName name="xzfrt">{#N/A,#N/A,FALSE,"Plan1";#N/A,#N/A,FALSE,"Plan2"}</definedName>
    <definedName name="yeitrtged">{#N/A,#N/A,FALSE,"Plan1";#N/A,#N/A,FALSE,"Plan2"}</definedName>
    <definedName name="yhdfiuygrui">{#N/A,#N/A,FALSE,"Plan1";#N/A,#N/A,FALSE,"Plan2"}</definedName>
    <definedName name="YRGUYDRIY">{"Econ Consolidado",#N/A,FALSE,"Econ Consol";"Fluxo de Caixa",#N/A,FALSE,"Fluxo Caixa";"Investimentos",#N/A,FALSE,"Investimentos"}</definedName>
    <definedName name="ytdju">#REF!</definedName>
    <definedName name="yuegursdmksf">{#N/A,#N/A,FALSE,"Plan1";#N/A,#N/A,FALSE,"Plan2"}</definedName>
    <definedName name="yuekl4fr">{#N/A,#N/A,FALSE,"Plan1";#N/A,#N/A,FALSE,"Plan2"}</definedName>
    <definedName name="yureytuyrea">{#N/A,#N/A,FALSE,"Plan1";#N/A,#N/A,FALSE,"Plan2"}</definedName>
    <definedName name="z">{"'Estimativa de Lançamento-JAN'!$A$1:$AI$85"}</definedName>
    <definedName name="z\djs" hidden="1">{TRUE,TRUE,-1.25,-15.5,604.5,366.75,FALSE,FALSE,TRUE,TRUE,0,1,#N/A,1,#N/A,9.0125,24.4117647058824,1,FALSE,FALSE,3,TRUE,1,FALSE,100,"Swvu.PLANILHA2.","ACwvu.PLANILHA2.",#N/A,FALSE,FALSE,0.787401575,0.34,0.46,0.5,1,"","",FALSE,FALSE,FALSE,FALSE,1,#N/A,1,1,FALSE,FALSE,#N/A,#N/A,FALSE,FALSE,FALSE,9,65532,65532,FALSE,FALSE,TRUE,TRUE,TRUE}</definedName>
    <definedName name="Z_022B7420_7F94_427F_B370_84030F9B3342_.wvu.FilterData" hidden="1">#REF!</definedName>
    <definedName name="Z_04BC043C_175B_412D_8093_6F29CD74FBAE_.wvu.FilterData" hidden="1">#REF!</definedName>
    <definedName name="Z_058B9256_CB4D_4C39_834D_D693FEEB491F_.wvu.FilterData" hidden="1">#REF!</definedName>
    <definedName name="Z_05D1A71D_3B7B_4FB7_8DF3_B8E29CA3927A_.wvu.FilterData" hidden="1">#REF!</definedName>
    <definedName name="Z_07C2CF55_E6DF_411A_AB00_7E155615468C_.wvu.FilterData" hidden="1">#REF!</definedName>
    <definedName name="Z_0B1003A7_69DB_4D5B_966D_57B9E8AF76FB_.wvu.FilterData" hidden="1">#REF!</definedName>
    <definedName name="Z_0C3EE359_64F6_4049_9576_8EACA8563EA4_.wvu.FilterData" hidden="1">#REF!</definedName>
    <definedName name="Z_0D05AC4E_32D3_4985_8208_9776E00AC749_.wvu.FilterData" hidden="1">#REF!</definedName>
    <definedName name="Z_0DB407A0_1449_11D8_ADD1_0060083A646F_.wvu.PrintArea">#REF!</definedName>
    <definedName name="Z_0DC459DE_F68C_4E33_8D1E_F1663ABAC944_.wvu.FilterData" hidden="1">#REF!</definedName>
    <definedName name="Z_0FACBA89_1203_4ED8_87E5_EC1D45B051B7_.wvu.FilterData" hidden="1">#REF!</definedName>
    <definedName name="Z_0FEA3536_5108_4591_BECF_C3181387F85F_.wvu.FilterData" hidden="1">#REF!</definedName>
    <definedName name="Z_0FEFDB42_ECBC_4500_A6C8_FEE3D368790B_.wvu.FilterData" hidden="1">#REF!</definedName>
    <definedName name="Z_110A0651_47C7_408E_B3BF_0C80D30B95FC_.wvu.FilterData" hidden="1">#REF!</definedName>
    <definedName name="Z_128E64DD_BE84_40EE_A6D2_C9B0EB25CBBD_.wvu.FilterData" hidden="1">#REF!</definedName>
    <definedName name="Z_12F2973E_0018_407B_98AD_CD9C5D1F65FA_.wvu.FilterData" hidden="1">#REF!</definedName>
    <definedName name="Z_137DAE61_8A8D_4219_A4CC_0EEC18A94882_.wvu.FilterData" hidden="1">#REF!</definedName>
    <definedName name="Z_13E06FB5_D019_406D_B278_1B53AD2F6386_.wvu.FilterData" hidden="1">#REF!</definedName>
    <definedName name="Z_14D375AC_5615_46DE_8EE3_95915B2A8B54_.wvu.FilterData" hidden="1">#REF!</definedName>
    <definedName name="Z_15697660_066E_11D5_AF15_00010242ED40_.wvu.PrintArea">#REF!</definedName>
    <definedName name="Z_15697660_066E_11D5_AF15_00010242ED40_.wvu.PrintTitles">#REF!</definedName>
    <definedName name="Z_15697660_066E_11D5_AF15_00010242ED40_.wvu.Rows">#REF!</definedName>
    <definedName name="Z_15B5DC78_B02F_4AC6_8572_015040A55619_.wvu.FilterData" hidden="1">#REF!</definedName>
    <definedName name="Z_166D6F0F_4D44_46E7_8C36_48FD4848B5AA_.wvu.FilterData" hidden="1">#REF!</definedName>
    <definedName name="Z_16FAB836_2255_4D4C_90E4_6B46255F3759_.wvu.FilterData" hidden="1">#REF!</definedName>
    <definedName name="Z_198D391C_95CB_49F5_8924_5FEA3CE5C98A_.wvu.FilterData" hidden="1">#REF!</definedName>
    <definedName name="Z_1D9C37CC_3E33_4D4D_B7CD_819F75C83D65_.wvu.FilterData" hidden="1">#REF!</definedName>
    <definedName name="Z_1DF9838C_880D_4C4E_BFFE_89B5894EC40F_.wvu.FilterData" hidden="1">#REF!</definedName>
    <definedName name="Z_1EF42BFC_874B_4E01_B67D_1607E823ACD0_.wvu.FilterData" hidden="1">#REF!</definedName>
    <definedName name="Z_1F94C6E7_3CCA_4599_AF6F_4D6291B2AD93_.wvu.FilterData" hidden="1">#REF!</definedName>
    <definedName name="Z_20A9AA17_0DEB_4190_8DAD_FC60D0D33A52_.wvu.FilterData" hidden="1">#REF!</definedName>
    <definedName name="Z_2103F656_ECB2_4F99_BE9B_56F4D7A5CEE2_.wvu.FilterData" hidden="1">#REF!</definedName>
    <definedName name="Z_2158A2BC_8DB5_455D_AFDE_914B22949288_.wvu.FilterData" hidden="1">#REF!</definedName>
    <definedName name="Z_21A967FF_561E_495F_AEB9_4DD3BEDA53BC_.wvu.FilterData" hidden="1">#REF!</definedName>
    <definedName name="Z_227E7522_DC52_4EA7_A11A_0741FF23CC42_.wvu.FilterData" hidden="1">#REF!</definedName>
    <definedName name="Z_23BA0C23_280B_4568_A53C_1C6D2E85772A_.wvu.FilterData" hidden="1">#REF!</definedName>
    <definedName name="Z_244346C6_3866_4160_9E2E_C77913F25398_.wvu.FilterData" hidden="1">#REF!</definedName>
    <definedName name="Z_25117F67_F0EE_43EF_8FF9_79F533CE10B0_.wvu.FilterData" hidden="1">#REF!</definedName>
    <definedName name="Z_259E2DDE_5459_4510_B7A2_66F49964C56E_.wvu.FilterData" hidden="1">#REF!</definedName>
    <definedName name="Z_25C7DFCF_BE54_4A41_B957_DE39B9B2A5B5_.wvu.FilterData" hidden="1">#REF!</definedName>
    <definedName name="Z_272E0E4D_901D_11D7_B59C_0050DAB35C7B_.wvu.FilterData" hidden="1">#REF!</definedName>
    <definedName name="Z_27D9353E_5A5F_49BF_8724_FA312A4073FF_.wvu.FilterData" hidden="1">#REF!</definedName>
    <definedName name="Z_299BE965_B904_49FA_A79D_B9538F94936F_.wvu.FilterData" hidden="1">#REF!</definedName>
    <definedName name="Z_29D37CE9_76D1_4D09_99A0_55ABA6929929_.wvu.FilterData" hidden="1">#REF!</definedName>
    <definedName name="Z_2C05BC27_731C_41F4_980F_CD81E4A7A662_.wvu.FilterData" hidden="1">#REF!</definedName>
    <definedName name="Z_2C0BDCBF_705B_4E5A_9659_05D99EC56641_.wvu.FilterData" hidden="1">#REF!</definedName>
    <definedName name="Z_2CD580B5_D99D_45ED_AC1E_45F8CBBBB9F1_.wvu.FilterData" hidden="1">#REF!</definedName>
    <definedName name="Z_2D98D706_A306_4353_8B3D_DA92F9EAEC9A_.wvu.FilterData" hidden="1">#REF!</definedName>
    <definedName name="Z_2F8736FC_F07E_49E8_9C13_8E0A0F5EFE5F_.wvu.FilterData" hidden="1">#REF!</definedName>
    <definedName name="Z_304C2F7A_D3A6_4DBA_A568_C3E56D7C6E2F_.wvu.FilterData" hidden="1">#REF!</definedName>
    <definedName name="Z_30E0ACE8_B29A_44E9_B542_E8C1CA3FD802_.wvu.FilterData" hidden="1">#REF!</definedName>
    <definedName name="Z_31A27EA2_D574_43B8_A671_7419A12151C9_.wvu.FilterData" hidden="1">#REF!</definedName>
    <definedName name="Z_32D1B352_62AB_4105_8DFC_EAA2DF743365_.wvu.FilterData" hidden="1">#REF!</definedName>
    <definedName name="Z_330DF436_5BED_40AF_AC51_73D268BD9DF4_.wvu.FilterData" hidden="1">#REF!</definedName>
    <definedName name="Z_33B8EF57_2FB1_4600_9590_B0A2F2FE409B_.wvu.FilterData" hidden="1">#REF!</definedName>
    <definedName name="Z_3404588C_6CE7_4C97_A62C_D19D9EE290D3_.wvu.FilterData" hidden="1">#REF!</definedName>
    <definedName name="Z_34E71878_8D1A_4343_91A1_3FE085136D2B_.wvu.FilterData" hidden="1">#REF!</definedName>
    <definedName name="Z_37611AA0_E86A_42C8_8705_108B25E060A1_.wvu.FilterData" hidden="1">#REF!</definedName>
    <definedName name="Z_38FE6CED_4C19_4332_9788_ACC902B20A46_.wvu.FilterData" hidden="1">#REF!</definedName>
    <definedName name="Z_394E75CB_4F7F_4C88_A08F_29E48E587341_.wvu.FilterData" hidden="1">#REF!</definedName>
    <definedName name="Z_3C200595_20A3_4A0C_B071_705F4AD5DAD3_.wvu.FilterData" hidden="1">#REF!</definedName>
    <definedName name="Z_3E93FF4A_0B7F_475C_A63C_54FBDB9DB4C5_.wvu.FilterData" hidden="1">#REF!</definedName>
    <definedName name="Z_3FF05DC4_CA9E_470D_A193_91785ACE00EF_.wvu.FilterData" hidden="1">#REF!</definedName>
    <definedName name="Z_43791B95_57D7_42F4_8815_D1B7E488543E_.wvu.FilterData" hidden="1">#REF!</definedName>
    <definedName name="Z_445AA90F_6D9B_40F5_8E1D_CE1EF57CF450_.wvu.FilterData" hidden="1">#REF!</definedName>
    <definedName name="Z_454E0C40_F84F_42A3_A371_6F23C1F38595_.wvu.FilterData" hidden="1">#REF!</definedName>
    <definedName name="Z_4608FCB3_3552_4D58_B6CE_B8F34D78221E_.wvu.FilterData" hidden="1">#REF!</definedName>
    <definedName name="Z_46E47F7C_9185_4E39_BED5_B4A69FF64CC1_.wvu.FilterData" hidden="1">#REF!</definedName>
    <definedName name="Z_48202D5D_77CB_41DE_8C59_9325C98D7C97_.wvu.FilterData" hidden="1">#REF!</definedName>
    <definedName name="Z_48824DFE_B714_4D0B_9E95_F01C5BAD5D1F_.wvu.FilterData" hidden="1">#REF!</definedName>
    <definedName name="Z_4C45D885_33EE_4DA9_BF96_6B10CFBA5596_.wvu.FilterData" hidden="1">#REF!</definedName>
    <definedName name="Z_4CA4BF7C_65C1_4E25_8563_22DF58586D2C_.wvu.PrintArea">#REF!</definedName>
    <definedName name="Z_4CA4BF7C_65C1_4E25_8563_22DF58586D2C_.wvu.PrintTitles">#REF!</definedName>
    <definedName name="Z_4CA4BF7C_65C1_4E25_8563_22DF58586D2C_.wvu.Rows">#REF!</definedName>
    <definedName name="Z_4D344757_9064_4D2F_A3A5_69132D23B7B9_.wvu.FilterData" hidden="1">#REF!</definedName>
    <definedName name="Z_4E773EE1_0A5B_43A9_9C28_FFB0A27D19C3_.wvu.FilterData" hidden="1">#REF!</definedName>
    <definedName name="Z_5122F04C_91B2_4031_BAE2_43203D520992_.wvu.FilterData" hidden="1">#REF!</definedName>
    <definedName name="Z_52B8D0B0_5872_4367_8D38_9AA5A4B975B3_.wvu.FilterData" hidden="1">#REF!</definedName>
    <definedName name="Z_532423B2_94C7_44C1_9A2A_9712DAE92CE9_.wvu.FilterData" hidden="1">#REF!</definedName>
    <definedName name="Z_53F31130_5EA7_42BA_93EB_88A7CB743782_.wvu.FilterData" hidden="1">#REF!</definedName>
    <definedName name="Z_55213581_1831_4A94_AB4D_23E4F8BC8085_.wvu.FilterData" hidden="1">#REF!</definedName>
    <definedName name="Z_552B9204_1C85_45BC_B148_AF3E206BDAA2_.wvu.FilterData" hidden="1">#REF!</definedName>
    <definedName name="Z_566671FC_5910_47FD_B961_1065A17D262D_.wvu.FilterData" hidden="1">#REF!</definedName>
    <definedName name="Z_569D17FA_30FE_42CA_8D65_E126C1C01EC2_.wvu.FilterData" hidden="1">#REF!</definedName>
    <definedName name="Z_573E904E_5C2F_4CA2_AFCF_918B916322E4_.wvu.FilterData" hidden="1">#REF!</definedName>
    <definedName name="Z_58DA6172_DC47_4A5F_B420_207BB6987764_.wvu.FilterData" hidden="1">#REF!</definedName>
    <definedName name="Z_58FCB891_F6F4_46F2_BF6B_861E585C9231_.wvu.FilterData" hidden="1">#REF!</definedName>
    <definedName name="Z_59A87EBA_E018_40E8_A580_AB2176E95D7E_.wvu.FilterData" hidden="1">#REF!</definedName>
    <definedName name="Z_5A3E740D_87C0_4F85_AB6D_B402AD860D04_.wvu.FilterData" hidden="1">#REF!</definedName>
    <definedName name="Z_5B42E6B5_40AA_4D3F_B932_EF1583491CDE_.wvu.FilterData" hidden="1">#REF!</definedName>
    <definedName name="Z_5B7B4951_7310_4C66_B906_4D046076272E_.wvu.FilterData" hidden="1">#REF!</definedName>
    <definedName name="Z_5D41F4B9_83DF_4509_9C07_453BA5A62846_.wvu.FilterData" hidden="1">#REF!</definedName>
    <definedName name="Z_5DB05E9F_8F3B_4886_A6CB_2CC53331BA7A_.wvu.FilterData" hidden="1">#REF!</definedName>
    <definedName name="Z_5F096896_2CB8_4B96_A0FE_9AB50EEEEFAB_.wvu.FilterData" hidden="1">#REF!</definedName>
    <definedName name="Z_60DF8B29_1C1F_4B50_BDA8_B8E0C7DD04C3_.wvu.Cols">#REF!,#REF!</definedName>
    <definedName name="Z_60DF8B29_1C1F_4B50_BDA8_B8E0C7DD04C3_.wvu.FilterData" hidden="1">#REF!</definedName>
    <definedName name="Z_615F4A4D_D5AB_4A04_81F5_F436484247A5_.wvu.FilterData" hidden="1">#REF!</definedName>
    <definedName name="Z_616443B5_6F0D_4082_9223_F71B54305366_.wvu.FilterData" hidden="1">#REF!</definedName>
    <definedName name="Z_631F0312_B404_409F_AF2B_39FB2D25040B_.wvu.FilterData" hidden="1">#REF!</definedName>
    <definedName name="Z_632CF316_8294_4588_87E1_2B69E184A62B_.wvu.FilterData" hidden="1">#REF!</definedName>
    <definedName name="Z_66D1BA5F_F4AE_443C_8583_CE89D6674A73_.wvu.FilterData" hidden="1">#REF!</definedName>
    <definedName name="Z_66DD4806_8039_438A_B1CE_46CC5B464050_.wvu.FilterData" hidden="1">#REF!</definedName>
    <definedName name="Z_67B65FDF_FF67_490E_B8E5_92DC66C9FC9D_.wvu.FilterData" hidden="1">#REF!</definedName>
    <definedName name="Z_68B709DF_9429_4090_9106_386C5F16C4D7_.wvu.FilterData" hidden="1">#REF!</definedName>
    <definedName name="Z_690BC25F_5AA3_4B4B_9507_8C197E768E98_.wvu.FilterData" hidden="1">#REF!</definedName>
    <definedName name="Z_6A66B8A7_491B_4A29_94A1_39F4FDA32C48_.wvu.FilterData" hidden="1">#REF!</definedName>
    <definedName name="Z_6A6F36C8_24A1_4147_9C63_27B7978935DD_.wvu.FilterData" hidden="1">#REF!</definedName>
    <definedName name="Z_6C2050D3_ABE5_4B48_B2A7_DDDD21669987_.wvu.FilterData" hidden="1">#REF!</definedName>
    <definedName name="Z_6CD84A0B_C00D_4BC8_A655_6383CCA4B296_.wvu.FilterData" hidden="1">#REF!</definedName>
    <definedName name="Z_6D5E5F42_E924_48A0_A50F_5BB481AFD1D5_.wvu.FilterData" hidden="1">#REF!</definedName>
    <definedName name="Z_6D789842_F56B_40C4_8907_F36C02855F76_.wvu.FilterData" hidden="1">#REF!</definedName>
    <definedName name="Z_6E345713_0818_471C_B54B_D890B987A0BC_.wvu.FilterData" hidden="1">#REF!</definedName>
    <definedName name="Z_701DEAE4_9CF1_491A_A54B_A6AE3235639D_.wvu.FilterData" hidden="1">#REF!</definedName>
    <definedName name="Z_7319B1DA_C8AE_4D1D_AB4C_B14141921483_.wvu.FilterData" hidden="1">#REF!</definedName>
    <definedName name="Z_75A1B66F_9EE1_4406_8264_C9BF12113183_.wvu.FilterData" hidden="1">#REF!</definedName>
    <definedName name="Z_7651BD63_D75B_41A5_B133_06AE6A84AE8F_.wvu.FilterData" hidden="1">#REF!</definedName>
    <definedName name="Z_767B7DB4_B657_4E6E_831B_84CA933FFCBE_.wvu.FilterData" hidden="1">#REF!</definedName>
    <definedName name="Z_76FA93EF_40A9_4929_9B4A_2213742C1620_.wvu.FilterData" hidden="1">#REF!</definedName>
    <definedName name="Z_78A33412_D032_45F7_9C2D_D4A31DB937D9_.wvu.FilterData" hidden="1">#REF!</definedName>
    <definedName name="Z_796E4E5E_16C3_474D_B1D5_F6D39CD34051_.wvu.FilterData" hidden="1">#REF!</definedName>
    <definedName name="Z_7BFA9C41_C881_48A8_90C2_F93F8E16E599_.wvu.FilterData" hidden="1">#REF!</definedName>
    <definedName name="Z_7BFBCE1E_B6C5_4BAC_AD95_2B50D2ED28AB_.wvu.FilterData" hidden="1">#REF!</definedName>
    <definedName name="Z_7C6FEBF3_4382_4282_BBB0_E0269BEE42DE_.wvu.FilterData" hidden="1">#REF!</definedName>
    <definedName name="Z_7D057642_92FA_4DD6_84C5_B10B17893E1F_.wvu.FilterData" hidden="1">#REF!</definedName>
    <definedName name="Z_7ED5F3D1_B838_492E_9467_7E7CE6B348ED_.wvu.FilterData" hidden="1">#REF!</definedName>
    <definedName name="Z_8090FD3B_94DF_4ACF_9708_D5B9ADEFD29C_.wvu.FilterData" hidden="1">#REF!</definedName>
    <definedName name="Z_8149A5A7_8307_4FA6_B457_A66B8A6DFABD_.wvu.FilterData" hidden="1">#REF!</definedName>
    <definedName name="Z_819A0FD3_B678_47E8_9DFB_641B3990B590_.wvu.FilterData" hidden="1">#REF!</definedName>
    <definedName name="Z_82999604_BD48_4054_BDCB_CB8B074A34A3_.wvu.FilterData" hidden="1">#REF!</definedName>
    <definedName name="Z_8473B3F0_0740_4E9F_9BAE_9113E5077DE8_.wvu.FilterData" hidden="1">#REF!</definedName>
    <definedName name="Z_85A83A94_71B4_44C8_8B5A_68CAA2461241_.wvu.FilterData" hidden="1">#REF!</definedName>
    <definedName name="Z_86E0C273_91AF_11D7_9C1E_0004231B06E7_.wvu.FilterData" hidden="1">#REF!</definedName>
    <definedName name="Z_87F04A72_68BF_497D_8569_47D1A3B89590_.wvu.FilterData" hidden="1">#REF!</definedName>
    <definedName name="Z_893CBEFD_F317_41F0_BA87_CC1860E1F73B_.wvu.FilterData" hidden="1">#REF!</definedName>
    <definedName name="Z_89D83FA2_2F4F_4275_9074_3A6247C2CDA6_.wvu.FilterData" hidden="1">#REF!</definedName>
    <definedName name="Z_8B2E8E84_1A68_4B75_A867_04E8EAC8E685_.wvu.FilterData" hidden="1">#REF!</definedName>
    <definedName name="Z_8B5FADF8_BAFC_44E0_9D1D_DE21657D83CA_.wvu.FilterData" hidden="1">#REF!</definedName>
    <definedName name="Z_8CBA7976_3F45_4926_8F5C_251343B1DCDB_.wvu.FilterData" hidden="1">#REF!</definedName>
    <definedName name="Z_8D213052_8AFD_4E06_B410_DCB431062572_.wvu.FilterData" hidden="1">#REF!</definedName>
    <definedName name="Z_8EA755F4_0515_4AA0_970C_55F473C7FD9B_.wvu.FilterData" hidden="1">#REF!</definedName>
    <definedName name="Z_8F33F4E3_A14E_4DD4_ADD4_B19023A45B10_.wvu.FilterData" hidden="1">#REF!</definedName>
    <definedName name="Z_901BF8EA_CA8A_411C_8FD3_BCB793FCF48A_.wvu.FilterData" hidden="1">#REF!</definedName>
    <definedName name="Z_9066F505_4944_4582_AAF9_B40B49D59413_.wvu.PrintArea">#REF!</definedName>
    <definedName name="Z_9066F505_4944_4582_AAF9_B40B49D59413_.wvu.PrintTitles">#REF!</definedName>
    <definedName name="Z_9066F505_4944_4582_AAF9_B40B49D59413_.wvu.Rows">#REF!</definedName>
    <definedName name="Z_91488B6D_F045_4050_BA1B_41C2E3B3B10A_.wvu.FilterData" hidden="1">#REF!</definedName>
    <definedName name="Z_92919032_3A1D_4E0A_A8D8_FD23494D13A8_.wvu.FilterData" hidden="1">#REF!</definedName>
    <definedName name="Z_9587B38A_B060_410B_8598_4B23623A371C_.wvu.FilterData" hidden="1">#REF!</definedName>
    <definedName name="Z_96EB0306_BB94_45E8_9D0D_4C07A6623010_.wvu.FilterData" hidden="1">#REF!</definedName>
    <definedName name="Z_97666733_8666_4F9D_9588_AF9B6CF9224C_.wvu.FilterData" hidden="1">#REF!</definedName>
    <definedName name="Z_98599B4F_1D05_4040_9183_E1D7A1DDEB9C_.wvu.FilterData" hidden="1">#REF!</definedName>
    <definedName name="Z_98C8BF36_C172_45C3_8EFB_521E6ACCA0D3_.wvu.FilterData" hidden="1">#REF!</definedName>
    <definedName name="Z_9A372634_7C2D_4502_BF44_0C63FD1FB6D2_.wvu.FilterData" hidden="1">#REF!</definedName>
    <definedName name="Z_9A5CC0D4_28E7_4461_BE2E_802002496535_.wvu.FilterData" hidden="1">#REF!</definedName>
    <definedName name="Z_9C86BF25_210A_4B5C_9F2A_856CA801294A_.wvu.FilterData" hidden="1">#REF!</definedName>
    <definedName name="Z_9C8AF864_7E20_415C_848E_C2849E8CBF0C_.wvu.FilterData" hidden="1">#REF!</definedName>
    <definedName name="Z_9E7B61E2_2701_4257_A261_86548A6D7D7C_.wvu.FilterData" hidden="1">#REF!</definedName>
    <definedName name="Z_A0276843_5A14_4A7A_AD1C_583475FE9ED2_.wvu.FilterData" hidden="1">#REF!</definedName>
    <definedName name="Z_A2CB926C_E33A_4E38_9626_682814771DB1_.wvu.FilterData" hidden="1">#REF!</definedName>
    <definedName name="Z_A320C8A7_8D87_4204_85D4_AE25493D1363_.wvu.FilterData" hidden="1">#REF!</definedName>
    <definedName name="Z_A5F4C2AC_640B_40D9_88C9_69B3215DBE96_.wvu.FilterData" hidden="1">#REF!</definedName>
    <definedName name="Z_A686C168_1672_48B1_ADFD_481A1276CC81_.wvu.FilterData" hidden="1">#REF!</definedName>
    <definedName name="Z_A933351F_4BD3_4901_98D5_53D192BD61DC_.wvu.FilterData" hidden="1">#REF!</definedName>
    <definedName name="Z_AA0BD2F5_1513_40DB_B224_CC27CA57E181_.wvu.FilterData" hidden="1">#REF!</definedName>
    <definedName name="Z_AA329A38_94E6_4014_8D54_EFB48C7FA433_.wvu.FilterData" hidden="1">#REF!</definedName>
    <definedName name="Z_AC5679A6_5A24_441C_BBA3_F0C9D8E8E441_.wvu.FilterData" hidden="1">#REF!</definedName>
    <definedName name="Z_ACE528A7_3516_429C_8E77_FA07F86ED2D8_.wvu.Cols">#REF!</definedName>
    <definedName name="Z_AE302359_F16A_4874_8921_3865B0ECD878_.wvu.FilterData" hidden="1">#REF!</definedName>
    <definedName name="Z_AF0BF736_181F_4A59_8FB9_D3BCA8E591F7_.wvu.FilterData" hidden="1">#REF!</definedName>
    <definedName name="Z_AF12B415_1D2E_4088_9C86_BB0173951217_.wvu.FilterData" hidden="1">#REF!</definedName>
    <definedName name="Z_AF537E87_E5DE_4792_8C82_FFA1FC35463A_.wvu.FilterData" hidden="1">#REF!</definedName>
    <definedName name="Z_B1269BAB_A618_45E5_8379_9ECE98405A14_.wvu.FilterData" hidden="1">#REF!</definedName>
    <definedName name="Z_B20EEB3D_E9E6_496E_8678_B417DDC74718_.wvu.FilterData" hidden="1">#REF!</definedName>
    <definedName name="Z_B3255642_8A6B_11D5_916F_005004920FCB_.wvu.PrintTitles">#REF!</definedName>
    <definedName name="Z_B4864B96_AD18_4114_8AFA_A8BAA8915737_.wvu.FilterData" hidden="1">#REF!</definedName>
    <definedName name="Z_B645C4A8_1830_42C7_9DBF_0F519499A6CE_.wvu.FilterData" hidden="1">#REF!</definedName>
    <definedName name="Z_B7475313_60A1_440E_A07B_6B97978B34F2_.wvu.FilterData" hidden="1">#REF!</definedName>
    <definedName name="Z_B891B51F_1CA2_435F_A819_8A494B08D3EE_.wvu.FilterData" hidden="1">#REF!</definedName>
    <definedName name="Z_B8CE2FA5_D3F2_48A0_8603_A3FBA2808CB4_.wvu.FilterData" hidden="1">#REF!</definedName>
    <definedName name="Z_B9837360_94DA_11D7_9C1E_0004231B06E7_.wvu.FilterData" hidden="1">#REF!</definedName>
    <definedName name="Z_BBE1AFA0_C6F6_4019_9D53_075DA4654337_.wvu.FilterData" hidden="1">#REF!</definedName>
    <definedName name="Z_BC0EED6A_3F15_49FF_A48F_B40AC74B528A_.wvu.FilterData" hidden="1">#REF!</definedName>
    <definedName name="Z_BC4212E8_2D54_48E9_A2B4_66875F86EBEF_.wvu.FilterData" hidden="1">#REF!</definedName>
    <definedName name="Z_BE48B5BF_102F_4FB8_8807_DA126440E01B_.wvu.FilterData" hidden="1">#REF!</definedName>
    <definedName name="Z_BE949522_4A35_4352_9A91_0CE0E28D3461_.wvu.FilterData" hidden="1">#REF!</definedName>
    <definedName name="Z_C1310828_8567_4952_A9D3_7183F1221321_.wvu.FilterData" hidden="1">#REF!</definedName>
    <definedName name="Z_C581774C_2FCD_4906_B930_CCB3F9F9A50B_.wvu.FilterData" hidden="1">#REF!</definedName>
    <definedName name="Z_C67C9A44_7556_4756_AC39_E00F137116ED_.wvu.FilterData" hidden="1">#REF!</definedName>
    <definedName name="Z_C908089F_9A5A_11D7_9C1E_0004231B06E7_.wvu.FilterData" hidden="1">#REF!</definedName>
    <definedName name="Z_C942EE3A_8DBF_41D7_ADAF_F43C01F31E23_.wvu.FilterData" hidden="1">#REF!</definedName>
    <definedName name="Z_CB8FB7EE_B771_11D7_9C1E_0004231B06E7_.wvu.FilterData" hidden="1">#REF!</definedName>
    <definedName name="Z_CB8FB7F1_B771_11D7_9C1E_0004231B06E7_.wvu.FilterData" hidden="1">#REF!</definedName>
    <definedName name="Z_CD48E0DF_E307_492A_9CFD_ADF6DE6ECCFB_.wvu.FilterData" hidden="1">#REF!</definedName>
    <definedName name="Z_CDAD3BC7_95B1_4949_91B3_EAB234D2A550_.wvu.FilterData" hidden="1">#REF!</definedName>
    <definedName name="Z_CE1A6073_4007_44EE_88D3_3C79CF746C78_.wvu.FilterData" hidden="1">#REF!</definedName>
    <definedName name="Z_D0500033_B90B_46E5_BD62_60D0DA033A55_.wvu.FilterData" hidden="1">#REF!</definedName>
    <definedName name="Z_D11C04A2_606C_4EF4_9AD3_4865E5EFAE70_.wvu.FilterData" hidden="1">#REF!</definedName>
    <definedName name="Z_D1371C66_ADFD_11D7_9C1E_0004231B06E7_.wvu.FilterData" hidden="1">#REF!</definedName>
    <definedName name="Z_D1371C82_ADFD_11D7_9C1E_0004231B06E7_.wvu.FilterData" hidden="1">#REF!</definedName>
    <definedName name="Z_D1371C98_ADFD_11D7_9C1E_0004231B06E7_.wvu.FilterData" hidden="1">#REF!</definedName>
    <definedName name="Z_D15727E9_9BC2_420E_AC98_E8E9B60BD754_.wvu.FilterData" hidden="1">#REF!</definedName>
    <definedName name="Z_D371D622_5497_46A4_826D_01F2F492E39D_.wvu.FilterData" hidden="1">#REF!</definedName>
    <definedName name="Z_D3FF2053_BD11_4CA8_9648_A06F387C0C79_.wvu.FilterData" hidden="1">#REF!</definedName>
    <definedName name="Z_D4D6DC3A_302F_4BF4_8221_EFB7EA05B30F_.wvu.FilterData" hidden="1">#REF!</definedName>
    <definedName name="Z_D4FF4BA0_F9BE_4CEE_B334_FBD19DA86BF4_.wvu.FilterData" hidden="1">#REF!</definedName>
    <definedName name="Z_D5810466_54E3_455B_B341_3E7B86FB72D3_.wvu.FilterData" hidden="1">#REF!</definedName>
    <definedName name="Z_D60B1DF7_D653_4F01_B5AD_6A66E578C24F_.wvu.FilterData" hidden="1">#REF!</definedName>
    <definedName name="Z_D684BA0E_B94B_4BF7_8F27_4E3A1924425C_.wvu.FilterData" hidden="1">#REF!</definedName>
    <definedName name="Z_D9443332_B48E_4E65_8F23_AC96FB75A5A9_.wvu.FilterData" hidden="1">#REF!</definedName>
    <definedName name="Z_DAA35AF8_874B_4671_A195_994D9700CFB0_.wvu.FilterData" hidden="1">#REF!</definedName>
    <definedName name="Z_DB31579F_8662_40C5_BB19_660F0F7B70E5_.wvu.FilterData" hidden="1">#REF!</definedName>
    <definedName name="Z_DB349C77_BBCF_4BF0_8906_770DC9CEB279_.wvu.FilterData" hidden="1">#REF!</definedName>
    <definedName name="Z_DBA9A16F_C863_43D6_BEF6_4907AD7FF11A_.wvu.FilterData" hidden="1">#REF!</definedName>
    <definedName name="Z_DC39DC03_5BF1_41DE_A26D_8DA774859990_.wvu.FilterData" hidden="1">#REF!</definedName>
    <definedName name="Z_DC4BE57B_E9B6_4823_AAB5_0B4AD0A1C9F8_.wvu.FilterData" hidden="1">#REF!</definedName>
    <definedName name="Z_DD40B456_B833_4D7B_A3C9_47AA2D6A0830_.wvu.FilterData" hidden="1">#REF!</definedName>
    <definedName name="Z_DDC9046D_2716_4CA3_9471_7091058B3C12_.wvu.FilterData" hidden="1">#REF!</definedName>
    <definedName name="Z_DF3B204A_F509_4DA0_BCB7_F89536B5FEBF_.wvu.FilterData" hidden="1">#REF!</definedName>
    <definedName name="Z_E3FFE9E0_6C4F_4FB4_A56E_FBE96871B5C8_.wvu.Cols">#REF!,#REF!</definedName>
    <definedName name="Z_E3FFE9E0_6C4F_4FB4_A56E_FBE96871B5C8_.wvu.FilterData" hidden="1">#REF!</definedName>
    <definedName name="Z_E42D429F_E4E8_41D2_9176_83C726BAF8E3_.wvu.FilterData" hidden="1">#REF!</definedName>
    <definedName name="Z_E491B72F_902A_11D7_9C1E_0004231B06E7_.wvu.FilterData" hidden="1">#REF!</definedName>
    <definedName name="Z_E491B77E_902A_11D7_9C1E_0004231B06E7_.wvu.FilterData" hidden="1">#REF!</definedName>
    <definedName name="Z_E4A534A8_CD89_4423_9F3F_8134353F3CAC_.wvu.FilterData" hidden="1">#REF!</definedName>
    <definedName name="Z_E4E1532E_DC25_47E7_8CAC_8E70342889F1_.wvu.FilterData" hidden="1">#REF!</definedName>
    <definedName name="Z_E74731A0_5CEF_4B97_AFDD_B1DCA3953478_.wvu.FilterData" hidden="1">#REF!</definedName>
    <definedName name="Z_E7582842_0D7F_4174_A223_2AB1DD8C9047_.wvu.FilterData" hidden="1">#REF!</definedName>
    <definedName name="Z_E7E3B215_0D2B_424B_B9A9_091ABF42A9B2_.wvu.FilterData" hidden="1">#REF!</definedName>
    <definedName name="Z_E833D806_B408_4951_8EA0_84873DD98CC6_.wvu.FilterData" hidden="1">#REF!</definedName>
    <definedName name="Z_E84FA520_D8B7_472A_9913_1B62E15D532D_.wvu.FilterData" hidden="1">#REF!</definedName>
    <definedName name="Z_E856A7FB_F0DE_4CE8_85BE_FBD78193AF0B_.wvu.FilterData" hidden="1">#REF!</definedName>
    <definedName name="Z_E8B81FC8_C17A_451A_B505_641DE5886245_.wvu.FilterData" hidden="1">#REF!</definedName>
    <definedName name="Z_EA900FC6_5EC3_4E18_9ED9_37FAC8862A4C_.wvu.FilterData" hidden="1">#REF!</definedName>
    <definedName name="Z_EC12F0CE_807C_4CF2_B52D_1E5945238C05_.wvu.FilterData" hidden="1">#REF!</definedName>
    <definedName name="Z_EC74CDC8_4C91_4C55_BE9F_24DF0A9793FF_.wvu.FilterData" hidden="1">#REF!</definedName>
    <definedName name="Z_ED3E33DB_FBFA_4FDE_929F_AD12074101A3_.wvu.FilterData" hidden="1">#REF!</definedName>
    <definedName name="Z_EE21DFC7_81AA_40DA_B313_9BC83DA41DD6_.wvu.FilterData" hidden="1">#REF!</definedName>
    <definedName name="Z_EE5311D7_3149_40F1_82F5_7EEC6ACB6C85_.wvu.FilterData" hidden="1">#REF!</definedName>
    <definedName name="Z_EEE8CD21_C3A5_4786_B8BE_B9E68F0A5347_.wvu.FilterData" hidden="1">#REF!</definedName>
    <definedName name="Z_F0522591_4E2E_4AD6_B99B_B69551272A68_.wvu.FilterData" hidden="1">#REF!</definedName>
    <definedName name="Z_F1326E0B_5376_4D6E_9BC8_214AA525DE83_.wvu.FilterData" hidden="1">#REF!</definedName>
    <definedName name="Z_F2145668_4090_4220_8C3C_9C4DCC7A01D1_.wvu.Cols">#REF!</definedName>
    <definedName name="Z_F2145668_4090_4220_8C3C_9C4DCC7A01D1_.wvu.FilterData" hidden="1">#REF!</definedName>
    <definedName name="Z_F300E2D5_C458_4E4B_AB71_FF06367EF684_.wvu.FilterData" hidden="1">#REF!</definedName>
    <definedName name="Z_F3F443DB_8EE1_48F9_9BF4_EAF21EDD719F_.wvu.FilterData" hidden="1">#REF!</definedName>
    <definedName name="Z_F6923408_DB58_4A59_8717_D0133A922204_.wvu.FilterData" hidden="1">#REF!</definedName>
    <definedName name="Z_F9CB3A99_6D24_412C_93C4_575819594890_.wvu.FilterData" hidden="1">#REF!</definedName>
    <definedName name="Z_FA40CB26_17FE_4901_96A4_2176E8FA5EEE_.wvu.FilterData" hidden="1">#REF!</definedName>
    <definedName name="Z_FC4D1412_4B52_4393_A184_1BAD70B9C231_.wvu.FilterData" hidden="1">#REF!</definedName>
    <definedName name="Z_FD259A29_AD61_4284_9BC7_5C3B20DD002B_.wvu.FilterData" hidden="1">#REF!</definedName>
    <definedName name="Z_FDFF93A6_D487_497C_8FA1_B8636451E74C_.wvu.FilterData" hidden="1">#REF!</definedName>
    <definedName name="Z_FE37516D_56E4_424C_8DE6_6B2719F76EF4_.wvu.FilterData" hidden="1">#REF!</definedName>
    <definedName name="Z_FEBB3479_FB57_4CDC_BCCD_5D8B83257FC7_.wvu.FilterData" hidden="1">#REF!</definedName>
    <definedName name="zcdçskld">{#N/A,#N/A,FALSE,"Plan1";#N/A,#N/A,FALSE,"Plan2"}</definedName>
    <definedName name="zcsdrfrt">{#N/A,#N/A,FALSE,"Plan1";#N/A,#N/A,FALSE,"Plan2"}</definedName>
    <definedName name="ZDRE">{#N/A,#N/A,FALSE,"Plan1";#N/A,#N/A,FALSE,"Plan2"}</definedName>
    <definedName name="ZEZE">#REF!</definedName>
    <definedName name="ZIN">#REF!</definedName>
    <definedName name="ZINS">#REF!</definedName>
    <definedName name="ZSADF">{#N/A,#N/A,FALSE,"Plan1";#N/A,#N/A,FALSE,"Plan2"}</definedName>
    <definedName name="zsads">{#N/A,#N/A,FALSE,"Plan1";#N/A,#N/A,FALSE,"Plan2"}</definedName>
    <definedName name="ZSDFSETR">#REF!</definedName>
    <definedName name="zsdsf">{TRUE,TRUE,-1.25,-15.5,604.5,366.75,FALSE,FALSE,TRUE,TRUE,0,1,#N/A,1,#N/A,9.0125,24.4117647058824,1,FALSE,FALSE,3,TRUE,1,FALSE,100,"Swvu.PLANILHA2.","ACwvu.PLANILHA2.",#N/A,FALSE,FALSE,0.787401575,0.34,0.46,0.5,1,"","",FALSE,FALSE,FALSE,FALSE,1,#N/A,1,1,FALSE,FALSE,#N/A,#N/A,FALSE,FALSE,FALSE,9,65532,65532,FALSE,FALSE,TRUE,TRUE,TRUE}</definedName>
    <definedName name="zsdwer">{TRUE,TRUE,-1.25,-15.5,604.5,366.75,FALSE,FALSE,TRUE,TRUE,0,1,#N/A,1,#N/A,9.0125,24.4117647058824,1,FALSE,FALSE,3,TRUE,1,FALSE,100,"Swvu.PLANILHA2.","ACwvu.PLANILHA2.",#N/A,FALSE,FALSE,0.787401575,0.34,0.46,0.5,1,"","",FALSE,FALSE,FALSE,FALSE,1,#N/A,1,1,FALSE,FALSE,#N/A,#N/A,FALSE,FALSE,FALSE,9,65532,65532,FALSE,FALSE,TRUE,TRUE,TRUE}</definedName>
    <definedName name="zxccdf">{#N/A,#N/A,FALSE,"Plan1";#N/A,#N/A,FALSE,"Plan2"}</definedName>
    <definedName name="zxcdsf">#REF!</definedName>
    <definedName name="zxcfdstrrt">{#N/A,#N/A,FALSE,"Plan1";#N/A,#N/A,FALSE,"Plan2"}</definedName>
    <definedName name="zxcx">{#N/A,#N/A,FALSE,"Plan1";#N/A,#N/A,FALSE,"Plan2"}</definedName>
    <definedName name="ZXFCRF">{TRUE,TRUE,-1.25,-15.5,604.5,366.75,FALSE,FALSE,TRUE,TRUE,0,1,#N/A,1,#N/A,9.0125,24.4117647058824,1,FALSE,FALSE,3,TRUE,1,FALSE,100,"Swvu.PLANILHA2.","ACwvu.PLANILHA2.",#N/A,FALSE,FALSE,0.787401575,0.34,0.46,0.5,1,"","",FALSE,FALSE,FALSE,FALSE,1,#N/A,1,1,FALSE,FALSE,#N/A,#N/A,FALSE,FALSE,FALSE,9,65532,65532,FALSE,FALSE,TRUE,TRUE,TRUE}</definedName>
    <definedName name="ZXFHDFRHDF">{#N/A,#N/A,FALSE,"Plan1";#N/A,#N/A,FALSE,"Plan2"}</definedName>
    <definedName name="ZZ">#REF!</definedName>
    <definedName name="zzdftr">{#N/A,#N/A,FALSE,"Plan1";#N/A,#N/A,FALSE,"Plan2"}</definedName>
    <definedName name="zzz">#REF!</definedName>
    <definedName name="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ㄱㄱㄱ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ㄱㄷㄱㄷㄱㄱㅎㄺㄷ">{"'장비'!$A$3:$M$12"}</definedName>
    <definedName name="가나다">#REF!</definedName>
    <definedName name="검증">{#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조건">#REF!</definedName>
    <definedName name="계약고햔황2">#REF!</definedName>
    <definedName name="계약고현황2">#REF!</definedName>
    <definedName name="고문">{#N/A,#N/A,FALSE,"현장 NCR 분석";#N/A,#N/A,FALSE,"현장품질감사";#N/A,#N/A,FALSE,"현장품질감사"}</definedName>
    <definedName name="고문2">{#N/A,#N/A,FALSE,"현장 NCR 분석";#N/A,#N/A,FALSE,"현장품질감사";#N/A,#N/A,FALSE,"현장품질감사"}</definedName>
    <definedName name="공공공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급구분표_수정">{#N/A,#N/A,FALSE,"ENG'G(보호계전기)"}</definedName>
    <definedName name="공급표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진도율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4">{#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구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분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구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두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ㄴㄴㄴㄴ">#REF!</definedName>
    <definedName name="내역">{#N/A,#N/A,FALSE,"CCTV"}</definedName>
    <definedName name="ㄷㄳ">{"'장비'!$A$3:$M$12"}</definedName>
    <definedName name="ㄷㄷㄷㄷ">{"'장비'!$A$3:$M$12"}</definedName>
    <definedName name="ㄷㅈㅂㄷ">{"'장비'!$A$3:$M$12"}</definedName>
    <definedName name="당초계획">#REF!</definedName>
    <definedName name="도면외주">#REF!</definedName>
    <definedName name="도면용역비">#REF!</definedName>
    <definedName name="ㄹㄹ">{"'장비'!$A$3:$M$12"}</definedName>
    <definedName name="ㄹㄹㄹ">#REF!</definedName>
    <definedName name="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러러러">{#N/A,#N/A,FALSE,"현장 NCR 분석";#N/A,#N/A,FALSE,"현장품질감사";#N/A,#N/A,FALSE,"현장품질감사"}</definedName>
    <definedName name="ㅁ">{#N/A,#N/A,FALSE,"명세표"}</definedName>
    <definedName name="ㅁㄱ해ㅜ5">#REF!</definedName>
    <definedName name="ㅁ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ㄹ">{#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ㄴㅇㄻㄴㅇㄻㄴ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ㄴㅇㄻ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ㅁ">{#N/A,#N/A,FALSE,"명세표"}</definedName>
    <definedName name="ㅁㅁㅁ">#REF!</definedName>
    <definedName name="ㅁㅁㅁㅁㅁㅁㅁㅁㅁㅁㅁㅁ">{#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ㅁㅇㄻ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머">{#N/A,#N/A,FALSE,"명세표"}</definedName>
    <definedName name="ㅂㅂㅂㅂ">{#N/A,#N/A,FALSE,"명세표"}</definedName>
    <definedName name="ㅂㅂㅂㅂㅂㅂㅂ">{#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ㅂㅈㄱㅂㅈㄷㄱ">{"'장비'!$A$3:$M$12"}</definedName>
    <definedName name="ㅂㅈㄷ">{"'장비'!$A$3:$M$12"}</definedName>
    <definedName name="ㅂㅈㄷㄷㅂㅈㅈㅂ">{"'장비'!$A$3:$M$12"}</definedName>
    <definedName name="ㅂㅈㄷㅂㅈ">{"'장비'!$A$3:$M$12"}</definedName>
    <definedName name="ㅂㅈㄷㅂㅈㅈㅂㄷ">{"'장비'!$A$3:$M$12"}</definedName>
    <definedName name="ㅂㅈㄷㅈㅂㄷ">{"'장비'!$A$3:$M$12"}</definedName>
    <definedName name="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보충">#REF!</definedName>
    <definedName name="보호">{#N/A,#N/A,FALSE,"ENG'G(보호계전기)"}</definedName>
    <definedName name="본공사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부대공사">#REF!</definedName>
    <definedName name="부손익">{#N/A,#N/A,FALSE,"현장 NCR 분석";#N/A,#N/A,FALSE,"현장품질감사";#N/A,#N/A,FALSE,"현장품질감사"}</definedName>
    <definedName name="분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ㅅㄱㄱㄷ">{"'장비'!$A$3:$M$12"}</definedName>
    <definedName name="ㅅㅅㅅㅅㅅ">{"'장비'!$A$3:$M$12"}</definedName>
    <definedName name="사업">{#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#REF!</definedName>
    <definedName name="사업관리">{#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#REF!</definedName>
    <definedName name="산출">#REF!</definedName>
    <definedName name="새안">{#N/A,#N/A,FALSE,"TABLE"}</definedName>
    <definedName name="석항">{#N/A,#N/A,FALSE,"명세표"}</definedName>
    <definedName name="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보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손익계산서">#REF!</definedName>
    <definedName name="쇼ㅗㅎ로">{"'장비'!$A$3:$M$12"}</definedName>
    <definedName name="수">#REF!</definedName>
    <definedName name="수당">#REF!</definedName>
    <definedName name="신설">{#N/A,#N/A,FALSE,"명세표"}</definedName>
    <definedName name="실적총괄1">#REF!</definedName>
    <definedName name="실총">#REF!</definedName>
    <definedName name="ㅇㄹㄹ">#REF!</definedName>
    <definedName name="ㅇㅇ">{#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ㅇ">#REF!</definedName>
    <definedName name="양식변경12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양식적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영문공정표">{#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구조건참조">{#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요약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니">{#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름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월">#REF!</definedName>
    <definedName name="이이">{#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ㅈ">{#N/A,#N/A,FALSE,"명세표"}</definedName>
    <definedName name="ㅈㅈㅈㅈ">{#N/A,#N/A,FALSE,"명세표"}</definedName>
    <definedName name="자미">{#N/A,#N/A,FALSE,"명세표"}</definedName>
    <definedName name="자운">#REF!</definedName>
    <definedName name="자재3">{#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계장금액">#REF!</definedName>
    <definedName name="전기사양_SAMPL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기상세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전선조장">#REF!</definedName>
    <definedName name="조직표현장">#REF!</definedName>
    <definedName name="종합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비교검토">{#N/A,#N/A,FALSE,"ENG'G(보호계전기)"}</definedName>
    <definedName name="집계">{#N/A,#N/A,FALSE,"명세표"}</definedName>
    <definedName name="철골공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최종견적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ㅋㅁ">{#N/A,#N/A,FALSE,"명세표"}</definedName>
    <definedName name="ㅋㅋㅋ">{#N/A,#N/A,FALSE,"명세표"}</definedName>
    <definedName name="ㅌㅌ">{#N/A,#N/A,FALSE,"명세표"}</definedName>
    <definedName name="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목">{#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ㅎㅎㅎㅎ">{"'장비'!$A$3:$M$12"}</definedName>
    <definedName name="하하하">{#N/A,#N/A,FALSE,"명세표"}</definedName>
    <definedName name="한국">{#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현장계기류">{#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호호">{#N/A,#N/A,FALSE,"명세표"}</definedName>
    <definedName name="ㅏㅏㅏ">{#N/A,#N/A,FALSE,"명세표"}</definedName>
    <definedName name="ㅔㅔ">{#N/A,#N/A,FALSE,"명세표"}</definedName>
    <definedName name="ㅔㅔㅔㅔㅔ">{#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ㅕㅕㅕㅕㅕ">{#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ㅗ홓ㅎ로">{"'장비'!$A$3:$M$12"}</definedName>
    <definedName name="ㅗㅗ">{#N/A,#N/A,FALSE,"명세표"}</definedName>
    <definedName name="ㅗㅗㅗㅗㅗ">{"'장비'!$A$3:$M$12"}</definedName>
    <definedName name="ㅛ">{"'장비'!$A$3:$M$12"}</definedName>
    <definedName name="ㅛㅕㅛㅕㅛ">{#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ㅛㅛㅛ">{"'장비'!$A$3:$M$12"}</definedName>
    <definedName name="ㅜ">{#N/A,#N/A,FALSE,"명세표"}</definedName>
    <definedName name="ㅠㅠ">{#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ㅡㅡ">{#N/A,#N/A,FALSE,"명세표"}</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218" authorId="0" shapeId="0" xr:uid="{00000000-0006-0000-0300-000001000000}">
      <text>
        <r>
          <rPr>
            <sz val="10"/>
            <color rgb="FF000000"/>
            <rFont val="Arial"/>
            <family val="2"/>
            <scheme val="minor"/>
          </rPr>
          <t>Valquiria
nº equipamentos x áreas</t>
        </r>
      </text>
    </comment>
    <comment ref="F219" authorId="0" shapeId="0" xr:uid="{00000000-0006-0000-0300-000002000000}">
      <text>
        <r>
          <rPr>
            <sz val="10"/>
            <color rgb="FF000000"/>
            <rFont val="Arial"/>
            <family val="2"/>
            <scheme val="minor"/>
          </rPr>
          <t>Valquiria
nº equipamentos x áreas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620" authorId="0" shapeId="0" xr:uid="{00000000-0006-0000-0400-000001000000}">
      <text>
        <r>
          <rPr>
            <sz val="10"/>
            <color rgb="FF000000"/>
            <rFont val="Arial"/>
            <family val="2"/>
            <scheme val="minor"/>
          </rPr>
          <t>======
ID#AAABmoovRTY
tc={3BE85C88-755B-4E4B-852F-FD0B2A3DFAE4}    (2025-07-22 13:40:40)
[Comentário encadeado]
Sua versão do Excel permite que você leia este comentário encadeado, no entanto, as edições serão removidas se o arquivo for aberto em uma versão mais recente do Excel. Saiba mais: https://go.microsoft.com/fwlink/?linkid=870924
Comentário:
    Pedra Portuguesa Natural para Calçadas Branca - 1 m²</t>
        </r>
      </text>
    </comment>
    <comment ref="B621" authorId="0" shapeId="0" xr:uid="{00000000-0006-0000-0400-000002000000}">
      <text>
        <r>
          <rPr>
            <sz val="10"/>
            <color rgb="FF000000"/>
            <rFont val="Arial"/>
            <family val="2"/>
            <scheme val="minor"/>
          </rPr>
          <t>======
ID#AAABmoovRSc
tc={1E04281B-84D4-44F9-A7B5-9EBEB69FD18D}    (2025-07-22 13:40:40)
[Comentário encadeado]
Sua versão do Excel permite que você leia este comentário encadeado, no entanto, as edições serão removidas se o arquivo for aberto em uma versão mais recente do Excel. Saiba mais: https://go.microsoft.com/fwlink/?linkid=870924
Comentário:
    Conforme as imagens, considerado - Miracema cinza 11,5x23cm m²</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<sst xmlns="http://schemas.openxmlformats.org/spreadsheetml/2006/main" count="76186" uniqueCount="11265">
  <si>
    <t>Projeto</t>
  </si>
  <si>
    <t>Empresa</t>
  </si>
  <si>
    <t>Revisão</t>
  </si>
  <si>
    <t>INFRAESTRUTURA</t>
  </si>
  <si>
    <t>PAVIMENTO</t>
  </si>
  <si>
    <t>Estudos</t>
  </si>
  <si>
    <t>Projetos</t>
  </si>
  <si>
    <t>Consultorias</t>
  </si>
  <si>
    <t>Despesas de consumo e manutenção</t>
  </si>
  <si>
    <t>EQUIPAMENTOS</t>
  </si>
  <si>
    <t>GERENCIAMENTO EXECUTIVO</t>
  </si>
  <si>
    <t>FUNDAÇÃO PROFUNDA</t>
  </si>
  <si>
    <t>Perfuração</t>
  </si>
  <si>
    <t>Armadura</t>
  </si>
  <si>
    <t>Concreto</t>
  </si>
  <si>
    <t>Mão de obra</t>
  </si>
  <si>
    <t>Forma</t>
  </si>
  <si>
    <t>SISTEMAS E INSTALAÇÕES ELÉTRICAS</t>
  </si>
  <si>
    <t>SISTEMAS E INSTALAÇÕES HIDROSSANITÁRIAS E DRENAGEM</t>
  </si>
  <si>
    <t>INSTALAÇÕES DE GÁS</t>
  </si>
  <si>
    <t>EQUIPAMENTOS E SISTEMAS ESPECIAIS</t>
  </si>
  <si>
    <t>Elevadores</t>
  </si>
  <si>
    <t>INSTALAÇÕES ESPECIAIS</t>
  </si>
  <si>
    <t>Contrapiso</t>
  </si>
  <si>
    <t>IMPERMEABILIZAÇÃO</t>
  </si>
  <si>
    <t>Regularização e proteção mecânica</t>
  </si>
  <si>
    <t>PINTURA</t>
  </si>
  <si>
    <t>ESQUADRIAS</t>
  </si>
  <si>
    <t>Contramarco</t>
  </si>
  <si>
    <t>Esquadrias de alumínio</t>
  </si>
  <si>
    <t>Serralheria</t>
  </si>
  <si>
    <t>SERVIÇOS COMPLEMENTARES E FINAIS</t>
  </si>
  <si>
    <t>Louças</t>
  </si>
  <si>
    <t>COBERTURA</t>
  </si>
  <si>
    <t>SERVIÇOS COMPLEMENTARES EXTERNOS</t>
  </si>
  <si>
    <t>Limpeza Final de Obra</t>
  </si>
  <si>
    <t>Decoração e mobiliário área comum</t>
  </si>
  <si>
    <t>Comunicação visual</t>
  </si>
  <si>
    <t>Paisagismo</t>
  </si>
  <si>
    <t>ETAPA</t>
  </si>
  <si>
    <t>GERENCIAMENTO TÉCNICO E ADMINISTRATIVO</t>
  </si>
  <si>
    <t>MOVIMENTAÇÃO DE TERRA</t>
  </si>
  <si>
    <t>SUPRAESTRUTURA</t>
  </si>
  <si>
    <t>ALVENARIA</t>
  </si>
  <si>
    <t>CLIMATIZAÇÃO, EXAUSTÃO MECÂNICA E PRESSURIZAÇÃO</t>
  </si>
  <si>
    <t>REVESTIMENTOS ARGAMASSADOS PISO</t>
  </si>
  <si>
    <t>REVESTIMENTOS ARGAMASSADOS PAREDE</t>
  </si>
  <si>
    <t>REVESTIMENTOS ARGAMASSADOS TETO</t>
  </si>
  <si>
    <t>ACABAMENTOS INTERNOS EM PAREDE</t>
  </si>
  <si>
    <t>ACABAMENTOS EM PISOS E PAVIMENTAÇÕES</t>
  </si>
  <si>
    <t>ACABAMENTOS INTERNOS EM TETO</t>
  </si>
  <si>
    <t>PINTURA INTERNA</t>
  </si>
  <si>
    <t>ESQUADRIAS, VIDROS E FERRAGENS</t>
  </si>
  <si>
    <t>LOUÇAS E METAIS</t>
  </si>
  <si>
    <t>SERVIÇOS COMPLEMENTARES</t>
  </si>
  <si>
    <t>IMPREVISTOS</t>
  </si>
  <si>
    <t>TOTAL</t>
  </si>
  <si>
    <t>CUB/SC</t>
  </si>
  <si>
    <t>Repetição</t>
  </si>
  <si>
    <t>Tipo</t>
  </si>
  <si>
    <t>Descrição</t>
  </si>
  <si>
    <t>Und</t>
  </si>
  <si>
    <t>Quantidade</t>
  </si>
  <si>
    <t>Custo unit.</t>
  </si>
  <si>
    <t>Custo Total.</t>
  </si>
  <si>
    <t>Observações</t>
  </si>
  <si>
    <t>Etapa</t>
  </si>
  <si>
    <t>INSTALAÇÕES PROVISÓRIAS</t>
  </si>
  <si>
    <t>Serviço</t>
  </si>
  <si>
    <t>Central de aço</t>
  </si>
  <si>
    <t>M2</t>
  </si>
  <si>
    <t>Insumo</t>
  </si>
  <si>
    <t>LONA PLASTICA 120 MICRAS 4X100M PRETA</t>
  </si>
  <si>
    <t>TELHA METALICA GALVANIZADA TRAPEZOIDAL 0,43MM NBR 14514</t>
  </si>
  <si>
    <t>Concreto Usinado bombeável 20MPa Convencional</t>
  </si>
  <si>
    <t>PREGO GALVANIZADO LISO S/CABECA 17X21 NBR 6627</t>
  </si>
  <si>
    <t>BLOCO CONCRETO ESTRUTURAL 03MPA 14X19X39CM NBR 6136</t>
  </si>
  <si>
    <t>ARGAMASSA ENSACADA P/ASSENTAMENTO BLOCO 04MPA NBR 13281</t>
  </si>
  <si>
    <t>SERVICO EMP. - INST. PROVISORIA - CONFECCAO BAIA P/MATERIAL</t>
  </si>
  <si>
    <t>Central de fôrmas</t>
  </si>
  <si>
    <t>Central de Argamassa</t>
  </si>
  <si>
    <t>Armazenamento de cerâmicas*</t>
  </si>
  <si>
    <t>MADEIRA PINUS/SIMILAR - TABUA PINUS 200X20MM NBR 11700</t>
  </si>
  <si>
    <t>COMPENSADO MADEIRA TIPO RESINADO COLA FENOLICA 2440X1220X10MM</t>
  </si>
  <si>
    <t>MADEIRA PINUS/SIMILAR - PONTALETE 75X75MM NBR 11700/15696</t>
  </si>
  <si>
    <t>MADEIRA PINUS/SIMILAR - SARRAFO PINUS 50X20MM NBR 11700/15696</t>
  </si>
  <si>
    <t>MADEIRA PINUS/SIMILAR - SARRAFO PINUS 50X10MM NBR 11700</t>
  </si>
  <si>
    <t>PREGO DE ACO POLIDO COM CABECA 17 X 21 (2 X 11)</t>
  </si>
  <si>
    <t>EXTINTOR INCENDIO PO QUIMICO 06KG CLASSE ABC (COMPLETO) NBR 15808</t>
  </si>
  <si>
    <t>MATERIAL PARA INSTALAÇÃO ELÉTRICA</t>
  </si>
  <si>
    <t>SERVICO INSTALAÇÃO BARRACAO ALMOXARIFADO</t>
  </si>
  <si>
    <t>Armazenamento de placas degesso*</t>
  </si>
  <si>
    <t>Armazenamento de blocos*</t>
  </si>
  <si>
    <t>Armazenamento de contramarcos*</t>
  </si>
  <si>
    <t>Armazenamento de portas e rodapés*</t>
  </si>
  <si>
    <t>Armazenamento de esquadrias*</t>
  </si>
  <si>
    <t>Armazenamento de instalações complementares*</t>
  </si>
  <si>
    <t>Armazenamento para estoque geral*</t>
  </si>
  <si>
    <t>Construções temporárias</t>
  </si>
  <si>
    <t>TELA ACO CARBONO CA60 M.150X150MM F.03,4MM 245X600CM Q61 (14,26KG/UN)</t>
  </si>
  <si>
    <t>TELHA FIBROCIMENTO NATURAL S/AMIANTO 06X1100X1530MM NBR 7581/15210</t>
  </si>
  <si>
    <t>TINTA LATEX ACRILICO FOSCO INT./EXT. PREMIUM PLUS BRANCO NBR 14942</t>
  </si>
  <si>
    <t>TINTA ESMALTE ACETINADO BASE SOLVENTE BRANCO NBR 15299</t>
  </si>
  <si>
    <t>SOLVENTE BASE THINNER P/TINTA NBR 14725</t>
  </si>
  <si>
    <t>LIXA DAGUA 225X275MM GR100</t>
  </si>
  <si>
    <t>Almoxarifado geral</t>
  </si>
  <si>
    <t>Placa indicativa fixada na estrutura por pregos</t>
  </si>
  <si>
    <t>BANNER LONA VINILICA</t>
  </si>
  <si>
    <t xml:space="preserve">PLACA SINALIZACAO PVC C/ADESIVO </t>
  </si>
  <si>
    <t>SUPORTE ACO CARBONO P/PLACA - REQ. CANTONEIRA 1.1/4"X1/8" 160X250CM</t>
  </si>
  <si>
    <t>Locação da obra</t>
  </si>
  <si>
    <t>TINTA ACRILICA A BASE DE SOLVENTE</t>
  </si>
  <si>
    <t>CAIBRO NAO APARELHADO *5 X 6* CM, EM MACARANDUBA/MASSARANDUBA, ANGELIM OU EQUIVALENTE DA REGIAO - BRUTA</t>
  </si>
  <si>
    <t>M</t>
  </si>
  <si>
    <t>EPC'S</t>
  </si>
  <si>
    <t>Bandeja de proteção primária</t>
  </si>
  <si>
    <t>PREGO DE ACO POLIDO COM CABECA 16 X 24 (2 1/4 X 12)</t>
  </si>
  <si>
    <t>CHAPA/PAINEL DE MADEIRA COMPENSADA PLASTIFICADA, DE 2200 X 1100 MM, E = 14 MM</t>
  </si>
  <si>
    <t>CHUMBADOR PARABOLT ACO CARBONO CBA 1/2"X75MM</t>
  </si>
  <si>
    <t>PERFIL METALICO BANDEJA PRIMARIA 2,50M</t>
  </si>
  <si>
    <t>PONTALETE *7,5 X 7,5* CM EM PINUS, MISTA OU EQUIVALENTE DA REGIAO - BRUTA</t>
  </si>
  <si>
    <t>Bandeja de proteção secundária</t>
  </si>
  <si>
    <t>Guarda - corpo de vãos</t>
  </si>
  <si>
    <t>TABUA *2,5 X 15 CM EM PINUS, MISTA OU EQUIVALENTE DA REGIAO - BRUTA</t>
  </si>
  <si>
    <t>TELA PLASTICA TECIDA LISTRADA BRANCA E LARANJA, EM POLIETILENO MONOFILADO</t>
  </si>
  <si>
    <t>Proteção de periferia pós desforma torre</t>
  </si>
  <si>
    <t>ESCORA METALICA TELESCOPICA, COM ALTURA REGULAVEL DE *1,80* A *3,20* M, INCLUSO TRIPE E FORCADO</t>
  </si>
  <si>
    <t>Tela fachadeira</t>
  </si>
  <si>
    <t>TELA FACHADEIRA POLIETILENO MALHA 1,5X1,5MM</t>
  </si>
  <si>
    <t>SARRAFO *2,5 X 7,5* CM EM PINUS, MISTA OU EQUIVALENTE DA REGIAO - BRUTA</t>
  </si>
  <si>
    <t xml:space="preserve">Fechamento removível de vãos em madeira </t>
  </si>
  <si>
    <t>CHAPA/PAINEL DE MADEIRA COMPENSADA RESINADA, DE 2200 X 1100 MM, E = 14 MM</t>
  </si>
  <si>
    <t>Cobertura para Proteção de Pedestres</t>
  </si>
  <si>
    <t>Locação estrutura metálica para proteção de pesdestres</t>
  </si>
  <si>
    <t>Tapume</t>
  </si>
  <si>
    <t>PREGO DE ACO POLIDO COM CABECA 18 X 27 (2 1/2 X 10)</t>
  </si>
  <si>
    <t>TELHA TRAPEZOIDAL EM ACO ZINCADO, ESPESSURA DE 0,50 MM</t>
  </si>
  <si>
    <t>CONCRETO MAGRO USINADO, COM BRITA 1</t>
  </si>
  <si>
    <t>Linha de Vida</t>
  </si>
  <si>
    <t>CABO DE AÇO GALVANIZADO 3/8</t>
  </si>
  <si>
    <t>CLIPS PARA CABO DE AÇO 5/16</t>
  </si>
  <si>
    <t>TUBO GALV. 3" X 2,65MM - 8M C/ RUPTURA: 40 MPA (LINHA DE VIDA)</t>
  </si>
  <si>
    <t>SLQA</t>
  </si>
  <si>
    <t>Locação estrutura para proteção SLQA</t>
  </si>
  <si>
    <t>Rebaixamento de Lençol freático</t>
  </si>
  <si>
    <t>MÊS</t>
  </si>
  <si>
    <t>Locação 30 dias de cada equipamento de rebaixamento com 22,5 HP, vazão máxima = 100 m³/h, em operação ou a disposição.</t>
  </si>
  <si>
    <t>Locação 30 dias de cada mangote de descarga CDF-A com lance de 50,00 metros cada.</t>
  </si>
  <si>
    <t>Instalação de equipamentos para Rebaixamento de Lençol freático</t>
  </si>
  <si>
    <t>DIA</t>
  </si>
  <si>
    <t>Instalação e entrega técnica do(s) equipamento(s) de rebaixamento temporário de aquíferos AQ-EL 44-100. (Previsão de 04 dias)</t>
  </si>
  <si>
    <t>Detonação de rochas</t>
  </si>
  <si>
    <t>M3</t>
  </si>
  <si>
    <t>Escavação mecanizada com retroescavadeira</t>
  </si>
  <si>
    <t>Escavação mecanizada para estacas de fundação, com retroescavadeira</t>
  </si>
  <si>
    <t>Reaterro mecanizado de valas para blocos e vigas de fundação, com retroescavadeira</t>
  </si>
  <si>
    <t>Reaterro mecanizado com retroescavadeira</t>
  </si>
  <si>
    <t>Lastro de Concreto Magro, Aplicado em Blocos de Fundação</t>
  </si>
  <si>
    <t>CONCRETO MAGRO PARA LASTRO</t>
  </si>
  <si>
    <t>serviço de bombeamento</t>
  </si>
  <si>
    <t>Cimento Portland Composto CP II-32</t>
  </si>
  <si>
    <t>Lastro de Brita, Aplicado em Blocos de Fundação, e= 5cm</t>
  </si>
  <si>
    <t>BRITA Nº2</t>
  </si>
  <si>
    <t>Lastro de Brita, Aplicado em fundação rasa</t>
  </si>
  <si>
    <t>Terraplanagem - Corte e Desaterro Solo</t>
  </si>
  <si>
    <t>Escavação e Carga Mecanizada em Corte - Desaterro Solo</t>
  </si>
  <si>
    <t>Desmonte de Rocha</t>
  </si>
  <si>
    <t>Escavação e Carga Mecanizada em Corte - Desaterro Rocha</t>
  </si>
  <si>
    <t>Terraplanagem - Aterro material de 1º categoria</t>
  </si>
  <si>
    <t>Espalhamento / Umedecimento / Compactação em Material de 1ª Categoria - 95% PN - Aterro</t>
  </si>
  <si>
    <t>Terraplanagem - Corte e aterro (Produtividade 1890m3/dia) - Mão de Obra Própria</t>
  </si>
  <si>
    <t>Escavadeira DOOSAN DX225 (terceirizado)</t>
  </si>
  <si>
    <t>Trator esteira CAT D51 (terceirizado)</t>
  </si>
  <si>
    <t>Escaveideira 320 CAT 2019</t>
  </si>
  <si>
    <t>Trator esteira 700 j john dree 2016</t>
  </si>
  <si>
    <t>Operador de máquina 1</t>
  </si>
  <si>
    <t>Movimentação de terra para bota-fora - Escavação de Valas</t>
  </si>
  <si>
    <t>Movimentação de terra para bota-fora - Estacas</t>
  </si>
  <si>
    <t>Movimentação de terra para bota-fora - Escavação Vertical Terraplenagem</t>
  </si>
  <si>
    <t>Execucao Estaca Helice Continua 030Cm</t>
  </si>
  <si>
    <t>Execucao Estaca Helice Continua 040Cm</t>
  </si>
  <si>
    <t xml:space="preserve">Perfuração de estaca hélice contínua Ø 50cm	</t>
  </si>
  <si>
    <t>Execucao Estaca Helice Continua 050Cm</t>
  </si>
  <si>
    <t xml:space="preserve">Perfuração de estaca hélice contínua Ø 60cm	</t>
  </si>
  <si>
    <t>Execucao Estaca Helice Continua 060Cm</t>
  </si>
  <si>
    <t>Execucao Estaca Helice Continua 070Cm</t>
  </si>
  <si>
    <t>Execucao Estaca Helice Continua 080Cm</t>
  </si>
  <si>
    <t>Execucao Estaca Helice Continua 090Cm</t>
  </si>
  <si>
    <t>Execucao Estaca Helice Continua 100Cm</t>
  </si>
  <si>
    <t xml:space="preserve">Perfuração de estaca Escavada Ø 25cm	</t>
  </si>
  <si>
    <t>Execucao Estaca Escavada 025Cm</t>
  </si>
  <si>
    <t xml:space="preserve">Perfuração de estaca Escavada Ø 30cm	</t>
  </si>
  <si>
    <t>Execucao Estaca Escavada 030Cm</t>
  </si>
  <si>
    <t xml:space="preserve">	Mobilização e desmobilização de equipamentos - Para execução de estaca hélice</t>
  </si>
  <si>
    <t>VB</t>
  </si>
  <si>
    <t xml:space="preserve">	Mobilização e desmobilização de equipamentos - Para execução de estaca Escavada</t>
  </si>
  <si>
    <t>Armação Pronta para estaca Ø 50cm (5F 16,0 4MTS ESP75 PS20)</t>
  </si>
  <si>
    <t>UN</t>
  </si>
  <si>
    <t>CORTE E DOBRA ARMADO ESTACA Ø50CM 5F 16,0 4MTS ESP75 PS20</t>
  </si>
  <si>
    <t>Armação Pronta para estaca Ø 60cm (5F 20,0 4MTS ESP75 PS20)</t>
  </si>
  <si>
    <t>CORTE E DOBRA ARMADO ESTACA Ø60CM 5F 20,0 4MTS ESP75 PS20</t>
  </si>
  <si>
    <t>Armação Pronta para estaca Ø 60cm (7F 20,0 6MTS ESP75 PS20)</t>
  </si>
  <si>
    <t>CORTE E DOBRA ARMADO ESTACA Ø60CM 7F 20,0 6MTS ESP75 PS20</t>
  </si>
  <si>
    <t>Armação Pronta para estaca Ø 60cm (9F 20,0 8MTS ESP75 PS20)</t>
  </si>
  <si>
    <t>CORTE E DOBRA ARMADO ESTACA Ø60CM 9F 20,0 8MTS ESP75 PS20</t>
  </si>
  <si>
    <t>Armação aço CA-50 ø 6,3mm para estaca (corte e dobra em obra)</t>
  </si>
  <si>
    <t>KG</t>
  </si>
  <si>
    <t>Aço CA50 6,3 mm</t>
  </si>
  <si>
    <t xml:space="preserve">Arame Galvanizado </t>
  </si>
  <si>
    <t>Espaçador para armadura</t>
  </si>
  <si>
    <t>Armação aço CA-50 ø 8,0mm para estaca (corte e dobra em obra)</t>
  </si>
  <si>
    <t>Aço CA50 8,0 mm</t>
  </si>
  <si>
    <t>Armação aço CA-50 ø 10,0mm para estaca (corte e dobra em obra)</t>
  </si>
  <si>
    <t>Aço CA50 10,0 mm</t>
  </si>
  <si>
    <t>Armação aço CA-50 ø 16,0mm para estaca (corte e dobra em obra)</t>
  </si>
  <si>
    <t>Aço CA50 16,0mm</t>
  </si>
  <si>
    <t>Armação aço CA-50 ø 20,0mm para estaca (corte e dobra em obra)</t>
  </si>
  <si>
    <t>Aço CA50 20,0mm</t>
  </si>
  <si>
    <t xml:space="preserve">Armação aço CA-60 ø 5,00mm para estaca (corte e dobra em obra) </t>
  </si>
  <si>
    <t>Aço CA60 5,0mm</t>
  </si>
  <si>
    <t>Concreto Usinado bombeável para estacas 25MPa  - incluindo serviço de bombeamento</t>
  </si>
  <si>
    <t>Concreto Usinado bombeável 25MPa</t>
  </si>
  <si>
    <t>Concreto Usinado bombeável para estacas 30MPa  - incluindo serviço de bombeamento</t>
  </si>
  <si>
    <t>Concreto Usinado bombeável 30MPa para estacas</t>
  </si>
  <si>
    <t>Concreto Usinado bombeável para estacas 35MPa  - incluindo serviço de bombeamento</t>
  </si>
  <si>
    <t>Concreto Usinado bombeável 35MPa para estacas</t>
  </si>
  <si>
    <t>Concreto Usinado bombeável para estacas 40MPa  - incluindo serviço de bombeamento</t>
  </si>
  <si>
    <t>Concreto Usinado bombeável 40MPa para estacas</t>
  </si>
  <si>
    <t>Corte e Preparo de Cabeça de Estaca</t>
  </si>
  <si>
    <t>Serviço de Arrasamentode Estacas</t>
  </si>
  <si>
    <t>FUNDAÇÃO RASA</t>
  </si>
  <si>
    <t>Forma para infraestrutura em Tábuas de Madeira Serrada 2x reaproveitamento</t>
  </si>
  <si>
    <t>PREGO DE ACO POLIDO COM CABECA 15 X 18 (1 1/2 X 13)</t>
  </si>
  <si>
    <t xml:space="preserve">DESMOLDANTE PROTETOR PARA FORMAS DE MADEIRA, DE BASE OLEOSA EMULSIONADA EM AGUA   </t>
  </si>
  <si>
    <t>TABUA *2,5 X 30 CM EM PINUS, MISTA OU EQUIVALENTE DA REGIAO - BRUTA (M)</t>
  </si>
  <si>
    <t>Forma para infraestrutura em Tábuas de Madeira Serrada 4x reaproveitamento</t>
  </si>
  <si>
    <t>Armação aço CA-50 ø 6,3mm para infraestrutura (corte e dobra em obra)</t>
  </si>
  <si>
    <t>Armação aço CA-50 ø 8,0mm para infraestrutura (corte e dobra em obra)</t>
  </si>
  <si>
    <t>Armação aço CA-50 ø 10,0mm para infraestrutura (corte e dobra em obra)</t>
  </si>
  <si>
    <t xml:space="preserve">Armação aço CA-50 ø 12,5mm para infraestrutura (corte e dobra em obra) </t>
  </si>
  <si>
    <t>Aço CA50 12,5 mm</t>
  </si>
  <si>
    <t>Armação aço CA-50 ø 16,0mm para infraestrutura (corte e dobra em obra)</t>
  </si>
  <si>
    <t xml:space="preserve">Armação aço CA-50 ø 20,0mm para infraestrutura (corte e dobra em obra) </t>
  </si>
  <si>
    <t xml:space="preserve">Armação aço CA-50 ø 25,0mm para infraestrutura (corte e dobra em obra) </t>
  </si>
  <si>
    <t>Aço CA50 25,0mm</t>
  </si>
  <si>
    <t xml:space="preserve">Armação aço CA-60 ø 5,00mm para infraestrutura (corte e dobra em obra) </t>
  </si>
  <si>
    <t xml:space="preserve">Armação aço CA-50 ø 32,00mm para infraestrutura (corte e dobra em obra) </t>
  </si>
  <si>
    <t>Aço CA60 32,0mm</t>
  </si>
  <si>
    <t>Concreto Usinado bombeável 30MPa para infraestrutura - incluindo serviço de bombeamento</t>
  </si>
  <si>
    <t>Concreto Usinado bombeável 30MPa Convencional</t>
  </si>
  <si>
    <t>Concreto Usinado bombeável 35MPa para infraestrutura - incluindo serviço de bombeamento</t>
  </si>
  <si>
    <t>Concreto Usinado bombeável 35MPa Convencional</t>
  </si>
  <si>
    <t>Concreto Usinado bombeável 45MPa para infraestrutura- incluindo serviço de bombeamento</t>
  </si>
  <si>
    <t>Concreto Usinado bombeável 45MPa Convencional</t>
  </si>
  <si>
    <t>Concreto Usinado bombeável 50MPa para infraestrutura- incluindo serviço de bombeamento</t>
  </si>
  <si>
    <t>Concreto Usinado bombeável 50MPa Convencional</t>
  </si>
  <si>
    <t>Concreto Usinado bombeável 60MPa para infraestrutura- incluindo serviço de bombeamento</t>
  </si>
  <si>
    <t>Concreto Usinado bombeável 60MPa Convencional</t>
  </si>
  <si>
    <t>Mão de obra para execução de fundação</t>
  </si>
  <si>
    <t>CONTENÇÕES</t>
  </si>
  <si>
    <t xml:space="preserve">Perfuração de estaca Escavada para contenção Ø 30cm	</t>
  </si>
  <si>
    <t>Concreto Usinado bombeável para estaca das Contenções 25MPa  - incluindo serviço de bombeamento</t>
  </si>
  <si>
    <t>Forma para Contenções em Tábuas de Madeira Serrada 17mm 4x reaproveitamento</t>
  </si>
  <si>
    <t>Armação aço CA-50 ø 6,3mm para Contenções (corte e dobra em obra)</t>
  </si>
  <si>
    <t>Armação aço CA-50 ø 8,0mm para Contenções (corte e dobra em obra)</t>
  </si>
  <si>
    <t>Armação aço CA-50 ø 10,0mm para Contenções (corte e dobra em obra)</t>
  </si>
  <si>
    <t xml:space="preserve">Armação aço CA-50 ø 12,5mm para Contenções (corte e dobra em obra) </t>
  </si>
  <si>
    <t>Armação aço CA-50 ø 16,0mm para Contenções (corte e dobra em obra)</t>
  </si>
  <si>
    <t xml:space="preserve">Armação aço CA-50 ø 20,0mm para Contenções (corte e dobra em obra) </t>
  </si>
  <si>
    <t xml:space="preserve">Armação aço CA-50 ø 25,0mm para Contenções (corte e dobra em obra) </t>
  </si>
  <si>
    <t xml:space="preserve">Armação aço CA-60 ø 5,00mm para Contenções (corte e dobra em obra) </t>
  </si>
  <si>
    <t>Concreto Usinado bombeável para Contenções 25MPa  - incluindo serviço de bombeamento</t>
  </si>
  <si>
    <t>Concreto Usinado bombeável para Contenções 30MPa  - incluindo serviço de bombeamento</t>
  </si>
  <si>
    <t>Mão de obra de obra execução de contenção em cortina de concreto</t>
  </si>
  <si>
    <t>Forma para Laje Contrapiso Térreo em Tábuas de Madeira Serrada 18mm 4x reaproveitamento</t>
  </si>
  <si>
    <t>TABUA NAO APARELHADA *2,5 X 20* CM, EM MACARANDUBA/MASSARANDUBA, ANGELIM OU EQUIVALENTE DA REGIAO - BRUTA</t>
  </si>
  <si>
    <t>Fabricação de Fôrma para Pilares, em Chapa de Madeira Compensada Plastificada, E=18mm</t>
  </si>
  <si>
    <t>CHAPA/PAINEL DE MADEIRA COMPENSADA PLASTIFICADA, DE 2200 X 1100 MM, E = 18 MM</t>
  </si>
  <si>
    <t>Fabricação de Fôrma para Vigas, em Chapa de Madeira Compensada Plastificada, E=18mm</t>
  </si>
  <si>
    <t>CHAPA/PAINEL DE MADEIRA COMPENSADA RESINADA, DE 2200 X 1100 MM, E = 18 MM</t>
  </si>
  <si>
    <t>Fabricação de Fôrma para Lajes, em Chapa de Madeira Compensada Plastificada, E=18mm</t>
  </si>
  <si>
    <t>Fabricação de Fôrma para Pilares, em Chapa de Madeira Compensada Resinada, E=18mm</t>
  </si>
  <si>
    <t>Fabricação de Fôrma para Vigas, em Chapa de Madeira Compensada Resinada, E=18mm</t>
  </si>
  <si>
    <t>Fabricação de Fôrma para Lajes, em Chapa de Madeira Compensada Resinada, E=18mm</t>
  </si>
  <si>
    <t>Montagem e Desmontagem de Fôrma de Pilares</t>
  </si>
  <si>
    <t>Montagem e Desmontagem de Fôrma de Vigas</t>
  </si>
  <si>
    <t>Montagem e Desmontagem de Fôrma de Lajes</t>
  </si>
  <si>
    <t>Armação Aço CA-60, Diâmetro de 5,0mm para Supraestrutura, Corte e Dobra em Obra</t>
  </si>
  <si>
    <t xml:space="preserve">Arame Recozido BWG 18 </t>
  </si>
  <si>
    <t>Armação Aço CA-50, Diâmetro de 6,3mm para Supraestrutura, Corte e Dobra em Obra</t>
  </si>
  <si>
    <t>Armação Aço CA-50, Diâmetro de 8,0mm para Supraestrutura, Corte e Dobra em Obra</t>
  </si>
  <si>
    <t>Armação Aço CA-50, Diâmetro de 10,0mm para Supraestrutura, Corte e Dobra em Obra</t>
  </si>
  <si>
    <t>Armação Aço CA-50, Diâmetro de 12,5mm para Supraestrutura, Corte e Dobra em Obra</t>
  </si>
  <si>
    <t>Armação Aço CA-50, Diâmetro de 16,0mm para Supraestrutura, Corte e Dobra em Obra</t>
  </si>
  <si>
    <t>Armação Aço CA-50, Diâmetro de 20,0mm para Supraestrutura, Corte e Dobra em Obra</t>
  </si>
  <si>
    <t>Armação Aço CA-50, Diâmetro de 25,0mm para Supraestrutura, Corte e Dobra em Obra</t>
  </si>
  <si>
    <t>Armação tela Q138 para Suprastrutura (corte e dobra em Obra)</t>
  </si>
  <si>
    <t>TELA ACO CARBONO CA60 M.100X100MM F.04,2MM 245X600CM Q138 (32,34KG/UN)</t>
  </si>
  <si>
    <t>Armação tela Q92 para ContraPiso Armado (corte e dobra em Obra)</t>
  </si>
  <si>
    <t>TELA ACO CARBONO CA60 M.150X150MM F.04,2MM 245X600CM Q92 (21,8KG/UN)</t>
  </si>
  <si>
    <t>Concreto Usinado FCK = 20MPa Bombeavel Para Supraestrutura</t>
  </si>
  <si>
    <t>Concreto Usinado FCK = 30MPa Bombeavel Para Supraestrutura</t>
  </si>
  <si>
    <t>Concreto Usinado FCK = 40MPa Bombeavel Para Supraestrutura</t>
  </si>
  <si>
    <t>Concreto Usinado bombeável 40MPa Convencional</t>
  </si>
  <si>
    <t>Concreto Usinado FCK = 50MPa Bombeavel Para Supraestrutura</t>
  </si>
  <si>
    <t>Concreto Usinado FCK = 50MPa  Bombeavel para Laje de Fundação</t>
  </si>
  <si>
    <t>Laje pré-moldada unidirecional enchimento em cerâmica, vigota convencional,</t>
  </si>
  <si>
    <t>LAJE PRE-MOLDADA CONVENCIONAL (LAJOTAS + VIGOTAS) PARA PISO, UNIDIRECIONAL, SOBRECARGA DE 200 KG/M2, VAO ATE 3,50 M (SEM COLOCACAO)</t>
  </si>
  <si>
    <t>PREGO DE ACO POLIDO COM CABECA 17 x 27 (2 1/2 x 11)</t>
  </si>
  <si>
    <t>Serviço de Instalação de Lajes pré-moldadas</t>
  </si>
  <si>
    <t>Lona Plastica para Contrapiso Armado</t>
  </si>
  <si>
    <t>Lona Preta Plástica 4x100 Metros 25kg - Agroplastic, Tamanho: 120 Micras</t>
  </si>
  <si>
    <t xml:space="preserve">Protenção de cordoalhas para laje protendida Nervurada Tec- Serviço </t>
  </si>
  <si>
    <t>Acompanhamento e fiscalização na montagem da Protensão, locação de macaco hidráulico e maçarico</t>
  </si>
  <si>
    <t>Corte Final dos Cabos</t>
  </si>
  <si>
    <t>Fechamento dos nichos de Protensão</t>
  </si>
  <si>
    <t>Compatibilização e elaboração do plano de execução dos materiais EVEHX</t>
  </si>
  <si>
    <t>Controle tecnológico da Protensão</t>
  </si>
  <si>
    <t>Protenção de cordoalhas para laje protendida Nervurada Tec - Materiais e acessórios</t>
  </si>
  <si>
    <t>Ancoragem base 1/2" - EHX 0063</t>
  </si>
  <si>
    <t>Cunha 1/2" BI Partida - EHX 0036</t>
  </si>
  <si>
    <t>Pocket Former 1/2 - EHX 0009</t>
  </si>
  <si>
    <t>Adaptador Ancor. (AP2)B Chupeta-EHX 0027</t>
  </si>
  <si>
    <t>Pt-Plug Ø12,7 - 3,8cm</t>
  </si>
  <si>
    <t>Tirante Plast - EHX 0621</t>
  </si>
  <si>
    <t>Apoio Metálico EHX 0072</t>
  </si>
  <si>
    <t>Industrialização dos cabos (Corte, enrolação, pré-blocagem e identificação por cores)</t>
  </si>
  <si>
    <t>Locação de cubetas para laje nervurada</t>
  </si>
  <si>
    <t xml:space="preserve">LOCACAO DE FORMA PLASTICA PARA LAJE NERVURADA, *60* X *60* X *16* CM       </t>
  </si>
  <si>
    <t>Manutenção de cubetas proprias</t>
  </si>
  <si>
    <t>Locação de escoramento metálico pe direito simples</t>
  </si>
  <si>
    <t>LOCACAO DE ESCORA METALICA TELESCOPICA, COM ALTURA REGULAVEL DE *1,80* A *3,20* M</t>
  </si>
  <si>
    <t>Locação topográfica de lajes</t>
  </si>
  <si>
    <t>DIAS</t>
  </si>
  <si>
    <t>Diária de topógrafo</t>
  </si>
  <si>
    <t>Sistema de Ancoragem Provisória e definitiva</t>
  </si>
  <si>
    <t>Serviço de Perfuração de vigas e lajes</t>
  </si>
  <si>
    <t>Escoramento de fôrmas para Lajes com escoras de Madeira incluindo travamento, 4 utilizações.</t>
  </si>
  <si>
    <t>Mão de obra para execução de supraestrutura de concreto armado</t>
  </si>
  <si>
    <t>Mão de Obra Polimento de piso</t>
  </si>
  <si>
    <t>ALVENARIAS E VEDAÇÕES</t>
  </si>
  <si>
    <t>BLOCO CERÂMICO - 9X19X19cm</t>
  </si>
  <si>
    <t>ARGAMASSA INDUSTRIALIZADA MULTIUSO, PARA REVESTIMENTO INTERNO E EXTERNO E ASSENTAMENTO DE BLOCOS DIVERSOS</t>
  </si>
  <si>
    <t>BLOCO CERÂMICO - 11,5X19X19cm</t>
  </si>
  <si>
    <t>Massa Dundun Para Assentamento De Tijolos E Blocos</t>
  </si>
  <si>
    <t>BLOCO CERÂMICO - 14X19X19cm</t>
  </si>
  <si>
    <t>Alvenaria de vedacao de blocos ceramicos furados na horizontal de 14x19x39cm (espessura 9cm) com argamassa industrializada de assentamento</t>
  </si>
  <si>
    <t>BLOCO CERÂMICO - 14X19X39cm</t>
  </si>
  <si>
    <t>Alvenaria de vedação de blocos de concreto de 09x19x39cm, com argamassa estabilizada</t>
  </si>
  <si>
    <t>BLOCO DE VEDACAO CONCRETO 09X19X39 CM</t>
  </si>
  <si>
    <t>Alvenaria de vedacao de blocos ceramicos maciço de 5,5 cm x 11,5 cm x 24 cm (espessura 5cm) com argamassa industrializada de assentamento</t>
  </si>
  <si>
    <t>BLOCO DE VEDACAO CERAMICO MACIÇO 5,5X11,5X24 CM</t>
  </si>
  <si>
    <t>BLOCO DE VEDACAO CERAMICO 09X19X29 CM</t>
  </si>
  <si>
    <t>BLOCO DE VEDACAO CERAMICO 11,5X19X29 CM</t>
  </si>
  <si>
    <t>BLOCO DE VEDACAO CERAMICO 14X19X29 CM</t>
  </si>
  <si>
    <t>BLOCO CERÂMICO ESTRUTURAL 04MPA 11,5X19X29CM NBR 6136</t>
  </si>
  <si>
    <t>ARGAMASSA ESTABILIZADA PARA ASSENTAMENTO</t>
  </si>
  <si>
    <t>Alvenaria de vedacao de blocos ceramicos estrutural de 14x19x29cm (espessura 14cm) com argamassa industrializada de assentamento</t>
  </si>
  <si>
    <t>BLOCO CERÂMICO ESTRUTURAL 04MPA 14X19X29CM NBR 6136</t>
  </si>
  <si>
    <t>Bloco Concreto Celular 7,5x30x60</t>
  </si>
  <si>
    <t>Bloco Concreto Celular 10x30x60</t>
  </si>
  <si>
    <t>Bloco Concreto Celular 12,5x30x60</t>
  </si>
  <si>
    <t>Alvenaria Estrutural Bloco de concreto de 4,0 MPA, com argamassa estabilizada</t>
  </si>
  <si>
    <t>BLOCO CONCRETO ESTRUTURAL 04MPA 14X19X44CM NBR 6136</t>
  </si>
  <si>
    <t>BLOCO CONCRETO ESTRUTURAL 04MPA 14X19X29CM NBR 6136</t>
  </si>
  <si>
    <t>BLOCO CONCRETO ESTRUTURAL 04MPA 14X19X14CM NBR 6136</t>
  </si>
  <si>
    <t>BLOCO CONCRETO ESTRUTURAL 04MPA 14X19X09CM NBR 6136</t>
  </si>
  <si>
    <t>BLOCO CONCRETO ESTRUTURAL 04MPA 14X19X04CM NBR 6136</t>
  </si>
  <si>
    <t>Alvenaria Estrutural Bloco de concreto de 6,0 MPA, com argamassa estabilizada</t>
  </si>
  <si>
    <t>BLOCO CONCRETO ESTRUTURAL 06MPA 14X19X44CM NBR 6136</t>
  </si>
  <si>
    <t>BLOCO CONCRETO ESTRUTURAL 06MPA 14X19X29CM NBR 6136</t>
  </si>
  <si>
    <t>BLOCO CONCRETO ESTRUTURAL 06MPA 14X19X14CM NBR 6136</t>
  </si>
  <si>
    <t>BLOCO CONCRETO ESTRUTURAL 06MPA 14X19X09CM NBR 6136</t>
  </si>
  <si>
    <t>BLOCO CONCRETO ESTRUTURAL 06MPA 14X19X04CM NBR 6136</t>
  </si>
  <si>
    <t>CANALETA CONCRETO ESTRUTURAL "U" 06MPA 14X19X29CM NBR 6136</t>
  </si>
  <si>
    <t>Alvenaria Estrutural Bloco de concreto de 8,0 MPA, com argamassa estabilizada</t>
  </si>
  <si>
    <t>BLOCO CONCRETO ESTRUTURAL 08MPA 19X19X39CM NBR 6136</t>
  </si>
  <si>
    <t>CANALETA CONCRETO ESTRUTURAL "U" 08MPA 19X19X39CM NBR 6136</t>
  </si>
  <si>
    <t>Grout 15 Mpa</t>
  </si>
  <si>
    <t>Grout 20 Mpa</t>
  </si>
  <si>
    <t>Cobogó em cerâmico vazado 20x20cm</t>
  </si>
  <si>
    <t>ELEMENTO VAZADO CERAMICO QUADRADO</t>
  </si>
  <si>
    <t>Cobogó em concreto vazado 20x20cm</t>
  </si>
  <si>
    <t>ELEMENTO VAZADO CONCRETO QUADRADO</t>
  </si>
  <si>
    <t>Tijolo refratário para churrasqueiras 5x11,5x23cm com argamassa</t>
  </si>
  <si>
    <t>TIJOLO REFRATÁRIO 5 X 11,5 X 23 CM</t>
  </si>
  <si>
    <t>ARGAMASSA REFRATÁRIA</t>
  </si>
  <si>
    <t>Tijolo refratário para churrasqueiras 2,5x11,5x23cm com argamassa</t>
  </si>
  <si>
    <t>TIJOLO REFRATÁRIO 2,5 X 11,5 X 23 CM</t>
  </si>
  <si>
    <t>Encunhamento De Alvenaria De Vedação Com Argamassa Expansiva</t>
  </si>
  <si>
    <t>ADITIVO EXPANSOR EM PÓ</t>
  </si>
  <si>
    <t>Encunhamento De Alvenaria De Vedação Com Argamassa para encunhmento</t>
  </si>
  <si>
    <t>Argamassa para encunhamento</t>
  </si>
  <si>
    <t>Tela soldada para ligacao alvenaria/estrutura</t>
  </si>
  <si>
    <t>PINO DE ACO COM FURO, HASTE = 27 MM (ACAO DIRETA)</t>
  </si>
  <si>
    <t>TELA DE ACO SOLDADA GALVANIZADA/ZINCADA PARA ALVENARIA, FIO D = *1,20 A 1,70* MM, MALHA 15 X 15 MM, (C X L) *50 X 17,5* CM</t>
  </si>
  <si>
    <t>CARTUCHO/MUNIÇÃO FINCAPINO 22</t>
  </si>
  <si>
    <t>Verga/contraverga de concreto, moldada in loco</t>
  </si>
  <si>
    <t>ESPACADOR / DISTANCIADOR CIRCULAR COM ENTRADA LATERAL, EM PLASTICO, PARA VERGALHAO *4,2 A 12,5* MM, COBRIMENTO 40 MM</t>
  </si>
  <si>
    <t>Estrutura e fechamento em drywall Parede Drywall montande 48</t>
  </si>
  <si>
    <t/>
  </si>
  <si>
    <t xml:space="preserve">Estrutura e fechamento em drywall Parede Drywall </t>
  </si>
  <si>
    <t>Estrutura e fechamento em drywall Parede Drywall montande 90</t>
  </si>
  <si>
    <t>Reforços Para Paredes em Drywall</t>
  </si>
  <si>
    <t>Fechamento de Shaft em Alvenaria convencional de 9x19x19cm</t>
  </si>
  <si>
    <t>MASSA DE REJUNTE EM PO PARA DRYWALL, A BASE DE GESSO, SECAGEM RAPIDA, PARA TRATAMENTO DE JUNTAS DE CHAPA DE GESSO (NECESSITA ADICAO DE AGUA)</t>
  </si>
  <si>
    <t>Parede Com Sistema Em Chapas De Gesso Para Drywall, Uso Interno, Montante 48mm, Com Duas Face Simples Standart e isolamento com Lâ de Vidro (ST/48/ST)</t>
  </si>
  <si>
    <t>SERVICO - CONFECCAO SHAFT GESSO</t>
  </si>
  <si>
    <t>PLACA / CHAPA DE GESSO ACARTONADO, STANDARD (ST), COR BRANCA, E = 12,5 MM, 1200 X 2400 MM (L X C)</t>
  </si>
  <si>
    <t>PINO DE ACO COM ARRUELA CONICA, DIAMETRO ARRUELA = *23* MM E COMP HASTE = *27* MM (ACAO INDIRETA)</t>
  </si>
  <si>
    <t>PERFIL GUIA, FORMATO U, EM ACO ZINCADO, PARA ESTRUTURA PAREDE DRYWALL, E = 0,5 MM, 48 X 3000 MM (L X C)</t>
  </si>
  <si>
    <t>PERFIL MONTANTE, FORMATO C, EM ACO ZINCADO, PARA ESTRUTURA PAREDE DRYWALL, E = 0,5 MM, 48 X 3000 MM (L X C)</t>
  </si>
  <si>
    <t>FITA DE PAPEL MICROPERFURADO, 50 X 150 MM, PARA TRATAMENTO DE JUNTAS DE CHAPA DE GESSO PARA DRYWALL</t>
  </si>
  <si>
    <t>FITA DE PAPEL REFORCADA COM LAMINA DE METAL PARA REFORCO DE CANTOS DE CHAPA DE GESSO PARA DRYWALL</t>
  </si>
  <si>
    <t>PARAFUSO DRY WALL, EM ACO FOSFATIZADO, CABECA TROMBETA E PONTA AGULHA (TA), COMPRIMENTO 25 MM</t>
  </si>
  <si>
    <t>PARAFUSO DRY WALL, EM ACO ZINCADO, CABECA LENTILHA E PONTA BROCA (LB), LARGURA 4,2 MM, COMPRIMENTO 13 MM</t>
  </si>
  <si>
    <t>LÂ DE VIDRO PARA ISOLAMENTO 50mm</t>
  </si>
  <si>
    <t>Fechamento de Shaft em Chapas De Gesso Para Drywall, Uso Interno, Montante 48mm, Com Duas Face Resistente a Umidade(RU/48/RU)</t>
  </si>
  <si>
    <t>PLACA / CHAPA DE GESSO ACARTONADO, RESISTENTE A UMIDADE (RU), COR VERDE, E = 12,5 MM, 1200 X 2400 MM (L X C)</t>
  </si>
  <si>
    <t>Parede Com Sistema Em Chapas De Gesso Para Drywall, Uso Interno, Montante 90mm, Com Duas Face Simples Standart e isolamento com Lâ de Vidro (ST/90/ST)</t>
  </si>
  <si>
    <t>PERFIL GUIA, FORMATO U, EM ACO ZINCADO, PARA ESTRUTURA PAREDE DRYWALL, E = 0,5 MM, 90 X 3000 MM (L X C)</t>
  </si>
  <si>
    <t>PERFIL MONTANTE, FORMATO C, EM ACO ZINCADO, PARA ESTRUTURA PAREDE DRYWALL, E = 0,5 MM, 90 X 3000 MM (L X C)</t>
  </si>
  <si>
    <t>Parede Com Sistema Em Chapas De Gesso Para Drywall, Uso Interno, Montante 70mm, Com Duas Face Simples Standart e isolamento com Lâ de Vidro (ST/70/ST)</t>
  </si>
  <si>
    <t>PERFIL GUIA, FORMATO U, EM ACO ZINCADO, PARA ESTRUTURA PAREDE DRYWALL, E = 0,5 MM, 70 X 3000 MM (L X C)</t>
  </si>
  <si>
    <t>PERFIL MONTANTE, FORMATO C, EM ACO ZINCADO, PARA ESTRUTURA PAREDE DRYWALL, E = 0,5 MM, 70 X 3000 MM (L X C)</t>
  </si>
  <si>
    <t>Fechamento de Shaft em Chapas De Gesso Para Drywall, Uso Interno, Montante 90mm, Com Duas Face Simples Resistente à Umidade e isolamento com Lâ de Vidro (RU/90/RU)</t>
  </si>
  <si>
    <t>Parede Com Sistema Em Chapas De Gesso Para Drywall, Uso Interno, Montante 70mm, Com Uma Face Simples Resistente à Umidade e isolamento com Lâ de Vidro (RU/70)</t>
  </si>
  <si>
    <t>Enchimento de parede em Chapas De Gesso Para Drywall, Uso Interno, Montante 70mm, Com Uma Face Simples Resistente à Umidade e isolamento com Lâ de Vidro (RU/70)</t>
  </si>
  <si>
    <t>Enchimento de parede em Chapas De Gesso Para Drywall, Uso Interno, Montante 70mm, Com Uma Face SimplesStandart e isolamento com Lâ de Vidro (ST/70/ST)</t>
  </si>
  <si>
    <t>Isolamento de lã de vidro</t>
  </si>
  <si>
    <t>Placa de Zinco Metálico</t>
  </si>
  <si>
    <t>Chapa de Aço Galvanizada 1,55mm (Chapa 16) x 1200mm x 3000mm</t>
  </si>
  <si>
    <t>Mão de obra para assentamento de blocos cerâmicos</t>
  </si>
  <si>
    <t xml:space="preserve">Mão de obra para assentamento de blocos de Refratário </t>
  </si>
  <si>
    <t>Mão de obra para assentamento de blocos de silico calcarios</t>
  </si>
  <si>
    <t>Mão de obra para assentamento de blocos concreto</t>
  </si>
  <si>
    <t>Mão de obra para assentamento de blocos concreto Estrutural</t>
  </si>
  <si>
    <t xml:space="preserve">INSTALAÇÕES PREVENTIVAS E GLP </t>
  </si>
  <si>
    <t>Churrasqueiras kit Gourmet Médio Inox 304</t>
  </si>
  <si>
    <t>Instalação de Churrasqueiras</t>
  </si>
  <si>
    <t>Churrasqueiras Pré-Moldadas</t>
  </si>
  <si>
    <t>IMPERMEABILIZAÇÃO E TRATAMENTOS</t>
  </si>
  <si>
    <t xml:space="preserve">Regularização de superfície para impermeabilização </t>
  </si>
  <si>
    <t>AREIA MEDIA</t>
  </si>
  <si>
    <t>Proteção mecânica de superfície com argamassa de cimento e areia, traço 1:3 E=5cm</t>
  </si>
  <si>
    <t>Argamassa usninada para contrapiso</t>
  </si>
  <si>
    <t>Tela de arame galvanizada, hexagonal, fio 0,56 mm (24 bwg), malha 1/2", h = 1 m</t>
  </si>
  <si>
    <t>Impermeabilização de Baldrames com Tinta Asfáltica (Neutrol)</t>
  </si>
  <si>
    <t>emulsão asfáltica de alta resistência química</t>
  </si>
  <si>
    <t>Impermeabilização de Laje Sob Solo com Tinta Asfáltica (Neutrol) Com Adtivo</t>
  </si>
  <si>
    <t>Aditivo Adesivo Liquido Para Impermeabilização</t>
  </si>
  <si>
    <t>Impermeabilização De Superfície Com Mebrana Impermeável, Uma Camada, Inclusive Aplicação De Primer Asfáltico</t>
  </si>
  <si>
    <t>PRIMER PARA MANTA ASFALTICA A BASE DE ASFALTO MODIFICADO DILUIDO EM SOLVENTE, APLICACAO A FRIO</t>
  </si>
  <si>
    <t>Membrana Impermeável Respirável - 1,30x50m</t>
  </si>
  <si>
    <t>Impermeabilização De Superfície Com Manta Asfáltica, Uma Camada, Inclusive Aplicação De Primer Asfáltico</t>
  </si>
  <si>
    <t>MANTA ASFALTICA ELASTOMERICA EM POLIESTER 4 MM, TIPO III, CLASSE B, ACABAMENTO PP (NBR 9952)</t>
  </si>
  <si>
    <t>Impermeabilização De Superfície Com Manta Asfáltica, Duas Camada, Inclusive Aplicação De Primer Asfáltico</t>
  </si>
  <si>
    <t>MANTA ASFALTICA ELASTOMERICA EM POLIESTER 3 MM, TIPO III, CLASSE B, ACABAMENTO PP (NBR 9952)</t>
  </si>
  <si>
    <t>Impermeabilização com manta aluminio em telhados</t>
  </si>
  <si>
    <t>Manta Asfáltica Drykomanta Polialum 4mm Tipo ll 10m Dryko</t>
  </si>
  <si>
    <t>Impermeabilização De Superfície Com Membrana de Polímero</t>
  </si>
  <si>
    <t>Membrana de polímeros acrílicos com cimento e com fibras</t>
  </si>
  <si>
    <t>Impermeabilização De Superfície Com Argamassa Polimérica / Membrana Acrílica, 3 Demãos</t>
  </si>
  <si>
    <t>Argamassa polimerica impermeabilizante semiflexivel, bicomponente, a base de cimento e aditivos</t>
  </si>
  <si>
    <t>Impermeabilização De Superfície Com Argamassa Polimérica / Membrana Acrílica, 3 Demãos Com Aditivos</t>
  </si>
  <si>
    <t>Impermeabilização com manta liquida poliuretano, 3 demãos sem tela estruturante.</t>
  </si>
  <si>
    <t>Manta Líquida - Igolflex Pu (consumo = 400g/m2)</t>
  </si>
  <si>
    <t>Impermeabilização com manta liquida em peitoris</t>
  </si>
  <si>
    <t>Impermeabilizante manta liquida branca</t>
  </si>
  <si>
    <t>Veu de poliester para impermeabilizacao</t>
  </si>
  <si>
    <t xml:space="preserve">Mão de obra para regularização de superfície </t>
  </si>
  <si>
    <t>Mão de obra para proteção mecânica</t>
  </si>
  <si>
    <t>Mão de obra impermeabilização de superfície com manta líquida</t>
  </si>
  <si>
    <t>Mão de obra impermeabilização de superfície com manta asfáltica</t>
  </si>
  <si>
    <t>Mão de obra impermeabilização de argamassa polimérica</t>
  </si>
  <si>
    <t>Mão de obra impermeabilização com membrana de polimero</t>
  </si>
  <si>
    <t>Mão de obra impermeabilização com emulsão Asfaltica</t>
  </si>
  <si>
    <t>Mão de obra impermeabilização com manta liquida em peitoris</t>
  </si>
  <si>
    <t>Mão de obra tratamento de ralo com manta de poliéster</t>
  </si>
  <si>
    <t>REVESTIMENTOS INTERNOS DE PAREDE</t>
  </si>
  <si>
    <t>Chapisco aplicado em estruturas de concreto, de argamassa ACIII, com desempenadeira dentada</t>
  </si>
  <si>
    <t>Argamassa ACIII</t>
  </si>
  <si>
    <t>Chapisco aplicado em estruturas de concreto, com argamassa pré-fabricada adesiva de cimento colante, aplicação convencional</t>
  </si>
  <si>
    <t>Aditivo Bianco Adesivo Argamassa Chapisco </t>
  </si>
  <si>
    <t>Chapisco aplicados em alvenaria, com argamassa estabilizada, aplicação convencional.</t>
  </si>
  <si>
    <t xml:space="preserve">ARGAMASSA TRAÇO 1:5 (EM VOLUME DE CIMENTO E AREIA GROSSA ÚMIDA) PARA CHAPISCO CONVENCIONAL, PREPARO MANUAL. </t>
  </si>
  <si>
    <t>ARGAMASSA ESTABILIZADA PARA CHAPISCO</t>
  </si>
  <si>
    <t>Argamassa industrializada para Para Chapisco Colante</t>
  </si>
  <si>
    <t>Chapisco convencional com adesivo sintético de alto desempenho aplicados em alvenaria, aplicação convencional.</t>
  </si>
  <si>
    <t>Aplicação manual de gesso sarrafeado em paredes, espessura de 1,5cm, com execução de taliscas</t>
  </si>
  <si>
    <t xml:space="preserve">	GESSO EM PÓ PARA REVESTIMENTOS</t>
  </si>
  <si>
    <t>Chapisco interno de argamassa preparada em obra de cimento e areia - traço 1:4 - aplicação em paredes internas</t>
  </si>
  <si>
    <t xml:space="preserve">ARGAMASSA TRAÇO 1:4 (EM VOLUME DE CIMENTO E AREIA GROSSA ÚMIDA) PARA CHAPISCO CONVENCIONAL, PREPARO MANUAL. </t>
  </si>
  <si>
    <t>Aplicação manual de massa para Drywall em paredes, com execução de taliscas</t>
  </si>
  <si>
    <t>Massa para Drywall 25kg</t>
  </si>
  <si>
    <t>Massa unica para reboco interno em argamassa estabilizada, espessura de 2,5cm, com execução de taliscas</t>
  </si>
  <si>
    <t>Argamassa Usinada para emboço/massa única</t>
  </si>
  <si>
    <t>Massa unica para reboco interno em argamassa estabilizada, espessura de 2,5cm, com execução desempenado fino</t>
  </si>
  <si>
    <t>Estucamento de estrutura de concreto em pilares e vigas</t>
  </si>
  <si>
    <t>LIXA EM FOLHA PARA FERRO, NÚMERO 100</t>
  </si>
  <si>
    <t>CIMENTO BRANCO NÃO ESTRUTURAL</t>
  </si>
  <si>
    <t>ADESIVO DE BASE ACRÍLICA COMPATÍVEL COM CIMENTO</t>
  </si>
  <si>
    <t xml:space="preserve">Regularização de Parede 0,50 cm </t>
  </si>
  <si>
    <t>Aditivo Adesivo Liquido Para Argamassas De Revestimentos Cimenticios</t>
  </si>
  <si>
    <t>Revestimento de cerâmico retificado em Paredes, Placa 60,5 x 60,5cm com Junta de 2mm</t>
  </si>
  <si>
    <t>Cer. Karina Artisan 60305 Act. 60x60 Ret</t>
  </si>
  <si>
    <t>Espeçador junta piso 2mm</t>
  </si>
  <si>
    <t>Rejunte Cimentício</t>
  </si>
  <si>
    <t>Revestimento de parede em porcelanato, placa 30x90cm</t>
  </si>
  <si>
    <t xml:space="preserve">Porcelanato A 30x60 Polido </t>
  </si>
  <si>
    <t>Revestimento de parede em porcelanato, placa 30x60cm</t>
  </si>
  <si>
    <t>Revestimento de parede em porcelanato, Revestimento Realce 32X56 32001 Branco Brilhante</t>
  </si>
  <si>
    <t>Revestimento Realce 32X56 32001 Branco Brilhante</t>
  </si>
  <si>
    <t>Revestimento de parede em Porcelanato Biancogres Ripa Sense 45x90 Acetinado</t>
  </si>
  <si>
    <t>Porcelanato Biancogres Ripa Sense 45x90 Acetinado</t>
  </si>
  <si>
    <t>Revestimento de parede em Porcelanato 75x75cm Cedasa Retificado Evidence Polido</t>
  </si>
  <si>
    <t>Piso 75x75cm Cedasa Retificado Evidence Polido</t>
  </si>
  <si>
    <t>Revestimento de parede em Porcelanato Marmorizado Polido Borda Reta Interno 90x90cm Avorio di Brescia Portobello</t>
  </si>
  <si>
    <t>Porcelanato Marmorizado Polido Borda Reta Interno 90x90cm Avorio di Brescia Portobello</t>
  </si>
  <si>
    <t>Revestimento em Pastilhas Cerâmicas Paredes Interna, 6 x 24cm com Junta de 3mm</t>
  </si>
  <si>
    <t>Revestimento Pastilha 07x24cm</t>
  </si>
  <si>
    <t>Espeçador junta piso 3mm</t>
  </si>
  <si>
    <t>Revestimento em Ladrilhos para Piscina, Branco Mate 15x15 com Juntas</t>
  </si>
  <si>
    <t>PASTILHA DE PORCELANA ATLAS 15x15 GRANEL ISLA M16112</t>
  </si>
  <si>
    <t xml:space="preserve">Revestimento em Pastilhas Cerâmicas Para Piscinas , 14,5 x 14,5cm com Junta de 3mm </t>
  </si>
  <si>
    <t>Revestimento Pastilha 14,5x14,5cm</t>
  </si>
  <si>
    <t>Pingadeira em marmore cinza, esp. 2cm</t>
  </si>
  <si>
    <t>Marmore Cinza</t>
  </si>
  <si>
    <t>Peitoril em Granito, esp. 2cm</t>
  </si>
  <si>
    <t xml:space="preserve">Granito Comercial </t>
  </si>
  <si>
    <t>Peitoril em pedra natural,  esp. 2cm</t>
  </si>
  <si>
    <t>Pedra Natural  para Revestimento</t>
  </si>
  <si>
    <t>Requadro de portas dos Elevadores Granito,Largura de 20cm</t>
  </si>
  <si>
    <t>Nicho em Marmore Carrara Branco</t>
  </si>
  <si>
    <t>un</t>
  </si>
  <si>
    <t>Nicho Em Porcelanato 65x35cm Carrara Cristal Borda Dupla</t>
  </si>
  <si>
    <t>Revestimento de Marmore Preto em batente de elevador</t>
  </si>
  <si>
    <t>Marmore Preto</t>
  </si>
  <si>
    <t>Massa Plastica 400g</t>
  </si>
  <si>
    <t>Revestimento de Pedras Naturais em Paredes</t>
  </si>
  <si>
    <t>Enchimento de EPS em laje</t>
  </si>
  <si>
    <t>Isopor Eps Nivelamento Laje Contra Piso 1000x330x110mm</t>
  </si>
  <si>
    <t>Mão de obra execução de massa única em paredes interna, incluindo chapisco</t>
  </si>
  <si>
    <t>Mão de obra estucamento de paredes</t>
  </si>
  <si>
    <t>Mão de obra para assentamento de Pastilhas em Piscina</t>
  </si>
  <si>
    <t>Mão de obra para assentamento de Pedras Naturais em parede</t>
  </si>
  <si>
    <t>Mão de obra para assentamento de revestimento cerâmico em parede</t>
  </si>
  <si>
    <t>Mão de obra para colocação de peitoril e pingadeira</t>
  </si>
  <si>
    <t>Mão de obra para assentamento de requadros em portas de elevador</t>
  </si>
  <si>
    <t>Mão de obra para enchimento de EPS em piso</t>
  </si>
  <si>
    <t>Mão de obra para assentamento de Pedras Naturais em piso</t>
  </si>
  <si>
    <t>Mão de obra execução de massa para Drywall em paredes</t>
  </si>
  <si>
    <t>Mão de obra execução de massa de gesso em paredes</t>
  </si>
  <si>
    <t>REVESTIMENTOS INTERNOS DE TETO</t>
  </si>
  <si>
    <t xml:space="preserve">Regularização de Teto 0,50 cm </t>
  </si>
  <si>
    <t>Estucamento de teto</t>
  </si>
  <si>
    <t>Cortineiro em gesso</t>
  </si>
  <si>
    <t>Cortineiro Isopor Cortina Sanca 1 Metro 15cm L X 10cm A - Branco, , COLOR Branco</t>
  </si>
  <si>
    <t>Isolmento acustico em teto</t>
  </si>
  <si>
    <t>Forro De Fibra Mineral Armstrong Ceilings Scala Lay-in 1250 X 625 X 16mm</t>
  </si>
  <si>
    <t>Forro de gesso mineral em tetos - Material e Mão de Obra</t>
  </si>
  <si>
    <t>Negativo de forro de gesso mineral</t>
  </si>
  <si>
    <t>Gesso corrido em tetos - Material e Mão de Obra</t>
  </si>
  <si>
    <t>Forro de gesso corrido - Material e Mão de Obra</t>
  </si>
  <si>
    <t>Forro de gesso acartonado - áreas secas - Material e Mão de Obra</t>
  </si>
  <si>
    <t>Negativo de forro de gesso acartonado - área seca</t>
  </si>
  <si>
    <t>Forro de gesso acartonado - áreas úmidas - Material e Mão de Obra</t>
  </si>
  <si>
    <t>Negativo de forro de gesso acartonado - área umida</t>
  </si>
  <si>
    <t>Forro Removível - Material e Mão de Obra</t>
  </si>
  <si>
    <t>Forro de placa cimenticia - Material e Mão de Obra</t>
  </si>
  <si>
    <t>Forro de madeira - Material e Mão de Obra</t>
  </si>
  <si>
    <t>Madeira Amescla para acabamento</t>
  </si>
  <si>
    <t>Mão de obra instalação de forro de madeira</t>
  </si>
  <si>
    <t>Forro de Porcelanato - Material e Mão de Obra</t>
  </si>
  <si>
    <t>Mão de obra instalação de Porcelanato no teto</t>
  </si>
  <si>
    <t>Mão de obra execução de estucamento em teto</t>
  </si>
  <si>
    <t>PISOS E PAVIMENTAÇÕES</t>
  </si>
  <si>
    <t>Enchimento de escada com Concreto Magro, e=10cm</t>
  </si>
  <si>
    <r>
      <rPr>
        <sz val="7"/>
        <color theme="1"/>
        <rFont val="Arial"/>
        <family val="2"/>
      </rPr>
      <t>Contrapiso comum em argamassa estabilizada,</t>
    </r>
    <r>
      <rPr>
        <sz val="7"/>
        <color rgb="FFFF0000"/>
        <rFont val="Arial"/>
        <family val="2"/>
      </rPr>
      <t xml:space="preserve"> auto nivelado</t>
    </r>
    <r>
      <rPr>
        <sz val="7"/>
        <color theme="1"/>
        <rFont val="Arial"/>
        <family val="2"/>
      </rPr>
      <t>, espessura 2cm</t>
    </r>
  </si>
  <si>
    <t>Cimento Autonivelante para Contrapiso </t>
  </si>
  <si>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2,5cm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</si>
  <si>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3cm</t>
    </r>
  </si>
  <si>
    <r>
      <rPr>
        <sz val="7"/>
        <color theme="1"/>
        <rFont val="Arial"/>
        <family val="2"/>
      </rPr>
      <t xml:space="preserve">Contrapiso comum em argamassa estabilizada, </t>
    </r>
    <r>
      <rPr>
        <sz val="7"/>
        <color rgb="FFFF0000"/>
        <rFont val="Arial"/>
        <family val="2"/>
      </rPr>
      <t>auto nivelado</t>
    </r>
    <r>
      <rPr>
        <sz val="7"/>
        <color theme="1"/>
        <rFont val="Arial"/>
        <family val="2"/>
      </rPr>
      <t>, espessura 8cm</t>
    </r>
  </si>
  <si>
    <t>Contrapiso comum em argamassa estabilizada, nao aderido, espessura 2cm</t>
  </si>
  <si>
    <t>Contrapiso comum em argamassa estabilizada, nao aderido, espessura 2,5cm</t>
  </si>
  <si>
    <t>Contrapiso comum em argamassa estabilizada, nao aderido, espessura 3cm</t>
  </si>
  <si>
    <t>Contrapiso comum em argamassa estabilizada, nao aderido, espessura 5cm</t>
  </si>
  <si>
    <t>Contrapiso comum em argamassa estabilizada, nao aderido, espessura 5,5cm</t>
  </si>
  <si>
    <t>Contrapiso comum em argamassa estabilizada, nao aderido, espessura 6cm</t>
  </si>
  <si>
    <t>Contrapiso comum em argamassa estabilizada, nao aderido, espessura 8cm</t>
  </si>
  <si>
    <t>Contrapiso comum em argamassa estabilizada, nao aderido, espessura 10cm</t>
  </si>
  <si>
    <t>Contrapiso comum em argamassa estabilizada, nao aderido, espessura 12cm</t>
  </si>
  <si>
    <t>Contrapiso comum em argamassa estabilizada, nao aderido, espessura 13cm</t>
  </si>
  <si>
    <t>Contrapiso comum em argamassa estabilizada, nao aderido, espessura 15cm</t>
  </si>
  <si>
    <t>Contrapiso comum em argamassa Ensacada virada em obra, espessura 5cm</t>
  </si>
  <si>
    <t>Argamassa ensacada para contrapiso</t>
  </si>
  <si>
    <t>Contrapiso comum em argamassa Ensacada virada em obra, espessura 8cm</t>
  </si>
  <si>
    <t>Contrapiso comum em argamassa Ensacada virada em obra, espessura 10cm</t>
  </si>
  <si>
    <t>Contrapiso comum em argamassa Ensacada virada em obra, espessura 12cm</t>
  </si>
  <si>
    <t>Contrapiso comum em argamassa Ensacada virada em obra, espessura 13cm</t>
  </si>
  <si>
    <t>Contrapiso comum em argamassa Ensacada virada em obra, espessura 15cm</t>
  </si>
  <si>
    <t>Acústica para Contrapiso com malha de aço</t>
  </si>
  <si>
    <t>Manta De Polietileno Expandido (Pebd), E = 2 Mm</t>
  </si>
  <si>
    <t>Acústica para Contrapiso com malha de aço e manta polipropileno</t>
  </si>
  <si>
    <t>Manta De Polipropileno, E = 10 Mm</t>
  </si>
  <si>
    <t>Acústica para Contrapiso anti-impacto</t>
  </si>
  <si>
    <t>Manta Isolamento Acústico Laje Piso Passo 8mm</t>
  </si>
  <si>
    <t>Regularização de Piso 0,50cm - Autonivelado</t>
  </si>
  <si>
    <t xml:space="preserve">Regularização de Piso 0,50 cm </t>
  </si>
  <si>
    <t xml:space="preserve">Regularização de Piso 1,00 cm </t>
  </si>
  <si>
    <t xml:space="preserve">Regularização de Piso 1,50 cm </t>
  </si>
  <si>
    <t xml:space="preserve">Regularização de Piso 2,00 cm </t>
  </si>
  <si>
    <t xml:space="preserve">Regularização de Piso 3,00 cm </t>
  </si>
  <si>
    <t xml:space="preserve">Regularização de Piso 4,00 cm </t>
  </si>
  <si>
    <t xml:space="preserve">Regularização de Piso 5,00 cm </t>
  </si>
  <si>
    <t>Regularização de Piso 3,00 cm - argila expansiva</t>
  </si>
  <si>
    <t>Argila expandida</t>
  </si>
  <si>
    <t>Piso cimentado com argamassa de contrapiso usinada e acabamento vassourado</t>
  </si>
  <si>
    <t xml:space="preserve">Piso de concreto polido, espessura 2cm </t>
  </si>
  <si>
    <t>ENDURECEDOR MINERAL DE BASE CIMENTICIA PARA PISO DE CONCRETO</t>
  </si>
  <si>
    <t xml:space="preserve">Piso de concreto polido, espessura 3cm </t>
  </si>
  <si>
    <t xml:space="preserve">Piso concreto Queimado </t>
  </si>
  <si>
    <t>Piso cimentado acabamento rústico 6cm</t>
  </si>
  <si>
    <t>Piso de concreto, acabamento desempenado, espessura 6 cm</t>
  </si>
  <si>
    <t>SARRAFO 2,5X10 CM PINUS*</t>
  </si>
  <si>
    <t>Lapidação de piso com lixas diamantadas</t>
  </si>
  <si>
    <t>Enchimento de piso - com areia média - Material e Mão de obra</t>
  </si>
  <si>
    <t>Mão de obra de enchimento de piso</t>
  </si>
  <si>
    <t xml:space="preserve">Deck de madeira - material e mão de obra </t>
  </si>
  <si>
    <t>DECKS COMPOSTOS DE MADEIRA ECOLÓGICA PARA EXTERIORES</t>
  </si>
  <si>
    <t>Mão de obra de instalação de deck de madeira</t>
  </si>
  <si>
    <t>Pisos Para Academia Emborrachado</t>
  </si>
  <si>
    <t>Pisos Para Academia e Crossfit Emborrachado - 50 x 50 cm</t>
  </si>
  <si>
    <t>Revestimento de piso carpet - Material e Mão de Obra</t>
  </si>
  <si>
    <t>Gradil metálico - Material e Mão de obra</t>
  </si>
  <si>
    <t>GRADE PISO ACO ASTM A36 LISO ACB. DES. PADRAO GALV A FOGO - 2,2x1,34</t>
  </si>
  <si>
    <t>Gradil metálico para Piso - Material e Mão de obra</t>
  </si>
  <si>
    <t>Gradil metálico</t>
  </si>
  <si>
    <t>Piso elevado</t>
  </si>
  <si>
    <t>Mão de obra execução de piso elevado</t>
  </si>
  <si>
    <t>Filete metálico - divisória entre pisos</t>
  </si>
  <si>
    <t>Filete metálico - divisória entre pisos - aluminio escovado</t>
  </si>
  <si>
    <t>m2</t>
  </si>
  <si>
    <t>Revestimento de piso em grama</t>
  </si>
  <si>
    <t>Terra vegetal</t>
  </si>
  <si>
    <t>Grama esmeralda</t>
  </si>
  <si>
    <t>Revestimento em Porcelanato amadeirado 19x117cm para Piso, rejunte cimentício, aplicação em áreas comuns internas</t>
  </si>
  <si>
    <t>Porcelanato Amadeirado Acetinado 19x117cm</t>
  </si>
  <si>
    <t>Revestimento de Piso de granito siena</t>
  </si>
  <si>
    <t>Granito siena branco</t>
  </si>
  <si>
    <t>Revestimento de Piso de mosaico granitinho branco</t>
  </si>
  <si>
    <t>Piso de mosaico granitinho branco</t>
  </si>
  <si>
    <t>Revestimento de Piso intertravado de mosaico granitinho cinza</t>
  </si>
  <si>
    <t>Piso de mosaico granitinho cinza</t>
  </si>
  <si>
    <t>Porcelanato "A" 60x60 Place Polido 8058873 Eliane</t>
  </si>
  <si>
    <t>Revestimento de Piso Externo de Porcelanato Polido, Placa 60x60cm</t>
  </si>
  <si>
    <t>Revestimento em Cerâmicas Pisos Internos, 60x 60cm com Junta de 3mm</t>
  </si>
  <si>
    <t>Revestimento Cerâmico de Piso Interno 58x58</t>
  </si>
  <si>
    <t>Argamassa ACII</t>
  </si>
  <si>
    <t>Revestimento em Porcelanato Piso Externo, 90x 90cm com Junta de 3mm</t>
  </si>
  <si>
    <t>Porcelanato Minimum cimento eliane A 90x90 ext</t>
  </si>
  <si>
    <t>Rejunte Acrilico</t>
  </si>
  <si>
    <t>Revestimento de Piso Porcelanato Polido, Placa 60x60cm</t>
  </si>
  <si>
    <t xml:space="preserve">Porcelanato A 90x90 Polido </t>
  </si>
  <si>
    <t>Porcelanato Polido Eliane Place "A" 120x120</t>
  </si>
  <si>
    <t>Revestimento de Piso Externo de Porcelanato Polido, Placa 120x120cm</t>
  </si>
  <si>
    <t>Revestimento de Piso Porcelanato Acetinado, Placa 60x60cm</t>
  </si>
  <si>
    <t xml:space="preserve">Porcelanato A 90x90cm acetinado </t>
  </si>
  <si>
    <t>Revestimento de Piso Porcelanato Acetinado, Placa 84x84cm (Porcelanato, rejunte, argamassa e espaçador)</t>
  </si>
  <si>
    <t xml:space="preserve">Porcelanato A 84x84cm acetinado </t>
  </si>
  <si>
    <t>Revestimento de Piso Porcelanato Acetinado, Placa 90x90cm</t>
  </si>
  <si>
    <t>Revestimento de Piso Porcelanato Acetinado, Placa 120x120cm</t>
  </si>
  <si>
    <t>Porcelanato Acetinado 120x120cm</t>
  </si>
  <si>
    <t>Piso Cargo Plus 45x45cm White Eliane</t>
  </si>
  <si>
    <t>Revestimento em Porcelanato Piso Externo, 60x 60cm com Junta de 3mm</t>
  </si>
  <si>
    <t>Porcelanato Arena Cinza Bold Externo 60x60 Eliane</t>
  </si>
  <si>
    <t xml:space="preserve">Revestimento em Pastilhas Cerâmicas Para Piscinas , 20 x 20cm com Junta de 2mm </t>
  </si>
  <si>
    <t>Revestimento Portinari Pacific Bl Lux Bold 20x20</t>
  </si>
  <si>
    <t>Revestimento em Porcelanato Piso Interno,ELIANE 60X60 BOLD ACETINADO BLEND PLUS GREY, com Junta de 3mm</t>
  </si>
  <si>
    <t>Porcelanato ELIANE 60X60 BOLD ACETINADO BLEND PLUS GREY</t>
  </si>
  <si>
    <t>Revestimento em Porcelanato Piso Externo,ELIANE 60X60 BOLD ACETINADO BLEND PLUS GREY, com Junta de 3mm</t>
  </si>
  <si>
    <t>Revestimento de Piso Externo PORCELANATO VILLAGRES 71X71 RETIFICADO ACETINADO MONTREAL FENDI</t>
  </si>
  <si>
    <t>PORCELANATO VILLAGRES 71X71 RETIFICADO ACETINADO MONTREAL FENDI</t>
  </si>
  <si>
    <t>Revestimento de Piso Externo PORCELANATO DELTA 73X73 RETIFICADO ACETINADO JUA CLARO 2280-A</t>
  </si>
  <si>
    <t>PORCELANATO DELTA 73X73 RETIFICADO ACETINADO JUA CLARO 2280-A</t>
  </si>
  <si>
    <t>Revestimento de Piso Porcelanato Interno ELIZABETH EGEU SAND 74x74 A</t>
  </si>
  <si>
    <t>PORCELANATO ELIZABETH EGEU SAND 74x74 A</t>
  </si>
  <si>
    <t>Revestimento de Piso Porcelanato Interno Piso 75x75cm Cedasa Retificado Evidence Polido</t>
  </si>
  <si>
    <t>Revestimento de Piso Porcelanato Interno Retificado Embramaco 76x76cm Acetinado Nevada Mate Plus Retificado</t>
  </si>
  <si>
    <t>Porcelanato Piso Retificado Embramaco 76x76cm Acetinado Nevada Mate Plus Retificado</t>
  </si>
  <si>
    <t>Revestimento de Piso Porcelanato Externo Portobello Deck Parquet D Olivier Externo "A" 81x81cm</t>
  </si>
  <si>
    <t>Porcelanato Portobello Deck Parquet D Olivier Externo "A" 81x81cm</t>
  </si>
  <si>
    <t>Revestimento de Piso Porcelanato Externo Porcelanato Pro Concrete Abs 89,5X89,5cm</t>
  </si>
  <si>
    <t>Porcelanato Pro Concrete Abs 89,5X89,5cm</t>
  </si>
  <si>
    <t>Revestimento em Porcelanato Biancogres 20x120 Scala Beige-a Ret , rejunte cimentício, aplicação em áreas comuns internas</t>
  </si>
  <si>
    <t xml:space="preserve">Porcelanato Biancogres 20x120 Scala Beige-a Ret </t>
  </si>
  <si>
    <t>Revestimento em Porcelanato Tipo Argila | Portobello - 120x20 cm, rejunte cimentício, aplicação em áreas comuns internas</t>
  </si>
  <si>
    <t>Porcelanato Tipo Argila | Portobello - 120x20 cm</t>
  </si>
  <si>
    <t>Porcelanato Cimentício Acetinado Borda Reta Interno 120x120cm Munari Branco Eliane</t>
  </si>
  <si>
    <t xml:space="preserve">Revestimento em Pastilhas Cerâmicas Para Piscinas , 14,5 x 14,5cm com Junta de 2mm </t>
  </si>
  <si>
    <t>Adesivo Acrilico De Base Aquosa / Cola De Contato</t>
  </si>
  <si>
    <t>Piso de borracha Daud botão preto 3 x 500 x 500 mm</t>
  </si>
  <si>
    <t>Instalação de piso emborrachado</t>
  </si>
  <si>
    <t>Revestimento de Granito cinza em Pisos</t>
  </si>
  <si>
    <t>Revestimento de Pedras Naturais em Pisos</t>
  </si>
  <si>
    <t>Revestimento de piso vinilico, nas áreas comuns - Material e Mão de Obra</t>
  </si>
  <si>
    <t>PISO VINILICO RUFFINO SOFISTICATO 2MM - MATERIAL E MÃO DE OBRA</t>
  </si>
  <si>
    <t>Revestimento de piso vinilico, nas áreas privativas - Material e Mão de Obra</t>
  </si>
  <si>
    <t>Revestimento de Pedra natural em batente de elevador</t>
  </si>
  <si>
    <t>Rodapé de MDF h=5cm</t>
  </si>
  <si>
    <t>Cola Branca base PVA</t>
  </si>
  <si>
    <t>Rodapé de Pedra Natural h=5cm</t>
  </si>
  <si>
    <t>Rodapé de Pedra Natural h=15cm</t>
  </si>
  <si>
    <t>Rodapé de Pedra Natural h=30cm</t>
  </si>
  <si>
    <t>Rodapé de Poliestireno h=15cm</t>
  </si>
  <si>
    <t>Rodape Em Poliestireno, H = 15cm</t>
  </si>
  <si>
    <t>Rodapé de Poliestireno h=20cm</t>
  </si>
  <si>
    <t>Rodape Em Poliestireno, H = 20cm</t>
  </si>
  <si>
    <t>Rodapé de Marmore cinza h=15cm</t>
  </si>
  <si>
    <t>Rodapé de poliestireno h=10cm</t>
  </si>
  <si>
    <t>Rodape Em Poliestireno, H = 10cm</t>
  </si>
  <si>
    <t>Rodapé de poliestireno h=7cm</t>
  </si>
  <si>
    <t>Rodape Em Poliestireno, H = 7cm</t>
  </si>
  <si>
    <t>Rodapé de porcelanato h=10cm</t>
  </si>
  <si>
    <t>Rodapé de porcelanato h=15cm</t>
  </si>
  <si>
    <t>Rodapé de porcelanato h=16,5cm</t>
  </si>
  <si>
    <t>Soleira em Porcelanato, largura 7cm - espessura 2cm</t>
  </si>
  <si>
    <t>Piso Petit Pave</t>
  </si>
  <si>
    <t>Petit Pavé Branco Pedra Portuguesa</t>
  </si>
  <si>
    <t>PO DE PEDRA </t>
  </si>
  <si>
    <t>Piso drenante</t>
  </si>
  <si>
    <t>Piso drenante - 45x45x5</t>
  </si>
  <si>
    <t>Piso em concreto intertravado</t>
  </si>
  <si>
    <t>Piso Intertravado Retangular 10x20x08 </t>
  </si>
  <si>
    <t>Mão de obra execução regularização de Piso</t>
  </si>
  <si>
    <t>Mão de obra execução de contrapiso comum e Acústico</t>
  </si>
  <si>
    <t>Mão de obra execução Piso cimentado</t>
  </si>
  <si>
    <t>Mão de obra execução Piso de concreto polido</t>
  </si>
  <si>
    <t>Mão de Obra Piso Porcenato/ Cerâmico</t>
  </si>
  <si>
    <t>Mão de obra execução Piso drenantes</t>
  </si>
  <si>
    <t>Mão de obra execução Piso Intertravado</t>
  </si>
  <si>
    <t>Mão de obra execução Piso de concreto</t>
  </si>
  <si>
    <t>Mão de obra de rodapé Pedra Natural</t>
  </si>
  <si>
    <t>Mão de obra de rodapé Poliestireno</t>
  </si>
  <si>
    <t>Mão de obra de rodapé Porcelanato</t>
  </si>
  <si>
    <t>Mão de obra de colocação de soleira em porcelanato</t>
  </si>
  <si>
    <t>Mão de obra de colocação de soleira em pedra natural</t>
  </si>
  <si>
    <t>Mão de obra de colocação de soleira em granito</t>
  </si>
  <si>
    <t>PINTURA DE RODAPÉ COM TINTA EPÓXI, APLICAÇÃO MANUAL, 2 DEMÃOS, INCLUSÃO PRIMER EPÓXI</t>
  </si>
  <si>
    <t>Diluente Epoxi</t>
  </si>
  <si>
    <t>Fita Crepe Rolo De 25 Mm X 50 M</t>
  </si>
  <si>
    <t>Primer Epoxi / Epoxidico</t>
  </si>
  <si>
    <t>Tinta Epoxi Base Agua Premium</t>
  </si>
  <si>
    <t>Pintura em Resina em Rodapé, Aplicação Manual, 2 Demãos</t>
  </si>
  <si>
    <t>Pintura em Epóxi em Piso, Aplicação Manual, 2 Demãos</t>
  </si>
  <si>
    <t>Pintura em Resina para demarcação de vagas em piso, 1 demão</t>
  </si>
  <si>
    <t>DILUENTE AGUARRAS</t>
  </si>
  <si>
    <t>Pintura em Epóxi para demarcação de vagas em piso, 1 demão</t>
  </si>
  <si>
    <t>Pintura em Esmalte em Piso Amarelo, Aplicação Manual, 2 Demãos</t>
  </si>
  <si>
    <t>Tinta Esmalte Sintético Base Solvente Brilhante Pronta para Uso Amarelo 3,6L Luxens</t>
  </si>
  <si>
    <t>Pintura em Esmalte em Piso, Aplicação Manual, 2 Demãos</t>
  </si>
  <si>
    <t>Tinta Esmalte</t>
  </si>
  <si>
    <t>Pintura em Látex Acrilica para demarcação de vagas em piso, 1 demão</t>
  </si>
  <si>
    <t>TINTA ACRILICA PREMIUM </t>
  </si>
  <si>
    <t>Pintura Com Tinta Latex Acrilica com selador e massa em Paredes Internas, 3 Demaos</t>
  </si>
  <si>
    <t>Massa corrida para superfícies de ambientes internos</t>
  </si>
  <si>
    <t>Selador Primer Ibratin - 4,2kg - 3,6L</t>
  </si>
  <si>
    <t>Textura acrílica aplicação em paredes internas, 1 demão</t>
  </si>
  <si>
    <t>Selador acrilico opaco premium interno/externo</t>
  </si>
  <si>
    <t>MASSA PREMIUM PARA TEXTURA LISA DE BASE ACRILICA</t>
  </si>
  <si>
    <t>Pintura em Látex Acrilica para demarcação de vagas em parede, 2 demão</t>
  </si>
  <si>
    <t>Textura Acrílica aplicação em tetos, 1 demão</t>
  </si>
  <si>
    <t xml:space="preserve">Pintura com tinta látex acrílica com selador em tetos, 3 demãos </t>
  </si>
  <si>
    <t>Pintura Com Tinta Latex Acrilica em Paredes Internas, 3 Demaos (Somente tinta e fundo)</t>
  </si>
  <si>
    <t>Pintura Com Tinta Latex Acrilica em Paredes Internas, 3 Demaos (Somente tinta)</t>
  </si>
  <si>
    <t>Pintura Com Tinta Latex Acrilica em Paredes Internas, 3 Demaos (Incluso fundo e massa)</t>
  </si>
  <si>
    <t>Calçadada/passeio em concreto intertravado</t>
  </si>
  <si>
    <t xml:space="preserve">Calçadada/passeio em Podotátil </t>
  </si>
  <si>
    <t>Piso Podotátil Alerta Amarelo 20x20cm Cimartex</t>
  </si>
  <si>
    <t>Mão de obra para pintura em pisos , 2 demãos</t>
  </si>
  <si>
    <t>Mão de obra para pintura em rodapés, 3 demãos</t>
  </si>
  <si>
    <t>Mão de obra para demarcação de vagas, 2 demãos</t>
  </si>
  <si>
    <t>Mão de obra para demarcação de vagas, 3 demãos</t>
  </si>
  <si>
    <t>Mão de obra para Textura em paredes internas, 1 demãos</t>
  </si>
  <si>
    <t>Mão de obra para pintura em paredes internas, 3 demãos</t>
  </si>
  <si>
    <t>Mão de obra para pintura em teto, 3 demãos</t>
  </si>
  <si>
    <t>Mão de obra para textura em teto, 1 demão</t>
  </si>
  <si>
    <t>Esquadrias de Alumínio - fornecimento e instalação</t>
  </si>
  <si>
    <t>m</t>
  </si>
  <si>
    <t>Serviço de fixação de contramarco de aço</t>
  </si>
  <si>
    <t>CONTRAMARCO DE AÇO</t>
  </si>
  <si>
    <t>Contramarco de Alumínio, Fixação com Argamassa</t>
  </si>
  <si>
    <t>Serviço de fixação de contramarco de aluminio</t>
  </si>
  <si>
    <t xml:space="preserve">CONTRAMARCO DE ALUMINIO </t>
  </si>
  <si>
    <t>Brise de Alumínio - Decoração Fachada</t>
  </si>
  <si>
    <t>PAINEL EM BRISE MARROM</t>
  </si>
  <si>
    <t>Brise de Madeira - Decoração Fachada</t>
  </si>
  <si>
    <t>Guarda Corpo de Vidro e Aluminio - fornecimento e instalação</t>
  </si>
  <si>
    <t>Guarda Corpo de aluminio (gradil) - fornecimento e instalação</t>
  </si>
  <si>
    <t>Pele de vidro</t>
  </si>
  <si>
    <t>Alçapão de aluminio</t>
  </si>
  <si>
    <t>Portão de vidro - 85x280 cm</t>
  </si>
  <si>
    <t>Moldura em alumínio para churrasqueiras - fornecimento e instalação</t>
  </si>
  <si>
    <t>Enchimento - Esquadrias</t>
  </si>
  <si>
    <t>Corrimão de Madeira - fornecimento e instalação</t>
  </si>
  <si>
    <t>Corrimão de inox - fornecimento e instalação</t>
  </si>
  <si>
    <t>Porta de madeira de abrir - 60x215cm (kit completo) - fixação com espuma expansiva</t>
  </si>
  <si>
    <t>Porta de madeira de abrir - 60x215cm (kit completo)</t>
  </si>
  <si>
    <t>Espuma Expansiva de PU 740 gramas</t>
  </si>
  <si>
    <t>Porta de madeira de abrir - 70x210cm (kit completo) - fixação com espuma expansiva</t>
  </si>
  <si>
    <t>Porta de madeira de abrir - 70x210cm (kit completo)</t>
  </si>
  <si>
    <t>Porta de madeira de abrir - 76x210cm (kit completo) - fixação com espuma expansiva</t>
  </si>
  <si>
    <t>Porta de madeira de abrir - 76x210cm (kit completo)</t>
  </si>
  <si>
    <t>Porta de madeira de abrir - 80x215cm (kit completo) - fixação com espuma expansiva</t>
  </si>
  <si>
    <t>Porta de madeira de abrir - 80x215cm (kit completo)</t>
  </si>
  <si>
    <t>Porta de madeira de abrir - 60x210cm (kit completo) - fixação com espuma expansiva</t>
  </si>
  <si>
    <t>Porta de madeira de abrir - 60x210cm (kit completo)</t>
  </si>
  <si>
    <t>Porta de madeira de abrir - 80x210cm (kit completo) - fixação com espuma expansiva</t>
  </si>
  <si>
    <t>Porta de madeira de abrir - 80x210cm (kit completo)</t>
  </si>
  <si>
    <t>Porta de madeira de abrir - 90x210cm (kit completo) - fixação com espuma expansiva</t>
  </si>
  <si>
    <t>Porta de madeira de abrir - 90x210cm (kit completo)</t>
  </si>
  <si>
    <t>Porta de madeira de abrir - 90x215cm (kit completo) - fixação com espuma expansiva</t>
  </si>
  <si>
    <t>Porta de madeira de abrir - 90x215cm (kit completo)</t>
  </si>
  <si>
    <t>Porta de madeira de abrir - 100x210cm (kit completo) - fixação com espuma expansiva</t>
  </si>
  <si>
    <t>Porta de madeira de abrir - 100x210cm (kit completo)</t>
  </si>
  <si>
    <t>Porta de madeira de abrir - 105x215cm (kit completo) - fixação com espuma expansiva</t>
  </si>
  <si>
    <t>Porta de madeira de abrir - 105x215cm (kit completo)</t>
  </si>
  <si>
    <t>Porta de madeira de abrir - 140x210cm (kit completo) - fixação com espuma expansiva</t>
  </si>
  <si>
    <t>Porta de madeira de abrir - 140x210cm (kit completo)</t>
  </si>
  <si>
    <t>Porta de madeira de Correr - 60x210cm (kit completo) - fixação com espuma expansiva</t>
  </si>
  <si>
    <t>Porta de madeira de Correr - 60x210cm (kit completo)</t>
  </si>
  <si>
    <t>Porta de madeira de Correr - 80x210cm (kit completo) - fixação com espuma expansiva</t>
  </si>
  <si>
    <t>Porta de madeira de Correr - 80x210cm (kit completo)</t>
  </si>
  <si>
    <t>Fechadura Eletronica</t>
  </si>
  <si>
    <t>Fechadura Inteligente Eletrônica Facial Digital D22 Cor Preto</t>
  </si>
  <si>
    <t xml:space="preserve">Fechadura comum </t>
  </si>
  <si>
    <t>Fechadura Arouca para Porta do Quarto Preto 55mm</t>
  </si>
  <si>
    <t>Porta corta-fogo, 1 folha, 80x210 cm</t>
  </si>
  <si>
    <t>Portão, 1 folha, 500x235 cm</t>
  </si>
  <si>
    <t>Portão, 1 folha, 350x240 cm</t>
  </si>
  <si>
    <t>Porta venezianada metálica, 1 folha, 60x80 cm</t>
  </si>
  <si>
    <t>Porta metálica, 1 folha, 80x150 cm</t>
  </si>
  <si>
    <t>Porta corta-fogo, 2 folha, 152x126 cm</t>
  </si>
  <si>
    <t>Escada de marinheiro</t>
  </si>
  <si>
    <t>Escada marinheiro com gaiola de proteção, h=6 m</t>
  </si>
  <si>
    <t>Mão de obra para instalação de portas corta-fogo</t>
  </si>
  <si>
    <t>Mão de obra para instalação de portas de madeira</t>
  </si>
  <si>
    <t>FACHADA</t>
  </si>
  <si>
    <t xml:space="preserve">Revestimento em Pastilhas Cerâmicas Para Fachada com Junta de 3mm </t>
  </si>
  <si>
    <t>Revestimento em Porcelanato amadeirado, rejunte cimentício, aplicação em Fachada</t>
  </si>
  <si>
    <t>Junta de movimentação em emboço</t>
  </si>
  <si>
    <t>Espuma Tarugo Corpo de Apoio Tarucel 15mm (delimitador de profundidade)</t>
  </si>
  <si>
    <t>SELANTE ELASTICO MONOCOMPONENTE A BASE DE POLIURETANO (PU) PARA JUNTAS DIVERSAS</t>
  </si>
  <si>
    <t>Massa unica para reboco externo em argamassa estabilizada, espessura de 2,5cm, com execução desempenado fino</t>
  </si>
  <si>
    <t>Chapisco externo de argamassa preparada em obra de cimento e areia - traço 1:4 - aplicação em paredes externas</t>
  </si>
  <si>
    <t>Chapisco externo aplicado em estruturas de concreto, de argamassa ACIII, com desempenadeira dentada</t>
  </si>
  <si>
    <t>Presilha de fixação Painel Wall EspaçoFix</t>
  </si>
  <si>
    <t>Revestimento em Pedra Natural Aplicado em Fachadas</t>
  </si>
  <si>
    <t>Revestimento em Pedra Natural São Tomé</t>
  </si>
  <si>
    <t>Mosaico São Tomé Para Paredes e Fachadas</t>
  </si>
  <si>
    <t>Pintura PVA Acrílica Cinza Externa 3 Demãos</t>
  </si>
  <si>
    <t>Pintura PVA Acrílica Verde Externa 3 Demãos</t>
  </si>
  <si>
    <t>Pintura Com Tinta Latex Acrilica em Paredes Externas, 3 Demaos (Somente tinta)</t>
  </si>
  <si>
    <t>Pintura Com Tinta Latex Acrilica em Paredes Externas, 3 Demaos (Somente tinta e fundo)</t>
  </si>
  <si>
    <t>Pintura Com Tinta Latex Acrilica em Paredes Externas, 3 Demaos (Incluso fundo ) - Cor preto</t>
  </si>
  <si>
    <t>TINTA ACRILICA PREMIUM COR PRETA</t>
  </si>
  <si>
    <t>Pintura Com Tinta Latex Acrilica em Paredes Externas, 3 Demaos (Incluso fundo e massa)</t>
  </si>
  <si>
    <t>Revestimento em Pedra Natural Aplicado em Fachadas Para Espelho da água</t>
  </si>
  <si>
    <t>Black Lava Brick (Hitam)</t>
  </si>
  <si>
    <t>Revestimento em Pedra Natural Aplicado em Fachadas Para fogueira</t>
  </si>
  <si>
    <t>Revestimento em Pedra Molero Aplicado em Fachadas</t>
  </si>
  <si>
    <t>Pedra Natural moledo</t>
  </si>
  <si>
    <t>Revestimento em Porcelanato Portinari Natura OFW - 100 x 100 cm , rejunte cimentício, aplicação em Fachada</t>
  </si>
  <si>
    <t>Porcelanato Natural Portinari Neutral OFW "A" 100x100cm</t>
  </si>
  <si>
    <t>Revestimento em Porcelanato amadeirado, rejunte acrilico, aplicação em Fachada</t>
  </si>
  <si>
    <t>Porcelanato Canela Dourada Retificado Natural 20x120</t>
  </si>
  <si>
    <t>Revestimento em Porcelanato Portobello - 30 x 30 cm , rejunte acrilico, aplicação em Fachada</t>
  </si>
  <si>
    <t xml:space="preserve">Porcelanato A 30x30 </t>
  </si>
  <si>
    <t>Revestimento em Porcelanato bege, rejunte acrilico, aplicação em Fachada</t>
  </si>
  <si>
    <t>Revestimento em Vinilico, aplicação em Fachada - Material e  Mão de Obra</t>
  </si>
  <si>
    <t>Revestimento em cerâmica, rejunte acrilico, aplicação em Fachada</t>
  </si>
  <si>
    <t>Piso Firenze Texas Gray Área Externa Classe A 60 x 60 Cm</t>
  </si>
  <si>
    <t>Painel metálico, aplicação em Fachada - Material e  Mão de Obra</t>
  </si>
  <si>
    <t>Painel metálico perfurado, aplicação em Fachada</t>
  </si>
  <si>
    <t>Revestimento em Cerâmico Tijolinho, aplicação em Fachada</t>
  </si>
  <si>
    <t>REVESTIMENTO CERÂMICO DE TIJOLINHO</t>
  </si>
  <si>
    <t>Revestimento Tresuno Concreto Ripado Cinza</t>
  </si>
  <si>
    <t>Revestimento Ripado de Concreto</t>
  </si>
  <si>
    <t>Chapisco externo aplicados em alvenaria, com argamassa estabilizada, aplicação convencional.</t>
  </si>
  <si>
    <t>Substrutura de alumínio para fachada ventilada</t>
  </si>
  <si>
    <t>Sistema e Instalação de Fachada Ventilada. Mecanização das peças, arremate das esquadrias e Fretes</t>
  </si>
  <si>
    <t>Acabamento em Porcelanato 1,20x60 para fachada ventilada</t>
  </si>
  <si>
    <t>PAINEL PORCELANATO MATERIA CALCARIO AC 60X120 CM, com
aplicação de Tela de Fibra de Vidro.</t>
  </si>
  <si>
    <t>TECNOLOGIA CLEANTEC EV</t>
  </si>
  <si>
    <t>Chapisco externo de argamassa pré-fabricada adesiva de cimento colante - aplicação rolada em paredes externas</t>
  </si>
  <si>
    <t>Massa unica para reboco externo em Argamassa preparada em central / usinada, espessura de 35mm</t>
  </si>
  <si>
    <t>Textura Emborrachada, acabamento suave, aplicação em paredes externas - 1 demão - Cinza escuro</t>
  </si>
  <si>
    <t>Textura acrilica Cinza escura - Sto Brasil</t>
  </si>
  <si>
    <t>Textura acrílica, acabamento granulado, aplicação em paredes externas - 1 demão - Cimento Queimado</t>
  </si>
  <si>
    <t>Cimento Queimado 4,2kg Elegance - Cor: Tubarão</t>
  </si>
  <si>
    <t>Textura acrílica, acabamento granulado, aplicação em paredes externas - 1 demão - Effeti Branco</t>
  </si>
  <si>
    <t>Textura Ibratin: Effetti Branco</t>
  </si>
  <si>
    <t>Textura acrílica, acabamento granulado, aplicação em paredes externas - 1 demão - Essen Máximo</t>
  </si>
  <si>
    <t>Textura Efeito Estrelado - Cor: Palha - 4,2kg</t>
  </si>
  <si>
    <t>Textura acrílica, acabamento granulado, aplicação em paredes externas - 1 demão - Cinza Geada</t>
  </si>
  <si>
    <t>Textura acrilica branca - Coral</t>
  </si>
  <si>
    <t>Rende Muito Cinza Geada - Tinta Coral</t>
  </si>
  <si>
    <t>Textura acrílica, acabamento granulado, aplicação em paredes externas - 1 demão - Imensidão Cinza</t>
  </si>
  <si>
    <t>Coralit Ultra Resistência Alto Brilho Imensidão Cinza</t>
  </si>
  <si>
    <t>Textura acrílica, acabamento granulado, aplicação em paredes externas - 1 demão - Preto Fosco</t>
  </si>
  <si>
    <t>Coralit Ultra Resistência Fosco Preto - Coral</t>
  </si>
  <si>
    <t>Textura acrílica, acabamento rolado e desempenado  aplicação em paredes externas - 1 demão</t>
  </si>
  <si>
    <t>Acabamento em ACM para Fachadas - Material e mão de obra</t>
  </si>
  <si>
    <t>Revestimento em ACM, cor bronze, aplicação em Fachada - Material e  Mão de Obra</t>
  </si>
  <si>
    <t>Tela soldada para ligacao Emboço Fachadas</t>
  </si>
  <si>
    <t>Fundo selador latex acrilico em paredes externas - 1 demao</t>
  </si>
  <si>
    <t>Pintura projetada, aplicação em paredes externas - 2 demão - Elefante</t>
  </si>
  <si>
    <t>TINTA ACRILICA PREMIUM COR ELEFANTE</t>
  </si>
  <si>
    <t>Pintura projetada, aplicação em paredes externas - 2 demão - Branco neve</t>
  </si>
  <si>
    <t>TINTA ACRILICA PREMIUM COR BRANCO NEVE</t>
  </si>
  <si>
    <t>Pintura projetada, aplicação em paredes externas - 2 demão - Patativa</t>
  </si>
  <si>
    <t>TINTA ACRILICA PREMIUM COR PATATIVA</t>
  </si>
  <si>
    <t>Pintura projetada, aplicação em paredes externas - 2 demão - Cinza Asfalto</t>
  </si>
  <si>
    <t>TINTA ACRILICA PREMIUM COR CINZA ASFALTO</t>
  </si>
  <si>
    <t>Mao de obra para reboco externo - inclui chapisco</t>
  </si>
  <si>
    <t>Mão de obra para aplicação de Pintura em paredes externas - 3 demãos</t>
  </si>
  <si>
    <t>Mão de obra para aplicação de textura em paredes externas - 1 demão</t>
  </si>
  <si>
    <t>Mão de obra para aplicação de Pastilhas em paredes externas</t>
  </si>
  <si>
    <t>Mão de obra para aplicação de Porcelanato em paredes externas</t>
  </si>
  <si>
    <t>Mão de obra para aplicação de Pedra Natural em paredes externas</t>
  </si>
  <si>
    <t>Mão de obra para execução de fachada ventilada</t>
  </si>
  <si>
    <t>LOUÇAS, BANCADAS E METAIS</t>
  </si>
  <si>
    <t>Banheiro - Bacia Sanitária / Caixa Acoplada</t>
  </si>
  <si>
    <t>Bacia com caixa acoplada / Detalhe: Linha Living, branco, saída lado direito, Deca</t>
  </si>
  <si>
    <t>Bucha S-8</t>
  </si>
  <si>
    <t>Parafuso p/ Fixação de Vaso Sanitário</t>
  </si>
  <si>
    <t>Fita Veda Rosca</t>
  </si>
  <si>
    <t>Anel de Borracha p/ Tubo 100 mm</t>
  </si>
  <si>
    <t>Cola Extra Forte AC6000-400G</t>
  </si>
  <si>
    <t>Engate Flexível Trançado 1/2"</t>
  </si>
  <si>
    <t>Banheiro - Mictório / Caixa Acoplada</t>
  </si>
  <si>
    <t>Mictório com Válvula de Acionamento</t>
  </si>
  <si>
    <t>Banheiro - Bacia Sanitária PNE</t>
  </si>
  <si>
    <t>Bucha Nylon C8</t>
  </si>
  <si>
    <t>Silicone acético 250gr</t>
  </si>
  <si>
    <t>Banheiro - Cuba</t>
  </si>
  <si>
    <t>Cuba de Apoio Redonda 32cmx13cm Luxo Docol Branco</t>
  </si>
  <si>
    <t>Valvula Metálica 1"</t>
  </si>
  <si>
    <t>Parafuso p/ Fixação de Tanque e Lavatório</t>
  </si>
  <si>
    <t>Sifão flexível com copo para Lavatório</t>
  </si>
  <si>
    <t>Estabilizador p/ Lavatórios</t>
  </si>
  <si>
    <t>Banheiro - Cuba de Sobrepor - PNE</t>
  </si>
  <si>
    <t>Lavatório suspenso \ Detalhe: Cuba viggo 54cm branca</t>
  </si>
  <si>
    <t>Cuba Pia Cozinha - Lazer</t>
  </si>
  <si>
    <t>Cuba / Detalhe: Cuba retangular aço escovado</t>
  </si>
  <si>
    <t>Grade aramada para cuba</t>
  </si>
  <si>
    <t>Misturador monocomando \ Detalhe: aço escovado</t>
  </si>
  <si>
    <t>Dispenser detergente cromado</t>
  </si>
  <si>
    <t>Sifão Cromado</t>
  </si>
  <si>
    <t>Valvula de Escoamento cromada</t>
  </si>
  <si>
    <t>Bucha S-10</t>
  </si>
  <si>
    <t>Parafuso Galvanizado</t>
  </si>
  <si>
    <t>Cozinha - Cuba / Inox</t>
  </si>
  <si>
    <t>Cuba Docol Invicta 46x42 01696504 Inox Polido</t>
  </si>
  <si>
    <t>Lavatorio para banheiros suspenso</t>
  </si>
  <si>
    <t>Lavatório Suspenso Eco 40x30cm Branco Celite</t>
  </si>
  <si>
    <t>Válvula Pia Tanque Lavanderia Escoamento 1.1/4'' Metal Cromado</t>
  </si>
  <si>
    <t>Tanque Inox</t>
  </si>
  <si>
    <t>Tanque Monobloco Polido Docol 32L 55x45x23 cm</t>
  </si>
  <si>
    <t>Tanque Louça Suspenso</t>
  </si>
  <si>
    <t>Tanque De Louça Hervy Com 18 Litros Branco</t>
  </si>
  <si>
    <t>Sifão Universal Flexível Multiuso</t>
  </si>
  <si>
    <t>Torneira Lavatório mesa</t>
  </si>
  <si>
    <t>Torneira para Lavatório\ Detalhe: Cromado Vercci</t>
  </si>
  <si>
    <t>Torneira tanque</t>
  </si>
  <si>
    <t>Torneira de bancada para tanque \ Detalhe: mesa inox</t>
  </si>
  <si>
    <t>Torneira de Jardins</t>
  </si>
  <si>
    <t>Torneira de jardim inox</t>
  </si>
  <si>
    <t>Torneira misturador pia cozinha</t>
  </si>
  <si>
    <t>Torneira para pia inox</t>
  </si>
  <si>
    <t>Ducha higienica</t>
  </si>
  <si>
    <t>Ducha higiênica\ Detalhe: Cromado Vercci</t>
  </si>
  <si>
    <t>Acabamento de Registro Comum</t>
  </si>
  <si>
    <t>Acabamento de Registro\ Detalhe: Cromado Vercci</t>
  </si>
  <si>
    <t>Acabamento de Registro Pressão</t>
  </si>
  <si>
    <t>Acabamento de Registro pressão \ Detalhe: Cromado Vercci</t>
  </si>
  <si>
    <t>Exaustor mecânico</t>
  </si>
  <si>
    <t>Exaustor Td Silent 350 Ultra Silencioso</t>
  </si>
  <si>
    <t>Barra de apoio PNE</t>
  </si>
  <si>
    <t>Barra de Apoio - Deficiente</t>
  </si>
  <si>
    <t>Chuveiro Elétrico</t>
  </si>
  <si>
    <t>Ducha / Detalhe: Aqua Ultra - Lorenzetti</t>
  </si>
  <si>
    <t>Chuveiro Monocromado</t>
  </si>
  <si>
    <t>Chuveiro Teto DocolHeaven Q150 Cromado Docol</t>
  </si>
  <si>
    <t>Ducha</t>
  </si>
  <si>
    <t>Ducha \ Detalhe: Parede Cromado Vercci</t>
  </si>
  <si>
    <t>Acessórios de Banheiro/Lavabo</t>
  </si>
  <si>
    <t>Porta papel higienico \ Detalhe: Cromado Vercci</t>
  </si>
  <si>
    <t>Gancho\ Detalhe: Cromado Vercci</t>
  </si>
  <si>
    <t>Toalheiro rosto \ Detalhe: Cromado Vercci</t>
  </si>
  <si>
    <t>Bancada em Granito para Lavatório</t>
  </si>
  <si>
    <t>Tampo de Granito, para Lavatório com saia e rodamão</t>
  </si>
  <si>
    <t>Bancada em Granito para Pia Cozinha</t>
  </si>
  <si>
    <t>Tampo de Granito, para pia com saia e rodamão</t>
  </si>
  <si>
    <t>Bancada em Granito para Tanques</t>
  </si>
  <si>
    <t>Tampo de Granito, para tanque com saia e rodamão</t>
  </si>
  <si>
    <t>Pergolado</t>
  </si>
  <si>
    <t>Policarbonato Compacto</t>
  </si>
  <si>
    <t xml:space="preserve">Viga de Sustentação para pergolado em madeira </t>
  </si>
  <si>
    <t xml:space="preserve">Pilar de Sustentação para pergolado em madeira </t>
  </si>
  <si>
    <t>Estrutura Metálica para Portico com abamento em ACM- Material e mão de obra</t>
  </si>
  <si>
    <t>Estrutura Metálica para Portico</t>
  </si>
  <si>
    <t xml:space="preserve">Claraboia em vidro laminado </t>
  </si>
  <si>
    <t>Estrutura para cobertura em concreto</t>
  </si>
  <si>
    <t>Estrutura e trama para cobertura em madeira</t>
  </si>
  <si>
    <t>Telhamento para cobertura em Fribrocimento</t>
  </si>
  <si>
    <t>CONJUNTO ARRUELAS DE VEDACAO 5/16" PARA TELHA FIBROCIMENTO (UMA ARRUELA METALICA E UMA ARRUELA PVC - CONICAS)</t>
  </si>
  <si>
    <t>PARAFUSO ZINCADO ROSCA SOBERBA, CABECA SEXTAVADA, 5/16" X 250 MM, PARA FIXACAO DE TELHA EM MADEIRA</t>
  </si>
  <si>
    <t>TELHA DE FIBROCIMENTO ONDULADA E = 6 MM, DE 2,44 X 1,10 M (SEM AMIANTO)</t>
  </si>
  <si>
    <t>Telhamento para cobertura em Telha metálica termoacústica</t>
  </si>
  <si>
    <t>Isotelha Trapezoidal Térmica Sanduiche branco neve</t>
  </si>
  <si>
    <t>Calha em alumínio - 13 cm</t>
  </si>
  <si>
    <t>Calha Beiral Alumínio Com 2 Tampas Corte 13</t>
  </si>
  <si>
    <t>REBITE DE REPUXO EM ALUMINIO VAZADO, DIAMETRO 3,2 X 8 MM DE COMPRIMENTO (1KG = 1025 UNIDADES)</t>
  </si>
  <si>
    <t>SOLDA EM BARRA DE ESTANHO-CHUMBO 50/50</t>
  </si>
  <si>
    <t>Calha em alumínio - 16 cm</t>
  </si>
  <si>
    <t>Calha Beiral Alumínio Com 2 Tampas Corte 16</t>
  </si>
  <si>
    <t>Calha em alumínio - 23,5 cm</t>
  </si>
  <si>
    <t>Calha Beiral Alumínio Com 2 Tampas Corte 25</t>
  </si>
  <si>
    <t>Calha em alumínio - 30x30</t>
  </si>
  <si>
    <t>Calha Beiral Alumínio Com 2 Tampas Corte 30</t>
  </si>
  <si>
    <t>Calha em alumínio - 94x94</t>
  </si>
  <si>
    <t>Rufo em alumínio</t>
  </si>
  <si>
    <t>RUFO INTERNO/EXTERNO DE CHAPA DE ACO GALVANIZADA NUM 24, CORTE 25 CM</t>
  </si>
  <si>
    <t>Pergolado com 2 pilares sustentação</t>
  </si>
  <si>
    <t>Estrutura horizontal</t>
  </si>
  <si>
    <t xml:space="preserve"> Pilar de Sustentação</t>
  </si>
  <si>
    <t>Pergolado com 4 pilares sustentação</t>
  </si>
  <si>
    <t>Pergolado sem pilares sustentação</t>
  </si>
  <si>
    <t>Mão de obra coberturas</t>
  </si>
  <si>
    <t>PAVIMENTAÇÃO EXTERNA</t>
  </si>
  <si>
    <t>Execução Rede Elétrica  (Produtividade 300m/dia)</t>
  </si>
  <si>
    <t>Retro case 580 traçada 2009</t>
  </si>
  <si>
    <t>Escavadeira 8T link belt 80SA BANYNN</t>
  </si>
  <si>
    <t>Operador de máquina 2</t>
  </si>
  <si>
    <t>Operador de máquina 3</t>
  </si>
  <si>
    <t>Mestre 1</t>
  </si>
  <si>
    <t>Oficial 1</t>
  </si>
  <si>
    <t>Meio Oficial 1</t>
  </si>
  <si>
    <t>Execução Rede de Drenagem  (Produtividade 200m/dia)</t>
  </si>
  <si>
    <t>Execução Rede água  (Produtividade 300m/dia)</t>
  </si>
  <si>
    <t>Execução Rede Esgoto  (Produtividade 150m/dia)</t>
  </si>
  <si>
    <t>Sarjeta extrusada</t>
  </si>
  <si>
    <t>Pavimentação em Pedras Naturais na calçada</t>
  </si>
  <si>
    <t>Mão de obra para execução de pedra natural em piso áreas externas</t>
  </si>
  <si>
    <t>Execução de sarjeta extrusada</t>
  </si>
  <si>
    <t>Maquina meio fio Imb 2020</t>
  </si>
  <si>
    <t>Retro New holland lb 90 simples 2010</t>
  </si>
  <si>
    <t>Oficial 2</t>
  </si>
  <si>
    <t>Ajudante 1</t>
  </si>
  <si>
    <t>Base bica corrida e=20cm</t>
  </si>
  <si>
    <t>Bica corrida</t>
  </si>
  <si>
    <t>Mão de obra para execução de base</t>
  </si>
  <si>
    <t>Patrola New holland 170g 2011</t>
  </si>
  <si>
    <t>Caminhao pipa ford f.14.000  1997</t>
  </si>
  <si>
    <t>Rolo Sany 2009</t>
  </si>
  <si>
    <t>Operador de máquina 4</t>
  </si>
  <si>
    <t>Operador de máquina 5</t>
  </si>
  <si>
    <t>Mestre 2</t>
  </si>
  <si>
    <t>Pavimentação em Intertravado 10x20x06cm, Para vias, Calçadas e entrada das casas</t>
  </si>
  <si>
    <t>PISO INTERTRAVADO CONCRETO SEXTAVADO 35MPA 30X30X06CM NATURAL</t>
  </si>
  <si>
    <t>PO PEDRA A GRANEL (M3) - GRANULOMETRIA 1,2 A 4,75MM NBR 7211</t>
  </si>
  <si>
    <t>AREIA FINA</t>
  </si>
  <si>
    <t>Mão de Obra Instalação Pavimentação em Intertravado</t>
  </si>
  <si>
    <t>SERVICO PAVIMENTACAO INTERNA C/INTERTRAVADO - EXECUCAO COMPLETA</t>
  </si>
  <si>
    <t>Pinturas das faixas de Pedestres</t>
  </si>
  <si>
    <t>TINTA ACRILICA A BASE DE SOLVENTE, PARA SINALIZACAO HORIZONTAL VIARIA (NBR 11862)</t>
  </si>
  <si>
    <t>MICROESFERAS DE VIDRO PARA SINALIZACAO HORIZONTAL VIARIA, TIPO II-A (DROP-ON) - NBR  16184</t>
  </si>
  <si>
    <t>MICROESFERAS DE VIDRO PARA SINALIZACAO HORIZONTAL VIARIA, TIPO I-B (PREMIX) - NBR  16184</t>
  </si>
  <si>
    <t xml:space="preserve">Pinturas das vias com tinta acrilica </t>
  </si>
  <si>
    <t>Mão de Obra Pinturas das faixas de Pedestres</t>
  </si>
  <si>
    <t>Mão de Obra Pinturas das vias</t>
  </si>
  <si>
    <t>Custo Unitário</t>
  </si>
  <si>
    <t>Grupo insumo</t>
  </si>
  <si>
    <t>Sub Grupo</t>
  </si>
  <si>
    <t>Grupo Sienge</t>
  </si>
  <si>
    <t>Aço</t>
  </si>
  <si>
    <t>Arame</t>
  </si>
  <si>
    <t>Armação aço Média para estaca (Corte e Dobra em Obra)</t>
  </si>
  <si>
    <t>Barra de Aço CA50 / CA60</t>
  </si>
  <si>
    <t>Armação aço Média para estaca (Corte e Dobra em Indústria)</t>
  </si>
  <si>
    <t>Diversos</t>
  </si>
  <si>
    <t>Tela de Aço CA60</t>
  </si>
  <si>
    <t>Tela de Aço Carbono</t>
  </si>
  <si>
    <t>Alvenaria</t>
  </si>
  <si>
    <t>Alvenaria Refratária</t>
  </si>
  <si>
    <t>Pintura</t>
  </si>
  <si>
    <t>Alvenaria Estrutural</t>
  </si>
  <si>
    <t>Elementos de Vedação (Cerâmica)</t>
  </si>
  <si>
    <t>BLOCO CONCRETO ESTRUTURAL 04MPA 11,5X19X29CM NBR 6136</t>
  </si>
  <si>
    <t>Alvenaria vedação</t>
  </si>
  <si>
    <t>BLOCO CERÂMICO - 9X19X39cm</t>
  </si>
  <si>
    <t>Argamassa</t>
  </si>
  <si>
    <t>Sical</t>
  </si>
  <si>
    <t>Argamassa de Assentamento de Revestimentos</t>
  </si>
  <si>
    <t>Argamassa de Assentamento Bloco</t>
  </si>
  <si>
    <t>kg</t>
  </si>
  <si>
    <t>Argamassa Diversas</t>
  </si>
  <si>
    <t>ARGAMASSA ENSACADA PARA CONTRAPISO</t>
  </si>
  <si>
    <t>ARGAMASSA COLANTE AC II</t>
  </si>
  <si>
    <t>Argamassa Usinada</t>
  </si>
  <si>
    <t>Artefatos de concreto</t>
  </si>
  <si>
    <t>Concretos</t>
  </si>
  <si>
    <t>M²</t>
  </si>
  <si>
    <t>Bancadas</t>
  </si>
  <si>
    <t>Louças e Acessórios</t>
  </si>
  <si>
    <t>Cobertura</t>
  </si>
  <si>
    <t>Calha</t>
  </si>
  <si>
    <t>Calhas e Acessórios</t>
  </si>
  <si>
    <t>Rufo Externo Corte 20cm Aluminio </t>
  </si>
  <si>
    <t>Rufo</t>
  </si>
  <si>
    <t>Telha</t>
  </si>
  <si>
    <t>Concreto Usinado bombeável 20MPa para Estacas</t>
  </si>
  <si>
    <t>Protendido</t>
  </si>
  <si>
    <t>PAR</t>
  </si>
  <si>
    <t>Drywall/Shaft/Forro</t>
  </si>
  <si>
    <t>EPC/EPI</t>
  </si>
  <si>
    <t>Material Segurança</t>
  </si>
  <si>
    <t>Equipamentos</t>
  </si>
  <si>
    <t>Equipamentos Aluguel</t>
  </si>
  <si>
    <t>vb</t>
  </si>
  <si>
    <t>UN/MÊS</t>
  </si>
  <si>
    <t xml:space="preserve">Esquadrias </t>
  </si>
  <si>
    <t>Alumínio</t>
  </si>
  <si>
    <t>Esquadrias de Alumínio</t>
  </si>
  <si>
    <t>Esquadrias de Ferro</t>
  </si>
  <si>
    <t>Corrimão inox</t>
  </si>
  <si>
    <t>Madeira</t>
  </si>
  <si>
    <t>Esquadrias de Madeira</t>
  </si>
  <si>
    <t>Vidro</t>
  </si>
  <si>
    <t>Vidros</t>
  </si>
  <si>
    <t>Metálicas</t>
  </si>
  <si>
    <t>Fechaduras e acessórios</t>
  </si>
  <si>
    <t>Impremeabilização</t>
  </si>
  <si>
    <t>Impermeabilização</t>
  </si>
  <si>
    <t>Tela Poliéster De Reforço Para Impermeabilização - 50m X 1m</t>
  </si>
  <si>
    <t>L</t>
  </si>
  <si>
    <t xml:space="preserve">Instalações Hidrossanitárias </t>
  </si>
  <si>
    <t>Tubos e Conexões Hidro-Sanitárias</t>
  </si>
  <si>
    <t>Instalações PCI</t>
  </si>
  <si>
    <t>Louças e metais</t>
  </si>
  <si>
    <t>Acessórios</t>
  </si>
  <si>
    <t>Metais</t>
  </si>
  <si>
    <t>Equipamento</t>
  </si>
  <si>
    <t xml:space="preserve">Bacia com caixa acoplada </t>
  </si>
  <si>
    <t>Bacia com caixa acoplada PNE</t>
  </si>
  <si>
    <t>Bacia Com Caixa Acoplada Lift Branco - Docol</t>
  </si>
  <si>
    <t>metais</t>
  </si>
  <si>
    <t>Madeira para Formas (Estrutura)</t>
  </si>
  <si>
    <t>Acabamento</t>
  </si>
  <si>
    <t>Madeira para Telhado</t>
  </si>
  <si>
    <t>Telhados</t>
  </si>
  <si>
    <t>RIPA NAO APARELHADA, *1,5 X 5* CM, EM MACARANDUBA/MASSARANDUBA, ANGELIM OU EQUIVALENTE DA REGIAO - BRUTA</t>
  </si>
  <si>
    <t>VIGA NAO APARELHADA *6 X 12* CM, EM MACARANDUBA/MASSARANDUBA, ANGELIM OU EQUIVALENTE DA REGIAO - BRUTA</t>
  </si>
  <si>
    <t xml:space="preserve">Mão de obra </t>
  </si>
  <si>
    <t>Mão de Obra Própria</t>
  </si>
  <si>
    <t>Mão de obra própria</t>
  </si>
  <si>
    <t>Materiais complementares</t>
  </si>
  <si>
    <t>Aditivos, Colas e Similares</t>
  </si>
  <si>
    <t>PU Fix Branco Cartucho 387 Gramas/280 ML</t>
  </si>
  <si>
    <t>Agregados</t>
  </si>
  <si>
    <t>Areia</t>
  </si>
  <si>
    <t>Brita/ Pó de Pedra/ Pedra</t>
  </si>
  <si>
    <t>Cimento</t>
  </si>
  <si>
    <t>Gesso</t>
  </si>
  <si>
    <t>Revestimentos</t>
  </si>
  <si>
    <t>Medeira Acabamento</t>
  </si>
  <si>
    <t>Jardinagem</t>
  </si>
  <si>
    <t>Pedras acabamento</t>
  </si>
  <si>
    <t>Prego/Parafuso</t>
  </si>
  <si>
    <t>CJ</t>
  </si>
  <si>
    <t>PREGO DE ACO POLIDO COM CABECA 15 X 15 (1 1/4 X 13)</t>
  </si>
  <si>
    <t>PREGO DE ACO POLIDO COM CABECA 19 X 36 (3 1/4 X 9)</t>
  </si>
  <si>
    <t>PREGO DE ACO POLIDO COM CABECA 22 X 48 (4 1/4 X 5)</t>
  </si>
  <si>
    <t>Pre-Moldado</t>
  </si>
  <si>
    <t>Pré-Moldados</t>
  </si>
  <si>
    <t>Rejunte</t>
  </si>
  <si>
    <t>Porcelanato fachada</t>
  </si>
  <si>
    <t>PLACA VINILICA SEMIFLEXIVEL PARA PISOS</t>
  </si>
  <si>
    <t>PEDRA LISA HITMAN 10X10 PALIMANAM</t>
  </si>
  <si>
    <t>Revestimento Mate Portobello Georgian Red Tel "A" 7x26 (30x39)</t>
  </si>
  <si>
    <t>Revestimento Pastilha Barlavento Caribbean 14,5x14,5 cm, bold externo portobello</t>
  </si>
  <si>
    <t xml:space="preserve">Porcelanato A 60x60cm acetinado </t>
  </si>
  <si>
    <t>Piso modular polipropileno (PP) antiderrapante, UV, encaixe macho-fêmea, com tratamento anti-impacto</t>
  </si>
  <si>
    <t>Revestimento Pedra Hijau Lisa 20x20 cm</t>
  </si>
  <si>
    <t>Acessórios (cantos, terminais)</t>
  </si>
  <si>
    <t>Rodapé</t>
  </si>
  <si>
    <t>Rodapé de PVC branco 10 cm</t>
  </si>
  <si>
    <t>Rodape Em Porcelanato, H = 10cm</t>
  </si>
  <si>
    <t>Rodape Em Porcelanato, H = 15cm</t>
  </si>
  <si>
    <t>Rodape Em Porcelanato, H = 16,5cm</t>
  </si>
  <si>
    <t>Serviço Terceiros</t>
  </si>
  <si>
    <t>Mão de obra de Terceiros</t>
  </si>
  <si>
    <t>Instalação de piso vinilico</t>
  </si>
  <si>
    <t>Mão de obra aplicação de gesso liso em teto</t>
  </si>
  <si>
    <t>Textura Acrílica Texturatto Premium Efeito Granulado</t>
  </si>
  <si>
    <t>SELANTE ACRILICO PARA TRATAMENTO / ACABAMENTO SUPERFICIAL DE CONCRETO ESTAMPADO, APARENTE, PEDRAS E OUTROS</t>
  </si>
  <si>
    <t>Decora Efeitos Especiais Coral 2,1L - 2,1 L</t>
  </si>
  <si>
    <t>Textura Cimento Queimado 5KG Suvinil</t>
  </si>
  <si>
    <t>TINTA ACRILICA PREMIUM COR PORCELANA</t>
  </si>
  <si>
    <t>TINTA ACRILICA PREMIUM COR SALMÃO</t>
  </si>
  <si>
    <t>TINTA ACRILICA PREMIUM COR MADEIRA ESFUMAÇADA</t>
  </si>
  <si>
    <t>TINTA ACRILICA PREMIUM COR BABOSA</t>
  </si>
  <si>
    <t>TINTA ACRILICA PREMIUM COR AREIA</t>
  </si>
  <si>
    <t>TINTA ACRILICA PREMIUM COR CAFÉ EXPRESSO</t>
  </si>
  <si>
    <t>TINTA ACRILICA PREMIUM COR ALGODÃO EGIPCIO</t>
  </si>
  <si>
    <t>Suvinil Texturatto Efeito Suave Textura 21kg</t>
  </si>
  <si>
    <t>ENDEREÇO DA OBRA:</t>
  </si>
  <si>
    <t>CNPJ:</t>
  </si>
  <si>
    <t>QUADRO DE ÁREAS</t>
  </si>
  <si>
    <t>Unidade</t>
  </si>
  <si>
    <t>Imagens</t>
  </si>
  <si>
    <t>PROJETO:</t>
  </si>
  <si>
    <t>REVISÃO:</t>
  </si>
  <si>
    <t>DATA</t>
  </si>
  <si>
    <t>EMPRESA:</t>
  </si>
  <si>
    <t>Unidade Construtiva</t>
  </si>
  <si>
    <t>Célula Construtiva</t>
  </si>
  <si>
    <t>Subetapa</t>
  </si>
  <si>
    <t>Atalho</t>
  </si>
  <si>
    <t>NIVEL</t>
  </si>
  <si>
    <t>Item</t>
  </si>
  <si>
    <t xml:space="preserve">Quant. </t>
  </si>
  <si>
    <t>Preço un</t>
  </si>
  <si>
    <t>Total</t>
  </si>
  <si>
    <t>Considerações</t>
  </si>
  <si>
    <t>Situação</t>
  </si>
  <si>
    <t>CÉLULA CONSTRUTIVA</t>
  </si>
  <si>
    <t>SUBETAPA</t>
  </si>
  <si>
    <t>SERVIÇO</t>
  </si>
  <si>
    <t>Sondagem do terreno</t>
  </si>
  <si>
    <t>Projeto arquitetônico legal</t>
  </si>
  <si>
    <t>Projeto estrutural</t>
  </si>
  <si>
    <t>m²</t>
  </si>
  <si>
    <t>mês</t>
  </si>
  <si>
    <t>Ligações Provisórias</t>
  </si>
  <si>
    <t>OBRA</t>
  </si>
  <si>
    <t>R00</t>
  </si>
  <si>
    <t>m3</t>
  </si>
  <si>
    <t>Mão de Obra</t>
  </si>
  <si>
    <t>Considerado blocos, vigas de fundação, duto, cisterna, lajes e pilares de arranque</t>
  </si>
  <si>
    <t>m³</t>
  </si>
  <si>
    <t>Serviços complementares para alvenaria de vedação</t>
  </si>
  <si>
    <t>Encunhamento de alvenaria de vedação com argamassa expansiva</t>
  </si>
  <si>
    <t>Mão de obra - Sistemas e instalações elétricas</t>
  </si>
  <si>
    <t>Mão de obra para instalações elétricas</t>
  </si>
  <si>
    <t xml:space="preserve">Mão de obra - instalações hidrossanitárias e drenagem </t>
  </si>
  <si>
    <t>Mão de obra Instalação Hidráulica</t>
  </si>
  <si>
    <t>INSTALAÇÕES PREVENTIVAS</t>
  </si>
  <si>
    <t>Mão de obra PPCI</t>
  </si>
  <si>
    <t>Mão de obra para instalações gás</t>
  </si>
  <si>
    <t>Infraestrutura para instalação de ar condicionado</t>
  </si>
  <si>
    <t>Equipamento de ar condicionado</t>
  </si>
  <si>
    <t>Custo estimado, devido ausência de quantitativo</t>
  </si>
  <si>
    <t>Mão de obra - Revestimentos</t>
  </si>
  <si>
    <t>TETO</t>
  </si>
  <si>
    <t>Fechadura eletronica</t>
  </si>
  <si>
    <t xml:space="preserve">Louças </t>
  </si>
  <si>
    <t>Acabamentos e acessórios</t>
  </si>
  <si>
    <t xml:space="preserve">Tampo de Granito </t>
  </si>
  <si>
    <t>Instalação de louças e metais sanitários</t>
  </si>
  <si>
    <t>Limpeza final</t>
  </si>
  <si>
    <t xml:space="preserve">Mobiliário e decoração </t>
  </si>
  <si>
    <t xml:space="preserve">Paisagismo </t>
  </si>
  <si>
    <t>Serviços Finais</t>
  </si>
  <si>
    <t>Desmobilização</t>
  </si>
  <si>
    <t>Ligações definitivas</t>
  </si>
  <si>
    <t>Obra</t>
  </si>
  <si>
    <t>Unid.</t>
  </si>
  <si>
    <t>Custo unitário</t>
  </si>
  <si>
    <t>Custo Total</t>
  </si>
  <si>
    <t>Origem</t>
  </si>
  <si>
    <t>Aplicação</t>
  </si>
  <si>
    <t>Descrição do Material</t>
  </si>
  <si>
    <t>Un.</t>
  </si>
  <si>
    <t>LEVANTAMENTO MOBILIÁRIOS E EQUIPAMENTOS DE LAZER</t>
  </si>
  <si>
    <t>TOTAL PAVIMENTOS:</t>
  </si>
  <si>
    <t>ÁREA TOTAL:</t>
  </si>
  <si>
    <t>CUSTO/ M2</t>
  </si>
  <si>
    <t>Pavimento</t>
  </si>
  <si>
    <t>Ambiente</t>
  </si>
  <si>
    <t>Quantidade (un)</t>
  </si>
  <si>
    <t>Preço Unitário</t>
  </si>
  <si>
    <t>Preço Total</t>
  </si>
  <si>
    <t xml:space="preserve">Observações </t>
  </si>
  <si>
    <t xml:space="preserve">Área: </t>
  </si>
  <si>
    <t>Iluminação</t>
  </si>
  <si>
    <t>Marcenaria</t>
  </si>
  <si>
    <t>TÉRREO 01</t>
  </si>
  <si>
    <t>TÉRREO 02</t>
  </si>
  <si>
    <t>LAZER 01</t>
  </si>
  <si>
    <t>LAZER 02</t>
  </si>
  <si>
    <t>SERVIÇOS TÉCNICOS</t>
  </si>
  <si>
    <t>Climatização</t>
  </si>
  <si>
    <t>Finalizado</t>
  </si>
  <si>
    <t>Fabricação de Fôrma para Supraestrutura, em Chapa de Madeira Compensada Resinada, E=20mm</t>
  </si>
  <si>
    <t>Montagem e Desmontagem de Fôrma de Supraestrutura</t>
  </si>
  <si>
    <t>CHAPA/PAINEL DE MADEIRA COMPENSADA PLASTIFICADA, DE 2200 X 1100 MM, E = 20 MM</t>
  </si>
  <si>
    <t>Quantidades resumo de projetos</t>
  </si>
  <si>
    <t>Armação Aço CA-50, Diâmetro de 32,0mm para Supraestrutura, Corte e Dobra em Obra</t>
  </si>
  <si>
    <t>Armação aço CA-50 ø 5,0mm para infraestrutura (corte e dobra em obra)</t>
  </si>
  <si>
    <t>Limpeza Terreno Pernamente</t>
  </si>
  <si>
    <t>Serviço de Limpeza permanete de Terreno</t>
  </si>
  <si>
    <t>Alevanaria de vedação com blocos Concreto e concreto celular</t>
  </si>
  <si>
    <t>Alvenaria de vedacao de blocos ceramicos de 9x19x19cm com argamassa industrializada de assentamento</t>
  </si>
  <si>
    <t>Alvenaria de vedacao de blocos ceramicos de 14x19x19cm com argamassa industrializada de assentamento</t>
  </si>
  <si>
    <t>Alvenaria de vedacao de blocos ceramicos de 11,5x19x19cm com argamassa industrializada de assentamento</t>
  </si>
  <si>
    <t>Alvenaria de vedacao de blocos ceramicos de 14x19x29cm com argamassa industrializada de assentamento</t>
  </si>
  <si>
    <t>Alvenaria de vedacao de blocos ceramicos de 11.5x19x29cm com argamassa industrializada de assentamento</t>
  </si>
  <si>
    <t>Alvenaria de vedacao de blocos ceramicos de 9x19x29cm com argamassa industrializada de assentamento</t>
  </si>
  <si>
    <t>BLOCO DE VEDACAO CERAMICO 19X19X29 CM</t>
  </si>
  <si>
    <t>Alvenaria de vedação de blocos de concreto de 11,5x19x39cm, com argamassa estabilizada</t>
  </si>
  <si>
    <t>Alvenaria de vedação de blocos de concreto de 19x19x39cm, com argamassa estabilizada</t>
  </si>
  <si>
    <t>BLOCO DE VEDACAO CONCRETO 11,5X19X39 CM</t>
  </si>
  <si>
    <t>BLOCO DE VEDACAO CONCRETO 19X19X39 CM</t>
  </si>
  <si>
    <t>Alvenaria em Bloco De Concreto Celular 60x30x12,5cm Sical com argamassa industrializada de assentamento</t>
  </si>
  <si>
    <t>Alvenaria em Bloco De Concreto Celular 60x30x10cm Sical com argamassa industrializada de assentamento</t>
  </si>
  <si>
    <t>Alvenaria em Bloco De Concreto Celular 60x30x15cm Sical com argamassa industrializada de assentamento</t>
  </si>
  <si>
    <t>Alvenaria em Bloco De Concreto Celular 60x30x7,5cm Sical com argamassa industrializada de assentamento</t>
  </si>
  <si>
    <t>Bloco Concreto Celular 15x30x60</t>
  </si>
  <si>
    <t>Drywall</t>
  </si>
  <si>
    <t>30_DRY 48 mm - SEM PLACAS - 4,80cm  -</t>
  </si>
  <si>
    <t>35_DRY 90 mm LV, OSSO  -</t>
  </si>
  <si>
    <t>34_DRY 48 mm LV - SEM PLACAS - 4,80cm  -</t>
  </si>
  <si>
    <t>30_DRY 48 mm - 1 PLACA - 6,05cm  -  Lado A: PLACA PERFORMANCE RU - Lado B: N/A</t>
  </si>
  <si>
    <t>30_DRY 48 mm - 1 PLACA - 6,05cm  -  Lado A: PLACA RU - Lado B: N/A</t>
  </si>
  <si>
    <t>30_DRY 48 mm - 1 PLACA - 6,05cm  -  Lado A: PLACA ST - Lado B: N/A</t>
  </si>
  <si>
    <t>31_DRY 70 mm - 1 PLACA - 8,25cm  -</t>
  </si>
  <si>
    <t>31_DRY 70 mm - 1 PLACA - 8,25cm  -  Lado A: PLACA PERFORMANCE RU - Lado B: N/A</t>
  </si>
  <si>
    <t>31_DRY 70 mm - 1 PLACA - 8,25cm  -  Lado A: PLACA PERFORMANCE ST - Lado B: N/A</t>
  </si>
  <si>
    <t>31_DRY 70 mm - 1 PLACA - 8,25cm  -  Lado A: PLACA ST - Lado B: N/A</t>
  </si>
  <si>
    <t>35_DRY 70 mm LV - 1 PLACA - 8,25cm  -  Lado A: PLACA RU - Lado B: N/A</t>
  </si>
  <si>
    <t>35_DRY 70 mm LV - 1 PLACA - 8,25cm  -  Lado A: PLACA ST - Lado B: N/A</t>
  </si>
  <si>
    <t>36_DRY 90 mm LV - 2 PLACAS - 11,50cm  -  Lado A: PLACA PERFORMANCE RU - Lado B: PLACA PERFORMANCE RU</t>
  </si>
  <si>
    <t>36_DRY 90 mm LV - 2 PLACAS - 11,50cm  -  Lado A: PLACA PERFORMANCE RU - Lado B: PLACA RU</t>
  </si>
  <si>
    <t>36_DRY 90 mm LV - 2 PLACAS - 11,50cm  -  Lado A: PLACA PERFORMANCE RU - Lado B: PLACA ST</t>
  </si>
  <si>
    <t>36_DRY 90 mm LV - 2 PLACAS - 11,50cm  -  Lado A: PLACA RU - Lado B: PLACA RU</t>
  </si>
  <si>
    <t>36_DRY 90 mm LV - 2 PLACAS - 11,50cm  -  Lado A: PLACA RU - Lado B: PLACA ST</t>
  </si>
  <si>
    <t>36_DRY 90 mm LV - 2 PLACAS - 11,50cm  -  Lado A: PLACA ST - Lado B: PLACA ST</t>
  </si>
  <si>
    <t>37_DRY 140 mm LV - 2 PLACAS - 16,50cm  -  Lado A: PLACA PERFORMANCE RU - Lado B: PLACA PERFORMANCE RU</t>
  </si>
  <si>
    <t>37_DRY 140 mm LV - 2 PLACAS - 16,50cm  -  Lado A: PLACA PERFORMANCE RU - Lado B: PLACA RU</t>
  </si>
  <si>
    <t>38_DRY 0 mm - 1 PLACA - 1,25cm  -  Lado A: PLACA PERFORMANCE RU - Lado B: N/A</t>
  </si>
  <si>
    <t>38_DRY 0 mm - 1 PLACA - 1,25cm  -  Lado A: PLACA ST - Lado B: N/A</t>
  </si>
  <si>
    <t>30_DRY 48/ST - 6.05 cm  -</t>
  </si>
  <si>
    <t>30_DRY 48 mm - 1 PLACA - 6,05cm  -  Lado A: PLACA PERFORMANCE ST - Lado B: N/A</t>
  </si>
  <si>
    <t>35_DRY 70 mm LV - 1 PLACA - 8,25cm  -  Lado A: PLACA PERFORMANCE ST - Lado B: N/A</t>
  </si>
  <si>
    <t>36_DRY 90 mm LV - 1 PLACA - 10,25cm  -  Lado A: PLACA ST - Lado B: N/A</t>
  </si>
  <si>
    <t>36_DRY 90 mm LV - 2 PLACAS - 11,50cm  -  Lado A: PLACA PERFORMANCE RU - Lado B: PLACA CT</t>
  </si>
  <si>
    <t>36_DRY 90 mm LV - 2 PLACAS - 11,50cm  -  Lado A: PLACA RU - Lado B: PLACA CT</t>
  </si>
  <si>
    <t>36_DRY 90 mm LV - 2 PLACAS - 11,50cm  -  Lado A: PLACA ST - Lado B: PLACA RU</t>
  </si>
  <si>
    <t>37_DRY 140 mm LV - 2 PLACAS - 16,50cm  -  Lado A: PLACA PERFORMANCE RU - Lado B: PLACA CT</t>
  </si>
  <si>
    <t>38_DRY 0 mm - 1 PLACA - 1,25cm  -  Lado A: PLACA PERFORMANCE ST - Lado B: N/A</t>
  </si>
  <si>
    <t>38_DRY 0 mm - 1 PLACA - 1,25cm  -  Lado A: PLACA RU - Lado B: N/A</t>
  </si>
  <si>
    <t>30_DRY 48 mm - 1 PLACA - 6,05cm  -</t>
  </si>
  <si>
    <t>31_DRY 70 mm - 1 PLACA - 8,25cm  -  Lado A: PLACA RU - Lado B: N/A</t>
  </si>
  <si>
    <t>34_DRY 48 mm LV - 1 PLACA - 6,05cm  -  Lado A: PLACA PERFORMANCE RU - Lado B: N/A</t>
  </si>
  <si>
    <t>35_DRY 70 mm LV - 1 PLACA - 8,25cm  -  Lado A: PLACA PERFORMANCE RU - Lado B: N/A</t>
  </si>
  <si>
    <t>36_DRY 90 mm LV - 4 PLACAS - 14,00cm  -  Lado A: PLACA PERFORMANCE RU + ST - Lado B: PLACA ST + ST</t>
  </si>
  <si>
    <t>38_DRY 0 mm - 1 PLACA - 1,25cm  -</t>
  </si>
  <si>
    <t>34_DRY 48 mm LV - 1 PLACA - 6,05cm  -  Lado A: PLACA RU - Lado B: N/A</t>
  </si>
  <si>
    <t>36_DRY 90 mm LV - 1 PLACA - 10,25cm  -  Lado A: PLACA RU - Lado B: N/A</t>
  </si>
  <si>
    <t>36_DRY 90 mm LV - 1 PLACA - 10,25cm  -  Lado A: PLACA GLASROC X - Lado B: N/A</t>
  </si>
  <si>
    <t>36_DRY 90 mm LV - 4 PLACAS - 14,00cm  -  Lado A: PLACA ST + ST - Lado B: PLACA ST + ST</t>
  </si>
  <si>
    <t>37_DRY 140 mm LV - 2 PLACAS - 16,50cm  -  Lado A: PLACA GLASROC X - Lado B: PLACA GLASROC X</t>
  </si>
  <si>
    <t>37_DRY 140 mm LV - 3 PLACAS - 18,25cm  -  Lado A: PLACA GLASROC X - Lado B: PLACA RF + RF</t>
  </si>
  <si>
    <t>37_DRY 140 mm LV - 3 PLACAS - 18,25cm  -  Lado A: PLACA GLASROC X - Lado B: PLACA RF + RFU</t>
  </si>
  <si>
    <t>32_DRY 90 mm - 2 PLACAS - 11,50cm  -  Lado A: LÃ P/ CHURRASQUEIRA (CONFIRM. ESP) - Lado B: PLACA RF</t>
  </si>
  <si>
    <t>40_DRY 70R/PEU - 8.25 cm  -</t>
  </si>
  <si>
    <t>43_DRY PEU/48 - 6.05 cm  -</t>
  </si>
  <si>
    <t>CERAMICO</t>
  </si>
  <si>
    <t>CONCRETO</t>
  </si>
  <si>
    <t>SICAL</t>
  </si>
  <si>
    <t>CERAMICO ESTRUTURAL</t>
  </si>
  <si>
    <t>CONCRETO ESTRUTURAL</t>
  </si>
  <si>
    <t>COBOGO</t>
  </si>
  <si>
    <t>RERATARIO</t>
  </si>
  <si>
    <t>COMPLEMENTACOES</t>
  </si>
  <si>
    <t>DRYWALL</t>
  </si>
  <si>
    <t>GROUT</t>
  </si>
  <si>
    <t>MAO DE OBRA</t>
  </si>
  <si>
    <t>PLACA CIMENTÍCIA(CT) PARA STEEL FRAME BRASILIT-ETERNIT 8MM X 1,20M X 2,40M</t>
  </si>
  <si>
    <t>CHAPA DE GESSO PARA DRYWALL PLACO - KNAUF (RF) VERMELHA 12,5MM X 1,20M X 1,80M</t>
  </si>
  <si>
    <t>Placa de Gesso Glasroc X 12,5 X 1200 X 2400mm</t>
  </si>
  <si>
    <t>Manta Fibra Cerâmica Alta Temperatura Tapcamp 2000 X 610 X 25 Mm</t>
  </si>
  <si>
    <t>CHAPISCO</t>
  </si>
  <si>
    <t>EMBOCO/MASSA ÚNICA</t>
  </si>
  <si>
    <t>GESSO</t>
  </si>
  <si>
    <t>ESTUCAMENTO/REGULARIZAÇÃO</t>
  </si>
  <si>
    <t>CERAMICO PAREDE</t>
  </si>
  <si>
    <t>PORCELANATO PAREDE</t>
  </si>
  <si>
    <t>PASTILHAS LADRILHO PAREDE</t>
  </si>
  <si>
    <t>PEDRAS/GRANITOS/MARMORES PAREDE</t>
  </si>
  <si>
    <t>PEITORIL REQUADRO NICHO PAREDE</t>
  </si>
  <si>
    <t>MÃO DE OBRA REVESTIMENTOS</t>
  </si>
  <si>
    <t>MÃO DE OBRA ACABAMENTOS</t>
  </si>
  <si>
    <t>MÃO DE OBRA ACABAMENTOS PAREDE</t>
  </si>
  <si>
    <t>MÃO DE OBRA GESSO PAREDE</t>
  </si>
  <si>
    <t xml:space="preserve">Chapisco externo de argamassa estabilizada, aplicados em alvenaria, aplicação convencional em paredes Internas </t>
  </si>
  <si>
    <t xml:space="preserve">Chapisco externo de argamassa estabilizada projetada, em alvenaria, paredes Internas </t>
  </si>
  <si>
    <t>Argamassa industrializada para Para Reboco</t>
  </si>
  <si>
    <t xml:space="preserve">Chapisco externo de argamassa estabilizada projetada, em alvenaria, Estrutura Internas </t>
  </si>
  <si>
    <t>Massa unica para reboco interno em argamassa estabilizada projetada, espessura 2,0cm, desempenado fino</t>
  </si>
  <si>
    <t>Revestimento em Paredes,  Porcelanato Superquadra Cru 60X120 Nat Ret</t>
  </si>
  <si>
    <t>Revestimento em Paredes,  Porcelanato Ártico Alpe 60X120Cm Ret. Ac. Eliane</t>
  </si>
  <si>
    <t>Revestimento em Paredes,  Porcelanato Onyx Unique Ret. Acetinado 120X120Cm - Portobello</t>
  </si>
  <si>
    <t>Revestimento em Paredes,  Porcelanato Onyx Unique Ret. Polido 120X120Cm - Portobello</t>
  </si>
  <si>
    <t>Revestimento em Paredes,  Porcelanato Travertino Navona Bianco 120X120Cm Ret. Natural Portobello</t>
  </si>
  <si>
    <t>Revestimento em Paredes,  Porcelanato Pp Pro Nude Gp 60X60Cm Retificado</t>
  </si>
  <si>
    <t>Revestimento em Paredes,  Pastilha 20X20 Cm</t>
  </si>
  <si>
    <t>Revestimento em Paredes,  Pastilha Bege 5X5Cm (Sobra Depósito)</t>
  </si>
  <si>
    <t>Revestimento em Paredes,  Porcelanato Superquadra 60X120 - Portobelo</t>
  </si>
  <si>
    <t>Revestimento em Paredes,  Pastilha Bege 2,5X2,5Cm</t>
  </si>
  <si>
    <t>Revestimento Pastilha 2,5x2,5cm</t>
  </si>
  <si>
    <t>Revestimento Pastilha 20x20cm</t>
  </si>
  <si>
    <t>Revestimento Pastilha 5x5cm</t>
  </si>
  <si>
    <t>Porcelanato Superquadra Cru 60X120 Nat Ret</t>
  </si>
  <si>
    <t>Porcelanato Superquadra 60X120 - Portobelo</t>
  </si>
  <si>
    <t>Porcelanato Ártico Alpe 60X120Cm Ret. Ac. Eliane</t>
  </si>
  <si>
    <t>Porcelanato Onyx Unique Ret. Acetinado 120X120Cm - Portobello</t>
  </si>
  <si>
    <t>Porcelanato Onyx Unique Ret. Polido 120X120Cm - Portobello</t>
  </si>
  <si>
    <t>Porcelanato Travertino Navona Bianco 120X120Cm Ret. Natural Portobello</t>
  </si>
  <si>
    <t>Porcelanato Pp Pro Nude Gp 60X60Cm Retificado</t>
  </si>
  <si>
    <t>MADEIRA PAREDE</t>
  </si>
  <si>
    <t xml:space="preserve">Revestimento em Paredes, Marcenaria, incluindo chapa de 18mm, acessorios para instalação - Material e Mão de Obra </t>
  </si>
  <si>
    <t xml:space="preserve">Revestimento em Marcenaria, incluindo chapa de 18mm, acessorios para instalação - Material e Mão de Obra </t>
  </si>
  <si>
    <t>Revestimento de Granito em Paredes</t>
  </si>
  <si>
    <t>Peitoril em Granito, Branco Ceara, esp. 2cm</t>
  </si>
  <si>
    <t>Granito branco Ceará</t>
  </si>
  <si>
    <t>ESTUCAMENTO/REBOCO TETO</t>
  </si>
  <si>
    <t>FORRO DE GESSO</t>
  </si>
  <si>
    <t>FORRO DE DIVERSOS</t>
  </si>
  <si>
    <t>MÃO DE OBRA</t>
  </si>
  <si>
    <t>Massa unica para reboco interno em Tetos com argamassa estabilizada, espessura de 2,5cm, com execução desempenado fino</t>
  </si>
  <si>
    <t>Mão de obra execução de Reboco em teto</t>
  </si>
  <si>
    <t>Forro De Fibra Mineral Armstrong Ceilings Scala Square 625 X 625 X 16mm</t>
  </si>
  <si>
    <t>Perfil metálico “T” principal 38x24 mm</t>
  </si>
  <si>
    <t>Cantoneira perimetral galvanizada</t>
  </si>
  <si>
    <t>Arame galvanizado nº 12 e presilhas</t>
  </si>
  <si>
    <t>Buchas e parafusos</t>
  </si>
  <si>
    <t>SERVICO - CONFECCAO FORRO MODULAR</t>
  </si>
  <si>
    <t>Revestimento em Tetos ,  Pastilha Bege 2,5X2,5Cm</t>
  </si>
  <si>
    <t>Revestimento em Tetos ,  Vinilico - Material e Mão de obra</t>
  </si>
  <si>
    <t>Forro modular com Placa de fibra mineral - Material e Mão de obra</t>
  </si>
  <si>
    <t>FORRO DRYWALL 48 mm - PLACA ST - Material e Mão de obra</t>
  </si>
  <si>
    <t>Revestimento em Tetos ,  ACM - Material e Mão de obra</t>
  </si>
  <si>
    <t>Acabamento em ACM em tetos - Material e mão de obra</t>
  </si>
  <si>
    <t xml:space="preserve">Revestimento em Tetos, Marcenaria, incluindo chapa de 18mm, acessorios para instalação - Material e Mão de Obra </t>
  </si>
  <si>
    <t>Revestimento cerâmico em tetos</t>
  </si>
  <si>
    <t>ENCHIMENTOS</t>
  </si>
  <si>
    <t>CONTRAPISO AUTONIVELANTE</t>
  </si>
  <si>
    <t>CONTRAPISO COMUM ARGAMASSA USINADA</t>
  </si>
  <si>
    <t>CONTRAPISO COMUM ARGAMASSA ENSACADA</t>
  </si>
  <si>
    <t>ACUSTICCA</t>
  </si>
  <si>
    <t>REGULARIZAÇÃO</t>
  </si>
  <si>
    <t>CIMENTADOS</t>
  </si>
  <si>
    <t>PISOS ESPECIAIS</t>
  </si>
  <si>
    <t>SOLEIRAS E FILETES</t>
  </si>
  <si>
    <t>PISOS PRÉ FABRICADOS</t>
  </si>
  <si>
    <t>MÃO DE OBRA ARGAMASSADOS</t>
  </si>
  <si>
    <t>MÃO DE OBRA PRÉ FABRICADOS</t>
  </si>
  <si>
    <t>MÃO DE OBRA RODAPÉ</t>
  </si>
  <si>
    <t>MÃO DE OBRA SOLEIRA</t>
  </si>
  <si>
    <t>RODAPÉS</t>
  </si>
  <si>
    <t>ACABAMENTOS CERÂMICOS</t>
  </si>
  <si>
    <t>ACABAMENTOS PORCELANATO</t>
  </si>
  <si>
    <t>PEDRAS E GRANITOS</t>
  </si>
  <si>
    <t>PASTILHAS CERÂMICAS</t>
  </si>
  <si>
    <t>Contrapiso comum em argamassa estabilizada, nao aderido, espessura 3,5cm</t>
  </si>
  <si>
    <t>Contrapiso comum em argamassa estabilizada, nao aderido, espessura 4cm</t>
  </si>
  <si>
    <t>Revestimento em Piso,  Pastilha Bege 2,5X2,5Cm</t>
  </si>
  <si>
    <t>Revestimento em Piso,  Pastilha 20X20 Cm</t>
  </si>
  <si>
    <t>Revestimento em Piso,  Porcelanato Onyx Unique Ret. Acetinado 120X120Cm - Portobello</t>
  </si>
  <si>
    <t>Revestimento em Piso,  Porcelanato Onyx Unique Ret. Polido 120X120Cm - Portobello</t>
  </si>
  <si>
    <t>Revestimento em Piso,  Porcelanato Travertino Navona Bianco 120X120Cm Ret. Natural Portobello</t>
  </si>
  <si>
    <t>Revestimento em Piso ,  Porcelanato Pp Pro Nude Gp 60X60Cm Retificado</t>
  </si>
  <si>
    <t xml:space="preserve">Porcelanato Mont Blanc Acetinado 90X90 Eliane    </t>
  </si>
  <si>
    <t xml:space="preserve">Porcelanato Mont Blanc Polido 90X90 Eliane    </t>
  </si>
  <si>
    <t xml:space="preserve">Revestimento de Piso, Porcelanato Mont Blanc Acetinado 90X90 Eliane    </t>
  </si>
  <si>
    <t xml:space="preserve">Revestimento de Piso, Porcelanato Mont Blanc Polido 90X90 Eliane    </t>
  </si>
  <si>
    <t>Porcelanato 160X320 Cm</t>
  </si>
  <si>
    <t xml:space="preserve">Porcelanato Botanique Melisse Mate Portobello 29X30Cm    </t>
  </si>
  <si>
    <t>Revestimento de Piso, Porcelanato 160X320 Cm</t>
  </si>
  <si>
    <t xml:space="preserve">Revestimento de Piso, Porcelanato Botanique Melisse Mate Portobello 29X30Cm    </t>
  </si>
  <si>
    <t>Revestimento de Piso, Cerâmico Acetinado Imperial Mt 50X50Xcm</t>
  </si>
  <si>
    <t>Cerâmico Acetinado Imperial Mt 50X50Xcm</t>
  </si>
  <si>
    <t>Revestimento de Piso Porcelanato Acetinado, Placa 100x100cm</t>
  </si>
  <si>
    <t>Porcelanato Polido 100x100</t>
  </si>
  <si>
    <t>Revestimento De Granito Branco Ceará Flameado</t>
  </si>
  <si>
    <t>Granito Branco Ceará Flameado</t>
  </si>
  <si>
    <t xml:space="preserve">Revestimento De Piso, Cimenticio Tecnogran 60X60Cm Linha Lavaggio  </t>
  </si>
  <si>
    <t xml:space="preserve">Piso Cimenticio Tecnogran 60X60Cm Linha Lavaggio  </t>
  </si>
  <si>
    <t xml:space="preserve">Revestimento de Piso Vinilico Linha Ambienta Series Cedro  Tarkett  </t>
  </si>
  <si>
    <t xml:space="preserve">Revestimento de Piso Vinilico Flamboyant Reguá 208X1230Mm Tarkett </t>
  </si>
  <si>
    <t xml:space="preserve">Revestimento de Piso Vinilico Luz Do Dia Linha Vital 1219,2X228,6Mm Finotatto  </t>
  </si>
  <si>
    <t>PISO VINILICO LINHA AMBIENTA SERIES CEDRO  TARKETT - MATERIAL E MÃO DE OBRA</t>
  </si>
  <si>
    <t>PISO VINILICO FLAMBOYANT REGUÁ 208x1230mm TARKETT - MATERIAL E MÃO DE OBRA</t>
  </si>
  <si>
    <t>PISO VINILICO LUZ DO DIA LINHA VITAL 1219,2x228,6mm FINOTATTO - MATERIAL E MÃO DE OBRA</t>
  </si>
  <si>
    <t>Ladrilho hidráulico 20x20 cm</t>
  </si>
  <si>
    <t>Revestimento de Piso, Emborrachado Monolitico Rubber</t>
  </si>
  <si>
    <t xml:space="preserve">Revestimento de Piso, Carpet 411 Cab Beaulieu (Sobra One Tower)  </t>
  </si>
  <si>
    <t>Piso Emborrachado Monolitico Rubber</t>
  </si>
  <si>
    <t>Revestimento de Piso Elevado</t>
  </si>
  <si>
    <t xml:space="preserve">Revestimento de Piso Lajota  </t>
  </si>
  <si>
    <t xml:space="preserve">Revestimento de Piso Laudrilho Hidraulico 20X20 Cm  </t>
  </si>
  <si>
    <t>Mão de obra execução de piso Lajota</t>
  </si>
  <si>
    <t>Rodapé de Poliestireno Santa Luzia h=5cm</t>
  </si>
  <si>
    <t>Rodapé De Poliestireno Santa Luzia Moderna 473 Branco 5cm </t>
  </si>
  <si>
    <t>Rodapé de MDF h=20cm</t>
  </si>
  <si>
    <t>Rodapé de Cerâmico h=15cm</t>
  </si>
  <si>
    <t>Rodapé de Pedra h=20cm</t>
  </si>
  <si>
    <t>Rodape Branco Zeus - 20Cm</t>
  </si>
  <si>
    <t>Rodape Madeira - 20Cm</t>
  </si>
  <si>
    <t>Rodapé Coordenado Madeira Ipê 7x240cm Artens</t>
  </si>
  <si>
    <t>Mão de obra de rodapé Madeira/MDF</t>
  </si>
  <si>
    <t>Mão de obra de rodapé Pedra/Granito</t>
  </si>
  <si>
    <t>Soleira em pedra natural, largura 15cm - Branco Ceara, esp. 2cm</t>
  </si>
  <si>
    <t>Soleira em pedra natural, largura 15cm - Silestone, esp. 2cm</t>
  </si>
  <si>
    <t>Quartzo Silestone</t>
  </si>
  <si>
    <t>PORTAS DE MADEIRA</t>
  </si>
  <si>
    <t>FERRAGENS E FECHADURAS</t>
  </si>
  <si>
    <t>PCF</t>
  </si>
  <si>
    <t>ESQUADRIAS METÁKICAS</t>
  </si>
  <si>
    <t>ESQUADRIAS ALUMÍNIO</t>
  </si>
  <si>
    <t>CORRIMÃO</t>
  </si>
  <si>
    <t>Porta Pivotante alumínio 140x210cm</t>
  </si>
  <si>
    <t>Portão, 1 folha, 4,81x226 cm</t>
  </si>
  <si>
    <t>Porta de madeira de abrir - 110x220cm (kit completo) - fixação com espuma expansiva</t>
  </si>
  <si>
    <t>Porta de madeira de abrir - 60x220cm (kit completo) - fixação com espuma expansiva</t>
  </si>
  <si>
    <t>Porta de madeira de abrir - 87x210cm (kit completo) - fixação com espuma expansiva</t>
  </si>
  <si>
    <t>Porta de madeira de abrir - 110x220cm (kit completo)</t>
  </si>
  <si>
    <t>Porta de madeira de abrir - 87x210cm (kit completo)</t>
  </si>
  <si>
    <t>Porta de madeira de abrir - 60x220cm (kit completo)</t>
  </si>
  <si>
    <t>Porta corta-fogo, 1 folha, 106x210 cm</t>
  </si>
  <si>
    <t>Porta corta-fogo, 1 folha, 96x190cm</t>
  </si>
  <si>
    <t>Porta corta-fogo, 1 folha, 90x213cm</t>
  </si>
  <si>
    <t>Porta corta-fogo, 1 folha, 80x213cm</t>
  </si>
  <si>
    <t>Gradil metálico, h=0,9cm</t>
  </si>
  <si>
    <t>Pintura em tetos</t>
  </si>
  <si>
    <t>Sistema de pintura em Piso</t>
  </si>
  <si>
    <t>Pintura Com Tinta Latex Acrilica em Paredes Internas, 3 Demaos Branco Gelo</t>
  </si>
  <si>
    <t>Pintura Com Tinta Latex Acrilica em Paredes Internas, 3 Demaos Branco</t>
  </si>
  <si>
    <t>Pintura Com Tinta Latex Acrilica em Paredes Internas, 3 Demaos Branco Acetinado</t>
  </si>
  <si>
    <t>Pintura Com Tinta Latex Acrilica em Paredes Internas, 3 Demaos Anfora de Prata</t>
  </si>
  <si>
    <t>Pintura Com Tinta Latex Acrilica em Paredes Internas, 3 Demaos Nevoeiro</t>
  </si>
  <si>
    <t>Pintura Com Tinta Latex Acrilica em Paredes Internas, 3 Demaos Ouro Branco</t>
  </si>
  <si>
    <t>PISO RODAPÉ VAGAS</t>
  </si>
  <si>
    <t>PAREDES</t>
  </si>
  <si>
    <t>MÃO DE OBRA PAREDES</t>
  </si>
  <si>
    <t>MÃO DE OBRA TETO</t>
  </si>
  <si>
    <t>MÃO DE OBRA PISOS</t>
  </si>
  <si>
    <t>selador em Paredes Internas</t>
  </si>
  <si>
    <t>Massa Corrida em Paredes Internas</t>
  </si>
  <si>
    <t>Pintura Com Tinta Epoxi em Paredes Internas, Faixas Preto e Amarelo h=30cm</t>
  </si>
  <si>
    <t>TINTA ACRILICA PREMIUM OURO BRANCO</t>
  </si>
  <si>
    <t>TINTA ACRILICA PREMIUM NEVOEIRO</t>
  </si>
  <si>
    <t>TINTA ACRILICA PREMIUM ANFORA DE PRATA</t>
  </si>
  <si>
    <t>TINTA ACRILICA PREMIUM BRANCO ACETINADO</t>
  </si>
  <si>
    <t>TINTA ACRILICA PREMIUM BRANCO GELO</t>
  </si>
  <si>
    <t>Mão de obra para faixa de garagem em paredes internas, 1 demãos</t>
  </si>
  <si>
    <t>Sistema de pintura em parede Interna</t>
  </si>
  <si>
    <t>Textura acrílica aplicação em Escadas, 1 demão</t>
  </si>
  <si>
    <t>Pintura em Acrilica em Piso, Aplicação Manual, 2 Demãos</t>
  </si>
  <si>
    <t>ARGAMASSADOS</t>
  </si>
  <si>
    <t>REVESTIMENTO CERAMICO E PORCELANATO</t>
  </si>
  <si>
    <t>REVESTIMENTO PEDRAS E GRANITOS</t>
  </si>
  <si>
    <t>PINTURA E TEXTURA</t>
  </si>
  <si>
    <t>ACABAMENTOS ESPECIAIS</t>
  </si>
  <si>
    <t xml:space="preserve">Chapisco externo de argamassa estabilizada projetada, em alvenaria, paredes Externas  </t>
  </si>
  <si>
    <t xml:space="preserve">Chapisco externo de argamassa estabilizada projetada, em alvenaria, Estrutura Externas </t>
  </si>
  <si>
    <t>Massa unica para reboco Externas em argamassa estabilizada projetada, espessura 2,0cm, desempenado fino</t>
  </si>
  <si>
    <t>Revestimento em ACM, aplicação em Fachada - Material e  Mão de Obra</t>
  </si>
  <si>
    <t>Revestimento em Fachadas,  Porcelanato Superquadra Cru 60X120 Nat Ret</t>
  </si>
  <si>
    <t>Revestimento em Fachadas Ventilada,  Porcelanato Superquadra Cru 60X120 Nat Ret</t>
  </si>
  <si>
    <t>Revestimento Monolítico Acrílico aplicado em Fachadas</t>
  </si>
  <si>
    <t>Revestimento monolítico acrílico (pronto)</t>
  </si>
  <si>
    <t>Tela de Fibra de Vidro</t>
  </si>
  <si>
    <t>Mão de Obra Aplicação de Revestimento Monolítico</t>
  </si>
  <si>
    <t>Referência</t>
  </si>
  <si>
    <t>Área Externa</t>
  </si>
  <si>
    <t>Custo Incorrido</t>
  </si>
  <si>
    <t>Monocomando Banheira e Ducha</t>
  </si>
  <si>
    <t>Concreto Usinado bombeável 50MPa Fundação Profunda</t>
  </si>
  <si>
    <t>Concreto Usinado bombeável 50MPa Convencional Supraestrtura</t>
  </si>
  <si>
    <t>BLOCO CERÂMICO - 19X19X19cm</t>
  </si>
  <si>
    <t>Alvenaria de vedacao de blocos ceramicos de 19x19x19cm com argamassa industrializada de assentamento</t>
  </si>
  <si>
    <t>Lã de pet 50 X 1200 X 12500 MM</t>
  </si>
  <si>
    <t>Ferragens para Portas - Maçaneta, fechadura, dobradiça.</t>
  </si>
  <si>
    <t>Controle tecnológico do concreto</t>
  </si>
  <si>
    <t>Estudo ambiental</t>
  </si>
  <si>
    <t>Projeto de terraplanagem</t>
  </si>
  <si>
    <t>Projeto de climatização/exaustão</t>
  </si>
  <si>
    <t>Projeto de esquadrias</t>
  </si>
  <si>
    <t>As Built</t>
  </si>
  <si>
    <t>Orçamento e planejamento</t>
  </si>
  <si>
    <t>Bandejas de proteção</t>
  </si>
  <si>
    <t>Guarda - corpo de desforma</t>
  </si>
  <si>
    <t>Perímetro de projeção da torre</t>
  </si>
  <si>
    <t>Repetições de pavimentos**</t>
  </si>
  <si>
    <t>Altura de cobrimento da tela</t>
  </si>
  <si>
    <t>Perímetro de encontro com pavimentação</t>
  </si>
  <si>
    <t>Altura do tapume</t>
  </si>
  <si>
    <t>Ferramentas</t>
  </si>
  <si>
    <t>Instalações de canteiro</t>
  </si>
  <si>
    <t>Produtividade média</t>
  </si>
  <si>
    <t>m2 / mês</t>
  </si>
  <si>
    <t>Pm</t>
  </si>
  <si>
    <t xml:space="preserve">h/m2 </t>
  </si>
  <si>
    <t>Numero de funcionários</t>
  </si>
  <si>
    <t>Equipe administrativa</t>
  </si>
  <si>
    <t>R$</t>
  </si>
  <si>
    <t>EPI</t>
  </si>
  <si>
    <t xml:space="preserve"> Barracão de obra</t>
  </si>
  <si>
    <t>Consideração</t>
  </si>
  <si>
    <t>Refeitório</t>
  </si>
  <si>
    <t>1 m²/funcionários</t>
  </si>
  <si>
    <t>Vestiário/banheiro</t>
  </si>
  <si>
    <t>1,5 m²/funcionários (vestiário)
1 m²/20 funcionários (sanitários) + 0,6 m²/m² sanitário (lavatório) + 0,8 m²/ 10 funcionários (chuveiros)</t>
  </si>
  <si>
    <t>Almoxarifado</t>
  </si>
  <si>
    <t>Obra até 20.000m² - 100m² e 5m² para cada 1.000m² adicionais</t>
  </si>
  <si>
    <t>Escritório</t>
  </si>
  <si>
    <t>Baias de material</t>
  </si>
  <si>
    <t>5m² / bloco</t>
  </si>
  <si>
    <t>Sala do cliente</t>
  </si>
  <si>
    <t>Previsão de estrutura montada no inteior do container com mobiliario, decoração e EPIs</t>
  </si>
  <si>
    <t>Mobiliário de canteiro</t>
  </si>
  <si>
    <t>Cadeira</t>
  </si>
  <si>
    <t>Mesa</t>
  </si>
  <si>
    <t>Ar condicionado</t>
  </si>
  <si>
    <t>Armário</t>
  </si>
  <si>
    <t>Escrivaninha</t>
  </si>
  <si>
    <t>Computador pessoal</t>
  </si>
  <si>
    <t>Impressora</t>
  </si>
  <si>
    <t>Roteador</t>
  </si>
  <si>
    <t>Linha Trada</t>
  </si>
  <si>
    <t>Regularização de Paredes externas</t>
  </si>
  <si>
    <t>Mão de obra estucamento de paredes externas</t>
  </si>
  <si>
    <t>mpermeabilização de Fachadas (ULTRAVENT)</t>
  </si>
  <si>
    <t>impermeabilizante manta líquida Ultravent</t>
  </si>
  <si>
    <t>Mão de obra impermeabilização com manta liquida em Fachadas</t>
  </si>
  <si>
    <t>Cuto Total</t>
  </si>
  <si>
    <t>MÃO DE OBRA FACHADA</t>
  </si>
  <si>
    <t>und.</t>
  </si>
  <si>
    <t>Torre</t>
  </si>
  <si>
    <t>PLANILHA DE ESCORAMENTO</t>
  </si>
  <si>
    <t>CLIENTE</t>
  </si>
  <si>
    <t xml:space="preserve">REVISÃO </t>
  </si>
  <si>
    <t>ÁREA</t>
  </si>
  <si>
    <t>ESCORAMENTO (PARA 1 MÊS)</t>
  </si>
  <si>
    <t>ESCOR. / m2</t>
  </si>
  <si>
    <t>DIA  / m2</t>
  </si>
  <si>
    <t>DIAS CORRIDOS</t>
  </si>
  <si>
    <t>TRAV/MÊS / M2</t>
  </si>
  <si>
    <t>TRAV.</t>
  </si>
  <si>
    <t>PREÇO DO CIMBRAMENTO POR M2</t>
  </si>
  <si>
    <t>ART</t>
  </si>
  <si>
    <t>FRETE DE IDA</t>
  </si>
  <si>
    <t>FRETE DE VOLTA</t>
  </si>
  <si>
    <t>FRETE / M2</t>
  </si>
  <si>
    <t>TOTAL / M2</t>
  </si>
  <si>
    <t>SOLUÇÃO DE SILICADOS CWS100</t>
  </si>
  <si>
    <t>Impermeabilização De Superfície Com Aspersão de CWS e CWS100</t>
  </si>
  <si>
    <t>MAO DE OBRA - IMPRMEABILIZAÇÃO CWS100</t>
  </si>
  <si>
    <t>Mão de obra impermeabilização de aspersão de CWS</t>
  </si>
  <si>
    <t>Forro de gesso modular - material e mão de obra</t>
  </si>
  <si>
    <t>Rodapé de Madeira h=20cm</t>
  </si>
  <si>
    <t>Thiner</t>
  </si>
  <si>
    <t>Pacote de Estopa</t>
  </si>
  <si>
    <t>Cloro para Limpeza</t>
  </si>
  <si>
    <t>Disco de lixa (Diametro 225mm) - Grão 180</t>
  </si>
  <si>
    <t>Disco de lixa telado (Diâmetro 225mm) - Grão 220</t>
  </si>
  <si>
    <t>Fita Crepe 50mm x 50mt Azul</t>
  </si>
  <si>
    <t>Massa unica para reboco interno em tetos com argamassa estabilizada projetada, espessura 2,0cm, desempenado fino</t>
  </si>
  <si>
    <t>Exaustão</t>
  </si>
  <si>
    <t>Tratamento De Ralo Ou Ponto Emergente Com Argamassa Polimérica Reforçado Com Tela De Poliéster</t>
  </si>
  <si>
    <t>Terraço</t>
  </si>
  <si>
    <t>Revestimento em Piso,  Porcelanato Pp Pro Nude Gp 60X60Cm Retificado</t>
  </si>
  <si>
    <t>CONTENÇÃO</t>
  </si>
  <si>
    <t>E3 - Membrana de polímero acrílico com cimento e fibras, estruturada com tela de poliéster nos pontos críticos (3,0 kg/m²)</t>
  </si>
  <si>
    <t>Membrana de polímero acrílico com cimento e fibras, estruturada com tela de poliéster nos pontos críticos</t>
  </si>
  <si>
    <t>I30EL - Membrana de polímero acrílico, sem cimento (3,0 kg/m²), com resistência à alcalinidade, estruturada com tela de poliéster nos pontos críticos – Ref.: Sika Baucryl, MC DF9, Icopor HP, Procryl Imper</t>
  </si>
  <si>
    <t>Membrana de polímero acrílico, sem cimento com resistência à alcalinidade, estruturada com tela de poliéster nos pontos críticos</t>
  </si>
  <si>
    <t>M44A - Manta asfáltica tipo IV, 4 mm A, com acabamento areia/areia aderida com asfalto oxidado (3,0 kg/m²) + banho de asfalto oxidado (2,0 kg/m²)</t>
  </si>
  <si>
    <t>Manta asfáltica tipo IV, 4 mm A, com acabamento areia/areia aderida com asfalto oxidado</t>
  </si>
  <si>
    <t>banho de asfalto oxidado</t>
  </si>
  <si>
    <t>C3 - Argamassa polimérica rígida, estruturada com tela de poliéster nos pontos críticos (3,0 kg/m²)</t>
  </si>
  <si>
    <t>Argamassa polimérica rígida, estruturada com tela de poliéster nos pontos críticos</t>
  </si>
  <si>
    <t>C3E3 - Argamassa polimérica rígida (3,0 kg/m²) + membrana de polímero acrílico com cimento e fibras, estruturada com tela de poliéster nos pontos críticos (3,0 kg/m²)</t>
  </si>
  <si>
    <t>Argamassa polimérica rígida</t>
  </si>
  <si>
    <t>membrana de polímero acrílico com cimento e fibras, estruturada com tela de poliéster nos pontos críticos</t>
  </si>
  <si>
    <t>C4 - Argamassa polimérica rígida, estruturada com tela de poliéster nos pontos críticos (4,0 kg/m²)</t>
  </si>
  <si>
    <t>C4RQ - Argamassa polimérica rígida, com alta resistência química, estruturada com tela de poliéster nos pontos críticos (4,0 kg/m²)</t>
  </si>
  <si>
    <t>Argamassa polimérica rígida, com alta resistência química, estruturada com tela de poliéster nos pontos críticos</t>
  </si>
  <si>
    <t>I30 - Membrana acrílica, estruturada com tela de poliéster, nos pontos críticos (3,0 kg/m²)</t>
  </si>
  <si>
    <t>Membrana acrílica, estruturada com tela de poliéster, nos pontos críticos</t>
  </si>
  <si>
    <t>M44AE2 - Manta asfáltica tipo IV, 4 mm A, com acabamento areia/areia aderida com asfalto oxidado (3,0 kg/m²) + banho de asfalto oxidado (2,0 kg/m²) + membrana de polímero acrílico com cimento e fibras para combater eflorescência (2,0 kg/m²)</t>
  </si>
  <si>
    <t>membrana de polímero acrílico com cimento e fibras para combater eflorescência</t>
  </si>
  <si>
    <t>E2 - Membrana de polímero acrílico, com cimento e com fibras, estruturada com tela de poliéster nos pontos críticos (2,0 kg/m²)</t>
  </si>
  <si>
    <t>Membrana de polímero acrílico, com cimento e com fibras, estruturada com tela de poliéster nos pontos críticos</t>
  </si>
  <si>
    <t>M44AR05 - Manta asfáltica tipo IV, 4 mm A, com acabamento areia/areia aderida com asfalto oxidado (3,0 kg/m²) + banho de asfalto oxidado (2,0 kg/m²) + pintura de proteção antirraiz sobre a proteção mecânica (0,5 L/m²)</t>
  </si>
  <si>
    <t>pintura de proteção antirraiz sobre a proteção mecânica</t>
  </si>
  <si>
    <t>M44A + M44AE2 - Manta asfáltica tipo IV, 4 mm + manta asfáltica tipo IV, 4 mm + banho de asfalto oxidado + membrana de polímero acrílico com cimento e fibras para combater eflorescência</t>
  </si>
  <si>
    <t>Manta asfáltica tipo IV, 4 mm A, com acabamento areia/areia + manta asfáltica tipo IV, 4 mm A, com acabamento areia/areia aderida com asfalto oxidado</t>
  </si>
  <si>
    <t>CONCRETO CORTA FOGO</t>
  </si>
  <si>
    <t>Alvenaria de vedação de Bloco concreto corta-fogo de 09x19x39cm, com argamassa estabilizada</t>
  </si>
  <si>
    <t>BLOCO DE concreto CORTA-FOGO  09X19X39 CM</t>
  </si>
  <si>
    <t>Alvenaria de vedação de Bloco concreto corta-fogo de 14x19x39cm, com argamassa estabilizada</t>
  </si>
  <si>
    <t>BLOCO DE concreto CORTA-FOGO  14X19X39 CM</t>
  </si>
  <si>
    <t>Alvenaria de vedação de Bloco concreto corta-fogo com densidade acustica reforçada de 14x19x39cm, com argamassa estabilizada</t>
  </si>
  <si>
    <t>BLOCO DE concreto CORTA-FOGO ACUSTICA REFORÇADO  14X19X39 CM</t>
  </si>
  <si>
    <t>Alvenaria de vedação de Bloco concreto corta-fogo de 19x19x39cm, com argamassa estabilizada</t>
  </si>
  <si>
    <t>BLOCO DE concreto CORTA-FOGO  19X19X39 CM</t>
  </si>
  <si>
    <t>CERÂMICO CORTA FOGO</t>
  </si>
  <si>
    <t>Alvenaria de vedação de Bloco cerâmico corta-fogo de 09x19x39cm, com argamassa estabilizada</t>
  </si>
  <si>
    <t>BLOCO DE CERÂMICO CORTA-FOGO  09X19X39 CM</t>
  </si>
  <si>
    <t>Alvenaria de vedação de Bloco cerâmico corta-fogo de 14x19x39cm, com argamassa estabilizada</t>
  </si>
  <si>
    <t>BLOCO DE CERÂMICO CORTA-FOGO  14X19X39 CM</t>
  </si>
  <si>
    <t>Alvenaria de vedação de Bloco cerâmico corta-fogo com densidade acustica reforçada de 14x19x39cm, com argamassa estabilizada</t>
  </si>
  <si>
    <t>BLOCO DE CERÂMICO CORTA-FOGO ACUSTICA REFORÇADO  14X19X39 CM</t>
  </si>
  <si>
    <t>Alvenaria de vedação de Bloco cerâmico corta-fogo de 19x19x39cm, com argamassa estabilizada</t>
  </si>
  <si>
    <t>BLOCO DE CERÂMICO CORTA-FOGO  19X19X39 CM</t>
  </si>
  <si>
    <t>BLOCO DE concreto CORTA-FOGO  ACUSTICA REFORÇADO 19X19X39 CM</t>
  </si>
  <si>
    <t>Concreto armado no piso do térreo</t>
  </si>
  <si>
    <t>Barras de transferencia lisa 12,5mm 50 cm</t>
  </si>
  <si>
    <t>TELA ACO CARBONO CA60 M.100X100MM F.04,2MM 245X600CM Q113 (26,46KG/UN)</t>
  </si>
  <si>
    <t>Perna de serra pinus - 10x30x300cm</t>
  </si>
  <si>
    <t>Espaçador Treliçado p/ armaduras 6 cm</t>
  </si>
  <si>
    <t>pc</t>
  </si>
  <si>
    <t>Monocordoalha engraxada CP - 190 RB (12,7mm)</t>
  </si>
  <si>
    <t>FORMA</t>
  </si>
  <si>
    <t>ARMADURA</t>
  </si>
  <si>
    <t>EXTRA</t>
  </si>
  <si>
    <t>PERFURAÇÃO</t>
  </si>
  <si>
    <t xml:space="preserve">Perfuração de estaca Escavada Ø 40cm	</t>
  </si>
  <si>
    <t>Execucao Estaca Escavada 040Cm</t>
  </si>
  <si>
    <t xml:space="preserve">Perfuração de estaca Escavada Ø 50cm	</t>
  </si>
  <si>
    <t>Execucao Estaca Escavada 050Cm</t>
  </si>
  <si>
    <t xml:space="preserve">Perfuração de estaca Escavada Ø 60cm	</t>
  </si>
  <si>
    <t>Execucao Estaca Escavada 060Cm</t>
  </si>
  <si>
    <t xml:space="preserve">Perfuração de estaca Escavada Ø 70cm	</t>
  </si>
  <si>
    <t>Execucao Estaca Escavada 070Cm</t>
  </si>
  <si>
    <t xml:space="preserve">Perfuração de estaca Escavada Ø 80cm	</t>
  </si>
  <si>
    <t>Execucao Estaca Escavada 080Cm</t>
  </si>
  <si>
    <t>Execucao Estaca Helice Continua Monitorada 050Cm</t>
  </si>
  <si>
    <t>Execucao Estaca Helice Continua Monitorada 060Cm</t>
  </si>
  <si>
    <t xml:space="preserve">	Mobilização e desmobilização de equipamentos - Para execução de estaca hélice monitorada</t>
  </si>
  <si>
    <t>Junta serrada de 4 mm e 10 cm de altura, com tarucel</t>
  </si>
  <si>
    <t>Tarucel de 6 mm</t>
  </si>
  <si>
    <t>Concreto Usinado bombeável 40MPa para infraestrutura- incluindo serviço de bombeamento</t>
  </si>
  <si>
    <t xml:space="preserve">Perfuração de estaca Escavada para contenção Ø 40cm	</t>
  </si>
  <si>
    <t>Fabricação de Fôrma para Escadas, em Chapa de Madeira Compensada Resinada, E=17mm</t>
  </si>
  <si>
    <t>PREGO DE ACO POLIDO COM CABECA 17 X 24 (2 1/4 X11)</t>
  </si>
  <si>
    <t>CHAPA/PAINEL DE MADEIRA COMPENSADA RESINADA, DE 2200 X 1100 MM, E = 17 MM</t>
  </si>
  <si>
    <t>Fabricação de Fôrma para Pilares, em Chapa de Madeira Compensada Resinada, E=17mm</t>
  </si>
  <si>
    <t>Fabricação de Fôrma para Vigas, em Chapa de Madeira Compensada Resinada, E=17mm</t>
  </si>
  <si>
    <t>Fabricação de Fôrma para Lajes, em Chapa de Madeira Compensada Resinada, E=17mm</t>
  </si>
  <si>
    <t>Montagem e Desmontagem de Fôrma de Escadas</t>
  </si>
  <si>
    <t>Armação tela Q113 para Suprastrutura (corte e dobra em Obra)</t>
  </si>
  <si>
    <t>Concreto Usinado FCK = 35MPa Bombeavel Para Supraestrutura</t>
  </si>
  <si>
    <t>Monocordoalha engraxada CP - 190 RB (12,7mm) - Materiais e acessórios</t>
  </si>
  <si>
    <t>Kg</t>
  </si>
  <si>
    <t>Materiais e acessórios de monocordoalha</t>
  </si>
  <si>
    <t>UM</t>
  </si>
  <si>
    <t>Alvenaria de vedacao de blocos ceramicos de 14x19x39cm com argamassa industrializada de assentamento</t>
  </si>
  <si>
    <t>Alvenaria de vedacao de blocos ceramico de 19x19x19cm com argamassa industrializada de assentamento</t>
  </si>
  <si>
    <t>Alvenaria de vedacao de blocos ceramicos de 19x19x29cm com argamassa industrializada de assentamento</t>
  </si>
  <si>
    <t>Parede Com Sistema Em Chapas De Gesso Para Drywall, Uso Interno, Montante 48mm, Com Uma Face Simples Standart (ST/48)</t>
  </si>
  <si>
    <t>Parede Com Sistema Em Chapas De Gesso Para Drywall, Uso Interno, Montante 48mm, Com Uma Face Resistente a Umidade (RU/48)</t>
  </si>
  <si>
    <t>Parede Com Sistema Em Chapas De Gesso Para Drywall, Uso Interno, Montante 48mm, Com Duas Face Simples Standart(ST/48/ST)</t>
  </si>
  <si>
    <t>Parede Com Sistema Em Chapas De Gesso Para Drywall, Uso Interno, Montante 48mm, Com Duas Face Resistente a Umidade(RU/48/RU)</t>
  </si>
  <si>
    <t>Parede Com Sistema Em Chapas De Gesso Para Drywall, Uso Interno, Montante 48mm, Com Uma Face Simples Standart e Uma Face Resistente a Umidade (ST/48/RU)</t>
  </si>
  <si>
    <t>Parede Com Sistema Em Chapas De Gesso Para Drywall, Uso Interno, Montante 70mm, Com Uma Face Resistente a Umidade(RU/70)</t>
  </si>
  <si>
    <t>Parede Com Sistema Em Chapas De Gesso Para Drywall, Uso Interno, Montante 70mm, Com Duas Face Simples Standart (ST/70/ST)</t>
  </si>
  <si>
    <t>Parede Com Sistema Em Chapas De Gesso Para Drywall, Uso Interno, Montante 70mm, Com Duas Face Resistente a Umidade(RU/70/RU)</t>
  </si>
  <si>
    <t>Parede Com Sistema Em Chapas De Gesso Para Drywall, Uso Interno, Montante 70mm, Com Uma Face Standart e Uma Face Resistente a Umidade(RU/70/ST)</t>
  </si>
  <si>
    <t>Parede Com Sistema Em Chapas De Gesso Para Drywall, Uso Interno, Montante 90mm, Com Uma Face Simples Standart (ST/90)</t>
  </si>
  <si>
    <t>Parede Com Sistema Em Chapas De Gesso Para Drywall, Uso Interno, Montante 90mm, Com Uma Face Simples Resistente à Umidade (RU/90)</t>
  </si>
  <si>
    <t>Parede Com Sistema Em Chapas De Gesso Para Drywall, Uso Interno, Montante 90mm, Com Duas Face Simples Standart (ST/90/ST)</t>
  </si>
  <si>
    <t>Parede Com Sistema Em Chapas De Gesso Para Drywall, Uso Interno, Montante 90mm, Com Duas Face Simples Resistente à Umidade (RU/90/RU)</t>
  </si>
  <si>
    <t>Parede Com Sistema Em Chapas De Gesso Para Drywall, Uso Interno, Montante 90mm, Com Uma Face Standart e Uma Face Resistente a Umidade (ST/90/RU)</t>
  </si>
  <si>
    <t>Perfil Steelframe, Montante 50mm - Um lado</t>
  </si>
  <si>
    <t>Perfil Steelframe, Montante 70mm - Um lado</t>
  </si>
  <si>
    <t>Perfil Steelframe, Montante 90mm - Um lado</t>
  </si>
  <si>
    <t>Enchimento de parede em Chapas De Gesso Para Drywall, Uso Interno, Montante 70mm, Com Uma Face Simples Standart e isolamento com Lâ de Vidro (ST/70)</t>
  </si>
  <si>
    <t>Aplicação manual de gesso sarrafeado em paredes, espessura de 0,5cm, com execução de taliscas</t>
  </si>
  <si>
    <t>Aplicação manual de gesso sarrafeado em paredes, espessura de 1,0cm, com execução de taliscas</t>
  </si>
  <si>
    <t>Massa unica para emboço interno em argamassa estabilizada, espessura de 2,5cm, com execução de taliscas</t>
  </si>
  <si>
    <t>Massa unica para reboco interno em argamassa estabilizada, espessura de 0,5cm, com execução desempenado fino</t>
  </si>
  <si>
    <t>Revestimento em Cerâmicas Vulcano Cinza em paredes, 61x 61cm com Junta de 3mm</t>
  </si>
  <si>
    <t>Cerâmica Vulcano Cinza 61x61</t>
  </si>
  <si>
    <t>Revestimento de piso laminado acústico, nas áreas privativas - Material e Mão de Obra</t>
  </si>
  <si>
    <t>Porcelanato a 60x60 noir polido</t>
  </si>
  <si>
    <t>Piso Esmaltado 60x60 Duran Grafite 60319 Retificado</t>
  </si>
  <si>
    <t>Porcelanato Cemento Nebbia Retificado Acetinado 60x60 Biancogres</t>
  </si>
  <si>
    <t>Revestimento para Piscina Esmaltado Giz Borda Arredondada Bold Cinza 15x15cm Gabriella</t>
  </si>
  <si>
    <t>PORCELANATO 90X90 PORTOBELLO CHIARO DI VERSILIA NATURAL</t>
  </si>
  <si>
    <t>Porcelanato 61,1x61,1cm Cement Grigio Pure 61024 Acetinado Extra</t>
  </si>
  <si>
    <t>Porcenalato Interno Acetinado 90x90cm Mirage CTM Incesa</t>
  </si>
  <si>
    <t>Porcenalato Interno 90x90cm preto e branco</t>
  </si>
  <si>
    <t>Revestimento de Mdf em parede</t>
  </si>
  <si>
    <t>Porcelanato Eliane Revestimentos – Linha Lumina Areia 20x20</t>
  </si>
  <si>
    <t>Porcelanato Matiz Agave MT 30x90 - Eliane Revestimentos</t>
  </si>
  <si>
    <t xml:space="preserve">Porcelanato Eliane Silex 90x90 Branco Nat </t>
  </si>
  <si>
    <t xml:space="preserve">Cerâmica Tradição 23x23cm Lepri </t>
  </si>
  <si>
    <t xml:space="preserve"> Porcelanato Portobello – Coleção “Graphite Retro Geo”</t>
  </si>
  <si>
    <t>Revestimento para Parede Hexa Blue 22,8x22,8cm Ceral</t>
  </si>
  <si>
    <t>porcelanato villagers 82x141,5 retificado externo</t>
  </si>
  <si>
    <t>Piso Cerâmico Externo Granilhado Pietra 75x75cm</t>
  </si>
  <si>
    <t>Piso Cerâmico Externo Ceres Plus Pisoforte | G-Haus</t>
  </si>
  <si>
    <t>Revestimento de Piso emborrachado imitando madeira</t>
  </si>
  <si>
    <t>Revestimento para Azulejo Milos - Vila Sintra Azulejos</t>
  </si>
  <si>
    <t>SISTEMA MUX ARABI 100 X 100mm - com recorte</t>
  </si>
  <si>
    <t>Arkowood K - 30x50</t>
  </si>
  <si>
    <t>Mão de obra de obra execução de arkwood</t>
  </si>
  <si>
    <t>Porcelanato Esmaltado 90x90cm Cinza Cemento Grigio Biancogres</t>
  </si>
  <si>
    <t>Pisos Para Academia Emborrachado Aubicon Placa 25 mm, 70x70</t>
  </si>
  <si>
    <t>Cerâmica Tradição 23x23cm esmaltado listrado</t>
  </si>
  <si>
    <t>Revestimento em Parede de Azulejo JK Solid | Estúdio Mosaico</t>
  </si>
  <si>
    <t>Pisos Para Academia Emborrachado Aubicon Placa 40 mm, 70x70</t>
  </si>
  <si>
    <t>Pisos Para Academia Emborrachado Aubicon Placa 50 mm, 90x90</t>
  </si>
  <si>
    <t>Pisos Para Academia Emborrachado Aubicon Placa 80 mm, 90x90</t>
  </si>
  <si>
    <t>Cerâmica Brilhante Metrô 31x54cm Savane</t>
  </si>
  <si>
    <t>Cerâmica Tradição 23x23cm verde claro</t>
  </si>
  <si>
    <t>Revestimento de cerâmico em Paredes, Placa 31 x 54cm com Junta de 2mm e rejunte acrilico</t>
  </si>
  <si>
    <t>Rejunte acrilico</t>
  </si>
  <si>
    <t>Revestimento de cerâmico retificado em Paredes, Placa 60 x 60cm com Junta de 2mm e rejunte acrilico</t>
  </si>
  <si>
    <t>Revestimento em paredes, 61x 61cm com Junta de 3mm</t>
  </si>
  <si>
    <t>Revestimento em Parede de porcelanato hexagonal branco</t>
  </si>
  <si>
    <t>Revestimento em Parede de porcelanato hexagonal azul</t>
  </si>
  <si>
    <t>Revestimento de Parede Porcelanato Eliane Revestimentos – Linha Lumina Areia 20x20</t>
  </si>
  <si>
    <t>Revestimento de Parede Porcelanato Portobello – Coleção “Graphite Retro Geo”</t>
  </si>
  <si>
    <t>Revestimento de parede em Cerâmica esmaltada listras</t>
  </si>
  <si>
    <t>Revestimento de parede em Cerâmica Tradição 23x23cm Verde claro</t>
  </si>
  <si>
    <t xml:space="preserve">Revestimento de parede em Cerâmica Tradição 23x23cm Lepri </t>
  </si>
  <si>
    <t>Revestimento de parede em Porcelanato Eliane Silex 90x90</t>
  </si>
  <si>
    <t>Revestimento em Parede Azulejo Milos - Vila Sintra Azulejos</t>
  </si>
  <si>
    <t>Revestimento em Ladrilhos para Piscina, Cinza giz 15x15 com Juntas e rejunte acrilico</t>
  </si>
  <si>
    <t xml:space="preserve">Requadro de portas dos Elevadores Granito preto são gabriel </t>
  </si>
  <si>
    <t xml:space="preserve">Granito preto são gabriel </t>
  </si>
  <si>
    <t>Peitoril em granito preto são gabriel</t>
  </si>
  <si>
    <t>Peitoril em pedra moledo,  esp. 2cm</t>
  </si>
  <si>
    <t>Pedra Moledo Natural Cinza</t>
  </si>
  <si>
    <t>Peitoril em granito,  esp. 2cm</t>
  </si>
  <si>
    <t>Pastilha vítrea decorada, padrão customizado, placa 30x30 cm - Jatobá / NGK Pastilhas</t>
  </si>
  <si>
    <t>Granito itaunas branco</t>
  </si>
  <si>
    <t>Chapisco aplicado em teto, com argamassa pré-fabricada adesiva de cimento colante, aplicação convencional</t>
  </si>
  <si>
    <t>Forro Com Sistema Em Chapas De Gesso Para Drywall, Uso Interno, Montante 48mm, Com Uma Face Resistente a Umidade (RU/48)</t>
  </si>
  <si>
    <t>Forro Knauf Cleaneo A1 (gesso acústico perfurado)</t>
  </si>
  <si>
    <t>Contrapiso comum em argamassa estabilizada, auto nivelado, espessura 4cm</t>
  </si>
  <si>
    <t>Contrapiso comum em argamassa estabilizada, nao aderido, espessura 1,5cm</t>
  </si>
  <si>
    <t>Contrapiso comum em argamassa estabilizada, nao aderido, espessura 7cm</t>
  </si>
  <si>
    <t>Manta acústica “SoundSoft Ondulada” da Aubicon esp. 17/8mm”</t>
  </si>
  <si>
    <t>manta acústica Ebios de fibras de polipropileno esp. 10mm</t>
  </si>
  <si>
    <t>Manta acústica “SoundSoft laje zero” da Aubicon com polimero acrilico aderido da Baucryl</t>
  </si>
  <si>
    <t>Tratamento acustico da sylomer da getzner esp. 50mm</t>
  </si>
  <si>
    <t xml:space="preserve">Regularização com argamassa, aplicação farofa, de Piso 4,00 cm </t>
  </si>
  <si>
    <t>ARGAMASSA TRAÇO 1:3 (EM VOLUME DE CIMENTO E AREIA GROSSA ÚMIDA) PARA CONTRAPISO TIPO FAROFA</t>
  </si>
  <si>
    <t>Piso de concreto, acabamento estampado, espessura 6 cm</t>
  </si>
  <si>
    <t>DESMOLDANTE PARA CONCRETO ESTAMPADO</t>
  </si>
  <si>
    <t>MOLDE DE POLIURETANO, FLEXIVEL OU SEMI-FLEXIVEL, PARA ESTAMPAGEM DE PISO / PASSEIO DE CONCRETO</t>
  </si>
  <si>
    <t>PO ENDURECEDOR PARA CONCRETO ESTAMPADO - PIGMENTO ENDURECEDOR</t>
  </si>
  <si>
    <t>Piso elevado - Material e Mão de obra</t>
  </si>
  <si>
    <t>ACABAMENTOS PEDRAS|GRANITO</t>
  </si>
  <si>
    <t>Revestimento de Piso de granito itaunas</t>
  </si>
  <si>
    <t>Revestimento em Pisos porcelanato, 61x 61cm com Junta de 3mm</t>
  </si>
  <si>
    <t>Revestimento em Pisos cerâmico, 61x 61cm com Junta de 3mm</t>
  </si>
  <si>
    <t>Revestimento em Cerâmicas Vulcano Cinza Pisos Externos, 61x 61cm com Junta de 3mm</t>
  </si>
  <si>
    <t>Revestimento em Cerâmicas Pisos Externos, 60x 60cm com Junta de 3mm</t>
  </si>
  <si>
    <t>Revestimento de Piso Porcelanato Polido, Padrão Nobre, Placa 90x90cm</t>
  </si>
  <si>
    <t>Revestimento de Piso Porcelanato Polido, Placa 90x90cm</t>
  </si>
  <si>
    <t>Revestimento de Piso Porcelanato, Placa 90x90cm, com coeficiente de atrito 0,4</t>
  </si>
  <si>
    <t>Revestimento de Piso Porcelanato Polido, Placa 120x120cm</t>
  </si>
  <si>
    <t>Revestimento de Piso Porcelanato Matiz Agave MT 30x90 - Eliane Revestimentos</t>
  </si>
  <si>
    <t>Revestimento de Piso Porcelanato preto e branco, Placa 90x90cm</t>
  </si>
  <si>
    <t>Revestimento de Piso Porcelanato Acetinado Mirage, Placa 90x90cm</t>
  </si>
  <si>
    <t>Revestimento em Cerâmicas Pisos Internos, 45x 45cm com Junta de 3mm</t>
  </si>
  <si>
    <t>Revestimento em Pastilha vítrea decorada, padrão customizado, placa 30x30 cm</t>
  </si>
  <si>
    <t>Revestimento de Piso Porcelanato externo ceres plus pisoforte, 76x76cm, simples</t>
  </si>
  <si>
    <t>Revestimento de Piso Porcelanato externo granilhado, 76x76cm, simples</t>
  </si>
  <si>
    <t>Revestimento de Piso Porcelanato, 76x76cm, simples</t>
  </si>
  <si>
    <t>Revestimento de Piso Porcelanato Interno Cimentício Acetinado Borda Reta Interno 120x120cm Munari Branco Eliane</t>
  </si>
  <si>
    <t>Revestimento emborrachado piso interno (Academia)- Material e Mão de Obra</t>
  </si>
  <si>
    <t>Revestimento de Piso de granito preto são gabriel</t>
  </si>
  <si>
    <t>Rodapé de cerâmico h=10cm</t>
  </si>
  <si>
    <t>Rodapé de cerâmico h=43cm</t>
  </si>
  <si>
    <t>Rodapé de porcelanato h=15cm, Padrão Nobre</t>
  </si>
  <si>
    <t>Soleira em granito preto são gabriel</t>
  </si>
  <si>
    <t>Pavimentação em Piso drenante 45x45 cm</t>
  </si>
  <si>
    <t>Pintura em Tinta piso em Rodapé, Aplicação Manual, 2 Demãos</t>
  </si>
  <si>
    <t>Tinta Piso</t>
  </si>
  <si>
    <t>Pintura em Resina em Rodapé, Aplicação Manual, 2 Demãos (m)</t>
  </si>
  <si>
    <t>TINTA ACRILICA PREMIUM COR AMARELA</t>
  </si>
  <si>
    <t>TINTA ACRILICA PREMIUM COR AZUL</t>
  </si>
  <si>
    <t>TINTA ACRILICA PREMIUM COR CHARCOAL</t>
  </si>
  <si>
    <t>TINTA ACRILICA PREMIUM COR DESEMPENA DE CONCRETO</t>
  </si>
  <si>
    <t>Suvinil Toque Acetinada Completo Pinhão</t>
  </si>
  <si>
    <t>Suvinil Toque Acetinada Completo Sambaqui</t>
  </si>
  <si>
    <t>Suvinil Toque Acetinada Completo Carvão mineral</t>
  </si>
  <si>
    <t>Suvinil Toque Fosco Completo Pinhão</t>
  </si>
  <si>
    <t>Suvinil Toque Fosco Completo Sambaqui</t>
  </si>
  <si>
    <t>Suvinil Toque Fosco Completo Carvão mineral</t>
  </si>
  <si>
    <t>Suvinil Toque Fosco Completo branco</t>
  </si>
  <si>
    <t>Tinta ACRÍLICO TOQUE DE SEDA ACETINADO</t>
  </si>
  <si>
    <t>Impermeabilizante Suviflex 18 Litros Branco Suvinil</t>
  </si>
  <si>
    <t>Cal hidratada CH-III (saco 20 kg)</t>
  </si>
  <si>
    <t>Textura acrílica pigmentada pronta</t>
  </si>
  <si>
    <t>Pigmento mineral (óxido de ferro / pó xadrez)</t>
  </si>
  <si>
    <t>Cola PVA (adesivo)</t>
  </si>
  <si>
    <t>MASSA TEXTURIZADA ACRÍLICA IBRATIN PADRÃO GRANELLI 898A0A MANCHESTER MÁXIMO - MARROM</t>
  </si>
  <si>
    <t xml:space="preserve"> MASSA TEXTURIZADA ACRÍLICA IBRATIN PADRÃO GRANELLI 898A0L MANCHESTER CLARO - BEGE CLARO</t>
  </si>
  <si>
    <t>MASSA TEXTURIZADA ACRÍLICA IBRATIN PADRÃO GRANELLI 898A0R MANCHESTER MÍNIMO - BEGE ESCURO</t>
  </si>
  <si>
    <t>Pintura em tinta para piso, Aplicação Manual, 2 Demãos</t>
  </si>
  <si>
    <t>Pintura em Resina em Piso, Aplicação Manual, 2 Demãos</t>
  </si>
  <si>
    <t>Textura acrílica aplicação em paredes internas, 1 demão (sem selador)</t>
  </si>
  <si>
    <t>Pintura em Látex Acrilica para faixa de garagem, em parede, 2 demão</t>
  </si>
  <si>
    <t>Pintura em caiação, em parede, 1 demão</t>
  </si>
  <si>
    <t xml:space="preserve">Pintura com tinta látex acrílica com selador e massa em tetos, 3 demãos </t>
  </si>
  <si>
    <t>Textura acrílica aplicação rolada em paredes internas, 1 demão</t>
  </si>
  <si>
    <t>Textura acrílica pigmentada aplicação em paredes internas, 1 demão</t>
  </si>
  <si>
    <t>Selador acrilico em Paredes Internas</t>
  </si>
  <si>
    <t>Pintura Com Tinta Latex Acrilica em Paredes Internas, 3 Demaos (Somente tinta e fundo) - verde claro</t>
  </si>
  <si>
    <t>Pintura Com Tinta Latex Acrilica em Paredes Internas, 3 Demaos (Somente tinta e fundo) - areia</t>
  </si>
  <si>
    <t>Pintura Com Tinta Latex Acrilica em Paredes Internas, 3 Demaos (Somente tinta e fundo) - marrom</t>
  </si>
  <si>
    <t>Pintura Com Tinta Latex Acrilica em Paredes Internas, 3 Demaos (Somente tinta e fundo) - concreto queimado</t>
  </si>
  <si>
    <t>Pintura Com Tinta Latex Acrilica em Paredes Internas, 3 Demaos (Somente tinta e fundo) - Laranja</t>
  </si>
  <si>
    <t>Pintura Com Tinta Latex Acrilica em Paredes Internas, 3 Demaos (Somente tinta e fundo) - Azul</t>
  </si>
  <si>
    <t>Pintura Com Tinta Latex Acrilica em tetos, 3 Demaos (Somente tinta e fundo)</t>
  </si>
  <si>
    <t>Massa corrida em tetos</t>
  </si>
  <si>
    <t>Textura acrílica aplicação rolada em tetos, 1 demão</t>
  </si>
  <si>
    <t>Esquadrias de Alumínio do duplex - fornecimento e instalação</t>
  </si>
  <si>
    <t>Esquadrias de Alumínio, linha 25 supreme - fornecimento e instalação</t>
  </si>
  <si>
    <t>Esquadrias de Alumínio, linha 32 gold - fornecimento e instalação</t>
  </si>
  <si>
    <t>Contramarco pequeno de Alumínio, Fixação com Argamassa</t>
  </si>
  <si>
    <t>CONTRAMARCO DE ALUMINIO Pequeno</t>
  </si>
  <si>
    <t>Contramarco grande de Alumínio, Fixação com Argamassa</t>
  </si>
  <si>
    <t>CONTRAMARCO DE ALUMINIO grande</t>
  </si>
  <si>
    <t>Un</t>
  </si>
  <si>
    <t>Guarda Corpo de Vidro - fornecimento e instalação</t>
  </si>
  <si>
    <t>Gradil - fornecimento e instalação</t>
  </si>
  <si>
    <t>Guarda Corpo metálico (gradil) - fornecimento e instalação</t>
  </si>
  <si>
    <t>Sistema Brise Metalon com estrutura e suportes de alumínio e pintura eletrostática preta</t>
  </si>
  <si>
    <t>Sistema Brise Sul Metais SMB30 (Cor Tabaco SM 7182)</t>
  </si>
  <si>
    <t>Sistema Gradil Sul Metais SMB30 (Cor Tabaco SM 7182)</t>
  </si>
  <si>
    <t>Corrimão Metálico Duplo - fornecimento e instalação</t>
  </si>
  <si>
    <t>Corrimão metálico</t>
  </si>
  <si>
    <t>Porta de madeira de abrir - 60x150cm (kit completo)</t>
  </si>
  <si>
    <t>Porta de madeira de Correr - 70x210cm (kit completo)</t>
  </si>
  <si>
    <t>Porta de madeira de Correr - 110x210cm (kit completo)</t>
  </si>
  <si>
    <t>Porta de madeira de Correr - 120x210cm (kit completo)</t>
  </si>
  <si>
    <t>Porta de madeira de Correr - 135x210cm (kit completo)</t>
  </si>
  <si>
    <t>Porta de madeira de Correr - 150x210cm (kit completo)</t>
  </si>
  <si>
    <t>Porta corta-fogo, 1 folha, 90x210 cm</t>
  </si>
  <si>
    <t>Porta corta-fogo, 1 folha, 96x210 cm</t>
  </si>
  <si>
    <t>Portão, 1 folha, 320x245 cm</t>
  </si>
  <si>
    <t>Portão, 1 folha, 320x220 cm</t>
  </si>
  <si>
    <t>Portão, 1 folha, 90x220 cm</t>
  </si>
  <si>
    <t>Portão, 2 folha, 150x112 cm</t>
  </si>
  <si>
    <t>Portão, 1 folha, 320x295 cm</t>
  </si>
  <si>
    <t>Porta de madeira de abrir - 60x150cm (kit completo) - fixação com espuma expansiva</t>
  </si>
  <si>
    <t>Porta de madeira de abrir - 110x210cm (kit completo) - fixação com espuma expansiva</t>
  </si>
  <si>
    <t>Porta de madeira de Correr - 70x210cm (kit completo) - fixação com espuma expansiva</t>
  </si>
  <si>
    <t>Porta de madeira de Correr - 90x210cm (kit completo) - fixação com espuma expansiva</t>
  </si>
  <si>
    <t>Porta de madeira de Correr - 110x210cm (kit completo) - fixação com espuma expansiva</t>
  </si>
  <si>
    <t>Porta de madeira de Correr - 120x210cm (kit completo) - fixação com espuma expansiva</t>
  </si>
  <si>
    <t>Porta de madeira de Correr - 135x210cm (kit completo) - fixação com espuma expansiva</t>
  </si>
  <si>
    <t>Porta de madeira de Correr - 150x210cm (kit completo) - fixação com espuma expansiva</t>
  </si>
  <si>
    <t>Revestimento externo de porcelanato villagers 82x141,5 retificado externo</t>
  </si>
  <si>
    <t>Revestimento  externo de porcelanato retificado em Paredes, Cinza claro, Placa 60 x 60cm com Junta de 2mm</t>
  </si>
  <si>
    <t>Revestimento  externo de porcelanato retificado em Paredes, Cinza, Placa 60 x 60cm com Junta de 2mm</t>
  </si>
  <si>
    <t>Revestimento  externo de porcelanato retificado Preto em Paredes, Placa 60 x 60cm com Junta de 2mm</t>
  </si>
  <si>
    <t>Sistema Muxarabi 100 X 100mm - Arkwood X</t>
  </si>
  <si>
    <t>Sistema Brise 30x50cm - Arkwood K</t>
  </si>
  <si>
    <t>Brise de Alumínio Marrom - Decoração Fachada</t>
  </si>
  <si>
    <t>Pintura Com Tinta Latex Acrilica em Paredes Externas, 3 Demaos (Incluso fundo e massa) - Cor preto</t>
  </si>
  <si>
    <t>Pintura Com Tinta Acetinada em Paredes Externas, 2 Demaos (Incluso fundo e massa) - Cor Cinza claro</t>
  </si>
  <si>
    <t>Pintura Com Tinta Acetinada em Paredes Externas, 2 Demaos (Incluso fundo e massa) - Cor Marrom</t>
  </si>
  <si>
    <t>Pintura Com  Tinta Acetinada em Paredes Externas, 2 Demaos (Incluso fundo e massa) - Cor Cinza escuro</t>
  </si>
  <si>
    <t>Pintura Com  Tinta Acetinada em Paredes Externas, 2 Demaos (Incluso fundo e massa) - Cor Branco</t>
  </si>
  <si>
    <t>Pintura Com Tinta Fosca em Paredes Externas, 2 Demaos (Incluso fundo e massa) - Cor Cinza claro</t>
  </si>
  <si>
    <t>Pintura Com Tinta Fosca em Paredes Externas, 2 Demaos (Incluso fundo e massa) - Cor Marrom</t>
  </si>
  <si>
    <t>Pintura Com  Tinta Fosca em Paredes Externas, 2 Demaos (Incluso fundo e massa) - Cor Cinza escuro</t>
  </si>
  <si>
    <t>Pintura Com  Tinta Fosca em Paredes Externas, 2 Demaos (Incluso fundo e massa) - Cor Branco</t>
  </si>
  <si>
    <t>Pintura com tinta suviflez emborrachada, 2 demãos, parede externa</t>
  </si>
  <si>
    <t>Pintura Com  Tinta Fosca em Paredes Externas, 1 Demaos</t>
  </si>
  <si>
    <t>Massa texturizada pigmentada acrilica Granelli Manchester Mínimo, cor bege escuro, em Paredes Externas, 1 Demaos</t>
  </si>
  <si>
    <t>Massa texturizada pigmentada acrilica Granelli Manchester, cor marrom, Máximo em Paredes Externas, 1 Demaos</t>
  </si>
  <si>
    <t>Massa texturizada pigmentada acrilica Granelli Manchester Claro, corbege claro, em Paredes Externas, 1 Demaos</t>
  </si>
  <si>
    <t>Pintura com tinta acetinada, 1 demãos, parede externa</t>
  </si>
  <si>
    <t>Pintura Com Tinta Latex Acrilica em Paredes Externas, 3 Demaos (Incluso fundo e massa) - Branco</t>
  </si>
  <si>
    <t>Pintura Com Tinta Latex Acrilica em Paredes Externas, 3 Demaos (Incluso fundo e massa) - Charcoal</t>
  </si>
  <si>
    <t>Pintura Com Tinta Latex Acrilica em Paredes Externas, 3 Demaos (Incluso fundo e massa) - Empena de concreto</t>
  </si>
  <si>
    <t>Textura acrílica, acabamento suave, aplicação em paredes externas - 1 demão - Cinza escuro</t>
  </si>
  <si>
    <t>Lavatorio para banheiros suspenso PNE</t>
  </si>
  <si>
    <t>Logasa Lavatório Suspenso de Canto</t>
  </si>
  <si>
    <t>Rufo em alumínio - m2</t>
  </si>
  <si>
    <t xml:space="preserve">SERVIÇOS TÉCNICOS </t>
  </si>
  <si>
    <t>-</t>
  </si>
  <si>
    <t>Memorial descritivo</t>
  </si>
  <si>
    <t>Levantamento topográfico</t>
  </si>
  <si>
    <t>Legalização de incorporação</t>
  </si>
  <si>
    <t xml:space="preserve">Projeto Arquitetônico interiores </t>
  </si>
  <si>
    <t>Ensaios</t>
  </si>
  <si>
    <t>Licenciamentos, Taxas, Impostos, Aprovações e Seguros</t>
  </si>
  <si>
    <t>Despesas de Seguros</t>
  </si>
  <si>
    <t>Avaliação e Legalização ambiental</t>
  </si>
  <si>
    <t>Aprovação e legalização prefeitura</t>
  </si>
  <si>
    <t>Aprovação e legalização água e esgoto</t>
  </si>
  <si>
    <t>Aprovação e legalização elétrico</t>
  </si>
  <si>
    <t>Taxas ART</t>
  </si>
  <si>
    <t>Taxas alvará</t>
  </si>
  <si>
    <t>Despesas cartório, licenças, certidões e jurídicas</t>
  </si>
  <si>
    <t>Incorporação</t>
  </si>
  <si>
    <t>IPTU</t>
  </si>
  <si>
    <t>Taxa Habite-se</t>
  </si>
  <si>
    <t>Documentos</t>
  </si>
  <si>
    <t>Manuais técnicos condomínio/proprietários</t>
  </si>
  <si>
    <t>Certidão INSS</t>
  </si>
  <si>
    <t>SERVIÇOS INICIAIS</t>
  </si>
  <si>
    <t>SEGURANÇA, MEIO AMBIENTE E SAÚDE</t>
  </si>
  <si>
    <t>Segurança do Trabalho</t>
  </si>
  <si>
    <t>Equipamentos de proteção individual - EPI</t>
  </si>
  <si>
    <t>Equipamentos de proteção</t>
  </si>
  <si>
    <t>Guarda-corpo de vãos, fixado em fôrma de madeira, em trama de madeira com tela de polipropileno</t>
  </si>
  <si>
    <t>Guarda-corpo em laje pós-desforma com pontalete de madeira, travessões e tela</t>
  </si>
  <si>
    <t>Fechamento removível de vãos de porta de elevador em madeira</t>
  </si>
  <si>
    <t>Varal de segurança com cabo de aço (linha de vida)</t>
  </si>
  <si>
    <t>Tela SLQA</t>
  </si>
  <si>
    <t>Meio Ambiente</t>
  </si>
  <si>
    <t>Elaboração do Programa de Controle Médico de Saúde Ocupacional (PCMSO)</t>
  </si>
  <si>
    <t>Projetos de segurança do trabalho</t>
  </si>
  <si>
    <t>Elaboração do programa de gerenciamento de riscos (PGR)</t>
  </si>
  <si>
    <t>Remoção de entulhos e resíduos</t>
  </si>
  <si>
    <t>Saúde Ocupacional</t>
  </si>
  <si>
    <t>Medicamentos preventivos e de emergência</t>
  </si>
  <si>
    <t>Kit socorrista</t>
  </si>
  <si>
    <t>Dedetização, desratização e sanitização dos ambientes</t>
  </si>
  <si>
    <t>ADMINISTRAÇÃO E CANTEIRO DE OBRA</t>
  </si>
  <si>
    <t>Equipe de Gestão e Apoio</t>
  </si>
  <si>
    <t>Engenheiro Civil</t>
  </si>
  <si>
    <t>Almoxarife</t>
  </si>
  <si>
    <t>Despesas de Consumo e Manutenção</t>
  </si>
  <si>
    <t>Consumos Mensais: Água e Esgoto</t>
  </si>
  <si>
    <t>Consumos Mensais: Luz/energia</t>
  </si>
  <si>
    <t>Consumos Mensais: Internet</t>
  </si>
  <si>
    <t>Consumos Mensais: Coleta de Lixo</t>
  </si>
  <si>
    <t>Consumos Mensais: Material de higiêne e limpeza</t>
  </si>
  <si>
    <t>Consumos gerais: Fretes</t>
  </si>
  <si>
    <t>Consumos gerais: Consumo de cópias</t>
  </si>
  <si>
    <t>Consumos gerais: Despesas com vizinhos</t>
  </si>
  <si>
    <t>Mobiliario de apoio a obra</t>
  </si>
  <si>
    <t>Equipamentos de escritorio</t>
  </si>
  <si>
    <t>Manutenção de Canteiro de Obra</t>
  </si>
  <si>
    <t>Despesas de manutenção: Manutenção provisória do canteiro</t>
  </si>
  <si>
    <t>Despesas de manutenção: Manutenção provisória vigilância e acessos</t>
  </si>
  <si>
    <t>Instalações e Ligações Provisórias</t>
  </si>
  <si>
    <t>Instalações Provisórias (central de aço, formas, argamassa, almoxarifado geral, construções temporárias)</t>
  </si>
  <si>
    <t>Estimado - 2 conteiners</t>
  </si>
  <si>
    <t>Locação de banheiro químico</t>
  </si>
  <si>
    <t>Redes Provisórias: Rede de água fria, esgoto e drenagem</t>
  </si>
  <si>
    <t>Redes Provisórias: Redes elétricas, comunicação e dados</t>
  </si>
  <si>
    <t>Tapume em telha metálica trapezoidal</t>
  </si>
  <si>
    <t>Estimado</t>
  </si>
  <si>
    <t>SERVIÇOS PRELIMINARES</t>
  </si>
  <si>
    <t>Limpeza da camada vegetal</t>
  </si>
  <si>
    <t>Equipamentos de carga e transporte</t>
  </si>
  <si>
    <t>Equipamentos de obra</t>
  </si>
  <si>
    <t>Ferramentas/equipamentos</t>
  </si>
  <si>
    <t>Balancins e Andaimes</t>
  </si>
  <si>
    <t>Área Construída</t>
  </si>
  <si>
    <t>Valor (R$)</t>
  </si>
  <si>
    <t>Projeto de Impremeabilização</t>
  </si>
  <si>
    <t>Projeto de Piscina</t>
  </si>
  <si>
    <t>Compatibilização de Projetos BIM</t>
  </si>
  <si>
    <t>Ensaio de arrancamento revestimento cerâmico</t>
  </si>
  <si>
    <t>Ensaio de arrancamento fachada</t>
  </si>
  <si>
    <t>Laudo técnico de vistoria de entrega</t>
  </si>
  <si>
    <t>Meio ambiente</t>
  </si>
  <si>
    <t>Saúde ocupacional</t>
  </si>
  <si>
    <t>Auxiliar de engenharia</t>
  </si>
  <si>
    <t>Assistente administrativo</t>
  </si>
  <si>
    <t>Vigilância / portaria</t>
  </si>
  <si>
    <t>Instalações provisórias</t>
  </si>
  <si>
    <t>Sinalizacao geral da obra</t>
  </si>
  <si>
    <t>Consumos Mensais: Alimentação</t>
  </si>
  <si>
    <t>Consumos Mensais: Mateirial de expediênte/escritório</t>
  </si>
  <si>
    <t>Consumos gerais: Esgotamento de sistema sanitário temporário</t>
  </si>
  <si>
    <t>Consumos gerais: Gerador autônomo de energia</t>
  </si>
  <si>
    <t>Despesas de manutenção: Manutenção provisória elétrica</t>
  </si>
  <si>
    <t>Despesas de manutenção: Manutenção provisória hidrossanitária</t>
  </si>
  <si>
    <t>Equipamentos de Carga e Transporte</t>
  </si>
  <si>
    <t>Montagem e Desmontagem Elevador cremalheira</t>
  </si>
  <si>
    <t>Mobilização e Desmobilização Elevador cremalheira</t>
  </si>
  <si>
    <t>Manutenção Inicial Grua com torre movel</t>
  </si>
  <si>
    <t>Manutenção Periódica Grua com torre movel</t>
  </si>
  <si>
    <t>Montagem e Desmontagem Grua com torre movel</t>
  </si>
  <si>
    <t>Equipamentos de proteção coletiva</t>
  </si>
  <si>
    <t>Área</t>
  </si>
  <si>
    <t>Perímetro</t>
  </si>
  <si>
    <t>Pé Esquerdo</t>
  </si>
  <si>
    <t>Perímetro de vãos</t>
  </si>
  <si>
    <t>Comprimento de vãos sacadas</t>
  </si>
  <si>
    <t xml:space="preserve">Área das portas de elevadores </t>
  </si>
  <si>
    <t>Quantidade de elevadores</t>
  </si>
  <si>
    <t>Quantidade de pavimentos com elevadores</t>
  </si>
  <si>
    <t>Area da fachada</t>
  </si>
  <si>
    <t>Perímetro de projeção da torre 1</t>
  </si>
  <si>
    <t xml:space="preserve">Perímetro de Pavimentos </t>
  </si>
  <si>
    <t>Número de funcionários</t>
  </si>
  <si>
    <t>Produtividade média (h/m2)</t>
  </si>
  <si>
    <t>Área construída</t>
  </si>
  <si>
    <t>A.C/prazo</t>
  </si>
  <si>
    <t>Prazo da obra</t>
  </si>
  <si>
    <t>meses</t>
  </si>
  <si>
    <t>NF</t>
  </si>
  <si>
    <t>funcionários</t>
  </si>
  <si>
    <t>Pavimentos</t>
  </si>
  <si>
    <t>Barracão interno</t>
  </si>
  <si>
    <t>750,00/func.</t>
  </si>
  <si>
    <t xml:space="preserve">Banheiro </t>
  </si>
  <si>
    <t>1/20 func</t>
  </si>
  <si>
    <t>Área refeitório</t>
  </si>
  <si>
    <t>m²/funcionários</t>
  </si>
  <si>
    <t>Área de vestiário</t>
  </si>
  <si>
    <t>Custo total</t>
  </si>
  <si>
    <t>Área sanitários</t>
  </si>
  <si>
    <t>área lavatório</t>
  </si>
  <si>
    <t>Área de chuveiros</t>
  </si>
  <si>
    <t>* Central de armazenamento entre pavimentos</t>
  </si>
  <si>
    <t>para cada</t>
  </si>
  <si>
    <t>pessoas</t>
  </si>
  <si>
    <t>Descrição/Especificação</t>
  </si>
  <si>
    <t>V. Unit. (R$)</t>
  </si>
  <si>
    <t>Qtde.</t>
  </si>
  <si>
    <t>V. Total
(R$)</t>
  </si>
  <si>
    <t>Laudo e ART</t>
  </si>
  <si>
    <t>Controle Tecnologico - Coleta materiais da obra</t>
  </si>
  <si>
    <t>unid.</t>
  </si>
  <si>
    <t xml:space="preserve">4 CPs por caminhão betoneira de 8m³ </t>
  </si>
  <si>
    <t>Controle Tecnológico - Ensaio de concreto endurecido/grouth - compressão simples / Detalhe: Concreto</t>
  </si>
  <si>
    <t>cps</t>
  </si>
  <si>
    <t>Determinação do módulo de deformação tangente inicial (Eci) (módulo de elasticidade), Incluindo Avaliação Estática dos Resultados (NBR 8522 e NBR 12655)</t>
  </si>
  <si>
    <t>ensaio</t>
  </si>
  <si>
    <r>
      <rPr>
        <b/>
        <sz val="9"/>
        <color rgb="FF7F7F7F"/>
        <rFont val="Poppins"/>
      </rPr>
      <t>A cada 5 pav.</t>
    </r>
    <r>
      <rPr>
        <sz val="9"/>
        <color rgb="FF7F7F7F"/>
        <rFont val="Poppins"/>
      </rPr>
      <t xml:space="preserve"> (e quando houver troca de fornecedor)</t>
    </r>
  </si>
  <si>
    <t>PAREDE DIAFRAGMA</t>
  </si>
  <si>
    <t>PARDE CORTINA</t>
  </si>
  <si>
    <t>ENSAIOS PARA ARGAMASSA DE REVESTIMENTO (FACHADA)</t>
  </si>
  <si>
    <r>
      <rPr>
        <b/>
        <sz val="9"/>
        <color theme="1"/>
        <rFont val="Poppins"/>
      </rPr>
      <t xml:space="preserve">Ensaio de arrancamento de argamassa de revestimento </t>
    </r>
    <r>
      <rPr>
        <sz val="9"/>
        <color theme="1"/>
        <rFont val="Poppins"/>
      </rPr>
      <t xml:space="preserve">
Determinação da aderencia a tração</t>
    </r>
  </si>
  <si>
    <t>ensaios</t>
  </si>
  <si>
    <t>ENSAIO PARA REVESTIMENTOS CERÂMICOS</t>
  </si>
  <si>
    <r>
      <rPr>
        <sz val="9"/>
        <color theme="1"/>
        <rFont val="Poppins"/>
      </rPr>
      <t>Aderência em Revestimento Cerâmico</t>
    </r>
    <r>
      <rPr>
        <b/>
        <u/>
        <sz val="9"/>
        <color theme="1"/>
        <rFont val="Poppins"/>
      </rPr>
      <t xml:space="preserve">
</t>
    </r>
    <r>
      <rPr>
        <sz val="9"/>
        <color theme="1"/>
        <rFont val="Poppins"/>
      </rPr>
      <t>Determinação da aderência a tração (NBR 13754)</t>
    </r>
  </si>
  <si>
    <t>1 ensaio por referência de produto</t>
  </si>
  <si>
    <t xml:space="preserve">VALOR TOTAL: </t>
  </si>
  <si>
    <t>Quantidade de Ensaios:</t>
  </si>
  <si>
    <t>Etapas</t>
  </si>
  <si>
    <t>Qtdade</t>
  </si>
  <si>
    <t>Indice Parametrico</t>
  </si>
  <si>
    <t>PAREDE CORTINA</t>
  </si>
  <si>
    <t>Dados</t>
  </si>
  <si>
    <t>Área de Embasamento</t>
  </si>
  <si>
    <t>Perímetro de Embasamento</t>
  </si>
  <si>
    <t>Taxas de consulta de viabilidade</t>
  </si>
  <si>
    <t>Taxa LAP, AUC, LAI e LAO</t>
  </si>
  <si>
    <t>Guarda-corpo em laje pós-desforma com Escora metálica, travessões e tela</t>
  </si>
  <si>
    <t>Fechamento removível de vãos de porta de entrada dos aptos. em madeira</t>
  </si>
  <si>
    <t>Fechamento removível de abertura no piso do elevador em madeira</t>
  </si>
  <si>
    <t>1 ensaio por torre (consideramos 1 embassamento + 1 torre)</t>
  </si>
  <si>
    <t>Fechamento removível de vãos em madeira de portas de elevador</t>
  </si>
  <si>
    <t>EFEG - Teste de Carga</t>
  </si>
  <si>
    <t>Solugeot - Teste de Carga</t>
  </si>
  <si>
    <t>Concreto  - Teste de Carga</t>
  </si>
  <si>
    <t>Travessão metálico 2"</t>
  </si>
  <si>
    <t>Observgações</t>
  </si>
  <si>
    <t>MATERIAIS</t>
  </si>
  <si>
    <t>CUSTOS INDIRETOS</t>
  </si>
  <si>
    <t>TERRAPLENAGEM E LIMPEZA</t>
  </si>
  <si>
    <t>MOVIMENTAÇÃO DE TERRA PARA FUNDAÇÕES</t>
  </si>
  <si>
    <t>DADOS DO EMPREENDIMENTO</t>
  </si>
  <si>
    <t xml:space="preserve">Projeto: </t>
  </si>
  <si>
    <t xml:space="preserve">Empresa: </t>
  </si>
  <si>
    <t>Cidade/ES:</t>
  </si>
  <si>
    <t xml:space="preserve">Revisão: </t>
  </si>
  <si>
    <t xml:space="preserve">Pazo de Obra: </t>
  </si>
  <si>
    <t xml:space="preserve">Nº Unid. Residenciais: </t>
  </si>
  <si>
    <t xml:space="preserve">Área do Terreno: </t>
  </si>
  <si>
    <t xml:space="preserve">Nº Unid. Comerciais: </t>
  </si>
  <si>
    <t xml:space="preserve">Área Construída: </t>
  </si>
  <si>
    <t xml:space="preserve">Nº Pavimentos: </t>
  </si>
  <si>
    <t xml:space="preserve">Área Privativa: </t>
  </si>
  <si>
    <t xml:space="preserve">Total de Dormitórios: </t>
  </si>
  <si>
    <t>Área de Lazer:</t>
  </si>
  <si>
    <t xml:space="preserve">Nº Subsolos: </t>
  </si>
  <si>
    <t>Área Comercial:</t>
  </si>
  <si>
    <t xml:space="preserve">Nº Vagas: </t>
  </si>
  <si>
    <t xml:space="preserve">Torre </t>
  </si>
  <si>
    <t>Área Privativa</t>
  </si>
  <si>
    <t>Pé direito</t>
  </si>
  <si>
    <t>Áreas Comuns</t>
  </si>
  <si>
    <t xml:space="preserve">Área </t>
  </si>
  <si>
    <t>Casa de máquinas</t>
  </si>
  <si>
    <t>Piscina</t>
  </si>
  <si>
    <t>CONTROLE TECNOLÓGICO DE CONCRETO  E ENSAIOS</t>
  </si>
  <si>
    <t>Térreo</t>
  </si>
  <si>
    <t>Garagem</t>
  </si>
  <si>
    <t>Lazer</t>
  </si>
  <si>
    <t>Tipo Dif</t>
  </si>
  <si>
    <t>Barrilete e Reservatórios</t>
  </si>
  <si>
    <t>GARAGEM 01</t>
  </si>
  <si>
    <t>GARAGEM 02</t>
  </si>
  <si>
    <t>GARAGEM 03</t>
  </si>
  <si>
    <t>GARAGEM 04</t>
  </si>
  <si>
    <t>TIPO DIFERENCIADO 01</t>
  </si>
  <si>
    <t>TIPO DIFERENCIADO 02</t>
  </si>
  <si>
    <t>TIPO (30x)</t>
  </si>
  <si>
    <t>DUPLEX INFERIOR (3x)</t>
  </si>
  <si>
    <t>DUPLEX SUPERIOR (3x)</t>
  </si>
  <si>
    <t>LAZER 3</t>
  </si>
  <si>
    <t>CASA DE MÁQUINAS</t>
  </si>
  <si>
    <t>Torre 1</t>
  </si>
  <si>
    <t>BARRILETE | RESERVATÓRIOS</t>
  </si>
  <si>
    <t>R$ ESCOR. / m2</t>
  </si>
  <si>
    <t>ÍNDICE</t>
  </si>
  <si>
    <t>Projeto:</t>
  </si>
  <si>
    <t>Empresa:</t>
  </si>
  <si>
    <t>Revisão:</t>
  </si>
  <si>
    <t>Disciplina</t>
  </si>
  <si>
    <t>Área Pavimento</t>
  </si>
  <si>
    <t>Mpa</t>
  </si>
  <si>
    <t>Forma Convencional</t>
  </si>
  <si>
    <t>Forma Nervurada</t>
  </si>
  <si>
    <t>Cubeta inteira</t>
  </si>
  <si>
    <t>Meia Cubeta</t>
  </si>
  <si>
    <t>Ø5.0mm 
0,154 kg/m</t>
  </si>
  <si>
    <t>Ø6.3mm 
0,245 kg/m</t>
  </si>
  <si>
    <t>Ø8.0mm
 0,395 kg/m</t>
  </si>
  <si>
    <t>Ø10.0mm
 0,617 kg/m</t>
  </si>
  <si>
    <t>Ø12.5mm
 0,963 kg/m</t>
  </si>
  <si>
    <t>Ø16.0mm
 1,578 kg/m</t>
  </si>
  <si>
    <t>Ø20.0mm
 2,466 kg/m</t>
  </si>
  <si>
    <t>Ø25.0mm
 3,853 kg/m</t>
  </si>
  <si>
    <t>Contenções</t>
  </si>
  <si>
    <t>Viga Coroamento</t>
  </si>
  <si>
    <t>Fundação</t>
  </si>
  <si>
    <t>Blocos</t>
  </si>
  <si>
    <t>Pilares</t>
  </si>
  <si>
    <t>Vigas</t>
  </si>
  <si>
    <t xml:space="preserve">Contrapiso </t>
  </si>
  <si>
    <t>Cisternas</t>
  </si>
  <si>
    <t>Dutos</t>
  </si>
  <si>
    <t>Supraestrutura</t>
  </si>
  <si>
    <t>Lajes</t>
  </si>
  <si>
    <t>Escadas</t>
  </si>
  <si>
    <t>Reservatório</t>
  </si>
  <si>
    <t>EAP</t>
  </si>
  <si>
    <t>MARCENARIA</t>
  </si>
  <si>
    <t>1.1.</t>
  </si>
  <si>
    <t>1.</t>
  </si>
  <si>
    <t>OBSERVAÇÕES</t>
  </si>
  <si>
    <t>Apoio</t>
  </si>
  <si>
    <t>Medição</t>
  </si>
  <si>
    <t>QUANTITATIVOS</t>
  </si>
  <si>
    <t>Endereço</t>
  </si>
  <si>
    <t>Cidade</t>
  </si>
  <si>
    <t>Cliente</t>
  </si>
  <si>
    <t>Titulo</t>
  </si>
  <si>
    <t>DADOS</t>
  </si>
  <si>
    <t>ITEM</t>
  </si>
  <si>
    <t>Descição</t>
  </si>
  <si>
    <t>Largura</t>
  </si>
  <si>
    <t>Comprimento</t>
  </si>
  <si>
    <t>Altura</t>
  </si>
  <si>
    <t>Perímetro Externo</t>
  </si>
  <si>
    <t>Largura Adicional</t>
  </si>
  <si>
    <t>Escavação</t>
  </si>
  <si>
    <t>Apiolamento</t>
  </si>
  <si>
    <t>Reaterro</t>
  </si>
  <si>
    <t>Bota-fora</t>
  </si>
  <si>
    <t xml:space="preserve">Lastro </t>
  </si>
  <si>
    <t>Fôrma</t>
  </si>
  <si>
    <t>Imperm</t>
  </si>
  <si>
    <t>Lona</t>
  </si>
  <si>
    <t>Detalhe Típico</t>
  </si>
  <si>
    <t>Und.</t>
  </si>
  <si>
    <t>A - a1+ a2</t>
  </si>
  <si>
    <t>a2</t>
  </si>
  <si>
    <t>B</t>
  </si>
  <si>
    <t>b2</t>
  </si>
  <si>
    <t>b1</t>
  </si>
  <si>
    <t>H</t>
  </si>
  <si>
    <t>H0</t>
  </si>
  <si>
    <t>H1</t>
  </si>
  <si>
    <t>lados</t>
  </si>
  <si>
    <t>A</t>
  </si>
  <si>
    <t>esp</t>
  </si>
  <si>
    <t>BLOCOS QUADRADOS RETANGULARES</t>
  </si>
  <si>
    <t>VIGAS  FUNDAÇÃO</t>
  </si>
  <si>
    <t>LAJE DE FUNDAÇÃO</t>
  </si>
  <si>
    <t>DUTO E CISTERNA</t>
  </si>
  <si>
    <t>* espessuras</t>
  </si>
  <si>
    <t xml:space="preserve">Cisterna - Laje fundo </t>
  </si>
  <si>
    <t>Cisterna - 'Laje Superior</t>
  </si>
  <si>
    <t xml:space="preserve">Item </t>
  </si>
  <si>
    <t>Ø peça</t>
  </si>
  <si>
    <t>C. Apoio</t>
  </si>
  <si>
    <t>Comprimento total</t>
  </si>
  <si>
    <t>Taxa de aço kg/m3</t>
  </si>
  <si>
    <t>GESTÃO DOS PROJETOS</t>
  </si>
  <si>
    <t>DISCIPLINA</t>
  </si>
  <si>
    <t>PROJETOS</t>
  </si>
  <si>
    <t>STATUS</t>
  </si>
  <si>
    <t>LEGENDA</t>
  </si>
  <si>
    <t>NÃO SE APLICA</t>
  </si>
  <si>
    <t>PENDENTE</t>
  </si>
  <si>
    <t>REVISADO</t>
  </si>
  <si>
    <t>RECEBIDO</t>
  </si>
  <si>
    <t>ESTRUTURA</t>
  </si>
  <si>
    <t>TERRAPLENAGEM</t>
  </si>
  <si>
    <t>ARQUITETURA</t>
  </si>
  <si>
    <t>COMPLEMENTARES</t>
  </si>
  <si>
    <t>CISTERNA</t>
  </si>
  <si>
    <t>GERAL</t>
  </si>
  <si>
    <t>EQUIPAMENTOS HIDROMASSAGEM</t>
  </si>
  <si>
    <t>EQUIPAMENTOS PISCINA</t>
  </si>
  <si>
    <t>LOUÇAS/ METAIS/ BANCADAS</t>
  </si>
  <si>
    <t>CAMINHO</t>
  </si>
  <si>
    <t>INSTALAÇÕES PLUVIAL</t>
  </si>
  <si>
    <t>INSTALAÇÕES ELÉTRICA</t>
  </si>
  <si>
    <t>INSTALAÇÕES TELEFONIA</t>
  </si>
  <si>
    <t>INSTALAÇÕES POTÁVEL</t>
  </si>
  <si>
    <t>INSTALAÇÕES ESGOTO</t>
  </si>
  <si>
    <t>INSTALAÇÕES PCI</t>
  </si>
  <si>
    <t>MOBILIÁRIO</t>
  </si>
  <si>
    <t>INTERIORES</t>
  </si>
  <si>
    <t>LEVANTAMENTO ESQUADRIAS</t>
  </si>
  <si>
    <t>Largura 
(Cm)</t>
  </si>
  <si>
    <t>Altura 
(Cm)</t>
  </si>
  <si>
    <t>Total 
m2/m</t>
  </si>
  <si>
    <t>Total 
un</t>
  </si>
  <si>
    <t>Garagem G1</t>
  </si>
  <si>
    <t>Garagem G2</t>
  </si>
  <si>
    <t>Garagem G3</t>
  </si>
  <si>
    <t>Garagem G4</t>
  </si>
  <si>
    <t>Cuto
Total</t>
  </si>
  <si>
    <t>Porta Madeira</t>
  </si>
  <si>
    <t>Corrimão Madeira (m)</t>
  </si>
  <si>
    <t>Brise de Madeira (m)</t>
  </si>
  <si>
    <t>ContraMarco</t>
  </si>
  <si>
    <t xml:space="preserve">CONTRAMARCO </t>
  </si>
  <si>
    <t>Portões Alumínio</t>
  </si>
  <si>
    <t>Portas Alumínio</t>
  </si>
  <si>
    <t>Brise de Alumínio (m2)</t>
  </si>
  <si>
    <t>Guarda Corpo  Alumínio(m)</t>
  </si>
  <si>
    <t>Esquadria de Vidro</t>
  </si>
  <si>
    <t>Portas/Portões Ferro</t>
  </si>
  <si>
    <t>Janela / Basculhante / Veneziana Ferro (un)</t>
  </si>
  <si>
    <t>Gradil/Guarda Corpo Ferro (m2)</t>
  </si>
  <si>
    <t>Corrimão Ferro (m)</t>
  </si>
  <si>
    <t>Escada Ferro (un)</t>
  </si>
  <si>
    <t>Filtro de areia V-20 Veico</t>
  </si>
  <si>
    <t xml:space="preserve">un </t>
  </si>
  <si>
    <t>Filtro de areia V-50 Veico</t>
  </si>
  <si>
    <t>Motobomba Alaska plus 2cv monofásica</t>
  </si>
  <si>
    <t>Motobomba Alaska plus 3cv monofásica</t>
  </si>
  <si>
    <t>Gerador de cloro Genesis 20 Veico pro</t>
  </si>
  <si>
    <t>Dosador de pastilhas Basic capacidade máx 2kg</t>
  </si>
  <si>
    <t>Bomba de calor TOP+24 full inverter monofásica</t>
  </si>
  <si>
    <t>Motobomba Fluvia ¾ mono 220v</t>
  </si>
  <si>
    <t>Válvula de retenção PVC-U Portinhola</t>
  </si>
  <si>
    <t>Filtro de cartucho Jacuzzi CWF 150</t>
  </si>
  <si>
    <t>Bomba dosadora Seko TPR 603</t>
  </si>
  <si>
    <t>Fonte para iluminação led Tholz 20w</t>
  </si>
  <si>
    <t>Controladora Tholz basic Smart Pool 40w</t>
  </si>
  <si>
    <t>Mão de obra para instalação</t>
  </si>
  <si>
    <t>Painel de comando</t>
  </si>
  <si>
    <t>pç</t>
  </si>
  <si>
    <t>REVESTIMENTOS E ACABAMENTOS DE FACHADA</t>
  </si>
  <si>
    <t>INSTALAÇÕES E EQUIPAMENTOS E SISTEMAS ESPECIAIS</t>
  </si>
  <si>
    <t>TAPETES</t>
  </si>
  <si>
    <t>MÓVEIS SOLTOS</t>
  </si>
  <si>
    <t>ILUMINAÇÃO</t>
  </si>
  <si>
    <t>OBJETOS DE DECORAÇÃO</t>
  </si>
  <si>
    <t>Decoração</t>
  </si>
  <si>
    <t>Led - 10 metros</t>
  </si>
  <si>
    <t>ENXOVAL, LIXEIRA</t>
  </si>
  <si>
    <t>EQIPAMENTOS ELETRONICOS</t>
  </si>
  <si>
    <t>ESTOFADOS</t>
  </si>
  <si>
    <t>ELETRODOMÉSTICOS</t>
  </si>
  <si>
    <t>EQUIPAMENTOS DE ACADEMIA</t>
  </si>
  <si>
    <t>Espelhos 2,20m x 1,80m</t>
  </si>
  <si>
    <t>CORTINAS E PERSIANAS</t>
  </si>
  <si>
    <t>TÉRREO</t>
  </si>
  <si>
    <t>Iluminação Parede</t>
  </si>
  <si>
    <t>ORÇAMENTO EXECUTIVO</t>
  </si>
  <si>
    <t>Categoria</t>
  </si>
  <si>
    <t>Validação</t>
  </si>
  <si>
    <t>Lastro
Brita</t>
  </si>
  <si>
    <t>Lastro
Concreto</t>
  </si>
  <si>
    <t>Grount</t>
  </si>
  <si>
    <t>TORRE 1</t>
  </si>
  <si>
    <t>Elizabeth II Royal Home</t>
  </si>
  <si>
    <t>Gessele</t>
  </si>
  <si>
    <t xml:space="preserve">R00 </t>
  </si>
  <si>
    <t>Rua 247, 85, Meia Praia, Itapema, SC</t>
  </si>
  <si>
    <t>Itapema, SC</t>
  </si>
  <si>
    <t>17.010.495/0001-32</t>
  </si>
  <si>
    <t>ÁREA – 1º PAVTO. (TÉRREO)</t>
  </si>
  <si>
    <t>ÁREA – MEZANINO DO 1º PAVTO.</t>
  </si>
  <si>
    <t>ÁREA – 2º PAVIMENTO</t>
  </si>
  <si>
    <t>ÁREA – MEZANINO DO 2º PAVTO.</t>
  </si>
  <si>
    <t>ÁREA – 3º PAVIMENTO</t>
  </si>
  <si>
    <t>ÁREA – MEZANINO DO 3º PAVTO.</t>
  </si>
  <si>
    <t>ÁREA – 36º PAVTO TIPO</t>
  </si>
  <si>
    <t>Apartamentos</t>
  </si>
  <si>
    <t>Total vagas</t>
  </si>
  <si>
    <t>Total apartamentos</t>
  </si>
  <si>
    <t>Tipo 1</t>
  </si>
  <si>
    <t>Tipo 2</t>
  </si>
  <si>
    <t>Tipo 3 penthouse (outorga)</t>
  </si>
  <si>
    <t>Tipo 3 penthouse</t>
  </si>
  <si>
    <t>Tipo 4 penthouse</t>
  </si>
  <si>
    <t>duplex 1</t>
  </si>
  <si>
    <t>Sala comercial</t>
  </si>
  <si>
    <t>Sala comercial 1</t>
  </si>
  <si>
    <t>Sala comercial 2</t>
  </si>
  <si>
    <t>Sala comercial 3</t>
  </si>
  <si>
    <t>Sala comercial 4</t>
  </si>
  <si>
    <t>Sala comercial 5</t>
  </si>
  <si>
    <t>Total banheiros</t>
  </si>
  <si>
    <t>ÁREA – 4º PAVIMENTO GARAGEM/LAZER</t>
  </si>
  <si>
    <t>ÁREA – 5º PAVIMENTO LAZER</t>
  </si>
  <si>
    <t>ÁREA – 6º PAVIMENTO TIPO - DIFERENCIADO</t>
  </si>
  <si>
    <t>ÁREA – 7º AO 14° PAVIMENTO TIPO - X8</t>
  </si>
  <si>
    <t>ÁREA – 15º AO 35° PAVIMENTO TIPO - X21</t>
  </si>
  <si>
    <t>ÁREA – 37º PAVTO DUPLEX INFERIOR</t>
  </si>
  <si>
    <t>ÁREA – 38º PAVTO DUPLEX SUPERIOR</t>
  </si>
  <si>
    <t>CASA DE MÁQUINAS/TELHADO</t>
  </si>
  <si>
    <t>BARRILETE</t>
  </si>
  <si>
    <t>RESERVATÓRIO</t>
  </si>
  <si>
    <t>DEMOLIÇÕES, LIMPEZA DE TERRENO E LOCAÇÃO DE OBRA</t>
  </si>
  <si>
    <t>SERVIÇOS DE TERRAPLANAGEM</t>
  </si>
  <si>
    <t>MURETA GUIA</t>
  </si>
  <si>
    <t>LAMELAS | PAREDE DIAFRAGMA</t>
  </si>
  <si>
    <t>Estacas prancha metálica</t>
  </si>
  <si>
    <t>Piso sobre o solo - Geral</t>
  </si>
  <si>
    <t>Forma - Térreo</t>
  </si>
  <si>
    <t>Armadura - Térreo</t>
  </si>
  <si>
    <t>Concreto - Térreo</t>
  </si>
  <si>
    <t>Complementares - Térreo</t>
  </si>
  <si>
    <t>Mão de obra - Térreo</t>
  </si>
  <si>
    <t>ENTRADA DE ENERGIA</t>
  </si>
  <si>
    <t>INSTALAÇÕES HIDROSSANITÁRIAS</t>
  </si>
  <si>
    <t>Locação e gabarito de obra</t>
  </si>
  <si>
    <t>Drenagem</t>
  </si>
  <si>
    <t>VIGAS COROAMENTO</t>
  </si>
  <si>
    <t>ESTACAS PRANCHA METÁLICA</t>
  </si>
  <si>
    <t>MÃO DE OBRA CONTENÇÕES</t>
  </si>
  <si>
    <t>BLOCOS</t>
  </si>
  <si>
    <t>VIGAS BALDRAMES | PILARES DE ARRANQUE | CISTERNAS E DUTOS</t>
  </si>
  <si>
    <t>Mezanino G1</t>
  </si>
  <si>
    <t>Forma - G2</t>
  </si>
  <si>
    <t>G2</t>
  </si>
  <si>
    <t>Mezanino G2</t>
  </si>
  <si>
    <t>Forma - G3</t>
  </si>
  <si>
    <t>G3</t>
  </si>
  <si>
    <t>Mezanino G3</t>
  </si>
  <si>
    <t>Forma - Lazer | Garagem</t>
  </si>
  <si>
    <t>Forma - Lazer</t>
  </si>
  <si>
    <t>Forma - Tipo diferenciado</t>
  </si>
  <si>
    <t>Tipo diferenciado</t>
  </si>
  <si>
    <t>Forma - Tipo x8</t>
  </si>
  <si>
    <t>Tipo x8</t>
  </si>
  <si>
    <t>Forma - Penthouse x22</t>
  </si>
  <si>
    <t>Penthouse x22</t>
  </si>
  <si>
    <t>Forma - Cobertura | Barrilete</t>
  </si>
  <si>
    <t>Forma - Reservatório</t>
  </si>
  <si>
    <t>Armadura - G2</t>
  </si>
  <si>
    <t>Armadura - G3</t>
  </si>
  <si>
    <t>Armadura - Lazer | Garagem</t>
  </si>
  <si>
    <t>Armadura - Lazer</t>
  </si>
  <si>
    <t>Armadura - Tipo diferenciado</t>
  </si>
  <si>
    <t>Armadura - Tipo x8</t>
  </si>
  <si>
    <t>Armadura - Penthouse x22</t>
  </si>
  <si>
    <t>Armadura - Cobertura | Barrilete</t>
  </si>
  <si>
    <t>Armadura - Reservatório</t>
  </si>
  <si>
    <t>Concreto - G2</t>
  </si>
  <si>
    <t>Concreto - G3</t>
  </si>
  <si>
    <t>Concreto - Lazer | Garagem</t>
  </si>
  <si>
    <t>Concreto - Lazer</t>
  </si>
  <si>
    <t>Concreto - Tipo diferenciado</t>
  </si>
  <si>
    <t>Concreto - Tipo x8</t>
  </si>
  <si>
    <t>Concreto - Penthouse x22</t>
  </si>
  <si>
    <t>Concreto - Cobertura | Barrilete</t>
  </si>
  <si>
    <t>Concreto - Reservatório</t>
  </si>
  <si>
    <t>Complementares - G2</t>
  </si>
  <si>
    <t>Complementares - G3</t>
  </si>
  <si>
    <t>Complementares - Lazer | Garagem</t>
  </si>
  <si>
    <t>Complementares - Lazer</t>
  </si>
  <si>
    <t>Complementares - Tipo diferenciado</t>
  </si>
  <si>
    <t>Complementares - Tipo x8</t>
  </si>
  <si>
    <t>Complementares - Penthouse x22</t>
  </si>
  <si>
    <t>Complementares - Cobertura | Barrilete</t>
  </si>
  <si>
    <t>Complementares - Reservatório</t>
  </si>
  <si>
    <t>Mão de obra - Mezanino G1</t>
  </si>
  <si>
    <t>Mão de obra - G2</t>
  </si>
  <si>
    <t>Mão de obra - G3</t>
  </si>
  <si>
    <t>Mão de obra - Lazer | Garagem</t>
  </si>
  <si>
    <t>Mão de obra - Lazer</t>
  </si>
  <si>
    <t>Mão de obra - Tipo diferenciado</t>
  </si>
  <si>
    <t>Mão de obra - Tipo x8</t>
  </si>
  <si>
    <t>Mão de obra - Penthouse x22</t>
  </si>
  <si>
    <t>Mão de obra - Cobertura | Barrilete</t>
  </si>
  <si>
    <t>Mão de obra - Reservatório</t>
  </si>
  <si>
    <t>Grupo gerador</t>
  </si>
  <si>
    <t>Instalações de água fria</t>
  </si>
  <si>
    <t>Sistema de bombas</t>
  </si>
  <si>
    <t>Central de Alarmes</t>
  </si>
  <si>
    <t>AUTOMAÇÕES</t>
  </si>
  <si>
    <t>PISCINA</t>
  </si>
  <si>
    <t>Equipamentos de piscina</t>
  </si>
  <si>
    <t>Infraestrutura para carregamento de carro elétrico</t>
  </si>
  <si>
    <t>Impermeabilização de fundação e contenção</t>
  </si>
  <si>
    <t>SISTEMAS DE PINTURA INTERNA</t>
  </si>
  <si>
    <t>REVESTIMENTOS E ACABAMENTOS EM FACHADA</t>
  </si>
  <si>
    <t>Calçadas e Passeios</t>
  </si>
  <si>
    <t>Rede de drenagem</t>
  </si>
  <si>
    <t>Reforço de rede elétrica</t>
  </si>
  <si>
    <t>Imprevistos e contingências</t>
  </si>
  <si>
    <t>Hall Externo</t>
  </si>
  <si>
    <t>Guarita</t>
  </si>
  <si>
    <t>Lavapés</t>
  </si>
  <si>
    <t>Lavabo Pne - Térreo</t>
  </si>
  <si>
    <t>Bicicletário/Box</t>
  </si>
  <si>
    <t>4º PAVIMENTO - LAZER/GARAGENS</t>
  </si>
  <si>
    <t>Circulação - Lazer/garagem</t>
  </si>
  <si>
    <t>Sala de massagem</t>
  </si>
  <si>
    <t>Banheiro - Lazer/Garagem</t>
  </si>
  <si>
    <t>Lavabo Pne - Lazer/Garagem</t>
  </si>
  <si>
    <t>Lavabo - Lazer/Garagem</t>
  </si>
  <si>
    <t>Área interna Piscina coberta - Lazer/garagem</t>
  </si>
  <si>
    <t>Área externa Piscina coberta - Lazer/garagem</t>
  </si>
  <si>
    <t>Terraço descoberto - Lazer/garagem</t>
  </si>
  <si>
    <t>Terraço - Lazer/garagem</t>
  </si>
  <si>
    <t>Estar do fogo</t>
  </si>
  <si>
    <t>Sauna</t>
  </si>
  <si>
    <t>5º PAVIMENTO - LAZER</t>
  </si>
  <si>
    <t>Circulação - Lazer</t>
  </si>
  <si>
    <t>Lavabo PNE - lazer</t>
  </si>
  <si>
    <t>Lavabo - lazer</t>
  </si>
  <si>
    <t>Academia</t>
  </si>
  <si>
    <t>Wine Bar</t>
  </si>
  <si>
    <t>Espaço Crossfit</t>
  </si>
  <si>
    <t>Game Center</t>
  </si>
  <si>
    <t>Brinquedoteca</t>
  </si>
  <si>
    <t>CPD - lazer</t>
  </si>
  <si>
    <t>Laje Verde</t>
  </si>
  <si>
    <t>DUPLEX SUPERIOR</t>
  </si>
  <si>
    <t>Patamar Intermediário</t>
  </si>
  <si>
    <t>Telhado</t>
  </si>
  <si>
    <t>Barrilete</t>
  </si>
  <si>
    <t>Hall Térreo</t>
  </si>
  <si>
    <t>Conforme imagem comercial</t>
  </si>
  <si>
    <t>Vaso decorativo com planta</t>
  </si>
  <si>
    <t>Bicicletário - 12 vagas</t>
  </si>
  <si>
    <t>Antecâmara - Térreo</t>
  </si>
  <si>
    <t>2º AO 5º PAVIMENTO - GARAGENS (X5)</t>
  </si>
  <si>
    <t>Antecâmara - Garagens (x5)</t>
  </si>
  <si>
    <t>Sala de Apoio Sauna</t>
  </si>
  <si>
    <r>
      <t xml:space="preserve">Sem imagem comercial, </t>
    </r>
    <r>
      <rPr>
        <sz val="12"/>
        <color rgb="FFFF0000"/>
        <rFont val="Arial"/>
        <family val="2"/>
      </rPr>
      <t>SUPOSIÇÃO</t>
    </r>
  </si>
  <si>
    <t>Quadro: Galerie Des Glaces Chateau De Versailles - Artista: Franck Bohbot</t>
  </si>
  <si>
    <t>Quadro Moldura Premium Palaciana Noite Estrelada Van Gogh Vidro</t>
  </si>
  <si>
    <t>TRELIÇA EM MADEIRA COR: AZUL</t>
  </si>
  <si>
    <t>Conforme projeto interiores e imagem comercial</t>
  </si>
  <si>
    <t>Plantas nas treliças</t>
  </si>
  <si>
    <t>Conforme imagem comercial, ver metragem das treliças</t>
  </si>
  <si>
    <t>Fonte na parede dourada</t>
  </si>
  <si>
    <t>6º AO 38º PAVIMENTO - PAVIMENTOS (X33)</t>
  </si>
  <si>
    <t>TRELIÇA EM MADEIRA COR: Marrom</t>
  </si>
  <si>
    <t>Plantas grandes</t>
  </si>
  <si>
    <t>Guarda sol amarelo queimado com rendas</t>
  </si>
  <si>
    <t>Espreguiçadeira madeira - na água</t>
  </si>
  <si>
    <t>Espreguiçadeira Diamante Default Title</t>
  </si>
  <si>
    <t>Antecâmara - Lazer/garagem</t>
  </si>
  <si>
    <t>Antecâmara - Tipos (x33)</t>
  </si>
  <si>
    <t>Antecâmara - Lazer</t>
  </si>
  <si>
    <t>Conforme projeto de interiores</t>
  </si>
  <si>
    <t>Brinquedos (incluindo pelucias e jogos)</t>
  </si>
  <si>
    <t>Pneus</t>
  </si>
  <si>
    <t>Quadro ferrari</t>
  </si>
  <si>
    <t>Carrinho - protótipos pequenos</t>
  </si>
  <si>
    <t>Luzes led em fita</t>
  </si>
  <si>
    <t>Sala de Festas</t>
  </si>
  <si>
    <t>Cristaleira embutida na parede</t>
  </si>
  <si>
    <t>Mini abajur pendente na parede</t>
  </si>
  <si>
    <t>Mini arvore</t>
  </si>
  <si>
    <t>Lareira pré fabricada - marmore</t>
  </si>
  <si>
    <t>Iluminação parede - sala azul</t>
  </si>
  <si>
    <t>Mesa de jantar - tipo 3 - sala azul</t>
  </si>
  <si>
    <t>Puff pé personalizado</t>
  </si>
  <si>
    <t>Poltrona personalizada</t>
  </si>
  <si>
    <t>Cadeira/poltrona</t>
  </si>
  <si>
    <t>Quadro Decorativo</t>
  </si>
  <si>
    <t>Iluminação led</t>
  </si>
  <si>
    <r>
      <t>Conforme imagem comercial/dwg</t>
    </r>
    <r>
      <rPr>
        <sz val="12"/>
        <color rgb="FFFF0000"/>
        <rFont val="Arial"/>
        <family val="2"/>
      </rPr>
      <t xml:space="preserve"> - Prioridade nas quantidades do dwg</t>
    </r>
  </si>
  <si>
    <t>Kit crossfit - com amarelinha + corda + caixa de madeira</t>
  </si>
  <si>
    <t>Barra de levantamento grande</t>
  </si>
  <si>
    <t>Barra de levantamento grande - tipo escada horizontal</t>
  </si>
  <si>
    <t>Marcenaria - banco</t>
  </si>
  <si>
    <t>PAPEL DE PAREDE</t>
  </si>
  <si>
    <t>Alvenaria de vedação com blocos cerâmicos</t>
  </si>
  <si>
    <t>1.1.1.</t>
  </si>
  <si>
    <t>01_1º PAV. (TÉRREO)</t>
  </si>
  <si>
    <t>1.1.1.1</t>
  </si>
  <si>
    <t>1.1.1.2</t>
  </si>
  <si>
    <t>1.1.1.3</t>
  </si>
  <si>
    <t>1.1.2.</t>
  </si>
  <si>
    <t>02_MEZ. 1º PAV. / G1</t>
  </si>
  <si>
    <t>1.1.2.1</t>
  </si>
  <si>
    <t>1.1.3.</t>
  </si>
  <si>
    <t>03_2º PAV. / G2</t>
  </si>
  <si>
    <t>1.1.3.1</t>
  </si>
  <si>
    <t>1.1.4.</t>
  </si>
  <si>
    <t>04_MEZ. 2º PAV. / G3</t>
  </si>
  <si>
    <t>1.1.4.1</t>
  </si>
  <si>
    <t>1.1.5.</t>
  </si>
  <si>
    <t>05_3º PAV. / G4</t>
  </si>
  <si>
    <t>1.1.5.1</t>
  </si>
  <si>
    <t>1.1.6.</t>
  </si>
  <si>
    <t>06_MEZ. 3º PAV. / G5</t>
  </si>
  <si>
    <t>1.1.6.1</t>
  </si>
  <si>
    <t>1.1.7.</t>
  </si>
  <si>
    <t>07_4º PAV. - LAZER / G6</t>
  </si>
  <si>
    <t>1.1.7.1</t>
  </si>
  <si>
    <t>1.1.8.</t>
  </si>
  <si>
    <t>08_5º PAV. - LAZER</t>
  </si>
  <si>
    <t>1.1.8.1</t>
  </si>
  <si>
    <t>1.1.9.</t>
  </si>
  <si>
    <t>09_6º PAV. - TIPO DIF.</t>
  </si>
  <si>
    <t>1.1.9.1</t>
  </si>
  <si>
    <t>1.1.10.</t>
  </si>
  <si>
    <t>10_7º PAV. - TIPO</t>
  </si>
  <si>
    <t>1.1.10.1</t>
  </si>
  <si>
    <t>1.1.11.</t>
  </si>
  <si>
    <t>11_8º PAV. - TIPO</t>
  </si>
  <si>
    <t>1.1.11.1</t>
  </si>
  <si>
    <t>1.1.12.</t>
  </si>
  <si>
    <t>12_9º PAV. - TIPO</t>
  </si>
  <si>
    <t>1.1.12.1</t>
  </si>
  <si>
    <t>1.1.13.</t>
  </si>
  <si>
    <t>13_10º PAV. - TIPO</t>
  </si>
  <si>
    <t>1.1.13.1</t>
  </si>
  <si>
    <t>1.1.14.</t>
  </si>
  <si>
    <t>14_11º PAV. - TIPO</t>
  </si>
  <si>
    <t>1.1.14.1</t>
  </si>
  <si>
    <t>1.1.15.</t>
  </si>
  <si>
    <t>15_12º PAV. - TIPO</t>
  </si>
  <si>
    <t>1.1.15.1</t>
  </si>
  <si>
    <t>1.1.16.</t>
  </si>
  <si>
    <t>16_13º PAV. - TIPO</t>
  </si>
  <si>
    <t>1.1.16.1</t>
  </si>
  <si>
    <t>1.1.17.</t>
  </si>
  <si>
    <t>1.1.17.1</t>
  </si>
  <si>
    <t>1.1.18.</t>
  </si>
  <si>
    <t>18_15º PAV. - PENTHOUSE</t>
  </si>
  <si>
    <t>1.1.18.1</t>
  </si>
  <si>
    <t>1.1.19.</t>
  </si>
  <si>
    <t>19_16º PAV. - PENTHOUSE</t>
  </si>
  <si>
    <t>1.1.19.1</t>
  </si>
  <si>
    <t>1.1.20.</t>
  </si>
  <si>
    <t>20_17º PAV. - PENTHOUSE</t>
  </si>
  <si>
    <t>1.1.20.1</t>
  </si>
  <si>
    <t>1.1.21.</t>
  </si>
  <si>
    <t>21_18º PAV. - PENTHOUSE</t>
  </si>
  <si>
    <t>1.1.21.1</t>
  </si>
  <si>
    <t>1.1.22.</t>
  </si>
  <si>
    <t>22_19º PAV. - PENTHOUSE</t>
  </si>
  <si>
    <t>1.1.22.1</t>
  </si>
  <si>
    <t>1.1.23.</t>
  </si>
  <si>
    <t>23_20º PAV. - PENTHOUSE</t>
  </si>
  <si>
    <t>1.1.23.1</t>
  </si>
  <si>
    <t>1.1.24.</t>
  </si>
  <si>
    <t>24_21º PAV. - PENTHOUSE</t>
  </si>
  <si>
    <t>1.1.24.1</t>
  </si>
  <si>
    <t>1.1.25.</t>
  </si>
  <si>
    <t>25_22º PAV. - PENTHOUSE</t>
  </si>
  <si>
    <t>1.1.25.1</t>
  </si>
  <si>
    <t>1.1.26.</t>
  </si>
  <si>
    <t>26_23º PAV. - PENTHOUSE</t>
  </si>
  <si>
    <t>1.1.26.1</t>
  </si>
  <si>
    <t>1.1.27.</t>
  </si>
  <si>
    <t>27_24º PAV. - PENTHOUSE</t>
  </si>
  <si>
    <t>1.1.27.1</t>
  </si>
  <si>
    <t>1.1.28.</t>
  </si>
  <si>
    <t>1.1.28.1</t>
  </si>
  <si>
    <t>1.1.29.</t>
  </si>
  <si>
    <t>29_26º PAV. - PENTHOUSE</t>
  </si>
  <si>
    <t>1.1.29.1</t>
  </si>
  <si>
    <t>1.1.30.</t>
  </si>
  <si>
    <t>1.1.30.1</t>
  </si>
  <si>
    <t>1.1.31.</t>
  </si>
  <si>
    <t>31_28º PAV. - PENTHOUSE</t>
  </si>
  <si>
    <t>1.1.31.1</t>
  </si>
  <si>
    <t>1.1.32.</t>
  </si>
  <si>
    <t>32_29º PAV. - PENTHOUSE</t>
  </si>
  <si>
    <t>1.1.32.1</t>
  </si>
  <si>
    <t>1.1.33.</t>
  </si>
  <si>
    <t>33_30º PAV. - PENTHOUSE</t>
  </si>
  <si>
    <t>1.1.33.1</t>
  </si>
  <si>
    <t>1.1.34.</t>
  </si>
  <si>
    <t>34_31º PAV. - PENTHOUSE</t>
  </si>
  <si>
    <t>1.1.34.1</t>
  </si>
  <si>
    <t>1.1.35.</t>
  </si>
  <si>
    <t>35_32º PAV. - PENTHOUSE</t>
  </si>
  <si>
    <t>1.1.35.1</t>
  </si>
  <si>
    <t>1.1.36.</t>
  </si>
  <si>
    <t>1.1.36.1</t>
  </si>
  <si>
    <t>1.1.37.</t>
  </si>
  <si>
    <t>1.1.37.1</t>
  </si>
  <si>
    <t>1.1.38.</t>
  </si>
  <si>
    <t>1.1.38.1</t>
  </si>
  <si>
    <t>1.1.39.</t>
  </si>
  <si>
    <t>1.1.39.1</t>
  </si>
  <si>
    <t>1.1.40.</t>
  </si>
  <si>
    <t>1.1.40.1</t>
  </si>
  <si>
    <t>1.1.41.</t>
  </si>
  <si>
    <t>41_38º PAV. - DUPLEX SUPERIOR</t>
  </si>
  <si>
    <t>1.1.41.1</t>
  </si>
  <si>
    <t>1.1.41.2</t>
  </si>
  <si>
    <t>1.1.42.</t>
  </si>
  <si>
    <t>42_TELHADO/CASA DE MÁQUINAS</t>
  </si>
  <si>
    <t>1.1.42.1</t>
  </si>
  <si>
    <t>1.1.42.2</t>
  </si>
  <si>
    <t>1.1.43.</t>
  </si>
  <si>
    <t>1.1.43.1</t>
  </si>
  <si>
    <t>Peitoris</t>
  </si>
  <si>
    <t>REVESTIMENTOS E ACABAMENTOS INTERNOS EM TETO</t>
  </si>
  <si>
    <t>Acabamento de gesso em teto</t>
  </si>
  <si>
    <t>Revestimento interno argamassado em teto</t>
  </si>
  <si>
    <t>Acabamentos cerâmicos em piso</t>
  </si>
  <si>
    <t>Esquadrias de madeira</t>
  </si>
  <si>
    <t>Esquadrias metálicas</t>
  </si>
  <si>
    <t>Sistema de pintura em piso</t>
  </si>
  <si>
    <t>Sistema de pintura em teto</t>
  </si>
  <si>
    <t>Pintura e textura em fachada</t>
  </si>
  <si>
    <t>Alvenaria de vedacao de blocos ceramicos de 19x19x39cm com argamassa industrializada de assentamento</t>
  </si>
  <si>
    <t>Alvenaria de vedacao de blocos ceramicos de 11,5x19x39cm com argamassa industrializada de assentamento</t>
  </si>
  <si>
    <t>Alvenaria de vedacao de blocos ceramicos de 9x19x39cm com argamassa industrializada de assentamento</t>
  </si>
  <si>
    <t>BLOCO CERÂMICO - 11,5X19X39cm</t>
  </si>
  <si>
    <t>BLOCO CERÂMICO - 19X19X39cm</t>
  </si>
  <si>
    <t>Alevanaria de vedação com blocos cerâmicos</t>
  </si>
  <si>
    <t>PAREDES E DIVISÓRIAS - Térreo</t>
  </si>
  <si>
    <t>TP732-E 150 mm - 3 PLACAS (Cim10 entre) - 15,00cm</t>
  </si>
  <si>
    <t>TP734-E  162,5 mm - 2 PLACAS (Hu + Cim10) - 16,25cm</t>
  </si>
  <si>
    <t>TP673 175 mm - 3 PLACAS (Hd/Hu + Cim10) - 17,50cm</t>
  </si>
  <si>
    <t>TP732-E  175 mm - 3 PLACAS (Hd/Hu + Cim10) - 17,50cm</t>
  </si>
  <si>
    <t>ST 70 mm - 2 PLACAS - 9,50cm</t>
  </si>
  <si>
    <t>TP673 70 mm - 2 PLACAS - 9,50cm</t>
  </si>
  <si>
    <t>ST 70 mm - 4 PLACAS - 12,00cm</t>
  </si>
  <si>
    <t>ST 70 mm - 1 PLACA - 8,25cm</t>
  </si>
  <si>
    <t>RU 70 mm - 1 PLACA - 8,25cm</t>
  </si>
  <si>
    <t>RU 70 mm - 2 PLACAS - 9,50cm</t>
  </si>
  <si>
    <t>ST 48 mm - 1 PLACA - 6,05cm</t>
  </si>
  <si>
    <t>RU 48 mm - 1 PLACA - 6,05cm</t>
  </si>
  <si>
    <t>CHAPA DE GESSO PARA DRYWALL PLACO - KNAUF (HD) HARDBOARD 12,5MM X 1,20M X 1,80M</t>
  </si>
  <si>
    <t>CHAPA DE GESSO PARA DRYWALL PLACO - KNAUF (RU) VERDE 12,5MM X 1,20M X 1,80M</t>
  </si>
  <si>
    <t>PAREDES E DIVISÓRIAS - Mezanino G1</t>
  </si>
  <si>
    <t>PAREDES E DIVISÓRIAS - G2</t>
  </si>
  <si>
    <t>PAREDES E DIVISÓRIAS - Mezanino G2</t>
  </si>
  <si>
    <t>PAREDES E DIVISÓRIAS - G3</t>
  </si>
  <si>
    <t>PAREDES E DIVISÓRIAS - Mezanino G3</t>
  </si>
  <si>
    <t>PAREDES E DIVISÓRIAS - Lazer | Garagem</t>
  </si>
  <si>
    <t>PAREDES E DIVISÓRIAS - Lazer</t>
  </si>
  <si>
    <t>PAREDES E DIVISÓRIAS - Tipo diferenciado</t>
  </si>
  <si>
    <t>PAREDES E DIVISÓRIAS - Tipo x8</t>
  </si>
  <si>
    <t>PAREDES E DIVISÓRIAS - Penthouse x22</t>
  </si>
  <si>
    <t>PAREDES E DIVISÓRIAS - Duplex Inferior</t>
  </si>
  <si>
    <t>PAREDES E DIVISÓRIAS - Duplex Superior</t>
  </si>
  <si>
    <t>PAREDES E DIVISÓRIAS - Cobertura | Barrilete</t>
  </si>
  <si>
    <t>Impermeabilização de piscinas e espelhos d´água</t>
  </si>
  <si>
    <t>Impermeabilização de esquadrias</t>
  </si>
  <si>
    <t>Impermeabilização de ralos</t>
  </si>
  <si>
    <t>IMPERMEABILIZAÇÃO E TRATAMENTOS - Térreo</t>
  </si>
  <si>
    <t>Entrada de energia</t>
  </si>
  <si>
    <t>Quadros elétricos e disjuntores</t>
  </si>
  <si>
    <t>quantidades confirme quantidades do projetista</t>
  </si>
  <si>
    <t>Eletrodutos e eletrocalhas</t>
  </si>
  <si>
    <t>Fios e cabos elétricos</t>
  </si>
  <si>
    <t>Pontos de tomadas e interruptores</t>
  </si>
  <si>
    <t xml:space="preserve">Luminárias, lâmpadas e acessórios </t>
  </si>
  <si>
    <t>Instalações de esgoto e pluviais</t>
  </si>
  <si>
    <t>Hidrômetros</t>
  </si>
  <si>
    <t>Hidrantes</t>
  </si>
  <si>
    <t xml:space="preserve">Sinalização de emergência e extintores </t>
  </si>
  <si>
    <t>Instalações de proteção e aterramento -SPDA</t>
  </si>
  <si>
    <t>Considerado R$5/m²</t>
  </si>
  <si>
    <t>Medidores</t>
  </si>
  <si>
    <t xml:space="preserve">Equipamentos de piscina </t>
  </si>
  <si>
    <t>Proposta TKE</t>
  </si>
  <si>
    <t>CLIMATIZAÇÃO, EXAUSTÃO MECÂNICA</t>
  </si>
  <si>
    <t>Exaustão de churrasqueiras</t>
  </si>
  <si>
    <t>Considerado 1 por churrasqueira</t>
  </si>
  <si>
    <t>Mão de obra de instalação de equipamentos</t>
  </si>
  <si>
    <t>Sistema de interfone / controle de acesso</t>
  </si>
  <si>
    <t>Telefonia/lógica/internet</t>
  </si>
  <si>
    <t>Infraestrutura de automação dos apartamentos (Iluminação, cortinas, áudio, ar cond.)</t>
  </si>
  <si>
    <t>Argamassado interno em parede</t>
  </si>
  <si>
    <t>Acabamentos cerâmicos</t>
  </si>
  <si>
    <t>Acabamentos especiais</t>
  </si>
  <si>
    <t>Isolamento térmico</t>
  </si>
  <si>
    <t>Acabamentos cimentados em piso</t>
  </si>
  <si>
    <t>Acabamentos em pedra</t>
  </si>
  <si>
    <t>Rodapés</t>
  </si>
  <si>
    <t>Guarda corpo</t>
  </si>
  <si>
    <t>Acessórios e ferragens</t>
  </si>
  <si>
    <t>Metais e acessórios</t>
  </si>
  <si>
    <t>Bancadas, pias e divisórias</t>
  </si>
  <si>
    <t>Serviços complementares</t>
  </si>
  <si>
    <t>Revestimento argamassado em fachada</t>
  </si>
  <si>
    <t>Acabamentos especiais em fachada</t>
  </si>
  <si>
    <t>Luminotécnico do Paisagismo</t>
  </si>
  <si>
    <t>Irrigação do Paisagismo</t>
  </si>
  <si>
    <t>IMPERMEABILIZAÇÃO E TRATAMENTOS - Mezanino G1</t>
  </si>
  <si>
    <t>IMPERMEABILIZAÇÃO E TRATAMENTOS - G2</t>
  </si>
  <si>
    <t>IMPERMEABILIZAÇÃO E TRATAMENTOS - Mezanino G2</t>
  </si>
  <si>
    <t>IMPERMEABILIZAÇÃO E TRATAMENTOS - G3</t>
  </si>
  <si>
    <t>IMPERMEABILIZAÇÃO E TRATAMENTOS - Mezanino G3</t>
  </si>
  <si>
    <t>IMPERMEABILIZAÇÃO E TRATAMENTOS - Lazer | Garagem</t>
  </si>
  <si>
    <t>IMPERMEABILIZAÇÃO E TRATAMENTOS - Lazer</t>
  </si>
  <si>
    <t>IMPERMEABILIZAÇÃO E TRATAMENTOS - Tipo diferenciado</t>
  </si>
  <si>
    <t>IMPERMEABILIZAÇÃO E TRATAMENTOS - Tipo x8</t>
  </si>
  <si>
    <t>IMPERMEABILIZAÇÃO E TRATAMENTOS - Penthouse x22</t>
  </si>
  <si>
    <t>IMPERMEABILIZAÇÃO E TRATAMENTOS - Duplex Inferior</t>
  </si>
  <si>
    <t>IMPERMEABILIZAÇÃO E TRATAMENTOS - Duplex Superior</t>
  </si>
  <si>
    <t>IMPERMEABILIZAÇÃO E TRATAMENTOS - Cobertura | Barrilete</t>
  </si>
  <si>
    <t>IMPERMEABILIZAÇÃO E TRATAMENTOS - Reservatório</t>
  </si>
  <si>
    <t>Box nas garagens</t>
  </si>
  <si>
    <t>Lixeira</t>
  </si>
  <si>
    <t>Revestimento de parede em Porcelanato Portobello – Posto 10 90x90 Externo Retificado - Linha Ipanema - Padrão Alto</t>
  </si>
  <si>
    <t>Porcelanato Portobello – Posto 10 90x90 Externo Retificado - Linha Ipanema - Padrão Alto</t>
  </si>
  <si>
    <t>Revestimento de parede em Porcelanato Portobello –  90x90 - Padrão Alto</t>
  </si>
  <si>
    <t>Porcelanato Portobello –  90x90 - Padrão Alto</t>
  </si>
  <si>
    <t>Banheiros</t>
  </si>
  <si>
    <t>Ladrilho Hidráulico 10x20cm - Cor: mostarda - Marca: Dalle Piagge</t>
  </si>
  <si>
    <t>Ladrilho Hidráulico 10x20cm - Cor: off-white - Marca: Dalle Piagge</t>
  </si>
  <si>
    <t>Ladrilho Hidráulico 10x20cm - Cor: mostarda - Marca: Ladrilar</t>
  </si>
  <si>
    <t>Ladrilho Hidráulico 10x20cm - Cor: off-white - Marca: Ladrilar</t>
  </si>
  <si>
    <t>Fire Place + Banheiros lazer - Ladrilar é metade do valor/m²</t>
  </si>
  <si>
    <t>Revestimento em Ladrilho Hidráulico 10x20cm - Cor: mostarda e off-white - Marca: Dalle Piagge, com junta de 2 cm e rejunte acrilico cinza platina</t>
  </si>
  <si>
    <t>Revestimento em Ladrilho Hidráulico 10x20cm - Cor: mostarda e off-white - Marca: Ladrilar, com junta de 2 cm e rejunte acrilico cinza platina</t>
  </si>
  <si>
    <t>Rejunte Acrilico cinza platina</t>
  </si>
  <si>
    <t>Revestimento em Ladrilho Hidráulico 5x5cm - Cor: terracota escuro e azul escuro - Marca: Dalle Piagge, com junta de 2 cm e rejunte acrilico cinza platina</t>
  </si>
  <si>
    <t>Ladrilho Hidráulico 5x5cm - Cor: terracota escuro - Marca: Dalle Piagge</t>
  </si>
  <si>
    <t>Ladrilho Hidráulico 5x5cm - Cor: azul escuro - Marca: Dalle Piagge</t>
  </si>
  <si>
    <t>Ladrilho Hidráulico 5x5cm - Cor: terracota escuro - Marca: Ladrilar</t>
  </si>
  <si>
    <t>Ladrilho Hidráulico 5x5cm - Cor: azul escuro - Marca: Ladrilar</t>
  </si>
  <si>
    <t>Revestimento em Ladrilho Hidráulico 5x5cm - Cor: terracota escuro e azul escuro - Marca: Ladrilar, com junta de 2 cm e rejunte acrilico cinza platina</t>
  </si>
  <si>
    <t>Piscinas - Ladrilar é metade do valor/m²</t>
  </si>
  <si>
    <t>Ladrilho Hidráulico 20x20cm - Cor: craft claro - Marca: Dalle Piagge</t>
  </si>
  <si>
    <t>Ladrilho Hidráulico 20x20cm - Cor: craft claro - Marca: Ladrilar</t>
  </si>
  <si>
    <t>Ladrilho Hidráulico 20x20cm - Cor: craft comum - Marca: Dalle Piagge</t>
  </si>
  <si>
    <t>Ladrilho Hidráulico 20x20cm - Cor: craft comum - Marca: Ladrilar</t>
  </si>
  <si>
    <t>Ladrilho Hidráulico 20x20cm - Cor: fendi - Marca: Dalle Piagge</t>
  </si>
  <si>
    <t>Ladrilho Hidráulico 20x20cm - Cor: fendi - Marca: Ladrilar</t>
  </si>
  <si>
    <t>Ladrilho Hidráulico 20x20cm - Cor: cana - Marca: Dalle Piagge</t>
  </si>
  <si>
    <t>Ladrilho Hidráulico 20x20cm - Cor: cana - Marca: Ladrilar</t>
  </si>
  <si>
    <t>Revestimento de Mármore Natural em Paredes</t>
  </si>
  <si>
    <t>Mármore Natural</t>
  </si>
  <si>
    <t>Revestimento de Mármore Travertino Nacional em Paredes</t>
  </si>
  <si>
    <t>Mármore Travertino Nacional</t>
  </si>
  <si>
    <t>Revestimento de Mármore Travertino Romano em Paredes</t>
  </si>
  <si>
    <t>Mármore Travertino Romano</t>
  </si>
  <si>
    <t>Revestimento de Mármore Travertino Navona em Paredes</t>
  </si>
  <si>
    <t>Mármore Travertino Navona</t>
  </si>
  <si>
    <t>Revestimento de Mármore Travertino Importado em Paredes</t>
  </si>
  <si>
    <t>Mármore Travertino Importado</t>
  </si>
  <si>
    <t xml:space="preserve">Revestimento em Paredes, Papel de parede, Degradê Laranja 114, acessorios para instalação - Material e Mão de Obra </t>
  </si>
  <si>
    <t xml:space="preserve">Revestimento em Paredes, Papel de parede,  Jeans Cinza 246, acessorios para instalação - Material e Mão de Obra </t>
  </si>
  <si>
    <t xml:space="preserve">Revestimento em Paredes, Papel de parede, Mata Atlântica Azul, acessorios para instalação - Material e Mão de Obra </t>
  </si>
  <si>
    <t>Mão de obra aplicação de papel de parede em paredes</t>
  </si>
  <si>
    <t>Revestimento em Paredes, Papel de parede, Degradê Laranja 114, acessorios para instalação - Material</t>
  </si>
  <si>
    <t>Revestimento em Paredes, Papel de parede,  Jeans Cinza 246, acessorios para instalação - Material</t>
  </si>
  <si>
    <t>Revestimento em Paredes, Papel de parede, Mata Atlântica Azul, acessorios para instalação - Material</t>
  </si>
  <si>
    <t>Revestimento de Pedras Quartzito Van Gogh em Paredes</t>
  </si>
  <si>
    <t>Pedras Quartzito Van Gogh</t>
  </si>
  <si>
    <t>Peitoril em Mármore Travertino Romano,  esp. 2cm</t>
  </si>
  <si>
    <t>Mão de obra para assentamento de Ladrilhos</t>
  </si>
  <si>
    <t>REVESTIMENTOS INTERNOS DE PAREDE - Térreo</t>
  </si>
  <si>
    <t>REVESTIMENTOS INTERNOS DE PAREDE - Mezanino G1</t>
  </si>
  <si>
    <t>REVESTIMENTOS INTERNOS DE PAREDE - G2</t>
  </si>
  <si>
    <t>REVESTIMENTOS INTERNOS DE PAREDE - Mezanino G2</t>
  </si>
  <si>
    <t>REVESTIMENTOS INTERNOS DE PAREDE - G3</t>
  </si>
  <si>
    <t>REVESTIMENTOS INTERNOS DE PAREDE - Mezanino G3</t>
  </si>
  <si>
    <t>REVESTIMENTOS INTERNOS DE PAREDE - Lazer | Garagem</t>
  </si>
  <si>
    <t>REVESTIMENTOS INTERNOS DE PAREDE - Lazer</t>
  </si>
  <si>
    <t>REVESTIMENTOS INTERNOS DE PAREDE - Tipo diferenciado</t>
  </si>
  <si>
    <t>REVESTIMENTOS INTERNOS DE PAREDE - Tipo x8</t>
  </si>
  <si>
    <t>REVESTIMENTOS INTERNOS DE PAREDE - Penthouse x22</t>
  </si>
  <si>
    <t>REVESTIMENTOS INTERNOS DE PAREDE - Duplex Inferior</t>
  </si>
  <si>
    <t>REVESTIMENTOS INTERNOS DE PAREDE - Duplex Superior</t>
  </si>
  <si>
    <t>REVESTIMENTOS INTERNOS DE PAREDE - Cobertura | Barrilete</t>
  </si>
  <si>
    <t>REVESTIMENTOS INTERNOS DE PAREDE - Reservatório</t>
  </si>
  <si>
    <t>REVESTIMENTOS E ACABAMENTOS INTERNOS EM TETO - Térreo</t>
  </si>
  <si>
    <t>Forro Tensoflex - Material e Mão de Obra</t>
  </si>
  <si>
    <t>Forro Tensoflex - Tela tensionada Iluminada - Material e Mão de Obra</t>
  </si>
  <si>
    <t>Iluminação de sanca</t>
  </si>
  <si>
    <t>FITA DE LED 1 M</t>
  </si>
  <si>
    <t>Forro em sistema de Muxarabi em madeira Peroba Mica- Material e mão de obra</t>
  </si>
  <si>
    <t>Painel Formato Muxarabi - Madeira Peroba Mica - Modelo 16.20/20 - (Ripas, Parafusos, Buchas, vernis e instalação)</t>
  </si>
  <si>
    <t>Forro de gesso mineral - em placas (forro, negativo e cortineiro)- Material e Mão de Obra</t>
  </si>
  <si>
    <t>Forro de gesso mineral - convencional (forro, negativo e cortineiro)</t>
  </si>
  <si>
    <t>Forro de gesso acartonado - Standart - Material e Mão de Obra</t>
  </si>
  <si>
    <t>Forro de gesso acartonado - Resistente à umidade - Material e Mão de Obra</t>
  </si>
  <si>
    <t>Forro de madeira Imbuia - Material e Mão de Obra</t>
  </si>
  <si>
    <t>CHAPA  DE MADEIRA IMBUIA</t>
  </si>
  <si>
    <t>Forro de madeira Itauba - Material e Mão de Obra</t>
  </si>
  <si>
    <t>CHAPA DE MADEIRA ITAUBA</t>
  </si>
  <si>
    <t>PAINEL DE ITAUBA 18 MM</t>
  </si>
  <si>
    <t>CHAPA DE MDF IMBUIA 15 MM</t>
  </si>
  <si>
    <t>Forro de gesso em forma de vigotas, imitando madeira - áreas úmidas - Material e Mão de Obra</t>
  </si>
  <si>
    <t>Forro de gesso em forma de vigotas, imitando madeira - áreas úmidas - Material e Mão de Obra - incluso estrutura metálica + placa ru + fechamento de caixa + pintura efeito amdeira + instalação</t>
  </si>
  <si>
    <t>Tabica em gesso</t>
  </si>
  <si>
    <t>Sanca em gesso</t>
  </si>
  <si>
    <t>ALTO PADRÃO + 40%</t>
  </si>
  <si>
    <t>ALTO PADRÃO + 35%</t>
  </si>
  <si>
    <t>Sanca em gesso com iluminação indireta + LED + perfil</t>
  </si>
  <si>
    <t>Cortineiro em gesso com rasgo iluminado</t>
  </si>
  <si>
    <t>Tabica em gesso com perfil metálico LED</t>
  </si>
  <si>
    <t>Forro de MDF Liso com Alto relevo personalizado e pintura laca verde - Material e Mão de Obra</t>
  </si>
  <si>
    <t>Forro de MDF Liso e pintura laca verde - Material e Mão de Obra - incluso estrutura metálica + mdf 15mm + peças em CNC + colagem e fixação + massa + lixamento + pintura laca verde</t>
  </si>
  <si>
    <t>Forro de MDF Alto relevo personalizado e pintura laca verde - Material e Mão de Obra - peças em CNC + montagem modular + pintura laca verde em multiplas faces</t>
  </si>
  <si>
    <t>Acabamento especiais em teto</t>
  </si>
  <si>
    <t>Teto da piscina coberta no lazer</t>
  </si>
  <si>
    <t>Forro de MDF Régua com Nuvens em MDF em alto relevo personalizado e pintura azul - Material e Mão de Obra</t>
  </si>
  <si>
    <t>Nuvens em MDF em alto relevo personalizado e pintura azul - Material e Mão de Obra - + peças recortadas em CNC + 2 tipologias de nuvens + pintura PU em azul + montagem suspensa</t>
  </si>
  <si>
    <t>Forro de MDF Régua e pintura azul - Material e Mão de Obra - Forro MDF em régua</t>
  </si>
  <si>
    <t>Forro de gesso acartonado RF - anti chamas - Material e Mão de Obra</t>
  </si>
  <si>
    <t>Forro de Mármore Travertino Romano - Material e Mão de Obra</t>
  </si>
  <si>
    <t>Mão de obra para aplicação de Mármore em teto</t>
  </si>
  <si>
    <t>Forro de Mármore Natural - Material e Mão de Obra</t>
  </si>
  <si>
    <t>Hall do elevador e Sauna</t>
  </si>
  <si>
    <t>Sala de Massagem + Academia</t>
  </si>
  <si>
    <t>Brinquedteca</t>
  </si>
  <si>
    <t>Forro de MDF Liso  - Material e Mão de Obra</t>
  </si>
  <si>
    <t>Circulação do Elevador</t>
  </si>
  <si>
    <t xml:space="preserve">Revestimento em Tetos, Papel de parede,  Jeans Cinza 246, acessorios para instalação - Material e Mão de Obra </t>
  </si>
  <si>
    <t>Game center</t>
  </si>
  <si>
    <t>Revestimento em Paredes, Papel de parede, Paisagem Suave Escuro, acessorios para instalação - Material</t>
  </si>
  <si>
    <t xml:space="preserve">Revestimento em Paredes, Papel de parede, Paisagem Suave Escuro, acessorios para instalação - Material e Mão de Obra </t>
  </si>
  <si>
    <t>Salão de Festas</t>
  </si>
  <si>
    <t>Revestimento de cerâmico retificado em Teto, Placa 60 x 60cm com Junta de 2mm e rejunte acrilico</t>
  </si>
  <si>
    <t>Revestimento em Cerâmicas Vulcano Cinza em Teto, 61x 61cm com Junta de 3mm</t>
  </si>
  <si>
    <t>Revestimento de cerâmico em Teto, Placa 31 x 54cm com Junta de 2mm e rejunte acrilico</t>
  </si>
  <si>
    <t>REVESTIMENTOS E ACABAMENTOS INTERNOS EM TETO - Mezanino G1</t>
  </si>
  <si>
    <t>REVESTIMENTOS E ACABAMENTOS INTERNOS EM TETO - G2</t>
  </si>
  <si>
    <t>REVESTIMENTOS E ACABAMENTOS INTERNOS EM TETO - Mezanino G2</t>
  </si>
  <si>
    <t>REVESTIMENTOS E ACABAMENTOS INTERNOS EM TETO - G3</t>
  </si>
  <si>
    <t>REVESTIMENTOS E ACABAMENTOS INTERNOS EM TETO - Mezanino G3</t>
  </si>
  <si>
    <t>REVESTIMENTOS E ACABAMENTOS INTERNOS EM TETO - Lazer | Garagem</t>
  </si>
  <si>
    <t>REVESTIMENTOS E ACABAMENTOS INTERNOS EM TETO - Lazer</t>
  </si>
  <si>
    <t>REVESTIMENTOS E ACABAMENTOS INTERNOS EM TETO - Tipo diferenciado</t>
  </si>
  <si>
    <t>REVESTIMENTOS E ACABAMENTOS INTERNOS EM TETO - Tipo x8</t>
  </si>
  <si>
    <t>REVESTIMENTOS E ACABAMENTOS INTERNOS EM TETO - Penthouse x22</t>
  </si>
  <si>
    <t>REVESTIMENTOS E ACABAMENTOS INTERNOS EM TETO - Duplex Inferior</t>
  </si>
  <si>
    <t>REVESTIMENTOS E ACABAMENTOS INTERNOS EM TETO - Duplex Superior</t>
  </si>
  <si>
    <t>REVESTIMENTOS E ACABAMENTOS INTERNOS EM TETO - Cobertura | Barrilete</t>
  </si>
  <si>
    <r>
      <t xml:space="preserve">Contrapiso comum em argamassa estabilizada, </t>
    </r>
    <r>
      <rPr>
        <sz val="7"/>
        <color rgb="FFFF0000"/>
        <rFont val="Arial"/>
        <family val="2"/>
      </rPr>
      <t>auto nivelado</t>
    </r>
    <r>
      <rPr>
        <sz val="7"/>
        <color theme="1"/>
        <rFont val="Arial"/>
        <family val="2"/>
      </rPr>
      <t>, espessura 5cm</t>
    </r>
  </si>
  <si>
    <t>Contrapiso comum em argamassa estabilizada, auto nivelado, espessura 5cm</t>
  </si>
  <si>
    <t>Todos os ambientes dos aptos, exceto pelos BWCs, Sacada e A.T</t>
  </si>
  <si>
    <t>ERMU + Piso podotatil + rampa externa</t>
  </si>
  <si>
    <t>Calçada passeio</t>
  </si>
  <si>
    <t>Subestação</t>
  </si>
  <si>
    <t>Regularização de Piso 5,00cm - Autonivelado</t>
  </si>
  <si>
    <t>Revestimento de Piso, Porcelanato Portobello – Posto 10 90x90 Externo Retificado - Linha Ipanema - Padrão Alto</t>
  </si>
  <si>
    <t>Revestimento de Piso, Porcelanato Portobello –  90x90 - Padrão Alto</t>
  </si>
  <si>
    <t>Revestimento de cerâmico retificado em Piso, Placa 60,5 x 60,5cm com Junta de 2mm</t>
  </si>
  <si>
    <t>Revestimento em Cerâmicas Vulcano Cinza em Piso, 61x 61cm com Junta de 3mm</t>
  </si>
  <si>
    <t>Revestimento de cerâmico em Piso, Placa 31 x 54cm com Junta de 2mm e rejunte acrilico</t>
  </si>
  <si>
    <t>Revestimento de cerâmico retificado em Piso, Placa 60 x 60cm com Junta de 2mm e rejunte acrilico</t>
  </si>
  <si>
    <t>Revestimento de Piso Porcelanato, Placa 90x90cm, antiderrapante com junta 5mm e rejunte acrilico cinza platina</t>
  </si>
  <si>
    <t>Porcelanato Pedra Granilhado 90x90cm Travertino Tivoli Bege</t>
  </si>
  <si>
    <t>Ladrilho Hidráulico 20x20cm - Cores: craft claro, craft comum, fendi, cana e terracota escuro - Marca: Dalle Piagge</t>
  </si>
  <si>
    <t>Ladrilho Hidráulico 20x20cm - Cores: craft claro, craft comum, fendi, cana e terracota escuro - Marca: Ladrilar</t>
  </si>
  <si>
    <t>Revestimento em Ladrilho Hidráulico 20x20cm - Cores: craft claro, craft comum, fendi, cana e terracota escuro - Marca: Dalle Piagge, com junta de 2 cm e rejunte acrilico cinza platina</t>
  </si>
  <si>
    <t>Revestimento em Ladrilho Hidráulico 20x20cm - Cores: craft claro, craft comum, fendi, cana e terracota escuro - Marca: Ladrilar, com junta de 2 cm e rejunte acrilico cinza platina</t>
  </si>
  <si>
    <t>Revestimento em Ladrilho Hidráulico 20x20cm - Cores: craft claro e craft comum - Marca: Dalle Piagge, com junta de 2 cm e rejunte acrilico cinza platina</t>
  </si>
  <si>
    <t>Ladrilho Hidráulico 20x20cm - Cores: craft claro e craft comum - Marca: Dalle Piagge</t>
  </si>
  <si>
    <t>Revestimento em Ladrilho Hidráulico 20x20cm - Cores: craft claro e craft comum - Marca: Ladrilar, com junta de 2 cm e rejunte acrilico cinza platina</t>
  </si>
  <si>
    <t>Ladrilho Hidráulico 20x20cm - Cores: craft claro e craft comum - Marca: Ladrilar</t>
  </si>
  <si>
    <t>Revestimento em Ladrilho Hidráulico 20x20cm - Cores: craft claro - Marca: Dalle Piagge, com junta de 2 cm e rejunte acrilico cinza platina</t>
  </si>
  <si>
    <t>Revestimento em Ladrilho Hidráulico 20x20cm - Cores: craft claro - Marca: Ladrilar, com junta de 2 cm e rejunte acrilico cinza platina</t>
  </si>
  <si>
    <t>Revestimento em Ladrilho Hidráulico 5x5cm - Cor: terracota escuro e off-white - Marca: Dalle Piagge, com junta de 2 cm e rejunte acrilico cinza platina</t>
  </si>
  <si>
    <t>Ladrilho Hidráulico 5x5cm - Cor: off-white - Marca: Dalle Piagge</t>
  </si>
  <si>
    <t>Revestimento em Ladrilho Hidráulico 5x5cm - Cor: terracota escuro e off-white - Marca: Ladrilar, com junta de 2 cm e rejunte acrilico cinza platina</t>
  </si>
  <si>
    <t>Ladrilho Hidráulico 5x5cm - Cor: off-white - Marca: Ladrilar</t>
  </si>
  <si>
    <t>Ladrilho Hidráulico 5x5cm - Cores: terracota escuro, azul escuro, off-white ou branco - Marca: Dalle Piagge</t>
  </si>
  <si>
    <t>Ladrilho Hidráulico 5x5cm - Cores: terracota escuro, azul escuro, off-white ou branco - Marca: Ladrilar</t>
  </si>
  <si>
    <t>Revestimento em Ladrilho Hidráulico 5x5cm - Cores: terracota escuro, azul escuro, off-white ou branco - Marca: Ladrilar, com junta de 2 cm e rejunte acrilico cinza platina</t>
  </si>
  <si>
    <t>Revestimento em Ladrilho Hidráulico 5x5cm - Cores: terracota escuro, azul escuro, off-white ou branco - Marca: Dalle Piagge, com junta de 2 cm e rejunte acrilico cinza platina</t>
  </si>
  <si>
    <t>Revestimento de parede em Porcelanato Portobello –  90x90 - Padrão Econômico</t>
  </si>
  <si>
    <t>Porcelanato Portobello –  90x90 - Padrão Econômico</t>
  </si>
  <si>
    <t>PISO MADEIRA ESCURA - Tauari Naturalle</t>
  </si>
  <si>
    <t>PISO MADEIRA ESCURA - Sucupira</t>
  </si>
  <si>
    <t>PISO MADEIRA CLARA - Tauari Naturalle Creme</t>
  </si>
  <si>
    <t>PISO MADEIRA CLARA - Carvalho Bianco</t>
  </si>
  <si>
    <t>PISO DECK MADEIRA (CUMARU) - Tábuas: 10 x 200 cm - Material e Mão de Obra</t>
  </si>
  <si>
    <t>PISO MADEIRA CHEVRON (45º) - Cumaru Chevron</t>
  </si>
  <si>
    <t>PISO MADEIRA CHEVRON (45º) - Sucupira Chevron</t>
  </si>
  <si>
    <t xml:space="preserve">Deck de madeira Cumaru - Tábuas: 10 x 200 cm - material e mão de obra </t>
  </si>
  <si>
    <t xml:space="preserve">Piso de madeira escura Sucupira - material e mão de obra </t>
  </si>
  <si>
    <t>Mão de obra de instalação de Piso de madeira</t>
  </si>
  <si>
    <t xml:space="preserve">Piso de madeira escura Tauari Naturalle - material e mão de obra </t>
  </si>
  <si>
    <t xml:space="preserve">Piso de madeira clara Tauari Naturalle Cremme - material e mão de obra </t>
  </si>
  <si>
    <t xml:space="preserve">Piso de madeira clara Carvalho Bianco - material e mão de obra </t>
  </si>
  <si>
    <t xml:space="preserve">Piso de madeira Cumaru Chevron 45°  - material e mão de obra </t>
  </si>
  <si>
    <t xml:space="preserve">Piso de madeira Sucupira Chevron 45°  - material e mão de obra </t>
  </si>
  <si>
    <t xml:space="preserve">Piso de madeira natural - Carvalho Europeu Prime (Engineered Oak) - material e mão de obra </t>
  </si>
  <si>
    <t xml:space="preserve">Piso de madeira natural - Carvalho Rustic Premium - material e mão de obra </t>
  </si>
  <si>
    <t xml:space="preserve">Piso de madeira natural - Nogueira Americana - material e mão de obra </t>
  </si>
  <si>
    <t xml:space="preserve">Piso de madeira natural - Cumaru engenheirado - material e mão de obra </t>
  </si>
  <si>
    <t>Revestimento de Mármore Natural em Piso</t>
  </si>
  <si>
    <t>Revestimento de Mármore Travertino Nacional em Piso</t>
  </si>
  <si>
    <t>Revestimento de Mármore Travertino Navona em Piso</t>
  </si>
  <si>
    <t>Revestimento de Mármore Travertino Importado em Piso</t>
  </si>
  <si>
    <t>Revestimento de Mármore Travertino Romano em Piso</t>
  </si>
  <si>
    <t>Revestimento de Pedras Quartzito Van Gogh em Piso</t>
  </si>
  <si>
    <t>SISTEMA DE PISO AQUECIDO</t>
  </si>
  <si>
    <t>Revestimento de Mármore Natural  Aquecido em Piso</t>
  </si>
  <si>
    <t>Circulações e dormitórios</t>
  </si>
  <si>
    <t>Piso vinílico cinza 92x92cm / Linha Ambienta Coleção Stone / Cores: cinza claro (Beige Porcelain) e cinza (Light Porcelain) / Marca: Tarkett - MATERIAL E MÃO DE OBRA</t>
  </si>
  <si>
    <t>Revestimento de Piso vinílico cinza e cinza claro 92x92cm / Linha Ambienta Coleção Stone / Marca: Tarkett</t>
  </si>
  <si>
    <t>Revestimento de Piso vinílico cinza claro 92x92cm / Linha Ambienta Coleção Stone / Marca: Tarkett</t>
  </si>
  <si>
    <t>Piso vinílico cinza 92x92cm / Linha Ambienta Coleção Stone / Cores: cinza claro (Beige Porcelain) / Marca: Tarkett - MATERIAL E MÃO DE OBRA</t>
  </si>
  <si>
    <t>Pisos Para Academia Emborrachado EPDM  20x20 cm/ Cor: azul e branco / Marca: Rubber - Material e Mão de obra</t>
  </si>
  <si>
    <t>Pisos Para Academia Emborrachado Impact Soft  100x100 cm/ Peso Livre - Material e Mão de obra</t>
  </si>
  <si>
    <t>Piso vinílico cinza 92x92cm / Linha Ambienta Coleção Stone / Cores: cinza (Light Porcelain) / Marca: Tarkett - MATERIAL E MÃO DE OBRA</t>
  </si>
  <si>
    <t>Revestimento de Piso vinílico cinza 92x92cm / Linha Ambienta Coleção Stone / Marca: Tarkett</t>
  </si>
  <si>
    <t>Laje verde intensiva sobre steel deck - Material e Mão de obra</t>
  </si>
  <si>
    <t>Estrutura steel deck + concreto</t>
  </si>
  <si>
    <t>Impermeabilização antirraiz</t>
  </si>
  <si>
    <t>Camada drenante</t>
  </si>
  <si>
    <t>Manta filtrante</t>
  </si>
  <si>
    <t>Substrato vegetal intensivo</t>
  </si>
  <si>
    <t>Vegetação intensiva</t>
  </si>
  <si>
    <t>Sistema irrigação</t>
  </si>
  <si>
    <t>Rodapé de porcelanato h=15cm, Padrão Alto</t>
  </si>
  <si>
    <t>Pedra Ônix Cristal Rose</t>
  </si>
  <si>
    <t>Rodapé de Pedra Ônix Cristal Rose h=35cm</t>
  </si>
  <si>
    <t>Mão de obra de rodapé Pedra</t>
  </si>
  <si>
    <t>Valor encarrecido pois o piso é grande e recortado do piso</t>
  </si>
  <si>
    <t>Friso metálico entre pisos / Largura 1,5 cm / Cor: dourado escovado - Material e Mão de obra</t>
  </si>
  <si>
    <t>Na piscina do duplex superior</t>
  </si>
  <si>
    <t>Revestimento de Piso, Porcelanato Portobello –  90x90 - Padrão Econômico</t>
  </si>
  <si>
    <t>Mão de obra para assentamento de Travertino em piso</t>
  </si>
  <si>
    <t>Mão de obra para assentamento de Pedras Naturais e Mármores em piso</t>
  </si>
  <si>
    <t>PISOS E PAVIMENTAÇÕES - Térreo</t>
  </si>
  <si>
    <t>PISOS E PAVIMENTAÇÕES - Mezanino G1</t>
  </si>
  <si>
    <t>PISOS E PAVIMENTAÇÕES - G2</t>
  </si>
  <si>
    <t>PISOS E PAVIMENTAÇÕES - G3</t>
  </si>
  <si>
    <t>PISOS E PAVIMENTAÇÕES - Mezanino G2</t>
  </si>
  <si>
    <t>PISOS E PAVIMENTAÇÕES - Mezanino G3</t>
  </si>
  <si>
    <t>PISOS E PAVIMENTAÇÕES - Lazer | Garagem</t>
  </si>
  <si>
    <t>PISOS E PAVIMENTAÇÕES - Lazer</t>
  </si>
  <si>
    <t>PISOS E PAVIMENTAÇÕES - Tipo diferenciado</t>
  </si>
  <si>
    <t>PISOS E PAVIMENTAÇÕES - Tipo x8</t>
  </si>
  <si>
    <t>PISOS E PAVIMENTAÇÕES - Penthouse x22</t>
  </si>
  <si>
    <t>PISOS E PAVIMENTAÇÕES - Duplex Inferior</t>
  </si>
  <si>
    <t>PISOS E PAVIMENTAÇÕES - Duplex Superior</t>
  </si>
  <si>
    <t>PISOS E PAVIMENTAÇÕES - Cobertura | Barrilete</t>
  </si>
  <si>
    <t>PISOS E PAVIMENTAÇÕES - Reservatório</t>
  </si>
  <si>
    <t>PINTURA - Térreo</t>
  </si>
  <si>
    <t>LOUÇAS E METAIS - Térreo</t>
  </si>
  <si>
    <t>LOUÇAS E METAIS - Mezanino G1</t>
  </si>
  <si>
    <t>LOUÇAS E METAIS - G2</t>
  </si>
  <si>
    <t>LOUÇAS E METAIS - Mezanino G2</t>
  </si>
  <si>
    <t>LOUÇAS E METAIS - G3</t>
  </si>
  <si>
    <t>LOUÇAS E METAIS - Mezanino G3</t>
  </si>
  <si>
    <t>LOUÇAS E METAIS - Lazer | Garagem</t>
  </si>
  <si>
    <t>LOUÇAS E METAIS - Lazer</t>
  </si>
  <si>
    <t>LOUÇAS E METAIS - Tipo diferenciado</t>
  </si>
  <si>
    <t>LOUÇAS E METAIS - Tipo x8</t>
  </si>
  <si>
    <t>LOUÇAS E METAIS - Penthouse x22</t>
  </si>
  <si>
    <t>LOUÇAS E METAIS - Duplex Inferior</t>
  </si>
  <si>
    <t>LOUÇAS E METAIS - Duplex Superior</t>
  </si>
  <si>
    <t>LOUÇAS E METAIS - Cobertura | Barrilete</t>
  </si>
  <si>
    <t>Pintura Com Tinta Latex Acrilica em Paredes Internas, 3 Demaos (Somente tinta) - Suvinil Azul Etéreo</t>
  </si>
  <si>
    <t>TINTA ACRILICA PREMIUM AZUL ETÉREO</t>
  </si>
  <si>
    <t>TINTA ACRILICA PREMIUM  PAPEL PICADO</t>
  </si>
  <si>
    <t>Pintura Com Tinta Latex Acrilica em Paredes Internas, 3 Demaos (Somente tinta) - Suvinil Papel Picado</t>
  </si>
  <si>
    <t>Textura acrílica aplicação em paredes internas, 1 demão - Diore Ornamentali Bege Bahia</t>
  </si>
  <si>
    <t xml:space="preserve">revestimento Diore Ornamentali na cor Bege Bahia </t>
  </si>
  <si>
    <t xml:space="preserve">Textura acrílica aplicação em paredes internas, 1 demão - Textura Terracal / Marca: Terracor </t>
  </si>
  <si>
    <t xml:space="preserve">Textura Terracal / Marca: Terracor </t>
  </si>
  <si>
    <t>Textura acrílica aplicação em tetos, 1 demão - Diore Ornamentali Bege Bahia</t>
  </si>
  <si>
    <t>Pintura Com Tinta Latex Acrilica em tetos, 3 Demaos (Somente tinta) - Suvinil Azul Etéreo</t>
  </si>
  <si>
    <t>Pintura Com Tinta Latex Acrilica em tetos, 3 Demaos (Somente tinta) - Suvinil Papel Picado</t>
  </si>
  <si>
    <t xml:space="preserve">Textura acrílica aplicação em tetos, 1 demão - Textura Terracal / Marca: Terracor </t>
  </si>
  <si>
    <t>Pintura Com Tinta Latex Acrilica em tetos, 3 Demaos (Somente tinta)</t>
  </si>
  <si>
    <t>selador em tetos</t>
  </si>
  <si>
    <t>Pintura em Epóxi em tetos, Aplicação Manual, 2 Demãos</t>
  </si>
  <si>
    <t>Pintura Artistica em tetos</t>
  </si>
  <si>
    <t>Mão de obra para pintura artistica em teto</t>
  </si>
  <si>
    <t>Mão de obra para demarcação de vagas epoxi</t>
  </si>
  <si>
    <t>Mão de obra para pintura epoxi em teto</t>
  </si>
  <si>
    <t>PINTURA - Mezanino G1</t>
  </si>
  <si>
    <t>PINTURA - G2</t>
  </si>
  <si>
    <t>PINTURA - Mezanino G2</t>
  </si>
  <si>
    <t>PINTURA - G3</t>
  </si>
  <si>
    <t>PINTURA - Mezanino G3</t>
  </si>
  <si>
    <t>PINTURA - Lazer | Garagem</t>
  </si>
  <si>
    <t>PINTURA - Lazer</t>
  </si>
  <si>
    <t>PINTURA - Tipo diferenciado</t>
  </si>
  <si>
    <t>PINTURA - Tipo x8</t>
  </si>
  <si>
    <t>PINTURA - Penthouse x22</t>
  </si>
  <si>
    <t>PINTURA - Duplex Inferior</t>
  </si>
  <si>
    <t>PINTURA - Duplex Superior</t>
  </si>
  <si>
    <t>PINTURA - Cobertura | Barrilete</t>
  </si>
  <si>
    <t>REVESTIMENTOS E ACABAMENTOS EM FACHADA - FACHADA FRONTAL</t>
  </si>
  <si>
    <t>Aplicação manual de gesso sarrafeado em paredes externas, espessura de 1,0cm, com execução de taliscas</t>
  </si>
  <si>
    <t>Pórtico da entrada</t>
  </si>
  <si>
    <t>Moldura em EPS fachada - m³</t>
  </si>
  <si>
    <t>Moldura EPS - m³</t>
  </si>
  <si>
    <t>Massa cimentícia armada</t>
  </si>
  <si>
    <t>Moldura em EPS fachada - Material e Mão de obra</t>
  </si>
  <si>
    <t>Mão de obra para execução de m2 de moldura de eps</t>
  </si>
  <si>
    <t>Moldura de fachada, com revestimento de tijolinho aderido, cor areia</t>
  </si>
  <si>
    <t>tijolinho aderido, cor areia</t>
  </si>
  <si>
    <t>tijolinho aderido, cor vermelho escuro</t>
  </si>
  <si>
    <t>tijolinho aderido, cor branco pigmentado</t>
  </si>
  <si>
    <t>pastilha azul (OM15645 – 20x20) - atlas</t>
  </si>
  <si>
    <t>pastilha azul (OM15645 – 7,5x7,5) - atlas</t>
  </si>
  <si>
    <t>Moldura de fachada, com revestimento de tijolinho aderido, cor branco pigmentado</t>
  </si>
  <si>
    <t>Moldura de fachada, com revestimento de tijolinho aderido, cor vermelho escuro</t>
  </si>
  <si>
    <t>Fixadores e acessórios - parafusos e fixadores</t>
  </si>
  <si>
    <t>Mão de obra de facahda ventilada</t>
  </si>
  <si>
    <t>Manta fachada ventilada</t>
  </si>
  <si>
    <t>Revestimento de tijolinho aderido, cor vermelho escuro</t>
  </si>
  <si>
    <t>Revestimento de tijolinho aderido, cor branco pigmentado</t>
  </si>
  <si>
    <t>Revestimento de tijolinho ventilado, com toda a estrutura, cores rosado e tabaco - Material e Mão de Obra</t>
  </si>
  <si>
    <t>Fachada ventilada na entrada, considerando, conforme imagens comerciais, uma quantidades na proporção de 80% rosado + 20% de tabaco, por m²</t>
  </si>
  <si>
    <t>Revestimento de pastilha azul (OM15645 – 20x20) - atlas</t>
  </si>
  <si>
    <t>Ladrilho Hidráulico 5x5cm - Cor: laranja - Marca: Dalle Piagge</t>
  </si>
  <si>
    <t>Ladrilho Hidráulico 10x10cm - Cor: laranja - Marca: Dalle Piagge</t>
  </si>
  <si>
    <t>Ladrilho Hidráulico 10x10cm - Cor: off-white - Marca: Dalle Piagge</t>
  </si>
  <si>
    <t>Revestimento externo em Ladrilho Hidráulico 10x10cm - Cor: laranja e off-white - Marca: Dalle Piagge, com junta de 2 cm e rejunte acrilico cinza platina</t>
  </si>
  <si>
    <t>Mão de obra massa de gesso de paredes externas</t>
  </si>
  <si>
    <t>Mão de obra para aplicação de molduras em paredes externas</t>
  </si>
  <si>
    <t>Mão de obra para aplicação de Mármore Travertino em paredes externas</t>
  </si>
  <si>
    <t>IMPREVISTOS E CONTINGÊNCIAS</t>
  </si>
  <si>
    <t>REVESTIMENTOS E ACABAMENTOS EM FACHADA - FACHADA DIREITA</t>
  </si>
  <si>
    <t>REVESTIMENTOS E ACABAMENTOS EM FACHADA - FACHADA POSTERIOR</t>
  </si>
  <si>
    <t>REVESTIMENTOS E ACABAMENTOS EM FACHADA - FACHADA ESQUERDA</t>
  </si>
  <si>
    <t>Elevadores Sociais</t>
  </si>
  <si>
    <t>Elevadores Emergência</t>
  </si>
  <si>
    <t>Elevadores de Automoveis</t>
  </si>
  <si>
    <t>Hall do elevador</t>
  </si>
  <si>
    <t>Hall do elevador + Lavabos</t>
  </si>
  <si>
    <t>Considerado 80% do piso do térreo</t>
  </si>
  <si>
    <t>Considerado 20% do piso do térreo</t>
  </si>
  <si>
    <t>Moldura de fachada, com revestimento de marmore travertino romano</t>
  </si>
  <si>
    <t>Janela Personalizadas (m²)</t>
  </si>
  <si>
    <t>PLT-01 - Janela LARGURA: 445cm ALTURA: 505cm VIDRO: Vidro temperado COR E ACABAMENTO: Alumínio com pintura eletrostática - Bronze 1002</t>
  </si>
  <si>
    <t>PLT-02 - Janela LARGURA: 310cm ALTURA: 510cm VIDRO: Vidro temperado COR E ACABAMENTO: Alumínio com pintura eletrostática - Bronze 1002</t>
  </si>
  <si>
    <t>PLT-03 - Janela LARGURA: 270cm ALTURA: 510cm VIDRO: Vidro temperado COR E ACABAMENTO: Alumínio com pintura eletrostática - Bronze 1002</t>
  </si>
  <si>
    <t>Embassamento</t>
  </si>
  <si>
    <t>PLT-04 - Janela LARGURA: 390cm ALTURA: 510cm VIDRO: Vidro temperado COR E ACABAMENTO: Alumínio com pintura eletrostática - Bronze 1002</t>
  </si>
  <si>
    <t>PLT-05 - Janela LARGURA: 410cm ALTURA: 510cm VIDRO: Vidro temperado COR E ACABAMENTO: Alumínio com pintura eletrostática - Bronze 1002</t>
  </si>
  <si>
    <t>PLT-06 - Janela LARGURA: 345cm ALTURA: 510cm VIDRO: Vidro temperado COR E ACABAMENTO: Alumínio com pintura eletrostática - Bronze 1002</t>
  </si>
  <si>
    <t>PLT-07 - Janela LARGURA: 205cm ALTURA: 305cm VIDRO: Vidro temperado COR E ACABAMENTO: Alumínio com pintura eletrostática - Bronze 1002</t>
  </si>
  <si>
    <t>PLT-08 - Janela LARGURA: 59cm0ALTURA: 310cm VIDRO: Vidro temperado COR E ACABAMENTO: Alumínio com pintura eletrostática - Bronze 1002</t>
  </si>
  <si>
    <t>PLT-09 - Janela LARGURA: 475cm ALTURA: 310cm VIDRO: Vidro temperado COR E ACABAMENTO: Alumínio com pintura eletrostática - Bronze 1002</t>
  </si>
  <si>
    <t>Janela Alumínio (m²)</t>
  </si>
  <si>
    <t>JA-G01 - JANELA TELADA COM ESQUADRIA FIXA - 180 x 80 - TELA DE AÇO GALVANIZADO COM PINTURA NA COR BRANCA  - ALUMÍNIO COM PINTURA ELETROSTÁTICA BRANCA</t>
  </si>
  <si>
    <t>JA-G02 - JANELA TELADA COM ESQUADRIA FIXA - 160 x 80 - TELA DE AÇO GALVANIZADO COM PINTURA NA COR BRANCA  - ALUMÍNIO COM PINTURA ELETROSTÁTICA BRANCA</t>
  </si>
  <si>
    <t>L2 - MEZ TERREO</t>
  </si>
  <si>
    <t>L3 - G2</t>
  </si>
  <si>
    <t>L4 - G3</t>
  </si>
  <si>
    <t>L5 - G4</t>
  </si>
  <si>
    <t>L6 - G5</t>
  </si>
  <si>
    <t>L7 - LAZER 01</t>
  </si>
  <si>
    <t>L9 - LAZER 02</t>
  </si>
  <si>
    <t>PCF-90 - PORTA CORTA-FOGO 2 VISTAS, CORTA FOGO, 90 x 210 cm</t>
  </si>
  <si>
    <t>PM - 80 - PORTA DE ABRIR, 1 FOLHA, 80 x 210 cm</t>
  </si>
  <si>
    <t>PM - 90 - PORTA DE ABRIR, 1 FOLHA, 90 x 210 cm</t>
  </si>
  <si>
    <t>PVE-60 - PORTA DE ABRIR PARA FORA, 1 FOLHA, ALUMINIO VENEZIANA, 60 x 110 cm</t>
  </si>
  <si>
    <t>PVE-110 - PORTA DE ABRIR PARA FORA, 2 FOLHA, ALUMINIO VENEZIANA, 110 x 100 cm</t>
  </si>
  <si>
    <t>PVE-160 - PORTA DE ABRIR PARA FORA, 1 FOLHA, ALUMINIO VENEZIANA, 160 x 300 cm</t>
  </si>
  <si>
    <t>PVE-150 - PORTA DE ABRIR PARA FORA, 1 FOLHA, ALUMINIO VENEZIANA, 150 x 200 cm</t>
  </si>
  <si>
    <t>PVE-90 - PORTA DE ABRIR PARA FORA, 1 FOLHA, ALUMINIO VENEZIANA, 90 x 210 cm</t>
  </si>
  <si>
    <t>PVE-300 - PORTA DE ABRIR PARA FORA, 1 FOLHA, ALUMINIO VENEZIANA, 300 x 75 cm</t>
  </si>
  <si>
    <t>PVE-80 - PORTA DE ABRIR PARA FORA, 1 FOLHA, ALUMINIO VENEZIANA, 80 x 60 cm</t>
  </si>
  <si>
    <t>PVC-245  - PORTA DE VIDRO COM ESQUADRIA DE CORRER, 2 FOLHA, ALUMINIO, 245 x 235 cm</t>
  </si>
  <si>
    <t>PVC-300  - PORTA DE VIDRO COM ESQUADRIA DE CORRER, 3 FOLHA, ALUMINIO, 300 x 210 cm</t>
  </si>
  <si>
    <t>PVC-350  - PORTA DE VIDRO COM ESQUADRIA DE CORRER, 3 FOLHA, ALUMINIO, 350 x 210 cm</t>
  </si>
  <si>
    <t>PVC-550  - PORTA DE VIDRO COM ESQUADRIA DE CORRER, 4 FOLHA, ALUMINIO, 550 x 210 cm</t>
  </si>
  <si>
    <t>PL-G01 -  Pele de vidro do tipo passante com aberturas maxim ar - LARGURA: 200cm ALTURA: 1050cm - VIDRO: Vidro laminado - COR E ACABAMENTO: Alumínio com pintura eletrostática - Bronze 1002</t>
  </si>
  <si>
    <t>JA-L01 - Janela de vidro com pinazio - 200 x 305 - VIDRO: Vidro laminado - COR E ACABAMENTO: Alumínio com pintura eletrostática - Bronze 1002</t>
  </si>
  <si>
    <t>JA-L02 - Janela de vidro com pinazio - 80 x 215 - VIDRO: Vidro laminado - COR E ACABAMENTO: Alumínio com pintura eletrostática - Bronze 1002</t>
  </si>
  <si>
    <t>JA-L03 - Janela de vidro com pinazio - 160 x 215 - VIDRO: Vidro laminado - COR E ACABAMENTO: Alumínio com pintura eletrostática - Bronze 1002</t>
  </si>
  <si>
    <t>JA-L04 - Janela de vidro com duas folhas de correr  - 240 x 185 - VIDRO: Vidro laminado - COR E ACABAMENTO: Alumínio com pintura eletrostática - Bronze 1002</t>
  </si>
  <si>
    <t>JA-L05 - Janela de vidro com duas folhas de correr- 200 x 185 - VIDRO: Vidro laminado - COR E ACABAMENTO: Alumínio com pintura eletrostática - Bronze 1002</t>
  </si>
  <si>
    <t>JA-L06 - Janela de vidro com duas folhas de correr e duas fixas - 350 x 185 - VIDRO: Vidro laminado - COR E ACABAMENTO: Alumínio com pintura eletrostática - Bronze 1002</t>
  </si>
  <si>
    <t>L10 - TIPO 01</t>
  </si>
  <si>
    <t>L11 a 18 - TIPO 02 a 09-001</t>
  </si>
  <si>
    <t>L19 - TIPO 10 - PENTHOUSE</t>
  </si>
  <si>
    <t>L41 - DUPLEX INF</t>
  </si>
  <si>
    <t>L42 - DUPLEX SUP</t>
  </si>
  <si>
    <t>L43 - TELHADO</t>
  </si>
  <si>
    <t>JB-02 - JANELA COM ESQUADRIA MAXIM-AR - 1 FOLHA + PEITORIL COM ESQUADRIA FIXA - 1 FOLHA - 80 x 195 - VIDRO DUPLO LAMINADO COM PROTEÇÃO UVA/UVB  - ALUMÍNIO COM PINTURA ELETROSTÁTICA - BRONZE 1002</t>
  </si>
  <si>
    <t>JC-01 - JANELA COM ESQUADRIA DE CORRER - 4 FOLHA - 300 x 55 - VIDRO DUPLO LAMINADO COM PROTEÇÃO UVA/UVB  - ALUMÍNIO COM PINTURA ELETROSTÁTICA - BRANCA</t>
  </si>
  <si>
    <t>JCP-02 - JANELA COM ESQUADRIA DE CORRER - 2 FOLHA + PERSIANA INTEGRADA - 190 x 115 - VIDRO DUPLO LAMINADO COM PROTEÇÃO UVA/UVB  - ALUMÍNIO COM PINTURA ELETROSTÁTICA - BRANCA</t>
  </si>
  <si>
    <t>JCP-03 - JANELA COM ESQUADRIA DE CORRER - 2 FOLHA + PERSIANA INTEGRADA - 220 x 110 - VIDRO DUPLO LAMINADO COM PROTEÇÃO UVA/UVB  - ALUMÍNIO COM PINTURA ELETROSTÁTICA - BRANCA</t>
  </si>
  <si>
    <t>JV-01 - VENEZIANA FIXA - 1 FOLHA - 100 x 150 - VIDRO COMUM LISO VERDE   - ALUMÍNIO COM PINTURA ELETROSTÁTICA - BRANCA</t>
  </si>
  <si>
    <t>JC-02 - JANELA COM ESQUADRIA DE CORRER - 4 FOLHA - 355 x 55 - VIDRO COMUM LISO VERDE  - ALUMÍNIO COM PINTURA ELETROSTÁTICA - BRANCA</t>
  </si>
  <si>
    <t>JCP-01 - JANELA COM ESQUADRIA DE CORRER - 2 FOLHA + PERSIANA INTEGRADA - 150 x 110 - VIDRO DUPLO LAMINADO COM PROTEÇÃO UVA/UVB  - ALUMÍNIO COM PINTURA ELETROSTÁTICA - BRANCA</t>
  </si>
  <si>
    <t>JV-02 - VENEZIANA FIXA - 1 FOLHA - 60 x 100 - VIDRO COMUM LISO VERDE   - ALUMÍNIO COM PINTURA ELETROSTÁTICA - BRANCA</t>
  </si>
  <si>
    <t>PL - 03B - A/B CONJUNTO DE JANELAS DE CORRER - 02 FOLHAS + PEITORIL FIXO (ÂNGULO 90°) - 200 x 205 - VIDRO DUPLO LAMINADO COM PROTEÇÃO UVA/UVB  - ALUMÍNIO COM PINTURA ELETROSTÁTICA - BRONZE 1002</t>
  </si>
  <si>
    <t>PL - 03A - A/B CONJUNTO DE JANELAS DE CORRER - 02 FOLHAS + PEITORIL FIXO (ÂNGULO 90°) - 200 x 155 - VIDRO DUPLO LAMINADO COM PROTEÇÃO UVA/UVB  - ALUMÍNIO COM PINTURA ELETROSTÁTICA - BRONZE 1002</t>
  </si>
  <si>
    <t>PL - 01 - JANELA COM ESQUADRIA DE CORRER - 4 FOLHAS + PEITORIL FIXO (02 FOLHAS MÓVEIS + 02 FOLHAS FIXAS - 200 x 405 - VIDRO DUPLO LAMINADO COM PROTEÇÃO UVA/UVB  - ALUMÍNIO COM PINTURA ELETROSTÁTICA - BRONZE 1002</t>
  </si>
  <si>
    <t>PL - 02 - JANELA COM ESQUADRIA DE CORRER - 4 FOLHAS + PEITORIL FIXO (02 FOLHAS MÓVEIS + 02 FOLHAS FIXAS - 200 x 355 - VIDRO DUPLO LAMINADO COM PROTEÇÃO UVA/UVB  - ALUMÍNIO COM PINTURA ELETROSTÁTICA - BRONZE 1002</t>
  </si>
  <si>
    <t>PL - 05 - PELE DE VIDRO - 525 x 460 - VIDRO DUPLO LAMINADO COM PROTEÇÃO UVA/UVB  - ALUMÍNIO COM PINTURA ELETROSTÁTICA - BRONZE 1002</t>
  </si>
  <si>
    <t>PL - 04 - JANELA COM ESQUADRIA DE CORRER - 4 FOLHAS + PEITORIL FIXO (02 FOLHAS MÓVEIS + 02 FOLHAS FIXAS - 200 x 305 - VIDRO DUPLO LAMINADO COM PROTEÇÃO UVA/UVB  - ALUMÍNIO COM PINTURA ELETROSTÁTICA - BRONZE 1002</t>
  </si>
  <si>
    <t>PCF-80 - PORTA CORTA-FOGO 2 VISTAS, CORTA FOGO, 80 x 210 cm</t>
  </si>
  <si>
    <t>L45 - BARRILETE</t>
  </si>
  <si>
    <t>PM - 70 - PORTA DE ABRIR, 1 FOLHA, 70 x 210 cm</t>
  </si>
  <si>
    <t>PC-70  - PORTA DE VIDRO COM ESQUADRIA DE CORRER EM TRILHO LATERAL - 1 FOLHA, 70 x 210 cm</t>
  </si>
  <si>
    <t>PC-80  - PORTA DE VIDRO COM ESQUADRIA DE CORRER EM TRILHO LATERAL - 1 FOLHA, 80 x 210 cm</t>
  </si>
  <si>
    <t>PV-220  - PORTA DE VIDRO COM ESQUADRIA DE CORRER - 3 FOLHAS, 200 x 220 cm</t>
  </si>
  <si>
    <t>PV-250  - PORTA DE VIDRO COM ESQUADRIA DE CORRER - 3 FOLHAS, 250 x 220 cm</t>
  </si>
  <si>
    <t>PV-450  - PORTA DE VIDRO COM ESQUADRIA DE CORRER - 3 FOLHAS, 450 x 220 cm</t>
  </si>
  <si>
    <t>PA-05  - PORTA VENEZIANA DE ABRIR PARA FORA - 1 FOLHA, 60 x 60 cm</t>
  </si>
  <si>
    <t>PVE-90  - PORTA VENEZIANA DE ABRIR PARA FORA - 1 FOLHA, 90 x 210 cm</t>
  </si>
  <si>
    <t>PVE-120  - PORTA VENEZIANA DE ABRIR PARA FORA - 2 FOLHA, 120 x 200 cm</t>
  </si>
  <si>
    <t>PVE-80A  - PORTA VENEZIANA DE ABRIR PARA FORA - 1 FOLHA, 80 x 160 cm</t>
  </si>
  <si>
    <t>Janela Alumínio Bronze (m²)</t>
  </si>
  <si>
    <t>Janela Personalizadas Bronze (m²)</t>
  </si>
  <si>
    <t>VALOR/M²</t>
  </si>
  <si>
    <t>CONTRAMARCO</t>
  </si>
  <si>
    <t>Material</t>
  </si>
  <si>
    <t>VALOR MATERIAL R$</t>
  </si>
  <si>
    <t>VALOR MÃO DE OBRA R$</t>
  </si>
  <si>
    <t>Esquadrias de Alumínio - Portas - fornecimento e instalação</t>
  </si>
  <si>
    <t>Esquadrias de Alumínio - Janelas - fornecimento e instalação</t>
  </si>
  <si>
    <t>Esquadrias de Alumínio - Janelas Bronze - fornecimento e instalação</t>
  </si>
  <si>
    <t>Esquadrias de Alumínio - Janelas Bronze Personalizada - fornecimento e instalação</t>
  </si>
  <si>
    <t>Modelo do visus</t>
  </si>
  <si>
    <t>Tabela de esquadrias enviada pela Gessele</t>
  </si>
  <si>
    <t>Porta principal, correr, 2+1+1 folhas, 420x840 cm</t>
  </si>
  <si>
    <t>Corrimão Duplo Metálico - inox escovado 304 - fornecimento e instalação</t>
  </si>
  <si>
    <t>Corrimão Parede Metálico - inox escovado 304 - fornecimento e instalação</t>
  </si>
  <si>
    <t>Guarda Corpo metálico - inox 304 escovado - fornecimento e instalação</t>
  </si>
  <si>
    <t>Guarda Corpo metálico</t>
  </si>
  <si>
    <t>Uma por apartamento</t>
  </si>
  <si>
    <t>Brise de Aluminio</t>
  </si>
  <si>
    <t>um</t>
  </si>
  <si>
    <t>EXTINTORES</t>
  </si>
  <si>
    <t>Exaustão de cozinha</t>
  </si>
  <si>
    <t>Considerado 1 por cozinha</t>
  </si>
  <si>
    <t>Aspiração</t>
  </si>
  <si>
    <t>Equipamento de exaustão</t>
  </si>
  <si>
    <t>Equipamento de Aspiração</t>
  </si>
  <si>
    <t>Exaustor</t>
  </si>
  <si>
    <t>Considerado conforme os contratos disponibilizados pelo GESSELE</t>
  </si>
  <si>
    <t>Subestação de Energia</t>
  </si>
  <si>
    <t>SISTEMAS E INSTALAÇÕES ELÉTRICAS - Térreo</t>
  </si>
  <si>
    <t>SISTEMAS E INSTALAÇÕES ELÉTRICAS - Mezanino G1</t>
  </si>
  <si>
    <t>SISTEMAS E INSTALAÇÕES ELÉTRICAS - G2</t>
  </si>
  <si>
    <t>SISTEMAS E INSTALAÇÕES ELÉTRICAS - Mezanino G2</t>
  </si>
  <si>
    <t>SISTEMAS E INSTALAÇÕES ELÉTRICAS - G3</t>
  </si>
  <si>
    <t>SISTEMAS E INSTALAÇÕES ELÉTRICAS - Mezanino G3</t>
  </si>
  <si>
    <t>SISTEMAS E INSTALAÇÕES ELÉTRICAS - Lazer | Garagem</t>
  </si>
  <si>
    <t>SISTEMAS E INSTALAÇÕES ELÉTRICAS - Lazer</t>
  </si>
  <si>
    <t>SISTEMAS E INSTALAÇÕES ELÉTRICAS - Tipo diferenciado</t>
  </si>
  <si>
    <t>SISTEMAS E INSTALAÇÕES ELÉTRICAS - Tipo x8</t>
  </si>
  <si>
    <t>SISTEMAS E INSTALAÇÕES ELÉTRICAS - Penthouse x22</t>
  </si>
  <si>
    <t>SISTEMAS E INSTALAÇÕES ELÉTRICAS - Duplex Inferior</t>
  </si>
  <si>
    <t>SISTEMAS E INSTALAÇÕES ELÉTRICAS - Duplex Superior</t>
  </si>
  <si>
    <t>SISTEMAS E INSTALAÇÕES ELÉTRICAS - Cobertura | Barrilete</t>
  </si>
  <si>
    <t>quantidades ESTIMADA, devido a ausência de quantitativos</t>
  </si>
  <si>
    <t>quantidades conforme quantidades do projetista</t>
  </si>
  <si>
    <t>SISTEMAS E INSTALAÇÕES HIDROSSANITÁRIAS E DRENAGEM - Térreo</t>
  </si>
  <si>
    <t>Instalações de água fria e quente</t>
  </si>
  <si>
    <t>Devido a ausencia de quantitativos, estimamos um Hidrometro multijato 3/4" vazao maxima 5 m³/h por apartamento + 1 por pavimento</t>
  </si>
  <si>
    <t>quantidades conforme quantidades do projetista + complemento cartesian</t>
  </si>
  <si>
    <t>SISTEMAS E INSTALAÇÕES HIDROSSANITÁRIAS E DRENAGEM - Mezanino G1</t>
  </si>
  <si>
    <t>SISTEMAS E INSTALAÇÕES HIDROSSANITÁRIAS E DRENAGEM - G2</t>
  </si>
  <si>
    <t>SISTEMAS E INSTALAÇÕES HIDROSSANITÁRIAS E DRENAGEM - Mezanino G2</t>
  </si>
  <si>
    <t>SISTEMAS E INSTALAÇÕES HIDROSSANITÁRIAS E DRENAGEM - G3</t>
  </si>
  <si>
    <t>SISTEMAS E INSTALAÇÕES HIDROSSANITÁRIAS E DRENAGEM - Mezanino G3</t>
  </si>
  <si>
    <t>SISTEMAS E INSTALAÇÕES HIDROSSANITÁRIAS E DRENAGEM - Lazer | Garagem</t>
  </si>
  <si>
    <t>SISTEMAS E INSTALAÇÕES HIDROSSANITÁRIAS E DRENAGEM - Lazer</t>
  </si>
  <si>
    <t>SISTEMAS E INSTALAÇÕES HIDROSSANITÁRIAS E DRENAGEM - Tipo diferenciado</t>
  </si>
  <si>
    <t>SISTEMAS E INSTALAÇÕES HIDROSSANITÁRIAS E DRENAGEM - Tipo x8</t>
  </si>
  <si>
    <t>SISTEMAS E INSTALAÇÕES HIDROSSANITÁRIAS E DRENAGEM - Penthouse x22</t>
  </si>
  <si>
    <t>SISTEMAS E INSTALAÇÕES HIDROSSANITÁRIAS E DRENAGEM - Duplex Inferior</t>
  </si>
  <si>
    <t>SISTEMAS E INSTALAÇÕES HIDROSSANITÁRIAS E DRENAGEM - Duplex Superior</t>
  </si>
  <si>
    <t>SISTEMAS E INSTALAÇÕES HIDROSSANITÁRIAS E DRENAGEM - Cobertura | Barrilete</t>
  </si>
  <si>
    <t>INSTALAÇÕES</t>
  </si>
  <si>
    <t>PISCINAS IGUI</t>
  </si>
  <si>
    <t>EQUIPAMENOS</t>
  </si>
  <si>
    <t>Piscina IGUI</t>
  </si>
  <si>
    <t>Sistema de Gás</t>
  </si>
  <si>
    <t>INSTALAÇÕES DE GÁS - Térreo</t>
  </si>
  <si>
    <t>INSTALAÇÕES DE GÁS - Mezanino G1</t>
  </si>
  <si>
    <t>INSTALAÇÕES DE GÁS - G2</t>
  </si>
  <si>
    <t>INSTALAÇÕES DE GÁS - Mezanino G2</t>
  </si>
  <si>
    <t>INSTALAÇÕES DE GÁS - G3</t>
  </si>
  <si>
    <t>INSTALAÇÕES DE GÁS - Mezanino G3</t>
  </si>
  <si>
    <t>INSTALAÇÕES DE GÁS - Lazer | Garagem</t>
  </si>
  <si>
    <t>INSTALAÇÕES DE GÁS - Lazer</t>
  </si>
  <si>
    <t>INSTALAÇÕES DE GÁS - Tipo Diferenciado</t>
  </si>
  <si>
    <t>INSTALAÇÕES DE GÁS - Tipo x8</t>
  </si>
  <si>
    <t>INSTALAÇÕES DE GÁS - Penthouse x22</t>
  </si>
  <si>
    <t>INSTALAÇÕES DE GÁS - Duplex Inferior</t>
  </si>
  <si>
    <t>INSTALAÇÕES DE GÁS - Duplex Superior</t>
  </si>
  <si>
    <t>INSTALAÇÕES DE GÁS - Cobertura | Barrilete</t>
  </si>
  <si>
    <t>AUTOMAÇÃO E SISTEMAS LÓGICOS E TELECOMUNICAÇÃO - Térreo</t>
  </si>
  <si>
    <t>Telecomunicação utilizado a quantidade de infraestrutura do projetista, demais itens custo estimado, devido ausência de quantitativo</t>
  </si>
  <si>
    <t>AUTOMAÇÃO E SISTEMAS LÓGICOS E TELECOMUNICAÇÃO - Mezanino G1</t>
  </si>
  <si>
    <t>AUTOMAÇÃO E SISTEMAS LÓGICOS E TELECOMUNICAÇÃO - G2</t>
  </si>
  <si>
    <t>AUTOMAÇÃO E SISTEMAS LÓGICOS E TELECOMUNICAÇÃO - Mezanino G2</t>
  </si>
  <si>
    <t>AUTOMAÇÃO E SISTEMAS LÓGICOS E TELECOMUNICAÇÃO - G3</t>
  </si>
  <si>
    <t>AUTOMAÇÃO E SISTEMAS LÓGICOS E TELECOMUNICAÇÃO - Mezanino G3</t>
  </si>
  <si>
    <t>AUTOMAÇÃO E SISTEMAS LÓGICOS E TELECOMUNICAÇÃO - Lazer | Garagem</t>
  </si>
  <si>
    <t>AUTOMAÇÃO E SISTEMAS LÓGICOS E TELECOMUNICAÇÃO - Lazer</t>
  </si>
  <si>
    <t>AUTOMAÇÃO E SISTEMAS LÓGICOS E TELECOMUNICAÇÃO - Tipo diferenciado</t>
  </si>
  <si>
    <t>AUTOMAÇÃO E SISTEMAS LÓGICOS E TELECOMUNICAÇÃO - Tipo x8</t>
  </si>
  <si>
    <t>AUTOMAÇÃO E SISTEMAS LÓGICOS E TELECOMUNICAÇÃO - Penthouse x22</t>
  </si>
  <si>
    <t>AUTOMAÇÃO E SISTEMAS LÓGICOS E TELECOMUNICAÇÃO - Duplex Inferior</t>
  </si>
  <si>
    <t>AUTOMAÇÃO E SISTEMAS LÓGICOS E TELECOMUNICAÇÃO - Duplex Superior</t>
  </si>
  <si>
    <t>Equipamento de aspiração + Considerado o material de aspiração localizado na planilha de iluminação</t>
  </si>
  <si>
    <t>INSTALAÇÕES PREVENTIVAS - Térreo</t>
  </si>
  <si>
    <t>INSTALAÇÕES PREVENTIVAS - Mezanino G1</t>
  </si>
  <si>
    <t>INSTALAÇÕES PREVENTIVAS - G2</t>
  </si>
  <si>
    <t>INSTALAÇÕES PREVENTIVAS - Mezanino G2</t>
  </si>
  <si>
    <t>INSTALAÇÕES PREVENTIVAS - G3</t>
  </si>
  <si>
    <t>INSTALAÇÕES PREVENTIVAS - Mezanino G3</t>
  </si>
  <si>
    <t>INSTALAÇÕES PREVENTIVAS - Lazer | Garagem</t>
  </si>
  <si>
    <t>INSTALAÇÕES PREVENTIVAS - Lazer</t>
  </si>
  <si>
    <t>INSTALAÇÕES PREVENTIVAS - Tipo x8</t>
  </si>
  <si>
    <t>INSTALAÇÕES PREVENTIVAS - Tipo diferenciado</t>
  </si>
  <si>
    <t>INSTALAÇÕES PREVENTIVAS - Penthouse x22</t>
  </si>
  <si>
    <t>INSTALAÇÕES PREVENTIVAS - Duplex Inferior</t>
  </si>
  <si>
    <t>INSTALAÇÕES PREVENTIVAS - Duplex Superior</t>
  </si>
  <si>
    <t>INSTALAÇÕES PREVENTIVAS - Cobertura | Barrilete</t>
  </si>
  <si>
    <t>Estimado devido a ausencia de quantitativos</t>
  </si>
  <si>
    <t>Considerado os ponto conforme o projeto de eletrica</t>
  </si>
  <si>
    <t>Sprinkles</t>
  </si>
  <si>
    <t xml:space="preserve"> EAP - Arquitetura</t>
  </si>
  <si>
    <t>Pavimento Proj. Estrutural</t>
  </si>
  <si>
    <t>Forma Convencional
Fabricação</t>
  </si>
  <si>
    <t>Ø32.0mm
6,313 kg/m</t>
  </si>
  <si>
    <t>Mureta guia</t>
  </si>
  <si>
    <t>PR-1248-00-CON-FO-01-R00</t>
  </si>
  <si>
    <t>Parede de Diafragma</t>
  </si>
  <si>
    <t>Estroncas</t>
  </si>
  <si>
    <t>PR-1248-00-CON-VI-01-R01</t>
  </si>
  <si>
    <t>TOTAL - CONTENÇÃO</t>
  </si>
  <si>
    <t>Fundação - Estacas</t>
  </si>
  <si>
    <t>Estacas</t>
  </si>
  <si>
    <t>TOTAL - FUNDAÇÃO ESTACA</t>
  </si>
  <si>
    <t>Fundação - Blocos</t>
  </si>
  <si>
    <t>PR-1248-00-FUN-AR-01-R01</t>
  </si>
  <si>
    <t>TOTAL - FUNDAÇÃO BLOCOS</t>
  </si>
  <si>
    <t>Fundação - Vigas etc.</t>
  </si>
  <si>
    <t>Laje p/ equipamentos</t>
  </si>
  <si>
    <t>PR-1248-00-FUN-LA-01-R01</t>
  </si>
  <si>
    <t>PR-1248-01-CIS-FO-01-R02</t>
  </si>
  <si>
    <t>TOTAL - VIGAS BALDRAMES/PILARES DE ARRANQUE/CISTERNAS E DUTOS</t>
  </si>
  <si>
    <t>Capiteis</t>
  </si>
  <si>
    <t>Garagem G5</t>
  </si>
  <si>
    <t>Garagem/Lazer</t>
  </si>
  <si>
    <t>Lazer 01</t>
  </si>
  <si>
    <t>Patamar</t>
  </si>
  <si>
    <t>Lazer 02</t>
  </si>
  <si>
    <t>Tipo 01 - Diferenciado</t>
  </si>
  <si>
    <t>ELZ-EX-EST-5201-TP1-R00</t>
  </si>
  <si>
    <t>Tipo - 8x</t>
  </si>
  <si>
    <t>ELZ-EX-EST-5201-TP2-R00</t>
  </si>
  <si>
    <t>Abas</t>
  </si>
  <si>
    <t>Penthouse - 22x</t>
  </si>
  <si>
    <t>Tipo B - 21X</t>
  </si>
  <si>
    <t>ELZ-EX-EST-5201-TP3-R00</t>
  </si>
  <si>
    <t>Tipo B - L40 - 1X</t>
  </si>
  <si>
    <t>ELZ-EX-EST-5201-TP4-R00</t>
  </si>
  <si>
    <t>Duplex inferior</t>
  </si>
  <si>
    <t>ELZ-EX-EST-5061-DIN-R00</t>
  </si>
  <si>
    <t>ELZ-EX-EST-0422-DIN-R00</t>
  </si>
  <si>
    <t>Duplex superior</t>
  </si>
  <si>
    <t>ELZ-EX-EST-5060-DSU-R00</t>
  </si>
  <si>
    <t>ELZ-EX-EST-0423-DSU-R00</t>
  </si>
  <si>
    <t>Cobertura/Barrilete</t>
  </si>
  <si>
    <t>Profundidade</t>
  </si>
  <si>
    <t>P12, P18, P25a, P26a, P27a, P28a, P29a</t>
  </si>
  <si>
    <t>P30a, P31a, P32a</t>
  </si>
  <si>
    <t>P1</t>
  </si>
  <si>
    <t>P9, P10, P11a, P17, P23, P24a, P33a, P34a, P35a, P36a</t>
  </si>
  <si>
    <t>P37</t>
  </si>
  <si>
    <t>P16, P22</t>
  </si>
  <si>
    <t>P38</t>
  </si>
  <si>
    <t>P3</t>
  </si>
  <si>
    <t>P8</t>
  </si>
  <si>
    <t>P40</t>
  </si>
  <si>
    <t>P20</t>
  </si>
  <si>
    <t>P13</t>
  </si>
  <si>
    <t>P19</t>
  </si>
  <si>
    <t>P4+P14+P15</t>
  </si>
  <si>
    <t>BLOCOS HEXAGONAIS</t>
  </si>
  <si>
    <t>P21</t>
  </si>
  <si>
    <t>P39</t>
  </si>
  <si>
    <t>PILARES  FUNDAÇÃO</t>
  </si>
  <si>
    <t>Laje de apoio da Grua</t>
  </si>
  <si>
    <t>PR-1248-00-FUN-LA-02-R00</t>
  </si>
  <si>
    <t>Laje de apoio do elevador cremalheira</t>
  </si>
  <si>
    <t>Cisterna - Paredes alçapão</t>
  </si>
  <si>
    <t>Est1a, Est1b, Est1c, Est1d</t>
  </si>
  <si>
    <t>Est2a, Est2b, Est2c, Est2d</t>
  </si>
  <si>
    <t>VS1, VS2</t>
  </si>
  <si>
    <t>VS3, VS4</t>
  </si>
  <si>
    <t>GES-EZB-BSDE-CON-0001 (1)</t>
  </si>
  <si>
    <t>Lamelas</t>
  </si>
  <si>
    <t>Mureta guia (Parede guia)</t>
  </si>
  <si>
    <t>FUNDAÇÃO</t>
  </si>
  <si>
    <t>Total Aço kg</t>
  </si>
  <si>
    <t>PR-1248-01-CIS-VI-01-R01</t>
  </si>
  <si>
    <t>PR-1248-01-CIS-PI-01-R00</t>
  </si>
  <si>
    <t>Laje de fundo</t>
  </si>
  <si>
    <t>PR-1248-01-CIS-LA-01-R01</t>
  </si>
  <si>
    <t>Laje de cobertura</t>
  </si>
  <si>
    <t>PR-1248-01-CIS-LA-02-R01</t>
  </si>
  <si>
    <t>Pescoço Alçapão</t>
  </si>
  <si>
    <t>SOMATÓRIO</t>
  </si>
  <si>
    <t>Mao de obra - movimentações de terra</t>
  </si>
  <si>
    <t>Escavação mecanizada para estacas, blocos de fundação, vigas de fundação e poço de elevador, com retroescavadeira</t>
  </si>
  <si>
    <t>SERVIÇO DE DRENAGEM</t>
  </si>
  <si>
    <t>Armação aço CA-50 ø 6,3mm para Contenções (corte e dobra em Indústria)</t>
  </si>
  <si>
    <t>Armação aço CA-50 ø 8,0mm para Contenções (corte e dobra em Indústria)</t>
  </si>
  <si>
    <t>Armação aço CA-50 ø 12,5mm para Contenções (corte e dobra em Indústria)</t>
  </si>
  <si>
    <t>Armação aço CA-50 ø 25,0mm para Contenções (corte e dobra em Indústria)</t>
  </si>
  <si>
    <t>Concreto Usinado bombeável 50MPa com Penetron para infraestrutura- incluindo serviço de bombeamento</t>
  </si>
  <si>
    <t>Locação e cravação de estacas prancha EP400 para contenção</t>
  </si>
  <si>
    <t>Cotação, considerado 6 meses de locação</t>
  </si>
  <si>
    <t>Mobilização e Desmobilização de equipamento e máquinas considerando serviço de carga e descarga</t>
  </si>
  <si>
    <t>Mão de obra para execução de contenção</t>
  </si>
  <si>
    <t>Prosposta Gessele</t>
  </si>
  <si>
    <t>ESTACA HÉLICE CONTÍNUA</t>
  </si>
  <si>
    <t>Concreto Usinado bombeável para estacas 50MPa  - incluindo serviço de bombeamento</t>
  </si>
  <si>
    <t>Apenas blocos, 2x reaproveitamento</t>
  </si>
  <si>
    <t>5% de perda, fck = 50Mpa</t>
  </si>
  <si>
    <t>Considerado vigas de fundação, duto, cisterna, lajes e pilares de arranque - 10% de perda</t>
  </si>
  <si>
    <t>Cotações recentes do concreto. Considerado vigas de fundação, duto, cisterna, lajes e pilares de arranque - 5% de perda, fck = 50Mpa</t>
  </si>
  <si>
    <t>PISO SOBRE O SOLO - GERAL</t>
  </si>
  <si>
    <t>Lastro de Concreto Magro, Aplicado em piso sobre solo</t>
  </si>
  <si>
    <t>O concreto e a armadura entraram nos itens referentes ao terreo, conforme lista de materiais do projetista</t>
  </si>
  <si>
    <t>8x reaproveitamento - 3 jogos</t>
  </si>
  <si>
    <t>Forma - G1</t>
  </si>
  <si>
    <t>Forma - G4</t>
  </si>
  <si>
    <t>Forma - G5</t>
  </si>
  <si>
    <t>Forma - Patamar Intermediário</t>
  </si>
  <si>
    <t>4x reaproveitamento - 2 jogos</t>
  </si>
  <si>
    <t>Forma - Duplex inferior</t>
  </si>
  <si>
    <t>2x reaproveitamento - 1 jogos</t>
  </si>
  <si>
    <t>Forma - Duplex superior</t>
  </si>
  <si>
    <t>1 jogos</t>
  </si>
  <si>
    <t>Armadura - G1</t>
  </si>
  <si>
    <t>Armadura - G4</t>
  </si>
  <si>
    <t>Armadura - G5</t>
  </si>
  <si>
    <t>Armadura - Patamar Intermediário</t>
  </si>
  <si>
    <t>Armadura - Duplex inferior</t>
  </si>
  <si>
    <t>Armadura - Duplex superior</t>
  </si>
  <si>
    <t>Concreto - G1</t>
  </si>
  <si>
    <t>Concreto - G4</t>
  </si>
  <si>
    <t>Concreto - G5</t>
  </si>
  <si>
    <t>Concreto - Patamar Intermediário</t>
  </si>
  <si>
    <t>Concreto Usinado FCK = 45MPa Bombeavel Para Supraestrutura</t>
  </si>
  <si>
    <t>Concreto - Duplex inferior</t>
  </si>
  <si>
    <t>Concreto - Duplex superior</t>
  </si>
  <si>
    <t>Complementares - G1</t>
  </si>
  <si>
    <t>Complementares - G4</t>
  </si>
  <si>
    <t>Complementares - G5</t>
  </si>
  <si>
    <t>Complementares - Patamar Intermediário</t>
  </si>
  <si>
    <t>Complementares - Duplex inferior</t>
  </si>
  <si>
    <t>Complementares - Duplex superior</t>
  </si>
  <si>
    <t>Mão de obra -  Mezanino G2</t>
  </si>
  <si>
    <t>Mão de obra -  Mezanino G3</t>
  </si>
  <si>
    <t>Mão de obra - Duplex inferior</t>
  </si>
  <si>
    <t>Mão de obra - Duplex superior</t>
  </si>
  <si>
    <t>Aço CA50 6,3 mm Corte e Dobra em Indústria</t>
  </si>
  <si>
    <t>Aço CA50 8,0 mm Corte e Dobra em Indústria</t>
  </si>
  <si>
    <t>Aço CA50 12,5 mm Corte e Dobra em Indústria</t>
  </si>
  <si>
    <t>Aço CA50 25,0mm Corte e Dobra em Indústria</t>
  </si>
  <si>
    <t>Proposta Gessele</t>
  </si>
  <si>
    <t>Concreto Usinado bombeável 50MPa Com Penetron</t>
  </si>
  <si>
    <t>Scaini ferro e Aço</t>
  </si>
  <si>
    <t>Estaca prancha EP400 para contenção, L=8,00m</t>
  </si>
  <si>
    <t>Locação, Cravação e remção de estaca prança</t>
  </si>
  <si>
    <t>Limpeza Permanente e Remoção entulho</t>
  </si>
  <si>
    <t>Mão de Obra de Canteiro</t>
  </si>
  <si>
    <t>Perímetro de projeção embasamento Primária</t>
  </si>
  <si>
    <t>Perímetro de projeção embasamento Secundária</t>
  </si>
  <si>
    <t>Perímetro de projeção tipo 1 Primmária</t>
  </si>
  <si>
    <t>Perímetro de projeção tipo 1 Secundária</t>
  </si>
  <si>
    <t>Área das portas de elevadores  De Carro</t>
  </si>
  <si>
    <t>Área do Piso Elevador</t>
  </si>
  <si>
    <t>600,00/func.</t>
  </si>
  <si>
    <t>Parede Com Sistema Em Chapas De Gesso Para Drywall, Uso Interno, Montante 48mm  (48 / HU)</t>
  </si>
  <si>
    <t>Parede Com Sistema Em Chapas De Gesso Para Drywall, Uso Interno, Montante 48mm  (48 / HS)</t>
  </si>
  <si>
    <t>Parede Com Sistema Em Chapas De Gesso Para Drywall, Uso Interno, Montante 70mm  (70 / HS)</t>
  </si>
  <si>
    <t>Parede Com Sistema Em Chapas De Gesso Para Drywall, Uso Interno, Montante 70mm  (70 / HU)</t>
  </si>
  <si>
    <t>Parede Com Sistema Em Chapas De Gesso Para Drywall, Uso Interno, Montante 70mm  (HS / 70 / HS)</t>
  </si>
  <si>
    <t>Parede Com Sistema Em Chapas De Gesso Para Drywall, Uso Interno, Montante 70mm  (HU / 70 / HS)</t>
  </si>
  <si>
    <t>Parede Com Sistema Em Chapas De Gesso Para Drywall, Uso Interno, Montante 70mm  (HU / 70 / HU)</t>
  </si>
  <si>
    <t>Parede Com Sistema Em Chapas De Gesso Para Drywall, Uso Interno, Montante 70mm  (CIM/70/CIM/70/CIM)</t>
  </si>
  <si>
    <t>Parede Com Sistema Em Chapas De Gesso Para Drywall, Uso Interno, Montante 70mm  (70/CIM/70/HU)</t>
  </si>
  <si>
    <t>Parede Com Sistema Em Chapas De Gesso Para Drywall, Uso Interno, Montante 70mm  (70/HD+HU+CIM)</t>
  </si>
  <si>
    <t>Parede Com Sistema Em Chapas De Gesso Para Drywall, Uso Interno, Montante 70mm  (HD/70/CIM/70/HU)</t>
  </si>
  <si>
    <t xml:space="preserve">Mão de obra para Sistema de vedação em drywall </t>
  </si>
  <si>
    <t>DRYWALL - PERSONALIZADO</t>
  </si>
  <si>
    <t>PLACA / CHAPA DE GESSO ACARTONADO HARDBOARD (HB) E = 12,5 MM, 1200 X 1800 MM (L X C)</t>
  </si>
  <si>
    <t>BANDA ACUSTICA</t>
  </si>
  <si>
    <t>Aplicação de zarcão nas guias inferiores</t>
  </si>
  <si>
    <t>Custo infromado FG</t>
  </si>
  <si>
    <t>Pintura em Epóxi em Parede, Aplicação Manual, 2 Demãos (com massa e selador)</t>
  </si>
  <si>
    <t>Mão de obra para pintura epóxi em paredes internas, 2 demãos</t>
  </si>
  <si>
    <t>Contramarco de aço galvanizado - Fixado com Argamassa</t>
  </si>
  <si>
    <t>Pintura Com Tinta Latex Acrilica em Paredes Externas, 3 Demaos (Incluso fundo) - Cor preto</t>
  </si>
  <si>
    <t>tijolinho ventilado, cor rosado - parede</t>
  </si>
  <si>
    <t>tijolinho ventilado, cor tabaco - parede</t>
  </si>
  <si>
    <t>tijolinho ventilado, cor rosado - piso</t>
  </si>
  <si>
    <t>tijolinho ventilado, cor tabaco - piso</t>
  </si>
  <si>
    <t>ELEVADORES</t>
  </si>
  <si>
    <t>1º PAVTO. TÉRREO</t>
  </si>
  <si>
    <t xml:space="preserve"> MEZANINO  1º PAVTO - GARAGEM.</t>
  </si>
  <si>
    <t>2º PAVTO. - GARAGEM</t>
  </si>
  <si>
    <t xml:space="preserve"> MEZANINO  2º PAVTO - GARAGEM.</t>
  </si>
  <si>
    <t>3º PAVTO. - GARAGEM</t>
  </si>
  <si>
    <t xml:space="preserve"> MEZANINO  3º PAVTO - GARAGEM.</t>
  </si>
  <si>
    <t>4º PAVTO. - GARAGEM/LAZER</t>
  </si>
  <si>
    <t>5º PAVTO. - LAZER</t>
  </si>
  <si>
    <t>6º PAVTO. - TIPO DIFERENCIADO</t>
  </si>
  <si>
    <t xml:space="preserve">7º AO 14º PAVTO. - TIPO 8X </t>
  </si>
  <si>
    <t>15º AO 36º PAVTO. - PENTHOUSE</t>
  </si>
  <si>
    <t>37º PAVTO - DUPLEX INFERIOR</t>
  </si>
  <si>
    <t>38º PAVTO - DUPLEX SUPERIOR</t>
  </si>
  <si>
    <t>39º PAVTO - TELHADO</t>
  </si>
  <si>
    <t>40º PAVTO - BARRILETE</t>
  </si>
  <si>
    <t>41º AO 42º PAVTO - COBERTURA/BARRILETE</t>
  </si>
  <si>
    <t>43º PAVTO - RESERVATÓRIO</t>
  </si>
  <si>
    <t>Mini abajur - Abajur - Cerâmica - Caramelo e Laranja com Cúpula - Marrocos For You |</t>
  </si>
  <si>
    <t>Abajur coluna douradae cupula, grande com pedestal</t>
  </si>
  <si>
    <t>Lustre dourado sofisticado - Lustre Pendente Pétalas Phill Folhado a Ouro</t>
  </si>
  <si>
    <t>Iluminação de parede - Arandela dourada vertical - Arandela de Parede Tubo Imperial</t>
  </si>
  <si>
    <t>Espelho de parede - Espelho Florença Imperial Prata e Ouro - 180x80 cm</t>
  </si>
  <si>
    <t>Plantas grandes - Vaso grande externo com palmeira</t>
  </si>
  <si>
    <t>Cadeiras azuis - Poltrona Krappa - Área Externa</t>
  </si>
  <si>
    <t>Mesas - Mesa Redonda Hourglass com Tampo Madeira Base Aluminio Corda Náudica 8 lugares 1,50m</t>
  </si>
  <si>
    <t>Poltrona - Poltrona Em Madeira Cumarú Isla</t>
  </si>
  <si>
    <t>Luminária pendente - Pendente minimalista estilo japonês</t>
  </si>
  <si>
    <t>Iluminação decorativa rústica na parede da fonte de parede - Luminária Arandela 83x60cm Colonial Sinha VI Rustico Para Áreas Externas de Casas e Sítios e Fazendas - Incolustres o Linha Sinha - 1514</t>
  </si>
  <si>
    <t>Mesa -Mesa Bistrô Vetro Haste Metal Base e Tampo em Pedra Personalizável 60x100</t>
  </si>
  <si>
    <t>Espreguiçadeira coloridas - Botânia</t>
  </si>
  <si>
    <t>Cadeira laranja treliçada - Poltrona Summer Laranja</t>
  </si>
  <si>
    <t>Mesa de apoio laranja treliçada - Apoio para Poltrona Summer Laranja</t>
  </si>
  <si>
    <t>Almofada rosa claro, no chão - tipo futon grosso - Futon Dobrável Com Capa</t>
  </si>
  <si>
    <t>Mesa de apoio de bambu treliçado - Mesa de Centro Funil em Vime</t>
  </si>
  <si>
    <t>Sofa verde - Sofa Contemporaneo Verde Musgo Botonê Alto Padrão Luxo</t>
  </si>
  <si>
    <t>Abajur grande com pedestal - Luminária de chão com cúpula de tecido para proteção ocular, luminária de leitura alta para ambientes internos,</t>
  </si>
  <si>
    <t>Mini abajur - Cassia Table Lamp</t>
  </si>
  <si>
    <t xml:space="preserve">poltrona - poltrona lounge N.200, um design icônico da Wiener GTV Design (Gebrüder Thonet Vienna) </t>
  </si>
  <si>
    <t>Cortinas Linho Com Forro Blackout 80%</t>
  </si>
  <si>
    <t>Plantas vaso grande</t>
  </si>
  <si>
    <t>Biombo com estapa sofisticada (3 folhas) - Biombo Chinês em Laca e Ouro Séc. XIXRaro biombo oriental de 3 folhas frente e verso, ricamente pintado à mão em laca com ouro</t>
  </si>
  <si>
    <t>Mesa de canto - apoio - Mesa de Canto Redonda de Madeira</t>
  </si>
  <si>
    <t>Cadeiras estofados listrados - Cadeira bistrô bege e verde</t>
  </si>
  <si>
    <t>Lareira Elarys Externa a Gás | Fogo e Art</t>
  </si>
  <si>
    <t>Mesa infantil - Mesa infantil Linus magis design Original</t>
  </si>
  <si>
    <t>Banquinhos infantis - Banquinho Colorê G Amarelo Suave</t>
  </si>
  <si>
    <t xml:space="preserve">Cadeiras infantis - Cadeirinha Infantil Madeira Premium </t>
  </si>
  <si>
    <t>Cortina - Cortina Ilhós Linho</t>
  </si>
  <si>
    <t>Puff - Puff Zion Sensorial</t>
  </si>
  <si>
    <t>Iluminação da mesinha - minimalista</t>
  </si>
  <si>
    <t>Piscina de bolinhas premium sob medida</t>
  </si>
  <si>
    <t>Simulador de formula 1 - carro - Simulador Ferrari oficial com cockpit F1 réplica licenciada</t>
  </si>
  <si>
    <t>Capacetes - Capacete Ferrari oficial réplica</t>
  </si>
  <si>
    <t>Mini pneu decorativo</t>
  </si>
  <si>
    <t>Cortina - Cortina blackout sob medida</t>
  </si>
  <si>
    <t>Mesa de jantar 4 lugares - tipo 1 - Mesa circular com base em madeira maciça</t>
  </si>
  <si>
    <t>Cadeira jantar - mesa 8 lugares - tipo 2 - Poltrona Chronos</t>
  </si>
  <si>
    <t>Cadeira jantar - mesa 4 lugares - tipo 1 - Cadeira Sefara (Atelier Clássico)</t>
  </si>
  <si>
    <t>Banqueta alta - Banqueta Alta Iaiá (Com Encosto)</t>
  </si>
  <si>
    <t>Lustre de cristal - pendente Hudson Valley Lighting Wallis,</t>
  </si>
  <si>
    <t>Mesa de centro com puff acomplado - Mesa de Centro Nilla</t>
  </si>
  <si>
    <t>Cadeira estofada em couro - Poltrona Gilda</t>
  </si>
  <si>
    <t>Mesa de apoio - 1 - minimalista</t>
  </si>
  <si>
    <t>Mesa de apoio - 2 - vidro</t>
  </si>
  <si>
    <t>Mesa de apoio - 3 - madeira maciça</t>
  </si>
  <si>
    <t>Aparelho de Jantar Giardino Gold - 18 peças (6 pratos rasos, 6 pratos de sobremesa e 6 pratos fundos,)</t>
  </si>
  <si>
    <t>Set Xícaras de Café Oriente Italiano - Marca: Richard Ginori | Itália - 2 peças</t>
  </si>
  <si>
    <t>Faqueiro em prata vintage completo (130 peças) Christofle Malmaison na caixa original. Material: Prata</t>
  </si>
  <si>
    <t>Set com 6 taças para champagne em cristal Strauss Clair. Cor: Clair | Transparente Material: Cristal Strauss</t>
  </si>
  <si>
    <t>Coquetel Profissional  - Champanheira Oh + 4 Set de Copos Symbols (Set com seis copos de borossilicato assinados por Federico de Majo, feitos a mão)</t>
  </si>
  <si>
    <t>Esteira profissional - Esteira Profissional Adidas T-23 (T-23) - Adidas</t>
  </si>
  <si>
    <t>Samsung Smart TV - Samsung Smart TV QLED 32" Full HD QN32LS03C - Gaming Hub, Tela Matte, + suporte articulado</t>
  </si>
  <si>
    <t>Espaldar Funcional | Equipamentos Line Fitness - Espaldar Athletic Amazon</t>
  </si>
  <si>
    <t>Halteres - em diferentes pesos - Halter Sextavado Emborrachado Pegada Cromada</t>
  </si>
  <si>
    <t>Tapete de yoga - Colchonete Emborrachado 95 X 50 (CBE) - FIT4</t>
  </si>
  <si>
    <t>Barras com as anilhas de peso - Kit Anilhas 40kg + 3 Barras Pró + Suporte P/Anilha E Barra</t>
  </si>
  <si>
    <t>Bola fitness - Bola Suíça -Anti Estouro- 65cm (G125) - Vibranium</t>
  </si>
  <si>
    <t>Bicicleta Profissional - Bicicleta Spinning Speedo Sync</t>
  </si>
  <si>
    <t>Maquina de elipitico Profissional - Elíptico Athletic Professional 5900EP 220V</t>
  </si>
  <si>
    <t>Mesa Supino Reto e Inclinado Profissional Academia - Máquina de Supino Inclinado Articulado</t>
  </si>
  <si>
    <t>Saco de box + luvas de box - CONJUNTO RAXA Saco de Pancadas e Luvas de Couro Feitos à Mão pela PENT. Fitness AÇO INOXIDÁVEL / COM ENCHIMENTO / CINZA</t>
  </si>
  <si>
    <t>Set Copos Água Bubble - set com 6 copos de água, em cristal transparente, com lapidação de bolinhas exclusiva Strauss para TH.</t>
  </si>
  <si>
    <t>Adega - Adega climatizada embutida</t>
  </si>
  <si>
    <t>Bancada em frente a mesa - Bancada ilha pedra natural</t>
  </si>
  <si>
    <t>Lustre personalizado - Starlux Pendente Bento BF007-MG Ouro Fosco Ø63cm 12xG</t>
  </si>
  <si>
    <t>Mesa de jantar 6 lugares - Mesa de Jantar Bem</t>
  </si>
  <si>
    <t>Cadeira jantar - Cadeira Linear (Cadeira sem braços, com estrutura em metal e pés em lâmina de freijó, que conferem leveza e elegância ao design. O assento é revestido em couro natural na cor caramelo, proporcionando conforto e um toque de sofisticação.)</t>
  </si>
  <si>
    <t>Espelho Orgânico  - Espelho Urca - Madeira | Studio Esse</t>
  </si>
  <si>
    <t>Mesa Lagoa - Mesa em design ligados a natureza, com tampo em mármore Calacata Nuvolato e base em lamina de madeira Carvalho Americano com suporte para vaso em concreto, deixando o ambiente ainda mais harmonioso e natural. - Desenho autoral STUDIO TH -  Cor: OffWhite, Cinza, Marrom - Material: Mármore, Madeira e Concreto - Medidas: 220 cm x 120 cm x 80 cm altura</t>
  </si>
  <si>
    <t>Mesa de canto - apoio - Mesa de Apoio Vênus - Material: Cristal de Murano</t>
  </si>
  <si>
    <t>Mesa de apoio - 1 - Mesa Lateral Rocha P - Material: Mármore Calacata e Aço Carbono</t>
  </si>
  <si>
    <t>Mesa Lateral - Mesa Lateral Lou - Material: Metal e Mármore</t>
  </si>
  <si>
    <t>Mesa de marmore -de canto de parede - Mesa aparadora mármore</t>
  </si>
  <si>
    <t>Mesa de centro - Mesa de Centro Flow - Material: Metal Escovado - Cor: Golden</t>
  </si>
  <si>
    <t>Mesa de centro - Mesa de Centro Yves - Material: Mármore e Laca</t>
  </si>
  <si>
    <t>Mesa de centro - Mesa de Centro Claire Travertino - Material: Mármore e Metal</t>
  </si>
  <si>
    <t>Mesa de jantar 8 lugares - Mesa de Jantar Organica Samba</t>
  </si>
  <si>
    <t>Mesa de jantar 4 lugares - tipo 2 - Mesa de jantar 4 lugares quadrada tampa de pedra Orbita</t>
  </si>
  <si>
    <t>Cadeira jantar - mesa 4 lugares - tipo 2 - Cadeira Horizonte</t>
  </si>
  <si>
    <t>Cadeira de jantar - tipo 3 - sala azul - Cadeira Mood - Boucle</t>
  </si>
  <si>
    <t>Cadeira estofada marrom - Poltrona estofada bege - Poltrona Aurora - Material Linho e Madeira</t>
  </si>
  <si>
    <t>Poltrona marrom - Poltrona Sofá Seixos - Material: Tecido e Aço Carbono</t>
  </si>
  <si>
    <t>Almofadas - Almofada Atacama - Material: Chenille &amp; Camurça</t>
  </si>
  <si>
    <t>Tapete - Tapete Antonella - Azul</t>
  </si>
  <si>
    <t>Tapete - Tapete Rio - Branco</t>
  </si>
  <si>
    <t>Banco externo - Banco Respiro - Material: Madeira Carvalho</t>
  </si>
  <si>
    <r>
      <t xml:space="preserve">Conforme imagem comercial, </t>
    </r>
    <r>
      <rPr>
        <sz val="12"/>
        <color rgb="FFFF0000"/>
        <rFont val="Arial"/>
        <family val="2"/>
      </rPr>
      <t>SUPOSIÇÃO</t>
    </r>
  </si>
  <si>
    <t>Sofá externo - Sofá Sense De Bois II</t>
  </si>
  <si>
    <t>Lixeira - Set Banheiro San Paolo Basic Ll - Set com 2 peças em resina lisa, na cor cinza claro, com metal fosco. - O set é composto por: 2 lixeiras, sendo 1 de pia e outra de piso. Indicamos o uso para organização do lavabo.</t>
  </si>
  <si>
    <t>Lixeira - Lixeira Piso San Paolo</t>
  </si>
  <si>
    <t xml:space="preserve">Lixeira Retangular C Pedal e Balde 40 L </t>
  </si>
  <si>
    <t>Cadeira jantar - mesa 8 lugares - tipo 1 - Poltrona de Jantar Gris - Material: Metal e Veludo</t>
  </si>
  <si>
    <t>Vaso Oriente Italiano Meringa  - Pequeno - Richard Ginori</t>
  </si>
  <si>
    <t>Cortinas  - Sylvana</t>
  </si>
  <si>
    <t>Cortina - Cortina Blackout Veludo Relevo Coffee</t>
  </si>
  <si>
    <t>Escrivaninha - Escrivaninha Charlie</t>
  </si>
  <si>
    <t>Cadeira - Cadeira de Escritório Muriell</t>
  </si>
  <si>
    <t>Maca Spa Elétrica Premium de Altura Regulável</t>
  </si>
  <si>
    <t>Poltrona Cloud Blush</t>
  </si>
  <si>
    <t>Coquetel Profissional  - Champanheira Oh + 5 Set de Copos Symbols (Set com seis copos de borossilicato assinados por Federico de Majo, feitos a mão)</t>
  </si>
  <si>
    <t>Geladeira - Refrigerador Embutido ou Piso 890L Tecno Professional Duo TR44BX - Aço Inox Anti-manchas, Ice Makers, Super Freeze e Super Cool, A+++ Energia</t>
  </si>
  <si>
    <t>Purificador CPD23 Hoken Ozon Prime Alcalino Com Ozônio</t>
  </si>
  <si>
    <t>Cooktop 5 Bocas  - Cooktop de indução Mythos FMY 808 77x51 c/8 áreas de cocção</t>
  </si>
  <si>
    <t>Forno de Embutir Elétrico  - Forno Cuisinart a Gás e Grill Elétrico Prime 90cm</t>
  </si>
  <si>
    <t>Micro-ondas - Micro-ondas Combinado Evol 35L EMCEB0352A - 12 Funções, Aço Inox e Vidro Preto, Convecção e Grill, Painel Touch, Segurança Infantil, Cozimento Uniforme e Sofisticado</t>
  </si>
  <si>
    <t>Coifa Box de Parede Para Churrasqueira -Coifa Parede Churrasqueira Evol Alpha 90cm - Aço Inox 304, Filtro Inercial, 1600m³/h, Controle App, 4 Velocidades, LED, Robustez Gourmet</t>
  </si>
  <si>
    <t>Coifa de Ilha - Coifa de Ilha Bertazzoni Inox 122 cm 1.000 m³/h Baixo Ruído - 127v - BER VAVANO IL 122</t>
  </si>
  <si>
    <t>Impermeabilizaçao e tratamentos</t>
  </si>
  <si>
    <t>PAREDE:  Sistema 2.5.3: Membrana de polímero acrílico com cimento e fibras sintéticas | Revestimento bicomponente à base de polímeros acrílicos com adição de cimento e fibras sintéticas (3,0 kg/m²) + Tela de poliéster nos pontos críticos  -  BANHEIRO</t>
  </si>
  <si>
    <t>PISO:  Sistema 2.5.3: Membrana de polímero acrílico com cimento e fibras sintéticas | Revestimento bicomponente à base de polímeros acrílicos com adição de cimento e fibras sintéticas (3,0 kg/m²) + Tela de poliéster nos pontos críticos - BANHEIRO</t>
  </si>
  <si>
    <t>PAREDE:  Sistema 2.1.4: Argamassa polimérica para impermeabilização  -  CASA DE BOMBAS</t>
  </si>
  <si>
    <t>1.1.1.4</t>
  </si>
  <si>
    <t>PISO:  Sistema 2.1.4: Argamassa polimérica para impermeabilização | Argamassa impermeabilizante bicomponente à base de aditivos minerais e polímeros (4,0 kg/m²) + Tela de poliéster nos pontos críticos - CASA DE BOMBAS</t>
  </si>
  <si>
    <t>1.1.1.5</t>
  </si>
  <si>
    <t>PISO:  Sistema 2.5.3: Membrana de polímero acrílico com cimento e fibras sintéticas | Revestimento bicomponente à base de polímeros acrílicos com adição de cimento e fibras sintéticas (3,0 kg/m²) - ESQUADRIA</t>
  </si>
  <si>
    <t>1.1.1.6</t>
  </si>
  <si>
    <t>PISO:  Argamassa polimérica para impermeabilizaçãoArgamassa impermeabilizante bicomponente à base de aditivos minerais e polímeros (4,0 kg/m²) + Tela depoliéster nos pontos críticos - CENTRAL DE GÁS/LIXEIRA</t>
  </si>
  <si>
    <t>1.1.1.7</t>
  </si>
  <si>
    <t>PAREDE: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</si>
  <si>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1.1.1.8</t>
  </si>
  <si>
    <t>PISO:  Sistema 4.5.3: 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 - FLOREIRA</t>
  </si>
  <si>
    <t>1.1.1.9</t>
  </si>
  <si>
    <t>PAREDE:  Sistema 2.1.4: Argamassa polimérica para impermeabilização | Argamassa impermeabilizante bicomponente à base de aditivos minerais e polímeros (4,0 kg/m²) + Tela de poliéster nos pontos críticos  -  FOSSO ELEVADOR</t>
  </si>
  <si>
    <t>1.1.1.10</t>
  </si>
  <si>
    <t>PISO:  Sistema 2.1.4: Argamassa polimérica para impermeabilização | Argamassa impermeabilizante bicomponente à base de aditivos minerais e polímeros (4,0 kg/m²) + Tela de poliéster nos pontos críticos - FOSSO ELEVADOR</t>
  </si>
  <si>
    <t>1.1.1.11</t>
  </si>
  <si>
    <t>PAREDE:    -  VIGA BALDRAME</t>
  </si>
  <si>
    <t>1.1.1.12</t>
  </si>
  <si>
    <t>PISO:   - VIGA BALDRAME</t>
  </si>
  <si>
    <t>PAREDE:  Sistema 2.5.3: Membrana de polímero acrílico com cimento e fibras sintéticas | Revestimento bicomponente à base de polímeros acrílicos com adição de cimento e fibras sintéticas (3,0 kg/m²)  -  ESQUADRIA</t>
  </si>
  <si>
    <t>1.1.2.2</t>
  </si>
  <si>
    <t>1.1.3.2</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</si>
  <si>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</si>
  <si>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1.1.5.2</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</si>
  <si>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CISTERNA</t>
  </si>
  <si>
    <t>1.1.5.3</t>
  </si>
  <si>
    <t>TETO:  Sistema 7.1.2: Argamassa impermeabilizante sem cimento - MK-FEN 30 (F) | Argamassa não cimentícia com agentes incorporadores de ar (4,0 kg/m²) + Tela de poliéster nos pontos críticos - CISTERNA</t>
  </si>
  <si>
    <t>1.1.5.4</t>
  </si>
  <si>
    <t>1.1.6.2</t>
  </si>
  <si>
    <t>1.1.7.2</t>
  </si>
  <si>
    <t>1.1.7.3</t>
  </si>
  <si>
    <t>PAREDE:  Sistema 4.2.4: Manta asfáltica 4mm aderida com asfalto oxidado modificado | Primer asfáltico à base d'água (0,4 L/m²) + Asfalto oxidado modificado (2,5 kg/m²) + Manta asfáltica AA 4mm Tipo III Classe B + Banho de asfalto oxidado modificado (2,5 kg/m²)  -  CIRCULAÇÃO</t>
  </si>
  <si>
    <t>1.1.7.4</t>
  </si>
  <si>
    <t>PISO:  Sistema 4.2.4: Manta asfáltica 4mm aderida com asfalto oxidado modificado | Primer asfáltico à base d'água (0,4 L/m²) + Asfalto oxidado modificado (2,5 kg/m²) + Manta asfáltica AA 4mm Tipo III Classe B + Banho de asfalto oxidado modificado (2,5 kg/m²) - CIRCULAÇÃO</t>
  </si>
  <si>
    <t>1.1.7.5</t>
  </si>
  <si>
    <t>1.1.7.6</t>
  </si>
  <si>
    <t>1.1.7.7</t>
  </si>
  <si>
    <t>1.1.7.8</t>
  </si>
  <si>
    <t>1.1.7.9</t>
  </si>
  <si>
    <t>PAREDE: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</si>
  <si>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1.1.7.10</t>
  </si>
  <si>
    <t>PISO:  Sistema 4.9.2: 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 - PISCINA</t>
  </si>
  <si>
    <t>1.1.7.11</t>
  </si>
  <si>
    <t>PAREDE:  Sistema 7.1.6: Argamassa impermeabilizante sem cimento - MK-FEN 30 (F) | Argamassa não cimentícia com agentes incorporadores de ar (8,0 kg/m²) + Tela de poliéster nos pontos críticos  -  SAUNA</t>
  </si>
  <si>
    <t>1.1.7.12</t>
  </si>
  <si>
    <t>PISO:  Sistema 7.1.6: Argamassa impermeabilizante sem cimento - MK-FEN 30 (F) | Argamassa não cimentícia com agentes incorporadores de ar (8,0 kg/m²) + Tela de poliéster nos pontos críticos - SAUNA</t>
  </si>
  <si>
    <t>1.1.8.2</t>
  </si>
  <si>
    <t>1.1.8.3</t>
  </si>
  <si>
    <t>PAREDE:  Sistema 4.2.4: Manta asfáltica 4mm aderida com asfalto oxidado modificado | Primer asfáltico à base d'água (0,4 L/m²) + Asfalto oxidado modificado (2,5 kg/m²) + Manta asfáltica AA 4mm Tipo III Classe B + Banho de asfalto oxidado modificado (2,5 kg/m²)  -  ESPAÇO CROSSFIT</t>
  </si>
  <si>
    <t>1.1.8.4</t>
  </si>
  <si>
    <t>1.1.8.5</t>
  </si>
  <si>
    <t>1.1.8.6</t>
  </si>
  <si>
    <t>1.1.8.7</t>
  </si>
  <si>
    <t>1.1.8.8</t>
  </si>
  <si>
    <t>PAREDE:  Sistema 2.5.3: Membrana de polímero acrílico com cimento e fibras sintéticas | Revestimento bicomponente à base de polímeros acrílicos com adição de cimento e fibras sintéticas (3,0 kg/m²)+ Tela de poliéster nos pontos críticos  -  ÁREA DE SERVIÇO</t>
  </si>
  <si>
    <t>1.1.9.2</t>
  </si>
  <si>
    <t>PISO:  Sistema 2.5.3: Membrana de polímero acrílico com cimento e fibras sintéticas | Revestimento bicomponente à base de polímeros acrílicos com adição de cimento e fibras sintéticas (3,0 kg/m²)+ Tela de poliéster nos pontos críticos - ÁREA DE SERVIÇO</t>
  </si>
  <si>
    <t>1.1.9.3</t>
  </si>
  <si>
    <t>PAREDE:  Sistema 7.1.6: Argamassa impermeabilizante sem cimento - MK-FEN 30 (F) | Argamassa não cimentícia com agentes incorporadores de ar (8,0 kg/m²) + Tela de poliéster nos pontos críticos  -  ÁREA TÉCNICA</t>
  </si>
  <si>
    <t>1.1.9.4</t>
  </si>
  <si>
    <t>PISO:  Sistema 7.1.6: Argamassa impermeabilizante sem cimento - MK-FEN 30 (F) | Argamassa não cimentícia com agentes incorporadores de ar (8,0 kg/m²) + Tela de poliéster nos pontos críticos - ÁREA TÉCNICA</t>
  </si>
  <si>
    <t>1.1.9.5</t>
  </si>
  <si>
    <t>PAREDE:  Sistema 2.5.3: Membrana de polímero acrílico com cimento e fibras sintéticas | Revestimento bicomponente à base de polímeros acrílicos com adição de cimento e fibras sintéticas (3,0 kg/m²)  -  BANHEIRO</t>
  </si>
  <si>
    <t>1.1.9.6</t>
  </si>
  <si>
    <t>PISO:  Sistema 2.5.3: Membrana de polímero acrílico com cimento e fibras sintéticas | Revestimento bicomponente à base de polímeros acrílicos com adição de cimento e fibras sintéticas (3,0 kg/m²)+ Tela de poliéster nos pontos críticos - BANHEIRO</t>
  </si>
  <si>
    <t>1.1.9.7</t>
  </si>
  <si>
    <t>PAREDE:  Sistema 2.5.3: Membrana de polímero acrílico com cimento e fibras sintéticas | Revestimento bicomponente à base de polímeros acrílicos com adição de cimento e fibras sintéticas (3,0 kg/m²)  -  BOX BANHEIRO</t>
  </si>
  <si>
    <t>1.1.9.8</t>
  </si>
  <si>
    <t>PISO:  Sistema 2.5.3: Membrana de polímero acrílico com cimento e fibras sintéticas | Revestimento bicomponente à base de polímeros acrílicos com adição de cimento e fibras sintéticas (3,0 kg/m²)+ Tela de poliéster nos pontos críticos - BOX BANHEIRO</t>
  </si>
  <si>
    <t>1.1.9.9</t>
  </si>
  <si>
    <t>1.1.9.10</t>
  </si>
  <si>
    <t>PISO:  Sistema 2.5.3: Membrana de polímero acrílico com cimento e fibras sintéticas | Revestimento bicomponente à base de polímeros acrílicos com adição de cimento e fibras sintéticas (3,0 kg/m²)+ Tela de poliéster nos pontos críticos - ESQUADRIA</t>
  </si>
  <si>
    <t>1.1.9.11</t>
  </si>
  <si>
    <t>PISO:  Sistema 7.1.6: Argamassa impermeabilizante sem cimento - MK-FEN 30 (F) | Argamassa não cimentícia com agentes incorporadores de ar (8,0 kg/m²) + Tela de poliéster nos pontos críticos - MOLDURA FACHADA</t>
  </si>
  <si>
    <t>1.1.9.12</t>
  </si>
  <si>
    <t>PAREDE:  Sistema 4.2.4: Manta asfáltica 4mm aderida com asfalto oxidado modificado | Primer asfáltico à base d'água (0,4 L/m²) + Asfalto oxidado modificado (2,5 kg/m²) + Manta asfáltica AA 4mmTipo III Classe B + Banho de asfalto oxidado modificado (2,5 kg/m²)  -  SACADA</t>
  </si>
  <si>
    <t>1.1.9.13</t>
  </si>
  <si>
    <t>PISO:  Sistema 4.2.4: Manta asfáltica 4mm aderida com asfalto oxidado modificado | Primer asfáltico à base d'água (0,4 L/m²) + Asfalto oxidado modificado (2,5 kg/m²) + Manta asfáltica AA 4mmTipo III Classe B + Banho de asfalto oxidado modificado (2,5 kg/m²) - SACADA</t>
  </si>
  <si>
    <t>1.1.10.2</t>
  </si>
  <si>
    <t>1.1.10.3</t>
  </si>
  <si>
    <t>1.1.10.4</t>
  </si>
  <si>
    <t>1.1.10.5</t>
  </si>
  <si>
    <t>1.1.10.6</t>
  </si>
  <si>
    <t>1.1.10.7</t>
  </si>
  <si>
    <t>1.1.10.8</t>
  </si>
  <si>
    <t>1.1.10.9</t>
  </si>
  <si>
    <t>1.1.10.10</t>
  </si>
  <si>
    <t>1.1.10.11</t>
  </si>
  <si>
    <t>1.1.11.2</t>
  </si>
  <si>
    <t>1.1.11.3</t>
  </si>
  <si>
    <t>1.1.11.4</t>
  </si>
  <si>
    <t>1.1.11.5</t>
  </si>
  <si>
    <t>1.1.11.6</t>
  </si>
  <si>
    <t>1.1.11.7</t>
  </si>
  <si>
    <t>1.1.11.8</t>
  </si>
  <si>
    <t>1.1.11.9</t>
  </si>
  <si>
    <t>1.1.11.10</t>
  </si>
  <si>
    <t>1.1.12.2</t>
  </si>
  <si>
    <t>1.1.12.3</t>
  </si>
  <si>
    <t>1.1.12.4</t>
  </si>
  <si>
    <t>1.1.12.5</t>
  </si>
  <si>
    <t>1.1.12.6</t>
  </si>
  <si>
    <t>1.1.12.7</t>
  </si>
  <si>
    <t>1.1.12.8</t>
  </si>
  <si>
    <t>1.1.12.9</t>
  </si>
  <si>
    <t>1.1.12.10</t>
  </si>
  <si>
    <t>1.1.12.11</t>
  </si>
  <si>
    <t>1.1.13.2</t>
  </si>
  <si>
    <t>1.1.13.3</t>
  </si>
  <si>
    <t>1.1.13.4</t>
  </si>
  <si>
    <t>1.1.13.5</t>
  </si>
  <si>
    <t>1.1.13.6</t>
  </si>
  <si>
    <t>1.1.13.7</t>
  </si>
  <si>
    <t>1.1.13.8</t>
  </si>
  <si>
    <t>1.1.13.9</t>
  </si>
  <si>
    <t>1.1.13.10</t>
  </si>
  <si>
    <t>1.1.14.2</t>
  </si>
  <si>
    <t>1.1.14.3</t>
  </si>
  <si>
    <t>1.1.14.4</t>
  </si>
  <si>
    <t>1.1.14.5</t>
  </si>
  <si>
    <t>1.1.14.6</t>
  </si>
  <si>
    <t>1.1.14.7</t>
  </si>
  <si>
    <t>1.1.14.8</t>
  </si>
  <si>
    <t>1.1.14.9</t>
  </si>
  <si>
    <t>1.1.14.10</t>
  </si>
  <si>
    <t>1.1.14.11</t>
  </si>
  <si>
    <t>1.1.15.2</t>
  </si>
  <si>
    <t>1.1.15.3</t>
  </si>
  <si>
    <t>1.1.15.4</t>
  </si>
  <si>
    <t>1.1.15.5</t>
  </si>
  <si>
    <t>1.1.15.6</t>
  </si>
  <si>
    <t>1.1.15.7</t>
  </si>
  <si>
    <t>1.1.15.8</t>
  </si>
  <si>
    <t>1.1.15.9</t>
  </si>
  <si>
    <t>1.1.15.10</t>
  </si>
  <si>
    <t>1.1.16.2</t>
  </si>
  <si>
    <t>1.1.16.3</t>
  </si>
  <si>
    <t>1.1.16.4</t>
  </si>
  <si>
    <t>1.1.16.5</t>
  </si>
  <si>
    <t>1.1.16.6</t>
  </si>
  <si>
    <t>1.1.16.7</t>
  </si>
  <si>
    <t>1.1.16.8</t>
  </si>
  <si>
    <t>1.1.16.9</t>
  </si>
  <si>
    <t>1.1.16.10</t>
  </si>
  <si>
    <t>1.1.16.11</t>
  </si>
  <si>
    <t>17_14º PAV. - PENTHOUSE</t>
  </si>
  <si>
    <t>1.1.17.2</t>
  </si>
  <si>
    <t>1.1.17.3</t>
  </si>
  <si>
    <t>1.1.17.4</t>
  </si>
  <si>
    <t>1.1.17.5</t>
  </si>
  <si>
    <t>1.1.17.6</t>
  </si>
  <si>
    <t>1.1.17.7</t>
  </si>
  <si>
    <t>1.1.17.8</t>
  </si>
  <si>
    <t>1.1.17.9</t>
  </si>
  <si>
    <t>1.1.17.10</t>
  </si>
  <si>
    <t>1.1.18.2</t>
  </si>
  <si>
    <t>1.1.18.3</t>
  </si>
  <si>
    <t>1.1.18.4</t>
  </si>
  <si>
    <t>1.1.18.5</t>
  </si>
  <si>
    <t>1.1.18.6</t>
  </si>
  <si>
    <t>1.1.18.7</t>
  </si>
  <si>
    <t>1.1.18.8</t>
  </si>
  <si>
    <t>1.1.18.9</t>
  </si>
  <si>
    <t>1.1.18.10</t>
  </si>
  <si>
    <t>1.1.18.11</t>
  </si>
  <si>
    <t>1.1.18.12</t>
  </si>
  <si>
    <t>1.1.18.13</t>
  </si>
  <si>
    <t>1.1.19.2</t>
  </si>
  <si>
    <t>1.1.19.3</t>
  </si>
  <si>
    <t>1.1.19.4</t>
  </si>
  <si>
    <t>1.1.19.5</t>
  </si>
  <si>
    <t>1.1.19.6</t>
  </si>
  <si>
    <t>1.1.19.7</t>
  </si>
  <si>
    <t>1.1.19.8</t>
  </si>
  <si>
    <t>1.1.19.9</t>
  </si>
  <si>
    <t>1.1.19.10</t>
  </si>
  <si>
    <t>1.1.19.11</t>
  </si>
  <si>
    <t>1.1.19.12</t>
  </si>
  <si>
    <t>1.1.20.2</t>
  </si>
  <si>
    <t>1.1.20.3</t>
  </si>
  <si>
    <t>1.1.20.4</t>
  </si>
  <si>
    <t>1.1.20.5</t>
  </si>
  <si>
    <t>1.1.20.6</t>
  </si>
  <si>
    <t>1.1.20.7</t>
  </si>
  <si>
    <t>1.1.20.8</t>
  </si>
  <si>
    <t>1.1.20.9</t>
  </si>
  <si>
    <t>1.1.20.10</t>
  </si>
  <si>
    <t>1.1.20.11</t>
  </si>
  <si>
    <t>1.1.20.12</t>
  </si>
  <si>
    <t>1.1.20.13</t>
  </si>
  <si>
    <t>1.1.21.2</t>
  </si>
  <si>
    <t>1.1.21.3</t>
  </si>
  <si>
    <t>1.1.21.4</t>
  </si>
  <si>
    <t>1.1.21.5</t>
  </si>
  <si>
    <t>1.1.21.6</t>
  </si>
  <si>
    <t>1.1.21.7</t>
  </si>
  <si>
    <t>1.1.21.8</t>
  </si>
  <si>
    <t>1.1.21.9</t>
  </si>
  <si>
    <t>1.1.21.10</t>
  </si>
  <si>
    <t>1.1.21.11</t>
  </si>
  <si>
    <t>1.1.21.12</t>
  </si>
  <si>
    <t>1.1.22.2</t>
  </si>
  <si>
    <t>1.1.22.3</t>
  </si>
  <si>
    <t>1.1.22.4</t>
  </si>
  <si>
    <t>1.1.22.5</t>
  </si>
  <si>
    <t>1.1.22.6</t>
  </si>
  <si>
    <t>1.1.22.7</t>
  </si>
  <si>
    <t>1.1.22.8</t>
  </si>
  <si>
    <t>1.1.22.9</t>
  </si>
  <si>
    <t>1.1.22.10</t>
  </si>
  <si>
    <t>1.1.22.11</t>
  </si>
  <si>
    <t>1.1.22.12</t>
  </si>
  <si>
    <t>1.1.22.13</t>
  </si>
  <si>
    <t>1.1.23.2</t>
  </si>
  <si>
    <t>1.1.23.3</t>
  </si>
  <si>
    <t>1.1.23.4</t>
  </si>
  <si>
    <t>1.1.23.5</t>
  </si>
  <si>
    <t>1.1.23.6</t>
  </si>
  <si>
    <t>1.1.23.7</t>
  </si>
  <si>
    <t>1.1.23.8</t>
  </si>
  <si>
    <t>1.1.23.9</t>
  </si>
  <si>
    <t>1.1.23.10</t>
  </si>
  <si>
    <t>1.1.23.11</t>
  </si>
  <si>
    <t>1.1.23.12</t>
  </si>
  <si>
    <t>1.1.24.2</t>
  </si>
  <si>
    <t>1.1.24.3</t>
  </si>
  <si>
    <t>1.1.24.4</t>
  </si>
  <si>
    <t>1.1.24.5</t>
  </si>
  <si>
    <t>1.1.24.6</t>
  </si>
  <si>
    <t>1.1.24.7</t>
  </si>
  <si>
    <t>1.1.24.8</t>
  </si>
  <si>
    <t>1.1.24.9</t>
  </si>
  <si>
    <t>1.1.24.10</t>
  </si>
  <si>
    <t>1.1.24.11</t>
  </si>
  <si>
    <t>1.1.24.12</t>
  </si>
  <si>
    <t>1.1.24.13</t>
  </si>
  <si>
    <t>1.1.25.2</t>
  </si>
  <si>
    <t>1.1.25.3</t>
  </si>
  <si>
    <t>1.1.25.4</t>
  </si>
  <si>
    <t>1.1.25.5</t>
  </si>
  <si>
    <t>1.1.25.6</t>
  </si>
  <si>
    <t>1.1.25.7</t>
  </si>
  <si>
    <t>1.1.25.8</t>
  </si>
  <si>
    <t>1.1.25.9</t>
  </si>
  <si>
    <t>1.1.25.10</t>
  </si>
  <si>
    <t>1.1.25.11</t>
  </si>
  <si>
    <t>1.1.25.12</t>
  </si>
  <si>
    <t>1.1.26.2</t>
  </si>
  <si>
    <t>1.1.26.3</t>
  </si>
  <si>
    <t>1.1.26.4</t>
  </si>
  <si>
    <t>1.1.26.5</t>
  </si>
  <si>
    <t>1.1.26.6</t>
  </si>
  <si>
    <t>1.1.26.7</t>
  </si>
  <si>
    <t>1.1.26.8</t>
  </si>
  <si>
    <t>1.1.26.9</t>
  </si>
  <si>
    <t>1.1.26.10</t>
  </si>
  <si>
    <t>1.1.26.11</t>
  </si>
  <si>
    <t>1.1.26.12</t>
  </si>
  <si>
    <t>1.1.26.13</t>
  </si>
  <si>
    <t>1.1.27.2</t>
  </si>
  <si>
    <t>1.1.27.3</t>
  </si>
  <si>
    <t>1.1.27.4</t>
  </si>
  <si>
    <t>1.1.27.5</t>
  </si>
  <si>
    <t>1.1.27.6</t>
  </si>
  <si>
    <t>1.1.27.7</t>
  </si>
  <si>
    <t>1.1.27.8</t>
  </si>
  <si>
    <t>1.1.27.9</t>
  </si>
  <si>
    <t>1.1.27.10</t>
  </si>
  <si>
    <t>1.1.27.11</t>
  </si>
  <si>
    <t>1.1.27.12</t>
  </si>
  <si>
    <t>28_25º PAV. PENTHOUSE</t>
  </si>
  <si>
    <t>1.1.28.2</t>
  </si>
  <si>
    <t>1.1.28.3</t>
  </si>
  <si>
    <t>1.1.28.4</t>
  </si>
  <si>
    <t>1.1.28.5</t>
  </si>
  <si>
    <t>1.1.28.6</t>
  </si>
  <si>
    <t>1.1.28.7</t>
  </si>
  <si>
    <t>1.1.28.8</t>
  </si>
  <si>
    <t>1.1.28.9</t>
  </si>
  <si>
    <t>1.1.28.10</t>
  </si>
  <si>
    <t>1.1.28.11</t>
  </si>
  <si>
    <t>1.1.28.12</t>
  </si>
  <si>
    <t>1.1.28.13</t>
  </si>
  <si>
    <t>1.1.29.2</t>
  </si>
  <si>
    <t>1.1.29.3</t>
  </si>
  <si>
    <t>1.1.29.4</t>
  </si>
  <si>
    <t>1.1.29.5</t>
  </si>
  <si>
    <t>1.1.29.6</t>
  </si>
  <si>
    <t>1.1.29.7</t>
  </si>
  <si>
    <t>1.1.29.8</t>
  </si>
  <si>
    <t>1.1.29.9</t>
  </si>
  <si>
    <t>1.1.29.10</t>
  </si>
  <si>
    <t>1.1.29.11</t>
  </si>
  <si>
    <t>1.1.29.12</t>
  </si>
  <si>
    <t>30_27º PAV. PENTHOUSE</t>
  </si>
  <si>
    <t>1.1.30.2</t>
  </si>
  <si>
    <t>1.1.30.3</t>
  </si>
  <si>
    <t>1.1.30.4</t>
  </si>
  <si>
    <t>1.1.30.5</t>
  </si>
  <si>
    <t>1.1.30.6</t>
  </si>
  <si>
    <t>1.1.30.7</t>
  </si>
  <si>
    <t>1.1.30.8</t>
  </si>
  <si>
    <t>1.1.30.9</t>
  </si>
  <si>
    <t>1.1.30.10</t>
  </si>
  <si>
    <t>1.1.30.11</t>
  </si>
  <si>
    <t>1.1.30.12</t>
  </si>
  <si>
    <t>1.1.30.13</t>
  </si>
  <si>
    <t>1.1.31.2</t>
  </si>
  <si>
    <t>1.1.31.3</t>
  </si>
  <si>
    <t>1.1.31.4</t>
  </si>
  <si>
    <t>1.1.31.5</t>
  </si>
  <si>
    <t>1.1.31.6</t>
  </si>
  <si>
    <t>1.1.31.7</t>
  </si>
  <si>
    <t>1.1.31.8</t>
  </si>
  <si>
    <t>1.1.31.9</t>
  </si>
  <si>
    <t>1.1.31.10</t>
  </si>
  <si>
    <t>1.1.31.11</t>
  </si>
  <si>
    <t>1.1.31.12</t>
  </si>
  <si>
    <t>1.1.32.2</t>
  </si>
  <si>
    <t>1.1.32.3</t>
  </si>
  <si>
    <t>1.1.32.4</t>
  </si>
  <si>
    <t>1.1.32.5</t>
  </si>
  <si>
    <t>1.1.32.6</t>
  </si>
  <si>
    <t>1.1.32.7</t>
  </si>
  <si>
    <t>1.1.32.8</t>
  </si>
  <si>
    <t>1.1.32.9</t>
  </si>
  <si>
    <t>1.1.32.10</t>
  </si>
  <si>
    <t>1.1.32.11</t>
  </si>
  <si>
    <t>1.1.32.12</t>
  </si>
  <si>
    <t>1.1.32.13</t>
  </si>
  <si>
    <t>1.1.33.2</t>
  </si>
  <si>
    <t>1.1.33.3</t>
  </si>
  <si>
    <t>1.1.33.4</t>
  </si>
  <si>
    <t>1.1.33.5</t>
  </si>
  <si>
    <t>1.1.33.6</t>
  </si>
  <si>
    <t>1.1.33.7</t>
  </si>
  <si>
    <t>1.1.33.8</t>
  </si>
  <si>
    <t>1.1.33.9</t>
  </si>
  <si>
    <t>1.1.33.10</t>
  </si>
  <si>
    <t>1.1.33.11</t>
  </si>
  <si>
    <t>1.1.33.12</t>
  </si>
  <si>
    <t>1.1.34.2</t>
  </si>
  <si>
    <t>1.1.34.3</t>
  </si>
  <si>
    <t>1.1.34.4</t>
  </si>
  <si>
    <t>1.1.34.5</t>
  </si>
  <si>
    <t>1.1.34.6</t>
  </si>
  <si>
    <t>1.1.34.7</t>
  </si>
  <si>
    <t>1.1.34.8</t>
  </si>
  <si>
    <t>1.1.34.9</t>
  </si>
  <si>
    <t>1.1.34.10</t>
  </si>
  <si>
    <t>1.1.34.11</t>
  </si>
  <si>
    <t>1.1.34.12</t>
  </si>
  <si>
    <t>1.1.34.13</t>
  </si>
  <si>
    <t>1.1.35.2</t>
  </si>
  <si>
    <t>1.1.35.3</t>
  </si>
  <si>
    <t>1.1.35.4</t>
  </si>
  <si>
    <t>1.1.35.5</t>
  </si>
  <si>
    <t>1.1.35.6</t>
  </si>
  <si>
    <t>1.1.35.7</t>
  </si>
  <si>
    <t>1.1.35.8</t>
  </si>
  <si>
    <t>1.1.35.9</t>
  </si>
  <si>
    <t>1.1.35.10</t>
  </si>
  <si>
    <t>1.1.35.11</t>
  </si>
  <si>
    <t>1.1.35.12</t>
  </si>
  <si>
    <t>36_33º PAV. PENTHOUSE</t>
  </si>
  <si>
    <t>1.1.36.2</t>
  </si>
  <si>
    <t>1.1.36.3</t>
  </si>
  <si>
    <t>1.1.36.4</t>
  </si>
  <si>
    <t>1.1.36.5</t>
  </si>
  <si>
    <t>1.1.36.6</t>
  </si>
  <si>
    <t>1.1.36.7</t>
  </si>
  <si>
    <t>1.1.36.8</t>
  </si>
  <si>
    <t>1.1.36.9</t>
  </si>
  <si>
    <t>1.1.36.10</t>
  </si>
  <si>
    <t>1.1.36.11</t>
  </si>
  <si>
    <t>1.1.36.12</t>
  </si>
  <si>
    <t>1.1.36.13</t>
  </si>
  <si>
    <t>37_34º PAV. PENTHOUSE</t>
  </si>
  <si>
    <t>1.1.37.2</t>
  </si>
  <si>
    <t>1.1.37.3</t>
  </si>
  <si>
    <t>1.1.37.4</t>
  </si>
  <si>
    <t>1.1.37.5</t>
  </si>
  <si>
    <t>1.1.37.6</t>
  </si>
  <si>
    <t>1.1.37.7</t>
  </si>
  <si>
    <t>1.1.37.8</t>
  </si>
  <si>
    <t>1.1.37.9</t>
  </si>
  <si>
    <t>1.1.37.10</t>
  </si>
  <si>
    <t>1.1.37.11</t>
  </si>
  <si>
    <t>1.1.37.12</t>
  </si>
  <si>
    <t>38_35º PAV. PENTHOUSE</t>
  </si>
  <si>
    <t>1.1.38.2</t>
  </si>
  <si>
    <t>1.1.38.3</t>
  </si>
  <si>
    <t>1.1.38.4</t>
  </si>
  <si>
    <t>1.1.38.5</t>
  </si>
  <si>
    <t>1.1.38.6</t>
  </si>
  <si>
    <t>1.1.38.7</t>
  </si>
  <si>
    <t>1.1.38.8</t>
  </si>
  <si>
    <t>1.1.38.9</t>
  </si>
  <si>
    <t>1.1.38.10</t>
  </si>
  <si>
    <t>1.1.38.11</t>
  </si>
  <si>
    <t>1.1.38.12</t>
  </si>
  <si>
    <t>1.1.38.13</t>
  </si>
  <si>
    <t>39_ 36º PAV. - PENTHOUSE DIF.</t>
  </si>
  <si>
    <t>1.1.39.2</t>
  </si>
  <si>
    <t>1.1.39.3</t>
  </si>
  <si>
    <t>1.1.39.4</t>
  </si>
  <si>
    <t>1.1.39.5</t>
  </si>
  <si>
    <t>1.1.39.6</t>
  </si>
  <si>
    <t>1.1.39.7</t>
  </si>
  <si>
    <t>1.1.39.8</t>
  </si>
  <si>
    <t>1.1.39.9</t>
  </si>
  <si>
    <t>1.1.39.10</t>
  </si>
  <si>
    <t>40_37º - DUPLEX INFERIOR</t>
  </si>
  <si>
    <t>1.1.40.2</t>
  </si>
  <si>
    <t>1.1.40.3</t>
  </si>
  <si>
    <t>1.1.40.4</t>
  </si>
  <si>
    <t>1.1.40.5</t>
  </si>
  <si>
    <t>1.1.40.6</t>
  </si>
  <si>
    <t>1.1.40.7</t>
  </si>
  <si>
    <t>PISO:  Sistema 7.1.6: Argamassa impermeabilizante sem cimento - MK-FEN 30 (F) | Argamassa não cimentícia com agentes incorporadores de ar (8,0 kg/m²) + Tela de poliéster nos pontos críticos - CALHA E RUFO</t>
  </si>
  <si>
    <t>1.1.40.8</t>
  </si>
  <si>
    <t>1.1.40.9</t>
  </si>
  <si>
    <t>1.1.40.10</t>
  </si>
  <si>
    <t>1.1.40.11</t>
  </si>
  <si>
    <t>1.1.40.12</t>
  </si>
  <si>
    <t>1.1.41.3</t>
  </si>
  <si>
    <t>1.1.41.4</t>
  </si>
  <si>
    <t>1.1.41.5</t>
  </si>
  <si>
    <t>1.1.41.6</t>
  </si>
  <si>
    <t>1.1.41.7</t>
  </si>
  <si>
    <t>1.1.41.8</t>
  </si>
  <si>
    <t>1.1.41.9</t>
  </si>
  <si>
    <t>1.1.41.10</t>
  </si>
  <si>
    <t>1.1.41.11</t>
  </si>
  <si>
    <t>1.1.41.12</t>
  </si>
  <si>
    <t>PAREDE:  Sistema 4.2.4: Manta asfáltica 4mm aderida com asfalto oxidado modificado | Primer asfáltico à base d'água (0,4 L/m²) + Asfalto oxidado modificado (2,5 kg/m²) + Manta asfáltica AA 4mmTipo III Classe B + Banho de asfalto oxidado modificado (2,5 kg/m²)  -  PISCINA</t>
  </si>
  <si>
    <t>1.1.41.13</t>
  </si>
  <si>
    <t>PISO:  Sistema 4.2.4: Manta asfáltica 4mm aderida com asfalto oxidado modificado | Primer asfáltico à base d'água (0,4 L/m²) + Asfalto oxidado modificado (2,5 kg/m²) + Manta asfáltica AA 4mmTipo III Classe B + Banho de asfalto oxidado modificado (2,5 kg/m²) - PISCINA</t>
  </si>
  <si>
    <t>1.1.41.14</t>
  </si>
  <si>
    <t>1.1.41.15</t>
  </si>
  <si>
    <t>PAREDE:  Sistema 4.2.4: Manta asfáltica 4mm aderida com asfalto oxidado modificado | Primer asfáltico à base d'água (0,4 L/m²) + Asfalto oxidado modificado (2,5 kg/m²) + Manta asfáltica AA 4mmTipo III Classe B + Banho de asfalto oxidado modificado (2,5 kg/m²)  -  TERRAÇO</t>
  </si>
  <si>
    <t>1.1.41.16</t>
  </si>
  <si>
    <t>PISO:  Sistema 4.2.4: Manta asfáltica 4mm aderida com asfalto oxidado modificado | Primer asfáltico à base d'água (0,4 L/m²) + Asfalto oxidado modificado (2,5 kg/m²) + Manta asfáltica AA 4mmTipo III Classe B + Banho de asfalto oxidado modificado (2,5 kg/m²) - TERRAÇO</t>
  </si>
  <si>
    <t>PAREDE:  Sistema 2.5.3: Membrana de polímero acrílico com cimento e fibras sintéticas | Revestimento bicomponente à base de polímeros acrílicos com adição de cimento e fibras sintéticas (3,0 kg/m²)  -  CASA DE MÁQUINAS</t>
  </si>
  <si>
    <t>PISO:  Sistema 2.5.3: Membrana de polímero acrílico com cimento e fibras sintéticas | Revestimento bicomponente à base de polímeros acrílicos com adição de cimento e fibras sintéticas (3,0 kg/m²) - CASA DE MÁQUINAS</t>
  </si>
  <si>
    <t>1.1.42.3</t>
  </si>
  <si>
    <t>PAREDE:  Sistema 4.2.4: Manta asfáltica 4mm aderida com asfalto oxidado modificado | Primer asfáltico à base d'água (0,4 L/m²) + Asfalto oxidado modificado (2,5 kg/m²) + Manta asfáltica AA 4mm  -  COBERTURA</t>
  </si>
  <si>
    <t>1.1.42.4</t>
  </si>
  <si>
    <t>PISO:  Sistema 4.2.4: Manta asfáltica 4mm aderida com asfalto oxidado modificado | Primer asfáltico à base d'água (0,4 L/m²) + Asfalto oxidado modificado (2,5 kg/m²) + Manta asfáltica AA 4mm - COBERTURA</t>
  </si>
  <si>
    <t>1.1.42.5</t>
  </si>
  <si>
    <t>1.1.42.6</t>
  </si>
  <si>
    <t>1.1.42.7</t>
  </si>
  <si>
    <t>PISO:  Sistema 7.1.6: Argamassa impermeabilizante sem cimento - MK-FEN 30 (F) | Argamassa não cimentícia com agentes incorporadores de ar (8,0 kg/m²) + Tela de poliéster nos pontos críticos - MOLDURA DA FACHADA</t>
  </si>
  <si>
    <t>PAREDE: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</si>
  <si>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PISO:  Sistema 2.8.6: 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 - RESERVATÓRIO</t>
  </si>
  <si>
    <t>TETO:  Sistema 7.1.2: Argamassa impermeabilizante sem cimento - MK-FEN 30 (F) | Argamassa não cimentícia com agentes incorporadores de ar (4,0 kg/m²) + Tela de poliéster nos pontos críticos - RESERVATÓRIO</t>
  </si>
  <si>
    <t>1.1.44.</t>
  </si>
  <si>
    <t>1.1.44.1</t>
  </si>
  <si>
    <t>PISO:  Sistema 7.1.6: Argamassa impermeabilizante sem cimento - MK-FEN 30 (F) | Argamassa não cimentícia com agentes incorporadores de ar (8,0 kg/m²) + Tela de poliéster nos pontos críticos - TAMPA DE RESERVATÓRIO</t>
  </si>
  <si>
    <t xml:space="preserve">PISO:  Sistema 4.5.3: Manta asfáltica 4mm aderida com asfalto oxidado modificado + Emulsão asfáltica antiraiz | Primer asfáltico à base d'água (0,4 L/m²) + Asfalto oxidado modificado (2,5 kg/m²) + Manta asfáltica AA </t>
  </si>
  <si>
    <t>PAREDE:  Sistema 4.5.3: Manta asfáltica 4mm aderida com asfalto oxidado modificado + Emulsão asfáltica antiraiz | Primer asfáltico à base d'água (0,4 L/m²) + Asfalto oxidado modificado (2,5 kg/m²) + Manta asfáltica AA</t>
  </si>
  <si>
    <t>PAREDE:  Sistema 2.8.6: Argamassa polimérica para impermeabilização + Membrana de polímero acrílico com cimento e fibras sintéticas | Argamassa impermeabilizante bicomponente à base de aditivos minerais e polímeros (2,0 kg/m²) +   -  CISTERNA</t>
  </si>
  <si>
    <t>PISO:  Sistema 2.8.6: Argamassa polimérica para impermeabilização + Membrana de polímero acrílico com cimento e fibras sintéticas | Argamassa impermeabilizante bicomponente à base de aditivos minerais e polímeros (2,0 kg/m²) +   -  CISTERNA</t>
  </si>
  <si>
    <t>PAREDE:  Sistema 4.2.4: Manta asfáltica 4mm aderida com asfalto oxidado modificado | Primer asfáltico à base d'água (0,4 L/m²) + Asfalto oxidado modificado (2,5 kg/m²) + Manta asfáltica AA 4mm Tipo III Classe B   -  CIRCULAÇÃO</t>
  </si>
  <si>
    <t>PISO:  Sistema 4.2.4: Manta asfáltica 4mm aderida com asfalto oxidado modificado | Primer asfáltico à base d'água (0,4 L/m²) + Asfalto oxidado modificado (2,5 kg/m²) + Manta asfáltica AA 4mm Tipo III Classe B +   -  CIRCULAÇÃO</t>
  </si>
  <si>
    <t>PAREDE:  Sistema 4.9.2: Manta asfáltica 4+4mm aderida com asfalto oxidado modificado + Argamassa polimérica para impermeabilização | Primer asfáltico à base d'água (0,4 L/m²) + Asfalto oxidado modificado (2,5 kg/m²  -  PISCINA</t>
  </si>
  <si>
    <t>PISO:  Sistema 4.9.2: Manta asfáltica 4+4mm aderida com asfalto oxidado modificado + Argamassa polimérica para impermeabilização | Primer asfáltico à base d'água (0,4 L/m²) + Asfalto oxidado modificado (2,5 kg/m²  -  PISCINA</t>
  </si>
  <si>
    <t>PAREDE:  Sistema 4.2.4: Manta asfáltica 4mm aderida com asfalto oxidado modificado | Primer asfáltico à base d'água (0,4 L/m²) + Asfalto oxidado modificado (2,5 kg/m²) + Manta asfáltica AA 4mm Tipo III Classe   -  ESPAÇO CROSSFIT</t>
  </si>
  <si>
    <t>PISO:  Sistema 4.2.4: Manta asfáltica 4mm aderida com asfalto oxidado modificado | Primer asfáltico à base d'água (0,4 L/m²)  -  ESPAÇO CROSSFIT</t>
  </si>
  <si>
    <t>PAREDE:  Sistema 2.5.3: Membrana de polímero acrílico com cimento e fibras sintéticas   -  ÁREA DE SERVIÇO</t>
  </si>
  <si>
    <t>PAREDE:  Sistema 4.2.4: Manta asfáltica 4mm aderida com asfalto oxidado modificado | Primer asfáltico à base d'água (0,4 L/m²)   -  SACADA</t>
  </si>
  <si>
    <t>PISO:  Sistema 4.2.4: Manta asfáltica 4mm aderida com asfalto oxidado modificado |  -  SACADA</t>
  </si>
  <si>
    <t>PAREDE:  Sistema 4.2.4: Manta asfáltica 4mm aderida com asfalto oxidado modificado | Primer asfáltico à base d'água (0,4 L/m²) + Asfalto oxidado modificado (2,5 kg/m²  -  PISCINA</t>
  </si>
  <si>
    <t>PISO:  Sistema 4.2.4: Manta asfáltica 4mm aderida com asfalto oxidado modificado | Primer asfáltico à base d'água (0,4 L/m²) + Asfalto oxidado modificado (2,5 kg/m²  -  PISCINA</t>
  </si>
  <si>
    <t>PAREDE:  Sistema 4.2.4: Manta asfáltica 4mm aderida com asfalto oxidado modificado | Primer asfáltico à base d'água (0,4 L/m²) + Asfalto oxidado modificado (2,5 kg/m²  -  TERRAÇO</t>
  </si>
  <si>
    <t>PISO:  Sistema 4.2.4: Manta asfáltica 4mm aderida com asfalto oxidado modificado | Primer asfáltico à base d'água (0,4 L/m²) + Asfalto oxidado modificado (2,5 kg/m²  -  TERRAÇO</t>
  </si>
  <si>
    <t>PAREDE:  Sistema 2.8.6: Argamassa polimérica para impermeabilização + Membrana de polímero acrílico com cimento e fibras sintéticas | Argamassa impermeabilizante bicomponente à base de aditivos minerais e polímeros (2,0 kg/m²  -  RESERVATÓRIO</t>
  </si>
  <si>
    <t>PISO:  Sistema 2.8.6: Argamassa polimérica para impermeabilização + Membrana de polímero acrílico com cimento e fibras sintéticas | Argamassa impermeabilizante bicomponente à base de aditivos minerais e polímeros (2,0 kg/m²  -  RESERVATÓRIO</t>
  </si>
  <si>
    <t>TIPO DE IMPER</t>
  </si>
  <si>
    <t>NÚMERO IMPER</t>
  </si>
  <si>
    <t>2.5.3</t>
  </si>
  <si>
    <t>2.1.4</t>
  </si>
  <si>
    <t>7.1.6</t>
  </si>
  <si>
    <t>7.1.2</t>
  </si>
  <si>
    <t>2.8.6</t>
  </si>
  <si>
    <t>4.2.4</t>
  </si>
  <si>
    <t>4.9.2</t>
  </si>
  <si>
    <t>4.5.3</t>
  </si>
  <si>
    <t>13.001.002.001</t>
  </si>
  <si>
    <t>Membrana de polímero acrílico com cimento e fibras sintéticas | Revestimento bicomponente à base de polímeros acrílicos com adição de cimento e fibras sintéticas (3,0 kg/m²) + Tela de poliéster nos pontos críticos</t>
  </si>
  <si>
    <t>Argamassa polimérica para impermeabilização | Argamassa impermeabilizante bicomponente à base de aditivos minerais e polímeros (4,0 kg/m²) + Tela de poliéster nos pontos críticos</t>
  </si>
  <si>
    <t>Argamassa polimérica para impermeabilizaçãoArgamassa impermeabilizante bicomponente à base de aditivos minerais e polímeros (4,0 kg/m²) + Tela depoliéster nos pontos críticos</t>
  </si>
  <si>
    <t>Manta asfáltica 4mm aderida com asfalto oxidado modificado + Emulsão asfáltica antiraiz | Primer asfáltico à base d'água (0,4 L/m²) + Asfalto oxidado modificado (2,5 kg/m²) + Manta asfáltica AA 4mm Tipo III Classe B + Banho de asfalto oxidado modificado (2,5 kg/m²) + Emulsão asfáltica antiraiz sobre a proteção mecânica (0,8 L/m²)</t>
  </si>
  <si>
    <t>Argamassa polimérica para impermeabilização + Membrana de polímero acrílico com cimento e fibras sintéticas | Argamassa impermeabilizante bicomponente à base de aditivos minerais e polímeros (2,0 kg/m²) + Revestimento bicomponente à base de polímeros acrílicos com adição de cimento e fibras sintéticas (4,5 kg/m²) + Tela de poliéster nos pontos críticos</t>
  </si>
  <si>
    <t>Argamassa impermeabilizante sem cimento - MK-FEN 30 (F) | Argamassa não cimentícia com agentes incorporadores de ar (4,0 kg/m²) + Tela de poliéster nos pontos críticos</t>
  </si>
  <si>
    <t>Manta asfáltica 4mm aderida com asfalto oxidado modificado | Primer asfáltico à base d'água (0,4 L/m²) + Asfalto oxidado modificado (2,5 kg/m²) + Manta asfáltica AA 4mm Tipo III Classe B + Banho de asfalto oxidado modificado (2,5 kg/m²)</t>
  </si>
  <si>
    <t>Manta asfáltica 4+4mm aderida com asfalto oxidado modificado + Argamassa polimérica para impermeabilização | Primer asfáltico à base d'água (0,4 L/m²) + Asfalto oxidado modificado (2,5 kg/m²) + Manta asfáltica AA 3mm Tipo III Classe B + Asfalto oxidado modificado (2,5 kg/m²) + Manta asfáltica AA 4mm Tipo III Classe B + Argamassa polimérica para impermeabilização sobre a proteção mecânica (2,0 kg/m²)</t>
  </si>
  <si>
    <t>Argamassa impermeabilizante sem cimento - MK-FEN 30 (F) | Argamassa não cimentícia com agentes incorporadores de ar (8,0 kg/m²) + Tela de poliéster nos pontos críticos</t>
  </si>
  <si>
    <t>ORÇAMENTO</t>
  </si>
  <si>
    <t xml:space="preserve">Argamassa não cimentícia com agentes incorporadores de ar - MK-FEN 30 (F) </t>
  </si>
  <si>
    <t>AMBIENTE</t>
  </si>
  <si>
    <t>IMPER</t>
  </si>
  <si>
    <t>Sistema 2.5.3: Membrana de polímero acrílico com cimento e fibras sintéticas | Revestimento bicomponente à base de polímeros acrílicos com adição de cimento e fibras sintéticas (3,0 kg/m²) + Tela de poliéster nos pontos críticos</t>
  </si>
  <si>
    <t>Sistema 2.1.4:Argamassa polimérica para impermeabilização | Argamassa impermeabilizante bicomponente à base de aditivos minerais e polímeros (4,0 kg/m²) + Tela de poliéster nos pontos críticos</t>
  </si>
  <si>
    <t>Sistema 7.1.2:Argamassa impermeabilizante sem cimento - MK-FEN 30 (F) | Argamassa não cimentícia com agentes incorporadores de ar (4,0 kg/m²) + Tela de poliéster nos pontos críticos</t>
  </si>
  <si>
    <t>Sistema 7.1.6:Argamassa impermeabilizante sem cimento - MK-FEN 30 (F) | Argamassa não cimentícia com agentes incorporadores de ar (8,0 kg/m²) + Tela de poliéster nos pontos críticos</t>
  </si>
  <si>
    <t>Sistema 2.8.6: Argamassa impermeabilizante bicomponente à base de aditivos minerais (2,0 kg/m²) + Revestimento bicomponente à base de polímeros acrílicos com adição de cimento e fibras sintéticas (4,5 kg/m²) + Tela de poliéster nos pontos críticos</t>
  </si>
  <si>
    <t>Sistema 4.2.4:Primer asfáltico à base d'água (0,4 L/m²) + Asfalto oxidado modificado (2,5 kg/m²) + Manta asfáltica AA 4mm Tipo III Classe B + Banho de asfalto oxidado modificado (2,5 kg/m²)</t>
  </si>
  <si>
    <t>Sistema 4.5.3:Primer asfáltico à base d'água (0,4 L/m²) + Asfalto oxidado modificado (2,5 kg/m²) + Manta asfáltica AA 4mm Tipo III Classe B + Banho de asfalto oxidado modificado (2,5 kg/m²) + Emulsão asfáltica antiraiz sobre a proteção mecânica (0,8 L/m²)</t>
  </si>
  <si>
    <t>FLOREIRA</t>
  </si>
  <si>
    <t>Cobertura + terraço</t>
  </si>
  <si>
    <t>Elevador + casa de bombas</t>
  </si>
  <si>
    <t>Banheiro + área de serviço + casa de máquinas</t>
  </si>
  <si>
    <t>área técnica + sauna</t>
  </si>
  <si>
    <t>Moldura de fachada + rufos</t>
  </si>
  <si>
    <t>Tampa de Reservatório</t>
  </si>
  <si>
    <t>Sacada + circulação lazer + espaço crossfit</t>
  </si>
  <si>
    <t>Reservatório + cisterna</t>
  </si>
  <si>
    <t>Impermeabilização de Floreiras</t>
  </si>
  <si>
    <t>Floreiras</t>
  </si>
  <si>
    <t>Impermeabilização de banheiro, cozinha, área de serviço, área técnica, área comum, fosso do elevador e sacada</t>
  </si>
  <si>
    <t>Impermeabilização de lajes, cobertura, rufos, moldura da fachada e terraços</t>
  </si>
  <si>
    <t>Impermeabilização de reservatórios e cisternas</t>
  </si>
  <si>
    <t>Sistema 4.9.2:Primer asfáltico à base d'água (0,4 L/m²)+Asfalto oxidado modificado (5kg/m²)+Manta asfáltica AA 3mm Tipo III Classe B+Manta asfáltica AA 4mm Tipo III Classe B+Argamassa polimérica para impermeabilização sobre a proteção mecânica (2,0 kg/m²)</t>
  </si>
  <si>
    <t>Toda área de piso que recebe impermeabilização</t>
  </si>
  <si>
    <t>Toda área de piso que recebe impermeabilização de manta asfáltica</t>
  </si>
  <si>
    <t>PROTEÇÃO MECANICA</t>
  </si>
  <si>
    <t>Mão de obra impermeabilização sistema 2.1.4</t>
  </si>
  <si>
    <t>Mão de obra impermeabilização sistema 2.5.3</t>
  </si>
  <si>
    <t>Mão de obra impermeabilização sistema 4.5.3</t>
  </si>
  <si>
    <t>Mão de obra aplicação (2 demãos + reforço pontos críticos)</t>
  </si>
  <si>
    <t>Mão de obra impermeabilização sistema 2.8.6</t>
  </si>
  <si>
    <t>Mão de obra impermeabilização sistema 4.2.4</t>
  </si>
  <si>
    <t>Mão de obra impermeabilização sistema 4.9.2</t>
  </si>
  <si>
    <t>Mão de obra impermeabilização sistema 7.1.2</t>
  </si>
  <si>
    <t>Mão de obra impermeabilização sistema 7.1.6</t>
  </si>
  <si>
    <t>Mão de obra maçarico + sobreposição</t>
  </si>
  <si>
    <t>Mão de obra reforçada (3 demãos totais)</t>
  </si>
  <si>
    <t>Mão de obra especializada</t>
  </si>
  <si>
    <t>Mão de obra dupla manta</t>
  </si>
  <si>
    <t>2 por banheiro + 1 por lavabo + 2 por área de serviço + 1 por área técnica + 1 por cozinha + 1 por sacada + 1 por torneira de jardin</t>
  </si>
  <si>
    <t>Poltrona Gucci Giratória</t>
  </si>
  <si>
    <t>Quadro - Quadro Rainha Elizabeth - Obra original Assinada</t>
  </si>
  <si>
    <t>Sofá creme 2-3 lugares - Minotti – Sofá Torii Curve</t>
  </si>
  <si>
    <t>Mesa de canto - apoio - Mesa Apoio Lela - Material: Metal - Cor: Ouro</t>
  </si>
  <si>
    <t>43_CASA DE MÁQUINAS</t>
  </si>
  <si>
    <t>1.1.44.2</t>
  </si>
  <si>
    <t>45_RESERVATÓRIO</t>
  </si>
  <si>
    <t>1.1.44.3</t>
  </si>
  <si>
    <t>1.1.45.</t>
  </si>
  <si>
    <t>1.1.45.1</t>
  </si>
  <si>
    <t>46_TETO RESERVATÓRIO</t>
  </si>
  <si>
    <t xml:space="preserve">Revestimento em Paredes, Papel de parede, Solar, acessorios para instalação - Material e Mão de Obra </t>
  </si>
  <si>
    <t>Circulação</t>
  </si>
  <si>
    <t>Revestimento em Paredes, Papel de parede, Solar, acessorios para instalação - Material</t>
  </si>
  <si>
    <t>COTAÇÃO</t>
  </si>
  <si>
    <t>Revestimento externo em Ladrilho Hidráulico 10x10cm - Cor: laranja e off-white - Marca: Ladrilar, com junta de 2 cm e rejunte acrilico cinza platina</t>
  </si>
  <si>
    <t>Ladrilho Hidráulico 10x10cm - Cor: laranja - Marca: Ladrilar</t>
  </si>
  <si>
    <t>Ladrilho Hidráulico 10x10cm - Cor: off-white - Marca: Ladrilar</t>
  </si>
  <si>
    <t>Ladrilho Hidráulico 10x10cm - Cor: Laranja - Marca: Ladrilar</t>
  </si>
  <si>
    <t>Elizabeth II</t>
  </si>
  <si>
    <t>Hidrossanitário</t>
  </si>
  <si>
    <t>TORRE</t>
  </si>
  <si>
    <t>GRUPO/EAP</t>
  </si>
  <si>
    <t>SUBGRUPO</t>
  </si>
  <si>
    <t>Perda</t>
  </si>
  <si>
    <t>Qte com perda</t>
  </si>
  <si>
    <t>13° PAVIMENTO</t>
  </si>
  <si>
    <t>14° PAVIMENTO</t>
  </si>
  <si>
    <t>15° PAVIMENTO</t>
  </si>
  <si>
    <t>23° PAVIMENTO</t>
  </si>
  <si>
    <t>TUBULAÇÕES</t>
  </si>
  <si>
    <t>BOMBAS</t>
  </si>
  <si>
    <t>TOTAL:</t>
  </si>
  <si>
    <t>R00 - Raquel 05/01/2025</t>
  </si>
  <si>
    <t>GARAGEM 05</t>
  </si>
  <si>
    <t>GARAGEM 06</t>
  </si>
  <si>
    <t>LAZER</t>
  </si>
  <si>
    <t>DIFERENCIADO</t>
  </si>
  <si>
    <t>PAVIMENTO TIPO</t>
  </si>
  <si>
    <t>PENTHOUSE</t>
  </si>
  <si>
    <t>PENTHOUSE (TIPO)</t>
  </si>
  <si>
    <t>DUPLEX INFERIOR</t>
  </si>
  <si>
    <t>PAVIMENTOS TÉCNICOS</t>
  </si>
  <si>
    <t>SPRINKLERS</t>
  </si>
  <si>
    <t>BARRAMENTO</t>
  </si>
  <si>
    <t>GERADOR</t>
  </si>
  <si>
    <t>CAIXA OCTOGONAL</t>
  </si>
  <si>
    <t>Caixa Octogonal Padrão NBR IEC 60670</t>
  </si>
  <si>
    <t>Placa cega para caixa octogonal Padrão NBR IEC 60670</t>
  </si>
  <si>
    <t>Caixa 4x2" de Embutir em PVC Padrão NBR IEC 60670</t>
  </si>
  <si>
    <t>Caixa 4x4" de Embutir em PVC Padrão NBR IEC 60670</t>
  </si>
  <si>
    <t>Placa 4x2" cega Padrão NBR IEC 60670</t>
  </si>
  <si>
    <t>Placa 4x2" para 1 função Padrão NBR IEC 60670</t>
  </si>
  <si>
    <t>Placa 4x2" para 2 funções Padrão NBR IEC 60670</t>
  </si>
  <si>
    <t>Placa 4x2" para 3 funções Padrão NBR IEC 60670</t>
  </si>
  <si>
    <t>Placa 4x4" cega Padrão NBR IEC 60670</t>
  </si>
  <si>
    <t>Suporte p/ caixa 4x2" Padrão NBR IEC 60670</t>
  </si>
  <si>
    <t>Suporte p/ caixa 4x4" Padrão NBR IEC 60670</t>
  </si>
  <si>
    <t>PVC Flexível Antichama - NBR 15465 ø1"</t>
  </si>
  <si>
    <t>PVC Flexível Antichama - NBR 15465 ø3/4"</t>
  </si>
  <si>
    <t>MÓDULOS</t>
  </si>
  <si>
    <t>QUADROS DE DISTRIBUIÇÃO</t>
  </si>
  <si>
    <t>SENSORES</t>
  </si>
  <si>
    <t>CABO UNIPOLAR</t>
  </si>
  <si>
    <t>Isolação em PVC (70ºC) 1.5 mm² - Amarelo</t>
  </si>
  <si>
    <t>Isolação em PVC (70ºC) 1.5 mm² - Preto</t>
  </si>
  <si>
    <t>Isolação em PVC (70ºC) 2.5 mm² - Preto</t>
  </si>
  <si>
    <t>Isolação em PVC (70ºC) 2.5 mm² - Vermelho</t>
  </si>
  <si>
    <t>Isolação em PVC (70ºC) 4 mm² - Preto</t>
  </si>
  <si>
    <t>Isolação em PVC (70ºC) 4 mm² - Vermelho</t>
  </si>
  <si>
    <t>Isolação em PVC (70ºC) 1.5 mm² - Vermelho</t>
  </si>
  <si>
    <t>ELETRODUTOS</t>
  </si>
  <si>
    <t>Cx de passagem de embutir com dimensão de 30x30x12 cm</t>
  </si>
  <si>
    <t>Metálicos Moldados - NBR IEC 62208 30x30x20 cm</t>
  </si>
  <si>
    <t>Placa 4x2" com furo para saída de cabos Padrão NBR IEC 60670</t>
  </si>
  <si>
    <t>Isolação em PVC (70ºC) 2.5 mm² - Amarelo</t>
  </si>
  <si>
    <r>
      <rPr>
        <b/>
        <sz val="8"/>
        <rFont val="Roboto"/>
      </rPr>
      <t xml:space="preserve">Contrato: </t>
    </r>
    <r>
      <rPr>
        <sz val="8"/>
        <rFont val="Roboto"/>
      </rPr>
      <t xml:space="preserve">CT/ELZ0015A
</t>
    </r>
    <r>
      <rPr>
        <b/>
        <sz val="8"/>
        <rFont val="Roboto"/>
      </rPr>
      <t xml:space="preserve">Situação do contrato: </t>
    </r>
    <r>
      <rPr>
        <sz val="8"/>
        <rFont val="Roboto"/>
      </rPr>
      <t xml:space="preserve">Pendente
</t>
    </r>
    <r>
      <rPr>
        <b/>
        <sz val="8"/>
        <rFont val="Roboto"/>
      </rPr>
      <t xml:space="preserve">Fornecedor: </t>
    </r>
    <r>
      <rPr>
        <sz val="8"/>
        <rFont val="Roboto"/>
      </rPr>
      <t xml:space="preserve">3587 - ELETROSUL INSTALACOES ELETRICAS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</si>
  <si>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b/>
        <sz val="7.5"/>
        <rFont val="Roboto"/>
      </rPr>
      <t>Itens</t>
    </r>
  </si>
  <si>
    <r>
      <rPr>
        <b/>
        <sz val="7.5"/>
        <rFont val="Roboto"/>
      </rPr>
      <t>Contrato                                        Medição                               Saldo do Contrato</t>
    </r>
  </si>
  <si>
    <r>
      <rPr>
        <b/>
        <sz val="7.5"/>
        <rFont val="Roboto"/>
      </rPr>
      <t>Serviço</t>
    </r>
  </si>
  <si>
    <r>
      <rPr>
        <b/>
        <sz val="7.5"/>
        <rFont val="Roboto"/>
      </rPr>
      <t>Un.</t>
    </r>
  </si>
  <si>
    <r>
      <rPr>
        <b/>
        <sz val="7.5"/>
        <rFont val="Roboto"/>
      </rPr>
      <t>Preco unitário</t>
    </r>
  </si>
  <si>
    <r>
      <rPr>
        <b/>
        <sz val="7.5"/>
        <rFont val="Roboto"/>
      </rPr>
      <t>Quantidade</t>
    </r>
  </si>
  <si>
    <r>
      <rPr>
        <b/>
        <sz val="7.5"/>
        <rFont val="Roboto"/>
      </rPr>
      <t>Valor total</t>
    </r>
  </si>
  <si>
    <r>
      <rPr>
        <b/>
        <sz val="7.5"/>
        <rFont val="Roboto"/>
      </rPr>
      <t>Valor Total</t>
    </r>
  </si>
  <si>
    <r>
      <rPr>
        <b/>
        <sz val="7.5"/>
        <rFont val="Roboto"/>
      </rPr>
      <t>UC</t>
    </r>
  </si>
  <si>
    <r>
      <rPr>
        <b/>
        <sz val="7.5"/>
        <rFont val="Roboto"/>
      </rPr>
      <t>Apropriação</t>
    </r>
  </si>
  <si>
    <r>
      <rPr>
        <sz val="7.5"/>
        <rFont val="Roboto"/>
      </rPr>
      <t>00.001 - ELÉTRICA - ITENS GERAIS</t>
    </r>
  </si>
  <si>
    <r>
      <rPr>
        <sz val="7.5"/>
        <rFont val="Roboto"/>
      </rPr>
      <t>R$ 0,00</t>
    </r>
  </si>
  <si>
    <r>
      <rPr>
        <sz val="7.5"/>
        <rFont val="Roboto"/>
      </rPr>
      <t>00.001.000.001 - Mão de Obra Instalação Subestação</t>
    </r>
  </si>
  <si>
    <r>
      <rPr>
        <sz val="7.5"/>
        <rFont val="Roboto"/>
      </rPr>
      <t>vb</t>
    </r>
  </si>
  <si>
    <r>
      <rPr>
        <sz val="7.5"/>
        <rFont val="Roboto"/>
      </rPr>
      <t>00.001.000.002 - Mão de Obra Busway + Quadros de Medição</t>
    </r>
  </si>
  <si>
    <r>
      <rPr>
        <sz val="7.5"/>
        <rFont val="Roboto"/>
      </rPr>
      <t>00.001.000.003 - Mão de Obra Iluminação Elevador</t>
    </r>
  </si>
  <si>
    <r>
      <rPr>
        <sz val="7.5"/>
        <rFont val="Roboto"/>
      </rPr>
      <t>00.001.000.004 - Mão de Obra Gerador</t>
    </r>
  </si>
  <si>
    <r>
      <rPr>
        <sz val="7.5"/>
        <rFont val="Roboto"/>
      </rPr>
      <t>00.002 - ELÉTRICA - [TÉRREO / SALAS ]</t>
    </r>
  </si>
  <si>
    <r>
      <rPr>
        <sz val="7.5"/>
        <rFont val="Roboto"/>
      </rPr>
      <t>00.002.000.001 - Mão de Obra Infra Laje</t>
    </r>
  </si>
  <si>
    <r>
      <rPr>
        <sz val="7.5"/>
        <rFont val="Roboto"/>
      </rPr>
      <t>00.002.000.002 - Mão de Obra Infra Paredes</t>
    </r>
  </si>
  <si>
    <r>
      <rPr>
        <sz val="7.5"/>
        <rFont val="Roboto"/>
      </rPr>
      <t>00.002.000.003 - Mão de Obra Infra Teto</t>
    </r>
  </si>
  <si>
    <r>
      <rPr>
        <sz val="7.5"/>
        <rFont val="Roboto"/>
      </rPr>
      <t>00.002.000.004 - Mão de Obra Infra Rua/Avenida</t>
    </r>
  </si>
  <si>
    <r>
      <rPr>
        <sz val="7.5"/>
        <rFont val="Roboto"/>
      </rPr>
      <t>00.002.000.005 - Mão de Obra Cabeamento Teto e Iluminação Provisória</t>
    </r>
  </si>
  <si>
    <r>
      <rPr>
        <sz val="7.5"/>
        <rFont val="Roboto"/>
      </rPr>
      <t>00.002.000.006 - Mão de Obra Medidores Individuais, Salas e Condominio</t>
    </r>
  </si>
  <si>
    <r>
      <rPr>
        <sz val="7.5"/>
        <rFont val="Roboto"/>
      </rPr>
      <t>00.002.000.007 - Mão de Obra Entrada de Energia</t>
    </r>
  </si>
  <si>
    <r>
      <rPr>
        <sz val="7.5"/>
        <rFont val="Roboto"/>
      </rPr>
      <t>00.002.000.008 - Mão de Obra Prumadas Hall</t>
    </r>
  </si>
  <si>
    <r>
      <rPr>
        <sz val="7.5"/>
        <rFont val="Roboto"/>
      </rPr>
      <t>00.002.000.009 - Mão de Obra Quadros / Disjuntores, Tomadas e Interruptores</t>
    </r>
  </si>
  <si>
    <r>
      <rPr>
        <sz val="7.5"/>
        <rFont val="Roboto"/>
      </rPr>
      <t>00.002.000.010 - Mão de Obra Instalação Bombas</t>
    </r>
  </si>
  <si>
    <r>
      <rPr>
        <sz val="7.5"/>
        <rFont val="Roboto"/>
      </rPr>
      <t>un</t>
    </r>
  </si>
  <si>
    <r>
      <rPr>
        <sz val="7.5"/>
        <rFont val="Roboto"/>
      </rPr>
      <t>00.002.000.011 - Mão de Obra Tampas e Acabamentos Elétricos</t>
    </r>
  </si>
  <si>
    <r>
      <rPr>
        <sz val="7.5"/>
        <rFont val="Roboto"/>
      </rPr>
      <t>00.002.000.012 - Mão de Obra Luminárias Definitivas Int. / Ext.</t>
    </r>
  </si>
  <si>
    <r>
      <rPr>
        <sz val="7.5"/>
        <rFont val="Roboto"/>
      </rPr>
      <t>00.003 - ELÉTRICA - MEZANINO 1º PVTO [G1]</t>
    </r>
  </si>
  <si>
    <r>
      <rPr>
        <sz val="7.5"/>
        <rFont val="Roboto"/>
      </rPr>
      <t>00.003.000.001 - Mão de Obra Infra Laje</t>
    </r>
  </si>
  <si>
    <r>
      <rPr>
        <sz val="7.5"/>
        <rFont val="Roboto"/>
      </rPr>
      <t>00.003.000.002 - Mão de Obra Infra Paredes</t>
    </r>
  </si>
  <si>
    <r>
      <rPr>
        <sz val="7.5"/>
        <rFont val="Roboto"/>
      </rPr>
      <t>00.003.000.003 - Mão de Obra Infra Teto</t>
    </r>
  </si>
  <si>
    <r>
      <rPr>
        <sz val="7.5"/>
        <rFont val="Roboto"/>
      </rPr>
      <t>00.003.000.004 - Mão de Obra Cabeamento Teto e Iluminação Provisória</t>
    </r>
  </si>
  <si>
    <r>
      <rPr>
        <sz val="7.5"/>
        <rFont val="Roboto"/>
      </rPr>
      <t>00.003.000.005 - Mão de Obra Prumadas Hall</t>
    </r>
  </si>
  <si>
    <r>
      <rPr>
        <sz val="7.5"/>
        <rFont val="Roboto"/>
      </rPr>
      <t>00.003.000.006 - Mão de Obra Quadros / Disjuntores, Tomadas e Interruptores</t>
    </r>
  </si>
  <si>
    <r>
      <rPr>
        <sz val="7.5"/>
        <rFont val="Roboto"/>
      </rPr>
      <t>00.003.000.007 - Mão de Obra Tampas e Acabamentos Elétricos</t>
    </r>
  </si>
  <si>
    <r>
      <rPr>
        <sz val="7.5"/>
        <rFont val="Roboto"/>
      </rPr>
      <t>00.003.000.008 - Mão de Obra Luminárias Definitivas Int. / Ext.</t>
    </r>
  </si>
  <si>
    <r>
      <rPr>
        <sz val="7.5"/>
        <rFont val="Roboto"/>
      </rPr>
      <t>00.004 - ELÉTRICA - 2º PVTO [G2]</t>
    </r>
  </si>
  <si>
    <r>
      <rPr>
        <sz val="7.5"/>
        <rFont val="Roboto"/>
      </rPr>
      <t>00.004.000.001 - Mão de Obra Infra Laje</t>
    </r>
  </si>
  <si>
    <r>
      <rPr>
        <sz val="7.5"/>
        <rFont val="Roboto"/>
      </rPr>
      <t>00.004.000.002 - Mão de Obra Infra Paredes</t>
    </r>
  </si>
  <si>
    <r>
      <rPr>
        <sz val="7.5"/>
        <rFont val="Roboto"/>
      </rPr>
      <t>00.004.000.003 - Mão de Obra Infra Teto</t>
    </r>
  </si>
  <si>
    <r>
      <rPr>
        <sz val="7.5"/>
        <rFont val="Roboto"/>
      </rPr>
      <t>00.004.000.004 - Mão de Obra Cabeamento Teto e Iluminação Provisória</t>
    </r>
  </si>
  <si>
    <r>
      <rPr>
        <sz val="7.5"/>
        <rFont val="Roboto"/>
      </rPr>
      <t>00.004.000.005 - Mão de Obra Prumadas Hall</t>
    </r>
  </si>
  <si>
    <r>
      <rPr>
        <sz val="7.5"/>
        <rFont val="Roboto"/>
      </rPr>
      <t>00.004.000.006 - Mão de Obra Quadros / Disjuntores, Tomadas e Interruptores</t>
    </r>
  </si>
  <si>
    <r>
      <rPr>
        <sz val="7.5"/>
        <rFont val="Roboto"/>
      </rPr>
      <t>00.004.000.007 - Mão de Obra Tampas e Acabamentos Elétricos</t>
    </r>
  </si>
  <si>
    <r>
      <rPr>
        <sz val="7.5"/>
        <rFont val="Roboto"/>
      </rPr>
      <t>00.004.000.008 - Mão de Obra Luminárias Definitivas Int. / Ext.</t>
    </r>
  </si>
  <si>
    <r>
      <rPr>
        <sz val="7.5"/>
        <rFont val="Roboto"/>
      </rPr>
      <t>00.005 - ELÉTRICA - MEZANINO 2º PVTO [G3]</t>
    </r>
  </si>
  <si>
    <r>
      <rPr>
        <sz val="7.5"/>
        <rFont val="Roboto"/>
      </rPr>
      <t>00.005.000.001 - Mão de Obra Infra Laje</t>
    </r>
  </si>
  <si>
    <r>
      <rPr>
        <sz val="7.5"/>
        <rFont val="Roboto"/>
      </rPr>
      <t>00.005.000.002 - Mão de Obra Infra Paredes</t>
    </r>
  </si>
  <si>
    <r>
      <rPr>
        <sz val="7.5"/>
        <rFont val="Roboto"/>
      </rPr>
      <t>00.005.000.003 - Mão de Obra Infra Teto</t>
    </r>
  </si>
  <si>
    <r>
      <rPr>
        <sz val="7.5"/>
        <rFont val="Roboto"/>
      </rPr>
      <t>00.005.000.004 - Mão de Obra Cabeamento Teto e Iluminação Provisória</t>
    </r>
  </si>
  <si>
    <r>
      <rPr>
        <sz val="7.5"/>
        <rFont val="Roboto"/>
      </rPr>
      <t>00.005.000.005 - Mão de Obra Prumadas Hall</t>
    </r>
  </si>
  <si>
    <r>
      <rPr>
        <sz val="7.5"/>
        <rFont val="Roboto"/>
      </rPr>
      <t>00.005.000.006 - Mão de Obra Quadros / Disjuntores, Tomadas e Interruptores</t>
    </r>
  </si>
  <si>
    <r>
      <rPr>
        <sz val="7.5"/>
        <rFont val="Roboto"/>
      </rPr>
      <t>00.005.000.007 - Mão de Obra Tampas e Acabamentos Elétricos</t>
    </r>
  </si>
  <si>
    <r>
      <rPr>
        <sz val="7.5"/>
        <rFont val="Roboto"/>
      </rPr>
      <t>00.005.000.008 - Mão de Obra Luminárias Definitivas Int. / Ext.</t>
    </r>
  </si>
  <si>
    <r>
      <rPr>
        <sz val="7.5"/>
        <rFont val="Roboto"/>
      </rPr>
      <t>00.006 - ELÉTRICA - 3º PVTO [G4]</t>
    </r>
  </si>
  <si>
    <r>
      <rPr>
        <sz val="7.5"/>
        <rFont val="Roboto"/>
      </rPr>
      <t>00.006.000.001 - Mão de Obra Infra Laje</t>
    </r>
  </si>
  <si>
    <r>
      <rPr>
        <sz val="7.5"/>
        <rFont val="Roboto"/>
      </rPr>
      <t>00.006.000.002 - Mão de Obra Infra Paredes</t>
    </r>
  </si>
  <si>
    <r>
      <rPr>
        <sz val="7.5"/>
        <rFont val="Roboto"/>
      </rPr>
      <t>00.006.000.003 - Mão de Obra Infra Teto</t>
    </r>
  </si>
  <si>
    <r>
      <rPr>
        <sz val="7.5"/>
        <rFont val="Roboto"/>
      </rPr>
      <t>00.006.000.004 - Mão de Obra Cabeamento Teto e Iluminação Provisória</t>
    </r>
  </si>
  <si>
    <r>
      <rPr>
        <sz val="7.5"/>
        <rFont val="Roboto"/>
      </rPr>
      <t>00.006.000.005 - Mão de Obra Prumadas Hall</t>
    </r>
  </si>
  <si>
    <r>
      <rPr>
        <sz val="7.5"/>
        <rFont val="Roboto"/>
      </rPr>
      <t>00.006.000.006 - Mão de Obra Quadros / Disjuntores, Tomadas e Interruptores</t>
    </r>
  </si>
  <si>
    <r>
      <rPr>
        <sz val="7.5"/>
        <rFont val="Roboto"/>
      </rPr>
      <t>00.006.000.007 - Mão de Obra Tampas e Acabamentos Elétricos</t>
    </r>
  </si>
  <si>
    <r>
      <rPr>
        <sz val="7.5"/>
        <rFont val="Roboto"/>
      </rPr>
      <t>00.006.000.008 - Mão de Obra Luminárias Definitivas Int. / Ext.</t>
    </r>
  </si>
  <si>
    <r>
      <rPr>
        <sz val="7.5"/>
        <rFont val="Roboto"/>
      </rPr>
      <t>00.007 - ELÉTRICA - MEZANINO 3º PVTO [G5]</t>
    </r>
  </si>
  <si>
    <r>
      <rPr>
        <sz val="7.5"/>
        <rFont val="Roboto"/>
      </rPr>
      <t>00.007.000.001 - Mão de Obra Infra Laje</t>
    </r>
  </si>
  <si>
    <r>
      <rPr>
        <sz val="7.5"/>
        <rFont val="Roboto"/>
      </rPr>
      <t>00.007.000.002 - Mão de Obra Infra Paredes</t>
    </r>
  </si>
  <si>
    <r>
      <rPr>
        <sz val="7.5"/>
        <rFont val="Roboto"/>
      </rPr>
      <t>00.007.000.003 - Mão de Obra Infra Teto</t>
    </r>
  </si>
  <si>
    <r>
      <rPr>
        <sz val="7.5"/>
        <rFont val="Roboto"/>
      </rPr>
      <t>00.007.000.004 - Mão de Obra Cabeamento Teto e Iluminação Provisória</t>
    </r>
  </si>
  <si>
    <r>
      <rPr>
        <sz val="7.5"/>
        <rFont val="Roboto"/>
      </rPr>
      <t>00.007.000.005 - Mão de Obra Prumadas Hall</t>
    </r>
  </si>
  <si>
    <r>
      <rPr>
        <sz val="7.5"/>
        <rFont val="Roboto"/>
      </rPr>
      <t>00.007.000.006 - Mão de Obra Quadros / Disjuntores, Tomadas e Interruptores</t>
    </r>
  </si>
  <si>
    <r>
      <rPr>
        <sz val="7.5"/>
        <rFont val="Roboto"/>
      </rPr>
      <t>00.007.000.007 - Mão de Obra Tampas e Acabamentos Elétricos</t>
    </r>
  </si>
  <si>
    <r>
      <rPr>
        <sz val="7.5"/>
        <rFont val="Roboto"/>
      </rPr>
      <t>00.007.000.008 - Mão de Obra Luminárias Definitivas Int. / Ext.</t>
    </r>
  </si>
  <si>
    <r>
      <rPr>
        <sz val="7.5"/>
        <rFont val="Roboto"/>
      </rPr>
      <t>00.008 - ELÉTRICA - 4º PVTO [G6 / LAZER 01]</t>
    </r>
  </si>
  <si>
    <r>
      <rPr>
        <sz val="7.5"/>
        <rFont val="Roboto"/>
      </rPr>
      <t>00.008.000.001 - Mão de Obra Infra Laje</t>
    </r>
  </si>
  <si>
    <r>
      <rPr>
        <sz val="7.5"/>
        <rFont val="Roboto"/>
      </rPr>
      <t>00.008.000.002 - Mão de Obra Infra Paredes</t>
    </r>
  </si>
  <si>
    <r>
      <rPr>
        <sz val="7.5"/>
        <rFont val="Roboto"/>
      </rPr>
      <t>00.008.000.003 - Mão de Obra Infra Teto</t>
    </r>
  </si>
  <si>
    <r>
      <rPr>
        <sz val="7.5"/>
        <rFont val="Roboto"/>
      </rPr>
      <t>00.008.000.004 - Mão de Obra Cabeamento Teto e Iluminação Provisória</t>
    </r>
  </si>
  <si>
    <r>
      <rPr>
        <sz val="7.5"/>
        <rFont val="Roboto"/>
      </rPr>
      <t>00.008.000.005 - Mão de Obra Prumadas Hall</t>
    </r>
  </si>
  <si>
    <r>
      <rPr>
        <sz val="7.5"/>
        <rFont val="Roboto"/>
      </rPr>
      <t>00.008.000.006 - Mão de Obra Quadros / Disjuntores, Tomadas e Interruptores</t>
    </r>
  </si>
  <si>
    <r>
      <rPr>
        <sz val="7.5"/>
        <rFont val="Roboto"/>
      </rPr>
      <t>00.008.000.007 - Mão de Obra Tampas e Acabamentos Elétricos</t>
    </r>
  </si>
  <si>
    <r>
      <rPr>
        <sz val="7.5"/>
        <rFont val="Roboto"/>
      </rPr>
      <t>00.008.000.008 - Mão de Obra Luminárias Definitivas Int. / Ext.</t>
    </r>
  </si>
  <si>
    <r>
      <rPr>
        <sz val="7.5"/>
        <rFont val="Roboto"/>
      </rPr>
      <t>00.009 - ELÉTRICA - 5º PVTO [LAZER 02]</t>
    </r>
  </si>
  <si>
    <r>
      <rPr>
        <sz val="7.5"/>
        <rFont val="Roboto"/>
      </rPr>
      <t>00.009.000.001 - Mão de Obra Infra Laje</t>
    </r>
  </si>
  <si>
    <r>
      <rPr>
        <sz val="7.5"/>
        <rFont val="Roboto"/>
      </rPr>
      <t>00.009.000.002 - Mão de Obra Infra Paredes</t>
    </r>
  </si>
  <si>
    <r>
      <rPr>
        <sz val="7.5"/>
        <rFont val="Roboto"/>
      </rPr>
      <t>00.009.000.003 - Mão de Obra Infra Teto</t>
    </r>
  </si>
  <si>
    <r>
      <rPr>
        <sz val="7.5"/>
        <rFont val="Roboto"/>
      </rPr>
      <t>00.009.000.004 - Mão de Obra Cabeamento Teto e Iluminação Provisória</t>
    </r>
  </si>
  <si>
    <r>
      <rPr>
        <sz val="7.5"/>
        <rFont val="Roboto"/>
      </rPr>
      <t>00.009.000.005 - Mão de Obra Prumadas Hall</t>
    </r>
  </si>
  <si>
    <r>
      <rPr>
        <sz val="7.5"/>
        <rFont val="Roboto"/>
      </rPr>
      <t>00.009.000.006 - Mão de Obra Quadros / Disjuntores, Tomadas e Interruptores</t>
    </r>
  </si>
  <si>
    <r>
      <rPr>
        <sz val="7.5"/>
        <rFont val="Roboto"/>
      </rPr>
      <t>00.009.000.007 - Mão de Obra Tampas e Acabamentos Elétricos</t>
    </r>
  </si>
  <si>
    <r>
      <rPr>
        <sz val="7.5"/>
        <rFont val="Roboto"/>
      </rPr>
      <t>00.009.000.008 - Mão de Obra Luminárias Definitivas Int. / Ext.</t>
    </r>
  </si>
  <si>
    <r>
      <rPr>
        <sz val="7.5"/>
        <rFont val="Roboto"/>
      </rPr>
      <t>00.010 - ELÉTRICA - 6º PVTO [TIPO DIF.]</t>
    </r>
  </si>
  <si>
    <r>
      <rPr>
        <sz val="7.5"/>
        <rFont val="Roboto"/>
      </rPr>
      <t>00.010.000.001 - Mão de Obra Infra Laje</t>
    </r>
  </si>
  <si>
    <r>
      <rPr>
        <sz val="7.5"/>
        <rFont val="Roboto"/>
      </rPr>
      <t>00.010.000.002 - Mão de Obra Infra Paredes</t>
    </r>
  </si>
  <si>
    <r>
      <rPr>
        <sz val="7.5"/>
        <rFont val="Roboto"/>
      </rPr>
      <t>00.010.000.003 - Mão de Obra Infra Teto</t>
    </r>
  </si>
  <si>
    <r>
      <rPr>
        <sz val="7.5"/>
        <rFont val="Roboto"/>
      </rPr>
      <t>00.010.000.004 - Mão de Obra Cabeamento Teto e Iluminação Provisória</t>
    </r>
  </si>
  <si>
    <r>
      <rPr>
        <sz val="7.5"/>
        <rFont val="Roboto"/>
      </rPr>
      <t>00.010.000.005 - Mão de Obra Prumadas Hall</t>
    </r>
  </si>
  <si>
    <r>
      <rPr>
        <sz val="7.5"/>
        <rFont val="Roboto"/>
      </rPr>
      <t>00.010.000.006 - Mão de Obra Quadros / Disjuntores, Tomadas e Interruptores</t>
    </r>
  </si>
  <si>
    <r>
      <rPr>
        <sz val="7.5"/>
        <rFont val="Roboto"/>
      </rPr>
      <t>00.010.000.007 - Mão de Obra Tampas e Acabamentos Elétricos</t>
    </r>
  </si>
  <si>
    <r>
      <rPr>
        <sz val="7.5"/>
        <rFont val="Roboto"/>
      </rPr>
      <t>00.010.000.008 - Mão de Obra Luminárias Definitivas Int. / Ext.</t>
    </r>
  </si>
  <si>
    <r>
      <rPr>
        <sz val="7.5"/>
        <rFont val="Roboto"/>
      </rPr>
      <t>00.011 - ELÉTRICA - 7º PVTO [TIPO 2]</t>
    </r>
  </si>
  <si>
    <r>
      <rPr>
        <sz val="7.5"/>
        <rFont val="Roboto"/>
      </rPr>
      <t>00.011.000.001 - Mão de Obra Infra Laje</t>
    </r>
  </si>
  <si>
    <r>
      <rPr>
        <sz val="7.5"/>
        <rFont val="Roboto"/>
      </rPr>
      <t>00.011.000.002 - Mão de Obra Infra Paredes</t>
    </r>
  </si>
  <si>
    <r>
      <rPr>
        <sz val="7.5"/>
        <rFont val="Roboto"/>
      </rPr>
      <t>00.011.000.003 - Mão de Obra Infra Teto</t>
    </r>
  </si>
  <si>
    <r>
      <rPr>
        <sz val="7.5"/>
        <rFont val="Roboto"/>
      </rPr>
      <t>00.011.000.004 - Mão de Obra Cabeamento Teto e Iluminação Provisória</t>
    </r>
  </si>
  <si>
    <r>
      <rPr>
        <sz val="7.5"/>
        <rFont val="Roboto"/>
      </rPr>
      <t>00.011.000.005 - Mão de Obra Prumadas Hall</t>
    </r>
  </si>
  <si>
    <r>
      <rPr>
        <sz val="7.5"/>
        <rFont val="Roboto"/>
      </rPr>
      <t>00.011.000.006 - Mão de Obra Quadros / Disjuntores, Tomadas e Interruptores</t>
    </r>
  </si>
  <si>
    <r>
      <rPr>
        <sz val="7.5"/>
        <rFont val="Roboto"/>
      </rPr>
      <t>00.011.000.007 - Mão de Obra Tampas e Acabamentos Elétricos</t>
    </r>
  </si>
  <si>
    <r>
      <rPr>
        <sz val="7.5"/>
        <rFont val="Roboto"/>
      </rPr>
      <t>00.011.000.008 - Mão de Obra Luminárias Definitivas Int. / Ext.</t>
    </r>
  </si>
  <si>
    <r>
      <rPr>
        <sz val="7.5"/>
        <rFont val="Roboto"/>
      </rPr>
      <t>00.012 - ELÉTRICA - 8º PVTO [TIPO 3]</t>
    </r>
  </si>
  <si>
    <r>
      <rPr>
        <sz val="7.5"/>
        <rFont val="Roboto"/>
      </rPr>
      <t>00.012.000.001 - Mão de Obra Infra Laje</t>
    </r>
  </si>
  <si>
    <r>
      <rPr>
        <sz val="7.5"/>
        <rFont val="Roboto"/>
      </rPr>
      <t>00.012.000.002 - Mão de Obra Infra Paredes</t>
    </r>
  </si>
  <si>
    <r>
      <rPr>
        <sz val="7.5"/>
        <rFont val="Roboto"/>
      </rPr>
      <t>00.012.000.003 - Mão de Obra Infra Teto</t>
    </r>
  </si>
  <si>
    <r>
      <rPr>
        <sz val="7.5"/>
        <rFont val="Roboto"/>
      </rPr>
      <t>00.012.000.004 - Mão de Obra Cabeamento Teto e Iluminação Provisória</t>
    </r>
  </si>
  <si>
    <r>
      <rPr>
        <sz val="7.5"/>
        <rFont val="Roboto"/>
      </rPr>
      <t>00.012.000.005 - Mão de Obra Prumadas Hall</t>
    </r>
  </si>
  <si>
    <r>
      <rPr>
        <sz val="7.5"/>
        <rFont val="Roboto"/>
      </rPr>
      <t>00.012.000.006 - Mão de Obra Quadros / Disjuntores, Tomadas e Interruptores</t>
    </r>
  </si>
  <si>
    <r>
      <rPr>
        <sz val="7.5"/>
        <rFont val="Roboto"/>
      </rPr>
      <t>00.012.000.007 - Mão de Obra Tampas e Acabamentos Elétricos</t>
    </r>
  </si>
  <si>
    <r>
      <rPr>
        <sz val="7.5"/>
        <rFont val="Roboto"/>
      </rPr>
      <t>00.012.000.008 - Mão de Obra Luminárias Definitivas Int. / Ext.</t>
    </r>
  </si>
  <si>
    <r>
      <rPr>
        <sz val="7.5"/>
        <rFont val="Roboto"/>
      </rPr>
      <t>00.013 - ELÉTRICA - 9º PVTO [TIPO 4]</t>
    </r>
  </si>
  <si>
    <r>
      <rPr>
        <sz val="7.5"/>
        <rFont val="Roboto"/>
      </rPr>
      <t>00.013.000.001 - Mão de Obra Infra Laje</t>
    </r>
  </si>
  <si>
    <r>
      <rPr>
        <sz val="7.5"/>
        <rFont val="Roboto"/>
      </rPr>
      <t>00.013.000.002 - Mão de Obra Infra Paredes</t>
    </r>
  </si>
  <si>
    <r>
      <rPr>
        <sz val="7.5"/>
        <rFont val="Roboto"/>
      </rPr>
      <t>00.013.000.003 - Mão de Obra Infra Teto</t>
    </r>
  </si>
  <si>
    <r>
      <rPr>
        <sz val="7.5"/>
        <rFont val="Roboto"/>
      </rPr>
      <t>00.013.000.004 - Mão de Obra Cabeamento Teto e Iluminação Provisória</t>
    </r>
  </si>
  <si>
    <r>
      <rPr>
        <sz val="7.5"/>
        <rFont val="Roboto"/>
      </rPr>
      <t>00.013.000.005 - Mão de Obra Prumadas Hall</t>
    </r>
  </si>
  <si>
    <r>
      <rPr>
        <sz val="7.5"/>
        <rFont val="Roboto"/>
      </rPr>
      <t>00.013.000.006 - Mão de Obra Quadros / Disjuntores, Tomadas e Interruptores</t>
    </r>
  </si>
  <si>
    <r>
      <rPr>
        <sz val="7.5"/>
        <rFont val="Roboto"/>
      </rPr>
      <t>00.013.000.007 - Mão de Obra Tampas e Acabamentos Elétricos</t>
    </r>
  </si>
  <si>
    <r>
      <rPr>
        <sz val="7.5"/>
        <rFont val="Roboto"/>
      </rPr>
      <t>00.013.000.008 - Mão de Obra Luminárias Definitivas Int. / Ext.</t>
    </r>
  </si>
  <si>
    <r>
      <rPr>
        <sz val="7.5"/>
        <rFont val="Roboto"/>
      </rPr>
      <t>00.014 - ELÉTRICA - 10º PVTO [TIPO 5]</t>
    </r>
  </si>
  <si>
    <r>
      <rPr>
        <sz val="7.5"/>
        <rFont val="Roboto"/>
      </rPr>
      <t>00.014.000.001 - Mão de Obra Infra Laje</t>
    </r>
  </si>
  <si>
    <r>
      <rPr>
        <sz val="7.5"/>
        <rFont val="Roboto"/>
      </rPr>
      <t>00.014.000.002 - Mão de Obra Infra Paredes</t>
    </r>
  </si>
  <si>
    <r>
      <rPr>
        <sz val="7.5"/>
        <rFont val="Roboto"/>
      </rPr>
      <t>00.014.000.003 - Mão de Obra Infra Teto</t>
    </r>
  </si>
  <si>
    <r>
      <rPr>
        <sz val="7.5"/>
        <rFont val="Roboto"/>
      </rPr>
      <t>00.014.000.004 - Mão de Obra Cabeamento Teto e Iluminação Provisória</t>
    </r>
  </si>
  <si>
    <r>
      <rPr>
        <sz val="7.5"/>
        <rFont val="Roboto"/>
      </rPr>
      <t>00.014.000.005 - Mão de Obra Prumadas Hall</t>
    </r>
  </si>
  <si>
    <r>
      <rPr>
        <sz val="7.5"/>
        <rFont val="Roboto"/>
      </rPr>
      <t>00.014.000.006 - Mão de Obra Quadros / Disjuntores, Tomadas e Interruptores</t>
    </r>
  </si>
  <si>
    <r>
      <rPr>
        <sz val="7.5"/>
        <rFont val="Roboto"/>
      </rPr>
      <t>00.014.000.007 - Mão de Obra Tampas e Acabamentos Elétricos</t>
    </r>
  </si>
  <si>
    <r>
      <rPr>
        <sz val="7.5"/>
        <rFont val="Roboto"/>
      </rPr>
      <t>00.014.000.008 - Mão de Obra Luminárias Definitivas Int. / Ext.</t>
    </r>
  </si>
  <si>
    <r>
      <rPr>
        <sz val="7.5"/>
        <rFont val="Roboto"/>
      </rPr>
      <t>00.015 - ELÉTRICA - 11º PVTO [TIPO 6]</t>
    </r>
  </si>
  <si>
    <r>
      <rPr>
        <sz val="7.5"/>
        <rFont val="Roboto"/>
      </rPr>
      <t>00.015.000.001 - Mão de Obra Infra Laje</t>
    </r>
  </si>
  <si>
    <r>
      <rPr>
        <sz val="7.5"/>
        <rFont val="Roboto"/>
      </rPr>
      <t>00.015.000.002 - Mão de Obra Infra Paredes</t>
    </r>
  </si>
  <si>
    <r>
      <rPr>
        <sz val="7.5"/>
        <rFont val="Roboto"/>
      </rPr>
      <t>00.015.000.003 - Mão de Obra Infra Teto</t>
    </r>
  </si>
  <si>
    <r>
      <rPr>
        <sz val="7.5"/>
        <rFont val="Roboto"/>
      </rPr>
      <t>00.015.000.004 - Mão de Obra Cabeamento Teto e Iluminação Provisória</t>
    </r>
  </si>
  <si>
    <r>
      <rPr>
        <sz val="7.5"/>
        <rFont val="Roboto"/>
      </rPr>
      <t>00.015.000.005 - Mão de Obra Prumadas Hall</t>
    </r>
  </si>
  <si>
    <r>
      <rPr>
        <sz val="7.5"/>
        <rFont val="Roboto"/>
      </rPr>
      <t>00.015.000.006 - Mão de Obra Quadros / Disjuntores, Tomadas e Interruptores</t>
    </r>
  </si>
  <si>
    <r>
      <rPr>
        <sz val="7.5"/>
        <rFont val="Roboto"/>
      </rPr>
      <t>00.015.000.007 - Mão de Obra Tampas e Acabamentos Elétricos</t>
    </r>
  </si>
  <si>
    <r>
      <rPr>
        <sz val="7.5"/>
        <rFont val="Roboto"/>
      </rPr>
      <t>00.015.000.008 - Mão de Obra Luminárias Definitivas Int. / Ext.</t>
    </r>
  </si>
  <si>
    <r>
      <rPr>
        <sz val="7.5"/>
        <rFont val="Roboto"/>
      </rPr>
      <t>00.016 - ELÉTRICA - 12º PVTO [TIPO 7]</t>
    </r>
  </si>
  <si>
    <r>
      <rPr>
        <sz val="7.5"/>
        <rFont val="Roboto"/>
      </rPr>
      <t>00.016.000.001 - Mão de Obra Infra Laje</t>
    </r>
  </si>
  <si>
    <r>
      <rPr>
        <sz val="7.5"/>
        <rFont val="Roboto"/>
      </rPr>
      <t>00.016.000.002 - Mão de Obra Infra Paredes</t>
    </r>
  </si>
  <si>
    <r>
      <rPr>
        <sz val="7.5"/>
        <rFont val="Roboto"/>
      </rPr>
      <t>00.016.000.003 - Mão de Obra Infra Teto</t>
    </r>
  </si>
  <si>
    <r>
      <rPr>
        <sz val="7.5"/>
        <rFont val="Roboto"/>
      </rPr>
      <t>00.016.000.004 - Mão de Obra Cabeamento Teto e Iluminação Provisória</t>
    </r>
  </si>
  <si>
    <r>
      <rPr>
        <sz val="7.5"/>
        <rFont val="Roboto"/>
      </rPr>
      <t>00.016.000.005 - Mão de Obra Prumadas Hall</t>
    </r>
  </si>
  <si>
    <r>
      <rPr>
        <sz val="7.5"/>
        <rFont val="Roboto"/>
      </rPr>
      <t>00.016.000.006 - Mão de Obra Quadros / Disjuntores, Tomadas e Interruptores</t>
    </r>
  </si>
  <si>
    <r>
      <rPr>
        <sz val="7.5"/>
        <rFont val="Roboto"/>
      </rPr>
      <t>00.016.000.007 - Mão de Obra Tampas e Acabamentos Elétricos</t>
    </r>
  </si>
  <si>
    <r>
      <rPr>
        <sz val="7.5"/>
        <rFont val="Roboto"/>
      </rPr>
      <t>00.016.000.008 - Mão de Obra Luminárias Definitivas Int. / Ext.</t>
    </r>
  </si>
  <si>
    <r>
      <rPr>
        <sz val="7.5"/>
        <rFont val="Roboto"/>
      </rPr>
      <t>00.017 - ELÉTRICA - 13º PVTO [TIPO 8]</t>
    </r>
  </si>
  <si>
    <r>
      <rPr>
        <sz val="7.5"/>
        <rFont val="Roboto"/>
      </rPr>
      <t>00.017.000.001 - Mão de Obra Infra Laje</t>
    </r>
  </si>
  <si>
    <r>
      <rPr>
        <sz val="7.5"/>
        <rFont val="Roboto"/>
      </rPr>
      <t>00.017.000.002 - Mão de Obra Infra Paredes</t>
    </r>
  </si>
  <si>
    <r>
      <rPr>
        <sz val="7.5"/>
        <rFont val="Roboto"/>
      </rPr>
      <t>00.017.000.003 - Mão de Obra Infra Teto</t>
    </r>
  </si>
  <si>
    <r>
      <rPr>
        <sz val="7.5"/>
        <rFont val="Roboto"/>
      </rPr>
      <t>00.017.000.004 - Mão de Obra Cabeamento Teto e Iluminação Provisória</t>
    </r>
  </si>
  <si>
    <r>
      <rPr>
        <sz val="7.5"/>
        <rFont val="Roboto"/>
      </rPr>
      <t>00.017.000.005 - Mão de Obra Prumadas Hall</t>
    </r>
  </si>
  <si>
    <r>
      <rPr>
        <sz val="7.5"/>
        <rFont val="Roboto"/>
      </rPr>
      <t>00.017.000.006 - Mão de Obra Quadros / Disjuntores, Tomadas e Interruptores</t>
    </r>
  </si>
  <si>
    <r>
      <rPr>
        <sz val="7.5"/>
        <rFont val="Roboto"/>
      </rPr>
      <t>00.017.000.007 - Mão de Obra Tampas e Acabamentos Elétricos</t>
    </r>
  </si>
  <si>
    <r>
      <rPr>
        <sz val="7.5"/>
        <rFont val="Roboto"/>
      </rPr>
      <t>00.017.000.008 - Mão de Obra Luminárias Definitivas Int. / Ext.</t>
    </r>
  </si>
  <si>
    <r>
      <rPr>
        <sz val="7.5"/>
        <rFont val="Roboto"/>
      </rPr>
      <t>00.018 - ELÉTRICA - 14º PVTO [TIPO 9]</t>
    </r>
  </si>
  <si>
    <r>
      <rPr>
        <sz val="7.5"/>
        <rFont val="Roboto"/>
      </rPr>
      <t>00.018.000.001 - Mão de Obra Infra Laje</t>
    </r>
  </si>
  <si>
    <r>
      <rPr>
        <sz val="7.5"/>
        <rFont val="Roboto"/>
      </rPr>
      <t>00.018.000.002 - Mão de Obra Infra Paredes</t>
    </r>
  </si>
  <si>
    <r>
      <rPr>
        <sz val="7.5"/>
        <rFont val="Roboto"/>
      </rPr>
      <t>00.018.000.003 - Mão de Obra Infra Teto</t>
    </r>
  </si>
  <si>
    <r>
      <rPr>
        <sz val="7.5"/>
        <rFont val="Roboto"/>
      </rPr>
      <t>00.018.000.004 - Mão de Obra Cabeamento Teto e Iluminação Provisória</t>
    </r>
  </si>
  <si>
    <r>
      <rPr>
        <sz val="7.5"/>
        <rFont val="Roboto"/>
      </rPr>
      <t>00.018.000.005 - Mão de Obra Prumadas Hall</t>
    </r>
  </si>
  <si>
    <r>
      <rPr>
        <sz val="7.5"/>
        <rFont val="Roboto"/>
      </rPr>
      <t>00.018.000.006 - Mão de Obra Quadros / Disjuntores, Tomadas e Interruptores</t>
    </r>
  </si>
  <si>
    <r>
      <rPr>
        <sz val="7.5"/>
        <rFont val="Roboto"/>
      </rPr>
      <t>00.018.000.007 - Mão de Obra Tampas e Acabamentos Elétricos</t>
    </r>
  </si>
  <si>
    <r>
      <rPr>
        <sz val="7.5"/>
        <rFont val="Roboto"/>
      </rPr>
      <t>00.018.000.008 - Mão de Obra Luminárias Definitivas Int. / Ext.</t>
    </r>
  </si>
  <si>
    <r>
      <rPr>
        <sz val="7.5"/>
        <rFont val="Roboto"/>
      </rPr>
      <t>00.019 - ELÉTRICA - 15º PVTO [PENTHOUSE 1]</t>
    </r>
  </si>
  <si>
    <r>
      <rPr>
        <sz val="7.5"/>
        <rFont val="Roboto"/>
      </rPr>
      <t>00.019.000.001 - Mão de Obra Infra Laje</t>
    </r>
  </si>
  <si>
    <r>
      <rPr>
        <sz val="7.5"/>
        <rFont val="Roboto"/>
      </rPr>
      <t>00.019.000.002 - Mão de Obra Infra Paredes</t>
    </r>
  </si>
  <si>
    <r>
      <rPr>
        <sz val="7.5"/>
        <rFont val="Roboto"/>
      </rPr>
      <t>00.019.000.003 - Mão de Obra Infra Teto</t>
    </r>
  </si>
  <si>
    <r>
      <rPr>
        <sz val="7.5"/>
        <rFont val="Roboto"/>
      </rPr>
      <t>00.019.000.004 - Mão de Obra Cabeamento Teto e Iluminação Provisória</t>
    </r>
  </si>
  <si>
    <r>
      <rPr>
        <sz val="7.5"/>
        <rFont val="Roboto"/>
      </rPr>
      <t>00.019.000.005 - Mão de Obra Prumadas Hall</t>
    </r>
  </si>
  <si>
    <r>
      <rPr>
        <sz val="7.5"/>
        <rFont val="Roboto"/>
      </rPr>
      <t>00.019.000.006 - Mão de Obra Quadros / Disjuntores, Tomadas e Interruptores</t>
    </r>
  </si>
  <si>
    <r>
      <rPr>
        <sz val="7.5"/>
        <rFont val="Roboto"/>
      </rPr>
      <t>00.019.000.007 - Mão de Obra Tampas e Acabamentos Elétricos</t>
    </r>
  </si>
  <si>
    <r>
      <rPr>
        <sz val="7.5"/>
        <rFont val="Roboto"/>
      </rPr>
      <t>00.019.000.008 - Mão de Obra Luminárias Definitivas Int. / Ext.</t>
    </r>
  </si>
  <si>
    <r>
      <rPr>
        <sz val="7.5"/>
        <rFont val="Roboto"/>
      </rPr>
      <t>00.020 - ELÉTRICA - 16º PVTO [PENTHOUSE 2]</t>
    </r>
  </si>
  <si>
    <r>
      <rPr>
        <sz val="7.5"/>
        <rFont val="Roboto"/>
      </rPr>
      <t>00.020.000.001 - Mão de Obra Infra Laje</t>
    </r>
  </si>
  <si>
    <r>
      <rPr>
        <sz val="7.5"/>
        <rFont val="Roboto"/>
      </rPr>
      <t>00.020.000.002 - Mão de Obra Infra Paredes</t>
    </r>
  </si>
  <si>
    <r>
      <rPr>
        <sz val="7.5"/>
        <rFont val="Roboto"/>
      </rPr>
      <t>00.020.000.003 - Mão de Obra Infra Teto</t>
    </r>
  </si>
  <si>
    <r>
      <rPr>
        <sz val="7.5"/>
        <rFont val="Roboto"/>
      </rPr>
      <t>00.020.000.004 - Mão de Obra Cabeamento Teto e Iluminação Provisória</t>
    </r>
  </si>
  <si>
    <r>
      <rPr>
        <sz val="7.5"/>
        <rFont val="Roboto"/>
      </rPr>
      <t>00.020.000.005 - Mão de Obra Prumadas Hall</t>
    </r>
  </si>
  <si>
    <r>
      <rPr>
        <sz val="7.5"/>
        <rFont val="Roboto"/>
      </rPr>
      <t>00.020.000.006 - Mão de Obra Quadros / Disjuntores, Tomadas e Interruptores</t>
    </r>
  </si>
  <si>
    <r>
      <rPr>
        <sz val="7.5"/>
        <rFont val="Roboto"/>
      </rPr>
      <t>00.020.000.007 - Mão de Obra Tampas e Acabamentos Elétricos</t>
    </r>
  </si>
  <si>
    <r>
      <rPr>
        <sz val="7.5"/>
        <rFont val="Roboto"/>
      </rPr>
      <t>00.020.000.008 - Mão de Obra Luminárias Definitivas Int. / Ext.</t>
    </r>
  </si>
  <si>
    <r>
      <rPr>
        <sz val="7.5"/>
        <rFont val="Roboto"/>
      </rPr>
      <t>00.021 - ELÉTRICA - 17º PVTO [PENTHOUSE 3]</t>
    </r>
  </si>
  <si>
    <r>
      <rPr>
        <sz val="7.5"/>
        <rFont val="Roboto"/>
      </rPr>
      <t>00.021.000.001 - Mão de Obra Infra Laje</t>
    </r>
  </si>
  <si>
    <r>
      <rPr>
        <sz val="7.5"/>
        <rFont val="Roboto"/>
      </rPr>
      <t>00.021.000.002 - Mão de Obra Infra Paredes</t>
    </r>
  </si>
  <si>
    <r>
      <rPr>
        <sz val="7.5"/>
        <rFont val="Roboto"/>
      </rPr>
      <t>00.021.000.003 - Mão de Obra Infra Teto</t>
    </r>
  </si>
  <si>
    <r>
      <rPr>
        <sz val="7.5"/>
        <rFont val="Roboto"/>
      </rPr>
      <t>00.021.000.004 - Mão de Obra Cabeamento Teto e Iluminação Provisória</t>
    </r>
  </si>
  <si>
    <r>
      <rPr>
        <sz val="7.5"/>
        <rFont val="Roboto"/>
      </rPr>
      <t>00.021.000.005 - Mão de Obra Prumadas Hall</t>
    </r>
  </si>
  <si>
    <r>
      <rPr>
        <sz val="7.5"/>
        <rFont val="Roboto"/>
      </rPr>
      <t>00.021.000.006 - Mão de Obra Quadros / Disjuntores, Tomadas e Interruptores</t>
    </r>
  </si>
  <si>
    <r>
      <rPr>
        <sz val="7.5"/>
        <rFont val="Roboto"/>
      </rPr>
      <t>00.021.000.007 - Mão de Obra Tampas e Acabamentos Elétricos</t>
    </r>
  </si>
  <si>
    <r>
      <rPr>
        <sz val="7.5"/>
        <rFont val="Roboto"/>
      </rPr>
      <t>00.021.000.008 - Mão de Obra Luminárias Definitivas Int. / Ext.</t>
    </r>
  </si>
  <si>
    <r>
      <rPr>
        <sz val="7.5"/>
        <rFont val="Roboto"/>
      </rPr>
      <t>00.022 - ELÉTRICA - 18º PVTO [PENTHOUSE 4]</t>
    </r>
  </si>
  <si>
    <r>
      <rPr>
        <sz val="7.5"/>
        <rFont val="Roboto"/>
      </rPr>
      <t>00.022.000.001 - Mão de Obra Infra Laje</t>
    </r>
  </si>
  <si>
    <r>
      <rPr>
        <sz val="7.5"/>
        <rFont val="Roboto"/>
      </rPr>
      <t>00.022.000.002 - Mão de Obra Infra Paredes</t>
    </r>
  </si>
  <si>
    <r>
      <rPr>
        <sz val="7.5"/>
        <rFont val="Roboto"/>
      </rPr>
      <t>00.022.000.003 - Mão de Obra Infra Teto</t>
    </r>
  </si>
  <si>
    <r>
      <rPr>
        <sz val="7.5"/>
        <rFont val="Roboto"/>
      </rPr>
      <t>00.022.000.004 - Mão de Obra Cabeamento Teto e Iluminação Provisória</t>
    </r>
  </si>
  <si>
    <r>
      <rPr>
        <sz val="7.5"/>
        <rFont val="Roboto"/>
      </rPr>
      <t>00.022.000.005 - Mão de Obra Prumadas Hall</t>
    </r>
  </si>
  <si>
    <r>
      <rPr>
        <sz val="7.5"/>
        <rFont val="Roboto"/>
      </rPr>
      <t>00.022.000.006 - Mão de Obra Quadros / Disjuntores, Tomadas e Interruptores</t>
    </r>
  </si>
  <si>
    <r>
      <rPr>
        <sz val="7.5"/>
        <rFont val="Roboto"/>
      </rPr>
      <t>00.022.000.007 - Mão de Obra Tampas e Acabamentos Elétricos</t>
    </r>
  </si>
  <si>
    <r>
      <rPr>
        <sz val="7.5"/>
        <rFont val="Roboto"/>
      </rPr>
      <t>00.022.000.008 - Mão de Obra Luminárias Definitivas Int. / Ext.</t>
    </r>
  </si>
  <si>
    <r>
      <rPr>
        <sz val="7.5"/>
        <rFont val="Roboto"/>
      </rPr>
      <t>00.023 - ELÉTRICA - 19º PVTO [PENTHOUSE 5]</t>
    </r>
  </si>
  <si>
    <r>
      <rPr>
        <sz val="7.5"/>
        <rFont val="Roboto"/>
      </rPr>
      <t>00.023.000.001 - Mão de Obra Infra Laje</t>
    </r>
  </si>
  <si>
    <r>
      <rPr>
        <sz val="7.5"/>
        <rFont val="Roboto"/>
      </rPr>
      <t>00.023.000.002 - Mão de Obra Infra Paredes</t>
    </r>
  </si>
  <si>
    <r>
      <rPr>
        <sz val="7.5"/>
        <rFont val="Roboto"/>
      </rPr>
      <t>00.023.000.003 - Mão de Obra Infra Teto</t>
    </r>
  </si>
  <si>
    <r>
      <rPr>
        <sz val="7.5"/>
        <rFont val="Roboto"/>
      </rPr>
      <t>00.023.000.004 - Mão de Obra Cabeamento Teto e Iluminação Provisória</t>
    </r>
  </si>
  <si>
    <r>
      <rPr>
        <sz val="7.5"/>
        <rFont val="Roboto"/>
      </rPr>
      <t>00.023.000.005 - Mão de Obra Prumadas Hall</t>
    </r>
  </si>
  <si>
    <r>
      <rPr>
        <sz val="7.5"/>
        <rFont val="Roboto"/>
      </rPr>
      <t>00.023.000.006 - Mão de Obra Quadros / Disjuntores, Tomadas e Interruptores</t>
    </r>
  </si>
  <si>
    <r>
      <rPr>
        <sz val="7.5"/>
        <rFont val="Roboto"/>
      </rPr>
      <t>00.023.000.007 - Mão de Obra Tampas e Acabamentos Elétricos</t>
    </r>
  </si>
  <si>
    <r>
      <rPr>
        <sz val="7.5"/>
        <rFont val="Roboto"/>
      </rPr>
      <t>00.023.000.008 - Mão de Obra Luminárias Definitivas Int. / Ext.</t>
    </r>
  </si>
  <si>
    <r>
      <rPr>
        <sz val="7.5"/>
        <rFont val="Roboto"/>
      </rPr>
      <t>00.024 - ELÉTRICA - 20º PVTO [PENTHOUSE 6]</t>
    </r>
  </si>
  <si>
    <r>
      <rPr>
        <sz val="7.5"/>
        <rFont val="Roboto"/>
      </rPr>
      <t>00.024.000.001 - Mão de Obra Infra Laje</t>
    </r>
  </si>
  <si>
    <r>
      <rPr>
        <sz val="7.5"/>
        <rFont val="Roboto"/>
      </rPr>
      <t>00.024.000.002 - Mão de Obra Infra Paredes</t>
    </r>
  </si>
  <si>
    <r>
      <rPr>
        <sz val="7.5"/>
        <rFont val="Roboto"/>
      </rPr>
      <t>00.024.000.003 - Mão de Obra Infra Teto</t>
    </r>
  </si>
  <si>
    <r>
      <rPr>
        <sz val="7.5"/>
        <rFont val="Roboto"/>
      </rPr>
      <t>00.024.000.004 - Mão de Obra Cabeamento Teto e Iluminação Provisória</t>
    </r>
  </si>
  <si>
    <r>
      <rPr>
        <sz val="7.5"/>
        <rFont val="Roboto"/>
      </rPr>
      <t>00.024.000.005 - Mão de Obra Prumadas Hall</t>
    </r>
  </si>
  <si>
    <r>
      <rPr>
        <sz val="7.5"/>
        <rFont val="Roboto"/>
      </rPr>
      <t>00.024.000.006 - Mão de Obra Quadros / Disjuntores, Tomadas e Interruptores</t>
    </r>
  </si>
  <si>
    <r>
      <rPr>
        <sz val="7.5"/>
        <rFont val="Roboto"/>
      </rPr>
      <t>00.024.000.007 - Mão de Obra Tampas e Acabamentos Elétricos</t>
    </r>
  </si>
  <si>
    <r>
      <rPr>
        <sz val="7.5"/>
        <rFont val="Roboto"/>
      </rPr>
      <t>00.024.000.008 - Mão de Obra Luminárias Definitivas Int. / Ext.</t>
    </r>
  </si>
  <si>
    <r>
      <rPr>
        <sz val="7.5"/>
        <rFont val="Roboto"/>
      </rPr>
      <t>00.025 - ELÉTRICA - 21º PVTO [PENTHOUSE 7]</t>
    </r>
  </si>
  <si>
    <r>
      <rPr>
        <sz val="7.5"/>
        <rFont val="Roboto"/>
      </rPr>
      <t>00.025.000.001 - Mão de Obra Infra Laje</t>
    </r>
  </si>
  <si>
    <r>
      <rPr>
        <sz val="7.5"/>
        <rFont val="Roboto"/>
      </rPr>
      <t>00.025.000.002 - Mão de Obra Infra Paredes</t>
    </r>
  </si>
  <si>
    <r>
      <rPr>
        <sz val="7.5"/>
        <rFont val="Roboto"/>
      </rPr>
      <t>00.025.000.003 - Mão de Obra Infra Teto</t>
    </r>
  </si>
  <si>
    <r>
      <rPr>
        <sz val="7.5"/>
        <rFont val="Roboto"/>
      </rPr>
      <t>00.025.000.004 - Mão de Obra Cabeamento Teto e Iluminação Provisória</t>
    </r>
  </si>
  <si>
    <r>
      <rPr>
        <sz val="7.5"/>
        <rFont val="Roboto"/>
      </rPr>
      <t>00.025.000.005 - Mão de Obra Prumadas Hall</t>
    </r>
  </si>
  <si>
    <r>
      <rPr>
        <sz val="7.5"/>
        <rFont val="Roboto"/>
      </rPr>
      <t>00.025.000.006 - Mão de Obra Quadros / Disjuntores, Tomadas e Interruptores</t>
    </r>
  </si>
  <si>
    <r>
      <rPr>
        <sz val="7.5"/>
        <rFont val="Roboto"/>
      </rPr>
      <t>00.025.000.007 - Mão de Obra Tampas e Acabamentos Elétricos</t>
    </r>
  </si>
  <si>
    <r>
      <rPr>
        <sz val="7.5"/>
        <rFont val="Roboto"/>
      </rPr>
      <t>00.025.000.008 - Mão de Obra Luminárias Definitivas Int. / Ext.</t>
    </r>
  </si>
  <si>
    <r>
      <rPr>
        <sz val="7.5"/>
        <rFont val="Roboto"/>
      </rPr>
      <t>00.026 - ELÉTRICA - 22º PVTO [PENTHOUSE 8]</t>
    </r>
  </si>
  <si>
    <r>
      <rPr>
        <sz val="7.5"/>
        <rFont val="Roboto"/>
      </rPr>
      <t>00.026.000.001 - Mão de Obra Infra Laje</t>
    </r>
  </si>
  <si>
    <r>
      <rPr>
        <sz val="7.5"/>
        <rFont val="Roboto"/>
      </rPr>
      <t>00.026.000.002 - Mão de Obra Infra Paredes</t>
    </r>
  </si>
  <si>
    <r>
      <rPr>
        <sz val="7.5"/>
        <rFont val="Roboto"/>
      </rPr>
      <t>00.026.000.003 - Mão de Obra Infra Teto</t>
    </r>
  </si>
  <si>
    <r>
      <rPr>
        <sz val="7.5"/>
        <rFont val="Roboto"/>
      </rPr>
      <t>00.026.000.004 - Mão de Obra Cabeamento Teto e Iluminação Provisória</t>
    </r>
  </si>
  <si>
    <r>
      <rPr>
        <sz val="7.5"/>
        <rFont val="Roboto"/>
      </rPr>
      <t>00.026.000.005 - Mão de Obra Prumadas Hall</t>
    </r>
  </si>
  <si>
    <r>
      <rPr>
        <sz val="7.5"/>
        <rFont val="Roboto"/>
      </rPr>
      <t>00.026.000.006 - Mão de Obra Quadros / Disjuntores, Tomadas e Interruptores</t>
    </r>
  </si>
  <si>
    <r>
      <rPr>
        <sz val="7.5"/>
        <rFont val="Roboto"/>
      </rPr>
      <t>00.026.000.007 - Mão de Obra Tampas e Acabamentos Elétricos</t>
    </r>
  </si>
  <si>
    <r>
      <rPr>
        <sz val="7.5"/>
        <rFont val="Roboto"/>
      </rPr>
      <t>00.026.000.008 - Mão de Obra Luminárias Definitivas Int. / Ext.</t>
    </r>
  </si>
  <si>
    <r>
      <rPr>
        <sz val="7.5"/>
        <rFont val="Roboto"/>
      </rPr>
      <t>00.027 - ELÉTRICA - 23º PVTO [PENTHOUSE 9]</t>
    </r>
  </si>
  <si>
    <r>
      <rPr>
        <sz val="7.5"/>
        <rFont val="Roboto"/>
      </rPr>
      <t>00.027.000.001 - Mão de Obra Infra Laje</t>
    </r>
  </si>
  <si>
    <r>
      <rPr>
        <sz val="7.5"/>
        <rFont val="Roboto"/>
      </rPr>
      <t>00.027.000.002 - Mão de Obra Infra Paredes</t>
    </r>
  </si>
  <si>
    <r>
      <rPr>
        <sz val="7.5"/>
        <rFont val="Roboto"/>
      </rPr>
      <t>00.027.000.003 - Mão de Obra Infra Teto</t>
    </r>
  </si>
  <si>
    <r>
      <rPr>
        <sz val="7.5"/>
        <rFont val="Roboto"/>
      </rPr>
      <t>00.027.000.004 - Mão de Obra Cabeamento Teto e Iluminação Provisória</t>
    </r>
  </si>
  <si>
    <r>
      <rPr>
        <sz val="7.5"/>
        <rFont val="Roboto"/>
      </rPr>
      <t>00.027.000.005 - Mão de Obra Prumadas Hall</t>
    </r>
  </si>
  <si>
    <r>
      <rPr>
        <sz val="7.5"/>
        <rFont val="Roboto"/>
      </rPr>
      <t>00.027.000.006 - Mão de Obra Quadros / Disjuntores, Tomadas e Interruptores</t>
    </r>
  </si>
  <si>
    <r>
      <rPr>
        <sz val="7.5"/>
        <rFont val="Roboto"/>
      </rPr>
      <t>00.027.000.007 - Mão de Obra Tampas e Acabamentos Elétricos</t>
    </r>
  </si>
  <si>
    <r>
      <rPr>
        <sz val="7.5"/>
        <rFont val="Roboto"/>
      </rPr>
      <t>00.027.000.008 - Mão de Obra Luminárias Definitivas Int. / Ext.</t>
    </r>
  </si>
  <si>
    <r>
      <rPr>
        <sz val="7.5"/>
        <rFont val="Roboto"/>
      </rPr>
      <t>00.028 - ELÉTRICA - 24º PVTO [PENTHOUSE 10]</t>
    </r>
  </si>
  <si>
    <r>
      <rPr>
        <sz val="7.5"/>
        <rFont val="Roboto"/>
      </rPr>
      <t>00.028.000.001 - Mão de Obra Infra Laje</t>
    </r>
  </si>
  <si>
    <r>
      <rPr>
        <sz val="7.5"/>
        <rFont val="Roboto"/>
      </rPr>
      <t>00.028.000.002 - Mão de Obra Infra Paredes</t>
    </r>
  </si>
  <si>
    <r>
      <rPr>
        <sz val="7.5"/>
        <rFont val="Roboto"/>
      </rPr>
      <t>00.028.000.003 - Mão de Obra Infra Teto</t>
    </r>
  </si>
  <si>
    <r>
      <rPr>
        <sz val="7.5"/>
        <rFont val="Roboto"/>
      </rPr>
      <t>00.028.000.004 - Mão de Obra Cabeamento Teto e Iluminação Provisória</t>
    </r>
  </si>
  <si>
    <r>
      <rPr>
        <sz val="7.5"/>
        <rFont val="Roboto"/>
      </rPr>
      <t>00.028.000.005 - Mão de Obra Prumadas Hall</t>
    </r>
  </si>
  <si>
    <r>
      <rPr>
        <sz val="7.5"/>
        <rFont val="Roboto"/>
      </rPr>
      <t>00.028.000.006 - Mão de Obra Quadros / Disjuntores, Tomadas e Interruptores</t>
    </r>
  </si>
  <si>
    <r>
      <rPr>
        <sz val="7.5"/>
        <rFont val="Roboto"/>
      </rPr>
      <t>00.028.000.007 - Mão de Obra Tampas e Acabamentos Elétricos</t>
    </r>
  </si>
  <si>
    <r>
      <rPr>
        <sz val="7.5"/>
        <rFont val="Roboto"/>
      </rPr>
      <t>00.028.000.008 - Mão de Obra Luminárias Definitivas Int. / Ext.</t>
    </r>
  </si>
  <si>
    <r>
      <rPr>
        <sz val="7.5"/>
        <rFont val="Roboto"/>
      </rPr>
      <t>00.029 - ELÉTRICA - 25º PVTO [PENTHOUSE 11]</t>
    </r>
  </si>
  <si>
    <r>
      <rPr>
        <sz val="7.5"/>
        <rFont val="Roboto"/>
      </rPr>
      <t>00.029.000.001 - Mão de Obra Infra Laje</t>
    </r>
  </si>
  <si>
    <r>
      <rPr>
        <sz val="7.5"/>
        <rFont val="Roboto"/>
      </rPr>
      <t>00.029.000.002 - Mão de Obra Infra Paredes</t>
    </r>
  </si>
  <si>
    <r>
      <rPr>
        <sz val="7.5"/>
        <rFont val="Roboto"/>
      </rPr>
      <t>00.029.000.003 - Mão de Obra Infra Teto</t>
    </r>
  </si>
  <si>
    <r>
      <rPr>
        <sz val="7.5"/>
        <rFont val="Roboto"/>
      </rPr>
      <t>00.029.000.004 - Mão de Obra Cabeamento Teto e Iluminação Provisória</t>
    </r>
  </si>
  <si>
    <r>
      <rPr>
        <sz val="7.5"/>
        <rFont val="Roboto"/>
      </rPr>
      <t>00.029.000.005 - Mão de Obra Prumadas Hall</t>
    </r>
  </si>
  <si>
    <r>
      <rPr>
        <sz val="7.5"/>
        <rFont val="Roboto"/>
      </rPr>
      <t>00.029.000.006 - Mão de Obra Quadros / Disjuntores, Tomadas e Interruptores</t>
    </r>
  </si>
  <si>
    <r>
      <rPr>
        <sz val="7.5"/>
        <rFont val="Roboto"/>
      </rPr>
      <t>00.029.000.007 - Mão de Obra Tampas e Acabamentos Elétricos</t>
    </r>
  </si>
  <si>
    <r>
      <rPr>
        <sz val="7.5"/>
        <rFont val="Roboto"/>
      </rPr>
      <t>00.029.000.008 - Mão de Obra Luminárias Definitivas Int. / Ext.</t>
    </r>
  </si>
  <si>
    <r>
      <rPr>
        <sz val="7.5"/>
        <rFont val="Roboto"/>
      </rPr>
      <t>00.030 - ELÉTRICA - 26º PVTO [PENTHOUSE 12]</t>
    </r>
  </si>
  <si>
    <r>
      <rPr>
        <sz val="7.5"/>
        <rFont val="Roboto"/>
      </rPr>
      <t>00.030.000.001 - Mão de Obra Infra Laje</t>
    </r>
  </si>
  <si>
    <r>
      <rPr>
        <sz val="7.5"/>
        <rFont val="Roboto"/>
      </rPr>
      <t>00.030.000.002 - Mão de Obra Infra Paredes</t>
    </r>
  </si>
  <si>
    <r>
      <rPr>
        <sz val="7.5"/>
        <rFont val="Roboto"/>
      </rPr>
      <t>00.030.000.003 - Mão de Obra Infra Teto</t>
    </r>
  </si>
  <si>
    <r>
      <rPr>
        <sz val="7.5"/>
        <rFont val="Roboto"/>
      </rPr>
      <t>00.030.000.004 - Mão de Obra Cabeamento Teto e Iluminação Provisória</t>
    </r>
  </si>
  <si>
    <r>
      <rPr>
        <sz val="7.5"/>
        <rFont val="Roboto"/>
      </rPr>
      <t>00.030.000.005 - Mão de Obra Prumadas Hall</t>
    </r>
  </si>
  <si>
    <r>
      <rPr>
        <sz val="7.5"/>
        <rFont val="Roboto"/>
      </rPr>
      <t>00.030.000.006 - Mão de Obra Quadros / Disjuntores, Tomadas e Interruptores</t>
    </r>
  </si>
  <si>
    <r>
      <rPr>
        <sz val="7.5"/>
        <rFont val="Roboto"/>
      </rPr>
      <t>00.030.000.007 - Mão de Obra Tampas e Acabamentos Elétricos</t>
    </r>
  </si>
  <si>
    <r>
      <rPr>
        <sz val="7.5"/>
        <rFont val="Roboto"/>
      </rPr>
      <t>00.030.000.008 - Mão de Obra Luminárias Definitivas Int. / Ext.</t>
    </r>
  </si>
  <si>
    <r>
      <rPr>
        <sz val="7.5"/>
        <rFont val="Roboto"/>
      </rPr>
      <t>00.031 - ELÉTRICA - 27º PVTO [PENTHOUSE 13]</t>
    </r>
  </si>
  <si>
    <r>
      <rPr>
        <sz val="7.5"/>
        <rFont val="Roboto"/>
      </rPr>
      <t>00.031.000.001 - Mão de Obra Infra Laje</t>
    </r>
  </si>
  <si>
    <r>
      <rPr>
        <sz val="7.5"/>
        <rFont val="Roboto"/>
      </rPr>
      <t>00.031.000.002 - Mão de Obra Infra Paredes</t>
    </r>
  </si>
  <si>
    <r>
      <rPr>
        <sz val="7.5"/>
        <rFont val="Roboto"/>
      </rPr>
      <t>00.031.000.003 - Mão de Obra Infra Teto</t>
    </r>
  </si>
  <si>
    <r>
      <rPr>
        <sz val="7.5"/>
        <rFont val="Roboto"/>
      </rPr>
      <t>00.031.000.004 - Mão de Obra Cabeamento Teto e Iluminação Provisória</t>
    </r>
  </si>
  <si>
    <r>
      <rPr>
        <sz val="7.5"/>
        <rFont val="Roboto"/>
      </rPr>
      <t>00.031.000.005 - Mão de Obra Prumadas Hall</t>
    </r>
  </si>
  <si>
    <r>
      <rPr>
        <sz val="7.5"/>
        <rFont val="Roboto"/>
      </rPr>
      <t>00.031.000.006 - Mão de Obra Quadros / Disjuntores, Tomadas e Interruptores</t>
    </r>
  </si>
  <si>
    <r>
      <rPr>
        <sz val="7.5"/>
        <rFont val="Roboto"/>
      </rPr>
      <t>00.031.000.007 - Mão de Obra Tampas e Acabamentos Elétricos</t>
    </r>
  </si>
  <si>
    <r>
      <rPr>
        <sz val="7.5"/>
        <rFont val="Roboto"/>
      </rPr>
      <t>00.031.000.008 - Mão de Obra Luminárias Definitivas Int. / Ext.</t>
    </r>
  </si>
  <si>
    <r>
      <rPr>
        <sz val="7.5"/>
        <rFont val="Roboto"/>
      </rPr>
      <t>00.032 - ELÉTRICA - 28º PVTO [PENTHOUSE 14]</t>
    </r>
  </si>
  <si>
    <r>
      <rPr>
        <sz val="7.5"/>
        <rFont val="Roboto"/>
      </rPr>
      <t>00.032.000.001 - Mão de Obra Infra Laje</t>
    </r>
  </si>
  <si>
    <r>
      <rPr>
        <sz val="7.5"/>
        <rFont val="Roboto"/>
      </rPr>
      <t>00.032.000.002 - Mão de Obra Infra Paredes</t>
    </r>
  </si>
  <si>
    <r>
      <rPr>
        <sz val="7.5"/>
        <rFont val="Roboto"/>
      </rPr>
      <t>00.032.000.003 - Mão de Obra Infra Teto</t>
    </r>
  </si>
  <si>
    <r>
      <rPr>
        <sz val="7.5"/>
        <rFont val="Roboto"/>
      </rPr>
      <t>00.032.000.004 - Mão de Obra Cabeamento Teto e Iluminação Provisória</t>
    </r>
  </si>
  <si>
    <r>
      <rPr>
        <sz val="7.5"/>
        <rFont val="Roboto"/>
      </rPr>
      <t>00.032.000.005 - Mão de Obra Prumadas Hall</t>
    </r>
  </si>
  <si>
    <r>
      <rPr>
        <sz val="7.5"/>
        <rFont val="Roboto"/>
      </rPr>
      <t>00.032.000.006 - Mão de Obra Quadros / Disjuntores, Tomadas e Interruptores</t>
    </r>
  </si>
  <si>
    <r>
      <rPr>
        <sz val="7.5"/>
        <rFont val="Roboto"/>
      </rPr>
      <t>00.032.000.007 - Mão de Obra Tampas e Acabamentos Elétricos</t>
    </r>
  </si>
  <si>
    <r>
      <rPr>
        <sz val="7.5"/>
        <rFont val="Roboto"/>
      </rPr>
      <t>00.032.000.008 - Mão de Obra Luminárias Definitivas Int. / Ext.</t>
    </r>
  </si>
  <si>
    <r>
      <rPr>
        <sz val="7.5"/>
        <rFont val="Roboto"/>
      </rPr>
      <t>00.033 - ELÉTRICA - 29º PVTO [PENTHOUSE 15]</t>
    </r>
  </si>
  <si>
    <r>
      <rPr>
        <sz val="7.5"/>
        <rFont val="Roboto"/>
      </rPr>
      <t>00.033.000.001 - Mão de Obra Infra Laje</t>
    </r>
  </si>
  <si>
    <r>
      <rPr>
        <sz val="7.5"/>
        <rFont val="Roboto"/>
      </rPr>
      <t>00.033.000.002 - Mão de Obra Infra Paredes</t>
    </r>
  </si>
  <si>
    <r>
      <rPr>
        <sz val="7.5"/>
        <rFont val="Roboto"/>
      </rPr>
      <t>00.033.000.003 - Mão de Obra Infra Teto</t>
    </r>
  </si>
  <si>
    <r>
      <rPr>
        <sz val="7.5"/>
        <rFont val="Roboto"/>
      </rPr>
      <t>00.033.000.004 - Mão de Obra Cabeamento Teto e Iluminação Provisória</t>
    </r>
  </si>
  <si>
    <r>
      <rPr>
        <sz val="7.5"/>
        <rFont val="Roboto"/>
      </rPr>
      <t>00.033.000.005 - Mão de Obra Prumadas Hall</t>
    </r>
  </si>
  <si>
    <r>
      <rPr>
        <sz val="7.5"/>
        <rFont val="Roboto"/>
      </rPr>
      <t>00.033.000.006 - Mão de Obra Quadros / Disjuntores, Tomadas e Interruptores</t>
    </r>
  </si>
  <si>
    <r>
      <rPr>
        <sz val="7.5"/>
        <rFont val="Roboto"/>
      </rPr>
      <t>00.033.000.007 - Mão de Obra Tampas e Acabamentos Elétricos</t>
    </r>
  </si>
  <si>
    <r>
      <rPr>
        <sz val="7.5"/>
        <rFont val="Roboto"/>
      </rPr>
      <t>00.033.000.008 - Mão de Obra Luminárias Definitivas Int. / Ext.</t>
    </r>
  </si>
  <si>
    <r>
      <rPr>
        <sz val="7.5"/>
        <rFont val="Roboto"/>
      </rPr>
      <t>00.034 - ELÉTRICA - 30º PVTO [PENTHOUSE 16]</t>
    </r>
  </si>
  <si>
    <r>
      <rPr>
        <sz val="7.5"/>
        <rFont val="Roboto"/>
      </rPr>
      <t>00.034.000.001 - Mão de Obra Infra Laje</t>
    </r>
  </si>
  <si>
    <r>
      <rPr>
        <sz val="7.5"/>
        <rFont val="Roboto"/>
      </rPr>
      <t>00.034.000.002 - Mão de Obra Infra Paredes</t>
    </r>
  </si>
  <si>
    <r>
      <rPr>
        <sz val="7.5"/>
        <rFont val="Roboto"/>
      </rPr>
      <t>00.034.000.003 - Mão de Obra Infra Teto</t>
    </r>
  </si>
  <si>
    <r>
      <rPr>
        <sz val="7.5"/>
        <rFont val="Roboto"/>
      </rPr>
      <t>00.034.000.004 - Mão de Obra Cabeamento Teto e Iluminação Provisória</t>
    </r>
  </si>
  <si>
    <r>
      <rPr>
        <sz val="7.5"/>
        <rFont val="Roboto"/>
      </rPr>
      <t>00.034.000.005 - Mão de Obra Prumadas Hall</t>
    </r>
  </si>
  <si>
    <r>
      <rPr>
        <sz val="7.5"/>
        <rFont val="Roboto"/>
      </rPr>
      <t>00.034.000.006 - Mão de Obra Quadros / Disjuntores, Tomadas e Interruptores</t>
    </r>
  </si>
  <si>
    <r>
      <rPr>
        <sz val="7.5"/>
        <rFont val="Roboto"/>
      </rPr>
      <t>00.034.000.007 - Mão de Obra Tampas e Acabamentos Elétricos</t>
    </r>
  </si>
  <si>
    <r>
      <rPr>
        <sz val="7.5"/>
        <rFont val="Roboto"/>
      </rPr>
      <t>00.034.000.008 - Mão de Obra Luminárias Definitivas Int. / Ext.</t>
    </r>
  </si>
  <si>
    <r>
      <rPr>
        <sz val="7.5"/>
        <rFont val="Roboto"/>
      </rPr>
      <t>00.035 - ELÉTRICA - 31º PVTO [PENTHOUSE 17]</t>
    </r>
  </si>
  <si>
    <r>
      <rPr>
        <sz val="7.5"/>
        <rFont val="Roboto"/>
      </rPr>
      <t>00.035.000.001 - Mão de Obra Infra Laje</t>
    </r>
  </si>
  <si>
    <r>
      <rPr>
        <sz val="7.5"/>
        <rFont val="Roboto"/>
      </rPr>
      <t>00.035.000.002 - Mão de Obra Infra Paredes</t>
    </r>
  </si>
  <si>
    <r>
      <rPr>
        <sz val="7.5"/>
        <rFont val="Roboto"/>
      </rPr>
      <t>00.035.000.003 - Mão de Obra Infra Teto</t>
    </r>
  </si>
  <si>
    <r>
      <rPr>
        <sz val="7.5"/>
        <rFont val="Roboto"/>
      </rPr>
      <t>00.035.000.004 - Mão de Obra Cabeamento Teto e Iluminação Provisória</t>
    </r>
  </si>
  <si>
    <r>
      <rPr>
        <sz val="7.5"/>
        <rFont val="Roboto"/>
      </rPr>
      <t>00.035.000.005 - Mão de Obra Prumadas Hall</t>
    </r>
  </si>
  <si>
    <r>
      <rPr>
        <sz val="7.5"/>
        <rFont val="Roboto"/>
      </rPr>
      <t>00.035.000.006 - Mão de Obra Quadros / Disjuntores, Tomadas e Interruptores</t>
    </r>
  </si>
  <si>
    <r>
      <rPr>
        <sz val="7.5"/>
        <rFont val="Roboto"/>
      </rPr>
      <t>00.035.000.007 - Mão de Obra Tampas e Acabamentos Elétricos</t>
    </r>
  </si>
  <si>
    <r>
      <rPr>
        <sz val="7.5"/>
        <rFont val="Roboto"/>
      </rPr>
      <t>00.035.000.008 - Mão de Obra Luminárias Definitivas Int. / Ext.</t>
    </r>
  </si>
  <si>
    <r>
      <rPr>
        <sz val="7.5"/>
        <rFont val="Roboto"/>
      </rPr>
      <t>00.036 - ELÉTRICA - 32º PVTO [PENTHOUSE 18]</t>
    </r>
  </si>
  <si>
    <r>
      <rPr>
        <sz val="7.5"/>
        <rFont val="Roboto"/>
      </rPr>
      <t>00.036.000.001 - Mão de Obra Infra Laje</t>
    </r>
  </si>
  <si>
    <r>
      <rPr>
        <sz val="7.5"/>
        <rFont val="Roboto"/>
      </rPr>
      <t>00.036.000.002 - Mão de Obra Infra Paredes</t>
    </r>
  </si>
  <si>
    <r>
      <rPr>
        <sz val="7.5"/>
        <rFont val="Roboto"/>
      </rPr>
      <t>00.036.000.003 - Mão de Obra Infra Teto</t>
    </r>
  </si>
  <si>
    <r>
      <rPr>
        <sz val="7.5"/>
        <rFont val="Roboto"/>
      </rPr>
      <t>00.036.000.004 - Mão de Obra Cabeamento Teto e Iluminação Provisória</t>
    </r>
  </si>
  <si>
    <r>
      <rPr>
        <sz val="7.5"/>
        <rFont val="Roboto"/>
      </rPr>
      <t>00.036.000.005 - Mão de Obra Prumadas Hall</t>
    </r>
  </si>
  <si>
    <r>
      <rPr>
        <sz val="7.5"/>
        <rFont val="Roboto"/>
      </rPr>
      <t>00.036.000.006 - Mão de Obra Quadros / Disjuntores, Tomadas e Interruptores</t>
    </r>
  </si>
  <si>
    <r>
      <rPr>
        <sz val="7.5"/>
        <rFont val="Roboto"/>
      </rPr>
      <t>00.036.000.007 - Mão de Obra Tampas e Acabamentos Elétricos</t>
    </r>
  </si>
  <si>
    <r>
      <rPr>
        <sz val="7.5"/>
        <rFont val="Roboto"/>
      </rPr>
      <t>00.036.000.008 - Mão de Obra Luminárias Definitivas Int. / Ext.</t>
    </r>
  </si>
  <si>
    <r>
      <rPr>
        <sz val="7.5"/>
        <rFont val="Roboto"/>
      </rPr>
      <t>00.037 - ELÉTRICA - 33º PVTO [PENTHOUSE 19]</t>
    </r>
  </si>
  <si>
    <r>
      <rPr>
        <sz val="7.5"/>
        <rFont val="Roboto"/>
      </rPr>
      <t>00.037.000.001 - Mão de Obra Infra Laje</t>
    </r>
  </si>
  <si>
    <r>
      <rPr>
        <sz val="7.5"/>
        <rFont val="Roboto"/>
      </rPr>
      <t>00.037.000.002 - Mão de Obra Infra Paredes</t>
    </r>
  </si>
  <si>
    <r>
      <rPr>
        <sz val="7.5"/>
        <rFont val="Roboto"/>
      </rPr>
      <t>00.037.000.003 - Mão de Obra Infra Teto</t>
    </r>
  </si>
  <si>
    <r>
      <rPr>
        <sz val="7.5"/>
        <rFont val="Roboto"/>
      </rPr>
      <t>00.037.000.004 - Mão de Obra Cabeamento Teto e Iluminação Provisória</t>
    </r>
  </si>
  <si>
    <r>
      <rPr>
        <sz val="7.5"/>
        <rFont val="Roboto"/>
      </rPr>
      <t>00.037.000.005 - Mão de Obra Prumadas Hall</t>
    </r>
  </si>
  <si>
    <r>
      <rPr>
        <sz val="7.5"/>
        <rFont val="Roboto"/>
      </rPr>
      <t>00.037.000.006 - Mão de Obra Quadros / Disjuntores, Tomadas e Interruptores</t>
    </r>
  </si>
  <si>
    <r>
      <rPr>
        <sz val="7.5"/>
        <rFont val="Roboto"/>
      </rPr>
      <t>00.037.000.007 - Mão de Obra Tampas e Acabamentos Elétricos</t>
    </r>
  </si>
  <si>
    <r>
      <rPr>
        <sz val="7.5"/>
        <rFont val="Roboto"/>
      </rPr>
      <t>00.037.000.008 - Mão de Obra Luminárias Definitivas Int. / Ext.</t>
    </r>
  </si>
  <si>
    <r>
      <rPr>
        <sz val="7.5"/>
        <rFont val="Roboto"/>
      </rPr>
      <t>00.038 - ELÉTRICA - 34º PVTO [PENTHOUSE 20]</t>
    </r>
  </si>
  <si>
    <r>
      <rPr>
        <sz val="7.5"/>
        <rFont val="Roboto"/>
      </rPr>
      <t>00.038.000.001 - Mão de Obra Infra Laje</t>
    </r>
  </si>
  <si>
    <r>
      <rPr>
        <sz val="7.5"/>
        <rFont val="Roboto"/>
      </rPr>
      <t>00.038.000.002 - Mão de Obra Infra Paredes</t>
    </r>
  </si>
  <si>
    <r>
      <rPr>
        <sz val="7.5"/>
        <rFont val="Roboto"/>
      </rPr>
      <t>00.038.000.003 - Mão de Obra Infra Teto</t>
    </r>
  </si>
  <si>
    <r>
      <rPr>
        <sz val="7.5"/>
        <rFont val="Roboto"/>
      </rPr>
      <t>00.038.000.004 - Mão de Obra Cabeamento Teto e Iluminação Provisória</t>
    </r>
  </si>
  <si>
    <r>
      <rPr>
        <sz val="7.5"/>
        <rFont val="Roboto"/>
      </rPr>
      <t>00.038.000.005 - Mão de Obra Prumadas Hall</t>
    </r>
  </si>
  <si>
    <r>
      <rPr>
        <sz val="7.5"/>
        <rFont val="Roboto"/>
      </rPr>
      <t>00.038.000.006 - Mão de Obra Quadros / Disjuntores, Tomadas e Interruptores</t>
    </r>
  </si>
  <si>
    <r>
      <rPr>
        <sz val="7.5"/>
        <rFont val="Roboto"/>
      </rPr>
      <t>00.038.000.007 - Mão de Obra Tampas e Acabamentos Elétricos</t>
    </r>
  </si>
  <si>
    <r>
      <rPr>
        <sz val="7.5"/>
        <rFont val="Roboto"/>
      </rPr>
      <t>00.038.000.008 - Mão de Obra Luminárias Definitivas Int. / Ext.</t>
    </r>
  </si>
  <si>
    <r>
      <rPr>
        <sz val="7.5"/>
        <rFont val="Roboto"/>
      </rPr>
      <t>00.039 - ELÉTRICA - 35º PVTO [PENTHOUSE 21]</t>
    </r>
  </si>
  <si>
    <r>
      <rPr>
        <sz val="7.5"/>
        <rFont val="Roboto"/>
      </rPr>
      <t>00.039.000.001 - Mão de Obra Infra Laje</t>
    </r>
  </si>
  <si>
    <r>
      <rPr>
        <sz val="7.5"/>
        <rFont val="Roboto"/>
      </rPr>
      <t>00.039.000.002 - Mão de Obra Infra Paredes</t>
    </r>
  </si>
  <si>
    <r>
      <rPr>
        <sz val="7.5"/>
        <rFont val="Roboto"/>
      </rPr>
      <t>00.039.000.003 - Mão de Obra Infra Teto</t>
    </r>
  </si>
  <si>
    <r>
      <rPr>
        <sz val="7.5"/>
        <rFont val="Roboto"/>
      </rPr>
      <t>00.039.000.004 - Mão de Obra Cabeamento Teto e Iluminação Provisória</t>
    </r>
  </si>
  <si>
    <r>
      <rPr>
        <sz val="7.5"/>
        <rFont val="Roboto"/>
      </rPr>
      <t>00.039.000.005 - Mão de Obra Prumadas Hall</t>
    </r>
  </si>
  <si>
    <r>
      <rPr>
        <sz val="7.5"/>
        <rFont val="Roboto"/>
      </rPr>
      <t>00.039.000.006 - Mão de Obra Quadros / Disjuntores, Tomadas e Interruptores</t>
    </r>
  </si>
  <si>
    <r>
      <rPr>
        <sz val="7.5"/>
        <rFont val="Roboto"/>
      </rPr>
      <t>00.039.000.007 - Mão de Obra Tampas e Acabamentos Elétricos</t>
    </r>
  </si>
  <si>
    <r>
      <rPr>
        <sz val="7.5"/>
        <rFont val="Roboto"/>
      </rPr>
      <t>00.039.000.008 - Mão de Obra Luminárias Definitivas Int. / Ext.</t>
    </r>
  </si>
  <si>
    <r>
      <rPr>
        <sz val="7.5"/>
        <rFont val="Roboto"/>
      </rPr>
      <t>00.040 - ELÉTRICA - 36º PVTO [PENTHOUSE 22]</t>
    </r>
  </si>
  <si>
    <r>
      <rPr>
        <sz val="7.5"/>
        <rFont val="Roboto"/>
      </rPr>
      <t>00.040.000.001 - Mão de Obra Infra Laje</t>
    </r>
  </si>
  <si>
    <r>
      <rPr>
        <sz val="7.5"/>
        <rFont val="Roboto"/>
      </rPr>
      <t>00.040.000.002 - Mão de Obra Infra Paredes</t>
    </r>
  </si>
  <si>
    <r>
      <rPr>
        <sz val="7.5"/>
        <rFont val="Roboto"/>
      </rPr>
      <t>00.040.000.003 - Mão de Obra Infra Teto</t>
    </r>
  </si>
  <si>
    <r>
      <rPr>
        <sz val="7.5"/>
        <rFont val="Roboto"/>
      </rPr>
      <t>00.040.000.004 - Mão de Obra Cabeamento Teto e Iluminação Provisória</t>
    </r>
  </si>
  <si>
    <r>
      <rPr>
        <sz val="7.5"/>
        <rFont val="Roboto"/>
      </rPr>
      <t>00.040.000.005 - Mão de Obra Prumadas Hall</t>
    </r>
  </si>
  <si>
    <r>
      <rPr>
        <sz val="7.5"/>
        <rFont val="Roboto"/>
      </rPr>
      <t>00.040.000.006 - Mão de Obra Quadros / Disjuntores, Tomadas e Interruptores</t>
    </r>
  </si>
  <si>
    <r>
      <rPr>
        <sz val="7.5"/>
        <rFont val="Roboto"/>
      </rPr>
      <t>00.040.000.007 - Mão de Obra Tampas e Acabamentos Elétricos</t>
    </r>
  </si>
  <si>
    <r>
      <rPr>
        <sz val="7.5"/>
        <rFont val="Roboto"/>
      </rPr>
      <t>00.040.000.008 - Mão de Obra Luminárias Definitivas Int. / Ext.</t>
    </r>
  </si>
  <si>
    <r>
      <rPr>
        <sz val="7.5"/>
        <rFont val="Roboto"/>
      </rPr>
      <t>00.041 - ELÉTRICA - 37º PVTO [DUPLEX INF.]</t>
    </r>
  </si>
  <si>
    <r>
      <rPr>
        <sz val="7.5"/>
        <rFont val="Roboto"/>
      </rPr>
      <t>00.041.000.001 - Mão de Obra Infra Laje</t>
    </r>
  </si>
  <si>
    <r>
      <rPr>
        <sz val="7.5"/>
        <rFont val="Roboto"/>
      </rPr>
      <t>00.041.000.002 - Mão de Obra Infra Paredes</t>
    </r>
  </si>
  <si>
    <r>
      <rPr>
        <sz val="7.5"/>
        <rFont val="Roboto"/>
      </rPr>
      <t>00.041.000.003 - Mão de Obra Infra Teto</t>
    </r>
  </si>
  <si>
    <r>
      <rPr>
        <sz val="7.5"/>
        <rFont val="Roboto"/>
      </rPr>
      <t>00.041.000.004 - Mão de Obra Cabeamento Teto e Iluminação Provisória</t>
    </r>
  </si>
  <si>
    <r>
      <rPr>
        <sz val="7.5"/>
        <rFont val="Roboto"/>
      </rPr>
      <t>00.041.000.005 - Mão de Obra Prumadas Hall</t>
    </r>
  </si>
  <si>
    <r>
      <rPr>
        <sz val="7.5"/>
        <rFont val="Roboto"/>
      </rPr>
      <t>00.041.000.006 - Mão de Obra Quadros / Disjuntores, Tomadas e Interruptores</t>
    </r>
  </si>
  <si>
    <r>
      <rPr>
        <sz val="7.5"/>
        <rFont val="Roboto"/>
      </rPr>
      <t>00.041.000.007 - Mão de Obra Tampas e Acabamentos Elétricos</t>
    </r>
  </si>
  <si>
    <r>
      <rPr>
        <sz val="7.5"/>
        <rFont val="Roboto"/>
      </rPr>
      <t>00.041.000.008 - Mão de Obra Luminárias Definitivas Int. / Ext.</t>
    </r>
  </si>
  <si>
    <r>
      <rPr>
        <sz val="7.5"/>
        <rFont val="Roboto"/>
      </rPr>
      <t>00.042 - ELÉTRICA - 38º PVTO [DUPLEX SUP.]</t>
    </r>
  </si>
  <si>
    <r>
      <rPr>
        <sz val="7.5"/>
        <rFont val="Roboto"/>
      </rPr>
      <t>00.042.000.001 - Mão de Obra Infra Laje</t>
    </r>
  </si>
  <si>
    <r>
      <rPr>
        <sz val="7.5"/>
        <rFont val="Roboto"/>
      </rPr>
      <t>00.042.000.002 - Mão de Obra Infra Paredes</t>
    </r>
  </si>
  <si>
    <r>
      <rPr>
        <sz val="7.5"/>
        <rFont val="Roboto"/>
      </rPr>
      <t>00.042.000.003 - Mão de Obra Infra Teto</t>
    </r>
  </si>
  <si>
    <r>
      <rPr>
        <sz val="7.5"/>
        <rFont val="Roboto"/>
      </rPr>
      <t>00.042.000.004 - Mão de Obra Cabeamento Teto e Iluminação Provisória</t>
    </r>
  </si>
  <si>
    <r>
      <rPr>
        <sz val="7.5"/>
        <rFont val="Roboto"/>
      </rPr>
      <t>00.042.000.005 - Mão de Obra Prumadas Hall</t>
    </r>
  </si>
  <si>
    <r>
      <rPr>
        <sz val="7.5"/>
        <rFont val="Roboto"/>
      </rPr>
      <t>00.042.000.006 - Mão de Obra Quadros / Disjuntores, Tomadas e Interruptores</t>
    </r>
  </si>
  <si>
    <r>
      <rPr>
        <sz val="7.5"/>
        <rFont val="Roboto"/>
      </rPr>
      <t>00.042.000.007 - Mão de Obra Tampas e Acabamentos Elétricos</t>
    </r>
  </si>
  <si>
    <r>
      <rPr>
        <sz val="7.5"/>
        <rFont val="Roboto"/>
      </rPr>
      <t>00.042.000.008 - Mão de Obra Luminárias Definitivas Int. / Ext.</t>
    </r>
  </si>
  <si>
    <r>
      <rPr>
        <sz val="7.5"/>
        <rFont val="Roboto"/>
      </rPr>
      <t>00.043 - ELÉTRICA - TELHADO / CASA MÁQUINAS/BARRILETE</t>
    </r>
  </si>
  <si>
    <r>
      <rPr>
        <sz val="7.5"/>
        <rFont val="Roboto"/>
      </rPr>
      <t>00.043.000.001 - Mão de Obra Infra Laje</t>
    </r>
  </si>
  <si>
    <r>
      <rPr>
        <sz val="7.5"/>
        <rFont val="Roboto"/>
      </rPr>
      <t>00.043.000.002 - Mão de Obra Infra Paredes</t>
    </r>
  </si>
  <si>
    <r>
      <rPr>
        <sz val="7.5"/>
        <rFont val="Roboto"/>
      </rPr>
      <t>00.043.000.003 - Mão de Obra Infra Teto</t>
    </r>
  </si>
  <si>
    <r>
      <rPr>
        <sz val="7.5"/>
        <rFont val="Roboto"/>
      </rPr>
      <t>00.043.000.004 - Mão de Obra Cabeamento Teto e Iluminação Provisória</t>
    </r>
  </si>
  <si>
    <r>
      <rPr>
        <sz val="7.5"/>
        <rFont val="Roboto"/>
      </rPr>
      <t>00.043.000.005 - Mão de Obra Prumadas Hall</t>
    </r>
  </si>
  <si>
    <r>
      <rPr>
        <sz val="7.5"/>
        <rFont val="Roboto"/>
      </rPr>
      <t>00.043.000.006 - Mão de Obra Quadros / Disjuntores, Tomadas e Interruptores</t>
    </r>
  </si>
  <si>
    <r>
      <rPr>
        <sz val="7.5"/>
        <rFont val="Roboto"/>
      </rPr>
      <t>00.043.000.007 - Mão de Obra Tampas e Acabamentos Elétricos</t>
    </r>
  </si>
  <si>
    <r>
      <rPr>
        <sz val="7.5"/>
        <rFont val="Roboto"/>
      </rPr>
      <t>00.043.000.008 - Mão de Obra Luminárias Definitivas Int. / Ext.</t>
    </r>
  </si>
  <si>
    <r>
      <rPr>
        <sz val="7.5"/>
        <rFont val="Roboto"/>
      </rPr>
      <t>00.044 - ELÉTRICA - RESERVATÓRIO</t>
    </r>
  </si>
  <si>
    <r>
      <rPr>
        <sz val="7.5"/>
        <rFont val="Roboto"/>
      </rPr>
      <t>00.044.000.001 - Mão de Obra Infra Teto</t>
    </r>
  </si>
  <si>
    <r>
      <rPr>
        <sz val="7.5"/>
        <rFont val="Roboto"/>
      </rPr>
      <t>00.044.000.002 - Mão de Obra Cabeamento Teto e Iluminação Provisória</t>
    </r>
  </si>
  <si>
    <r>
      <rPr>
        <sz val="7.5"/>
        <rFont val="Roboto"/>
      </rPr>
      <t>00.044.000.003 - Mão de Obra Luminárias Definitivas Int. / Ext.</t>
    </r>
  </si>
  <si>
    <r>
      <rPr>
        <sz val="7.5"/>
        <rFont val="Roboto"/>
      </rPr>
      <t>Totais da unidade construtiva</t>
    </r>
  </si>
  <si>
    <r>
      <rPr>
        <sz val="7.5"/>
        <rFont val="Roboto"/>
      </rPr>
      <t>R$ 636.487,46</t>
    </r>
  </si>
  <si>
    <r>
      <rPr>
        <sz val="7.5"/>
        <rFont val="Roboto"/>
      </rPr>
      <t>Totais da obra</t>
    </r>
  </si>
  <si>
    <r>
      <rPr>
        <b/>
        <sz val="7.5"/>
        <rFont val="Roboto"/>
      </rPr>
      <t>Previsões de Pagamento</t>
    </r>
  </si>
  <si>
    <r>
      <rPr>
        <b/>
        <sz val="7.5"/>
        <rFont val="Roboto"/>
      </rPr>
      <t>Sinal</t>
    </r>
  </si>
  <si>
    <r>
      <rPr>
        <sz val="7.5"/>
        <rFont val="Roboto"/>
      </rPr>
      <t>0.0</t>
    </r>
  </si>
  <si>
    <r>
      <rPr>
        <b/>
        <sz val="7.5"/>
        <rFont val="Roboto"/>
      </rPr>
      <t>Data</t>
    </r>
  </si>
  <si>
    <r>
      <rPr>
        <b/>
        <sz val="7.5"/>
        <rFont val="Roboto"/>
      </rPr>
      <t>Valor</t>
    </r>
  </si>
  <si>
    <r>
      <rPr>
        <b/>
        <sz val="7.5"/>
        <rFont val="Roboto"/>
      </rPr>
      <t>Permuta</t>
    </r>
  </si>
  <si>
    <r>
      <rPr>
        <b/>
        <sz val="7.5"/>
        <rFont val="Roboto"/>
      </rPr>
      <t>Adiantamentos vinculados</t>
    </r>
  </si>
  <si>
    <r>
      <rPr>
        <b/>
        <sz val="7.5"/>
        <rFont val="Roboto"/>
      </rPr>
      <t>Documento                                             Título                           Parcela                                 Data de emissão                                                                                                                                                                                                                      Valor do adiantamento</t>
    </r>
  </si>
  <si>
    <r>
      <rPr>
        <sz val="7.5"/>
        <rFont val="Roboto"/>
      </rPr>
      <t xml:space="preserve">Valor total de adiantamentos                                                                                                                                 R$ 0,00
</t>
    </r>
    <r>
      <rPr>
        <sz val="7.5"/>
        <rFont val="Roboto"/>
      </rPr>
      <t>Saldo de adiantamentos                                                                                                                                         R$ 0,00</t>
    </r>
  </si>
  <si>
    <r>
      <rPr>
        <b/>
        <sz val="7.5"/>
        <rFont val="Roboto"/>
      </rPr>
      <t>Observações</t>
    </r>
  </si>
  <si>
    <r>
      <rPr>
        <b/>
        <sz val="8"/>
        <rFont val="Roboto"/>
      </rPr>
      <t xml:space="preserve">Contrato: </t>
    </r>
    <r>
      <rPr>
        <sz val="8"/>
        <rFont val="Roboto"/>
      </rPr>
      <t xml:space="preserve">CT/ELZ0013
</t>
    </r>
    <r>
      <rPr>
        <b/>
        <sz val="8"/>
        <rFont val="Roboto"/>
      </rPr>
      <t xml:space="preserve">Situação do contrato: </t>
    </r>
    <r>
      <rPr>
        <sz val="8"/>
        <rFont val="Roboto"/>
      </rPr>
      <t xml:space="preserve">Parcialmente medido
</t>
    </r>
    <r>
      <rPr>
        <b/>
        <sz val="8"/>
        <rFont val="Roboto"/>
      </rPr>
      <t xml:space="preserve">Fornecedor: </t>
    </r>
    <r>
      <rPr>
        <sz val="8"/>
        <rFont val="Roboto"/>
      </rPr>
      <t xml:space="preserve">3414 - B E M PERFURACAO E CORTES EM CONCRETOS LTDA
</t>
    </r>
    <r>
      <rPr>
        <b/>
        <sz val="8"/>
        <rFont val="Roboto"/>
      </rPr>
      <t xml:space="preserve">Obra: </t>
    </r>
    <r>
      <rPr>
        <sz val="8"/>
        <rFont val="Roboto"/>
      </rPr>
      <t xml:space="preserve">12 - ELIZABETH II - CUSTO DIRETO
</t>
    </r>
    <r>
      <rPr>
        <b/>
        <sz val="8"/>
        <rFont val="Roboto"/>
      </rPr>
      <t xml:space="preserve">Autorizado por: </t>
    </r>
    <r>
      <rPr>
        <sz val="8"/>
        <rFont val="Roboto"/>
      </rPr>
      <t xml:space="preserve">Natalia Machado
</t>
    </r>
    <r>
      <rPr>
        <b/>
        <sz val="8"/>
        <rFont val="Roboto"/>
      </rPr>
      <t>Unidade Construtiva: 1 - CUSTO DIRETO</t>
    </r>
  </si>
  <si>
    <r>
      <rPr>
        <sz val="7.5"/>
        <rFont val="Roboto"/>
      </rPr>
      <t>00.001 - HIDROSSANITARIO - 1º PAVTO [TÉRREO / SALAS ]</t>
    </r>
  </si>
  <si>
    <r>
      <rPr>
        <sz val="7.5"/>
        <rFont val="Roboto"/>
      </rPr>
      <t>0,00</t>
    </r>
  </si>
  <si>
    <r>
      <rPr>
        <sz val="7.5"/>
        <rFont val="Roboto"/>
      </rPr>
      <t>0,0000</t>
    </r>
  </si>
  <si>
    <r>
      <rPr>
        <sz val="7.5"/>
        <rFont val="Roboto"/>
      </rPr>
      <t>00.001.000.001 - Mão de Obra - Tubulações Enterradas Água / Esgoto</t>
    </r>
  </si>
  <si>
    <r>
      <rPr>
        <sz val="7.5"/>
        <rFont val="Roboto"/>
      </rPr>
      <t>6.323,61</t>
    </r>
  </si>
  <si>
    <r>
      <rPr>
        <sz val="7.5"/>
        <rFont val="Roboto"/>
      </rPr>
      <t>1,0000</t>
    </r>
  </si>
  <si>
    <r>
      <rPr>
        <sz val="7.5"/>
        <rFont val="Roboto"/>
      </rPr>
      <t>R$ 6.323,61</t>
    </r>
  </si>
  <si>
    <r>
      <rPr>
        <sz val="7.5"/>
        <rFont val="Roboto"/>
      </rPr>
      <t>0,8000</t>
    </r>
  </si>
  <si>
    <r>
      <rPr>
        <sz val="7.5"/>
        <rFont val="Roboto"/>
      </rPr>
      <t>0,2000</t>
    </r>
  </si>
  <si>
    <r>
      <rPr>
        <sz val="7.5"/>
        <rFont val="Roboto"/>
      </rPr>
      <t>08.007.001</t>
    </r>
  </si>
  <si>
    <r>
      <rPr>
        <sz val="7.5"/>
        <rFont val="Roboto"/>
      </rPr>
      <t>00.001.000.002 - Mão de Obra - Passagens</t>
    </r>
  </si>
  <si>
    <r>
      <rPr>
        <sz val="7.5"/>
        <rFont val="Roboto"/>
      </rPr>
      <t>2.107,87</t>
    </r>
  </si>
  <si>
    <r>
      <rPr>
        <sz val="7.5"/>
        <rFont val="Roboto"/>
      </rPr>
      <t>R$ 2.107,87</t>
    </r>
  </si>
  <si>
    <r>
      <rPr>
        <sz val="7.5"/>
        <rFont val="Roboto"/>
      </rPr>
      <t>00.001.000.003 - Mão de Obra - Prumadas</t>
    </r>
  </si>
  <si>
    <r>
      <rPr>
        <sz val="7.5"/>
        <rFont val="Roboto"/>
      </rPr>
      <t>00.001.000.004 - Mão de Obra - Teto Esgoto / Pluvial</t>
    </r>
  </si>
  <si>
    <r>
      <rPr>
        <sz val="7.5"/>
        <rFont val="Roboto"/>
      </rPr>
      <t>00.001.000.005 - Mão de obra - Água quente / fria (parede e teto) e esgoto parede</t>
    </r>
  </si>
  <si>
    <r>
      <rPr>
        <sz val="7.5"/>
        <rFont val="Roboto"/>
      </rPr>
      <t>00.001.000.006 - Mão de Obra - Louças e Metais</t>
    </r>
  </si>
  <si>
    <r>
      <rPr>
        <sz val="7.5"/>
        <rFont val="Roboto"/>
      </rPr>
      <t>00.001.000.007 - Mão de Obra - Hidrômetros</t>
    </r>
  </si>
  <si>
    <r>
      <rPr>
        <sz val="7.5"/>
        <rFont val="Roboto"/>
      </rPr>
      <t>4.215,74</t>
    </r>
  </si>
  <si>
    <r>
      <rPr>
        <sz val="7.5"/>
        <rFont val="Roboto"/>
      </rPr>
      <t>R$ 4.215,74</t>
    </r>
  </si>
  <si>
    <r>
      <rPr>
        <sz val="7.5"/>
        <rFont val="Roboto"/>
      </rPr>
      <t>00.001.000.008 - Mão de Obra - Instalação Bombas e Reservatórios</t>
    </r>
  </si>
  <si>
    <r>
      <rPr>
        <sz val="7.5"/>
        <rFont val="Roboto"/>
      </rPr>
      <t>00.002 - HIDROSSANITARIO - MEZANINO 1º PVTO [G1]</t>
    </r>
  </si>
  <si>
    <r>
      <rPr>
        <sz val="7.5"/>
        <rFont val="Roboto"/>
      </rPr>
      <t>00.002.000.001 - Mão de Obra - Passagens</t>
    </r>
  </si>
  <si>
    <r>
      <rPr>
        <sz val="7.5"/>
        <rFont val="Roboto"/>
      </rPr>
      <t>2.152,39</t>
    </r>
  </si>
  <si>
    <r>
      <rPr>
        <sz val="7.5"/>
        <rFont val="Roboto"/>
      </rPr>
      <t>R$ 2.152,39</t>
    </r>
  </si>
  <si>
    <r>
      <rPr>
        <sz val="7.5"/>
        <rFont val="Roboto"/>
      </rPr>
      <t>00.002.000.002 - Mão de Obra - Tubulação de Paredes / Prumadas</t>
    </r>
  </si>
  <si>
    <r>
      <rPr>
        <sz val="7.5"/>
        <rFont val="Roboto"/>
      </rPr>
      <t>12.914,31</t>
    </r>
  </si>
  <si>
    <r>
      <rPr>
        <sz val="7.5"/>
        <rFont val="Roboto"/>
      </rPr>
      <t>R$ 12.914,31</t>
    </r>
  </si>
  <si>
    <r>
      <rPr>
        <sz val="7.5"/>
        <rFont val="Roboto"/>
      </rPr>
      <t>00.002.000.003 - Mão de Obra - Teto Agua Quente / Agua Fria / Esgoto</t>
    </r>
  </si>
  <si>
    <r>
      <rPr>
        <sz val="7.5"/>
        <rFont val="Roboto"/>
      </rPr>
      <t>27.981,01</t>
    </r>
  </si>
  <si>
    <r>
      <rPr>
        <sz val="7.5"/>
        <rFont val="Roboto"/>
      </rPr>
      <t>R$ 27.981,01</t>
    </r>
  </si>
  <si>
    <r>
      <rPr>
        <sz val="7.5"/>
        <rFont val="Roboto"/>
      </rPr>
      <t>00.003 - HIDROSSANITARIO - 2º PVTO [G2]</t>
    </r>
  </si>
  <si>
    <r>
      <rPr>
        <sz val="7.5"/>
        <rFont val="Roboto"/>
      </rPr>
      <t>00.003.000.001 - Mão de Obra - Passagens</t>
    </r>
  </si>
  <si>
    <r>
      <rPr>
        <sz val="7.5"/>
        <rFont val="Roboto"/>
      </rPr>
      <t>2.360,20</t>
    </r>
  </si>
  <si>
    <r>
      <rPr>
        <sz val="7.5"/>
        <rFont val="Roboto"/>
      </rPr>
      <t>R$ 2.360,20</t>
    </r>
  </si>
  <si>
    <r>
      <rPr>
        <sz val="7.5"/>
        <rFont val="Roboto"/>
      </rPr>
      <t>00.003.000.002 - Mão de Obra - Tubulação de Paredes / Prumadas</t>
    </r>
  </si>
  <si>
    <r>
      <rPr>
        <sz val="7.5"/>
        <rFont val="Roboto"/>
      </rPr>
      <t>14.161,17</t>
    </r>
  </si>
  <si>
    <r>
      <rPr>
        <sz val="7.5"/>
        <rFont val="Roboto"/>
      </rPr>
      <t>R$ 14.161,17</t>
    </r>
  </si>
  <si>
    <r>
      <rPr>
        <sz val="7.5"/>
        <rFont val="Roboto"/>
      </rPr>
      <t>00.003.000.003 - Mão de Obra - Teto Agua Quente / Agua Fria / Esgoto</t>
    </r>
  </si>
  <si>
    <r>
      <rPr>
        <sz val="7.5"/>
        <rFont val="Roboto"/>
      </rPr>
      <t>30.682,54</t>
    </r>
  </si>
  <si>
    <r>
      <rPr>
        <sz val="7.5"/>
        <rFont val="Roboto"/>
      </rPr>
      <t>R$ 30.682,54</t>
    </r>
  </si>
  <si>
    <r>
      <rPr>
        <sz val="7.5"/>
        <rFont val="Roboto"/>
      </rPr>
      <t>00.004 - HIDROSSANITARIO - MEZANINO DO 2º PAVTO [G3]</t>
    </r>
  </si>
  <si>
    <r>
      <rPr>
        <sz val="7.5"/>
        <rFont val="Roboto"/>
      </rPr>
      <t>00.004.000.001 - Mão de Obra - Passagens</t>
    </r>
  </si>
  <si>
    <r>
      <rPr>
        <sz val="7.5"/>
        <rFont val="Roboto"/>
      </rPr>
      <t>00.004.000.002 - Mão de Obra - Tubulação de Paredes / Prumadas</t>
    </r>
  </si>
  <si>
    <r>
      <rPr>
        <sz val="7.5"/>
        <rFont val="Roboto"/>
      </rPr>
      <t>00.004.000.003 - Mão de Obra - Teto Agua Quente / Agua Fria / Esgoto</t>
    </r>
  </si>
  <si>
    <r>
      <rPr>
        <sz val="7.5"/>
        <rFont val="Roboto"/>
      </rPr>
      <t>00.005 - HIDROSSANITARIO - 3º PAVTO [G4]</t>
    </r>
  </si>
  <si>
    <r>
      <rPr>
        <sz val="7.5"/>
        <rFont val="Roboto"/>
      </rPr>
      <t>00.005.000.001 - Mão de Obra - Passagens</t>
    </r>
  </si>
  <si>
    <r>
      <rPr>
        <sz val="7.5"/>
        <rFont val="Roboto"/>
      </rPr>
      <t>00.005.000.002 - Mão de Obra - Tubulação de Paredes / Prumadas</t>
    </r>
  </si>
  <si>
    <r>
      <rPr>
        <sz val="7.5"/>
        <rFont val="Roboto"/>
      </rPr>
      <t>00.005.000.003 - Mão de Obra - Teto Agua Quente / Agua Fria / Esgoto</t>
    </r>
  </si>
  <si>
    <r>
      <rPr>
        <sz val="7.5"/>
        <rFont val="Roboto"/>
      </rPr>
      <t>00.006 - HIDROSSANITARIO - MEZANINO DO 3º PAVTO [G5]</t>
    </r>
  </si>
  <si>
    <r>
      <rPr>
        <sz val="7.5"/>
        <rFont val="Roboto"/>
      </rPr>
      <t>00.006.000.001 - Mão de Obra - Passagens</t>
    </r>
  </si>
  <si>
    <r>
      <rPr>
        <sz val="7.5"/>
        <rFont val="Roboto"/>
      </rPr>
      <t>2.397,67</t>
    </r>
  </si>
  <si>
    <r>
      <rPr>
        <sz val="7.5"/>
        <rFont val="Roboto"/>
      </rPr>
      <t>R$ 2.397,67</t>
    </r>
  </si>
  <si>
    <r>
      <rPr>
        <sz val="7.5"/>
        <rFont val="Roboto"/>
      </rPr>
      <t>00.006.000.002 - Mão de Obra - Tubulação de Paredes / Prumadas</t>
    </r>
  </si>
  <si>
    <r>
      <rPr>
        <sz val="7.5"/>
        <rFont val="Roboto"/>
      </rPr>
      <t>14.386,04</t>
    </r>
  </si>
  <si>
    <r>
      <rPr>
        <sz val="7.5"/>
        <rFont val="Roboto"/>
      </rPr>
      <t>R$ 14.386,04</t>
    </r>
  </si>
  <si>
    <r>
      <rPr>
        <sz val="7.5"/>
        <rFont val="Roboto"/>
      </rPr>
      <t>00.006.000.003 - Mão de Obra - Teto Agua Quente / Agua Fria / Esgoto</t>
    </r>
  </si>
  <si>
    <r>
      <rPr>
        <sz val="7.5"/>
        <rFont val="Roboto"/>
      </rPr>
      <t>31.169,76</t>
    </r>
  </si>
  <si>
    <r>
      <rPr>
        <sz val="7.5"/>
        <rFont val="Roboto"/>
      </rPr>
      <t>R$ 31.169,76</t>
    </r>
  </si>
  <si>
    <r>
      <rPr>
        <sz val="7.5"/>
        <rFont val="Roboto"/>
      </rPr>
      <t>00.007 - HIDROSSANITARIO - 4º PAVTO. [GARAGENS/ LAZER]</t>
    </r>
  </si>
  <si>
    <r>
      <rPr>
        <sz val="7.5"/>
        <rFont val="Roboto"/>
      </rPr>
      <t>00.007.000.001 - Mão de Obra - Passagens</t>
    </r>
  </si>
  <si>
    <r>
      <rPr>
        <sz val="7.5"/>
        <rFont val="Roboto"/>
      </rPr>
      <t>00.007.000.002 - Mão de Obra - Tubulação Prumadas</t>
    </r>
  </si>
  <si>
    <r>
      <rPr>
        <sz val="7.5"/>
        <rFont val="Roboto"/>
      </rPr>
      <t>8.391,86</t>
    </r>
  </si>
  <si>
    <r>
      <rPr>
        <sz val="7.5"/>
        <rFont val="Roboto"/>
      </rPr>
      <t>R$ 8.391,86</t>
    </r>
  </si>
  <si>
    <r>
      <rPr>
        <sz val="7.5"/>
        <rFont val="Roboto"/>
      </rPr>
      <t>00.007.000.003 - Mão de obra - Água quente / fria (parede e teto) e esgoto parede</t>
    </r>
  </si>
  <si>
    <r>
      <rPr>
        <sz val="7.5"/>
        <rFont val="Roboto"/>
      </rPr>
      <t>16.783,72</t>
    </r>
  </si>
  <si>
    <r>
      <rPr>
        <sz val="7.5"/>
        <rFont val="Roboto"/>
      </rPr>
      <t>R$ 16.783,72</t>
    </r>
  </si>
  <si>
    <r>
      <rPr>
        <sz val="7.5"/>
        <rFont val="Roboto"/>
      </rPr>
      <t>00.007.000.004 - Mão de Obra - Teto Esgoto / Pluvial</t>
    </r>
  </si>
  <si>
    <r>
      <rPr>
        <sz val="7.5"/>
        <rFont val="Roboto"/>
      </rPr>
      <t>00.007.000.005 - Mão de Obra - Louças e Metais</t>
    </r>
  </si>
  <si>
    <r>
      <rPr>
        <sz val="7.5"/>
        <rFont val="Roboto"/>
      </rPr>
      <t>4.076,05</t>
    </r>
  </si>
  <si>
    <r>
      <rPr>
        <sz val="7.5"/>
        <rFont val="Roboto"/>
      </rPr>
      <t>R$ 4.076,05</t>
    </r>
  </si>
  <si>
    <r>
      <rPr>
        <sz val="7.5"/>
        <rFont val="Roboto"/>
      </rPr>
      <t>00.007.000.006 - Mão de Obra - Hidrômetros</t>
    </r>
  </si>
  <si>
    <r>
      <rPr>
        <sz val="7.5"/>
        <rFont val="Roboto"/>
      </rPr>
      <t>5.754,42</t>
    </r>
  </si>
  <si>
    <r>
      <rPr>
        <sz val="7.5"/>
        <rFont val="Roboto"/>
      </rPr>
      <t>R$ 5.754,42</t>
    </r>
  </si>
  <si>
    <r>
      <rPr>
        <sz val="7.5"/>
        <rFont val="Roboto"/>
      </rPr>
      <t>00.007.000.007 - Revisao Final de Entrega da Unidade</t>
    </r>
  </si>
  <si>
    <r>
      <rPr>
        <sz val="7.5"/>
        <rFont val="Roboto"/>
      </rPr>
      <t>2.157,91</t>
    </r>
  </si>
  <si>
    <r>
      <rPr>
        <sz val="7.5"/>
        <rFont val="Roboto"/>
      </rPr>
      <t>R$ 2.157,91</t>
    </r>
  </si>
  <si>
    <r>
      <rPr>
        <sz val="7.5"/>
        <rFont val="Roboto"/>
      </rPr>
      <t>00.008 - HIDROSSANITARIO - 5º PAVTO. [LAZER]</t>
    </r>
  </si>
  <si>
    <r>
      <rPr>
        <sz val="7.5"/>
        <rFont val="Roboto"/>
      </rPr>
      <t>00.008.000.001 - Mão de Obra - Passagens</t>
    </r>
  </si>
  <si>
    <r>
      <rPr>
        <sz val="7.5"/>
        <rFont val="Roboto"/>
      </rPr>
      <t>1.341,35</t>
    </r>
  </si>
  <si>
    <r>
      <rPr>
        <sz val="7.5"/>
        <rFont val="Roboto"/>
      </rPr>
      <t>R$ 1.341,35</t>
    </r>
  </si>
  <si>
    <r>
      <rPr>
        <sz val="7.5"/>
        <rFont val="Roboto"/>
      </rPr>
      <t>00.008.000.002 - Mão de Obra - Tubulação Prumadas</t>
    </r>
  </si>
  <si>
    <r>
      <rPr>
        <sz val="7.5"/>
        <rFont val="Roboto"/>
      </rPr>
      <t>4.694,72</t>
    </r>
  </si>
  <si>
    <r>
      <rPr>
        <sz val="7.5"/>
        <rFont val="Roboto"/>
      </rPr>
      <t>R$ 4.694,72</t>
    </r>
  </si>
  <si>
    <r>
      <rPr>
        <sz val="7.5"/>
        <rFont val="Roboto"/>
      </rPr>
      <t>00.008.000.003 - Mão de obra - Água quente / fria (parede e teto) e esgoto parede</t>
    </r>
  </si>
  <si>
    <r>
      <rPr>
        <sz val="7.5"/>
        <rFont val="Roboto"/>
      </rPr>
      <t>9.389,44</t>
    </r>
  </si>
  <si>
    <r>
      <rPr>
        <sz val="7.5"/>
        <rFont val="Roboto"/>
      </rPr>
      <t>R$ 9.389,44</t>
    </r>
  </si>
  <si>
    <r>
      <rPr>
        <sz val="7.5"/>
        <rFont val="Roboto"/>
      </rPr>
      <t>00.008.000.004 - Mão de Obra - Teto Esgoto / Pluvial</t>
    </r>
  </si>
  <si>
    <r>
      <rPr>
        <sz val="7.5"/>
        <rFont val="Roboto"/>
      </rPr>
      <t>00.008.000.005 - Mão de Obra - Louças e Metais</t>
    </r>
  </si>
  <si>
    <r>
      <rPr>
        <sz val="7.5"/>
        <rFont val="Roboto"/>
      </rPr>
      <t>2.280,29</t>
    </r>
  </si>
  <si>
    <r>
      <rPr>
        <sz val="7.5"/>
        <rFont val="Roboto"/>
      </rPr>
      <t>R$ 2.280,29</t>
    </r>
  </si>
  <si>
    <r>
      <rPr>
        <sz val="7.5"/>
        <rFont val="Roboto"/>
      </rPr>
      <t>00.008.000.006 - Mão de Obra - Hidrômetros</t>
    </r>
  </si>
  <si>
    <r>
      <rPr>
        <sz val="7.5"/>
        <rFont val="Roboto"/>
      </rPr>
      <t>3.219,24</t>
    </r>
  </si>
  <si>
    <r>
      <rPr>
        <sz val="7.5"/>
        <rFont val="Roboto"/>
      </rPr>
      <t>R$ 3.219,24</t>
    </r>
  </si>
  <si>
    <r>
      <rPr>
        <sz val="7.5"/>
        <rFont val="Roboto"/>
      </rPr>
      <t>00.008.000.007 - Revisao Final de Entrega da Unidade</t>
    </r>
  </si>
  <si>
    <r>
      <rPr>
        <sz val="7.5"/>
        <rFont val="Roboto"/>
      </rPr>
      <t>1.207,21</t>
    </r>
  </si>
  <si>
    <r>
      <rPr>
        <sz val="7.5"/>
        <rFont val="Roboto"/>
      </rPr>
      <t>R$ 1.207,21</t>
    </r>
  </si>
  <si>
    <r>
      <rPr>
        <sz val="7.5"/>
        <rFont val="Roboto"/>
      </rPr>
      <t>00.009 - HIDROSSANITARIO - 6º PVTO [TIPO DIF. 1]</t>
    </r>
  </si>
  <si>
    <r>
      <rPr>
        <sz val="7.5"/>
        <rFont val="Roboto"/>
      </rPr>
      <t>00.009.000.001 - Mão de Obra - Passagens</t>
    </r>
  </si>
  <si>
    <r>
      <rPr>
        <sz val="7.5"/>
        <rFont val="Roboto"/>
      </rPr>
      <t>928,31</t>
    </r>
  </si>
  <si>
    <r>
      <rPr>
        <sz val="7.5"/>
        <rFont val="Roboto"/>
      </rPr>
      <t>R$ 928,31</t>
    </r>
  </si>
  <si>
    <r>
      <rPr>
        <sz val="7.5"/>
        <rFont val="Roboto"/>
      </rPr>
      <t>08.007.002</t>
    </r>
  </si>
  <si>
    <r>
      <rPr>
        <sz val="7.5"/>
        <rFont val="Roboto"/>
      </rPr>
      <t>00.009.000.002 - Mão de Obra - Tubulação Prumadas</t>
    </r>
  </si>
  <si>
    <r>
      <rPr>
        <sz val="7.5"/>
        <rFont val="Roboto"/>
      </rPr>
      <t>3.249,08</t>
    </r>
  </si>
  <si>
    <r>
      <rPr>
        <sz val="7.5"/>
        <rFont val="Roboto"/>
      </rPr>
      <t>R$ 3.249,08</t>
    </r>
  </si>
  <si>
    <r>
      <rPr>
        <sz val="7.5"/>
        <rFont val="Roboto"/>
      </rPr>
      <t>00.009.000.003 - Mão de obra - Água quente / fria (parede e teto) e esgoto parede</t>
    </r>
  </si>
  <si>
    <r>
      <rPr>
        <sz val="7.5"/>
        <rFont val="Roboto"/>
      </rPr>
      <t>6.498,15</t>
    </r>
  </si>
  <si>
    <r>
      <rPr>
        <sz val="7.5"/>
        <rFont val="Roboto"/>
      </rPr>
      <t>R$ 6.498,15</t>
    </r>
  </si>
  <si>
    <r>
      <rPr>
        <sz val="7.5"/>
        <rFont val="Roboto"/>
      </rPr>
      <t>00.009.000.004 - Mão de Obra - Teto Esgoto / Pluvial</t>
    </r>
  </si>
  <si>
    <r>
      <rPr>
        <sz val="7.5"/>
        <rFont val="Roboto"/>
      </rPr>
      <t>00.009.000.005 - Mão de Obra - Louças e Metais</t>
    </r>
  </si>
  <si>
    <r>
      <rPr>
        <sz val="7.5"/>
        <rFont val="Roboto"/>
      </rPr>
      <t>1.578,12</t>
    </r>
  </si>
  <si>
    <r>
      <rPr>
        <sz val="7.5"/>
        <rFont val="Roboto"/>
      </rPr>
      <t>R$ 1.578,12</t>
    </r>
  </si>
  <si>
    <r>
      <rPr>
        <sz val="7.5"/>
        <rFont val="Roboto"/>
      </rPr>
      <t>00.009.000.006 - Mão de Obra - Hidrômetros</t>
    </r>
  </si>
  <si>
    <r>
      <rPr>
        <sz val="7.5"/>
        <rFont val="Roboto"/>
      </rPr>
      <t>2.227,94</t>
    </r>
  </si>
  <si>
    <r>
      <rPr>
        <sz val="7.5"/>
        <rFont val="Roboto"/>
      </rPr>
      <t>R$ 2.227,94</t>
    </r>
  </si>
  <si>
    <r>
      <rPr>
        <sz val="7.5"/>
        <rFont val="Roboto"/>
      </rPr>
      <t>00.009.000.007 - Revisao Final de Entrega da Unidade</t>
    </r>
  </si>
  <si>
    <r>
      <rPr>
        <sz val="7.5"/>
        <rFont val="Roboto"/>
      </rPr>
      <t>835,48</t>
    </r>
  </si>
  <si>
    <r>
      <rPr>
        <sz val="7.5"/>
        <rFont val="Roboto"/>
      </rPr>
      <t>R$ 835,48</t>
    </r>
  </si>
  <si>
    <r>
      <rPr>
        <sz val="7.5"/>
        <rFont val="Roboto"/>
      </rPr>
      <t>00.010 - HIDROSSANITARIO - 7º PVTO [TIPO 2]</t>
    </r>
  </si>
  <si>
    <r>
      <rPr>
        <sz val="7.5"/>
        <rFont val="Roboto"/>
      </rPr>
      <t>00.010.000.001 - Mão de Obra - Passagens</t>
    </r>
  </si>
  <si>
    <r>
      <rPr>
        <sz val="7.5"/>
        <rFont val="Roboto"/>
      </rPr>
      <t>815,15</t>
    </r>
  </si>
  <si>
    <r>
      <rPr>
        <sz val="7.5"/>
        <rFont val="Roboto"/>
      </rPr>
      <t>R$ 815,15</t>
    </r>
  </si>
  <si>
    <r>
      <rPr>
        <sz val="7.5"/>
        <rFont val="Roboto"/>
      </rPr>
      <t>00.010.000.002 - Mão de Obra - Tubulação Prumadas</t>
    </r>
  </si>
  <si>
    <r>
      <rPr>
        <sz val="7.5"/>
        <rFont val="Roboto"/>
      </rPr>
      <t>2.853,02</t>
    </r>
  </si>
  <si>
    <r>
      <rPr>
        <sz val="7.5"/>
        <rFont val="Roboto"/>
      </rPr>
      <t>R$ 2.853,02</t>
    </r>
  </si>
  <si>
    <r>
      <rPr>
        <sz val="7.5"/>
        <rFont val="Roboto"/>
      </rPr>
      <t>00.010.000.003 - Mão de obra - Água quente / fria (parede e teto) e esgoto parede</t>
    </r>
  </si>
  <si>
    <r>
      <rPr>
        <sz val="7.5"/>
        <rFont val="Roboto"/>
      </rPr>
      <t>5.706,03</t>
    </r>
  </si>
  <si>
    <r>
      <rPr>
        <sz val="7.5"/>
        <rFont val="Roboto"/>
      </rPr>
      <t>R$ 5.706,03</t>
    </r>
  </si>
  <si>
    <r>
      <rPr>
        <sz val="7.5"/>
        <rFont val="Roboto"/>
      </rPr>
      <t>00.010.000.004 - Mão de Obra - Teto Esgoto / Pluvial</t>
    </r>
  </si>
  <si>
    <r>
      <rPr>
        <sz val="7.5"/>
        <rFont val="Roboto"/>
      </rPr>
      <t>00.010.000.005 - Mão de Obra - Louças e Metais</t>
    </r>
  </si>
  <si>
    <r>
      <rPr>
        <sz val="7.5"/>
        <rFont val="Roboto"/>
      </rPr>
      <t>1.385,75</t>
    </r>
  </si>
  <si>
    <r>
      <rPr>
        <sz val="7.5"/>
        <rFont val="Roboto"/>
      </rPr>
      <t>R$ 1.385,75</t>
    </r>
  </si>
  <si>
    <r>
      <rPr>
        <sz val="7.5"/>
        <rFont val="Roboto"/>
      </rPr>
      <t>00.010.000.006 - Mão de Obra - Hidrômetros</t>
    </r>
  </si>
  <si>
    <r>
      <rPr>
        <sz val="7.5"/>
        <rFont val="Roboto"/>
      </rPr>
      <t>1.956,35</t>
    </r>
  </si>
  <si>
    <r>
      <rPr>
        <sz val="7.5"/>
        <rFont val="Roboto"/>
      </rPr>
      <t>R$ 1.956,35</t>
    </r>
  </si>
  <si>
    <r>
      <rPr>
        <sz val="7.5"/>
        <rFont val="Roboto"/>
      </rPr>
      <t>00.010.000.007 - Revisao Final de Entrega da Unidade</t>
    </r>
  </si>
  <si>
    <r>
      <rPr>
        <sz val="7.5"/>
        <rFont val="Roboto"/>
      </rPr>
      <t>733,63</t>
    </r>
  </si>
  <si>
    <r>
      <rPr>
        <sz val="7.5"/>
        <rFont val="Roboto"/>
      </rPr>
      <t>R$ 733,63</t>
    </r>
  </si>
  <si>
    <r>
      <rPr>
        <sz val="7.5"/>
        <rFont val="Roboto"/>
      </rPr>
      <t>00.011 - HIDROSSANITARIO - 8º PVTO [TIPO 3]</t>
    </r>
  </si>
  <si>
    <r>
      <rPr>
        <sz val="7.5"/>
        <rFont val="Roboto"/>
      </rPr>
      <t>00.011.000.001 - Mão de Obra - Passagens</t>
    </r>
  </si>
  <si>
    <r>
      <rPr>
        <sz val="7.5"/>
        <rFont val="Roboto"/>
      </rPr>
      <t>00.011.000.002 - Mão de Obra - Tubulação Prumadas</t>
    </r>
  </si>
  <si>
    <r>
      <rPr>
        <sz val="7.5"/>
        <rFont val="Roboto"/>
      </rPr>
      <t>00.011.000.003 - Mão de obra - Água quente / fria (parede e teto) e esgoto parede</t>
    </r>
  </si>
  <si>
    <r>
      <rPr>
        <sz val="7.5"/>
        <rFont val="Roboto"/>
      </rPr>
      <t>00.011.000.004 - Mão de Obra - Teto Esgoto / Pluvial</t>
    </r>
  </si>
  <si>
    <r>
      <rPr>
        <sz val="7.5"/>
        <rFont val="Roboto"/>
      </rPr>
      <t>00.011.000.005 - Mão de Obra - Louças e Metais</t>
    </r>
  </si>
  <si>
    <r>
      <rPr>
        <sz val="7.5"/>
        <rFont val="Roboto"/>
      </rPr>
      <t>00.011.000.006 - Mão de Obra - Hidrômetros</t>
    </r>
  </si>
  <si>
    <r>
      <rPr>
        <sz val="7.5"/>
        <rFont val="Roboto"/>
      </rPr>
      <t>00.011.000.007 - Revisao Final de Entrega da Unidade</t>
    </r>
  </si>
  <si>
    <r>
      <rPr>
        <sz val="7.5"/>
        <rFont val="Roboto"/>
      </rPr>
      <t>00.012 - HIDROSSANITARIO - 9º PVTO [TIPO 4]</t>
    </r>
  </si>
  <si>
    <r>
      <rPr>
        <sz val="7.5"/>
        <rFont val="Roboto"/>
      </rPr>
      <t>00.012.000.001 - Mão de Obra - Passagens</t>
    </r>
  </si>
  <si>
    <r>
      <rPr>
        <sz val="7.5"/>
        <rFont val="Roboto"/>
      </rPr>
      <t>00.012.000.002 - Mão de Obra - Tubulação Prumadas</t>
    </r>
  </si>
  <si>
    <r>
      <rPr>
        <sz val="7.5"/>
        <rFont val="Roboto"/>
      </rPr>
      <t>00.012.000.003 - Mão de obra - Água quente / fria (parede e teto) e esgoto parede</t>
    </r>
  </si>
  <si>
    <r>
      <rPr>
        <sz val="7.5"/>
        <rFont val="Roboto"/>
      </rPr>
      <t>00.012.000.004 - Mão de Obra - Teto Esgoto / Pluvial</t>
    </r>
  </si>
  <si>
    <r>
      <rPr>
        <sz val="7.5"/>
        <rFont val="Roboto"/>
      </rPr>
      <t>00.012.000.005 - Mão de Obra - Louças e Metais</t>
    </r>
  </si>
  <si>
    <r>
      <rPr>
        <sz val="7.5"/>
        <rFont val="Roboto"/>
      </rPr>
      <t>00.012.000.006 - Mão de Obra - Hidrômetros</t>
    </r>
  </si>
  <si>
    <r>
      <rPr>
        <sz val="7.5"/>
        <rFont val="Roboto"/>
      </rPr>
      <t>00.012.000.007 - Revisao Final de Entrega da Unidade</t>
    </r>
  </si>
  <si>
    <r>
      <rPr>
        <sz val="7.5"/>
        <rFont val="Roboto"/>
      </rPr>
      <t>00.013 - HIDROSSANITARIO - 10º PVTO [TIPO 5]</t>
    </r>
  </si>
  <si>
    <r>
      <rPr>
        <sz val="7.5"/>
        <rFont val="Roboto"/>
      </rPr>
      <t>00.013.000.001 - Mão de Obra - Passagens</t>
    </r>
  </si>
  <si>
    <r>
      <rPr>
        <sz val="7.5"/>
        <rFont val="Roboto"/>
      </rPr>
      <t>00.013.000.002 - Mão de Obra - Tubulação Prumadas</t>
    </r>
  </si>
  <si>
    <r>
      <rPr>
        <sz val="7.5"/>
        <rFont val="Roboto"/>
      </rPr>
      <t>00.013.000.003 - Mão de obra - Água quente / fria (parede e teto) e esgoto parede</t>
    </r>
  </si>
  <si>
    <r>
      <rPr>
        <sz val="7.5"/>
        <rFont val="Roboto"/>
      </rPr>
      <t>00.013.000.004 - Mão de Obra - Teto Esgoto / Pluvial</t>
    </r>
  </si>
  <si>
    <r>
      <rPr>
        <sz val="7.5"/>
        <rFont val="Roboto"/>
      </rPr>
      <t>00.013.000.005 - Mão de Obra - Louças e Metais</t>
    </r>
  </si>
  <si>
    <r>
      <rPr>
        <sz val="7.5"/>
        <rFont val="Roboto"/>
      </rPr>
      <t>00.013.000.006 - Mão de Obra - Hidrômetros</t>
    </r>
  </si>
  <si>
    <r>
      <rPr>
        <sz val="7.5"/>
        <rFont val="Roboto"/>
      </rPr>
      <t>00.013.000.007 - Revisao Final de Entrega da Unidade</t>
    </r>
  </si>
  <si>
    <r>
      <rPr>
        <sz val="7.5"/>
        <rFont val="Roboto"/>
      </rPr>
      <t>00.014 - HIDROSSANITARIO - 11º PVTO [TIPO 6]</t>
    </r>
  </si>
  <si>
    <r>
      <rPr>
        <sz val="7.5"/>
        <rFont val="Roboto"/>
      </rPr>
      <t>00.014.000.001 - Mão de Obra - Passagens</t>
    </r>
  </si>
  <si>
    <r>
      <rPr>
        <sz val="7.5"/>
        <rFont val="Roboto"/>
      </rPr>
      <t>00.014.000.002 - Mão de Obra - Tubulação Prumadas</t>
    </r>
  </si>
  <si>
    <r>
      <rPr>
        <sz val="7.5"/>
        <rFont val="Roboto"/>
      </rPr>
      <t>00.014.000.003 - Mão de obra - Água quente / fria (parede e teto) e esgoto parede</t>
    </r>
  </si>
  <si>
    <r>
      <rPr>
        <sz val="7.5"/>
        <rFont val="Roboto"/>
      </rPr>
      <t>00.014.000.004 - Mão de Obra - Teto Esgoto / Pluvial</t>
    </r>
  </si>
  <si>
    <r>
      <rPr>
        <sz val="7.5"/>
        <rFont val="Roboto"/>
      </rPr>
      <t>00.014.000.005 - Mão de Obra - Louças e Metais</t>
    </r>
  </si>
  <si>
    <r>
      <rPr>
        <sz val="7.5"/>
        <rFont val="Roboto"/>
      </rPr>
      <t>00.014.000.006 - Mão de Obra - Hidrômetros</t>
    </r>
  </si>
  <si>
    <r>
      <rPr>
        <sz val="7.5"/>
        <rFont val="Roboto"/>
      </rPr>
      <t>00.014.000.007 - Revisao Final de Entrega da Unidade</t>
    </r>
  </si>
  <si>
    <r>
      <rPr>
        <sz val="7.5"/>
        <rFont val="Roboto"/>
      </rPr>
      <t>00.015 - HIDROSSANITARIO - 12º PVTO [TIPO 7]</t>
    </r>
  </si>
  <si>
    <r>
      <rPr>
        <sz val="7.5"/>
        <rFont val="Roboto"/>
      </rPr>
      <t>00.015.000.001 - Mão de Obra - Passagens</t>
    </r>
  </si>
  <si>
    <r>
      <rPr>
        <sz val="7.5"/>
        <rFont val="Roboto"/>
      </rPr>
      <t>00.015.000.002 - Mão de Obra - Tubulação Prumadas</t>
    </r>
  </si>
  <si>
    <r>
      <rPr>
        <sz val="7.5"/>
        <rFont val="Roboto"/>
      </rPr>
      <t>00.015.000.003 - Mão de obra - Água quente / fria (parede e teto) e esgoto parede</t>
    </r>
  </si>
  <si>
    <r>
      <rPr>
        <sz val="7.5"/>
        <rFont val="Roboto"/>
      </rPr>
      <t>00.015.000.004 - Mão de Obra - Teto Esgoto / Pluvial</t>
    </r>
  </si>
  <si>
    <r>
      <rPr>
        <sz val="7.5"/>
        <rFont val="Roboto"/>
      </rPr>
      <t>00.015.000.005 - Mão de Obra - Louças e Metais</t>
    </r>
  </si>
  <si>
    <r>
      <rPr>
        <sz val="7.5"/>
        <rFont val="Roboto"/>
      </rPr>
      <t>00.015.000.006 - Mão de Obra - Hidrômetros</t>
    </r>
  </si>
  <si>
    <r>
      <rPr>
        <sz val="7.5"/>
        <rFont val="Roboto"/>
      </rPr>
      <t>00.015.000.007 - Revisao Final de Entrega da Unidade</t>
    </r>
  </si>
  <si>
    <r>
      <rPr>
        <sz val="7.5"/>
        <rFont val="Roboto"/>
      </rPr>
      <t>00.016 - HIDROSSANITARIO - 13º PVTO [TIPO 8]</t>
    </r>
  </si>
  <si>
    <r>
      <rPr>
        <sz val="7.5"/>
        <rFont val="Roboto"/>
      </rPr>
      <t>00.016.000.001 - Mão de Obra - Passagens</t>
    </r>
  </si>
  <si>
    <r>
      <rPr>
        <sz val="7.5"/>
        <rFont val="Roboto"/>
      </rPr>
      <t>00.016.000.002 - Mão de Obra - Tubulação Prumadas</t>
    </r>
  </si>
  <si>
    <r>
      <rPr>
        <sz val="7.5"/>
        <rFont val="Roboto"/>
      </rPr>
      <t>00.016.000.003 - Mão de obra - Água quente / fria (parede e teto) e esgoto parede</t>
    </r>
  </si>
  <si>
    <r>
      <rPr>
        <sz val="7.5"/>
        <rFont val="Roboto"/>
      </rPr>
      <t>00.016.000.004 - Mão de Obra - Teto Esgoto / Pluvial</t>
    </r>
  </si>
  <si>
    <r>
      <rPr>
        <sz val="7.5"/>
        <rFont val="Roboto"/>
      </rPr>
      <t>00.016.000.005 - Mão de Obra - Louças e Metais</t>
    </r>
  </si>
  <si>
    <r>
      <rPr>
        <sz val="7.5"/>
        <rFont val="Roboto"/>
      </rPr>
      <t>00.016.000.006 - Mão de Obra - Hidrômetros</t>
    </r>
  </si>
  <si>
    <r>
      <rPr>
        <sz val="7.5"/>
        <rFont val="Roboto"/>
      </rPr>
      <t>00.016.000.007 - Revisao Final de Entrega da Unidade</t>
    </r>
  </si>
  <si>
    <r>
      <rPr>
        <sz val="7.5"/>
        <rFont val="Roboto"/>
      </rPr>
      <t>00.017 - HIDROSSANITARIO - 14º PVTO [TIPO 9]</t>
    </r>
  </si>
  <si>
    <r>
      <rPr>
        <sz val="7.5"/>
        <rFont val="Roboto"/>
      </rPr>
      <t>00.017.000.001 - Mão de Obra - Passagens</t>
    </r>
  </si>
  <si>
    <r>
      <rPr>
        <sz val="7.5"/>
        <rFont val="Roboto"/>
      </rPr>
      <t>00.017.000.002 - Mão de Obra - Tubulação Prumadas</t>
    </r>
  </si>
  <si>
    <r>
      <rPr>
        <sz val="7.5"/>
        <rFont val="Roboto"/>
      </rPr>
      <t>00.017.000.003 - Mão de obra - Água quente / fria (parede e teto) e esgoto parede</t>
    </r>
  </si>
  <si>
    <r>
      <rPr>
        <sz val="7.5"/>
        <rFont val="Roboto"/>
      </rPr>
      <t>00.017.000.004 - Mão de Obra - Teto Esgoto / Pluvial</t>
    </r>
  </si>
  <si>
    <r>
      <rPr>
        <sz val="7.5"/>
        <rFont val="Roboto"/>
      </rPr>
      <t>00.017.000.005 - Mão de Obra - Louças e Metais</t>
    </r>
  </si>
  <si>
    <r>
      <rPr>
        <sz val="7.5"/>
        <rFont val="Roboto"/>
      </rPr>
      <t>00.017.000.006 - Mão de Obra - Hidrômetros</t>
    </r>
  </si>
  <si>
    <r>
      <rPr>
        <sz val="7.5"/>
        <rFont val="Roboto"/>
      </rPr>
      <t>00.017.000.007 - Revisao Final de Entrega da Unidade</t>
    </r>
  </si>
  <si>
    <r>
      <rPr>
        <sz val="7.5"/>
        <rFont val="Roboto"/>
      </rPr>
      <t>00.018 - HIDROSSANITARIO - 15º PVTO [PENTHOUSE 1]</t>
    </r>
  </si>
  <si>
    <r>
      <rPr>
        <sz val="7.5"/>
        <rFont val="Roboto"/>
      </rPr>
      <t>00.018.000.001 - Mão de Obra - Passagens</t>
    </r>
  </si>
  <si>
    <r>
      <rPr>
        <sz val="7.5"/>
        <rFont val="Roboto"/>
      </rPr>
      <t>815,58</t>
    </r>
  </si>
  <si>
    <r>
      <rPr>
        <sz val="7.5"/>
        <rFont val="Roboto"/>
      </rPr>
      <t>R$ 815,58</t>
    </r>
  </si>
  <si>
    <r>
      <rPr>
        <sz val="7.5"/>
        <rFont val="Roboto"/>
      </rPr>
      <t>00.018.000.002 - Mão de Obra - Tubulação Prumadas</t>
    </r>
  </si>
  <si>
    <r>
      <rPr>
        <sz val="7.5"/>
        <rFont val="Roboto"/>
      </rPr>
      <t>2.854,52</t>
    </r>
  </si>
  <si>
    <r>
      <rPr>
        <sz val="7.5"/>
        <rFont val="Roboto"/>
      </rPr>
      <t>R$ 2.854,52</t>
    </r>
  </si>
  <si>
    <r>
      <rPr>
        <sz val="7.5"/>
        <rFont val="Roboto"/>
      </rPr>
      <t>00.018.000.003 - Mão de obra - Água quente / fria (parede e teto) e esgoto parede</t>
    </r>
  </si>
  <si>
    <r>
      <rPr>
        <sz val="7.5"/>
        <rFont val="Roboto"/>
      </rPr>
      <t>5.709,04</t>
    </r>
  </si>
  <si>
    <r>
      <rPr>
        <sz val="7.5"/>
        <rFont val="Roboto"/>
      </rPr>
      <t>R$ 5.709,04</t>
    </r>
  </si>
  <si>
    <r>
      <rPr>
        <sz val="7.5"/>
        <rFont val="Roboto"/>
      </rPr>
      <t>00.018.000.004 - Mão de Obra - Teto Esgoto / Pluvial</t>
    </r>
  </si>
  <si>
    <r>
      <rPr>
        <sz val="7.5"/>
        <rFont val="Roboto"/>
      </rPr>
      <t>00.018.000.005 - Mão de Obra - Louças e Metais</t>
    </r>
  </si>
  <si>
    <r>
      <rPr>
        <sz val="7.5"/>
        <rFont val="Roboto"/>
      </rPr>
      <t>1.386,48</t>
    </r>
  </si>
  <si>
    <r>
      <rPr>
        <sz val="7.5"/>
        <rFont val="Roboto"/>
      </rPr>
      <t>R$ 1.386,48</t>
    </r>
  </si>
  <si>
    <r>
      <rPr>
        <sz val="7.5"/>
        <rFont val="Roboto"/>
      </rPr>
      <t>00.018.000.006 - Mão de Obra - Hidrômetros</t>
    </r>
  </si>
  <si>
    <r>
      <rPr>
        <sz val="7.5"/>
        <rFont val="Roboto"/>
      </rPr>
      <t>1.957,39</t>
    </r>
  </si>
  <si>
    <r>
      <rPr>
        <sz val="7.5"/>
        <rFont val="Roboto"/>
      </rPr>
      <t>R$ 1.957,39</t>
    </r>
  </si>
  <si>
    <r>
      <rPr>
        <sz val="7.5"/>
        <rFont val="Roboto"/>
      </rPr>
      <t>00.018.000.007 - Revisao Final de Entrega da Unidade</t>
    </r>
  </si>
  <si>
    <r>
      <rPr>
        <sz val="7.5"/>
        <rFont val="Roboto"/>
      </rPr>
      <t>734,02</t>
    </r>
  </si>
  <si>
    <r>
      <rPr>
        <sz val="7.5"/>
        <rFont val="Roboto"/>
      </rPr>
      <t>R$ 734,02</t>
    </r>
  </si>
  <si>
    <r>
      <rPr>
        <sz val="7.5"/>
        <rFont val="Roboto"/>
      </rPr>
      <t>00.019 - HIDROSSANITARIO - 16º PVTO [PENTHOUSE 2]</t>
    </r>
  </si>
  <si>
    <r>
      <rPr>
        <sz val="7.5"/>
        <rFont val="Roboto"/>
      </rPr>
      <t>00.019.000.001 - Mão de Obra - Passagens</t>
    </r>
  </si>
  <si>
    <r>
      <rPr>
        <sz val="7.5"/>
        <rFont val="Roboto"/>
      </rPr>
      <t>00.019.000.002 - Mão de Obra - Tubulação Prumadas</t>
    </r>
  </si>
  <si>
    <r>
      <rPr>
        <sz val="7.5"/>
        <rFont val="Roboto"/>
      </rPr>
      <t>00.019.000.003 - Mão de obra - Água quente / fria (parede e teto) e esgoto parede</t>
    </r>
  </si>
  <si>
    <r>
      <rPr>
        <sz val="7.5"/>
        <rFont val="Roboto"/>
      </rPr>
      <t>00.019.000.004 - Mão de Obra - Teto Esgoto / Pluvial</t>
    </r>
  </si>
  <si>
    <r>
      <rPr>
        <sz val="7.5"/>
        <rFont val="Roboto"/>
      </rPr>
      <t>00.019.000.005 - Mão de Obra - Louças e Metais</t>
    </r>
  </si>
  <si>
    <r>
      <rPr>
        <sz val="7.5"/>
        <rFont val="Roboto"/>
      </rPr>
      <t>00.019.000.006 - Mão de Obra - Hidrômetros</t>
    </r>
  </si>
  <si>
    <r>
      <rPr>
        <sz val="7.5"/>
        <rFont val="Roboto"/>
      </rPr>
      <t>00.019.000.007 - Revisao Final de Entrega da Unidade</t>
    </r>
  </si>
  <si>
    <r>
      <rPr>
        <sz val="7.5"/>
        <rFont val="Roboto"/>
      </rPr>
      <t>00.020 - HIDROSSANITARIO - 17º PVTO [PENTHOUSE 3]</t>
    </r>
  </si>
  <si>
    <r>
      <rPr>
        <sz val="7.5"/>
        <rFont val="Roboto"/>
      </rPr>
      <t>00.020.000.001 - Mão de Obra - Passagens</t>
    </r>
  </si>
  <si>
    <r>
      <rPr>
        <sz val="7.5"/>
        <rFont val="Roboto"/>
      </rPr>
      <t>00.020.000.002 - Mão de Obra - Tubulação Prumadas</t>
    </r>
  </si>
  <si>
    <r>
      <rPr>
        <sz val="7.5"/>
        <rFont val="Roboto"/>
      </rPr>
      <t>00.020.000.003 - Mão de obra - Água quente / fria (parede e teto) e esgoto parede</t>
    </r>
  </si>
  <si>
    <r>
      <rPr>
        <sz val="7.5"/>
        <rFont val="Roboto"/>
      </rPr>
      <t>00.020.000.004 - Mão de Obra - Teto Esgoto / Pluvial</t>
    </r>
  </si>
  <si>
    <r>
      <rPr>
        <sz val="7.5"/>
        <rFont val="Roboto"/>
      </rPr>
      <t>00.020.000.005 - Mão de Obra - Louças e Metais</t>
    </r>
  </si>
  <si>
    <r>
      <rPr>
        <sz val="7.5"/>
        <rFont val="Roboto"/>
      </rPr>
      <t>00.020.000.006 - Mão de Obra - Hidrômetros</t>
    </r>
  </si>
  <si>
    <r>
      <rPr>
        <sz val="7.5"/>
        <rFont val="Roboto"/>
      </rPr>
      <t>00.020.000.007 - Revisao Final de Entrega da Unidade</t>
    </r>
  </si>
  <si>
    <r>
      <rPr>
        <sz val="7.5"/>
        <rFont val="Roboto"/>
      </rPr>
      <t>00.021 - HIDROSSANITARIO - 18º PVTO [PENTHOUSE 4]</t>
    </r>
  </si>
  <si>
    <r>
      <rPr>
        <sz val="7.5"/>
        <rFont val="Roboto"/>
      </rPr>
      <t>00.021.000.001 - Mão de Obra - Passagens</t>
    </r>
  </si>
  <si>
    <r>
      <rPr>
        <sz val="7.5"/>
        <rFont val="Roboto"/>
      </rPr>
      <t>00.021.000.002 - Mão de Obra - Tubulação Prumadas</t>
    </r>
  </si>
  <si>
    <r>
      <rPr>
        <sz val="7.5"/>
        <rFont val="Roboto"/>
      </rPr>
      <t>00.021.000.003 - Mão de obra - Água quente / fria (parede e teto) e esgoto parede</t>
    </r>
  </si>
  <si>
    <r>
      <rPr>
        <sz val="7.5"/>
        <rFont val="Roboto"/>
      </rPr>
      <t>00.021.000.004 - Mão de Obra - Teto Esgoto / Pluvial</t>
    </r>
  </si>
  <si>
    <r>
      <rPr>
        <sz val="7.5"/>
        <rFont val="Roboto"/>
      </rPr>
      <t>00.021.000.005 - Mão de Obra - Louças e Metais</t>
    </r>
  </si>
  <si>
    <r>
      <rPr>
        <sz val="7.5"/>
        <rFont val="Roboto"/>
      </rPr>
      <t>00.021.000.006 - Mão de Obra - Hidrômetros</t>
    </r>
  </si>
  <si>
    <r>
      <rPr>
        <sz val="7.5"/>
        <rFont val="Roboto"/>
      </rPr>
      <t>00.021.000.007 - Revisao Final de Entrega da Unidade</t>
    </r>
  </si>
  <si>
    <r>
      <rPr>
        <sz val="7.5"/>
        <rFont val="Roboto"/>
      </rPr>
      <t>00.022 - HIDROSSANITARIO - 19º PVTO [PENTHOUSE 5]</t>
    </r>
  </si>
  <si>
    <r>
      <rPr>
        <sz val="7.5"/>
        <rFont val="Roboto"/>
      </rPr>
      <t>00.022.000.001 - Mão de Obra - Passagens</t>
    </r>
  </si>
  <si>
    <r>
      <rPr>
        <sz val="7.5"/>
        <rFont val="Roboto"/>
      </rPr>
      <t>00.022.000.002 - Mão de Obra - Tubulação Prumadas</t>
    </r>
  </si>
  <si>
    <r>
      <rPr>
        <sz val="7.5"/>
        <rFont val="Roboto"/>
      </rPr>
      <t>00.022.000.003 - Mão de obra - Água quente / fria (parede e teto) e esgoto parede</t>
    </r>
  </si>
  <si>
    <r>
      <rPr>
        <sz val="7.5"/>
        <rFont val="Roboto"/>
      </rPr>
      <t>00.022.000.004 - Mão de Obra - Teto Esgoto / Pluvial</t>
    </r>
  </si>
  <si>
    <r>
      <rPr>
        <sz val="7.5"/>
        <rFont val="Roboto"/>
      </rPr>
      <t>00.022.000.005 - Mão de Obra - Louças e Metais</t>
    </r>
  </si>
  <si>
    <r>
      <rPr>
        <sz val="7.5"/>
        <rFont val="Roboto"/>
      </rPr>
      <t>00.022.000.006 - Mão de Obra - Hidrômetros</t>
    </r>
  </si>
  <si>
    <r>
      <rPr>
        <sz val="7.5"/>
        <rFont val="Roboto"/>
      </rPr>
      <t>00.022.000.007 - Revisao Final de Entrega da Unidade</t>
    </r>
  </si>
  <si>
    <r>
      <rPr>
        <sz val="7.5"/>
        <rFont val="Roboto"/>
      </rPr>
      <t>00.023 - HIDROSSANITARIO - 20º PVTO [PENTHOUSE 6]</t>
    </r>
  </si>
  <si>
    <r>
      <rPr>
        <sz val="7.5"/>
        <rFont val="Roboto"/>
      </rPr>
      <t>00.023.000.001 - Mão de Obra - Passagens</t>
    </r>
  </si>
  <si>
    <r>
      <rPr>
        <sz val="7.5"/>
        <rFont val="Roboto"/>
      </rPr>
      <t>00.023.000.002 - Mão de Obra - Tubulação Prumadas</t>
    </r>
  </si>
  <si>
    <r>
      <rPr>
        <sz val="7.5"/>
        <rFont val="Roboto"/>
      </rPr>
      <t>00.023.000.003 - Mão de obra - Água quente / fria (parede e teto) e esgoto parede</t>
    </r>
  </si>
  <si>
    <r>
      <rPr>
        <sz val="7.5"/>
        <rFont val="Roboto"/>
      </rPr>
      <t>00.023.000.004 - Mão de Obra - Teto Esgoto / Pluvial</t>
    </r>
  </si>
  <si>
    <r>
      <rPr>
        <sz val="7.5"/>
        <rFont val="Roboto"/>
      </rPr>
      <t>00.023.000.005 - Mão de Obra - Louças e Metais</t>
    </r>
  </si>
  <si>
    <r>
      <rPr>
        <sz val="7.5"/>
        <rFont val="Roboto"/>
      </rPr>
      <t>00.023.000.006 - Mão de Obra - Hidrômetros</t>
    </r>
  </si>
  <si>
    <r>
      <rPr>
        <sz val="7.5"/>
        <rFont val="Roboto"/>
      </rPr>
      <t>00.023.000.007 - Revisao Final de Entrega da Unidade</t>
    </r>
  </si>
  <si>
    <r>
      <rPr>
        <sz val="7.5"/>
        <rFont val="Roboto"/>
      </rPr>
      <t>00.024 - HIDROSSANITARIO - 21º PVTO [PENTHOUSE 7]</t>
    </r>
  </si>
  <si>
    <r>
      <rPr>
        <sz val="7.5"/>
        <rFont val="Roboto"/>
      </rPr>
      <t>00.024.000.001 - Mão de Obra - Passagens</t>
    </r>
  </si>
  <si>
    <r>
      <rPr>
        <sz val="7.5"/>
        <rFont val="Roboto"/>
      </rPr>
      <t>00.024.000.002 - Mão de Obra - Tubulação Prumadas</t>
    </r>
  </si>
  <si>
    <r>
      <rPr>
        <sz val="7.5"/>
        <rFont val="Roboto"/>
      </rPr>
      <t>00.024.000.003 - Mão de obra - Água quente / fria (parede e teto) e esgoto parede</t>
    </r>
  </si>
  <si>
    <r>
      <rPr>
        <sz val="7.5"/>
        <rFont val="Roboto"/>
      </rPr>
      <t>00.024.000.004 - Mão de Obra - Teto Esgoto / Pluvial</t>
    </r>
  </si>
  <si>
    <r>
      <rPr>
        <sz val="7.5"/>
        <rFont val="Roboto"/>
      </rPr>
      <t>00.024.000.005 - Mão de Obra - Louças e Metais</t>
    </r>
  </si>
  <si>
    <r>
      <rPr>
        <sz val="7.5"/>
        <rFont val="Roboto"/>
      </rPr>
      <t>00.024.000.006 - Mão de Obra - Hidrômetros</t>
    </r>
  </si>
  <si>
    <r>
      <rPr>
        <sz val="7.5"/>
        <rFont val="Roboto"/>
      </rPr>
      <t>00.024.000.007 - Revisao Final de Entrega da Unidade</t>
    </r>
  </si>
  <si>
    <r>
      <rPr>
        <sz val="7.5"/>
        <rFont val="Roboto"/>
      </rPr>
      <t>00.025 - HIDROSSANITARIO - 22º PVTO [PENTHOUSE 8]</t>
    </r>
  </si>
  <si>
    <r>
      <rPr>
        <sz val="7.5"/>
        <rFont val="Roboto"/>
      </rPr>
      <t>00.025.000.001 - Mão de Obra - Passagens</t>
    </r>
  </si>
  <si>
    <r>
      <rPr>
        <sz val="7.5"/>
        <rFont val="Roboto"/>
      </rPr>
      <t>00.025.000.002 - Mão de Obra - Tubulação Prumadas</t>
    </r>
  </si>
  <si>
    <r>
      <rPr>
        <sz val="7.5"/>
        <rFont val="Roboto"/>
      </rPr>
      <t>00.025.000.003 - Mão de obra - Água quente / fria (parede e teto) e esgoto parede</t>
    </r>
  </si>
  <si>
    <r>
      <rPr>
        <sz val="7.5"/>
        <rFont val="Roboto"/>
      </rPr>
      <t>00.025.000.004 - Mão de Obra - Teto Esgoto / Pluvial</t>
    </r>
  </si>
  <si>
    <r>
      <rPr>
        <sz val="7.5"/>
        <rFont val="Roboto"/>
      </rPr>
      <t>00.025.000.005 - Mão de Obra - Louças e Metais</t>
    </r>
  </si>
  <si>
    <r>
      <rPr>
        <sz val="7.5"/>
        <rFont val="Roboto"/>
      </rPr>
      <t>00.025.000.006 - Mão de Obra - Hidrômetros</t>
    </r>
  </si>
  <si>
    <r>
      <rPr>
        <sz val="7.5"/>
        <rFont val="Roboto"/>
      </rPr>
      <t>00.025.000.007 - Revisao Final de Entrega da Unidade</t>
    </r>
  </si>
  <si>
    <r>
      <rPr>
        <sz val="7.5"/>
        <rFont val="Roboto"/>
      </rPr>
      <t>00.026 - HIDROSSANITARIO - 23º PVTO [PENTHOUSE 9]</t>
    </r>
  </si>
  <si>
    <r>
      <rPr>
        <sz val="7.5"/>
        <rFont val="Roboto"/>
      </rPr>
      <t>00.026.000.001 - Mão de Obra - Passagens</t>
    </r>
  </si>
  <si>
    <r>
      <rPr>
        <sz val="7.5"/>
        <rFont val="Roboto"/>
      </rPr>
      <t>00.026.000.002 - Mão de Obra - Tubulação Prumadas</t>
    </r>
  </si>
  <si>
    <r>
      <rPr>
        <sz val="7.5"/>
        <rFont val="Roboto"/>
      </rPr>
      <t>00.026.000.003 - Mão de obra - Água quente / fria (parede e teto) e esgoto parede</t>
    </r>
  </si>
  <si>
    <r>
      <rPr>
        <sz val="7.5"/>
        <rFont val="Roboto"/>
      </rPr>
      <t>00.026.000.004 - Mão de Obra - Teto Esgoto / Pluvial</t>
    </r>
  </si>
  <si>
    <r>
      <rPr>
        <sz val="7.5"/>
        <rFont val="Roboto"/>
      </rPr>
      <t>00.026.000.005 - Mão de Obra - Louças e Metais</t>
    </r>
  </si>
  <si>
    <r>
      <rPr>
        <sz val="7.5"/>
        <rFont val="Roboto"/>
      </rPr>
      <t>00.026.000.006 - Mão de Obra - Hidrômetros</t>
    </r>
  </si>
  <si>
    <r>
      <rPr>
        <sz val="7.5"/>
        <rFont val="Roboto"/>
      </rPr>
      <t>00.026.000.007 - Revisao Final de Entrega da Unidade</t>
    </r>
  </si>
  <si>
    <r>
      <rPr>
        <sz val="7.5"/>
        <rFont val="Roboto"/>
      </rPr>
      <t>00.027 - HIDROSSANITARIO - 24º PVTO [PENTHOUSE 10]</t>
    </r>
  </si>
  <si>
    <r>
      <rPr>
        <sz val="7.5"/>
        <rFont val="Roboto"/>
      </rPr>
      <t>00.027.000.001 - Mão de Obra - Passagens</t>
    </r>
  </si>
  <si>
    <r>
      <rPr>
        <sz val="7.5"/>
        <rFont val="Roboto"/>
      </rPr>
      <t>00.027.000.002 - Mão de Obra - Tubulação Prumadas</t>
    </r>
  </si>
  <si>
    <r>
      <rPr>
        <sz val="7.5"/>
        <rFont val="Roboto"/>
      </rPr>
      <t>00.027.000.003 - Mão de obra - Água quente / fria (parede e teto) e esgoto parede</t>
    </r>
  </si>
  <si>
    <r>
      <rPr>
        <sz val="7.5"/>
        <rFont val="Roboto"/>
      </rPr>
      <t>00.027.000.004 - Mão de Obra - Teto Esgoto / Pluvial</t>
    </r>
  </si>
  <si>
    <r>
      <rPr>
        <sz val="7.5"/>
        <rFont val="Roboto"/>
      </rPr>
      <t>00.027.000.005 - Mão de Obra - Louças e Metais</t>
    </r>
  </si>
  <si>
    <r>
      <rPr>
        <sz val="7.5"/>
        <rFont val="Roboto"/>
      </rPr>
      <t>00.027.000.006 - Mão de Obra - Hidrômetros</t>
    </r>
  </si>
  <si>
    <r>
      <rPr>
        <sz val="7.5"/>
        <rFont val="Roboto"/>
      </rPr>
      <t>00.027.000.007 - Revisao Final de Entrega da Unidade</t>
    </r>
  </si>
  <si>
    <r>
      <rPr>
        <sz val="7.5"/>
        <rFont val="Roboto"/>
      </rPr>
      <t>00.028 - HIDROSSANITARIO - 25º PVTO [PENTHOUSE 11]</t>
    </r>
  </si>
  <si>
    <r>
      <rPr>
        <sz val="7.5"/>
        <rFont val="Roboto"/>
      </rPr>
      <t>00.028.000.001 - Mão de Obra - Passagens</t>
    </r>
  </si>
  <si>
    <r>
      <rPr>
        <sz val="7.5"/>
        <rFont val="Roboto"/>
      </rPr>
      <t>00.028.000.002 - Mão de Obra - Tubulação Prumadas</t>
    </r>
  </si>
  <si>
    <r>
      <rPr>
        <sz val="7.5"/>
        <rFont val="Roboto"/>
      </rPr>
      <t>00.028.000.003 - Mão de obra - Água quente / fria (parede e teto) e esgoto parede</t>
    </r>
  </si>
  <si>
    <r>
      <rPr>
        <sz val="7.5"/>
        <rFont val="Roboto"/>
      </rPr>
      <t>00.028.000.004 - Mão de Obra - Teto Esgoto / Pluvial</t>
    </r>
  </si>
  <si>
    <r>
      <rPr>
        <sz val="7.5"/>
        <rFont val="Roboto"/>
      </rPr>
      <t>00.028.000.005 - Mão de Obra - Louças e Metais</t>
    </r>
  </si>
  <si>
    <r>
      <rPr>
        <sz val="7.5"/>
        <rFont val="Roboto"/>
      </rPr>
      <t>00.028.000.006 - Mão de Obra - Hidrômetros</t>
    </r>
  </si>
  <si>
    <r>
      <rPr>
        <sz val="7.5"/>
        <rFont val="Roboto"/>
      </rPr>
      <t>00.028.000.007 - Revisao Final de Entrega da Unidade</t>
    </r>
  </si>
  <si>
    <r>
      <rPr>
        <sz val="7.5"/>
        <rFont val="Roboto"/>
      </rPr>
      <t>00.029 - HIDROSSANITARIO - 26º PVTO [PENTHOUSE 12]</t>
    </r>
  </si>
  <si>
    <r>
      <rPr>
        <sz val="7.5"/>
        <rFont val="Roboto"/>
      </rPr>
      <t>00.029.000.001 - Mão de Obra - Passagens</t>
    </r>
  </si>
  <si>
    <r>
      <rPr>
        <sz val="7.5"/>
        <rFont val="Roboto"/>
      </rPr>
      <t>00.029.000.002 - Mão de Obra - Tubulação Prumadas</t>
    </r>
  </si>
  <si>
    <r>
      <rPr>
        <sz val="7.5"/>
        <rFont val="Roboto"/>
      </rPr>
      <t>00.029.000.003 - Mão de obra - Água quente / fria (parede e teto) e esgoto parede</t>
    </r>
  </si>
  <si>
    <r>
      <rPr>
        <sz val="7.5"/>
        <rFont val="Roboto"/>
      </rPr>
      <t>00.029.000.004 - Mão de Obra - Teto Esgoto / Pluvial</t>
    </r>
  </si>
  <si>
    <r>
      <rPr>
        <sz val="7.5"/>
        <rFont val="Roboto"/>
      </rPr>
      <t>00.029.000.005 - Mão de Obra - Louças e Metais</t>
    </r>
  </si>
  <si>
    <r>
      <rPr>
        <sz val="7.5"/>
        <rFont val="Roboto"/>
      </rPr>
      <t>00.029.000.006 - Mão de Obra - Hidrômetros</t>
    </r>
  </si>
  <si>
    <r>
      <rPr>
        <sz val="7.5"/>
        <rFont val="Roboto"/>
      </rPr>
      <t>00.029.000.007 - Revisao Final de Entrega da Unidade</t>
    </r>
  </si>
  <si>
    <r>
      <rPr>
        <sz val="7.5"/>
        <rFont val="Roboto"/>
      </rPr>
      <t>00.030 - HIDROSSANITARIO - 27º PVTO [PENTHOUSE 13]</t>
    </r>
  </si>
  <si>
    <r>
      <rPr>
        <sz val="7.5"/>
        <rFont val="Roboto"/>
      </rPr>
      <t>00.030.000.001 - Mão de Obra - Passagens</t>
    </r>
  </si>
  <si>
    <r>
      <rPr>
        <sz val="7.5"/>
        <rFont val="Roboto"/>
      </rPr>
      <t>00.030.000.002 - Mão de Obra - Tubulação Prumadas</t>
    </r>
  </si>
  <si>
    <r>
      <rPr>
        <sz val="7.5"/>
        <rFont val="Roboto"/>
      </rPr>
      <t>00.030.000.003 - Mão de obra - Água quente / fria (parede e teto) e esgoto parede</t>
    </r>
  </si>
  <si>
    <r>
      <rPr>
        <sz val="7.5"/>
        <rFont val="Roboto"/>
      </rPr>
      <t>00.030.000.004 - Mão de Obra - Teto Esgoto / Pluvial</t>
    </r>
  </si>
  <si>
    <r>
      <rPr>
        <sz val="7.5"/>
        <rFont val="Roboto"/>
      </rPr>
      <t>00.030.000.005 - Mão de Obra - Louças e Metais</t>
    </r>
  </si>
  <si>
    <r>
      <rPr>
        <sz val="7.5"/>
        <rFont val="Roboto"/>
      </rPr>
      <t>00.030.000.006 - Mão de Obra - Hidrômetros</t>
    </r>
  </si>
  <si>
    <r>
      <rPr>
        <sz val="7.5"/>
        <rFont val="Roboto"/>
      </rPr>
      <t>00.030.000.007 - Revisao Final de Entrega da Unidade</t>
    </r>
  </si>
  <si>
    <r>
      <rPr>
        <sz val="7.5"/>
        <rFont val="Roboto"/>
      </rPr>
      <t>00.031 - HIDROSSANITARIO - 28º PVTO [PENTHOUSE 14]</t>
    </r>
  </si>
  <si>
    <r>
      <rPr>
        <sz val="7.5"/>
        <rFont val="Roboto"/>
      </rPr>
      <t>00.031.000.001 - Mão de Obra - Passagens</t>
    </r>
  </si>
  <si>
    <r>
      <rPr>
        <sz val="7.5"/>
        <rFont val="Roboto"/>
      </rPr>
      <t>00.031.000.002 - Mão de Obra - Tubulação Prumadas</t>
    </r>
  </si>
  <si>
    <r>
      <rPr>
        <sz val="7.5"/>
        <rFont val="Roboto"/>
      </rPr>
      <t>00.031.000.003 - Mão de obra - Água quente / fria (parede e teto) e esgoto parede</t>
    </r>
  </si>
  <si>
    <r>
      <rPr>
        <sz val="7.5"/>
        <rFont val="Roboto"/>
      </rPr>
      <t>00.031.000.004 - Mão de Obra - Teto Esgoto / Pluvial</t>
    </r>
  </si>
  <si>
    <r>
      <rPr>
        <sz val="7.5"/>
        <rFont val="Roboto"/>
      </rPr>
      <t>00.031.000.005 - Mão de Obra - Louças e Metais</t>
    </r>
  </si>
  <si>
    <r>
      <rPr>
        <sz val="7.5"/>
        <rFont val="Roboto"/>
      </rPr>
      <t>00.031.000.006 - Mão de Obra - Hidrômetros</t>
    </r>
  </si>
  <si>
    <r>
      <rPr>
        <sz val="7.5"/>
        <rFont val="Roboto"/>
      </rPr>
      <t>00.031.000.007 - Revisao Final de Entrega da Unidade</t>
    </r>
  </si>
  <si>
    <r>
      <rPr>
        <sz val="7.5"/>
        <rFont val="Roboto"/>
      </rPr>
      <t>00.032 - HIDROSSANITARIO - 29º PVTO [PENTHOUSE 15]</t>
    </r>
  </si>
  <si>
    <r>
      <rPr>
        <sz val="7.5"/>
        <rFont val="Roboto"/>
      </rPr>
      <t>00.032.000.001 - Mão de Obra - Passagens</t>
    </r>
  </si>
  <si>
    <r>
      <rPr>
        <sz val="7.5"/>
        <rFont val="Roboto"/>
      </rPr>
      <t>00.032.000.002 - Mão de Obra - Tubulação Prumadas</t>
    </r>
  </si>
  <si>
    <r>
      <rPr>
        <sz val="7.5"/>
        <rFont val="Roboto"/>
      </rPr>
      <t>00.032.000.003 - Mão de obra - Água quente / fria (parede e teto) e esgoto parede</t>
    </r>
  </si>
  <si>
    <r>
      <rPr>
        <sz val="7.5"/>
        <rFont val="Roboto"/>
      </rPr>
      <t>00.032.000.004 - Mão de Obra - Teto Esgoto / Pluvial</t>
    </r>
  </si>
  <si>
    <r>
      <rPr>
        <sz val="7.5"/>
        <rFont val="Roboto"/>
      </rPr>
      <t>00.032.000.005 - Mão de Obra - Louças e Metais</t>
    </r>
  </si>
  <si>
    <r>
      <rPr>
        <sz val="7.5"/>
        <rFont val="Roboto"/>
      </rPr>
      <t>00.032.000.006 - Mão de Obra - Hidrômetros</t>
    </r>
  </si>
  <si>
    <r>
      <rPr>
        <sz val="7.5"/>
        <rFont val="Roboto"/>
      </rPr>
      <t>00.032.000.007 - Revisao Final de Entrega da Unidade</t>
    </r>
  </si>
  <si>
    <r>
      <rPr>
        <sz val="7.5"/>
        <rFont val="Roboto"/>
      </rPr>
      <t>00.033 - HIDROSSANITARIO - 30º PVTO [PENTHOUSE 16]</t>
    </r>
  </si>
  <si>
    <r>
      <rPr>
        <sz val="7.5"/>
        <rFont val="Roboto"/>
      </rPr>
      <t>00.033.000.001 - Mão de Obra - Passagens</t>
    </r>
  </si>
  <si>
    <r>
      <rPr>
        <sz val="7.5"/>
        <rFont val="Roboto"/>
      </rPr>
      <t>00.033.000.002 - Mão de Obra - Tubulação Prumadas</t>
    </r>
  </si>
  <si>
    <r>
      <rPr>
        <sz val="7.5"/>
        <rFont val="Roboto"/>
      </rPr>
      <t>00.033.000.003 - Mão de obra - Água quente / fria (parede e teto) e esgoto parede</t>
    </r>
  </si>
  <si>
    <r>
      <rPr>
        <sz val="7.5"/>
        <rFont val="Roboto"/>
      </rPr>
      <t>00.033.000.004 - Mão de Obra - Teto Esgoto / Pluvial</t>
    </r>
  </si>
  <si>
    <r>
      <rPr>
        <sz val="7.5"/>
        <rFont val="Roboto"/>
      </rPr>
      <t>00.033.000.005 - Mão de Obra - Louças e Metais</t>
    </r>
  </si>
  <si>
    <r>
      <rPr>
        <sz val="7.5"/>
        <rFont val="Roboto"/>
      </rPr>
      <t>00.033.000.006 - Mão de Obra - Hidrômetros</t>
    </r>
  </si>
  <si>
    <r>
      <rPr>
        <sz val="7.5"/>
        <rFont val="Roboto"/>
      </rPr>
      <t>00.033.000.007 - Revisao Final de Entrega da Unidade</t>
    </r>
  </si>
  <si>
    <r>
      <rPr>
        <sz val="7.5"/>
        <rFont val="Roboto"/>
      </rPr>
      <t>00.034 - HIDROSSANITARIO - 31º PVTO [PENTHOUSE 17]</t>
    </r>
  </si>
  <si>
    <r>
      <rPr>
        <sz val="7.5"/>
        <rFont val="Roboto"/>
      </rPr>
      <t>00.034.000.001 - Mão de Obra - Passagens</t>
    </r>
  </si>
  <si>
    <r>
      <rPr>
        <sz val="7.5"/>
        <rFont val="Roboto"/>
      </rPr>
      <t>00.034.000.002 - Mão de Obra - Tubulação Prumadas</t>
    </r>
  </si>
  <si>
    <r>
      <rPr>
        <sz val="7.5"/>
        <rFont val="Roboto"/>
      </rPr>
      <t>00.034.000.003 - Mão de obra - Água quente / fria (parede e teto) e esgoto parede</t>
    </r>
  </si>
  <si>
    <r>
      <rPr>
        <sz val="7.5"/>
        <rFont val="Roboto"/>
      </rPr>
      <t>00.034.000.004 - Mão de Obra - Teto Esgoto / Pluvial</t>
    </r>
  </si>
  <si>
    <r>
      <rPr>
        <sz val="7.5"/>
        <rFont val="Roboto"/>
      </rPr>
      <t>00.034.000.005 - Mão de Obra - Louças e Metais</t>
    </r>
  </si>
  <si>
    <r>
      <rPr>
        <sz val="7.5"/>
        <rFont val="Roboto"/>
      </rPr>
      <t>00.034.000.006 - Mão de Obra - Hidrômetros</t>
    </r>
  </si>
  <si>
    <r>
      <rPr>
        <sz val="7.5"/>
        <rFont val="Roboto"/>
      </rPr>
      <t>00.034.000.007 - Revisao Final de Entrega da Unidade</t>
    </r>
  </si>
  <si>
    <r>
      <rPr>
        <sz val="7.5"/>
        <rFont val="Roboto"/>
      </rPr>
      <t>00.035 - HIDROSSANITARIO - 32º PVTO [PENTHOUSE 18]</t>
    </r>
  </si>
  <si>
    <r>
      <rPr>
        <sz val="7.5"/>
        <rFont val="Roboto"/>
      </rPr>
      <t>00.035.000.001 - Mão de Obra - Passagens</t>
    </r>
  </si>
  <si>
    <r>
      <rPr>
        <sz val="7.5"/>
        <rFont val="Roboto"/>
      </rPr>
      <t>00.035.000.002 - Mão de Obra - Tubulação Prumadas</t>
    </r>
  </si>
  <si>
    <r>
      <rPr>
        <sz val="7.5"/>
        <rFont val="Roboto"/>
      </rPr>
      <t>00.035.000.003 - Mão de obra - Água quente / fria (parede e teto) e esgoto parede</t>
    </r>
  </si>
  <si>
    <r>
      <rPr>
        <sz val="7.5"/>
        <rFont val="Roboto"/>
      </rPr>
      <t>00.035.000.004 - Mão de Obra - Teto Esgoto / Pluvial</t>
    </r>
  </si>
  <si>
    <r>
      <rPr>
        <sz val="7.5"/>
        <rFont val="Roboto"/>
      </rPr>
      <t>00.035.000.005 - Mão de Obra - Louças e Metais</t>
    </r>
  </si>
  <si>
    <r>
      <rPr>
        <sz val="7.5"/>
        <rFont val="Roboto"/>
      </rPr>
      <t>00.035.000.006 - Mão de Obra - Hidrômetros</t>
    </r>
  </si>
  <si>
    <r>
      <rPr>
        <sz val="7.5"/>
        <rFont val="Roboto"/>
      </rPr>
      <t>00.035.000.007 - Revisao Final de Entrega da Unidade</t>
    </r>
  </si>
  <si>
    <r>
      <rPr>
        <sz val="7.5"/>
        <rFont val="Roboto"/>
      </rPr>
      <t>00.036 - HIDROSSANITARIO - 33º PVTO [PENTHOUSE 19]</t>
    </r>
  </si>
  <si>
    <r>
      <rPr>
        <sz val="7.5"/>
        <rFont val="Roboto"/>
      </rPr>
      <t>00.036.000.001 - Mão de Obra - Passagens</t>
    </r>
  </si>
  <si>
    <r>
      <rPr>
        <sz val="7.5"/>
        <rFont val="Roboto"/>
      </rPr>
      <t>00.036.000.002 - Mão de Obra - Tubulação Prumadas</t>
    </r>
  </si>
  <si>
    <r>
      <rPr>
        <sz val="7.5"/>
        <rFont val="Roboto"/>
      </rPr>
      <t>00.036.000.003 - Mão de obra - Água quente / fria (parede e teto) e esgoto parede</t>
    </r>
  </si>
  <si>
    <r>
      <rPr>
        <sz val="7.5"/>
        <rFont val="Roboto"/>
      </rPr>
      <t>00.036.000.004 - Mão de Obra - Teto Esgoto / Pluvial</t>
    </r>
  </si>
  <si>
    <r>
      <rPr>
        <sz val="7.5"/>
        <rFont val="Roboto"/>
      </rPr>
      <t>00.036.000.005 - Mão de Obra - Louças e Metais</t>
    </r>
  </si>
  <si>
    <r>
      <rPr>
        <sz val="7.5"/>
        <rFont val="Roboto"/>
      </rPr>
      <t>00.036.000.006 - Mão de Obra - Hidrômetros</t>
    </r>
  </si>
  <si>
    <r>
      <rPr>
        <sz val="7.5"/>
        <rFont val="Roboto"/>
      </rPr>
      <t>00.036.000.007 - Revisao Final de Entrega da Unidade</t>
    </r>
  </si>
  <si>
    <r>
      <rPr>
        <sz val="7.5"/>
        <rFont val="Roboto"/>
      </rPr>
      <t>00.037 - HIDROSSANITARIO - 34º PVTO [PENTHOUSE 20]</t>
    </r>
  </si>
  <si>
    <r>
      <rPr>
        <sz val="7.5"/>
        <rFont val="Roboto"/>
      </rPr>
      <t>00.037.000.001 - Mão de Obra - Passagens</t>
    </r>
  </si>
  <si>
    <r>
      <rPr>
        <sz val="7.5"/>
        <rFont val="Roboto"/>
      </rPr>
      <t>00.037.000.002 - Mão de Obra - Tubulação Prumadas</t>
    </r>
  </si>
  <si>
    <r>
      <rPr>
        <sz val="7.5"/>
        <rFont val="Roboto"/>
      </rPr>
      <t>00.037.000.003 - Mão de obra - Água quente / fria (parede e teto) e esgoto parede</t>
    </r>
  </si>
  <si>
    <r>
      <rPr>
        <sz val="7.5"/>
        <rFont val="Roboto"/>
      </rPr>
      <t>00.037.000.004 - Mão de Obra - Teto Esgoto / Pluvial</t>
    </r>
  </si>
  <si>
    <r>
      <rPr>
        <sz val="7.5"/>
        <rFont val="Roboto"/>
      </rPr>
      <t>00.037.000.005 - Mão de Obra - Louças e Metais</t>
    </r>
  </si>
  <si>
    <r>
      <rPr>
        <sz val="7.5"/>
        <rFont val="Roboto"/>
      </rPr>
      <t>00.037.000.006 - Mão de Obra - Hidrômetros</t>
    </r>
  </si>
  <si>
    <r>
      <rPr>
        <sz val="7.5"/>
        <rFont val="Roboto"/>
      </rPr>
      <t>00.037.000.007 - Revisao Final de Entrega da Unidade</t>
    </r>
  </si>
  <si>
    <r>
      <rPr>
        <sz val="7.5"/>
        <rFont val="Roboto"/>
      </rPr>
      <t>00.038 - HIDROSSANITARIO - 35º PVTO [PENTHOUSE 21]</t>
    </r>
  </si>
  <si>
    <r>
      <rPr>
        <sz val="7.5"/>
        <rFont val="Roboto"/>
      </rPr>
      <t>00.038.000.001 - Mão de Obra - Passagens</t>
    </r>
  </si>
  <si>
    <r>
      <rPr>
        <sz val="7.5"/>
        <rFont val="Roboto"/>
      </rPr>
      <t>00.038.000.002 - Mão de Obra - Tubulação Prumadas</t>
    </r>
  </si>
  <si>
    <r>
      <rPr>
        <sz val="7.5"/>
        <rFont val="Roboto"/>
      </rPr>
      <t>00.038.000.003 - Mão de obra - Água quente / fria (parede e teto) e esgoto parede</t>
    </r>
  </si>
  <si>
    <r>
      <rPr>
        <sz val="7.5"/>
        <rFont val="Roboto"/>
      </rPr>
      <t>00.038.000.004 - Mão de Obra - Teto Esgoto / Pluvial</t>
    </r>
  </si>
  <si>
    <r>
      <rPr>
        <sz val="7.5"/>
        <rFont val="Roboto"/>
      </rPr>
      <t>00.038.000.005 - Mão de Obra - Louças e Metais</t>
    </r>
  </si>
  <si>
    <r>
      <rPr>
        <sz val="7.5"/>
        <rFont val="Roboto"/>
      </rPr>
      <t>00.038.000.006 - Mão de Obra - Hidrômetros</t>
    </r>
  </si>
  <si>
    <r>
      <rPr>
        <sz val="7.5"/>
        <rFont val="Roboto"/>
      </rPr>
      <t>00.038.000.007 - Revisao Final de Entrega da Unidade</t>
    </r>
  </si>
  <si>
    <r>
      <rPr>
        <sz val="7.5"/>
        <rFont val="Roboto"/>
      </rPr>
      <t>00.039 - HIDROSSANITARIO - 36º PVTO [PENTHOUSE 22]</t>
    </r>
  </si>
  <si>
    <r>
      <rPr>
        <sz val="7.5"/>
        <rFont val="Roboto"/>
      </rPr>
      <t>00.039.000.001 - Mão de Obra - Passagens</t>
    </r>
  </si>
  <si>
    <r>
      <rPr>
        <sz val="7.5"/>
        <rFont val="Roboto"/>
      </rPr>
      <t>00.039.000.002 - Mão de Obra - Tubulação Prumadas</t>
    </r>
  </si>
  <si>
    <r>
      <rPr>
        <sz val="7.5"/>
        <rFont val="Roboto"/>
      </rPr>
      <t>00.039.000.003 - Mão de obra - Água quente / fria (parede e teto) e esgoto parede</t>
    </r>
  </si>
  <si>
    <r>
      <rPr>
        <sz val="7.5"/>
        <rFont val="Roboto"/>
      </rPr>
      <t>00.039.000.004 - Mão de Obra - Teto Esgoto / Pluvial</t>
    </r>
  </si>
  <si>
    <r>
      <rPr>
        <sz val="7.5"/>
        <rFont val="Roboto"/>
      </rPr>
      <t>00.039.000.005 - Mão de Obra - Louças e Metais</t>
    </r>
  </si>
  <si>
    <r>
      <rPr>
        <sz val="7.5"/>
        <rFont val="Roboto"/>
      </rPr>
      <t>00.039.000.006 - Mão de Obra - Hidrômetros</t>
    </r>
  </si>
  <si>
    <r>
      <rPr>
        <sz val="7.5"/>
        <rFont val="Roboto"/>
      </rPr>
      <t>00.039.000.007 - Revisao Final de Entrega da Unidade</t>
    </r>
  </si>
  <si>
    <r>
      <rPr>
        <sz val="7.5"/>
        <rFont val="Roboto"/>
      </rPr>
      <t>00.040 - HIDROSSANITARIO - 37º PVTO [DUPLEX INFERIOR]</t>
    </r>
  </si>
  <si>
    <r>
      <rPr>
        <sz val="7.5"/>
        <rFont val="Roboto"/>
      </rPr>
      <t>00.040.000.001 - Mão de Obra - Passagens</t>
    </r>
  </si>
  <si>
    <r>
      <rPr>
        <sz val="7.5"/>
        <rFont val="Roboto"/>
      </rPr>
      <t>787,07</t>
    </r>
  </si>
  <si>
    <r>
      <rPr>
        <sz val="7.5"/>
        <rFont val="Roboto"/>
      </rPr>
      <t>R$ 787,07</t>
    </r>
  </si>
  <si>
    <r>
      <rPr>
        <sz val="7.5"/>
        <rFont val="Roboto"/>
      </rPr>
      <t>00.040.000.002 - Mão de Obra - Tubulação Prumadas</t>
    </r>
  </si>
  <si>
    <r>
      <rPr>
        <sz val="7.5"/>
        <rFont val="Roboto"/>
      </rPr>
      <t>2.754,75</t>
    </r>
  </si>
  <si>
    <r>
      <rPr>
        <sz val="7.5"/>
        <rFont val="Roboto"/>
      </rPr>
      <t>R$ 2.754,75</t>
    </r>
  </si>
  <si>
    <r>
      <rPr>
        <sz val="7.5"/>
        <rFont val="Roboto"/>
      </rPr>
      <t>00.040.000.003 - Mão de obra - Água quente / fria (parede e teto) e esgoto parede</t>
    </r>
  </si>
  <si>
    <r>
      <rPr>
        <sz val="7.5"/>
        <rFont val="Roboto"/>
      </rPr>
      <t>5.509,51</t>
    </r>
  </si>
  <si>
    <r>
      <rPr>
        <sz val="7.5"/>
        <rFont val="Roboto"/>
      </rPr>
      <t>R$ 5.509,51</t>
    </r>
  </si>
  <si>
    <r>
      <rPr>
        <sz val="7.5"/>
        <rFont val="Roboto"/>
      </rPr>
      <t>00.040.000.004 - Mão de Obra - Teto Esgoto / Pluvial</t>
    </r>
  </si>
  <si>
    <r>
      <rPr>
        <sz val="7.5"/>
        <rFont val="Roboto"/>
      </rPr>
      <t>00.040.000.005 - Mão de Obra - Louças e Metais</t>
    </r>
  </si>
  <si>
    <r>
      <rPr>
        <sz val="7.5"/>
        <rFont val="Roboto"/>
      </rPr>
      <t>1.338,02</t>
    </r>
  </si>
  <si>
    <r>
      <rPr>
        <sz val="7.5"/>
        <rFont val="Roboto"/>
      </rPr>
      <t>R$ 1.338,02</t>
    </r>
  </si>
  <si>
    <r>
      <rPr>
        <sz val="7.5"/>
        <rFont val="Roboto"/>
      </rPr>
      <t>00.040.000.006 - Mão de Obra - Hidrômetros</t>
    </r>
  </si>
  <si>
    <r>
      <rPr>
        <sz val="7.5"/>
        <rFont val="Roboto"/>
      </rPr>
      <t>1.888,97</t>
    </r>
  </si>
  <si>
    <r>
      <rPr>
        <sz val="7.5"/>
        <rFont val="Roboto"/>
      </rPr>
      <t>R$ 1.888,97</t>
    </r>
  </si>
  <si>
    <r>
      <rPr>
        <sz val="7.5"/>
        <rFont val="Roboto"/>
      </rPr>
      <t>00.040.000.007 - Revisao Final de Entrega da Unidade</t>
    </r>
  </si>
  <si>
    <r>
      <rPr>
        <sz val="7.5"/>
        <rFont val="Roboto"/>
      </rPr>
      <t>708,37</t>
    </r>
  </si>
  <si>
    <r>
      <rPr>
        <sz val="7.5"/>
        <rFont val="Roboto"/>
      </rPr>
      <t>R$ 708,37</t>
    </r>
  </si>
  <si>
    <r>
      <rPr>
        <sz val="7.5"/>
        <rFont val="Roboto"/>
      </rPr>
      <t>00.041 - HIDROSSANITARIO - 38º PVTO [DUPLEX SUPERIOR]</t>
    </r>
  </si>
  <si>
    <r>
      <rPr>
        <sz val="7.5"/>
        <rFont val="Roboto"/>
      </rPr>
      <t>00.041.000.001 - Mão de Obra - Passagens</t>
    </r>
  </si>
  <si>
    <r>
      <rPr>
        <sz val="7.5"/>
        <rFont val="Roboto"/>
      </rPr>
      <t>749,03</t>
    </r>
  </si>
  <si>
    <r>
      <rPr>
        <sz val="7.5"/>
        <rFont val="Roboto"/>
      </rPr>
      <t>R$ 749,03</t>
    </r>
  </si>
  <si>
    <r>
      <rPr>
        <sz val="7.5"/>
        <rFont val="Roboto"/>
      </rPr>
      <t>00.041.000.002 - Mão de Obra - Tubulação Prumadas</t>
    </r>
  </si>
  <si>
    <r>
      <rPr>
        <sz val="7.5"/>
        <rFont val="Roboto"/>
      </rPr>
      <t>2.621,60</t>
    </r>
  </si>
  <si>
    <r>
      <rPr>
        <sz val="7.5"/>
        <rFont val="Roboto"/>
      </rPr>
      <t>R$ 2.621,60</t>
    </r>
  </si>
  <si>
    <r>
      <rPr>
        <sz val="7.5"/>
        <rFont val="Roboto"/>
      </rPr>
      <t>00.041.000.003 - Mão de obra - Água quente / fria (parede e teto) e esgoto parede</t>
    </r>
  </si>
  <si>
    <r>
      <rPr>
        <sz val="7.5"/>
        <rFont val="Roboto"/>
      </rPr>
      <t>5.243,21</t>
    </r>
  </si>
  <si>
    <r>
      <rPr>
        <sz val="7.5"/>
        <rFont val="Roboto"/>
      </rPr>
      <t>R$ 5.243,21</t>
    </r>
  </si>
  <si>
    <r>
      <rPr>
        <sz val="7.5"/>
        <rFont val="Roboto"/>
      </rPr>
      <t>00.041.000.004 - Mão de Obra - Teto Esgoto / Pluvial</t>
    </r>
  </si>
  <si>
    <r>
      <rPr>
        <sz val="7.5"/>
        <rFont val="Roboto"/>
      </rPr>
      <t>00.041.000.005 - Mão de Obra - Louças e Metais</t>
    </r>
  </si>
  <si>
    <r>
      <rPr>
        <sz val="7.5"/>
        <rFont val="Roboto"/>
      </rPr>
      <t>1.273,35</t>
    </r>
  </si>
  <si>
    <r>
      <rPr>
        <sz val="7.5"/>
        <rFont val="Roboto"/>
      </rPr>
      <t>R$ 1.273,35</t>
    </r>
  </si>
  <si>
    <r>
      <rPr>
        <sz val="7.5"/>
        <rFont val="Roboto"/>
      </rPr>
      <t>00.041.000.006 - Mão de Obra - Hidrômetros</t>
    </r>
  </si>
  <si>
    <r>
      <rPr>
        <sz val="7.5"/>
        <rFont val="Roboto"/>
      </rPr>
      <t>1.797,67</t>
    </r>
  </si>
  <si>
    <r>
      <rPr>
        <sz val="7.5"/>
        <rFont val="Roboto"/>
      </rPr>
      <t>R$ 1.797,67</t>
    </r>
  </si>
  <si>
    <r>
      <rPr>
        <sz val="7.5"/>
        <rFont val="Roboto"/>
      </rPr>
      <t>00.041.000.007 - Revisao Final de Entrega da Unidade</t>
    </r>
  </si>
  <si>
    <r>
      <rPr>
        <sz val="7.5"/>
        <rFont val="Roboto"/>
      </rPr>
      <t>674,13</t>
    </r>
  </si>
  <si>
    <r>
      <rPr>
        <sz val="7.5"/>
        <rFont val="Roboto"/>
      </rPr>
      <t>R$ 674,13</t>
    </r>
  </si>
  <si>
    <r>
      <rPr>
        <sz val="7.5"/>
        <rFont val="Roboto"/>
      </rPr>
      <t>00.042 - HIDROSSANITARIO - TELHADO / CASA MÁQUINAS</t>
    </r>
  </si>
  <si>
    <r>
      <rPr>
        <sz val="7.5"/>
        <rFont val="Roboto"/>
      </rPr>
      <t>00.042.000.001 - Mão de Obra - Passagens</t>
    </r>
  </si>
  <si>
    <r>
      <rPr>
        <sz val="7.5"/>
        <rFont val="Roboto"/>
      </rPr>
      <t>990,29</t>
    </r>
  </si>
  <si>
    <r>
      <rPr>
        <sz val="7.5"/>
        <rFont val="Roboto"/>
      </rPr>
      <t>R$ 990,29</t>
    </r>
  </si>
  <si>
    <r>
      <rPr>
        <sz val="7.5"/>
        <rFont val="Roboto"/>
      </rPr>
      <t>00.042.000.002 - Mão de Obra - Tubulação de Paredes / Prumadas</t>
    </r>
  </si>
  <si>
    <r>
      <rPr>
        <sz val="7.5"/>
        <rFont val="Roboto"/>
      </rPr>
      <t>2.970,86</t>
    </r>
  </si>
  <si>
    <r>
      <rPr>
        <sz val="7.5"/>
        <rFont val="Roboto"/>
      </rPr>
      <t>R$ 2.970,86</t>
    </r>
  </si>
  <si>
    <r>
      <rPr>
        <sz val="7.5"/>
        <rFont val="Roboto"/>
      </rPr>
      <t>00.043 - HIDROSSANITARIO - BARRILETE</t>
    </r>
  </si>
  <si>
    <r>
      <rPr>
        <sz val="7.5"/>
        <rFont val="Roboto"/>
      </rPr>
      <t>00.043.000.001 - Mão de Obra - Passagens</t>
    </r>
  </si>
  <si>
    <r>
      <rPr>
        <sz val="7.5"/>
        <rFont val="Roboto"/>
      </rPr>
      <t>00.043.000.002 - Mão de Obra - Tubulação de Paredes / Prumadas</t>
    </r>
  </si>
  <si>
    <r>
      <rPr>
        <sz val="7.5"/>
        <rFont val="Roboto"/>
      </rPr>
      <t>00.044 - HIDROSSANITARIO - RESERVATÓRIO</t>
    </r>
  </si>
  <si>
    <r>
      <rPr>
        <sz val="7.5"/>
        <rFont val="Roboto"/>
      </rPr>
      <t>00.044.000.001 - Mão de Obra - Passagens</t>
    </r>
  </si>
  <si>
    <r>
      <rPr>
        <sz val="7.5"/>
        <rFont val="Roboto"/>
      </rPr>
      <t>990,26</t>
    </r>
  </si>
  <si>
    <r>
      <rPr>
        <sz val="7.5"/>
        <rFont val="Roboto"/>
      </rPr>
      <t>R$ 990,26</t>
    </r>
  </si>
  <si>
    <r>
      <rPr>
        <sz val="7.5"/>
        <rFont val="Roboto"/>
      </rPr>
      <t>00.044.000.002 - Mão de Obra - Tubulação de Paredes / Prumadas</t>
    </r>
  </si>
  <si>
    <r>
      <rPr>
        <sz val="7.5"/>
        <rFont val="Roboto"/>
      </rPr>
      <t>1.980,52</t>
    </r>
  </si>
  <si>
    <r>
      <rPr>
        <sz val="7.5"/>
        <rFont val="Roboto"/>
      </rPr>
      <t>R$ 1.980,52</t>
    </r>
  </si>
  <si>
    <r>
      <rPr>
        <sz val="7.5"/>
        <rFont val="Roboto"/>
      </rPr>
      <t>00.044.000.003 - Mão de Obra - Ventilações Cobertura</t>
    </r>
  </si>
  <si>
    <r>
      <rPr>
        <b/>
        <sz val="7.5"/>
        <rFont val="Roboto"/>
      </rPr>
      <t>Serviço                                                                            Un.</t>
    </r>
  </si>
  <si>
    <r>
      <rPr>
        <b/>
        <sz val="7.5"/>
        <rFont val="Roboto"/>
      </rPr>
      <t>Preco unitário       Quantidade</t>
    </r>
  </si>
  <si>
    <r>
      <rPr>
        <b/>
        <sz val="7.5"/>
        <rFont val="Roboto"/>
      </rPr>
      <t>UC     Apropriação      Quantidade</t>
    </r>
  </si>
  <si>
    <r>
      <rPr>
        <sz val="7.5"/>
        <rFont val="Roboto"/>
      </rPr>
      <t>R$ 900.000,00</t>
    </r>
  </si>
  <si>
    <r>
      <rPr>
        <b/>
        <sz val="7.5"/>
        <rFont val="Roboto"/>
      </rPr>
      <t>Situação</t>
    </r>
  </si>
  <si>
    <r>
      <rPr>
        <sz val="7.5"/>
        <rFont val="Roboto"/>
      </rPr>
      <t>Em aberto</t>
    </r>
  </si>
  <si>
    <r>
      <rPr>
        <b/>
        <sz val="7.5"/>
        <rFont val="Roboto"/>
      </rPr>
      <t>Medição 1</t>
    </r>
  </si>
  <si>
    <r>
      <rPr>
        <b/>
        <sz val="7.5"/>
        <rFont val="Roboto"/>
      </rPr>
      <t>Data de Medição</t>
    </r>
  </si>
  <si>
    <r>
      <rPr>
        <b/>
        <sz val="7.5"/>
        <rFont val="Roboto"/>
      </rPr>
      <t>Sinal           Caução</t>
    </r>
  </si>
  <si>
    <r>
      <rPr>
        <b/>
        <sz val="7.5"/>
        <rFont val="Roboto"/>
      </rPr>
      <t>Liberação</t>
    </r>
  </si>
  <si>
    <r>
      <rPr>
        <b/>
        <sz val="7.5"/>
        <rFont val="Roboto"/>
      </rPr>
      <t xml:space="preserve">Documento:
</t>
    </r>
    <r>
      <rPr>
        <b/>
        <sz val="7.5"/>
        <rFont val="Roboto"/>
      </rPr>
      <t>Localização do doc. e usuário que enviou:</t>
    </r>
  </si>
  <si>
    <r>
      <rPr>
        <sz val="7.5"/>
        <rFont val="Roboto"/>
      </rPr>
      <t>Luisa Tompson Camero Antero</t>
    </r>
  </si>
  <si>
    <r>
      <rPr>
        <sz val="7.5"/>
        <rFont val="Roboto"/>
      </rPr>
      <t>B E M PERFURACAO E CORTES EM CONCRETOS LTDA</t>
    </r>
  </si>
  <si>
    <r>
      <rPr>
        <b/>
        <sz val="7.5"/>
        <rFont val="Roboto"/>
      </rPr>
      <t>Parcelas</t>
    </r>
  </si>
  <si>
    <r>
      <rPr>
        <sz val="7.5"/>
        <rFont val="Roboto"/>
      </rPr>
      <t>R$ 2.002,47</t>
    </r>
  </si>
  <si>
    <r>
      <rPr>
        <b/>
        <sz val="7.5"/>
        <rFont val="Roboto"/>
      </rPr>
      <t>Vencimento</t>
    </r>
  </si>
  <si>
    <r>
      <rPr>
        <b/>
        <sz val="7.5"/>
        <rFont val="Roboto"/>
      </rPr>
      <t>Titulo Guia</t>
    </r>
  </si>
  <si>
    <r>
      <rPr>
        <sz val="7.5"/>
        <rFont val="Roboto"/>
      </rPr>
      <t>R$ 1.939,60</t>
    </r>
  </si>
  <si>
    <r>
      <rPr>
        <b/>
        <sz val="7.5"/>
        <rFont val="Roboto"/>
      </rPr>
      <t>Medição 3</t>
    </r>
  </si>
  <si>
    <r>
      <rPr>
        <sz val="7.5"/>
        <rFont val="Roboto"/>
      </rPr>
      <t>Helen Cristina Gregorio Sarturi</t>
    </r>
  </si>
  <si>
    <r>
      <rPr>
        <sz val="7.5"/>
        <rFont val="Roboto"/>
      </rPr>
      <t>R$ 4.742,70</t>
    </r>
  </si>
  <si>
    <r>
      <rPr>
        <sz val="7.5"/>
        <rFont val="Roboto"/>
      </rPr>
      <t>R$ 4.591,89</t>
    </r>
  </si>
  <si>
    <t>R00 - Raquel 07/01/2025</t>
  </si>
  <si>
    <t>INSTALAÇÕES DE TELECOMUNICAÇÃO</t>
  </si>
  <si>
    <t>CAIXA 4x2" E 4x4"</t>
  </si>
  <si>
    <t>Módulo Coaxial</t>
  </si>
  <si>
    <t>Módulo RJ11</t>
  </si>
  <si>
    <t>Módulo RJ45</t>
  </si>
  <si>
    <t>Embutir - 396x510x107mm</t>
  </si>
  <si>
    <t>CAIXA DE PASSAGEM</t>
  </si>
  <si>
    <t>Embutir - 486x510x109mm</t>
  </si>
  <si>
    <t>PENTHOUSE DIFERENCIADO</t>
  </si>
  <si>
    <t>Dispositivo antivibratório (junta expansão Dinatécnica)</t>
  </si>
  <si>
    <t>Vasos de expansão Schneider TAP-08V (8 L)</t>
  </si>
  <si>
    <t>Schneider</t>
  </si>
  <si>
    <t>LAZER | GARAGEM</t>
  </si>
  <si>
    <t>TIPO X8</t>
  </si>
  <si>
    <t>Valvula Ventosa</t>
  </si>
  <si>
    <t>Cotação Bermad</t>
  </si>
  <si>
    <t>PENTHOUSE X22</t>
  </si>
  <si>
    <t>Ventosa tríplice Bermad C30 (3/4", 1")</t>
  </si>
  <si>
    <t>Cotação Grundfos</t>
  </si>
  <si>
    <t>Filtro Y 1"</t>
  </si>
  <si>
    <t>Filtro Y ¾"</t>
  </si>
  <si>
    <t>Serviço tecnico Grundfos</t>
  </si>
  <si>
    <t>GES_ELZ_PCI_EX_000_QTD_R00</t>
  </si>
  <si>
    <t>R00 - Raquel 18/12/2025</t>
  </si>
  <si>
    <t>GÁS</t>
  </si>
  <si>
    <t>EQUIPAMENTOS E SIST. ESPECIAIS</t>
  </si>
  <si>
    <t>Tubo de Cobre Ø1/2"</t>
  </si>
  <si>
    <t>Tubo de Cobre Ø3/4"</t>
  </si>
  <si>
    <t>Tubo de Cobre Ø1"</t>
  </si>
  <si>
    <t>Tubo de Cobre Ø2"</t>
  </si>
  <si>
    <t>Joelho 45° Cobre Ø1"</t>
  </si>
  <si>
    <t>Joelho 90° Cobre  Ø1/2"</t>
  </si>
  <si>
    <t>Joelho 90° Cobre  Ø3/4"</t>
  </si>
  <si>
    <t>Joelho 90° Cobre Ø1"</t>
  </si>
  <si>
    <t>Joelho 90° Cobre  Ø2"</t>
  </si>
  <si>
    <t>Tê de Cobre Ø1"</t>
  </si>
  <si>
    <t>Luva de Redução Cobre Ø1" x Ø3/4"</t>
  </si>
  <si>
    <t>União Cobre Ø1"</t>
  </si>
  <si>
    <t>União Cobre Ø2"</t>
  </si>
  <si>
    <t>Manômetro Ø3/4"</t>
  </si>
  <si>
    <t>Registro de Válvula de Esfera Ø1/2"</t>
  </si>
  <si>
    <t>Registro de Válvula de Esfera Ø3/4"</t>
  </si>
  <si>
    <t>Registro de Válvula de Esfera Ø1"</t>
  </si>
  <si>
    <t>Registro de Válvula de Esfera Ø2"</t>
  </si>
  <si>
    <t>Registro de Fecho Rápido Ø2"</t>
  </si>
  <si>
    <t>Registro de Fecho Rápido Ø1/2"</t>
  </si>
  <si>
    <t>MEDIDORES</t>
  </si>
  <si>
    <t>Medidor de Gás G 1,00 - 2,30 m³/h (GN)</t>
  </si>
  <si>
    <t>Regulador de Pressão (2° ESTAGIO) Vazão de 2,3 m³/h com OPSO (Sugestão: BP2202 OPSO - CLESSE)</t>
  </si>
  <si>
    <t>Joelho 45° Cobre Ø2"</t>
  </si>
  <si>
    <t>Tubo de PVC (Ventilação) Ø100</t>
  </si>
  <si>
    <t>Joelho 45° PVC Ø100</t>
  </si>
  <si>
    <t>Joelho 90° PVC  Ø100</t>
  </si>
  <si>
    <t>Terminar de Ventilação PVC Ø100</t>
  </si>
  <si>
    <t>Joelho 45° Cobre Ø1/2"</t>
  </si>
  <si>
    <t>Tê de Redução Cobre Ø2" x Ø3/4" x Ø2"</t>
  </si>
  <si>
    <t>Junção Y PVC Ø100</t>
  </si>
  <si>
    <t>Tê de Cobre Ø1/2"</t>
  </si>
  <si>
    <t>Tê de Redução Cobre Ø3/4" x Ø1" x Ø3/4"</t>
  </si>
  <si>
    <t>Luva de Redução Cobre Ø3/4" x Ø1/2"</t>
  </si>
  <si>
    <t>Medidor de Gás G 1,00 - 5,0 m³/h (GN)</t>
  </si>
  <si>
    <t>Regulador de Pressão (2° ESTAGIO) Vazão de 5,0m³/h com OPSO (Sugestão: BP2202 OPSO - CLESSE)</t>
  </si>
  <si>
    <t>Duto - Exaustão Aquecedor Ø100</t>
  </si>
  <si>
    <t>Tê de Cobre Ø3/4"</t>
  </si>
  <si>
    <t>Tê de Redução Cobre Ø1" x Ø1/2" x Ø1"</t>
  </si>
  <si>
    <t>Luva de Redução Cobre Ø1" x Ø1/2"</t>
  </si>
  <si>
    <t>Curva 90º Duto Aquecedor Ø100</t>
  </si>
  <si>
    <t>Terminal de ventilação Duto Aquecedor Ø100</t>
  </si>
  <si>
    <t>Junção Y PVC (Ventilação) Ø100</t>
  </si>
  <si>
    <t>Registro de Fecho Rápido Ø3/4"</t>
  </si>
  <si>
    <t>Medidor de Gás G 1,00 - 12,5 m³/h (GN)</t>
  </si>
  <si>
    <t>Regulador de Pressão (2° ESTAGIO) Vazão de 12,5 m³/h com OPSO (Sugestão: BP2202 OPSO - CLESSE)</t>
  </si>
  <si>
    <t>Tubo de Cobre Ø1.1/2"</t>
  </si>
  <si>
    <t>Luva de Redução Cobre Ø2" x Ø1.1/2"</t>
  </si>
  <si>
    <t>Tê de Redução Cobre Ø1.1/2" x Ø3/4" x Ø1.1/2"</t>
  </si>
  <si>
    <t>Curva 45º Duto Aquecedor Ø100</t>
  </si>
  <si>
    <t>Tubo de Cobre Ø1.1/4"</t>
  </si>
  <si>
    <t>Luva de Redução Cobre Ø1.1/2" x Ø1.1//4"</t>
  </si>
  <si>
    <t>Tê de Redução Cobre Ø1.1/4" x Ø3/4" x Ø1.1/4"</t>
  </si>
  <si>
    <t>Joelho 90º Cobre Ø1.1/4"</t>
  </si>
  <si>
    <t>Tê de Cobre Ø1.1/4"</t>
  </si>
  <si>
    <t>Tê de Redução Cobre Ø1.1/4" x Ø1/2" x Ø1.1/4"</t>
  </si>
  <si>
    <t>Luva de Redução Cobre Ø1.1/4" x Ø1/2"</t>
  </si>
  <si>
    <t>Luva de Redução Cobre Ø1.1/4" x Ø3/4"</t>
  </si>
  <si>
    <t>Estimados</t>
  </si>
  <si>
    <t>R00 - Larissa</t>
  </si>
  <si>
    <t>Repetições</t>
  </si>
  <si>
    <t>Custo unitário - Mão de obra</t>
  </si>
  <si>
    <t>01º - Térreo</t>
  </si>
  <si>
    <t>Botoeira</t>
  </si>
  <si>
    <t>Controle de Acesso</t>
  </si>
  <si>
    <t>Vídeo Porteiro/Interfone</t>
  </si>
  <si>
    <t>Wi‑Fi (AP)</t>
  </si>
  <si>
    <t>07º - Lazer | Garagem</t>
  </si>
  <si>
    <t>Leitora de Tag Veicular</t>
  </si>
  <si>
    <t>Sensor Anti‑Esmagamento</t>
  </si>
  <si>
    <t>Automação</t>
  </si>
  <si>
    <t>08º - Lazer</t>
  </si>
  <si>
    <t>09º - Tipo diferenciado</t>
  </si>
  <si>
    <t>10º - Tipo x8</t>
  </si>
  <si>
    <t>11º - Penthouse x22</t>
  </si>
  <si>
    <t>12º - Duplex inferior</t>
  </si>
  <si>
    <t>AUTOMAÇÃO LAZER****</t>
  </si>
  <si>
    <t>Gateway GW3 – Protocolo TCP/IP – IR +RF + 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</si>
  <si>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AUTOMAÇÃO TIPOS****</t>
  </si>
  <si>
    <t>Central de Automação Yubii Home – Protocolo Z-Wave /RF / Wi-fi + Módulo Relé de 32ch cabeado Ethernet –32 entradas digitais, e 32 saídas (NO/NC), controle de equipamentos via protocolo TCP/HTTP. + Roteador gerenciador de Rede  + Mini UPS Nobreak + Caixa 305m Cabo rede Cat5E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Material e Montagem Dos Quadros e Painéis – Materiais, Montagem, organização e interligação de equipamentos do Quadro de Automação e Rede + Instalação
Automação – Instalação de retornos, pulsadores, configuração e integração Nice/ MolSmart + Instalação elétrica – Passagem de cabeamento dos pulsadores + Configuração de Rede – Instalação e Configuração de rede local e Mikrotik + omissos</t>
  </si>
  <si>
    <t>PREVENÇÃO COMBATE INCÊNDIO</t>
  </si>
  <si>
    <t>SHP</t>
  </si>
  <si>
    <t>Sistema Hidráulico Preventivo (SHP)</t>
  </si>
  <si>
    <t>Tubo de cobre Ø2"</t>
  </si>
  <si>
    <t>Joelho 90° Cobre Ø2"</t>
  </si>
  <si>
    <t>Tê Cobre Ø2"</t>
  </si>
  <si>
    <t>HIDRANTE</t>
  </si>
  <si>
    <t>Hidrante de Recalque de Parede 30x40cm</t>
  </si>
  <si>
    <t>Hidrante com Mangotinho 30m 60x100cm</t>
  </si>
  <si>
    <t>Sistema Preventivo por Extintores</t>
  </si>
  <si>
    <t>Extintor PQS 4Kg (2-A:20-B:C)</t>
  </si>
  <si>
    <t>ALARME DE INCÊNDIO</t>
  </si>
  <si>
    <t>SINALIZAÇÃO</t>
  </si>
  <si>
    <t>Sinalização de Abandono de Local (SAL)</t>
  </si>
  <si>
    <t>Placa Indicativa - Número do Pavimento 200x100 mm</t>
  </si>
  <si>
    <t>Placa Indicativa - Elevador de Emergência 250x125 mm</t>
  </si>
  <si>
    <t>PLACAS</t>
  </si>
  <si>
    <t>ILUMINAÇÃO EMERGENCIA</t>
  </si>
  <si>
    <t>CENTRAL DE ASPIRAÇÃO</t>
  </si>
  <si>
    <t>Bombas - levantado conforme projeto</t>
  </si>
  <si>
    <t>Bomba de Incêndio Schneider Bpi-22 R 2 1/2 7,5 CV Trifásica 4 Voltagens</t>
  </si>
  <si>
    <t>GES-ILU-0000-MAT-R00</t>
  </si>
  <si>
    <t>ILUMINAÇÃO DE EMERGÊNCIA</t>
  </si>
  <si>
    <t>REBAIXADOR ACIMA</t>
  </si>
  <si>
    <t>REBAIXADOR (TIPO)</t>
  </si>
  <si>
    <t>REBAIXADOR ABAIXO</t>
  </si>
  <si>
    <t>PENTHOUSE (REB. ACIMA)</t>
  </si>
  <si>
    <t>PENTHOUSE CENTRAL DE ASPIRAÇÃO</t>
  </si>
  <si>
    <t>PENTHOUSE (REBAIXADOR)</t>
  </si>
  <si>
    <t>PENTHOUSE (REB. ABAIXO)</t>
  </si>
  <si>
    <t>Acionador Manual de Alarme de Incêndio</t>
  </si>
  <si>
    <t>Anunciador Audiovisual de Alarme de Incêndio de Parede</t>
  </si>
  <si>
    <t>Dispositivo Eletromagnético de Porta Aberta</t>
  </si>
  <si>
    <t>Central de Alarme de Incêndio</t>
  </si>
  <si>
    <t>Sensor de Fumaça</t>
  </si>
  <si>
    <t>Cx de passagem de embutir com dimensão de 40x40x15 cm</t>
  </si>
  <si>
    <t>DISPOSITIVO DE PROTEÇÃO</t>
  </si>
  <si>
    <t>Disjuntor Monopolar DIN 10 A - 3 kA - Curva C - NBR NM 60898</t>
  </si>
  <si>
    <t>Luminária de Emergência de Parede - Autônoma</t>
  </si>
  <si>
    <t>Placa de Saída de Parede com Seta para Direita - Autônoma</t>
  </si>
  <si>
    <t>Placa de Saída de Parede com Seta para Esquerda - Autônoma</t>
  </si>
  <si>
    <t>Placa de Saída de Parede sem Direção - Autônoma</t>
  </si>
  <si>
    <t>Luminária de Emergência 24V de Parede</t>
  </si>
  <si>
    <t>Luminária de Emergência 24V de Teto</t>
  </si>
  <si>
    <t>Placa de Saída 24V de Parede sem Direção</t>
  </si>
  <si>
    <t>Sensor de Presença 24V de teto</t>
  </si>
  <si>
    <t>Disjuntor corrente contínua - 1 polo (24 Vcc) - DIN 0,5 A - 6 kA</t>
  </si>
  <si>
    <t>Condulete Múltiplo em PVC 1"</t>
  </si>
  <si>
    <t>Conexões para eletrodutos PVC Rígido - NBR 15465 Joelho reto c/ vigia - 1"</t>
  </si>
  <si>
    <t>PVC Rígido - NBR 15465 ø1"</t>
  </si>
  <si>
    <t>CABO BLINDADO</t>
  </si>
  <si>
    <t>Classe A - PVC Anti-chama - 105ºC - Isolação 600V 0.75 mm² - Amarelo</t>
  </si>
  <si>
    <t>Classe B - PVC Anti-chama - 105ºC - Isolação 600V 1.5 mm² - Amarelo</t>
  </si>
  <si>
    <t>Placa de Saída 24V de Parede com Direção</t>
  </si>
  <si>
    <t>Placa de Saída 24V de Teto sem Direção</t>
  </si>
  <si>
    <t>Cx de passagem de sobrepor com dimensão de 40x40x15 cm</t>
  </si>
  <si>
    <t>Quadro ASD 535</t>
  </si>
  <si>
    <t>Tubo de aspiração D=25 mm PVC, I=5 m</t>
  </si>
  <si>
    <t>Curva a 90° D=25 mm PVC</t>
  </si>
  <si>
    <t>Unidade de filtragem D=25 mm PVC</t>
  </si>
  <si>
    <t>Peça em T D=25 mm PVC</t>
  </si>
  <si>
    <t>Tampa de remate D=25 mm PVC</t>
  </si>
  <si>
    <t>QUADRO DE DISTRIBUIÇÃO</t>
  </si>
  <si>
    <t>Sensor de Presença 24V de parede</t>
  </si>
  <si>
    <t xml:space="preserve">Textura acrílica com selador, aplicação em paredes externas, 1 demão - Textura Terracal / Marca: Terracor </t>
  </si>
  <si>
    <t xml:space="preserve">Porcelanato Painel Kyoto - PAINEL KYOTO FENDI AC 60X120 CM </t>
  </si>
  <si>
    <t>Revestimento de Porcelanato Kyoto 120x60 cm ventilado, com toda a estrutura - Material e Mão de Obra</t>
  </si>
  <si>
    <t>Revestimento externo de porcelanato painel kyoto, 60 x120cm com Junta de 2mm</t>
  </si>
  <si>
    <t>Moldura de fachada, com revestimento externo de porcelanato painel kyoto, 60 x120cm com Junta de 2mm e largura de 30 cm</t>
  </si>
  <si>
    <t>Moldura de fachada, com revestimento de pastilha azul (OM15645 – 7,5x7,5), com largura de  30 cm - atlas</t>
  </si>
  <si>
    <t>Cerâmica Extrudada - Cerâmica Extrudada para Fachada Ventilada tijolo a vista, Modelo Faveton BRICK TILE, medida máxima de 600x150x16mm</t>
  </si>
  <si>
    <t>SISTEMA FACHADA VENTILADA BT16 - Estrutura de Alumínio e fixações em Aço Inox.</t>
  </si>
  <si>
    <t>Mecanização de chapas ventiladas + Mão de obra + projeto executivo</t>
  </si>
  <si>
    <t>Revestimento de Cerâmica extrudada Brick Tile, 60x15cm ventilado, com toda a estrutura - Material e Mão de Obra</t>
  </si>
  <si>
    <t>Moldura de fachada, com revestimento externo de Cerâmica extrudada Brick Tile, 60x15cm, com Junta de 2mm e largura de 30 cm</t>
  </si>
  <si>
    <t>Revestimento externo de Cerâmica extrudada Brick Tile, 60x15cm com Junta de 2mm</t>
  </si>
  <si>
    <t>"Teto" da moldura</t>
  </si>
  <si>
    <t>Armação aço CA-50 ø 16,0mm para Contenções (corte e dobra em Indústria)</t>
  </si>
  <si>
    <t>Aço CA50 16,0 mm Corte e Dobra em Indústria</t>
  </si>
  <si>
    <t>Armação aço CA-50 ø 20,0mm para Contenções (corte e dobra em Indústria)</t>
  </si>
  <si>
    <t>Aço CA50 20,0 mm Corte e Dobra em Indústria</t>
  </si>
  <si>
    <t>Custo repassado por eles</t>
  </si>
  <si>
    <t>Repessado pela Gessele na reunião do dia 05/03/2026 - 950k efeg</t>
  </si>
  <si>
    <t>Armação aço CA-50 ø 6,3mm para estaca (corte e dobra em indústria)</t>
  </si>
  <si>
    <t>Armação aço CA-50 ø 20,0mm para estaca (corte e dobra em indústria)</t>
  </si>
  <si>
    <t xml:space="preserve">Armação aço CA-50 ø 12,5mm para infraestrutura (corte e dobra em Indústria) </t>
  </si>
  <si>
    <t>Armação aço CA-50 ø 16,0mm para infraestrutura (corte e dobra em Indústria)</t>
  </si>
  <si>
    <t xml:space="preserve">Armação aço CA-50 ø 20,0mm para infraestrutura (corte e dobra em Indústria) </t>
  </si>
  <si>
    <t xml:space="preserve">Armação aço CA-50 ø 25,0mm para infraestrutura (corte e dobra em Indústria) </t>
  </si>
  <si>
    <t>Aço CA50 5,0 mm Corte e Dobra em Indústria</t>
  </si>
  <si>
    <t>Aço CA50 10,0 mm Corte e Dobra em Indústria</t>
  </si>
  <si>
    <t>Armação aço CA-50 ø 5,0mm para infraestrutura (corte e dobra em Indústria)</t>
  </si>
  <si>
    <t>Armação aço CA-50 ø 6,3mm para infraestrutura (corte e dobra em Indústria)</t>
  </si>
  <si>
    <t>Armação aço CA-50 ø 8,0mm para infraestrutura (corte e dobra em Indústria)</t>
  </si>
  <si>
    <t>Armação aço CA-50 ø 10,0mm para infraestrutura (corte e dobra em Indústria)</t>
  </si>
  <si>
    <t xml:space="preserve">Armação aço CA-50 ø 32,00mm para infraestrutura (corte e dobra em Indústria) </t>
  </si>
  <si>
    <t>Aço CA50 32,0mm Corte e Dobra em Indústria</t>
  </si>
  <si>
    <t>Armação Aço CA-60, Diâmetro de 5,0mm para Supraestrutura, Corte e dobra em Indústria</t>
  </si>
  <si>
    <t>Armação Aço CA-50, Diâmetro de 6,3mm para Supraestrutura, Corte e dobra em Indústria</t>
  </si>
  <si>
    <t>Armação Aço CA-50, Diâmetro de 8,0mm para Supraestrutura, Corte e dobra em Indústria</t>
  </si>
  <si>
    <t>Armação Aço CA-50, Diâmetro de 10,0mm para Supraestrutura, Corte e dobra em Indústria</t>
  </si>
  <si>
    <t>Armação Aço CA-50, Diâmetro de 12,5mm para Supraestrutura, Corte e dobra em Indústria</t>
  </si>
  <si>
    <t>Armação Aço CA-50, Diâmetro de 16,0mm para Supraestrutura, Corte e dobra em Indústria</t>
  </si>
  <si>
    <t>Armação Aço CA-50, Diâmetro de 20,0mm para Supraestrutura, Corte e dobra em Indústria</t>
  </si>
  <si>
    <t>Armação Aço CA-50, Diâmetro de 25,0mm para Supraestrutura, Corte e dobra em Indústria</t>
  </si>
  <si>
    <t>Armação Aço CA-50, Diâmetro de 32,0mm para Supraestrutura, Corte e dobra em Indústria</t>
  </si>
  <si>
    <t>Repessado pela Gessele na reunião do dia 05/03/2026 - GASTOS 101K  PARA EXECUÇÃO EMBASAMENTO</t>
  </si>
  <si>
    <t xml:space="preserve">Repessado pela Gessele na reunião do dia 05/03/2026 - COTAÇÃO ALUGUEL TIP: R$ 17K POR MÊS 17K / 10 DIAS POR LAJE  APROXIMADAMENTE R$ 5,7K POR PAVTO </t>
  </si>
  <si>
    <t>COTAÇÃO GESSELE</t>
  </si>
  <si>
    <t>Repessado pela Gessele na reunião do dia 05/03/2026 - 214k Serra Mar + 294k Oliveira + M.O MP</t>
  </si>
  <si>
    <t>Repessado pela Gessele na reunião do dia 05/03/2026 - 34k Oliveira + M.O da MP</t>
  </si>
  <si>
    <t>Repessado pela Gessele na reunião do dia 05/03/2026 - VER ABA "M.O. ESTRUTURA - MP"</t>
  </si>
  <si>
    <t>Repessado pela Gessele na reunião do dia 05/03/2026 - vamos fechar em R$ 250k - Material  (aço + multicamada) + M.O</t>
  </si>
  <si>
    <t>Repessado pela Gessele na reunião do dia 05/03/2026 - talvez fecharemos com a Elotech --&gt; R$ 2,7MM os 2 elevadores</t>
  </si>
  <si>
    <t>Elevadores Duplex</t>
  </si>
  <si>
    <t>Plataforma elevatória lazer</t>
  </si>
  <si>
    <t>Repessado pela Gessele na reunião do dia 05/03/2026 - incluir elevador duplex e plataforma elevatória lazer</t>
  </si>
  <si>
    <t>GES-CLI-000-QTD-R00</t>
  </si>
  <si>
    <t>LOJAS</t>
  </si>
  <si>
    <t>CLIMATIZAÇÃO</t>
  </si>
  <si>
    <t>CAIXA DE DRENO - CPP 005 POLAR</t>
  </si>
  <si>
    <t>CONDENSADORA - MINI VRF 52.900 BTU'S (6HP) CRUN060GSS5 LG 4.300 W (220V F+N+T)</t>
  </si>
  <si>
    <t>CONDENSADORA - MINI VRF 76.400 BTU'S (8HP) CRUN080BSS0 LG 6.000 W (220V 3F+N+T)</t>
  </si>
  <si>
    <t>CONDENSADORA - MINI VRF 114.700 BTU'S (12HP) CRUN120BSS0 LG 9.950 W (220V 3F+N+T)</t>
  </si>
  <si>
    <t>EVAP. CASSETE 4-VIAS - VRF 24.200 BTU'S CRNU24GTPB4 LG 51 W / 0,20 A (220V/1F)</t>
  </si>
  <si>
    <t>EVAP. CASSETE 4-VIAS - VRF 36.200 BTU'S CRNU36GTNA4 LG 135 W / 0,56 A (220V/1F)</t>
  </si>
  <si>
    <t>EVAP. HI-WALL - VRF 19.100 BTU'S CRNU18GSKN4 LG 58 W / 0,52 A (220V/1F)</t>
  </si>
  <si>
    <t>EVAP. HI-WALL - VRF 24.200 BTU'S CRNU24GSKN4 LG 58 W / 0,52 A (220V/1F)</t>
  </si>
  <si>
    <t>EQUIPAMENTOS - EXAUSTÃO</t>
  </si>
  <si>
    <t>EXAUSTOR INLINE MAXX 150 SICFLUX 88W (220V/1F)</t>
  </si>
  <si>
    <t>GABINETE DE VENTILAÇÃO SICFLUX 95W (220V F+N+T)</t>
  </si>
  <si>
    <t>GRELHA EXTERNA, PLÁSTICO S150 SICFLUX</t>
  </si>
  <si>
    <t>MINIEXAUSTOR, NO FORRO MEGA 25 SICFLUX 37W (220V F+N+T)</t>
  </si>
  <si>
    <t>INFRAESTRUTURA PARA INSTALAÇÃO</t>
  </si>
  <si>
    <t>10 mm - 3/8" REDE FRIGORÍGENA DE COBRE</t>
  </si>
  <si>
    <t>13 mm - 1/2" REDE FRIGORÍGENA DE COBRE</t>
  </si>
  <si>
    <t>19 mm - 5/8" REDE FRIGORÍGENA DE COBRE</t>
  </si>
  <si>
    <t>29 mm - 5/8" REDE FRIGORÍGENA DE COBRE</t>
  </si>
  <si>
    <t>150 mm - 6" TUBO PVC</t>
  </si>
  <si>
    <t>EQUIPAMENTO</t>
  </si>
  <si>
    <t>PONTO</t>
  </si>
  <si>
    <t>COND. SPLIT 9.000 BTU'S 38MBCB09M5 MIDEA 780 (220V/1F)2</t>
  </si>
  <si>
    <t>COND. SPLIT 25.000 BTU'S ATUW24GPLP0 LG 2.700 W / 220 V / 1F</t>
  </si>
  <si>
    <t>COND. SPLIT 24.000 BTU'S 38MBCA24M5 MIDEA 2.700 W / 220 V / 1F</t>
  </si>
  <si>
    <t>COND. SPLIT 12.000 BTU'S 38MBCB12M5 MIDEA 1.070 W / 220 V / 1F</t>
  </si>
  <si>
    <t>EVAP. CASSETE 4-VIAS 24.000 BTU'S ATNW24GPLP0 LG</t>
  </si>
  <si>
    <t>EVAP. HI-WALL SPLIT 9.000 BTU'S 42MBCB09M5 MIDEA</t>
  </si>
  <si>
    <t>EVAP. HI-WALL SPLIT 24.000 BTU'S 42MBCA24M5 MIDEA</t>
  </si>
  <si>
    <t>EVAP. HI-WALL SPLIT 12.000 BTU'S 42MBCB12M5 MIDEA</t>
  </si>
  <si>
    <t>GRELHA EXTERNA, PLÁSTICO - S150 MIDEA</t>
  </si>
  <si>
    <t>6 mm - 1/4" REDE FRIGORÍGENA DE COBRE</t>
  </si>
  <si>
    <t>16 mm - 5/8" REDE FRIGORÍGENA DE COBRE</t>
  </si>
  <si>
    <t>150 mm - 6" TUBO SEMI FLÉXIVEL</t>
  </si>
  <si>
    <t>EQUIPAMENTOS - LIMPEZA</t>
  </si>
  <si>
    <t>ASPIRADOR CENTRAL GS125 HAYDEN 1.660 W / 220 V / 1F</t>
  </si>
  <si>
    <t>Considerado somente o ponto</t>
  </si>
  <si>
    <t>COND .MULTISPLIT 36.000 BTU'S 38MBMA36M5 MIDEA 4.600 W / 220 V / 1F</t>
  </si>
  <si>
    <t>COND .MULTISPLIT 42.000 BTU'S 38MBMA42M5 MIDEA 4.700 W / 220 V / 1F</t>
  </si>
  <si>
    <t>COND .MULTISPLIT 18.000 BTU'S 38MBTA18M5 MIDEA 2.600 W / 220 V / 1F</t>
  </si>
  <si>
    <t>COND .MULTISPLIT 27.000 BTU'S 38MBTA27M5 MIDEA 3.300 W / 220 V / 1F</t>
  </si>
  <si>
    <t>COND .SPLIT 35.000 BTU'S ATUW36GMLP0 LG 3.200 W / 220 V / 1F</t>
  </si>
  <si>
    <t>EVAP. CASSETE 4-VIAS - MONOSPLIT 24.000 BTU'S ATNW24GPLP0 LG</t>
  </si>
  <si>
    <t>EVAP. CASSETE 4-VIAS - MONOSPLIT 35.000 BTU'S ATNW36GMLP0 LG</t>
  </si>
  <si>
    <t>EVAP.CASSETE 1VIA - MONOSPLIT 24.000 BTU'S ATUW24GTLP1 LG</t>
  </si>
  <si>
    <t>EVAP. CASSETE 1VIA - MULTISPLIT 9.000 BTU'S AMNW09GTUC0 LG</t>
  </si>
  <si>
    <t>EVAPORADORA HI-WALL - MONOSPLIT 24.000 BTU'S 42MBCA24M5 MIDEA</t>
  </si>
  <si>
    <t>EVAPORADORA HI-WALL - MULTISPLIT 9.000 BTU'S 42MBMA09M5 MIDEA</t>
  </si>
  <si>
    <t>EVAPORADORA HI-WALL - MULTISPLIT 12.000 BTU'S 42MBMA12M5 MIDEA</t>
  </si>
  <si>
    <t>EVAPORADORA HI-WALL - MULTISPLIT 18.000 BTU'S 42MBMA18M5 MIDEA</t>
  </si>
  <si>
    <t>GRELHA EXTERNA, PLÁSTICO S100 SICFLUX</t>
  </si>
  <si>
    <t>MINIEXAUSTOR, NO FORRO SONORA 11 SICFLUX 28W (110V F+N+T)</t>
  </si>
  <si>
    <t>TOMADA DE ASPIRAÇÃO TOMADA PADRÃO HAYDEN</t>
  </si>
  <si>
    <t>50 mm - 2" TUBO PVC</t>
  </si>
  <si>
    <t>Repessado pela Gessele na reunião do dia 05/03/2026 - temos orçamento climatização + aspiração: material + M.O - climatização: R$ 400k - aspiração: R$ 212k - exceto equipamentos e exaustão churrasqueiras</t>
  </si>
  <si>
    <t xml:space="preserve">Repessado pela Gessele na reunião do dia 05/03/2026 - considerar equipamentos somente das áreas comum: hall, guarita, lazer 01 e 02 </t>
  </si>
  <si>
    <t>Considerado 1200 por equipamento (lazer) - retirado os outros itens da mão de obra, pois englobam nos valores repassados pela GESSELE</t>
  </si>
  <si>
    <t xml:space="preserve">Repessado pela Gessele na reunião do dia 05/03/2026 - adotar somente infra seca nas salas </t>
  </si>
  <si>
    <t>Repessado pela Gessele na reunião do dia 05/03/2026 - adotar somente infra seca nos aptos</t>
  </si>
  <si>
    <t>Bombeamento Argamassa Usinada para emboço/massa única</t>
  </si>
  <si>
    <t>VALOR GESSELE</t>
  </si>
  <si>
    <t>Repessado pela Gessele na reunião do dia 05/03/2026 - Massa única 36 / 72h --&gt; 415 R$ / m3 + bombeamento: R$ 45 / m3</t>
  </si>
  <si>
    <t>Argamassa usninada para contrapiso nivelada</t>
  </si>
  <si>
    <t>Repessado pela Gessele na reunião do dia 05/03/2026 - argamassa contrapiso nivelante: R$ 515 / m3</t>
  </si>
  <si>
    <t>valor gessele</t>
  </si>
  <si>
    <t>Repessado pela Gessele na reunião do dia 05/03/2026 - considerar piso de aprox. R$ 120 / m2</t>
  </si>
  <si>
    <t>Repessado pela Gessele na reunião do dia 05/03/2026 - rever custo</t>
  </si>
  <si>
    <t>Repessado pela Gessele na reunião do dia 05/03/2026 - Provavelmente vamos trocar de fornecedor, considerar M.O. R$58,00 / m2</t>
  </si>
  <si>
    <t>Tipo A - 02</t>
  </si>
  <si>
    <t>Tipo A - 03</t>
  </si>
  <si>
    <t>Tipo A - 04</t>
  </si>
  <si>
    <t>Tipo A - 05</t>
  </si>
  <si>
    <t>Tipo A - 06</t>
  </si>
  <si>
    <t>Tipo A - 07</t>
  </si>
  <si>
    <t>Tipo A - 08</t>
  </si>
  <si>
    <t>Tipo A - 09</t>
  </si>
  <si>
    <t>Tipo B - 11</t>
  </si>
  <si>
    <t>Tipo B - 12</t>
  </si>
  <si>
    <t>Tipo B - 13</t>
  </si>
  <si>
    <t>Tipo B - 14</t>
  </si>
  <si>
    <t>Tipo B - 15</t>
  </si>
  <si>
    <t>Tipo B - 16</t>
  </si>
  <si>
    <t>Tipo B - 17</t>
  </si>
  <si>
    <t>Tipo B - 18</t>
  </si>
  <si>
    <t>Tipo B - 19</t>
  </si>
  <si>
    <t>Tipo B - 20</t>
  </si>
  <si>
    <t>Tipo B - 21</t>
  </si>
  <si>
    <t>Tipo B - 22</t>
  </si>
  <si>
    <t>Tipo B - 23</t>
  </si>
  <si>
    <t>Tipo B - 24</t>
  </si>
  <si>
    <t>Tipo B - 25</t>
  </si>
  <si>
    <t>Tipo B - 26</t>
  </si>
  <si>
    <t>Tipo B - 27</t>
  </si>
  <si>
    <t>Tipo B - 28</t>
  </si>
  <si>
    <t>Tipo B - 29</t>
  </si>
  <si>
    <t>Tipo B - 30</t>
  </si>
  <si>
    <t>Planilha ELZ-EX-EST-9999-QTV-R00</t>
  </si>
  <si>
    <t>DESCRIÇÃO</t>
  </si>
  <si>
    <t>VALOR POR ÁREA PRIVATIVA (R$/m²)</t>
  </si>
  <si>
    <t>Tipo Apart. 01</t>
  </si>
  <si>
    <t>Tipo diferenciado Apart. 2</t>
  </si>
  <si>
    <t>Tipo diferenciado Apart. 1</t>
  </si>
  <si>
    <t>Tipo Apart. 02</t>
  </si>
  <si>
    <t>Penthouse</t>
  </si>
  <si>
    <t>Penthouse diferenciado</t>
  </si>
  <si>
    <t>Duplex</t>
  </si>
  <si>
    <t>Infraestrutua de Aspiração</t>
  </si>
  <si>
    <t>PAVIMENTOS</t>
  </si>
  <si>
    <t>CLIMATIZAÇÃO, EXAUSTÃO MECÂNICA E PRESSURIZAÇÃO - Térreo</t>
  </si>
  <si>
    <t>CLIMATIZAÇÃO, EXAUSTÃO MECÂNICA E PRESSURIZAÇÃO - Lazer | Garagem</t>
  </si>
  <si>
    <t>CLIMATIZAÇÃO, EXAUSTÃO MECÂNICA E PRESSURIZAÇÃO - Lazer 02</t>
  </si>
  <si>
    <t>CLIMATIZAÇÃO, EXAUSTÃO MECÂNICA E PRESSURIZAÇÃO - Tipo diferenciado</t>
  </si>
  <si>
    <t>CLIMATIZAÇÃO, EXAUSTÃO MECÂNICA E PRESSURIZAÇÃO - Tipo x8</t>
  </si>
  <si>
    <t>CLIMATIZAÇÃO, EXAUSTÃO MECÂNICA E PRESSURIZAÇÃO - Penthouse x22</t>
  </si>
  <si>
    <t>CLIMATIZAÇÃO, EXAUSTÃO MECÂNICA E PRESSURIZAÇÃO - Duplex Inferior</t>
  </si>
  <si>
    <t>CLIMATIZAÇÃO, EXAUSTÃO MECÂNICA E PRESSURIZAÇÃO - Duplex Superior</t>
  </si>
  <si>
    <t>Área (m²)</t>
  </si>
  <si>
    <t>ESQUADRIAS DE ALUMÍNIO - Térreo</t>
  </si>
  <si>
    <t>ESQUADRIAS DE ALUMÍNIO - Mezanino G1</t>
  </si>
  <si>
    <t>ESQUADRIAS DE ALUMÍNIO - Mezanino G2</t>
  </si>
  <si>
    <t>ESQUADRIAS DE ALUMÍNIO - G2</t>
  </si>
  <si>
    <t>ESQUADRIAS DE ALUMÍNIO - G3</t>
  </si>
  <si>
    <t>ESQUADRIAS DE ALUMÍNIO - Mezanino G3</t>
  </si>
  <si>
    <t>ESQUADRIAS DE ALUMÍNIO - Lazer | Garagem</t>
  </si>
  <si>
    <t>ESQUADRIAS DE ALUMÍNIO - Lazer</t>
  </si>
  <si>
    <t>ESQUADRIAS DE ALUMÍNIO - Tipo diferenciado</t>
  </si>
  <si>
    <t>ESQUADRIAS DE ALUMÍNIO - Tipo x8</t>
  </si>
  <si>
    <t>ESQUADRIAS DE ALUMÍNIO - Penthouse x22</t>
  </si>
  <si>
    <t>ESQUADRIAS DE ALUMÍNIO - Duplex Inferior</t>
  </si>
  <si>
    <t>ESQUADRIAS DE ALUMÍNIO - Duplex Superior</t>
  </si>
  <si>
    <t>ESQUADRIAS DE ALUMÍNIO - Cobertura | Barrilete</t>
  </si>
  <si>
    <t>ESQUADRIAS DE MADEIRA - Térreo</t>
  </si>
  <si>
    <t>ESQUADRIAS DE MADEIRA - Lazer | Garagem</t>
  </si>
  <si>
    <t>ESQUADRIAS DE MADEIRA - Lazer</t>
  </si>
  <si>
    <t>ESQUADRIAS DE MADEIRA - Tipo diferenciado</t>
  </si>
  <si>
    <t>ESQUADRIAS DE MADEIRA - Tipo x8</t>
  </si>
  <si>
    <t>ESQUADRIAS DE MADEIRA - Penthouse x22</t>
  </si>
  <si>
    <t>ESQUADRIAS DE MADEIRA - Duplex Inferior</t>
  </si>
  <si>
    <t>ESQUADRIAS DE MADEIRA - Duplex Superior</t>
  </si>
  <si>
    <t>PORTAS CORTA-FOGO - Térreo</t>
  </si>
  <si>
    <t>PORTAS CORTA-FOGO - Mezanino G1</t>
  </si>
  <si>
    <t>PORTAS CORTA-FOGO - G2</t>
  </si>
  <si>
    <t>PORTAS CORTA-FOGO - Mezanino G2</t>
  </si>
  <si>
    <t>PORTAS CORTA-FOGO - G3</t>
  </si>
  <si>
    <t>PORTAS CORTA-FOGO - Mezanino G3</t>
  </si>
  <si>
    <t>PORTAS CORTA-FOGO - Lazer | Garagem</t>
  </si>
  <si>
    <t>PORTAS CORTA-FOGO - Lazer</t>
  </si>
  <si>
    <t>PORTAS CORTA-FOGO - Tipo diferenciado</t>
  </si>
  <si>
    <t>PORTAS CORTA-FOGO - Tipo x8</t>
  </si>
  <si>
    <t>PORTAS CORTA-FOGO - Penthouse x22</t>
  </si>
  <si>
    <t>PORTAS CORTA-FOGO - Duplex Inferior</t>
  </si>
  <si>
    <t>PORTAS CORTA-FOGO - Duplex Superior</t>
  </si>
  <si>
    <t>PORTAS CORTA-FOGO - Cobertura | Barrilete</t>
  </si>
  <si>
    <t>Unitario
m2/m</t>
  </si>
  <si>
    <t>R01</t>
  </si>
  <si>
    <t>VALOR total</t>
  </si>
  <si>
    <t>EAP DE ORÇAMENTO</t>
  </si>
  <si>
    <t>Contrutora - Obra</t>
  </si>
  <si>
    <t>UNIDADE CONSTRUTIVA</t>
  </si>
  <si>
    <t>ESTUDOS, PROJETOS E CONSULTORIAS</t>
  </si>
  <si>
    <t xml:space="preserve">TAXAS E DOCUMENTOS </t>
  </si>
  <si>
    <t xml:space="preserve">Licenciamentos, Taxas, Impostos, Aprovações e Seguros </t>
  </si>
  <si>
    <t>SEGURANÇA, MEIO AMBIENTE, SAÚDE</t>
  </si>
  <si>
    <t>Segurança do trabalho</t>
  </si>
  <si>
    <t>Operação inicial de canteiro</t>
  </si>
  <si>
    <t xml:space="preserve">Demolições </t>
  </si>
  <si>
    <t>Limpeza de terreno</t>
  </si>
  <si>
    <t>Corte e aterro</t>
  </si>
  <si>
    <t>Rebaixamento de lençol</t>
  </si>
  <si>
    <t>Escavação e Reaterro de Valas</t>
  </si>
  <si>
    <t>Lastro de estrutura de concreto</t>
  </si>
  <si>
    <t>Movimentação de bota - fora</t>
  </si>
  <si>
    <t xml:space="preserve">Concreto </t>
  </si>
  <si>
    <t>Complementares</t>
  </si>
  <si>
    <t>SUPRAESTRUTURA - TORRE A</t>
  </si>
  <si>
    <t>SUPRAESTRUTURA - TORRE B</t>
  </si>
  <si>
    <t>PAREDES E PAINÉIS</t>
  </si>
  <si>
    <t>Alvenaria de vedação com bocos de concreto</t>
  </si>
  <si>
    <t>PAREDES E PAINÉIS - TORRE A</t>
  </si>
  <si>
    <t>PAREDES E PAINÉIS - TORRE B</t>
  </si>
  <si>
    <t xml:space="preserve">Impermeabilização de cisternas </t>
  </si>
  <si>
    <t>Impermeabilização de lajes e terraços</t>
  </si>
  <si>
    <t>Impermeabilização de banheiro, cozinha e sacada</t>
  </si>
  <si>
    <t>Impermeabilização de floreiras</t>
  </si>
  <si>
    <t>Impermeabilização de reservatórios</t>
  </si>
  <si>
    <t>IMPERMEABILIZAÇÃO E TRATAMENTOS - TORRE A</t>
  </si>
  <si>
    <t>IMPERMEABILIZAÇÃO E TRATAMENTOS - TORRE B</t>
  </si>
  <si>
    <t>Instalações de água quente</t>
  </si>
  <si>
    <t>Cisterna</t>
  </si>
  <si>
    <t>Reservatórios</t>
  </si>
  <si>
    <t>SISTEMAS E INSTALAÇÕES HIDROSSANITÁRIAS E DRENAGEM - TORRE A</t>
  </si>
  <si>
    <t>SISTEMAS E INSTALAÇÕES HIDROSSANITÁRIAS E DRENAGEM - TORRE B</t>
  </si>
  <si>
    <t>Entrada de Energia</t>
  </si>
  <si>
    <t xml:space="preserve">Subestação de Energia </t>
  </si>
  <si>
    <t>SISTEMAS E INSTALAÇÕES ELÉTRICAS  - TORRE A</t>
  </si>
  <si>
    <t>SISTEMAS E INSTALAÇÕES ELÉTRICAS  - TORRE B</t>
  </si>
  <si>
    <t>INSTALAÇÕES PREVENTIVAS  - TORRE A</t>
  </si>
  <si>
    <t>INSTALAÇÕES PREVENTIVAS  - TORRE B</t>
  </si>
  <si>
    <t>Central de Gás</t>
  </si>
  <si>
    <t>Rede Primária</t>
  </si>
  <si>
    <t>Rede Secundária</t>
  </si>
  <si>
    <t>INSTALAÇÕES DE GÁS  - TORRE A</t>
  </si>
  <si>
    <t>INSTALAÇÕES DE GÁS  - TORRE B</t>
  </si>
  <si>
    <t>INSTALAÇÕES DE COMUNICAÇÕES</t>
  </si>
  <si>
    <t>Instalação de CFTV</t>
  </si>
  <si>
    <t>TV VHF/CABO/SATÉLITE</t>
  </si>
  <si>
    <t>INSTALAÇÕES DE COMUNICAÇÕES  - TORRE A</t>
  </si>
  <si>
    <t>INSTALAÇÕES DE COMUNICAÇÕES  - TORRE B</t>
  </si>
  <si>
    <t>Exaustão mecânica</t>
  </si>
  <si>
    <t>Pressurização das escadas</t>
  </si>
  <si>
    <t>CLIMATIZAÇÃO, EXAUSTÃO MECÂNICA E PRESSURIZAÇÃO  - TORRE A</t>
  </si>
  <si>
    <t>CLIMATIZAÇÃO, EXAUSTÃO MECÂNICA E PRESSURIZAÇÃO  - TORRE B</t>
  </si>
  <si>
    <t>REVESTIMENTOS ARGAMASSADOS INTERNOS DE PAREDE</t>
  </si>
  <si>
    <t>Reboco interno</t>
  </si>
  <si>
    <t>Isolamento acústico</t>
  </si>
  <si>
    <t>REVESTIMENTOS ARGAMASSADOS INTERNOS DE PAREDE  - TORRE A</t>
  </si>
  <si>
    <t>REVESTIMENTOS ARGAMASSADOS INTERNOS DE PAREDE  - TORRE B</t>
  </si>
  <si>
    <t>ACABAMENTOS INTERNOS DE PAREDE</t>
  </si>
  <si>
    <t>ACABAMENTOS INTERNOS DE PAREDE  - TORRE A</t>
  </si>
  <si>
    <t>ACABAMENTOS INTERNOS DE PAREDE  - TORRE B</t>
  </si>
  <si>
    <t>REVESTIMENTOS INTERNOS EM TETO</t>
  </si>
  <si>
    <t>ACABAMENTOS INTERNOS EM TETO  - TORRE A</t>
  </si>
  <si>
    <t>ACABAMENTOS INTERNOS EM TETO  - TORRE B</t>
  </si>
  <si>
    <t>REVESTIMENTOS ARGAMASSADOS EM PISO E PAVIMENTAÇÕES</t>
  </si>
  <si>
    <t>REVESTIMENTOS ARGAMASSADOS EM PISO E PAVIMENTAÇÕES  - TORRE A</t>
  </si>
  <si>
    <t>REVESTIMENTOS ARGAMASSADOS EM PISO E PAVIMENTAÇÕES  - TORRE B</t>
  </si>
  <si>
    <t>ACABAMENTOS EM PISO E PAVIMENTAÇÕES</t>
  </si>
  <si>
    <t>Acabamentos de madeira</t>
  </si>
  <si>
    <t>Soleiras</t>
  </si>
  <si>
    <t>ACABAMENTOS EM PISO E PAVIMENTAÇÕES  - TORRE A</t>
  </si>
  <si>
    <t>ACABAMENTOS EM PISO E PAVIMENTAÇÕES  - TORRE B</t>
  </si>
  <si>
    <t>Sistema de pintura em parede</t>
  </si>
  <si>
    <t>Pinturas diversas</t>
  </si>
  <si>
    <t>PINTURA INTERNA  - TORRE A</t>
  </si>
  <si>
    <t>PINTURA INTERNA  - TORRE B</t>
  </si>
  <si>
    <t>ESQUADRIAS DE ALUMÍNIO  - TORRE A</t>
  </si>
  <si>
    <t>ESQUADRIAS DE ALUMÍNIO  - TORRE B</t>
  </si>
  <si>
    <t xml:space="preserve">Corrimão de madeira </t>
  </si>
  <si>
    <t>ESQUADRIAS DE MADEIRA  - TORRE A</t>
  </si>
  <si>
    <t>ESQUADRIAS DE MADEIRA  - TORRE B</t>
  </si>
  <si>
    <t>ESQUADRIAS METÁLICAS  - TORRE A</t>
  </si>
  <si>
    <t>ESQUADRIAS METÁLICAS  - TORRE B</t>
  </si>
  <si>
    <t>LOUÇAS E METAIS  - TORRE A</t>
  </si>
  <si>
    <t>LOUÇAS E METAIS  - TORRE B</t>
  </si>
  <si>
    <t>Estrutura e trama para cobertura</t>
  </si>
  <si>
    <t>Telhamento para cobertura</t>
  </si>
  <si>
    <t>Coberturas especiais</t>
  </si>
  <si>
    <t>Tratamentos de fachada</t>
  </si>
  <si>
    <t>REVESTIMENTOS E ACABAMENTOS EM FACHADA  - TORRE A</t>
  </si>
  <si>
    <t>REVESTIMENTOS E ACABAMENTOS EM FACHADA  - TORRE B</t>
  </si>
  <si>
    <t>Muros externos</t>
  </si>
  <si>
    <t>Mobiliário e decoração</t>
  </si>
  <si>
    <t xml:space="preserve">IMPREVISTOS E CONTINGÊNCIAS </t>
  </si>
  <si>
    <t>Lançado ERP</t>
  </si>
  <si>
    <t>Estudo geológico</t>
  </si>
  <si>
    <t>Projeto de canteiro</t>
  </si>
  <si>
    <t>Recebido - Considerado junto desse projeto os valores de projeto arquitetônico legal + hidráulico + preventivo + elétrico + arquitetônico</t>
  </si>
  <si>
    <t>Projeto arquitetônico de fachada</t>
  </si>
  <si>
    <t>Projeto técnico de fachada</t>
  </si>
  <si>
    <t>Recebido - Considerado junto desse projeto os valores de projeto estrutural e fundação</t>
  </si>
  <si>
    <t>Projeto de automação</t>
  </si>
  <si>
    <t>Projeto de irrigação</t>
  </si>
  <si>
    <t>Projeto preventivo (PPCI - Plano de Prevenção e Proteção Contra Incêndios) e Gás</t>
  </si>
  <si>
    <t>Estimado - Considerado somente o projeto de gás, pois o ppci, conforme informado no formulario, esta nicluso no arquitetônico</t>
  </si>
  <si>
    <t>Projeto de Segurança</t>
  </si>
  <si>
    <t>Projeto de forro</t>
  </si>
  <si>
    <t>Projeto acústico</t>
  </si>
  <si>
    <t>Protjeto de Sonorização</t>
  </si>
  <si>
    <t>Projeto de comunicação visual</t>
  </si>
  <si>
    <t>Projeto de Paisagismo</t>
  </si>
  <si>
    <t>Tour Virtual</t>
  </si>
  <si>
    <t>Consultoria técnica de legalização</t>
  </si>
  <si>
    <t>Ensaio de argamassa</t>
  </si>
  <si>
    <t>Prova de carga</t>
  </si>
  <si>
    <t>Ensaio de arrancamento de reboco</t>
  </si>
  <si>
    <t>Ensaio de arrancamento de gancho da cobertura</t>
  </si>
  <si>
    <t>Laudo de Vizinhança</t>
  </si>
  <si>
    <t>Laudo Spda</t>
  </si>
  <si>
    <t>Softwares</t>
  </si>
  <si>
    <t>Taxa Renovação Alvará de Construção</t>
  </si>
  <si>
    <t>Taxas de Alvará de Demolição</t>
  </si>
  <si>
    <t>Outorga onerosa, compra de índice e obra de arte</t>
  </si>
  <si>
    <t>Serviço terceirizado de segurança do trabalho - Valor/mês (R$)</t>
  </si>
  <si>
    <t>Estagiário</t>
  </si>
  <si>
    <t>Estimado - Vamos contratar o controle da Inmeta (Sistema) e instalar catraca e facial (prever custo)</t>
  </si>
  <si>
    <t>Consumos Mensais: Telefone</t>
  </si>
  <si>
    <t>Catraca</t>
  </si>
  <si>
    <t>Implantação de vigilância e acesso</t>
  </si>
  <si>
    <t>Alugueis Terrenos Apoio</t>
  </si>
  <si>
    <t>Gerador autonomo de energia</t>
  </si>
  <si>
    <t>Bomba e pressurizador</t>
  </si>
  <si>
    <t>Estimado - Considerar bombeamento (compra de bomba e pressurizadora) provisório para alimentar a rede hidráulica da obra.</t>
  </si>
  <si>
    <t>Custo extra</t>
  </si>
  <si>
    <t>Demolições</t>
  </si>
  <si>
    <t>Estimado - R$45.000 ( foi o custo de demolição das 4 casas)</t>
  </si>
  <si>
    <t>Locação Elevador cremalheira</t>
  </si>
  <si>
    <t>Manutenção Periódica Elevador cremalheira</t>
  </si>
  <si>
    <t>Locação Grua com torre movel</t>
  </si>
  <si>
    <t>Aquisição Carrinho plataforma</t>
  </si>
  <si>
    <t>Locação Manipulador telescópico</t>
  </si>
  <si>
    <t>Aquisição Carrinho mini paletes</t>
  </si>
  <si>
    <t>Locação Minicarregadeira</t>
  </si>
  <si>
    <t>Locação Condutor de entulho vertical</t>
  </si>
  <si>
    <t>Sistema para limpeza dos caminhões, e máquinas (lava rodas)</t>
  </si>
  <si>
    <t>Caçambas</t>
  </si>
  <si>
    <t>Estimado - Caçambas de lixo, Caçambas de entulho de madeira, e caçambas de gesso.</t>
  </si>
  <si>
    <t>Locação Andaime multidirecional</t>
  </si>
  <si>
    <t>Manutenção inicial Andaime multidirecional</t>
  </si>
  <si>
    <t>Manutenção periódica Andaime multidirecional</t>
  </si>
  <si>
    <t>Locação Andaime tubular tipo torre</t>
  </si>
  <si>
    <t>Manutenção inicial Aquisição Andaime tubular tipo torre</t>
  </si>
  <si>
    <t>Manutenção periódica Aquisição Andaime tubular tipo torre</t>
  </si>
  <si>
    <t>Locação Andaime suspenso motorizado</t>
  </si>
  <si>
    <t>Manutenção periódica Andaime suspenso motorizado</t>
  </si>
  <si>
    <t>Montagem e Desmontagem Andaime suspenso motorizado</t>
  </si>
  <si>
    <t>Mobilização e Desmobilização Andaime suspenso motorizado</t>
  </si>
  <si>
    <t>Esquadrias Pré-Executivo Rev.01</t>
  </si>
  <si>
    <t>04 ESQUADRIA</t>
  </si>
  <si>
    <t>4 pranchas DWG (Portas, Janelas, Peles Vidro, Vidro Fixo)</t>
  </si>
  <si>
    <t>Alvenaria 9 pavimentos + 9 locações, Rev.01</t>
  </si>
  <si>
    <t>03 ALVENARIA</t>
  </si>
  <si>
    <t>18 pranchas DWG (Alvenaria + Locação, Pré-Executivo Rev.01)</t>
  </si>
  <si>
    <t>Ar-condicionado completo Rev.05</t>
  </si>
  <si>
    <t>14 AR-CONDICIONADO</t>
  </si>
  <si>
    <t>RA_ARC_EXE_00_TODAS CAD_R05.dwg</t>
  </si>
  <si>
    <t>AR-CONDICIONADO</t>
  </si>
  <si>
    <t>Exaustão Churrasqueiras Rev.00</t>
  </si>
  <si>
    <t>13 CHURRASQUEIRA EXAUSTAO</t>
  </si>
  <si>
    <t>RA_CHU_EXE_PROJETO_R00.dwg</t>
  </si>
  <si>
    <t>EXAUSTÃO CHURRASQUEIRA</t>
  </si>
  <si>
    <t>Projeto Legal Rev.05</t>
  </si>
  <si>
    <t>12 ESCADA VENTILACAO MECANICA</t>
  </si>
  <si>
    <t>RA_EVM_LEGAL_PROJETO_R05.dwg</t>
  </si>
  <si>
    <t>VENTILAÇÃO MECÂNICA ESCADA</t>
  </si>
  <si>
    <t>SPDA completo, Rev.00</t>
  </si>
  <si>
    <t>11 SPDA</t>
  </si>
  <si>
    <t>10 pranchas DWG (SPDA Rev.00)</t>
  </si>
  <si>
    <t>SPDA</t>
  </si>
  <si>
    <t>Prev. Incêndio Elétrico, DWG+IFC, Rev.01</t>
  </si>
  <si>
    <t>08 PREVENTIVO INCENDIO ELÉTRICO</t>
  </si>
  <si>
    <t>27 arquivos (DWG 18 + IFC 9)</t>
  </si>
  <si>
    <t>INST. PREV. INCÊNDIO ELÉTRICO</t>
  </si>
  <si>
    <t>DWG 11 pranchas + IFC 5 modelos (IGC+PCI+Dutos), Rev.00-01</t>
  </si>
  <si>
    <t>07 PREVENTIVO INCENDIO CIVIL</t>
  </si>
  <si>
    <t>348 - IGC 01 [08] rev-00 - 01° PAVTO- TÉRREO (T-A).dwg; 348 - IGC 01 [08] rev.00 - 01° PAVTO. TÉRREO (T.A).dwg; 348 - IGC 02 [08] rev.00 - 01° PAVTO. TÉRREO (T.B).dwg (+13 mais)</t>
  </si>
  <si>
    <t>DWG 20 pranchas + IFC 10 modelos, Rev.01</t>
  </si>
  <si>
    <t>06 SANITÁRIO</t>
  </si>
  <si>
    <t>348 - S01 [22] rev.01 - EL_R.Rubens Alves - 01° PAVTO. TÉRREO [T.A].dwg; 348 - S02 [22] rev.01 - EL_R.Rubens Alves - 01° PAVTO. TÉRREO [T.B].dwg; 348 - S03 [22] rev.01 - EL_R.Rubens Alves - 02° PAVTO. G1 [T.A].dwg (+27 mais)</t>
  </si>
  <si>
    <t>DWG 20 pranchas + IFC completo, Rev.01</t>
  </si>
  <si>
    <t>05 HIDRÁULICO</t>
  </si>
  <si>
    <t>348 - H01 [30] rev.01 - EL_R.Rubens Alves - 01° PAVTO. TÉRREO - PISO [T.A].dwg; 348 - H02 [30] rev.01 - EL_R.Rubens Alves - 01° PAVTO. TÉRREO - PISO [T.B].dwg; 348 - H03 [30] rev.01 - EL_R.Rubens Alves - 01° PAVTO. TÉRREO - TETO [T.A].dwg (+18 mais)</t>
  </si>
  <si>
    <t>DWG 18 pranchas + IFC 9 modelos, Rev.01</t>
  </si>
  <si>
    <t>10 TELEFONICO</t>
  </si>
  <si>
    <t>348 - T02 [24] rev.01 - EL_R.Rubens Alves - 01° PAVTO. TÉRREO [T. A].dwg; 348 - T03 [24] rev.01 - EL_R.Rubens Alves - 01° PAVTO. TÉRREO [T. B].dwg; 348 - T04 [24] rev.01 - EL_R.Rubens Alves - 02° PAVTO. G1 [T. A].dwg (+24 mais)</t>
  </si>
  <si>
    <t>09 ELÉTRICO</t>
  </si>
  <si>
    <t>348 - E01 [28] rev.01 - EL_R.Rubens Alves - 01° PAVTO. TÉRREO [T. A].dwg; 348 - E02 [28] rev.01 - EL_R.Rubens Alves - 01° PAVTO. TÉRREO [T. B].dwg; 348 - E03 [28] rev.01 - EL_R.Rubens Alves - 02° PAVTO. G1 [T. A].dwg (+24 mais)</t>
  </si>
  <si>
    <t>DWG Executivo Rev.02</t>
  </si>
  <si>
    <t>02 ARQUITETURA/DWG</t>
  </si>
  <si>
    <t>RA_ARQ_EXE_09_RES E COB_R02.dwg</t>
  </si>
  <si>
    <t>RA_ARQ_EXE_08_TIPOS_R02.dwg</t>
  </si>
  <si>
    <t>IFC Tipo Rev.07</t>
  </si>
  <si>
    <t>02 ARQUITETURA/IFC</t>
  </si>
  <si>
    <t>RA_ARQ_EXE_MODELAGEM TIPO_R07.ifc</t>
  </si>
  <si>
    <t>IFC Embasamento + Cobertura Rev.08</t>
  </si>
  <si>
    <t>RA_ARQ_EXE_MODELAGEM EMBASAMENTO + COBERTURA_R08.ifc</t>
  </si>
  <si>
    <t>RA_ARQ_EXE_07_LAZER_R02.dwg</t>
  </si>
  <si>
    <t>RA_ARQ_EXE_06_G5_R02.dwg</t>
  </si>
  <si>
    <t>RA_ARQ_EXE_05_G4_R02.dwg</t>
  </si>
  <si>
    <t>RA_ARQ_EXE_04_G3_R02.dwg</t>
  </si>
  <si>
    <t>RA_ARQ_EXE_03_G2_R02.dwg</t>
  </si>
  <si>
    <t>RA_ARQ_EXE_02_G1_R02.dwg</t>
  </si>
  <si>
    <t>Cortes 1 e 2, Rev.02</t>
  </si>
  <si>
    <t>RA_ARQ_EXE_10_CORTE1_R02.dwg + RA_ARQ_EXE_11_CORTE2_R02.dwg</t>
  </si>
  <si>
    <t>RA_ARQ_EXE_01_TÉRREO_R02.dwg</t>
  </si>
  <si>
    <t>Coberto pelo IFC estrutural completo</t>
  </si>
  <si>
    <t>IFC Blocos + Rampas de Acesso Rev.26</t>
  </si>
  <si>
    <t>01 ESTRUTURA/IFC</t>
  </si>
  <si>
    <t>1203 - THOZEN - RUBENS ALVES - BLOCOS+RAMPAS DE ACESSO - R26.ifc</t>
  </si>
  <si>
    <t>DWG Pré-formas Rev.20</t>
  </si>
  <si>
    <t>01 ESTRUTURA/DWG</t>
  </si>
  <si>
    <t>1203 - PREFORMAS - R20.DWG</t>
  </si>
  <si>
    <t>Thozen Empreendimentos</t>
  </si>
  <si>
    <t>Electra Towers (Rubens Alves)</t>
  </si>
  <si>
    <t>ESQUADRIAS METÁLICAS</t>
  </si>
  <si>
    <t>Corrimão de madeira</t>
  </si>
  <si>
    <t>ESQUADRIAS DE MADEIRA</t>
  </si>
  <si>
    <t>ESQUADRIAS DE ALUMÍNIO</t>
  </si>
  <si>
    <t>REVESTIMENTOS ARGAMASSADOS INTERNOS EM TETO</t>
  </si>
  <si>
    <t>Sinalização de emergência e extintores</t>
  </si>
  <si>
    <t>Luminárias, lâmpadas e acessórios</t>
  </si>
  <si>
    <t>Impermeabilização de cisternas</t>
  </si>
  <si>
    <t>TORRE B</t>
  </si>
  <si>
    <t>TORRE A</t>
  </si>
  <si>
    <t>EMBASAMENTO</t>
  </si>
  <si>
    <t>TAXAS E DOCUMENTOS</t>
  </si>
  <si>
    <t>DESPESAS INDIRETAS</t>
  </si>
  <si>
    <t>TELECOMUNICAÇÃO</t>
  </si>
  <si>
    <t>Thozen</t>
  </si>
  <si>
    <t>Electra Towers</t>
  </si>
  <si>
    <t>01</t>
  </si>
  <si>
    <t>01.001</t>
  </si>
  <si>
    <t>01.001.001</t>
  </si>
  <si>
    <t>01.001.001.001</t>
  </si>
  <si>
    <t>01.002</t>
  </si>
  <si>
    <t>01.002.001</t>
  </si>
  <si>
    <t>01.002.001.001</t>
  </si>
  <si>
    <t>01.002.001.002</t>
  </si>
  <si>
    <t>01.002.002</t>
  </si>
  <si>
    <t>01.002.002.001</t>
  </si>
  <si>
    <t>01.003</t>
  </si>
  <si>
    <t>01.003.001</t>
  </si>
  <si>
    <t>01.003.001.001</t>
  </si>
  <si>
    <t>01.004</t>
  </si>
  <si>
    <t>01.004.001</t>
  </si>
  <si>
    <t>01.004.001.001</t>
  </si>
  <si>
    <t>02</t>
  </si>
  <si>
    <t>02.001</t>
  </si>
  <si>
    <t>02.001.001</t>
  </si>
  <si>
    <t>02.001.001.001</t>
  </si>
  <si>
    <t>02.001.002</t>
  </si>
  <si>
    <t>02.001.002.001</t>
  </si>
  <si>
    <t>02.001.002.002</t>
  </si>
  <si>
    <t>02.001.003</t>
  </si>
  <si>
    <t>02.001.003.001</t>
  </si>
  <si>
    <t>02.002</t>
  </si>
  <si>
    <t>02.002.001</t>
  </si>
  <si>
    <t>02.002.001.001</t>
  </si>
  <si>
    <t>02.002.001.002</t>
  </si>
  <si>
    <t>02.002.001.003</t>
  </si>
  <si>
    <t>02.002.001.004</t>
  </si>
  <si>
    <t>02.002.002</t>
  </si>
  <si>
    <t>02.002.002.001</t>
  </si>
  <si>
    <t>02.003</t>
  </si>
  <si>
    <t>02.003.001</t>
  </si>
  <si>
    <t>02.003.001.001</t>
  </si>
  <si>
    <t>02.003.002</t>
  </si>
  <si>
    <t>02.003.002.001</t>
  </si>
  <si>
    <t>02.003.002.002</t>
  </si>
  <si>
    <t>02.003.002.003</t>
  </si>
  <si>
    <t>02.003.002.004</t>
  </si>
  <si>
    <t>02.003.003</t>
  </si>
  <si>
    <t>02.003.003.001</t>
  </si>
  <si>
    <t>02.004</t>
  </si>
  <si>
    <t>02.004.001</t>
  </si>
  <si>
    <t>02.004.001.001</t>
  </si>
  <si>
    <t>02.004.001.002</t>
  </si>
  <si>
    <t>02.005</t>
  </si>
  <si>
    <t>02.005.001</t>
  </si>
  <si>
    <t>02.005.001.001</t>
  </si>
  <si>
    <t>03</t>
  </si>
  <si>
    <t>03.001</t>
  </si>
  <si>
    <t>03.001.001</t>
  </si>
  <si>
    <t>03.001.001.001</t>
  </si>
  <si>
    <t>03.001.001.002</t>
  </si>
  <si>
    <t>03.001.002</t>
  </si>
  <si>
    <t>03.001.002.001</t>
  </si>
  <si>
    <t>03.001.002.002</t>
  </si>
  <si>
    <t>03.001.003</t>
  </si>
  <si>
    <t>03.001.003.001</t>
  </si>
  <si>
    <t>03.001.004</t>
  </si>
  <si>
    <t>03.002</t>
  </si>
  <si>
    <t>03.002.001</t>
  </si>
  <si>
    <t>03.002.001.001</t>
  </si>
  <si>
    <t>03.002.002</t>
  </si>
  <si>
    <t>03.002.002.001</t>
  </si>
  <si>
    <t>03.002.002.002</t>
  </si>
  <si>
    <t>03.002.002.003</t>
  </si>
  <si>
    <t>03.002.002.004</t>
  </si>
  <si>
    <t>03.002.003</t>
  </si>
  <si>
    <t>03.002.003.001</t>
  </si>
  <si>
    <t>03.002.004</t>
  </si>
  <si>
    <t>03.003</t>
  </si>
  <si>
    <t>03.003.001</t>
  </si>
  <si>
    <t>03.003.001.001</t>
  </si>
  <si>
    <t>03.003.002</t>
  </si>
  <si>
    <t>03.003.002.001</t>
  </si>
  <si>
    <t>03.003.002.002</t>
  </si>
  <si>
    <t>03.003.002.003</t>
  </si>
  <si>
    <t>03.003.002.004</t>
  </si>
  <si>
    <t>03.003.002.005</t>
  </si>
  <si>
    <t>03.003.002.006</t>
  </si>
  <si>
    <t>03.003.002.007</t>
  </si>
  <si>
    <t>03.003.002.008</t>
  </si>
  <si>
    <t>03.003.002.009</t>
  </si>
  <si>
    <t>03.003.003</t>
  </si>
  <si>
    <t>03.003.003.001</t>
  </si>
  <si>
    <t>03.003.004</t>
  </si>
  <si>
    <t>04</t>
  </si>
  <si>
    <t>04.001</t>
  </si>
  <si>
    <t>04.001.001</t>
  </si>
  <si>
    <t>04.001.001.001</t>
  </si>
  <si>
    <t>04.002</t>
  </si>
  <si>
    <t>04.002.001</t>
  </si>
  <si>
    <t>04.002.001.001</t>
  </si>
  <si>
    <t>04.002.001.002</t>
  </si>
  <si>
    <t>04.002.002</t>
  </si>
  <si>
    <t>04.002.002.001</t>
  </si>
  <si>
    <t>04.002.003</t>
  </si>
  <si>
    <t>04.002.003.001</t>
  </si>
  <si>
    <t>04.002.004</t>
  </si>
  <si>
    <t>04.002.004.001</t>
  </si>
  <si>
    <t>04.002.005</t>
  </si>
  <si>
    <t>04.002.005.001</t>
  </si>
  <si>
    <t>04.002.006</t>
  </si>
  <si>
    <t>04.002.006.001</t>
  </si>
  <si>
    <t>04.002.007</t>
  </si>
  <si>
    <t>04.002.007.001</t>
  </si>
  <si>
    <t>04.002.008</t>
  </si>
  <si>
    <t>04.002.008.001</t>
  </si>
  <si>
    <t>04.002.009</t>
  </si>
  <si>
    <t>04.002.009.001</t>
  </si>
  <si>
    <t>04.002.010</t>
  </si>
  <si>
    <t>04.002.010.001</t>
  </si>
  <si>
    <t>04.002.011</t>
  </si>
  <si>
    <t>04.002.011.001</t>
  </si>
  <si>
    <t>04.002.011.002</t>
  </si>
  <si>
    <t>04.002.012</t>
  </si>
  <si>
    <t>04.002.012.001</t>
  </si>
  <si>
    <t>04.002.012.002</t>
  </si>
  <si>
    <t>04.002.013</t>
  </si>
  <si>
    <t>04.002.013.001</t>
  </si>
  <si>
    <t>04.002.013.002</t>
  </si>
  <si>
    <t>04.002.014</t>
  </si>
  <si>
    <t>04.002.014.001</t>
  </si>
  <si>
    <t>04.002.015</t>
  </si>
  <si>
    <t>04.002.015.001</t>
  </si>
  <si>
    <t>04.002.015.002</t>
  </si>
  <si>
    <t>04.002.016</t>
  </si>
  <si>
    <t>04.002.016.001</t>
  </si>
  <si>
    <t>04.002.016.002</t>
  </si>
  <si>
    <t>04.003</t>
  </si>
  <si>
    <t>04.003.001</t>
  </si>
  <si>
    <t>04.003.001.001</t>
  </si>
  <si>
    <t>04.003.001.002</t>
  </si>
  <si>
    <t>04.003.001.003</t>
  </si>
  <si>
    <t>04.003.001.004</t>
  </si>
  <si>
    <t>04.003.001.005</t>
  </si>
  <si>
    <t>04.003.001.006</t>
  </si>
  <si>
    <t>04.003.001.007</t>
  </si>
  <si>
    <t>04.003.002</t>
  </si>
  <si>
    <t>04.003.002.001</t>
  </si>
  <si>
    <t>04.003.002.002</t>
  </si>
  <si>
    <t>04.003.002.003</t>
  </si>
  <si>
    <t>04.003.002.004</t>
  </si>
  <si>
    <t>04.003.002.005</t>
  </si>
  <si>
    <t>04.003.002.006</t>
  </si>
  <si>
    <t>04.003.002.007</t>
  </si>
  <si>
    <t>04.003.002.008</t>
  </si>
  <si>
    <t>04.003.002.009</t>
  </si>
  <si>
    <t>04.003.003</t>
  </si>
  <si>
    <t>04.003.003.001</t>
  </si>
  <si>
    <t>04.003.003.002</t>
  </si>
  <si>
    <t>04.003.003.003</t>
  </si>
  <si>
    <t>04.003.003.004</t>
  </si>
  <si>
    <t>04.003.003.005</t>
  </si>
  <si>
    <t>04.003.003.006</t>
  </si>
  <si>
    <t>04.003.003.007</t>
  </si>
  <si>
    <t>04.003.003.008</t>
  </si>
  <si>
    <t>04.003.003.009</t>
  </si>
  <si>
    <t>04.003.004</t>
  </si>
  <si>
    <t>04.003.004.001</t>
  </si>
  <si>
    <t>04.003.004.002</t>
  </si>
  <si>
    <t>04.003.004.003</t>
  </si>
  <si>
    <t>04.003.004.004</t>
  </si>
  <si>
    <t>04.003.004.005</t>
  </si>
  <si>
    <t>04.003.004.006</t>
  </si>
  <si>
    <t>04.003.004.007</t>
  </si>
  <si>
    <t>04.003.004.008</t>
  </si>
  <si>
    <t>04.003.005</t>
  </si>
  <si>
    <t>04.003.005.001</t>
  </si>
  <si>
    <t>04.003.005.002</t>
  </si>
  <si>
    <t>04.003.005.003</t>
  </si>
  <si>
    <t>04.003.005.004</t>
  </si>
  <si>
    <t>04.003.005.005</t>
  </si>
  <si>
    <t>04.003.005.006</t>
  </si>
  <si>
    <t>04.003.005.007</t>
  </si>
  <si>
    <t>04.003.005.008</t>
  </si>
  <si>
    <t>04.003.006</t>
  </si>
  <si>
    <t>04.003.006.001</t>
  </si>
  <si>
    <t>04.003.006.002</t>
  </si>
  <si>
    <t>04.003.006.003</t>
  </si>
  <si>
    <t>04.003.006.004</t>
  </si>
  <si>
    <t>04.003.006.005</t>
  </si>
  <si>
    <t>04.003.006.006</t>
  </si>
  <si>
    <t>04.003.006.007</t>
  </si>
  <si>
    <t>04.003.006.008</t>
  </si>
  <si>
    <t>04.003.007</t>
  </si>
  <si>
    <t>04.003.007.001</t>
  </si>
  <si>
    <t>04.003.007.002</t>
  </si>
  <si>
    <t>04.003.007.003</t>
  </si>
  <si>
    <t>04.003.007.004</t>
  </si>
  <si>
    <t>04.003.007.005</t>
  </si>
  <si>
    <t>04.003.007.006</t>
  </si>
  <si>
    <t>04.003.007.007</t>
  </si>
  <si>
    <t>04.003.007.008</t>
  </si>
  <si>
    <t>04.003.008</t>
  </si>
  <si>
    <t>04.003.008.001</t>
  </si>
  <si>
    <t>04.003.008.002</t>
  </si>
  <si>
    <t>04.003.008.003</t>
  </si>
  <si>
    <t>04.003.008.004</t>
  </si>
  <si>
    <t>04.003.008.005</t>
  </si>
  <si>
    <t>04.003.008.006</t>
  </si>
  <si>
    <t>04.003.008.007</t>
  </si>
  <si>
    <t>04.003.008.008</t>
  </si>
  <si>
    <t>04.003.009</t>
  </si>
  <si>
    <t>04.003.009.001</t>
  </si>
  <si>
    <t>04.003.009.002</t>
  </si>
  <si>
    <t>04.003.009.003</t>
  </si>
  <si>
    <t>04.003.009.004</t>
  </si>
  <si>
    <t>04.003.009.005</t>
  </si>
  <si>
    <t>04.003.009.006</t>
  </si>
  <si>
    <t>04.003.009.007</t>
  </si>
  <si>
    <t>04.003.009.008</t>
  </si>
  <si>
    <t>04.003.010</t>
  </si>
  <si>
    <t>04.003.010.001</t>
  </si>
  <si>
    <t>04.003.010.002</t>
  </si>
  <si>
    <t>04.003.010.003</t>
  </si>
  <si>
    <t>04.003.010.004</t>
  </si>
  <si>
    <t>04.003.010.005</t>
  </si>
  <si>
    <t>04.003.010.006</t>
  </si>
  <si>
    <t>04.003.010.007</t>
  </si>
  <si>
    <t>04.003.010.008</t>
  </si>
  <si>
    <t>04.003.011</t>
  </si>
  <si>
    <t>04.003.011.001</t>
  </si>
  <si>
    <t>04.003.011.002</t>
  </si>
  <si>
    <t>04.003.011.003</t>
  </si>
  <si>
    <t>04.003.011.004</t>
  </si>
  <si>
    <t>04.003.011.005</t>
  </si>
  <si>
    <t>04.003.011.006</t>
  </si>
  <si>
    <t>04.003.011.007</t>
  </si>
  <si>
    <t>04.003.011.008</t>
  </si>
  <si>
    <t>04.003.012</t>
  </si>
  <si>
    <t>04.003.012.001</t>
  </si>
  <si>
    <t>04.003.012.002</t>
  </si>
  <si>
    <t>04.003.012.003</t>
  </si>
  <si>
    <t>04.003.012.004</t>
  </si>
  <si>
    <t>04.003.012.005</t>
  </si>
  <si>
    <t>04.003.012.006</t>
  </si>
  <si>
    <t>04.003.012.007</t>
  </si>
  <si>
    <t>04.003.012.008</t>
  </si>
  <si>
    <t>04.003.013</t>
  </si>
  <si>
    <t>04.003.013.001</t>
  </si>
  <si>
    <t>04.003.013.002</t>
  </si>
  <si>
    <t>04.003.013.003</t>
  </si>
  <si>
    <t>04.003.013.004</t>
  </si>
  <si>
    <t>04.003.013.005</t>
  </si>
  <si>
    <t>04.003.013.006</t>
  </si>
  <si>
    <t>04.003.013.007</t>
  </si>
  <si>
    <t>04.003.013.008</t>
  </si>
  <si>
    <t>04.003.014</t>
  </si>
  <si>
    <t>04.003.014.001</t>
  </si>
  <si>
    <t>04.003.014.002</t>
  </si>
  <si>
    <t>04.003.014.003</t>
  </si>
  <si>
    <t>04.003.014.004</t>
  </si>
  <si>
    <t>04.003.014.005</t>
  </si>
  <si>
    <t>04.003.014.006</t>
  </si>
  <si>
    <t>04.003.014.007</t>
  </si>
  <si>
    <t>04.003.014.008</t>
  </si>
  <si>
    <t>04.003.015</t>
  </si>
  <si>
    <t>04.003.015.001</t>
  </si>
  <si>
    <t>04.003.015.002</t>
  </si>
  <si>
    <t>04.003.015.003</t>
  </si>
  <si>
    <t>04.003.015.004</t>
  </si>
  <si>
    <t>04.003.015.005</t>
  </si>
  <si>
    <t>04.003.015.006</t>
  </si>
  <si>
    <t>04.003.016</t>
  </si>
  <si>
    <t>04.003.016.001</t>
  </si>
  <si>
    <t>04.003.016.002</t>
  </si>
  <si>
    <t>04.003.016.003</t>
  </si>
  <si>
    <t>04.003.016.004</t>
  </si>
  <si>
    <t>04.003.016.005</t>
  </si>
  <si>
    <t>04.004</t>
  </si>
  <si>
    <t>04.004.001</t>
  </si>
  <si>
    <t>04.004.001.001</t>
  </si>
  <si>
    <t>04.004.002</t>
  </si>
  <si>
    <t>04.004.002.001</t>
  </si>
  <si>
    <t>04.004.003</t>
  </si>
  <si>
    <t>04.004.003.001</t>
  </si>
  <si>
    <t>04.004.004</t>
  </si>
  <si>
    <t>04.004.004.001</t>
  </si>
  <si>
    <t>04.004.005</t>
  </si>
  <si>
    <t>04.004.005.001</t>
  </si>
  <si>
    <t>04.004.006</t>
  </si>
  <si>
    <t>04.004.006.001</t>
  </si>
  <si>
    <t>04.004.007</t>
  </si>
  <si>
    <t>04.004.007.001</t>
  </si>
  <si>
    <t>04.004.008</t>
  </si>
  <si>
    <t>04.004.008.001</t>
  </si>
  <si>
    <t>04.004.009</t>
  </si>
  <si>
    <t>04.004.009.001</t>
  </si>
  <si>
    <t>04.004.010</t>
  </si>
  <si>
    <t>04.004.010.001</t>
  </si>
  <si>
    <t>04.004.011</t>
  </si>
  <si>
    <t>04.004.011.001</t>
  </si>
  <si>
    <t>04.004.012</t>
  </si>
  <si>
    <t>04.004.012.001</t>
  </si>
  <si>
    <t>04.004.013</t>
  </si>
  <si>
    <t>04.004.013.001</t>
  </si>
  <si>
    <t>04.004.014</t>
  </si>
  <si>
    <t>04.004.014.001</t>
  </si>
  <si>
    <t>04.004.015</t>
  </si>
  <si>
    <t>04.004.015.001</t>
  </si>
  <si>
    <t>04.004.016</t>
  </si>
  <si>
    <t>04.004.016.001</t>
  </si>
  <si>
    <t>04.005</t>
  </si>
  <si>
    <t>04.005.001</t>
  </si>
  <si>
    <t>04.005.001.001</t>
  </si>
  <si>
    <t>04.005.002</t>
  </si>
  <si>
    <t>04.005.002.001</t>
  </si>
  <si>
    <t>04.005.003</t>
  </si>
  <si>
    <t>04.005.003.001</t>
  </si>
  <si>
    <t>04.005.004</t>
  </si>
  <si>
    <t>04.005.004.001</t>
  </si>
  <si>
    <t>04.005.005</t>
  </si>
  <si>
    <t>04.005.005.001</t>
  </si>
  <si>
    <t>04.005.006</t>
  </si>
  <si>
    <t>04.005.006.001</t>
  </si>
  <si>
    <t>04.005.007</t>
  </si>
  <si>
    <t>04.005.007.001</t>
  </si>
  <si>
    <t>04.005.008</t>
  </si>
  <si>
    <t>04.005.008.001</t>
  </si>
  <si>
    <t>04.005.009</t>
  </si>
  <si>
    <t>04.005.009.001</t>
  </si>
  <si>
    <t>04.005.010</t>
  </si>
  <si>
    <t>04.005.010.001</t>
  </si>
  <si>
    <t>04.005.011</t>
  </si>
  <si>
    <t>04.005.011.001</t>
  </si>
  <si>
    <t>04.005.012</t>
  </si>
  <si>
    <t>04.005.012.001</t>
  </si>
  <si>
    <t>04.005.013</t>
  </si>
  <si>
    <t>04.005.013.001</t>
  </si>
  <si>
    <t>04.005.014</t>
  </si>
  <si>
    <t>04.005.014.001</t>
  </si>
  <si>
    <t>04.005.015</t>
  </si>
  <si>
    <t>04.005.015.001</t>
  </si>
  <si>
    <t>04.005.016</t>
  </si>
  <si>
    <t>04.005.016.001</t>
  </si>
  <si>
    <t>04.006</t>
  </si>
  <si>
    <t>04.006.001</t>
  </si>
  <si>
    <t>04.006.001.001</t>
  </si>
  <si>
    <t>04.006.002</t>
  </si>
  <si>
    <t>04.006.002.001</t>
  </si>
  <si>
    <t>04.006.003</t>
  </si>
  <si>
    <t>04.006.003.001</t>
  </si>
  <si>
    <t>04.006.004</t>
  </si>
  <si>
    <t>04.006.004.001</t>
  </si>
  <si>
    <t>04.006.005</t>
  </si>
  <si>
    <t>04.006.005.001</t>
  </si>
  <si>
    <t>04.006.006</t>
  </si>
  <si>
    <t>04.006.006.001</t>
  </si>
  <si>
    <t>04.006.007</t>
  </si>
  <si>
    <t>04.006.007.001</t>
  </si>
  <si>
    <t>04.006.008</t>
  </si>
  <si>
    <t>04.006.008.001</t>
  </si>
  <si>
    <t>04.006.009</t>
  </si>
  <si>
    <t>04.006.009.001</t>
  </si>
  <si>
    <t>04.006.010</t>
  </si>
  <si>
    <t>04.006.010.001</t>
  </si>
  <si>
    <t>04.006.011</t>
  </si>
  <si>
    <t>04.006.011.001</t>
  </si>
  <si>
    <t>04.006.012</t>
  </si>
  <si>
    <t>04.006.012.001</t>
  </si>
  <si>
    <t>04.006.013</t>
  </si>
  <si>
    <t>04.006.013.001</t>
  </si>
  <si>
    <t>04.006.014</t>
  </si>
  <si>
    <t>04.006.014.001</t>
  </si>
  <si>
    <t>04.006.015</t>
  </si>
  <si>
    <t>04.006.015.001</t>
  </si>
  <si>
    <t>04.006.016</t>
  </si>
  <si>
    <t>04.006.016.001</t>
  </si>
  <si>
    <t>05</t>
  </si>
  <si>
    <t>05.001</t>
  </si>
  <si>
    <t>05.001.001</t>
  </si>
  <si>
    <t>05.001.001.001</t>
  </si>
  <si>
    <t>05.001.001.002</t>
  </si>
  <si>
    <t>05.001.001.003</t>
  </si>
  <si>
    <t>05.001.002</t>
  </si>
  <si>
    <t>05.001.002.001</t>
  </si>
  <si>
    <t>05.001.003</t>
  </si>
  <si>
    <t>05.001.003.001</t>
  </si>
  <si>
    <t>05.001.003.002</t>
  </si>
  <si>
    <t>05.001.003.003</t>
  </si>
  <si>
    <t>05.001.004</t>
  </si>
  <si>
    <t>05.001.004.001</t>
  </si>
  <si>
    <t>05.001.004.002</t>
  </si>
  <si>
    <t>05.001.004.003</t>
  </si>
  <si>
    <t>05.001.005</t>
  </si>
  <si>
    <t>05.001.005.001</t>
  </si>
  <si>
    <t>05.001.005.002</t>
  </si>
  <si>
    <t>05.001.005.003</t>
  </si>
  <si>
    <t>05.002</t>
  </si>
  <si>
    <t>05.002.001</t>
  </si>
  <si>
    <t>05.002.001.001</t>
  </si>
  <si>
    <t>05.002.002</t>
  </si>
  <si>
    <t>05.002.002.001</t>
  </si>
  <si>
    <t>05.002.003</t>
  </si>
  <si>
    <t>05.002.003.001</t>
  </si>
  <si>
    <t>05.002.003.002</t>
  </si>
  <si>
    <t>05.002.003.003</t>
  </si>
  <si>
    <t>05.002.004</t>
  </si>
  <si>
    <t>05.002.004.001</t>
  </si>
  <si>
    <t>05.002.004.002</t>
  </si>
  <si>
    <t>05.002.004.003</t>
  </si>
  <si>
    <t>05.002.005</t>
  </si>
  <si>
    <t>05.002.005.001</t>
  </si>
  <si>
    <t>05.002.005.002</t>
  </si>
  <si>
    <t>05.002.005.003</t>
  </si>
  <si>
    <t>05.003</t>
  </si>
  <si>
    <t>05.003.001</t>
  </si>
  <si>
    <t>05.003.001.001</t>
  </si>
  <si>
    <t>05.003.002</t>
  </si>
  <si>
    <t>05.003.002.001</t>
  </si>
  <si>
    <t>05.003.003</t>
  </si>
  <si>
    <t>05.003.003.001</t>
  </si>
  <si>
    <t>05.003.003.002</t>
  </si>
  <si>
    <t>05.003.003.003</t>
  </si>
  <si>
    <t>05.003.004</t>
  </si>
  <si>
    <t>05.003.004.001</t>
  </si>
  <si>
    <t>05.003.004.002</t>
  </si>
  <si>
    <t>05.003.005</t>
  </si>
  <si>
    <t>05.003.005.001</t>
  </si>
  <si>
    <t>05.003.005.002</t>
  </si>
  <si>
    <t>05.003.005.003</t>
  </si>
  <si>
    <t>05.004</t>
  </si>
  <si>
    <t>05.004.001</t>
  </si>
  <si>
    <t>05.004.001.001</t>
  </si>
  <si>
    <t>05.004.002</t>
  </si>
  <si>
    <t>05.004.002.001</t>
  </si>
  <si>
    <t>05.004.003</t>
  </si>
  <si>
    <t>05.004.003.001</t>
  </si>
  <si>
    <t>05.004.003.002</t>
  </si>
  <si>
    <t>05.004.003.003</t>
  </si>
  <si>
    <t>05.004.004</t>
  </si>
  <si>
    <t>05.004.004.001</t>
  </si>
  <si>
    <t>05.004.004.002</t>
  </si>
  <si>
    <t>05.004.005</t>
  </si>
  <si>
    <t>05.004.005.001</t>
  </si>
  <si>
    <t>05.004.005.002</t>
  </si>
  <si>
    <t>05.004.005.003</t>
  </si>
  <si>
    <t>05.005</t>
  </si>
  <si>
    <t>05.005.001</t>
  </si>
  <si>
    <t>05.005.001.001</t>
  </si>
  <si>
    <t>05.005.002</t>
  </si>
  <si>
    <t>05.005.002.001</t>
  </si>
  <si>
    <t>05.005.003</t>
  </si>
  <si>
    <t>05.005.003.001</t>
  </si>
  <si>
    <t>05.005.003.002</t>
  </si>
  <si>
    <t>05.005.003.003</t>
  </si>
  <si>
    <t>05.005.004</t>
  </si>
  <si>
    <t>05.005.004.001</t>
  </si>
  <si>
    <t>05.005.004.002</t>
  </si>
  <si>
    <t>05.005.004.003</t>
  </si>
  <si>
    <t>05.005.005</t>
  </si>
  <si>
    <t>05.005.005.001</t>
  </si>
  <si>
    <t>05.005.005.002</t>
  </si>
  <si>
    <t>05.005.005.003</t>
  </si>
  <si>
    <t>05.006</t>
  </si>
  <si>
    <t>05.006.001</t>
  </si>
  <si>
    <t>05.006.001.001</t>
  </si>
  <si>
    <t>05.006.002</t>
  </si>
  <si>
    <t>05.006.002.001</t>
  </si>
  <si>
    <t>05.006.003</t>
  </si>
  <si>
    <t>05.006.003.001</t>
  </si>
  <si>
    <t>05.006.003.002</t>
  </si>
  <si>
    <t>05.006.003.003</t>
  </si>
  <si>
    <t>05.006.004</t>
  </si>
  <si>
    <t>05.006.004.001</t>
  </si>
  <si>
    <t>05.006.004.002</t>
  </si>
  <si>
    <t>05.006.004.003</t>
  </si>
  <si>
    <t>05.006.005</t>
  </si>
  <si>
    <t>05.006.005.001</t>
  </si>
  <si>
    <t>05.006.005.002</t>
  </si>
  <si>
    <t>05.006.005.003</t>
  </si>
  <si>
    <t>05.007</t>
  </si>
  <si>
    <t>05.007.001</t>
  </si>
  <si>
    <t>05.007.001.001</t>
  </si>
  <si>
    <t>05.007.002</t>
  </si>
  <si>
    <t>05.007.002.001</t>
  </si>
  <si>
    <t>05.007.003</t>
  </si>
  <si>
    <t>05.007.003.001</t>
  </si>
  <si>
    <t>05.007.003.002</t>
  </si>
  <si>
    <t>05.007.003.003</t>
  </si>
  <si>
    <t>05.007.004</t>
  </si>
  <si>
    <t>05.007.004.001</t>
  </si>
  <si>
    <t>05.007.004.002</t>
  </si>
  <si>
    <t>05.007.004.003</t>
  </si>
  <si>
    <t>05.007.005</t>
  </si>
  <si>
    <t>05.007.005.001</t>
  </si>
  <si>
    <t>05.007.005.002</t>
  </si>
  <si>
    <t>05.007.005.003</t>
  </si>
  <si>
    <t>05.008</t>
  </si>
  <si>
    <t>05.008.001</t>
  </si>
  <si>
    <t>05.008.001.001</t>
  </si>
  <si>
    <t>05.008.002</t>
  </si>
  <si>
    <t>05.008.002.001</t>
  </si>
  <si>
    <t>05.008.003</t>
  </si>
  <si>
    <t>05.008.003.001</t>
  </si>
  <si>
    <t>05.008.003.002</t>
  </si>
  <si>
    <t>05.008.003.003</t>
  </si>
  <si>
    <t>05.008.003.004</t>
  </si>
  <si>
    <t>05.008.004</t>
  </si>
  <si>
    <t>05.008.004.001</t>
  </si>
  <si>
    <t>05.008.004.002</t>
  </si>
  <si>
    <t>05.008.004.003</t>
  </si>
  <si>
    <t>05.008.005</t>
  </si>
  <si>
    <t>05.008.005.001</t>
  </si>
  <si>
    <t>05.008.005.002</t>
  </si>
  <si>
    <t>05.008.005.003</t>
  </si>
  <si>
    <t>05.009</t>
  </si>
  <si>
    <t>05.009.001</t>
  </si>
  <si>
    <t>05.009.001.001</t>
  </si>
  <si>
    <t>05.009.002</t>
  </si>
  <si>
    <t>05.009.002.001</t>
  </si>
  <si>
    <t>05.009.003</t>
  </si>
  <si>
    <t>05.009.003.001</t>
  </si>
  <si>
    <t>05.009.003.002</t>
  </si>
  <si>
    <t>05.009.003.003</t>
  </si>
  <si>
    <t>05.009.003.004</t>
  </si>
  <si>
    <t>05.009.004</t>
  </si>
  <si>
    <t>05.009.004.001</t>
  </si>
  <si>
    <t>05.009.004.002</t>
  </si>
  <si>
    <t>05.009.004.003</t>
  </si>
  <si>
    <t>05.009.005</t>
  </si>
  <si>
    <t>05.009.005.001</t>
  </si>
  <si>
    <t>05.009.005.002</t>
  </si>
  <si>
    <t>05.009.005.003</t>
  </si>
  <si>
    <t>05.010</t>
  </si>
  <si>
    <t>05.010.001</t>
  </si>
  <si>
    <t>05.010.001.001</t>
  </si>
  <si>
    <t>05.010.002</t>
  </si>
  <si>
    <t>05.010.002.001</t>
  </si>
  <si>
    <t>05.010.003</t>
  </si>
  <si>
    <t>05.010.003.001</t>
  </si>
  <si>
    <t>05.010.003.002</t>
  </si>
  <si>
    <t>05.010.003.003</t>
  </si>
  <si>
    <t>05.010.003.004</t>
  </si>
  <si>
    <t>05.010.004</t>
  </si>
  <si>
    <t>05.010.004.001</t>
  </si>
  <si>
    <t>05.010.004.002</t>
  </si>
  <si>
    <t>05.010.004.003</t>
  </si>
  <si>
    <t>05.010.005</t>
  </si>
  <si>
    <t>05.010.005.001</t>
  </si>
  <si>
    <t>05.010.005.002</t>
  </si>
  <si>
    <t>05.010.005.003</t>
  </si>
  <si>
    <t>05.011</t>
  </si>
  <si>
    <t>05.011.001</t>
  </si>
  <si>
    <t>05.011.001.001</t>
  </si>
  <si>
    <t>05.011.002</t>
  </si>
  <si>
    <t>05.011.002.001</t>
  </si>
  <si>
    <t>05.011.003</t>
  </si>
  <si>
    <t>05.011.003.001</t>
  </si>
  <si>
    <t>05.011.003.002</t>
  </si>
  <si>
    <t>05.011.003.003</t>
  </si>
  <si>
    <t>05.011.003.004</t>
  </si>
  <si>
    <t>05.011.004</t>
  </si>
  <si>
    <t>05.011.004.001</t>
  </si>
  <si>
    <t>05.011.004.002</t>
  </si>
  <si>
    <t>05.011.004.003</t>
  </si>
  <si>
    <t>05.011.005</t>
  </si>
  <si>
    <t>05.011.005.001</t>
  </si>
  <si>
    <t>05.011.005.002</t>
  </si>
  <si>
    <t>05.011.005.003</t>
  </si>
  <si>
    <t>05.012</t>
  </si>
  <si>
    <t>05.012.001</t>
  </si>
  <si>
    <t>05.012.001.001</t>
  </si>
  <si>
    <t>05.012.002</t>
  </si>
  <si>
    <t>05.012.002.001</t>
  </si>
  <si>
    <t>05.012.003</t>
  </si>
  <si>
    <t>05.012.003.001</t>
  </si>
  <si>
    <t>05.012.003.002</t>
  </si>
  <si>
    <t>05.012.003.003</t>
  </si>
  <si>
    <t>05.012.004</t>
  </si>
  <si>
    <t>05.012.004.001</t>
  </si>
  <si>
    <t>05.012.004.002</t>
  </si>
  <si>
    <t>05.012.005</t>
  </si>
  <si>
    <t>05.012.005.001</t>
  </si>
  <si>
    <t>05.012.005.002</t>
  </si>
  <si>
    <t>05.012.005.003</t>
  </si>
  <si>
    <t>05.013</t>
  </si>
  <si>
    <t>05.013.001</t>
  </si>
  <si>
    <t>05.013.001.001</t>
  </si>
  <si>
    <t>05.013.001.002</t>
  </si>
  <si>
    <t>05.013.002</t>
  </si>
  <si>
    <t>05.013.002.001</t>
  </si>
  <si>
    <t>05.013.003</t>
  </si>
  <si>
    <t>05.013.003.001</t>
  </si>
  <si>
    <t>05.013.003.002</t>
  </si>
  <si>
    <t>05.013.003.003</t>
  </si>
  <si>
    <t>05.013.003.004</t>
  </si>
  <si>
    <t>05.013.004</t>
  </si>
  <si>
    <t>05.013.004.001</t>
  </si>
  <si>
    <t>05.013.004.002</t>
  </si>
  <si>
    <t>05.013.004.003</t>
  </si>
  <si>
    <t>05.013.005</t>
  </si>
  <si>
    <t>05.013.005.001</t>
  </si>
  <si>
    <t>05.013.005.002</t>
  </si>
  <si>
    <t>05.013.005.003</t>
  </si>
  <si>
    <t>05.014</t>
  </si>
  <si>
    <t>05.014.001</t>
  </si>
  <si>
    <t>05.014.001.001</t>
  </si>
  <si>
    <t>05.014.001.002</t>
  </si>
  <si>
    <t>05.014.002</t>
  </si>
  <si>
    <t>05.014.002.001</t>
  </si>
  <si>
    <t>05.014.002.002</t>
  </si>
  <si>
    <t>05.014.002.003</t>
  </si>
  <si>
    <t>05.014.003</t>
  </si>
  <si>
    <t>05.014.003.001</t>
  </si>
  <si>
    <t>05.014.004</t>
  </si>
  <si>
    <t>05.014.004.001</t>
  </si>
  <si>
    <t>05.014.004.002</t>
  </si>
  <si>
    <t>06</t>
  </si>
  <si>
    <t>06.001</t>
  </si>
  <si>
    <t>06.001.001</t>
  </si>
  <si>
    <t>06.001.001.001</t>
  </si>
  <si>
    <t>06.001.002</t>
  </si>
  <si>
    <t>06.001.002.001</t>
  </si>
  <si>
    <t>06.001.003</t>
  </si>
  <si>
    <t>06.001.003.001</t>
  </si>
  <si>
    <t>06.001.004</t>
  </si>
  <si>
    <t>06.001.004.001</t>
  </si>
  <si>
    <t>06.001.005</t>
  </si>
  <si>
    <t>06.001.005.001</t>
  </si>
  <si>
    <t>06.001.006</t>
  </si>
  <si>
    <t>06.001.006.001</t>
  </si>
  <si>
    <t>06.001.007</t>
  </si>
  <si>
    <t>06.001.007.001</t>
  </si>
  <si>
    <t>06.001.008</t>
  </si>
  <si>
    <t>06.001.008.001</t>
  </si>
  <si>
    <t>06.001.009</t>
  </si>
  <si>
    <t>06.001.009.001</t>
  </si>
  <si>
    <t>06.002</t>
  </si>
  <si>
    <t>06.002.001</t>
  </si>
  <si>
    <t>06.002.001.001</t>
  </si>
  <si>
    <t>06.002.002</t>
  </si>
  <si>
    <t>06.002.002.001</t>
  </si>
  <si>
    <t>06.002.003</t>
  </si>
  <si>
    <t>06.002.003.001</t>
  </si>
  <si>
    <t>06.002.004</t>
  </si>
  <si>
    <t>06.002.004.001</t>
  </si>
  <si>
    <t>06.002.005</t>
  </si>
  <si>
    <t>06.002.005.001</t>
  </si>
  <si>
    <t>06.002.006</t>
  </si>
  <si>
    <t>06.002.006.001</t>
  </si>
  <si>
    <t>06.003</t>
  </si>
  <si>
    <t>06.003.001</t>
  </si>
  <si>
    <t>06.003.001.001</t>
  </si>
  <si>
    <t>06.003.002</t>
  </si>
  <si>
    <t>06.003.002.001</t>
  </si>
  <si>
    <t>06.003.003</t>
  </si>
  <si>
    <t>06.003.003.001</t>
  </si>
  <si>
    <t>06.003.004</t>
  </si>
  <si>
    <t>06.003.004.001</t>
  </si>
  <si>
    <t>06.003.005</t>
  </si>
  <si>
    <t>06.003.005.001</t>
  </si>
  <si>
    <t>06.003.006</t>
  </si>
  <si>
    <t>06.003.006.001</t>
  </si>
  <si>
    <t>06.004</t>
  </si>
  <si>
    <t>06.004.001</t>
  </si>
  <si>
    <t>06.004.001.001</t>
  </si>
  <si>
    <t>06.004.002</t>
  </si>
  <si>
    <t>06.004.002.001</t>
  </si>
  <si>
    <t>06.004.003</t>
  </si>
  <si>
    <t>06.004.003.001</t>
  </si>
  <si>
    <t>06.004.004</t>
  </si>
  <si>
    <t>06.004.004.001</t>
  </si>
  <si>
    <t>06.004.005</t>
  </si>
  <si>
    <t>06.004.005.001</t>
  </si>
  <si>
    <t>06.004.006</t>
  </si>
  <si>
    <t>06.004.006.001</t>
  </si>
  <si>
    <t>06.005</t>
  </si>
  <si>
    <t>06.005.001</t>
  </si>
  <si>
    <t>06.005.001.001</t>
  </si>
  <si>
    <t>06.005.002</t>
  </si>
  <si>
    <t>06.005.002.001</t>
  </si>
  <si>
    <t>06.005.003</t>
  </si>
  <si>
    <t>06.005.003.001</t>
  </si>
  <si>
    <t>06.005.004</t>
  </si>
  <si>
    <t>06.005.004.001</t>
  </si>
  <si>
    <t>06.005.005</t>
  </si>
  <si>
    <t>06.005.005.001</t>
  </si>
  <si>
    <t>06.005.006</t>
  </si>
  <si>
    <t>06.005.006.001</t>
  </si>
  <si>
    <t>06.006</t>
  </si>
  <si>
    <t>06.006.001</t>
  </si>
  <si>
    <t>06.006.001.001</t>
  </si>
  <si>
    <t>06.006.002</t>
  </si>
  <si>
    <t>06.006.002.001</t>
  </si>
  <si>
    <t>06.006.003</t>
  </si>
  <si>
    <t>06.006.003.001</t>
  </si>
  <si>
    <t>06.006.004</t>
  </si>
  <si>
    <t>06.006.004.001</t>
  </si>
  <si>
    <t>06.006.005</t>
  </si>
  <si>
    <t>06.006.005.001</t>
  </si>
  <si>
    <t>06.006.006</t>
  </si>
  <si>
    <t>06.006.006.001</t>
  </si>
  <si>
    <t>06.007</t>
  </si>
  <si>
    <t>06.007.001</t>
  </si>
  <si>
    <t>06.007.001.001</t>
  </si>
  <si>
    <t>06.007.002</t>
  </si>
  <si>
    <t>06.007.002.001</t>
  </si>
  <si>
    <t>06.007.003</t>
  </si>
  <si>
    <t>06.007.003.001</t>
  </si>
  <si>
    <t>06.007.004</t>
  </si>
  <si>
    <t>06.007.004.001</t>
  </si>
  <si>
    <t>06.007.005</t>
  </si>
  <si>
    <t>06.007.005.001</t>
  </si>
  <si>
    <t>06.007.006</t>
  </si>
  <si>
    <t>06.007.006.001</t>
  </si>
  <si>
    <t>06.008</t>
  </si>
  <si>
    <t>06.008.001</t>
  </si>
  <si>
    <t>06.008.001.001</t>
  </si>
  <si>
    <t>06.008.002</t>
  </si>
  <si>
    <t>06.008.002.001</t>
  </si>
  <si>
    <t>06.008.003</t>
  </si>
  <si>
    <t>06.008.003.001</t>
  </si>
  <si>
    <t>06.008.004</t>
  </si>
  <si>
    <t>06.008.004.001</t>
  </si>
  <si>
    <t>06.008.005</t>
  </si>
  <si>
    <t>06.008.005.001</t>
  </si>
  <si>
    <t>06.008.006</t>
  </si>
  <si>
    <t>06.008.006.001</t>
  </si>
  <si>
    <t>06.009</t>
  </si>
  <si>
    <t>06.009.001</t>
  </si>
  <si>
    <t>06.009.001.001</t>
  </si>
  <si>
    <t>06.009.002</t>
  </si>
  <si>
    <t>06.009.002.001</t>
  </si>
  <si>
    <t>06.009.003</t>
  </si>
  <si>
    <t>06.009.003.001</t>
  </si>
  <si>
    <t>06.009.004</t>
  </si>
  <si>
    <t>06.009.004.001</t>
  </si>
  <si>
    <t>06.009.005</t>
  </si>
  <si>
    <t>06.009.005.001</t>
  </si>
  <si>
    <t>06.009.006</t>
  </si>
  <si>
    <t>06.009.006.001</t>
  </si>
  <si>
    <t>06.010</t>
  </si>
  <si>
    <t>06.010.001</t>
  </si>
  <si>
    <t>06.010.001.001</t>
  </si>
  <si>
    <t>06.010.002</t>
  </si>
  <si>
    <t>06.010.002.001</t>
  </si>
  <si>
    <t>06.010.003</t>
  </si>
  <si>
    <t>06.010.003.001</t>
  </si>
  <si>
    <t>06.010.004</t>
  </si>
  <si>
    <t>06.010.004.001</t>
  </si>
  <si>
    <t>06.010.005</t>
  </si>
  <si>
    <t>06.010.005.001</t>
  </si>
  <si>
    <t>06.010.006</t>
  </si>
  <si>
    <t>06.010.006.001</t>
  </si>
  <si>
    <t>06.011</t>
  </si>
  <si>
    <t>06.011.001</t>
  </si>
  <si>
    <t>06.011.001.001</t>
  </si>
  <si>
    <t>06.011.002</t>
  </si>
  <si>
    <t>06.011.002.001</t>
  </si>
  <si>
    <t>06.011.003</t>
  </si>
  <si>
    <t>06.011.003.001</t>
  </si>
  <si>
    <t>06.011.004</t>
  </si>
  <si>
    <t>06.011.004.001</t>
  </si>
  <si>
    <t>06.011.005</t>
  </si>
  <si>
    <t>06.011.005.001</t>
  </si>
  <si>
    <t>06.011.006</t>
  </si>
  <si>
    <t>06.011.006.001</t>
  </si>
  <si>
    <t>06.012</t>
  </si>
  <si>
    <t>06.012.001</t>
  </si>
  <si>
    <t>06.012.001.001</t>
  </si>
  <si>
    <t>06.012.002</t>
  </si>
  <si>
    <t>06.012.002.001</t>
  </si>
  <si>
    <t>06.012.003</t>
  </si>
  <si>
    <t>06.012.003.001</t>
  </si>
  <si>
    <t>06.012.004</t>
  </si>
  <si>
    <t>06.012.004.001</t>
  </si>
  <si>
    <t>06.012.005</t>
  </si>
  <si>
    <t>06.012.005.001</t>
  </si>
  <si>
    <t>06.012.006</t>
  </si>
  <si>
    <t>06.012.006.001</t>
  </si>
  <si>
    <t>06.013</t>
  </si>
  <si>
    <t>06.013.001</t>
  </si>
  <si>
    <t>06.013.001.001</t>
  </si>
  <si>
    <t>06.013.002</t>
  </si>
  <si>
    <t>06.013.002.001</t>
  </si>
  <si>
    <t>06.013.003</t>
  </si>
  <si>
    <t>06.013.003.001</t>
  </si>
  <si>
    <t>06.013.004</t>
  </si>
  <si>
    <t>06.013.004.001</t>
  </si>
  <si>
    <t>06.013.005</t>
  </si>
  <si>
    <t>06.013.005.001</t>
  </si>
  <si>
    <t>06.013.006</t>
  </si>
  <si>
    <t>06.013.006.001</t>
  </si>
  <si>
    <t>06.014</t>
  </si>
  <si>
    <t>06.014.001</t>
  </si>
  <si>
    <t>06.014.001.001</t>
  </si>
  <si>
    <t>06.014.002</t>
  </si>
  <si>
    <t>06.014.002.001</t>
  </si>
  <si>
    <t>06.014.003</t>
  </si>
  <si>
    <t>06.014.003.001</t>
  </si>
  <si>
    <t>06.014.004</t>
  </si>
  <si>
    <t>06.014.004.001</t>
  </si>
  <si>
    <t>06.014.005</t>
  </si>
  <si>
    <t>06.014.005.001</t>
  </si>
  <si>
    <t>06.014.006</t>
  </si>
  <si>
    <t>06.014.006.001</t>
  </si>
  <si>
    <t>07</t>
  </si>
  <si>
    <t>07.001</t>
  </si>
  <si>
    <t>07.001.001</t>
  </si>
  <si>
    <t>07.001.001.001</t>
  </si>
  <si>
    <t>07.001.002</t>
  </si>
  <si>
    <t>07.001.002.001</t>
  </si>
  <si>
    <t>07.001.003</t>
  </si>
  <si>
    <t>07.001.003.001</t>
  </si>
  <si>
    <t>07.001.004</t>
  </si>
  <si>
    <t>07.001.004.001</t>
  </si>
  <si>
    <t>07.001.005</t>
  </si>
  <si>
    <t>07.001.005.001</t>
  </si>
  <si>
    <t>07.002</t>
  </si>
  <si>
    <t>07.002.001</t>
  </si>
  <si>
    <t>07.002.001.001</t>
  </si>
  <si>
    <t>07.002.002</t>
  </si>
  <si>
    <t>07.002.002.001</t>
  </si>
  <si>
    <t>07.002.003</t>
  </si>
  <si>
    <t>07.002.003.001</t>
  </si>
  <si>
    <t>07.002.004</t>
  </si>
  <si>
    <t>07.002.004.001</t>
  </si>
  <si>
    <t>07.003</t>
  </si>
  <si>
    <t>07.003.001</t>
  </si>
  <si>
    <t>07.003.001.001</t>
  </si>
  <si>
    <t>07.003.002</t>
  </si>
  <si>
    <t>07.003.002.001</t>
  </si>
  <si>
    <t>07.003.003</t>
  </si>
  <si>
    <t>07.003.003.001</t>
  </si>
  <si>
    <t>07.003.004</t>
  </si>
  <si>
    <t>07.003.004.001</t>
  </si>
  <si>
    <t>07.004</t>
  </si>
  <si>
    <t>07.004.001</t>
  </si>
  <si>
    <t>07.004.001.001</t>
  </si>
  <si>
    <t>07.004.002</t>
  </si>
  <si>
    <t>07.004.002.001</t>
  </si>
  <si>
    <t>07.004.003</t>
  </si>
  <si>
    <t>07.004.003.001</t>
  </si>
  <si>
    <t>07.004.004</t>
  </si>
  <si>
    <t>07.004.004.001</t>
  </si>
  <si>
    <t>07.005</t>
  </si>
  <si>
    <t>07.005.001</t>
  </si>
  <si>
    <t>07.005.001.001</t>
  </si>
  <si>
    <t>07.005.002</t>
  </si>
  <si>
    <t>07.005.002.001</t>
  </si>
  <si>
    <t>07.005.003</t>
  </si>
  <si>
    <t>07.005.003.001</t>
  </si>
  <si>
    <t>07.005.004</t>
  </si>
  <si>
    <t>07.005.004.001</t>
  </si>
  <si>
    <t>07.006</t>
  </si>
  <si>
    <t>07.006.001</t>
  </si>
  <si>
    <t>07.006.001.001</t>
  </si>
  <si>
    <t>07.006.002</t>
  </si>
  <si>
    <t>07.006.002.001</t>
  </si>
  <si>
    <t>07.006.003</t>
  </si>
  <si>
    <t>07.006.003.001</t>
  </si>
  <si>
    <t>07.006.004</t>
  </si>
  <si>
    <t>07.006.004.001</t>
  </si>
  <si>
    <t>07.007</t>
  </si>
  <si>
    <t>07.007.001</t>
  </si>
  <si>
    <t>07.007.001.001</t>
  </si>
  <si>
    <t>07.007.002</t>
  </si>
  <si>
    <t>07.007.002.001</t>
  </si>
  <si>
    <t>07.007.003</t>
  </si>
  <si>
    <t>07.007.003.001</t>
  </si>
  <si>
    <t>07.007.004</t>
  </si>
  <si>
    <t>07.007.004.001</t>
  </si>
  <si>
    <t>07.008</t>
  </si>
  <si>
    <t>07.008.001</t>
  </si>
  <si>
    <t>07.008.001.001</t>
  </si>
  <si>
    <t>07.008.002</t>
  </si>
  <si>
    <t>07.008.002.001</t>
  </si>
  <si>
    <t>07.008.003</t>
  </si>
  <si>
    <t>07.008.003.001</t>
  </si>
  <si>
    <t>07.008.004</t>
  </si>
  <si>
    <t>07.008.004.001</t>
  </si>
  <si>
    <t>07.009</t>
  </si>
  <si>
    <t>07.009.001</t>
  </si>
  <si>
    <t>07.009.001.001</t>
  </si>
  <si>
    <t>07.009.002</t>
  </si>
  <si>
    <t>07.009.002.001</t>
  </si>
  <si>
    <t>07.009.003</t>
  </si>
  <si>
    <t>07.009.003.001</t>
  </si>
  <si>
    <t>07.009.004</t>
  </si>
  <si>
    <t>07.009.004.001</t>
  </si>
  <si>
    <t>07.010</t>
  </si>
  <si>
    <t>07.010.001</t>
  </si>
  <si>
    <t>07.010.001.001</t>
  </si>
  <si>
    <t>07.010.002</t>
  </si>
  <si>
    <t>07.010.002.001</t>
  </si>
  <si>
    <t>07.010.003</t>
  </si>
  <si>
    <t>07.010.003.001</t>
  </si>
  <si>
    <t>07.010.004</t>
  </si>
  <si>
    <t>07.010.004.001</t>
  </si>
  <si>
    <t>07.010.005</t>
  </si>
  <si>
    <t>07.010.005.001</t>
  </si>
  <si>
    <t>07.011</t>
  </si>
  <si>
    <t>07.011.001</t>
  </si>
  <si>
    <t>07.011.001.001</t>
  </si>
  <si>
    <t>07.011.002</t>
  </si>
  <si>
    <t>07.011.002.001</t>
  </si>
  <si>
    <t>07.011.003</t>
  </si>
  <si>
    <t>07.011.003.001</t>
  </si>
  <si>
    <t>07.011.004</t>
  </si>
  <si>
    <t>07.011.004.001</t>
  </si>
  <si>
    <t>07.011.005</t>
  </si>
  <si>
    <t>07.011.005.001</t>
  </si>
  <si>
    <t>07.012</t>
  </si>
  <si>
    <t>07.012.001</t>
  </si>
  <si>
    <t>07.012.001.001</t>
  </si>
  <si>
    <t>07.012.002</t>
  </si>
  <si>
    <t>07.012.002.001</t>
  </si>
  <si>
    <t>07.012.003</t>
  </si>
  <si>
    <t>07.012.003.001</t>
  </si>
  <si>
    <t>07.012.004</t>
  </si>
  <si>
    <t>07.012.004.001</t>
  </si>
  <si>
    <t>07.013</t>
  </si>
  <si>
    <t>07.013.001</t>
  </si>
  <si>
    <t>07.013.001.001</t>
  </si>
  <si>
    <t>07.013.002</t>
  </si>
  <si>
    <t>07.013.002.001</t>
  </si>
  <si>
    <t>07.013.003</t>
  </si>
  <si>
    <t>07.013.003.001</t>
  </si>
  <si>
    <t>07.013.004</t>
  </si>
  <si>
    <t>07.013.004.001</t>
  </si>
  <si>
    <t>07.014</t>
  </si>
  <si>
    <t>07.014.001</t>
  </si>
  <si>
    <t>07.014.001.001</t>
  </si>
  <si>
    <t>07.014.002</t>
  </si>
  <si>
    <t>07.014.002.001</t>
  </si>
  <si>
    <t>07.014.003</t>
  </si>
  <si>
    <t>07.014.003.001</t>
  </si>
  <si>
    <t>07.014.004</t>
  </si>
  <si>
    <t>07.014.004.001</t>
  </si>
  <si>
    <t>07.014.005</t>
  </si>
  <si>
    <t>07.014.005.001</t>
  </si>
  <si>
    <t>08</t>
  </si>
  <si>
    <t>08.001</t>
  </si>
  <si>
    <t>08.001.001</t>
  </si>
  <si>
    <t>08.001.001.001</t>
  </si>
  <si>
    <t>08.001.002</t>
  </si>
  <si>
    <t>08.001.002.001</t>
  </si>
  <si>
    <t>08.001.003</t>
  </si>
  <si>
    <t>08.001.003.001</t>
  </si>
  <si>
    <t>08.001.004</t>
  </si>
  <si>
    <t>08.001.004.001</t>
  </si>
  <si>
    <t>08.001.005</t>
  </si>
  <si>
    <t>08.001.005.001</t>
  </si>
  <si>
    <t>08.001.006</t>
  </si>
  <si>
    <t>08.001.006.001</t>
  </si>
  <si>
    <t>08.001.007</t>
  </si>
  <si>
    <t>08.001.007.001</t>
  </si>
  <si>
    <t>08.002</t>
  </si>
  <si>
    <t>08.002.001</t>
  </si>
  <si>
    <t>08.002.001.001</t>
  </si>
  <si>
    <t>08.002.002</t>
  </si>
  <si>
    <t>08.002.002.001</t>
  </si>
  <si>
    <t>08.002.003</t>
  </si>
  <si>
    <t>08.002.003.001</t>
  </si>
  <si>
    <t>08.002.004</t>
  </si>
  <si>
    <t>08.002.004.001</t>
  </si>
  <si>
    <t>08.002.005</t>
  </si>
  <si>
    <t>08.002.005.001</t>
  </si>
  <si>
    <t>08.002.006</t>
  </si>
  <si>
    <t>08.002.006.001</t>
  </si>
  <si>
    <t>08.002.007</t>
  </si>
  <si>
    <t>08.002.007.001</t>
  </si>
  <si>
    <t>08.003</t>
  </si>
  <si>
    <t>08.003.001</t>
  </si>
  <si>
    <t>08.003.001.001</t>
  </si>
  <si>
    <t>08.003.002</t>
  </si>
  <si>
    <t>08.003.002.001</t>
  </si>
  <si>
    <t>08.003.003</t>
  </si>
  <si>
    <t>08.003.003.001</t>
  </si>
  <si>
    <t>08.003.004</t>
  </si>
  <si>
    <t>08.003.004.001</t>
  </si>
  <si>
    <t>08.003.005</t>
  </si>
  <si>
    <t>08.003.005.001</t>
  </si>
  <si>
    <t>08.003.006</t>
  </si>
  <si>
    <t>08.003.006.001</t>
  </si>
  <si>
    <t>08.003.007</t>
  </si>
  <si>
    <t>08.003.007.001</t>
  </si>
  <si>
    <t>08.004</t>
  </si>
  <si>
    <t>08.004.001</t>
  </si>
  <si>
    <t>08.004.001.001</t>
  </si>
  <si>
    <t>08.004.002</t>
  </si>
  <si>
    <t>08.004.002.001</t>
  </si>
  <si>
    <t>08.004.003</t>
  </si>
  <si>
    <t>08.004.003.001</t>
  </si>
  <si>
    <t>08.004.004</t>
  </si>
  <si>
    <t>08.004.004.001</t>
  </si>
  <si>
    <t>08.004.005</t>
  </si>
  <si>
    <t>08.004.005.001</t>
  </si>
  <si>
    <t>08.004.006</t>
  </si>
  <si>
    <t>08.004.006.001</t>
  </si>
  <si>
    <t>08.004.007</t>
  </si>
  <si>
    <t>08.004.007.001</t>
  </si>
  <si>
    <t>08.005</t>
  </si>
  <si>
    <t>08.005.001</t>
  </si>
  <si>
    <t>08.005.001.001</t>
  </si>
  <si>
    <t>08.005.002</t>
  </si>
  <si>
    <t>08.005.002.001</t>
  </si>
  <si>
    <t>08.005.003</t>
  </si>
  <si>
    <t>08.005.003.001</t>
  </si>
  <si>
    <t>08.005.004</t>
  </si>
  <si>
    <t>08.005.004.001</t>
  </si>
  <si>
    <t>08.005.005</t>
  </si>
  <si>
    <t>08.005.005.001</t>
  </si>
  <si>
    <t>08.005.006</t>
  </si>
  <si>
    <t>08.005.006.001</t>
  </si>
  <si>
    <t>08.005.007</t>
  </si>
  <si>
    <t>08.005.007.001</t>
  </si>
  <si>
    <t>08.006</t>
  </si>
  <si>
    <t>08.006.001</t>
  </si>
  <si>
    <t>08.006.001.001</t>
  </si>
  <si>
    <t>08.006.002</t>
  </si>
  <si>
    <t>08.006.002.001</t>
  </si>
  <si>
    <t>08.006.003</t>
  </si>
  <si>
    <t>08.006.003.001</t>
  </si>
  <si>
    <t>08.006.004</t>
  </si>
  <si>
    <t>08.006.004.001</t>
  </si>
  <si>
    <t>08.006.005</t>
  </si>
  <si>
    <t>08.006.005.001</t>
  </si>
  <si>
    <t>08.006.006</t>
  </si>
  <si>
    <t>08.006.006.001</t>
  </si>
  <si>
    <t>08.006.007</t>
  </si>
  <si>
    <t>08.006.007.001</t>
  </si>
  <si>
    <t>08.007</t>
  </si>
  <si>
    <t>08.007.001</t>
  </si>
  <si>
    <t>08.007.001.001</t>
  </si>
  <si>
    <t>08.007.002</t>
  </si>
  <si>
    <t>08.007.002.001</t>
  </si>
  <si>
    <t>08.007.003</t>
  </si>
  <si>
    <t>08.007.003.001</t>
  </si>
  <si>
    <t>08.007.004</t>
  </si>
  <si>
    <t>08.007.004.001</t>
  </si>
  <si>
    <t>08.007.005</t>
  </si>
  <si>
    <t>08.007.005.001</t>
  </si>
  <si>
    <t>08.007.006</t>
  </si>
  <si>
    <t>08.007.006.001</t>
  </si>
  <si>
    <t>08.007.007</t>
  </si>
  <si>
    <t>08.007.007.001</t>
  </si>
  <si>
    <t>08.008</t>
  </si>
  <si>
    <t>08.008.001</t>
  </si>
  <si>
    <t>08.008.001.001</t>
  </si>
  <si>
    <t>08.008.002</t>
  </si>
  <si>
    <t>08.008.002.001</t>
  </si>
  <si>
    <t>08.008.003</t>
  </si>
  <si>
    <t>08.008.003.001</t>
  </si>
  <si>
    <t>08.008.004</t>
  </si>
  <si>
    <t>08.008.004.001</t>
  </si>
  <si>
    <t>08.008.005</t>
  </si>
  <si>
    <t>08.008.005.001</t>
  </si>
  <si>
    <t>08.008.006</t>
  </si>
  <si>
    <t>08.008.006.001</t>
  </si>
  <si>
    <t>08.008.007</t>
  </si>
  <si>
    <t>08.008.007.001</t>
  </si>
  <si>
    <t>08.009</t>
  </si>
  <si>
    <t>08.009.001</t>
  </si>
  <si>
    <t>08.009.001.001</t>
  </si>
  <si>
    <t>08.009.002</t>
  </si>
  <si>
    <t>08.009.002.001</t>
  </si>
  <si>
    <t>08.009.003</t>
  </si>
  <si>
    <t>08.009.003.001</t>
  </si>
  <si>
    <t>08.009.004</t>
  </si>
  <si>
    <t>08.009.004.001</t>
  </si>
  <si>
    <t>08.009.005</t>
  </si>
  <si>
    <t>08.009.005.001</t>
  </si>
  <si>
    <t>08.009.006</t>
  </si>
  <si>
    <t>08.009.006.001</t>
  </si>
  <si>
    <t>08.009.007</t>
  </si>
  <si>
    <t>08.009.007.001</t>
  </si>
  <si>
    <t>08.010</t>
  </si>
  <si>
    <t>08.010.001</t>
  </si>
  <si>
    <t>08.010.001.001</t>
  </si>
  <si>
    <t>08.010.002</t>
  </si>
  <si>
    <t>08.010.002.001</t>
  </si>
  <si>
    <t>08.010.003</t>
  </si>
  <si>
    <t>08.010.003.001</t>
  </si>
  <si>
    <t>08.010.004</t>
  </si>
  <si>
    <t>08.010.004.001</t>
  </si>
  <si>
    <t>08.010.005</t>
  </si>
  <si>
    <t>08.010.005.001</t>
  </si>
  <si>
    <t>08.010.006</t>
  </si>
  <si>
    <t>08.010.006.001</t>
  </si>
  <si>
    <t>08.010.007</t>
  </si>
  <si>
    <t>08.010.007.001</t>
  </si>
  <si>
    <t>08.011</t>
  </si>
  <si>
    <t>08.011.001</t>
  </si>
  <si>
    <t>08.011.001.001</t>
  </si>
  <si>
    <t>08.011.002</t>
  </si>
  <si>
    <t>08.011.002.001</t>
  </si>
  <si>
    <t>08.011.003</t>
  </si>
  <si>
    <t>08.011.003.001</t>
  </si>
  <si>
    <t>08.011.004</t>
  </si>
  <si>
    <t>08.011.004.001</t>
  </si>
  <si>
    <t>08.011.005</t>
  </si>
  <si>
    <t>08.011.005.001</t>
  </si>
  <si>
    <t>08.011.006</t>
  </si>
  <si>
    <t>08.011.006.001</t>
  </si>
  <si>
    <t>08.011.007</t>
  </si>
  <si>
    <t>08.011.007.001</t>
  </si>
  <si>
    <t>08.012</t>
  </si>
  <si>
    <t>08.012.001</t>
  </si>
  <si>
    <t>08.012.001.001</t>
  </si>
  <si>
    <t>08.012.002</t>
  </si>
  <si>
    <t>08.012.002.001</t>
  </si>
  <si>
    <t>08.012.003</t>
  </si>
  <si>
    <t>08.012.003.001</t>
  </si>
  <si>
    <t>08.012.004</t>
  </si>
  <si>
    <t>08.012.004.001</t>
  </si>
  <si>
    <t>08.012.005</t>
  </si>
  <si>
    <t>08.012.005.001</t>
  </si>
  <si>
    <t>08.012.006</t>
  </si>
  <si>
    <t>08.012.006.001</t>
  </si>
  <si>
    <t>08.012.007</t>
  </si>
  <si>
    <t>08.012.007.001</t>
  </si>
  <si>
    <t>08.013</t>
  </si>
  <si>
    <t>08.013.001</t>
  </si>
  <si>
    <t>08.013.001.001</t>
  </si>
  <si>
    <t>08.013.002</t>
  </si>
  <si>
    <t>08.013.002.001</t>
  </si>
  <si>
    <t>08.013.003</t>
  </si>
  <si>
    <t>08.013.003.001</t>
  </si>
  <si>
    <t>08.013.004</t>
  </si>
  <si>
    <t>08.013.004.001</t>
  </si>
  <si>
    <t>08.013.005</t>
  </si>
  <si>
    <t>08.013.005.001</t>
  </si>
  <si>
    <t>08.013.006</t>
  </si>
  <si>
    <t>08.013.006.001</t>
  </si>
  <si>
    <t>08.013.007</t>
  </si>
  <si>
    <t>08.013.007.001</t>
  </si>
  <si>
    <t>08.014</t>
  </si>
  <si>
    <t>08.014.001</t>
  </si>
  <si>
    <t>08.014.001.001</t>
  </si>
  <si>
    <t>08.014.002</t>
  </si>
  <si>
    <t>08.014.002.001</t>
  </si>
  <si>
    <t>08.014.003</t>
  </si>
  <si>
    <t>08.014.003.001</t>
  </si>
  <si>
    <t>08.014.004</t>
  </si>
  <si>
    <t>08.014.004.001</t>
  </si>
  <si>
    <t>08.014.005</t>
  </si>
  <si>
    <t>08.014.005.001</t>
  </si>
  <si>
    <t>08.014.006</t>
  </si>
  <si>
    <t>08.014.006.001</t>
  </si>
  <si>
    <t>08.014.007</t>
  </si>
  <si>
    <t>08.014.007.001</t>
  </si>
  <si>
    <t>09</t>
  </si>
  <si>
    <t>09.001</t>
  </si>
  <si>
    <t>09.001.001</t>
  </si>
  <si>
    <t>09.001.001.001</t>
  </si>
  <si>
    <t>09.001.002</t>
  </si>
  <si>
    <t>09.001.002.001</t>
  </si>
  <si>
    <t>09.001.003</t>
  </si>
  <si>
    <t>09.001.003.001</t>
  </si>
  <si>
    <t>09.002</t>
  </si>
  <si>
    <t>09.002.001</t>
  </si>
  <si>
    <t>09.002.001.001</t>
  </si>
  <si>
    <t>09.002.002</t>
  </si>
  <si>
    <t>09.002.002.001</t>
  </si>
  <si>
    <t>09.003</t>
  </si>
  <si>
    <t>09.003.001</t>
  </si>
  <si>
    <t>09.003.001.001</t>
  </si>
  <si>
    <t>09.003.002</t>
  </si>
  <si>
    <t>09.003.002.001</t>
  </si>
  <si>
    <t>09.004</t>
  </si>
  <si>
    <t>09.004.001</t>
  </si>
  <si>
    <t>09.004.001.001</t>
  </si>
  <si>
    <t>09.004.002</t>
  </si>
  <si>
    <t>09.004.002.001</t>
  </si>
  <si>
    <t>09.005</t>
  </si>
  <si>
    <t>09.005.001</t>
  </si>
  <si>
    <t>09.005.001.001</t>
  </si>
  <si>
    <t>09.005.002</t>
  </si>
  <si>
    <t>09.005.002.001</t>
  </si>
  <si>
    <t>09.006</t>
  </si>
  <si>
    <t>09.006.001</t>
  </si>
  <si>
    <t>09.006.001.001</t>
  </si>
  <si>
    <t>09.006.002</t>
  </si>
  <si>
    <t>09.006.002.001</t>
  </si>
  <si>
    <t>09.007</t>
  </si>
  <si>
    <t>09.007.001</t>
  </si>
  <si>
    <t>09.007.001.001</t>
  </si>
  <si>
    <t>09.007.002</t>
  </si>
  <si>
    <t>09.007.002.001</t>
  </si>
  <si>
    <t>09.007.003</t>
  </si>
  <si>
    <t>09.007.003.001</t>
  </si>
  <si>
    <t>09.008</t>
  </si>
  <si>
    <t>09.008.001</t>
  </si>
  <si>
    <t>09.008.001.001</t>
  </si>
  <si>
    <t>09.008.002</t>
  </si>
  <si>
    <t>09.008.002.001</t>
  </si>
  <si>
    <t>09.008.003</t>
  </si>
  <si>
    <t>09.008.003.001</t>
  </si>
  <si>
    <t>09.009</t>
  </si>
  <si>
    <t>09.009.001</t>
  </si>
  <si>
    <t>09.009.001.001</t>
  </si>
  <si>
    <t>09.009.002</t>
  </si>
  <si>
    <t>09.009.002.001</t>
  </si>
  <si>
    <t>09.009.003</t>
  </si>
  <si>
    <t>09.009.003.001</t>
  </si>
  <si>
    <t>09.010</t>
  </si>
  <si>
    <t>09.010.001</t>
  </si>
  <si>
    <t>09.010.001.001</t>
  </si>
  <si>
    <t>09.010.002</t>
  </si>
  <si>
    <t>09.010.002.001</t>
  </si>
  <si>
    <t>09.010.003</t>
  </si>
  <si>
    <t>09.010.003.001</t>
  </si>
  <si>
    <t>09.011</t>
  </si>
  <si>
    <t>09.011.001</t>
  </si>
  <si>
    <t>09.011.001.001</t>
  </si>
  <si>
    <t>09.011.002</t>
  </si>
  <si>
    <t>09.011.002.001</t>
  </si>
  <si>
    <t>09.011.003</t>
  </si>
  <si>
    <t>09.011.003.001</t>
  </si>
  <si>
    <t>09.012</t>
  </si>
  <si>
    <t>09.012.001</t>
  </si>
  <si>
    <t>09.012.001.001</t>
  </si>
  <si>
    <t>09.012.002</t>
  </si>
  <si>
    <t>09.012.002.001</t>
  </si>
  <si>
    <t>09.013</t>
  </si>
  <si>
    <t>09.013.001</t>
  </si>
  <si>
    <t>09.013.001.001</t>
  </si>
  <si>
    <t>09.013.002</t>
  </si>
  <si>
    <t>09.013.002.001</t>
  </si>
  <si>
    <t>09.013.003</t>
  </si>
  <si>
    <t>09.013.003.001</t>
  </si>
  <si>
    <t>09.014</t>
  </si>
  <si>
    <t>09.014.001</t>
  </si>
  <si>
    <t>09.014.001.001</t>
  </si>
  <si>
    <t>09.014.002</t>
  </si>
  <si>
    <t>09.014.002.001</t>
  </si>
  <si>
    <t>10</t>
  </si>
  <si>
    <t>10.001</t>
  </si>
  <si>
    <t>10.001.001</t>
  </si>
  <si>
    <t>10.001.001.001</t>
  </si>
  <si>
    <t>10.001.001.002</t>
  </si>
  <si>
    <t>10.001.002</t>
  </si>
  <si>
    <t>10.001.002.001</t>
  </si>
  <si>
    <t>10.001.002.002</t>
  </si>
  <si>
    <t>10.001.002.003</t>
  </si>
  <si>
    <t>10.001.002.004</t>
  </si>
  <si>
    <t>10.001.002.005</t>
  </si>
  <si>
    <t>10.001.003</t>
  </si>
  <si>
    <t>10.001.003.001</t>
  </si>
  <si>
    <t>11</t>
  </si>
  <si>
    <t>11.001</t>
  </si>
  <si>
    <t>11.001.001</t>
  </si>
  <si>
    <t>11.001.001.001</t>
  </si>
  <si>
    <t>11.001.001.002</t>
  </si>
  <si>
    <t>11.001.002</t>
  </si>
  <si>
    <t>11.001.002.001</t>
  </si>
  <si>
    <t>11.001.003</t>
  </si>
  <si>
    <t>11.001.003.001</t>
  </si>
  <si>
    <t>11.001.003.002</t>
  </si>
  <si>
    <t>11.001.004</t>
  </si>
  <si>
    <t>11.001.004.001</t>
  </si>
  <si>
    <t>11.001.004.002</t>
  </si>
  <si>
    <t>11.001.005</t>
  </si>
  <si>
    <t>11.001.005.001</t>
  </si>
  <si>
    <t>11.002</t>
  </si>
  <si>
    <t>11.002.001</t>
  </si>
  <si>
    <t>11.002.001.001</t>
  </si>
  <si>
    <t>11.002.001.002</t>
  </si>
  <si>
    <t>11.002.002</t>
  </si>
  <si>
    <t>11.002.002.001</t>
  </si>
  <si>
    <t>11.002.003</t>
  </si>
  <si>
    <t>11.002.003.001</t>
  </si>
  <si>
    <t>11.002.003.002</t>
  </si>
  <si>
    <t>11.002.004</t>
  </si>
  <si>
    <t>11.002.004.001</t>
  </si>
  <si>
    <t>11.002.004.002</t>
  </si>
  <si>
    <t>11.002.005</t>
  </si>
  <si>
    <t>11.002.005.001</t>
  </si>
  <si>
    <t>11.003</t>
  </si>
  <si>
    <t>11.003.001</t>
  </si>
  <si>
    <t>11.003.001.001</t>
  </si>
  <si>
    <t>11.003.001.002</t>
  </si>
  <si>
    <t>11.003.002</t>
  </si>
  <si>
    <t>11.003.002.001</t>
  </si>
  <si>
    <t>11.003.003</t>
  </si>
  <si>
    <t>11.003.003.001</t>
  </si>
  <si>
    <t>11.003.003.002</t>
  </si>
  <si>
    <t>11.003.004</t>
  </si>
  <si>
    <t>11.003.004.001</t>
  </si>
  <si>
    <t>11.003.004.002</t>
  </si>
  <si>
    <t>11.003.005</t>
  </si>
  <si>
    <t>11.003.005.001</t>
  </si>
  <si>
    <t>11.004</t>
  </si>
  <si>
    <t>11.004.001</t>
  </si>
  <si>
    <t>11.004.001.001</t>
  </si>
  <si>
    <t>11.004.001.002</t>
  </si>
  <si>
    <t>11.004.002</t>
  </si>
  <si>
    <t>11.004.002.001</t>
  </si>
  <si>
    <t>11.004.003</t>
  </si>
  <si>
    <t>11.004.003.001</t>
  </si>
  <si>
    <t>11.004.003.002</t>
  </si>
  <si>
    <t>11.004.004</t>
  </si>
  <si>
    <t>11.004.004.001</t>
  </si>
  <si>
    <t>11.004.004.002</t>
  </si>
  <si>
    <t>11.004.005</t>
  </si>
  <si>
    <t>11.004.005.001</t>
  </si>
  <si>
    <t>11.005</t>
  </si>
  <si>
    <t>11.005.001</t>
  </si>
  <si>
    <t>11.005.001.001</t>
  </si>
  <si>
    <t>11.005.001.002</t>
  </si>
  <si>
    <t>11.005.002</t>
  </si>
  <si>
    <t>11.005.002.001</t>
  </si>
  <si>
    <t>11.005.003</t>
  </si>
  <si>
    <t>11.005.003.001</t>
  </si>
  <si>
    <t>11.005.003.002</t>
  </si>
  <si>
    <t>11.005.004</t>
  </si>
  <si>
    <t>11.005.004.001</t>
  </si>
  <si>
    <t>11.005.004.002</t>
  </si>
  <si>
    <t>11.005.005</t>
  </si>
  <si>
    <t>11.005.005.001</t>
  </si>
  <si>
    <t>11.006</t>
  </si>
  <si>
    <t>11.006.001</t>
  </si>
  <si>
    <t>11.006.001.001</t>
  </si>
  <si>
    <t>11.006.001.002</t>
  </si>
  <si>
    <t>11.006.002</t>
  </si>
  <si>
    <t>11.006.002.001</t>
  </si>
  <si>
    <t>11.006.003</t>
  </si>
  <si>
    <t>11.006.003.001</t>
  </si>
  <si>
    <t>11.006.003.002</t>
  </si>
  <si>
    <t>11.006.004</t>
  </si>
  <si>
    <t>11.006.004.001</t>
  </si>
  <si>
    <t>11.006.004.002</t>
  </si>
  <si>
    <t>11.006.005</t>
  </si>
  <si>
    <t>11.006.005.001</t>
  </si>
  <si>
    <t>11.007</t>
  </si>
  <si>
    <t>11.007.001</t>
  </si>
  <si>
    <t>11.007.001.001</t>
  </si>
  <si>
    <t>11.007.001.002</t>
  </si>
  <si>
    <t>11.007.002</t>
  </si>
  <si>
    <t>11.007.002.001</t>
  </si>
  <si>
    <t>11.007.003</t>
  </si>
  <si>
    <t>11.007.003.001</t>
  </si>
  <si>
    <t>11.007.003.002</t>
  </si>
  <si>
    <t>11.007.004</t>
  </si>
  <si>
    <t>11.007.004.001</t>
  </si>
  <si>
    <t>11.007.004.002</t>
  </si>
  <si>
    <t>11.007.005</t>
  </si>
  <si>
    <t>11.007.005.001</t>
  </si>
  <si>
    <t>11.008</t>
  </si>
  <si>
    <t>11.008.001</t>
  </si>
  <si>
    <t>11.008.001.001</t>
  </si>
  <si>
    <t>11.008.001.002</t>
  </si>
  <si>
    <t>11.008.002</t>
  </si>
  <si>
    <t>11.008.002.001</t>
  </si>
  <si>
    <t>11.008.003</t>
  </si>
  <si>
    <t>11.008.003.001</t>
  </si>
  <si>
    <t>11.008.003.002</t>
  </si>
  <si>
    <t>11.008.004</t>
  </si>
  <si>
    <t>11.008.004.001</t>
  </si>
  <si>
    <t>11.008.004.002</t>
  </si>
  <si>
    <t>11.008.005</t>
  </si>
  <si>
    <t>11.008.005.001</t>
  </si>
  <si>
    <t>12</t>
  </si>
  <si>
    <t>12.001</t>
  </si>
  <si>
    <t>12.001.001</t>
  </si>
  <si>
    <t>12.001.001.001</t>
  </si>
  <si>
    <t>12.001.002</t>
  </si>
  <si>
    <t>12.001.002.001</t>
  </si>
  <si>
    <t>12.002</t>
  </si>
  <si>
    <t>12.002.001</t>
  </si>
  <si>
    <t>12.002.001.001</t>
  </si>
  <si>
    <t>12.003</t>
  </si>
  <si>
    <t>12.003.001</t>
  </si>
  <si>
    <t>12.003.001.001</t>
  </si>
  <si>
    <t>12.004</t>
  </si>
  <si>
    <t>12.004.001</t>
  </si>
  <si>
    <t>12.004.001.001</t>
  </si>
  <si>
    <t>12.005</t>
  </si>
  <si>
    <t>12.005.001</t>
  </si>
  <si>
    <t>12.005.001.001</t>
  </si>
  <si>
    <t>12.006</t>
  </si>
  <si>
    <t>12.006.001</t>
  </si>
  <si>
    <t>12.006.001.001</t>
  </si>
  <si>
    <t>12.007</t>
  </si>
  <si>
    <t>12.007.001</t>
  </si>
  <si>
    <t>12.007.001.001</t>
  </si>
  <si>
    <t>12.007.002</t>
  </si>
  <si>
    <t>12.007.002.001</t>
  </si>
  <si>
    <t>12.007.003</t>
  </si>
  <si>
    <t>12.007.003.001</t>
  </si>
  <si>
    <t>12.008</t>
  </si>
  <si>
    <t>12.008.001</t>
  </si>
  <si>
    <t>12.008.001.001</t>
  </si>
  <si>
    <t>12.008.002</t>
  </si>
  <si>
    <t>12.008.002.001</t>
  </si>
  <si>
    <t>12.008.003</t>
  </si>
  <si>
    <t>12.008.003.001</t>
  </si>
  <si>
    <t>12.009</t>
  </si>
  <si>
    <t>12.009.001</t>
  </si>
  <si>
    <t>12.009.001.001</t>
  </si>
  <si>
    <t>12.009.002</t>
  </si>
  <si>
    <t>12.009.002.001</t>
  </si>
  <si>
    <t>12.010</t>
  </si>
  <si>
    <t>12.010.001</t>
  </si>
  <si>
    <t>12.010.001.001</t>
  </si>
  <si>
    <t>12.010.002</t>
  </si>
  <si>
    <t>12.010.002.001</t>
  </si>
  <si>
    <t>12.011</t>
  </si>
  <si>
    <t>12.011.001</t>
  </si>
  <si>
    <t>12.011.001.001</t>
  </si>
  <si>
    <t>12.011.002</t>
  </si>
  <si>
    <t>12.011.002.001</t>
  </si>
  <si>
    <t>12.012</t>
  </si>
  <si>
    <t>12.012.001</t>
  </si>
  <si>
    <t>12.012.001.001</t>
  </si>
  <si>
    <t>12.012.002</t>
  </si>
  <si>
    <t>12.012.002.001</t>
  </si>
  <si>
    <t>12.013</t>
  </si>
  <si>
    <t>12.013.001</t>
  </si>
  <si>
    <t>12.013.001.001</t>
  </si>
  <si>
    <t>13</t>
  </si>
  <si>
    <t>13.001</t>
  </si>
  <si>
    <t>13.001.001</t>
  </si>
  <si>
    <t>13.001.001.001</t>
  </si>
  <si>
    <t>13.001.001.002</t>
  </si>
  <si>
    <t>13.001.002</t>
  </si>
  <si>
    <t>13.001.003</t>
  </si>
  <si>
    <t>13.001.003.001</t>
  </si>
  <si>
    <t>13.001.003.002</t>
  </si>
  <si>
    <t>13.001.004</t>
  </si>
  <si>
    <t>13.001.004.001</t>
  </si>
  <si>
    <t>13.001.005</t>
  </si>
  <si>
    <t>13.001.005.001</t>
  </si>
  <si>
    <t>13.001.006</t>
  </si>
  <si>
    <t>13.001.006.001</t>
  </si>
  <si>
    <t>13.001.007</t>
  </si>
  <si>
    <t>13.001.007.001</t>
  </si>
  <si>
    <t>13.001.007.002</t>
  </si>
  <si>
    <t>13.001.007.003</t>
  </si>
  <si>
    <t>13.001.007.004</t>
  </si>
  <si>
    <t>13.001.007.005</t>
  </si>
  <si>
    <t>13.001.007.006</t>
  </si>
  <si>
    <t>13.001.007.007</t>
  </si>
  <si>
    <t>13.002</t>
  </si>
  <si>
    <t>13.002.001</t>
  </si>
  <si>
    <t>13.002.001.001</t>
  </si>
  <si>
    <t>13.002.002</t>
  </si>
  <si>
    <t>13.002.002.001</t>
  </si>
  <si>
    <t>13.002.003</t>
  </si>
  <si>
    <t>13.002.003.001</t>
  </si>
  <si>
    <t>13.003</t>
  </si>
  <si>
    <t>13.003.001</t>
  </si>
  <si>
    <t>13.003.001.001</t>
  </si>
  <si>
    <t>13.003.002</t>
  </si>
  <si>
    <t>13.003.002.001</t>
  </si>
  <si>
    <t>13.003.003</t>
  </si>
  <si>
    <t>13.003.003.001</t>
  </si>
  <si>
    <t>13.004</t>
  </si>
  <si>
    <t>13.004.001</t>
  </si>
  <si>
    <t>13.004.001.001</t>
  </si>
  <si>
    <t>13.004.002</t>
  </si>
  <si>
    <t>13.004.002.001</t>
  </si>
  <si>
    <t>13.004.003</t>
  </si>
  <si>
    <t>13.004.003.001</t>
  </si>
  <si>
    <t>13.005</t>
  </si>
  <si>
    <t>13.005.001</t>
  </si>
  <si>
    <t>13.005.001.001</t>
  </si>
  <si>
    <t>13.005.001.002</t>
  </si>
  <si>
    <t>13.005.002</t>
  </si>
  <si>
    <t>13.005.002.001</t>
  </si>
  <si>
    <t>13.005.003</t>
  </si>
  <si>
    <t>13.005.003.001</t>
  </si>
  <si>
    <t>13.005.004</t>
  </si>
  <si>
    <t>13.005.004.001</t>
  </si>
  <si>
    <t>13.005.004.002</t>
  </si>
  <si>
    <t>13.005.005</t>
  </si>
  <si>
    <t>13.005.005.001</t>
  </si>
  <si>
    <t>13.005.005.002</t>
  </si>
  <si>
    <t>13.005.005.003</t>
  </si>
  <si>
    <t>13.005.005.004</t>
  </si>
  <si>
    <t>13.005.005.005</t>
  </si>
  <si>
    <t>13.005.005.006</t>
  </si>
  <si>
    <t>13.006</t>
  </si>
  <si>
    <t>13.006.001</t>
  </si>
  <si>
    <t>13.006.001.001</t>
  </si>
  <si>
    <t>13.006.002</t>
  </si>
  <si>
    <t>13.006.002.001</t>
  </si>
  <si>
    <t>13.006.003</t>
  </si>
  <si>
    <t>13.006.003.001</t>
  </si>
  <si>
    <t>13.006.003.002</t>
  </si>
  <si>
    <t>13.007</t>
  </si>
  <si>
    <t>13.007.001</t>
  </si>
  <si>
    <t>13.007.001.001</t>
  </si>
  <si>
    <t>13.007.001.002</t>
  </si>
  <si>
    <t>13.007.002</t>
  </si>
  <si>
    <t>13.007.002.001</t>
  </si>
  <si>
    <t>13.007.003</t>
  </si>
  <si>
    <t>13.007.003.001</t>
  </si>
  <si>
    <t>13.007.003.002</t>
  </si>
  <si>
    <t>13.007.003.003</t>
  </si>
  <si>
    <t>13.007.004</t>
  </si>
  <si>
    <t>13.007.004.001</t>
  </si>
  <si>
    <t>13.007.005</t>
  </si>
  <si>
    <t>13.007.005.001</t>
  </si>
  <si>
    <t>13.007.006</t>
  </si>
  <si>
    <t>13.007.006.001</t>
  </si>
  <si>
    <t>13.007.007</t>
  </si>
  <si>
    <t>13.007.007.001</t>
  </si>
  <si>
    <t>13.007.007.002</t>
  </si>
  <si>
    <t>13.007.007.003</t>
  </si>
  <si>
    <t>13.007.007.004</t>
  </si>
  <si>
    <t>13.007.007.005</t>
  </si>
  <si>
    <t>13.007.007.006</t>
  </si>
  <si>
    <t>13.007.007.007</t>
  </si>
  <si>
    <t>13.007.007.008</t>
  </si>
  <si>
    <t>13.008</t>
  </si>
  <si>
    <t>13.008.001</t>
  </si>
  <si>
    <t>13.008.001.001</t>
  </si>
  <si>
    <t>13.008.001.002</t>
  </si>
  <si>
    <t>13.008.002</t>
  </si>
  <si>
    <t>13.008.002.001</t>
  </si>
  <si>
    <t>13.008.002.002</t>
  </si>
  <si>
    <t>13.008.003</t>
  </si>
  <si>
    <t>13.008.003.001</t>
  </si>
  <si>
    <t>13.008.004</t>
  </si>
  <si>
    <t>13.008.004.001</t>
  </si>
  <si>
    <t>13.008.005</t>
  </si>
  <si>
    <t>13.008.005.001</t>
  </si>
  <si>
    <t>13.008.006</t>
  </si>
  <si>
    <t>13.008.006.001</t>
  </si>
  <si>
    <t>13.008.006.002</t>
  </si>
  <si>
    <t>13.008.006.003</t>
  </si>
  <si>
    <t>13.008.006.004</t>
  </si>
  <si>
    <t>13.008.006.005</t>
  </si>
  <si>
    <t>13.008.006.006</t>
  </si>
  <si>
    <t>13.009</t>
  </si>
  <si>
    <t>13.009.001</t>
  </si>
  <si>
    <t>13.009.001.001</t>
  </si>
  <si>
    <t>13.009.001.002</t>
  </si>
  <si>
    <t>13.009.002</t>
  </si>
  <si>
    <t>13.009.002.001</t>
  </si>
  <si>
    <t>13.009.002.002</t>
  </si>
  <si>
    <t>13.009.003</t>
  </si>
  <si>
    <t>13.009.003.001</t>
  </si>
  <si>
    <t>13.009.003.002</t>
  </si>
  <si>
    <t>13.009.003.003</t>
  </si>
  <si>
    <t>13.009.004</t>
  </si>
  <si>
    <t>13.009.004.001</t>
  </si>
  <si>
    <t>13.009.005</t>
  </si>
  <si>
    <t>13.009.005.001</t>
  </si>
  <si>
    <t>13.009.006</t>
  </si>
  <si>
    <t>13.009.006.001</t>
  </si>
  <si>
    <t>13.009.006.002</t>
  </si>
  <si>
    <t>13.009.006.003</t>
  </si>
  <si>
    <t>13.009.006.004</t>
  </si>
  <si>
    <t>13.009.006.005</t>
  </si>
  <si>
    <t>13.009.006.006</t>
  </si>
  <si>
    <t>13.010</t>
  </si>
  <si>
    <t>13.010.001</t>
  </si>
  <si>
    <t>13.010.001.001</t>
  </si>
  <si>
    <t>13.010.002</t>
  </si>
  <si>
    <t>13.010.002.001</t>
  </si>
  <si>
    <t>13.010.003</t>
  </si>
  <si>
    <t>13.010.003.001</t>
  </si>
  <si>
    <t>13.010.003.002</t>
  </si>
  <si>
    <t>13.010.004</t>
  </si>
  <si>
    <t>13.010.004.001</t>
  </si>
  <si>
    <t>13.010.005</t>
  </si>
  <si>
    <t>13.010.005.001</t>
  </si>
  <si>
    <t>13.010.006</t>
  </si>
  <si>
    <t>13.010.006.001</t>
  </si>
  <si>
    <t>13.010.006.002</t>
  </si>
  <si>
    <t>13.010.006.003</t>
  </si>
  <si>
    <t>13.010.006.004</t>
  </si>
  <si>
    <t>13.011</t>
  </si>
  <si>
    <t>13.011.001</t>
  </si>
  <si>
    <t>13.011.001.001</t>
  </si>
  <si>
    <t>13.011.001.002</t>
  </si>
  <si>
    <t>13.011.002</t>
  </si>
  <si>
    <t>13.011.002.001</t>
  </si>
  <si>
    <t>13.011.003</t>
  </si>
  <si>
    <t>13.011.003.001</t>
  </si>
  <si>
    <t>13.011.003.002</t>
  </si>
  <si>
    <t>13.011.003.003</t>
  </si>
  <si>
    <t>13.011.004</t>
  </si>
  <si>
    <t>13.011.004.001</t>
  </si>
  <si>
    <t>13.011.005</t>
  </si>
  <si>
    <t>13.011.005.001</t>
  </si>
  <si>
    <t>13.011.006</t>
  </si>
  <si>
    <t>13.011.006.001</t>
  </si>
  <si>
    <t>13.011.006.002</t>
  </si>
  <si>
    <t>13.011.006.003</t>
  </si>
  <si>
    <t>13.011.006.004</t>
  </si>
  <si>
    <t>13.011.006.005</t>
  </si>
  <si>
    <t>13.011.006.006</t>
  </si>
  <si>
    <t>13.012</t>
  </si>
  <si>
    <t>13.012.001</t>
  </si>
  <si>
    <t>13.012.001.001</t>
  </si>
  <si>
    <t>13.012.001.002</t>
  </si>
  <si>
    <t>13.012.002</t>
  </si>
  <si>
    <t>13.012.002.001</t>
  </si>
  <si>
    <t>13.012.003</t>
  </si>
  <si>
    <t>13.012.003.001</t>
  </si>
  <si>
    <t>13.012.003.002</t>
  </si>
  <si>
    <t>13.012.003.003</t>
  </si>
  <si>
    <t>13.012.004</t>
  </si>
  <si>
    <t>13.012.004.001</t>
  </si>
  <si>
    <t>13.012.005</t>
  </si>
  <si>
    <t>13.012.005.001</t>
  </si>
  <si>
    <t>13.012.006</t>
  </si>
  <si>
    <t>13.012.006.001</t>
  </si>
  <si>
    <t>13.012.006.002</t>
  </si>
  <si>
    <t>13.012.006.003</t>
  </si>
  <si>
    <t>13.012.006.004</t>
  </si>
  <si>
    <t>13.012.006.005</t>
  </si>
  <si>
    <t>13.012.006.006</t>
  </si>
  <si>
    <t>13.013</t>
  </si>
  <si>
    <t>13.013.001</t>
  </si>
  <si>
    <t>13.013.001.001</t>
  </si>
  <si>
    <t>13.013.001.002</t>
  </si>
  <si>
    <t>13.013.002</t>
  </si>
  <si>
    <t>13.013.002.001</t>
  </si>
  <si>
    <t>13.013.002.002</t>
  </si>
  <si>
    <t>13.013.003</t>
  </si>
  <si>
    <t>13.013.003.001</t>
  </si>
  <si>
    <t>13.013.004</t>
  </si>
  <si>
    <t>13.013.004.001</t>
  </si>
  <si>
    <t>13.013.004.002</t>
  </si>
  <si>
    <t>13.013.004.003</t>
  </si>
  <si>
    <t>13.013.005</t>
  </si>
  <si>
    <t>13.013.005.001</t>
  </si>
  <si>
    <t>13.013.006</t>
  </si>
  <si>
    <t>13.013.006.001</t>
  </si>
  <si>
    <t>13.013.007</t>
  </si>
  <si>
    <t>13.013.007.001</t>
  </si>
  <si>
    <t>13.013.007.002</t>
  </si>
  <si>
    <t>13.013.007.003</t>
  </si>
  <si>
    <t>13.013.007.004</t>
  </si>
  <si>
    <t>13.013.007.005</t>
  </si>
  <si>
    <t>13.013.007.006</t>
  </si>
  <si>
    <t>13.014</t>
  </si>
  <si>
    <t>13.014.001</t>
  </si>
  <si>
    <t>13.014.001.001</t>
  </si>
  <si>
    <t>13.014.001.002</t>
  </si>
  <si>
    <t>13.014.002</t>
  </si>
  <si>
    <t>13.014.002.001</t>
  </si>
  <si>
    <t>13.014.002.002</t>
  </si>
  <si>
    <t>13.014.003</t>
  </si>
  <si>
    <t>13.014.003.001</t>
  </si>
  <si>
    <t>13.014.004</t>
  </si>
  <si>
    <t>13.014.004.001</t>
  </si>
  <si>
    <t>13.014.005</t>
  </si>
  <si>
    <t>13.014.005.001</t>
  </si>
  <si>
    <t>13.014.005.002</t>
  </si>
  <si>
    <t>13.014.005.003</t>
  </si>
  <si>
    <t>13.014.005.004</t>
  </si>
  <si>
    <t>13.014.005.005</t>
  </si>
  <si>
    <t>13.015</t>
  </si>
  <si>
    <t>13.015.001</t>
  </si>
  <si>
    <t>13.015.001.001</t>
  </si>
  <si>
    <t>13.015.002</t>
  </si>
  <si>
    <t>13.015.002.001</t>
  </si>
  <si>
    <t>13.015.002.002</t>
  </si>
  <si>
    <t>13.015.002.003</t>
  </si>
  <si>
    <t>13.015.003</t>
  </si>
  <si>
    <t>13.015.003.001</t>
  </si>
  <si>
    <t>13.015.003.002</t>
  </si>
  <si>
    <t>13.015.003.003</t>
  </si>
  <si>
    <t>13.015.003.004</t>
  </si>
  <si>
    <t>14</t>
  </si>
  <si>
    <t>14.001</t>
  </si>
  <si>
    <t>14.001.001</t>
  </si>
  <si>
    <t>14.001.001.001</t>
  </si>
  <si>
    <t>14.001.001.002</t>
  </si>
  <si>
    <t>14.001.001.003</t>
  </si>
  <si>
    <t>14.001.001.004</t>
  </si>
  <si>
    <t>14.001.002</t>
  </si>
  <si>
    <t>14.001.002.001</t>
  </si>
  <si>
    <t>14.001.002.002</t>
  </si>
  <si>
    <t>14.001.003</t>
  </si>
  <si>
    <t>14.001.003.001</t>
  </si>
  <si>
    <t>14.001.003.002</t>
  </si>
  <si>
    <t>14.001.004</t>
  </si>
  <si>
    <t>14.001.004.001</t>
  </si>
  <si>
    <t>14.001.005</t>
  </si>
  <si>
    <t>14.001.005.001</t>
  </si>
  <si>
    <t>14.001.005.002</t>
  </si>
  <si>
    <t>14.001.005.003</t>
  </si>
  <si>
    <t>14.001.005.004</t>
  </si>
  <si>
    <t>14.001.005.005</t>
  </si>
  <si>
    <t>14.002</t>
  </si>
  <si>
    <t>14.002.001</t>
  </si>
  <si>
    <t>14.002.001.001</t>
  </si>
  <si>
    <t>14.002.001.002</t>
  </si>
  <si>
    <t>14.002.001.003</t>
  </si>
  <si>
    <t>14.002.001.004</t>
  </si>
  <si>
    <t>14.002.002</t>
  </si>
  <si>
    <t>14.002.002.001</t>
  </si>
  <si>
    <t>14.002.002.002</t>
  </si>
  <si>
    <t>14.002.003</t>
  </si>
  <si>
    <t>14.002.003.001</t>
  </si>
  <si>
    <t>14.002.004</t>
  </si>
  <si>
    <t>14.002.004.001</t>
  </si>
  <si>
    <t>14.002.004.002</t>
  </si>
  <si>
    <t>14.002.004.003</t>
  </si>
  <si>
    <t>14.002.004.004</t>
  </si>
  <si>
    <t>14.003</t>
  </si>
  <si>
    <t>14.003.001</t>
  </si>
  <si>
    <t>14.003.001.001</t>
  </si>
  <si>
    <t>14.003.001.002</t>
  </si>
  <si>
    <t>14.003.001.003</t>
  </si>
  <si>
    <t>14.003.001.004</t>
  </si>
  <si>
    <t>14.003.002</t>
  </si>
  <si>
    <t>14.003.002.001</t>
  </si>
  <si>
    <t>14.003.003</t>
  </si>
  <si>
    <t>14.003.003.001</t>
  </si>
  <si>
    <t>14.003.004</t>
  </si>
  <si>
    <t>14.003.004.001</t>
  </si>
  <si>
    <t>14.003.004.002</t>
  </si>
  <si>
    <t>14.003.004.003</t>
  </si>
  <si>
    <t>14.003.004.004</t>
  </si>
  <si>
    <t>14.004</t>
  </si>
  <si>
    <t>14.004.001</t>
  </si>
  <si>
    <t>14.004.001.001</t>
  </si>
  <si>
    <t>14.004.001.002</t>
  </si>
  <si>
    <t>14.004.001.003</t>
  </si>
  <si>
    <t>14.004.001.004</t>
  </si>
  <si>
    <t>14.004.002</t>
  </si>
  <si>
    <t>14.004.002.001</t>
  </si>
  <si>
    <t>14.004.003</t>
  </si>
  <si>
    <t>14.004.003.001</t>
  </si>
  <si>
    <t>14.004.003.002</t>
  </si>
  <si>
    <t>14.004.003.003</t>
  </si>
  <si>
    <t>14.005</t>
  </si>
  <si>
    <t>14.005.001</t>
  </si>
  <si>
    <t>14.005.001.001</t>
  </si>
  <si>
    <t>14.005.001.002</t>
  </si>
  <si>
    <t>14.005.001.003</t>
  </si>
  <si>
    <t>14.005.001.004</t>
  </si>
  <si>
    <t>14.005.002</t>
  </si>
  <si>
    <t>14.005.002.001</t>
  </si>
  <si>
    <t>14.005.003</t>
  </si>
  <si>
    <t>14.005.003.001</t>
  </si>
  <si>
    <t>14.005.003.002</t>
  </si>
  <si>
    <t>14.005.003.003</t>
  </si>
  <si>
    <t>14.006</t>
  </si>
  <si>
    <t>14.006.001</t>
  </si>
  <si>
    <t>14.006.001.001</t>
  </si>
  <si>
    <t>14.006.001.002</t>
  </si>
  <si>
    <t>14.006.001.003</t>
  </si>
  <si>
    <t>14.006.001.004</t>
  </si>
  <si>
    <t>14.006.002</t>
  </si>
  <si>
    <t>14.006.002.001</t>
  </si>
  <si>
    <t>14.006.003</t>
  </si>
  <si>
    <t>14.006.003.001</t>
  </si>
  <si>
    <t>14.006.003.002</t>
  </si>
  <si>
    <t>14.006.003.003</t>
  </si>
  <si>
    <t>14.007</t>
  </si>
  <si>
    <t>14.007.001</t>
  </si>
  <si>
    <t>14.007.001.001</t>
  </si>
  <si>
    <t>14.007.001.002</t>
  </si>
  <si>
    <t>14.007.001.003</t>
  </si>
  <si>
    <t>14.007.001.004</t>
  </si>
  <si>
    <t>14.007.002</t>
  </si>
  <si>
    <t>14.007.002.001</t>
  </si>
  <si>
    <t>14.007.002.002</t>
  </si>
  <si>
    <t>14.007.002.003</t>
  </si>
  <si>
    <t>14.007.003</t>
  </si>
  <si>
    <t>14.007.003.001</t>
  </si>
  <si>
    <t>14.007.004</t>
  </si>
  <si>
    <t>14.007.004.001</t>
  </si>
  <si>
    <t>14.007.005</t>
  </si>
  <si>
    <t>14.007.005.001</t>
  </si>
  <si>
    <t>14.007.005.002</t>
  </si>
  <si>
    <t>14.007.006</t>
  </si>
  <si>
    <t>14.007.006.001</t>
  </si>
  <si>
    <t>14.007.006.002</t>
  </si>
  <si>
    <t>14.007.006.003</t>
  </si>
  <si>
    <t>14.007.006.004</t>
  </si>
  <si>
    <t>14.007.006.005</t>
  </si>
  <si>
    <t>14.007.006.006</t>
  </si>
  <si>
    <t>14.008</t>
  </si>
  <si>
    <t>14.008.001</t>
  </si>
  <si>
    <t>14.008.001.001</t>
  </si>
  <si>
    <t>14.008.001.002</t>
  </si>
  <si>
    <t>14.008.001.003</t>
  </si>
  <si>
    <t>14.008.001.004</t>
  </si>
  <si>
    <t>14.008.002</t>
  </si>
  <si>
    <t>14.008.002.001</t>
  </si>
  <si>
    <t>14.008.003</t>
  </si>
  <si>
    <t>14.008.003.001</t>
  </si>
  <si>
    <t>14.008.004</t>
  </si>
  <si>
    <t>14.008.004.001</t>
  </si>
  <si>
    <t>14.008.004.002</t>
  </si>
  <si>
    <t>14.008.004.003</t>
  </si>
  <si>
    <t>14.008.004.004</t>
  </si>
  <si>
    <t>14.008.004.005</t>
  </si>
  <si>
    <t>14.008.004.006</t>
  </si>
  <si>
    <t>14.008.005</t>
  </si>
  <si>
    <t>14.008.005.001</t>
  </si>
  <si>
    <t>14.008.005.002</t>
  </si>
  <si>
    <t>14.008.006</t>
  </si>
  <si>
    <t>14.008.006.001</t>
  </si>
  <si>
    <t>14.008.006.002</t>
  </si>
  <si>
    <t>14.008.006.003</t>
  </si>
  <si>
    <t>14.008.006.004</t>
  </si>
  <si>
    <t>14.008.006.005</t>
  </si>
  <si>
    <t>14.009</t>
  </si>
  <si>
    <t>14.009.001</t>
  </si>
  <si>
    <t>14.009.001.001</t>
  </si>
  <si>
    <t>14.009.001.002</t>
  </si>
  <si>
    <t>14.009.001.003</t>
  </si>
  <si>
    <t>14.009.002</t>
  </si>
  <si>
    <t>14.009.002.001</t>
  </si>
  <si>
    <t>14.009.003</t>
  </si>
  <si>
    <t>14.009.003.001</t>
  </si>
  <si>
    <t>14.009.004</t>
  </si>
  <si>
    <t>14.009.004.001</t>
  </si>
  <si>
    <t>14.009.004.002</t>
  </si>
  <si>
    <t>14.009.004.003</t>
  </si>
  <si>
    <t>14.010</t>
  </si>
  <si>
    <t>14.010.001</t>
  </si>
  <si>
    <t>14.010.001.001</t>
  </si>
  <si>
    <t>14.010.001.002</t>
  </si>
  <si>
    <t>14.010.001.003</t>
  </si>
  <si>
    <t>14.010.002</t>
  </si>
  <si>
    <t>14.010.002.001</t>
  </si>
  <si>
    <t>14.010.003</t>
  </si>
  <si>
    <t>14.010.003.001</t>
  </si>
  <si>
    <t>14.010.004</t>
  </si>
  <si>
    <t>14.010.004.001</t>
  </si>
  <si>
    <t>14.010.004.002</t>
  </si>
  <si>
    <t>14.010.004.003</t>
  </si>
  <si>
    <t>14.011</t>
  </si>
  <si>
    <t>14.011.001</t>
  </si>
  <si>
    <t>14.011.001.001</t>
  </si>
  <si>
    <t>14.011.001.002</t>
  </si>
  <si>
    <t>14.011.001.003</t>
  </si>
  <si>
    <t>14.011.002</t>
  </si>
  <si>
    <t>14.011.002.001</t>
  </si>
  <si>
    <t>14.011.003</t>
  </si>
  <si>
    <t>14.011.003.001</t>
  </si>
  <si>
    <t>14.011.004</t>
  </si>
  <si>
    <t>14.011.004.001</t>
  </si>
  <si>
    <t>14.011.005</t>
  </si>
  <si>
    <t>14.011.005.001</t>
  </si>
  <si>
    <t>14.011.005.002</t>
  </si>
  <si>
    <t>14.011.005.003</t>
  </si>
  <si>
    <t>14.011.005.004</t>
  </si>
  <si>
    <t>14.012</t>
  </si>
  <si>
    <t>14.012.001</t>
  </si>
  <si>
    <t>14.012.001.001</t>
  </si>
  <si>
    <t>14.012.001.002</t>
  </si>
  <si>
    <t>14.012.001.003</t>
  </si>
  <si>
    <t>14.012.002</t>
  </si>
  <si>
    <t>14.012.002.001</t>
  </si>
  <si>
    <t>14.012.003</t>
  </si>
  <si>
    <t>14.012.003.001</t>
  </si>
  <si>
    <t>14.012.004</t>
  </si>
  <si>
    <t>14.012.004.001</t>
  </si>
  <si>
    <t>14.012.005</t>
  </si>
  <si>
    <t>14.012.005.001</t>
  </si>
  <si>
    <t>14.012.005.002</t>
  </si>
  <si>
    <t>14.012.005.003</t>
  </si>
  <si>
    <t>14.012.005.004</t>
  </si>
  <si>
    <t>14.013</t>
  </si>
  <si>
    <t>14.013.001</t>
  </si>
  <si>
    <t>14.013.001.001</t>
  </si>
  <si>
    <t>14.013.001.002</t>
  </si>
  <si>
    <t>14.013.001.003</t>
  </si>
  <si>
    <t>14.013.002</t>
  </si>
  <si>
    <t>14.013.002.001</t>
  </si>
  <si>
    <t>14.013.003</t>
  </si>
  <si>
    <t>14.013.003.001</t>
  </si>
  <si>
    <t>14.013.004</t>
  </si>
  <si>
    <t>14.013.004.001</t>
  </si>
  <si>
    <t>14.013.004.002</t>
  </si>
  <si>
    <t>14.013.004.003</t>
  </si>
  <si>
    <t>14.014</t>
  </si>
  <si>
    <t>14.014.001</t>
  </si>
  <si>
    <t>14.014.001.001</t>
  </si>
  <si>
    <t>14.014.001.002</t>
  </si>
  <si>
    <t>14.014.001.003</t>
  </si>
  <si>
    <t>14.014.002</t>
  </si>
  <si>
    <t>14.014.002.001</t>
  </si>
  <si>
    <t>14.014.003</t>
  </si>
  <si>
    <t>14.014.003.001</t>
  </si>
  <si>
    <t>14.014.003.002</t>
  </si>
  <si>
    <t>14.015</t>
  </si>
  <si>
    <t>14.015.001</t>
  </si>
  <si>
    <t>14.015.001.001</t>
  </si>
  <si>
    <t>14.015.002</t>
  </si>
  <si>
    <t>14.015.002.001</t>
  </si>
  <si>
    <t>15</t>
  </si>
  <si>
    <t>15.001</t>
  </si>
  <si>
    <t>15.001.001</t>
  </si>
  <si>
    <t>15.001.001.001</t>
  </si>
  <si>
    <t>15.001.001.002</t>
  </si>
  <si>
    <t>15.001.002</t>
  </si>
  <si>
    <t>15.001.002.001</t>
  </si>
  <si>
    <t>15.001.002.002</t>
  </si>
  <si>
    <t>15.001.002.003</t>
  </si>
  <si>
    <t>15.001.002.004</t>
  </si>
  <si>
    <t>15.001.003</t>
  </si>
  <si>
    <t>15.001.003.001</t>
  </si>
  <si>
    <t>15.001.003.002</t>
  </si>
  <si>
    <t>15.001.004</t>
  </si>
  <si>
    <t>15.001.004.001</t>
  </si>
  <si>
    <t>15.002</t>
  </si>
  <si>
    <t>15.002.001</t>
  </si>
  <si>
    <t>15.002.001.001</t>
  </si>
  <si>
    <t>15.002.002</t>
  </si>
  <si>
    <t>15.002.002.001</t>
  </si>
  <si>
    <t>15.002.002.002</t>
  </si>
  <si>
    <t>15.002.002.003</t>
  </si>
  <si>
    <t>15.002.002.004</t>
  </si>
  <si>
    <t>15.002.002.005</t>
  </si>
  <si>
    <t>15.002.003</t>
  </si>
  <si>
    <t>15.002.003.001</t>
  </si>
  <si>
    <t>15.002.004</t>
  </si>
  <si>
    <t>15.002.004.001</t>
  </si>
  <si>
    <t>15.003</t>
  </si>
  <si>
    <t>15.003.001</t>
  </si>
  <si>
    <t>15.003.001.001</t>
  </si>
  <si>
    <t>15.003.002</t>
  </si>
  <si>
    <t>15.003.002.001</t>
  </si>
  <si>
    <t>15.003.002.002</t>
  </si>
  <si>
    <t>15.003.003</t>
  </si>
  <si>
    <t>15.003.003.001</t>
  </si>
  <si>
    <t>15.004</t>
  </si>
  <si>
    <t>15.004.001</t>
  </si>
  <si>
    <t>15.004.001.001</t>
  </si>
  <si>
    <t>15.004.002</t>
  </si>
  <si>
    <t>15.004.002.001</t>
  </si>
  <si>
    <t>15.005</t>
  </si>
  <si>
    <t>15.005.001</t>
  </si>
  <si>
    <t>15.005.001.001</t>
  </si>
  <si>
    <t>15.005.002</t>
  </si>
  <si>
    <t>15.005.002.001</t>
  </si>
  <si>
    <t>15.005.002.002</t>
  </si>
  <si>
    <t>15.005.003</t>
  </si>
  <si>
    <t>15.005.003.001</t>
  </si>
  <si>
    <t>15.006</t>
  </si>
  <si>
    <t>15.006.001</t>
  </si>
  <si>
    <t>15.006.001.001</t>
  </si>
  <si>
    <t>15.006.002</t>
  </si>
  <si>
    <t>15.006.002.001</t>
  </si>
  <si>
    <t>15.006.002.002</t>
  </si>
  <si>
    <t>15.006.002.003</t>
  </si>
  <si>
    <t>15.006.003</t>
  </si>
  <si>
    <t>15.006.003.001</t>
  </si>
  <si>
    <t>15.007</t>
  </si>
  <si>
    <t>15.007.001</t>
  </si>
  <si>
    <t>15.007.001.001</t>
  </si>
  <si>
    <t>15.007.002</t>
  </si>
  <si>
    <t>15.007.002.001</t>
  </si>
  <si>
    <t>15.007.002.002</t>
  </si>
  <si>
    <t>15.007.002.003</t>
  </si>
  <si>
    <t>15.007.002.004</t>
  </si>
  <si>
    <t>15.007.002.005</t>
  </si>
  <si>
    <t>15.007.002.006</t>
  </si>
  <si>
    <t>15.007.002.007</t>
  </si>
  <si>
    <t>15.007.003</t>
  </si>
  <si>
    <t>15.007.003.001</t>
  </si>
  <si>
    <t>15.007.003.002</t>
  </si>
  <si>
    <t>15.007.004</t>
  </si>
  <si>
    <t>15.007.004.001</t>
  </si>
  <si>
    <t>15.008</t>
  </si>
  <si>
    <t>15.008.001</t>
  </si>
  <si>
    <t>15.008.001.001</t>
  </si>
  <si>
    <t>15.008.001.002</t>
  </si>
  <si>
    <t>15.008.001.003</t>
  </si>
  <si>
    <t>15.008.001.004</t>
  </si>
  <si>
    <t>15.008.002</t>
  </si>
  <si>
    <t>15.008.002.001</t>
  </si>
  <si>
    <t>15.008.002.002</t>
  </si>
  <si>
    <t>15.008.002.003</t>
  </si>
  <si>
    <t>15.008.002.004</t>
  </si>
  <si>
    <t>15.008.002.005</t>
  </si>
  <si>
    <t>15.008.002.006</t>
  </si>
  <si>
    <t>15.009</t>
  </si>
  <si>
    <t>15.009.001</t>
  </si>
  <si>
    <t>15.009.001.001</t>
  </si>
  <si>
    <t>15.009.001.002</t>
  </si>
  <si>
    <t>15.009.001.003</t>
  </si>
  <si>
    <t>15.009.001.004</t>
  </si>
  <si>
    <t>15.009.001.005</t>
  </si>
  <si>
    <t>15.010</t>
  </si>
  <si>
    <t>15.010.001</t>
  </si>
  <si>
    <t>15.010.001.001</t>
  </si>
  <si>
    <t>15.010.001.002</t>
  </si>
  <si>
    <t>15.010.001.003</t>
  </si>
  <si>
    <t>15.010.001.004</t>
  </si>
  <si>
    <t>15.010.001.005</t>
  </si>
  <si>
    <t>15.011</t>
  </si>
  <si>
    <t>15.011.001</t>
  </si>
  <si>
    <t>15.011.001.001</t>
  </si>
  <si>
    <t>15.011.001.002</t>
  </si>
  <si>
    <t>15.011.001.003</t>
  </si>
  <si>
    <t>15.011.001.004</t>
  </si>
  <si>
    <t>15.011.001.005</t>
  </si>
  <si>
    <t>15.012</t>
  </si>
  <si>
    <t>15.012.001</t>
  </si>
  <si>
    <t>15.012.001.001</t>
  </si>
  <si>
    <t>15.012.001.002</t>
  </si>
  <si>
    <t>15.012.001.003</t>
  </si>
  <si>
    <t>15.012.001.004</t>
  </si>
  <si>
    <t>15.012.001.005</t>
  </si>
  <si>
    <t>15.013</t>
  </si>
  <si>
    <t>15.013.001</t>
  </si>
  <si>
    <t>15.013.001.001</t>
  </si>
  <si>
    <t>15.013.002</t>
  </si>
  <si>
    <t>15.013.002.001</t>
  </si>
  <si>
    <t>15.013.002.002</t>
  </si>
  <si>
    <t>15.013.002.003</t>
  </si>
  <si>
    <t>15.013.002.004</t>
  </si>
  <si>
    <t>15.013.002.005</t>
  </si>
  <si>
    <t>15.013.003</t>
  </si>
  <si>
    <t>15.013.003.001</t>
  </si>
  <si>
    <t>15.014</t>
  </si>
  <si>
    <t>15.014.001</t>
  </si>
  <si>
    <t>15.014.001.001</t>
  </si>
  <si>
    <t>15.014.002</t>
  </si>
  <si>
    <t>15.014.002.001</t>
  </si>
  <si>
    <t>15.014.002.002</t>
  </si>
  <si>
    <t>15.014.003</t>
  </si>
  <si>
    <t>15.014.003.001</t>
  </si>
  <si>
    <t>16</t>
  </si>
  <si>
    <t>16.001</t>
  </si>
  <si>
    <t>16.001.001</t>
  </si>
  <si>
    <t>16.001.001.001</t>
  </si>
  <si>
    <t>16.001.002</t>
  </si>
  <si>
    <t>16.001.002.001</t>
  </si>
  <si>
    <t>16.001.003</t>
  </si>
  <si>
    <t>16.001.003.001</t>
  </si>
  <si>
    <t>16.001.003.002</t>
  </si>
  <si>
    <t>16.001.003.003</t>
  </si>
  <si>
    <t>16.001.003.004</t>
  </si>
  <si>
    <t>16.001.003.005</t>
  </si>
  <si>
    <t>16.001.004</t>
  </si>
  <si>
    <t>16.001.004.001</t>
  </si>
  <si>
    <t>16.001.004.002</t>
  </si>
  <si>
    <t>16.001.004.003</t>
  </si>
  <si>
    <t>16.001.005</t>
  </si>
  <si>
    <t>16.001.005.001</t>
  </si>
  <si>
    <t>16.001.005.002</t>
  </si>
  <si>
    <t>16.001.005.003</t>
  </si>
  <si>
    <t>16.001.006</t>
  </si>
  <si>
    <t>16.001.006.001</t>
  </si>
  <si>
    <t>16.001.006.002</t>
  </si>
  <si>
    <t>16.001.006.003</t>
  </si>
  <si>
    <t>16.001.007</t>
  </si>
  <si>
    <t>16.001.007.001</t>
  </si>
  <si>
    <t>16.001.007.002</t>
  </si>
  <si>
    <t>16.001.007.003</t>
  </si>
  <si>
    <t>16.001.007.004</t>
  </si>
  <si>
    <t>16.001.007.005</t>
  </si>
  <si>
    <t>16.001.007.006</t>
  </si>
  <si>
    <t>16.001.007.007</t>
  </si>
  <si>
    <t>16.002</t>
  </si>
  <si>
    <t>16.002.001</t>
  </si>
  <si>
    <t>16.002.001.001</t>
  </si>
  <si>
    <t>16.002.002</t>
  </si>
  <si>
    <t>16.002.002.001</t>
  </si>
  <si>
    <t>16.002.002.002</t>
  </si>
  <si>
    <t>16.002.003</t>
  </si>
  <si>
    <t>16.002.003.001</t>
  </si>
  <si>
    <t>16.002.003.002</t>
  </si>
  <si>
    <t>16.002.003.003</t>
  </si>
  <si>
    <t>16.002.004</t>
  </si>
  <si>
    <t>16.002.004.001</t>
  </si>
  <si>
    <t>16.002.004.002</t>
  </si>
  <si>
    <t>16.002.004.003</t>
  </si>
  <si>
    <t>16.002.005</t>
  </si>
  <si>
    <t>16.002.005.001</t>
  </si>
  <si>
    <t>16.002.005.002</t>
  </si>
  <si>
    <t>16.002.005.003</t>
  </si>
  <si>
    <t>16.002.005.004</t>
  </si>
  <si>
    <t>16.002.005.005</t>
  </si>
  <si>
    <t>16.002.005.006</t>
  </si>
  <si>
    <t>16.003</t>
  </si>
  <si>
    <t>16.003.001</t>
  </si>
  <si>
    <t>16.003.001.001</t>
  </si>
  <si>
    <t>16.003.002</t>
  </si>
  <si>
    <t>16.003.002.001</t>
  </si>
  <si>
    <t>16.003.003</t>
  </si>
  <si>
    <t>16.003.003.001</t>
  </si>
  <si>
    <t>16.003.003.002</t>
  </si>
  <si>
    <t>16.003.003.003</t>
  </si>
  <si>
    <t>16.003.004</t>
  </si>
  <si>
    <t>16.003.004.001</t>
  </si>
  <si>
    <t>16.003.004.002</t>
  </si>
  <si>
    <t>16.003.005</t>
  </si>
  <si>
    <t>16.003.005.001</t>
  </si>
  <si>
    <t>16.003.005.002</t>
  </si>
  <si>
    <t>16.003.005.003</t>
  </si>
  <si>
    <t>16.003.005.004</t>
  </si>
  <si>
    <t>16.004</t>
  </si>
  <si>
    <t>16.004.001</t>
  </si>
  <si>
    <t>16.004.001.001</t>
  </si>
  <si>
    <t>16.004.002</t>
  </si>
  <si>
    <t>16.004.002.001</t>
  </si>
  <si>
    <t>16.004.003</t>
  </si>
  <si>
    <t>16.004.003.001</t>
  </si>
  <si>
    <t>16.004.003.002</t>
  </si>
  <si>
    <t>16.004.004</t>
  </si>
  <si>
    <t>16.004.004.001</t>
  </si>
  <si>
    <t>16.004.004.002</t>
  </si>
  <si>
    <t>16.004.005</t>
  </si>
  <si>
    <t>16.004.005.001</t>
  </si>
  <si>
    <t>16.004.005.002</t>
  </si>
  <si>
    <t>16.004.005.003</t>
  </si>
  <si>
    <t>16.004.005.004</t>
  </si>
  <si>
    <t>16.005</t>
  </si>
  <si>
    <t>16.005.001</t>
  </si>
  <si>
    <t>16.005.001.001</t>
  </si>
  <si>
    <t>16.005.002</t>
  </si>
  <si>
    <t>16.005.002.001</t>
  </si>
  <si>
    <t>16.005.003</t>
  </si>
  <si>
    <t>16.005.003.001</t>
  </si>
  <si>
    <t>16.005.003.002</t>
  </si>
  <si>
    <t>16.005.003.003</t>
  </si>
  <si>
    <t>16.005.004</t>
  </si>
  <si>
    <t>16.005.004.001</t>
  </si>
  <si>
    <t>16.005.004.002</t>
  </si>
  <si>
    <t>16.005.005</t>
  </si>
  <si>
    <t>16.005.005.001</t>
  </si>
  <si>
    <t>16.005.005.002</t>
  </si>
  <si>
    <t>16.005.005.003</t>
  </si>
  <si>
    <t>16.005.005.004</t>
  </si>
  <si>
    <t>16.006</t>
  </si>
  <si>
    <t>16.006.001</t>
  </si>
  <si>
    <t>16.006.001.001</t>
  </si>
  <si>
    <t>16.006.002</t>
  </si>
  <si>
    <t>16.006.002.001</t>
  </si>
  <si>
    <t>16.006.003</t>
  </si>
  <si>
    <t>16.006.003.001</t>
  </si>
  <si>
    <t>16.006.003.002</t>
  </si>
  <si>
    <t>16.006.003.003</t>
  </si>
  <si>
    <t>16.006.003.004</t>
  </si>
  <si>
    <t>16.006.004</t>
  </si>
  <si>
    <t>16.006.004.001</t>
  </si>
  <si>
    <t>16.006.004.002</t>
  </si>
  <si>
    <t>16.006.005</t>
  </si>
  <si>
    <t>16.006.005.001</t>
  </si>
  <si>
    <t>16.006.005.002</t>
  </si>
  <si>
    <t>16.006.005.003</t>
  </si>
  <si>
    <t>16.006.005.004</t>
  </si>
  <si>
    <t>16.007</t>
  </si>
  <si>
    <t>16.007.001</t>
  </si>
  <si>
    <t>16.007.001.001</t>
  </si>
  <si>
    <t>16.007.002</t>
  </si>
  <si>
    <t>16.007.002.001</t>
  </si>
  <si>
    <t>16.007.003</t>
  </si>
  <si>
    <t>16.007.003.001</t>
  </si>
  <si>
    <t>16.007.003.002</t>
  </si>
  <si>
    <t>16.007.003.003</t>
  </si>
  <si>
    <t>16.007.003.004</t>
  </si>
  <si>
    <t>16.007.003.005</t>
  </si>
  <si>
    <t>16.007.003.006</t>
  </si>
  <si>
    <t>16.007.003.007</t>
  </si>
  <si>
    <t>16.007.003.008</t>
  </si>
  <si>
    <t>16.007.004</t>
  </si>
  <si>
    <t>16.007.004.001</t>
  </si>
  <si>
    <t>16.007.005</t>
  </si>
  <si>
    <t>16.007.005.001</t>
  </si>
  <si>
    <t>16.007.005.002</t>
  </si>
  <si>
    <t>16.007.005.003</t>
  </si>
  <si>
    <t>16.007.005.004</t>
  </si>
  <si>
    <t>16.007.006</t>
  </si>
  <si>
    <t>16.007.006.001</t>
  </si>
  <si>
    <t>16.007.006.002</t>
  </si>
  <si>
    <t>16.007.006.003</t>
  </si>
  <si>
    <t>16.007.006.004</t>
  </si>
  <si>
    <t>16.007.006.005</t>
  </si>
  <si>
    <t>16.007.006.006</t>
  </si>
  <si>
    <t>16.007.006.007</t>
  </si>
  <si>
    <t>16.008</t>
  </si>
  <si>
    <t>16.008.001</t>
  </si>
  <si>
    <t>16.008.001.001</t>
  </si>
  <si>
    <t>16.008.002</t>
  </si>
  <si>
    <t>16.008.002.001</t>
  </si>
  <si>
    <t>16.008.002.002</t>
  </si>
  <si>
    <t>16.008.002.003</t>
  </si>
  <si>
    <t>16.008.002.004</t>
  </si>
  <si>
    <t>16.008.002.005</t>
  </si>
  <si>
    <t>16.008.003</t>
  </si>
  <si>
    <t>16.008.003.001</t>
  </si>
  <si>
    <t>16.008.003.002</t>
  </si>
  <si>
    <t>16.008.003.003</t>
  </si>
  <si>
    <t>16.008.003.004</t>
  </si>
  <si>
    <t>16.008.003.005</t>
  </si>
  <si>
    <t>16.008.003.006</t>
  </si>
  <si>
    <t>16.008.003.007</t>
  </si>
  <si>
    <t>16.008.003.008</t>
  </si>
  <si>
    <t>16.008.003.009</t>
  </si>
  <si>
    <t>16.008.004</t>
  </si>
  <si>
    <t>16.008.004.001</t>
  </si>
  <si>
    <t>16.008.004.002</t>
  </si>
  <si>
    <t>16.008.004.003</t>
  </si>
  <si>
    <t>16.008.005</t>
  </si>
  <si>
    <t>16.008.005.001</t>
  </si>
  <si>
    <t>16.008.005.002</t>
  </si>
  <si>
    <t>16.008.005.003</t>
  </si>
  <si>
    <t>16.008.005.004</t>
  </si>
  <si>
    <t>16.008.005.005</t>
  </si>
  <si>
    <t>16.009</t>
  </si>
  <si>
    <t>16.009.001</t>
  </si>
  <si>
    <t>16.009.001.001</t>
  </si>
  <si>
    <t>16.009.002</t>
  </si>
  <si>
    <t>16.009.002.001</t>
  </si>
  <si>
    <t>16.009.003</t>
  </si>
  <si>
    <t>16.009.003.001</t>
  </si>
  <si>
    <t>16.009.003.002</t>
  </si>
  <si>
    <t>16.009.003.003</t>
  </si>
  <si>
    <t>16.009.004</t>
  </si>
  <si>
    <t>16.009.004.001</t>
  </si>
  <si>
    <t>16.009.005</t>
  </si>
  <si>
    <t>16.009.005.001</t>
  </si>
  <si>
    <t>16.009.005.002</t>
  </si>
  <si>
    <t>16.009.005.003</t>
  </si>
  <si>
    <t>16.009.006</t>
  </si>
  <si>
    <t>16.009.006.001</t>
  </si>
  <si>
    <t>16.009.006.002</t>
  </si>
  <si>
    <t>16.009.006.003</t>
  </si>
  <si>
    <t>16.009.006.004</t>
  </si>
  <si>
    <t>16.010</t>
  </si>
  <si>
    <t>16.010.001</t>
  </si>
  <si>
    <t>16.010.001.001</t>
  </si>
  <si>
    <t>16.010.002</t>
  </si>
  <si>
    <t>16.010.002.001</t>
  </si>
  <si>
    <t>16.010.003</t>
  </si>
  <si>
    <t>16.010.003.001</t>
  </si>
  <si>
    <t>16.010.003.002</t>
  </si>
  <si>
    <t>16.010.003.003</t>
  </si>
  <si>
    <t>16.010.004</t>
  </si>
  <si>
    <t>16.010.004.001</t>
  </si>
  <si>
    <t>16.010.005</t>
  </si>
  <si>
    <t>16.010.005.001</t>
  </si>
  <si>
    <t>16.010.005.002</t>
  </si>
  <si>
    <t>16.010.005.003</t>
  </si>
  <si>
    <t>16.010.006</t>
  </si>
  <si>
    <t>16.010.006.001</t>
  </si>
  <si>
    <t>16.010.006.002</t>
  </si>
  <si>
    <t>16.010.006.003</t>
  </si>
  <si>
    <t>16.010.006.004</t>
  </si>
  <si>
    <t>16.011</t>
  </si>
  <si>
    <t>16.011.001</t>
  </si>
  <si>
    <t>16.011.001.001</t>
  </si>
  <si>
    <t>16.011.002</t>
  </si>
  <si>
    <t>16.011.002.001</t>
  </si>
  <si>
    <t>16.011.003</t>
  </si>
  <si>
    <t>16.011.003.001</t>
  </si>
  <si>
    <t>16.011.003.002</t>
  </si>
  <si>
    <t>16.011.003.003</t>
  </si>
  <si>
    <t>16.011.004</t>
  </si>
  <si>
    <t>16.011.004.001</t>
  </si>
  <si>
    <t>16.011.005</t>
  </si>
  <si>
    <t>16.011.005.001</t>
  </si>
  <si>
    <t>16.011.006</t>
  </si>
  <si>
    <t>16.011.006.001</t>
  </si>
  <si>
    <t>16.011.006.002</t>
  </si>
  <si>
    <t>16.011.006.003</t>
  </si>
  <si>
    <t>16.011.007</t>
  </si>
  <si>
    <t>16.011.007.001</t>
  </si>
  <si>
    <t>16.011.007.002</t>
  </si>
  <si>
    <t>16.011.007.003</t>
  </si>
  <si>
    <t>16.011.007.004</t>
  </si>
  <si>
    <t>16.011.007.005</t>
  </si>
  <si>
    <t>16.012</t>
  </si>
  <si>
    <t>16.012.001</t>
  </si>
  <si>
    <t>16.012.001.001</t>
  </si>
  <si>
    <t>16.012.002</t>
  </si>
  <si>
    <t>16.012.002.001</t>
  </si>
  <si>
    <t>16.012.003</t>
  </si>
  <si>
    <t>16.012.003.001</t>
  </si>
  <si>
    <t>16.012.003.002</t>
  </si>
  <si>
    <t>16.012.003.003</t>
  </si>
  <si>
    <t>16.012.004</t>
  </si>
  <si>
    <t>16.012.004.001</t>
  </si>
  <si>
    <t>16.012.004.002</t>
  </si>
  <si>
    <t>16.012.005</t>
  </si>
  <si>
    <t>16.012.005.001</t>
  </si>
  <si>
    <t>16.012.006</t>
  </si>
  <si>
    <t>16.012.006.001</t>
  </si>
  <si>
    <t>16.012.006.002</t>
  </si>
  <si>
    <t>16.012.006.003</t>
  </si>
  <si>
    <t>16.012.007</t>
  </si>
  <si>
    <t>16.012.007.001</t>
  </si>
  <si>
    <t>16.012.007.002</t>
  </si>
  <si>
    <t>16.012.007.003</t>
  </si>
  <si>
    <t>16.012.007.004</t>
  </si>
  <si>
    <t>16.012.007.005</t>
  </si>
  <si>
    <t>16.013</t>
  </si>
  <si>
    <t>16.013.001</t>
  </si>
  <si>
    <t>16.013.001.001</t>
  </si>
  <si>
    <t>16.013.001.002</t>
  </si>
  <si>
    <t>16.013.002</t>
  </si>
  <si>
    <t>16.013.002.001</t>
  </si>
  <si>
    <t>16.013.003</t>
  </si>
  <si>
    <t>16.013.003.001</t>
  </si>
  <si>
    <t>16.013.003.002</t>
  </si>
  <si>
    <t>16.013.003.003</t>
  </si>
  <si>
    <t>16.013.004</t>
  </si>
  <si>
    <t>16.013.004.001</t>
  </si>
  <si>
    <t>16.013.004.002</t>
  </si>
  <si>
    <t>16.013.005</t>
  </si>
  <si>
    <t>16.013.005.001</t>
  </si>
  <si>
    <t>16.013.005.002</t>
  </si>
  <si>
    <t>16.013.006</t>
  </si>
  <si>
    <t>16.013.006.001</t>
  </si>
  <si>
    <t>16.013.006.002</t>
  </si>
  <si>
    <t>16.013.006.003</t>
  </si>
  <si>
    <t>16.013.006.004</t>
  </si>
  <si>
    <t>16.013.006.005</t>
  </si>
  <si>
    <t>16.013.006.006</t>
  </si>
  <si>
    <t>16.013.006.007</t>
  </si>
  <si>
    <t>16.014</t>
  </si>
  <si>
    <t>16.014.001</t>
  </si>
  <si>
    <t>16.014.001.001</t>
  </si>
  <si>
    <t>16.014.002</t>
  </si>
  <si>
    <t>16.014.002.001</t>
  </si>
  <si>
    <t>16.014.002.002</t>
  </si>
  <si>
    <t>16.014.003</t>
  </si>
  <si>
    <t>16.014.003.001</t>
  </si>
  <si>
    <t>16.014.003.002</t>
  </si>
  <si>
    <t>16.014.004</t>
  </si>
  <si>
    <t>16.014.004.001</t>
  </si>
  <si>
    <t>16.014.004.002</t>
  </si>
  <si>
    <t>16.014.004.003</t>
  </si>
  <si>
    <t>16.014.004.004</t>
  </si>
  <si>
    <t>16.015</t>
  </si>
  <si>
    <t>16.015.001</t>
  </si>
  <si>
    <t>16.015.001.001</t>
  </si>
  <si>
    <t>16.015.002</t>
  </si>
  <si>
    <t>16.015.002.001</t>
  </si>
  <si>
    <t>17</t>
  </si>
  <si>
    <t>17.001</t>
  </si>
  <si>
    <t>17.001.001</t>
  </si>
  <si>
    <t>17.001.001.001</t>
  </si>
  <si>
    <t>17.001.001.002</t>
  </si>
  <si>
    <t>17.001.001.003</t>
  </si>
  <si>
    <t>17.001.001.004</t>
  </si>
  <si>
    <t>17.001.001.005</t>
  </si>
  <si>
    <t>17.001.002</t>
  </si>
  <si>
    <t>17.001.002.001</t>
  </si>
  <si>
    <t>17.001.002.002</t>
  </si>
  <si>
    <t>17.001.002.003</t>
  </si>
  <si>
    <t>17.001.002.004</t>
  </si>
  <si>
    <t>17.001.002.005</t>
  </si>
  <si>
    <t>17.001.003</t>
  </si>
  <si>
    <t>17.001.003.001</t>
  </si>
  <si>
    <t>17.001.003.002</t>
  </si>
  <si>
    <t>17.001.003.003</t>
  </si>
  <si>
    <t>17.001.003.004</t>
  </si>
  <si>
    <t>17.001.003.005</t>
  </si>
  <si>
    <t>17.002</t>
  </si>
  <si>
    <t>17.002.001</t>
  </si>
  <si>
    <t>17.002.001.001</t>
  </si>
  <si>
    <t>17.002.002</t>
  </si>
  <si>
    <t>17.002.002.001</t>
  </si>
  <si>
    <t>17.002.002.002</t>
  </si>
  <si>
    <t>17.002.002.003</t>
  </si>
  <si>
    <t>17.002.002.004</t>
  </si>
  <si>
    <t>17.002.002.005</t>
  </si>
  <si>
    <t>17.002.002.006</t>
  </si>
  <si>
    <t>17.002.003</t>
  </si>
  <si>
    <t>17.002.003.001</t>
  </si>
  <si>
    <t>17.002.003.002</t>
  </si>
  <si>
    <t>17.002.003.003</t>
  </si>
  <si>
    <t>17.002.003.004</t>
  </si>
  <si>
    <t>17.002.003.005</t>
  </si>
  <si>
    <t>17.002.003.006</t>
  </si>
  <si>
    <t>17.002.003.007</t>
  </si>
  <si>
    <t>17.002.004</t>
  </si>
  <si>
    <t>17.002.004.001</t>
  </si>
  <si>
    <t>17.002.004.002</t>
  </si>
  <si>
    <t>17.002.004.003</t>
  </si>
  <si>
    <t>17.002.004.004</t>
  </si>
  <si>
    <t>17.002.004.005</t>
  </si>
  <si>
    <t>17.002.004.006</t>
  </si>
  <si>
    <t>17.002.004.007</t>
  </si>
  <si>
    <t>17.002.004.008</t>
  </si>
  <si>
    <t>17.003</t>
  </si>
  <si>
    <t>17.003.001</t>
  </si>
  <si>
    <t>17.003.001.001</t>
  </si>
  <si>
    <t>17.003.002</t>
  </si>
  <si>
    <t>17.003.002.001</t>
  </si>
  <si>
    <t>17.003.002.002</t>
  </si>
  <si>
    <t>17.003.002.003</t>
  </si>
  <si>
    <t>17.003.002.004</t>
  </si>
  <si>
    <t>17.003.002.005</t>
  </si>
  <si>
    <t>17.003.002.006</t>
  </si>
  <si>
    <t>17.003.003</t>
  </si>
  <si>
    <t>17.003.003.001</t>
  </si>
  <si>
    <t>17.003.003.002</t>
  </si>
  <si>
    <t>17.003.003.003</t>
  </si>
  <si>
    <t>17.003.003.004</t>
  </si>
  <si>
    <t>17.003.003.005</t>
  </si>
  <si>
    <t>17.003.004</t>
  </si>
  <si>
    <t>17.003.004.001</t>
  </si>
  <si>
    <t>17.003.004.002</t>
  </si>
  <si>
    <t>17.003.004.003</t>
  </si>
  <si>
    <t>17.003.004.004</t>
  </si>
  <si>
    <t>17.003.004.005</t>
  </si>
  <si>
    <t>17.003.004.006</t>
  </si>
  <si>
    <t>17.003.004.007</t>
  </si>
  <si>
    <t>17.004</t>
  </si>
  <si>
    <t>17.004.001</t>
  </si>
  <si>
    <t>17.004.001.001</t>
  </si>
  <si>
    <t>17.004.002</t>
  </si>
  <si>
    <t>17.004.002.001</t>
  </si>
  <si>
    <t>17.004.002.002</t>
  </si>
  <si>
    <t>17.004.002.003</t>
  </si>
  <si>
    <t>17.004.002.004</t>
  </si>
  <si>
    <t>17.004.002.005</t>
  </si>
  <si>
    <t>17.004.003</t>
  </si>
  <si>
    <t>17.004.003.001</t>
  </si>
  <si>
    <t>17.004.003.002</t>
  </si>
  <si>
    <t>17.004.003.003</t>
  </si>
  <si>
    <t>17.004.003.004</t>
  </si>
  <si>
    <t>17.004.003.005</t>
  </si>
  <si>
    <t>17.004.004</t>
  </si>
  <si>
    <t>17.004.004.001</t>
  </si>
  <si>
    <t>17.004.004.002</t>
  </si>
  <si>
    <t>17.004.004.003</t>
  </si>
  <si>
    <t>17.004.004.004</t>
  </si>
  <si>
    <t>17.004.004.005</t>
  </si>
  <si>
    <t>17.004.004.006</t>
  </si>
  <si>
    <t>17.004.004.007</t>
  </si>
  <si>
    <t>17.005</t>
  </si>
  <si>
    <t>17.005.001</t>
  </si>
  <si>
    <t>17.005.001.001</t>
  </si>
  <si>
    <t>17.005.002</t>
  </si>
  <si>
    <t>17.005.002.001</t>
  </si>
  <si>
    <t>17.005.002.002</t>
  </si>
  <si>
    <t>17.005.002.003</t>
  </si>
  <si>
    <t>17.005.002.004</t>
  </si>
  <si>
    <t>17.005.002.005</t>
  </si>
  <si>
    <t>17.005.003</t>
  </si>
  <si>
    <t>17.005.003.001</t>
  </si>
  <si>
    <t>17.005.003.002</t>
  </si>
  <si>
    <t>17.005.003.003</t>
  </si>
  <si>
    <t>17.005.003.004</t>
  </si>
  <si>
    <t>17.005.003.005</t>
  </si>
  <si>
    <t>17.005.004</t>
  </si>
  <si>
    <t>17.005.004.001</t>
  </si>
  <si>
    <t>17.005.004.002</t>
  </si>
  <si>
    <t>17.005.004.003</t>
  </si>
  <si>
    <t>17.005.004.004</t>
  </si>
  <si>
    <t>17.005.004.005</t>
  </si>
  <si>
    <t>17.005.004.006</t>
  </si>
  <si>
    <t>17.005.004.007</t>
  </si>
  <si>
    <t>17.006</t>
  </si>
  <si>
    <t>17.006.001</t>
  </si>
  <si>
    <t>17.006.001.001</t>
  </si>
  <si>
    <t>17.006.002</t>
  </si>
  <si>
    <t>17.006.002.001</t>
  </si>
  <si>
    <t>17.006.002.002</t>
  </si>
  <si>
    <t>17.006.002.003</t>
  </si>
  <si>
    <t>17.006.002.004</t>
  </si>
  <si>
    <t>17.006.002.005</t>
  </si>
  <si>
    <t>17.006.002.006</t>
  </si>
  <si>
    <t>17.006.003</t>
  </si>
  <si>
    <t>17.006.003.001</t>
  </si>
  <si>
    <t>17.006.003.002</t>
  </si>
  <si>
    <t>17.006.003.003</t>
  </si>
  <si>
    <t>17.006.003.004</t>
  </si>
  <si>
    <t>17.006.003.005</t>
  </si>
  <si>
    <t>17.006.004</t>
  </si>
  <si>
    <t>17.006.004.001</t>
  </si>
  <si>
    <t>17.006.004.002</t>
  </si>
  <si>
    <t>17.006.004.003</t>
  </si>
  <si>
    <t>17.006.004.004</t>
  </si>
  <si>
    <t>17.006.004.005</t>
  </si>
  <si>
    <t>17.006.004.006</t>
  </si>
  <si>
    <t>17.006.004.007</t>
  </si>
  <si>
    <t>17.007</t>
  </si>
  <si>
    <t>17.007.001</t>
  </si>
  <si>
    <t>17.007.001.001</t>
  </si>
  <si>
    <t>17.007.002</t>
  </si>
  <si>
    <t>17.007.002.001</t>
  </si>
  <si>
    <t>17.007.002.002</t>
  </si>
  <si>
    <t>17.007.002.003</t>
  </si>
  <si>
    <t>17.007.002.004</t>
  </si>
  <si>
    <t>17.007.002.005</t>
  </si>
  <si>
    <t>17.007.002.006</t>
  </si>
  <si>
    <t>17.007.002.007</t>
  </si>
  <si>
    <t>17.007.002.008</t>
  </si>
  <si>
    <t>17.007.003</t>
  </si>
  <si>
    <t>17.007.003.001</t>
  </si>
  <si>
    <t>17.007.003.002</t>
  </si>
  <si>
    <t>17.007.003.003</t>
  </si>
  <si>
    <t>17.007.003.004</t>
  </si>
  <si>
    <t>17.007.003.005</t>
  </si>
  <si>
    <t>17.007.003.006</t>
  </si>
  <si>
    <t>17.007.003.007</t>
  </si>
  <si>
    <t>17.007.004</t>
  </si>
  <si>
    <t>17.007.004.001</t>
  </si>
  <si>
    <t>17.007.004.002</t>
  </si>
  <si>
    <t>17.007.004.003</t>
  </si>
  <si>
    <t>17.007.004.004</t>
  </si>
  <si>
    <t>17.007.004.005</t>
  </si>
  <si>
    <t>17.007.004.006</t>
  </si>
  <si>
    <t>17.007.004.007</t>
  </si>
  <si>
    <t>17.007.004.008</t>
  </si>
  <si>
    <t>17.008</t>
  </si>
  <si>
    <t>17.008.001</t>
  </si>
  <si>
    <t>17.008.001.001</t>
  </si>
  <si>
    <t>17.008.001.002</t>
  </si>
  <si>
    <t>17.008.001.003</t>
  </si>
  <si>
    <t>17.008.001.004</t>
  </si>
  <si>
    <t>17.008.001.005</t>
  </si>
  <si>
    <t>17.008.001.006</t>
  </si>
  <si>
    <t>17.008.002</t>
  </si>
  <si>
    <t>17.008.002.001</t>
  </si>
  <si>
    <t>17.008.002.002</t>
  </si>
  <si>
    <t>17.008.002.003</t>
  </si>
  <si>
    <t>17.008.002.004</t>
  </si>
  <si>
    <t>17.008.002.005</t>
  </si>
  <si>
    <t>17.008.002.006</t>
  </si>
  <si>
    <t>17.008.003</t>
  </si>
  <si>
    <t>17.008.003.001</t>
  </si>
  <si>
    <t>17.008.003.002</t>
  </si>
  <si>
    <t>17.008.003.003</t>
  </si>
  <si>
    <t>17.008.003.004</t>
  </si>
  <si>
    <t>17.008.003.005</t>
  </si>
  <si>
    <t>17.008.003.006</t>
  </si>
  <si>
    <t>17.009</t>
  </si>
  <si>
    <t>17.009.001</t>
  </si>
  <si>
    <t>17.009.001.001</t>
  </si>
  <si>
    <t>17.009.001.002</t>
  </si>
  <si>
    <t>17.009.001.003</t>
  </si>
  <si>
    <t>17.009.001.004</t>
  </si>
  <si>
    <t>17.009.002</t>
  </si>
  <si>
    <t>17.009.002.001</t>
  </si>
  <si>
    <t>17.009.002.002</t>
  </si>
  <si>
    <t>17.009.002.003</t>
  </si>
  <si>
    <t>17.009.002.004</t>
  </si>
  <si>
    <t>17.009.003</t>
  </si>
  <si>
    <t>17.009.003.001</t>
  </si>
  <si>
    <t>17.009.003.002</t>
  </si>
  <si>
    <t>17.009.003.003</t>
  </si>
  <si>
    <t>17.009.003.004</t>
  </si>
  <si>
    <t>17.010</t>
  </si>
  <si>
    <t>17.010.001</t>
  </si>
  <si>
    <t>17.010.001.001</t>
  </si>
  <si>
    <t>17.010.001.002</t>
  </si>
  <si>
    <t>17.010.001.003</t>
  </si>
  <si>
    <t>17.010.001.004</t>
  </si>
  <si>
    <t>17.010.002</t>
  </si>
  <si>
    <t>17.010.002.001</t>
  </si>
  <si>
    <t>17.010.002.002</t>
  </si>
  <si>
    <t>17.010.002.003</t>
  </si>
  <si>
    <t>17.010.002.004</t>
  </si>
  <si>
    <t>17.010.003</t>
  </si>
  <si>
    <t>17.010.003.001</t>
  </si>
  <si>
    <t>17.010.003.002</t>
  </si>
  <si>
    <t>17.010.003.003</t>
  </si>
  <si>
    <t>17.010.003.004</t>
  </si>
  <si>
    <t>17.011</t>
  </si>
  <si>
    <t>17.011.001</t>
  </si>
  <si>
    <t>17.011.001.001</t>
  </si>
  <si>
    <t>17.011.001.002</t>
  </si>
  <si>
    <t>17.011.001.003</t>
  </si>
  <si>
    <t>17.011.001.004</t>
  </si>
  <si>
    <t>17.011.002</t>
  </si>
  <si>
    <t>17.011.002.001</t>
  </si>
  <si>
    <t>17.011.002.002</t>
  </si>
  <si>
    <t>17.011.002.003</t>
  </si>
  <si>
    <t>17.011.002.004</t>
  </si>
  <si>
    <t>17.011.003</t>
  </si>
  <si>
    <t>17.011.003.001</t>
  </si>
  <si>
    <t>17.011.003.002</t>
  </si>
  <si>
    <t>17.011.003.003</t>
  </si>
  <si>
    <t>17.011.003.004</t>
  </si>
  <si>
    <t>17.012</t>
  </si>
  <si>
    <t>17.012.001</t>
  </si>
  <si>
    <t>17.012.001.001</t>
  </si>
  <si>
    <t>17.012.001.002</t>
  </si>
  <si>
    <t>17.012.001.003</t>
  </si>
  <si>
    <t>17.012.001.004</t>
  </si>
  <si>
    <t>17.012.002</t>
  </si>
  <si>
    <t>17.012.002.001</t>
  </si>
  <si>
    <t>17.012.002.002</t>
  </si>
  <si>
    <t>17.012.002.003</t>
  </si>
  <si>
    <t>17.012.002.004</t>
  </si>
  <si>
    <t>17.012.003</t>
  </si>
  <si>
    <t>17.012.003.001</t>
  </si>
  <si>
    <t>17.012.003.002</t>
  </si>
  <si>
    <t>17.012.003.003</t>
  </si>
  <si>
    <t>17.012.003.004</t>
  </si>
  <si>
    <t>17.013</t>
  </si>
  <si>
    <t>17.013.001</t>
  </si>
  <si>
    <t>17.013.001.001</t>
  </si>
  <si>
    <t>17.013.001.002</t>
  </si>
  <si>
    <t>17.013.001.003</t>
  </si>
  <si>
    <t>17.013.001.004</t>
  </si>
  <si>
    <t>17.013.002</t>
  </si>
  <si>
    <t>17.013.002.001</t>
  </si>
  <si>
    <t>17.013.002.002</t>
  </si>
  <si>
    <t>17.013.002.003</t>
  </si>
  <si>
    <t>17.013.002.004</t>
  </si>
  <si>
    <t>17.013.003</t>
  </si>
  <si>
    <t>17.013.003.001</t>
  </si>
  <si>
    <t>17.013.003.002</t>
  </si>
  <si>
    <t>17.013.003.003</t>
  </si>
  <si>
    <t>17.013.003.004</t>
  </si>
  <si>
    <t>17.014</t>
  </si>
  <si>
    <t>17.014.001</t>
  </si>
  <si>
    <t>17.014.001.001</t>
  </si>
  <si>
    <t>17.014.001.002</t>
  </si>
  <si>
    <t>17.014.001.003</t>
  </si>
  <si>
    <t>17.014.001.004</t>
  </si>
  <si>
    <t>17.014.002</t>
  </si>
  <si>
    <t>17.014.002.001</t>
  </si>
  <si>
    <t>17.014.002.002</t>
  </si>
  <si>
    <t>17.014.002.003</t>
  </si>
  <si>
    <t>17.014.003</t>
  </si>
  <si>
    <t>17.014.003.001</t>
  </si>
  <si>
    <t>17.014.003.002</t>
  </si>
  <si>
    <t>17.014.003.003</t>
  </si>
  <si>
    <t>18</t>
  </si>
  <si>
    <t>18.001</t>
  </si>
  <si>
    <t>18.001.001</t>
  </si>
  <si>
    <t>18.001.001.001</t>
  </si>
  <si>
    <t>18.001.002</t>
  </si>
  <si>
    <t>18.001.002.001</t>
  </si>
  <si>
    <t>18.001.002.002</t>
  </si>
  <si>
    <t>18.001.002.003</t>
  </si>
  <si>
    <t>18.001.002.004</t>
  </si>
  <si>
    <t>18.001.002.005</t>
  </si>
  <si>
    <t>18.001.003</t>
  </si>
  <si>
    <t>18.001.003.001</t>
  </si>
  <si>
    <t>18.002</t>
  </si>
  <si>
    <t>18.002.001</t>
  </si>
  <si>
    <t>18.002.001.001</t>
  </si>
  <si>
    <t>18.002.002</t>
  </si>
  <si>
    <t>18.002.002.001</t>
  </si>
  <si>
    <t>18.002.002.002</t>
  </si>
  <si>
    <t>18.002.003</t>
  </si>
  <si>
    <t>18.002.003.001</t>
  </si>
  <si>
    <t>18.002.004</t>
  </si>
  <si>
    <t>18.002.004.001</t>
  </si>
  <si>
    <t>18.003</t>
  </si>
  <si>
    <t>18.003.001</t>
  </si>
  <si>
    <t>18.003.001.001</t>
  </si>
  <si>
    <t>18.003.002</t>
  </si>
  <si>
    <t>18.003.002.001</t>
  </si>
  <si>
    <t>18.003.003</t>
  </si>
  <si>
    <t>18.003.003.001</t>
  </si>
  <si>
    <t>18.003.004</t>
  </si>
  <si>
    <t>18.003.004.001</t>
  </si>
  <si>
    <t>18.004</t>
  </si>
  <si>
    <t>18.004.001</t>
  </si>
  <si>
    <t>18.004.001.001</t>
  </si>
  <si>
    <t>18.004.002</t>
  </si>
  <si>
    <t>18.004.002.001</t>
  </si>
  <si>
    <t>18.004.003</t>
  </si>
  <si>
    <t>18.004.003.001</t>
  </si>
  <si>
    <t>18.005</t>
  </si>
  <si>
    <t>18.005.001</t>
  </si>
  <si>
    <t>18.005.001.001</t>
  </si>
  <si>
    <t>18.005.002</t>
  </si>
  <si>
    <t>18.005.002.001</t>
  </si>
  <si>
    <t>18.005.003</t>
  </si>
  <si>
    <t>18.005.003.001</t>
  </si>
  <si>
    <t>18.006</t>
  </si>
  <si>
    <t>18.006.001</t>
  </si>
  <si>
    <t>18.006.001.001</t>
  </si>
  <si>
    <t>18.006.002</t>
  </si>
  <si>
    <t>18.006.002.001</t>
  </si>
  <si>
    <t>18.006.002.002</t>
  </si>
  <si>
    <t>18.006.003</t>
  </si>
  <si>
    <t>18.006.003.001</t>
  </si>
  <si>
    <t>18.007</t>
  </si>
  <si>
    <t>18.007.001</t>
  </si>
  <si>
    <t>18.007.001.001</t>
  </si>
  <si>
    <t>18.007.002</t>
  </si>
  <si>
    <t>18.007.002.001</t>
  </si>
  <si>
    <t>18.007.002.002</t>
  </si>
  <si>
    <t>18.007.003</t>
  </si>
  <si>
    <t>18.007.003.001</t>
  </si>
  <si>
    <t>18.007.004</t>
  </si>
  <si>
    <t>18.007.004.001</t>
  </si>
  <si>
    <t>18.008</t>
  </si>
  <si>
    <t>18.008.001</t>
  </si>
  <si>
    <t>18.008.001.001</t>
  </si>
  <si>
    <t>18.008.002</t>
  </si>
  <si>
    <t>18.008.002.001</t>
  </si>
  <si>
    <t>18.008.002.002</t>
  </si>
  <si>
    <t>18.008.003</t>
  </si>
  <si>
    <t>18.008.003.001</t>
  </si>
  <si>
    <t>18.009</t>
  </si>
  <si>
    <t>18.009.001</t>
  </si>
  <si>
    <t>18.009.001.001</t>
  </si>
  <si>
    <t>18.009.002</t>
  </si>
  <si>
    <t>18.009.002.001</t>
  </si>
  <si>
    <t>18.009.002.002</t>
  </si>
  <si>
    <t>18.009.002.003</t>
  </si>
  <si>
    <t>18.009.003</t>
  </si>
  <si>
    <t>18.009.003.001</t>
  </si>
  <si>
    <t>18.009.004</t>
  </si>
  <si>
    <t>18.009.004.001</t>
  </si>
  <si>
    <t>18.010</t>
  </si>
  <si>
    <t>18.010.001</t>
  </si>
  <si>
    <t>18.010.001.001</t>
  </si>
  <si>
    <t>18.010.002</t>
  </si>
  <si>
    <t>18.010.002.001</t>
  </si>
  <si>
    <t>18.010.002.002</t>
  </si>
  <si>
    <t>18.010.002.003</t>
  </si>
  <si>
    <t>18.010.003</t>
  </si>
  <si>
    <t>18.010.003.001</t>
  </si>
  <si>
    <t>18.010.004</t>
  </si>
  <si>
    <t>18.010.004.001</t>
  </si>
  <si>
    <t>18.011</t>
  </si>
  <si>
    <t>18.011.001</t>
  </si>
  <si>
    <t>18.011.001.001</t>
  </si>
  <si>
    <t>18.011.002</t>
  </si>
  <si>
    <t>18.011.002.001</t>
  </si>
  <si>
    <t>18.011.002.002</t>
  </si>
  <si>
    <t>18.011.002.003</t>
  </si>
  <si>
    <t>18.011.003</t>
  </si>
  <si>
    <t>18.011.003.001</t>
  </si>
  <si>
    <t>18.011.004</t>
  </si>
  <si>
    <t>18.011.004.001</t>
  </si>
  <si>
    <t>18.012</t>
  </si>
  <si>
    <t>18.012.001</t>
  </si>
  <si>
    <t>18.012.001.001</t>
  </si>
  <si>
    <t>18.012.002</t>
  </si>
  <si>
    <t>18.012.002.001</t>
  </si>
  <si>
    <t>18.012.002.002</t>
  </si>
  <si>
    <t>18.012.002.003</t>
  </si>
  <si>
    <t>18.012.003</t>
  </si>
  <si>
    <t>18.012.003.001</t>
  </si>
  <si>
    <t>18.012.004</t>
  </si>
  <si>
    <t>18.012.004.001</t>
  </si>
  <si>
    <t>18.013</t>
  </si>
  <si>
    <t>18.013.001</t>
  </si>
  <si>
    <t>18.013.001.001</t>
  </si>
  <si>
    <t>18.013.002</t>
  </si>
  <si>
    <t>18.013.002.001</t>
  </si>
  <si>
    <t>18.013.002.002</t>
  </si>
  <si>
    <t>18.013.002.003</t>
  </si>
  <si>
    <t>18.013.003</t>
  </si>
  <si>
    <t>18.013.003.001</t>
  </si>
  <si>
    <t>18.013.004</t>
  </si>
  <si>
    <t>18.013.004.001</t>
  </si>
  <si>
    <t>18.014</t>
  </si>
  <si>
    <t>18.014.001</t>
  </si>
  <si>
    <t>18.014.001.001</t>
  </si>
  <si>
    <t>18.014.002</t>
  </si>
  <si>
    <t>18.014.002.001</t>
  </si>
  <si>
    <t>18.014.002.002</t>
  </si>
  <si>
    <t>18.015</t>
  </si>
  <si>
    <t>18.015.001</t>
  </si>
  <si>
    <t>18.015.001.001</t>
  </si>
  <si>
    <t>18.015.001.002</t>
  </si>
  <si>
    <t>18.015.002</t>
  </si>
  <si>
    <t>18.015.002.001</t>
  </si>
  <si>
    <t>18.016</t>
  </si>
  <si>
    <t>18.016.001</t>
  </si>
  <si>
    <t>18.016.001.001</t>
  </si>
  <si>
    <t>18.016.001.002</t>
  </si>
  <si>
    <t>18.016.002</t>
  </si>
  <si>
    <t>18.016.002.001</t>
  </si>
  <si>
    <t>18.017</t>
  </si>
  <si>
    <t>18.017.001</t>
  </si>
  <si>
    <t>18.017.001.001</t>
  </si>
  <si>
    <t>18.017.001.002</t>
  </si>
  <si>
    <t>18.017.002</t>
  </si>
  <si>
    <t>18.017.002.001</t>
  </si>
  <si>
    <t>18.018</t>
  </si>
  <si>
    <t>18.018.001</t>
  </si>
  <si>
    <t>18.018.001.001</t>
  </si>
  <si>
    <t>18.018.001.002</t>
  </si>
  <si>
    <t>18.018.001.003</t>
  </si>
  <si>
    <t>18.018.002</t>
  </si>
  <si>
    <t>18.018.002.001</t>
  </si>
  <si>
    <t>18.018.003</t>
  </si>
  <si>
    <t>18.018.003.001</t>
  </si>
  <si>
    <t>18.019</t>
  </si>
  <si>
    <t>18.019.001</t>
  </si>
  <si>
    <t>18.019.001.001</t>
  </si>
  <si>
    <t>18.019.001.002</t>
  </si>
  <si>
    <t>18.019.001.003</t>
  </si>
  <si>
    <t>18.019.002</t>
  </si>
  <si>
    <t>18.019.002.001</t>
  </si>
  <si>
    <t>18.019.003</t>
  </si>
  <si>
    <t>18.019.003.001</t>
  </si>
  <si>
    <t>18.020</t>
  </si>
  <si>
    <t>18.020.001</t>
  </si>
  <si>
    <t>18.020.001.001</t>
  </si>
  <si>
    <t>18.020.001.002</t>
  </si>
  <si>
    <t>18.020.001.003</t>
  </si>
  <si>
    <t>18.020.002</t>
  </si>
  <si>
    <t>18.020.002.001</t>
  </si>
  <si>
    <t>18.020.003</t>
  </si>
  <si>
    <t>18.020.003.001</t>
  </si>
  <si>
    <t>18.021</t>
  </si>
  <si>
    <t>18.021.001</t>
  </si>
  <si>
    <t>18.021.001.001</t>
  </si>
  <si>
    <t>18.021.001.002</t>
  </si>
  <si>
    <t>18.021.001.003</t>
  </si>
  <si>
    <t>18.021.002</t>
  </si>
  <si>
    <t>18.021.002.001</t>
  </si>
  <si>
    <t>18.021.003</t>
  </si>
  <si>
    <t>18.021.003.001</t>
  </si>
  <si>
    <t>18.022</t>
  </si>
  <si>
    <t>18.022.001</t>
  </si>
  <si>
    <t>18.022.001.001</t>
  </si>
  <si>
    <t>18.022.001.002</t>
  </si>
  <si>
    <t>18.022.001.003</t>
  </si>
  <si>
    <t>18.022.002</t>
  </si>
  <si>
    <t>18.022.002.001</t>
  </si>
  <si>
    <t>18.023</t>
  </si>
  <si>
    <t>18.023.001</t>
  </si>
  <si>
    <t>18.023.001.001</t>
  </si>
  <si>
    <t>18.023.001.002</t>
  </si>
  <si>
    <t>18.023.002</t>
  </si>
  <si>
    <t>18.023.002.001</t>
  </si>
  <si>
    <t>18.023.002.002</t>
  </si>
  <si>
    <t>18.023.003</t>
  </si>
  <si>
    <t>18.023.003.001</t>
  </si>
  <si>
    <t>18.023.004</t>
  </si>
  <si>
    <t>18.023.004.001</t>
  </si>
  <si>
    <t>18.024</t>
  </si>
  <si>
    <t>18.024.001</t>
  </si>
  <si>
    <t>18.024.001.001</t>
  </si>
  <si>
    <t>18.024.001.002</t>
  </si>
  <si>
    <t>18.024.002</t>
  </si>
  <si>
    <t>18.024.002.001</t>
  </si>
  <si>
    <t>18.024.002.002</t>
  </si>
  <si>
    <t>18.024.003</t>
  </si>
  <si>
    <t>18.024.003.001</t>
  </si>
  <si>
    <t>18.025</t>
  </si>
  <si>
    <t>18.025.001</t>
  </si>
  <si>
    <t>18.025.001.001</t>
  </si>
  <si>
    <t>18.025.001.002</t>
  </si>
  <si>
    <t>18.025.002</t>
  </si>
  <si>
    <t>18.025.002.001</t>
  </si>
  <si>
    <t>18.025.002.002</t>
  </si>
  <si>
    <t>18.025.003</t>
  </si>
  <si>
    <t>18.025.003.001</t>
  </si>
  <si>
    <t>18.026</t>
  </si>
  <si>
    <t>18.026.001</t>
  </si>
  <si>
    <t>18.026.001.001</t>
  </si>
  <si>
    <t>18.026.001.002</t>
  </si>
  <si>
    <t>18.026.002</t>
  </si>
  <si>
    <t>18.026.002.001</t>
  </si>
  <si>
    <t>18.026.002.002</t>
  </si>
  <si>
    <t>18.026.003</t>
  </si>
  <si>
    <t>18.026.003.001</t>
  </si>
  <si>
    <t>18.027</t>
  </si>
  <si>
    <t>18.027.001</t>
  </si>
  <si>
    <t>18.027.001.001</t>
  </si>
  <si>
    <t>18.027.001.002</t>
  </si>
  <si>
    <t>18.027.002</t>
  </si>
  <si>
    <t>18.027.002.001</t>
  </si>
  <si>
    <t>18.027.002.002</t>
  </si>
  <si>
    <t>18.027.003</t>
  </si>
  <si>
    <t>18.027.003.001</t>
  </si>
  <si>
    <t>18.028</t>
  </si>
  <si>
    <t>18.028.001</t>
  </si>
  <si>
    <t>18.028.001.001</t>
  </si>
  <si>
    <t>18.028.001.002</t>
  </si>
  <si>
    <t>18.028.002</t>
  </si>
  <si>
    <t>18.028.002.001</t>
  </si>
  <si>
    <t>18.028.002.002</t>
  </si>
  <si>
    <t>18.028.003</t>
  </si>
  <si>
    <t>18.028.003.001</t>
  </si>
  <si>
    <t>18.029</t>
  </si>
  <si>
    <t>18.029.001</t>
  </si>
  <si>
    <t>18.029.001.001</t>
  </si>
  <si>
    <t>18.029.001.002</t>
  </si>
  <si>
    <t>18.029.002</t>
  </si>
  <si>
    <t>18.029.002.001</t>
  </si>
  <si>
    <t>18.029.002.002</t>
  </si>
  <si>
    <t>18.029.003</t>
  </si>
  <si>
    <t>18.029.003.001</t>
  </si>
  <si>
    <t>18.029.004</t>
  </si>
  <si>
    <t>18.029.004.001</t>
  </si>
  <si>
    <t>18.030</t>
  </si>
  <si>
    <t>18.030.001</t>
  </si>
  <si>
    <t>18.030.001.001</t>
  </si>
  <si>
    <t>18.030.001.002</t>
  </si>
  <si>
    <t>18.030.002</t>
  </si>
  <si>
    <t>18.030.002.001</t>
  </si>
  <si>
    <t>18.030.002.002</t>
  </si>
  <si>
    <t>18.030.003</t>
  </si>
  <si>
    <t>18.030.003.001</t>
  </si>
  <si>
    <t>18.030.004</t>
  </si>
  <si>
    <t>18.030.004.001</t>
  </si>
  <si>
    <t>18.031</t>
  </si>
  <si>
    <t>18.031.001</t>
  </si>
  <si>
    <t>18.031.001.001</t>
  </si>
  <si>
    <t>18.031.001.002</t>
  </si>
  <si>
    <t>18.031.002</t>
  </si>
  <si>
    <t>18.031.002.001</t>
  </si>
  <si>
    <t>18.031.002.002</t>
  </si>
  <si>
    <t>18.031.003</t>
  </si>
  <si>
    <t>18.031.003.001</t>
  </si>
  <si>
    <t>18.032</t>
  </si>
  <si>
    <t>18.032.001</t>
  </si>
  <si>
    <t>18.032.001.001</t>
  </si>
  <si>
    <t>18.032.001.002</t>
  </si>
  <si>
    <t>18.032.002</t>
  </si>
  <si>
    <t>18.032.002.001</t>
  </si>
  <si>
    <t>18.032.002.002</t>
  </si>
  <si>
    <t>18.032.003</t>
  </si>
  <si>
    <t>18.032.003.001</t>
  </si>
  <si>
    <t>18.033</t>
  </si>
  <si>
    <t>18.033.001</t>
  </si>
  <si>
    <t>18.033.001.001</t>
  </si>
  <si>
    <t>18.033.001.002</t>
  </si>
  <si>
    <t>18.033.002</t>
  </si>
  <si>
    <t>18.033.002.001</t>
  </si>
  <si>
    <t>18.033.002.002</t>
  </si>
  <si>
    <t>18.033.003</t>
  </si>
  <si>
    <t>18.033.003.001</t>
  </si>
  <si>
    <t>18.034</t>
  </si>
  <si>
    <t>18.034.001</t>
  </si>
  <si>
    <t>18.034.001.001</t>
  </si>
  <si>
    <t>18.034.001.002</t>
  </si>
  <si>
    <t>18.034.002</t>
  </si>
  <si>
    <t>18.034.002.001</t>
  </si>
  <si>
    <t>18.034.002.002</t>
  </si>
  <si>
    <t>18.034.003</t>
  </si>
  <si>
    <t>18.034.003.001</t>
  </si>
  <si>
    <t>18.035</t>
  </si>
  <si>
    <t>18.035.001</t>
  </si>
  <si>
    <t>18.035.001.001</t>
  </si>
  <si>
    <t>18.035.001.002</t>
  </si>
  <si>
    <t>18.035.002</t>
  </si>
  <si>
    <t>18.035.002.001</t>
  </si>
  <si>
    <t>18.035.002.002</t>
  </si>
  <si>
    <t>18.035.003</t>
  </si>
  <si>
    <t>18.035.003.001</t>
  </si>
  <si>
    <t>18.035.004</t>
  </si>
  <si>
    <t>18.035.004.001</t>
  </si>
  <si>
    <t>18.036</t>
  </si>
  <si>
    <t>18.036.001</t>
  </si>
  <si>
    <t>18.036.001.001</t>
  </si>
  <si>
    <t>18.036.001.002</t>
  </si>
  <si>
    <t>18.036.002</t>
  </si>
  <si>
    <t>18.036.002.001</t>
  </si>
  <si>
    <t>18.036.003</t>
  </si>
  <si>
    <t>18.036.003.001</t>
  </si>
  <si>
    <t>18.036.004</t>
  </si>
  <si>
    <t>18.036.004.001</t>
  </si>
  <si>
    <t>19</t>
  </si>
  <si>
    <t>19.001</t>
  </si>
  <si>
    <t>19.001.001</t>
  </si>
  <si>
    <t>19.001.001.001</t>
  </si>
  <si>
    <t>19.001.002</t>
  </si>
  <si>
    <t>19.001.002.001</t>
  </si>
  <si>
    <t>19.001.003</t>
  </si>
  <si>
    <t>19.001.003.001</t>
  </si>
  <si>
    <t>19.001.004</t>
  </si>
  <si>
    <t>19.001.004.001</t>
  </si>
  <si>
    <t>19.002</t>
  </si>
  <si>
    <t>19.002.001</t>
  </si>
  <si>
    <t>19.002.001.001</t>
  </si>
  <si>
    <t>19.002.002</t>
  </si>
  <si>
    <t>19.002.002.001</t>
  </si>
  <si>
    <t>19.003</t>
  </si>
  <si>
    <t>19.003.001</t>
  </si>
  <si>
    <t>19.003.001.001</t>
  </si>
  <si>
    <t>19.003.002</t>
  </si>
  <si>
    <t>19.003.002.001</t>
  </si>
  <si>
    <t>19.004</t>
  </si>
  <si>
    <t>19.004.001</t>
  </si>
  <si>
    <t>19.004.001.001</t>
  </si>
  <si>
    <t>19.004.002</t>
  </si>
  <si>
    <t>19.004.002.001</t>
  </si>
  <si>
    <t>19.005</t>
  </si>
  <si>
    <t>19.005.001</t>
  </si>
  <si>
    <t>19.005.001.001</t>
  </si>
  <si>
    <t>19.005.002</t>
  </si>
  <si>
    <t>19.005.002.001</t>
  </si>
  <si>
    <t>19.006</t>
  </si>
  <si>
    <t>19.006.001</t>
  </si>
  <si>
    <t>19.006.001.001</t>
  </si>
  <si>
    <t>19.006.002</t>
  </si>
  <si>
    <t>19.006.002.001</t>
  </si>
  <si>
    <t>19.007</t>
  </si>
  <si>
    <t>19.007.001</t>
  </si>
  <si>
    <t>19.007.001.001</t>
  </si>
  <si>
    <t>19.007.002</t>
  </si>
  <si>
    <t>19.007.002.001</t>
  </si>
  <si>
    <t>19.007.003</t>
  </si>
  <si>
    <t>19.007.003.001</t>
  </si>
  <si>
    <t>19.008</t>
  </si>
  <si>
    <t>19.008.001</t>
  </si>
  <si>
    <t>19.008.001.001</t>
  </si>
  <si>
    <t>19.008.002</t>
  </si>
  <si>
    <t>19.008.002.001</t>
  </si>
  <si>
    <t>19.008.003</t>
  </si>
  <si>
    <t>19.008.003.001</t>
  </si>
  <si>
    <t>19.008.004</t>
  </si>
  <si>
    <t>19.008.004.001</t>
  </si>
  <si>
    <t>19.009</t>
  </si>
  <si>
    <t>19.009.001</t>
  </si>
  <si>
    <t>19.009.001.001</t>
  </si>
  <si>
    <t>19.009.002</t>
  </si>
  <si>
    <t>19.009.002.001</t>
  </si>
  <si>
    <t>19.009.003</t>
  </si>
  <si>
    <t>19.009.003.001</t>
  </si>
  <si>
    <t>19.010</t>
  </si>
  <si>
    <t>19.010.001</t>
  </si>
  <si>
    <t>19.010.001.001</t>
  </si>
  <si>
    <t>19.010.002</t>
  </si>
  <si>
    <t>19.010.002.001</t>
  </si>
  <si>
    <t>19.010.003</t>
  </si>
  <si>
    <t>19.010.003.001</t>
  </si>
  <si>
    <t>19.011</t>
  </si>
  <si>
    <t>19.011.001</t>
  </si>
  <si>
    <t>19.011.001.001</t>
  </si>
  <si>
    <t>19.011.002</t>
  </si>
  <si>
    <t>19.011.002.001</t>
  </si>
  <si>
    <t>19.011.003</t>
  </si>
  <si>
    <t>19.011.003.001</t>
  </si>
  <si>
    <t>19.012</t>
  </si>
  <si>
    <t>19.012.001</t>
  </si>
  <si>
    <t>19.012.001.001</t>
  </si>
  <si>
    <t>19.012.002</t>
  </si>
  <si>
    <t>19.012.002.001</t>
  </si>
  <si>
    <t>19.012.003</t>
  </si>
  <si>
    <t>19.012.003.001</t>
  </si>
  <si>
    <t>19.013</t>
  </si>
  <si>
    <t>19.013.001</t>
  </si>
  <si>
    <t>19.013.001.001</t>
  </si>
  <si>
    <t>19.013.002</t>
  </si>
  <si>
    <t>19.013.002.001</t>
  </si>
  <si>
    <t>19.013.003</t>
  </si>
  <si>
    <t>19.013.003.001</t>
  </si>
  <si>
    <t>19.014</t>
  </si>
  <si>
    <t>19.014.001</t>
  </si>
  <si>
    <t>19.014.001.001</t>
  </si>
  <si>
    <t>19.014.002</t>
  </si>
  <si>
    <t>19.014.002.001</t>
  </si>
  <si>
    <t>20</t>
  </si>
  <si>
    <t>20.001</t>
  </si>
  <si>
    <t>20.001.001</t>
  </si>
  <si>
    <t>20.001.001.001</t>
  </si>
  <si>
    <t>21</t>
  </si>
  <si>
    <t>21.001</t>
  </si>
  <si>
    <t>21.001.001</t>
  </si>
  <si>
    <t>21.001.001.001</t>
  </si>
  <si>
    <t>21.001.001.002</t>
  </si>
  <si>
    <t>21.001.001.003</t>
  </si>
  <si>
    <t>21.001.002</t>
  </si>
  <si>
    <t>21.001.002.001</t>
  </si>
  <si>
    <t>21.001.002.002</t>
  </si>
  <si>
    <t>21.001.002.003</t>
  </si>
  <si>
    <t>21.001.003</t>
  </si>
  <si>
    <t>21.001.003.001</t>
  </si>
  <si>
    <t>21.001.003.002</t>
  </si>
  <si>
    <t>21.001.003.003</t>
  </si>
  <si>
    <t>21.001.003.004</t>
  </si>
  <si>
    <t>21.001.003.005</t>
  </si>
  <si>
    <t>21.001.003.006</t>
  </si>
  <si>
    <t>21.001.003.007</t>
  </si>
  <si>
    <t>21.001.003.008</t>
  </si>
  <si>
    <t>21.001.003.009</t>
  </si>
  <si>
    <t>21.001.003.010</t>
  </si>
  <si>
    <t>21.001.003.011</t>
  </si>
  <si>
    <t>21.001.003.012</t>
  </si>
  <si>
    <t>21.001.003.013</t>
  </si>
  <si>
    <t>21.001.004</t>
  </si>
  <si>
    <t>21.001.004.001</t>
  </si>
  <si>
    <t>21.001.004.002</t>
  </si>
  <si>
    <t>21.001.004.003</t>
  </si>
  <si>
    <t>21.001.004.004</t>
  </si>
  <si>
    <t>21.001.004.005</t>
  </si>
  <si>
    <t>21.001.004.006</t>
  </si>
  <si>
    <t>21.001.004.007</t>
  </si>
  <si>
    <t>21.002</t>
  </si>
  <si>
    <t>21.002.001</t>
  </si>
  <si>
    <t>21.002.001.001</t>
  </si>
  <si>
    <t>21.002.001.002</t>
  </si>
  <si>
    <t>21.002.001.003</t>
  </si>
  <si>
    <t>21.002.002</t>
  </si>
  <si>
    <t>21.002.002.001</t>
  </si>
  <si>
    <t>21.002.002.002</t>
  </si>
  <si>
    <t>21.002.002.003</t>
  </si>
  <si>
    <t>21.002.002.004</t>
  </si>
  <si>
    <t>21.002.002.005</t>
  </si>
  <si>
    <t>21.002.002.006</t>
  </si>
  <si>
    <t>21.002.002.007</t>
  </si>
  <si>
    <t>21.002.002.008</t>
  </si>
  <si>
    <t>21.002.003</t>
  </si>
  <si>
    <t>21.002.003.001</t>
  </si>
  <si>
    <t>21.002.003.002</t>
  </si>
  <si>
    <t>21.002.003.003</t>
  </si>
  <si>
    <t>21.002.003.004</t>
  </si>
  <si>
    <t>21.003</t>
  </si>
  <si>
    <t>21.003.001</t>
  </si>
  <si>
    <t>21.003.001.001</t>
  </si>
  <si>
    <t>21.003.001.002</t>
  </si>
  <si>
    <t>21.003.001.003</t>
  </si>
  <si>
    <t>21.003.002</t>
  </si>
  <si>
    <t>21.003.002.001</t>
  </si>
  <si>
    <t>21.003.003</t>
  </si>
  <si>
    <t>21.003.003.001</t>
  </si>
  <si>
    <t>21.003.003.002</t>
  </si>
  <si>
    <t>21.003.003.003</t>
  </si>
  <si>
    <t>21.003.003.004</t>
  </si>
  <si>
    <t>21.003.003.005</t>
  </si>
  <si>
    <t>21.003.003.006</t>
  </si>
  <si>
    <t>21.003.003.007</t>
  </si>
  <si>
    <t>21.003.003.008</t>
  </si>
  <si>
    <t>21.003.003.009</t>
  </si>
  <si>
    <t>21.003.004</t>
  </si>
  <si>
    <t>21.003.004.001</t>
  </si>
  <si>
    <t>21.003.004.002</t>
  </si>
  <si>
    <t>21.003.004.003</t>
  </si>
  <si>
    <t>21.003.004.004</t>
  </si>
  <si>
    <t>21.003.004.005</t>
  </si>
  <si>
    <t>21.004</t>
  </si>
  <si>
    <t>21.004.001</t>
  </si>
  <si>
    <t>21.004.001.001</t>
  </si>
  <si>
    <t>21.004.001.002</t>
  </si>
  <si>
    <t>21.004.001.003</t>
  </si>
  <si>
    <t>21.004.002</t>
  </si>
  <si>
    <t>21.004.002.001</t>
  </si>
  <si>
    <t>21.004.003</t>
  </si>
  <si>
    <t>21.004.003.001</t>
  </si>
  <si>
    <t>21.004.003.002</t>
  </si>
  <si>
    <t>21.004.003.003</t>
  </si>
  <si>
    <t>21.004.003.004</t>
  </si>
  <si>
    <t>21.004.003.005</t>
  </si>
  <si>
    <t>21.004.003.006</t>
  </si>
  <si>
    <t>21.004.003.007</t>
  </si>
  <si>
    <t>21.004.003.008</t>
  </si>
  <si>
    <t>21.004.003.009</t>
  </si>
  <si>
    <t>21.004.004</t>
  </si>
  <si>
    <t>21.004.004.001</t>
  </si>
  <si>
    <t>21.004.004.002</t>
  </si>
  <si>
    <t>21.004.004.003</t>
  </si>
  <si>
    <t>21.004.004.004</t>
  </si>
  <si>
    <t>21.004.004.005</t>
  </si>
  <si>
    <t>22</t>
  </si>
  <si>
    <t>22.001</t>
  </si>
  <si>
    <t>22.001.001</t>
  </si>
  <si>
    <t>22.001.001.001</t>
  </si>
  <si>
    <t>22.001.001.002</t>
  </si>
  <si>
    <t>22.001.002</t>
  </si>
  <si>
    <t>22.001.002.001</t>
  </si>
  <si>
    <t>22.001.003</t>
  </si>
  <si>
    <t>22.001.003.001</t>
  </si>
  <si>
    <t>22.002</t>
  </si>
  <si>
    <t>22.002.001</t>
  </si>
  <si>
    <t>22.002.001.001</t>
  </si>
  <si>
    <t>22.002.002</t>
  </si>
  <si>
    <t>22.002.002.001</t>
  </si>
  <si>
    <t>22.002.003</t>
  </si>
  <si>
    <t>22.002.003.001</t>
  </si>
  <si>
    <t>22.002.004</t>
  </si>
  <si>
    <t>22.002.004.001</t>
  </si>
  <si>
    <t>22.002.004.002</t>
  </si>
  <si>
    <t>22.002.004.003</t>
  </si>
  <si>
    <t>22.002.005</t>
  </si>
  <si>
    <t>22.002.005.001</t>
  </si>
  <si>
    <t>22.002.005.002</t>
  </si>
  <si>
    <t>23</t>
  </si>
  <si>
    <t>23.001</t>
  </si>
  <si>
    <t>23.001.001</t>
  </si>
  <si>
    <t>23.001.001.001</t>
  </si>
  <si>
    <t>02.002.005</t>
  </si>
  <si>
    <t>02.002.004</t>
  </si>
  <si>
    <t>02.002.003</t>
  </si>
  <si>
    <t>02.001.004</t>
  </si>
  <si>
    <t>01.001.004</t>
  </si>
  <si>
    <t>01.001.003</t>
  </si>
  <si>
    <t>01.001.002</t>
  </si>
  <si>
    <t>24.001.001</t>
  </si>
  <si>
    <t>23.002.004</t>
  </si>
  <si>
    <t>23.002.003</t>
  </si>
  <si>
    <t>23.002.002</t>
  </si>
  <si>
    <t>23.002.001</t>
  </si>
  <si>
    <t>23.001.004</t>
  </si>
  <si>
    <t>23.001.003</t>
  </si>
  <si>
    <t>23.001.002</t>
  </si>
  <si>
    <t>22.003.004</t>
  </si>
  <si>
    <t>22.003.003</t>
  </si>
  <si>
    <t>22.003.002</t>
  </si>
  <si>
    <t>22.003.001</t>
  </si>
  <si>
    <t>22.001.005</t>
  </si>
  <si>
    <t>22.001.004</t>
  </si>
  <si>
    <t>21.001.005</t>
  </si>
  <si>
    <t>20.003.004</t>
  </si>
  <si>
    <t>20.003.003</t>
  </si>
  <si>
    <t>20.003.002</t>
  </si>
  <si>
    <t>20.003.001</t>
  </si>
  <si>
    <t>20.002.004</t>
  </si>
  <si>
    <t>20.002.003</t>
  </si>
  <si>
    <t>20.002.002</t>
  </si>
  <si>
    <t>20.002.001</t>
  </si>
  <si>
    <t>20.001.004</t>
  </si>
  <si>
    <t>20.001.003</t>
  </si>
  <si>
    <t>20.001.002</t>
  </si>
  <si>
    <t>19.003.005</t>
  </si>
  <si>
    <t>19.003.004</t>
  </si>
  <si>
    <t>19.003.003</t>
  </si>
  <si>
    <t>19.002.005</t>
  </si>
  <si>
    <t>19.002.004</t>
  </si>
  <si>
    <t>19.002.003</t>
  </si>
  <si>
    <t>19.001.005</t>
  </si>
  <si>
    <t>18.003.005</t>
  </si>
  <si>
    <t>18.002.005</t>
  </si>
  <si>
    <t>18.001.005</t>
  </si>
  <si>
    <t>18.001.004</t>
  </si>
  <si>
    <t>17.003.007</t>
  </si>
  <si>
    <t>17.003.006</t>
  </si>
  <si>
    <t>17.003.005</t>
  </si>
  <si>
    <t>17.002.007</t>
  </si>
  <si>
    <t>17.002.006</t>
  </si>
  <si>
    <t>17.002.005</t>
  </si>
  <si>
    <t>17.001.007</t>
  </si>
  <si>
    <t>17.001.006</t>
  </si>
  <si>
    <t>17.001.005</t>
  </si>
  <si>
    <t>17.001.004</t>
  </si>
  <si>
    <t>13.003.004</t>
  </si>
  <si>
    <t>13.002.004</t>
  </si>
  <si>
    <t>12.003.004</t>
  </si>
  <si>
    <t>12.003.003</t>
  </si>
  <si>
    <t>12.003.002</t>
  </si>
  <si>
    <t>12.002.004</t>
  </si>
  <si>
    <t>12.002.003</t>
  </si>
  <si>
    <t>12.002.002</t>
  </si>
  <si>
    <t>12.001.004</t>
  </si>
  <si>
    <t>12.001.003</t>
  </si>
  <si>
    <t>10.002.001</t>
  </si>
  <si>
    <t>09.003.004</t>
  </si>
  <si>
    <t>09.003.003</t>
  </si>
  <si>
    <t>09.002.004</t>
  </si>
  <si>
    <t>09.002.003</t>
  </si>
  <si>
    <t>09.001.004</t>
  </si>
  <si>
    <t>07.003.006</t>
  </si>
  <si>
    <t>07.003.005</t>
  </si>
  <si>
    <t>07.002.006</t>
  </si>
  <si>
    <t>07.002.005</t>
  </si>
  <si>
    <t>07.001.006</t>
  </si>
  <si>
    <t>06.003.009</t>
  </si>
  <si>
    <t>06.003.008</t>
  </si>
  <si>
    <t>06.003.007</t>
  </si>
  <si>
    <t>06.002.009</t>
  </si>
  <si>
    <t>06.002.008</t>
  </si>
  <si>
    <t>06.002.007</t>
  </si>
  <si>
    <t>05.003.008</t>
  </si>
  <si>
    <t>05.003.007</t>
  </si>
  <si>
    <t>05.003.006</t>
  </si>
  <si>
    <t>05.002.008</t>
  </si>
  <si>
    <t>05.002.007</t>
  </si>
  <si>
    <t>05.002.006</t>
  </si>
  <si>
    <t>05.001.008</t>
  </si>
  <si>
    <t>05.001.007</t>
  </si>
  <si>
    <t>05.001.006</t>
  </si>
  <si>
    <t>04.001.011</t>
  </si>
  <si>
    <t>04.001.010</t>
  </si>
  <si>
    <t>04.001.009</t>
  </si>
  <si>
    <t>04.001.008</t>
  </si>
  <si>
    <t>04.001.007</t>
  </si>
  <si>
    <t>04.001.006</t>
  </si>
  <si>
    <t>04.001.005</t>
  </si>
  <si>
    <t>04.001.004</t>
  </si>
  <si>
    <t>04.001.003</t>
  </si>
  <si>
    <t>04.001.002</t>
  </si>
  <si>
    <t>03.003.005</t>
  </si>
  <si>
    <t>03.002.005</t>
  </si>
  <si>
    <t>03.001.005</t>
  </si>
  <si>
    <t>02.003.005</t>
  </si>
  <si>
    <t>02.003.004</t>
  </si>
  <si>
    <t>02.001.005</t>
  </si>
  <si>
    <t>01.003.004</t>
  </si>
  <si>
    <t>01.003.003</t>
  </si>
  <si>
    <t>01.003.002</t>
  </si>
  <si>
    <t>01.002.005</t>
  </si>
  <si>
    <t>01.002.004</t>
  </si>
  <si>
    <t>01.002.003</t>
  </si>
  <si>
    <t>01.001.005</t>
  </si>
  <si>
    <t>15.001.007</t>
  </si>
  <si>
    <t>15.001.006</t>
  </si>
  <si>
    <t>15.001.005</t>
  </si>
  <si>
    <t>10.001.004</t>
  </si>
  <si>
    <t>05.001.009</t>
  </si>
  <si>
    <t>03.001.011</t>
  </si>
  <si>
    <t>03.001.010</t>
  </si>
  <si>
    <t>03.001.009</t>
  </si>
  <si>
    <t>03.001.008</t>
  </si>
  <si>
    <t>03.001.007</t>
  </si>
  <si>
    <t>03.001.006</t>
  </si>
  <si>
    <t>Caixa 4x2 - Câmera CFTV</t>
  </si>
  <si>
    <t>PONTOS DE USO</t>
  </si>
  <si>
    <t>Condutor Cordplast</t>
  </si>
  <si>
    <t>CONDUTORES TELECOM</t>
  </si>
  <si>
    <t>Condutor CFTV</t>
  </si>
  <si>
    <t>Bucha terminal simples - Alumínio padrão</t>
  </si>
  <si>
    <t>CONECTORES E BUCHAS</t>
  </si>
  <si>
    <t>Conector box e arruela - Alumínio padrão</t>
  </si>
  <si>
    <t>Cotovelo para eletroduto flexível PVC amarelo</t>
  </si>
  <si>
    <t>COTOVELOS</t>
  </si>
  <si>
    <t>Cx de passagem de embutir com dimensão de 40x40x15cm</t>
  </si>
  <si>
    <t>Cx de passagem de embutir com dimensão de 20x20x12cm</t>
  </si>
  <si>
    <t>PVC Flexível Antichama - NBR 15465 ø1.1/4"</t>
  </si>
  <si>
    <t>Caixa 4x2 - Interfone</t>
  </si>
  <si>
    <t>Condutor CCI</t>
  </si>
  <si>
    <t>Cx de passagem de embutir com dimensão de 40x120x15cm</t>
  </si>
  <si>
    <t>PVC Flexível Antichama - NBR 15465 ø3"</t>
  </si>
  <si>
    <t>Caixa 4x2 - Controle de Acesso</t>
  </si>
  <si>
    <t>Cx de passagem de embutir com dimensão de 40x40x12cm</t>
  </si>
  <si>
    <t>Cx de passagem de embutir com dimensão de 60x40x12cm</t>
  </si>
  <si>
    <t>Cx de passagem de embutir com dimensão de 60x120x20cm</t>
  </si>
  <si>
    <t>Cx de passagem de embutir com dimensão de 60x120x15cm</t>
  </si>
  <si>
    <t>Caixa 4x4 - Dados/Telefone (RJ45/RJ11)</t>
  </si>
  <si>
    <t>Condutor UTP</t>
  </si>
  <si>
    <t>Cx de passagem de embutir com dimensão de 80x120x20cm</t>
  </si>
  <si>
    <t>Cx de passagem de embutir com dimensão de 60x60x12cm</t>
  </si>
  <si>
    <t>⚠️ Condensadoras Split: ~39/pav total (19 T.A + 20 T.B). Conferir com projeto de climatização.</t>
  </si>
  <si>
    <t>⚠️ Metais derivados calculam automaticamente a partir das louças. Validar com memorial descritivo.</t>
  </si>
  <si>
    <t>⚠️ "Família2" no IFC = Bacia Sanitária c/ Caixa Acoplada. Tipo = qtde por pavimento (x24).</t>
  </si>
  <si>
    <t>⚠️ Separação T.A / T.B por coordenada X no IFC (midpoint). Torres simétricas — diferenças menores são posicionamento de mobília.</t>
  </si>
  <si>
    <t>TOTAL GERAL</t>
  </si>
  <si>
    <t>Subtotal Ar Condicionado</t>
  </si>
  <si>
    <t>Subtotal Pontos Especiais</t>
  </si>
  <si>
    <t>Subtotal Metais Para Acabamentos</t>
  </si>
  <si>
    <t>Subtotal Louças E Aparelhos Sanitários</t>
  </si>
  <si>
    <t>Split (Condensadora)</t>
  </si>
  <si>
    <t>AR CONDICIONADO (Condensadoras)</t>
  </si>
  <si>
    <t>Ponto Máq. Secar</t>
  </si>
  <si>
    <t>Ponto Máq. Lavar</t>
  </si>
  <si>
    <t>PONTOS ESPECIAIS (ref.)</t>
  </si>
  <si>
    <t>Válvula Escoa. Tanque</t>
  </si>
  <si>
    <t>Válvula Escoa. Pia</t>
  </si>
  <si>
    <t>Válvula Escoa. Lavatório</t>
  </si>
  <si>
    <t>Paraf. Niq. Fix. Bacia (x4)</t>
  </si>
  <si>
    <t>Engate Flex. Inox 1/2"x40mm</t>
  </si>
  <si>
    <t>Anel Vedação 100mm (Bacia)</t>
  </si>
  <si>
    <t>Sifão Ajustável Multiuso</t>
  </si>
  <si>
    <t>Acab. Registro Pressão</t>
  </si>
  <si>
    <t>Torneira Lavatório Mesa</t>
  </si>
  <si>
    <t>Torneira Mist. Pia Cozinha</t>
  </si>
  <si>
    <t>Barra de Apoio PNE</t>
  </si>
  <si>
    <t>Aquecedor a Gás</t>
  </si>
  <si>
    <t>Chuveiro Quadrado</t>
  </si>
  <si>
    <t>METAIS PARA ACABAMENTOS</t>
  </si>
  <si>
    <t>Churrasqueira a Gás</t>
  </si>
  <si>
    <t>Churrasqueira (Espeto)</t>
  </si>
  <si>
    <t>Tanque Simples</t>
  </si>
  <si>
    <t>Cuba Dupla Inox Cozinha</t>
  </si>
  <si>
    <t>Cuba Inox Cozinha (Lazer/Comum)</t>
  </si>
  <si>
    <t>Cuba Inox Cozinha (Apartamento)</t>
  </si>
  <si>
    <t>Cuba Redonda (Lavabo)</t>
  </si>
  <si>
    <t>Cuba de Sobrepor PNE</t>
  </si>
  <si>
    <t>Cuba Semi-Encaixe c/ Bancada (BWC)</t>
  </si>
  <si>
    <t>Cuba Sobrepor Quadrada (Banheiro)</t>
  </si>
  <si>
    <t>Bacia Sanitária PNE</t>
  </si>
  <si>
    <t>Bacia Sanitária c/ Caixa Acoplada</t>
  </si>
  <si>
    <t>LOUÇAS E APARELHOS SANITÁRIOS</t>
  </si>
  <si>
    <t>Multiplicador →</t>
  </si>
  <si>
    <t>T.B</t>
  </si>
  <si>
    <t>T.A</t>
  </si>
  <si>
    <t>#</t>
  </si>
  <si>
    <t>SUBTOTAIS</t>
  </si>
  <si>
    <t>R00 — Extração IFC 24/mar/2026</t>
  </si>
  <si>
    <t>IFC Arquitetura R07/R08 — Separação por coordenada X (midpoint)</t>
  </si>
  <si>
    <t>Fonte:</t>
  </si>
  <si>
    <t>Electra Towers — Thozen (2 Torres: T.A + T.B)</t>
  </si>
  <si>
    <t>LEVANTAMENTO DE LOUÇAS E METAIS — TORRE A &amp; TORRE B</t>
  </si>
  <si>
    <t>• Referência: Projeto Thozen Electra — 2 torres, 34 pavimentos (Térreo+5G+Lazer+24Tipo+3Técnicos)</t>
  </si>
  <si>
    <t>• PCI Hidromecânico: reservatório e bombas não identificados nos IFCs — estimativa</t>
  </si>
  <si>
    <t>• SPDA, Ventilação e Exaustão: quantitativos baseados em briefings R00 (premissas NBR)</t>
  </si>
  <si>
    <t>• Elevadores: cotação de mercado necessária (valores variam muito por fabricante)</t>
  </si>
  <si>
    <t>• Valores de Ar-Condicionado são estimativas paramétricas — DWG ainda não processado</t>
  </si>
  <si>
    <t>⚠️ OBSERVAÇÕES:</t>
  </si>
  <si>
    <t>TOTAL GERAL — EQUIPAMENTOS ESPECIAIS COMPLEMENTARES</t>
  </si>
  <si>
    <t>Mão de obra + comissionamento</t>
  </si>
  <si>
    <t>Cabeamento de controle + infraestrutura</t>
  </si>
  <si>
    <t>Integração com PCI + bombas + ventilação</t>
  </si>
  <si>
    <t>Protocolo Modbus/BACnet</t>
  </si>
  <si>
    <t>Integração com elevadores</t>
  </si>
  <si>
    <t>cj</t>
  </si>
  <si>
    <t>Sensores diversos (temperatura, nível, pressão)</t>
  </si>
  <si>
    <t>Licença + parametrização</t>
  </si>
  <si>
    <t>Software de supervisão (SCADA)</t>
  </si>
  <si>
    <t>Sensores + atuadores</t>
  </si>
  <si>
    <t>Módulos de campo (I/O)</t>
  </si>
  <si>
    <t>Integração de subsistemas</t>
  </si>
  <si>
    <t>Controladora central BMS</t>
  </si>
  <si>
    <t>AUTOMAÇÃO PREDIAL (BMS)</t>
  </si>
  <si>
    <t>Cabeamento e infraestrutura</t>
  </si>
  <si>
    <t>1 por torre — 24Vdc</t>
  </si>
  <si>
    <t>Central de iluminação de emergência</t>
  </si>
  <si>
    <t>Placas fotoluminescentes com bateria</t>
  </si>
  <si>
    <t>Bloco autônomo de sinalização</t>
  </si>
  <si>
    <t>Garagens e áreas técnicas</t>
  </si>
  <si>
    <t>Luminária de emergência LED autônoma 60W</t>
  </si>
  <si>
    <t>Rotas de fuga — NBR 10898</t>
  </si>
  <si>
    <t>Luminária de emergência LED autônoma 30W</t>
  </si>
  <si>
    <t>Cabeamento CAT6 + infraestrutura</t>
  </si>
  <si>
    <t>Rack + patch panel + organizadores</t>
  </si>
  <si>
    <t>Monitor de monitoramento 32"</t>
  </si>
  <si>
    <t>Switch PoE 24 portas</t>
  </si>
  <si>
    <t>Com HDs 8TB + redundância</t>
  </si>
  <si>
    <t>NVR 64 canais</t>
  </si>
  <si>
    <t>Perímetro externo</t>
  </si>
  <si>
    <t>Câmera IP bullet 4MP</t>
  </si>
  <si>
    <t>Garagens, halls, lazer, acessos</t>
  </si>
  <si>
    <t>Câmera IP dome 2MP</t>
  </si>
  <si>
    <t>CFTV / CÂMERAS DE SEGURANÇA</t>
  </si>
  <si>
    <t>CAT6 + eletrodutos</t>
  </si>
  <si>
    <t>Para sistema IP</t>
  </si>
  <si>
    <t>Servidor/switch de rede</t>
  </si>
  <si>
    <t>Portas de acesso</t>
  </si>
  <si>
    <t>Fechadura eletromagnética</t>
  </si>
  <si>
    <t>IP com visão noturna</t>
  </si>
  <si>
    <t>Câmera de entrada/hall</t>
  </si>
  <si>
    <t>24 aptos × 2 torres × 2 (estimativa)</t>
  </si>
  <si>
    <t>Monitor interno apartamento (vídeo porteiro)</t>
  </si>
  <si>
    <t>Com monitor touch 10"</t>
  </si>
  <si>
    <t>Central de portaria IP</t>
  </si>
  <si>
    <t>INTERFONE / VÍDEO PORTEIRO</t>
  </si>
  <si>
    <t>Instalação + testes + comissionamento</t>
  </si>
  <si>
    <t>Força + comando + sinal</t>
  </si>
  <si>
    <t>Cabos e eletrodutos</t>
  </si>
  <si>
    <t>16 I/O, Modbus, touch-screen</t>
  </si>
  <si>
    <t>CLP + IHM + automação</t>
  </si>
  <si>
    <t>Quadro de comando IP65 + soft-starters</t>
  </si>
  <si>
    <t>0-100 Pa, 4-20mA</t>
  </si>
  <si>
    <t>Sensor de pressão diferencial</t>
  </si>
  <si>
    <t>Alumínio anodizado</t>
  </si>
  <si>
    <t>Grelhas/difusores reguláveis</t>
  </si>
  <si>
    <t>Com revestimento alumínio</t>
  </si>
  <si>
    <t>Isolamento térmico lã de vidro 50mm</t>
  </si>
  <si>
    <t>Chapa #20</t>
  </si>
  <si>
    <t>Duto de derivação 400x300mm</t>
  </si>
  <si>
    <t>Com isolamento térmico</t>
  </si>
  <si>
    <t>Duto vertical Ø600mm chapa #18 galvanizado</t>
  </si>
  <si>
    <t>24Vdc, modulante</t>
  </si>
  <si>
    <t>Damper motorizado Ø600mm</t>
  </si>
  <si>
    <t>Termomagnético, fusível 72°C</t>
  </si>
  <si>
    <t>Damper corta-fogo 90min Ø600mm</t>
  </si>
  <si>
    <t>Conforme NBR 14880:2024</t>
  </si>
  <si>
    <t>Ventilador centrífugo 10.000 m³/h, 7,5 CV</t>
  </si>
  <si>
    <t>VENTILAÇÃO MECÂNICA (ESCADAS PRESSURIZADAS)</t>
  </si>
  <si>
    <t>Instalação completa + vácuo + carga</t>
  </si>
  <si>
    <t>Suportes, acessórios e fixações</t>
  </si>
  <si>
    <t>Alimentação dos equipamentos</t>
  </si>
  <si>
    <t>Cabos e eletrodutos associados</t>
  </si>
  <si>
    <t>DN20/DN25 com caimento</t>
  </si>
  <si>
    <t>Linha de dreno</t>
  </si>
  <si>
    <t>Diversos diâmetros — 1/4" a 3/4"</t>
  </si>
  <si>
    <t>Tubulação frigorífica (cobre isolado)</t>
  </si>
  <si>
    <t>Tipos e potências conforme projeto</t>
  </si>
  <si>
    <t>Evaporadoras (cassete/hi-wall/duto)</t>
  </si>
  <si>
    <t>Sistema VRF para áreas comuns + tipo — valores estimados, aguardando DWG</t>
  </si>
  <si>
    <t>Condensadoras VRF (sistema multi-split)</t>
  </si>
  <si>
    <t>AR-CONDICIONADO / CLIMATIZAÇÃO</t>
  </si>
  <si>
    <t>Alumínio regulável</t>
  </si>
  <si>
    <t>Grelha de ventilação (ar compensação)</t>
  </si>
  <si>
    <t>Conforme PPCI</t>
  </si>
  <si>
    <t>Damper corta-fogo</t>
  </si>
  <si>
    <t>Curvas e conexões</t>
  </si>
  <si>
    <t>Chapa #24, horizontal</t>
  </si>
  <si>
    <t>Duto retangular 400x300mm</t>
  </si>
  <si>
    <t>Chapa #24, vertical</t>
  </si>
  <si>
    <t>Duto circular galvanizado Ø300mm</t>
  </si>
  <si>
    <t>1,20 x 0,80m, com filtro de gordura</t>
  </si>
  <si>
    <t>Coifa em aço inox AISI 304</t>
  </si>
  <si>
    <t>Motor trifásico 3 CV</t>
  </si>
  <si>
    <t>Exaustor centrífugo 3.000 m³/h</t>
  </si>
  <si>
    <t>EXAUSTÃO DE CHURRASQUEIRAS</t>
  </si>
  <si>
    <t>Soldas exotérmicas</t>
  </si>
  <si>
    <t>Braçadeiras de fixação</t>
  </si>
  <si>
    <t>Conectores de bronze</t>
  </si>
  <si>
    <t>Concreto com tampa</t>
  </si>
  <si>
    <t>Caixa de inspeção de aterramento</t>
  </si>
  <si>
    <t>Hastes de aterramento copperweld 5/8" x 2,4m</t>
  </si>
  <si>
    <t>Cabo de cobre nu 25mm² (equipotencialização)</t>
  </si>
  <si>
    <t>Cabo de cobre nu 35mm² (anéis intermediários)</t>
  </si>
  <si>
    <t>Conforme NBR 5419</t>
  </si>
  <si>
    <t>Cabo de cobre nu 50mm² (descidas + anéis)</t>
  </si>
  <si>
    <t>Aço inox, base isolada</t>
  </si>
  <si>
    <t>Captor tipo Franklin</t>
  </si>
  <si>
    <t>SPDA (PARA-RAIOS)</t>
  </si>
  <si>
    <t>Aço galvanizado SCH40</t>
  </si>
  <si>
    <t>Tubulação sucção/recalque casa de bombas</t>
  </si>
  <si>
    <t>Com sinalização remota e supervisão</t>
  </si>
  <si>
    <t>Quadro de comando PCI</t>
  </si>
  <si>
    <t>Fibra ou concreto — volume conforme NBR</t>
  </si>
  <si>
    <t>Reservatório de incêndio (RTI) — 60 m³</t>
  </si>
  <si>
    <t>Acionamento automático por pressostato</t>
  </si>
  <si>
    <t>Conjunto moto-bomba PCI reserva (jockey)</t>
  </si>
  <si>
    <t>Bomba centrífuga conforme NBR 13714</t>
  </si>
  <si>
    <t>Conjunto moto-bomba PCI principal 25 CV</t>
  </si>
  <si>
    <t>PCI — EQUIPAMENTOS HIDROMECÂNICOS</t>
  </si>
  <si>
    <t>Aço galvanizado + conexões</t>
  </si>
  <si>
    <t>Tubulação de recalque e sucção</t>
  </si>
  <si>
    <t>Sistema booster para pavimentos superiores</t>
  </si>
  <si>
    <t>Pressurizador booster</t>
  </si>
  <si>
    <t>Painéis de automação</t>
  </si>
  <si>
    <t>Quadro de comando com soft-starter</t>
  </si>
  <si>
    <t>Sistema de pressurização por zonas</t>
  </si>
  <si>
    <t>Conjunto moto-bomba centrífuga 5 CV (pressurização)</t>
  </si>
  <si>
    <t>Bomba principal + reserva</t>
  </si>
  <si>
    <t>Conjunto moto-bomba centrífuga 15 CV (recalque)</t>
  </si>
  <si>
    <t>BOMBAS DE RECALQUE E PRESSURIZAÇÃO</t>
  </si>
  <si>
    <t>Instalação elétrica + mecânica + comissionamento</t>
  </si>
  <si>
    <t>Base antivibratória</t>
  </si>
  <si>
    <t>Inclui silenciador e isolamento</t>
  </si>
  <si>
    <t>Escapamento e atenuador acústico</t>
  </si>
  <si>
    <t>Com bacia de contenção</t>
  </si>
  <si>
    <t>Tanque de combustível 1000L</t>
  </si>
  <si>
    <t>Com inversão automática</t>
  </si>
  <si>
    <t>Quadro de transferência automática (QTA)</t>
  </si>
  <si>
    <t>Motor diesel + alternador + QTA</t>
  </si>
  <si>
    <t>Grupo gerador diesel 500 kVA</t>
  </si>
  <si>
    <t>GRUPO GERADOR DE EMERGÊNCIA</t>
  </si>
  <si>
    <t>Instalação e comissionamento completo</t>
  </si>
  <si>
    <t>Capacidade 1000 kg, velocidade 1,5 m/s</t>
  </si>
  <si>
    <t>Elevador de serviço/carga — 34 paradas</t>
  </si>
  <si>
    <t>Capacidade 6 passageiros, velocidade 1,75 m/s</t>
  </si>
  <si>
    <t>Elevador social sem casa de máquinas — 8 paradas (tipo a 31°)</t>
  </si>
  <si>
    <t>Capacidade 8 passageiros, velocidade 2,0 m/s</t>
  </si>
  <si>
    <t>Elevador social com casa de máquinas — 8 paradas (tipo a 31°)</t>
  </si>
  <si>
    <t>R00 — Itens Complementares</t>
  </si>
  <si>
    <t>EQUIPAMENTOS ESPECIAIS — COMPLEMENTAR</t>
  </si>
  <si>
    <t>Cartesian Engenharia</t>
  </si>
  <si>
    <t>Thozen Electra Towers</t>
  </si>
  <si>
    <t>Interruptor 3 Teclas — DXF</t>
  </si>
  <si>
    <t>INTERRUPTORES</t>
  </si>
  <si>
    <t>INST. ELETRICAS</t>
  </si>
  <si>
    <t>Tomada (Genérica) — DXF</t>
  </si>
  <si>
    <t>TOMADAS</t>
  </si>
  <si>
    <t>Luminária (DXF) — DXF</t>
  </si>
  <si>
    <t>LUMINARIAS</t>
  </si>
  <si>
    <t>Quadro de Medição — DXF</t>
  </si>
  <si>
    <t>QUADROS</t>
  </si>
  <si>
    <t>Tomada Ar-Condicionado — DXF</t>
  </si>
  <si>
    <t>Arandela — DXF</t>
  </si>
  <si>
    <t>Interruptor 2 Teclas — DXF</t>
  </si>
  <si>
    <t>Quadro de Comando — DXF</t>
  </si>
  <si>
    <t>Quadro Distribuição — DXF</t>
  </si>
  <si>
    <t>Tomada Chuveiro — DXF</t>
  </si>
  <si>
    <t>Interruptor Paralelo — DXF</t>
  </si>
  <si>
    <t>Interruptor 1 Tecla — DXF</t>
  </si>
  <si>
    <t>Tomada 20A (TUE) — DXF</t>
  </si>
  <si>
    <t>Tomada 10A (TUG) — DXF</t>
  </si>
  <si>
    <t>trecho</t>
  </si>
  <si>
    <t>Eletroduto Aco galvanizado 3" (75mm) — Entrada — IFC</t>
  </si>
  <si>
    <t>Eletroduto PVC Rigido 2" (50mm) — Alimentacao geral — IFC</t>
  </si>
  <si>
    <t>Eletroduto PVC Espiralado 1 1/2" (40mm) — Prumadas — IFC</t>
  </si>
  <si>
    <t>Eletroduto PVC Espiralado 1 1/4" (32mm) — Alimentadores — IFC</t>
  </si>
  <si>
    <t>Eletroduto PVC Corrugado 1" (25mm) — Forca — IFC</t>
  </si>
  <si>
    <t>Eletroduto PVC Corrugado 3/4" (20mm) — Iluminacao — IFC</t>
  </si>
  <si>
    <t>pt</t>
  </si>
  <si>
    <t>Ponto de iluminacao (luminaria LED) — IFC</t>
  </si>
  <si>
    <t>PAVIMENTO TIPO (x24)</t>
  </si>
  <si>
    <t>Mao de obra inst. eletricas (estimada ~41%)</t>
  </si>
  <si>
    <t>Sensor — DXF</t>
  </si>
  <si>
    <t>Eletroduto Aco galvanizado 4" (100mm) — Infraestrutura — IFC</t>
  </si>
  <si>
    <t>Telemedição — DXF</t>
  </si>
  <si>
    <t>DISPOSITIVOS</t>
  </si>
  <si>
    <t>Demais materiais entrada</t>
  </si>
  <si>
    <t>Eletroduto aco galv 50mm</t>
  </si>
  <si>
    <t>Eletroduto aco galv 100mm</t>
  </si>
  <si>
    <t>Cabos EPR 70mm2 alimentadores</t>
  </si>
  <si>
    <t>Cabos EPR 120mm2 alimentadores</t>
  </si>
  <si>
    <t>Cabos EPR 185mm2 alimentadores</t>
  </si>
  <si>
    <t>Quadro medicao coletiva 2 med</t>
  </si>
  <si>
    <t>Quadro medicao coletiva 4 med</t>
  </si>
  <si>
    <t>Quadro medicao coletiva 6 med</t>
  </si>
  <si>
    <t>Conexoes e derivacoes</t>
  </si>
  <si>
    <t>Barramento blindado aluminio (~150m)</t>
  </si>
  <si>
    <t>Tanque combustivel + infraestrutura</t>
  </si>
  <si>
    <t>QTA quadro transferencia automatica</t>
  </si>
  <si>
    <t>Grupo gerador diesel ~500kVA (estimado)</t>
  </si>
  <si>
    <t>Demais componentes subestacao</t>
  </si>
  <si>
    <t>SUBESTACAO</t>
  </si>
  <si>
    <t>Vergalhao de cobre 3/8"</t>
  </si>
  <si>
    <t>Cabos EPR 15kV 35mm2 (4 vias)</t>
  </si>
  <si>
    <t>Conjunto TP media tensao 13.800/115V</t>
  </si>
  <si>
    <t>Conjunto TC media tensao 250/5A</t>
  </si>
  <si>
    <t>Mufla unipolar contratil 15kV</t>
  </si>
  <si>
    <t>Chave seccionadora tripolar 400A 15kV</t>
  </si>
  <si>
    <t>Religador trifasico 15kV padrao CELESC</t>
  </si>
  <si>
    <t>Transformador trifasico seco 300kVA 13.800/380-220V</t>
  </si>
  <si>
    <t>Transformador trifasico seco 500kVA 13.800/380-220V</t>
  </si>
  <si>
    <t>COMPARTILHADO (T.A + T.B)</t>
  </si>
  <si>
    <t>R00 — IFC + DXF, separado T.A / T.B — 25/mar/2026</t>
  </si>
  <si>
    <t>CTN-TZN_ELT-ELE-R00</t>
  </si>
  <si>
    <t>União PVC Soldável</t>
  </si>
  <si>
    <t>CONEXÕES</t>
  </si>
  <si>
    <t>INST. HIDROSSANITÁRIAS</t>
  </si>
  <si>
    <t>Registro de Esfera Metálico</t>
  </si>
  <si>
    <t>Luva LR PVC Soldável</t>
  </si>
  <si>
    <t>Joelho c/ Bucha Latão PVC Soldável</t>
  </si>
  <si>
    <t>Joelho PVC Soldável</t>
  </si>
  <si>
    <t>Joelho CPVC FlowGuard</t>
  </si>
  <si>
    <t>Joelho 90° CPVC FlowGuard</t>
  </si>
  <si>
    <t>Joelho 45° CPVC FlowGuard</t>
  </si>
  <si>
    <t>Hidrômetro</t>
  </si>
  <si>
    <t>Curva PVC Soldável</t>
  </si>
  <si>
    <t>Bucha de Redução PVC</t>
  </si>
  <si>
    <t>Adaptador Curto PVC Soldável</t>
  </si>
  <si>
    <t>Tubo CPVC FlowGuard DN38 (15mm)</t>
  </si>
  <si>
    <t>Tubo CPVC FlowGuard DN71 (28mm)</t>
  </si>
  <si>
    <t>Tubo CPVC FlowGuard DN55 (22mm)</t>
  </si>
  <si>
    <t>Tubo PVC Soldável DN152 (60mm)</t>
  </si>
  <si>
    <t>Tubo PVC Soldável DN127 (50mm)</t>
  </si>
  <si>
    <t>Tubo PVC Soldável DN81 (32mm)</t>
  </si>
  <si>
    <t>Tubo PVC Soldável DN63 (25mm)</t>
  </si>
  <si>
    <t>Flange cobre p/ limpeza</t>
  </si>
  <si>
    <t>Tubo PVC Soldável DN190 (75mm) — extravasor</t>
  </si>
  <si>
    <t>Filtro tipo T 2"</t>
  </si>
  <si>
    <t>Válvula ventosa combinada DN50</t>
  </si>
  <si>
    <t>Válvula retenção horiz. 1.1/2"</t>
  </si>
  <si>
    <t>Pressurizador Schneider VFD BC-92 (2CV)</t>
  </si>
  <si>
    <t>Válvula</t>
  </si>
  <si>
    <t>Joelho PPR</t>
  </si>
  <si>
    <t>Tubo PPR PN25 DN228 (90mm) — pressurização</t>
  </si>
  <si>
    <t>Tubo PVC Soldável DN101 (40mm)</t>
  </si>
  <si>
    <t>Torneira bóia 1/2"</t>
  </si>
  <si>
    <t>Reservatório polietileno 7.500L A'Melo</t>
  </si>
  <si>
    <t>Tubo PPR PN25 DN228 (90mm) — prumada recalque</t>
  </si>
  <si>
    <t>Hidrômetro multijato 3/4"</t>
  </si>
  <si>
    <t>Válvula esfera DN75 (3")</t>
  </si>
  <si>
    <t>Tê PVC Soldável</t>
  </si>
  <si>
    <t>Tê PPR</t>
  </si>
  <si>
    <t>Flange p/ Limpeza</t>
  </si>
  <si>
    <t>Adaptador PPR</t>
  </si>
  <si>
    <t>Tubo PVC Soldável DN190 (75mm) — entrada geral</t>
  </si>
  <si>
    <t>R00 — IFC H00 + DWG, separado Emb/T.A/T.B — 25/mar/2026</t>
  </si>
  <si>
    <t>CTN-TZN_HID-R00</t>
  </si>
  <si>
    <t>6. Itens de PCI Elétrico (iluminação de emergência, alarme, sinalização PEE) extraídos dos DXFs PEE rev.01</t>
  </si>
  <si>
    <t>5. Embasamento (Térreo a Lazer) = soma dos quantitativos T.A + T.B — UC compartilhada</t>
  </si>
  <si>
    <t>4. Quantitativos de hidrantes, extintores e placas extraídos dos IFCs PCI rev.01</t>
  </si>
  <si>
    <t>3. Bombas e reservatórios NÃO identificados nos IFCs — dados estimados conforme template Elizabeth II</t>
  </si>
  <si>
    <t>2. Material real do Electra é ferro galvanizado vermelho — PUs do template (cobre) usados como referência</t>
  </si>
  <si>
    <t>1. Metragem de tubulação ESTIMADA com base na Elizabeth II (proporcionalmente) — a extração do IFC resultou em apenas 67,26m (subestimada)</t>
  </si>
  <si>
    <t>SUBTOTAL GERAL</t>
  </si>
  <si>
    <t>Subtotal CASA DE BOMBAS</t>
  </si>
  <si>
    <t>CASA DE BOMBAS</t>
  </si>
  <si>
    <t>SUBTOTAL TORRE B</t>
  </si>
  <si>
    <t>Subtotal PAVIMENTOS TÉCNICOS</t>
  </si>
  <si>
    <t>Subtotal CASA DE MÁQUINAS</t>
  </si>
  <si>
    <t>Luminária de emergência autônoma LED</t>
  </si>
  <si>
    <t>Sistema de Alarme e Detecção de Incêndio</t>
  </si>
  <si>
    <t>Placa de sinalização de emergência fotoluminescente (rota de fuga)</t>
  </si>
  <si>
    <t>Placa Fotoluminescente E5 - Extintor de Incêndio</t>
  </si>
  <si>
    <t>Extintor CO2 6kg (5-B:C)</t>
  </si>
  <si>
    <t>Subtotal PAVIMENTO TIPO</t>
  </si>
  <si>
    <t>Sirene/Campainha de alarme de incêndio</t>
  </si>
  <si>
    <t>SUBTOTAL TORRE A</t>
  </si>
  <si>
    <t>Acionador manual de alarme</t>
  </si>
  <si>
    <t>SUBTOTAL EMBASAMENTO</t>
  </si>
  <si>
    <t>Subtotal LAZER</t>
  </si>
  <si>
    <t>Subtotal GARAGEM 05</t>
  </si>
  <si>
    <t>Detector de fumaça fotoelétrico</t>
  </si>
  <si>
    <t>Subtotal GARAGEM 04</t>
  </si>
  <si>
    <t>Subtotal GARAGEM 03</t>
  </si>
  <si>
    <t>Subtotal GARAGEM 02</t>
  </si>
  <si>
    <t>Subtotal GARAGEM 01</t>
  </si>
  <si>
    <t>Subtotal TÉRREO</t>
  </si>
  <si>
    <t>UC</t>
  </si>
  <si>
    <t>R03 - Jarvis 25/03/2026</t>
  </si>
  <si>
    <t>CTN-TZN_PCI_EX_000_QTD_R03</t>
  </si>
  <si>
    <t>Recebido</t>
  </si>
  <si>
    <t>Não Solicitado</t>
  </si>
  <si>
    <t>Torre B</t>
  </si>
  <si>
    <t>Torre A</t>
  </si>
  <si>
    <t>CTN-TZN_ELT-TEL-R02</t>
  </si>
  <si>
    <t>8. Torre A: 63 bicos, 333.9m tubo | Torre B: 64 bicos, 338.6m tubo</t>
  </si>
  <si>
    <t>7. Skid Hydrosystem (central de bombas) = 1 por torre, conforme modelado nos IFCs</t>
  </si>
  <si>
    <t>6. Perda padrão: 5% para conexões/bicos, 10% para tubulação, 0% para válvulas e equipamentos</t>
  </si>
  <si>
    <t>5. Embasamento (Térreo a Lazer) = soma dos quantitativos Torre A + Torre B por pavimento</t>
  </si>
  <si>
    <t>4. Pavimento Tipo = média dos 24 pavimentos tipo modelados no IFC × Repetição 24</t>
  </si>
  <si>
    <t>3. Comprimento de tubulação extraído das propriedades "Tabela de tubos" (Diâmetro e Comprimento) do IFC</t>
  </si>
  <si>
    <t>2. Toda tubulação é DN 2.1/2" (65mm) ferro galvanizado vermelho BSP — único diâmetro presente nos IFCs</t>
  </si>
  <si>
    <t>1. Quantitativos de sprinklers (bicos, tubulação, conexões, válvulas) extraídos dos IFCs PCI rev.01 (Torre A e Torre B)</t>
  </si>
  <si>
    <t>Central de bombas (Skid Hydrosystem) - 2 torres</t>
  </si>
  <si>
    <t>Sistema de Chuveiros Automáticos (SPK)</t>
  </si>
  <si>
    <t>Central de bombas (Skid Hydrosystem)</t>
  </si>
  <si>
    <t>Válvula de retenção roscar DN 2.1/2"</t>
  </si>
  <si>
    <t>Luva de redução ferro galvanizado BSP DN 2.1/2"</t>
  </si>
  <si>
    <t>Tê de redução ferro galvanizado BSP DN 2.1/2"</t>
  </si>
  <si>
    <t>Cotovelo ferro galvanizado BSP DN 2.1/2"</t>
  </si>
  <si>
    <t>Tubo ferro galvanizado vermelho BSP DN 2.1/2" (65mm)</t>
  </si>
  <si>
    <t>Bico sprinkler pendente DN 2.1/2" (65mm)</t>
  </si>
  <si>
    <t>SPRINKLERS - CHUVEIROS AUTOMÁTICOS</t>
  </si>
  <si>
    <t>R00 - Jarvis 30/03/2026</t>
  </si>
  <si>
    <t>CTN-TZN_SPK_EX_000_QTD_R00</t>
  </si>
  <si>
    <t>Contrapiso comum em argamassa estabilizada, auto nivelado, espessura 2cm</t>
  </si>
  <si>
    <t>Contrapiso comum em argamassa estabilizada, auto nivelado, espessura 2,5cm</t>
  </si>
  <si>
    <t>Contrapiso comum em argamassa estabilizada, auto nivelado, espessura 3cm</t>
  </si>
  <si>
    <t>Contrapiso comum em argamassa estabilizada, auto nivelado, espessura 8cm</t>
  </si>
  <si>
    <t>01.001.001.002</t>
  </si>
  <si>
    <t>01.001.001.003</t>
  </si>
  <si>
    <t>01.001.001.004</t>
  </si>
  <si>
    <t>01.001.001.005</t>
  </si>
  <si>
    <t>01.001.001.006</t>
  </si>
  <si>
    <t>01.001.001.007</t>
  </si>
  <si>
    <t>01.001.001.008</t>
  </si>
  <si>
    <t>01.001.001.009</t>
  </si>
  <si>
    <t>01.001.002.001</t>
  </si>
  <si>
    <t>01.001.002.002</t>
  </si>
  <si>
    <t>01.001.002.003</t>
  </si>
  <si>
    <t>01.001.002.004</t>
  </si>
  <si>
    <t>01.001.002.005</t>
  </si>
  <si>
    <t>01.001.002.006</t>
  </si>
  <si>
    <t>01.001.002.007</t>
  </si>
  <si>
    <t>01.001.002.008</t>
  </si>
  <si>
    <t>01.001.002.009</t>
  </si>
  <si>
    <t>01.001.002.010</t>
  </si>
  <si>
    <t>01.001.002.011</t>
  </si>
  <si>
    <t>01.001.002.012</t>
  </si>
  <si>
    <t>01.001.002.013</t>
  </si>
  <si>
    <t>01.001.002.014</t>
  </si>
  <si>
    <t>01.001.002.015</t>
  </si>
  <si>
    <t>01.001.002.016</t>
  </si>
  <si>
    <t>01.001.002.017</t>
  </si>
  <si>
    <t>01.001.002.018</t>
  </si>
  <si>
    <t>01.001.002.019</t>
  </si>
  <si>
    <t>01.001.002.020</t>
  </si>
  <si>
    <t>01.001.003.001</t>
  </si>
  <si>
    <t>01.001.003.002</t>
  </si>
  <si>
    <t>01.001.003.003</t>
  </si>
  <si>
    <t>01.001.003.004</t>
  </si>
  <si>
    <t>01.001.004.001</t>
  </si>
  <si>
    <t>01.001.004.002</t>
  </si>
  <si>
    <t>01.001.004.003</t>
  </si>
  <si>
    <t>01.001.004.004</t>
  </si>
  <si>
    <t>01.001.004.005</t>
  </si>
  <si>
    <t>01.001.004.006</t>
  </si>
  <si>
    <t>01.001.004.007</t>
  </si>
  <si>
    <t>01.001.004.008</t>
  </si>
  <si>
    <t>01.001.004.009</t>
  </si>
  <si>
    <t>01.001.004.010</t>
  </si>
  <si>
    <t>01.002.001.003</t>
  </si>
  <si>
    <t>01.002.001.004</t>
  </si>
  <si>
    <t>01.002.001.005</t>
  </si>
  <si>
    <t>01.002.001.006</t>
  </si>
  <si>
    <t>01.002.001.007</t>
  </si>
  <si>
    <t>01.002.001.008</t>
  </si>
  <si>
    <t>01.002.001.009</t>
  </si>
  <si>
    <t>01.002.001.010</t>
  </si>
  <si>
    <t>01.002.001.011</t>
  </si>
  <si>
    <t>01.002.001.012</t>
  </si>
  <si>
    <t>01.002.001.013</t>
  </si>
  <si>
    <t>01.002.001.014</t>
  </si>
  <si>
    <t>01.002.001.015</t>
  </si>
  <si>
    <t>01.002.001.016</t>
  </si>
  <si>
    <t>01.002.002.002</t>
  </si>
  <si>
    <t>01.002.002.003</t>
  </si>
  <si>
    <t>01.002.002.004</t>
  </si>
  <si>
    <t>02.001.001.002</t>
  </si>
  <si>
    <t>02.001.001.003</t>
  </si>
  <si>
    <t>02.001.002.003</t>
  </si>
  <si>
    <t>02.001.002.004</t>
  </si>
  <si>
    <t>02.001.002.005</t>
  </si>
  <si>
    <t>02.001.002.006</t>
  </si>
  <si>
    <t>02.001.002.007</t>
  </si>
  <si>
    <t>02.001.002.008</t>
  </si>
  <si>
    <t>02.001.002.009</t>
  </si>
  <si>
    <t>02.001.002.010</t>
  </si>
  <si>
    <t>02.001.002.011</t>
  </si>
  <si>
    <t>02.001.003.002</t>
  </si>
  <si>
    <t>02.001.003.003</t>
  </si>
  <si>
    <t>02.001.004.001</t>
  </si>
  <si>
    <t>02.001.004.002</t>
  </si>
  <si>
    <t>02.001.004.003</t>
  </si>
  <si>
    <t>02.002.001.005</t>
  </si>
  <si>
    <t>02.002.001.006</t>
  </si>
  <si>
    <t>02.002.002.002</t>
  </si>
  <si>
    <t>02.002.002.003</t>
  </si>
  <si>
    <t>02.002.002.004</t>
  </si>
  <si>
    <t>02.002.002.005</t>
  </si>
  <si>
    <t>02.002.002.006</t>
  </si>
  <si>
    <t>02.002.002.007</t>
  </si>
  <si>
    <t>02.002.002.008</t>
  </si>
  <si>
    <t>02.002.002.009</t>
  </si>
  <si>
    <t>02.002.002.010</t>
  </si>
  <si>
    <t>02.002.002.011</t>
  </si>
  <si>
    <t>02.002.002.012</t>
  </si>
  <si>
    <t>02.002.002.013</t>
  </si>
  <si>
    <t>02.002.002.014</t>
  </si>
  <si>
    <t>02.002.002.015</t>
  </si>
  <si>
    <t>02.002.002.016</t>
  </si>
  <si>
    <t>02.002.002.017</t>
  </si>
  <si>
    <t>02.002.002.018</t>
  </si>
  <si>
    <t>02.002.003.001</t>
  </si>
  <si>
    <t>02.002.003.002</t>
  </si>
  <si>
    <t>02.002.003.003</t>
  </si>
  <si>
    <t>02.002.003.004</t>
  </si>
  <si>
    <t>02.002.004.001</t>
  </si>
  <si>
    <t>02.002.004.002</t>
  </si>
  <si>
    <t>02.002.004.003</t>
  </si>
  <si>
    <t>02.002.004.004</t>
  </si>
  <si>
    <t>02.002.004.005</t>
  </si>
  <si>
    <t>02.002.004.006</t>
  </si>
  <si>
    <t>02.002.004.007</t>
  </si>
  <si>
    <t>02.002.004.008</t>
  </si>
  <si>
    <t>02.002.004.009</t>
  </si>
  <si>
    <t>03.001.001.003</t>
  </si>
  <si>
    <t>03.001.001.004</t>
  </si>
  <si>
    <t>03.001.001.005</t>
  </si>
  <si>
    <t>03.001.001.006</t>
  </si>
  <si>
    <t>03.001.001.007</t>
  </si>
  <si>
    <t>03.001.001.008</t>
  </si>
  <si>
    <t>03.001.002.003</t>
  </si>
  <si>
    <t>03.001.002.004</t>
  </si>
  <si>
    <t>03.001.002.005</t>
  </si>
  <si>
    <t>03.001.002.006</t>
  </si>
  <si>
    <t>03.001.002.007</t>
  </si>
  <si>
    <t>03.001.002.008</t>
  </si>
  <si>
    <t>03.001.003.002</t>
  </si>
  <si>
    <t>03.001.003.003</t>
  </si>
  <si>
    <t>03.001.003.004</t>
  </si>
  <si>
    <t>03.001.003.005</t>
  </si>
  <si>
    <t>03.001.003.006</t>
  </si>
  <si>
    <t>03.001.003.007</t>
  </si>
  <si>
    <t>03.001.003.008</t>
  </si>
  <si>
    <t>03.001.003.009</t>
  </si>
  <si>
    <t>03.001.003.010</t>
  </si>
  <si>
    <t>Mão de obra movimentação de terra</t>
  </si>
  <si>
    <t>Pendente</t>
  </si>
  <si>
    <t>REVESTIMENTOS ARGAMASSADOS E ACABAMENTO INTERNOS EM TETO  - EMBASAMENTO</t>
  </si>
  <si>
    <t>REVESTIMENTOS ARGAMASSADOS E ACABAMENTO INTERNOS EM TETO  - TORRE A</t>
  </si>
  <si>
    <t>REVESTIMENTOS ARGAMASSADOS E ACABAMENTO INTERNOS EM TETO  - TORRE B</t>
  </si>
  <si>
    <t>ESQUADRIAS DE ALUMÍNIO, VIDROS E FERRAGENS</t>
  </si>
  <si>
    <t>20.001.005</t>
  </si>
  <si>
    <t>20.002.005</t>
  </si>
  <si>
    <t>20.003.005</t>
  </si>
  <si>
    <t>23.001.005</t>
  </si>
  <si>
    <t>24.001.002</t>
  </si>
  <si>
    <t>24.001.003</t>
  </si>
  <si>
    <t>24.001.004</t>
  </si>
  <si>
    <t>24.001.005</t>
  </si>
  <si>
    <t>24.002.001</t>
  </si>
  <si>
    <t>24.002.002</t>
  </si>
  <si>
    <t>24.002.003</t>
  </si>
  <si>
    <t>24.002.004</t>
  </si>
  <si>
    <t>24.002.005</t>
  </si>
  <si>
    <t>24.003.001</t>
  </si>
  <si>
    <t>24.003.002</t>
  </si>
  <si>
    <t>24.003.003</t>
  </si>
  <si>
    <t>24.003.004</t>
  </si>
  <si>
    <t>24.003.005</t>
  </si>
  <si>
    <t>25.001.001</t>
  </si>
  <si>
    <t>25.001.002</t>
  </si>
  <si>
    <t>25.001.003</t>
  </si>
  <si>
    <t>25.001.004</t>
  </si>
  <si>
    <t>25.002.001</t>
  </si>
  <si>
    <t>25.002.002</t>
  </si>
  <si>
    <t>25.002.003</t>
  </si>
  <si>
    <t>25.002.004</t>
  </si>
  <si>
    <t>26.001.001</t>
  </si>
  <si>
    <t>1.001</t>
  </si>
  <si>
    <t>1.002</t>
  </si>
  <si>
    <t>2.001</t>
  </si>
  <si>
    <t>2.002</t>
  </si>
  <si>
    <t>2.003</t>
  </si>
  <si>
    <t>3.001</t>
  </si>
  <si>
    <t>1.003</t>
  </si>
  <si>
    <t>3.002</t>
  </si>
  <si>
    <t>3.003</t>
  </si>
  <si>
    <t>4.001</t>
  </si>
  <si>
    <t>4.002</t>
  </si>
  <si>
    <t>4.003</t>
  </si>
  <si>
    <t>5.001</t>
  </si>
  <si>
    <t>5.002</t>
  </si>
  <si>
    <t>5.003</t>
  </si>
  <si>
    <t>6.001</t>
  </si>
  <si>
    <t>6.002</t>
  </si>
  <si>
    <t>6.003</t>
  </si>
  <si>
    <t>7.001</t>
  </si>
  <si>
    <t>7.002</t>
  </si>
  <si>
    <t>7.003</t>
  </si>
  <si>
    <t>8.001</t>
  </si>
  <si>
    <t>8.002</t>
  </si>
  <si>
    <t>8.003</t>
  </si>
  <si>
    <t>9.001</t>
  </si>
  <si>
    <t>9.002</t>
  </si>
  <si>
    <t>9.003</t>
  </si>
  <si>
    <t>9.004</t>
  </si>
  <si>
    <t>10.002</t>
  </si>
  <si>
    <t>20.002</t>
  </si>
  <si>
    <t>20.003</t>
  </si>
  <si>
    <t>22.003</t>
  </si>
  <si>
    <t>24.001</t>
  </si>
  <si>
    <t>24.002</t>
  </si>
  <si>
    <t>24.003</t>
  </si>
  <si>
    <t>25.001</t>
  </si>
  <si>
    <t>25.002</t>
  </si>
  <si>
    <t>26.001</t>
  </si>
  <si>
    <t>SUPRAESTRUTURA - EMBASAMENTO</t>
  </si>
  <si>
    <t>PAREDES E PAINÉIS - EMBASAMENTO</t>
  </si>
  <si>
    <t>IMPERMEABILIZAÇÃO E TRATAMENTOS - EMBASAMENTO</t>
  </si>
  <si>
    <t>SISTEMAS E INSTALAÇÕES HIDROSSANITÁRIAS E DRENAGEM - EMBASAMENTO</t>
  </si>
  <si>
    <t>SISTEMAS E INSTALAÇÕES ELÉTRICAS  - EMBASAMENTO</t>
  </si>
  <si>
    <t>INSTALAÇÕES PREVENTIVAS  - EMBASAMENTO</t>
  </si>
  <si>
    <t>INSTALAÇÕES DE GÁS  - EMBASAMENTO</t>
  </si>
  <si>
    <t>INSTALAÇÕES DE COMUNICAÇÕES  - EMBASAMENTO</t>
  </si>
  <si>
    <t>CLIMATIZAÇÃO, EXAUSTÃO MECÂNICA E PRESSURIZAÇÃO  - EMBASAMENTO</t>
  </si>
  <si>
    <t>REVESTIMENTOS ARGAMASSADOS INTERNOS DE PAREDE  - EMBASAMENTO</t>
  </si>
  <si>
    <t>ACABAMENTOS INTERNOS DE PAREDE  - EMBASAMENTO</t>
  </si>
  <si>
    <t>ACABAMENTOS INTERNOS EM TETO  - EMBASAMENTO</t>
  </si>
  <si>
    <t>REVESTIMENTOS ARGAMASSADOS EM PISO E PAVIMENTAÇÕES  - EMBASAMENTO</t>
  </si>
  <si>
    <t>ACABAMENTOS EM PISO E PAVIMENTAÇÕES  - EMBASAMENTO</t>
  </si>
  <si>
    <t>PINTURA INTERNA  - EMBASAMENTO</t>
  </si>
  <si>
    <t>ESQUADRIAS DE ALUMÍNIO  - EMBASAMENTO</t>
  </si>
  <si>
    <t>ESQUADRIAS DE MADEIRA  - EMBASAMENTO</t>
  </si>
  <si>
    <t>ESQUADRIAS METÁLICAS  - EMBASAMENTO</t>
  </si>
  <si>
    <t>LOUÇAS E METAIS  - EMBASAMENTO</t>
  </si>
  <si>
    <t>REVESTIMENTOS E ACABAMENTOS EM FACHADA  - EMBASAMENTO</t>
  </si>
  <si>
    <t>PISO - HORTA, GRAMA  (Laje)</t>
  </si>
  <si>
    <t>23.1.1.2</t>
  </si>
  <si>
    <t>PISO - FLOREIRA, GRAMA  (Laje)</t>
  </si>
  <si>
    <t>23.1.1.1</t>
  </si>
  <si>
    <t>23.1.1.</t>
  </si>
  <si>
    <t>ARQ_Embasamento</t>
  </si>
  <si>
    <t>23.1.</t>
  </si>
  <si>
    <t>23.</t>
  </si>
  <si>
    <t>MUDAR PARA PAREDE PADRÃO Parede RODAPÉ - ESCADA - ESCADA PRESSURIZADA</t>
  </si>
  <si>
    <t>22.4.36</t>
  </si>
  <si>
    <t>MUDAR PARA PAREDE PADRÃO Parede REVESTIMENTO FACHADA PAREDE - COR 01 - NOME DA COR</t>
  </si>
  <si>
    <t>22.4.35</t>
  </si>
  <si>
    <t>MUDAR PARA PAREDE PADRÃO Parede REVESTIMENTO FACHADA ESTRUTURA - COR 01 - NOME DA COR</t>
  </si>
  <si>
    <t>22.4.34</t>
  </si>
  <si>
    <t>MUDAR PARA PAREDE PADRÃO Parede 18_ACF 15 cm</t>
  </si>
  <si>
    <t>22.4.33</t>
  </si>
  <si>
    <t>MUDAR PARA PAREDE PADRÃO Parede 17_ACF 12,5 cm</t>
  </si>
  <si>
    <t>22.4.32</t>
  </si>
  <si>
    <t>MUDAR PARA PAREDE PADRÃO Parede 102_REVESTIMENTO ESTRUTURA - SUITE</t>
  </si>
  <si>
    <t>22.4.31</t>
  </si>
  <si>
    <t>MUDAR PARA PAREDE PADRÃO Parede 102_REVESTIMENTO ESTRUTURA - SALA DE EXAUSTOES</t>
  </si>
  <si>
    <t>22.4.30</t>
  </si>
  <si>
    <t>MUDAR PARA PAREDE PADRÃO Parede 102_REVESTIMENTO ESTRUTURA - LIVING - TIPO</t>
  </si>
  <si>
    <t>22.4.29</t>
  </si>
  <si>
    <t>MUDAR PARA PAREDE PADRÃO Parede 102_REVESTIMENTO ESTRUTURA - HALL DO PAVIMENTO - TIPO</t>
  </si>
  <si>
    <t>22.4.28</t>
  </si>
  <si>
    <t>MUDAR PARA PAREDE PADRÃO Parede 102_REVESTIMENTO ESTRUTURA - ESCADA PRESS.</t>
  </si>
  <si>
    <t>22.4.27</t>
  </si>
  <si>
    <t>MUDAR PARA PAREDE PADRÃO Parede 102_REVESTIMENTO ESTRUTURA - ELEV.</t>
  </si>
  <si>
    <t>22.4.26</t>
  </si>
  <si>
    <t>MUDAR PARA PAREDE PADRÃO Parede 102_REVESTIMENTO ESTRUTURA - COZINHA - TIPO</t>
  </si>
  <si>
    <t>22.4.25</t>
  </si>
  <si>
    <t>MUDAR PARA PAREDE PADRÃO Parede 102_REVESTIMENTO ESTRUTURA - CIRC. - CASA DE MAQUINAS</t>
  </si>
  <si>
    <t>22.4.24</t>
  </si>
  <si>
    <t>MUDAR PARA PAREDE PADRÃO Parede 102_REVESTIMENTO ESTRUTURA - CASA DE BOMBAS</t>
  </si>
  <si>
    <t>22.4.23</t>
  </si>
  <si>
    <t>MUDAR PARA PAREDE PADRÃO Parede 102_REVESTIMENTO ESTRUTURA - BWC - TIPO</t>
  </si>
  <si>
    <t>22.4.22</t>
  </si>
  <si>
    <t>MUDAR PARA PAREDE PADRÃO Parede 102_REVESTIMENTO ESTRUTURA - BOX BWC - TIPO</t>
  </si>
  <si>
    <t>22.4.21</t>
  </si>
  <si>
    <t>MUDAR PARA PAREDE PADRÃO Parede 102_REVESTIMENTO ESTRUTURA - AREA SERVICO - TIPO 2</t>
  </si>
  <si>
    <t>22.4.20</t>
  </si>
  <si>
    <t>MUDAR PARA PAREDE PADRÃO Parede 102_REVESTIMENTO ESTRUTURA - AREA SERVICO - TIPO</t>
  </si>
  <si>
    <t>22.4.19</t>
  </si>
  <si>
    <t>MUDAR PARA PAREDE PADRÃO Parede 101_REVESTIMENTO PAREDE - SUITE</t>
  </si>
  <si>
    <t>22.4.18</t>
  </si>
  <si>
    <t>MUDAR PARA PAREDE PADRÃO Parede 101_REVESTIMENTO PAREDE - SALA DE EXAUSTOES</t>
  </si>
  <si>
    <t>22.4.17</t>
  </si>
  <si>
    <t>MUDAR PARA PAREDE PADRÃO Parede 101_REVESTIMENTO PAREDE - LIVING - TIPO</t>
  </si>
  <si>
    <t>22.4.16</t>
  </si>
  <si>
    <t>MUDAR PARA PAREDE PADRÃO Parede 101_REVESTIMENTO PAREDE - LAVABO - TIPO</t>
  </si>
  <si>
    <t>22.4.15</t>
  </si>
  <si>
    <t>MUDAR PARA PAREDE PADRÃO Parede 101_REVESTIMENTO PAREDE - HALL DO PAVIMENTO - TIPO</t>
  </si>
  <si>
    <t>22.4.14</t>
  </si>
  <si>
    <t>MUDAR PARA PAREDE PADRÃO Parede 101_REVESTIMENTO PAREDE - ESCADA PRESS.</t>
  </si>
  <si>
    <t>22.4.13</t>
  </si>
  <si>
    <t>MUDAR PARA PAREDE PADRÃO Parede 101_REVESTIMENTO PAREDE - COZINHA - TIPO</t>
  </si>
  <si>
    <t>22.4.12</t>
  </si>
  <si>
    <t>MUDAR PARA PAREDE PADRÃO Parede 101_REVESTIMENTO PAREDE - CIRC. - TIPO</t>
  </si>
  <si>
    <t>22.4.11</t>
  </si>
  <si>
    <t>MUDAR PARA PAREDE PADRÃO Parede 101_REVESTIMENTO PAREDE - CIRC. - CASA DE MAQUINAS</t>
  </si>
  <si>
    <t>22.4.10</t>
  </si>
  <si>
    <t>MUDAR PARA PAREDE PADRÃO Parede 101_REVESTIMENTO PAREDE - CASA DE MAQUINAS</t>
  </si>
  <si>
    <t>22.4.9</t>
  </si>
  <si>
    <t>MUDAR PARA PAREDE PADRÃO Parede 101_REVESTIMENTO PAREDE - BWC - TIPO</t>
  </si>
  <si>
    <t>22.4.8</t>
  </si>
  <si>
    <t>MUDAR PARA PAREDE PADRÃO Parede 101_REVESTIMENTO PAREDE - BOX BWC - TIPO</t>
  </si>
  <si>
    <t>22.4.7</t>
  </si>
  <si>
    <t>MUDAR PARA PAREDE PADRÃO Parede 101_REVESTIMENTO PAREDE - AREA TECNICA - TIPO</t>
  </si>
  <si>
    <t>22.4.6</t>
  </si>
  <si>
    <t>MUDAR PARA PAREDE PADRÃO Parede 101_REVESTIMENTO PAREDE - AREA SERVICO - TIPO</t>
  </si>
  <si>
    <t>22.4.5</t>
  </si>
  <si>
    <t>MUDAR PARA PAREDE PADRÃO Parede 04_ALV 19 cm OSSO</t>
  </si>
  <si>
    <t>22.4.4</t>
  </si>
  <si>
    <t>MUDAR PARA PAREDE PADRÃO Parede 03_ALV 14 cm OSSO</t>
  </si>
  <si>
    <t>22.4.3</t>
  </si>
  <si>
    <t>MUDAR PARA PAREDE PADRÃO Parede 02_ALV 11,5 cm OSSO</t>
  </si>
  <si>
    <t>22.4.2</t>
  </si>
  <si>
    <t>MUDAR PARA PAREDE PADRÃO Parede 01_ALV 09 cm OSSO</t>
  </si>
  <si>
    <t>22.4.1</t>
  </si>
  <si>
    <t>ARQ_Torre_B</t>
  </si>
  <si>
    <t>22.4.</t>
  </si>
  <si>
    <t>MUDAR PARA PAREDE PADRÃO Parede RODAPÉ - SACADA</t>
  </si>
  <si>
    <t>22.3.40</t>
  </si>
  <si>
    <t>22.3.39</t>
  </si>
  <si>
    <t>MUDAR PARA PAREDE PADRÃO Parede RODAPÉ - CIRC. - CASA DE MAQUINAS</t>
  </si>
  <si>
    <t>22.3.38</t>
  </si>
  <si>
    <t>22.3.37</t>
  </si>
  <si>
    <t>22.3.36</t>
  </si>
  <si>
    <t>22.3.35</t>
  </si>
  <si>
    <t>22.3.34</t>
  </si>
  <si>
    <t>22.3.33</t>
  </si>
  <si>
    <t>22.3.32</t>
  </si>
  <si>
    <t>22.3.31</t>
  </si>
  <si>
    <t>22.3.30</t>
  </si>
  <si>
    <t>22.3.29</t>
  </si>
  <si>
    <t>22.3.28</t>
  </si>
  <si>
    <t>MUDAR PARA PAREDE PADRÃO Parede 102_REVESTIMENTO ESTRUTURA - DUTO - PRESS</t>
  </si>
  <si>
    <t>22.3.27</t>
  </si>
  <si>
    <t>22.3.26</t>
  </si>
  <si>
    <t>22.3.25</t>
  </si>
  <si>
    <t>MUDAR PARA PAREDE PADRÃO Parede 102_REVESTIMENTO ESTRUTURA - CASA DE MAQUINAS</t>
  </si>
  <si>
    <t>22.3.24</t>
  </si>
  <si>
    <t>22.3.23</t>
  </si>
  <si>
    <t>22.3.22</t>
  </si>
  <si>
    <t>MUDAR PARA PAREDE PADRÃO Parede 102_REVESTIMENTO ESTRUTURA - ANTECAMARA</t>
  </si>
  <si>
    <t>22.3.21</t>
  </si>
  <si>
    <t>22.3.20</t>
  </si>
  <si>
    <t>22.3.19</t>
  </si>
  <si>
    <t>22.3.18</t>
  </si>
  <si>
    <t>22.3.17</t>
  </si>
  <si>
    <t>22.3.16</t>
  </si>
  <si>
    <t>22.3.15</t>
  </si>
  <si>
    <t>22.3.14</t>
  </si>
  <si>
    <t>22.3.13</t>
  </si>
  <si>
    <t>MUDAR PARA PAREDE PADRÃO Parede 101_REVESTIMENTO PAREDE - CIRC E ROUPARIA</t>
  </si>
  <si>
    <t>22.3.12</t>
  </si>
  <si>
    <t>22.3.11</t>
  </si>
  <si>
    <t>MUDAR PARA PAREDE PADRÃO Parede 101_REVESTIMENTO PAREDE - CASA DE BOMBAS</t>
  </si>
  <si>
    <t>22.3.10</t>
  </si>
  <si>
    <t>22.3.9</t>
  </si>
  <si>
    <t>22.3.8</t>
  </si>
  <si>
    <t>22.3.7</t>
  </si>
  <si>
    <t>MUDAR PARA PAREDE PADRÃO Parede 101_REVESTIMENTO PAREDE - ANTECAMARA</t>
  </si>
  <si>
    <t>22.3.6</t>
  </si>
  <si>
    <t>22.3.5</t>
  </si>
  <si>
    <t>22.3.4</t>
  </si>
  <si>
    <t>22.3.3</t>
  </si>
  <si>
    <t>22.3.2</t>
  </si>
  <si>
    <t>MUDAR PARA PAREDE PADRÃO Parede 01_ALV 05 cm OSSO</t>
  </si>
  <si>
    <t>22.3.1</t>
  </si>
  <si>
    <t>ARQ_Torre_A</t>
  </si>
  <si>
    <t>22.3.</t>
  </si>
  <si>
    <t>MUDAR PARA PAREDE PADRÃO parede_impermeabilizacao:parede_impermeabilizacao</t>
  </si>
  <si>
    <t>22.2.2</t>
  </si>
  <si>
    <t>MUDAR PARA PAREDE PADRÃO Parede IMPERMEABILIZACAO</t>
  </si>
  <si>
    <t>22.2.1</t>
  </si>
  <si>
    <t>ARQ_Impermeab</t>
  </si>
  <si>
    <t>22.2.</t>
  </si>
  <si>
    <t>MUDAR PARA PAREDE PADRÃO Parede RODAPÉ - LIVING ROOM - TORRE 01</t>
  </si>
  <si>
    <t>22.1.101</t>
  </si>
  <si>
    <t>22.1.100</t>
  </si>
  <si>
    <t>MUDAR PARA PAREDE PADRÃO Parede RODAPÉ - BOX</t>
  </si>
  <si>
    <t>22.1.99</t>
  </si>
  <si>
    <t>22.1.98</t>
  </si>
  <si>
    <t>MUDAR PARA PAREDE PADRÃO Parede REVESTIMENTO FACHADA ESTRUTURA - COR 04 - NOME DA COR</t>
  </si>
  <si>
    <t>22.1.97</t>
  </si>
  <si>
    <t>MUDAR PARA PAREDE PADRÃO Parede REVESTIMENTO FACHADA ESTRUTURA - COR 03 - NOME DA COR</t>
  </si>
  <si>
    <t>22.1.96</t>
  </si>
  <si>
    <t>22.1.95</t>
  </si>
  <si>
    <t>MUDAR PARA PAREDE PADRÃO Parede 65_PELE DE VIDRO 7cm</t>
  </si>
  <si>
    <t>22.1.94</t>
  </si>
  <si>
    <t>MUDAR PARA PAREDE PADRÃO Parede 55_BRISE 10cm</t>
  </si>
  <si>
    <t>22.1.93</t>
  </si>
  <si>
    <t>MUDAR PARA PAREDE PADRÃO Parede 50_PAINEL 7cm</t>
  </si>
  <si>
    <t>22.1.92</t>
  </si>
  <si>
    <t>22.1.91</t>
  </si>
  <si>
    <t>22.1.90</t>
  </si>
  <si>
    <t>MUDAR PARA PAREDE PADRÃO Parede 104_REVESTIMENTO ESPELHO ESCADA - ESCADA PRESSURIZADA</t>
  </si>
  <si>
    <t>22.1.89</t>
  </si>
  <si>
    <t>MUDAR PARA PAREDE PADRÃO Parede 102_REVESTIMENTO ESTRUTURA - TELECOM</t>
  </si>
  <si>
    <t>22.1.88</t>
  </si>
  <si>
    <t>MUDAR PARA PAREDE PADRÃO Parede 102_REVESTIMENTO ESTRUTURA - SUBESTACAO</t>
  </si>
  <si>
    <t>22.1.87</t>
  </si>
  <si>
    <t>MUDAR PARA PAREDE PADRÃO Parede 102_REVESTIMENTO ESTRUTURA - SALAO DE FESTA KIDS</t>
  </si>
  <si>
    <t>22.1.86</t>
  </si>
  <si>
    <t>MUDAR PARA PAREDE PADRÃO Parede 102_REVESTIMENTO ESTRUTURA - SALA COMERCIAL</t>
  </si>
  <si>
    <t>22.1.85</t>
  </si>
  <si>
    <t>MUDAR PARA PAREDE PADRÃO Parede 102_REVESTIMENTO ESTRUTURA - RESERVATORIO PLUVIAL</t>
  </si>
  <si>
    <t>22.1.84</t>
  </si>
  <si>
    <t>MUDAR PARA PAREDE PADRÃO Parede 102_REVESTIMENTO ESTRUTURA - POOL CLUB</t>
  </si>
  <si>
    <t>22.1.83</t>
  </si>
  <si>
    <t>MUDAR PARA PAREDE PADRÃO Parede 102_REVESTIMENTO ESTRUTURA - POKER ROOM</t>
  </si>
  <si>
    <t>22.1.82</t>
  </si>
  <si>
    <t>MUDAR PARA PAREDE PADRÃO Parede 102_REVESTIMENTO ESTRUTURA - PLAY ROOM</t>
  </si>
  <si>
    <t>22.1.81</t>
  </si>
  <si>
    <t>MUDAR PARA PAREDE PADRÃO Parede 102_REVESTIMENTO ESTRUTURA - LIVING ROOM - TORRE 01</t>
  </si>
  <si>
    <t>22.1.80</t>
  </si>
  <si>
    <t>MUDAR PARA PAREDE PADRÃO Parede 102_REVESTIMENTO ESTRUTURA - LAVABO - LAZER</t>
  </si>
  <si>
    <t>22.1.79</t>
  </si>
  <si>
    <t>MUDAR PARA PAREDE PADRÃO Parede 102_REVESTIMENTO ESTRUTURA - LAVABO EXTERNO - LAZER</t>
  </si>
  <si>
    <t>22.1.78</t>
  </si>
  <si>
    <t>MUDAR PARA PAREDE PADRÃO Parede 102_REVESTIMENTO ESTRUTURA - HEALTHY CLUB</t>
  </si>
  <si>
    <t>22.1.77</t>
  </si>
  <si>
    <t>MUDAR PARA PAREDE PADRÃO Parede 102_REVESTIMENTO ESTRUTURA - HALL ENTRADA - TORRE B</t>
  </si>
  <si>
    <t>22.1.76</t>
  </si>
  <si>
    <t>MUDAR PARA PAREDE PADRÃO Parede 102_REVESTIMENTO ESTRUTURA - HALL ENTRADA - TORRE A</t>
  </si>
  <si>
    <t>22.1.75</t>
  </si>
  <si>
    <t>MUDAR PARA PAREDE PADRÃO Parede 102_REVESTIMENTO ESTRUTURA - HALL DO PAVIMENTO - GARAGEM</t>
  </si>
  <si>
    <t>22.1.74</t>
  </si>
  <si>
    <t>MUDAR PARA PAREDE PADRÃO Parede 102_REVESTIMENTO ESTRUTURA - HALL DO PAVIMENTO</t>
  </si>
  <si>
    <t>22.1.73</t>
  </si>
  <si>
    <t>MUDAR PARA PAREDE PADRÃO Parede 102_REVESTIMENTO ESTRUTURA - GOURMET CLUB</t>
  </si>
  <si>
    <t>22.1.72</t>
  </si>
  <si>
    <t>MUDAR PARA PAREDE PADRÃO Parede 102_REVESTIMENTO ESTRUTURA - GARAGEM</t>
  </si>
  <si>
    <t>22.1.71</t>
  </si>
  <si>
    <t>MUDAR PARA PAREDE PADRÃO Parede 102_REVESTIMENTO ESTRUTURA - ESTUCAMENTO VIGAS GARAGEM</t>
  </si>
  <si>
    <t>22.1.70</t>
  </si>
  <si>
    <t>MUDAR PARA PAREDE PADRÃO Parede 102_REVESTIMENTO ESTRUTURA - ESTUCAMENTO GARAGEM</t>
  </si>
  <si>
    <t>22.1.69</t>
  </si>
  <si>
    <t>22.1.68</t>
  </si>
  <si>
    <t>MUDAR PARA PAREDE PADRÃO Parede 102_REVESTIMENTO ESTRUTURA - ESCADA</t>
  </si>
  <si>
    <t>22.1.67</t>
  </si>
  <si>
    <t>22.1.66</t>
  </si>
  <si>
    <t>22.1.65</t>
  </si>
  <si>
    <t>MUDAR PARA PAREDE PADRÃO Parede 102_REVESTIMENTO ESTRUTURA - DUTO - DEA</t>
  </si>
  <si>
    <t>22.1.64</t>
  </si>
  <si>
    <t>MUDAR PARA PAREDE PADRÃO Parede 102_REVESTIMENTO ESTRUTURA - DUCHA</t>
  </si>
  <si>
    <t>22.1.63</t>
  </si>
  <si>
    <t>MUDAR PARA PAREDE PADRÃO Parede 102_REVESTIMENTO ESTRUTURA - COFFEE</t>
  </si>
  <si>
    <t>22.1.62</t>
  </si>
  <si>
    <t>MUDAR PARA PAREDE PADRÃO Parede 102_REVESTIMENTO ESTRUTURA - CIRCULACAO TORRE 02</t>
  </si>
  <si>
    <t>22.1.61</t>
  </si>
  <si>
    <t>MUDAR PARA PAREDE PADRÃO Parede 102_REVESTIMENTO ESTRUTURA - CIRCULACAO TERREO</t>
  </si>
  <si>
    <t>22.1.60</t>
  </si>
  <si>
    <t>MUDAR PARA PAREDE PADRÃO Parede 102_REVESTIMENTO ESTRUTURA - CIRC. SEGUNDARIA - LAZER</t>
  </si>
  <si>
    <t>22.1.59</t>
  </si>
  <si>
    <t>MUDAR PARA PAREDE PADRÃO Parede 102_REVESTIMENTO ESTRUTURA - CIRC. PRINCIPAL - TORRE 01</t>
  </si>
  <si>
    <t>22.1.58</t>
  </si>
  <si>
    <t>MUDAR PARA PAREDE PADRÃO Parede 102_REVESTIMENTO ESTRUTURA - CIRC. PRINCIPAL - LAZER</t>
  </si>
  <si>
    <t>22.1.57</t>
  </si>
  <si>
    <t>MUDAR PARA PAREDE PADRÃO Parede 102_REVESTIMENTO ESTRUTURA - CASA DE MAQUINAS - PISCINA</t>
  </si>
  <si>
    <t>22.1.56</t>
  </si>
  <si>
    <t>MUDAR PARA PAREDE PADRÃO Parede 102_REVESTIMENTO ESTRUTURA - BOX</t>
  </si>
  <si>
    <t>22.1.55</t>
  </si>
  <si>
    <t>MUDAR PARA PAREDE PADRÃO Parede 102_REVESTIMENTO ESTRUTURA - BICICLETARIO</t>
  </si>
  <si>
    <t>22.1.54</t>
  </si>
  <si>
    <t>MUDAR PARA PAREDE PADRÃO Parede 102_REVESTIMENTO ESTRUTURA - BEAUTY SPA</t>
  </si>
  <si>
    <t>22.1.53</t>
  </si>
  <si>
    <t>MUDAR PARA PAREDE PADRÃO Parede 102_REVESTIMENTO ESTRUTURA - BBQ E PIZZA BAR</t>
  </si>
  <si>
    <t>22.1.52</t>
  </si>
  <si>
    <t>MUDAR PARA PAREDE PADRÃO Parede 102_REVESTIMENTO ESTRUTURA - BABY E MINI CLUB</t>
  </si>
  <si>
    <t>22.1.51</t>
  </si>
  <si>
    <t>22.1.50</t>
  </si>
  <si>
    <t>MUDAR PARA PAREDE PADRÃO Parede 101_REVESTIMENTO PAREDE - TELECOM</t>
  </si>
  <si>
    <t>22.1.49</t>
  </si>
  <si>
    <t>MUDAR PARA PAREDE PADRÃO Parede 101_REVESTIMENTO PAREDE - SUBESTACAO</t>
  </si>
  <si>
    <t>22.1.48</t>
  </si>
  <si>
    <t>MUDAR PARA PAREDE PADRÃO Parede 101_REVESTIMENTO PAREDE - SELF SERVICE</t>
  </si>
  <si>
    <t>22.1.47</t>
  </si>
  <si>
    <t>MUDAR PARA PAREDE PADRÃO Parede 101_REVESTIMENTO PAREDE - SALAO DE FESTA KIDS</t>
  </si>
  <si>
    <t>22.1.46</t>
  </si>
  <si>
    <t>MUDAR PARA PAREDE PADRÃO Parede 101_REVESTIMENTO PAREDE - SALA COMERCIAL</t>
  </si>
  <si>
    <t>22.1.45</t>
  </si>
  <si>
    <t>MUDAR PARA PAREDE PADRÃO Parede 101_REVESTIMENTO PAREDE - PLAY ROOM</t>
  </si>
  <si>
    <t>22.1.44</t>
  </si>
  <si>
    <t>MUDAR PARA PAREDE PADRÃO Parede 101_REVESTIMENTO PAREDE - PLAY E GOURMET</t>
  </si>
  <si>
    <t>22.1.43</t>
  </si>
  <si>
    <t>MUDAR PARA PAREDE PADRÃO Parede 101_REVESTIMENTO PAREDE - MEETING ROOM</t>
  </si>
  <si>
    <t>22.1.42</t>
  </si>
  <si>
    <t>MUDAR PARA PAREDE PADRÃO Parede 101_REVESTIMENTO PAREDE - LIXEIRA</t>
  </si>
  <si>
    <t>22.1.41</t>
  </si>
  <si>
    <t>MUDAR PARA PAREDE PADRÃO Parede 101_REVESTIMENTO PAREDE - LAVA-PES</t>
  </si>
  <si>
    <t>22.1.40</t>
  </si>
  <si>
    <t>MUDAR PARA PAREDE PADRÃO Parede 101_REVESTIMENTO PAREDE - LAVABO PNE - SALA COMERCIAL</t>
  </si>
  <si>
    <t>22.1.39</t>
  </si>
  <si>
    <t>MUDAR PARA PAREDE PADRÃO Parede 101_REVESTIMENTO PAREDE - LAVABO - PISCINA</t>
  </si>
  <si>
    <t>22.1.38</t>
  </si>
  <si>
    <t>MUDAR PARA PAREDE PADRÃO Parede 101_REVESTIMENTO PAREDE - LAVABO - LAZER</t>
  </si>
  <si>
    <t>22.1.37</t>
  </si>
  <si>
    <t>MUDAR PARA PAREDE PADRÃO Parede 101_REVESTIMENTO PAREDE - HEALTHY CLUB</t>
  </si>
  <si>
    <t>22.1.36</t>
  </si>
  <si>
    <t>MUDAR PARA PAREDE PADRÃO Parede 101_REVESTIMENTO PAREDE - HALL ENTRADA - TORRE B</t>
  </si>
  <si>
    <t>22.1.35</t>
  </si>
  <si>
    <t>MUDAR PARA PAREDE PADRÃO Parede 101_REVESTIMENTO PAREDE - HALL DO PAVIMENTO - GARAGEM</t>
  </si>
  <si>
    <t>22.1.34</t>
  </si>
  <si>
    <t>MUDAR PARA PAREDE PADRÃO Parede 101_REVESTIMENTO PAREDE - HALL DO PAVIMENTO</t>
  </si>
  <si>
    <t>22.1.33</t>
  </si>
  <si>
    <t>MUDAR PARA PAREDE PADRÃO Parede 101_REVESTIMENTO PAREDE - GOURMET CLUB</t>
  </si>
  <si>
    <t>22.1.32</t>
  </si>
  <si>
    <t>MUDAR PARA PAREDE PADRÃO Parede 101_REVESTIMENTO PAREDE - GARAGEM</t>
  </si>
  <si>
    <t>22.1.31</t>
  </si>
  <si>
    <t>22.1.30</t>
  </si>
  <si>
    <t>MUDAR PARA PAREDE PADRÃO Parede 101_REVESTIMENTO PAREDE - ESCADA</t>
  </si>
  <si>
    <t>22.1.29</t>
  </si>
  <si>
    <t>MUDAR PARA PAREDE PADRÃO Parede 101_REVESTIMENTO PAREDE - ELEV.</t>
  </si>
  <si>
    <t>22.1.28</t>
  </si>
  <si>
    <t>MUDAR PARA PAREDE PADRÃO Parede 101_REVESTIMENTO PAREDE - DUTO - PRESS</t>
  </si>
  <si>
    <t>22.1.27</t>
  </si>
  <si>
    <t>MUDAR PARA PAREDE PADRÃO Parede 101_REVESTIMENTO PAREDE - DUTO - DEA</t>
  </si>
  <si>
    <t>22.1.26</t>
  </si>
  <si>
    <t>MUDAR PARA PAREDE PADRÃO Parede 101_REVESTIMENTO PAREDE - DUTO - CAPTACAO</t>
  </si>
  <si>
    <t>22.1.25</t>
  </si>
  <si>
    <t>MUDAR PARA PAREDE PADRÃO Parede 101_REVESTIMENTO PAREDE - DUCHA</t>
  </si>
  <si>
    <t>22.1.24</t>
  </si>
  <si>
    <t>MUDAR PARA PAREDE PADRÃO Parede 101_REVESTIMENTO PAREDE - COZINHA DO CHEF</t>
  </si>
  <si>
    <t>22.1.23</t>
  </si>
  <si>
    <t>MUDAR PARA PAREDE PADRÃO Parede 101_REVESTIMENTO PAREDE - COFFEE</t>
  </si>
  <si>
    <t>22.1.22</t>
  </si>
  <si>
    <t>MUDAR PARA PAREDE PADRÃO Parede 101_REVESTIMENTO PAREDE - CIRCULACAO TORRE 02</t>
  </si>
  <si>
    <t>22.1.21</t>
  </si>
  <si>
    <t>MUDAR PARA PAREDE PADRÃO Parede 101_REVESTIMENTO PAREDE - CIRCULACAO TERREO</t>
  </si>
  <si>
    <t>22.1.20</t>
  </si>
  <si>
    <t>MUDAR PARA PAREDE PADRÃO Parede 101_REVESTIMENTO PAREDE - CIRC. SEGUNDARIA - LAZER</t>
  </si>
  <si>
    <t>22.1.19</t>
  </si>
  <si>
    <t>MUDAR PARA PAREDE PADRÃO Parede 101_REVESTIMENTO PAREDE - CIRC. PRINCIPAL - TORRE 01</t>
  </si>
  <si>
    <t>22.1.18</t>
  </si>
  <si>
    <t>MUDAR PARA PAREDE PADRÃO Parede 101_REVESTIMENTO PAREDE - CIRC. PRINCIPAL - LAZER</t>
  </si>
  <si>
    <t>22.1.17</t>
  </si>
  <si>
    <t>MUDAR PARA PAREDE PADRÃO Parede 101_REVESTIMENTO PAREDE - CASA DE MAQUINAS - PISCINA</t>
  </si>
  <si>
    <t>22.1.16</t>
  </si>
  <si>
    <t>MUDAR PARA PAREDE PADRÃO Parede 101_REVESTIMENTO PAREDE - BOX</t>
  </si>
  <si>
    <t>22.1.15</t>
  </si>
  <si>
    <t>MUDAR PARA PAREDE PADRÃO Parede 101_REVESTIMENTO PAREDE - BICICLETARIO</t>
  </si>
  <si>
    <t>22.1.14</t>
  </si>
  <si>
    <t>MUDAR PARA PAREDE PADRÃO Parede 101_REVESTIMENTO PAREDE - BBQ E PIZZA BAR</t>
  </si>
  <si>
    <t>22.1.13</t>
  </si>
  <si>
    <t>MUDAR PARA PAREDE PADRÃO Parede 101_REVESTIMENTO PAREDE - BABY E MINI CLUB</t>
  </si>
  <si>
    <t>22.1.12</t>
  </si>
  <si>
    <t>MUDAR PARA PAREDE PADRÃO Parede 101_REVESTIMENTO PAREDE - AREA TECNICA - TERREO</t>
  </si>
  <si>
    <t>22.1.11</t>
  </si>
  <si>
    <t>MUDAR PARA PAREDE PADRÃO Parede 101_REVESTIMENTO PAREDE - AREA TECNICA - LAZER</t>
  </si>
  <si>
    <t>22.1.10</t>
  </si>
  <si>
    <t>MUDAR PARA PAREDE PADRÃO Parede 101_REVESTIMENTO PAREDE - AREA SERVICO - LAZER</t>
  </si>
  <si>
    <t>22.1.9</t>
  </si>
  <si>
    <t>22.1.8</t>
  </si>
  <si>
    <t>MUDAR PARA PAREDE PADRÃO Parede 101_REVESTIMENTO PAREDE - ABRIGO DE GAS</t>
  </si>
  <si>
    <t>22.1.7</t>
  </si>
  <si>
    <t>MUDAR PARA PAREDE PADRÃO Parede 08_ALV CONC 05 cm OSSO</t>
  </si>
  <si>
    <t>22.1.6</t>
  </si>
  <si>
    <t>22.1.5</t>
  </si>
  <si>
    <t>22.1.4</t>
  </si>
  <si>
    <t>22.1.3</t>
  </si>
  <si>
    <t>22.1.2</t>
  </si>
  <si>
    <t>22.1.1</t>
  </si>
  <si>
    <t>22.1.</t>
  </si>
  <si>
    <t>MUDAR PARA PAREDE PADRÃO</t>
  </si>
  <si>
    <t>22.</t>
  </si>
  <si>
    <t>DÚVIDA - CONTRAPISO, Peitoril</t>
  </si>
  <si>
    <t>21.3.1.1</t>
  </si>
  <si>
    <t>16.001. Contrapiso</t>
  </si>
  <si>
    <t>21.3.1.</t>
  </si>
  <si>
    <t>21.3.</t>
  </si>
  <si>
    <t>21.2.1.1</t>
  </si>
  <si>
    <t>21.2.1.</t>
  </si>
  <si>
    <t>21.2.</t>
  </si>
  <si>
    <t>21.1.1.1</t>
  </si>
  <si>
    <t>21.1.1.</t>
  </si>
  <si>
    <t>21.1.</t>
  </si>
  <si>
    <t>99. REVESTIMENTOS ARGAMASSADOS EM PISO E PAVIMENTAÇÕES</t>
  </si>
  <si>
    <t>21.</t>
  </si>
  <si>
    <t>VERIFICAÇÃO   -  VIGA BALDRAME (Parede padrão)</t>
  </si>
  <si>
    <t>20.1.1.18</t>
  </si>
  <si>
    <t>VERIFICAÇÃO   -  SPA (Parede padrão)</t>
  </si>
  <si>
    <t>20.1.1.17</t>
  </si>
  <si>
    <t>VERIFICAÇÃO   -  TERRAÇO (Parede padrão)</t>
  </si>
  <si>
    <t>20.1.1.16</t>
  </si>
  <si>
    <t>VERIFICAÇÃO   -  SAUNA (Parede padrão)</t>
  </si>
  <si>
    <t>20.1.1.15</t>
  </si>
  <si>
    <t>VERIFICAÇÃO   -  SACADA (Parede padrão)</t>
  </si>
  <si>
    <t>20.1.1.14</t>
  </si>
  <si>
    <t>VERIFICAÇÃO   -  RESERVATÓRIO (Parede padrão)</t>
  </si>
  <si>
    <t>20.1.1.13</t>
  </si>
  <si>
    <t>VERIFICAÇÃO   -  PISCINA (Parede padrão)</t>
  </si>
  <si>
    <t>20.1.1.12</t>
  </si>
  <si>
    <t>VERIFICAÇÃO   -  LAVA PÉS (Parede padrão)</t>
  </si>
  <si>
    <t>20.1.1.11</t>
  </si>
  <si>
    <t>VERIFICAÇÃO   -  FOSSO ELEVADOR (Parede padrão)</t>
  </si>
  <si>
    <t>20.1.1.10</t>
  </si>
  <si>
    <t>VERIFICAÇÃO   -  CENTRAL DE GÁS/LIXEIRA (Parede padrão)</t>
  </si>
  <si>
    <t>20.1.1.9</t>
  </si>
  <si>
    <t>VERIFICAÇÃO   -  FLOREIRA (Parede padrão)</t>
  </si>
  <si>
    <t>20.1.1.8</t>
  </si>
  <si>
    <t>VERIFICAÇÃO floreira  -  FLOREIRA (Parede padrão)</t>
  </si>
  <si>
    <t>20.1.1.7</t>
  </si>
  <si>
    <t>VERIFICAÇÃO   -  COZINHA (Parede padrão)</t>
  </si>
  <si>
    <t>20.1.1.6</t>
  </si>
  <si>
    <t>VERIFICAÇÃO   -  CALHA E RUFO (Parede padrão)</t>
  </si>
  <si>
    <t>20.1.1.5</t>
  </si>
  <si>
    <t>VERIFICAÇÃO   -  BOX BANHEIRO (Parede padrão)</t>
  </si>
  <si>
    <t>20.1.1.4</t>
  </si>
  <si>
    <t>VERIFICAÇÃO   -  BANHEIRO (Parede padrão)</t>
  </si>
  <si>
    <t>20.1.1.3</t>
  </si>
  <si>
    <t>VERIFICAÇÃO   -  ÁREA TÉCNICA (Parede padrão)</t>
  </si>
  <si>
    <t>20.1.1.2</t>
  </si>
  <si>
    <t>VERIFICAÇÃO   -  ÁREA DE SERVIÇO (Parede padrão)</t>
  </si>
  <si>
    <t>20.1.1.1</t>
  </si>
  <si>
    <t>Verificação parede</t>
  </si>
  <si>
    <t>20.1.1.</t>
  </si>
  <si>
    <t>20.1.</t>
  </si>
  <si>
    <t>99. IMPERMEABILIZAÇÃO E TRATAMENTOS - VERIFICAÇÃO</t>
  </si>
  <si>
    <t>20.</t>
  </si>
  <si>
    <t>VERIFICAÇÃO VIGA BALDRAME (Laje)</t>
  </si>
  <si>
    <t>19.1.1.19</t>
  </si>
  <si>
    <t>VERIFICAÇÃO TERRAÇO (Laje)</t>
  </si>
  <si>
    <t>19.1.1.18</t>
  </si>
  <si>
    <t>VERIFICAÇÃO TAMPA DE RESERVATÓRIO (Laje)</t>
  </si>
  <si>
    <t>19.1.1.17</t>
  </si>
  <si>
    <t>VERIFICAÇÃO SPA (Laje)</t>
  </si>
  <si>
    <t>19.1.1.16</t>
  </si>
  <si>
    <t>VERIFICAÇÃO SAUNA (Laje)</t>
  </si>
  <si>
    <t>19.1.1.15</t>
  </si>
  <si>
    <t>VERIFICAÇÃO SACADA (Laje)</t>
  </si>
  <si>
    <t>19.1.1.14</t>
  </si>
  <si>
    <t>VERIFICAÇÃO RESERVATÓRIO (Laje)</t>
  </si>
  <si>
    <t>19.1.1.13</t>
  </si>
  <si>
    <t>VERIFICAÇÃO PISCINA (Laje)</t>
  </si>
  <si>
    <t>19.1.1.12</t>
  </si>
  <si>
    <t>VERIFICAÇÃO LAVA PÉS (Laje)</t>
  </si>
  <si>
    <t>19.1.1.11</t>
  </si>
  <si>
    <t>VERIFICAÇÃO FOSSO ELEVADOR (Laje)</t>
  </si>
  <si>
    <t>19.1.1.10</t>
  </si>
  <si>
    <t>VERIFICAÇÃO FLOREIRA (Laje)</t>
  </si>
  <si>
    <t>19.1.1.9</t>
  </si>
  <si>
    <t>VERIFICAÇÃO ESQUADRIA (Laje)</t>
  </si>
  <si>
    <t>19.1.1.8</t>
  </si>
  <si>
    <t>VERIFICAÇÃO COZINHA (Laje)</t>
  </si>
  <si>
    <t>19.1.1.7</t>
  </si>
  <si>
    <t>VERIFICAÇÃO CENTRAL DE GÁS/LIXEIRA (Laje)</t>
  </si>
  <si>
    <t>19.1.1.6</t>
  </si>
  <si>
    <t>VERIFICAÇÃO CALHA E RUFO (Laje)</t>
  </si>
  <si>
    <t>19.1.1.5</t>
  </si>
  <si>
    <t>VERIFICAÇÃO BOX BANHEIRO (Laje)</t>
  </si>
  <si>
    <t>19.1.1.4</t>
  </si>
  <si>
    <t>VERIFICAÇÃO BANHEIRO (Laje)</t>
  </si>
  <si>
    <t>19.1.1.3</t>
  </si>
  <si>
    <t>VERIFICAÇÃO ÁREA TÉCNICA (Laje)</t>
  </si>
  <si>
    <t>19.1.1.2</t>
  </si>
  <si>
    <t>VERIFICAÇÃO ÁREA DE SERVIÇO (Laje)</t>
  </si>
  <si>
    <t>19.1.1.1</t>
  </si>
  <si>
    <t>Verificação piso</t>
  </si>
  <si>
    <t>19.1.1.</t>
  </si>
  <si>
    <t>19.1.</t>
  </si>
  <si>
    <t>99. IMPERMEABILIZAÇÃO E TRATAMENTOS</t>
  </si>
  <si>
    <t>19.</t>
  </si>
  <si>
    <t>REVESTIMENTO EXTERNO -  ACM ABA,  (Parede padrão)</t>
  </si>
  <si>
    <t>18.3.1.1</t>
  </si>
  <si>
    <t>24.002. Pintura e textura em fachada</t>
  </si>
  <si>
    <t>18.3.1.</t>
  </si>
  <si>
    <t>18.3.</t>
  </si>
  <si>
    <t>adicionar fachada nesse elemento - frontal</t>
  </si>
  <si>
    <t>REVESTIMENTO EXTERNO - TEXTURA PARA FACHADA, PINTURA COR 01 - CINZA ESCURO (Parede padrão)</t>
  </si>
  <si>
    <t>18.2.2.3</t>
  </si>
  <si>
    <t>REVESTIMENTO EXTERNO - PINTURA PARA FACHADA, PINTURA COR 01 - CINZA ESCURO (Parede padrão)</t>
  </si>
  <si>
    <t>18.2.2.2</t>
  </si>
  <si>
    <t>adicionar fachada nesse elemento - esquerda</t>
  </si>
  <si>
    <t>18.2.2.1</t>
  </si>
  <si>
    <t>18.2.2.</t>
  </si>
  <si>
    <t>REBOCO ARGAMASSADO EXTERNO  (Parede padrão)</t>
  </si>
  <si>
    <t>18.2.1.2</t>
  </si>
  <si>
    <t>CHAPISCO ARGAMASSADO EXTERNO  (Parede padrão)</t>
  </si>
  <si>
    <t>18.2.1.1</t>
  </si>
  <si>
    <t>24.001. Revestimento argamassado em fachada</t>
  </si>
  <si>
    <t>18.2.1.</t>
  </si>
  <si>
    <t>18.2.</t>
  </si>
  <si>
    <t>18.1.2.2</t>
  </si>
  <si>
    <t>18.1.2.1</t>
  </si>
  <si>
    <t>18.1.2.</t>
  </si>
  <si>
    <t>18.1.1.3</t>
  </si>
  <si>
    <t>CHAPISCO ARGAMASSADO PARA ESTRUTURA EXTERNO  (Parede padrão)</t>
  </si>
  <si>
    <t>18.1.1.2</t>
  </si>
  <si>
    <t>18.1.1.1</t>
  </si>
  <si>
    <t>18.1.1.</t>
  </si>
  <si>
    <t>18.1.</t>
  </si>
  <si>
    <t>98. REVESTIMENTOS E ACABAMENTOS EM FACHADA - VERIFICAÇÃO</t>
  </si>
  <si>
    <t>18.</t>
  </si>
  <si>
    <t>Textura acrilica em paredes externas, 2 demaos, incluindo aplicação de uma demão de fundo selador acrílico</t>
  </si>
  <si>
    <t>1497</t>
  </si>
  <si>
    <t>COMPOSICAO</t>
  </si>
  <si>
    <t>Thozen - Electra</t>
  </si>
  <si>
    <t>17.3.2.2</t>
  </si>
  <si>
    <t xml:space="preserve"> Pintura com tinta acrílica em paredes externas, aplicação manual, acabamento fosco, 3 demãos</t>
  </si>
  <si>
    <t>4979</t>
  </si>
  <si>
    <t>17.3.2.1</t>
  </si>
  <si>
    <t>17.3.2.</t>
  </si>
  <si>
    <t>REBOCO ARGAMASSADO EXTERNO   -  FACHADA POSTERIOR (Parede padrão)</t>
  </si>
  <si>
    <t>17.3.1.3</t>
  </si>
  <si>
    <t>Chapisco rolado aplicado em alvenaria externa, com desempenadeira dentada</t>
  </si>
  <si>
    <t>90546</t>
  </si>
  <si>
    <t>17.3.1.2</t>
  </si>
  <si>
    <t>Chapisco aplicado em alvenarias externas, com colher de pedreiro, de argamassa estabilizada</t>
  </si>
  <si>
    <t>42</t>
  </si>
  <si>
    <t>17.3.1.1</t>
  </si>
  <si>
    <t>17.3.1.</t>
  </si>
  <si>
    <t>17.3.</t>
  </si>
  <si>
    <t>17.2.2.2</t>
  </si>
  <si>
    <t>17.2.2.1</t>
  </si>
  <si>
    <t>17.2.2.</t>
  </si>
  <si>
    <t>17.2.1.3</t>
  </si>
  <si>
    <t>17.2.1.2</t>
  </si>
  <si>
    <t>17.2.1.1</t>
  </si>
  <si>
    <t>17.2.1.</t>
  </si>
  <si>
    <t>17.2.</t>
  </si>
  <si>
    <t>17.1.2.2</t>
  </si>
  <si>
    <t>17.1.2.1</t>
  </si>
  <si>
    <t>17.1.2.</t>
  </si>
  <si>
    <t>17.1.1.3</t>
  </si>
  <si>
    <t>17.1.1.2</t>
  </si>
  <si>
    <t>17.1.1.1</t>
  </si>
  <si>
    <t>17.1.1.</t>
  </si>
  <si>
    <t>17.1.</t>
  </si>
  <si>
    <t>24. REVESTIMENTOS E ACABAMENTOS EM FACHADA - Fachada Posterior</t>
  </si>
  <si>
    <t>17.</t>
  </si>
  <si>
    <t>16.3.2.2</t>
  </si>
  <si>
    <t>16.3.2.1</t>
  </si>
  <si>
    <t>16.3.2.</t>
  </si>
  <si>
    <t>REBOCO ARGAMASSADO EXTERNO   -  FACHADA FRONTAL (Parede padrão)</t>
  </si>
  <si>
    <t>16.3.1.3</t>
  </si>
  <si>
    <t>16.3.1.2</t>
  </si>
  <si>
    <t>16.3.1.1</t>
  </si>
  <si>
    <t>16.3.1.</t>
  </si>
  <si>
    <t>16.3.</t>
  </si>
  <si>
    <t>16.2.2.2</t>
  </si>
  <si>
    <t>16.2.2.1</t>
  </si>
  <si>
    <t>16.2.2.</t>
  </si>
  <si>
    <t>16.2.1.3</t>
  </si>
  <si>
    <t>16.2.1.2</t>
  </si>
  <si>
    <t>16.2.1.1</t>
  </si>
  <si>
    <t>16.2.1.</t>
  </si>
  <si>
    <t>16.2.</t>
  </si>
  <si>
    <t>16.1.2.2</t>
  </si>
  <si>
    <t>16.1.2.1</t>
  </si>
  <si>
    <t>16.1.2.</t>
  </si>
  <si>
    <t>16.1.1.3</t>
  </si>
  <si>
    <t>16.1.1.2</t>
  </si>
  <si>
    <t>16.1.1.1</t>
  </si>
  <si>
    <t>16.1.1.</t>
  </si>
  <si>
    <t>16.1.</t>
  </si>
  <si>
    <t>24. REVESTIMENTOS E ACABAMENTOS EM FACHADA - Fachada Frontal</t>
  </si>
  <si>
    <t>16.</t>
  </si>
  <si>
    <t>15.3.2.2</t>
  </si>
  <si>
    <t>15.3.2.1</t>
  </si>
  <si>
    <t>15.3.2.</t>
  </si>
  <si>
    <t>REBOCO ARGAMASSADO EXTERNO   -  FACHADA LATERAL ESQUERDA (Parede padrão)</t>
  </si>
  <si>
    <t>15.3.1.3</t>
  </si>
  <si>
    <t>15.3.1.2</t>
  </si>
  <si>
    <t>15.3.1.1</t>
  </si>
  <si>
    <t>15.3.1.</t>
  </si>
  <si>
    <t>15.3.</t>
  </si>
  <si>
    <t>15.2.2.2</t>
  </si>
  <si>
    <t>15.2.2.1</t>
  </si>
  <si>
    <t>15.2.2.</t>
  </si>
  <si>
    <t>15.2.1.3</t>
  </si>
  <si>
    <t>15.2.1.2</t>
  </si>
  <si>
    <t>15.2.1.1</t>
  </si>
  <si>
    <t>15.2.1.</t>
  </si>
  <si>
    <t>15.2.</t>
  </si>
  <si>
    <t>15.1.2.2</t>
  </si>
  <si>
    <t>15.1.2.1</t>
  </si>
  <si>
    <t>15.1.2.</t>
  </si>
  <si>
    <t>15.1.1.3</t>
  </si>
  <si>
    <t>15.1.1.2</t>
  </si>
  <si>
    <t>15.1.1.1</t>
  </si>
  <si>
    <t>15.1.1.</t>
  </si>
  <si>
    <t>15.1.</t>
  </si>
  <si>
    <t>24. REVESTIMENTOS E ACABAMENTOS EM FACHADA - Fachada Esquerda</t>
  </si>
  <si>
    <t>15.</t>
  </si>
  <si>
    <t>14.3.2.2</t>
  </si>
  <si>
    <t>14.3.2.1</t>
  </si>
  <si>
    <t>14.3.2.</t>
  </si>
  <si>
    <t>REBOCO ARGAMASSADO EXTERNO   -  FACHADA LATERAL DIREITA (Parede padrão)</t>
  </si>
  <si>
    <t>14.3.1.3</t>
  </si>
  <si>
    <t>14.3.1.2</t>
  </si>
  <si>
    <t>14.3.1.1</t>
  </si>
  <si>
    <t>14.3.1.</t>
  </si>
  <si>
    <t>14.3.</t>
  </si>
  <si>
    <t>14.2.2.2</t>
  </si>
  <si>
    <t>14.2.2.1</t>
  </si>
  <si>
    <t>14.2.2.</t>
  </si>
  <si>
    <t>14.2.1.3</t>
  </si>
  <si>
    <t>14.2.1.2</t>
  </si>
  <si>
    <t>14.2.1.1</t>
  </si>
  <si>
    <t>14.2.1.</t>
  </si>
  <si>
    <t>14.2.</t>
  </si>
  <si>
    <t>14.1.2.2</t>
  </si>
  <si>
    <t>14.1.2.1</t>
  </si>
  <si>
    <t>14.1.2.</t>
  </si>
  <si>
    <t>14.1.1.3</t>
  </si>
  <si>
    <t>14.1.1.2</t>
  </si>
  <si>
    <t>14.1.1.1</t>
  </si>
  <si>
    <t>14.1.1.</t>
  </si>
  <si>
    <t>14.1.</t>
  </si>
  <si>
    <t>24. REVESTIMENTOS E ACABAMENTOS EM FACHADA - Fachada Direita</t>
  </si>
  <si>
    <t>14.</t>
  </si>
  <si>
    <t>CTN_Molduras_Fachada</t>
  </si>
  <si>
    <t>13.3.1.1</t>
  </si>
  <si>
    <t>24.003. Acabamentos especiais em fachada</t>
  </si>
  <si>
    <t>13.3.1.</t>
  </si>
  <si>
    <t>13.3.</t>
  </si>
  <si>
    <t>13.2.1.1</t>
  </si>
  <si>
    <t>13.2.1.</t>
  </si>
  <si>
    <t>13.2.</t>
  </si>
  <si>
    <t>13.1.1.1</t>
  </si>
  <si>
    <t>13.1.1.</t>
  </si>
  <si>
    <t>13.1.</t>
  </si>
  <si>
    <t>24. REVESTIMENTOS E ACABAMENTOS EM FACHADA</t>
  </si>
  <si>
    <t>13.</t>
  </si>
  <si>
    <t>Rufos Moldura de parede:RUFOSRUFOS</t>
  </si>
  <si>
    <t>12.3.3.2</t>
  </si>
  <si>
    <t>Calha:CTN_Calha 40cm:5539081</t>
  </si>
  <si>
    <t>12.3.3.1</t>
  </si>
  <si>
    <t>23.003. Serviços complementares</t>
  </si>
  <si>
    <t>12.3.3.</t>
  </si>
  <si>
    <t>TELHADO EM FIBROCIMENTO COM ESTRUTURA EM MADEIRA</t>
  </si>
  <si>
    <t>12.3.2.1</t>
  </si>
  <si>
    <t>23.002. Telhamento para cobertura</t>
  </si>
  <si>
    <t>12.3.2.</t>
  </si>
  <si>
    <t>12.3.1.1</t>
  </si>
  <si>
    <t>23.001. Telhamento para cobertura</t>
  </si>
  <si>
    <t>12.3.1.</t>
  </si>
  <si>
    <t>12.3.</t>
  </si>
  <si>
    <t>12.2.3.2</t>
  </si>
  <si>
    <t>12.2.3.1</t>
  </si>
  <si>
    <t>12.2.3.</t>
  </si>
  <si>
    <t>12.2.2.1</t>
  </si>
  <si>
    <t>12.2.2.</t>
  </si>
  <si>
    <t>12.2.1.1</t>
  </si>
  <si>
    <t>12.2.1.</t>
  </si>
  <si>
    <t>12.2.</t>
  </si>
  <si>
    <t>Pergolado Modelos genéricos - pergolado estrutura:Modelos genéricos - pergolado estruturaModelos genéricos - pergolado estrutura</t>
  </si>
  <si>
    <t>12.1.3.2</t>
  </si>
  <si>
    <t>Pergolado Modelos genéricos - pergolado cobertura:Modelos genéricos - pergolado coberturaModelos genéricos - pergolado cobertura</t>
  </si>
  <si>
    <t>12.1.3.1</t>
  </si>
  <si>
    <t>23.004. Coberturas especiais</t>
  </si>
  <si>
    <t>12.1.3.</t>
  </si>
  <si>
    <t>TELHADO METALICO COM ESTRUTURA EM VIDRO</t>
  </si>
  <si>
    <t>12.1.2.1</t>
  </si>
  <si>
    <t>12.1.2.</t>
  </si>
  <si>
    <t>12.1.1.1</t>
  </si>
  <si>
    <t>12.1.1.</t>
  </si>
  <si>
    <t>12.1.</t>
  </si>
  <si>
    <t>23. COBERTURA</t>
  </si>
  <si>
    <t>12.</t>
  </si>
  <si>
    <t>PCF02 - PORTA DE ABRIR, 1 FOLHA, AÇO GALVANIZADO, 90 x 210 cm</t>
  </si>
  <si>
    <t>11.3.1.6</t>
  </si>
  <si>
    <t>PCF01 - PORTA DE ABRIR, 1 FOLHA, AÇO GALVANIZADO, 80 x 210 cm</t>
  </si>
  <si>
    <t>11.3.1.5</t>
  </si>
  <si>
    <t>GP15 - GUARDA CORPO METALICO, 90 cm</t>
  </si>
  <si>
    <t>11.3.1.4</t>
  </si>
  <si>
    <t>GP13 - GUARDA CORPO METALICO, 90 cm</t>
  </si>
  <si>
    <t>11.3.1.3</t>
  </si>
  <si>
    <t>GP12 - GUARDA CORPO METALICO, 90 cm</t>
  </si>
  <si>
    <t>11.3.1.2</t>
  </si>
  <si>
    <t>GP11 - GUARDA CORPO METALICO, 90 cm</t>
  </si>
  <si>
    <t>11.3.1.1</t>
  </si>
  <si>
    <t>21.001. Esquadrias metálicas</t>
  </si>
  <si>
    <t>11.3.1.</t>
  </si>
  <si>
    <t>11.3.</t>
  </si>
  <si>
    <t>PCF03 - PORTA DE ABRIR, 1 FOLHA, AÇO GALVANIZADO,100 x 210 cm</t>
  </si>
  <si>
    <t>11.2.1.4</t>
  </si>
  <si>
    <t>GP14 - GUARDA CORPO METALICO, 90 cm</t>
  </si>
  <si>
    <t>11.2.1.3</t>
  </si>
  <si>
    <t>11.2.1.2</t>
  </si>
  <si>
    <t>GP10 - GUARDA CORPO METALICO, 90 cm</t>
  </si>
  <si>
    <t>11.2.1.1</t>
  </si>
  <si>
    <t>11.2.1.</t>
  </si>
  <si>
    <t>11.2.</t>
  </si>
  <si>
    <t>PD01 - PORTA DE ABRIR, 2 FOLHAS, AÇO GALVANIZADO, 160 x 210 cm</t>
  </si>
  <si>
    <t>11.1.1.5</t>
  </si>
  <si>
    <t>11.1.1.4</t>
  </si>
  <si>
    <t>11.1.1.3</t>
  </si>
  <si>
    <t>11.1.1.2</t>
  </si>
  <si>
    <t>11.1.1.1</t>
  </si>
  <si>
    <t>11.1.1.</t>
  </si>
  <si>
    <t>11.1.</t>
  </si>
  <si>
    <t>21. ESQUADRIAS METÁLICAS</t>
  </si>
  <si>
    <t>11.</t>
  </si>
  <si>
    <t>CORRIMÃO ESCADA_PAREDE - MADEIRA</t>
  </si>
  <si>
    <t>10.3.2.1</t>
  </si>
  <si>
    <t>20.002. Corrimão</t>
  </si>
  <si>
    <t>10.3.2.</t>
  </si>
  <si>
    <t>P02 - PORTA DE ABRIR, 1 FOLHA, MADEIRA, 70 x 210 cm</t>
  </si>
  <si>
    <t>10.3.1.2</t>
  </si>
  <si>
    <t>P01 - PORTA DE ABRIR, 1 FOLHA, MADEIRA, 60 x 210 cm</t>
  </si>
  <si>
    <t>10.3.1.1</t>
  </si>
  <si>
    <t>20.001. Esquadrias de madeira</t>
  </si>
  <si>
    <t>10.3.1.</t>
  </si>
  <si>
    <t>10.3.</t>
  </si>
  <si>
    <t>10.2.2.1</t>
  </si>
  <si>
    <t>10.2.2.</t>
  </si>
  <si>
    <t>10.2.1.2</t>
  </si>
  <si>
    <t>10.2.1.1</t>
  </si>
  <si>
    <t>10.2.1.</t>
  </si>
  <si>
    <t>10.2.</t>
  </si>
  <si>
    <t>10.1.2.1</t>
  </si>
  <si>
    <t>10.1.2.</t>
  </si>
  <si>
    <t>PD03 - PORTA DE ABRIR, 2 FOLHAS, MADEIRA, 220 x 210 cm</t>
  </si>
  <si>
    <t>10.1.1.4</t>
  </si>
  <si>
    <t>PD02 - PORTA DE ABRIR, 2 FOLHAS, MADEIRA, 197 x 210 cm</t>
  </si>
  <si>
    <t>10.1.1.3</t>
  </si>
  <si>
    <t>10.1.1.2</t>
  </si>
  <si>
    <t>10.1.1.1</t>
  </si>
  <si>
    <t>10.1.1.</t>
  </si>
  <si>
    <t>10.1.</t>
  </si>
  <si>
    <t>20. ESQUADRIAS DE MADEIRA</t>
  </si>
  <si>
    <t>10.</t>
  </si>
  <si>
    <t>PV06 - PORTA DE CORRER, 3 FOLHAS, ALUMINIO E VIDRO, 345 x 230 cm</t>
  </si>
  <si>
    <t>9.3.3.13</t>
  </si>
  <si>
    <t>PV04 - PORTA DE CORRER, 3 FOLHAS, ALUMINIO E VIDRO, 290 x 230 cm</t>
  </si>
  <si>
    <t>9.3.3.12</t>
  </si>
  <si>
    <t>PV03 - PORTA DE CORRER, 3 FOLHAS, ALUMINIO E VIDRO, 215 x 230 cm</t>
  </si>
  <si>
    <t>9.3.3.11</t>
  </si>
  <si>
    <t>PV02 - PORTA DE CORRER, 3 FOLHAS, ALUMINIO E VIDRO, 209 x 230 cm</t>
  </si>
  <si>
    <t>9.3.3.10</t>
  </si>
  <si>
    <t>PA04 - PORTA DE ABRIR, 1 FOLHA, ALUMINIO VENEZIANA, 80 x 210 cm</t>
  </si>
  <si>
    <t>9.3.3.9</t>
  </si>
  <si>
    <t>CONFERÊNCIA PD00 - PORTA DE ABRIR, 2 FOLHAS, A DEFINIR, 140 x 210 cm</t>
  </si>
  <si>
    <t>9.3.3.8</t>
  </si>
  <si>
    <t>CONFERÊNCIA PA05 - PORTA DE ABRIR, 1 FOLHA, A DEFINIR, 70 x 229 cm</t>
  </si>
  <si>
    <t>9.3.3.7</t>
  </si>
  <si>
    <t>CONFERÊNCIA P0XX - PORTA DE CORRER, 1 FOLHA, A DEFINIR, 70 x 210 cm</t>
  </si>
  <si>
    <t>9.3.3.6</t>
  </si>
  <si>
    <t>CONFERÊNCIA P0X - PORTA DE CORRER, 1 FOLHA, A DEFINIR, 90 x 210 cm</t>
  </si>
  <si>
    <t>9.3.3.5</t>
  </si>
  <si>
    <t>CONFERÊNCIA P07 - PORTA DE ABRIR, 1 FOLHA, MADEIRA, 90 x 210 cm</t>
  </si>
  <si>
    <t>9.3.3.4</t>
  </si>
  <si>
    <t>CONFERÊNCIA P06 - PORTA DE ABRIR, 1 FOLHA, A DEFINIR, 70 x 140 cm</t>
  </si>
  <si>
    <t>9.3.3.3</t>
  </si>
  <si>
    <t>CONFERÊNCIA P05 - PORTA DE ABRIR, 1 FOLHA, A DEFINIR, 70 x 180 cm</t>
  </si>
  <si>
    <t>9.3.3.2</t>
  </si>
  <si>
    <t>CONFERÊNCIA P03 - PORTA DE ABRIR, 1 FOLHA, MADEIRA, 80 x 210 cm</t>
  </si>
  <si>
    <t>9.3.3.1</t>
  </si>
  <si>
    <t>19.002. Esquadrias de alumínio</t>
  </si>
  <si>
    <t>9.3.3.</t>
  </si>
  <si>
    <t>Contramarco de Porta corta-fogo</t>
  </si>
  <si>
    <t>9.3.2.2</t>
  </si>
  <si>
    <t>Contramarco de Alumínio</t>
  </si>
  <si>
    <t>9.3.2.1</t>
  </si>
  <si>
    <t>19.001. Contramarco</t>
  </si>
  <si>
    <t>9.3.2.</t>
  </si>
  <si>
    <t>GP08 - GUARDA-CORPO, ALUMÍNIO E VIDRO, 80 cm</t>
  </si>
  <si>
    <t>9.3.1.4</t>
  </si>
  <si>
    <t>GP07 - GUARDA-CORPO, ALUMÍNIO E VIDRO, 80 cm</t>
  </si>
  <si>
    <t>9.3.1.3</t>
  </si>
  <si>
    <t>GP06 - GUARDA-CORPO, ALUMÍNIO E VIDRO, 80 cm</t>
  </si>
  <si>
    <t>9.3.1.2</t>
  </si>
  <si>
    <t>GP05 - GUARDA-CORPO, ALUMÍNIO E VIDRO, 80 cm</t>
  </si>
  <si>
    <t>9.3.1.1</t>
  </si>
  <si>
    <t>18.003. Guardo corpo</t>
  </si>
  <si>
    <t>9.3.1.</t>
  </si>
  <si>
    <t>9.3.</t>
  </si>
  <si>
    <t>PV07 - PORTA DE CORRER, 4 FOLHAS, ALUMINIO E VIDRO, 320 x 210 cm</t>
  </si>
  <si>
    <t>9.2.3.9</t>
  </si>
  <si>
    <t>PV05 - PORTA DE CORRER, 3 FOLHAS, ALUMINIO E VIDRO, 300 x 230 cm</t>
  </si>
  <si>
    <t>9.2.3.8</t>
  </si>
  <si>
    <t>PV05 - PORTA DE CORRER, 3 FOLHAS, ALUMINIO E VIDRO, 175 x 230 cm</t>
  </si>
  <si>
    <t>9.2.3.7</t>
  </si>
  <si>
    <t>9.2.3.6</t>
  </si>
  <si>
    <t>9.2.3.5</t>
  </si>
  <si>
    <t>9.2.3.4</t>
  </si>
  <si>
    <t>9.2.3.3</t>
  </si>
  <si>
    <t>9.2.3.2</t>
  </si>
  <si>
    <t>9.2.3.1</t>
  </si>
  <si>
    <t>9.2.3.</t>
  </si>
  <si>
    <t>9.2.2.2</t>
  </si>
  <si>
    <t>9.2.2.1</t>
  </si>
  <si>
    <t>9.2.2.</t>
  </si>
  <si>
    <t>GP04 - GUARDA-CORPO, ALUMÍNIO E VIDRO, 80 cm</t>
  </si>
  <si>
    <t>9.2.1.4</t>
  </si>
  <si>
    <t>GP03 - GUARDA-CORPO, ALUMÍNIO E VIDRO, 80 cm</t>
  </si>
  <si>
    <t>9.2.1.3</t>
  </si>
  <si>
    <t>GP02 - GUARDA-CORPO, ALUMÍNIO E VIDRO, 80 cm</t>
  </si>
  <si>
    <t>9.2.1.2</t>
  </si>
  <si>
    <t>GP01 - GUARDA-CORPO, ALUMÍNIO E VIDRO, 80 cm</t>
  </si>
  <si>
    <t>9.2.1.1</t>
  </si>
  <si>
    <t>9.2.1.</t>
  </si>
  <si>
    <t>9.2.</t>
  </si>
  <si>
    <t>PV12 - PORTA DE CORRER, 2 FOLHAS, ALUMINIO E VIDRO, 90 x 233 cm</t>
  </si>
  <si>
    <t>9.1.3.20</t>
  </si>
  <si>
    <t>PV12 - PORTA DE CORRER, 2 FOLHAS, ALUMINIO E VIDRO, 180 x 233 cm</t>
  </si>
  <si>
    <t>9.1.3.19</t>
  </si>
  <si>
    <t>PV11 - PORTA DE CORRER, 3 FOLHAS, ALUMINIO E VIDRO, 205 x 230 cm</t>
  </si>
  <si>
    <t>9.1.3.18</t>
  </si>
  <si>
    <t>PV10 - PORTA DE CORRER, 3 FOLHAS, ALUMINIO E VIDRO, 230 x 230 cm</t>
  </si>
  <si>
    <t>9.1.3.17</t>
  </si>
  <si>
    <t>PV09 - PORTA DE CORRER, 3 FOLHAS, ALUMINIO E VIDRO, 400 x 230 cm</t>
  </si>
  <si>
    <t>9.1.3.16</t>
  </si>
  <si>
    <t>PV08 - PORTA DE CORRER, 3 FOLHAS, ALUMINIO E VIDRO, 250 x 230 cm</t>
  </si>
  <si>
    <t>9.1.3.15</t>
  </si>
  <si>
    <t>9.1.3.14</t>
  </si>
  <si>
    <t>PV00 - PORTA DE ABRIR, 1 FOLHA, ALUMINIO E VIDRO, 97 x 80 cm</t>
  </si>
  <si>
    <t>9.1.3.13</t>
  </si>
  <si>
    <t>PV00 - PORTA DE ABRIR, 1 FOLHA, ALUMINIO E VIDRO, 133 x 80 cm</t>
  </si>
  <si>
    <t>9.1.3.12</t>
  </si>
  <si>
    <t>PV00 - PORTA DE ABRIR, 1 FOLHA, ALUMINIO E VIDRO, 100 x 210 cm</t>
  </si>
  <si>
    <t>9.1.3.11</t>
  </si>
  <si>
    <t>PG01 - PORTÃO BASCULANTE, 1 FOLHA, ALUMINIO, 350 x 265 cm</t>
  </si>
  <si>
    <t>9.1.3.10</t>
  </si>
  <si>
    <t>PA0XX - PORTA DE ABRIR, 1 FOLHA, ALUMINIO VENEZIANA, 270 x 210 cm</t>
  </si>
  <si>
    <t>9.1.3.9</t>
  </si>
  <si>
    <t>PA0X - PORTA DE ABRIR, 1 FOLHA, ALUMINIO VENEZIANA, 220 x 210 cm</t>
  </si>
  <si>
    <t>9.1.3.8</t>
  </si>
  <si>
    <t>PA08 - PORTA DE ABRIR, 2 FOLHAS, ALUMINIO VENEZIANA, 125 x 110 cm</t>
  </si>
  <si>
    <t>9.1.3.7</t>
  </si>
  <si>
    <t>9.1.3.6</t>
  </si>
  <si>
    <t>PA03 - PORTA DE ABRIR, 1 FOLHA, ALUMINIO VENEZIANA, 70 x 210 cm</t>
  </si>
  <si>
    <t>9.1.3.5</t>
  </si>
  <si>
    <t>PA02 - PORTA DE ABRIR, 1 FOLHA, ALUMINIO VENEZIANA, 60 x 210 cm</t>
  </si>
  <si>
    <t>9.1.3.4</t>
  </si>
  <si>
    <t>PA01 - PORTA DE ABRIR, 1 FOLHA, ALUMINIO BOX DE PRAIA, 60 x 100 cm</t>
  </si>
  <si>
    <t>9.1.3.3</t>
  </si>
  <si>
    <t>9.1.3.2</t>
  </si>
  <si>
    <t>9.1.3.1</t>
  </si>
  <si>
    <t>9.1.3.</t>
  </si>
  <si>
    <t>9.1.2.2</t>
  </si>
  <si>
    <t>9.1.2.1</t>
  </si>
  <si>
    <t>9.1.2.</t>
  </si>
  <si>
    <t>CORRIMÃO DUPLO - ALUMÍNIO</t>
  </si>
  <si>
    <t>9.1.1.1</t>
  </si>
  <si>
    <t>9.1.1.</t>
  </si>
  <si>
    <t>9.1.</t>
  </si>
  <si>
    <t>19. ESQUADRIAS, VIDROS E FERRAGENS</t>
  </si>
  <si>
    <t>9.</t>
  </si>
  <si>
    <t xml:space="preserve"> Mão de obra para aplicação de textura acrílica em paredes internas, 2 demãos</t>
  </si>
  <si>
    <t>80040</t>
  </si>
  <si>
    <t>8.3.4.2</t>
  </si>
  <si>
    <t xml:space="preserve"> Mão de obra para pintura acrílica em paredes internas, 3 demãos</t>
  </si>
  <si>
    <t>4937</t>
  </si>
  <si>
    <t>8.3.4.1</t>
  </si>
  <si>
    <t>18.005. Mão de obra</t>
  </si>
  <si>
    <t>8.3.4.</t>
  </si>
  <si>
    <t>TEXTURA EM TETO</t>
  </si>
  <si>
    <t>8.3.3.5</t>
  </si>
  <si>
    <t>Fundo selador latex PVA em teto, 1 demao</t>
  </si>
  <si>
    <t>245</t>
  </si>
  <si>
    <t>8.3.3.4</t>
  </si>
  <si>
    <t>Textura acrilica aplicacao em teto, 1 demão, incluindo aplicação de uma demão de fundo selador látex pva</t>
  </si>
  <si>
    <t>1481</t>
  </si>
  <si>
    <t>8.3.3.3</t>
  </si>
  <si>
    <t xml:space="preserve"> Pintura com tinta látex em teto, acabamento fosco, aplicação manual, 3 demãos</t>
  </si>
  <si>
    <t>4930</t>
  </si>
  <si>
    <t>8.3.3.2</t>
  </si>
  <si>
    <t xml:space="preserve"> Aplicação e lixamento de massa látex PVA em teto, 2 demãos</t>
  </si>
  <si>
    <t>4929</t>
  </si>
  <si>
    <t>8.3.3.1</t>
  </si>
  <si>
    <t>18.003. Sistema de pintura em teto</t>
  </si>
  <si>
    <t>8.3.3.</t>
  </si>
  <si>
    <t xml:space="preserve"> Textura acrílica branca em paredes internas, acabamento suave, 1 demão</t>
  </si>
  <si>
    <t>4927</t>
  </si>
  <si>
    <t>8.3.2.4</t>
  </si>
  <si>
    <t xml:space="preserve"> Selador látex PVA, 1 demão</t>
  </si>
  <si>
    <t>4924</t>
  </si>
  <si>
    <t>8.3.2.3</t>
  </si>
  <si>
    <t xml:space="preserve"> Pintura com tinta acrílica em paredes internas, aplicação manual, 3 demãos</t>
  </si>
  <si>
    <t>4926</t>
  </si>
  <si>
    <t>8.3.2.2</t>
  </si>
  <si>
    <t>Massa latex acrílica em paredes internas 2 demaos</t>
  </si>
  <si>
    <t>90559</t>
  </si>
  <si>
    <t>8.3.2.1</t>
  </si>
  <si>
    <t>18.002. Sistemas de pintura em parede</t>
  </si>
  <si>
    <t>8.3.2.</t>
  </si>
  <si>
    <t>REVESTIMENTO - PISO PINTURA,</t>
  </si>
  <si>
    <t>8.3.1.1</t>
  </si>
  <si>
    <t>18.001. Sistema de pintura em piso</t>
  </si>
  <si>
    <t>8.3.1.</t>
  </si>
  <si>
    <t>8.3.</t>
  </si>
  <si>
    <t>8.2.4.2</t>
  </si>
  <si>
    <t>8.2.4.1</t>
  </si>
  <si>
    <t>8.2.4.</t>
  </si>
  <si>
    <t>8.2.3.5</t>
  </si>
  <si>
    <t>8.2.3.4</t>
  </si>
  <si>
    <t>8.2.3.3</t>
  </si>
  <si>
    <t>8.2.3.2</t>
  </si>
  <si>
    <t>8.2.3.1</t>
  </si>
  <si>
    <t>8.2.3.</t>
  </si>
  <si>
    <t>8.2.2.4</t>
  </si>
  <si>
    <t>8.2.2.3</t>
  </si>
  <si>
    <t>8.2.2.2</t>
  </si>
  <si>
    <t>8.2.2.1</t>
  </si>
  <si>
    <t>8.2.2.</t>
  </si>
  <si>
    <t>PINTURA DA PAREDE DA ESCADA</t>
  </si>
  <si>
    <t>8.2.1.1</t>
  </si>
  <si>
    <t>8.2.1.</t>
  </si>
  <si>
    <t>8.2.</t>
  </si>
  <si>
    <t>8.1.5.2</t>
  </si>
  <si>
    <t>8.1.5.1</t>
  </si>
  <si>
    <t>8.1.5.</t>
  </si>
  <si>
    <t>REVESTIMENTO INTERNO, PAREDE -  FAIXAS DE GARAGEM</t>
  </si>
  <si>
    <t>8.1.4.1</t>
  </si>
  <si>
    <t>18.004. Pintura diversas</t>
  </si>
  <si>
    <t>8.1.4.</t>
  </si>
  <si>
    <t>8.1.3.5</t>
  </si>
  <si>
    <t>8.1.3.4</t>
  </si>
  <si>
    <t>8.1.3.3</t>
  </si>
  <si>
    <t>8.1.3.2</t>
  </si>
  <si>
    <t>8.1.3.1</t>
  </si>
  <si>
    <t>8.1.3.</t>
  </si>
  <si>
    <t>8.1.2.4</t>
  </si>
  <si>
    <t>8.1.2.3</t>
  </si>
  <si>
    <t>8.1.2.2</t>
  </si>
  <si>
    <t>8.1.2.1</t>
  </si>
  <si>
    <t>8.1.2.</t>
  </si>
  <si>
    <t>8.1.1.1</t>
  </si>
  <si>
    <t>8.1.1.</t>
  </si>
  <si>
    <t>8.1.</t>
  </si>
  <si>
    <t>18. SISTEMAS DE PINTURA INTERNA</t>
  </si>
  <si>
    <t>8.</t>
  </si>
  <si>
    <t>REVESTIMENTO - SOLEIRA,  SEM SOLEIRA  (Laje)</t>
  </si>
  <si>
    <t>7.4.5.2</t>
  </si>
  <si>
    <t xml:space="preserve"> Soleira de granito, acabamento polido, espessura 2cm </t>
  </si>
  <si>
    <t>4898</t>
  </si>
  <si>
    <t>7.4.5.1</t>
  </si>
  <si>
    <t>17.006. Soleiras</t>
  </si>
  <si>
    <t>7.4.5.</t>
  </si>
  <si>
    <t>SEM RODAPE,  (Parede padrão)</t>
  </si>
  <si>
    <t>7.4.4.5</t>
  </si>
  <si>
    <t>RODAPE PINTURA - 10cm,  (Parede padrão)</t>
  </si>
  <si>
    <t>7.4.4.4</t>
  </si>
  <si>
    <t xml:space="preserve"> Rodapé em porcelanato, altura 10cm, com placa 80x80</t>
  </si>
  <si>
    <t>4891</t>
  </si>
  <si>
    <t>7.4.4.3</t>
  </si>
  <si>
    <t xml:space="preserve">Rodapé em poliestireno, altura 15cm </t>
  </si>
  <si>
    <t>90521</t>
  </si>
  <si>
    <t>7.4.4.2</t>
  </si>
  <si>
    <t xml:space="preserve"> Rodapé em poliestireno, altura 10cm </t>
  </si>
  <si>
    <t>4882</t>
  </si>
  <si>
    <t>7.4.4.1</t>
  </si>
  <si>
    <t>17.005. Rodapés</t>
  </si>
  <si>
    <t>7.4.4.</t>
  </si>
  <si>
    <t>REVESTIMENTO - PISO VINILICO  (Laje)</t>
  </si>
  <si>
    <t>7.4.3.1</t>
  </si>
  <si>
    <t>17.004. Acabamentos especiais em piso</t>
  </si>
  <si>
    <t>7.4.3.</t>
  </si>
  <si>
    <t>REVESTIMENTO - PISO PEDRA NATURAL  (Laje)</t>
  </si>
  <si>
    <t>7.4.2.1</t>
  </si>
  <si>
    <t>17.003. Acabamentos pedra em piso</t>
  </si>
  <si>
    <t>7.4.2.</t>
  </si>
  <si>
    <t>PISO - A definir 104_REVESTIMENTO ESPELHO ESCADA - ESCADA PRESSURIZADA  -  COMPOSICAO A DEFINIR,  (Parede padrão)</t>
  </si>
  <si>
    <t>7.4.1.2</t>
  </si>
  <si>
    <t xml:space="preserve"> Revestimento interno de piso porcelanato, placa 80x80, aplicação em áreas internas</t>
  </si>
  <si>
    <t>4883</t>
  </si>
  <si>
    <t>7.4.1.1</t>
  </si>
  <si>
    <t>17.001. Acabamentos cerâmicos em piso</t>
  </si>
  <si>
    <t>7.4.1.</t>
  </si>
  <si>
    <t>7.4.</t>
  </si>
  <si>
    <t>onde vão as soleiras?</t>
  </si>
  <si>
    <t>7.3.5.2</t>
  </si>
  <si>
    <t>7.3.5.1</t>
  </si>
  <si>
    <t>7.3.5.</t>
  </si>
  <si>
    <t>box do banheiro</t>
  </si>
  <si>
    <t>7.3.4.5</t>
  </si>
  <si>
    <t>rodapé da escada - pintura?</t>
  </si>
  <si>
    <t>7.3.4.4</t>
  </si>
  <si>
    <t>7.3.4.3</t>
  </si>
  <si>
    <t>7.3.4.2</t>
  </si>
  <si>
    <t>7.3.4.1</t>
  </si>
  <si>
    <t>7.3.4.</t>
  </si>
  <si>
    <t>7.3.3.1</t>
  </si>
  <si>
    <t>7.3.3.</t>
  </si>
  <si>
    <t>7.3.2.1</t>
  </si>
  <si>
    <t>7.3.2.</t>
  </si>
  <si>
    <t>7.3.1.2</t>
  </si>
  <si>
    <t>7.3.1.1</t>
  </si>
  <si>
    <t>7.3.1.</t>
  </si>
  <si>
    <t>7.3.</t>
  </si>
  <si>
    <t>REVESTIMENTO - PISO  (Laje)</t>
  </si>
  <si>
    <t>7.2.1.1</t>
  </si>
  <si>
    <t>7.2.1.</t>
  </si>
  <si>
    <t>7.2.</t>
  </si>
  <si>
    <t>7.1.4.1</t>
  </si>
  <si>
    <t>7.1.4.</t>
  </si>
  <si>
    <t>7.1.3.5</t>
  </si>
  <si>
    <t>7.1.3.4</t>
  </si>
  <si>
    <t>RODAPE DE PORCELANATO - 15cm,  (Parede padrão)</t>
  </si>
  <si>
    <t>7.1.3.3</t>
  </si>
  <si>
    <t>7.1.3.2</t>
  </si>
  <si>
    <t>CONFERÊNCIA RODAPE A DEFINIR - Xcm,  (Parede padrão)</t>
  </si>
  <si>
    <t>7.1.3.1</t>
  </si>
  <si>
    <t>7.1.3.</t>
  </si>
  <si>
    <t>7.1.2.5</t>
  </si>
  <si>
    <t>REVESTIMENTO - PISO PASTILHA  (Laje)</t>
  </si>
  <si>
    <t>7.1.2.4</t>
  </si>
  <si>
    <t>REVESTIMENTO - PISO GRAMA  (Laje)</t>
  </si>
  <si>
    <t>7.1.2.3</t>
  </si>
  <si>
    <t>REVESTIMENTO - PISO EMBORRACHADO  (Laje)</t>
  </si>
  <si>
    <t>7.1.2.2</t>
  </si>
  <si>
    <t>REVESTIMENTO - PISO DECK EXTERNO PRONTO  (Laje)</t>
  </si>
  <si>
    <t>7.1.2.1</t>
  </si>
  <si>
    <t>7.1.2.</t>
  </si>
  <si>
    <t>REVESTIMENTO - PISO PORCELANATO,   (Parede padrão)</t>
  </si>
  <si>
    <t>7.1.1.5</t>
  </si>
  <si>
    <t>7.1.1.4</t>
  </si>
  <si>
    <t>REVESTIMENTO - PISO PORCELANATO EXT  (Laje)</t>
  </si>
  <si>
    <t>7.1.1.3</t>
  </si>
  <si>
    <t>7.1.1.2</t>
  </si>
  <si>
    <t>7.1.1.1</t>
  </si>
  <si>
    <t>7.1.1.</t>
  </si>
  <si>
    <t>7.1.</t>
  </si>
  <si>
    <t>17. ACABAMENTOS EM PISO E PAVIMENTAÇÕES</t>
  </si>
  <si>
    <t>7.</t>
  </si>
  <si>
    <t xml:space="preserve"> Mão de obra de execução contrapiso comum</t>
  </si>
  <si>
    <t>4863</t>
  </si>
  <si>
    <t>6.4.2.1</t>
  </si>
  <si>
    <t>16.004. Mão de obra</t>
  </si>
  <si>
    <t>6.4.2.</t>
  </si>
  <si>
    <t>60</t>
  </si>
  <si>
    <t>6.4.1.1</t>
  </si>
  <si>
    <t>6.4.1.</t>
  </si>
  <si>
    <t>6.4.</t>
  </si>
  <si>
    <t>6.3.2.1</t>
  </si>
  <si>
    <t>6.3.2.</t>
  </si>
  <si>
    <t>6.3.1.1</t>
  </si>
  <si>
    <t>6.3.1.</t>
  </si>
  <si>
    <t>6.3.</t>
  </si>
  <si>
    <t>6.2.1.1</t>
  </si>
  <si>
    <t>6.2.1.</t>
  </si>
  <si>
    <t>6.2.</t>
  </si>
  <si>
    <t>6.1.2.1</t>
  </si>
  <si>
    <t>6.1.2.</t>
  </si>
  <si>
    <t>6.1.1.1</t>
  </si>
  <si>
    <t>6.1.1.</t>
  </si>
  <si>
    <t>6.1.</t>
  </si>
  <si>
    <t>16. REVESTIMENTOS ARGAMASSADOS EM PISO E PAVIMENTAÇÕES</t>
  </si>
  <si>
    <t>6.</t>
  </si>
  <si>
    <t>SEM ACABAMENTO</t>
  </si>
  <si>
    <t>5.4.2.2</t>
  </si>
  <si>
    <t>5.4.2.1</t>
  </si>
  <si>
    <t>15.002. Acabamento especial em teto</t>
  </si>
  <si>
    <t>5.4.2.</t>
  </si>
  <si>
    <t xml:space="preserve"> Gesso negativo - material e mão de obra</t>
  </si>
  <si>
    <t>4876</t>
  </si>
  <si>
    <t>5.4.1.3</t>
  </si>
  <si>
    <t xml:space="preserve"> Forro de gesso acartonado, aplicação em áreas secas - material e mão de obra</t>
  </si>
  <si>
    <t>4872</t>
  </si>
  <si>
    <t>5.4.1.2</t>
  </si>
  <si>
    <t xml:space="preserve"> Forro de gesso acartonado, aplicação em áreas molhadas - material e mão de obra</t>
  </si>
  <si>
    <t>4873</t>
  </si>
  <si>
    <t>5.4.1.1</t>
  </si>
  <si>
    <t>15.001. Acabamento de gesso em teto</t>
  </si>
  <si>
    <t>5.4.1.</t>
  </si>
  <si>
    <t>5.4.</t>
  </si>
  <si>
    <t>5.3.2.2</t>
  </si>
  <si>
    <t>5.3.2.1</t>
  </si>
  <si>
    <t>5.3.2.</t>
  </si>
  <si>
    <t>5.3.1.3</t>
  </si>
  <si>
    <t>5.3.1.2</t>
  </si>
  <si>
    <t>5.3.1.1</t>
  </si>
  <si>
    <t>5.3.1.</t>
  </si>
  <si>
    <t>5.3.</t>
  </si>
  <si>
    <t>IMPERMEABILIZACAO</t>
  </si>
  <si>
    <t>5.2.1.1</t>
  </si>
  <si>
    <t>5.2.1.</t>
  </si>
  <si>
    <t>5.2.</t>
  </si>
  <si>
    <t>5.1.2.4</t>
  </si>
  <si>
    <t>5.1.2.3</t>
  </si>
  <si>
    <t>PROJEÇÃO AREA SUPERIOR PERGOLADO</t>
  </si>
  <si>
    <t>5.1.2.2</t>
  </si>
  <si>
    <t>FORRO EM ACM</t>
  </si>
  <si>
    <t>5.1.2.1</t>
  </si>
  <si>
    <t>5.1.2.</t>
  </si>
  <si>
    <t>5.1.1.2</t>
  </si>
  <si>
    <t>5.1.1.1</t>
  </si>
  <si>
    <t>5.1.1.</t>
  </si>
  <si>
    <t>5.1.</t>
  </si>
  <si>
    <t>15. ACABAMENTOS INTERNOS EM TETO</t>
  </si>
  <si>
    <t>5.</t>
  </si>
  <si>
    <t xml:space="preserve"> Peitoril em granito, acabamento polido, esp. 2cm </t>
  </si>
  <si>
    <t>4902</t>
  </si>
  <si>
    <t>4.3.3.1</t>
  </si>
  <si>
    <t>13.003 - Peitoris</t>
  </si>
  <si>
    <t>4.3.3.</t>
  </si>
  <si>
    <t xml:space="preserve">Acabamentos de elevador em granito, acabamento polido, esp. 2cm </t>
  </si>
  <si>
    <t>90511</t>
  </si>
  <si>
    <t>4.3.2.1</t>
  </si>
  <si>
    <t>13.002. Acabamentos especiais em parede</t>
  </si>
  <si>
    <t>4.3.2.</t>
  </si>
  <si>
    <t xml:space="preserve"> Revestimento interno de parede em porcelanato, placa 30x90cm, aplicação em banheiros e cozinhas</t>
  </si>
  <si>
    <t>4899</t>
  </si>
  <si>
    <t>4.3.1.1</t>
  </si>
  <si>
    <t>13.001. Acabamentos cerâmicos</t>
  </si>
  <si>
    <t>4.3.1.</t>
  </si>
  <si>
    <t>4.3.</t>
  </si>
  <si>
    <t>4.2.3.1</t>
  </si>
  <si>
    <t>4.2.3.</t>
  </si>
  <si>
    <t>4.2.2.1</t>
  </si>
  <si>
    <t>4.2.2.</t>
  </si>
  <si>
    <t>4.2.1.1</t>
  </si>
  <si>
    <t>4.2.1.</t>
  </si>
  <si>
    <t>4.2.</t>
  </si>
  <si>
    <t>4.1.4.1</t>
  </si>
  <si>
    <t>4.1.4.</t>
  </si>
  <si>
    <t>4.1.3.1</t>
  </si>
  <si>
    <t>4.1.3.</t>
  </si>
  <si>
    <t>REVESTIMENTO INTERNO, PAREDE - BRISE,   (Parede padrão)</t>
  </si>
  <si>
    <t>4.1.2.1</t>
  </si>
  <si>
    <t>13.002. Acabamentos especiais</t>
  </si>
  <si>
    <t>4.1.2.</t>
  </si>
  <si>
    <t>4.1.1.2</t>
  </si>
  <si>
    <t>REVESTIMENTO INTERNO, PAREDE - PASTILHA,   (Parede padrão)</t>
  </si>
  <si>
    <t>4.1.1.1</t>
  </si>
  <si>
    <t>4.1.1.</t>
  </si>
  <si>
    <t>4.1.</t>
  </si>
  <si>
    <t>13. ACABAMENTOS INTERNOS DE PAREDE</t>
  </si>
  <si>
    <t>4.</t>
  </si>
  <si>
    <t xml:space="preserve"> Mão de obra para reboco interno, incluso chapisco</t>
  </si>
  <si>
    <t>4865</t>
  </si>
  <si>
    <t>3.3.2.1</t>
  </si>
  <si>
    <t>12.004. Mão de obra</t>
  </si>
  <si>
    <t>3.3.2.</t>
  </si>
  <si>
    <t xml:space="preserve"> Massa única para paredes internas em argamassa estabilizada, aplicação manual, espessura 2cm, com execução de taliscas</t>
  </si>
  <si>
    <t>4861</t>
  </si>
  <si>
    <t>3.3.1.3</t>
  </si>
  <si>
    <t>Chapisco rolado aplicado em alvenaria, com desempenadeira dentada</t>
  </si>
  <si>
    <t>90507</t>
  </si>
  <si>
    <t>3.3.1.2</t>
  </si>
  <si>
    <t>Chapisco adesivo aplicado em concreto, com desempenadeira dentada</t>
  </si>
  <si>
    <t>90541</t>
  </si>
  <si>
    <t>3.3.1.1</t>
  </si>
  <si>
    <t>12.001. Reboco interno</t>
  </si>
  <si>
    <t>3.3.1.</t>
  </si>
  <si>
    <t>3.3.</t>
  </si>
  <si>
    <t>3.2.2.1</t>
  </si>
  <si>
    <t>3.2.2.</t>
  </si>
  <si>
    <t>3.2.1.3</t>
  </si>
  <si>
    <t>3.2.1.2</t>
  </si>
  <si>
    <t>3.2.1.1</t>
  </si>
  <si>
    <t>3.2.1.</t>
  </si>
  <si>
    <t>3.2.</t>
  </si>
  <si>
    <t>RODAPÉ - AREA TECNICA - LAZER  -  RODAPE A DEFINIR - Xcm,  (Parede padrão)</t>
  </si>
  <si>
    <t>3.1.3.5</t>
  </si>
  <si>
    <t>56_BRISE METALICO 2 cm  -  BRISE METALICO A DEFINIR,  (Parede padrão)</t>
  </si>
  <si>
    <t>3.1.3.4</t>
  </si>
  <si>
    <t>56_BRISE AMADEIRADO 2 cm  -  BRISE AMADEIRADO A DEFINIR,  (Parede padrão)</t>
  </si>
  <si>
    <t>3.1.3.3</t>
  </si>
  <si>
    <t>55_BRISE 10cm  -  BRISE A DEFINIR,  (Parede padrão)</t>
  </si>
  <si>
    <t>3.1.3.2</t>
  </si>
  <si>
    <t>50_PAINEL 7cm  -  PAINEL A DEFINIR,  (Parede padrão)</t>
  </si>
  <si>
    <t>3.1.3.1</t>
  </si>
  <si>
    <t>Revestimento Argamassado Interno em parede (a definir)</t>
  </si>
  <si>
    <t>3.1.3.</t>
  </si>
  <si>
    <t>3.1.2.1</t>
  </si>
  <si>
    <t>3.1.2.</t>
  </si>
  <si>
    <t>3.1.1.3</t>
  </si>
  <si>
    <t>3.1.1.2</t>
  </si>
  <si>
    <t>3.1.1.1</t>
  </si>
  <si>
    <t>3.1.1.</t>
  </si>
  <si>
    <t>3.1.</t>
  </si>
  <si>
    <t>12. REVESTIMENTOS ARGAMASSADOS INTERNOS DE PAREDE</t>
  </si>
  <si>
    <t>3.</t>
  </si>
  <si>
    <t>Peitoril</t>
  </si>
  <si>
    <t>2.4.1.1</t>
  </si>
  <si>
    <t>04.007. Impermeabilização de esquadrias</t>
  </si>
  <si>
    <t>2.4.1.</t>
  </si>
  <si>
    <t>2.4.</t>
  </si>
  <si>
    <t>2.3.1.1</t>
  </si>
  <si>
    <t>2.3.1.</t>
  </si>
  <si>
    <t>2.3.</t>
  </si>
  <si>
    <t>Polímero acrílico - janela</t>
  </si>
  <si>
    <t>2.2.3.1</t>
  </si>
  <si>
    <t>2.2.3.</t>
  </si>
  <si>
    <t xml:space="preserve"> Impermeabilização com argamassa polimérica, 3 demãos</t>
  </si>
  <si>
    <t>4842</t>
  </si>
  <si>
    <t>2.2.2.1</t>
  </si>
  <si>
    <t>04.006. Impermeabilização de banheiro, cozinha e sacada</t>
  </si>
  <si>
    <t>2.2.2.</t>
  </si>
  <si>
    <t>VERIFICAR MATERIAL   -  TERRAÇO (Parede padrão)</t>
  </si>
  <si>
    <t>2.2.1.2</t>
  </si>
  <si>
    <t>VERIFICAR MATERIAL TERRAÇO (Laje)</t>
  </si>
  <si>
    <t>2.2.1.1</t>
  </si>
  <si>
    <t>04.004. Impermeabilização de lajes e terraços</t>
  </si>
  <si>
    <t>2.2.1.</t>
  </si>
  <si>
    <t>2.2.</t>
  </si>
  <si>
    <t>2.1.1.1</t>
  </si>
  <si>
    <t>2.1.1.</t>
  </si>
  <si>
    <t>2.1.</t>
  </si>
  <si>
    <t>04. IMPERMEABILIZAÇÃO E TRATAMENTOS</t>
  </si>
  <si>
    <t>2.</t>
  </si>
  <si>
    <t>TIJOLO REFRATARIO, 0,016 (Parede padrão)</t>
  </si>
  <si>
    <t>1.4.5.1</t>
  </si>
  <si>
    <t>Alvenaria de vedação com tijolo refratário</t>
  </si>
  <si>
    <t>1.4.5.</t>
  </si>
  <si>
    <t>Mão de obra blocos sílico calcário  (Parede padrão)</t>
  </si>
  <si>
    <t>1.4.4.2</t>
  </si>
  <si>
    <t>Mão de obra alvenaria cerâmica</t>
  </si>
  <si>
    <t>1.4.4.1</t>
  </si>
  <si>
    <t>03.005. Mão de obra</t>
  </si>
  <si>
    <t>1.4.4.</t>
  </si>
  <si>
    <t xml:space="preserve"> Verga/contraverga de concreto, moldada in loco</t>
  </si>
  <si>
    <t>4831</t>
  </si>
  <si>
    <t>1.4.3.4</t>
  </si>
  <si>
    <t xml:space="preserve"> Tela soldada para ligação alvenaria/estrutura</t>
  </si>
  <si>
    <t>4829</t>
  </si>
  <si>
    <t>1.4.3.3</t>
  </si>
  <si>
    <t xml:space="preserve"> Encunhamento de alvenaria de vedação com argamassa expansiva</t>
  </si>
  <si>
    <t>4828</t>
  </si>
  <si>
    <t>1.4.3.2</t>
  </si>
  <si>
    <t>1.4.3.1</t>
  </si>
  <si>
    <t>03.003. Serviços complementares para alvenaria de vedação</t>
  </si>
  <si>
    <t>1.4.3.</t>
  </si>
  <si>
    <t>BLOCO ANTI CHAMAS, 0,15 (Parede padrão)</t>
  </si>
  <si>
    <t>1.4.2.2</t>
  </si>
  <si>
    <t>BLOCO ANTI CHAMAS, 0,125 (Parede padrão)</t>
  </si>
  <si>
    <t>1.4.2.1</t>
  </si>
  <si>
    <t>03.002. Alvenaria de vedação com blocos de concreto</t>
  </si>
  <si>
    <t>1.4.2.</t>
  </si>
  <si>
    <t>Alvenaria de vedação de blocos cerâmicos furados na horizontal de 19x19x19cm (espessura 19cm) com argamassa industrializada de assentamento</t>
  </si>
  <si>
    <t>90472</t>
  </si>
  <si>
    <t>1.4.1.5</t>
  </si>
  <si>
    <t xml:space="preserve"> Alvenaria de vedação de blocos cerâmicos furados na horizontal de 14x19x19cm (espessura 14cm) com argamassa industrializada de assentamento</t>
  </si>
  <si>
    <t>4826</t>
  </si>
  <si>
    <t>1.4.1.4</t>
  </si>
  <si>
    <t xml:space="preserve"> Alvenaria de vedação de blocos cerâmicos furados na horizontal de 11,5x19x19cm (espessura 11,5cm) com argamassa industrializada de assentamento</t>
  </si>
  <si>
    <t>4825</t>
  </si>
  <si>
    <t>1.4.1.3</t>
  </si>
  <si>
    <t>BLOCO CERAMICO, 0,09 (Parede padrão)</t>
  </si>
  <si>
    <t>1.4.1.2</t>
  </si>
  <si>
    <t>BLOCO CERAMICO, 0,05 (Parede padrão)</t>
  </si>
  <si>
    <t>1.4.1.1</t>
  </si>
  <si>
    <t>03.001. Alvenaria de vedação com blocos cerâmicos</t>
  </si>
  <si>
    <t>1.4.1.</t>
  </si>
  <si>
    <t>1.4.</t>
  </si>
  <si>
    <t>1.3.5.1</t>
  </si>
  <si>
    <t>1.3.5.</t>
  </si>
  <si>
    <t>1.3.4.2</t>
  </si>
  <si>
    <t>1.3.4.1</t>
  </si>
  <si>
    <t>1.3.4.</t>
  </si>
  <si>
    <t>1.3.3.4</t>
  </si>
  <si>
    <t>1.3.3.3</t>
  </si>
  <si>
    <t>1.3.3.2</t>
  </si>
  <si>
    <t>1.3.3.1</t>
  </si>
  <si>
    <t>1.3.3.</t>
  </si>
  <si>
    <t>1.3.2.3</t>
  </si>
  <si>
    <t>1.3.2.2</t>
  </si>
  <si>
    <t>BLOCO CONCRETO, 0,05 (Parede padrão)</t>
  </si>
  <si>
    <t>1.3.2.1</t>
  </si>
  <si>
    <t>1.3.2.</t>
  </si>
  <si>
    <t>1.3.1.5</t>
  </si>
  <si>
    <t>1.3.1.4</t>
  </si>
  <si>
    <t>1.3.1.3</t>
  </si>
  <si>
    <t>1.3.1.2</t>
  </si>
  <si>
    <t>1.3.1.1</t>
  </si>
  <si>
    <t>1.3.1.</t>
  </si>
  <si>
    <t>1.3.</t>
  </si>
  <si>
    <t>1.2.1.1</t>
  </si>
  <si>
    <t>1.2.1.</t>
  </si>
  <si>
    <t>1.2.</t>
  </si>
  <si>
    <t>1.1.4.2</t>
  </si>
  <si>
    <t>1.1.3.4</t>
  </si>
  <si>
    <t>1.1.3.3</t>
  </si>
  <si>
    <t>1.1.2.3</t>
  </si>
  <si>
    <t>03. PAREDES E PAINÉIS</t>
  </si>
  <si>
    <t>Observação</t>
  </si>
  <si>
    <t>%</t>
  </si>
  <si>
    <t>Preço total</t>
  </si>
  <si>
    <t>Código</t>
  </si>
  <si>
    <t>TABELA DE ORÇAMENTO</t>
  </si>
  <si>
    <t>Execução</t>
  </si>
  <si>
    <t>Geral da edificação</t>
  </si>
  <si>
    <t>Preço</t>
  </si>
  <si>
    <t>RESUMO</t>
  </si>
  <si>
    <t>SC</t>
  </si>
  <si>
    <t>UF</t>
  </si>
  <si>
    <t>Porto Belo</t>
  </si>
  <si>
    <t>THOZEN</t>
  </si>
  <si>
    <t>ELECTRA TOWERS</t>
  </si>
  <si>
    <t>l</t>
  </si>
  <si>
    <t>SELADOR ACRÍLICO</t>
  </si>
  <si>
    <t>Original</t>
  </si>
  <si>
    <t>INSUMO</t>
  </si>
  <si>
    <t>2552</t>
  </si>
  <si>
    <t>TEXTURA ACRÍLICA</t>
  </si>
  <si>
    <t>2940</t>
  </si>
  <si>
    <t>PINTURA EXTERNA</t>
  </si>
  <si>
    <t>MASSA CORRIDA PVA</t>
  </si>
  <si>
    <t>2186</t>
  </si>
  <si>
    <t>SELADOR LÁTEX PVA</t>
  </si>
  <si>
    <t>2553</t>
  </si>
  <si>
    <t>TINTA LÁTEX ACRÍLICA</t>
  </si>
  <si>
    <t>2944</t>
  </si>
  <si>
    <t>CHAPISCO COLANTE 20KG</t>
  </si>
  <si>
    <t>48373</t>
  </si>
  <si>
    <t>CHAPISCO EXTERNO</t>
  </si>
  <si>
    <t xml:space="preserve">ARGAMASSA ESTABILIZADA PARA CHAPISCO  </t>
  </si>
  <si>
    <t>457</t>
  </si>
  <si>
    <t>MÃO DE OBRA PARA APLICAÇÃO DE TEXTURA ACRÍLICA EM PAREDES INTERNAS, 2 DEMÃOS</t>
  </si>
  <si>
    <t>48466</t>
  </si>
  <si>
    <t>PINTURA PAREDE</t>
  </si>
  <si>
    <t>MÃO DE OBRA PARA APLICAÇÃO DE PINTURA LÁTEX ACRÍLICA EM PAREDES, 3 DEMÃOS</t>
  </si>
  <si>
    <t>2134</t>
  </si>
  <si>
    <t>PINTURA TETO</t>
  </si>
  <si>
    <t xml:space="preserve">LIXA EM FOLHA PARA PAREDE OU MADEIRA N° 120  </t>
  </si>
  <si>
    <t>1400</t>
  </si>
  <si>
    <t>1827</t>
  </si>
  <si>
    <t>PINTURA ACRÍLICA</t>
  </si>
  <si>
    <t>MASSA ACRÍLICA</t>
  </si>
  <si>
    <t>48483</t>
  </si>
  <si>
    <t>MASSA</t>
  </si>
  <si>
    <t>REJUNTE FLEXÍVEL</t>
  </si>
  <si>
    <t>4880</t>
  </si>
  <si>
    <t>GRANITO POLIDO</t>
  </si>
  <si>
    <t>1526</t>
  </si>
  <si>
    <t>ARGAMASSA COLANTE AC III</t>
  </si>
  <si>
    <t>193</t>
  </si>
  <si>
    <t>PISO PORCELANATO 80X80CM, ACABAMENTO NATURAL, PADRÃO MÉDIO</t>
  </si>
  <si>
    <t>4884</t>
  </si>
  <si>
    <t>ESPAÇADOR PLÁSTICO</t>
  </si>
  <si>
    <t>1412</t>
  </si>
  <si>
    <t>RODAPÉ POLIESTIRENO H=10CM</t>
  </si>
  <si>
    <t>2538</t>
  </si>
  <si>
    <t>COLA PARA RODAPÉ DE POLIESTIRENO</t>
  </si>
  <si>
    <t>738</t>
  </si>
  <si>
    <t>BUCHA T PARA RODAPÉ</t>
  </si>
  <si>
    <t>417</t>
  </si>
  <si>
    <t>RODAPÉ POLIESTIRENO H=15CM</t>
  </si>
  <si>
    <t>48465</t>
  </si>
  <si>
    <t>REJUNTE ACRÍLICO</t>
  </si>
  <si>
    <t>2521</t>
  </si>
  <si>
    <t>ESPAÇADOR PARA REVESTIMENTO CERÂMICO TIPO CRUZETA 5 MM</t>
  </si>
  <si>
    <t>4881</t>
  </si>
  <si>
    <t>MÃO DE OBRA PARA EXECUÇÃO DE CONTRAPISO</t>
  </si>
  <si>
    <t>2156</t>
  </si>
  <si>
    <t xml:space="preserve">ARGAMASSA ESTABILIZADA P/ CONTRAPISO  </t>
  </si>
  <si>
    <t>458</t>
  </si>
  <si>
    <t>CONTRAPISO</t>
  </si>
  <si>
    <t>GESSO NEGATIVO</t>
  </si>
  <si>
    <t>1514</t>
  </si>
  <si>
    <t>FORRO DE GESSO ACARTONADO, APLICAÇÃO EM ÁREAS ÚMIDAS - MATERIAL E MÃO DE OBRA</t>
  </si>
  <si>
    <t>4875</t>
  </si>
  <si>
    <t>FORRO EM GESSO</t>
  </si>
  <si>
    <t>FORRO DE GESSO ACARTONADO, APLICAÇÃO EM ÁREAS SECAS - MATERIAL E MÃO DE OBRA</t>
  </si>
  <si>
    <t>4874</t>
  </si>
  <si>
    <t>PEITORIL</t>
  </si>
  <si>
    <t>REVESTIMENTO PORCELANATO INTERNO 30X90CM</t>
  </si>
  <si>
    <t>48500</t>
  </si>
  <si>
    <t>MÃO DE OBRA PARA EXECUÇÃO DE CHAPISCO E REBOCO INTERNO EM PAREDES</t>
  </si>
  <si>
    <t>2154</t>
  </si>
  <si>
    <t>ARGAMASSA ESTABILIZADA PARA REBOCO</t>
  </si>
  <si>
    <t>197</t>
  </si>
  <si>
    <t>REBOCO</t>
  </si>
  <si>
    <t>ADITIVO ADESIVO LÍQUIDO PARA ARGAMASSA</t>
  </si>
  <si>
    <t>48481</t>
  </si>
  <si>
    <t>ARGAMASSA POLIMÉRICA IMPERMEABILIZANTE</t>
  </si>
  <si>
    <t>202</t>
  </si>
  <si>
    <t>TELA DE ACO SOLDADA, FIO 1,24MM, MALHA 15X15MM</t>
  </si>
  <si>
    <t>2901</t>
  </si>
  <si>
    <t>PINO LISO EM AÇO GALVANIZADO 1/2 X 22MM COM ARRUELA</t>
  </si>
  <si>
    <t>2260</t>
  </si>
  <si>
    <t>CARTUCHO 22 - CARGA LEVE PARA FINCA PINO E POLVORA</t>
  </si>
  <si>
    <t>718</t>
  </si>
  <si>
    <t>ARGAMASSA EXPANSIVA PARA ENCUNHAMENTO</t>
  </si>
  <si>
    <t>48435</t>
  </si>
  <si>
    <t>ENCUNHAMENTO</t>
  </si>
  <si>
    <t xml:space="preserve">AÇO CA-50 DIÂMETRO 6,30 MM </t>
  </si>
  <si>
    <t>32</t>
  </si>
  <si>
    <t>TÁBUA 1"X12" 2,5X30CM PINUS</t>
  </si>
  <si>
    <t>2611</t>
  </si>
  <si>
    <t>SARRAFO 2,5X7,5 CM PINUS</t>
  </si>
  <si>
    <t>2546</t>
  </si>
  <si>
    <t>PREGO POLIDO COM CABEÇA 17X21</t>
  </si>
  <si>
    <t>2362</t>
  </si>
  <si>
    <t>PONTALETE 7,5X7,5 CM  PINUS</t>
  </si>
  <si>
    <t>2324</t>
  </si>
  <si>
    <t>DESMOLDANTE DE FORMAS PARA CONCRETO</t>
  </si>
  <si>
    <t>4800</t>
  </si>
  <si>
    <t>CONCRETO USINADO FCK 20 MPA, SLUMP 14+/-2</t>
  </si>
  <si>
    <t>759</t>
  </si>
  <si>
    <t>BLOCO CERÂMICO 19X19X19CM</t>
  </si>
  <si>
    <t>48433</t>
  </si>
  <si>
    <t>194</t>
  </si>
  <si>
    <t>BLOCO CERÂMICO 14X19X19CM</t>
  </si>
  <si>
    <t>232</t>
  </si>
  <si>
    <t>BLOCO CERÂMICO 11,5X19X19CM</t>
  </si>
  <si>
    <t>228</t>
  </si>
  <si>
    <t>Unitário</t>
  </si>
  <si>
    <t xml:space="preserve">Grupo de
Serviço </t>
  </si>
  <si>
    <t>Justificativa</t>
  </si>
  <si>
    <t>Ref.
Código</t>
  </si>
  <si>
    <t>Ref.
Tabela</t>
  </si>
  <si>
    <t>Multiplicador</t>
  </si>
  <si>
    <t>TABELA DE COMPOSIÇÕES UTILIZADAS</t>
  </si>
  <si>
    <t>Mao_obra</t>
  </si>
  <si>
    <t>GERDAU</t>
  </si>
  <si>
    <t>Origem custo</t>
  </si>
  <si>
    <t>Tabela</t>
  </si>
  <si>
    <t>INSUMOS UTILIZADOS</t>
  </si>
  <si>
    <t>Tabela de insumos utilizados no projeto</t>
  </si>
  <si>
    <t>40 MPA</t>
  </si>
  <si>
    <t>Estaca Hélice</t>
  </si>
  <si>
    <t>CTN-TZN_HID-LM348-R01</t>
  </si>
  <si>
    <t>R03 — 8 subetapas orçamento — 17/abr/2026</t>
  </si>
  <si>
    <t>Hidrossanitário v3 — 8 Subetapas (Lista Geral)</t>
  </si>
  <si>
    <t>Dimensões</t>
  </si>
  <si>
    <t>Marca</t>
  </si>
  <si>
    <t>Qtd</t>
  </si>
  <si>
    <t>Unid</t>
  </si>
  <si>
    <t>Fonte PU</t>
  </si>
  <si>
    <t>58 itens</t>
  </si>
  <si>
    <t>Adaptador Longo com Flanges Livres</t>
  </si>
  <si>
    <t>50ø</t>
  </si>
  <si>
    <t>AMANCO/SIMILAR</t>
  </si>
  <si>
    <t>Estimativa</t>
  </si>
  <si>
    <t>60ø</t>
  </si>
  <si>
    <t>75ø</t>
  </si>
  <si>
    <t>90ø</t>
  </si>
  <si>
    <t>Adaptador Soldável Curto, PVC Marrom, Água Fria</t>
  </si>
  <si>
    <t>25ø-3/4"</t>
  </si>
  <si>
    <t>Belle Ville</t>
  </si>
  <si>
    <t>32ø-1"</t>
  </si>
  <si>
    <t>50ø-1 1/2"</t>
  </si>
  <si>
    <t>Bucha de Redução Soldável Curta, PVC Marrom, Água Fria</t>
  </si>
  <si>
    <t>32ø-25ø</t>
  </si>
  <si>
    <t>40ø-32ø</t>
  </si>
  <si>
    <t>Bucha de Redução Soldável Longa, PVC Marrom, Água Fria</t>
  </si>
  <si>
    <t>50ø-40ø</t>
  </si>
  <si>
    <t>50ø-32ø</t>
  </si>
  <si>
    <t>Curva de Transposição Soldável, PVC Marrom, Água Fria</t>
  </si>
  <si>
    <t>25ø-25ø</t>
  </si>
  <si>
    <t>32ø-32ø</t>
  </si>
  <si>
    <t>Joelho 45º Soldável, PVC Marrom, Água Fria</t>
  </si>
  <si>
    <t>40ø-40ø</t>
  </si>
  <si>
    <t>50ø-50ø</t>
  </si>
  <si>
    <t>60ø-60ø</t>
  </si>
  <si>
    <t>75ø-75ø</t>
  </si>
  <si>
    <t>Joelho 90° Redução Soldável, PVC Marrom, Água Fria</t>
  </si>
  <si>
    <t>Joelho 90° Roscável, PVC Marrom, Água Fria</t>
  </si>
  <si>
    <t>Joelho 90º Soldável - Bucha Latão, PVC Marrom, Água Fria</t>
  </si>
  <si>
    <t>25ø-1/2"</t>
  </si>
  <si>
    <t>Joelho 90º Soldável, PVC Marrom, Água Fria</t>
  </si>
  <si>
    <t>Joelho 90º Soldável/Roscável, PVC Marrom, Água Fria</t>
  </si>
  <si>
    <t>Luva Soldável, PVC Marrom, Água Fria</t>
  </si>
  <si>
    <t>Luva Soldável/Roscável, PVC Marrom, Água Fria</t>
  </si>
  <si>
    <t>40ø-1 1/4"</t>
  </si>
  <si>
    <t>Registro Esfera Soldável, PVC Marrom, Água Fria</t>
  </si>
  <si>
    <t>Tubo PVC rígido, cor marrom, linha soldável (Tubo de 6m)</t>
  </si>
  <si>
    <t>ø25mm</t>
  </si>
  <si>
    <t>ø32mm</t>
  </si>
  <si>
    <t>ø40mm</t>
  </si>
  <si>
    <t>ø50mm</t>
  </si>
  <si>
    <t>ø60mm</t>
  </si>
  <si>
    <t>ø75mm</t>
  </si>
  <si>
    <t>Tê Soldável - Bucha Latão, PVC Marrom, Água Fria</t>
  </si>
  <si>
    <t>Tê Soldável, PVC Marrom, Água Fria</t>
  </si>
  <si>
    <t>25ø-25ø-25ø</t>
  </si>
  <si>
    <t>32ø-32ø-32ø</t>
  </si>
  <si>
    <t>40ø-40ø-40ø</t>
  </si>
  <si>
    <t>50ø-50ø-50ø</t>
  </si>
  <si>
    <t>60ø-60ø-60ø</t>
  </si>
  <si>
    <t>75ø-75ø-75ø</t>
  </si>
  <si>
    <t>Tê Soldável/Roscável, PVC Marrom, Água Fria</t>
  </si>
  <si>
    <t>Tê de Redução Soldável, PVC Marrom, Água Fria</t>
  </si>
  <si>
    <t>40ø-25ø</t>
  </si>
  <si>
    <t>União Soldável, PVC Marrom, Água Fria</t>
  </si>
  <si>
    <t>SUBTOTAL Instalações de água fria</t>
  </si>
  <si>
    <t>24 itens</t>
  </si>
  <si>
    <t>Adaptador Transição Fêmea, PPR PN25</t>
  </si>
  <si>
    <t>90ø-3"</t>
  </si>
  <si>
    <t>Adaptador Transição Macho, PPR PN25</t>
  </si>
  <si>
    <t>Bucha de Redução MF, Super CPVC FlowGuard, Água Quente</t>
  </si>
  <si>
    <t>28ø-22ø</t>
  </si>
  <si>
    <t>Conector de Transição FM, Super CPVC FlowGuard, Água Quente</t>
  </si>
  <si>
    <t>22ø-3/4"</t>
  </si>
  <si>
    <t>Curva Transposição FF, Super CPVC FlowGuard, Água Quente</t>
  </si>
  <si>
    <t>22ø-22ø</t>
  </si>
  <si>
    <t>Joelho 45°, PPR PN25</t>
  </si>
  <si>
    <t>90ø-90ø</t>
  </si>
  <si>
    <t>Joelho 45º FF, SuperCPVC FlowGuard, Água Quente</t>
  </si>
  <si>
    <t>28ø-28ø</t>
  </si>
  <si>
    <t>Joelho 90°, PPR PN25</t>
  </si>
  <si>
    <t>Joelho 90º FF, SuperCPVC FlowGuard, Água Quente</t>
  </si>
  <si>
    <t>Joelho 90º Transição FF, Super CPVC FlowGuard, Água Quente</t>
  </si>
  <si>
    <t>15ø-1/2"</t>
  </si>
  <si>
    <t>22ø-1/2"</t>
  </si>
  <si>
    <t>28ø-1"</t>
  </si>
  <si>
    <t>Luva Transição FF, Super CPVC FlowGuard, Água Quente</t>
  </si>
  <si>
    <t>22ø-25ø</t>
  </si>
  <si>
    <t>Tubo CPVC FlowGuard, cor branca, linha soldável (Tubo de 3m)</t>
  </si>
  <si>
    <t>ø15mm</t>
  </si>
  <si>
    <t>ø22mm</t>
  </si>
  <si>
    <t>ø28mm</t>
  </si>
  <si>
    <t>Tubo PPR PN 25, linha soldável (Tubo de 3m)</t>
  </si>
  <si>
    <t>ø90mm</t>
  </si>
  <si>
    <t>Tê FFF, Super CPVC FlowGuard, Água Quente</t>
  </si>
  <si>
    <t>Tê Misturador FFF, Super CPVC FlowGuard, Água Quente</t>
  </si>
  <si>
    <t>Tê Redução FFF, Super CPVC FlowGuard, Água Quente</t>
  </si>
  <si>
    <t>Tê, PPR PN25</t>
  </si>
  <si>
    <t>SUBTOTAL Instalações de água quente</t>
  </si>
  <si>
    <t>68 itens</t>
  </si>
  <si>
    <t>Anel de Vedação Oring</t>
  </si>
  <si>
    <t>100ø</t>
  </si>
  <si>
    <t>150ø</t>
  </si>
  <si>
    <t>Anel de Vedação P/ Vaso Sanitário</t>
  </si>
  <si>
    <t>Bucha de Redução, Esgoto Série Normal</t>
  </si>
  <si>
    <t>Santa Maria</t>
  </si>
  <si>
    <t>Bucha de Redução, Esgoto Série Reforçada</t>
  </si>
  <si>
    <t>Caixa Sifonada Branca</t>
  </si>
  <si>
    <t>100ø-100ø-50ø</t>
  </si>
  <si>
    <t>150ø-150ø-50ø</t>
  </si>
  <si>
    <t>Curva 90º Curta, Esgoto Série Normal</t>
  </si>
  <si>
    <t>150ø-150ø</t>
  </si>
  <si>
    <t>Curva 90º, Esgoto Série Normal</t>
  </si>
  <si>
    <t>Filtro Pluvial Fabricante - Modelo: VF1</t>
  </si>
  <si>
    <t>3P TECHNIK</t>
  </si>
  <si>
    <t>Mercado</t>
  </si>
  <si>
    <t>Joelho 45º, Esgoto Série Normal</t>
  </si>
  <si>
    <t>100ø-100ø</t>
  </si>
  <si>
    <t>Joelho 45º, Esgoto Série Reforçada</t>
  </si>
  <si>
    <t>Joelho 90º, Esgoto Série Normal</t>
  </si>
  <si>
    <t>Joelho 90º, Esgoto Série Reforçada</t>
  </si>
  <si>
    <t>Junção Simples com Redução, Esgoto Série Normal</t>
  </si>
  <si>
    <t>75ø-50ø</t>
  </si>
  <si>
    <t>100ø-50ø</t>
  </si>
  <si>
    <t>Santa Maria (est.)</t>
  </si>
  <si>
    <t>Junção Simples com Redução, Esgoto Série Reforçada</t>
  </si>
  <si>
    <t>100ø-75ø</t>
  </si>
  <si>
    <t>150ø-100ø</t>
  </si>
  <si>
    <t>Junção Simples, Esgoto Série Normal</t>
  </si>
  <si>
    <t>Junção Simples, Esgoto Série Reforçada</t>
  </si>
  <si>
    <t>Luva Simples, Esgoto Série Normal</t>
  </si>
  <si>
    <t>Luva Simples, Esgoto Série Reforçada</t>
  </si>
  <si>
    <t>Ralo Seco Cilíndrico</t>
  </si>
  <si>
    <t>100ø-40ø</t>
  </si>
  <si>
    <t>Redução Excêntrica, Esgoto Série Normal</t>
  </si>
  <si>
    <t>Redução Excêntrica, Esgoto Série Reforçada</t>
  </si>
  <si>
    <t>Terminal de Ventilação</t>
  </si>
  <si>
    <t>Tubo PVC rígido, cor branca, linha Esgoto Série Normal (Tubo de 6m)</t>
  </si>
  <si>
    <t>ø100mm</t>
  </si>
  <si>
    <t>Tubo PVC rígido, cor branca, linha Esgoto Série Reforçada (Tubo de 6m)</t>
  </si>
  <si>
    <t>ø150mm</t>
  </si>
  <si>
    <t>Tê de Inspeção, Esgoto Série Normal</t>
  </si>
  <si>
    <t>SUBTOTAL Instalações de esgoto e pluviais</t>
  </si>
  <si>
    <t>20 itens</t>
  </si>
  <si>
    <t>Bomba Retorno de Lodo (BCS-220 - 1/3CV)</t>
  </si>
  <si>
    <t>Caixa de Distribuição, Concreto armado (C: 0,80m x L: 0,80m x P: 0,80m)</t>
  </si>
  <si>
    <t>Caixa de Gordura, Concreto armado - (C: 0,60m x L: 0,60m x P: 0,60m)</t>
  </si>
  <si>
    <t>Caixa de Gordura, Concreto armado - (C: 1,00m x L: 2,00m x P: 0,60m)</t>
  </si>
  <si>
    <t>Compressor Radial/Soprador (CR-6 - 4CV)</t>
  </si>
  <si>
    <t>Contactora (7.5CV)</t>
  </si>
  <si>
    <t>Difusor de Ar, Tubular (T-60/800)</t>
  </si>
  <si>
    <t>Medidor de Vazão de Recirculação - Modelo: MTLC-B</t>
  </si>
  <si>
    <t>Painel de Controle - disjuntor 20A</t>
  </si>
  <si>
    <t>Tampa de Inspeção, Ferro Fundido - Caixa de Distriuição - (0,80m x 0,80m)</t>
  </si>
  <si>
    <t>Tampa de Inspeção, Ferro Fundido - Caixa de Gordura - (0,60m x 0,60m)</t>
  </si>
  <si>
    <t>Tampa de Inspeção, Ferro Fundido - Caixa de Gordura - (1,0m x 1,0m)</t>
  </si>
  <si>
    <t>Tampa de Inspeção, Ferro Fundido - Tanques - (0,60m x 0,60m)</t>
  </si>
  <si>
    <t>Tanque Aeróbio, Concreto armado - (ø útil: 3,0m x altura útil: 2,10m)</t>
  </si>
  <si>
    <t>Tanque Anaeróbio, Concreto armado - (ø útil: 2,70m x altura útil: 2,0m)</t>
  </si>
  <si>
    <t>Tanque Anóxico, Concreto armado - (ø útil: 3,0m x altura útil: 2,10m)</t>
  </si>
  <si>
    <t>Tanque Decantador, Concreto armado - (ø útil: 3,0m x altura útil: 1,5m)</t>
  </si>
  <si>
    <t>Tanque Descarte de Lodo, Concreto armado - (ø útil: 3,0m x altura útil: 2,20m)</t>
  </si>
  <si>
    <t>Tanque Desinfecção, Concreto armado - (ø útil: 2,0m x altura útil: 1,8m)</t>
  </si>
  <si>
    <t>Timer digitar, 16 funções</t>
  </si>
  <si>
    <t>SUBTOTAL Cisterna</t>
  </si>
  <si>
    <t>2 itens</t>
  </si>
  <si>
    <t>Hidrômetro Multijato</t>
  </si>
  <si>
    <t>3/4"</t>
  </si>
  <si>
    <t>Hidrômetro Unijato</t>
  </si>
  <si>
    <t>SUBTOTAL Hidrômetros</t>
  </si>
  <si>
    <t>1 itens</t>
  </si>
  <si>
    <t>Caixa D'Água de Polietileno (7500L)</t>
  </si>
  <si>
    <t>FORTLEV/SIMILAR</t>
  </si>
  <si>
    <t>SUBTOTAL Reservatórios</t>
  </si>
  <si>
    <t>14 itens</t>
  </si>
  <si>
    <t>Chave de Fluxo - Modelo com Palheta</t>
  </si>
  <si>
    <t>Filtro tipo "T" Compact de 2"</t>
  </si>
  <si>
    <t>BERMAD</t>
  </si>
  <si>
    <t>Skid com 01 Pressurizador da Schneider (SP 12 C - 1/2cv)</t>
  </si>
  <si>
    <t>HYDROSYSTEM</t>
  </si>
  <si>
    <t>Skid com 02 Motobombas de recalque da Schneider (135/18 (C1) - AQUA-UP H02 - 12,5CV)</t>
  </si>
  <si>
    <t>Skid com 02 Pressurizadores da Schneider (CA PLUS-H02 - 1.1/2 HP)</t>
  </si>
  <si>
    <t>Ventosa Tríplice Função (C30 de 1")</t>
  </si>
  <si>
    <t>Ventosa Tríplice Função (C30 de 2")</t>
  </si>
  <si>
    <t>Válvula Controladora de Bomba (740Q de 2")</t>
  </si>
  <si>
    <t>Válvula Controladora de Nível (210-3W de 1 1/2") + Controladora + Micro Chave Bóia</t>
  </si>
  <si>
    <t>Válvula Pé de Crivo (3")</t>
  </si>
  <si>
    <t>DOCOL</t>
  </si>
  <si>
    <t>Válvula Redutora de Pressão - Modelo: Pilotada 420 - 2"</t>
  </si>
  <si>
    <t>Válvula Redutora de Pressão de Ação Direta (42 LP de 1 1/4")</t>
  </si>
  <si>
    <t>Válvula de Alívio e Segurança (430 de 2")</t>
  </si>
  <si>
    <t>Válvula de Retenção (VA 407-W de 2 1/2")</t>
  </si>
  <si>
    <t>SUBTOTAL Sistema de bombas</t>
  </si>
  <si>
    <t>0 itens</t>
  </si>
  <si>
    <t>A definir — benchmark Cartesian: R$ 55,00/m² AC</t>
  </si>
  <si>
    <t>SUBTOTAL Mão de obra</t>
  </si>
  <si>
    <t>TOTAL GERAL — CON 05 HIDROSSANITÁRIO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</si>
</sst>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8" formatCode="&quot;R$&quot;\ #,##0.00;[Red]\-&quot;R$&quot;\ #,##0.00"/>
    <numFmt numFmtId="44" formatCode="_-&quot;R$&quot;\ * #,##0.00_-;\-&quot;R$&quot;\ * #,##0.00_-;_-&quot;R$&quot;\ * &quot;-&quot;??_-;_-@_-"/>
    <numFmt numFmtId="43" formatCode="_-* #,##0.00_-;\-* #,##0.00_-;_-* &quot;-&quot;??_-;_-@_-"/>
    <numFmt numFmtId="164" formatCode="_-&quot;R$&quot;\ * #,##0.00_-;\-&quot;R$&quot;\ * #,##0.00_-;_-&quot;R$&quot;\ * &quot;-&quot;??_-;_-@"/>
    <numFmt numFmtId="165" formatCode="_(&quot;R$&quot;* #,##0.00_);_(&quot;R$&quot;* \(#,##0.00\);_(&quot;R$&quot;* &quot;-&quot;??_);_(@_)"/>
    <numFmt numFmtId="166" formatCode="_-* #,##0.00000_-;\-* #,##0.00000_-;_-* &quot;-&quot;??_-;_-@"/>
    <numFmt numFmtId="167" formatCode="_-* #,##0.00_-;\-* #,##0.00_-;_-* &quot;-&quot;??_-;_-@"/>
    <numFmt numFmtId="168" formatCode="_-* #,##0.000_-;\-* #,##0.000_-;_-* &quot;-&quot;??_-;_-@"/>
    <numFmt numFmtId="169" formatCode="_0.000\-&quot;Correção&quot;"/>
    <numFmt numFmtId="170" formatCode="dd/mm/yy"/>
    <numFmt numFmtId="171" formatCode="0#"/>
    <numFmt numFmtId="172" formatCode="00#"/>
    <numFmt numFmtId="173" formatCode="_(* #,##0.00_);_(* \(#,##0.00\);_(* &quot;-&quot;??_);_(@_)"/>
    <numFmt numFmtId="174" formatCode="dd/mm/yy;@"/>
    <numFmt numFmtId="175" formatCode="_-* #,##0_-;\-* #,##0_-;_-* &quot;-&quot;??_-;_-@"/>
    <numFmt numFmtId="176" formatCode="_-* #,##0.00000_-;\-* #,##0.00000_-;_-* &quot;-&quot;??_-;_-@_-"/>
    <numFmt numFmtId="177" formatCode="_(* #,##0.0000_);_(* \(#,##0.0000\);_(* &quot;-&quot;??_);_(@_)"/>
    <numFmt numFmtId="178" formatCode="00\ &quot;Meses&quot;"/>
    <numFmt numFmtId="179" formatCode="00\ &quot;un&quot;"/>
    <numFmt numFmtId="180" formatCode="0\ &quot;Mpa&quot;"/>
    <numFmt numFmtId="181" formatCode="#,##0.0000"/>
    <numFmt numFmtId="182" formatCode="#,##0.0"/>
    <numFmt numFmtId="183" formatCode="_-&quot;R$&quot;\ * #,##0.0000_-;\-&quot;R$&quot;\ * #,##0.0000_-;_-&quot;R$&quot;\ * &quot;-&quot;??_-;_-@_-"/>
    <numFmt numFmtId="184" formatCode="_-* #,##0.0000_-;\-* #,##0.0000_-;_-* &quot;-&quot;??_-;_-@"/>
    <numFmt numFmtId="185" formatCode="0.000%"/>
    <numFmt numFmtId="186" formatCode="#,##0.00&quot; m²&quot;"/>
    <numFmt numFmtId="187" formatCode="0.0000"/>
    <numFmt numFmtId="188" formatCode="mm/dd/yyyy;@"/>
    <numFmt numFmtId="189" formatCode="0.0"/>
    <numFmt numFmtId="190" formatCode="dd/mm/yyyy;@"/>
    <numFmt numFmtId="191" formatCode="00.00\ &quot;M²&quot;"/>
    <numFmt numFmtId="192" formatCode="0.0000000000"/>
    <numFmt numFmtId="193" formatCode="\R&quot;R$&quot;&quot; &quot;#,##0.00"/>
    <numFmt numFmtId="194" formatCode="0%;0%;&quot;-&quot;"/>
    <numFmt numFmtId="195" formatCode="0.0%"/>
    <numFmt numFmtId="196" formatCode="_-&quot;R$&quot;* #,##0.00_-;\-&quot;R$&quot;* #,##0.00_-;_-&quot;R$&quot;* &quot;-&quot;??_-;_-@_-"/>
    <numFmt numFmtId="197" formatCode="_-[$R$-416]\ * #,##0.00_-;\-[$R$-416]\ * #,##0.00_-;_-[$R$-416]\ * &quot;-&quot;??_-;_-@_-"/>
  </numFmts>
  <fonts count="234" x14ac:knownFonts="1">
    <font>
      <sz val="10"/>
      <color rgb="FF000000"/>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0"/>
      <color theme="1"/>
      <name val="Calibri"/>
      <family val="2"/>
    </font>
    <font>
      <sz val="10"/>
      <color theme="1"/>
      <name val="Calibri"/>
      <family val="2"/>
    </font>
    <font>
      <sz val="10"/>
      <name val="Arial"/>
      <family val="2"/>
    </font>
    <font>
      <sz val="9"/>
      <color theme="1"/>
      <name val="Calibri"/>
      <family val="2"/>
    </font>
    <font>
      <sz val="11"/>
      <color theme="1"/>
      <name val="Calibri"/>
      <family val="2"/>
    </font>
    <font>
      <sz val="10"/>
      <color theme="1"/>
      <name val="Arial"/>
      <family val="2"/>
    </font>
    <font>
      <b/>
      <sz val="8"/>
      <color theme="0"/>
      <name val="Calibri"/>
      <family val="2"/>
    </font>
    <font>
      <sz val="8"/>
      <color theme="1"/>
      <name val="Calibri"/>
      <family val="2"/>
    </font>
    <font>
      <b/>
      <sz val="7"/>
      <color theme="0"/>
      <name val="Arial"/>
      <family val="2"/>
    </font>
    <font>
      <sz val="7"/>
      <color theme="1"/>
      <name val="Arial"/>
      <family val="2"/>
    </font>
    <font>
      <u/>
      <sz val="7"/>
      <color rgb="FF0000FF"/>
      <name val="Arial"/>
      <family val="2"/>
    </font>
    <font>
      <sz val="8"/>
      <color rgb="FF121212"/>
      <name val="Calibri"/>
      <family val="2"/>
    </font>
    <font>
      <b/>
      <sz val="14"/>
      <color theme="1"/>
      <name val="Arial"/>
      <family val="2"/>
    </font>
    <font>
      <sz val="14"/>
      <color theme="1"/>
      <name val="Arial"/>
      <family val="2"/>
    </font>
    <font>
      <b/>
      <sz val="9"/>
      <color theme="1"/>
      <name val="Calibri"/>
      <family val="2"/>
    </font>
    <font>
      <sz val="8"/>
      <color rgb="FF7F7F7F"/>
      <name val="Calibri"/>
      <family val="2"/>
    </font>
    <font>
      <b/>
      <sz val="10"/>
      <color theme="0"/>
      <name val="Calibri"/>
      <family val="2"/>
    </font>
    <font>
      <sz val="8"/>
      <color rgb="FF7F7F7F"/>
      <name val="Arial"/>
      <family val="2"/>
    </font>
    <font>
      <b/>
      <sz val="9"/>
      <color theme="0"/>
      <name val="Calibri"/>
      <family val="2"/>
    </font>
    <font>
      <sz val="8"/>
      <color rgb="FFFF0000"/>
      <name val="Calibri"/>
      <family val="2"/>
    </font>
    <font>
      <sz val="8"/>
      <color theme="1"/>
      <name val="Arial"/>
      <family val="2"/>
    </font>
    <font>
      <b/>
      <sz val="8"/>
      <color theme="1"/>
      <name val="Arial"/>
      <family val="2"/>
    </font>
    <font>
      <sz val="8"/>
      <color rgb="FF000000"/>
      <name val="Calibri"/>
      <family val="2"/>
    </font>
    <font>
      <b/>
      <sz val="10"/>
      <color theme="0"/>
      <name val="Arial"/>
      <family val="2"/>
    </font>
    <font>
      <b/>
      <sz val="18"/>
      <color theme="0"/>
      <name val="Poppins"/>
    </font>
    <font>
      <b/>
      <sz val="14"/>
      <color theme="0"/>
      <name val="Arial"/>
      <family val="2"/>
    </font>
    <font>
      <sz val="12"/>
      <color theme="1"/>
      <name val="Arial"/>
      <family val="2"/>
    </font>
    <font>
      <b/>
      <sz val="14"/>
      <color rgb="FF121212"/>
      <name val="Poppins"/>
    </font>
    <font>
      <sz val="14"/>
      <color rgb="FF121212"/>
      <name val="Poppins"/>
    </font>
    <font>
      <sz val="10"/>
      <color rgb="FF121212"/>
      <name val="Poppins"/>
    </font>
    <font>
      <sz val="8"/>
      <color rgb="FF121212"/>
      <name val="Poppins"/>
    </font>
    <font>
      <sz val="5"/>
      <color theme="1"/>
      <name val="Roboto"/>
    </font>
    <font>
      <sz val="10"/>
      <color theme="1"/>
      <name val="Roboto"/>
    </font>
    <font>
      <sz val="7"/>
      <color rgb="FFFF0000"/>
      <name val="Arial"/>
      <family val="2"/>
    </font>
    <font>
      <sz val="10"/>
      <color rgb="FF000000"/>
      <name val="Arial"/>
      <family val="2"/>
      <scheme val="minor"/>
    </font>
    <font>
      <sz val="11"/>
      <name val="Arial"/>
      <family val="2"/>
      <scheme val="minor"/>
    </font>
    <font>
      <sz val="10"/>
      <name val="Arial"/>
      <family val="2"/>
    </font>
    <font>
      <sz val="8"/>
      <color theme="0" tint="-0.499984740745262"/>
      <name val="Arial"/>
      <family val="2"/>
    </font>
    <font>
      <sz val="10"/>
      <color rgb="FF000000"/>
      <name val="Arial"/>
      <family val="2"/>
      <scheme val="minor"/>
    </font>
    <font>
      <sz val="8"/>
      <name val="Arial"/>
      <family val="2"/>
    </font>
    <font>
      <sz val="10"/>
      <name val="Arial"/>
      <family val="2"/>
      <scheme val="minor"/>
    </font>
    <font>
      <sz val="8"/>
      <name val="Trebuchet MS"/>
      <family val="2"/>
    </font>
    <font>
      <sz val="9"/>
      <name val="Arial"/>
      <family val="2"/>
      <scheme val="minor"/>
    </font>
    <font>
      <sz val="9.5"/>
      <name val="Arial"/>
      <family val="2"/>
      <scheme val="minor"/>
    </font>
    <font>
      <sz val="8"/>
      <name val="Arial"/>
      <family val="2"/>
      <scheme val="minor"/>
    </font>
    <font>
      <b/>
      <sz val="8"/>
      <color theme="0"/>
      <name val="Arial"/>
      <family val="2"/>
      <scheme val="minor"/>
    </font>
    <font>
      <b/>
      <sz val="14"/>
      <color theme="0"/>
      <name val="Arial"/>
      <family val="2"/>
      <scheme val="minor"/>
    </font>
    <font>
      <sz val="8"/>
      <color rgb="FF121212"/>
      <name val="Arial"/>
      <family val="2"/>
      <scheme val="minor"/>
    </font>
    <font>
      <sz val="8"/>
      <color theme="1"/>
      <name val="Arial"/>
      <family val="2"/>
      <scheme val="minor"/>
    </font>
    <font>
      <sz val="10"/>
      <name val="Arial"/>
      <family val="2"/>
    </font>
    <font>
      <b/>
      <sz val="10"/>
      <color theme="0"/>
      <name val="Arial"/>
      <family val="2"/>
      <scheme val="minor"/>
    </font>
    <font>
      <b/>
      <sz val="10"/>
      <color theme="8" tint="-0.499984740745262"/>
      <name val="Arial"/>
      <family val="2"/>
      <scheme val="minor"/>
    </font>
    <font>
      <b/>
      <sz val="8"/>
      <name val="Arial"/>
      <family val="2"/>
    </font>
    <font>
      <sz val="1"/>
      <name val="Arial"/>
      <family val="2"/>
      <scheme val="minor"/>
    </font>
    <font>
      <b/>
      <sz val="9"/>
      <color theme="0"/>
      <name val="Arial"/>
      <family val="2"/>
      <scheme val="minor"/>
    </font>
    <font>
      <sz val="10"/>
      <color rgb="FF000000"/>
      <name val="Arial"/>
      <family val="2"/>
      <scheme val="minor"/>
    </font>
    <font>
      <b/>
      <sz val="9"/>
      <name val="Arial"/>
      <family val="2"/>
      <scheme val="minor"/>
    </font>
    <font>
      <sz val="11"/>
      <color theme="1"/>
      <name val="Poppins"/>
    </font>
    <font>
      <b/>
      <sz val="11"/>
      <color theme="1"/>
      <name val="Poppins"/>
    </font>
    <font>
      <b/>
      <sz val="11"/>
      <color theme="0"/>
      <name val="Poppins"/>
    </font>
    <font>
      <sz val="7"/>
      <name val="Arial"/>
      <family val="2"/>
    </font>
    <font>
      <b/>
      <sz val="14"/>
      <name val="Arial"/>
      <family val="2"/>
    </font>
    <font>
      <sz val="14"/>
      <name val="Arial"/>
      <family val="2"/>
    </font>
    <font>
      <b/>
      <sz val="9.5"/>
      <name val="Arial"/>
      <family val="2"/>
      <scheme val="minor"/>
    </font>
    <font>
      <sz val="8"/>
      <color theme="0" tint="-0.499984740745262"/>
      <name val="Arial"/>
      <family val="2"/>
      <scheme val="minor"/>
    </font>
    <font>
      <u/>
      <sz val="10"/>
      <color theme="10"/>
      <name val="Arial"/>
      <family val="2"/>
    </font>
    <font>
      <u/>
      <sz val="8"/>
      <color theme="10"/>
      <name val="Arial"/>
      <family val="2"/>
    </font>
    <font>
      <sz val="8"/>
      <color rgb="FFFF0000"/>
      <name val="Arial"/>
      <family val="2"/>
      <scheme val="minor"/>
    </font>
    <font>
      <b/>
      <sz val="8"/>
      <name val="Arial"/>
      <family val="2"/>
      <scheme val="minor"/>
    </font>
    <font>
      <sz val="11"/>
      <name val="Calibri"/>
      <family val="2"/>
    </font>
    <font>
      <b/>
      <sz val="11"/>
      <color theme="1"/>
      <name val="Calibri"/>
      <family val="2"/>
    </font>
    <font>
      <b/>
      <sz val="10"/>
      <color rgb="FF121212"/>
      <name val="Poppins"/>
    </font>
    <font>
      <b/>
      <sz val="15"/>
      <color theme="0"/>
      <name val="Poppins"/>
    </font>
    <font>
      <sz val="11"/>
      <color rgb="FF121212"/>
      <name val="Poppins"/>
    </font>
    <font>
      <b/>
      <sz val="8"/>
      <color theme="0"/>
      <name val="Poppins"/>
    </font>
    <font>
      <sz val="8"/>
      <color rgb="FFFF0000"/>
      <name val="Poppins"/>
    </font>
    <font>
      <sz val="8"/>
      <color theme="1"/>
      <name val="Poppins"/>
    </font>
    <font>
      <b/>
      <sz val="8"/>
      <color rgb="FF121212"/>
      <name val="Poppins"/>
    </font>
    <font>
      <b/>
      <sz val="8"/>
      <color rgb="FFFF0000"/>
      <name val="Poppins"/>
    </font>
    <font>
      <sz val="9"/>
      <color theme="1"/>
      <name val="Poppins"/>
    </font>
    <font>
      <b/>
      <sz val="9"/>
      <color theme="1"/>
      <name val="Poppins"/>
    </font>
    <font>
      <b/>
      <sz val="9"/>
      <color theme="0"/>
      <name val="Poppins"/>
    </font>
    <font>
      <sz val="9"/>
      <color rgb="FFA5A5A5"/>
      <name val="Poppins"/>
    </font>
    <font>
      <b/>
      <sz val="9"/>
      <color rgb="FF7F7F7F"/>
      <name val="Poppins"/>
    </font>
    <font>
      <sz val="9"/>
      <color rgb="FF7F7F7F"/>
      <name val="Poppins"/>
    </font>
    <font>
      <b/>
      <u/>
      <sz val="9"/>
      <color theme="1"/>
      <name val="Poppins"/>
    </font>
    <font>
      <sz val="9"/>
      <color theme="0"/>
      <name val="Poppins"/>
    </font>
    <font>
      <b/>
      <sz val="20"/>
      <color theme="0"/>
      <name val="Arial"/>
      <family val="2"/>
      <scheme val="minor"/>
    </font>
    <font>
      <i/>
      <sz val="10"/>
      <name val="Arial"/>
      <family val="2"/>
      <scheme val="minor"/>
    </font>
    <font>
      <b/>
      <i/>
      <sz val="9"/>
      <color theme="0"/>
      <name val="Arial"/>
      <family val="2"/>
      <scheme val="minor"/>
    </font>
    <font>
      <i/>
      <sz val="10"/>
      <color rgb="FF121212"/>
      <name val="Arial"/>
      <family val="2"/>
      <scheme val="minor"/>
    </font>
    <font>
      <i/>
      <sz val="9"/>
      <name val="Arial"/>
      <family val="2"/>
      <scheme val="minor"/>
    </font>
    <font>
      <sz val="10"/>
      <name val="Arial"/>
      <family val="2"/>
    </font>
    <font>
      <b/>
      <sz val="9"/>
      <name val="Poppins"/>
    </font>
    <font>
      <sz val="9"/>
      <name val="Poppins"/>
    </font>
    <font>
      <b/>
      <sz val="10"/>
      <name val="Arial"/>
      <family val="2"/>
      <scheme val="minor"/>
    </font>
    <font>
      <b/>
      <sz val="10"/>
      <color rgb="FF000000"/>
      <name val="Arial"/>
      <family val="2"/>
      <scheme val="minor"/>
    </font>
    <font>
      <sz val="10"/>
      <color theme="0"/>
      <name val="Arial"/>
      <family val="2"/>
      <scheme val="minor"/>
    </font>
    <font>
      <b/>
      <sz val="14"/>
      <name val="Arial"/>
      <family val="2"/>
      <scheme val="minor"/>
    </font>
    <font>
      <sz val="11"/>
      <color rgb="FF1851D6"/>
      <name val="Arial"/>
      <family val="2"/>
      <scheme val="minor"/>
    </font>
    <font>
      <sz val="10"/>
      <color theme="0"/>
      <name val="Arial"/>
      <family val="2"/>
    </font>
    <font>
      <b/>
      <sz val="10"/>
      <name val="Arial"/>
      <family val="2"/>
    </font>
    <font>
      <sz val="10"/>
      <color theme="8" tint="-0.499984740745262"/>
      <name val="Arial"/>
      <family val="2"/>
      <scheme val="minor"/>
    </font>
    <font>
      <sz val="10"/>
      <name val="MS Sans Serif"/>
      <family val="2"/>
    </font>
    <font>
      <b/>
      <sz val="8"/>
      <color theme="0"/>
      <name val="Arial"/>
      <family val="2"/>
    </font>
    <font>
      <sz val="9"/>
      <color rgb="FF0000FF"/>
      <name val="Arial"/>
      <family val="2"/>
      <scheme val="minor"/>
    </font>
    <font>
      <sz val="12"/>
      <color theme="1"/>
      <name val="Arial"/>
      <family val="2"/>
      <scheme val="minor"/>
    </font>
    <font>
      <sz val="1"/>
      <color theme="1"/>
      <name val="Arial"/>
      <family val="2"/>
      <scheme val="minor"/>
    </font>
    <font>
      <sz val="10"/>
      <color theme="1"/>
      <name val="Arial"/>
      <family val="2"/>
      <scheme val="minor"/>
    </font>
    <font>
      <b/>
      <sz val="12"/>
      <color theme="0"/>
      <name val="Arial"/>
      <family val="2"/>
      <scheme val="minor"/>
    </font>
    <font>
      <b/>
      <sz val="18"/>
      <color theme="0"/>
      <name val="Arial"/>
      <family val="2"/>
      <scheme val="minor"/>
    </font>
    <font>
      <b/>
      <i/>
      <sz val="12"/>
      <color theme="1"/>
      <name val="Arial"/>
      <family val="2"/>
      <scheme val="minor"/>
    </font>
    <font>
      <b/>
      <sz val="10"/>
      <color theme="1"/>
      <name val="Arial"/>
      <family val="2"/>
      <scheme val="minor"/>
    </font>
    <font>
      <b/>
      <i/>
      <sz val="10"/>
      <name val="Arial"/>
      <family val="2"/>
      <scheme val="minor"/>
    </font>
    <font>
      <b/>
      <sz val="14"/>
      <color rgb="FF121212"/>
      <name val="Arial"/>
      <family val="2"/>
      <scheme val="minor"/>
    </font>
    <font>
      <sz val="10"/>
      <color rgb="FF121212"/>
      <name val="Arial"/>
      <family val="2"/>
      <scheme val="minor"/>
    </font>
    <font>
      <sz val="12"/>
      <name val="Arial"/>
      <family val="2"/>
      <scheme val="minor"/>
    </font>
    <font>
      <sz val="14"/>
      <color theme="1"/>
      <name val="Arial"/>
      <family val="2"/>
      <scheme val="minor"/>
    </font>
    <font>
      <sz val="12"/>
      <color theme="1"/>
      <name val="Arial Narrow"/>
      <family val="2"/>
    </font>
    <font>
      <sz val="14"/>
      <color theme="1"/>
      <name val="Roboto"/>
    </font>
    <font>
      <b/>
      <sz val="12"/>
      <color theme="1"/>
      <name val="Arial"/>
      <family val="2"/>
    </font>
    <font>
      <b/>
      <sz val="12"/>
      <name val="Arial"/>
      <family val="2"/>
    </font>
    <font>
      <b/>
      <sz val="12"/>
      <color theme="0"/>
      <name val="Arial"/>
      <family val="2"/>
    </font>
    <font>
      <sz val="12"/>
      <name val="Arial"/>
      <family val="2"/>
    </font>
    <font>
      <sz val="9"/>
      <color rgb="FF1851D6"/>
      <name val="Arial"/>
      <family val="2"/>
      <scheme val="minor"/>
    </font>
    <font>
      <b/>
      <sz val="11"/>
      <color theme="0"/>
      <name val="Calibri"/>
      <family val="2"/>
    </font>
    <font>
      <sz val="12"/>
      <color rgb="FFFF0000"/>
      <name val="Arial"/>
      <family val="2"/>
    </font>
    <font>
      <sz val="8"/>
      <name val="Calibri"/>
      <family val="2"/>
    </font>
    <font>
      <b/>
      <sz val="11"/>
      <color theme="0"/>
      <name val="Arial"/>
      <family val="2"/>
      <scheme val="minor"/>
    </font>
    <font>
      <sz val="10"/>
      <color rgb="FF000000"/>
      <name val="Times New Roman"/>
      <family val="1"/>
    </font>
    <font>
      <sz val="11"/>
      <color rgb="FF000000"/>
      <name val="Calibri"/>
      <family val="2"/>
    </font>
    <font>
      <sz val="11"/>
      <color rgb="FF205867"/>
      <name val="Calibri"/>
      <family val="2"/>
    </font>
    <font>
      <i/>
      <sz val="11"/>
      <color theme="1"/>
      <name val="Calibri"/>
      <family val="2"/>
    </font>
    <font>
      <sz val="10"/>
      <color rgb="FF000000"/>
      <name val="Arial"/>
      <scheme val="minor"/>
    </font>
    <font>
      <b/>
      <sz val="11"/>
      <color theme="1"/>
      <name val="Arial"/>
      <family val="2"/>
      <scheme val="minor"/>
    </font>
    <font>
      <b/>
      <sz val="11"/>
      <color rgb="FF1851D6"/>
      <name val="Arial"/>
      <family val="2"/>
      <scheme val="minor"/>
    </font>
    <font>
      <b/>
      <sz val="9"/>
      <color indexed="81"/>
      <name val="Segoe UI"/>
      <family val="2"/>
    </font>
    <font>
      <sz val="9"/>
      <color indexed="81"/>
      <name val="Segoe UI"/>
      <family val="2"/>
    </font>
    <font>
      <b/>
      <sz val="14"/>
      <color theme="1"/>
      <name val="Arial"/>
      <family val="2"/>
      <scheme val="minor"/>
    </font>
    <font>
      <sz val="7"/>
      <color rgb="FF0000FF"/>
      <name val="Arial"/>
      <family val="2"/>
    </font>
    <font>
      <sz val="11"/>
      <color rgb="FFFF0000"/>
      <name val="Arial"/>
      <family val="2"/>
      <scheme val="minor"/>
    </font>
    <font>
      <b/>
      <sz val="10"/>
      <color theme="0"/>
      <name val="Poppins"/>
    </font>
    <font>
      <b/>
      <sz val="8"/>
      <name val="Roboto"/>
    </font>
    <font>
      <sz val="8"/>
      <name val="Roboto"/>
    </font>
    <font>
      <b/>
      <sz val="7.5"/>
      <name val="Roboto"/>
    </font>
    <font>
      <sz val="7.5"/>
      <name val="Roboto"/>
    </font>
    <font>
      <sz val="7.5"/>
      <color rgb="FF000000"/>
      <name val="Roboto"/>
      <family val="2"/>
    </font>
    <font>
      <sz val="11"/>
      <color theme="1"/>
      <name val="Arial"/>
      <scheme val="minor"/>
    </font>
    <font>
      <sz val="11"/>
      <color theme="0" tint="-0.499984740745262"/>
      <name val="Arial"/>
      <family val="2"/>
      <scheme val="minor"/>
    </font>
    <font>
      <b/>
      <sz val="18"/>
      <color rgb="FFFE3400"/>
      <name val="Poppins"/>
    </font>
    <font>
      <b/>
      <sz val="12"/>
      <color rgb="FF0000FF"/>
      <name val="Poppins"/>
    </font>
    <font>
      <b/>
      <sz val="11"/>
      <color rgb="FF002060"/>
      <name val="Poppins"/>
    </font>
    <font>
      <sz val="10"/>
      <name val="Poppins"/>
    </font>
    <font>
      <b/>
      <sz val="10"/>
      <color rgb="FFF5F5F5"/>
      <name val="Poppins"/>
    </font>
    <font>
      <sz val="10"/>
      <color theme="1"/>
      <name val="Poppins"/>
    </font>
    <font>
      <b/>
      <sz val="10"/>
      <color rgb="FF010000"/>
      <name val="Poppins"/>
    </font>
    <font>
      <sz val="10"/>
      <color rgb="FF010000"/>
      <name val="Poppins"/>
    </font>
    <font>
      <b/>
      <sz val="10"/>
      <color theme="1"/>
      <name val="Poppins"/>
    </font>
    <font>
      <sz val="10"/>
      <color theme="0" tint="-0.499984740745262"/>
      <name val="Arial"/>
      <family val="2"/>
    </font>
    <font>
      <i/>
      <sz val="8"/>
      <color rgb="FF666666"/>
      <name val="Calibri"/>
    </font>
    <font>
      <b/>
      <sz val="11"/>
      <color rgb="FF1F3864"/>
      <name val="Calibri"/>
    </font>
    <font>
      <b/>
      <sz val="9"/>
      <color rgb="FF1F3864"/>
      <name val="Calibri"/>
    </font>
    <font>
      <b/>
      <sz val="9"/>
      <color rgb="FFED7D31"/>
      <name val="Calibri"/>
    </font>
    <font>
      <b/>
      <sz val="9"/>
      <color rgb="FF4472C4"/>
      <name val="Calibri"/>
    </font>
    <font>
      <sz val="9"/>
      <color rgb="FF333333"/>
      <name val="Calibri"/>
    </font>
    <font>
      <b/>
      <sz val="9"/>
      <color rgb="FF333333"/>
      <name val="Calibri"/>
    </font>
    <font>
      <b/>
      <sz val="10"/>
      <color rgb="FFFFFFFF"/>
      <name val="Calibri"/>
    </font>
    <font>
      <i/>
      <sz val="9"/>
      <color rgb="FF666666"/>
      <name val="Calibri"/>
    </font>
    <font>
      <sz val="8"/>
      <color rgb="FF666666"/>
      <name val="Calibri"/>
    </font>
    <font>
      <b/>
      <sz val="11"/>
      <color rgb="FFFFFFFF"/>
      <name val="Calibri"/>
    </font>
    <font>
      <b/>
      <sz val="14"/>
      <color rgb="FFFFFFFF"/>
      <name val="Calibri"/>
    </font>
    <font>
      <b/>
      <sz val="10"/>
      <name val="Calibri"/>
    </font>
    <font>
      <b/>
      <sz val="11"/>
      <name val="Calibri"/>
    </font>
    <font>
      <b/>
      <sz val="10"/>
      <color rgb="FF1A3A6E"/>
      <name val="Calibri"/>
    </font>
    <font>
      <b/>
      <sz val="10"/>
      <color rgb="FF2F5496"/>
      <name val="Calibri"/>
    </font>
    <font>
      <b/>
      <i/>
      <sz val="10"/>
      <color rgb="FF7F6000"/>
      <name val="Calibri"/>
    </font>
    <font>
      <sz val="10"/>
      <name val="Calibri"/>
    </font>
    <font>
      <sz val="10"/>
      <color rgb="FF333333"/>
      <name val="Calibri"/>
    </font>
    <font>
      <sz val="10"/>
      <color theme="8" tint="-0.499984740745262"/>
      <name val="Calibri"/>
    </font>
    <font>
      <b/>
      <sz val="11.5"/>
      <color rgb="FFFFFFFF"/>
      <name val="Calibri"/>
    </font>
    <font>
      <b/>
      <sz val="10"/>
      <color rgb="FF000000"/>
      <name val="Calibri"/>
    </font>
    <font>
      <b/>
      <sz val="10"/>
      <color rgb="FFFFFFFF"/>
      <name val="Poppins"/>
    </font>
    <font>
      <sz val="11"/>
      <color rgb="FF333333"/>
      <name val="Arial"/>
    </font>
    <font>
      <i/>
      <sz val="9"/>
      <color rgb="FF666666"/>
      <name val="Arial"/>
    </font>
    <font>
      <b/>
      <sz val="9"/>
      <color rgb="FF666666"/>
      <name val="Arial"/>
    </font>
    <font>
      <b/>
      <sz val="12"/>
      <color rgb="FFFFFFFF"/>
      <name val="Arial"/>
    </font>
    <font>
      <b/>
      <sz val="11"/>
      <color rgb="FF000000"/>
      <name val="Arial"/>
    </font>
    <font>
      <b/>
      <sz val="11"/>
      <color rgb="FF333333"/>
      <name val="Arial"/>
    </font>
    <font>
      <sz val="10"/>
      <name val="Arial"/>
    </font>
    <font>
      <b/>
      <sz val="10"/>
      <name val="Arial"/>
    </font>
    <font>
      <sz val="9.5"/>
      <name val="Arial"/>
    </font>
    <font>
      <sz val="9"/>
      <name val="Calibri"/>
    </font>
    <font>
      <b/>
      <sz val="11"/>
      <color rgb="FF2F5496"/>
      <name val="Calibri"/>
    </font>
    <font>
      <b/>
      <sz val="12"/>
      <color rgb="FF2F5496"/>
      <name val="Calibri"/>
    </font>
    <font>
      <i/>
      <sz val="10"/>
      <color rgb="FF999999"/>
      <name val="Arial"/>
      <family val="2"/>
      <scheme val="minor"/>
    </font>
    <font>
      <sz val="8"/>
      <color rgb="FFFFFFFF"/>
      <name val="Calibri"/>
      <family val="2"/>
    </font>
    <font>
      <b/>
      <sz val="8"/>
      <color rgb="FFFFFFFF"/>
      <name val="Calibri"/>
      <family val="2"/>
    </font>
    <font>
      <b/>
      <sz val="8"/>
      <color rgb="FF000000"/>
      <name val="Calibri"/>
      <family val="2"/>
    </font>
    <font>
      <b/>
      <sz val="8"/>
      <color rgb="FFFFFFFF"/>
      <name val="Arial"/>
      <family val="2"/>
      <scheme val="minor"/>
    </font>
    <font>
      <sz val="8"/>
      <color rgb="FF000000"/>
      <name val="Arial"/>
      <family val="2"/>
      <scheme val="minor"/>
    </font>
    <font>
      <b/>
      <sz val="8"/>
      <color rgb="FF000000"/>
      <name val="Arial"/>
      <family val="2"/>
      <scheme val="minor"/>
    </font>
    <font>
      <b/>
      <u/>
      <sz val="8"/>
      <color rgb="FF000000"/>
      <name val="Calibri"/>
      <family val="2"/>
    </font>
    <font>
      <b/>
      <sz val="12"/>
      <color rgb="FFFFFFFF"/>
      <name val="Calibri"/>
    </font>
    <font>
      <i/>
      <sz val="10"/>
      <name val="Calibri"/>
    </font>
    <font>
      <b/>
      <sz val="12"/>
      <name val="Calibri"/>
    </font>
  </fonts>
  <fills count="98">
    <fill>
      <patternFill patternType="none"/>
    </fill>
    <fill>
      <patternFill patternType="gray125"/>
    </fill>
    <fill>
      <patternFill patternType="solid">
        <fgColor rgb="FF1851D6"/>
        <bgColor rgb="FF1851D6"/>
      </patternFill>
    </fill>
    <fill>
      <patternFill patternType="solid">
        <fgColor rgb="FF255AE5"/>
        <bgColor rgb="FF255AE5"/>
      </patternFill>
    </fill>
    <fill>
      <patternFill patternType="solid">
        <fgColor theme="0"/>
        <bgColor theme="0"/>
      </patternFill>
    </fill>
    <fill>
      <patternFill patternType="solid">
        <fgColor rgb="FFBFBFBF"/>
        <bgColor rgb="FFBFBFBF"/>
      </patternFill>
    </fill>
    <fill>
      <patternFill patternType="solid">
        <fgColor theme="1"/>
        <bgColor theme="1"/>
      </patternFill>
    </fill>
    <fill>
      <patternFill patternType="solid">
        <fgColor rgb="FF71A0DB"/>
        <bgColor rgb="FF71A0DB"/>
      </patternFill>
    </fill>
    <fill>
      <patternFill patternType="solid">
        <fgColor rgb="FFFFFF00"/>
        <bgColor rgb="FFFFFF00"/>
      </patternFill>
    </fill>
    <fill>
      <patternFill patternType="solid">
        <fgColor rgb="FF29292F"/>
        <bgColor rgb="FF29292F"/>
      </patternFill>
    </fill>
    <fill>
      <patternFill patternType="solid">
        <fgColor rgb="FFF2F2F2"/>
        <bgColor rgb="FFF2F2F2"/>
      </patternFill>
    </fill>
    <fill>
      <patternFill patternType="solid">
        <fgColor rgb="FFA5A5A5"/>
        <bgColor rgb="FFA5A5A5"/>
      </patternFill>
    </fill>
    <fill>
      <patternFill patternType="solid">
        <fgColor rgb="FFFFFFFF"/>
        <bgColor rgb="FFFFFFFF"/>
      </patternFill>
    </fill>
    <fill>
      <patternFill patternType="solid">
        <fgColor rgb="FF121212"/>
        <bgColor rgb="FF121212"/>
      </patternFill>
    </fill>
    <fill>
      <patternFill patternType="solid">
        <fgColor rgb="FF00B050"/>
        <bgColor indexed="64"/>
      </patternFill>
    </fill>
    <fill>
      <patternFill patternType="solid">
        <fgColor theme="0" tint="-0.14999847407452621"/>
        <bgColor indexed="64"/>
      </patternFill>
    </fill>
    <fill>
      <patternFill patternType="solid">
        <fgColor rgb="FF1851D6"/>
        <bgColor indexed="64"/>
      </patternFill>
    </fill>
    <fill>
      <patternFill patternType="solid">
        <fgColor rgb="FF255AE5"/>
        <bgColor indexed="64"/>
      </patternFill>
    </fill>
    <fill>
      <patternFill patternType="solid">
        <fgColor rgb="FFFFFF00"/>
        <bgColor indexed="64"/>
      </patternFill>
    </fill>
    <fill>
      <patternFill patternType="solid">
        <fgColor rgb="FF29292F"/>
        <bgColor indexed="64"/>
      </patternFill>
    </fill>
    <fill>
      <patternFill patternType="solid">
        <fgColor theme="0"/>
        <bgColor rgb="FFDCDCDC"/>
      </patternFill>
    </fill>
    <fill>
      <patternFill patternType="solid">
        <fgColor theme="0" tint="-9.9978637043366805E-2"/>
        <bgColor theme="0"/>
      </patternFill>
    </fill>
    <fill>
      <patternFill patternType="solid">
        <fgColor rgb="FF3F3F3F"/>
        <bgColor rgb="FF3F3F3F"/>
      </patternFill>
    </fill>
    <fill>
      <patternFill patternType="solid">
        <fgColor rgb="FF7F7F7F"/>
        <bgColor rgb="FF7F7F7F"/>
      </patternFill>
    </fill>
    <fill>
      <patternFill patternType="solid">
        <fgColor theme="1" tint="0.249977111117893"/>
        <bgColor indexed="64"/>
      </patternFill>
    </fill>
    <fill>
      <patternFill patternType="solid">
        <fgColor rgb="FF92D050"/>
        <bgColor theme="0"/>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rgb="FFF2F2F2"/>
      </patternFill>
    </fill>
    <fill>
      <patternFill patternType="solid">
        <fgColor rgb="FF255AE5"/>
        <bgColor rgb="FFFC3400"/>
      </patternFill>
    </fill>
    <fill>
      <patternFill patternType="solid">
        <fgColor theme="0" tint="-0.14999847407452621"/>
        <bgColor rgb="FFFC3400"/>
      </patternFill>
    </fill>
    <fill>
      <patternFill patternType="solid">
        <fgColor theme="2" tint="-9.9978637043366805E-2"/>
        <bgColor indexed="64"/>
      </patternFill>
    </fill>
    <fill>
      <patternFill patternType="solid">
        <fgColor theme="0"/>
        <bgColor indexed="64"/>
      </patternFill>
    </fill>
    <fill>
      <patternFill patternType="solid">
        <fgColor rgb="FFF6F4F6"/>
        <bgColor indexed="64"/>
      </patternFill>
    </fill>
    <fill>
      <patternFill patternType="solid">
        <fgColor rgb="FF989DD0"/>
        <bgColor indexed="64"/>
      </patternFill>
    </fill>
    <fill>
      <patternFill patternType="solid">
        <fgColor rgb="FF571078"/>
        <bgColor indexed="64"/>
      </patternFill>
    </fill>
    <fill>
      <patternFill patternType="solid">
        <fgColor rgb="FF800080"/>
        <bgColor indexed="64"/>
      </patternFill>
    </fill>
    <fill>
      <patternFill patternType="solid">
        <fgColor theme="0" tint="-0.249977111117893"/>
        <bgColor indexed="64"/>
      </patternFill>
    </fill>
    <fill>
      <patternFill patternType="mediumGray">
        <fgColor indexed="9"/>
        <bgColor indexed="22"/>
      </patternFill>
    </fill>
    <fill>
      <patternFill patternType="solid">
        <fgColor indexed="9"/>
        <bgColor indexed="64"/>
      </patternFill>
    </fill>
    <fill>
      <patternFill patternType="solid">
        <fgColor indexed="9"/>
        <bgColor indexed="26"/>
      </patternFill>
    </fill>
    <fill>
      <patternFill patternType="solid">
        <fgColor theme="0" tint="-4.9989318521683403E-2"/>
        <bgColor indexed="64"/>
      </patternFill>
    </fill>
    <fill>
      <patternFill patternType="solid">
        <fgColor rgb="FFFF0000"/>
        <bgColor indexed="64"/>
      </patternFill>
    </fill>
    <fill>
      <patternFill patternType="solid">
        <fgColor theme="6" tint="-0.499984740745262"/>
        <bgColor indexed="64"/>
      </patternFill>
    </fill>
    <fill>
      <patternFill patternType="solid">
        <fgColor theme="3"/>
        <bgColor rgb="FFFC3400"/>
      </patternFill>
    </fill>
    <fill>
      <patternFill patternType="solid">
        <fgColor theme="4" tint="-0.249977111117893"/>
        <bgColor indexed="64"/>
      </patternFill>
    </fill>
    <fill>
      <patternFill patternType="solid">
        <fgColor rgb="FF121212"/>
        <bgColor indexed="64"/>
      </patternFill>
    </fill>
    <fill>
      <patternFill patternType="solid">
        <fgColor rgb="FFA077B5"/>
        <bgColor indexed="64"/>
      </patternFill>
    </fill>
    <fill>
      <patternFill patternType="solid">
        <fgColor theme="6" tint="0.39997558519241921"/>
        <bgColor indexed="64"/>
      </patternFill>
    </fill>
    <fill>
      <patternFill patternType="solid">
        <fgColor theme="5" tint="-0.49998474074526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theme="6" tint="0.79998168889431442"/>
        <bgColor indexed="64"/>
      </patternFill>
    </fill>
    <fill>
      <patternFill patternType="solid">
        <fgColor rgb="FFBBCEF7"/>
        <bgColor indexed="64"/>
      </patternFill>
    </fill>
    <fill>
      <patternFill patternType="solid">
        <fgColor theme="1"/>
        <bgColor indexed="64"/>
      </patternFill>
    </fill>
    <fill>
      <patternFill patternType="solid">
        <fgColor theme="1"/>
        <bgColor rgb="FFBFBFBF"/>
      </patternFill>
    </fill>
    <fill>
      <patternFill patternType="solid">
        <fgColor theme="0" tint="-0.14999847407452621"/>
        <bgColor rgb="FFFFFF00"/>
      </patternFill>
    </fill>
    <fill>
      <patternFill patternType="solid">
        <fgColor theme="0" tint="-0.249977111117893"/>
        <bgColor rgb="FF71A0DB"/>
      </patternFill>
    </fill>
    <fill>
      <patternFill patternType="solid">
        <fgColor theme="1" tint="4.9989318521683403E-2"/>
        <bgColor indexed="64"/>
      </patternFill>
    </fill>
    <fill>
      <patternFill patternType="solid">
        <fgColor theme="4" tint="0.59999389629810485"/>
        <bgColor indexed="64"/>
      </patternFill>
    </fill>
    <fill>
      <patternFill patternType="solid">
        <fgColor rgb="FFCCCCCC"/>
      </patternFill>
    </fill>
    <fill>
      <patternFill patternType="solid">
        <fgColor rgb="FFDDDDDD"/>
      </patternFill>
    </fill>
    <fill>
      <patternFill patternType="solid">
        <fgColor rgb="FFEDEDED"/>
      </patternFill>
    </fill>
    <fill>
      <patternFill patternType="solid">
        <fgColor theme="2" tint="-0.14999847407452621"/>
        <bgColor indexed="64"/>
      </patternFill>
    </fill>
    <fill>
      <patternFill patternType="solid">
        <fgColor rgb="FFD6E4F0"/>
        <bgColor rgb="FFD6E4F0"/>
      </patternFill>
    </fill>
    <fill>
      <patternFill patternType="solid">
        <fgColor rgb="FFFCE4D6"/>
        <bgColor rgb="FFFCE4D6"/>
      </patternFill>
    </fill>
    <fill>
      <patternFill patternType="solid">
        <fgColor rgb="FFDAE3F3"/>
        <bgColor rgb="FFDAE3F3"/>
      </patternFill>
    </fill>
    <fill>
      <patternFill patternType="solid">
        <fgColor rgb="FFC00000"/>
        <bgColor rgb="FFC00000"/>
      </patternFill>
    </fill>
    <fill>
      <patternFill patternType="solid">
        <fgColor rgb="FF7030A0"/>
        <bgColor rgb="FF7030A0"/>
      </patternFill>
    </fill>
    <fill>
      <patternFill patternType="solid">
        <fgColor rgb="FFBF8F00"/>
        <bgColor rgb="FFBF8F00"/>
      </patternFill>
    </fill>
    <fill>
      <patternFill patternType="solid">
        <fgColor rgb="FF548235"/>
        <bgColor rgb="FF548235"/>
      </patternFill>
    </fill>
    <fill>
      <patternFill patternType="solid">
        <fgColor rgb="FF2E75B6"/>
        <bgColor rgb="FF2E75B6"/>
      </patternFill>
    </fill>
    <fill>
      <patternFill patternType="solid">
        <fgColor rgb="FFED7D31"/>
        <bgColor rgb="FFED7D31"/>
      </patternFill>
    </fill>
    <fill>
      <patternFill patternType="solid">
        <fgColor rgb="FF4472C4"/>
        <bgColor rgb="FF4472C4"/>
      </patternFill>
    </fill>
    <fill>
      <patternFill patternType="solid">
        <fgColor rgb="FF1F3864"/>
        <bgColor rgb="FF1F3864"/>
      </patternFill>
    </fill>
    <fill>
      <patternFill patternType="solid">
        <fgColor rgb="FF2F5496"/>
        <bgColor rgb="FF2F5496"/>
      </patternFill>
    </fill>
    <fill>
      <patternFill patternType="solid">
        <fgColor rgb="FF1A1A2E"/>
        <bgColor indexed="64"/>
      </patternFill>
    </fill>
    <fill>
      <patternFill patternType="solid">
        <fgColor rgb="FF2F5496"/>
        <bgColor indexed="64"/>
      </patternFill>
    </fill>
    <fill>
      <patternFill patternType="solid">
        <fgColor rgb="FFD6E4F0"/>
        <bgColor indexed="64"/>
      </patternFill>
    </fill>
    <fill>
      <patternFill patternType="solid">
        <fgColor rgb="FFE8EEF5"/>
        <bgColor indexed="64"/>
      </patternFill>
    </fill>
    <fill>
      <patternFill patternType="solid">
        <fgColor rgb="FFFFF2CC"/>
        <bgColor indexed="64"/>
      </patternFill>
    </fill>
    <fill>
      <patternFill patternType="solid">
        <fgColor rgb="FFFFFFFF"/>
        <bgColor indexed="64"/>
      </patternFill>
    </fill>
    <fill>
      <patternFill patternType="solid">
        <fgColor rgb="FFF5F8FC"/>
        <bgColor indexed="64"/>
      </patternFill>
    </fill>
    <fill>
      <patternFill patternType="solid">
        <fgColor rgb="FFF0F4FA"/>
        <bgColor indexed="64"/>
      </patternFill>
    </fill>
    <fill>
      <patternFill patternType="solid">
        <fgColor rgb="FFEBF0F7"/>
        <bgColor indexed="64"/>
      </patternFill>
    </fill>
    <fill>
      <patternFill patternType="solid">
        <fgColor rgb="FFB8CCE4"/>
        <bgColor rgb="FFB8CCE4"/>
      </patternFill>
    </fill>
    <fill>
      <patternFill patternType="solid">
        <fgColor rgb="FFDCE6F1"/>
        <bgColor rgb="FFDCE6F1"/>
      </patternFill>
    </fill>
    <fill>
      <patternFill patternType="solid">
        <fgColor rgb="FF8DB4E2"/>
        <bgColor rgb="FF8DB4E2"/>
      </patternFill>
    </fill>
    <fill>
      <patternFill patternType="solid">
        <fgColor rgb="FF333333"/>
        <bgColor rgb="FF333333"/>
      </patternFill>
    </fill>
    <fill>
      <patternFill patternType="solid">
        <fgColor rgb="FF3F3F3F"/>
        <bgColor indexed="64"/>
      </patternFill>
    </fill>
    <fill>
      <patternFill patternType="solid">
        <fgColor rgb="FF7F7F7F"/>
        <bgColor indexed="64"/>
      </patternFill>
    </fill>
    <fill>
      <patternFill patternType="solid">
        <fgColor rgb="FFD8D8D8"/>
        <bgColor indexed="64"/>
      </patternFill>
    </fill>
    <fill>
      <patternFill patternType="solid">
        <fgColor theme="2"/>
        <bgColor indexed="64"/>
      </patternFill>
    </fill>
    <fill>
      <patternFill patternType="solid">
        <fgColor theme="5" tint="0.59999389629810485"/>
        <bgColor indexed="64"/>
      </patternFill>
    </fill>
    <fill>
      <patternFill patternType="solid">
        <fgColor rgb="FF00B0F0"/>
        <bgColor rgb="FF00B0F0"/>
      </patternFill>
    </fill>
    <fill>
      <patternFill patternType="solid">
        <fgColor rgb="FFFFC000"/>
        <bgColor rgb="FFFFC000"/>
      </patternFill>
    </fill>
    <fill>
      <patternFill patternType="solid">
        <fgColor rgb="FF808080"/>
        <bgColor rgb="FF808080"/>
      </patternFill>
    </fill>
  </fills>
  <borders count="449">
    <border>
      <left/>
      <right/>
      <top/>
      <bottom/>
      <diagonal/>
    </border>
    <border>
      <left/>
      <right style="thin">
        <color rgb="FF000000"/>
      </right>
      <top style="thin">
        <color rgb="FF000000"/>
      </top>
      <bottom/>
      <diagonal/>
    </border>
    <border>
      <left style="thin">
        <color rgb="FF29292F"/>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hair">
        <color rgb="FF000000"/>
      </top>
      <bottom style="hair">
        <color rgb="FF000000"/>
      </bottom>
      <diagonal/>
    </border>
    <border>
      <left/>
      <right/>
      <top style="thin">
        <color rgb="FF000000"/>
      </top>
      <bottom/>
      <diagonal/>
    </border>
    <border>
      <left/>
      <right/>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style="thin">
        <color rgb="FF29292F"/>
      </left>
      <right/>
      <top style="thin">
        <color rgb="FF29292F"/>
      </top>
      <bottom/>
      <diagonal/>
    </border>
    <border>
      <left/>
      <right style="medium">
        <color rgb="FF000000"/>
      </right>
      <top style="medium">
        <color rgb="FF000000"/>
      </top>
      <bottom style="thin">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thin">
        <color rgb="FF000000"/>
      </left>
      <right style="medium">
        <color rgb="FF000000"/>
      </right>
      <top style="hair">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thin">
        <color rgb="FF000000"/>
      </right>
      <top style="hair">
        <color rgb="FF000000"/>
      </top>
      <bottom/>
      <diagonal/>
    </border>
    <border>
      <left style="medium">
        <color rgb="FF000000"/>
      </left>
      <right style="thin">
        <color rgb="FF000000"/>
      </right>
      <top style="hair">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7F7F7F"/>
      </left>
      <right/>
      <top style="thin">
        <color rgb="FF7F7F7F"/>
      </top>
      <bottom style="thin">
        <color rgb="FF7F7F7F"/>
      </bottom>
      <diagonal/>
    </border>
    <border>
      <left/>
      <right style="thin">
        <color rgb="FF7F7F7F"/>
      </right>
      <top style="thin">
        <color rgb="FF7F7F7F"/>
      </top>
      <bottom style="thin">
        <color rgb="FF7F7F7F"/>
      </bottom>
      <diagonal/>
    </border>
    <border>
      <left/>
      <right/>
      <top style="thin">
        <color rgb="FF7F7F7F"/>
      </top>
      <bottom style="thin">
        <color rgb="FF7F7F7F"/>
      </bottom>
      <diagonal/>
    </border>
    <border>
      <left/>
      <right/>
      <top style="thin">
        <color rgb="FF29292F"/>
      </top>
      <bottom style="thin">
        <color rgb="FF29292F"/>
      </bottom>
      <diagonal/>
    </border>
    <border>
      <left/>
      <right style="thin">
        <color rgb="FF000000"/>
      </right>
      <top style="thin">
        <color rgb="FF29292F"/>
      </top>
      <bottom style="thin">
        <color rgb="FF29292F"/>
      </bottom>
      <diagonal/>
    </border>
    <border>
      <left/>
      <right/>
      <top style="thin">
        <color rgb="FF29292F"/>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hair">
        <color rgb="FF000000"/>
      </left>
      <right style="hair">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thin">
        <color rgb="FF000000"/>
      </left>
      <right/>
      <top style="medium">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bottom/>
      <diagonal/>
    </border>
    <border>
      <left style="medium">
        <color rgb="FF000000"/>
      </left>
      <right style="thin">
        <color rgb="FF000000"/>
      </right>
      <top style="medium">
        <color rgb="FF000000"/>
      </top>
      <bottom style="hair">
        <color rgb="FF000000"/>
      </bottom>
      <diagonal/>
    </border>
    <border>
      <left style="thin">
        <color rgb="FF000000"/>
      </left>
      <right style="medium">
        <color rgb="FF000000"/>
      </right>
      <top style="medium">
        <color rgb="FF000000"/>
      </top>
      <bottom style="hair">
        <color rgb="FF000000"/>
      </bottom>
      <diagonal/>
    </border>
    <border>
      <left/>
      <right style="medium">
        <color rgb="FF000000"/>
      </right>
      <top style="thin">
        <color rgb="FF000000"/>
      </top>
      <bottom style="thin">
        <color rgb="FF000000"/>
      </bottom>
      <diagonal/>
    </border>
    <border>
      <left style="thin">
        <color rgb="FF000000"/>
      </left>
      <right style="thin">
        <color rgb="FF000000"/>
      </right>
      <top style="thin">
        <color rgb="FF000000"/>
      </top>
      <bottom style="hair">
        <color rgb="FF000000"/>
      </bottom>
      <diagonal/>
    </border>
    <border>
      <left style="thin">
        <color rgb="FF000000"/>
      </left>
      <right style="medium">
        <color rgb="FF000000"/>
      </right>
      <top style="thin">
        <color rgb="FF000000"/>
      </top>
      <bottom style="hair">
        <color rgb="FF000000"/>
      </bottom>
      <diagonal/>
    </border>
    <border>
      <left style="thin">
        <color rgb="FF000000"/>
      </left>
      <right style="medium">
        <color rgb="FF000000"/>
      </right>
      <top/>
      <bottom style="hair">
        <color rgb="FF000000"/>
      </bottom>
      <diagonal/>
    </border>
    <border>
      <left style="thin">
        <color rgb="FF000000"/>
      </left>
      <right style="thin">
        <color rgb="FF000000"/>
      </right>
      <top/>
      <bottom style="hair">
        <color rgb="FF000000"/>
      </bottom>
      <diagonal/>
    </border>
    <border>
      <left/>
      <right/>
      <top style="medium">
        <color rgb="FF000000"/>
      </top>
      <bottom style="thin">
        <color rgb="FF000000"/>
      </bottom>
      <diagonal/>
    </border>
    <border>
      <left style="medium">
        <color rgb="FF000000"/>
      </left>
      <right/>
      <top/>
      <bottom/>
      <diagonal/>
    </border>
    <border>
      <left style="thin">
        <color rgb="FF29292F"/>
      </left>
      <right/>
      <top style="thin">
        <color rgb="FF29292F"/>
      </top>
      <bottom style="thin">
        <color rgb="FF29292F"/>
      </bottom>
      <diagonal/>
    </border>
    <border>
      <left/>
      <right/>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rgb="FF646464"/>
      </right>
      <top style="hair">
        <color rgb="FF000000"/>
      </top>
      <bottom style="hair">
        <color rgb="FF000000"/>
      </bottom>
      <diagonal/>
    </border>
    <border>
      <left/>
      <right/>
      <top style="thin">
        <color indexed="64"/>
      </top>
      <bottom style="thin">
        <color indexed="64"/>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diagonal/>
    </border>
    <border>
      <left/>
      <right style="medium">
        <color indexed="64"/>
      </right>
      <top/>
      <bottom/>
      <diagonal/>
    </border>
    <border>
      <left style="medium">
        <color indexed="64"/>
      </left>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top/>
      <bottom style="thin">
        <color rgb="FF000000"/>
      </bottom>
      <diagonal/>
    </border>
    <border>
      <left style="medium">
        <color rgb="FF000000"/>
      </left>
      <right style="thin">
        <color rgb="FF000000"/>
      </right>
      <top style="thin">
        <color rgb="FF000000"/>
      </top>
      <bottom style="hair">
        <color rgb="FF000000"/>
      </bottom>
      <diagonal/>
    </border>
    <border>
      <left style="medium">
        <color rgb="FF000000"/>
      </left>
      <right style="thin">
        <color rgb="FF000000"/>
      </right>
      <top style="hair">
        <color rgb="FF000000"/>
      </top>
      <bottom style="thin">
        <color rgb="FF000000"/>
      </bottom>
      <diagonal/>
    </border>
    <border>
      <left style="thin">
        <color rgb="FF000000"/>
      </left>
      <right style="thin">
        <color rgb="FF000000"/>
      </right>
      <top style="hair">
        <color rgb="FF000000"/>
      </top>
      <bottom style="thin">
        <color rgb="FF000000"/>
      </bottom>
      <diagonal/>
    </border>
    <border>
      <left style="thin">
        <color rgb="FF000000"/>
      </left>
      <right style="medium">
        <color rgb="FF000000"/>
      </right>
      <top style="hair">
        <color rgb="FF000000"/>
      </top>
      <bottom style="thin">
        <color rgb="FF000000"/>
      </bottom>
      <diagonal/>
    </border>
    <border>
      <left style="medium">
        <color rgb="FF000000"/>
      </left>
      <right style="thin">
        <color rgb="FF000000"/>
      </right>
      <top/>
      <bottom style="hair">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style="hair">
        <color rgb="FF000000"/>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diagonal/>
    </border>
    <border>
      <left/>
      <right/>
      <top style="medium">
        <color auto="1"/>
      </top>
      <bottom/>
      <diagonal/>
    </border>
    <border>
      <left/>
      <right/>
      <top style="hair">
        <color rgb="FF29292F"/>
      </top>
      <bottom style="medium">
        <color auto="1"/>
      </bottom>
      <diagonal/>
    </border>
    <border>
      <left/>
      <right/>
      <top style="hair">
        <color rgb="FF29292F"/>
      </top>
      <bottom style="hair">
        <color rgb="FF29292F"/>
      </bottom>
      <diagonal/>
    </border>
    <border>
      <left/>
      <right style="thin">
        <color indexed="64"/>
      </right>
      <top style="medium">
        <color auto="1"/>
      </top>
      <bottom style="thin">
        <color indexed="64"/>
      </bottom>
      <diagonal/>
    </border>
    <border>
      <left/>
      <right/>
      <top style="medium">
        <color auto="1"/>
      </top>
      <bottom style="thin">
        <color indexed="64"/>
      </bottom>
      <diagonal/>
    </border>
    <border>
      <left style="thin">
        <color indexed="64"/>
      </left>
      <right/>
      <top style="medium">
        <color auto="1"/>
      </top>
      <bottom style="thin">
        <color indexed="64"/>
      </bottom>
      <diagonal/>
    </border>
    <border>
      <left/>
      <right/>
      <top style="thin">
        <color rgb="FF29292F"/>
      </top>
      <bottom style="hair">
        <color rgb="FF29292F"/>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hair">
        <color theme="0" tint="-0.499984740745262"/>
      </left>
      <right style="hair">
        <color theme="0" tint="-0.499984740745262"/>
      </right>
      <top style="hair">
        <color theme="0" tint="-0.499984740745262"/>
      </top>
      <bottom style="hair">
        <color theme="0" tint="-0.499984740745262"/>
      </bottom>
      <diagonal/>
    </border>
    <border>
      <left/>
      <right/>
      <top style="thin">
        <color indexed="64"/>
      </top>
      <bottom/>
      <diagonal/>
    </border>
    <border>
      <left/>
      <right style="thin">
        <color indexed="64"/>
      </right>
      <top style="thin">
        <color indexed="64"/>
      </top>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right/>
      <top style="hair">
        <color rgb="FF000000"/>
      </top>
      <bottom style="hair">
        <color rgb="FF000000"/>
      </bottom>
      <diagonal/>
    </border>
    <border>
      <left style="medium">
        <color rgb="FF000000"/>
      </left>
      <right/>
      <top style="medium">
        <color rgb="FF000000"/>
      </top>
      <bottom style="double">
        <color rgb="FF000000"/>
      </bottom>
      <diagonal/>
    </border>
    <border>
      <left/>
      <right/>
      <top style="medium">
        <color rgb="FF000000"/>
      </top>
      <bottom style="double">
        <color rgb="FF000000"/>
      </bottom>
      <diagonal/>
    </border>
    <border>
      <left/>
      <right style="thin">
        <color rgb="FF000000"/>
      </right>
      <top style="medium">
        <color rgb="FF000000"/>
      </top>
      <bottom style="double">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medium">
        <color rgb="FF000000"/>
      </top>
      <bottom style="hair">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medium">
        <color rgb="FF000000"/>
      </bottom>
      <diagonal/>
    </border>
    <border>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hair">
        <color rgb="FF7F7F7F"/>
      </left>
      <right/>
      <top style="hair">
        <color rgb="FF7F7F7F"/>
      </top>
      <bottom style="hair">
        <color rgb="FF7F7F7F"/>
      </bottom>
      <diagonal/>
    </border>
    <border>
      <left/>
      <right style="hair">
        <color rgb="FF7F7F7F"/>
      </right>
      <top style="hair">
        <color rgb="FF7F7F7F"/>
      </top>
      <bottom style="hair">
        <color rgb="FF7F7F7F"/>
      </bottom>
      <diagonal/>
    </border>
    <border>
      <left style="hair">
        <color rgb="FF7F7F7F"/>
      </left>
      <right style="hair">
        <color rgb="FF7F7F7F"/>
      </right>
      <top style="hair">
        <color rgb="FF7F7F7F"/>
      </top>
      <bottom/>
      <diagonal/>
    </border>
    <border>
      <left style="hair">
        <color rgb="FF7F7F7F"/>
      </left>
      <right/>
      <top style="hair">
        <color rgb="FF7F7F7F"/>
      </top>
      <bottom/>
      <diagonal/>
    </border>
    <border>
      <left/>
      <right style="hair">
        <color rgb="FF7F7F7F"/>
      </right>
      <top style="hair">
        <color rgb="FF7F7F7F"/>
      </top>
      <bottom/>
      <diagonal/>
    </border>
    <border>
      <left/>
      <right/>
      <top style="hair">
        <color rgb="FF7F7F7F"/>
      </top>
      <bottom style="hair">
        <color rgb="FF7F7F7F"/>
      </bottom>
      <diagonal/>
    </border>
    <border>
      <left style="hair">
        <color rgb="FF7F7F7F"/>
      </left>
      <right style="hair">
        <color rgb="FF7F7F7F"/>
      </right>
      <top/>
      <bottom style="hair">
        <color rgb="FF7F7F7F"/>
      </bottom>
      <diagonal/>
    </border>
    <border>
      <left/>
      <right style="hair">
        <color rgb="FF7F7F7F"/>
      </right>
      <top/>
      <bottom style="hair">
        <color rgb="FF7F7F7F"/>
      </bottom>
      <diagonal/>
    </border>
    <border>
      <left style="medium">
        <color indexed="64"/>
      </left>
      <right/>
      <top style="medium">
        <color indexed="64"/>
      </top>
      <bottom/>
      <diagonal/>
    </border>
    <border>
      <left/>
      <right/>
      <top style="medium">
        <color indexed="64"/>
      </top>
      <bottom style="thin">
        <color rgb="FF29292F"/>
      </bottom>
      <diagonal/>
    </border>
    <border>
      <left/>
      <right style="medium">
        <color indexed="64"/>
      </right>
      <top style="medium">
        <color indexed="64"/>
      </top>
      <bottom style="thin">
        <color rgb="FF29292F"/>
      </bottom>
      <diagonal/>
    </border>
    <border>
      <left style="medium">
        <color indexed="64"/>
      </left>
      <right/>
      <top style="thin">
        <color rgb="FF29292F"/>
      </top>
      <bottom style="hair">
        <color rgb="FF29292F"/>
      </bottom>
      <diagonal/>
    </border>
    <border>
      <left style="medium">
        <color indexed="64"/>
      </left>
      <right/>
      <top style="hair">
        <color rgb="FF29292F"/>
      </top>
      <bottom style="hair">
        <color rgb="FF29292F"/>
      </bottom>
      <diagonal/>
    </border>
    <border>
      <left/>
      <right style="medium">
        <color indexed="64"/>
      </right>
      <top style="hair">
        <color rgb="FF29292F"/>
      </top>
      <bottom style="hair">
        <color rgb="FF29292F"/>
      </bottom>
      <diagonal/>
    </border>
    <border>
      <left style="medium">
        <color indexed="64"/>
      </left>
      <right/>
      <top style="hair">
        <color rgb="FF29292F"/>
      </top>
      <bottom style="medium">
        <color indexed="64"/>
      </bottom>
      <diagonal/>
    </border>
    <border>
      <left/>
      <right style="medium">
        <color indexed="64"/>
      </right>
      <top style="hair">
        <color rgb="FF29292F"/>
      </top>
      <bottom style="medium">
        <color indexed="64"/>
      </bottom>
      <diagonal/>
    </border>
    <border>
      <left style="thin">
        <color rgb="FF000000"/>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medium">
        <color indexed="64"/>
      </right>
      <top style="hair">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rgb="FF000000"/>
      </top>
      <bottom style="medium">
        <color indexed="64"/>
      </bottom>
      <diagonal/>
    </border>
    <border>
      <left/>
      <right/>
      <top style="medium">
        <color rgb="FF000000"/>
      </top>
      <bottom style="medium">
        <color indexed="64"/>
      </bottom>
      <diagonal/>
    </border>
    <border>
      <left/>
      <right style="medium">
        <color indexed="64"/>
      </right>
      <top style="medium">
        <color rgb="FF000000"/>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medium">
        <color rgb="FF000000"/>
      </bottom>
      <diagonal/>
    </border>
    <border>
      <left style="thin">
        <color rgb="FF000000"/>
      </left>
      <right style="medium">
        <color rgb="FF000000"/>
      </right>
      <top style="medium">
        <color rgb="FF000000"/>
      </top>
      <bottom/>
      <diagonal/>
    </border>
    <border>
      <left style="thin">
        <color rgb="FF000000"/>
      </left>
      <right style="thin">
        <color rgb="FF000000"/>
      </right>
      <top style="hair">
        <color rgb="FF000000"/>
      </top>
      <bottom style="medium">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hair">
        <color rgb="FF000000"/>
      </bottom>
      <diagonal/>
    </border>
    <border>
      <left style="thin">
        <color rgb="FF000000"/>
      </left>
      <right style="medium">
        <color indexed="64"/>
      </right>
      <top style="thin">
        <color rgb="FF000000"/>
      </top>
      <bottom style="hair">
        <color rgb="FF000000"/>
      </bottom>
      <diagonal/>
    </border>
    <border>
      <left style="medium">
        <color indexed="64"/>
      </left>
      <right style="thin">
        <color rgb="FF000000"/>
      </right>
      <top style="hair">
        <color rgb="FF000000"/>
      </top>
      <bottom style="hair">
        <color indexed="64"/>
      </bottom>
      <diagonal/>
    </border>
    <border>
      <left style="thin">
        <color rgb="FF000000"/>
      </left>
      <right style="medium">
        <color indexed="64"/>
      </right>
      <top style="hair">
        <color rgb="FF000000"/>
      </top>
      <bottom style="hair">
        <color indexed="64"/>
      </bottom>
      <diagonal/>
    </border>
    <border>
      <left style="medium">
        <color indexed="64"/>
      </left>
      <right style="thin">
        <color rgb="FF000000"/>
      </right>
      <top/>
      <bottom style="hair">
        <color rgb="FF000000"/>
      </bottom>
      <diagonal/>
    </border>
    <border>
      <left style="thin">
        <color rgb="FF000000"/>
      </left>
      <right style="medium">
        <color indexed="64"/>
      </right>
      <top/>
      <bottom style="hair">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hair">
        <color rgb="FF000000"/>
      </top>
      <bottom style="medium">
        <color rgb="FF000000"/>
      </bottom>
      <diagonal/>
    </border>
    <border>
      <left style="thin">
        <color rgb="FF000000"/>
      </left>
      <right style="medium">
        <color indexed="64"/>
      </right>
      <top style="hair">
        <color rgb="FF000000"/>
      </top>
      <bottom style="medium">
        <color rgb="FF000000"/>
      </bottom>
      <diagonal/>
    </border>
    <border>
      <left style="thin">
        <color indexed="64"/>
      </left>
      <right/>
      <top/>
      <bottom style="medium">
        <color rgb="FF000000"/>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thin">
        <color rgb="FF29292F"/>
      </left>
      <right/>
      <top style="medium">
        <color indexed="64"/>
      </top>
      <bottom style="hair">
        <color rgb="FF29292F"/>
      </bottom>
      <diagonal/>
    </border>
    <border>
      <left/>
      <right/>
      <top style="medium">
        <color indexed="64"/>
      </top>
      <bottom style="hair">
        <color rgb="FF29292F"/>
      </bottom>
      <diagonal/>
    </border>
    <border>
      <left/>
      <right style="medium">
        <color indexed="64"/>
      </right>
      <top style="medium">
        <color indexed="64"/>
      </top>
      <bottom style="hair">
        <color rgb="FF29292F"/>
      </bottom>
      <diagonal/>
    </border>
    <border>
      <left style="thin">
        <color rgb="FF29292F"/>
      </left>
      <right/>
      <top style="hair">
        <color rgb="FF29292F"/>
      </top>
      <bottom style="hair">
        <color rgb="FF29292F"/>
      </bottom>
      <diagonal/>
    </border>
    <border>
      <left style="thin">
        <color rgb="FF29292F"/>
      </left>
      <right/>
      <top style="hair">
        <color rgb="FF29292F"/>
      </top>
      <bottom style="medium">
        <color auto="1"/>
      </bottom>
      <diagonal/>
    </border>
    <border>
      <left style="medium">
        <color indexed="64"/>
      </left>
      <right style="thin">
        <color indexed="64"/>
      </right>
      <top style="medium">
        <color auto="1"/>
      </top>
      <bottom/>
      <diagonal/>
    </border>
    <border>
      <left/>
      <right style="thin">
        <color indexed="64"/>
      </right>
      <top style="medium">
        <color auto="1"/>
      </top>
      <bottom/>
      <diagonal/>
    </border>
    <border>
      <left style="medium">
        <color indexed="64"/>
      </left>
      <right style="hair">
        <color indexed="64"/>
      </right>
      <top style="double">
        <color indexed="64"/>
      </top>
      <bottom style="hair">
        <color indexed="64"/>
      </bottom>
      <diagonal/>
    </border>
    <border>
      <left style="hair">
        <color indexed="64"/>
      </left>
      <right style="hair">
        <color indexed="64"/>
      </right>
      <top style="double">
        <color indexed="64"/>
      </top>
      <bottom style="hair">
        <color indexed="64"/>
      </bottom>
      <diagonal/>
    </border>
    <border>
      <left style="hair">
        <color indexed="64"/>
      </left>
      <right style="medium">
        <color indexed="64"/>
      </right>
      <top style="double">
        <color indexed="64"/>
      </top>
      <bottom style="hair">
        <color indexed="64"/>
      </bottom>
      <diagonal/>
    </border>
    <border>
      <left style="medium">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hair">
        <color indexed="64"/>
      </left>
      <right style="medium">
        <color indexed="64"/>
      </right>
      <top style="hair">
        <color indexed="64"/>
      </top>
      <bottom style="double">
        <color indexed="64"/>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indexed="64"/>
      </left>
      <right style="thin">
        <color indexed="64"/>
      </right>
      <top/>
      <bottom style="thin">
        <color indexed="64"/>
      </bottom>
      <diagonal/>
    </border>
    <border>
      <left/>
      <right style="thin">
        <color theme="2" tint="-9.9978637043366805E-2"/>
      </right>
      <top/>
      <bottom/>
      <diagonal/>
    </border>
    <border>
      <left style="thin">
        <color theme="2" tint="-9.9978637043366805E-2"/>
      </left>
      <right/>
      <top/>
      <bottom/>
      <diagonal/>
    </border>
    <border>
      <left/>
      <right style="thin">
        <color theme="0" tint="-4.9989318521683403E-2"/>
      </right>
      <top/>
      <bottom style="thin">
        <color theme="0" tint="-4.9989318521683403E-2"/>
      </bottom>
      <diagonal/>
    </border>
    <border>
      <left style="thin">
        <color theme="0" tint="-4.9989318521683403E-2"/>
      </left>
      <right/>
      <top/>
      <bottom style="thin">
        <color theme="0" tint="-4.9989318521683403E-2"/>
      </bottom>
      <diagonal/>
    </border>
    <border>
      <left style="thin">
        <color theme="2" tint="-9.9978637043366805E-2"/>
      </left>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thin">
        <color theme="0" tint="-4.9989318521683403E-2"/>
      </right>
      <top/>
      <bottom/>
      <diagonal/>
    </border>
    <border>
      <left style="thin">
        <color theme="0" tint="-4.9989318521683403E-2"/>
      </left>
      <right/>
      <top/>
      <bottom/>
      <diagonal/>
    </border>
    <border>
      <left/>
      <right style="thin">
        <color theme="0" tint="-4.9989318521683403E-2"/>
      </right>
      <top style="thin">
        <color theme="0" tint="-4.9989318521683403E-2"/>
      </top>
      <bottom/>
      <diagonal/>
    </border>
    <border>
      <left style="thin">
        <color theme="0" tint="-4.9989318521683403E-2"/>
      </left>
      <right/>
      <top style="thin">
        <color theme="0" tint="-4.9989318521683403E-2"/>
      </top>
      <bottom/>
      <diagonal/>
    </border>
    <border>
      <left/>
      <right style="thin">
        <color theme="0" tint="-4.9989318521683403E-2"/>
      </right>
      <top style="thin">
        <color theme="0" tint="-4.9989318521683403E-2"/>
      </top>
      <bottom style="thin">
        <color theme="0" tint="-4.9989318521683403E-2"/>
      </bottom>
      <diagonal/>
    </border>
    <border>
      <left style="thin">
        <color theme="0" tint="-4.9989318521683403E-2"/>
      </left>
      <right/>
      <top style="thin">
        <color theme="0" tint="-4.9989318521683403E-2"/>
      </top>
      <bottom style="thin">
        <color theme="0" tint="-4.9989318521683403E-2"/>
      </bottom>
      <diagonal/>
    </border>
    <border>
      <left style="thin">
        <color rgb="FF29292F"/>
      </left>
      <right/>
      <top style="thin">
        <color rgb="FF29292F"/>
      </top>
      <bottom style="hair">
        <color rgb="FF29292F"/>
      </bottom>
      <diagonal/>
    </border>
    <border>
      <left style="thin">
        <color rgb="FF29292F"/>
      </left>
      <right/>
      <top style="medium">
        <color rgb="FF1851D6"/>
      </top>
      <bottom/>
      <diagonal/>
    </border>
    <border>
      <left/>
      <right/>
      <top style="medium">
        <color rgb="FF1851D6"/>
      </top>
      <bottom/>
      <diagonal/>
    </border>
    <border>
      <left style="hair">
        <color indexed="64"/>
      </left>
      <right/>
      <top/>
      <bottom style="hair">
        <color indexed="64"/>
      </bottom>
      <diagonal/>
    </border>
    <border>
      <left style="hair">
        <color indexed="64"/>
      </left>
      <right style="hair">
        <color indexed="64"/>
      </right>
      <top/>
      <bottom/>
      <diagonal/>
    </border>
    <border>
      <left style="hair">
        <color indexed="64"/>
      </left>
      <right/>
      <top/>
      <bottom/>
      <diagonal/>
    </border>
    <border>
      <left style="thin">
        <color auto="1"/>
      </left>
      <right style="hair">
        <color indexed="64"/>
      </right>
      <top/>
      <bottom/>
      <diagonal/>
    </border>
    <border>
      <left/>
      <right style="hair">
        <color indexed="64"/>
      </right>
      <top/>
      <bottom/>
      <diagonal/>
    </border>
    <border>
      <left style="hair">
        <color indexed="64"/>
      </left>
      <right style="thin">
        <color theme="0" tint="-0.499984740745262"/>
      </right>
      <top/>
      <bottom style="hair">
        <color indexed="64"/>
      </bottom>
      <diagonal/>
    </border>
    <border>
      <left style="hair">
        <color auto="1"/>
      </left>
      <right/>
      <top style="hair">
        <color auto="1"/>
      </top>
      <bottom style="hair">
        <color auto="1"/>
      </bottom>
      <diagonal/>
    </border>
    <border>
      <left/>
      <right style="hair">
        <color indexed="64"/>
      </right>
      <top/>
      <bottom style="double">
        <color indexed="64"/>
      </bottom>
      <diagonal/>
    </border>
    <border>
      <left/>
      <right/>
      <top/>
      <bottom style="double">
        <color indexed="64"/>
      </bottom>
      <diagonal/>
    </border>
    <border>
      <left/>
      <right/>
      <top style="double">
        <color auto="1"/>
      </top>
      <bottom/>
      <diagonal/>
    </border>
    <border>
      <left style="thin">
        <color rgb="FF29292F"/>
      </left>
      <right/>
      <top style="thin">
        <color theme="0"/>
      </top>
      <bottom/>
      <diagonal/>
    </border>
    <border>
      <left/>
      <right/>
      <top style="thin">
        <color theme="0"/>
      </top>
      <bottom/>
      <diagonal/>
    </border>
    <border>
      <left style="thin">
        <color auto="1"/>
      </left>
      <right style="hair">
        <color indexed="64"/>
      </right>
      <top/>
      <bottom style="double">
        <color auto="1"/>
      </bottom>
      <diagonal/>
    </border>
    <border>
      <left/>
      <right/>
      <top/>
      <bottom style="hair">
        <color indexed="64"/>
      </bottom>
      <diagonal/>
    </border>
    <border>
      <left style="hair">
        <color indexed="64"/>
      </left>
      <right style="hair">
        <color indexed="64"/>
      </right>
      <top/>
      <bottom style="double">
        <color auto="1"/>
      </bottom>
      <diagonal/>
    </border>
    <border>
      <left style="thin">
        <color rgb="FF29292F"/>
      </left>
      <right style="thin">
        <color rgb="FF29292F"/>
      </right>
      <top style="thin">
        <color rgb="FF29292F"/>
      </top>
      <bottom/>
      <diagonal/>
    </border>
    <border>
      <left/>
      <right style="thin">
        <color indexed="64"/>
      </right>
      <top style="thin">
        <color rgb="FF29292F"/>
      </top>
      <bottom style="hair">
        <color rgb="FF29292F"/>
      </bottom>
      <diagonal/>
    </border>
    <border>
      <left style="thin">
        <color rgb="FF29292F"/>
      </left>
      <right style="thin">
        <color rgb="FF29292F"/>
      </right>
      <top/>
      <bottom/>
      <diagonal/>
    </border>
    <border>
      <left/>
      <right style="thin">
        <color indexed="64"/>
      </right>
      <top style="hair">
        <color rgb="FF29292F"/>
      </top>
      <bottom style="hair">
        <color rgb="FF29292F"/>
      </bottom>
      <diagonal/>
    </border>
    <border>
      <left style="thin">
        <color rgb="FF29292F"/>
      </left>
      <right style="thin">
        <color rgb="FF29292F"/>
      </right>
      <top/>
      <bottom style="medium">
        <color rgb="FF29292F"/>
      </bottom>
      <diagonal/>
    </border>
    <border>
      <left style="thin">
        <color rgb="FF29292F"/>
      </left>
      <right/>
      <top style="hair">
        <color rgb="FF29292F"/>
      </top>
      <bottom style="medium">
        <color rgb="FF29292F"/>
      </bottom>
      <diagonal/>
    </border>
    <border>
      <left/>
      <right/>
      <top style="hair">
        <color rgb="FF29292F"/>
      </top>
      <bottom style="medium">
        <color rgb="FF29292F"/>
      </bottom>
      <diagonal/>
    </border>
    <border>
      <left/>
      <right style="thin">
        <color indexed="64"/>
      </right>
      <top style="hair">
        <color rgb="FF29292F"/>
      </top>
      <bottom style="medium">
        <color rgb="FF29292F"/>
      </bottom>
      <diagonal/>
    </border>
    <border>
      <left/>
      <right style="thin">
        <color rgb="FF29292F"/>
      </right>
      <top style="medium">
        <color rgb="FF29292F"/>
      </top>
      <bottom style="thin">
        <color rgb="FF29292F"/>
      </bottom>
      <diagonal/>
    </border>
    <border>
      <left style="thin">
        <color rgb="FF29292F"/>
      </left>
      <right style="thin">
        <color rgb="FF29292F"/>
      </right>
      <top style="medium">
        <color rgb="FF29292F"/>
      </top>
      <bottom style="thin">
        <color rgb="FF29292F"/>
      </bottom>
      <diagonal/>
    </border>
    <border>
      <left style="thin">
        <color rgb="FF29292F"/>
      </left>
      <right/>
      <top style="medium">
        <color rgb="FF29292F"/>
      </top>
      <bottom style="thin">
        <color rgb="FF29292F"/>
      </bottom>
      <diagonal/>
    </border>
    <border>
      <left/>
      <right style="thin">
        <color rgb="FF29292F"/>
      </right>
      <top style="thin">
        <color rgb="FF29292F"/>
      </top>
      <bottom style="medium">
        <color rgb="FF1851D6"/>
      </bottom>
      <diagonal/>
    </border>
    <border>
      <left style="thin">
        <color rgb="FF29292F"/>
      </left>
      <right style="thin">
        <color rgb="FF29292F"/>
      </right>
      <top style="thin">
        <color rgb="FF29292F"/>
      </top>
      <bottom style="medium">
        <color rgb="FF1851D6"/>
      </bottom>
      <diagonal/>
    </border>
    <border>
      <left style="thin">
        <color rgb="FF29292F"/>
      </left>
      <right/>
      <top style="thin">
        <color rgb="FF29292F"/>
      </top>
      <bottom style="medium">
        <color rgb="FF1851D6"/>
      </bottom>
      <diagonal/>
    </border>
    <border>
      <left style="thin">
        <color rgb="FF29292F"/>
      </left>
      <right/>
      <top style="medium">
        <color rgb="FF1851D6"/>
      </top>
      <bottom style="hair">
        <color indexed="64"/>
      </bottom>
      <diagonal/>
    </border>
    <border>
      <left/>
      <right/>
      <top style="medium">
        <color rgb="FF1851D6"/>
      </top>
      <bottom style="hair">
        <color indexed="64"/>
      </bottom>
      <diagonal/>
    </border>
    <border>
      <left style="medium">
        <color indexed="64"/>
      </left>
      <right style="medium">
        <color indexed="64"/>
      </right>
      <top style="medium">
        <color indexed="64"/>
      </top>
      <bottom style="thin">
        <color theme="0"/>
      </bottom>
      <diagonal/>
    </border>
    <border>
      <left style="medium">
        <color indexed="64"/>
      </left>
      <right style="medium">
        <color indexed="64"/>
      </right>
      <top style="thin">
        <color theme="0"/>
      </top>
      <bottom style="thin">
        <color theme="0"/>
      </bottom>
      <diagonal/>
    </border>
    <border>
      <left style="medium">
        <color indexed="64"/>
      </left>
      <right style="medium">
        <color indexed="64"/>
      </right>
      <top style="thin">
        <color theme="0"/>
      </top>
      <bottom style="medium">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diagonal/>
    </border>
    <border>
      <left style="medium">
        <color indexed="64"/>
      </left>
      <right/>
      <top style="medium">
        <color indexed="64"/>
      </top>
      <bottom style="thin">
        <color rgb="FF29292F"/>
      </bottom>
      <diagonal/>
    </border>
    <border>
      <left style="medium">
        <color indexed="64"/>
      </left>
      <right style="thin">
        <color rgb="FF000000"/>
      </right>
      <top style="medium">
        <color rgb="FF000000"/>
      </top>
      <bottom style="thin">
        <color rgb="FF000000"/>
      </bottom>
      <diagonal/>
    </border>
    <border>
      <left/>
      <right style="medium">
        <color indexed="64"/>
      </right>
      <top style="medium">
        <color rgb="FF000000"/>
      </top>
      <bottom style="thin">
        <color rgb="FF000000"/>
      </bottom>
      <diagonal/>
    </border>
    <border>
      <left style="medium">
        <color indexed="64"/>
      </left>
      <right style="thin">
        <color rgb="FF000000"/>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auto="1"/>
      </left>
      <right style="thin">
        <color auto="1"/>
      </right>
      <top style="hair">
        <color auto="1"/>
      </top>
      <bottom style="thin">
        <color auto="1"/>
      </bottom>
      <diagonal/>
    </border>
    <border>
      <left style="thin">
        <color indexed="64"/>
      </left>
      <right style="thin">
        <color indexed="64"/>
      </right>
      <top/>
      <bottom style="hair">
        <color indexed="64"/>
      </bottom>
      <diagonal/>
    </border>
    <border>
      <left style="thin">
        <color auto="1"/>
      </left>
      <right style="thin">
        <color auto="1"/>
      </right>
      <top style="medium">
        <color rgb="FF1851D6"/>
      </top>
      <bottom style="medium">
        <color rgb="FF1851D6"/>
      </bottom>
      <diagonal/>
    </border>
    <border>
      <left style="thin">
        <color auto="1"/>
      </left>
      <right/>
      <top style="medium">
        <color rgb="FF1851D6"/>
      </top>
      <bottom style="medium">
        <color rgb="FF1851D6"/>
      </bottom>
      <diagonal/>
    </border>
    <border>
      <left/>
      <right/>
      <top style="medium">
        <color rgb="FF1851D6"/>
      </top>
      <bottom style="medium">
        <color rgb="FF1851D6"/>
      </bottom>
      <diagonal/>
    </border>
    <border>
      <left/>
      <right style="thin">
        <color auto="1"/>
      </right>
      <top style="medium">
        <color rgb="FF1851D6"/>
      </top>
      <bottom style="medium">
        <color rgb="FF1851D6"/>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hair">
        <color rgb="FF000000"/>
      </right>
      <top/>
      <bottom style="hair">
        <color rgb="FF000000"/>
      </bottom>
      <diagonal/>
    </border>
    <border>
      <left style="hair">
        <color rgb="FF000000"/>
      </left>
      <right style="medium">
        <color indexed="64"/>
      </right>
      <top/>
      <bottom style="hair">
        <color rgb="FF000000"/>
      </bottom>
      <diagonal/>
    </border>
    <border>
      <left style="medium">
        <color indexed="64"/>
      </left>
      <right style="hair">
        <color rgb="FF000000"/>
      </right>
      <top style="hair">
        <color rgb="FF000000"/>
      </top>
      <bottom style="hair">
        <color rgb="FF000000"/>
      </bottom>
      <diagonal/>
    </border>
    <border>
      <left style="hair">
        <color rgb="FF000000"/>
      </left>
      <right style="medium">
        <color indexed="64"/>
      </right>
      <top style="hair">
        <color rgb="FF000000"/>
      </top>
      <bottom style="hair">
        <color rgb="FF000000"/>
      </bottom>
      <diagonal/>
    </border>
    <border>
      <left style="medium">
        <color indexed="64"/>
      </left>
      <right style="hair">
        <color rgb="FF000000"/>
      </right>
      <top style="hair">
        <color rgb="FF000000"/>
      </top>
      <bottom style="double">
        <color indexed="64"/>
      </bottom>
      <diagonal/>
    </border>
    <border>
      <left style="hair">
        <color rgb="FF000000"/>
      </left>
      <right style="hair">
        <color rgb="FF000000"/>
      </right>
      <top style="hair">
        <color rgb="FF000000"/>
      </top>
      <bottom style="double">
        <color indexed="64"/>
      </bottom>
      <diagonal/>
    </border>
    <border>
      <left style="hair">
        <color rgb="FF000000"/>
      </left>
      <right style="medium">
        <color indexed="64"/>
      </right>
      <top style="hair">
        <color rgb="FF000000"/>
      </top>
      <bottom style="double">
        <color indexed="64"/>
      </bottom>
      <diagonal/>
    </border>
    <border>
      <left style="medium">
        <color indexed="64"/>
      </left>
      <right style="hair">
        <color rgb="FF000000"/>
      </right>
      <top style="hair">
        <color rgb="FF000000"/>
      </top>
      <bottom/>
      <diagonal/>
    </border>
    <border>
      <left style="hair">
        <color rgb="FF000000"/>
      </left>
      <right style="medium">
        <color indexed="64"/>
      </right>
      <top style="hair">
        <color rgb="FF000000"/>
      </top>
      <bottom/>
      <diagonal/>
    </border>
    <border>
      <left style="medium">
        <color indexed="64"/>
      </left>
      <right style="hair">
        <color rgb="FF000000"/>
      </right>
      <top/>
      <bottom/>
      <diagonal/>
    </border>
    <border>
      <left style="hair">
        <color rgb="FF000000"/>
      </left>
      <right style="hair">
        <color rgb="FF000000"/>
      </right>
      <top/>
      <bottom/>
      <diagonal/>
    </border>
    <border>
      <left style="hair">
        <color rgb="FF000000"/>
      </left>
      <right style="medium">
        <color indexed="64"/>
      </right>
      <top/>
      <bottom/>
      <diagonal/>
    </border>
    <border>
      <left style="medium">
        <color indexed="64"/>
      </left>
      <right style="hair">
        <color rgb="FF000000"/>
      </right>
      <top style="hair">
        <color rgb="FF000000"/>
      </top>
      <bottom style="medium">
        <color indexed="64"/>
      </bottom>
      <diagonal/>
    </border>
    <border>
      <left style="hair">
        <color rgb="FF000000"/>
      </left>
      <right style="hair">
        <color rgb="FF000000"/>
      </right>
      <top style="hair">
        <color rgb="FF000000"/>
      </top>
      <bottom style="medium">
        <color indexed="64"/>
      </bottom>
      <diagonal/>
    </border>
    <border>
      <left style="hair">
        <color rgb="FF000000"/>
      </left>
      <right style="medium">
        <color indexed="64"/>
      </right>
      <top style="hair">
        <color rgb="FF000000"/>
      </top>
      <bottom style="medium">
        <color indexed="64"/>
      </bottom>
      <diagonal/>
    </border>
    <border>
      <left style="thin">
        <color rgb="FF000000"/>
      </left>
      <right/>
      <top style="thin">
        <color rgb="FF29292F"/>
      </top>
      <bottom style="thin">
        <color rgb="FF29292F"/>
      </bottom>
      <diagonal/>
    </border>
    <border>
      <left style="thin">
        <color rgb="FF000000"/>
      </left>
      <right/>
      <top style="thin">
        <color rgb="FF29292F"/>
      </top>
      <bottom style="thin">
        <color rgb="FF000000"/>
      </bottom>
      <diagonal/>
    </border>
    <border>
      <left/>
      <right/>
      <top style="thin">
        <color rgb="FF29292F"/>
      </top>
      <bottom style="thin">
        <color rgb="FF000000"/>
      </bottom>
      <diagonal/>
    </border>
    <border>
      <left/>
      <right style="thin">
        <color rgb="FF000000"/>
      </right>
      <top style="thin">
        <color rgb="FF29292F"/>
      </top>
      <bottom style="thin">
        <color rgb="FF000000"/>
      </bottom>
      <diagonal/>
    </border>
    <border>
      <left/>
      <right/>
      <top style="thin">
        <color rgb="FF7F7F7F"/>
      </top>
      <bottom style="thin">
        <color rgb="FF262626"/>
      </bottom>
      <diagonal/>
    </border>
    <border>
      <left/>
      <right style="thin">
        <color rgb="FF262626"/>
      </right>
      <top style="thin">
        <color rgb="FF7F7F7F"/>
      </top>
      <bottom style="thin">
        <color rgb="FF262626"/>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indexed="64"/>
      </left>
      <right style="thin">
        <color rgb="FF000000"/>
      </right>
      <top style="hair">
        <color rgb="FF000000"/>
      </top>
      <bottom style="hair">
        <color rgb="FF000000"/>
      </bottom>
      <diagonal/>
    </border>
    <border>
      <left style="thin">
        <color rgb="FF000000"/>
      </left>
      <right style="thin">
        <color indexed="64"/>
      </right>
      <top style="hair">
        <color rgb="FF000000"/>
      </top>
      <bottom style="hair">
        <color rgb="FF000000"/>
      </bottom>
      <diagonal/>
    </border>
    <border>
      <left style="thin">
        <color indexed="64"/>
      </left>
      <right/>
      <top style="hair">
        <color rgb="FF000000"/>
      </top>
      <bottom style="hair">
        <color rgb="FF000000"/>
      </bottom>
      <diagonal/>
    </border>
    <border>
      <left/>
      <right style="thin">
        <color indexed="64"/>
      </right>
      <top style="hair">
        <color rgb="FF000000"/>
      </top>
      <bottom style="hair">
        <color rgb="FF000000"/>
      </bottom>
      <diagonal/>
    </border>
    <border>
      <left style="thin">
        <color indexed="64"/>
      </left>
      <right style="medium">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diagonal/>
    </border>
    <border>
      <left style="medium">
        <color indexed="64"/>
      </left>
      <right style="thin">
        <color indexed="64"/>
      </right>
      <top style="hair">
        <color indexed="64"/>
      </top>
      <bottom/>
      <diagonal/>
    </border>
    <border>
      <left style="thin">
        <color indexed="64"/>
      </left>
      <right/>
      <top style="hair">
        <color indexed="64"/>
      </top>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thin">
        <color rgb="FF29292F"/>
      </top>
      <bottom style="thin">
        <color rgb="FF29292F"/>
      </bottom>
      <diagonal/>
    </border>
    <border>
      <left style="thin">
        <color indexed="64"/>
      </left>
      <right/>
      <top style="thin">
        <color rgb="FF29292F"/>
      </top>
      <bottom style="thin">
        <color indexed="64"/>
      </bottom>
      <diagonal/>
    </border>
    <border>
      <left/>
      <right/>
      <top style="thin">
        <color rgb="FF29292F"/>
      </top>
      <bottom style="thin">
        <color indexed="64"/>
      </bottom>
      <diagonal/>
    </border>
    <border>
      <left style="thin">
        <color rgb="FF29292F"/>
      </left>
      <right/>
      <top/>
      <bottom style="thin">
        <color rgb="FF29292F"/>
      </bottom>
      <diagonal/>
    </border>
    <border>
      <left style="thin">
        <color theme="2" tint="-0.499984740745262"/>
      </left>
      <right style="thin">
        <color theme="2" tint="-0.499984740745262"/>
      </right>
      <top/>
      <bottom/>
      <diagonal/>
    </border>
    <border>
      <left/>
      <right/>
      <top style="hair">
        <color indexed="64"/>
      </top>
      <bottom style="hair">
        <color indexed="64"/>
      </bottom>
      <diagonal/>
    </border>
    <border>
      <left style="thin">
        <color rgb="FF000000"/>
      </left>
      <right/>
      <top style="thin">
        <color rgb="FF7F7F7F"/>
      </top>
      <bottom style="thin">
        <color rgb="FF7F7F7F"/>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style="hair">
        <color indexed="64"/>
      </top>
      <bottom style="double">
        <color indexed="64"/>
      </bottom>
      <diagonal/>
    </border>
    <border>
      <left style="medium">
        <color indexed="64"/>
      </left>
      <right style="hair">
        <color indexed="64"/>
      </right>
      <top style="double">
        <color auto="1"/>
      </top>
      <bottom style="double">
        <color indexed="64"/>
      </bottom>
      <diagonal/>
    </border>
    <border>
      <left style="hair">
        <color indexed="64"/>
      </left>
      <right style="hair">
        <color indexed="64"/>
      </right>
      <top style="double">
        <color indexed="64"/>
      </top>
      <bottom style="double">
        <color indexed="64"/>
      </bottom>
      <diagonal/>
    </border>
    <border>
      <left style="hair">
        <color indexed="64"/>
      </left>
      <right style="thin">
        <color indexed="64"/>
      </right>
      <top style="double">
        <color indexed="64"/>
      </top>
      <bottom style="double">
        <color indexed="64"/>
      </bottom>
      <diagonal/>
    </border>
    <border>
      <left/>
      <right style="hair">
        <color indexed="64"/>
      </right>
      <top style="double">
        <color indexed="64"/>
      </top>
      <bottom style="double">
        <color indexed="64"/>
      </bottom>
      <diagonal/>
    </border>
    <border>
      <left style="hair">
        <color indexed="64"/>
      </left>
      <right style="medium">
        <color indexed="64"/>
      </right>
      <top style="double">
        <color auto="1"/>
      </top>
      <bottom style="double">
        <color indexed="64"/>
      </bottom>
      <diagonal/>
    </border>
    <border>
      <left style="medium">
        <color indexed="64"/>
      </left>
      <right style="hair">
        <color indexed="64"/>
      </right>
      <top/>
      <bottom style="double">
        <color indexed="64"/>
      </bottom>
      <diagonal/>
    </border>
    <border>
      <left style="hair">
        <color indexed="64"/>
      </left>
      <right/>
      <top/>
      <bottom style="double">
        <color indexed="64"/>
      </bottom>
      <diagonal/>
    </border>
    <border>
      <left style="hair">
        <color indexed="64"/>
      </left>
      <right style="medium">
        <color indexed="64"/>
      </right>
      <top/>
      <bottom style="double">
        <color indexed="64"/>
      </bottom>
      <diagonal/>
    </border>
    <border>
      <left style="hair">
        <color indexed="64"/>
      </left>
      <right style="thin">
        <color indexed="64"/>
      </right>
      <top/>
      <bottom style="double">
        <color indexed="64"/>
      </bottom>
      <diagonal/>
    </border>
    <border>
      <left style="hair">
        <color indexed="64"/>
      </left>
      <right/>
      <top style="double">
        <color auto="1"/>
      </top>
      <bottom style="double">
        <color indexed="64"/>
      </bottom>
      <diagonal/>
    </border>
    <border>
      <left style="hair">
        <color indexed="64"/>
      </left>
      <right style="medium">
        <color indexed="64"/>
      </right>
      <top/>
      <bottom/>
      <diagonal/>
    </border>
    <border>
      <left style="hair">
        <color indexed="64"/>
      </left>
      <right/>
      <top style="double">
        <color indexed="64"/>
      </top>
      <bottom style="hair">
        <color indexed="64"/>
      </bottom>
      <diagonal/>
    </border>
    <border>
      <left style="hair">
        <color indexed="64"/>
      </left>
      <right/>
      <top style="hair">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thin">
        <color indexed="64"/>
      </right>
      <top style="double">
        <color indexed="64"/>
      </top>
      <bottom style="medium">
        <color indexed="64"/>
      </bottom>
      <diagonal/>
    </border>
    <border>
      <left/>
      <right style="hair">
        <color indexed="64"/>
      </right>
      <top/>
      <bottom style="medium">
        <color indexed="64"/>
      </bottom>
      <diagonal/>
    </border>
    <border>
      <left style="hair">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rgb="FF29292F"/>
      </top>
      <bottom style="thin">
        <color rgb="FF29292F"/>
      </bottom>
      <diagonal/>
    </border>
    <border>
      <left/>
      <right/>
      <top/>
      <bottom style="thin">
        <color rgb="FF29292F"/>
      </bottom>
      <diagonal/>
    </border>
    <border>
      <left/>
      <right style="thin">
        <color indexed="64"/>
      </right>
      <top style="thin">
        <color rgb="FF29292F"/>
      </top>
      <bottom style="thin">
        <color indexed="64"/>
      </bottom>
      <diagonal/>
    </border>
    <border>
      <left style="thin">
        <color indexed="64"/>
      </left>
      <right style="thin">
        <color indexed="64"/>
      </right>
      <top style="medium">
        <color indexed="64"/>
      </top>
      <bottom/>
      <diagonal/>
    </border>
    <border>
      <left/>
      <right style="thin">
        <color indexed="64"/>
      </right>
      <top style="hair">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style="thin">
        <color indexed="64"/>
      </right>
      <top style="double">
        <color indexed="64"/>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thin">
        <color indexed="64"/>
      </right>
      <top style="thin">
        <color indexed="64"/>
      </top>
      <bottom style="hair">
        <color indexed="64"/>
      </bottom>
      <diagonal/>
    </border>
    <border>
      <left style="medium">
        <color indexed="64"/>
      </left>
      <right style="medium">
        <color indexed="64"/>
      </right>
      <top style="medium">
        <color indexed="64"/>
      </top>
      <bottom/>
      <diagonal/>
    </border>
    <border>
      <left style="thin">
        <color indexed="64"/>
      </left>
      <right/>
      <top style="medium">
        <color indexed="64"/>
      </top>
      <bottom/>
      <diagonal/>
    </border>
    <border>
      <left style="thin">
        <color rgb="FFDDDDDD"/>
      </left>
      <right/>
      <top/>
      <bottom style="thin">
        <color rgb="FFDDDDDD"/>
      </bottom>
      <diagonal/>
    </border>
    <border>
      <left/>
      <right/>
      <top/>
      <bottom style="thin">
        <color rgb="FFDDDDDD"/>
      </bottom>
      <diagonal/>
    </border>
    <border>
      <left style="thin">
        <color rgb="FFDDDDDD"/>
      </left>
      <right style="thin">
        <color rgb="FFDDDDDD"/>
      </right>
      <top/>
      <bottom style="thin">
        <color rgb="FFDDDDDD"/>
      </bottom>
      <diagonal/>
    </border>
    <border>
      <left/>
      <right style="thin">
        <color rgb="FFDDDDDD"/>
      </right>
      <top/>
      <bottom style="thin">
        <color rgb="FFDDDDDD"/>
      </bottom>
      <diagonal/>
    </border>
    <border>
      <left style="thin">
        <color rgb="FFDDDDDD"/>
      </left>
      <right/>
      <top style="thin">
        <color rgb="FFDDDDDD"/>
      </top>
      <bottom style="thin">
        <color rgb="FFDDDDDD"/>
      </bottom>
      <diagonal/>
    </border>
    <border>
      <left/>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right style="thin">
        <color rgb="FFDDDDDD"/>
      </right>
      <top style="thin">
        <color rgb="FFDDDDDD"/>
      </top>
      <bottom style="thin">
        <color rgb="FFDDDDDD"/>
      </bottom>
      <diagonal/>
    </border>
    <border>
      <left/>
      <right/>
      <top style="thin">
        <color rgb="FFDDDDDD"/>
      </top>
      <bottom/>
      <diagonal/>
    </border>
    <border>
      <left style="medium">
        <color indexed="64"/>
      </left>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right/>
      <top style="thin">
        <color theme="1" tint="0.499984740745262"/>
      </top>
      <bottom style="double">
        <color indexed="64"/>
      </bottom>
      <diagonal/>
    </border>
    <border>
      <left style="thin">
        <color indexed="64"/>
      </left>
      <right style="medium">
        <color indexed="64"/>
      </right>
      <top style="hair">
        <color indexed="64"/>
      </top>
      <bottom style="double">
        <color indexed="64"/>
      </bottom>
      <diagonal/>
    </border>
    <border>
      <left/>
      <right/>
      <top/>
      <bottom style="thin">
        <color theme="1" tint="0.499984740745262"/>
      </bottom>
      <diagonal/>
    </border>
    <border>
      <left style="thin">
        <color indexed="64"/>
      </left>
      <right style="medium">
        <color indexed="64"/>
      </right>
      <top/>
      <bottom style="hair">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theme="4"/>
      </bottom>
      <diagonal/>
    </border>
    <border>
      <left/>
      <right/>
      <top/>
      <bottom style="thin">
        <color theme="4"/>
      </bottom>
      <diagonal/>
    </border>
    <border>
      <left/>
      <right style="medium">
        <color indexed="64"/>
      </right>
      <top/>
      <bottom style="thin">
        <color theme="4"/>
      </bottom>
      <diagonal/>
    </border>
    <border>
      <left/>
      <right/>
      <top style="thin">
        <color theme="4"/>
      </top>
      <bottom/>
      <diagonal/>
    </border>
    <border>
      <left style="medium">
        <color indexed="64"/>
      </left>
      <right style="hair">
        <color theme="2" tint="-0.499984740745262"/>
      </right>
      <top style="hair">
        <color theme="2" tint="-0.499984740745262"/>
      </top>
      <bottom style="hair">
        <color theme="2" tint="-0.499984740745262"/>
      </bottom>
      <diagonal/>
    </border>
    <border>
      <left style="hair">
        <color theme="2" tint="-0.499984740745262"/>
      </left>
      <right style="hair">
        <color theme="2" tint="-0.499984740745262"/>
      </right>
      <top style="hair">
        <color theme="2" tint="-0.499984740745262"/>
      </top>
      <bottom style="hair">
        <color theme="2" tint="-0.499984740745262"/>
      </bottom>
      <diagonal/>
    </border>
    <border>
      <left style="hair">
        <color theme="2" tint="-0.499984740745262"/>
      </left>
      <right style="medium">
        <color indexed="64"/>
      </right>
      <top style="hair">
        <color theme="2" tint="-0.499984740745262"/>
      </top>
      <bottom style="hair">
        <color theme="2" tint="-0.499984740745262"/>
      </bottom>
      <diagonal/>
    </border>
    <border>
      <left style="medium">
        <color indexed="64"/>
      </left>
      <right style="hair">
        <color theme="2" tint="-0.499984740745262"/>
      </right>
      <top style="hair">
        <color theme="2" tint="-0.499984740745262"/>
      </top>
      <bottom style="medium">
        <color indexed="64"/>
      </bottom>
      <diagonal/>
    </border>
    <border>
      <left style="hair">
        <color theme="2" tint="-0.499984740745262"/>
      </left>
      <right style="hair">
        <color theme="2" tint="-0.499984740745262"/>
      </right>
      <top style="hair">
        <color theme="2" tint="-0.499984740745262"/>
      </top>
      <bottom style="medium">
        <color indexed="64"/>
      </bottom>
      <diagonal/>
    </border>
    <border>
      <left style="hair">
        <color theme="2" tint="-0.499984740745262"/>
      </left>
      <right style="medium">
        <color indexed="64"/>
      </right>
      <top style="hair">
        <color theme="2" tint="-0.499984740745262"/>
      </top>
      <bottom style="medium">
        <color indexed="64"/>
      </bottom>
      <diagonal/>
    </border>
    <border>
      <left style="medium">
        <color indexed="64"/>
      </left>
      <right style="medium">
        <color indexed="64"/>
      </right>
      <top/>
      <bottom style="thin">
        <color theme="4"/>
      </bottom>
      <diagonal/>
    </border>
    <border>
      <left style="thin">
        <color rgb="FFD9D9D9"/>
      </left>
      <right style="thin">
        <color rgb="FFD9D9D9"/>
      </right>
      <top style="thin">
        <color rgb="FFD9D9D9"/>
      </top>
      <bottom style="thin">
        <color rgb="FFD9D9D9"/>
      </bottom>
      <diagonal/>
    </border>
    <border>
      <left style="thin">
        <color rgb="FF7F7F7F"/>
      </left>
      <right style="thin">
        <color rgb="FF262626"/>
      </right>
      <top style="thin">
        <color rgb="FF7F7F7F"/>
      </top>
      <bottom style="thin">
        <color rgb="FF262626"/>
      </bottom>
      <diagonal/>
    </border>
    <border>
      <left/>
      <right/>
      <top style="medium">
        <color rgb="FF2F5496"/>
      </top>
      <bottom/>
      <diagonal/>
    </border>
    <border>
      <left style="thin">
        <color rgb="FFB0C4DE"/>
      </left>
      <right style="medium">
        <color rgb="FF2F5496"/>
      </right>
      <top style="medium">
        <color rgb="FF2F5496"/>
      </top>
      <bottom/>
      <diagonal/>
    </border>
    <border>
      <left style="thin">
        <color rgb="FFB0C4DE"/>
      </left>
      <right style="medium">
        <color rgb="FF2F5496"/>
      </right>
      <top/>
      <bottom/>
      <diagonal/>
    </border>
    <border>
      <left style="medium">
        <color rgb="FF2F5496"/>
      </left>
      <right/>
      <top style="medium">
        <color rgb="FF2F5496"/>
      </top>
      <bottom/>
      <diagonal/>
    </border>
    <border>
      <left style="medium">
        <color rgb="FF2F5496"/>
      </left>
      <right/>
      <top/>
      <bottom/>
      <diagonal/>
    </border>
    <border>
      <left/>
      <right/>
      <top/>
      <bottom style="medium">
        <color rgb="FF2F5496"/>
      </bottom>
      <diagonal/>
    </border>
    <border>
      <left style="medium">
        <color rgb="FF2F5496"/>
      </left>
      <right/>
      <top style="hair">
        <color rgb="FFDCE6F1"/>
      </top>
      <bottom style="hair">
        <color rgb="FFDCE6F1"/>
      </bottom>
      <diagonal/>
    </border>
    <border>
      <left/>
      <right/>
      <top style="hair">
        <color rgb="FFDCE6F1"/>
      </top>
      <bottom style="hair">
        <color rgb="FFDCE6F1"/>
      </bottom>
      <diagonal/>
    </border>
    <border>
      <left style="thin">
        <color rgb="FFB0C4DE"/>
      </left>
      <right style="medium">
        <color rgb="FF2F5496"/>
      </right>
      <top style="hair">
        <color rgb="FFDCE6F1"/>
      </top>
      <bottom style="hair">
        <color rgb="FFDCE6F1"/>
      </bottom>
      <diagonal/>
    </border>
    <border>
      <left style="medium">
        <color rgb="FF2F5496"/>
      </left>
      <right/>
      <top style="hair">
        <color rgb="FFDCE6F1"/>
      </top>
      <bottom/>
      <diagonal/>
    </border>
    <border>
      <left/>
      <right/>
      <top style="hair">
        <color rgb="FFDCE6F1"/>
      </top>
      <bottom/>
      <diagonal/>
    </border>
    <border>
      <left style="thin">
        <color rgb="FFB0C4DE"/>
      </left>
      <right style="medium">
        <color rgb="FF2F5496"/>
      </right>
      <top style="hair">
        <color rgb="FFDCE6F1"/>
      </top>
      <bottom/>
      <diagonal/>
    </border>
    <border>
      <left style="thin">
        <color rgb="FFCCCCCC"/>
      </left>
      <right style="thin">
        <color rgb="FFCCCCCC"/>
      </right>
      <top style="thin">
        <color rgb="FFCCCCCC"/>
      </top>
      <bottom style="thin">
        <color rgb="FFCCCCCC"/>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499984740745262"/>
      </left>
      <right/>
      <top style="thin">
        <color theme="2" tint="-0.499984740745262"/>
      </top>
      <bottom style="thin">
        <color theme="2" tint="-0.499984740745262"/>
      </bottom>
      <diagonal/>
    </border>
    <border>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style="thin">
        <color indexed="64"/>
      </top>
      <bottom style="thin">
        <color theme="2" tint="-0.499984740745262"/>
      </bottom>
      <diagonal/>
    </border>
    <border>
      <left style="thin">
        <color theme="2" tint="-0.499984740745262"/>
      </left>
      <right/>
      <top style="thin">
        <color indexed="64"/>
      </top>
      <bottom style="thin">
        <color theme="2" tint="-0.499984740745262"/>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bottom style="thin">
        <color theme="2" tint="-0.249977111117893"/>
      </bottom>
      <diagonal/>
    </border>
    <border>
      <left style="thin">
        <color indexed="64"/>
      </left>
      <right/>
      <top/>
      <bottom style="thin">
        <color theme="2" tint="-0.249977111117893"/>
      </bottom>
      <diagonal/>
    </border>
    <border>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top style="thin">
        <color theme="2" tint="-9.9978637043366805E-2"/>
      </top>
      <bottom style="thin">
        <color theme="2" tint="-9.9978637043366805E-2"/>
      </bottom>
      <diagonal/>
    </border>
    <border>
      <left/>
      <right style="thin">
        <color theme="2" tint="-0.249977111117893"/>
      </right>
      <top/>
      <bottom/>
      <diagonal/>
    </border>
    <border>
      <left style="thin">
        <color theme="2" tint="-0.249977111117893"/>
      </left>
      <right/>
      <top/>
      <bottom/>
      <diagonal/>
    </border>
    <border>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right style="thin">
        <color theme="0" tint="-0.499984740745262"/>
      </right>
      <top style="thin">
        <color theme="0" tint="-0.499984740745262"/>
      </top>
      <bottom style="thin">
        <color theme="2" tint="-0.499984740745262"/>
      </bottom>
      <diagonal/>
    </border>
    <border>
      <left style="thin">
        <color theme="0" tint="-0.499984740745262"/>
      </left>
      <right style="thin">
        <color theme="2" tint="-0.499984740745262"/>
      </right>
      <top style="thin">
        <color theme="0" tint="-0.499984740745262"/>
      </top>
      <bottom style="thin">
        <color theme="2" tint="-0.499984740745262"/>
      </bottom>
      <diagonal/>
    </border>
    <border>
      <left style="thin">
        <color theme="0" tint="-0.499984740745262"/>
      </left>
      <right/>
      <top style="thin">
        <color theme="0" tint="-0.499984740745262"/>
      </top>
      <bottom style="thin">
        <color theme="2" tint="-0.499984740745262"/>
      </bottom>
      <diagonal/>
    </border>
    <border>
      <left style="thin">
        <color theme="2" tint="-0.499984740745262"/>
      </left>
      <right style="thin">
        <color theme="0" tint="-0.499984740745262"/>
      </right>
      <top style="thin">
        <color theme="2" tint="-0.499984740745262"/>
      </top>
      <bottom style="thin">
        <color theme="0" tint="-0.499984740745262"/>
      </bottom>
      <diagonal/>
    </border>
    <border>
      <left style="thin">
        <color theme="2" tint="-0.499984740745262"/>
      </left>
      <right style="thin">
        <color theme="2" tint="-0.499984740745262"/>
      </right>
      <top style="thin">
        <color theme="2" tint="-0.499984740745262"/>
      </top>
      <bottom style="thin">
        <color theme="0" tint="-0.499984740745262"/>
      </bottom>
      <diagonal/>
    </border>
    <border>
      <left style="thin">
        <color theme="0" tint="-0.499984740745262"/>
      </left>
      <right style="thin">
        <color theme="2" tint="-0.499984740745262"/>
      </right>
      <top style="thin">
        <color theme="2"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indexed="64"/>
      </top>
      <bottom style="thin">
        <color theme="0" tint="-0.499984740745262"/>
      </bottom>
      <diagonal/>
    </border>
    <border>
      <left/>
      <right style="thin">
        <color theme="0" tint="-0.499984740745262"/>
      </right>
      <top/>
      <bottom style="thin">
        <color theme="0" tint="-0.499984740745262"/>
      </bottom>
      <diagonal/>
    </border>
    <border>
      <left style="thin">
        <color theme="0" tint="-0.499984740745262"/>
      </left>
      <right/>
      <top/>
      <bottom style="thin">
        <color theme="0" tint="-0.499984740745262"/>
      </bottom>
      <diagonal/>
    </border>
    <border>
      <left/>
      <right/>
      <top/>
      <bottom style="thin">
        <color theme="0" tint="-0.499984740745262"/>
      </bottom>
      <diagonal/>
    </border>
    <border>
      <left style="thin">
        <color theme="2" tint="-0.249977111117893"/>
      </left>
      <right/>
      <top/>
      <bottom style="thin">
        <color theme="0" tint="-0.499984740745262"/>
      </bottom>
      <diagonal/>
    </border>
    <border>
      <left style="thin">
        <color theme="0" tint="-0.499984740745262"/>
      </left>
      <right style="thin">
        <color theme="2" tint="-0.249977111117893"/>
      </right>
      <top style="thin">
        <color theme="2" tint="-0.249977111117893"/>
      </top>
      <bottom style="thin">
        <color theme="0" tint="-0.499984740745262"/>
      </bottom>
      <diagonal/>
    </border>
    <border>
      <left/>
      <right style="thin">
        <color theme="0" tint="-0.499984740745262"/>
      </right>
      <top/>
      <bottom/>
      <diagonal/>
    </border>
    <border>
      <left style="thin">
        <color theme="0" tint="-0.499984740745262"/>
      </left>
      <right/>
      <top/>
      <bottom/>
      <diagonal/>
    </border>
    <border>
      <left style="thin">
        <color theme="0" tint="-0.499984740745262"/>
      </left>
      <right style="thin">
        <color theme="2" tint="-0.249977111117893"/>
      </right>
      <top style="thin">
        <color theme="2" tint="-0.249977111117893"/>
      </top>
      <bottom style="thin">
        <color theme="2" tint="-0.249977111117893"/>
      </bottom>
      <diagonal/>
    </border>
    <border>
      <left/>
      <right style="thin">
        <color theme="0" tint="-0.499984740745262"/>
      </right>
      <top style="thin">
        <color theme="0" tint="-0.499984740745262"/>
      </top>
      <bottom/>
      <diagonal/>
    </border>
    <border>
      <left style="thin">
        <color theme="0" tint="-0.499984740745262"/>
      </left>
      <right/>
      <top style="thin">
        <color theme="0" tint="-0.499984740745262"/>
      </top>
      <bottom/>
      <diagonal/>
    </border>
    <border>
      <left/>
      <right/>
      <top style="thin">
        <color theme="0" tint="-0.499984740745262"/>
      </top>
      <bottom/>
      <diagonal/>
    </border>
  </borders>
  <cellStyleXfs count="135">
    <xf numFmtId="0" fontId="0" fillId="0" borderId="0"/>
    <xf numFmtId="43" fontId="28" fillId="0" borderId="72" applyFont="0" applyFill="0" applyBorder="0" applyAlignment="0" applyProtection="0"/>
    <xf numFmtId="165" fontId="65" fillId="0" borderId="72" applyFont="0" applyFill="0" applyBorder="0" applyAlignment="0" applyProtection="0"/>
    <xf numFmtId="0" fontId="65" fillId="0" borderId="72"/>
    <xf numFmtId="44" fontId="67" fillId="0" borderId="0" applyFont="0" applyFill="0" applyBorder="0" applyAlignment="0" applyProtection="0"/>
    <xf numFmtId="0" fontId="31" fillId="0" borderId="72"/>
    <xf numFmtId="9" fontId="31" fillId="0" borderId="72"/>
    <xf numFmtId="0" fontId="63" fillId="0" borderId="72"/>
    <xf numFmtId="0" fontId="27" fillId="0" borderId="72"/>
    <xf numFmtId="0" fontId="31" fillId="0" borderId="72" applyNumberFormat="0" applyFont="0" applyFill="0" applyBorder="0" applyAlignment="0" applyProtection="0"/>
    <xf numFmtId="44" fontId="31" fillId="0" borderId="72" applyFont="0" applyFill="0" applyBorder="0" applyAlignment="0" applyProtection="0"/>
    <xf numFmtId="44" fontId="27" fillId="0" borderId="72" applyFont="0" applyFill="0" applyBorder="0" applyAlignment="0" applyProtection="0"/>
    <xf numFmtId="43" fontId="27" fillId="0" borderId="72" applyFont="0" applyFill="0" applyBorder="0" applyAlignment="0" applyProtection="0"/>
    <xf numFmtId="0" fontId="68" fillId="0" borderId="72"/>
    <xf numFmtId="0" fontId="70" fillId="0" borderId="72"/>
    <xf numFmtId="173" fontId="31" fillId="0" borderId="72" applyFont="0" applyFill="0" applyBorder="0" applyAlignment="0" applyProtection="0"/>
    <xf numFmtId="0" fontId="31" fillId="0" borderId="72" applyNumberFormat="0" applyFont="0" applyFill="0" applyBorder="0" applyAlignment="0" applyProtection="0"/>
    <xf numFmtId="0" fontId="26" fillId="0" borderId="72"/>
    <xf numFmtId="173" fontId="68" fillId="0" borderId="72" applyFont="0" applyFill="0" applyBorder="0" applyAlignment="0" applyProtection="0"/>
    <xf numFmtId="43" fontId="26" fillId="0" borderId="72" applyFont="0" applyFill="0" applyBorder="0" applyAlignment="0" applyProtection="0"/>
    <xf numFmtId="43" fontId="26" fillId="0" borderId="72" applyFont="0" applyFill="0" applyBorder="0" applyAlignment="0" applyProtection="0"/>
    <xf numFmtId="165" fontId="31" fillId="0" borderId="72" applyFont="0" applyFill="0" applyBorder="0" applyAlignment="0" applyProtection="0"/>
    <xf numFmtId="0" fontId="78" fillId="0" borderId="72" applyNumberFormat="0" applyFont="0" applyFill="0" applyBorder="0" applyAlignment="0" applyProtection="0"/>
    <xf numFmtId="43" fontId="67" fillId="0" borderId="0" applyFont="0" applyFill="0" applyBorder="0" applyAlignment="0" applyProtection="0"/>
    <xf numFmtId="0" fontId="25" fillId="0" borderId="72"/>
    <xf numFmtId="43" fontId="25" fillId="0" borderId="72" applyFont="0" applyFill="0" applyBorder="0" applyAlignment="0" applyProtection="0"/>
    <xf numFmtId="173" fontId="70" fillId="0" borderId="72" applyFont="0" applyFill="0" applyBorder="0" applyAlignment="0" applyProtection="0"/>
    <xf numFmtId="173" fontId="70" fillId="0" borderId="72" applyFont="0" applyFill="0" applyBorder="0" applyAlignment="0" applyProtection="0"/>
    <xf numFmtId="0" fontId="31" fillId="0" borderId="72"/>
    <xf numFmtId="0" fontId="31" fillId="0" borderId="72" applyNumberFormat="0" applyFont="0" applyFill="0" applyBorder="0" applyAlignment="0" applyProtection="0"/>
    <xf numFmtId="0" fontId="84" fillId="0" borderId="72"/>
    <xf numFmtId="43" fontId="24" fillId="0" borderId="72" applyFont="0" applyFill="0" applyBorder="0" applyAlignment="0" applyProtection="0"/>
    <xf numFmtId="0" fontId="24" fillId="0" borderId="72"/>
    <xf numFmtId="173" fontId="31" fillId="0" borderId="72" applyNumberFormat="0" applyFont="0" applyFill="0" applyBorder="0" applyAlignment="0" applyProtection="0"/>
    <xf numFmtId="0" fontId="31" fillId="0" borderId="72"/>
    <xf numFmtId="0" fontId="94" fillId="0" borderId="72" applyNumberFormat="0" applyFill="0" applyBorder="0" applyAlignment="0" applyProtection="0"/>
    <xf numFmtId="0" fontId="23" fillId="0" borderId="72"/>
    <xf numFmtId="0" fontId="23" fillId="0" borderId="72"/>
    <xf numFmtId="43" fontId="23" fillId="0" borderId="72" applyFont="0" applyFill="0" applyBorder="0" applyAlignment="0" applyProtection="0"/>
    <xf numFmtId="0" fontId="22" fillId="0" borderId="72"/>
    <xf numFmtId="0" fontId="121" fillId="0" borderId="72" applyNumberFormat="0" applyFont="0" applyFill="0" applyBorder="0" applyAlignment="0" applyProtection="0"/>
    <xf numFmtId="165" fontId="31" fillId="0" borderId="72" applyFont="0" applyFill="0" applyBorder="0" applyAlignment="0" applyProtection="0"/>
    <xf numFmtId="0" fontId="21" fillId="0" borderId="72"/>
    <xf numFmtId="43" fontId="21" fillId="0" borderId="72" applyFont="0" applyFill="0" applyBorder="0" applyAlignment="0" applyProtection="0"/>
    <xf numFmtId="173" fontId="31" fillId="0" borderId="72" applyFont="0" applyFill="0" applyBorder="0" applyAlignment="0" applyProtection="0"/>
    <xf numFmtId="0" fontId="20" fillId="0" borderId="72"/>
    <xf numFmtId="43" fontId="20" fillId="0" borderId="72" applyFont="0" applyFill="0" applyBorder="0" applyAlignment="0" applyProtection="0"/>
    <xf numFmtId="0" fontId="31" fillId="0" borderId="72"/>
    <xf numFmtId="0" fontId="132" fillId="0" borderId="72"/>
    <xf numFmtId="0" fontId="19" fillId="0" borderId="72"/>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3" fontId="19" fillId="0" borderId="72" applyFont="0" applyFill="0" applyBorder="0" applyAlignment="0" applyProtection="0"/>
    <xf numFmtId="44" fontId="19" fillId="0" borderId="72" applyFont="0" applyFill="0" applyBorder="0" applyAlignment="0" applyProtection="0"/>
    <xf numFmtId="0" fontId="19" fillId="0" borderId="72"/>
    <xf numFmtId="43" fontId="19" fillId="0" borderId="72" applyFont="0" applyFill="0" applyBorder="0" applyAlignment="0" applyProtection="0"/>
    <xf numFmtId="0" fontId="19" fillId="0" borderId="72"/>
    <xf numFmtId="0" fontId="31" fillId="0" borderId="72"/>
    <xf numFmtId="0" fontId="63" fillId="0" borderId="72"/>
    <xf numFmtId="0" fontId="18" fillId="0" borderId="72"/>
    <xf numFmtId="44" fontId="18" fillId="0" borderId="72" applyFont="0" applyFill="0" applyBorder="0" applyAlignment="0" applyProtection="0"/>
    <xf numFmtId="43" fontId="18" fillId="0" borderId="72" applyFont="0" applyFill="0" applyBorder="0" applyAlignment="0" applyProtection="0"/>
    <xf numFmtId="0" fontId="18" fillId="0" borderId="72"/>
    <xf numFmtId="43" fontId="18" fillId="0" borderId="72" applyFont="0" applyFill="0" applyBorder="0" applyAlignment="0" applyProtection="0"/>
    <xf numFmtId="9" fontId="31" fillId="0" borderId="72" applyFont="0" applyFill="0" applyBorder="0" applyAlignment="0" applyProtection="0"/>
    <xf numFmtId="0" fontId="18" fillId="0" borderId="72"/>
    <xf numFmtId="0" fontId="18" fillId="0" borderId="72"/>
    <xf numFmtId="43" fontId="18" fillId="0" borderId="72" applyFont="0" applyFill="0" applyBorder="0" applyAlignment="0" applyProtection="0"/>
    <xf numFmtId="0" fontId="18" fillId="0" borderId="72"/>
    <xf numFmtId="0" fontId="17" fillId="0" borderId="72"/>
    <xf numFmtId="43" fontId="16" fillId="0" borderId="72" applyFont="0" applyFill="0" applyBorder="0" applyAlignment="0" applyProtection="0"/>
    <xf numFmtId="0" fontId="15" fillId="0" borderId="72"/>
    <xf numFmtId="0" fontId="63" fillId="0" borderId="72"/>
    <xf numFmtId="43" fontId="15" fillId="0" borderId="72" applyFont="0" applyFill="0" applyBorder="0" applyAlignment="0" applyProtection="0"/>
    <xf numFmtId="0" fontId="15" fillId="0" borderId="72"/>
    <xf numFmtId="0" fontId="14" fillId="0" borderId="72"/>
    <xf numFmtId="43" fontId="14" fillId="0" borderId="72" applyFont="0" applyFill="0" applyBorder="0" applyAlignment="0" applyProtection="0"/>
    <xf numFmtId="44" fontId="14" fillId="0" borderId="72" applyFont="0" applyFill="0" applyBorder="0" applyAlignment="0" applyProtection="0"/>
    <xf numFmtId="0" fontId="158" fillId="0" borderId="72"/>
    <xf numFmtId="0" fontId="63" fillId="0" borderId="72"/>
    <xf numFmtId="0" fontId="13" fillId="0" borderId="72"/>
    <xf numFmtId="43" fontId="13" fillId="0" borderId="72" applyFont="0" applyFill="0" applyBorder="0" applyAlignment="0" applyProtection="0"/>
    <xf numFmtId="44" fontId="13" fillId="0" borderId="72" applyFont="0" applyFill="0" applyBorder="0" applyAlignment="0" applyProtection="0"/>
    <xf numFmtId="44" fontId="31" fillId="0" borderId="72" applyFont="0" applyFill="0" applyBorder="0" applyAlignment="0" applyProtection="0"/>
    <xf numFmtId="0" fontId="12" fillId="0" borderId="72"/>
    <xf numFmtId="43" fontId="12" fillId="0" borderId="72" applyFont="0" applyFill="0" applyBorder="0" applyAlignment="0" applyProtection="0"/>
    <xf numFmtId="44" fontId="12" fillId="0" borderId="72" applyFont="0" applyFill="0" applyBorder="0" applyAlignment="0" applyProtection="0"/>
    <xf numFmtId="0" fontId="11" fillId="0" borderId="72"/>
    <xf numFmtId="43" fontId="11" fillId="0" borderId="72" applyFont="0" applyFill="0" applyBorder="0" applyAlignment="0" applyProtection="0"/>
    <xf numFmtId="43" fontId="11" fillId="0" borderId="72" applyFont="0" applyFill="0" applyBorder="0" applyAlignment="0" applyProtection="0"/>
    <xf numFmtId="0" fontId="11" fillId="0" borderId="72"/>
    <xf numFmtId="0" fontId="162" fillId="0" borderId="72"/>
    <xf numFmtId="0" fontId="11" fillId="0" borderId="72"/>
    <xf numFmtId="0" fontId="10" fillId="0" borderId="72"/>
    <xf numFmtId="0" fontId="162" fillId="0" borderId="72"/>
    <xf numFmtId="43" fontId="63" fillId="0" borderId="72" applyFont="0" applyFill="0" applyBorder="0" applyAlignment="0" applyProtection="0"/>
    <xf numFmtId="0" fontId="10" fillId="0" borderId="72"/>
    <xf numFmtId="0" fontId="10" fillId="0" borderId="72"/>
    <xf numFmtId="43" fontId="10"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44" fontId="63" fillId="0" borderId="72" applyFont="0" applyFill="0" applyBorder="0" applyAlignment="0" applyProtection="0"/>
    <xf numFmtId="0" fontId="9" fillId="0" borderId="72"/>
    <xf numFmtId="43" fontId="9" fillId="0" borderId="72" applyFont="0" applyFill="0" applyBorder="0" applyAlignment="0" applyProtection="0"/>
    <xf numFmtId="44" fontId="9" fillId="0" borderId="72" applyFont="0" applyFill="0" applyBorder="0" applyAlignment="0" applyProtection="0"/>
    <xf numFmtId="9" fontId="162" fillId="0" borderId="0" applyFont="0" applyFill="0" applyBorder="0" applyAlignment="0" applyProtection="0"/>
    <xf numFmtId="0" fontId="162" fillId="0" borderId="72"/>
    <xf numFmtId="0" fontId="8" fillId="0" borderId="72"/>
    <xf numFmtId="43" fontId="8" fillId="0" borderId="72" applyFont="0" applyFill="0" applyBorder="0" applyAlignment="0" applyProtection="0"/>
    <xf numFmtId="44" fontId="8" fillId="0" borderId="72" applyFont="0" applyFill="0" applyBorder="0" applyAlignment="0" applyProtection="0"/>
    <xf numFmtId="0" fontId="176" fillId="0" borderId="72"/>
    <xf numFmtId="0" fontId="162" fillId="0" borderId="72"/>
    <xf numFmtId="0" fontId="6" fillId="0" borderId="72"/>
    <xf numFmtId="0" fontId="6" fillId="0" borderId="72"/>
    <xf numFmtId="0" fontId="6" fillId="0" borderId="72"/>
    <xf numFmtId="0" fontId="31" fillId="0" borderId="72"/>
    <xf numFmtId="44" fontId="31" fillId="0" borderId="72"/>
    <xf numFmtId="43" fontId="6" fillId="0" borderId="72"/>
    <xf numFmtId="44" fontId="6" fillId="0" borderId="72"/>
    <xf numFmtId="43" fontId="31" fillId="0" borderId="72"/>
    <xf numFmtId="43" fontId="31" fillId="0" borderId="72"/>
    <xf numFmtId="0" fontId="5" fillId="0" borderId="72"/>
    <xf numFmtId="0" fontId="5" fillId="0" borderId="72"/>
    <xf numFmtId="43" fontId="5" fillId="0" borderId="72"/>
    <xf numFmtId="44" fontId="5" fillId="0" borderId="72"/>
    <xf numFmtId="0" fontId="4" fillId="0" borderId="72"/>
    <xf numFmtId="0" fontId="3" fillId="0" borderId="72"/>
    <xf numFmtId="0" fontId="2" fillId="0" borderId="72"/>
    <xf numFmtId="196" fontId="31" fillId="0" borderId="72"/>
    <xf numFmtId="0" fontId="1" fillId="0" borderId="72"/>
  </cellStyleXfs>
  <cellXfs count="2056">
    <xf numFmtId="0" fontId="0" fillId="0" borderId="0" xfId="0"/>
    <xf numFmtId="0" fontId="30" fillId="0" borderId="0" xfId="0" applyFont="1" applyAlignment="1">
      <alignment vertical="center"/>
    </xf>
    <xf numFmtId="0" fontId="32" fillId="0" borderId="0" xfId="0" applyFont="1" applyAlignment="1">
      <alignment vertical="center"/>
    </xf>
    <xf numFmtId="0" fontId="32" fillId="0" borderId="0" xfId="0" applyFont="1"/>
    <xf numFmtId="0" fontId="33" fillId="0" borderId="0" xfId="0" applyFont="1"/>
    <xf numFmtId="0" fontId="33" fillId="0" borderId="0" xfId="0" applyFont="1" applyAlignment="1">
      <alignment horizontal="center"/>
    </xf>
    <xf numFmtId="167" fontId="34" fillId="0" borderId="0" xfId="0" applyNumberFormat="1" applyFont="1" applyAlignment="1">
      <alignment horizontal="center"/>
    </xf>
    <xf numFmtId="3" fontId="37" fillId="7" borderId="16" xfId="0" applyNumberFormat="1" applyFont="1" applyFill="1" applyBorder="1" applyAlignment="1">
      <alignment horizontal="left" vertical="center"/>
    </xf>
    <xf numFmtId="3" fontId="37" fillId="7" borderId="16" xfId="0" applyNumberFormat="1" applyFont="1" applyFill="1" applyBorder="1" applyAlignment="1">
      <alignment horizontal="center" vertical="center"/>
    </xf>
    <xf numFmtId="167" fontId="37" fillId="7" borderId="16" xfId="0" applyNumberFormat="1" applyFont="1" applyFill="1" applyBorder="1" applyAlignment="1">
      <alignment horizontal="left" vertical="center"/>
    </xf>
    <xf numFmtId="3" fontId="38" fillId="0" borderId="16" xfId="0" applyNumberFormat="1" applyFont="1" applyBorder="1" applyAlignment="1">
      <alignment horizontal="left" vertical="center"/>
    </xf>
    <xf numFmtId="3" fontId="38" fillId="0" borderId="16" xfId="0" applyNumberFormat="1" applyFont="1" applyBorder="1" applyAlignment="1">
      <alignment horizontal="center" vertical="center"/>
    </xf>
    <xf numFmtId="168" fontId="38" fillId="0" borderId="16" xfId="0" applyNumberFormat="1" applyFont="1" applyBorder="1" applyAlignment="1">
      <alignment horizontal="left" vertical="center"/>
    </xf>
    <xf numFmtId="167" fontId="38" fillId="0" borderId="16" xfId="0" applyNumberFormat="1" applyFont="1" applyBorder="1" applyAlignment="1">
      <alignment horizontal="left" vertical="center"/>
    </xf>
    <xf numFmtId="166" fontId="38" fillId="0" borderId="16" xfId="0" applyNumberFormat="1" applyFont="1" applyBorder="1" applyAlignment="1">
      <alignment horizontal="left" vertical="center"/>
    </xf>
    <xf numFmtId="3" fontId="38" fillId="0" borderId="16" xfId="0" applyNumberFormat="1" applyFont="1" applyBorder="1" applyAlignment="1">
      <alignment horizontal="left" vertical="center" wrapText="1"/>
    </xf>
    <xf numFmtId="3" fontId="39" fillId="0" borderId="16" xfId="0" applyNumberFormat="1" applyFont="1" applyBorder="1" applyAlignment="1">
      <alignment horizontal="left" vertical="center"/>
    </xf>
    <xf numFmtId="0" fontId="36" fillId="0" borderId="17" xfId="0" applyFont="1" applyBorder="1" applyAlignment="1">
      <alignment vertical="center"/>
    </xf>
    <xf numFmtId="169" fontId="32" fillId="0" borderId="0" xfId="0" applyNumberFormat="1" applyFont="1" applyAlignment="1">
      <alignment horizontal="center"/>
    </xf>
    <xf numFmtId="0" fontId="34" fillId="0" borderId="0" xfId="0" applyFont="1"/>
    <xf numFmtId="49" fontId="34" fillId="0" borderId="29" xfId="0" applyNumberFormat="1" applyFont="1" applyBorder="1"/>
    <xf numFmtId="0" fontId="34" fillId="0" borderId="29" xfId="0" applyFont="1" applyBorder="1" applyAlignment="1">
      <alignment horizontal="center" vertical="center"/>
    </xf>
    <xf numFmtId="0" fontId="34" fillId="0" borderId="29" xfId="0" applyFont="1" applyBorder="1"/>
    <xf numFmtId="0" fontId="34" fillId="0" borderId="29" xfId="0" applyFont="1" applyBorder="1" applyAlignment="1">
      <alignment horizontal="right"/>
    </xf>
    <xf numFmtId="0" fontId="34" fillId="0" borderId="0" xfId="0" applyFont="1" applyAlignment="1">
      <alignment horizontal="center"/>
    </xf>
    <xf numFmtId="0" fontId="34" fillId="0" borderId="0" xfId="0" applyFont="1" applyAlignment="1">
      <alignment vertical="center"/>
    </xf>
    <xf numFmtId="0" fontId="34" fillId="0" borderId="30" xfId="0" applyFont="1" applyBorder="1" applyAlignment="1">
      <alignment vertical="center"/>
    </xf>
    <xf numFmtId="0" fontId="34" fillId="0" borderId="6" xfId="0" applyFont="1" applyBorder="1" applyAlignment="1">
      <alignment vertical="center"/>
    </xf>
    <xf numFmtId="0" fontId="41" fillId="0" borderId="6" xfId="0" applyFont="1" applyBorder="1" applyAlignment="1">
      <alignment vertical="center"/>
    </xf>
    <xf numFmtId="0" fontId="41" fillId="0" borderId="6" xfId="0" applyFont="1" applyBorder="1" applyAlignment="1">
      <alignment horizontal="right" vertical="center"/>
    </xf>
    <xf numFmtId="0" fontId="42" fillId="0" borderId="6" xfId="0" applyFont="1" applyBorder="1" applyAlignment="1">
      <alignment horizontal="center" vertical="center"/>
    </xf>
    <xf numFmtId="0" fontId="34" fillId="0" borderId="1" xfId="0" applyFont="1" applyBorder="1" applyAlignment="1">
      <alignment vertical="center"/>
    </xf>
    <xf numFmtId="0" fontId="34" fillId="0" borderId="31" xfId="0" applyFont="1" applyBorder="1" applyAlignment="1">
      <alignment vertical="center"/>
    </xf>
    <xf numFmtId="0" fontId="34" fillId="0" borderId="7" xfId="0" applyFont="1" applyBorder="1" applyAlignment="1">
      <alignment vertical="center"/>
    </xf>
    <xf numFmtId="0" fontId="41" fillId="0" borderId="7" xfId="0" applyFont="1" applyBorder="1" applyAlignment="1">
      <alignment vertical="center"/>
    </xf>
    <xf numFmtId="0" fontId="41" fillId="0" borderId="7" xfId="0" applyFont="1" applyBorder="1" applyAlignment="1">
      <alignment horizontal="right" vertical="center"/>
    </xf>
    <xf numFmtId="0" fontId="42" fillId="0" borderId="7" xfId="0" applyFont="1" applyBorder="1" applyAlignment="1">
      <alignment horizontal="center" vertical="center"/>
    </xf>
    <xf numFmtId="0" fontId="34" fillId="0" borderId="32" xfId="0" applyFont="1" applyBorder="1" applyAlignment="1">
      <alignment vertical="center"/>
    </xf>
    <xf numFmtId="0" fontId="43" fillId="0" borderId="33" xfId="0" applyFont="1" applyBorder="1" applyAlignment="1">
      <alignment vertical="center"/>
    </xf>
    <xf numFmtId="0" fontId="43" fillId="0" borderId="0" xfId="0" applyFont="1" applyAlignment="1">
      <alignment vertical="center"/>
    </xf>
    <xf numFmtId="0" fontId="32" fillId="0" borderId="0" xfId="0" applyFont="1" applyAlignment="1">
      <alignment horizontal="right"/>
    </xf>
    <xf numFmtId="170" fontId="43" fillId="0" borderId="3" xfId="0" quotePrefix="1" applyNumberFormat="1" applyFont="1" applyBorder="1" applyAlignment="1">
      <alignment horizontal="left" vertical="center"/>
    </xf>
    <xf numFmtId="170" fontId="43" fillId="0" borderId="33" xfId="0" quotePrefix="1" applyNumberFormat="1" applyFont="1" applyBorder="1" applyAlignment="1">
      <alignment horizontal="left" vertical="center"/>
    </xf>
    <xf numFmtId="170" fontId="43" fillId="0" borderId="0" xfId="0" applyNumberFormat="1" applyFont="1" applyAlignment="1">
      <alignment horizontal="left" vertical="center"/>
    </xf>
    <xf numFmtId="0" fontId="32" fillId="0" borderId="0" xfId="0" applyFont="1" applyAlignment="1">
      <alignment horizontal="right" vertical="center"/>
    </xf>
    <xf numFmtId="17" fontId="32" fillId="0" borderId="0" xfId="0" applyNumberFormat="1" applyFont="1" applyAlignment="1">
      <alignment vertical="center"/>
    </xf>
    <xf numFmtId="170" fontId="32" fillId="0" borderId="3" xfId="0" applyNumberFormat="1" applyFont="1" applyBorder="1" applyAlignment="1">
      <alignment horizontal="left" vertical="center"/>
    </xf>
    <xf numFmtId="0" fontId="44" fillId="0" borderId="0" xfId="0" applyFont="1"/>
    <xf numFmtId="171" fontId="46" fillId="0" borderId="0" xfId="0" applyNumberFormat="1" applyFont="1" applyAlignment="1">
      <alignment horizontal="left" vertical="center"/>
    </xf>
    <xf numFmtId="172" fontId="46" fillId="0" borderId="0" xfId="0" applyNumberFormat="1" applyFont="1" applyAlignment="1">
      <alignment horizontal="left" vertical="center"/>
    </xf>
    <xf numFmtId="49" fontId="35" fillId="9" borderId="37" xfId="0" applyNumberFormat="1" applyFont="1" applyFill="1" applyBorder="1" applyAlignment="1">
      <alignment horizontal="center" vertical="center" wrapText="1"/>
    </xf>
    <xf numFmtId="49" fontId="35" fillId="9" borderId="37" xfId="0" applyNumberFormat="1" applyFont="1" applyFill="1" applyBorder="1" applyAlignment="1">
      <alignment horizontal="center" vertical="center"/>
    </xf>
    <xf numFmtId="49" fontId="47" fillId="9" borderId="37" xfId="0" applyNumberFormat="1" applyFont="1" applyFill="1" applyBorder="1" applyAlignment="1">
      <alignment horizontal="center" vertical="center" wrapText="1"/>
    </xf>
    <xf numFmtId="2" fontId="47" fillId="9" borderId="38" xfId="0" applyNumberFormat="1" applyFont="1" applyFill="1" applyBorder="1" applyAlignment="1">
      <alignment horizontal="center" vertical="center" wrapText="1"/>
    </xf>
    <xf numFmtId="0" fontId="47" fillId="9" borderId="4" xfId="0" applyFont="1" applyFill="1" applyBorder="1" applyAlignment="1">
      <alignment horizontal="center" vertical="center" wrapText="1"/>
    </xf>
    <xf numFmtId="0" fontId="47" fillId="9" borderId="39" xfId="0" applyFont="1" applyFill="1" applyBorder="1" applyAlignment="1">
      <alignment horizontal="center" vertical="center" wrapText="1"/>
    </xf>
    <xf numFmtId="0" fontId="47" fillId="9" borderId="40" xfId="0" applyFont="1" applyFill="1" applyBorder="1" applyAlignment="1">
      <alignment horizontal="center" vertical="center" wrapText="1"/>
    </xf>
    <xf numFmtId="0" fontId="47" fillId="9" borderId="41" xfId="0" applyFont="1" applyFill="1" applyBorder="1" applyAlignment="1">
      <alignment horizontal="center" vertical="center" wrapText="1"/>
    </xf>
    <xf numFmtId="4" fontId="36" fillId="0" borderId="17" xfId="0" applyNumberFormat="1" applyFont="1" applyBorder="1" applyAlignment="1">
      <alignment horizontal="left" vertical="center"/>
    </xf>
    <xf numFmtId="49" fontId="49" fillId="0" borderId="0" xfId="0" applyNumberFormat="1" applyFont="1" applyAlignment="1">
      <alignment vertical="center"/>
    </xf>
    <xf numFmtId="0" fontId="49" fillId="0" borderId="0" xfId="0" applyFont="1" applyAlignment="1">
      <alignment horizontal="center" vertical="center"/>
    </xf>
    <xf numFmtId="0" fontId="50" fillId="0" borderId="0" xfId="0" applyFont="1" applyAlignment="1">
      <alignment horizontal="left" vertical="center"/>
    </xf>
    <xf numFmtId="0" fontId="49" fillId="0" borderId="0" xfId="0" applyFont="1" applyAlignment="1">
      <alignment vertical="center"/>
    </xf>
    <xf numFmtId="0" fontId="50" fillId="0" borderId="0" xfId="0" applyFont="1" applyAlignment="1">
      <alignment horizontal="center" vertical="center"/>
    </xf>
    <xf numFmtId="167" fontId="50" fillId="0" borderId="0" xfId="0" applyNumberFormat="1" applyFont="1" applyAlignment="1">
      <alignment vertical="center"/>
    </xf>
    <xf numFmtId="167" fontId="38" fillId="14" borderId="16" xfId="0" applyNumberFormat="1" applyFont="1" applyFill="1" applyBorder="1" applyAlignment="1">
      <alignment horizontal="left" vertical="center"/>
    </xf>
    <xf numFmtId="0" fontId="69" fillId="0" borderId="72" xfId="13" applyFont="1" applyAlignment="1">
      <alignment vertical="center"/>
    </xf>
    <xf numFmtId="0" fontId="71" fillId="0" borderId="72" xfId="13" applyFont="1" applyAlignment="1">
      <alignment vertical="center"/>
    </xf>
    <xf numFmtId="0" fontId="73" fillId="0" borderId="86" xfId="16" applyNumberFormat="1" applyFont="1" applyFill="1" applyBorder="1" applyAlignment="1">
      <alignment horizontal="center" vertical="center" wrapText="1"/>
    </xf>
    <xf numFmtId="165" fontId="76" fillId="4" borderId="65" xfId="21" applyFont="1" applyFill="1" applyBorder="1" applyAlignment="1">
      <alignment horizontal="center" vertical="center" wrapText="1"/>
    </xf>
    <xf numFmtId="165" fontId="76" fillId="4" borderId="102" xfId="21" applyFont="1" applyFill="1" applyBorder="1" applyAlignment="1">
      <alignment horizontal="center" vertical="center" wrapText="1"/>
    </xf>
    <xf numFmtId="165" fontId="76" fillId="4" borderId="68" xfId="21" applyFont="1" applyFill="1" applyBorder="1" applyAlignment="1">
      <alignment horizontal="center" vertical="center" wrapText="1"/>
    </xf>
    <xf numFmtId="165" fontId="76" fillId="4" borderId="51" xfId="21" applyFont="1" applyFill="1" applyBorder="1" applyAlignment="1">
      <alignment horizontal="center" vertical="center" wrapText="1"/>
    </xf>
    <xf numFmtId="167" fontId="38" fillId="18" borderId="16" xfId="0" applyNumberFormat="1" applyFont="1" applyFill="1" applyBorder="1" applyAlignment="1">
      <alignment horizontal="left" vertical="center"/>
    </xf>
    <xf numFmtId="0" fontId="69" fillId="0" borderId="110" xfId="13" applyFont="1" applyBorder="1" applyAlignment="1">
      <alignment vertical="center"/>
    </xf>
    <xf numFmtId="0" fontId="69" fillId="0" borderId="110" xfId="13" applyFont="1" applyBorder="1" applyAlignment="1">
      <alignment horizontal="right" vertical="center"/>
    </xf>
    <xf numFmtId="0" fontId="69" fillId="0" borderId="111" xfId="13" applyFont="1" applyBorder="1" applyAlignment="1">
      <alignment vertical="center"/>
    </xf>
    <xf numFmtId="174" fontId="72" fillId="0" borderId="111" xfId="15" quotePrefix="1" applyNumberFormat="1" applyFont="1" applyFill="1" applyBorder="1" applyAlignment="1">
      <alignment horizontal="left" vertical="center"/>
    </xf>
    <xf numFmtId="0" fontId="69" fillId="0" borderId="115" xfId="13" applyFont="1" applyBorder="1" applyAlignment="1">
      <alignment vertical="center"/>
    </xf>
    <xf numFmtId="0" fontId="74" fillId="3" borderId="80" xfId="29" applyFont="1" applyFill="1" applyBorder="1" applyAlignment="1">
      <alignment horizontal="center" vertical="center"/>
    </xf>
    <xf numFmtId="0" fontId="74" fillId="3" borderId="73" xfId="29" applyFont="1" applyFill="1" applyBorder="1" applyAlignment="1">
      <alignment horizontal="center" vertical="center"/>
    </xf>
    <xf numFmtId="0" fontId="74" fillId="3" borderId="81" xfId="29" applyFont="1" applyFill="1" applyBorder="1" applyAlignment="1">
      <alignment horizontal="center" vertical="center"/>
    </xf>
    <xf numFmtId="3" fontId="89" fillId="0" borderId="118" xfId="3" applyNumberFormat="1" applyFont="1" applyBorder="1" applyAlignment="1">
      <alignment horizontal="left" vertical="center"/>
    </xf>
    <xf numFmtId="3" fontId="89" fillId="0" borderId="118" xfId="3" applyNumberFormat="1" applyFont="1" applyBorder="1" applyAlignment="1">
      <alignment horizontal="center" vertical="center"/>
    </xf>
    <xf numFmtId="43" fontId="89" fillId="0" borderId="118" xfId="31" applyFont="1" applyBorder="1" applyAlignment="1">
      <alignment horizontal="left" vertical="center"/>
    </xf>
    <xf numFmtId="0" fontId="24" fillId="0" borderId="72" xfId="32"/>
    <xf numFmtId="176" fontId="89" fillId="0" borderId="118" xfId="31" applyNumberFormat="1" applyFont="1" applyBorder="1" applyAlignment="1">
      <alignment horizontal="left" vertical="center"/>
    </xf>
    <xf numFmtId="3" fontId="89" fillId="0" borderId="118" xfId="3" applyNumberFormat="1" applyFont="1" applyBorder="1" applyAlignment="1">
      <alignment horizontal="left" vertical="center" wrapText="1"/>
    </xf>
    <xf numFmtId="176" fontId="89" fillId="0" borderId="118" xfId="23" applyNumberFormat="1" applyFont="1" applyBorder="1" applyAlignment="1">
      <alignment horizontal="left" vertical="center"/>
    </xf>
    <xf numFmtId="3" fontId="89" fillId="0" borderId="118" xfId="0" applyNumberFormat="1" applyFont="1" applyBorder="1" applyAlignment="1">
      <alignment horizontal="left" vertical="center"/>
    </xf>
    <xf numFmtId="176" fontId="89" fillId="0" borderId="118" xfId="33" applyNumberFormat="1" applyFont="1" applyBorder="1" applyAlignment="1">
      <alignment horizontal="left" vertical="center"/>
    </xf>
    <xf numFmtId="2" fontId="37" fillId="7" borderId="16" xfId="4" applyNumberFormat="1" applyFont="1" applyFill="1" applyBorder="1" applyAlignment="1">
      <alignment horizontal="left" vertical="center"/>
    </xf>
    <xf numFmtId="2" fontId="38" fillId="0" borderId="16" xfId="4" applyNumberFormat="1" applyFont="1" applyBorder="1" applyAlignment="1">
      <alignment horizontal="left" vertical="center"/>
    </xf>
    <xf numFmtId="2" fontId="89" fillId="0" borderId="118" xfId="4" applyNumberFormat="1" applyFont="1" applyBorder="1" applyAlignment="1">
      <alignment horizontal="left" vertical="center"/>
    </xf>
    <xf numFmtId="0" fontId="31" fillId="0" borderId="72" xfId="16" applyNumberFormat="1" applyFont="1" applyFill="1" applyBorder="1" applyAlignment="1"/>
    <xf numFmtId="49" fontId="31" fillId="0" borderId="109" xfId="16" applyNumberFormat="1" applyFont="1" applyBorder="1"/>
    <xf numFmtId="0" fontId="31" fillId="0" borderId="109" xfId="16" applyFont="1" applyBorder="1" applyAlignment="1">
      <alignment horizontal="left"/>
    </xf>
    <xf numFmtId="0" fontId="31" fillId="0" borderId="109" xfId="16" applyFont="1" applyBorder="1" applyAlignment="1">
      <alignment horizontal="center" vertical="center"/>
    </xf>
    <xf numFmtId="0" fontId="31" fillId="0" borderId="109" xfId="16" applyFont="1" applyBorder="1"/>
    <xf numFmtId="0" fontId="31" fillId="0" borderId="109" xfId="16" applyFont="1" applyBorder="1" applyAlignment="1">
      <alignment horizontal="right"/>
    </xf>
    <xf numFmtId="0" fontId="31" fillId="0" borderId="72" xfId="16" applyFont="1" applyBorder="1" applyAlignment="1">
      <alignment horizontal="center"/>
    </xf>
    <xf numFmtId="0" fontId="31" fillId="0" borderId="72" xfId="16" applyNumberFormat="1" applyFont="1" applyFill="1" applyBorder="1" applyAlignment="1">
      <alignment vertical="center"/>
    </xf>
    <xf numFmtId="0" fontId="31" fillId="0" borderId="75" xfId="16" applyNumberFormat="1" applyFont="1" applyFill="1" applyBorder="1" applyAlignment="1">
      <alignment vertical="center"/>
    </xf>
    <xf numFmtId="0" fontId="31" fillId="0" borderId="119" xfId="16" applyNumberFormat="1" applyFont="1" applyFill="1" applyBorder="1" applyAlignment="1">
      <alignment vertical="center"/>
    </xf>
    <xf numFmtId="0" fontId="31" fillId="0" borderId="119" xfId="16" applyNumberFormat="1" applyFont="1" applyFill="1" applyBorder="1" applyAlignment="1">
      <alignment horizontal="left" vertical="center"/>
    </xf>
    <xf numFmtId="0" fontId="90" fillId="0" borderId="119" xfId="16" applyFont="1" applyBorder="1" applyAlignment="1">
      <alignment vertical="center"/>
    </xf>
    <xf numFmtId="0" fontId="90" fillId="0" borderId="119" xfId="16" applyFont="1" applyBorder="1" applyAlignment="1">
      <alignment horizontal="right" vertical="center"/>
    </xf>
    <xf numFmtId="0" fontId="91" fillId="0" borderId="119" xfId="16" applyFont="1" applyBorder="1" applyAlignment="1">
      <alignment horizontal="center" vertical="center"/>
    </xf>
    <xf numFmtId="0" fontId="31" fillId="0" borderId="120" xfId="16" applyNumberFormat="1" applyFont="1" applyFill="1" applyBorder="1" applyAlignment="1">
      <alignment vertical="center"/>
    </xf>
    <xf numFmtId="0" fontId="31" fillId="0" borderId="77" xfId="16" applyNumberFormat="1" applyFont="1" applyFill="1" applyBorder="1" applyAlignment="1">
      <alignment vertical="center"/>
    </xf>
    <xf numFmtId="0" fontId="31" fillId="0" borderId="78" xfId="16" applyNumberFormat="1" applyFont="1" applyFill="1" applyBorder="1" applyAlignment="1">
      <alignment vertical="center"/>
    </xf>
    <xf numFmtId="0" fontId="31" fillId="0" borderId="78" xfId="16" applyNumberFormat="1" applyFont="1" applyFill="1" applyBorder="1" applyAlignment="1">
      <alignment horizontal="left" vertical="center"/>
    </xf>
    <xf numFmtId="0" fontId="90" fillId="0" borderId="78" xfId="16" applyFont="1" applyBorder="1" applyAlignment="1">
      <alignment vertical="center"/>
    </xf>
    <xf numFmtId="0" fontId="90" fillId="0" borderId="78" xfId="16" applyFont="1" applyBorder="1" applyAlignment="1">
      <alignment horizontal="right" vertical="center"/>
    </xf>
    <xf numFmtId="0" fontId="91" fillId="0" borderId="78" xfId="16" applyFont="1" applyBorder="1" applyAlignment="1">
      <alignment horizontal="center" vertical="center"/>
    </xf>
    <xf numFmtId="0" fontId="31" fillId="0" borderId="79" xfId="16" applyNumberFormat="1" applyFont="1" applyFill="1" applyBorder="1" applyAlignment="1">
      <alignment vertical="center"/>
    </xf>
    <xf numFmtId="0" fontId="72" fillId="0" borderId="72" xfId="13" applyFont="1"/>
    <xf numFmtId="0" fontId="85" fillId="0" borderId="76" xfId="13" applyFont="1" applyBorder="1" applyAlignment="1">
      <alignment vertical="center"/>
    </xf>
    <xf numFmtId="0" fontId="85" fillId="0" borderId="72" xfId="13" applyFont="1" applyAlignment="1">
      <alignment vertical="center"/>
    </xf>
    <xf numFmtId="0" fontId="92" fillId="0" borderId="72" xfId="13" applyFont="1" applyAlignment="1">
      <alignment horizontal="left"/>
    </xf>
    <xf numFmtId="0" fontId="72" fillId="0" borderId="72" xfId="13" applyFont="1" applyAlignment="1">
      <alignment horizontal="right"/>
    </xf>
    <xf numFmtId="174" fontId="85" fillId="0" borderId="93" xfId="15" quotePrefix="1" applyNumberFormat="1" applyFont="1" applyFill="1" applyBorder="1" applyAlignment="1">
      <alignment horizontal="left" vertical="center"/>
    </xf>
    <xf numFmtId="0" fontId="72" fillId="0" borderId="72" xfId="13" applyFont="1" applyAlignment="1">
      <alignment vertical="center"/>
    </xf>
    <xf numFmtId="174" fontId="85" fillId="0" borderId="76" xfId="15" quotePrefix="1" applyNumberFormat="1" applyFont="1" applyFill="1" applyBorder="1" applyAlignment="1">
      <alignment horizontal="left" vertical="center"/>
    </xf>
    <xf numFmtId="174" fontId="85" fillId="0" borderId="72" xfId="15" quotePrefix="1" applyNumberFormat="1" applyFont="1" applyFill="1" applyBorder="1" applyAlignment="1">
      <alignment horizontal="left" vertical="center"/>
    </xf>
    <xf numFmtId="17" fontId="71" fillId="0" borderId="72" xfId="13" applyNumberFormat="1" applyFont="1" applyAlignment="1">
      <alignment horizontal="left" vertical="center"/>
    </xf>
    <xf numFmtId="17" fontId="72" fillId="0" borderId="72" xfId="13" applyNumberFormat="1" applyFont="1" applyAlignment="1">
      <alignment horizontal="left" vertical="center"/>
    </xf>
    <xf numFmtId="0" fontId="72" fillId="0" borderId="72" xfId="13" applyFont="1" applyAlignment="1">
      <alignment horizontal="right" vertical="center"/>
    </xf>
    <xf numFmtId="17" fontId="71" fillId="0" borderId="72" xfId="13" applyNumberFormat="1" applyFont="1" applyAlignment="1">
      <alignment vertical="center"/>
    </xf>
    <xf numFmtId="174" fontId="71" fillId="0" borderId="93" xfId="15" quotePrefix="1" applyNumberFormat="1" applyFont="1" applyFill="1" applyBorder="1" applyAlignment="1">
      <alignment horizontal="left" vertical="center"/>
    </xf>
    <xf numFmtId="0" fontId="73" fillId="0" borderId="72" xfId="16" applyNumberFormat="1" applyFont="1" applyFill="1" applyBorder="1" applyAlignment="1">
      <alignment vertical="center"/>
    </xf>
    <xf numFmtId="0" fontId="69" fillId="0" borderId="72" xfId="16" applyNumberFormat="1" applyFont="1" applyFill="1" applyBorder="1" applyAlignment="1">
      <alignment vertical="center"/>
    </xf>
    <xf numFmtId="49" fontId="74" fillId="19" borderId="87" xfId="16" applyNumberFormat="1" applyFont="1" applyFill="1" applyBorder="1" applyAlignment="1">
      <alignment horizontal="center" vertical="center" wrapText="1"/>
    </xf>
    <xf numFmtId="49" fontId="74" fillId="19" borderId="87" xfId="16" applyNumberFormat="1" applyFont="1" applyFill="1" applyBorder="1" applyAlignment="1">
      <alignment horizontal="center" vertical="center"/>
    </xf>
    <xf numFmtId="49" fontId="83" fillId="19" borderId="87" xfId="16" applyNumberFormat="1" applyFont="1" applyFill="1" applyBorder="1" applyAlignment="1">
      <alignment horizontal="center" vertical="center" wrapText="1"/>
    </xf>
    <xf numFmtId="2" fontId="83" fillId="19" borderId="75" xfId="16" applyNumberFormat="1" applyFont="1" applyFill="1" applyBorder="1" applyAlignment="1">
      <alignment horizontal="center" vertical="center" wrapText="1"/>
    </xf>
    <xf numFmtId="0" fontId="83" fillId="19" borderId="74" xfId="16" applyNumberFormat="1" applyFont="1" applyFill="1" applyBorder="1" applyAlignment="1">
      <alignment horizontal="center" vertical="center" wrapText="1"/>
    </xf>
    <xf numFmtId="0" fontId="83" fillId="19" borderId="116" xfId="33" applyNumberFormat="1" applyFont="1" applyFill="1" applyBorder="1" applyAlignment="1">
      <alignment horizontal="center" vertical="center" wrapText="1"/>
    </xf>
    <xf numFmtId="0" fontId="83" fillId="19" borderId="119" xfId="33" applyNumberFormat="1" applyFont="1" applyFill="1" applyBorder="1" applyAlignment="1">
      <alignment horizontal="center" vertical="center" wrapText="1"/>
    </xf>
    <xf numFmtId="0" fontId="83" fillId="19" borderId="120" xfId="33" applyNumberFormat="1" applyFont="1" applyFill="1" applyBorder="1" applyAlignment="1">
      <alignment horizontal="center" vertical="center" wrapText="1"/>
    </xf>
    <xf numFmtId="49" fontId="73" fillId="0" borderId="121" xfId="16" applyNumberFormat="1" applyFont="1" applyFill="1" applyBorder="1" applyAlignment="1">
      <alignment horizontal="left" vertical="center" wrapText="1"/>
    </xf>
    <xf numFmtId="49" fontId="73" fillId="0" borderId="86" xfId="16" applyNumberFormat="1" applyFont="1" applyFill="1" applyBorder="1" applyAlignment="1">
      <alignment horizontal="left" vertical="center"/>
    </xf>
    <xf numFmtId="49" fontId="73" fillId="0" borderId="86" xfId="16" quotePrefix="1" applyNumberFormat="1" applyFont="1" applyFill="1" applyBorder="1" applyAlignment="1">
      <alignment horizontal="left" vertical="center" wrapText="1"/>
    </xf>
    <xf numFmtId="0" fontId="73" fillId="0" borderId="86" xfId="16" applyNumberFormat="1" applyFont="1" applyFill="1" applyBorder="1" applyAlignment="1">
      <alignment horizontal="left" vertical="center"/>
    </xf>
    <xf numFmtId="4" fontId="73" fillId="0" borderId="86" xfId="33" applyNumberFormat="1" applyFont="1" applyFill="1" applyBorder="1" applyAlignment="1">
      <alignment horizontal="center" vertical="center" wrapText="1"/>
    </xf>
    <xf numFmtId="4" fontId="73" fillId="0" borderId="86" xfId="33" applyNumberFormat="1" applyFont="1" applyFill="1" applyBorder="1" applyAlignment="1">
      <alignment horizontal="right" vertical="center" wrapText="1"/>
    </xf>
    <xf numFmtId="4" fontId="73" fillId="0" borderId="86" xfId="33" applyNumberFormat="1" applyFont="1" applyFill="1" applyBorder="1" applyAlignment="1">
      <alignment horizontal="left" vertical="center"/>
    </xf>
    <xf numFmtId="4" fontId="73" fillId="0" borderId="122" xfId="16" applyNumberFormat="1" applyFont="1" applyFill="1" applyBorder="1" applyAlignment="1">
      <alignment horizontal="center" vertical="center" wrapText="1"/>
    </xf>
    <xf numFmtId="0" fontId="73" fillId="0" borderId="86" xfId="16" applyNumberFormat="1" applyFont="1" applyFill="1" applyBorder="1" applyAlignment="1">
      <alignment vertical="center"/>
    </xf>
    <xf numFmtId="0" fontId="73" fillId="0" borderId="72" xfId="16" applyNumberFormat="1" applyFont="1" applyFill="1" applyBorder="1" applyAlignment="1">
      <alignment horizontal="center" vertical="center"/>
    </xf>
    <xf numFmtId="0" fontId="73" fillId="0" borderId="86" xfId="16" quotePrefix="1" applyNumberFormat="1" applyFont="1" applyFill="1" applyBorder="1" applyAlignment="1">
      <alignment horizontal="left" vertical="center" wrapText="1"/>
    </xf>
    <xf numFmtId="4" fontId="96" fillId="0" borderId="86" xfId="33" applyNumberFormat="1" applyFont="1" applyFill="1" applyBorder="1" applyAlignment="1">
      <alignment horizontal="center" vertical="center" wrapText="1"/>
    </xf>
    <xf numFmtId="49" fontId="74" fillId="24" borderId="72" xfId="16" applyNumberFormat="1" applyFont="1" applyFill="1" applyBorder="1" applyAlignment="1">
      <alignment vertical="center"/>
    </xf>
    <xf numFmtId="0" fontId="74" fillId="24" borderId="72" xfId="16" applyNumberFormat="1" applyFont="1" applyFill="1" applyBorder="1" applyAlignment="1">
      <alignment horizontal="left" vertical="center"/>
    </xf>
    <xf numFmtId="0" fontId="74" fillId="24" borderId="72" xfId="16" applyNumberFormat="1" applyFont="1" applyFill="1" applyBorder="1" applyAlignment="1">
      <alignment horizontal="center" vertical="center"/>
    </xf>
    <xf numFmtId="0" fontId="74" fillId="24" borderId="72" xfId="33" applyNumberFormat="1" applyFont="1" applyFill="1" applyBorder="1" applyAlignment="1">
      <alignment vertical="center"/>
    </xf>
    <xf numFmtId="44" fontId="74" fillId="24" borderId="72" xfId="10" applyFont="1" applyFill="1" applyBorder="1" applyAlignment="1">
      <alignment vertical="center"/>
    </xf>
    <xf numFmtId="49" fontId="97" fillId="0" borderId="72" xfId="16" applyNumberFormat="1" applyFont="1" applyFill="1" applyBorder="1" applyAlignment="1">
      <alignment vertical="center"/>
    </xf>
    <xf numFmtId="49" fontId="68" fillId="0" borderId="72" xfId="16" applyNumberFormat="1" applyFont="1" applyFill="1" applyBorder="1" applyAlignment="1">
      <alignment vertical="center"/>
    </xf>
    <xf numFmtId="0" fontId="68" fillId="0" borderId="72" xfId="16" applyNumberFormat="1" applyFont="1" applyFill="1" applyBorder="1" applyAlignment="1">
      <alignment horizontal="left" vertical="center"/>
    </xf>
    <xf numFmtId="0" fontId="68" fillId="0" borderId="72" xfId="16" applyNumberFormat="1" applyFont="1" applyFill="1" applyBorder="1" applyAlignment="1">
      <alignment horizontal="center" vertical="center"/>
    </xf>
    <xf numFmtId="0" fontId="81" fillId="0" borderId="72" xfId="33" applyNumberFormat="1" applyFont="1" applyFill="1" applyBorder="1" applyAlignment="1">
      <alignment vertical="center"/>
    </xf>
    <xf numFmtId="173" fontId="81" fillId="0" borderId="72" xfId="33" applyFont="1" applyFill="1" applyBorder="1" applyAlignment="1">
      <alignment vertical="center"/>
    </xf>
    <xf numFmtId="0" fontId="81" fillId="0" borderId="72" xfId="33" applyNumberFormat="1" applyFont="1" applyFill="1" applyBorder="1" applyAlignment="1">
      <alignment horizontal="left" vertical="center"/>
    </xf>
    <xf numFmtId="0" fontId="68" fillId="0" borderId="72" xfId="33" applyNumberFormat="1" applyFont="1" applyFill="1" applyBorder="1" applyAlignment="1">
      <alignment vertical="center"/>
    </xf>
    <xf numFmtId="0" fontId="81" fillId="0" borderId="72" xfId="16" applyNumberFormat="1" applyFont="1" applyFill="1" applyBorder="1" applyAlignment="1">
      <alignment horizontal="center" vertical="center"/>
    </xf>
    <xf numFmtId="0" fontId="68" fillId="0" borderId="72" xfId="16" applyNumberFormat="1" applyFont="1" applyFill="1" applyBorder="1" applyAlignment="1">
      <alignment vertical="center"/>
    </xf>
    <xf numFmtId="43" fontId="68" fillId="0" borderId="72" xfId="16" applyNumberFormat="1" applyFont="1" applyFill="1" applyBorder="1" applyAlignment="1">
      <alignment horizontal="left" vertical="center"/>
    </xf>
    <xf numFmtId="2" fontId="68" fillId="0" borderId="72" xfId="10" applyNumberFormat="1" applyFont="1" applyFill="1" applyBorder="1" applyAlignment="1">
      <alignment horizontal="left" vertical="center"/>
    </xf>
    <xf numFmtId="44" fontId="81" fillId="0" borderId="72" xfId="33" applyNumberFormat="1" applyFont="1" applyFill="1" applyBorder="1" applyAlignment="1">
      <alignment vertical="center"/>
    </xf>
    <xf numFmtId="0" fontId="81" fillId="0" borderId="72" xfId="33" applyNumberFormat="1" applyFont="1" applyFill="1" applyBorder="1" applyAlignment="1">
      <alignment horizontal="right" vertical="center"/>
    </xf>
    <xf numFmtId="0" fontId="71" fillId="0" borderId="72" xfId="13" applyFont="1"/>
    <xf numFmtId="0" fontId="69" fillId="0" borderId="145" xfId="13" applyFont="1" applyBorder="1" applyAlignment="1">
      <alignment vertical="center"/>
    </xf>
    <xf numFmtId="0" fontId="117" fillId="0" borderId="115" xfId="13" applyFont="1" applyBorder="1" applyAlignment="1">
      <alignment horizontal="right" vertical="center"/>
    </xf>
    <xf numFmtId="0" fontId="69" fillId="0" borderId="115" xfId="13" applyFont="1" applyBorder="1" applyAlignment="1">
      <alignment horizontal="right" vertical="center"/>
    </xf>
    <xf numFmtId="0" fontId="69" fillId="0" borderId="115" xfId="13" applyFont="1" applyBorder="1" applyAlignment="1">
      <alignment horizontal="left" vertical="center"/>
    </xf>
    <xf numFmtId="0" fontId="69" fillId="0" borderId="146" xfId="13" applyFont="1" applyBorder="1" applyAlignment="1">
      <alignment vertical="center"/>
    </xf>
    <xf numFmtId="0" fontId="117" fillId="0" borderId="111" xfId="13" applyFont="1" applyBorder="1" applyAlignment="1">
      <alignment horizontal="right" vertical="center"/>
    </xf>
    <xf numFmtId="0" fontId="69" fillId="0" borderId="111" xfId="13" applyFont="1" applyBorder="1" applyAlignment="1">
      <alignment horizontal="right" vertical="center"/>
    </xf>
    <xf numFmtId="0" fontId="69" fillId="0" borderId="111" xfId="13" applyFont="1" applyBorder="1" applyAlignment="1">
      <alignment horizontal="left" vertical="center"/>
    </xf>
    <xf numFmtId="0" fontId="69" fillId="0" borderId="148" xfId="13" applyFont="1" applyBorder="1" applyAlignment="1">
      <alignment vertical="center"/>
    </xf>
    <xf numFmtId="0" fontId="117" fillId="0" borderId="110" xfId="13" applyFont="1" applyBorder="1" applyAlignment="1">
      <alignment horizontal="right" vertical="center"/>
    </xf>
    <xf numFmtId="0" fontId="69" fillId="0" borderId="110" xfId="13" applyFont="1" applyBorder="1" applyAlignment="1">
      <alignment horizontal="left" vertical="center"/>
    </xf>
    <xf numFmtId="0" fontId="69" fillId="0" borderId="149" xfId="13" applyFont="1" applyBorder="1" applyAlignment="1">
      <alignment vertical="center"/>
    </xf>
    <xf numFmtId="0" fontId="82" fillId="0" borderId="72" xfId="29" applyNumberFormat="1" applyFont="1" applyFill="1" applyBorder="1" applyAlignment="1"/>
    <xf numFmtId="0" fontId="69" fillId="0" borderId="72" xfId="29" applyNumberFormat="1" applyFont="1" applyFill="1" applyBorder="1" applyAlignment="1"/>
    <xf numFmtId="0" fontId="118" fillId="3" borderId="117" xfId="29" applyFont="1" applyFill="1" applyBorder="1" applyAlignment="1">
      <alignment vertical="center"/>
    </xf>
    <xf numFmtId="178" fontId="119" fillId="4" borderId="150" xfId="29" applyNumberFormat="1" applyFont="1" applyFill="1" applyBorder="1" applyAlignment="1">
      <alignment vertical="center" wrapText="1"/>
    </xf>
    <xf numFmtId="0" fontId="118" fillId="3" borderId="117" xfId="29" applyFont="1" applyFill="1" applyBorder="1" applyAlignment="1">
      <alignment horizontal="right" vertical="center"/>
    </xf>
    <xf numFmtId="179" fontId="119" fillId="4" borderId="150" xfId="29" applyNumberFormat="1" applyFont="1" applyFill="1" applyBorder="1" applyAlignment="1">
      <alignment vertical="center" wrapText="1"/>
    </xf>
    <xf numFmtId="0" fontId="120" fillId="0" borderId="72" xfId="29" applyNumberFormat="1" applyFont="1" applyFill="1" applyBorder="1" applyAlignment="1"/>
    <xf numFmtId="0" fontId="69" fillId="0" borderId="89" xfId="29" applyNumberFormat="1" applyFont="1" applyFill="1" applyBorder="1" applyAlignment="1"/>
    <xf numFmtId="0" fontId="69" fillId="0" borderId="152" xfId="29" applyNumberFormat="1" applyFont="1" applyFill="1" applyBorder="1" applyAlignment="1">
      <alignment horizontal="center"/>
    </xf>
    <xf numFmtId="0" fontId="69" fillId="0" borderId="106" xfId="29" applyNumberFormat="1" applyFont="1" applyFill="1" applyBorder="1" applyAlignment="1">
      <alignment horizontal="center"/>
    </xf>
    <xf numFmtId="0" fontId="69" fillId="0" borderId="153" xfId="29" applyNumberFormat="1" applyFont="1" applyFill="1" applyBorder="1" applyAlignment="1">
      <alignment horizontal="center"/>
    </xf>
    <xf numFmtId="0" fontId="69" fillId="0" borderId="156" xfId="29" applyNumberFormat="1" applyFont="1" applyFill="1" applyBorder="1" applyAlignment="1"/>
    <xf numFmtId="0" fontId="74" fillId="3" borderId="159" xfId="29" applyFont="1" applyFill="1" applyBorder="1" applyAlignment="1">
      <alignment horizontal="center" vertical="center"/>
    </xf>
    <xf numFmtId="0" fontId="77" fillId="20" borderId="84" xfId="29" applyFont="1" applyFill="1" applyBorder="1" applyAlignment="1">
      <alignment horizontal="left" vertical="center" indent="1"/>
    </xf>
    <xf numFmtId="0" fontId="77" fillId="21" borderId="84" xfId="29" applyFont="1" applyFill="1" applyBorder="1" applyAlignment="1">
      <alignment horizontal="left" vertical="center" indent="1"/>
    </xf>
    <xf numFmtId="0" fontId="74" fillId="3" borderId="82" xfId="29" applyFont="1" applyFill="1" applyBorder="1" applyAlignment="1">
      <alignment horizontal="left" vertical="center" indent="2"/>
    </xf>
    <xf numFmtId="0" fontId="69" fillId="0" borderId="160" xfId="29" applyNumberFormat="1" applyFont="1" applyFill="1" applyBorder="1" applyAlignment="1">
      <alignment horizontal="center"/>
    </xf>
    <xf numFmtId="0" fontId="69" fillId="0" borderId="161" xfId="29" applyNumberFormat="1" applyFont="1" applyFill="1" applyBorder="1" applyAlignment="1">
      <alignment horizontal="left"/>
    </xf>
    <xf numFmtId="0" fontId="69" fillId="0" borderId="161" xfId="29" applyNumberFormat="1" applyFont="1" applyFill="1" applyBorder="1" applyAlignment="1">
      <alignment horizontal="center"/>
    </xf>
    <xf numFmtId="0" fontId="69" fillId="0" borderId="162" xfId="29" applyNumberFormat="1" applyFont="1" applyFill="1" applyBorder="1" applyAlignment="1">
      <alignment horizontal="center"/>
    </xf>
    <xf numFmtId="0" fontId="74" fillId="3" borderId="90" xfId="29" applyFont="1" applyFill="1" applyBorder="1" applyAlignment="1">
      <alignment horizontal="left" vertical="center" indent="2"/>
    </xf>
    <xf numFmtId="4" fontId="95" fillId="0" borderId="86" xfId="35" applyNumberFormat="1" applyFont="1" applyFill="1" applyBorder="1" applyAlignment="1">
      <alignment horizontal="center" vertical="center"/>
    </xf>
    <xf numFmtId="0" fontId="124" fillId="0" borderId="194" xfId="13" applyFont="1" applyBorder="1" applyAlignment="1">
      <alignment vertical="center"/>
    </xf>
    <xf numFmtId="0" fontId="69" fillId="0" borderId="195" xfId="13" applyFont="1" applyBorder="1" applyAlignment="1">
      <alignment vertical="center"/>
    </xf>
    <xf numFmtId="0" fontId="69" fillId="0" borderId="196" xfId="13" applyFont="1" applyBorder="1" applyAlignment="1">
      <alignment vertical="center"/>
    </xf>
    <xf numFmtId="0" fontId="124" fillId="0" borderId="197" xfId="13" applyFont="1" applyBorder="1" applyAlignment="1">
      <alignment vertical="center"/>
    </xf>
    <xf numFmtId="174" fontId="69" fillId="0" borderId="111" xfId="15" quotePrefix="1" applyNumberFormat="1" applyFont="1" applyFill="1" applyBorder="1" applyAlignment="1">
      <alignment horizontal="left" vertical="center"/>
    </xf>
    <xf numFmtId="174" fontId="69" fillId="0" borderId="147" xfId="15" quotePrefix="1" applyNumberFormat="1" applyFont="1" applyFill="1" applyBorder="1" applyAlignment="1">
      <alignment horizontal="left" vertical="center"/>
    </xf>
    <xf numFmtId="0" fontId="124" fillId="0" borderId="198" xfId="13" applyFont="1" applyBorder="1" applyAlignment="1">
      <alignment vertical="center"/>
    </xf>
    <xf numFmtId="0" fontId="126" fillId="16" borderId="199" xfId="14" applyFont="1" applyFill="1" applyBorder="1" applyAlignment="1">
      <alignment horizontal="center" vertical="center"/>
    </xf>
    <xf numFmtId="0" fontId="126" fillId="16" borderId="200" xfId="14" applyFont="1" applyFill="1" applyBorder="1" applyAlignment="1">
      <alignment horizontal="center" vertical="center"/>
    </xf>
    <xf numFmtId="0" fontId="126" fillId="16" borderId="200" xfId="14" applyFont="1" applyFill="1" applyBorder="1" applyAlignment="1">
      <alignment horizontal="center" vertical="center" wrapText="1"/>
    </xf>
    <xf numFmtId="0" fontId="126" fillId="16" borderId="151" xfId="14" applyFont="1" applyFill="1" applyBorder="1" applyAlignment="1">
      <alignment horizontal="center" vertical="center" wrapText="1"/>
    </xf>
    <xf numFmtId="0" fontId="127" fillId="31" borderId="89" xfId="14" applyFont="1" applyFill="1" applyBorder="1" applyAlignment="1">
      <alignment horizontal="left" vertical="center"/>
    </xf>
    <xf numFmtId="0" fontId="31" fillId="0" borderId="72" xfId="28"/>
    <xf numFmtId="0" fontId="31" fillId="0" borderId="72" xfId="28" applyAlignment="1">
      <alignment horizontal="center" vertical="center"/>
    </xf>
    <xf numFmtId="0" fontId="31" fillId="0" borderId="72" xfId="28" applyAlignment="1">
      <alignment horizontal="center"/>
    </xf>
    <xf numFmtId="0" fontId="31" fillId="33" borderId="207" xfId="28" applyFill="1" applyBorder="1" applyAlignment="1">
      <alignment horizontal="left" vertical="center" wrapText="1"/>
    </xf>
    <xf numFmtId="0" fontId="31" fillId="34" borderId="207" xfId="28" applyFill="1" applyBorder="1" applyAlignment="1">
      <alignment horizontal="left" vertical="center"/>
    </xf>
    <xf numFmtId="0" fontId="129" fillId="35" borderId="207" xfId="28" applyFont="1" applyFill="1" applyBorder="1" applyAlignment="1">
      <alignment horizontal="left" vertical="center" wrapText="1"/>
    </xf>
    <xf numFmtId="2" fontId="129" fillId="35" borderId="207" xfId="28" applyNumberFormat="1" applyFont="1" applyFill="1" applyBorder="1" applyAlignment="1">
      <alignment horizontal="center" vertical="center"/>
    </xf>
    <xf numFmtId="0" fontId="52" fillId="36" borderId="72" xfId="28" applyFont="1" applyFill="1" applyAlignment="1">
      <alignment horizontal="center" vertical="center"/>
    </xf>
    <xf numFmtId="0" fontId="130" fillId="32" borderId="211" xfId="28" applyFont="1" applyFill="1" applyBorder="1" applyAlignment="1">
      <alignment horizontal="center" vertical="center"/>
    </xf>
    <xf numFmtId="0" fontId="130" fillId="32" borderId="212" xfId="28" applyFont="1" applyFill="1" applyBorder="1" applyAlignment="1">
      <alignment horizontal="center"/>
    </xf>
    <xf numFmtId="0" fontId="31" fillId="32" borderId="213" xfId="28" applyFill="1" applyBorder="1"/>
    <xf numFmtId="0" fontId="130" fillId="32" borderId="214" xfId="28" applyFont="1" applyFill="1" applyBorder="1"/>
    <xf numFmtId="0" fontId="130" fillId="32" borderId="215" xfId="28" applyFont="1" applyFill="1" applyBorder="1" applyAlignment="1">
      <alignment horizontal="center" vertical="center"/>
    </xf>
    <xf numFmtId="0" fontId="130" fillId="32" borderId="216" xfId="28" applyFont="1" applyFill="1" applyBorder="1" applyAlignment="1">
      <alignment horizontal="center"/>
    </xf>
    <xf numFmtId="0" fontId="31" fillId="32" borderId="215" xfId="28" applyFill="1" applyBorder="1" applyAlignment="1">
      <alignment horizontal="center" vertical="center"/>
    </xf>
    <xf numFmtId="0" fontId="31" fillId="32" borderId="216" xfId="28" applyFill="1" applyBorder="1" applyAlignment="1">
      <alignment horizontal="center"/>
    </xf>
    <xf numFmtId="0" fontId="31" fillId="32" borderId="217" xfId="28" applyFill="1" applyBorder="1" applyAlignment="1">
      <alignment horizontal="center" vertical="center"/>
    </xf>
    <xf numFmtId="0" fontId="130" fillId="32" borderId="218" xfId="28" applyFont="1" applyFill="1" applyBorder="1" applyAlignment="1">
      <alignment horizontal="center"/>
    </xf>
    <xf numFmtId="9" fontId="0" fillId="32" borderId="219" xfId="6" applyFont="1" applyFill="1" applyBorder="1" applyAlignment="1">
      <alignment horizontal="center" vertical="center"/>
    </xf>
    <xf numFmtId="0" fontId="130" fillId="32" borderId="220" xfId="28" applyFont="1" applyFill="1" applyBorder="1" applyAlignment="1">
      <alignment horizontal="center"/>
    </xf>
    <xf numFmtId="0" fontId="131" fillId="0" borderId="18" xfId="13" applyFont="1" applyBorder="1" applyAlignment="1">
      <alignment vertical="center"/>
    </xf>
    <xf numFmtId="0" fontId="124" fillId="0" borderId="221" xfId="13" applyFont="1" applyBorder="1" applyAlignment="1">
      <alignment vertical="center"/>
    </xf>
    <xf numFmtId="0" fontId="131" fillId="0" borderId="115" xfId="13" applyFont="1" applyBorder="1" applyAlignment="1">
      <alignment vertical="center"/>
    </xf>
    <xf numFmtId="0" fontId="69" fillId="0" borderId="2" xfId="13" applyFont="1" applyBorder="1" applyAlignment="1">
      <alignment vertical="center"/>
    </xf>
    <xf numFmtId="0" fontId="68" fillId="0" borderId="72" xfId="14" applyFont="1" applyAlignment="1">
      <alignment horizontal="center" vertical="center"/>
    </xf>
    <xf numFmtId="17" fontId="124" fillId="15" borderId="222" xfId="13" applyNumberFormat="1" applyFont="1" applyFill="1" applyBorder="1" applyAlignment="1">
      <alignment vertical="center"/>
    </xf>
    <xf numFmtId="17" fontId="124" fillId="15" borderId="223" xfId="13" applyNumberFormat="1" applyFont="1" applyFill="1" applyBorder="1" applyAlignment="1">
      <alignment horizontal="left" vertical="center"/>
    </xf>
    <xf numFmtId="17" fontId="124" fillId="15" borderId="223" xfId="13" applyNumberFormat="1" applyFont="1" applyFill="1" applyBorder="1" applyAlignment="1">
      <alignment vertical="center"/>
    </xf>
    <xf numFmtId="0" fontId="124" fillId="15" borderId="223" xfId="14" applyFont="1" applyFill="1" applyBorder="1" applyAlignment="1">
      <alignment vertical="center"/>
    </xf>
    <xf numFmtId="0" fontId="68" fillId="0" borderId="72" xfId="14" applyFont="1" applyAlignment="1">
      <alignment vertical="center"/>
    </xf>
    <xf numFmtId="0" fontId="69" fillId="0" borderId="72" xfId="13" applyFont="1"/>
    <xf numFmtId="17" fontId="69" fillId="0" borderId="224" xfId="14" applyNumberFormat="1" applyFont="1" applyBorder="1" applyAlignment="1">
      <alignment horizontal="left" vertical="center"/>
    </xf>
    <xf numFmtId="3" fontId="69" fillId="0" borderId="225" xfId="26" applyNumberFormat="1" applyFont="1" applyFill="1" applyBorder="1" applyAlignment="1">
      <alignment horizontal="left" vertical="center"/>
    </xf>
    <xf numFmtId="4" fontId="69" fillId="37" borderId="226" xfId="26" applyNumberFormat="1" applyFont="1" applyFill="1" applyBorder="1" applyAlignment="1">
      <alignment vertical="center" wrapText="1"/>
    </xf>
    <xf numFmtId="4" fontId="69" fillId="38" borderId="107" xfId="26" applyNumberFormat="1" applyFont="1" applyFill="1" applyBorder="1" applyAlignment="1">
      <alignment vertical="center"/>
    </xf>
    <xf numFmtId="4" fontId="69" fillId="38" borderId="225" xfId="26" applyNumberFormat="1" applyFont="1" applyFill="1" applyBorder="1" applyAlignment="1">
      <alignment vertical="center"/>
    </xf>
    <xf numFmtId="4" fontId="69" fillId="39" borderId="107" xfId="27" applyNumberFormat="1" applyFont="1" applyFill="1" applyBorder="1" applyAlignment="1">
      <alignment horizontal="center" vertical="center"/>
    </xf>
    <xf numFmtId="4" fontId="69" fillId="38" borderId="107" xfId="26" applyNumberFormat="1" applyFont="1" applyFill="1" applyBorder="1" applyAlignment="1">
      <alignment vertical="center" wrapText="1"/>
    </xf>
    <xf numFmtId="0" fontId="69" fillId="0" borderId="72" xfId="14" applyFont="1" applyAlignment="1">
      <alignment vertical="center"/>
    </xf>
    <xf numFmtId="3" fontId="69" fillId="0" borderId="106" xfId="26" applyNumberFormat="1" applyFont="1" applyFill="1" applyBorder="1" applyAlignment="1">
      <alignment horizontal="left" vertical="center"/>
    </xf>
    <xf numFmtId="4" fontId="69" fillId="38" borderId="106" xfId="26" applyNumberFormat="1" applyFont="1" applyFill="1" applyBorder="1" applyAlignment="1">
      <alignment vertical="center"/>
    </xf>
    <xf numFmtId="4" fontId="69" fillId="39" borderId="106" xfId="27" applyNumberFormat="1" applyFont="1" applyFill="1" applyBorder="1" applyAlignment="1">
      <alignment horizontal="center" vertical="center"/>
    </xf>
    <xf numFmtId="4" fontId="69" fillId="38" borderId="108" xfId="26" applyNumberFormat="1" applyFont="1" applyFill="1" applyBorder="1" applyAlignment="1">
      <alignment vertical="center"/>
    </xf>
    <xf numFmtId="0" fontId="31" fillId="39" borderId="233" xfId="14" applyFont="1" applyFill="1" applyBorder="1" applyAlignment="1">
      <alignment vertical="center"/>
    </xf>
    <xf numFmtId="0" fontId="31" fillId="39" borderId="233" xfId="14" applyFont="1" applyFill="1" applyBorder="1" applyAlignment="1">
      <alignment horizontal="left" vertical="center"/>
    </xf>
    <xf numFmtId="0" fontId="31" fillId="0" borderId="233" xfId="14" applyFont="1" applyBorder="1" applyAlignment="1">
      <alignment vertical="center"/>
    </xf>
    <xf numFmtId="17" fontId="124" fillId="15" borderId="234" xfId="13" applyNumberFormat="1" applyFont="1" applyFill="1" applyBorder="1" applyAlignment="1">
      <alignment vertical="center"/>
    </xf>
    <xf numFmtId="17" fontId="124" fillId="15" borderId="235" xfId="13" applyNumberFormat="1" applyFont="1" applyFill="1" applyBorder="1" applyAlignment="1">
      <alignment horizontal="left" vertical="center"/>
    </xf>
    <xf numFmtId="17" fontId="124" fillId="15" borderId="235" xfId="13" applyNumberFormat="1" applyFont="1" applyFill="1" applyBorder="1" applyAlignment="1">
      <alignment vertical="center"/>
    </xf>
    <xf numFmtId="0" fontId="124" fillId="15" borderId="235" xfId="14" applyFont="1" applyFill="1" applyBorder="1" applyAlignment="1">
      <alignment vertical="center"/>
    </xf>
    <xf numFmtId="0" fontId="69" fillId="0" borderId="230" xfId="14" applyFont="1" applyBorder="1" applyAlignment="1">
      <alignment horizontal="left" vertical="center"/>
    </xf>
    <xf numFmtId="0" fontId="31" fillId="37" borderId="72" xfId="14" applyFont="1" applyFill="1" applyAlignment="1">
      <alignment vertical="center"/>
    </xf>
    <xf numFmtId="0" fontId="31" fillId="0" borderId="72" xfId="14" applyFont="1" applyAlignment="1">
      <alignment vertical="center"/>
    </xf>
    <xf numFmtId="3" fontId="69" fillId="40" borderId="107" xfId="26" applyNumberFormat="1" applyFont="1" applyFill="1" applyBorder="1" applyAlignment="1">
      <alignment horizontal="left" vertical="center"/>
    </xf>
    <xf numFmtId="4" fontId="69" fillId="38" borderId="229" xfId="26" applyNumberFormat="1" applyFont="1" applyFill="1" applyBorder="1" applyAlignment="1">
      <alignment vertical="center"/>
    </xf>
    <xf numFmtId="0" fontId="69" fillId="39" borderId="237" xfId="14" quotePrefix="1" applyFont="1" applyFill="1" applyBorder="1" applyAlignment="1">
      <alignment vertical="center"/>
    </xf>
    <xf numFmtId="17" fontId="69" fillId="39" borderId="237" xfId="14" quotePrefix="1" applyNumberFormat="1" applyFont="1" applyFill="1" applyBorder="1" applyAlignment="1">
      <alignment vertical="center"/>
    </xf>
    <xf numFmtId="17" fontId="69" fillId="39" borderId="224" xfId="14" quotePrefix="1" applyNumberFormat="1" applyFont="1" applyFill="1" applyBorder="1" applyAlignment="1">
      <alignment horizontal="left" vertical="center"/>
    </xf>
    <xf numFmtId="17" fontId="69" fillId="39" borderId="107" xfId="14" quotePrefix="1" applyNumberFormat="1" applyFont="1" applyFill="1" applyBorder="1" applyAlignment="1">
      <alignment horizontal="left" vertical="center"/>
    </xf>
    <xf numFmtId="17" fontId="69" fillId="39" borderId="238" xfId="14" quotePrefix="1" applyNumberFormat="1" applyFont="1" applyFill="1" applyBorder="1" applyAlignment="1">
      <alignment horizontal="left" vertical="center"/>
    </xf>
    <xf numFmtId="0" fontId="68" fillId="39" borderId="233" xfId="14" applyFont="1" applyFill="1" applyBorder="1" applyAlignment="1">
      <alignment vertical="center"/>
    </xf>
    <xf numFmtId="0" fontId="68" fillId="0" borderId="233" xfId="14" applyFont="1" applyBorder="1" applyAlignment="1">
      <alignment vertical="center"/>
    </xf>
    <xf numFmtId="0" fontId="131" fillId="0" borderId="239" xfId="13" applyFont="1" applyBorder="1" applyAlignment="1">
      <alignment vertical="center"/>
    </xf>
    <xf numFmtId="0" fontId="131" fillId="0" borderId="240" xfId="13" applyFont="1" applyBorder="1" applyAlignment="1">
      <alignment vertical="center"/>
    </xf>
    <xf numFmtId="0" fontId="69" fillId="0" borderId="241" xfId="13" applyFont="1" applyBorder="1" applyAlignment="1">
      <alignment vertical="center"/>
    </xf>
    <xf numFmtId="0" fontId="69" fillId="0" borderId="242" xfId="13" applyFont="1" applyBorder="1" applyAlignment="1">
      <alignment vertical="center"/>
    </xf>
    <xf numFmtId="17" fontId="69" fillId="0" borderId="243" xfId="13" applyNumberFormat="1" applyFont="1" applyBorder="1" applyAlignment="1">
      <alignment horizontal="left" vertical="center"/>
    </xf>
    <xf numFmtId="0" fontId="124" fillId="0" borderId="244" xfId="13" applyFont="1" applyBorder="1" applyAlignment="1">
      <alignment vertical="center"/>
    </xf>
    <xf numFmtId="0" fontId="69" fillId="0" borderId="245" xfId="13" applyFont="1" applyBorder="1" applyAlignment="1">
      <alignment vertical="center"/>
    </xf>
    <xf numFmtId="17" fontId="69" fillId="0" borderId="245" xfId="13" applyNumberFormat="1" applyFont="1" applyBorder="1" applyAlignment="1">
      <alignment horizontal="left" vertical="center"/>
    </xf>
    <xf numFmtId="17" fontId="69" fillId="0" borderId="246" xfId="13" applyNumberFormat="1" applyFont="1" applyBorder="1" applyAlignment="1">
      <alignment horizontal="left" vertical="center"/>
    </xf>
    <xf numFmtId="0" fontId="83" fillId="16" borderId="248" xfId="14" applyFont="1" applyFill="1" applyBorder="1" applyAlignment="1">
      <alignment horizontal="center" vertical="center" wrapText="1"/>
    </xf>
    <xf numFmtId="4" fontId="133" fillId="16" borderId="248" xfId="48" applyNumberFormat="1" applyFont="1" applyFill="1" applyBorder="1" applyAlignment="1">
      <alignment horizontal="center" vertical="center"/>
    </xf>
    <xf numFmtId="0" fontId="83" fillId="16" borderId="249"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182" fontId="133" fillId="16" borderId="251" xfId="48" applyNumberFormat="1" applyFont="1" applyFill="1" applyBorder="1" applyAlignment="1">
      <alignment horizontal="center" vertical="center"/>
    </xf>
    <xf numFmtId="4" fontId="83" fillId="16" borderId="252" xfId="14" applyNumberFormat="1" applyFont="1" applyFill="1" applyBorder="1" applyAlignment="1">
      <alignment horizontal="center" vertical="center" wrapText="1"/>
    </xf>
    <xf numFmtId="17" fontId="124" fillId="15" borderId="253" xfId="13" applyNumberFormat="1" applyFont="1" applyFill="1" applyBorder="1" applyAlignment="1">
      <alignment vertical="center"/>
    </xf>
    <xf numFmtId="17" fontId="124" fillId="15" borderId="254" xfId="13" applyNumberFormat="1" applyFont="1" applyFill="1" applyBorder="1" applyAlignment="1">
      <alignment vertical="center"/>
    </xf>
    <xf numFmtId="0" fontId="130" fillId="0" borderId="72" xfId="14" applyFont="1" applyAlignment="1">
      <alignment vertical="center"/>
    </xf>
    <xf numFmtId="165" fontId="68" fillId="0" borderId="72" xfId="14" applyNumberFormat="1" applyFont="1" applyAlignment="1">
      <alignment vertical="center"/>
    </xf>
    <xf numFmtId="165" fontId="81" fillId="0" borderId="72" xfId="14" applyNumberFormat="1" applyFont="1" applyAlignment="1">
      <alignment vertical="center"/>
    </xf>
    <xf numFmtId="183" fontId="68" fillId="0" borderId="72" xfId="14" applyNumberFormat="1" applyFont="1" applyAlignment="1">
      <alignment vertical="center"/>
    </xf>
    <xf numFmtId="17" fontId="75" fillId="16" borderId="143" xfId="13" applyNumberFormat="1" applyFont="1" applyFill="1" applyBorder="1" applyAlignment="1">
      <alignment vertical="center"/>
    </xf>
    <xf numFmtId="17" fontId="75" fillId="16" borderId="144" xfId="13" applyNumberFormat="1" applyFont="1" applyFill="1" applyBorder="1" applyAlignment="1">
      <alignment vertical="center"/>
    </xf>
    <xf numFmtId="17" fontId="116" fillId="16" borderId="143" xfId="13" applyNumberFormat="1" applyFont="1" applyFill="1" applyBorder="1" applyAlignment="1">
      <alignment horizontal="left" vertical="center" indent="2"/>
    </xf>
    <xf numFmtId="17" fontId="75" fillId="16" borderId="260" xfId="13" applyNumberFormat="1" applyFont="1" applyFill="1" applyBorder="1" applyAlignment="1">
      <alignment horizontal="left" vertical="center" indent="2"/>
    </xf>
    <xf numFmtId="17" fontId="69" fillId="0" borderId="258" xfId="13" applyNumberFormat="1" applyFont="1" applyBorder="1" applyAlignment="1">
      <alignment horizontal="center" vertical="center"/>
    </xf>
    <xf numFmtId="17" fontId="69" fillId="0" borderId="268" xfId="13" applyNumberFormat="1" applyFont="1" applyBorder="1" applyAlignment="1">
      <alignment horizontal="center" vertical="center"/>
    </xf>
    <xf numFmtId="17" fontId="69" fillId="0" borderId="269" xfId="13" applyNumberFormat="1" applyFont="1" applyBorder="1" applyAlignment="1">
      <alignment horizontal="center" vertical="center"/>
    </xf>
    <xf numFmtId="17" fontId="69" fillId="15" borderId="272" xfId="13" applyNumberFormat="1" applyFont="1" applyFill="1" applyBorder="1" applyAlignment="1">
      <alignment horizontal="center" vertical="center"/>
    </xf>
    <xf numFmtId="17" fontId="69" fillId="15" borderId="273" xfId="13" applyNumberFormat="1" applyFont="1" applyFill="1" applyBorder="1" applyAlignment="1">
      <alignment vertical="center"/>
    </xf>
    <xf numFmtId="17" fontId="142" fillId="15" borderId="271" xfId="13" applyNumberFormat="1" applyFont="1" applyFill="1" applyBorder="1" applyAlignment="1">
      <alignment horizontal="left" vertical="center" indent="1"/>
    </xf>
    <xf numFmtId="17" fontId="69" fillId="15" borderId="272" xfId="13" applyNumberFormat="1" applyFont="1" applyFill="1" applyBorder="1" applyAlignment="1">
      <alignment horizontal="left" vertical="center"/>
    </xf>
    <xf numFmtId="173" fontId="135" fillId="0" borderId="72" xfId="15" applyFont="1"/>
    <xf numFmtId="173" fontId="135" fillId="0" borderId="54" xfId="15" applyFont="1" applyBorder="1" applyAlignment="1">
      <alignment horizontal="center"/>
    </xf>
    <xf numFmtId="173" fontId="135" fillId="0" borderId="286" xfId="15" applyFont="1" applyBorder="1" applyAlignment="1">
      <alignment horizontal="center"/>
    </xf>
    <xf numFmtId="173" fontId="135" fillId="41" borderId="287" xfId="15" applyFont="1" applyFill="1" applyBorder="1" applyAlignment="1">
      <alignment horizontal="center"/>
    </xf>
    <xf numFmtId="173" fontId="135" fillId="0" borderId="55" xfId="15" applyFont="1" applyBorder="1" applyAlignment="1">
      <alignment horizontal="center"/>
    </xf>
    <xf numFmtId="173" fontId="135" fillId="0" borderId="288" xfId="15" applyFont="1" applyBorder="1" applyAlignment="1">
      <alignment horizontal="center"/>
    </xf>
    <xf numFmtId="173" fontId="135" fillId="41" borderId="289" xfId="15" applyFont="1" applyFill="1" applyBorder="1" applyAlignment="1">
      <alignment horizontal="center"/>
    </xf>
    <xf numFmtId="173" fontId="135" fillId="0" borderId="291" xfId="15" applyFont="1" applyBorder="1" applyAlignment="1">
      <alignment horizontal="center"/>
    </xf>
    <xf numFmtId="173" fontId="135" fillId="0" borderId="290" xfId="15" applyFont="1" applyBorder="1" applyAlignment="1">
      <alignment horizontal="center"/>
    </xf>
    <xf numFmtId="173" fontId="135" fillId="41" borderId="292" xfId="15" applyFont="1" applyFill="1" applyBorder="1" applyAlignment="1">
      <alignment horizontal="center"/>
    </xf>
    <xf numFmtId="173" fontId="135" fillId="37" borderId="55" xfId="15" applyFont="1" applyFill="1" applyBorder="1" applyAlignment="1">
      <alignment horizontal="center"/>
    </xf>
    <xf numFmtId="173" fontId="135" fillId="0" borderId="56" xfId="15" applyFont="1" applyBorder="1" applyAlignment="1">
      <alignment horizontal="center"/>
    </xf>
    <xf numFmtId="173" fontId="135" fillId="37" borderId="56" xfId="15" applyFont="1" applyFill="1" applyBorder="1" applyAlignment="1">
      <alignment horizontal="center"/>
    </xf>
    <xf numFmtId="173" fontId="135" fillId="0" borderId="293" xfId="15" applyFont="1" applyBorder="1" applyAlignment="1">
      <alignment horizontal="center"/>
    </xf>
    <xf numFmtId="173" fontId="135" fillId="41" borderId="294" xfId="15" applyFont="1" applyFill="1" applyBorder="1" applyAlignment="1">
      <alignment horizontal="center"/>
    </xf>
    <xf numFmtId="173" fontId="135" fillId="37" borderId="291" xfId="15" applyFont="1" applyFill="1" applyBorder="1" applyAlignment="1">
      <alignment horizontal="center"/>
    </xf>
    <xf numFmtId="173" fontId="135" fillId="0" borderId="296" xfId="15" applyFont="1" applyBorder="1" applyAlignment="1">
      <alignment horizontal="center"/>
    </xf>
    <xf numFmtId="173" fontId="135" fillId="0" borderId="295" xfId="15" applyFont="1" applyBorder="1" applyAlignment="1">
      <alignment horizontal="center"/>
    </xf>
    <xf numFmtId="173" fontId="135" fillId="41" borderId="297" xfId="15" applyFont="1" applyFill="1" applyBorder="1" applyAlignment="1">
      <alignment horizontal="center"/>
    </xf>
    <xf numFmtId="173" fontId="135" fillId="0" borderId="232" xfId="15" applyFont="1" applyBorder="1"/>
    <xf numFmtId="173" fontId="135" fillId="0" borderId="299" xfId="15" applyFont="1" applyBorder="1" applyAlignment="1">
      <alignment horizontal="center"/>
    </xf>
    <xf numFmtId="173" fontId="135" fillId="37" borderId="299" xfId="15" applyFont="1" applyFill="1" applyBorder="1" applyAlignment="1">
      <alignment horizontal="center"/>
    </xf>
    <xf numFmtId="173" fontId="135" fillId="0" borderId="298" xfId="15" applyFont="1" applyBorder="1" applyAlignment="1">
      <alignment horizontal="center"/>
    </xf>
    <xf numFmtId="173" fontId="135" fillId="41" borderId="300" xfId="15" applyFont="1" applyFill="1" applyBorder="1" applyAlignment="1">
      <alignment horizontal="center"/>
    </xf>
    <xf numFmtId="173" fontId="137" fillId="0" borderId="72" xfId="15" applyFont="1"/>
    <xf numFmtId="173" fontId="136" fillId="0" borderId="72" xfId="15" applyFont="1"/>
    <xf numFmtId="173" fontId="145" fillId="0" borderId="288" xfId="15" applyFont="1" applyBorder="1" applyAlignment="1">
      <alignment horizontal="center"/>
    </xf>
    <xf numFmtId="173" fontId="145" fillId="0" borderId="298" xfId="15" applyFont="1" applyBorder="1" applyAlignment="1">
      <alignment horizontal="center"/>
    </xf>
    <xf numFmtId="0" fontId="126" fillId="16" borderId="259" xfId="14" applyFont="1" applyFill="1" applyBorder="1" applyAlignment="1">
      <alignment horizontal="center" vertical="center"/>
    </xf>
    <xf numFmtId="0" fontId="79" fillId="16" borderId="259" xfId="14" applyFont="1" applyFill="1" applyBorder="1" applyAlignment="1">
      <alignment horizontal="center" vertical="center" wrapText="1"/>
    </xf>
    <xf numFmtId="0" fontId="130" fillId="32" borderId="74" xfId="0" applyFont="1" applyFill="1" applyBorder="1" applyAlignment="1">
      <alignment horizontal="center" vertical="center"/>
    </xf>
    <xf numFmtId="0" fontId="129" fillId="35" borderId="207" xfId="0" applyFont="1" applyFill="1" applyBorder="1" applyAlignment="1">
      <alignment horizontal="left" vertical="center"/>
    </xf>
    <xf numFmtId="0" fontId="129" fillId="35" borderId="207" xfId="0" applyFont="1" applyFill="1" applyBorder="1" applyAlignment="1">
      <alignment horizontal="left" vertical="center" wrapText="1"/>
    </xf>
    <xf numFmtId="1" fontId="129" fillId="35" borderId="207" xfId="0" applyNumberFormat="1" applyFont="1" applyFill="1" applyBorder="1" applyAlignment="1">
      <alignment horizontal="center" vertical="center"/>
    </xf>
    <xf numFmtId="2" fontId="129" fillId="35" borderId="207" xfId="0" applyNumberFormat="1" applyFont="1" applyFill="1" applyBorder="1" applyAlignment="1">
      <alignment horizontal="center" vertical="center"/>
    </xf>
    <xf numFmtId="0" fontId="0" fillId="34" borderId="207" xfId="0" applyFill="1" applyBorder="1" applyAlignment="1">
      <alignment horizontal="left" vertical="center"/>
    </xf>
    <xf numFmtId="0" fontId="0" fillId="34" borderId="207" xfId="0" applyFill="1" applyBorder="1" applyAlignment="1">
      <alignment horizontal="left" vertical="center" wrapText="1"/>
    </xf>
    <xf numFmtId="1" fontId="0" fillId="34" borderId="207" xfId="0" applyNumberFormat="1" applyFill="1" applyBorder="1" applyAlignment="1">
      <alignment horizontal="center" vertical="center"/>
    </xf>
    <xf numFmtId="2" fontId="0" fillId="34" borderId="207" xfId="0" applyNumberFormat="1" applyFill="1" applyBorder="1" applyAlignment="1">
      <alignment horizontal="center" vertical="center"/>
    </xf>
    <xf numFmtId="0" fontId="0" fillId="33" borderId="207" xfId="0" applyFill="1" applyBorder="1" applyAlignment="1">
      <alignment horizontal="left" vertical="center"/>
    </xf>
    <xf numFmtId="0" fontId="0" fillId="33" borderId="207" xfId="0" applyFill="1" applyBorder="1" applyAlignment="1">
      <alignment horizontal="left" vertical="center" wrapText="1"/>
    </xf>
    <xf numFmtId="1" fontId="0" fillId="33" borderId="207" xfId="0" applyNumberFormat="1" applyFill="1" applyBorder="1" applyAlignment="1">
      <alignment horizontal="center" vertical="center"/>
    </xf>
    <xf numFmtId="2" fontId="0" fillId="33" borderId="207" xfId="0" applyNumberFormat="1" applyFill="1" applyBorder="1" applyAlignment="1">
      <alignment horizontal="center" vertical="center"/>
    </xf>
    <xf numFmtId="0" fontId="0" fillId="32" borderId="207" xfId="0" applyFill="1" applyBorder="1" applyAlignment="1">
      <alignment horizontal="left" vertical="center"/>
    </xf>
    <xf numFmtId="0" fontId="0" fillId="32" borderId="207" xfId="0" applyFill="1" applyBorder="1" applyAlignment="1">
      <alignment horizontal="left" vertical="center" wrapText="1"/>
    </xf>
    <xf numFmtId="1" fontId="0" fillId="32" borderId="207" xfId="0" applyNumberFormat="1" applyFill="1" applyBorder="1" applyAlignment="1">
      <alignment horizontal="center" vertical="center"/>
    </xf>
    <xf numFmtId="2" fontId="0" fillId="32" borderId="207" xfId="0" applyNumberFormat="1" applyFill="1" applyBorder="1" applyAlignment="1">
      <alignment horizontal="center" vertical="center"/>
    </xf>
    <xf numFmtId="0" fontId="61" fillId="0" borderId="72" xfId="60" applyFont="1" applyAlignment="1">
      <alignment vertical="center"/>
    </xf>
    <xf numFmtId="44" fontId="61" fillId="0" borderId="72" xfId="61" applyFont="1" applyAlignment="1">
      <alignment vertical="center"/>
    </xf>
    <xf numFmtId="0" fontId="61" fillId="0" borderId="72" xfId="60" applyFont="1" applyAlignment="1">
      <alignment vertical="center" wrapText="1"/>
    </xf>
    <xf numFmtId="0" fontId="61" fillId="0" borderId="72" xfId="60" applyFont="1" applyAlignment="1">
      <alignment horizontal="center" vertical="center"/>
    </xf>
    <xf numFmtId="0" fontId="61" fillId="0" borderId="72" xfId="60" applyFont="1" applyAlignment="1">
      <alignment horizontal="left" vertical="center"/>
    </xf>
    <xf numFmtId="0" fontId="60" fillId="0" borderId="72" xfId="60" applyFont="1" applyAlignment="1">
      <alignment vertical="center"/>
    </xf>
    <xf numFmtId="44" fontId="147" fillId="4" borderId="313" xfId="10" applyFont="1" applyFill="1" applyBorder="1" applyAlignment="1">
      <alignment horizontal="center"/>
    </xf>
    <xf numFmtId="43" fontId="147" fillId="4" borderId="313" xfId="64" applyFont="1" applyFill="1" applyBorder="1" applyAlignment="1">
      <alignment horizontal="center"/>
    </xf>
    <xf numFmtId="185" fontId="61" fillId="0" borderId="72" xfId="65" applyNumberFormat="1" applyFont="1" applyAlignment="1">
      <alignment horizontal="center" vertical="center"/>
    </xf>
    <xf numFmtId="43" fontId="147" fillId="4" borderId="321" xfId="64" applyFont="1" applyFill="1" applyBorder="1" applyAlignment="1">
      <alignment horizontal="center"/>
    </xf>
    <xf numFmtId="0" fontId="18" fillId="0" borderId="72" xfId="66"/>
    <xf numFmtId="0" fontId="59" fillId="4" borderId="61" xfId="67" applyFont="1" applyFill="1" applyBorder="1" applyAlignment="1">
      <alignment horizontal="center" vertical="center" wrapText="1"/>
    </xf>
    <xf numFmtId="0" fontId="58" fillId="4" borderId="40" xfId="67" applyFont="1" applyFill="1" applyBorder="1" applyAlignment="1">
      <alignment horizontal="center" vertical="center" wrapText="1"/>
    </xf>
    <xf numFmtId="0" fontId="57" fillId="4" borderId="58" xfId="67" applyFont="1" applyFill="1" applyBorder="1" applyAlignment="1">
      <alignment horizontal="left" vertical="center" wrapText="1"/>
    </xf>
    <xf numFmtId="0" fontId="56" fillId="12" borderId="60" xfId="67" applyFont="1" applyFill="1" applyBorder="1" applyAlignment="1">
      <alignment vertical="center" wrapText="1"/>
    </xf>
    <xf numFmtId="0" fontId="59" fillId="4" borderId="64" xfId="67" applyFont="1" applyFill="1" applyBorder="1" applyAlignment="1">
      <alignment horizontal="center" vertical="center" wrapText="1"/>
    </xf>
    <xf numFmtId="0" fontId="58" fillId="4" borderId="59" xfId="67" applyFont="1" applyFill="1" applyBorder="1" applyAlignment="1">
      <alignment horizontal="center" vertical="center" wrapText="1"/>
    </xf>
    <xf numFmtId="0" fontId="56" fillId="12" borderId="11" xfId="67" applyFont="1" applyFill="1" applyBorder="1" applyAlignment="1">
      <alignment vertical="center" wrapText="1"/>
    </xf>
    <xf numFmtId="0" fontId="59" fillId="4" borderId="19" xfId="67" applyFont="1" applyFill="1" applyBorder="1" applyAlignment="1">
      <alignment horizontal="center" vertical="center" wrapText="1"/>
    </xf>
    <xf numFmtId="0" fontId="58" fillId="4" borderId="69" xfId="67" applyFont="1" applyFill="1" applyBorder="1" applyAlignment="1">
      <alignment horizontal="center" vertical="center" wrapText="1"/>
    </xf>
    <xf numFmtId="0" fontId="57" fillId="4" borderId="57" xfId="67" applyFont="1" applyFill="1" applyBorder="1" applyAlignment="1">
      <alignment horizontal="left" vertical="center" wrapText="1"/>
    </xf>
    <xf numFmtId="0" fontId="56" fillId="12" borderId="8" xfId="67" applyFont="1" applyFill="1" applyBorder="1" applyAlignment="1">
      <alignment vertical="center" wrapText="1"/>
    </xf>
    <xf numFmtId="0" fontId="54" fillId="46" borderId="159" xfId="60" applyFont="1" applyFill="1" applyBorder="1" applyAlignment="1">
      <alignment horizontal="center" vertical="center" wrapText="1"/>
    </xf>
    <xf numFmtId="0" fontId="54" fillId="46" borderId="73" xfId="60" applyFont="1" applyFill="1" applyBorder="1" applyAlignment="1">
      <alignment horizontal="center" vertical="center" wrapText="1"/>
    </xf>
    <xf numFmtId="44" fontId="54" fillId="46" borderId="114" xfId="61" applyFont="1" applyFill="1" applyBorder="1" applyAlignment="1">
      <alignment horizontal="center" vertical="center" wrapText="1"/>
    </xf>
    <xf numFmtId="44" fontId="54" fillId="46" borderId="81" xfId="61" applyFont="1" applyFill="1" applyBorder="1" applyAlignment="1">
      <alignment horizontal="center" vertical="center" wrapText="1"/>
    </xf>
    <xf numFmtId="0" fontId="148" fillId="0" borderId="72" xfId="60" applyFont="1" applyAlignment="1">
      <alignment vertical="center"/>
    </xf>
    <xf numFmtId="0" fontId="147" fillId="4" borderId="322" xfId="63" applyFont="1" applyFill="1" applyBorder="1" applyAlignment="1">
      <alignment horizontal="right"/>
    </xf>
    <xf numFmtId="0" fontId="147" fillId="4" borderId="320" xfId="63" applyFont="1" applyFill="1" applyBorder="1" applyAlignment="1">
      <alignment horizontal="right"/>
    </xf>
    <xf numFmtId="0" fontId="149" fillId="15" borderId="319" xfId="60" applyFont="1" applyFill="1" applyBorder="1" applyAlignment="1">
      <alignment vertical="center" wrapText="1"/>
    </xf>
    <xf numFmtId="0" fontId="149" fillId="15" borderId="85" xfId="60" applyFont="1" applyFill="1" applyBorder="1" applyAlignment="1">
      <alignment horizontal="left" vertical="center"/>
    </xf>
    <xf numFmtId="0" fontId="149" fillId="15" borderId="85" xfId="60" applyFont="1" applyFill="1" applyBorder="1" applyAlignment="1">
      <alignment vertical="center" wrapText="1"/>
    </xf>
    <xf numFmtId="43" fontId="150" fillId="15" borderId="85" xfId="62" applyFont="1" applyFill="1" applyBorder="1" applyAlignment="1">
      <alignment vertical="center"/>
    </xf>
    <xf numFmtId="44" fontId="150" fillId="15" borderId="116" xfId="61" applyFont="1" applyFill="1" applyBorder="1" applyAlignment="1">
      <alignment vertical="center"/>
    </xf>
    <xf numFmtId="44" fontId="150" fillId="15" borderId="83" xfId="61" applyFont="1" applyFill="1" applyBorder="1" applyAlignment="1">
      <alignment vertical="center"/>
    </xf>
    <xf numFmtId="0" fontId="55" fillId="41" borderId="316" xfId="60" applyFont="1" applyFill="1" applyBorder="1" applyAlignment="1">
      <alignment vertical="center" wrapText="1"/>
    </xf>
    <xf numFmtId="0" fontId="151" fillId="45" borderId="117" xfId="60" applyFont="1" applyFill="1" applyBorder="1" applyAlignment="1">
      <alignment horizontal="left" vertical="center"/>
    </xf>
    <xf numFmtId="0" fontId="149" fillId="0" borderId="85" xfId="60" applyFont="1" applyBorder="1" applyAlignment="1">
      <alignment horizontal="right" vertical="center" wrapText="1"/>
    </xf>
    <xf numFmtId="43" fontId="150" fillId="0" borderId="85" xfId="62" applyFont="1" applyFill="1" applyBorder="1" applyAlignment="1">
      <alignment vertical="center"/>
    </xf>
    <xf numFmtId="44" fontId="150" fillId="0" borderId="85" xfId="61" applyFont="1" applyFill="1" applyBorder="1" applyAlignment="1">
      <alignment vertical="center"/>
    </xf>
    <xf numFmtId="44" fontId="150" fillId="0" borderId="318" xfId="61" applyFont="1" applyFill="1" applyBorder="1" applyAlignment="1">
      <alignment vertical="center"/>
    </xf>
    <xf numFmtId="44" fontId="150" fillId="0" borderId="318" xfId="61" applyFont="1" applyFill="1" applyBorder="1" applyAlignment="1">
      <alignment vertical="center" wrapText="1"/>
    </xf>
    <xf numFmtId="0" fontId="55" fillId="41" borderId="315" xfId="60" applyFont="1" applyFill="1" applyBorder="1" applyAlignment="1">
      <alignment horizontal="left" vertical="center"/>
    </xf>
    <xf numFmtId="0" fontId="55" fillId="0" borderId="269" xfId="60" applyFont="1" applyBorder="1" applyAlignment="1">
      <alignment vertical="center" wrapText="1"/>
    </xf>
    <xf numFmtId="43" fontId="152" fillId="0" borderId="269" xfId="62" applyFont="1" applyFill="1" applyBorder="1" applyAlignment="1">
      <alignment vertical="center"/>
    </xf>
    <xf numFmtId="165" fontId="152" fillId="0" borderId="317" xfId="41" applyFont="1" applyFill="1" applyBorder="1" applyAlignment="1">
      <alignment vertical="center"/>
    </xf>
    <xf numFmtId="44" fontId="55" fillId="0" borderId="313" xfId="61" applyFont="1" applyFill="1" applyBorder="1" applyAlignment="1">
      <alignment vertical="center"/>
    </xf>
    <xf numFmtId="165" fontId="152" fillId="0" borderId="314" xfId="41" applyFont="1" applyFill="1" applyBorder="1" applyAlignment="1">
      <alignment vertical="center"/>
    </xf>
    <xf numFmtId="43" fontId="152" fillId="0" borderId="315" xfId="62" applyFont="1" applyFill="1" applyBorder="1" applyAlignment="1">
      <alignment vertical="center"/>
    </xf>
    <xf numFmtId="0" fontId="55" fillId="41" borderId="258" xfId="60" applyFont="1" applyFill="1" applyBorder="1" applyAlignment="1">
      <alignment horizontal="left" vertical="center"/>
    </xf>
    <xf numFmtId="0" fontId="54" fillId="46" borderId="113" xfId="60" applyFont="1" applyFill="1" applyBorder="1" applyAlignment="1">
      <alignment horizontal="center" vertical="center"/>
    </xf>
    <xf numFmtId="0" fontId="57" fillId="4" borderId="69" xfId="67" applyFont="1" applyFill="1" applyBorder="1" applyAlignment="1">
      <alignment horizontal="left" vertical="center"/>
    </xf>
    <xf numFmtId="0" fontId="57" fillId="4" borderId="59" xfId="67" applyFont="1" applyFill="1" applyBorder="1" applyAlignment="1">
      <alignment horizontal="left" vertical="center"/>
    </xf>
    <xf numFmtId="0" fontId="57" fillId="4" borderId="40" xfId="67" applyFont="1" applyFill="1" applyBorder="1" applyAlignment="1">
      <alignment horizontal="left" vertical="center"/>
    </xf>
    <xf numFmtId="0" fontId="149" fillId="15" borderId="85" xfId="60" applyFont="1" applyFill="1" applyBorder="1" applyAlignment="1">
      <alignment vertical="center"/>
    </xf>
    <xf numFmtId="0" fontId="149" fillId="0" borderId="85" xfId="60" applyFont="1" applyBorder="1" applyAlignment="1">
      <alignment horizontal="right" vertical="center"/>
    </xf>
    <xf numFmtId="0" fontId="74" fillId="3" borderId="142" xfId="29" applyFont="1" applyFill="1" applyBorder="1" applyAlignment="1">
      <alignment horizontal="left" vertical="center"/>
    </xf>
    <xf numFmtId="0" fontId="124" fillId="0" borderId="323" xfId="13" applyFont="1" applyBorder="1" applyAlignment="1">
      <alignment horizontal="left" vertical="center"/>
    </xf>
    <xf numFmtId="0" fontId="69" fillId="0" borderId="45" xfId="13" applyFont="1" applyBorder="1" applyAlignment="1">
      <alignment horizontal="left" vertical="center"/>
    </xf>
    <xf numFmtId="0" fontId="80" fillId="0" borderId="45" xfId="13" applyFont="1" applyBorder="1" applyAlignment="1">
      <alignment vertical="center"/>
    </xf>
    <xf numFmtId="174" fontId="124" fillId="0" borderId="324" xfId="15" quotePrefix="1" applyNumberFormat="1" applyFont="1" applyFill="1" applyBorder="1" applyAlignment="1">
      <alignment horizontal="left" vertical="center"/>
    </xf>
    <xf numFmtId="174" fontId="69" fillId="0" borderId="325" xfId="15" quotePrefix="1" applyNumberFormat="1" applyFont="1" applyFill="1" applyBorder="1" applyAlignment="1">
      <alignment horizontal="left" vertical="center"/>
    </xf>
    <xf numFmtId="0" fontId="71" fillId="0" borderId="45" xfId="13" applyFont="1" applyBorder="1" applyAlignment="1">
      <alignment vertical="center"/>
    </xf>
    <xf numFmtId="17" fontId="69" fillId="0" borderId="326" xfId="13" applyNumberFormat="1" applyFont="1" applyBorder="1" applyAlignment="1">
      <alignment horizontal="left" vertical="center"/>
    </xf>
    <xf numFmtId="0" fontId="69" fillId="0" borderId="45" xfId="13" applyFont="1" applyBorder="1" applyAlignment="1">
      <alignment horizontal="right" vertical="center"/>
    </xf>
    <xf numFmtId="14" fontId="69" fillId="0" borderId="45" xfId="13" applyNumberFormat="1" applyFont="1" applyBorder="1" applyAlignment="1">
      <alignment horizontal="center" vertical="center"/>
    </xf>
    <xf numFmtId="0" fontId="68" fillId="39" borderId="72" xfId="14" applyFont="1" applyFill="1" applyAlignment="1">
      <alignment vertical="center"/>
    </xf>
    <xf numFmtId="0" fontId="68" fillId="39" borderId="72" xfId="14" applyFont="1" applyFill="1" applyAlignment="1">
      <alignment horizontal="left" vertical="center"/>
    </xf>
    <xf numFmtId="0" fontId="126" fillId="16" borderId="120" xfId="14" applyFont="1" applyFill="1" applyBorder="1" applyAlignment="1">
      <alignment horizontal="center" vertical="center"/>
    </xf>
    <xf numFmtId="0" fontId="126" fillId="16" borderId="120" xfId="14" applyFont="1" applyFill="1" applyBorder="1" applyAlignment="1">
      <alignment horizontal="center" vertical="center" wrapText="1"/>
    </xf>
    <xf numFmtId="0" fontId="126" fillId="16" borderId="87" xfId="14" applyFont="1" applyFill="1" applyBorder="1" applyAlignment="1">
      <alignment horizontal="center" vertical="center" wrapText="1"/>
    </xf>
    <xf numFmtId="0" fontId="126" fillId="16" borderId="87" xfId="47" applyFont="1" applyFill="1" applyBorder="1" applyAlignment="1">
      <alignment horizontal="center" vertical="center"/>
    </xf>
    <xf numFmtId="0" fontId="126" fillId="16" borderId="117" xfId="47" applyFont="1" applyFill="1" applyBorder="1" applyAlignment="1">
      <alignment horizontal="center" vertical="center"/>
    </xf>
    <xf numFmtId="0" fontId="126" fillId="16" borderId="85" xfId="47" applyFont="1" applyFill="1" applyBorder="1" applyAlignment="1">
      <alignment horizontal="center" vertical="center" wrapText="1"/>
    </xf>
    <xf numFmtId="0" fontId="126" fillId="16" borderId="116" xfId="47" applyFont="1" applyFill="1" applyBorder="1" applyAlignment="1">
      <alignment horizontal="center" vertical="center" wrapText="1"/>
    </xf>
    <xf numFmtId="0" fontId="126" fillId="16" borderId="116" xfId="47" applyFont="1" applyFill="1" applyBorder="1" applyAlignment="1">
      <alignment horizontal="center" vertical="center"/>
    </xf>
    <xf numFmtId="0" fontId="126" fillId="16" borderId="93" xfId="14" applyFont="1" applyFill="1" applyBorder="1" applyAlignment="1">
      <alignment vertical="center"/>
    </xf>
    <xf numFmtId="0" fontId="126" fillId="16" borderId="259" xfId="14" applyFont="1" applyFill="1" applyBorder="1" applyAlignment="1">
      <alignment horizontal="left" vertical="center"/>
    </xf>
    <xf numFmtId="0" fontId="126" fillId="16" borderId="259" xfId="47" applyFont="1" applyFill="1" applyBorder="1" applyAlignment="1">
      <alignment horizontal="center" vertical="center" wrapText="1"/>
    </xf>
    <xf numFmtId="0" fontId="126" fillId="16" borderId="87" xfId="47" applyFont="1" applyFill="1" applyBorder="1" applyAlignment="1">
      <alignment horizontal="center" vertical="center" wrapText="1"/>
    </xf>
    <xf numFmtId="0" fontId="126" fillId="16" borderId="120" xfId="28" applyFont="1" applyFill="1" applyBorder="1" applyAlignment="1">
      <alignment horizontal="center" vertical="center"/>
    </xf>
    <xf numFmtId="0" fontId="79" fillId="16" borderId="259" xfId="47" applyFont="1" applyFill="1" applyBorder="1" applyAlignment="1">
      <alignment horizontal="center" vertical="center" wrapText="1"/>
    </xf>
    <xf numFmtId="0" fontId="129" fillId="16" borderId="76" xfId="14" applyFont="1" applyFill="1" applyBorder="1" applyAlignment="1">
      <alignment vertical="center"/>
    </xf>
    <xf numFmtId="0" fontId="68" fillId="39" borderId="233" xfId="14" applyFont="1" applyFill="1" applyBorder="1" applyAlignment="1">
      <alignment horizontal="left" vertical="center"/>
    </xf>
    <xf numFmtId="0" fontId="68" fillId="0" borderId="72" xfId="14" applyFont="1" applyAlignment="1">
      <alignment horizontal="left" vertical="center"/>
    </xf>
    <xf numFmtId="0" fontId="69" fillId="0" borderId="152" xfId="29" applyNumberFormat="1" applyFont="1" applyFill="1" applyBorder="1" applyAlignment="1">
      <alignment horizontal="center" wrapText="1"/>
    </xf>
    <xf numFmtId="0" fontId="69" fillId="0" borderId="106" xfId="29" applyNumberFormat="1" applyFont="1" applyFill="1" applyBorder="1" applyAlignment="1">
      <alignment horizontal="left" wrapText="1"/>
    </xf>
    <xf numFmtId="0" fontId="69" fillId="0" borderId="106" xfId="29" applyNumberFormat="1" applyFont="1" applyFill="1" applyBorder="1" applyAlignment="1">
      <alignment horizontal="center" wrapText="1"/>
    </xf>
    <xf numFmtId="0" fontId="69" fillId="0" borderId="153" xfId="29" applyNumberFormat="1" applyFont="1" applyFill="1" applyBorder="1" applyAlignment="1">
      <alignment horizontal="center" wrapText="1"/>
    </xf>
    <xf numFmtId="0" fontId="69" fillId="0" borderId="72" xfId="29" applyNumberFormat="1" applyFont="1" applyFill="1" applyBorder="1" applyAlignment="1">
      <alignment wrapText="1"/>
    </xf>
    <xf numFmtId="0" fontId="69" fillId="0" borderId="89" xfId="29" applyNumberFormat="1" applyFont="1" applyFill="1" applyBorder="1" applyAlignment="1">
      <alignment wrapText="1"/>
    </xf>
    <xf numFmtId="4" fontId="69" fillId="0" borderId="106" xfId="29" applyNumberFormat="1" applyFont="1" applyFill="1" applyBorder="1" applyAlignment="1">
      <alignment horizontal="center" wrapText="1"/>
    </xf>
    <xf numFmtId="0" fontId="74" fillId="3" borderId="80" xfId="29" applyFont="1" applyFill="1" applyBorder="1" applyAlignment="1">
      <alignment horizontal="center" vertical="center" wrapText="1"/>
    </xf>
    <xf numFmtId="0" fontId="74" fillId="3" borderId="73" xfId="29" applyFont="1" applyFill="1" applyBorder="1" applyAlignment="1">
      <alignment horizontal="center" vertical="center" wrapText="1"/>
    </xf>
    <xf numFmtId="0" fontId="74" fillId="3" borderId="81" xfId="29" applyFont="1" applyFill="1" applyBorder="1" applyAlignment="1">
      <alignment horizontal="center" vertical="center" wrapText="1"/>
    </xf>
    <xf numFmtId="0" fontId="69" fillId="0" borderId="160" xfId="29" applyNumberFormat="1" applyFont="1" applyFill="1" applyBorder="1" applyAlignment="1">
      <alignment horizontal="center" wrapText="1"/>
    </xf>
    <xf numFmtId="0" fontId="69" fillId="0" borderId="161" xfId="29" applyNumberFormat="1" applyFont="1" applyFill="1" applyBorder="1" applyAlignment="1">
      <alignment horizontal="left" wrapText="1"/>
    </xf>
    <xf numFmtId="0" fontId="69" fillId="0" borderId="161" xfId="29" applyNumberFormat="1" applyFont="1" applyFill="1" applyBorder="1" applyAlignment="1">
      <alignment horizontal="center" wrapText="1"/>
    </xf>
    <xf numFmtId="0" fontId="69" fillId="0" borderId="162" xfId="29" applyNumberFormat="1" applyFont="1" applyFill="1" applyBorder="1" applyAlignment="1">
      <alignment horizontal="center" wrapText="1"/>
    </xf>
    <xf numFmtId="0" fontId="74" fillId="3" borderId="208" xfId="29" applyFont="1" applyFill="1" applyBorder="1" applyAlignment="1">
      <alignment horizontal="center" vertical="center" wrapText="1"/>
    </xf>
    <xf numFmtId="171" fontId="66" fillId="0" borderId="72" xfId="58" applyNumberFormat="1" applyFont="1" applyAlignment="1">
      <alignment horizontal="left" vertical="center"/>
    </xf>
    <xf numFmtId="172" fontId="66" fillId="0" borderId="72" xfId="58" applyNumberFormat="1" applyFont="1" applyAlignment="1">
      <alignment horizontal="left" vertical="center"/>
    </xf>
    <xf numFmtId="0" fontId="149" fillId="15" borderId="85" xfId="60" applyFont="1" applyFill="1" applyBorder="1" applyAlignment="1">
      <alignment horizontal="left" vertical="center" wrapText="1"/>
    </xf>
    <xf numFmtId="43" fontId="150" fillId="15" borderId="85" xfId="62" applyFont="1" applyFill="1" applyBorder="1" applyAlignment="1">
      <alignment vertical="center" wrapText="1"/>
    </xf>
    <xf numFmtId="44" fontId="150" fillId="15" borderId="116" xfId="61" applyFont="1" applyFill="1" applyBorder="1" applyAlignment="1">
      <alignment vertical="center" wrapText="1"/>
    </xf>
    <xf numFmtId="44" fontId="150" fillId="15" borderId="83" xfId="61" applyFont="1" applyFill="1" applyBorder="1" applyAlignment="1">
      <alignment vertical="center" wrapText="1"/>
    </xf>
    <xf numFmtId="0" fontId="124" fillId="31" borderId="72" xfId="14" applyFont="1" applyFill="1" applyAlignment="1">
      <alignment horizontal="center" vertical="center"/>
    </xf>
    <xf numFmtId="0" fontId="124" fillId="31" borderId="72" xfId="14" applyFont="1" applyFill="1" applyAlignment="1">
      <alignment horizontal="center" vertical="center" wrapText="1"/>
    </xf>
    <xf numFmtId="0" fontId="0" fillId="47" borderId="327" xfId="0" applyFill="1" applyBorder="1" applyAlignment="1">
      <alignment horizontal="left" vertical="center"/>
    </xf>
    <xf numFmtId="0" fontId="0" fillId="47" borderId="327" xfId="0" applyFill="1" applyBorder="1" applyAlignment="1">
      <alignment horizontal="left" vertical="center" wrapText="1"/>
    </xf>
    <xf numFmtId="1" fontId="0" fillId="47" borderId="327" xfId="0" applyNumberFormat="1" applyFill="1" applyBorder="1" applyAlignment="1">
      <alignment horizontal="center" vertical="center"/>
    </xf>
    <xf numFmtId="2" fontId="0" fillId="47" borderId="327" xfId="0" applyNumberFormat="1" applyFill="1" applyBorder="1" applyAlignment="1">
      <alignment horizontal="center" vertical="center"/>
    </xf>
    <xf numFmtId="3" fontId="89" fillId="0" borderId="118" xfId="58" applyNumberFormat="1" applyFont="1" applyBorder="1" applyAlignment="1">
      <alignment horizontal="left" vertical="center"/>
    </xf>
    <xf numFmtId="3" fontId="89" fillId="0" borderId="118" xfId="58" applyNumberFormat="1" applyFont="1" applyBorder="1" applyAlignment="1">
      <alignment horizontal="center" vertical="center"/>
    </xf>
    <xf numFmtId="0" fontId="31" fillId="0" borderId="72" xfId="28" applyAlignment="1">
      <alignment wrapText="1"/>
    </xf>
    <xf numFmtId="0" fontId="30" fillId="14" borderId="0" xfId="0" applyFont="1" applyFill="1" applyAlignment="1">
      <alignment vertical="center"/>
    </xf>
    <xf numFmtId="2" fontId="63" fillId="33" borderId="207" xfId="0" applyNumberFormat="1" applyFont="1" applyFill="1" applyBorder="1" applyAlignment="1">
      <alignment horizontal="center" vertical="center"/>
    </xf>
    <xf numFmtId="0" fontId="52" fillId="36" borderId="72" xfId="28" applyFont="1" applyFill="1" applyAlignment="1">
      <alignment horizontal="center" vertical="center" wrapText="1"/>
    </xf>
    <xf numFmtId="0" fontId="143" fillId="12" borderId="8" xfId="72" applyFont="1" applyFill="1" applyBorder="1" applyAlignment="1">
      <alignment vertical="center" wrapText="1"/>
    </xf>
    <xf numFmtId="0" fontId="86" fillId="4" borderId="57" xfId="73" applyFont="1" applyFill="1" applyBorder="1" applyAlignment="1">
      <alignment horizontal="left" vertical="center"/>
    </xf>
    <xf numFmtId="167" fontId="144" fillId="4" borderId="69" xfId="72" applyNumberFormat="1" applyFont="1" applyFill="1" applyBorder="1" applyAlignment="1">
      <alignment horizontal="left" vertical="center" wrapText="1"/>
    </xf>
    <xf numFmtId="0" fontId="76" fillId="4" borderId="69" xfId="72" applyFont="1" applyFill="1" applyBorder="1" applyAlignment="1">
      <alignment horizontal="center" vertical="center" wrapText="1"/>
    </xf>
    <xf numFmtId="43" fontId="76" fillId="4" borderId="69" xfId="74" applyFont="1" applyFill="1" applyBorder="1" applyAlignment="1">
      <alignment horizontal="center" vertical="center" wrapText="1"/>
    </xf>
    <xf numFmtId="0" fontId="15" fillId="4" borderId="20" xfId="72" applyFill="1" applyBorder="1"/>
    <xf numFmtId="0" fontId="15" fillId="4" borderId="29" xfId="72" applyFill="1" applyBorder="1"/>
    <xf numFmtId="0" fontId="15" fillId="4" borderId="21" xfId="72" applyFill="1" applyBorder="1"/>
    <xf numFmtId="0" fontId="15" fillId="0" borderId="72" xfId="75"/>
    <xf numFmtId="0" fontId="143" fillId="12" borderId="11" xfId="72" applyFont="1" applyFill="1" applyBorder="1" applyAlignment="1">
      <alignment vertical="center" wrapText="1"/>
    </xf>
    <xf numFmtId="0" fontId="86" fillId="4" borderId="58" xfId="73" applyFont="1" applyFill="1" applyBorder="1" applyAlignment="1">
      <alignment horizontal="left" vertical="center"/>
    </xf>
    <xf numFmtId="167" fontId="144" fillId="4" borderId="59" xfId="72" applyNumberFormat="1" applyFont="1" applyFill="1" applyBorder="1" applyAlignment="1">
      <alignment horizontal="left" vertical="center" wrapText="1"/>
    </xf>
    <xf numFmtId="0" fontId="76" fillId="4" borderId="59" xfId="72" applyFont="1" applyFill="1" applyBorder="1" applyAlignment="1">
      <alignment horizontal="center" vertical="center" wrapText="1"/>
    </xf>
    <xf numFmtId="43" fontId="76" fillId="4" borderId="59" xfId="74" applyFont="1" applyFill="1" applyBorder="1" applyAlignment="1">
      <alignment horizontal="center" vertical="center" wrapText="1"/>
    </xf>
    <xf numFmtId="0" fontId="15" fillId="4" borderId="70" xfId="72" applyFill="1" applyBorder="1"/>
    <xf numFmtId="0" fontId="15" fillId="4" borderId="72" xfId="72" applyFill="1"/>
    <xf numFmtId="0" fontId="15" fillId="4" borderId="61" xfId="72" applyFill="1" applyBorder="1"/>
    <xf numFmtId="43" fontId="76" fillId="4" borderId="72" xfId="74" applyFont="1" applyFill="1" applyBorder="1" applyAlignment="1">
      <alignment horizontal="center" vertical="center" wrapText="1"/>
    </xf>
    <xf numFmtId="0" fontId="76" fillId="4" borderId="72" xfId="72" applyFont="1" applyFill="1" applyAlignment="1">
      <alignment horizontal="center" vertical="center" wrapText="1"/>
    </xf>
    <xf numFmtId="0" fontId="136" fillId="0" borderId="72" xfId="75" applyFont="1"/>
    <xf numFmtId="0" fontId="137" fillId="0" borderId="72" xfId="75" applyFont="1"/>
    <xf numFmtId="0" fontId="135" fillId="0" borderId="72" xfId="75" applyFont="1"/>
    <xf numFmtId="0" fontId="135" fillId="37" borderId="279" xfId="75" applyFont="1" applyFill="1" applyBorder="1" applyAlignment="1">
      <alignment horizontal="center" vertical="center" wrapText="1"/>
    </xf>
    <xf numFmtId="0" fontId="135" fillId="37" borderId="87" xfId="75" applyFont="1" applyFill="1" applyBorder="1" applyAlignment="1">
      <alignment horizontal="center" vertical="center" wrapText="1"/>
    </xf>
    <xf numFmtId="0" fontId="135" fillId="37" borderId="280" xfId="75" applyFont="1" applyFill="1" applyBorder="1" applyAlignment="1">
      <alignment horizontal="center" vertical="center" wrapText="1"/>
    </xf>
    <xf numFmtId="0" fontId="145" fillId="0" borderId="80" xfId="75" applyFont="1" applyBorder="1" applyAlignment="1">
      <alignment horizontal="center"/>
    </xf>
    <xf numFmtId="0" fontId="145" fillId="0" borderId="73" xfId="75" applyFont="1" applyBorder="1" applyAlignment="1">
      <alignment horizontal="center" vertical="center"/>
    </xf>
    <xf numFmtId="0" fontId="145" fillId="0" borderId="81" xfId="75" applyFont="1" applyBorder="1" applyAlignment="1">
      <alignment horizontal="center" vertical="center"/>
    </xf>
    <xf numFmtId="0" fontId="145" fillId="0" borderId="286" xfId="75" applyFont="1" applyBorder="1"/>
    <xf numFmtId="0" fontId="135" fillId="0" borderId="55" xfId="75" applyFont="1" applyBorder="1" applyAlignment="1">
      <alignment vertical="center"/>
    </xf>
    <xf numFmtId="43" fontId="135" fillId="41" borderId="55" xfId="74" applyFont="1" applyFill="1" applyBorder="1" applyAlignment="1">
      <alignment horizontal="center"/>
    </xf>
    <xf numFmtId="43" fontId="135" fillId="41" borderId="287" xfId="74" applyFont="1" applyFill="1" applyBorder="1" applyAlignment="1">
      <alignment horizontal="center"/>
    </xf>
    <xf numFmtId="0" fontId="145" fillId="0" borderId="286" xfId="75" applyFont="1" applyBorder="1" applyAlignment="1">
      <alignment horizontal="center" vertical="center"/>
    </xf>
    <xf numFmtId="0" fontId="145" fillId="0" borderId="54" xfId="75" applyFont="1" applyBorder="1" applyAlignment="1">
      <alignment horizontal="center" vertical="center"/>
    </xf>
    <xf numFmtId="0" fontId="145" fillId="0" borderId="287" xfId="75" applyFont="1" applyBorder="1" applyAlignment="1">
      <alignment horizontal="center" vertical="center"/>
    </xf>
    <xf numFmtId="0" fontId="145" fillId="0" borderId="288" xfId="75" applyFont="1" applyBorder="1"/>
    <xf numFmtId="0" fontId="145" fillId="0" borderId="288" xfId="75" applyFont="1" applyBorder="1" applyAlignment="1">
      <alignment horizontal="center"/>
    </xf>
    <xf numFmtId="0" fontId="145" fillId="0" borderId="55" xfId="75" applyFont="1" applyBorder="1" applyAlignment="1">
      <alignment horizontal="center" vertical="center"/>
    </xf>
    <xf numFmtId="0" fontId="145" fillId="0" borderId="289" xfId="75" applyFont="1" applyBorder="1" applyAlignment="1">
      <alignment horizontal="center" vertical="center"/>
    </xf>
    <xf numFmtId="0" fontId="135" fillId="41" borderId="289" xfId="75" applyFont="1" applyFill="1" applyBorder="1" applyAlignment="1">
      <alignment horizontal="center"/>
    </xf>
    <xf numFmtId="43" fontId="135" fillId="41" borderId="289" xfId="74" applyFont="1" applyFill="1" applyBorder="1" applyAlignment="1">
      <alignment horizontal="center"/>
    </xf>
    <xf numFmtId="0" fontId="145" fillId="0" borderId="290" xfId="75" applyFont="1" applyBorder="1"/>
    <xf numFmtId="0" fontId="135" fillId="0" borderId="291" xfId="75" applyFont="1" applyBorder="1" applyAlignment="1">
      <alignment horizontal="left" vertical="center"/>
    </xf>
    <xf numFmtId="43" fontId="135" fillId="41" borderId="291" xfId="74" applyFont="1" applyFill="1" applyBorder="1" applyAlignment="1">
      <alignment horizontal="center"/>
    </xf>
    <xf numFmtId="43" fontId="135" fillId="41" borderId="292" xfId="74" applyFont="1" applyFill="1" applyBorder="1" applyAlignment="1">
      <alignment horizontal="center"/>
    </xf>
    <xf numFmtId="0" fontId="145" fillId="0" borderId="290" xfId="75" applyFont="1" applyBorder="1" applyAlignment="1">
      <alignment horizontal="center"/>
    </xf>
    <xf numFmtId="0" fontId="145" fillId="0" borderId="291" xfId="75" applyFont="1" applyBorder="1" applyAlignment="1">
      <alignment horizontal="center" vertical="center"/>
    </xf>
    <xf numFmtId="0" fontId="145" fillId="0" borderId="292" xfId="75" applyFont="1" applyBorder="1" applyAlignment="1">
      <alignment horizontal="center" vertical="center"/>
    </xf>
    <xf numFmtId="0" fontId="135" fillId="41" borderId="292" xfId="75" applyFont="1" applyFill="1" applyBorder="1" applyAlignment="1">
      <alignment horizontal="center"/>
    </xf>
    <xf numFmtId="0" fontId="145" fillId="0" borderId="293" xfId="75" applyFont="1" applyBorder="1"/>
    <xf numFmtId="0" fontId="135" fillId="0" borderId="56" xfId="75" applyFont="1" applyBorder="1" applyAlignment="1">
      <alignment vertical="center"/>
    </xf>
    <xf numFmtId="43" fontId="135" fillId="41" borderId="56" xfId="74" applyFont="1" applyFill="1" applyBorder="1" applyAlignment="1">
      <alignment horizontal="center"/>
    </xf>
    <xf numFmtId="43" fontId="135" fillId="41" borderId="294" xfId="74" applyFont="1" applyFill="1" applyBorder="1" applyAlignment="1">
      <alignment horizontal="center"/>
    </xf>
    <xf numFmtId="0" fontId="145" fillId="0" borderId="293" xfId="75" applyFont="1" applyBorder="1" applyAlignment="1">
      <alignment horizontal="center"/>
    </xf>
    <xf numFmtId="0" fontId="145" fillId="0" borderId="56" xfId="75" applyFont="1" applyBorder="1" applyAlignment="1">
      <alignment horizontal="center" vertical="center"/>
    </xf>
    <xf numFmtId="0" fontId="145" fillId="0" borderId="294" xfId="75" applyFont="1" applyBorder="1" applyAlignment="1">
      <alignment horizontal="center" vertical="center"/>
    </xf>
    <xf numFmtId="0" fontId="135" fillId="41" borderId="294" xfId="75" applyFont="1" applyFill="1" applyBorder="1" applyAlignment="1">
      <alignment horizontal="center"/>
    </xf>
    <xf numFmtId="0" fontId="145" fillId="0" borderId="295" xfId="75" applyFont="1" applyBorder="1"/>
    <xf numFmtId="0" fontId="135" fillId="0" borderId="296" xfId="75" applyFont="1" applyBorder="1" applyAlignment="1">
      <alignment vertical="center"/>
    </xf>
    <xf numFmtId="43" fontId="135" fillId="41" borderId="296" xfId="74" applyFont="1" applyFill="1" applyBorder="1" applyAlignment="1">
      <alignment horizontal="center"/>
    </xf>
    <xf numFmtId="43" fontId="135" fillId="41" borderId="297" xfId="74" applyFont="1" applyFill="1" applyBorder="1" applyAlignment="1">
      <alignment horizontal="center"/>
    </xf>
    <xf numFmtId="0" fontId="145" fillId="0" borderId="295" xfId="75" applyFont="1" applyBorder="1" applyAlignment="1">
      <alignment horizontal="center"/>
    </xf>
    <xf numFmtId="0" fontId="145" fillId="0" borderId="296" xfId="75" applyFont="1" applyBorder="1" applyAlignment="1">
      <alignment horizontal="center" vertical="center"/>
    </xf>
    <xf numFmtId="0" fontId="145" fillId="0" borderId="297" xfId="75" applyFont="1" applyBorder="1" applyAlignment="1">
      <alignment horizontal="center" vertical="center"/>
    </xf>
    <xf numFmtId="0" fontId="135" fillId="0" borderId="291" xfId="75" applyFont="1" applyBorder="1" applyAlignment="1">
      <alignment vertical="center"/>
    </xf>
    <xf numFmtId="0" fontId="135" fillId="0" borderId="232" xfId="75" applyFont="1" applyBorder="1"/>
    <xf numFmtId="0" fontId="137" fillId="0" borderId="232" xfId="75" applyFont="1" applyBorder="1"/>
    <xf numFmtId="0" fontId="135" fillId="0" borderId="54" xfId="75" applyFont="1" applyBorder="1" applyAlignment="1">
      <alignment vertical="center"/>
    </xf>
    <xf numFmtId="0" fontId="145" fillId="0" borderId="298" xfId="75" applyFont="1" applyBorder="1"/>
    <xf numFmtId="0" fontId="135" fillId="0" borderId="299" xfId="75" applyFont="1" applyBorder="1" applyAlignment="1">
      <alignment horizontal="left" vertical="center"/>
    </xf>
    <xf numFmtId="43" fontId="135" fillId="41" borderId="299" xfId="74" applyFont="1" applyFill="1" applyBorder="1" applyAlignment="1">
      <alignment horizontal="center"/>
    </xf>
    <xf numFmtId="43" fontId="135" fillId="41" borderId="300" xfId="74" applyFont="1" applyFill="1" applyBorder="1" applyAlignment="1">
      <alignment horizontal="center"/>
    </xf>
    <xf numFmtId="0" fontId="145" fillId="0" borderId="298" xfId="75" applyFont="1" applyBorder="1" applyAlignment="1">
      <alignment horizontal="center"/>
    </xf>
    <xf numFmtId="0" fontId="145" fillId="0" borderId="299" xfId="75" applyFont="1" applyBorder="1" applyAlignment="1">
      <alignment horizontal="center" vertical="center"/>
    </xf>
    <xf numFmtId="0" fontId="145" fillId="0" borderId="300" xfId="75" applyFont="1" applyBorder="1" applyAlignment="1">
      <alignment horizontal="center" vertical="center"/>
    </xf>
    <xf numFmtId="0" fontId="135" fillId="41" borderId="300" xfId="75" applyFont="1" applyFill="1" applyBorder="1" applyAlignment="1">
      <alignment horizontal="center"/>
    </xf>
    <xf numFmtId="173" fontId="15" fillId="0" borderId="72" xfId="15" applyFont="1"/>
    <xf numFmtId="43" fontId="146" fillId="0" borderId="72" xfId="74" applyFont="1" applyBorder="1" applyAlignment="1">
      <alignment horizontal="right"/>
    </xf>
    <xf numFmtId="43" fontId="146" fillId="0" borderId="72" xfId="74" applyFont="1" applyBorder="1"/>
    <xf numFmtId="2" fontId="136" fillId="0" borderId="72" xfId="75" applyNumberFormat="1" applyFont="1"/>
    <xf numFmtId="43" fontId="15" fillId="0" borderId="72" xfId="74" applyFont="1" applyBorder="1"/>
    <xf numFmtId="0" fontId="145" fillId="15" borderId="54" xfId="75" applyFont="1" applyFill="1" applyBorder="1" applyAlignment="1">
      <alignment horizontal="center" vertical="center"/>
    </xf>
    <xf numFmtId="0" fontId="145" fillId="15" borderId="287" xfId="75" applyFont="1" applyFill="1" applyBorder="1" applyAlignment="1">
      <alignment horizontal="center" vertical="center"/>
    </xf>
    <xf numFmtId="0" fontId="145" fillId="15" borderId="55" xfId="75" applyFont="1" applyFill="1" applyBorder="1" applyAlignment="1">
      <alignment horizontal="center" vertical="center"/>
    </xf>
    <xf numFmtId="0" fontId="145" fillId="15" borderId="289" xfId="75" applyFont="1" applyFill="1" applyBorder="1" applyAlignment="1">
      <alignment horizontal="center" vertical="center"/>
    </xf>
    <xf numFmtId="0" fontId="145" fillId="15" borderId="291" xfId="75" applyFont="1" applyFill="1" applyBorder="1" applyAlignment="1">
      <alignment horizontal="center" vertical="center"/>
    </xf>
    <xf numFmtId="0" fontId="145" fillId="15" borderId="292" xfId="75" applyFont="1" applyFill="1" applyBorder="1" applyAlignment="1">
      <alignment horizontal="center" vertical="center"/>
    </xf>
    <xf numFmtId="0" fontId="145" fillId="15" borderId="293" xfId="75" applyFont="1" applyFill="1" applyBorder="1" applyAlignment="1">
      <alignment horizontal="center"/>
    </xf>
    <xf numFmtId="0" fontId="145" fillId="15" borderId="290" xfId="75" applyFont="1" applyFill="1" applyBorder="1" applyAlignment="1">
      <alignment horizontal="center"/>
    </xf>
    <xf numFmtId="0" fontId="145" fillId="15" borderId="56" xfId="75" applyFont="1" applyFill="1" applyBorder="1" applyAlignment="1">
      <alignment horizontal="center" vertical="center"/>
    </xf>
    <xf numFmtId="0" fontId="145" fillId="15" borderId="294" xfId="75" applyFont="1" applyFill="1" applyBorder="1" applyAlignment="1">
      <alignment horizontal="center" vertical="center"/>
    </xf>
    <xf numFmtId="0" fontId="145" fillId="15" borderId="288" xfId="75" applyFont="1" applyFill="1" applyBorder="1" applyAlignment="1">
      <alignment horizontal="center"/>
    </xf>
    <xf numFmtId="0" fontId="73" fillId="14" borderId="72" xfId="16" applyNumberFormat="1" applyFont="1" applyFill="1" applyBorder="1" applyAlignment="1">
      <alignment vertical="center"/>
    </xf>
    <xf numFmtId="0" fontId="69" fillId="0" borderId="45" xfId="13" applyFont="1" applyBorder="1" applyAlignment="1">
      <alignment vertical="center"/>
    </xf>
    <xf numFmtId="0" fontId="33" fillId="0" borderId="72" xfId="80" applyFont="1"/>
    <xf numFmtId="0" fontId="159" fillId="0" borderId="72" xfId="80" applyFont="1"/>
    <xf numFmtId="0" fontId="160" fillId="4" borderId="18" xfId="80" applyFont="1" applyFill="1" applyBorder="1" applyAlignment="1">
      <alignment vertical="center"/>
    </xf>
    <xf numFmtId="0" fontId="99" fillId="4" borderId="71" xfId="80" applyFont="1" applyFill="1" applyBorder="1" applyAlignment="1">
      <alignment vertical="center"/>
    </xf>
    <xf numFmtId="0" fontId="33" fillId="4" borderId="2" xfId="80" applyFont="1" applyFill="1" applyBorder="1" applyAlignment="1">
      <alignment vertical="center"/>
    </xf>
    <xf numFmtId="17" fontId="33" fillId="4" borderId="2" xfId="80" applyNumberFormat="1" applyFont="1" applyFill="1" applyBorder="1" applyAlignment="1">
      <alignment horizontal="left" vertical="center"/>
    </xf>
    <xf numFmtId="0" fontId="99" fillId="4" borderId="18" xfId="80" applyFont="1" applyFill="1" applyBorder="1" applyAlignment="1">
      <alignment vertical="center"/>
    </xf>
    <xf numFmtId="167" fontId="154" fillId="6" borderId="31" xfId="80" applyNumberFormat="1" applyFont="1" applyFill="1" applyBorder="1" applyAlignment="1">
      <alignment horizontal="left" vertical="center" wrapText="1"/>
    </xf>
    <xf numFmtId="167" fontId="154" fillId="6" borderId="53" xfId="80" applyNumberFormat="1" applyFont="1" applyFill="1" applyBorder="1" applyAlignment="1">
      <alignment horizontal="center" vertical="center" wrapText="1"/>
    </xf>
    <xf numFmtId="167" fontId="99" fillId="5" borderId="38" xfId="80" applyNumberFormat="1" applyFont="1" applyFill="1" applyBorder="1" applyAlignment="1">
      <alignment vertical="center"/>
    </xf>
    <xf numFmtId="167" fontId="99" fillId="5" borderId="40" xfId="80" applyNumberFormat="1" applyFont="1" applyFill="1" applyBorder="1" applyAlignment="1">
      <alignment vertical="center"/>
    </xf>
    <xf numFmtId="167" fontId="33" fillId="0" borderId="329" xfId="80" applyNumberFormat="1" applyFont="1" applyBorder="1" applyAlignment="1">
      <alignment horizontal="left" vertical="center"/>
    </xf>
    <xf numFmtId="0" fontId="33" fillId="0" borderId="44" xfId="80" applyFont="1" applyBorder="1" applyAlignment="1">
      <alignment horizontal="center" vertical="center"/>
    </xf>
    <xf numFmtId="167" fontId="33" fillId="0" borderId="44" xfId="80" applyNumberFormat="1" applyFont="1" applyBorder="1" applyAlignment="1">
      <alignment horizontal="center" vertical="center"/>
    </xf>
    <xf numFmtId="167" fontId="161" fillId="0" borderId="329" xfId="80" applyNumberFormat="1" applyFont="1" applyBorder="1" applyAlignment="1">
      <alignment horizontal="left" vertical="center"/>
    </xf>
    <xf numFmtId="0" fontId="11" fillId="0" borderId="142" xfId="88" applyBorder="1"/>
    <xf numFmtId="0" fontId="69" fillId="0" borderId="195" xfId="13" applyFont="1" applyBorder="1" applyAlignment="1">
      <alignment horizontal="left" vertical="center"/>
    </xf>
    <xf numFmtId="0" fontId="11" fillId="0" borderId="72" xfId="88"/>
    <xf numFmtId="0" fontId="11" fillId="0" borderId="89" xfId="88" applyBorder="1"/>
    <xf numFmtId="0" fontId="124" fillId="31" borderId="72" xfId="14" applyFont="1" applyFill="1" applyAlignment="1">
      <alignment horizontal="left" vertical="center" wrapText="1"/>
    </xf>
    <xf numFmtId="0" fontId="11" fillId="0" borderId="330" xfId="88" applyBorder="1"/>
    <xf numFmtId="0" fontId="11" fillId="0" borderId="107" xfId="88" applyBorder="1"/>
    <xf numFmtId="180" fontId="11" fillId="0" borderId="107" xfId="88" applyNumberFormat="1" applyBorder="1" applyAlignment="1">
      <alignment horizontal="left"/>
    </xf>
    <xf numFmtId="180" fontId="11" fillId="0" borderId="107" xfId="88" applyNumberFormat="1" applyBorder="1" applyAlignment="1">
      <alignment horizontal="center"/>
    </xf>
    <xf numFmtId="180" fontId="128" fillId="0" borderId="107" xfId="88" applyNumberFormat="1" applyFont="1" applyBorder="1" applyAlignment="1">
      <alignment horizontal="center"/>
    </xf>
    <xf numFmtId="43" fontId="0" fillId="0" borderId="107" xfId="89" applyFont="1" applyBorder="1" applyAlignment="1"/>
    <xf numFmtId="43" fontId="0" fillId="0" borderId="224" xfId="89" applyFont="1" applyBorder="1" applyAlignment="1"/>
    <xf numFmtId="43" fontId="0" fillId="0" borderId="331" xfId="89" applyFont="1" applyBorder="1" applyAlignment="1"/>
    <xf numFmtId="0" fontId="11" fillId="0" borderId="204" xfId="88" applyBorder="1"/>
    <xf numFmtId="0" fontId="11" fillId="0" borderId="205" xfId="88" applyBorder="1"/>
    <xf numFmtId="180" fontId="11" fillId="0" borderId="205" xfId="88" applyNumberFormat="1" applyBorder="1" applyAlignment="1">
      <alignment horizontal="left"/>
    </xf>
    <xf numFmtId="180" fontId="11" fillId="0" borderId="205" xfId="88" applyNumberFormat="1" applyBorder="1" applyAlignment="1">
      <alignment horizontal="center"/>
    </xf>
    <xf numFmtId="180" fontId="128" fillId="0" borderId="205" xfId="88" applyNumberFormat="1" applyFont="1" applyBorder="1" applyAlignment="1">
      <alignment horizontal="center"/>
    </xf>
    <xf numFmtId="43" fontId="0" fillId="0" borderId="205" xfId="89" applyFont="1" applyBorder="1" applyAlignment="1"/>
    <xf numFmtId="43" fontId="0" fillId="0" borderId="332" xfId="89" applyFont="1" applyBorder="1" applyAlignment="1"/>
    <xf numFmtId="43" fontId="0" fillId="0" borderId="206" xfId="89" applyFont="1" applyBorder="1" applyAlignment="1"/>
    <xf numFmtId="0" fontId="163" fillId="16" borderId="333" xfId="88" applyFont="1" applyFill="1" applyBorder="1"/>
    <xf numFmtId="0" fontId="163" fillId="16" borderId="334" xfId="88" applyFont="1" applyFill="1" applyBorder="1"/>
    <xf numFmtId="0" fontId="157" fillId="16" borderId="334" xfId="88" applyFont="1" applyFill="1" applyBorder="1" applyAlignment="1">
      <alignment vertical="center"/>
    </xf>
    <xf numFmtId="0" fontId="157" fillId="16" borderId="334" xfId="88" applyFont="1" applyFill="1" applyBorder="1"/>
    <xf numFmtId="180" fontId="163" fillId="16" borderId="334" xfId="88" applyNumberFormat="1" applyFont="1" applyFill="1" applyBorder="1" applyAlignment="1">
      <alignment horizontal="left"/>
    </xf>
    <xf numFmtId="180" fontId="163" fillId="16" borderId="334" xfId="88" applyNumberFormat="1" applyFont="1" applyFill="1" applyBorder="1" applyAlignment="1">
      <alignment horizontal="center"/>
    </xf>
    <xf numFmtId="180" fontId="164" fillId="16" borderId="335" xfId="88" applyNumberFormat="1" applyFont="1" applyFill="1" applyBorder="1" applyAlignment="1">
      <alignment horizontal="center"/>
    </xf>
    <xf numFmtId="43" fontId="0" fillId="51" borderId="336" xfId="89" applyFont="1" applyFill="1" applyBorder="1" applyAlignment="1"/>
    <xf numFmtId="43" fontId="0" fillId="51" borderId="337" xfId="89" applyFont="1" applyFill="1" applyBorder="1" applyAlignment="1"/>
    <xf numFmtId="0" fontId="11" fillId="0" borderId="338" xfId="88" applyBorder="1"/>
    <xf numFmtId="0" fontId="11" fillId="0" borderId="238" xfId="88" applyBorder="1"/>
    <xf numFmtId="180" fontId="11" fillId="0" borderId="238" xfId="88" applyNumberFormat="1" applyBorder="1" applyAlignment="1">
      <alignment horizontal="left"/>
    </xf>
    <xf numFmtId="180" fontId="11" fillId="0" borderId="238" xfId="88" applyNumberFormat="1" applyBorder="1" applyAlignment="1">
      <alignment horizontal="center"/>
    </xf>
    <xf numFmtId="180" fontId="128" fillId="0" borderId="238" xfId="88" applyNumberFormat="1" applyFont="1" applyBorder="1" applyAlignment="1">
      <alignment horizontal="center"/>
    </xf>
    <xf numFmtId="43" fontId="0" fillId="0" borderId="238" xfId="89" applyFont="1" applyBorder="1" applyAlignment="1"/>
    <xf numFmtId="43" fontId="0" fillId="0" borderId="339" xfId="89" applyFont="1" applyBorder="1" applyAlignment="1"/>
    <xf numFmtId="43" fontId="0" fillId="0" borderId="340" xfId="89" applyFont="1" applyBorder="1" applyAlignment="1"/>
    <xf numFmtId="0" fontId="163" fillId="16" borderId="338" xfId="88" applyFont="1" applyFill="1" applyBorder="1"/>
    <xf numFmtId="0" fontId="163" fillId="16" borderId="238" xfId="88" applyFont="1" applyFill="1" applyBorder="1"/>
    <xf numFmtId="0" fontId="157" fillId="16" borderId="238" xfId="88" applyFont="1" applyFill="1" applyBorder="1" applyAlignment="1">
      <alignment vertical="center"/>
    </xf>
    <xf numFmtId="0" fontId="157" fillId="16" borderId="238" xfId="88" applyFont="1" applyFill="1" applyBorder="1"/>
    <xf numFmtId="180" fontId="163" fillId="16" borderId="238" xfId="88" applyNumberFormat="1" applyFont="1" applyFill="1" applyBorder="1" applyAlignment="1">
      <alignment horizontal="left"/>
    </xf>
    <xf numFmtId="180" fontId="163" fillId="16" borderId="238" xfId="88" applyNumberFormat="1" applyFont="1" applyFill="1" applyBorder="1" applyAlignment="1">
      <alignment horizontal="center"/>
    </xf>
    <xf numFmtId="180" fontId="164" fillId="16" borderId="341" xfId="88" applyNumberFormat="1" applyFont="1" applyFill="1" applyBorder="1" applyAlignment="1">
      <alignment horizontal="center"/>
    </xf>
    <xf numFmtId="43" fontId="0" fillId="51" borderId="231" xfId="89" applyFont="1" applyFill="1" applyBorder="1" applyAlignment="1"/>
    <xf numFmtId="43" fontId="0" fillId="51" borderId="340" xfId="89" applyFont="1" applyFill="1" applyBorder="1" applyAlignment="1"/>
    <xf numFmtId="0" fontId="11" fillId="0" borderId="333" xfId="88" applyBorder="1"/>
    <xf numFmtId="0" fontId="11" fillId="0" borderId="334" xfId="88" applyBorder="1"/>
    <xf numFmtId="180" fontId="11" fillId="0" borderId="334" xfId="88" applyNumberFormat="1" applyBorder="1" applyAlignment="1">
      <alignment horizontal="left"/>
    </xf>
    <xf numFmtId="180" fontId="11" fillId="0" borderId="334" xfId="88" applyNumberFormat="1" applyBorder="1" applyAlignment="1">
      <alignment horizontal="center"/>
    </xf>
    <xf numFmtId="180" fontId="128" fillId="0" borderId="334" xfId="88" applyNumberFormat="1" applyFont="1" applyBorder="1" applyAlignment="1">
      <alignment horizontal="center"/>
    </xf>
    <xf numFmtId="43" fontId="0" fillId="0" borderId="334" xfId="89" applyFont="1" applyBorder="1" applyAlignment="1"/>
    <xf numFmtId="43" fontId="0" fillId="0" borderId="342" xfId="89" applyFont="1" applyBorder="1" applyAlignment="1"/>
    <xf numFmtId="43" fontId="0" fillId="0" borderId="337" xfId="89" applyFont="1" applyBorder="1" applyAlignment="1"/>
    <xf numFmtId="0" fontId="11" fillId="0" borderId="152" xfId="88" applyBorder="1"/>
    <xf numFmtId="0" fontId="11" fillId="0" borderId="106" xfId="88" applyBorder="1"/>
    <xf numFmtId="180" fontId="11" fillId="0" borderId="106" xfId="88" applyNumberFormat="1" applyBorder="1" applyAlignment="1">
      <alignment horizontal="left"/>
    </xf>
    <xf numFmtId="180" fontId="11" fillId="0" borderId="106" xfId="88" applyNumberFormat="1" applyBorder="1" applyAlignment="1">
      <alignment horizontal="center"/>
    </xf>
    <xf numFmtId="180" fontId="128" fillId="0" borderId="106" xfId="88" applyNumberFormat="1" applyFont="1" applyBorder="1" applyAlignment="1">
      <alignment horizontal="center"/>
    </xf>
    <xf numFmtId="43" fontId="0" fillId="0" borderId="106" xfId="89" applyFont="1" applyBorder="1" applyAlignment="1"/>
    <xf numFmtId="43" fontId="0" fillId="0" borderId="230" xfId="89" applyFont="1" applyBorder="1" applyAlignment="1"/>
    <xf numFmtId="43" fontId="0" fillId="0" borderId="153" xfId="89" applyFont="1" applyBorder="1" applyAlignment="1"/>
    <xf numFmtId="43" fontId="0" fillId="0" borderId="106" xfId="89" applyFont="1" applyFill="1" applyBorder="1" applyAlignment="1"/>
    <xf numFmtId="43" fontId="0" fillId="51" borderId="228" xfId="89" applyFont="1" applyFill="1" applyBorder="1" applyAlignment="1"/>
    <xf numFmtId="43" fontId="0" fillId="51" borderId="225" xfId="89" applyFont="1" applyFill="1" applyBorder="1" applyAlignment="1"/>
    <xf numFmtId="43" fontId="0" fillId="51" borderId="226" xfId="89" applyFont="1" applyFill="1" applyBorder="1" applyAlignment="1"/>
    <xf numFmtId="43" fontId="0" fillId="51" borderId="343" xfId="89" applyFont="1" applyFill="1" applyBorder="1" applyAlignment="1"/>
    <xf numFmtId="0" fontId="11" fillId="0" borderId="201" xfId="88" applyBorder="1"/>
    <xf numFmtId="0" fontId="11" fillId="0" borderId="202" xfId="88" applyBorder="1"/>
    <xf numFmtId="180" fontId="11" fillId="0" borderId="202" xfId="88" applyNumberFormat="1" applyBorder="1" applyAlignment="1">
      <alignment horizontal="left"/>
    </xf>
    <xf numFmtId="180" fontId="11" fillId="0" borderId="202" xfId="88" applyNumberFormat="1" applyBorder="1" applyAlignment="1">
      <alignment horizontal="center"/>
    </xf>
    <xf numFmtId="180" fontId="128" fillId="0" borderId="202" xfId="88" applyNumberFormat="1" applyFont="1" applyBorder="1" applyAlignment="1">
      <alignment horizontal="center"/>
    </xf>
    <xf numFmtId="43" fontId="0" fillId="0" borderId="202" xfId="89" applyFont="1" applyBorder="1" applyAlignment="1"/>
    <xf numFmtId="43" fontId="0" fillId="0" borderId="344" xfId="89" applyFont="1" applyBorder="1" applyAlignment="1"/>
    <xf numFmtId="43" fontId="0" fillId="0" borderId="203" xfId="89" applyFont="1" applyBorder="1" applyAlignment="1"/>
    <xf numFmtId="43" fontId="0" fillId="0" borderId="108" xfId="89" applyFont="1" applyBorder="1" applyAlignment="1"/>
    <xf numFmtId="43" fontId="0" fillId="0" borderId="108" xfId="89" applyFont="1" applyFill="1" applyBorder="1" applyAlignment="1"/>
    <xf numFmtId="43" fontId="0" fillId="0" borderId="345" xfId="89" applyFont="1" applyBorder="1" applyAlignment="1"/>
    <xf numFmtId="43" fontId="0" fillId="0" borderId="155" xfId="89" applyFont="1" applyBorder="1" applyAlignment="1"/>
    <xf numFmtId="43" fontId="0" fillId="0" borderId="205" xfId="89" applyFont="1" applyFill="1" applyBorder="1" applyAlignment="1"/>
    <xf numFmtId="43" fontId="63" fillId="0" borderId="106" xfId="89" applyFont="1" applyBorder="1" applyAlignment="1"/>
    <xf numFmtId="43" fontId="0" fillId="0" borderId="328" xfId="89" applyFont="1" applyBorder="1" applyAlignment="1"/>
    <xf numFmtId="0" fontId="11" fillId="0" borderId="160" xfId="88" applyBorder="1"/>
    <xf numFmtId="0" fontId="11" fillId="0" borderId="161" xfId="88" applyBorder="1"/>
    <xf numFmtId="180" fontId="11" fillId="0" borderId="161" xfId="88" applyNumberFormat="1" applyBorder="1" applyAlignment="1">
      <alignment horizontal="left"/>
    </xf>
    <xf numFmtId="180" fontId="11" fillId="0" borderId="161" xfId="88" applyNumberFormat="1" applyBorder="1" applyAlignment="1">
      <alignment horizontal="center"/>
    </xf>
    <xf numFmtId="180" fontId="128" fillId="0" borderId="161" xfId="88" applyNumberFormat="1" applyFont="1" applyBorder="1" applyAlignment="1">
      <alignment horizontal="center"/>
    </xf>
    <xf numFmtId="0" fontId="163" fillId="16" borderId="346" xfId="88" applyFont="1" applyFill="1" applyBorder="1"/>
    <xf numFmtId="0" fontId="163" fillId="16" borderId="347" xfId="88" applyFont="1" applyFill="1" applyBorder="1"/>
    <xf numFmtId="0" fontId="157" fillId="16" borderId="347" xfId="88" applyFont="1" applyFill="1" applyBorder="1" applyAlignment="1">
      <alignment vertical="center"/>
    </xf>
    <xf numFmtId="0" fontId="157" fillId="16" borderId="347" xfId="88" applyFont="1" applyFill="1" applyBorder="1"/>
    <xf numFmtId="180" fontId="163" fillId="16" borderId="347" xfId="88" applyNumberFormat="1" applyFont="1" applyFill="1" applyBorder="1" applyAlignment="1">
      <alignment horizontal="left"/>
    </xf>
    <xf numFmtId="180" fontId="163" fillId="16" borderId="347" xfId="88" applyNumberFormat="1" applyFont="1" applyFill="1" applyBorder="1" applyAlignment="1">
      <alignment horizontal="center"/>
    </xf>
    <xf numFmtId="180" fontId="164" fillId="16" borderId="348" xfId="88" applyNumberFormat="1" applyFont="1" applyFill="1" applyBorder="1" applyAlignment="1">
      <alignment horizontal="center"/>
    </xf>
    <xf numFmtId="43" fontId="0" fillId="51" borderId="349" xfId="89" applyFont="1" applyFill="1" applyBorder="1" applyAlignment="1"/>
    <xf numFmtId="43" fontId="0" fillId="51" borderId="350" xfId="89" applyFont="1" applyFill="1" applyBorder="1" applyAlignment="1"/>
    <xf numFmtId="0" fontId="11" fillId="0" borderId="72" xfId="88" applyAlignment="1">
      <alignment horizontal="left"/>
    </xf>
    <xf numFmtId="0" fontId="11" fillId="0" borderId="72" xfId="88" applyAlignment="1">
      <alignment horizontal="center"/>
    </xf>
    <xf numFmtId="43" fontId="0" fillId="0" borderId="72" xfId="89" applyFont="1" applyAlignment="1"/>
    <xf numFmtId="4" fontId="71" fillId="39" borderId="205" xfId="14" quotePrefix="1" applyNumberFormat="1" applyFont="1" applyFill="1" applyBorder="1" applyAlignment="1">
      <alignment vertical="center" wrapText="1"/>
    </xf>
    <xf numFmtId="0" fontId="71" fillId="39" borderId="205" xfId="14" quotePrefix="1" applyFont="1" applyFill="1" applyBorder="1" applyAlignment="1">
      <alignment vertical="center" wrapText="1"/>
    </xf>
    <xf numFmtId="0" fontId="71" fillId="39" borderId="205" xfId="14" applyFont="1" applyFill="1" applyBorder="1" applyAlignment="1">
      <alignment vertical="center"/>
    </xf>
    <xf numFmtId="4" fontId="71" fillId="39" borderId="205" xfId="26" applyNumberFormat="1" applyFont="1" applyFill="1" applyBorder="1" applyAlignment="1">
      <alignment horizontal="center" vertical="center" wrapText="1"/>
    </xf>
    <xf numFmtId="3" fontId="71" fillId="39" borderId="205" xfId="26" applyNumberFormat="1" applyFont="1" applyFill="1" applyBorder="1" applyAlignment="1">
      <alignment horizontal="center" vertical="center" wrapText="1"/>
    </xf>
    <xf numFmtId="4" fontId="71" fillId="38" borderId="205" xfId="26" applyNumberFormat="1" applyFont="1" applyFill="1" applyBorder="1" applyAlignment="1">
      <alignment vertical="center" wrapText="1"/>
    </xf>
    <xf numFmtId="4" fontId="71" fillId="38" borderId="332" xfId="26" applyNumberFormat="1" applyFont="1" applyFill="1" applyBorder="1" applyAlignment="1">
      <alignment vertical="center" wrapText="1"/>
    </xf>
    <xf numFmtId="4" fontId="134" fillId="0" borderId="332" xfId="26" applyNumberFormat="1" applyFont="1" applyFill="1" applyBorder="1" applyAlignment="1">
      <alignment vertical="center" wrapText="1"/>
    </xf>
    <xf numFmtId="43" fontId="69" fillId="0" borderId="45" xfId="90" applyFont="1" applyBorder="1" applyAlignment="1">
      <alignment vertical="center"/>
    </xf>
    <xf numFmtId="43" fontId="131" fillId="0" borderId="45" xfId="90" applyFont="1" applyBorder="1" applyAlignment="1">
      <alignment vertical="center"/>
    </xf>
    <xf numFmtId="174" fontId="69" fillId="0" borderId="325" xfId="15" quotePrefix="1" applyNumberFormat="1" applyFont="1" applyFill="1" applyBorder="1" applyAlignment="1">
      <alignment vertical="center"/>
    </xf>
    <xf numFmtId="43" fontId="72" fillId="0" borderId="325" xfId="90" quotePrefix="1" applyFont="1" applyFill="1" applyBorder="1" applyAlignment="1">
      <alignment horizontal="left" vertical="center"/>
    </xf>
    <xf numFmtId="43" fontId="69" fillId="0" borderId="45" xfId="90" applyFont="1" applyBorder="1" applyAlignment="1">
      <alignment horizontal="left" vertical="center"/>
    </xf>
    <xf numFmtId="0" fontId="31" fillId="39" borderId="72" xfId="14" applyFont="1" applyFill="1" applyAlignment="1">
      <alignment vertical="center"/>
    </xf>
    <xf numFmtId="43" fontId="68" fillId="39" borderId="72" xfId="90" applyFont="1" applyFill="1" applyAlignment="1">
      <alignment vertical="center"/>
    </xf>
    <xf numFmtId="43" fontId="126" fillId="16" borderId="259" xfId="90" applyFont="1" applyFill="1" applyBorder="1" applyAlignment="1">
      <alignment horizontal="center" vertical="center"/>
    </xf>
    <xf numFmtId="43" fontId="126" fillId="16" borderId="120" xfId="90" applyFont="1" applyFill="1" applyBorder="1" applyAlignment="1">
      <alignment horizontal="center" vertical="center"/>
    </xf>
    <xf numFmtId="43" fontId="126" fillId="16" borderId="87" xfId="90" applyFont="1" applyFill="1" applyBorder="1" applyAlignment="1">
      <alignment horizontal="center" vertical="center"/>
    </xf>
    <xf numFmtId="43" fontId="126" fillId="16" borderId="120" xfId="90" applyFont="1" applyFill="1" applyBorder="1" applyAlignment="1">
      <alignment horizontal="center" vertical="center" wrapText="1"/>
    </xf>
    <xf numFmtId="43" fontId="126" fillId="16" borderId="87" xfId="90" applyFont="1" applyFill="1" applyBorder="1" applyAlignment="1">
      <alignment horizontal="center" vertical="center" wrapText="1"/>
    </xf>
    <xf numFmtId="0" fontId="79" fillId="16" borderId="259" xfId="14" applyFont="1" applyFill="1" applyBorder="1" applyAlignment="1">
      <alignment vertical="center" wrapText="1"/>
    </xf>
    <xf numFmtId="43" fontId="126" fillId="16" borderId="93" xfId="90" applyFont="1" applyFill="1" applyBorder="1" applyAlignment="1">
      <alignment horizontal="center" vertical="center"/>
    </xf>
    <xf numFmtId="43" fontId="124" fillId="15" borderId="223" xfId="90" applyFont="1" applyFill="1" applyBorder="1" applyAlignment="1">
      <alignment vertical="center"/>
    </xf>
    <xf numFmtId="3" fontId="69" fillId="0" borderId="226" xfId="26" applyNumberFormat="1" applyFont="1" applyFill="1" applyBorder="1" applyAlignment="1">
      <alignment vertical="center" wrapText="1"/>
    </xf>
    <xf numFmtId="43" fontId="69" fillId="37" borderId="226" xfId="90" applyFont="1" applyFill="1" applyBorder="1" applyAlignment="1">
      <alignment vertical="center" wrapText="1"/>
    </xf>
    <xf numFmtId="43" fontId="69" fillId="0" borderId="227" xfId="90" applyFont="1" applyFill="1" applyBorder="1" applyAlignment="1">
      <alignment horizontal="center" vertical="center" wrapText="1"/>
    </xf>
    <xf numFmtId="43" fontId="69" fillId="0" borderId="225" xfId="90" applyFont="1" applyFill="1" applyBorder="1" applyAlignment="1">
      <alignment vertical="center" wrapText="1"/>
    </xf>
    <xf numFmtId="43" fontId="69" fillId="37" borderId="228" xfId="90" applyFont="1" applyFill="1" applyBorder="1" applyAlignment="1">
      <alignment vertical="center" wrapText="1"/>
    </xf>
    <xf numFmtId="43" fontId="69" fillId="0" borderId="106" xfId="90" applyFont="1" applyFill="1" applyBorder="1" applyAlignment="1">
      <alignment vertical="center" wrapText="1"/>
    </xf>
    <xf numFmtId="43" fontId="69" fillId="37" borderId="72" xfId="90" applyFont="1" applyFill="1" applyBorder="1" applyAlignment="1">
      <alignment vertical="center" wrapText="1"/>
    </xf>
    <xf numFmtId="180" fontId="153" fillId="0" borderId="186" xfId="91" applyNumberFormat="1" applyFont="1" applyBorder="1" applyAlignment="1">
      <alignment horizontal="center"/>
    </xf>
    <xf numFmtId="17" fontId="69" fillId="0" borderId="230" xfId="14" applyNumberFormat="1" applyFont="1" applyBorder="1" applyAlignment="1">
      <alignment horizontal="left" vertical="center"/>
    </xf>
    <xf numFmtId="3" fontId="69" fillId="0" borderId="230" xfId="26" applyNumberFormat="1" applyFont="1" applyFill="1" applyBorder="1" applyAlignment="1">
      <alignment vertical="center" wrapText="1"/>
    </xf>
    <xf numFmtId="43" fontId="69" fillId="0" borderId="185" xfId="90" applyFont="1" applyFill="1" applyBorder="1" applyAlignment="1">
      <alignment horizontal="center" vertical="center" wrapText="1"/>
    </xf>
    <xf numFmtId="43" fontId="31" fillId="39" borderId="233" xfId="90" applyFont="1" applyFill="1" applyBorder="1" applyAlignment="1">
      <alignment vertical="center"/>
    </xf>
    <xf numFmtId="43" fontId="124" fillId="15" borderId="235" xfId="90" applyFont="1" applyFill="1" applyBorder="1" applyAlignment="1">
      <alignment vertical="center"/>
    </xf>
    <xf numFmtId="0" fontId="69" fillId="0" borderId="230" xfId="14" applyFont="1" applyBorder="1" applyAlignment="1">
      <alignment vertical="center"/>
    </xf>
    <xf numFmtId="43" fontId="69" fillId="0" borderId="185" xfId="90" applyFont="1" applyBorder="1" applyAlignment="1">
      <alignment horizontal="left" vertical="center"/>
    </xf>
    <xf numFmtId="43" fontId="69" fillId="0" borderId="230" xfId="90" applyFont="1" applyBorder="1" applyAlignment="1">
      <alignment horizontal="center" vertical="center"/>
    </xf>
    <xf numFmtId="43" fontId="69" fillId="0" borderId="230" xfId="90" applyFont="1" applyBorder="1" applyAlignment="1">
      <alignment horizontal="left" vertical="center"/>
    </xf>
    <xf numFmtId="3" fontId="69" fillId="40" borderId="224" xfId="26" applyNumberFormat="1" applyFont="1" applyFill="1" applyBorder="1" applyAlignment="1">
      <alignment vertical="center" wrapText="1"/>
    </xf>
    <xf numFmtId="43" fontId="31" fillId="37" borderId="72" xfId="90" applyFont="1" applyFill="1" applyAlignment="1">
      <alignment vertical="center"/>
    </xf>
    <xf numFmtId="43" fontId="69" fillId="40" borderId="189" xfId="90" applyFont="1" applyFill="1" applyBorder="1" applyAlignment="1">
      <alignment horizontal="center" vertical="center" wrapText="1"/>
    </xf>
    <xf numFmtId="43" fontId="69" fillId="39" borderId="107" xfId="90" applyFont="1" applyFill="1" applyBorder="1" applyAlignment="1">
      <alignment vertical="center" wrapText="1"/>
    </xf>
    <xf numFmtId="43" fontId="69" fillId="0" borderId="107" xfId="90" applyFont="1" applyFill="1" applyBorder="1" applyAlignment="1">
      <alignment vertical="center" wrapText="1"/>
    </xf>
    <xf numFmtId="43" fontId="69" fillId="39" borderId="107" xfId="90" applyFont="1" applyFill="1" applyBorder="1" applyAlignment="1">
      <alignment horizontal="center" vertical="center"/>
    </xf>
    <xf numFmtId="43" fontId="69" fillId="40" borderId="236" xfId="90" applyFont="1" applyFill="1" applyBorder="1" applyAlignment="1">
      <alignment horizontal="center" vertical="center" wrapText="1"/>
    </xf>
    <xf numFmtId="17" fontId="69" fillId="39" borderId="339" xfId="14" quotePrefix="1" applyNumberFormat="1" applyFont="1" applyFill="1" applyBorder="1" applyAlignment="1">
      <alignment horizontal="left" vertical="center"/>
    </xf>
    <xf numFmtId="3" fontId="69" fillId="40" borderId="224" xfId="26" applyNumberFormat="1" applyFont="1" applyFill="1" applyBorder="1" applyAlignment="1">
      <alignment vertical="center"/>
    </xf>
    <xf numFmtId="43" fontId="31" fillId="0" borderId="190" xfId="90" applyFont="1" applyFill="1" applyBorder="1" applyAlignment="1">
      <alignment vertical="center"/>
    </xf>
    <xf numFmtId="43" fontId="68" fillId="39" borderId="233" xfId="90" applyFont="1" applyFill="1" applyBorder="1" applyAlignment="1">
      <alignment vertical="center"/>
    </xf>
    <xf numFmtId="43" fontId="68" fillId="0" borderId="72" xfId="90" applyFont="1" applyAlignment="1">
      <alignment vertical="center"/>
    </xf>
    <xf numFmtId="4" fontId="68" fillId="0" borderId="72" xfId="14" applyNumberFormat="1" applyFont="1" applyAlignment="1">
      <alignment vertical="center"/>
    </xf>
    <xf numFmtId="0" fontId="141" fillId="52" borderId="157" xfId="92" applyFont="1" applyFill="1" applyBorder="1" applyAlignment="1">
      <alignment vertical="center"/>
    </xf>
    <xf numFmtId="0" fontId="167" fillId="52" borderId="157" xfId="92" applyFont="1" applyFill="1" applyBorder="1" applyAlignment="1">
      <alignment horizontal="center" vertical="center"/>
    </xf>
    <xf numFmtId="0" fontId="162" fillId="0" borderId="72" xfId="92"/>
    <xf numFmtId="0" fontId="126" fillId="16" borderId="351" xfId="14" applyFont="1" applyFill="1" applyBorder="1" applyAlignment="1">
      <alignment horizontal="center" vertical="center"/>
    </xf>
    <xf numFmtId="0" fontId="126" fillId="16" borderId="352" xfId="14" applyFont="1" applyFill="1" applyBorder="1" applyAlignment="1">
      <alignment horizontal="center" vertical="center"/>
    </xf>
    <xf numFmtId="0" fontId="126" fillId="16" borderId="352" xfId="14" applyFont="1" applyFill="1" applyBorder="1" applyAlignment="1">
      <alignment horizontal="center" vertical="center" wrapText="1"/>
    </xf>
    <xf numFmtId="0" fontId="126" fillId="45" borderId="352" xfId="14" applyFont="1" applyFill="1" applyBorder="1" applyAlignment="1">
      <alignment horizontal="center" vertical="center" wrapText="1"/>
    </xf>
    <xf numFmtId="0" fontId="126" fillId="16" borderId="105" xfId="14" applyFont="1" applyFill="1" applyBorder="1" applyAlignment="1">
      <alignment horizontal="center" vertical="center" wrapText="1"/>
    </xf>
    <xf numFmtId="0" fontId="11" fillId="0" borderId="152" xfId="88" applyBorder="1" applyAlignment="1">
      <alignment horizontal="center"/>
    </xf>
    <xf numFmtId="0" fontId="11" fillId="0" borderId="106" xfId="88" applyBorder="1" applyAlignment="1">
      <alignment horizontal="center"/>
    </xf>
    <xf numFmtId="2" fontId="0" fillId="0" borderId="106" xfId="89" applyNumberFormat="1" applyFont="1" applyBorder="1" applyAlignment="1">
      <alignment horizontal="center"/>
    </xf>
    <xf numFmtId="2" fontId="0" fillId="53" borderId="106" xfId="89" applyNumberFormat="1" applyFont="1" applyFill="1" applyBorder="1" applyAlignment="1">
      <alignment horizontal="center"/>
    </xf>
    <xf numFmtId="2" fontId="0" fillId="0" borderId="153" xfId="89" applyNumberFormat="1" applyFont="1" applyBorder="1" applyAlignment="1">
      <alignment horizontal="center"/>
    </xf>
    <xf numFmtId="2" fontId="63" fillId="0" borderId="106" xfId="89" applyNumberFormat="1" applyFont="1" applyBorder="1" applyAlignment="1">
      <alignment horizontal="center"/>
    </xf>
    <xf numFmtId="2" fontId="0" fillId="0" borderId="108" xfId="89" applyNumberFormat="1" applyFont="1" applyBorder="1" applyAlignment="1">
      <alignment horizontal="center"/>
    </xf>
    <xf numFmtId="2" fontId="0" fillId="0" borderId="155" xfId="89" applyNumberFormat="1" applyFont="1" applyBorder="1" applyAlignment="1">
      <alignment horizontal="center"/>
    </xf>
    <xf numFmtId="0" fontId="163" fillId="54" borderId="152" xfId="88" applyFont="1" applyFill="1" applyBorder="1" applyAlignment="1">
      <alignment horizontal="center"/>
    </xf>
    <xf numFmtId="0" fontId="163" fillId="54" borderId="106" xfId="88" applyFont="1" applyFill="1" applyBorder="1" applyAlignment="1">
      <alignment horizontal="center"/>
    </xf>
    <xf numFmtId="180" fontId="163" fillId="54" borderId="106" xfId="88" applyNumberFormat="1" applyFont="1" applyFill="1" applyBorder="1" applyAlignment="1">
      <alignment horizontal="center"/>
    </xf>
    <xf numFmtId="2" fontId="125" fillId="54" borderId="106" xfId="89" applyNumberFormat="1" applyFont="1" applyFill="1" applyBorder="1" applyAlignment="1">
      <alignment horizontal="center"/>
    </xf>
    <xf numFmtId="2" fontId="125" fillId="54" borderId="153" xfId="89" applyNumberFormat="1" applyFont="1" applyFill="1" applyBorder="1" applyAlignment="1">
      <alignment horizontal="center"/>
    </xf>
    <xf numFmtId="0" fontId="163" fillId="55" borderId="330" xfId="88" applyFont="1" applyFill="1" applyBorder="1" applyAlignment="1">
      <alignment horizontal="center"/>
    </xf>
    <xf numFmtId="0" fontId="163" fillId="55" borderId="107" xfId="88" applyFont="1" applyFill="1" applyBorder="1" applyAlignment="1">
      <alignment horizontal="center"/>
    </xf>
    <xf numFmtId="180" fontId="163" fillId="55" borderId="107" xfId="88" applyNumberFormat="1" applyFont="1" applyFill="1" applyBorder="1" applyAlignment="1">
      <alignment horizontal="center"/>
    </xf>
    <xf numFmtId="2" fontId="125" fillId="55" borderId="107" xfId="89" applyNumberFormat="1" applyFont="1" applyFill="1" applyBorder="1" applyAlignment="1">
      <alignment horizontal="center"/>
    </xf>
    <xf numFmtId="2" fontId="125" fillId="55" borderId="331" xfId="89" applyNumberFormat="1" applyFont="1" applyFill="1" applyBorder="1" applyAlignment="1">
      <alignment horizontal="center"/>
    </xf>
    <xf numFmtId="0" fontId="162" fillId="0" borderId="72" xfId="92" applyAlignment="1">
      <alignment horizontal="center"/>
    </xf>
    <xf numFmtId="0" fontId="87" fillId="4" borderId="8" xfId="73" applyFont="1" applyFill="1" applyBorder="1" applyAlignment="1">
      <alignment horizontal="left"/>
    </xf>
    <xf numFmtId="0" fontId="31" fillId="0" borderId="69" xfId="73" applyFont="1" applyBorder="1"/>
    <xf numFmtId="0" fontId="86" fillId="4" borderId="72" xfId="73" applyFont="1" applyFill="1"/>
    <xf numFmtId="0" fontId="63" fillId="0" borderId="72" xfId="73"/>
    <xf numFmtId="0" fontId="87" fillId="4" borderId="11" xfId="73" applyFont="1" applyFill="1" applyBorder="1" applyAlignment="1">
      <alignment horizontal="left"/>
    </xf>
    <xf numFmtId="0" fontId="31" fillId="0" borderId="59" xfId="73" applyFont="1" applyBorder="1"/>
    <xf numFmtId="167" fontId="88" fillId="13" borderId="53" xfId="73" applyNumberFormat="1" applyFont="1" applyFill="1" applyBorder="1" applyAlignment="1">
      <alignment horizontal="center" vertical="center"/>
    </xf>
    <xf numFmtId="167" fontId="88" fillId="13" borderId="32" xfId="73" applyNumberFormat="1" applyFont="1" applyFill="1" applyBorder="1" applyAlignment="1">
      <alignment horizontal="center" vertical="center"/>
    </xf>
    <xf numFmtId="167" fontId="88" fillId="13" borderId="4" xfId="73" applyNumberFormat="1" applyFont="1" applyFill="1" applyBorder="1" applyAlignment="1">
      <alignment horizontal="center" vertical="center"/>
    </xf>
    <xf numFmtId="9" fontId="88" fillId="13" borderId="4" xfId="73" applyNumberFormat="1" applyFont="1" applyFill="1" applyBorder="1" applyAlignment="1">
      <alignment horizontal="center" vertical="center"/>
    </xf>
    <xf numFmtId="0" fontId="86" fillId="4" borderId="4" xfId="73" applyFont="1" applyFill="1" applyBorder="1" applyAlignment="1">
      <alignment horizontal="center"/>
    </xf>
    <xf numFmtId="167" fontId="86" fillId="4" borderId="4" xfId="73" applyNumberFormat="1" applyFont="1" applyFill="1" applyBorder="1"/>
    <xf numFmtId="164" fontId="86" fillId="4" borderId="4" xfId="73" applyNumberFormat="1" applyFont="1" applyFill="1" applyBorder="1"/>
    <xf numFmtId="164" fontId="86" fillId="5" borderId="4" xfId="73" applyNumberFormat="1" applyFont="1" applyFill="1" applyBorder="1"/>
    <xf numFmtId="175" fontId="86" fillId="4" borderId="4" xfId="73" applyNumberFormat="1" applyFont="1" applyFill="1" applyBorder="1"/>
    <xf numFmtId="164" fontId="86" fillId="6" borderId="4" xfId="73" applyNumberFormat="1" applyFont="1" applyFill="1" applyBorder="1"/>
    <xf numFmtId="164" fontId="86" fillId="56" borderId="4" xfId="73" applyNumberFormat="1" applyFont="1" applyFill="1" applyBorder="1"/>
    <xf numFmtId="167" fontId="86" fillId="5" borderId="4" xfId="73" applyNumberFormat="1" applyFont="1" applyFill="1" applyBorder="1"/>
    <xf numFmtId="167" fontId="86" fillId="4" borderId="72" xfId="73" applyNumberFormat="1" applyFont="1" applyFill="1"/>
    <xf numFmtId="164" fontId="87" fillId="4" borderId="4" xfId="73" applyNumberFormat="1" applyFont="1" applyFill="1" applyBorder="1"/>
    <xf numFmtId="0" fontId="86" fillId="4" borderId="191" xfId="73" applyFont="1" applyFill="1" applyBorder="1"/>
    <xf numFmtId="0" fontId="86" fillId="4" borderId="193" xfId="73" applyFont="1" applyFill="1" applyBorder="1"/>
    <xf numFmtId="0" fontId="86" fillId="4" borderId="192" xfId="73" applyFont="1" applyFill="1" applyBorder="1"/>
    <xf numFmtId="0" fontId="86" fillId="4" borderId="189" xfId="73" applyFont="1" applyFill="1" applyBorder="1"/>
    <xf numFmtId="167" fontId="86" fillId="4" borderId="107" xfId="73" applyNumberFormat="1" applyFont="1" applyFill="1" applyBorder="1"/>
    <xf numFmtId="167" fontId="86" fillId="4" borderId="190" xfId="73" applyNumberFormat="1" applyFont="1" applyFill="1" applyBorder="1"/>
    <xf numFmtId="0" fontId="86" fillId="4" borderId="185" xfId="73" applyFont="1" applyFill="1" applyBorder="1"/>
    <xf numFmtId="167" fontId="86" fillId="4" borderId="106" xfId="73" applyNumberFormat="1" applyFont="1" applyFill="1" applyBorder="1"/>
    <xf numFmtId="167" fontId="86" fillId="4" borderId="186" xfId="73" applyNumberFormat="1" applyFont="1" applyFill="1" applyBorder="1"/>
    <xf numFmtId="14" fontId="86" fillId="4" borderId="72" xfId="73" applyNumberFormat="1" applyFont="1" applyFill="1"/>
    <xf numFmtId="167" fontId="87" fillId="30" borderId="4" xfId="73" applyNumberFormat="1" applyFont="1" applyFill="1" applyBorder="1"/>
    <xf numFmtId="0" fontId="86" fillId="4" borderId="187" xfId="73" applyFont="1" applyFill="1" applyBorder="1"/>
    <xf numFmtId="167" fontId="86" fillId="4" borderId="154" xfId="73" applyNumberFormat="1" applyFont="1" applyFill="1" applyBorder="1"/>
    <xf numFmtId="167" fontId="86" fillId="4" borderId="188" xfId="73" applyNumberFormat="1" applyFont="1" applyFill="1" applyBorder="1"/>
    <xf numFmtId="0" fontId="10" fillId="0" borderId="72" xfId="94"/>
    <xf numFmtId="0" fontId="33" fillId="0" borderId="72" xfId="94" applyFont="1"/>
    <xf numFmtId="0" fontId="100" fillId="12" borderId="8" xfId="94" applyFont="1" applyFill="1" applyBorder="1" applyAlignment="1">
      <alignment vertical="center" wrapText="1"/>
    </xf>
    <xf numFmtId="170" fontId="58" fillId="4" borderId="57" xfId="94" applyNumberFormat="1" applyFont="1" applyFill="1" applyBorder="1" applyAlignment="1">
      <alignment horizontal="left" vertical="center" wrapText="1"/>
    </xf>
    <xf numFmtId="0" fontId="58" fillId="4" borderId="69" xfId="94" applyFont="1" applyFill="1" applyBorder="1" applyAlignment="1">
      <alignment horizontal="center" vertical="center" wrapText="1"/>
    </xf>
    <xf numFmtId="167" fontId="58" fillId="4" borderId="69" xfId="94" applyNumberFormat="1" applyFont="1" applyFill="1" applyBorder="1" applyAlignment="1">
      <alignment horizontal="left" vertical="center" wrapText="1"/>
    </xf>
    <xf numFmtId="0" fontId="59" fillId="4" borderId="69" xfId="94" applyFont="1" applyFill="1" applyBorder="1" applyAlignment="1">
      <alignment horizontal="center" vertical="center" wrapText="1"/>
    </xf>
    <xf numFmtId="0" fontId="59" fillId="4" borderId="20" xfId="94" applyFont="1" applyFill="1" applyBorder="1" applyAlignment="1">
      <alignment horizontal="center" vertical="center" wrapText="1"/>
    </xf>
    <xf numFmtId="0" fontId="86" fillId="4" borderId="21" xfId="94" applyFont="1" applyFill="1" applyBorder="1"/>
    <xf numFmtId="0" fontId="100" fillId="12" borderId="11" xfId="94" applyFont="1" applyFill="1" applyBorder="1" applyAlignment="1">
      <alignment vertical="center" wrapText="1"/>
    </xf>
    <xf numFmtId="0" fontId="58" fillId="4" borderId="58" xfId="94" applyFont="1" applyFill="1" applyBorder="1" applyAlignment="1">
      <alignment horizontal="left" vertical="center" wrapText="1"/>
    </xf>
    <xf numFmtId="0" fontId="58" fillId="4" borderId="59" xfId="94" applyFont="1" applyFill="1" applyBorder="1" applyAlignment="1">
      <alignment horizontal="center" vertical="center" wrapText="1"/>
    </xf>
    <xf numFmtId="167" fontId="58" fillId="4" borderId="59" xfId="94" applyNumberFormat="1" applyFont="1" applyFill="1" applyBorder="1" applyAlignment="1">
      <alignment horizontal="left" vertical="center" wrapText="1"/>
    </xf>
    <xf numFmtId="0" fontId="59" fillId="4" borderId="59" xfId="94" applyFont="1" applyFill="1" applyBorder="1" applyAlignment="1">
      <alignment horizontal="center" vertical="center" wrapText="1"/>
    </xf>
    <xf numFmtId="0" fontId="59" fillId="4" borderId="70" xfId="94" applyFont="1" applyFill="1" applyBorder="1" applyAlignment="1">
      <alignment horizontal="center" vertical="center" wrapText="1"/>
    </xf>
    <xf numFmtId="0" fontId="86" fillId="4" borderId="61" xfId="94" applyFont="1" applyFill="1" applyBorder="1"/>
    <xf numFmtId="0" fontId="59" fillId="4" borderId="26" xfId="94" applyFont="1" applyFill="1" applyBorder="1" applyAlignment="1">
      <alignment horizontal="center" vertical="center" wrapText="1"/>
    </xf>
    <xf numFmtId="0" fontId="33" fillId="0" borderId="4" xfId="94" applyFont="1" applyBorder="1" applyAlignment="1">
      <alignment horizontal="center"/>
    </xf>
    <xf numFmtId="0" fontId="59" fillId="4" borderId="127" xfId="94" applyFont="1" applyFill="1" applyBorder="1"/>
    <xf numFmtId="0" fontId="102" fillId="4" borderId="7" xfId="94" applyFont="1" applyFill="1" applyBorder="1" applyAlignment="1">
      <alignment horizontal="center"/>
    </xf>
    <xf numFmtId="167" fontId="102" fillId="4" borderId="7" xfId="94" applyNumberFormat="1" applyFont="1" applyFill="1" applyBorder="1" applyAlignment="1">
      <alignment horizontal="center"/>
    </xf>
    <xf numFmtId="0" fontId="59" fillId="4" borderId="7" xfId="94" applyFont="1" applyFill="1" applyBorder="1" applyAlignment="1">
      <alignment horizontal="center"/>
    </xf>
    <xf numFmtId="0" fontId="102" fillId="4" borderId="128" xfId="94" applyFont="1" applyFill="1" applyBorder="1"/>
    <xf numFmtId="0" fontId="33" fillId="0" borderId="4" xfId="94" applyFont="1" applyBorder="1"/>
    <xf numFmtId="167" fontId="33" fillId="0" borderId="4" xfId="94" applyNumberFormat="1" applyFont="1" applyBorder="1"/>
    <xf numFmtId="0" fontId="59" fillId="4" borderId="70" xfId="94" applyFont="1" applyFill="1" applyBorder="1"/>
    <xf numFmtId="0" fontId="102" fillId="4" borderId="72" xfId="94" applyFont="1" applyFill="1" applyAlignment="1">
      <alignment horizontal="center"/>
    </xf>
    <xf numFmtId="167" fontId="102" fillId="4" borderId="72" xfId="94" applyNumberFormat="1" applyFont="1" applyFill="1" applyAlignment="1">
      <alignment horizontal="center"/>
    </xf>
    <xf numFmtId="0" fontId="59" fillId="4" borderId="72" xfId="94" applyFont="1" applyFill="1" applyAlignment="1">
      <alignment horizontal="center"/>
    </xf>
    <xf numFmtId="0" fontId="102" fillId="4" borderId="61" xfId="94" applyFont="1" applyFill="1" applyBorder="1"/>
    <xf numFmtId="0" fontId="103" fillId="3" borderId="8" xfId="94" applyFont="1" applyFill="1" applyBorder="1" applyAlignment="1">
      <alignment horizontal="center" vertical="center"/>
    </xf>
    <xf numFmtId="0" fontId="103" fillId="3" borderId="9" xfId="94" applyFont="1" applyFill="1" applyBorder="1" applyAlignment="1">
      <alignment horizontal="center" vertical="center" wrapText="1"/>
    </xf>
    <xf numFmtId="167" fontId="103" fillId="3" borderId="10" xfId="94" applyNumberFormat="1" applyFont="1" applyFill="1" applyBorder="1" applyAlignment="1">
      <alignment horizontal="center" vertical="center" wrapText="1"/>
    </xf>
    <xf numFmtId="0" fontId="59" fillId="4" borderId="23" xfId="94" applyFont="1" applyFill="1" applyBorder="1" applyAlignment="1">
      <alignment vertical="center" wrapText="1"/>
    </xf>
    <xf numFmtId="167" fontId="59" fillId="4" borderId="5" xfId="94" applyNumberFormat="1" applyFont="1" applyFill="1" applyBorder="1" applyAlignment="1">
      <alignment horizontal="center" vertical="center" wrapText="1"/>
    </xf>
    <xf numFmtId="167" fontId="59" fillId="4" borderId="67" xfId="94" applyNumberFormat="1" applyFont="1" applyFill="1" applyBorder="1" applyAlignment="1">
      <alignment vertical="center" wrapText="1"/>
    </xf>
    <xf numFmtId="0" fontId="103" fillId="22" borderId="13" xfId="94" applyFont="1" applyFill="1" applyBorder="1" applyAlignment="1">
      <alignment vertical="center" wrapText="1"/>
    </xf>
    <xf numFmtId="167" fontId="103" fillId="22" borderId="14" xfId="94" applyNumberFormat="1" applyFont="1" applyFill="1" applyBorder="1" applyAlignment="1">
      <alignment horizontal="center" vertical="center" wrapText="1"/>
    </xf>
    <xf numFmtId="167" fontId="103" fillId="22" borderId="15" xfId="94" applyNumberFormat="1" applyFont="1" applyFill="1" applyBorder="1" applyAlignment="1">
      <alignment vertical="center" wrapText="1"/>
    </xf>
    <xf numFmtId="0" fontId="104" fillId="4" borderId="7" xfId="94" applyFont="1" applyFill="1" applyBorder="1" applyAlignment="1">
      <alignment horizontal="left"/>
    </xf>
    <xf numFmtId="0" fontId="102" fillId="4" borderId="70" xfId="94" applyFont="1" applyFill="1" applyBorder="1"/>
    <xf numFmtId="0" fontId="103" fillId="3" borderId="62" xfId="94" applyFont="1" applyFill="1" applyBorder="1" applyAlignment="1">
      <alignment horizontal="center" vertical="center"/>
    </xf>
    <xf numFmtId="0" fontId="103" fillId="3" borderId="129" xfId="94" applyFont="1" applyFill="1" applyBorder="1" applyAlignment="1">
      <alignment horizontal="center" vertical="center" wrapText="1"/>
    </xf>
    <xf numFmtId="167" fontId="103" fillId="3" borderId="63" xfId="94" applyNumberFormat="1" applyFont="1" applyFill="1" applyBorder="1" applyAlignment="1">
      <alignment horizontal="center" vertical="center" wrapText="1"/>
    </xf>
    <xf numFmtId="0" fontId="105" fillId="4" borderId="95" xfId="94" applyFont="1" applyFill="1" applyBorder="1" applyAlignment="1">
      <alignment vertical="center" wrapText="1"/>
    </xf>
    <xf numFmtId="167" fontId="105" fillId="4" borderId="65" xfId="94" applyNumberFormat="1" applyFont="1" applyFill="1" applyBorder="1" applyAlignment="1">
      <alignment horizontal="center" vertical="center" wrapText="1"/>
    </xf>
    <xf numFmtId="167" fontId="105" fillId="0" borderId="66" xfId="94" applyNumberFormat="1" applyFont="1" applyBorder="1" applyAlignment="1">
      <alignment vertical="center" wrapText="1"/>
    </xf>
    <xf numFmtId="0" fontId="103" fillId="22" borderId="60" xfId="94" applyFont="1" applyFill="1" applyBorder="1" applyAlignment="1">
      <alignment vertical="center" wrapText="1"/>
    </xf>
    <xf numFmtId="167" fontId="103" fillId="22" borderId="37" xfId="94" applyNumberFormat="1" applyFont="1" applyFill="1" applyBorder="1" applyAlignment="1">
      <alignment horizontal="center" vertical="center" wrapText="1"/>
    </xf>
    <xf numFmtId="167" fontId="103" fillId="22" borderId="130" xfId="94" applyNumberFormat="1" applyFont="1" applyFill="1" applyBorder="1" applyAlignment="1">
      <alignment vertical="center" wrapText="1"/>
    </xf>
    <xf numFmtId="0" fontId="59" fillId="4" borderId="7" xfId="94" applyFont="1" applyFill="1" applyBorder="1" applyAlignment="1">
      <alignment horizontal="left"/>
    </xf>
    <xf numFmtId="0" fontId="102" fillId="4" borderId="128" xfId="94" applyFont="1" applyFill="1" applyBorder="1" applyAlignment="1">
      <alignment horizontal="left"/>
    </xf>
    <xf numFmtId="0" fontId="40" fillId="4" borderId="95" xfId="94" applyFont="1" applyFill="1" applyBorder="1" applyAlignment="1">
      <alignment vertical="center" wrapText="1"/>
    </xf>
    <xf numFmtId="167" fontId="40" fillId="4" borderId="65" xfId="94" applyNumberFormat="1" applyFont="1" applyFill="1" applyBorder="1" applyAlignment="1">
      <alignment horizontal="center" vertical="center" wrapText="1"/>
    </xf>
    <xf numFmtId="167" fontId="40" fillId="4" borderId="66" xfId="94" applyNumberFormat="1" applyFont="1" applyFill="1" applyBorder="1" applyAlignment="1">
      <alignment vertical="center" wrapText="1"/>
    </xf>
    <xf numFmtId="0" fontId="40" fillId="4" borderId="96" xfId="94" applyFont="1" applyFill="1" applyBorder="1" applyAlignment="1">
      <alignment vertical="center" wrapText="1"/>
    </xf>
    <xf numFmtId="167" fontId="40" fillId="4" borderId="97" xfId="94" applyNumberFormat="1" applyFont="1" applyFill="1" applyBorder="1" applyAlignment="1">
      <alignment horizontal="center" vertical="center" wrapText="1"/>
    </xf>
    <xf numFmtId="167" fontId="48" fillId="4" borderId="98" xfId="94" applyNumberFormat="1" applyFont="1" applyFill="1" applyBorder="1" applyAlignment="1">
      <alignment vertical="center" wrapText="1"/>
    </xf>
    <xf numFmtId="0" fontId="35" fillId="22" borderId="11" xfId="94" applyFont="1" applyFill="1" applyBorder="1" applyAlignment="1">
      <alignment vertical="center" wrapText="1"/>
    </xf>
    <xf numFmtId="167" fontId="35" fillId="22" borderId="4" xfId="94" applyNumberFormat="1" applyFont="1" applyFill="1" applyBorder="1" applyAlignment="1">
      <alignment horizontal="center" vertical="center" wrapText="1"/>
    </xf>
    <xf numFmtId="167" fontId="35" fillId="22" borderId="12" xfId="94" applyNumberFormat="1" applyFont="1" applyFill="1" applyBorder="1" applyAlignment="1">
      <alignment vertical="center" wrapText="1"/>
    </xf>
    <xf numFmtId="167" fontId="59" fillId="4" borderId="72" xfId="94" applyNumberFormat="1" applyFont="1" applyFill="1" applyAlignment="1">
      <alignment horizontal="center"/>
    </xf>
    <xf numFmtId="0" fontId="59" fillId="4" borderId="61" xfId="94" applyFont="1" applyFill="1" applyBorder="1"/>
    <xf numFmtId="167" fontId="105" fillId="4" borderId="22" xfId="94" applyNumberFormat="1" applyFont="1" applyFill="1" applyBorder="1" applyAlignment="1">
      <alignment vertical="center" wrapText="1"/>
    </xf>
    <xf numFmtId="0" fontId="103" fillId="22" borderId="96" xfId="94" applyFont="1" applyFill="1" applyBorder="1" applyAlignment="1">
      <alignment vertical="center" wrapText="1"/>
    </xf>
    <xf numFmtId="167" fontId="103" fillId="22" borderId="97" xfId="94" applyNumberFormat="1" applyFont="1" applyFill="1" applyBorder="1" applyAlignment="1">
      <alignment horizontal="center" vertical="center" wrapText="1"/>
    </xf>
    <xf numFmtId="167" fontId="103" fillId="22" borderId="98" xfId="94" applyNumberFormat="1" applyFont="1" applyFill="1" applyBorder="1" applyAlignment="1">
      <alignment vertical="center" wrapText="1"/>
    </xf>
    <xf numFmtId="0" fontId="59" fillId="4" borderId="95" xfId="94" applyFont="1" applyFill="1" applyBorder="1" applyAlignment="1">
      <alignment vertical="center" wrapText="1"/>
    </xf>
    <xf numFmtId="167" fontId="59" fillId="4" borderId="65" xfId="94" applyNumberFormat="1" applyFont="1" applyFill="1" applyBorder="1" applyAlignment="1">
      <alignment horizontal="center" vertical="center" wrapText="1"/>
    </xf>
    <xf numFmtId="167" fontId="59" fillId="4" borderId="98" xfId="94" applyNumberFormat="1" applyFont="1" applyFill="1" applyBorder="1" applyAlignment="1">
      <alignment vertical="center" wrapText="1"/>
    </xf>
    <xf numFmtId="0" fontId="103" fillId="22" borderId="11" xfId="94" applyFont="1" applyFill="1" applyBorder="1" applyAlignment="1">
      <alignment vertical="center" wrapText="1"/>
    </xf>
    <xf numFmtId="167" fontId="103" fillId="22" borderId="4" xfId="94" applyNumberFormat="1" applyFont="1" applyFill="1" applyBorder="1" applyAlignment="1">
      <alignment horizontal="center" vertical="center" wrapText="1"/>
    </xf>
    <xf numFmtId="167" fontId="103" fillId="22" borderId="12" xfId="94" applyNumberFormat="1" applyFont="1" applyFill="1" applyBorder="1" applyAlignment="1">
      <alignment vertical="center" wrapText="1"/>
    </xf>
    <xf numFmtId="167" fontId="59" fillId="4" borderId="22" xfId="94" applyNumberFormat="1" applyFont="1" applyFill="1" applyBorder="1" applyAlignment="1">
      <alignment vertical="center" wrapText="1"/>
    </xf>
    <xf numFmtId="0" fontId="102" fillId="4" borderId="26" xfId="94" applyFont="1" applyFill="1" applyBorder="1"/>
    <xf numFmtId="0" fontId="102" fillId="4" borderId="27" xfId="94" applyFont="1" applyFill="1" applyBorder="1" applyAlignment="1">
      <alignment horizontal="center"/>
    </xf>
    <xf numFmtId="167" fontId="102" fillId="4" borderId="27" xfId="94" applyNumberFormat="1" applyFont="1" applyFill="1" applyBorder="1" applyAlignment="1">
      <alignment horizontal="center"/>
    </xf>
    <xf numFmtId="0" fontId="59" fillId="4" borderId="27" xfId="94" applyFont="1" applyFill="1" applyBorder="1" applyAlignment="1">
      <alignment horizontal="center"/>
    </xf>
    <xf numFmtId="0" fontId="102" fillId="4" borderId="28" xfId="94" applyFont="1" applyFill="1" applyBorder="1"/>
    <xf numFmtId="167" fontId="59" fillId="4" borderId="66" xfId="94" applyNumberFormat="1" applyFont="1" applyFill="1" applyBorder="1" applyAlignment="1">
      <alignment vertical="center" wrapText="1"/>
    </xf>
    <xf numFmtId="0" fontId="59" fillId="4" borderId="96" xfId="94" applyFont="1" applyFill="1" applyBorder="1" applyAlignment="1">
      <alignment vertical="center" wrapText="1"/>
    </xf>
    <xf numFmtId="167" fontId="59" fillId="4" borderId="97" xfId="94" applyNumberFormat="1" applyFont="1" applyFill="1" applyBorder="1" applyAlignment="1">
      <alignment horizontal="center" vertical="center" wrapText="1"/>
    </xf>
    <xf numFmtId="167" fontId="104" fillId="4" borderId="22" xfId="94" applyNumberFormat="1" applyFont="1" applyFill="1" applyBorder="1" applyAlignment="1">
      <alignment vertical="center" wrapText="1"/>
    </xf>
    <xf numFmtId="0" fontId="100" fillId="12" borderId="8" xfId="97" applyFont="1" applyFill="1" applyBorder="1" applyAlignment="1">
      <alignment vertical="center" wrapText="1"/>
    </xf>
    <xf numFmtId="0" fontId="58" fillId="4" borderId="69" xfId="97" applyFont="1" applyFill="1" applyBorder="1" applyAlignment="1">
      <alignment horizontal="center" vertical="center" wrapText="1"/>
    </xf>
    <xf numFmtId="167" fontId="58" fillId="4" borderId="69" xfId="97" applyNumberFormat="1" applyFont="1" applyFill="1" applyBorder="1" applyAlignment="1">
      <alignment horizontal="left" vertical="center" wrapText="1"/>
    </xf>
    <xf numFmtId="0" fontId="59" fillId="4" borderId="69" xfId="97" applyFont="1" applyFill="1" applyBorder="1" applyAlignment="1">
      <alignment horizontal="center" vertical="center" wrapText="1"/>
    </xf>
    <xf numFmtId="0" fontId="86" fillId="4" borderId="169" xfId="97" applyFont="1" applyFill="1" applyBorder="1"/>
    <xf numFmtId="0" fontId="10" fillId="0" borderId="72" xfId="97"/>
    <xf numFmtId="167" fontId="33" fillId="0" borderId="72" xfId="97" applyNumberFormat="1" applyFont="1"/>
    <xf numFmtId="0" fontId="100" fillId="12" borderId="11" xfId="97" applyFont="1" applyFill="1" applyBorder="1" applyAlignment="1">
      <alignment vertical="center" wrapText="1"/>
    </xf>
    <xf numFmtId="0" fontId="58" fillId="4" borderId="59" xfId="97" applyFont="1" applyFill="1" applyBorder="1" applyAlignment="1">
      <alignment horizontal="center" vertical="center" wrapText="1"/>
    </xf>
    <xf numFmtId="167" fontId="58" fillId="4" borderId="59" xfId="97" applyNumberFormat="1" applyFont="1" applyFill="1" applyBorder="1" applyAlignment="1">
      <alignment horizontal="left" vertical="center" wrapText="1"/>
    </xf>
    <xf numFmtId="0" fontId="59" fillId="4" borderId="59" xfId="97" applyFont="1" applyFill="1" applyBorder="1" applyAlignment="1">
      <alignment horizontal="center" vertical="center" wrapText="1"/>
    </xf>
    <xf numFmtId="0" fontId="86" fillId="4" borderId="52" xfId="97" applyFont="1" applyFill="1" applyBorder="1"/>
    <xf numFmtId="0" fontId="59" fillId="4" borderId="72" xfId="97" applyFont="1" applyFill="1" applyAlignment="1">
      <alignment horizontal="center" vertical="center" wrapText="1"/>
    </xf>
    <xf numFmtId="0" fontId="86" fillId="4" borderId="131" xfId="97" applyFont="1" applyFill="1" applyBorder="1"/>
    <xf numFmtId="0" fontId="33" fillId="0" borderId="72" xfId="97" applyFont="1"/>
    <xf numFmtId="0" fontId="59" fillId="4" borderId="127" xfId="97" applyFont="1" applyFill="1" applyBorder="1"/>
    <xf numFmtId="0" fontId="102" fillId="4" borderId="7" xfId="97" applyFont="1" applyFill="1" applyBorder="1" applyAlignment="1">
      <alignment horizontal="center"/>
    </xf>
    <xf numFmtId="167" fontId="102" fillId="4" borderId="7" xfId="97" applyNumberFormat="1" applyFont="1" applyFill="1" applyBorder="1" applyAlignment="1">
      <alignment horizontal="center"/>
    </xf>
    <xf numFmtId="0" fontId="59" fillId="4" borderId="7" xfId="97" applyFont="1" applyFill="1" applyBorder="1" applyAlignment="1">
      <alignment horizontal="center"/>
    </xf>
    <xf numFmtId="0" fontId="102" fillId="4" borderId="128" xfId="97" applyFont="1" applyFill="1" applyBorder="1"/>
    <xf numFmtId="0" fontId="59" fillId="4" borderId="70" xfId="97" applyFont="1" applyFill="1" applyBorder="1"/>
    <xf numFmtId="0" fontId="102" fillId="4" borderId="72" xfId="97" applyFont="1" applyFill="1" applyAlignment="1">
      <alignment horizontal="center"/>
    </xf>
    <xf numFmtId="167" fontId="102" fillId="4" borderId="72" xfId="97" applyNumberFormat="1" applyFont="1" applyFill="1" applyAlignment="1">
      <alignment horizontal="center"/>
    </xf>
    <xf numFmtId="0" fontId="59" fillId="4" borderId="72" xfId="97" applyFont="1" applyFill="1" applyAlignment="1">
      <alignment horizontal="center"/>
    </xf>
    <xf numFmtId="0" fontId="102" fillId="4" borderId="61" xfId="97" applyFont="1" applyFill="1" applyBorder="1"/>
    <xf numFmtId="0" fontId="103" fillId="3" borderId="8" xfId="97" applyFont="1" applyFill="1" applyBorder="1" applyAlignment="1">
      <alignment horizontal="center" vertical="center"/>
    </xf>
    <xf numFmtId="0" fontId="103" fillId="3" borderId="9" xfId="97" applyFont="1" applyFill="1" applyBorder="1" applyAlignment="1">
      <alignment horizontal="center" vertical="center" wrapText="1"/>
    </xf>
    <xf numFmtId="167" fontId="103" fillId="3" borderId="10" xfId="97" applyNumberFormat="1" applyFont="1" applyFill="1" applyBorder="1" applyAlignment="1">
      <alignment horizontal="center" vertical="center" wrapText="1"/>
    </xf>
    <xf numFmtId="0" fontId="59" fillId="4" borderId="95" xfId="97" applyFont="1" applyFill="1" applyBorder="1" applyAlignment="1">
      <alignment vertical="center" wrapText="1"/>
    </xf>
    <xf numFmtId="167" fontId="59" fillId="4" borderId="65" xfId="97" applyNumberFormat="1" applyFont="1" applyFill="1" applyBorder="1" applyAlignment="1">
      <alignment horizontal="center" vertical="center" wrapText="1"/>
    </xf>
    <xf numFmtId="167" fontId="59" fillId="4" borderId="66" xfId="97" applyNumberFormat="1" applyFont="1" applyFill="1" applyBorder="1" applyAlignment="1">
      <alignment horizontal="center" vertical="center" wrapText="1"/>
    </xf>
    <xf numFmtId="0" fontId="33" fillId="8" borderId="72" xfId="97" applyFont="1" applyFill="1"/>
    <xf numFmtId="167" fontId="33" fillId="8" borderId="72" xfId="97" applyNumberFormat="1" applyFont="1" applyFill="1"/>
    <xf numFmtId="0" fontId="59" fillId="4" borderId="96" xfId="97" applyFont="1" applyFill="1" applyBorder="1" applyAlignment="1">
      <alignment vertical="center" wrapText="1"/>
    </xf>
    <xf numFmtId="167" fontId="59" fillId="4" borderId="97" xfId="97" applyNumberFormat="1" applyFont="1" applyFill="1" applyBorder="1" applyAlignment="1">
      <alignment horizontal="center" vertical="center" wrapText="1"/>
    </xf>
    <xf numFmtId="167" fontId="59" fillId="11" borderId="98" xfId="97" applyNumberFormat="1" applyFont="1" applyFill="1" applyBorder="1" applyAlignment="1">
      <alignment horizontal="center" vertical="center" wrapText="1"/>
    </xf>
    <xf numFmtId="0" fontId="106" fillId="4" borderId="95" xfId="97" applyFont="1" applyFill="1" applyBorder="1" applyAlignment="1">
      <alignment vertical="center" wrapText="1"/>
    </xf>
    <xf numFmtId="167" fontId="106" fillId="4" borderId="65" xfId="97" applyNumberFormat="1" applyFont="1" applyFill="1" applyBorder="1" applyAlignment="1">
      <alignment horizontal="center" vertical="center" wrapText="1"/>
    </xf>
    <xf numFmtId="167" fontId="106" fillId="4" borderId="66" xfId="97" applyNumberFormat="1" applyFont="1" applyFill="1" applyBorder="1" applyAlignment="1">
      <alignment horizontal="center" vertical="center" wrapText="1"/>
    </xf>
    <xf numFmtId="0" fontId="106" fillId="4" borderId="96" xfId="97" applyFont="1" applyFill="1" applyBorder="1" applyAlignment="1">
      <alignment vertical="center" wrapText="1"/>
    </xf>
    <xf numFmtId="167" fontId="106" fillId="4" borderId="97" xfId="97" applyNumberFormat="1" applyFont="1" applyFill="1" applyBorder="1" applyAlignment="1">
      <alignment horizontal="center" vertical="center" wrapText="1"/>
    </xf>
    <xf numFmtId="167" fontId="106" fillId="4" borderId="98" xfId="97" applyNumberFormat="1" applyFont="1" applyFill="1" applyBorder="1" applyAlignment="1">
      <alignment horizontal="center" vertical="center" wrapText="1"/>
    </xf>
    <xf numFmtId="0" fontId="102" fillId="4" borderId="70" xfId="97" applyFont="1" applyFill="1" applyBorder="1"/>
    <xf numFmtId="0" fontId="59" fillId="4" borderId="99" xfId="97" applyFont="1" applyFill="1" applyBorder="1" applyAlignment="1">
      <alignment vertical="center" wrapText="1"/>
    </xf>
    <xf numFmtId="167" fontId="59" fillId="4" borderId="68" xfId="97" applyNumberFormat="1" applyFont="1" applyFill="1" applyBorder="1" applyAlignment="1">
      <alignment horizontal="center" vertical="center" wrapText="1"/>
    </xf>
    <xf numFmtId="164" fontId="59" fillId="4" borderId="67" xfId="97" applyNumberFormat="1" applyFont="1" applyFill="1" applyBorder="1" applyAlignment="1">
      <alignment horizontal="center" vertical="center" wrapText="1"/>
    </xf>
    <xf numFmtId="0" fontId="59" fillId="4" borderId="72" xfId="97" applyFont="1" applyFill="1"/>
    <xf numFmtId="167" fontId="99" fillId="0" borderId="72" xfId="97" applyNumberFormat="1" applyFont="1"/>
    <xf numFmtId="0" fontId="33" fillId="4" borderId="70" xfId="97" applyFont="1" applyFill="1" applyBorder="1"/>
    <xf numFmtId="0" fontId="59" fillId="25" borderId="72" xfId="97" applyFont="1" applyFill="1"/>
    <xf numFmtId="164" fontId="59" fillId="4" borderId="72" xfId="97" applyNumberFormat="1" applyFont="1" applyFill="1"/>
    <xf numFmtId="0" fontId="33" fillId="4" borderId="61" xfId="97" applyFont="1" applyFill="1" applyBorder="1"/>
    <xf numFmtId="0" fontId="59" fillId="4" borderId="100" xfId="97" applyFont="1" applyFill="1" applyBorder="1" applyAlignment="1">
      <alignment vertical="center" wrapText="1"/>
    </xf>
    <xf numFmtId="167" fontId="59" fillId="4" borderId="101" xfId="97" applyNumberFormat="1" applyFont="1" applyFill="1" applyBorder="1" applyAlignment="1">
      <alignment horizontal="center" vertical="center" wrapText="1"/>
    </xf>
    <xf numFmtId="167" fontId="59" fillId="4" borderId="131" xfId="97" applyNumberFormat="1" applyFont="1" applyFill="1" applyBorder="1" applyAlignment="1">
      <alignment horizontal="center" vertical="center" wrapText="1"/>
    </xf>
    <xf numFmtId="0" fontId="33" fillId="4" borderId="72" xfId="97" applyFont="1" applyFill="1"/>
    <xf numFmtId="0" fontId="76" fillId="4" borderId="94" xfId="98" applyFont="1" applyFill="1" applyBorder="1"/>
    <xf numFmtId="0" fontId="103" fillId="3" borderId="171" xfId="97" applyFont="1" applyFill="1" applyBorder="1" applyAlignment="1">
      <alignment horizontal="center" vertical="center"/>
    </xf>
    <xf numFmtId="0" fontId="103" fillId="3" borderId="172" xfId="97" applyFont="1" applyFill="1" applyBorder="1" applyAlignment="1">
      <alignment horizontal="center" vertical="center"/>
    </xf>
    <xf numFmtId="0" fontId="103" fillId="3" borderId="172" xfId="97" applyFont="1" applyFill="1" applyBorder="1" applyAlignment="1">
      <alignment horizontal="center" vertical="center" wrapText="1"/>
    </xf>
    <xf numFmtId="0" fontId="74" fillId="3" borderId="173" xfId="98" applyFont="1" applyFill="1" applyBorder="1" applyAlignment="1">
      <alignment horizontal="center" vertical="center" wrapText="1"/>
    </xf>
    <xf numFmtId="0" fontId="76" fillId="4" borderId="174" xfId="98" applyFont="1" applyFill="1" applyBorder="1" applyAlignment="1">
      <alignment vertical="center"/>
    </xf>
    <xf numFmtId="167" fontId="76" fillId="4" borderId="65" xfId="98" applyNumberFormat="1" applyFont="1" applyFill="1" applyBorder="1" applyAlignment="1">
      <alignment horizontal="center" vertical="center"/>
    </xf>
    <xf numFmtId="167" fontId="76" fillId="4" borderId="65" xfId="98" applyNumberFormat="1" applyFont="1" applyFill="1" applyBorder="1" applyAlignment="1">
      <alignment horizontal="center" vertical="center" wrapText="1"/>
    </xf>
    <xf numFmtId="167" fontId="76" fillId="4" borderId="175" xfId="98" applyNumberFormat="1" applyFont="1" applyFill="1" applyBorder="1" applyAlignment="1">
      <alignment horizontal="center" vertical="center" wrapText="1"/>
    </xf>
    <xf numFmtId="0" fontId="76" fillId="4" borderId="176" xfId="98" applyFont="1" applyFill="1" applyBorder="1" applyAlignment="1">
      <alignment vertical="center"/>
    </xf>
    <xf numFmtId="167" fontId="76" fillId="4" borderId="102" xfId="98" applyNumberFormat="1" applyFont="1" applyFill="1" applyBorder="1" applyAlignment="1">
      <alignment horizontal="center" vertical="center"/>
    </xf>
    <xf numFmtId="167" fontId="76" fillId="4" borderId="68" xfId="98" applyNumberFormat="1" applyFont="1" applyFill="1" applyBorder="1" applyAlignment="1">
      <alignment horizontal="center" vertical="center" wrapText="1"/>
    </xf>
    <xf numFmtId="167" fontId="76" fillId="4" borderId="177" xfId="98" applyNumberFormat="1" applyFont="1" applyFill="1" applyBorder="1" applyAlignment="1">
      <alignment horizontal="center" vertical="center" wrapText="1"/>
    </xf>
    <xf numFmtId="0" fontId="76" fillId="4" borderId="178" xfId="98" applyFont="1" applyFill="1" applyBorder="1" applyAlignment="1">
      <alignment vertical="center"/>
    </xf>
    <xf numFmtId="167" fontId="76" fillId="4" borderId="68" xfId="98" applyNumberFormat="1" applyFont="1" applyFill="1" applyBorder="1" applyAlignment="1">
      <alignment horizontal="center" vertical="center"/>
    </xf>
    <xf numFmtId="167" fontId="76" fillId="4" borderId="179" xfId="98" applyNumberFormat="1" applyFont="1" applyFill="1" applyBorder="1" applyAlignment="1">
      <alignment horizontal="center" vertical="center" wrapText="1"/>
    </xf>
    <xf numFmtId="167" fontId="76" fillId="4" borderId="102" xfId="98" applyNumberFormat="1" applyFont="1" applyFill="1" applyBorder="1" applyAlignment="1">
      <alignment horizontal="center" vertical="center" wrapText="1"/>
    </xf>
    <xf numFmtId="0" fontId="76" fillId="4" borderId="180" xfId="98" applyFont="1" applyFill="1" applyBorder="1" applyAlignment="1">
      <alignment vertical="center"/>
    </xf>
    <xf numFmtId="167" fontId="76" fillId="4" borderId="51" xfId="98" applyNumberFormat="1" applyFont="1" applyFill="1" applyBorder="1" applyAlignment="1">
      <alignment horizontal="center" vertical="center"/>
    </xf>
    <xf numFmtId="167" fontId="76" fillId="4" borderId="51" xfId="98" applyNumberFormat="1" applyFont="1" applyFill="1" applyBorder="1" applyAlignment="1">
      <alignment horizontal="center" vertical="center" wrapText="1"/>
    </xf>
    <xf numFmtId="167" fontId="76" fillId="4" borderId="181" xfId="98" applyNumberFormat="1" applyFont="1" applyFill="1" applyBorder="1" applyAlignment="1">
      <alignment horizontal="center" vertical="center" wrapText="1"/>
    </xf>
    <xf numFmtId="0" fontId="76" fillId="4" borderId="182" xfId="98" applyFont="1" applyFill="1" applyBorder="1" applyAlignment="1">
      <alignment vertical="center"/>
    </xf>
    <xf numFmtId="167" fontId="76" fillId="4" borderId="170" xfId="98" applyNumberFormat="1" applyFont="1" applyFill="1" applyBorder="1" applyAlignment="1">
      <alignment horizontal="center" vertical="center"/>
    </xf>
    <xf numFmtId="167" fontId="76" fillId="4" borderId="183" xfId="98" applyNumberFormat="1" applyFont="1" applyFill="1" applyBorder="1" applyAlignment="1">
      <alignment horizontal="center" vertical="center" wrapText="1"/>
    </xf>
    <xf numFmtId="0" fontId="33" fillId="0" borderId="70" xfId="97" applyFont="1" applyBorder="1"/>
    <xf numFmtId="167" fontId="103" fillId="23" borderId="164" xfId="97" applyNumberFormat="1" applyFont="1" applyFill="1" applyBorder="1" applyAlignment="1">
      <alignment horizontal="center" vertical="center" wrapText="1"/>
    </xf>
    <xf numFmtId="167" fontId="103" fillId="23" borderId="165" xfId="97" applyNumberFormat="1" applyFont="1" applyFill="1" applyBorder="1" applyAlignment="1">
      <alignment horizontal="center" vertical="center" wrapText="1"/>
    </xf>
    <xf numFmtId="0" fontId="103" fillId="0" borderId="72" xfId="97" applyFont="1" applyAlignment="1">
      <alignment horizontal="center" vertical="center" wrapText="1"/>
    </xf>
    <xf numFmtId="0" fontId="107" fillId="0" borderId="72" xfId="97" applyFont="1" applyAlignment="1">
      <alignment horizontal="center" vertical="center" wrapText="1"/>
    </xf>
    <xf numFmtId="167" fontId="103" fillId="0" borderId="72" xfId="97" applyNumberFormat="1" applyFont="1" applyAlignment="1">
      <alignment horizontal="center" vertical="center" wrapText="1"/>
    </xf>
    <xf numFmtId="0" fontId="105" fillId="0" borderId="72" xfId="97" applyFont="1" applyAlignment="1">
      <alignment horizontal="center" vertical="center" wrapText="1"/>
    </xf>
    <xf numFmtId="0" fontId="103" fillId="3" borderId="10" xfId="97" applyFont="1" applyFill="1" applyBorder="1" applyAlignment="1">
      <alignment horizontal="center" vertical="center" wrapText="1"/>
    </xf>
    <xf numFmtId="167" fontId="59" fillId="4" borderId="67" xfId="97" applyNumberFormat="1" applyFont="1" applyFill="1" applyBorder="1" applyAlignment="1">
      <alignment horizontal="center" vertical="center" wrapText="1"/>
    </xf>
    <xf numFmtId="0" fontId="59" fillId="4" borderId="23" xfId="97" applyFont="1" applyFill="1" applyBorder="1" applyAlignment="1">
      <alignment vertical="center" wrapText="1"/>
    </xf>
    <xf numFmtId="0" fontId="59" fillId="4" borderId="25" xfId="97" applyFont="1" applyFill="1" applyBorder="1" applyAlignment="1">
      <alignment vertical="center" wrapText="1"/>
    </xf>
    <xf numFmtId="167" fontId="103" fillId="23" borderId="133" xfId="97" applyNumberFormat="1" applyFont="1" applyFill="1" applyBorder="1" applyAlignment="1">
      <alignment horizontal="center" vertical="center" wrapText="1"/>
    </xf>
    <xf numFmtId="0" fontId="59" fillId="4" borderId="24" xfId="97" applyFont="1" applyFill="1" applyBorder="1" applyAlignment="1">
      <alignment vertical="center" wrapText="1"/>
    </xf>
    <xf numFmtId="167" fontId="59" fillId="4" borderId="51" xfId="97" applyNumberFormat="1" applyFont="1" applyFill="1" applyBorder="1" applyAlignment="1">
      <alignment horizontal="center" vertical="center" wrapText="1"/>
    </xf>
    <xf numFmtId="167" fontId="59" fillId="4" borderId="52" xfId="97" applyNumberFormat="1" applyFont="1" applyFill="1" applyBorder="1" applyAlignment="1">
      <alignment horizontal="center" vertical="center" wrapText="1"/>
    </xf>
    <xf numFmtId="0" fontId="33" fillId="0" borderId="61" xfId="97" applyFont="1" applyBorder="1"/>
    <xf numFmtId="0" fontId="33" fillId="4" borderId="26" xfId="97" applyFont="1" applyFill="1" applyBorder="1"/>
    <xf numFmtId="0" fontId="33" fillId="4" borderId="27" xfId="97" applyFont="1" applyFill="1" applyBorder="1"/>
    <xf numFmtId="0" fontId="33" fillId="4" borderId="28" xfId="97" applyFont="1" applyFill="1" applyBorder="1"/>
    <xf numFmtId="0" fontId="100" fillId="12" borderId="80" xfId="97" applyFont="1" applyFill="1" applyBorder="1" applyAlignment="1">
      <alignment vertical="center" wrapText="1"/>
    </xf>
    <xf numFmtId="170" fontId="58" fillId="4" borderId="114" xfId="94" applyNumberFormat="1" applyFont="1" applyFill="1" applyBorder="1" applyAlignment="1">
      <alignment horizontal="left" vertical="center" wrapText="1"/>
    </xf>
    <xf numFmtId="0" fontId="58" fillId="4" borderId="113" xfId="97" applyFont="1" applyFill="1" applyBorder="1" applyAlignment="1">
      <alignment horizontal="center" vertical="center" wrapText="1"/>
    </xf>
    <xf numFmtId="0" fontId="59" fillId="4" borderId="113" xfId="97" applyFont="1" applyFill="1" applyBorder="1" applyAlignment="1">
      <alignment horizontal="center" vertical="center" wrapText="1"/>
    </xf>
    <xf numFmtId="167" fontId="58" fillId="4" borderId="113" xfId="97" applyNumberFormat="1" applyFont="1" applyFill="1" applyBorder="1" applyAlignment="1">
      <alignment horizontal="left" vertical="center" wrapText="1"/>
    </xf>
    <xf numFmtId="0" fontId="59" fillId="4" borderId="112" xfId="97" applyFont="1" applyFill="1" applyBorder="1" applyAlignment="1">
      <alignment horizontal="center" vertical="center" wrapText="1"/>
    </xf>
    <xf numFmtId="0" fontId="59" fillId="4" borderId="166" xfId="97" applyFont="1" applyFill="1" applyBorder="1" applyAlignment="1">
      <alignment vertical="center" wrapText="1"/>
    </xf>
    <xf numFmtId="0" fontId="108" fillId="0" borderId="72" xfId="94" applyFont="1"/>
    <xf numFmtId="0" fontId="100" fillId="12" borderId="82" xfId="97" applyFont="1" applyFill="1" applyBorder="1" applyAlignment="1">
      <alignment vertical="center" wrapText="1"/>
    </xf>
    <xf numFmtId="0" fontId="58" fillId="4" borderId="117" xfId="94" applyFont="1" applyFill="1" applyBorder="1" applyAlignment="1">
      <alignment horizontal="left" vertical="center" wrapText="1"/>
    </xf>
    <xf numFmtId="0" fontId="58" fillId="4" borderId="85" xfId="97" applyFont="1" applyFill="1" applyBorder="1" applyAlignment="1">
      <alignment horizontal="center" vertical="center" wrapText="1"/>
    </xf>
    <xf numFmtId="0" fontId="59" fillId="4" borderId="85" xfId="97" applyFont="1" applyFill="1" applyBorder="1" applyAlignment="1">
      <alignment horizontal="center" vertical="center" wrapText="1"/>
    </xf>
    <xf numFmtId="167" fontId="58" fillId="4" borderId="85" xfId="97" applyNumberFormat="1" applyFont="1" applyFill="1" applyBorder="1" applyAlignment="1">
      <alignment horizontal="left" vertical="center" wrapText="1"/>
    </xf>
    <xf numFmtId="0" fontId="59" fillId="4" borderId="116" xfId="97" applyFont="1" applyFill="1" applyBorder="1" applyAlignment="1">
      <alignment horizontal="center" vertical="center" wrapText="1"/>
    </xf>
    <xf numFmtId="0" fontId="59" fillId="4" borderId="167" xfId="97" applyFont="1" applyFill="1" applyBorder="1" applyAlignment="1">
      <alignment vertical="center" wrapText="1"/>
    </xf>
    <xf numFmtId="0" fontId="59" fillId="4" borderId="168" xfId="97" applyFont="1" applyFill="1" applyBorder="1" applyAlignment="1">
      <alignment vertical="center" wrapText="1"/>
    </xf>
    <xf numFmtId="0" fontId="110" fillId="26" borderId="136" xfId="94" applyFont="1" applyFill="1" applyBorder="1" applyAlignment="1">
      <alignment horizontal="center" vertical="center"/>
    </xf>
    <xf numFmtId="0" fontId="110" fillId="26" borderId="136" xfId="94" applyFont="1" applyFill="1" applyBorder="1" applyAlignment="1">
      <alignment horizontal="center" vertical="center" wrapText="1"/>
    </xf>
    <xf numFmtId="4" fontId="110" fillId="26" borderId="136" xfId="94" applyNumberFormat="1" applyFont="1" applyFill="1" applyBorder="1" applyAlignment="1">
      <alignment horizontal="center" vertical="center" wrapText="1"/>
    </xf>
    <xf numFmtId="0" fontId="110" fillId="26" borderId="137" xfId="94" applyFont="1" applyFill="1" applyBorder="1" applyAlignment="1">
      <alignment horizontal="center" vertical="center" wrapText="1"/>
    </xf>
    <xf numFmtId="164" fontId="110" fillId="26" borderId="136" xfId="94" applyNumberFormat="1" applyFont="1" applyFill="1" applyBorder="1" applyAlignment="1">
      <alignment horizontal="center" vertical="center" wrapText="1"/>
    </xf>
    <xf numFmtId="0" fontId="110" fillId="26" borderId="138" xfId="94" applyFont="1" applyFill="1" applyBorder="1" applyAlignment="1">
      <alignment horizontal="center" vertical="center"/>
    </xf>
    <xf numFmtId="0" fontId="111" fillId="0" borderId="72" xfId="94" applyFont="1" applyAlignment="1">
      <alignment vertical="center"/>
    </xf>
    <xf numFmtId="0" fontId="108" fillId="0" borderId="72" xfId="94" applyFont="1" applyAlignment="1">
      <alignment vertical="center"/>
    </xf>
    <xf numFmtId="0" fontId="123" fillId="28" borderId="16" xfId="94" applyFont="1" applyFill="1" applyBorder="1" applyAlignment="1">
      <alignment horizontal="center" vertical="center"/>
    </xf>
    <xf numFmtId="4" fontId="123" fillId="28" borderId="16" xfId="94" applyNumberFormat="1" applyFont="1" applyFill="1" applyBorder="1" applyAlignment="1">
      <alignment horizontal="center" vertical="center"/>
    </xf>
    <xf numFmtId="44" fontId="64" fillId="15" borderId="72" xfId="94" applyNumberFormat="1" applyFont="1" applyFill="1"/>
    <xf numFmtId="164" fontId="123" fillId="15" borderId="72" xfId="94" applyNumberFormat="1" applyFont="1" applyFill="1" applyAlignment="1">
      <alignment vertical="center"/>
    </xf>
    <xf numFmtId="0" fontId="123" fillId="15" borderId="72" xfId="94" applyFont="1" applyFill="1" applyAlignment="1">
      <alignment vertical="center"/>
    </xf>
    <xf numFmtId="177" fontId="111" fillId="0" borderId="72" xfId="94" applyNumberFormat="1" applyFont="1" applyAlignment="1">
      <alignment vertical="center"/>
    </xf>
    <xf numFmtId="0" fontId="108" fillId="10" borderId="16" xfId="94" applyFont="1" applyFill="1" applyBorder="1" applyAlignment="1">
      <alignment horizontal="center" vertical="center"/>
    </xf>
    <xf numFmtId="0" fontId="108" fillId="10" borderId="16" xfId="94" applyFont="1" applyFill="1" applyBorder="1" applyAlignment="1">
      <alignment vertical="center" wrapText="1"/>
    </xf>
    <xf numFmtId="4" fontId="108" fillId="10" borderId="16" xfId="94" applyNumberFormat="1" applyFont="1" applyFill="1" applyBorder="1" applyAlignment="1">
      <alignment horizontal="center" vertical="center"/>
    </xf>
    <xf numFmtId="164" fontId="108" fillId="0" borderId="16" xfId="94" applyNumberFormat="1" applyFont="1" applyBorder="1" applyAlignment="1">
      <alignment vertical="center"/>
    </xf>
    <xf numFmtId="164" fontId="108" fillId="10" borderId="16" xfId="94" applyNumberFormat="1" applyFont="1" applyFill="1" applyBorder="1" applyAlignment="1">
      <alignment vertical="center"/>
    </xf>
    <xf numFmtId="4" fontId="112" fillId="0" borderId="16" xfId="94" applyNumberFormat="1" applyFont="1" applyBorder="1" applyAlignment="1">
      <alignment vertical="center" wrapText="1"/>
    </xf>
    <xf numFmtId="164" fontId="111" fillId="0" borderId="72" xfId="94" applyNumberFormat="1" applyFont="1" applyAlignment="1">
      <alignment vertical="center"/>
    </xf>
    <xf numFmtId="0" fontId="108" fillId="0" borderId="72" xfId="94" applyFont="1" applyAlignment="1">
      <alignment vertical="center" wrapText="1"/>
    </xf>
    <xf numFmtId="0" fontId="108" fillId="10" borderId="136" xfId="94" applyFont="1" applyFill="1" applyBorder="1" applyAlignment="1">
      <alignment horizontal="center" vertical="center"/>
    </xf>
    <xf numFmtId="164" fontId="108" fillId="0" borderId="136" xfId="94" applyNumberFormat="1" applyFont="1" applyBorder="1" applyAlignment="1">
      <alignment vertical="center"/>
    </xf>
    <xf numFmtId="164" fontId="108" fillId="10" borderId="136" xfId="94" applyNumberFormat="1" applyFont="1" applyFill="1" applyBorder="1" applyAlignment="1">
      <alignment vertical="center"/>
    </xf>
    <xf numFmtId="4" fontId="112" fillId="0" borderId="136" xfId="94" applyNumberFormat="1" applyFont="1" applyBorder="1" applyAlignment="1">
      <alignment vertical="center" wrapText="1"/>
    </xf>
    <xf numFmtId="164" fontId="108" fillId="0" borderId="72" xfId="94" applyNumberFormat="1" applyFont="1" applyAlignment="1">
      <alignment vertical="center"/>
    </xf>
    <xf numFmtId="0" fontId="108" fillId="10" borderId="140" xfId="94" applyFont="1" applyFill="1" applyBorder="1" applyAlignment="1">
      <alignment horizontal="center" vertical="center"/>
    </xf>
    <xf numFmtId="0" fontId="108" fillId="10" borderId="140" xfId="94" applyFont="1" applyFill="1" applyBorder="1" applyAlignment="1">
      <alignment vertical="center" wrapText="1"/>
    </xf>
    <xf numFmtId="4" fontId="108" fillId="10" borderId="140" xfId="94" applyNumberFormat="1" applyFont="1" applyFill="1" applyBorder="1" applyAlignment="1">
      <alignment horizontal="center" vertical="center"/>
    </xf>
    <xf numFmtId="164" fontId="108" fillId="0" borderId="140" xfId="94" applyNumberFormat="1" applyFont="1" applyBorder="1" applyAlignment="1">
      <alignment vertical="center"/>
    </xf>
    <xf numFmtId="164" fontId="108" fillId="10" borderId="141" xfId="94" applyNumberFormat="1" applyFont="1" applyFill="1" applyBorder="1" applyAlignment="1">
      <alignment vertical="center"/>
    </xf>
    <xf numFmtId="4" fontId="112" fillId="0" borderId="140" xfId="94" applyNumberFormat="1" applyFont="1" applyBorder="1" applyAlignment="1">
      <alignment vertical="center" wrapText="1"/>
    </xf>
    <xf numFmtId="4" fontId="108" fillId="0" borderId="16" xfId="94" applyNumberFormat="1" applyFont="1" applyBorder="1" applyAlignment="1">
      <alignment horizontal="center" vertical="center"/>
    </xf>
    <xf numFmtId="0" fontId="114" fillId="0" borderId="72" xfId="94" applyFont="1" applyAlignment="1">
      <alignment vertical="center" wrapText="1"/>
    </xf>
    <xf numFmtId="0" fontId="110" fillId="26" borderId="139" xfId="94" applyFont="1" applyFill="1" applyBorder="1" applyAlignment="1">
      <alignment vertical="center" wrapText="1"/>
    </xf>
    <xf numFmtId="0" fontId="110" fillId="26" borderId="139" xfId="94" applyFont="1" applyFill="1" applyBorder="1" applyAlignment="1">
      <alignment horizontal="right" vertical="center" wrapText="1"/>
    </xf>
    <xf numFmtId="164" fontId="110" fillId="26" borderId="139" xfId="94" applyNumberFormat="1" applyFont="1" applyFill="1" applyBorder="1" applyAlignment="1">
      <alignment vertical="center"/>
    </xf>
    <xf numFmtId="164" fontId="115" fillId="26" borderId="135" xfId="94" applyNumberFormat="1" applyFont="1" applyFill="1" applyBorder="1"/>
    <xf numFmtId="0" fontId="110" fillId="26" borderId="139" xfId="94" applyFont="1" applyFill="1" applyBorder="1" applyAlignment="1">
      <alignment horizontal="right" vertical="center"/>
    </xf>
    <xf numFmtId="43" fontId="110" fillId="26" borderId="139" xfId="99" applyFont="1" applyFill="1" applyBorder="1" applyAlignment="1">
      <alignment vertical="center"/>
    </xf>
    <xf numFmtId="0" fontId="108" fillId="0" borderId="72" xfId="94" applyFont="1" applyAlignment="1">
      <alignment horizontal="center" vertical="center"/>
    </xf>
    <xf numFmtId="4" fontId="108" fillId="0" borderId="72" xfId="94" applyNumberFormat="1" applyFont="1" applyAlignment="1">
      <alignment vertical="center"/>
    </xf>
    <xf numFmtId="164" fontId="108" fillId="0" borderId="72" xfId="94" applyNumberFormat="1" applyFont="1"/>
    <xf numFmtId="0" fontId="108" fillId="0" borderId="4" xfId="94" applyFont="1" applyBorder="1" applyAlignment="1">
      <alignment horizontal="center" vertical="center"/>
    </xf>
    <xf numFmtId="0" fontId="108" fillId="0" borderId="4" xfId="94" applyFont="1" applyBorder="1" applyAlignment="1">
      <alignment horizontal="center" vertical="center" wrapText="1"/>
    </xf>
    <xf numFmtId="0" fontId="108" fillId="0" borderId="4" xfId="94" applyFont="1" applyBorder="1" applyAlignment="1">
      <alignment vertical="center"/>
    </xf>
    <xf numFmtId="4" fontId="108" fillId="10" borderId="4" xfId="94" applyNumberFormat="1" applyFont="1" applyFill="1" applyBorder="1" applyAlignment="1">
      <alignment horizontal="center" vertical="center"/>
    </xf>
    <xf numFmtId="4" fontId="108" fillId="10" borderId="4" xfId="94" applyNumberFormat="1" applyFont="1" applyFill="1" applyBorder="1" applyAlignment="1">
      <alignment vertical="center"/>
    </xf>
    <xf numFmtId="0" fontId="108" fillId="0" borderId="4" xfId="94" applyFont="1" applyBorder="1"/>
    <xf numFmtId="4" fontId="108" fillId="0" borderId="72" xfId="94" applyNumberFormat="1" applyFont="1"/>
    <xf numFmtId="0" fontId="108" fillId="0" borderId="72" xfId="94" applyFont="1" applyAlignment="1">
      <alignment horizontal="center"/>
    </xf>
    <xf numFmtId="0" fontId="108" fillId="0" borderId="58" xfId="94" applyFont="1" applyBorder="1"/>
    <xf numFmtId="0" fontId="98" fillId="0" borderId="39" xfId="94" applyFont="1" applyBorder="1" applyAlignment="1">
      <alignment horizontal="center"/>
    </xf>
    <xf numFmtId="0" fontId="10" fillId="0" borderId="72" xfId="94" applyAlignment="1">
      <alignment horizontal="center"/>
    </xf>
    <xf numFmtId="3" fontId="89" fillId="0" borderId="118" xfId="58" applyNumberFormat="1" applyFont="1" applyBorder="1" applyAlignment="1">
      <alignment horizontal="left" vertical="center" wrapText="1"/>
    </xf>
    <xf numFmtId="0" fontId="129" fillId="35" borderId="207" xfId="28" applyFont="1" applyFill="1" applyBorder="1" applyAlignment="1">
      <alignment horizontal="center" vertical="center" wrapText="1"/>
    </xf>
    <xf numFmtId="0" fontId="31" fillId="33" borderId="207" xfId="28" applyFill="1" applyBorder="1" applyAlignment="1">
      <alignment horizontal="center" vertical="center" wrapText="1"/>
    </xf>
    <xf numFmtId="2" fontId="0" fillId="50" borderId="207" xfId="0" applyNumberFormat="1" applyFill="1" applyBorder="1" applyAlignment="1">
      <alignment horizontal="center" vertical="center"/>
    </xf>
    <xf numFmtId="2" fontId="0" fillId="49" borderId="207" xfId="0" applyNumberFormat="1" applyFill="1" applyBorder="1" applyAlignment="1">
      <alignment horizontal="center" vertical="center"/>
    </xf>
    <xf numFmtId="167" fontId="38" fillId="0" borderId="16" xfId="0" quotePrefix="1" applyNumberFormat="1" applyFont="1" applyBorder="1" applyAlignment="1">
      <alignment horizontal="left" vertical="center"/>
    </xf>
    <xf numFmtId="0" fontId="33" fillId="37" borderId="0" xfId="0" applyFont="1" applyFill="1"/>
    <xf numFmtId="0" fontId="33" fillId="37" borderId="0" xfId="0" applyFont="1" applyFill="1" applyAlignment="1">
      <alignment horizontal="center"/>
    </xf>
    <xf numFmtId="166" fontId="34" fillId="37" borderId="0" xfId="0" applyNumberFormat="1" applyFont="1" applyFill="1" applyAlignment="1">
      <alignment horizontal="center"/>
    </xf>
    <xf numFmtId="2" fontId="33" fillId="37" borderId="0" xfId="4" applyNumberFormat="1" applyFont="1" applyFill="1"/>
    <xf numFmtId="167" fontId="34" fillId="37" borderId="0" xfId="0" applyNumberFormat="1" applyFont="1" applyFill="1" applyAlignment="1">
      <alignment horizontal="center"/>
    </xf>
    <xf numFmtId="0" fontId="0" fillId="37" borderId="0" xfId="0" applyFill="1"/>
    <xf numFmtId="2" fontId="89" fillId="37" borderId="118" xfId="4" applyNumberFormat="1" applyFont="1" applyFill="1" applyBorder="1" applyAlignment="1">
      <alignment horizontal="left" vertical="center"/>
    </xf>
    <xf numFmtId="2" fontId="0" fillId="37" borderId="0" xfId="4" applyNumberFormat="1" applyFont="1" applyFill="1"/>
    <xf numFmtId="3" fontId="38" fillId="15" borderId="16" xfId="0" applyNumberFormat="1" applyFont="1" applyFill="1" applyBorder="1" applyAlignment="1">
      <alignment horizontal="left" vertical="center"/>
    </xf>
    <xf numFmtId="3" fontId="38" fillId="15" borderId="16" xfId="0" applyNumberFormat="1" applyFont="1" applyFill="1" applyBorder="1" applyAlignment="1">
      <alignment horizontal="center" vertical="center"/>
    </xf>
    <xf numFmtId="2" fontId="38" fillId="15" borderId="16" xfId="4" applyNumberFormat="1" applyFont="1" applyFill="1" applyBorder="1" applyAlignment="1">
      <alignment horizontal="left" vertical="center"/>
    </xf>
    <xf numFmtId="167" fontId="38" fillId="15" borderId="16" xfId="0" applyNumberFormat="1" applyFont="1" applyFill="1" applyBorder="1" applyAlignment="1">
      <alignment horizontal="left" vertical="center"/>
    </xf>
    <xf numFmtId="3" fontId="89" fillId="15" borderId="118" xfId="3" applyNumberFormat="1" applyFont="1" applyFill="1" applyBorder="1" applyAlignment="1">
      <alignment horizontal="left" vertical="center"/>
    </xf>
    <xf numFmtId="3" fontId="89" fillId="15" borderId="118" xfId="3" applyNumberFormat="1" applyFont="1" applyFill="1" applyBorder="1" applyAlignment="1">
      <alignment horizontal="center" vertical="center"/>
    </xf>
    <xf numFmtId="2" fontId="89" fillId="15" borderId="118" xfId="4" applyNumberFormat="1" applyFont="1" applyFill="1" applyBorder="1" applyAlignment="1">
      <alignment horizontal="left" vertical="center"/>
    </xf>
    <xf numFmtId="43" fontId="89" fillId="15" borderId="118" xfId="31" applyFont="1" applyFill="1" applyBorder="1" applyAlignment="1">
      <alignment horizontal="left" vertical="center"/>
    </xf>
    <xf numFmtId="166" fontId="38" fillId="15" borderId="16" xfId="0" applyNumberFormat="1" applyFont="1" applyFill="1" applyBorder="1" applyAlignment="1">
      <alignment horizontal="left" vertical="center"/>
    </xf>
    <xf numFmtId="3" fontId="89" fillId="15" borderId="118" xfId="58" applyNumberFormat="1" applyFont="1" applyFill="1" applyBorder="1" applyAlignment="1">
      <alignment horizontal="left" vertical="center"/>
    </xf>
    <xf numFmtId="3" fontId="89" fillId="15" borderId="118" xfId="58" applyNumberFormat="1" applyFont="1" applyFill="1" applyBorder="1" applyAlignment="1">
      <alignment horizontal="left" vertical="center" wrapText="1"/>
    </xf>
    <xf numFmtId="3" fontId="89" fillId="15" borderId="118" xfId="58" applyNumberFormat="1" applyFont="1" applyFill="1" applyBorder="1" applyAlignment="1">
      <alignment horizontal="center" vertical="center"/>
    </xf>
    <xf numFmtId="43" fontId="168" fillId="15" borderId="118" xfId="31" applyFont="1" applyFill="1" applyBorder="1" applyAlignment="1">
      <alignment horizontal="left" vertical="center"/>
    </xf>
    <xf numFmtId="167" fontId="89" fillId="15" borderId="16" xfId="0" applyNumberFormat="1" applyFont="1" applyFill="1" applyBorder="1" applyAlignment="1">
      <alignment horizontal="left" vertical="center"/>
    </xf>
    <xf numFmtId="3" fontId="38" fillId="57" borderId="16" xfId="0" applyNumberFormat="1" applyFont="1" applyFill="1" applyBorder="1" applyAlignment="1">
      <alignment horizontal="left" vertical="center"/>
    </xf>
    <xf numFmtId="167" fontId="38" fillId="57" borderId="16" xfId="0" applyNumberFormat="1" applyFont="1" applyFill="1" applyBorder="1" applyAlignment="1">
      <alignment horizontal="left" vertical="center"/>
    </xf>
    <xf numFmtId="3" fontId="38" fillId="15" borderId="16" xfId="0" applyNumberFormat="1" applyFont="1" applyFill="1" applyBorder="1" applyAlignment="1">
      <alignment horizontal="left" vertical="center" wrapText="1"/>
    </xf>
    <xf numFmtId="0" fontId="38" fillId="15" borderId="16" xfId="0" applyFont="1" applyFill="1" applyBorder="1" applyAlignment="1">
      <alignment vertical="center"/>
    </xf>
    <xf numFmtId="4" fontId="38" fillId="15" borderId="16" xfId="0" applyNumberFormat="1" applyFont="1" applyFill="1" applyBorder="1" applyAlignment="1">
      <alignment vertical="center"/>
    </xf>
    <xf numFmtId="167" fontId="38" fillId="15" borderId="16" xfId="0" applyNumberFormat="1" applyFont="1" applyFill="1" applyBorder="1" applyAlignment="1">
      <alignment vertical="center"/>
    </xf>
    <xf numFmtId="0" fontId="89" fillId="15" borderId="118" xfId="3" applyFont="1" applyFill="1" applyBorder="1" applyAlignment="1">
      <alignment vertical="center"/>
    </xf>
    <xf numFmtId="4" fontId="89" fillId="15" borderId="118" xfId="3" applyNumberFormat="1" applyFont="1" applyFill="1" applyBorder="1" applyAlignment="1">
      <alignment vertical="center"/>
    </xf>
    <xf numFmtId="43" fontId="89" fillId="15" borderId="118" xfId="31" applyFont="1" applyFill="1" applyBorder="1" applyAlignment="1">
      <alignment vertical="center"/>
    </xf>
    <xf numFmtId="3" fontId="37" fillId="58" borderId="16" xfId="0" applyNumberFormat="1" applyFont="1" applyFill="1" applyBorder="1" applyAlignment="1">
      <alignment horizontal="left" vertical="center"/>
    </xf>
    <xf numFmtId="3" fontId="37" fillId="58" borderId="16" xfId="0" applyNumberFormat="1" applyFont="1" applyFill="1" applyBorder="1" applyAlignment="1">
      <alignment horizontal="center" vertical="center"/>
    </xf>
    <xf numFmtId="167" fontId="37" fillId="58" borderId="16" xfId="0" applyNumberFormat="1" applyFont="1" applyFill="1" applyBorder="1" applyAlignment="1">
      <alignment horizontal="left" vertical="center"/>
    </xf>
    <xf numFmtId="0" fontId="131" fillId="0" borderId="47" xfId="13" applyFont="1" applyBorder="1" applyAlignment="1">
      <alignment vertical="center"/>
    </xf>
    <xf numFmtId="0" fontId="124" fillId="0" borderId="71" xfId="13" applyFont="1" applyBorder="1" applyAlignment="1">
      <alignment vertical="center"/>
    </xf>
    <xf numFmtId="0" fontId="131" fillId="0" borderId="45" xfId="13" applyFont="1" applyBorder="1" applyAlignment="1">
      <alignment vertical="center"/>
    </xf>
    <xf numFmtId="0" fontId="131" fillId="0" borderId="353" xfId="13" applyFont="1" applyBorder="1" applyAlignment="1">
      <alignment vertical="center"/>
    </xf>
    <xf numFmtId="174" fontId="72" fillId="0" borderId="325" xfId="15" quotePrefix="1" applyNumberFormat="1" applyFont="1" applyFill="1" applyBorder="1" applyAlignment="1">
      <alignment horizontal="left" vertical="center"/>
    </xf>
    <xf numFmtId="0" fontId="69" fillId="0" borderId="353" xfId="13" applyFont="1" applyBorder="1" applyAlignment="1">
      <alignment vertical="center"/>
    </xf>
    <xf numFmtId="17" fontId="69" fillId="0" borderId="354" xfId="13" applyNumberFormat="1" applyFont="1" applyBorder="1" applyAlignment="1">
      <alignment horizontal="left" vertical="center"/>
    </xf>
    <xf numFmtId="17" fontId="69" fillId="0" borderId="355" xfId="13" applyNumberFormat="1" applyFont="1" applyBorder="1" applyAlignment="1">
      <alignment horizontal="left" vertical="center"/>
    </xf>
    <xf numFmtId="0" fontId="170" fillId="59" borderId="356" xfId="100" applyFont="1" applyFill="1" applyBorder="1" applyAlignment="1">
      <alignment horizontal="center" vertical="center"/>
    </xf>
    <xf numFmtId="0" fontId="9" fillId="0" borderId="72" xfId="100" applyAlignment="1">
      <alignment vertical="center"/>
    </xf>
    <xf numFmtId="0" fontId="170" fillId="59" borderId="199" xfId="33" applyNumberFormat="1" applyFont="1" applyFill="1" applyBorder="1" applyAlignment="1">
      <alignment horizontal="center" vertical="center"/>
    </xf>
    <xf numFmtId="0" fontId="170" fillId="59" borderId="356" xfId="33" applyNumberFormat="1" applyFont="1" applyFill="1" applyBorder="1" applyAlignment="1">
      <alignment horizontal="center" vertical="center" wrapText="1"/>
    </xf>
    <xf numFmtId="0" fontId="170" fillId="59" borderId="356" xfId="33" applyNumberFormat="1" applyFont="1" applyFill="1" applyBorder="1" applyAlignment="1">
      <alignment horizontal="center" vertical="center"/>
    </xf>
    <xf numFmtId="0" fontId="170" fillId="59" borderId="166" xfId="33" applyNumberFormat="1" applyFont="1" applyFill="1" applyBorder="1" applyAlignment="1">
      <alignment horizontal="center" vertical="center"/>
    </xf>
    <xf numFmtId="0" fontId="9" fillId="60" borderId="258" xfId="100" applyFill="1" applyBorder="1" applyAlignment="1">
      <alignment vertical="center"/>
    </xf>
    <xf numFmtId="0" fontId="9" fillId="60" borderId="314" xfId="100" applyFill="1" applyBorder="1" applyAlignment="1">
      <alignment vertical="center"/>
    </xf>
    <xf numFmtId="0" fontId="9" fillId="60" borderId="328" xfId="100" applyFill="1" applyBorder="1" applyAlignment="1">
      <alignment vertical="center"/>
    </xf>
    <xf numFmtId="43" fontId="0" fillId="60" borderId="328" xfId="101" applyFont="1" applyFill="1" applyBorder="1" applyAlignment="1">
      <alignment vertical="center"/>
    </xf>
    <xf numFmtId="43" fontId="64" fillId="60" borderId="328" xfId="101" applyFont="1" applyFill="1" applyBorder="1" applyAlignment="1">
      <alignment vertical="center"/>
    </xf>
    <xf numFmtId="44" fontId="0" fillId="60" borderId="357" xfId="102" applyFont="1" applyFill="1" applyBorder="1" applyAlignment="1">
      <alignment vertical="center"/>
    </xf>
    <xf numFmtId="43" fontId="0" fillId="60" borderId="313" xfId="101" applyFont="1" applyFill="1" applyBorder="1" applyAlignment="1">
      <alignment vertical="center"/>
    </xf>
    <xf numFmtId="43" fontId="64" fillId="0" borderId="322" xfId="101" applyFont="1" applyFill="1" applyBorder="1" applyAlignment="1">
      <alignment vertical="center"/>
    </xf>
    <xf numFmtId="43" fontId="64" fillId="41" borderId="358" xfId="101" applyFont="1" applyFill="1" applyBorder="1" applyAlignment="1">
      <alignment vertical="center"/>
    </xf>
    <xf numFmtId="43" fontId="64" fillId="41" borderId="321" xfId="101" applyFont="1" applyFill="1" applyBorder="1" applyAlignment="1">
      <alignment vertical="center"/>
    </xf>
    <xf numFmtId="0" fontId="9" fillId="0" borderId="258" xfId="100" applyBorder="1" applyAlignment="1">
      <alignment vertical="center"/>
    </xf>
    <xf numFmtId="43" fontId="0" fillId="0" borderId="258" xfId="101" applyFont="1" applyFill="1" applyBorder="1" applyAlignment="1">
      <alignment vertical="center"/>
    </xf>
    <xf numFmtId="43" fontId="0" fillId="0" borderId="269" xfId="101" applyFont="1" applyFill="1" applyBorder="1" applyAlignment="1">
      <alignment vertical="center"/>
    </xf>
    <xf numFmtId="43" fontId="64" fillId="0" borderId="258" xfId="101" applyFont="1" applyFill="1" applyBorder="1" applyAlignment="1">
      <alignment vertical="center"/>
    </xf>
    <xf numFmtId="44" fontId="0" fillId="0" borderId="258" xfId="102" applyFont="1" applyFill="1" applyBorder="1" applyAlignment="1">
      <alignment vertical="center"/>
    </xf>
    <xf numFmtId="43" fontId="0" fillId="15" borderId="313" xfId="101" applyFont="1" applyFill="1" applyBorder="1" applyAlignment="1">
      <alignment vertical="center"/>
    </xf>
    <xf numFmtId="43" fontId="64" fillId="0" borderId="320" xfId="101" applyFont="1" applyFill="1" applyBorder="1" applyAlignment="1">
      <alignment vertical="center"/>
    </xf>
    <xf numFmtId="43" fontId="64" fillId="41" borderId="258" xfId="101" applyFont="1" applyFill="1" applyBorder="1" applyAlignment="1">
      <alignment vertical="center"/>
    </xf>
    <xf numFmtId="43" fontId="64" fillId="41" borderId="313" xfId="101" applyFont="1" applyFill="1" applyBorder="1" applyAlignment="1">
      <alignment vertical="center"/>
    </xf>
    <xf numFmtId="43" fontId="64" fillId="0" borderId="359" xfId="101" applyFont="1" applyFill="1" applyBorder="1" applyAlignment="1">
      <alignment vertical="center"/>
    </xf>
    <xf numFmtId="43" fontId="64" fillId="41" borderId="360" xfId="101" applyFont="1" applyFill="1" applyBorder="1" applyAlignment="1">
      <alignment vertical="center"/>
    </xf>
    <xf numFmtId="43" fontId="64" fillId="41" borderId="361" xfId="101" applyFont="1" applyFill="1" applyBorder="1" applyAlignment="1">
      <alignment vertical="center"/>
    </xf>
    <xf numFmtId="0" fontId="31" fillId="0" borderId="72" xfId="29"/>
    <xf numFmtId="0" fontId="31" fillId="0" borderId="72" xfId="29" applyAlignment="1">
      <alignment wrapText="1"/>
    </xf>
    <xf numFmtId="0" fontId="31" fillId="0" borderId="72" xfId="29" applyNumberFormat="1" applyFont="1" applyFill="1" applyBorder="1" applyAlignment="1">
      <alignment vertical="center"/>
    </xf>
    <xf numFmtId="43" fontId="31" fillId="0" borderId="72" xfId="29" applyNumberFormat="1" applyFont="1" applyFill="1" applyBorder="1" applyAlignment="1">
      <alignment vertical="center"/>
    </xf>
    <xf numFmtId="0" fontId="9" fillId="60" borderId="362" xfId="100" applyFill="1" applyBorder="1" applyAlignment="1">
      <alignment vertical="center"/>
    </xf>
    <xf numFmtId="0" fontId="9" fillId="60" borderId="363" xfId="100" applyFill="1" applyBorder="1" applyAlignment="1">
      <alignment vertical="center"/>
    </xf>
    <xf numFmtId="0" fontId="9" fillId="60" borderId="364" xfId="100" applyFill="1" applyBorder="1" applyAlignment="1">
      <alignment vertical="center"/>
    </xf>
    <xf numFmtId="43" fontId="0" fillId="60" borderId="364" xfId="101" applyFont="1" applyFill="1" applyBorder="1" applyAlignment="1">
      <alignment vertical="center"/>
    </xf>
    <xf numFmtId="43" fontId="64" fillId="60" borderId="364" xfId="101" applyFont="1" applyFill="1" applyBorder="1" applyAlignment="1">
      <alignment vertical="center"/>
    </xf>
    <xf numFmtId="44" fontId="0" fillId="60" borderId="365" xfId="102" applyFont="1" applyFill="1" applyBorder="1" applyAlignment="1">
      <alignment vertical="center"/>
    </xf>
    <xf numFmtId="43" fontId="0" fillId="60" borderId="366" xfId="101" applyFont="1" applyFill="1" applyBorder="1" applyAlignment="1">
      <alignment vertical="center"/>
    </xf>
    <xf numFmtId="43" fontId="0" fillId="0" borderId="367" xfId="101" applyFont="1" applyFill="1" applyBorder="1" applyAlignment="1">
      <alignment vertical="center"/>
    </xf>
    <xf numFmtId="0" fontId="9" fillId="59" borderId="72" xfId="100" applyFill="1" applyAlignment="1">
      <alignment vertical="center"/>
    </xf>
    <xf numFmtId="0" fontId="157" fillId="59" borderId="72" xfId="100" applyFont="1" applyFill="1" applyAlignment="1">
      <alignment horizontal="right" vertical="center"/>
    </xf>
    <xf numFmtId="43" fontId="157" fillId="59" borderId="72" xfId="101" applyFont="1" applyFill="1" applyAlignment="1">
      <alignment vertical="center"/>
    </xf>
    <xf numFmtId="44" fontId="9" fillId="0" borderId="72" xfId="10" applyFont="1" applyAlignment="1">
      <alignment vertical="center"/>
    </xf>
    <xf numFmtId="0" fontId="170" fillId="59" borderId="200" xfId="33" applyNumberFormat="1" applyFont="1" applyFill="1" applyBorder="1" applyAlignment="1">
      <alignment horizontal="center" vertical="center"/>
    </xf>
    <xf numFmtId="0" fontId="158" fillId="0" borderId="72" xfId="79" applyAlignment="1">
      <alignment vertical="center"/>
    </xf>
    <xf numFmtId="0" fontId="158" fillId="0" borderId="72" xfId="79" applyAlignment="1">
      <alignment horizontal="left" vertical="top"/>
    </xf>
    <xf numFmtId="0" fontId="173" fillId="61" borderId="72" xfId="79" applyFont="1" applyFill="1" applyAlignment="1">
      <alignment vertical="top"/>
    </xf>
    <xf numFmtId="0" fontId="158" fillId="0" borderId="72" xfId="79" applyAlignment="1">
      <alignment horizontal="left" vertical="center"/>
    </xf>
    <xf numFmtId="0" fontId="173" fillId="62" borderId="72" xfId="79" applyFont="1" applyFill="1" applyAlignment="1">
      <alignment vertical="top"/>
    </xf>
    <xf numFmtId="0" fontId="173" fillId="63" borderId="72" xfId="79" applyFont="1" applyFill="1" applyAlignment="1">
      <alignment vertical="top"/>
    </xf>
    <xf numFmtId="0" fontId="173" fillId="63" borderId="72" xfId="79" applyFont="1" applyFill="1" applyAlignment="1">
      <alignment horizontal="center" vertical="top"/>
    </xf>
    <xf numFmtId="0" fontId="173" fillId="63" borderId="72" xfId="79" applyFont="1" applyFill="1" applyAlignment="1">
      <alignment horizontal="right" vertical="top"/>
    </xf>
    <xf numFmtId="0" fontId="174" fillId="48" borderId="370" xfId="79" applyFont="1" applyFill="1" applyBorder="1" applyAlignment="1">
      <alignment vertical="top"/>
    </xf>
    <xf numFmtId="0" fontId="174" fillId="48" borderId="371" xfId="79" applyFont="1" applyFill="1" applyBorder="1" applyAlignment="1">
      <alignment vertical="top"/>
    </xf>
    <xf numFmtId="0" fontId="158" fillId="48" borderId="372" xfId="79" applyFill="1" applyBorder="1" applyAlignment="1">
      <alignment horizontal="left" vertical="center"/>
    </xf>
    <xf numFmtId="2" fontId="175" fillId="48" borderId="370" xfId="79" applyNumberFormat="1" applyFont="1" applyFill="1" applyBorder="1" applyAlignment="1">
      <alignment vertical="top" shrinkToFit="1"/>
    </xf>
    <xf numFmtId="187" fontId="175" fillId="48" borderId="372" xfId="79" applyNumberFormat="1" applyFont="1" applyFill="1" applyBorder="1" applyAlignment="1">
      <alignment horizontal="right" vertical="top" shrinkToFit="1"/>
    </xf>
    <xf numFmtId="0" fontId="174" fillId="48" borderId="373" xfId="79" applyFont="1" applyFill="1" applyBorder="1" applyAlignment="1">
      <alignment vertical="top"/>
    </xf>
    <xf numFmtId="187" fontId="175" fillId="48" borderId="370" xfId="79" applyNumberFormat="1" applyFont="1" applyFill="1" applyBorder="1" applyAlignment="1">
      <alignment vertical="top" shrinkToFit="1"/>
    </xf>
    <xf numFmtId="0" fontId="174" fillId="48" borderId="372" xfId="79" applyFont="1" applyFill="1" applyBorder="1" applyAlignment="1">
      <alignment horizontal="right" vertical="top"/>
    </xf>
    <xf numFmtId="8" fontId="174" fillId="48" borderId="370" xfId="79" applyNumberFormat="1" applyFont="1" applyFill="1" applyBorder="1" applyAlignment="1">
      <alignment vertical="top"/>
    </xf>
    <xf numFmtId="8" fontId="174" fillId="48" borderId="373" xfId="79" applyNumberFormat="1" applyFont="1" applyFill="1" applyBorder="1" applyAlignment="1">
      <alignment vertical="top"/>
    </xf>
    <xf numFmtId="0" fontId="158" fillId="48" borderId="370" xfId="79" applyFill="1" applyBorder="1" applyAlignment="1">
      <alignment vertical="center"/>
    </xf>
    <xf numFmtId="0" fontId="174" fillId="0" borderId="374" xfId="79" applyFont="1" applyBorder="1" applyAlignment="1">
      <alignment vertical="top"/>
    </xf>
    <xf numFmtId="0" fontId="174" fillId="0" borderId="375" xfId="79" applyFont="1" applyBorder="1" applyAlignment="1">
      <alignment vertical="top"/>
    </xf>
    <xf numFmtId="0" fontId="174" fillId="0" borderId="376" xfId="79" applyFont="1" applyBorder="1" applyAlignment="1">
      <alignment horizontal="center" vertical="top"/>
    </xf>
    <xf numFmtId="4" fontId="175" fillId="0" borderId="374" xfId="79" applyNumberFormat="1" applyFont="1" applyBorder="1" applyAlignment="1">
      <alignment vertical="top" shrinkToFit="1"/>
    </xf>
    <xf numFmtId="187" fontId="175" fillId="0" borderId="376" xfId="79" applyNumberFormat="1" applyFont="1" applyBorder="1" applyAlignment="1">
      <alignment horizontal="right" vertical="top" shrinkToFit="1"/>
    </xf>
    <xf numFmtId="0" fontId="174" fillId="0" borderId="377" xfId="79" applyFont="1" applyBorder="1" applyAlignment="1">
      <alignment vertical="top"/>
    </xf>
    <xf numFmtId="187" fontId="175" fillId="0" borderId="374" xfId="79" applyNumberFormat="1" applyFont="1" applyBorder="1" applyAlignment="1">
      <alignment vertical="top" shrinkToFit="1"/>
    </xf>
    <xf numFmtId="0" fontId="174" fillId="0" borderId="376" xfId="79" applyFont="1" applyBorder="1" applyAlignment="1">
      <alignment horizontal="right" vertical="top"/>
    </xf>
    <xf numFmtId="8" fontId="174" fillId="0" borderId="374" xfId="79" applyNumberFormat="1" applyFont="1" applyBorder="1" applyAlignment="1">
      <alignment vertical="top"/>
    </xf>
    <xf numFmtId="1" fontId="175" fillId="0" borderId="376" xfId="79" applyNumberFormat="1" applyFont="1" applyBorder="1" applyAlignment="1">
      <alignment horizontal="center" vertical="top" shrinkToFit="1"/>
    </xf>
    <xf numFmtId="3" fontId="175" fillId="0" borderId="374" xfId="79" applyNumberFormat="1" applyFont="1" applyBorder="1" applyAlignment="1">
      <alignment vertical="top" shrinkToFit="1"/>
    </xf>
    <xf numFmtId="2" fontId="175" fillId="0" borderId="374" xfId="79" applyNumberFormat="1" applyFont="1" applyBorder="1" applyAlignment="1">
      <alignment vertical="top" shrinkToFit="1"/>
    </xf>
    <xf numFmtId="0" fontId="173" fillId="63" borderId="371" xfId="79" applyFont="1" applyFill="1" applyBorder="1" applyAlignment="1">
      <alignment vertical="top"/>
    </xf>
    <xf numFmtId="0" fontId="173" fillId="63" borderId="371" xfId="79" applyFont="1" applyFill="1" applyBorder="1" applyAlignment="1">
      <alignment horizontal="center" vertical="top"/>
    </xf>
    <xf numFmtId="0" fontId="173" fillId="63" borderId="371" xfId="79" applyFont="1" applyFill="1" applyBorder="1" applyAlignment="1">
      <alignment horizontal="right" vertical="top"/>
    </xf>
    <xf numFmtId="0" fontId="158" fillId="0" borderId="374" xfId="79" applyBorder="1" applyAlignment="1">
      <alignment vertical="center"/>
    </xf>
    <xf numFmtId="0" fontId="158" fillId="0" borderId="375" xfId="79" applyBorder="1" applyAlignment="1">
      <alignment vertical="center"/>
    </xf>
    <xf numFmtId="0" fontId="158" fillId="0" borderId="377" xfId="79" applyBorder="1" applyAlignment="1">
      <alignment vertical="center"/>
    </xf>
    <xf numFmtId="0" fontId="174" fillId="48" borderId="374" xfId="79" applyFont="1" applyFill="1" applyBorder="1" applyAlignment="1">
      <alignment vertical="top"/>
    </xf>
    <xf numFmtId="0" fontId="158" fillId="0" borderId="72" xfId="79" applyAlignment="1">
      <alignment horizontal="left"/>
    </xf>
    <xf numFmtId="0" fontId="173" fillId="62" borderId="72" xfId="79" applyFont="1" applyFill="1" applyAlignment="1">
      <alignment horizontal="center" vertical="top"/>
    </xf>
    <xf numFmtId="0" fontId="174" fillId="0" borderId="72" xfId="79" applyFont="1" applyAlignment="1">
      <alignment vertical="top"/>
    </xf>
    <xf numFmtId="0" fontId="173" fillId="63" borderId="72" xfId="79" applyFont="1" applyFill="1" applyAlignment="1">
      <alignment horizontal="left" vertical="top"/>
    </xf>
    <xf numFmtId="188" fontId="175" fillId="0" borderId="372" xfId="79" applyNumberFormat="1" applyFont="1" applyBorder="1" applyAlignment="1">
      <alignment horizontal="left" vertical="center" shrinkToFit="1"/>
    </xf>
    <xf numFmtId="4" fontId="175" fillId="0" borderId="372" xfId="79" applyNumberFormat="1" applyFont="1" applyBorder="1" applyAlignment="1">
      <alignment horizontal="right" vertical="center" shrinkToFit="1"/>
    </xf>
    <xf numFmtId="4" fontId="175" fillId="0" borderId="370" xfId="79" applyNumberFormat="1" applyFont="1" applyBorder="1" applyAlignment="1">
      <alignment vertical="center" shrinkToFit="1"/>
    </xf>
    <xf numFmtId="4" fontId="175" fillId="0" borderId="373" xfId="79" applyNumberFormat="1" applyFont="1" applyBorder="1" applyAlignment="1">
      <alignment vertical="center" shrinkToFit="1"/>
    </xf>
    <xf numFmtId="0" fontId="174" fillId="0" borderId="371" xfId="79" applyFont="1" applyBorder="1" applyAlignment="1">
      <alignment vertical="center"/>
    </xf>
    <xf numFmtId="188" fontId="175" fillId="0" borderId="370" xfId="79" applyNumberFormat="1" applyFont="1" applyBorder="1" applyAlignment="1">
      <alignment vertical="center" shrinkToFit="1"/>
    </xf>
    <xf numFmtId="188" fontId="175" fillId="0" borderId="373" xfId="79" applyNumberFormat="1" applyFont="1" applyBorder="1" applyAlignment="1">
      <alignment vertical="center" shrinkToFit="1"/>
    </xf>
    <xf numFmtId="4" fontId="175" fillId="0" borderId="371" xfId="79" applyNumberFormat="1" applyFont="1" applyBorder="1" applyAlignment="1">
      <alignment vertical="center" shrinkToFit="1"/>
    </xf>
    <xf numFmtId="0" fontId="174" fillId="0" borderId="373" xfId="79" applyFont="1" applyBorder="1" applyAlignment="1">
      <alignment vertical="center"/>
    </xf>
    <xf numFmtId="188" fontId="175" fillId="0" borderId="371" xfId="79" applyNumberFormat="1" applyFont="1" applyBorder="1" applyAlignment="1">
      <alignment vertical="center" shrinkToFit="1"/>
    </xf>
    <xf numFmtId="188" fontId="175" fillId="0" borderId="376" xfId="79" applyNumberFormat="1" applyFont="1" applyBorder="1" applyAlignment="1">
      <alignment horizontal="left" vertical="top" shrinkToFit="1"/>
    </xf>
    <xf numFmtId="4" fontId="175" fillId="0" borderId="376" xfId="79" applyNumberFormat="1" applyFont="1" applyBorder="1" applyAlignment="1">
      <alignment horizontal="right" vertical="top" shrinkToFit="1"/>
    </xf>
    <xf numFmtId="4" fontId="175" fillId="0" borderId="377" xfId="79" applyNumberFormat="1" applyFont="1" applyBorder="1" applyAlignment="1">
      <alignment vertical="top" shrinkToFit="1"/>
    </xf>
    <xf numFmtId="188" fontId="175" fillId="0" borderId="374" xfId="79" applyNumberFormat="1" applyFont="1" applyBorder="1" applyAlignment="1">
      <alignment vertical="top" shrinkToFit="1"/>
    </xf>
    <xf numFmtId="188" fontId="175" fillId="0" borderId="377" xfId="79" applyNumberFormat="1" applyFont="1" applyBorder="1" applyAlignment="1">
      <alignment vertical="top" shrinkToFit="1"/>
    </xf>
    <xf numFmtId="4" fontId="175" fillId="0" borderId="375" xfId="79" applyNumberFormat="1" applyFont="1" applyBorder="1" applyAlignment="1">
      <alignment vertical="top" shrinkToFit="1"/>
    </xf>
    <xf numFmtId="188" fontId="175" fillId="0" borderId="375" xfId="79" applyNumberFormat="1" applyFont="1" applyBorder="1" applyAlignment="1">
      <alignment vertical="top" shrinkToFit="1"/>
    </xf>
    <xf numFmtId="0" fontId="173" fillId="63" borderId="371" xfId="79" applyFont="1" applyFill="1" applyBorder="1" applyAlignment="1">
      <alignment horizontal="left" vertical="top"/>
    </xf>
    <xf numFmtId="4" fontId="175" fillId="0" borderId="376" xfId="79" applyNumberFormat="1" applyFont="1" applyBorder="1" applyAlignment="1">
      <alignment horizontal="right" vertical="center" shrinkToFit="1"/>
    </xf>
    <xf numFmtId="4" fontId="175" fillId="0" borderId="374" xfId="79" applyNumberFormat="1" applyFont="1" applyBorder="1" applyAlignment="1">
      <alignment vertical="center" shrinkToFit="1"/>
    </xf>
    <xf numFmtId="4" fontId="175" fillId="0" borderId="377" xfId="79" applyNumberFormat="1" applyFont="1" applyBorder="1" applyAlignment="1">
      <alignment vertical="center" shrinkToFit="1"/>
    </xf>
    <xf numFmtId="0" fontId="174" fillId="0" borderId="375" xfId="79" applyFont="1" applyBorder="1" applyAlignment="1">
      <alignment vertical="center"/>
    </xf>
    <xf numFmtId="188" fontId="175" fillId="0" borderId="374" xfId="79" applyNumberFormat="1" applyFont="1" applyBorder="1" applyAlignment="1">
      <alignment vertical="center" shrinkToFit="1"/>
    </xf>
    <xf numFmtId="188" fontId="175" fillId="0" borderId="377" xfId="79" applyNumberFormat="1" applyFont="1" applyBorder="1" applyAlignment="1">
      <alignment vertical="center" shrinkToFit="1"/>
    </xf>
    <xf numFmtId="4" fontId="175" fillId="0" borderId="375" xfId="79" applyNumberFormat="1" applyFont="1" applyBorder="1" applyAlignment="1">
      <alignment vertical="center" shrinkToFit="1"/>
    </xf>
    <xf numFmtId="0" fontId="174" fillId="0" borderId="377" xfId="79" applyFont="1" applyBorder="1" applyAlignment="1">
      <alignment vertical="center"/>
    </xf>
    <xf numFmtId="188" fontId="175" fillId="0" borderId="375" xfId="79" applyNumberFormat="1" applyFont="1" applyBorder="1" applyAlignment="1">
      <alignment vertical="center" shrinkToFit="1"/>
    </xf>
    <xf numFmtId="188" fontId="175" fillId="0" borderId="376" xfId="79" applyNumberFormat="1" applyFont="1" applyBorder="1" applyAlignment="1">
      <alignment horizontal="left" vertical="center" shrinkToFit="1"/>
    </xf>
    <xf numFmtId="0" fontId="158" fillId="0" borderId="378" xfId="79" applyBorder="1" applyAlignment="1">
      <alignment vertical="center"/>
    </xf>
    <xf numFmtId="0" fontId="158" fillId="0" borderId="72" xfId="79"/>
    <xf numFmtId="0" fontId="158" fillId="0" borderId="72" xfId="79" applyAlignment="1">
      <alignment vertical="top"/>
    </xf>
    <xf numFmtId="0" fontId="158" fillId="0" borderId="373" xfId="79" applyBorder="1" applyAlignment="1">
      <alignment vertical="center"/>
    </xf>
    <xf numFmtId="8" fontId="174" fillId="0" borderId="373" xfId="79" applyNumberFormat="1" applyFont="1" applyBorder="1" applyAlignment="1">
      <alignment vertical="top"/>
    </xf>
    <xf numFmtId="0" fontId="158" fillId="48" borderId="376" xfId="79" applyFill="1" applyBorder="1" applyAlignment="1">
      <alignment horizontal="left" vertical="center"/>
    </xf>
    <xf numFmtId="8" fontId="174" fillId="48" borderId="374" xfId="79" applyNumberFormat="1" applyFont="1" applyFill="1" applyBorder="1" applyAlignment="1">
      <alignment vertical="top"/>
    </xf>
    <xf numFmtId="0" fontId="158" fillId="48" borderId="374" xfId="79" applyFill="1" applyBorder="1" applyAlignment="1">
      <alignment vertical="center"/>
    </xf>
    <xf numFmtId="8" fontId="174" fillId="0" borderId="377" xfId="79" applyNumberFormat="1" applyFont="1" applyBorder="1" applyAlignment="1">
      <alignment vertical="top"/>
    </xf>
    <xf numFmtId="8" fontId="174" fillId="48" borderId="377" xfId="79" applyNumberFormat="1" applyFont="1" applyFill="1" applyBorder="1" applyAlignment="1">
      <alignment vertical="top"/>
    </xf>
    <xf numFmtId="189" fontId="175" fillId="0" borderId="72" xfId="79" applyNumberFormat="1" applyFont="1" applyAlignment="1">
      <alignment vertical="top" shrinkToFit="1"/>
    </xf>
    <xf numFmtId="190" fontId="175" fillId="0" borderId="372" xfId="79" applyNumberFormat="1" applyFont="1" applyBorder="1" applyAlignment="1">
      <alignment horizontal="left" vertical="center" shrinkToFit="1"/>
    </xf>
    <xf numFmtId="190" fontId="175" fillId="0" borderId="371" xfId="79" applyNumberFormat="1" applyFont="1" applyBorder="1" applyAlignment="1">
      <alignment vertical="center" shrinkToFit="1"/>
    </xf>
    <xf numFmtId="0" fontId="174" fillId="0" borderId="370" xfId="79" applyFont="1" applyBorder="1" applyAlignment="1">
      <alignment vertical="center"/>
    </xf>
    <xf numFmtId="190" fontId="175" fillId="0" borderId="373" xfId="79" applyNumberFormat="1" applyFont="1" applyBorder="1" applyAlignment="1">
      <alignment vertical="center" shrinkToFit="1"/>
    </xf>
    <xf numFmtId="0" fontId="174" fillId="0" borderId="372" xfId="79" applyFont="1" applyBorder="1" applyAlignment="1">
      <alignment horizontal="left" vertical="top"/>
    </xf>
    <xf numFmtId="190" fontId="175" fillId="0" borderId="376" xfId="79" applyNumberFormat="1" applyFont="1" applyBorder="1" applyAlignment="1">
      <alignment horizontal="left" vertical="top" shrinkToFit="1"/>
    </xf>
    <xf numFmtId="190" fontId="175" fillId="0" borderId="375" xfId="79" applyNumberFormat="1" applyFont="1" applyBorder="1" applyAlignment="1">
      <alignment vertical="top" shrinkToFit="1"/>
    </xf>
    <xf numFmtId="190" fontId="175" fillId="0" borderId="377" xfId="79" applyNumberFormat="1" applyFont="1" applyBorder="1" applyAlignment="1">
      <alignment vertical="top" shrinkToFit="1"/>
    </xf>
    <xf numFmtId="0" fontId="174" fillId="0" borderId="376" xfId="79" applyFont="1" applyBorder="1" applyAlignment="1">
      <alignment horizontal="left" vertical="top"/>
    </xf>
    <xf numFmtId="190" fontId="175" fillId="0" borderId="376" xfId="79" applyNumberFormat="1" applyFont="1" applyBorder="1" applyAlignment="1">
      <alignment horizontal="left" vertical="center" shrinkToFit="1"/>
    </xf>
    <xf numFmtId="190" fontId="175" fillId="0" borderId="375" xfId="79" applyNumberFormat="1" applyFont="1" applyBorder="1" applyAlignment="1">
      <alignment vertical="center" shrinkToFit="1"/>
    </xf>
    <xf numFmtId="0" fontId="174" fillId="0" borderId="374" xfId="79" applyFont="1" applyBorder="1" applyAlignment="1">
      <alignment vertical="center"/>
    </xf>
    <xf numFmtId="190" fontId="175" fillId="0" borderId="377" xfId="79" applyNumberFormat="1" applyFont="1" applyBorder="1" applyAlignment="1">
      <alignment vertical="center" shrinkToFit="1"/>
    </xf>
    <xf numFmtId="190" fontId="175" fillId="0" borderId="370" xfId="79" applyNumberFormat="1" applyFont="1" applyBorder="1" applyAlignment="1">
      <alignment vertical="top" shrinkToFit="1"/>
    </xf>
    <xf numFmtId="0" fontId="174" fillId="0" borderId="371" xfId="79" applyFont="1" applyBorder="1" applyAlignment="1">
      <alignment vertical="top"/>
    </xf>
    <xf numFmtId="0" fontId="174" fillId="0" borderId="373" xfId="79" applyFont="1" applyBorder="1" applyAlignment="1">
      <alignment vertical="top"/>
    </xf>
    <xf numFmtId="190" fontId="175" fillId="0" borderId="371" xfId="79" applyNumberFormat="1" applyFont="1" applyBorder="1" applyAlignment="1">
      <alignment vertical="top" shrinkToFit="1"/>
    </xf>
    <xf numFmtId="190" fontId="175" fillId="0" borderId="373" xfId="79" applyNumberFormat="1" applyFont="1" applyBorder="1" applyAlignment="1">
      <alignment vertical="top" shrinkToFit="1"/>
    </xf>
    <xf numFmtId="0" fontId="173" fillId="61" borderId="378" xfId="79" applyFont="1" applyFill="1" applyBorder="1" applyAlignment="1">
      <alignment vertical="top"/>
    </xf>
    <xf numFmtId="0" fontId="158" fillId="62" borderId="72" xfId="79" applyFill="1" applyAlignment="1">
      <alignment vertical="top"/>
    </xf>
    <xf numFmtId="0" fontId="158" fillId="62" borderId="371" xfId="79" applyFill="1" applyBorder="1" applyAlignment="1">
      <alignment vertical="top"/>
    </xf>
    <xf numFmtId="0" fontId="173" fillId="61" borderId="375" xfId="79" applyFont="1" applyFill="1" applyBorder="1" applyAlignment="1">
      <alignment vertical="top"/>
    </xf>
    <xf numFmtId="0" fontId="173" fillId="61" borderId="371" xfId="79" applyFont="1" applyFill="1" applyBorder="1" applyAlignment="1">
      <alignment vertical="top"/>
    </xf>
    <xf numFmtId="0" fontId="173" fillId="62" borderId="371" xfId="79" applyFont="1" applyFill="1" applyBorder="1" applyAlignment="1">
      <alignment vertical="top"/>
    </xf>
    <xf numFmtId="0" fontId="158" fillId="62" borderId="375" xfId="79" applyFill="1" applyBorder="1" applyAlignment="1">
      <alignment vertical="center"/>
    </xf>
    <xf numFmtId="0" fontId="173" fillId="62" borderId="375" xfId="79" applyFont="1" applyFill="1" applyBorder="1" applyAlignment="1">
      <alignment vertical="top"/>
    </xf>
    <xf numFmtId="190" fontId="175" fillId="0" borderId="374" xfId="79" applyNumberFormat="1" applyFont="1" applyBorder="1" applyAlignment="1">
      <alignment vertical="top" shrinkToFit="1"/>
    </xf>
    <xf numFmtId="1" fontId="175" fillId="0" borderId="374" xfId="79" applyNumberFormat="1" applyFont="1" applyBorder="1" applyAlignment="1">
      <alignment vertical="top" shrinkToFit="1"/>
    </xf>
    <xf numFmtId="1" fontId="175" fillId="0" borderId="375" xfId="79" applyNumberFormat="1" applyFont="1" applyBorder="1" applyAlignment="1">
      <alignment vertical="top" shrinkToFit="1"/>
    </xf>
    <xf numFmtId="0" fontId="173" fillId="62" borderId="378" xfId="79" applyFont="1" applyFill="1" applyBorder="1" applyAlignment="1">
      <alignment vertical="top"/>
    </xf>
    <xf numFmtId="0" fontId="158" fillId="62" borderId="371" xfId="79" applyFill="1" applyBorder="1" applyAlignment="1">
      <alignment vertical="center"/>
    </xf>
    <xf numFmtId="43" fontId="64" fillId="0" borderId="358" xfId="101" applyFont="1" applyFill="1" applyBorder="1" applyAlignment="1">
      <alignment vertical="center"/>
    </xf>
    <xf numFmtId="43" fontId="64" fillId="0" borderId="360" xfId="101" applyFont="1" applyFill="1" applyBorder="1" applyAlignment="1">
      <alignment vertical="center"/>
    </xf>
    <xf numFmtId="167" fontId="33" fillId="64" borderId="329" xfId="80" applyNumberFormat="1" applyFont="1" applyFill="1" applyBorder="1" applyAlignment="1">
      <alignment horizontal="left" vertical="center"/>
    </xf>
    <xf numFmtId="0" fontId="33" fillId="64" borderId="44" xfId="80" applyFont="1" applyFill="1" applyBorder="1" applyAlignment="1">
      <alignment horizontal="center" vertical="center"/>
    </xf>
    <xf numFmtId="167" fontId="33" fillId="64" borderId="44" xfId="80" applyNumberFormat="1" applyFont="1" applyFill="1" applyBorder="1" applyAlignment="1">
      <alignment horizontal="center" vertical="center"/>
    </xf>
    <xf numFmtId="43" fontId="0" fillId="0" borderId="315" xfId="101" applyFont="1" applyFill="1" applyBorder="1" applyAlignment="1">
      <alignment vertical="center"/>
    </xf>
    <xf numFmtId="0" fontId="131" fillId="0" borderId="354" xfId="13" applyFont="1" applyBorder="1" applyAlignment="1">
      <alignment vertical="center"/>
    </xf>
    <xf numFmtId="0" fontId="131" fillId="0" borderId="76" xfId="13" applyFont="1" applyBorder="1" applyAlignment="1">
      <alignment vertical="center"/>
    </xf>
    <xf numFmtId="0" fontId="131" fillId="0" borderId="72" xfId="13" applyFont="1" applyAlignment="1">
      <alignment vertical="center"/>
    </xf>
    <xf numFmtId="174" fontId="72" fillId="0" borderId="354" xfId="15" quotePrefix="1" applyNumberFormat="1" applyFont="1" applyFill="1" applyBorder="1" applyAlignment="1">
      <alignment vertical="center" wrapText="1"/>
    </xf>
    <xf numFmtId="0" fontId="69" fillId="0" borderId="76" xfId="13" applyFont="1" applyBorder="1" applyAlignment="1">
      <alignment vertical="center"/>
    </xf>
    <xf numFmtId="17" fontId="69" fillId="0" borderId="325" xfId="13" applyNumberFormat="1" applyFont="1" applyBorder="1" applyAlignment="1">
      <alignment horizontal="left" vertical="center"/>
    </xf>
    <xf numFmtId="17" fontId="69" fillId="0" borderId="72" xfId="13" applyNumberFormat="1" applyFont="1" applyAlignment="1">
      <alignment horizontal="left" vertical="center"/>
    </xf>
    <xf numFmtId="0" fontId="138" fillId="16" borderId="72" xfId="14" applyFont="1" applyFill="1" applyAlignment="1">
      <alignment vertical="center"/>
    </xf>
    <xf numFmtId="0" fontId="138" fillId="16" borderId="120" xfId="14" applyFont="1" applyFill="1" applyBorder="1" applyAlignment="1">
      <alignment vertical="center"/>
    </xf>
    <xf numFmtId="0" fontId="138" fillId="0" borderId="72" xfId="14" applyFont="1" applyAlignment="1">
      <alignment vertical="center"/>
    </xf>
    <xf numFmtId="0" fontId="170" fillId="59" borderId="356" xfId="107" applyFont="1" applyFill="1" applyBorder="1" applyAlignment="1">
      <alignment horizontal="center" vertical="center"/>
    </xf>
    <xf numFmtId="0" fontId="170" fillId="59" borderId="369" xfId="107" applyFont="1" applyFill="1" applyBorder="1" applyAlignment="1">
      <alignment horizontal="center" vertical="center"/>
    </xf>
    <xf numFmtId="0" fontId="170" fillId="59" borderId="199" xfId="107" applyFont="1" applyFill="1" applyBorder="1" applyAlignment="1">
      <alignment horizontal="center" vertical="center"/>
    </xf>
    <xf numFmtId="0" fontId="170" fillId="59" borderId="166" xfId="107" applyFont="1" applyFill="1" applyBorder="1" applyAlignment="1">
      <alignment horizontal="center" vertical="center"/>
    </xf>
    <xf numFmtId="0" fontId="9" fillId="0" borderId="88" xfId="107" applyBorder="1" applyAlignment="1">
      <alignment vertical="center"/>
    </xf>
    <xf numFmtId="0" fontId="9" fillId="0" borderId="72" xfId="107" applyAlignment="1">
      <alignment vertical="center"/>
    </xf>
    <xf numFmtId="0" fontId="9" fillId="0" borderId="258" xfId="107" applyBorder="1" applyAlignment="1">
      <alignment vertical="center"/>
    </xf>
    <xf numFmtId="0" fontId="9" fillId="0" borderId="314" xfId="107" applyBorder="1" applyAlignment="1">
      <alignment vertical="center"/>
    </xf>
    <xf numFmtId="0" fontId="9" fillId="0" borderId="379" xfId="107" applyBorder="1" applyAlignment="1">
      <alignment vertical="center"/>
    </xf>
    <xf numFmtId="0" fontId="9" fillId="0" borderId="328" xfId="107" applyBorder="1" applyAlignment="1">
      <alignment vertical="center"/>
    </xf>
    <xf numFmtId="43" fontId="0" fillId="0" borderId="328" xfId="108" applyFont="1" applyFill="1" applyBorder="1" applyAlignment="1">
      <alignment vertical="center"/>
    </xf>
    <xf numFmtId="43" fontId="64" fillId="0" borderId="328" xfId="108" applyFont="1" applyFill="1" applyBorder="1" applyAlignment="1">
      <alignment vertical="center"/>
    </xf>
    <xf numFmtId="44" fontId="0" fillId="0" borderId="357" xfId="109" applyFont="1" applyFill="1" applyBorder="1" applyAlignment="1">
      <alignment vertical="center"/>
    </xf>
    <xf numFmtId="44" fontId="0" fillId="0" borderId="313" xfId="84" applyFont="1" applyFill="1" applyBorder="1" applyAlignment="1">
      <alignment vertical="center"/>
    </xf>
    <xf numFmtId="43" fontId="64" fillId="0" borderId="322" xfId="108" applyFont="1" applyFill="1" applyBorder="1" applyAlignment="1">
      <alignment vertical="center"/>
    </xf>
    <xf numFmtId="43" fontId="64" fillId="0" borderId="320" xfId="108" applyFont="1" applyFill="1" applyBorder="1" applyAlignment="1">
      <alignment vertical="center"/>
    </xf>
    <xf numFmtId="44" fontId="64" fillId="0" borderId="313" xfId="84" applyFont="1" applyFill="1" applyBorder="1" applyAlignment="1">
      <alignment vertical="center"/>
    </xf>
    <xf numFmtId="44" fontId="64" fillId="0" borderId="321" xfId="84" applyFont="1" applyFill="1" applyBorder="1" applyAlignment="1">
      <alignment vertical="center"/>
    </xf>
    <xf numFmtId="0" fontId="137" fillId="0" borderId="258" xfId="107" applyFont="1" applyBorder="1" applyAlignment="1">
      <alignment vertical="center"/>
    </xf>
    <xf numFmtId="43" fontId="0" fillId="0" borderId="258" xfId="108" applyFont="1" applyFill="1" applyBorder="1" applyAlignment="1">
      <alignment vertical="center"/>
    </xf>
    <xf numFmtId="44" fontId="0" fillId="0" borderId="258" xfId="109" applyFont="1" applyFill="1" applyBorder="1" applyAlignment="1">
      <alignment vertical="center"/>
    </xf>
    <xf numFmtId="0" fontId="137" fillId="0" borderId="380" xfId="107" applyFont="1" applyBorder="1" applyAlignment="1">
      <alignment vertical="center"/>
    </xf>
    <xf numFmtId="0" fontId="73" fillId="0" borderId="381" xfId="16" applyNumberFormat="1" applyFont="1" applyFill="1" applyBorder="1" applyAlignment="1">
      <alignment vertical="center"/>
    </xf>
    <xf numFmtId="43" fontId="0" fillId="0" borderId="380" xfId="108" applyFont="1" applyFill="1" applyBorder="1" applyAlignment="1">
      <alignment vertical="center"/>
    </xf>
    <xf numFmtId="44" fontId="0" fillId="0" borderId="380" xfId="109" applyFont="1" applyFill="1" applyBorder="1" applyAlignment="1">
      <alignment vertical="center"/>
    </xf>
    <xf numFmtId="44" fontId="0" fillId="0" borderId="382" xfId="84" applyFont="1" applyFill="1" applyBorder="1" applyAlignment="1">
      <alignment vertical="center"/>
    </xf>
    <xf numFmtId="0" fontId="137" fillId="0" borderId="269" xfId="107" applyFont="1" applyBorder="1" applyAlignment="1">
      <alignment vertical="center"/>
    </xf>
    <xf numFmtId="0" fontId="73" fillId="0" borderId="383" xfId="16" applyNumberFormat="1" applyFont="1" applyFill="1" applyBorder="1" applyAlignment="1">
      <alignment vertical="center"/>
    </xf>
    <xf numFmtId="43" fontId="0" fillId="0" borderId="269" xfId="108" applyFont="1" applyFill="1" applyBorder="1" applyAlignment="1">
      <alignment vertical="center"/>
    </xf>
    <xf numFmtId="44" fontId="0" fillId="0" borderId="269" xfId="109" applyFont="1" applyFill="1" applyBorder="1" applyAlignment="1">
      <alignment vertical="center"/>
    </xf>
    <xf numFmtId="44" fontId="0" fillId="0" borderId="384" xfId="84" applyFont="1" applyFill="1" applyBorder="1" applyAlignment="1">
      <alignment vertical="center"/>
    </xf>
    <xf numFmtId="44" fontId="9" fillId="0" borderId="72" xfId="107" applyNumberFormat="1" applyAlignment="1">
      <alignment vertical="center"/>
    </xf>
    <xf numFmtId="0" fontId="157" fillId="0" borderId="72" xfId="107" applyFont="1" applyAlignment="1">
      <alignment horizontal="right" vertical="center"/>
    </xf>
    <xf numFmtId="0" fontId="157" fillId="0" borderId="72" xfId="107" applyFont="1" applyAlignment="1">
      <alignment horizontal="center" vertical="center"/>
    </xf>
    <xf numFmtId="44" fontId="157" fillId="0" borderId="72" xfId="84" applyFont="1" applyFill="1" applyAlignment="1">
      <alignment vertical="center"/>
    </xf>
    <xf numFmtId="0" fontId="169" fillId="0" borderId="72" xfId="107" applyFont="1" applyAlignment="1">
      <alignment vertical="center"/>
    </xf>
    <xf numFmtId="44" fontId="173" fillId="61" borderId="72" xfId="4" applyFont="1" applyFill="1" applyBorder="1" applyAlignment="1">
      <alignment vertical="top"/>
    </xf>
    <xf numFmtId="43" fontId="69" fillId="0" borderId="106" xfId="89" applyFont="1" applyBorder="1" applyAlignment="1"/>
    <xf numFmtId="43" fontId="69" fillId="0" borderId="205" xfId="89" applyFont="1" applyBorder="1" applyAlignment="1"/>
    <xf numFmtId="43" fontId="69" fillId="0" borderId="202" xfId="89" applyFont="1" applyBorder="1" applyAlignment="1"/>
    <xf numFmtId="0" fontId="170" fillId="59" borderId="356" xfId="112" applyFont="1" applyFill="1" applyBorder="1" applyAlignment="1">
      <alignment horizontal="center" vertical="center"/>
    </xf>
    <xf numFmtId="0" fontId="8" fillId="0" borderId="72" xfId="112" applyAlignment="1">
      <alignment vertical="center"/>
    </xf>
    <xf numFmtId="0" fontId="8" fillId="60" borderId="258" xfId="112" applyFill="1" applyBorder="1" applyAlignment="1">
      <alignment vertical="center"/>
    </xf>
    <xf numFmtId="0" fontId="8" fillId="60" borderId="314" xfId="112" applyFill="1" applyBorder="1" applyAlignment="1">
      <alignment vertical="center"/>
    </xf>
    <xf numFmtId="0" fontId="8" fillId="60" borderId="328" xfId="112" applyFill="1" applyBorder="1" applyAlignment="1">
      <alignment vertical="center"/>
    </xf>
    <xf numFmtId="43" fontId="0" fillId="60" borderId="328" xfId="113" applyFont="1" applyFill="1" applyBorder="1" applyAlignment="1">
      <alignment vertical="center"/>
    </xf>
    <xf numFmtId="43" fontId="64" fillId="60" borderId="328" xfId="113" applyFont="1" applyFill="1" applyBorder="1" applyAlignment="1">
      <alignment vertical="center"/>
    </xf>
    <xf numFmtId="44" fontId="0" fillId="60" borderId="357" xfId="114" applyFont="1" applyFill="1" applyBorder="1" applyAlignment="1">
      <alignment vertical="center"/>
    </xf>
    <xf numFmtId="43" fontId="0" fillId="60" borderId="313" xfId="113" applyFont="1" applyFill="1" applyBorder="1" applyAlignment="1">
      <alignment vertical="center"/>
    </xf>
    <xf numFmtId="43" fontId="64" fillId="0" borderId="322" xfId="113" applyFont="1" applyFill="1" applyBorder="1" applyAlignment="1">
      <alignment vertical="center"/>
    </xf>
    <xf numFmtId="43" fontId="64" fillId="0" borderId="358" xfId="113" applyFont="1" applyFill="1" applyBorder="1" applyAlignment="1">
      <alignment vertical="center" wrapText="1"/>
    </xf>
    <xf numFmtId="43" fontId="64" fillId="0" borderId="258" xfId="113" applyFont="1" applyFill="1" applyBorder="1" applyAlignment="1">
      <alignment vertical="center" wrapText="1"/>
    </xf>
    <xf numFmtId="43" fontId="64" fillId="0" borderId="360" xfId="113" applyFont="1" applyFill="1" applyBorder="1" applyAlignment="1">
      <alignment vertical="center" wrapText="1"/>
    </xf>
    <xf numFmtId="43" fontId="64" fillId="41" borderId="358" xfId="113" applyFont="1" applyFill="1" applyBorder="1" applyAlignment="1">
      <alignment vertical="center"/>
    </xf>
    <xf numFmtId="43" fontId="64" fillId="41" borderId="321" xfId="113" applyFont="1" applyFill="1" applyBorder="1" applyAlignment="1">
      <alignment vertical="center"/>
    </xf>
    <xf numFmtId="0" fontId="8" fillId="0" borderId="258" xfId="112" applyBorder="1" applyAlignment="1">
      <alignment vertical="center"/>
    </xf>
    <xf numFmtId="43" fontId="0" fillId="0" borderId="258" xfId="113" applyFont="1" applyFill="1" applyBorder="1" applyAlignment="1">
      <alignment vertical="center"/>
    </xf>
    <xf numFmtId="43" fontId="0" fillId="0" borderId="269" xfId="113" applyFont="1" applyFill="1" applyBorder="1" applyAlignment="1">
      <alignment vertical="center"/>
    </xf>
    <xf numFmtId="43" fontId="64" fillId="0" borderId="258" xfId="113" applyFont="1" applyFill="1" applyBorder="1" applyAlignment="1">
      <alignment vertical="center"/>
    </xf>
    <xf numFmtId="44" fontId="0" fillId="0" borderId="258" xfId="114" applyFont="1" applyFill="1" applyBorder="1" applyAlignment="1">
      <alignment vertical="center"/>
    </xf>
    <xf numFmtId="43" fontId="0" fillId="15" borderId="313" xfId="113" applyFont="1" applyFill="1" applyBorder="1" applyAlignment="1">
      <alignment vertical="center"/>
    </xf>
    <xf numFmtId="43" fontId="64" fillId="0" borderId="320" xfId="113" applyFont="1" applyFill="1" applyBorder="1" applyAlignment="1">
      <alignment vertical="center"/>
    </xf>
    <xf numFmtId="43" fontId="64" fillId="41" borderId="258" xfId="113" applyFont="1" applyFill="1" applyBorder="1" applyAlignment="1">
      <alignment vertical="center"/>
    </xf>
    <xf numFmtId="43" fontId="64" fillId="41" borderId="313" xfId="113" applyFont="1" applyFill="1" applyBorder="1" applyAlignment="1">
      <alignment vertical="center"/>
    </xf>
    <xf numFmtId="43" fontId="64" fillId="0" borderId="359" xfId="113" applyFont="1" applyFill="1" applyBorder="1" applyAlignment="1">
      <alignment vertical="center"/>
    </xf>
    <xf numFmtId="43" fontId="64" fillId="41" borderId="360" xfId="113" applyFont="1" applyFill="1" applyBorder="1" applyAlignment="1">
      <alignment vertical="center"/>
    </xf>
    <xf numFmtId="43" fontId="64" fillId="41" borderId="361" xfId="113" applyFont="1" applyFill="1" applyBorder="1" applyAlignment="1">
      <alignment vertical="center"/>
    </xf>
    <xf numFmtId="0" fontId="8" fillId="60" borderId="362" xfId="112" applyFill="1" applyBorder="1" applyAlignment="1">
      <alignment vertical="center"/>
    </xf>
    <xf numFmtId="0" fontId="8" fillId="60" borderId="363" xfId="112" applyFill="1" applyBorder="1" applyAlignment="1">
      <alignment vertical="center"/>
    </xf>
    <xf numFmtId="0" fontId="8" fillId="60" borderId="364" xfId="112" applyFill="1" applyBorder="1" applyAlignment="1">
      <alignment vertical="center"/>
    </xf>
    <xf numFmtId="43" fontId="0" fillId="60" borderId="364" xfId="113" applyFont="1" applyFill="1" applyBorder="1" applyAlignment="1">
      <alignment vertical="center"/>
    </xf>
    <xf numFmtId="43" fontId="64" fillId="60" borderId="364" xfId="113" applyFont="1" applyFill="1" applyBorder="1" applyAlignment="1">
      <alignment vertical="center"/>
    </xf>
    <xf numFmtId="44" fontId="0" fillId="60" borderId="365" xfId="114" applyFont="1" applyFill="1" applyBorder="1" applyAlignment="1">
      <alignment vertical="center"/>
    </xf>
    <xf numFmtId="0" fontId="8" fillId="59" borderId="72" xfId="112" applyFill="1" applyAlignment="1">
      <alignment vertical="center"/>
    </xf>
    <xf numFmtId="0" fontId="157" fillId="59" borderId="72" xfId="112" applyFont="1" applyFill="1" applyAlignment="1">
      <alignment horizontal="right" vertical="center"/>
    </xf>
    <xf numFmtId="43" fontId="157" fillId="59" borderId="72" xfId="113" applyFont="1" applyFill="1" applyAlignment="1">
      <alignment vertical="center"/>
    </xf>
    <xf numFmtId="44" fontId="8" fillId="0" borderId="72" xfId="10" applyFont="1" applyAlignment="1">
      <alignment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10" fontId="124" fillId="31" borderId="72" xfId="110" applyNumberFormat="1" applyFont="1" applyFill="1" applyBorder="1" applyAlignment="1">
      <alignment horizontal="center" vertical="center" wrapText="1"/>
    </xf>
    <xf numFmtId="10" fontId="124" fillId="31" borderId="88" xfId="110" applyNumberFormat="1" applyFont="1" applyFill="1" applyBorder="1" applyAlignment="1">
      <alignment horizontal="center" vertical="center" wrapText="1"/>
    </xf>
    <xf numFmtId="43" fontId="69" fillId="51" borderId="231" xfId="89" applyFont="1" applyFill="1" applyBorder="1" applyAlignment="1"/>
    <xf numFmtId="9" fontId="7" fillId="0" borderId="72" xfId="110" applyFont="1" applyBorder="1"/>
    <xf numFmtId="43" fontId="11" fillId="0" borderId="72" xfId="88" applyNumberFormat="1"/>
    <xf numFmtId="0" fontId="11" fillId="0" borderId="202" xfId="88" applyBorder="1" applyAlignment="1">
      <alignment horizontal="center" vertical="center" wrapText="1"/>
    </xf>
    <xf numFmtId="0" fontId="11" fillId="0" borderId="202" xfId="88" applyBorder="1" applyAlignment="1">
      <alignment horizontal="center" vertical="center"/>
    </xf>
    <xf numFmtId="191" fontId="119" fillId="4" borderId="150" xfId="29" applyNumberFormat="1" applyFont="1" applyFill="1" applyBorder="1" applyAlignment="1">
      <alignment vertical="center" wrapText="1"/>
    </xf>
    <xf numFmtId="191" fontId="69" fillId="0" borderId="72" xfId="29" applyNumberFormat="1" applyFont="1" applyFill="1" applyBorder="1" applyAlignment="1"/>
    <xf numFmtId="0" fontId="53" fillId="3" borderId="103" xfId="67" applyFont="1" applyFill="1" applyBorder="1" applyAlignment="1">
      <alignment vertical="center"/>
    </xf>
    <xf numFmtId="0" fontId="53" fillId="3" borderId="104" xfId="67" applyFont="1" applyFill="1" applyBorder="1" applyAlignment="1">
      <alignment vertical="center"/>
    </xf>
    <xf numFmtId="0" fontId="53" fillId="3" borderId="105" xfId="67" applyFont="1" applyFill="1" applyBorder="1" applyAlignment="1">
      <alignment vertical="center"/>
    </xf>
    <xf numFmtId="0" fontId="156" fillId="0" borderId="106" xfId="29" applyNumberFormat="1" applyFont="1" applyFill="1" applyBorder="1" applyAlignment="1">
      <alignment horizontal="center" vertical="center" wrapText="1"/>
    </xf>
    <xf numFmtId="186" fontId="156" fillId="0" borderId="153" xfId="29" applyNumberFormat="1" applyFont="1" applyFill="1" applyBorder="1" applyAlignment="1">
      <alignment horizontal="center"/>
    </xf>
    <xf numFmtId="0" fontId="156" fillId="0" borderId="161" xfId="29" applyNumberFormat="1" applyFont="1" applyFill="1" applyBorder="1" applyAlignment="1">
      <alignment horizontal="center" vertical="center" wrapText="1"/>
    </xf>
    <xf numFmtId="186" fontId="156" fillId="0" borderId="162" xfId="29" applyNumberFormat="1" applyFont="1" applyFill="1" applyBorder="1" applyAlignment="1">
      <alignment horizontal="center"/>
    </xf>
    <xf numFmtId="192" fontId="38" fillId="15" borderId="16" xfId="4" applyNumberFormat="1" applyFont="1" applyFill="1" applyBorder="1" applyAlignment="1">
      <alignment horizontal="left" vertical="center"/>
    </xf>
    <xf numFmtId="0" fontId="156" fillId="0" borderId="152" xfId="29" applyNumberFormat="1" applyFont="1" applyFill="1" applyBorder="1" applyAlignment="1">
      <alignment horizontal="center" vertical="center" wrapText="1"/>
    </xf>
    <xf numFmtId="0" fontId="156" fillId="0" borderId="160" xfId="29" applyNumberFormat="1" applyFont="1" applyFill="1" applyBorder="1" applyAlignment="1">
      <alignment horizontal="center" vertical="center" wrapText="1"/>
    </xf>
    <xf numFmtId="0" fontId="69" fillId="0" borderId="72" xfId="29" applyNumberFormat="1" applyFont="1" applyFill="1" applyBorder="1" applyAlignment="1">
      <alignment horizontal="center"/>
    </xf>
    <xf numFmtId="0" fontId="156" fillId="0" borderId="72" xfId="29" applyNumberFormat="1" applyFont="1" applyFill="1" applyBorder="1" applyAlignment="1">
      <alignment horizontal="center" vertical="center" wrapText="1"/>
    </xf>
    <xf numFmtId="186" fontId="156" fillId="0" borderId="72" xfId="29" applyNumberFormat="1" applyFont="1" applyFill="1" applyBorder="1" applyAlignment="1">
      <alignment horizontal="center"/>
    </xf>
    <xf numFmtId="44" fontId="31" fillId="0" borderId="72" xfId="4" applyFont="1" applyFill="1" applyBorder="1" applyAlignment="1">
      <alignment vertical="center"/>
    </xf>
    <xf numFmtId="44" fontId="64" fillId="41" borderId="351" xfId="4" applyFont="1" applyFill="1" applyBorder="1" applyAlignment="1">
      <alignment vertical="center"/>
    </xf>
    <xf numFmtId="44" fontId="64" fillId="41" borderId="386" xfId="4" applyFont="1" applyFill="1" applyBorder="1" applyAlignment="1">
      <alignment vertical="center"/>
    </xf>
    <xf numFmtId="44" fontId="64" fillId="41" borderId="387" xfId="4" applyFont="1" applyFill="1" applyBorder="1" applyAlignment="1">
      <alignment vertical="center"/>
    </xf>
    <xf numFmtId="10" fontId="31" fillId="0" borderId="72" xfId="110" applyNumberFormat="1" applyFont="1" applyFill="1" applyBorder="1" applyAlignment="1">
      <alignment vertical="center"/>
    </xf>
    <xf numFmtId="44" fontId="31" fillId="0" borderId="72" xfId="29" applyNumberFormat="1" applyFont="1" applyFill="1" applyBorder="1" applyAlignment="1">
      <alignment vertical="center"/>
    </xf>
    <xf numFmtId="0" fontId="138" fillId="16" borderId="72" xfId="14" applyFont="1" applyFill="1" applyAlignment="1">
      <alignment horizontal="center" vertical="center"/>
    </xf>
    <xf numFmtId="44" fontId="8" fillId="0" borderId="72" xfId="112" applyNumberFormat="1" applyAlignment="1">
      <alignment vertical="center"/>
    </xf>
    <xf numFmtId="0" fontId="8" fillId="0" borderId="74" xfId="112" applyBorder="1" applyAlignment="1">
      <alignment horizontal="center" vertical="center"/>
    </xf>
    <xf numFmtId="44" fontId="8" fillId="0" borderId="74" xfId="112" applyNumberFormat="1" applyBorder="1" applyAlignment="1">
      <alignment horizontal="center" vertical="center"/>
    </xf>
    <xf numFmtId="0" fontId="8" fillId="0" borderId="80" xfId="112" applyBorder="1" applyAlignment="1">
      <alignment horizontal="center" vertical="center"/>
    </xf>
    <xf numFmtId="0" fontId="8" fillId="0" borderId="73" xfId="112" applyBorder="1" applyAlignment="1">
      <alignment horizontal="center" vertical="center"/>
    </xf>
    <xf numFmtId="44" fontId="8" fillId="0" borderId="73" xfId="112" applyNumberFormat="1" applyBorder="1" applyAlignment="1">
      <alignment horizontal="center" vertical="center"/>
    </xf>
    <xf numFmtId="44" fontId="8" fillId="0" borderId="81" xfId="112" applyNumberFormat="1" applyBorder="1" applyAlignment="1">
      <alignment horizontal="center" vertical="center"/>
    </xf>
    <xf numFmtId="0" fontId="8" fillId="0" borderId="82" xfId="112" applyBorder="1" applyAlignment="1">
      <alignment horizontal="center" vertical="center"/>
    </xf>
    <xf numFmtId="44" fontId="8" fillId="0" borderId="83" xfId="112" applyNumberFormat="1" applyBorder="1" applyAlignment="1">
      <alignment horizontal="center" vertical="center"/>
    </xf>
    <xf numFmtId="0" fontId="8" fillId="0" borderId="90" xfId="112" applyBorder="1" applyAlignment="1">
      <alignment horizontal="center" vertical="center"/>
    </xf>
    <xf numFmtId="0" fontId="8" fillId="0" borderId="91" xfId="112" applyBorder="1" applyAlignment="1">
      <alignment horizontal="center" vertical="center"/>
    </xf>
    <xf numFmtId="44" fontId="8" fillId="0" borderId="91" xfId="112" applyNumberFormat="1" applyBorder="1" applyAlignment="1">
      <alignment horizontal="center" vertical="center"/>
    </xf>
    <xf numFmtId="44" fontId="8" fillId="0" borderId="92" xfId="112" applyNumberFormat="1" applyBorder="1" applyAlignment="1">
      <alignment horizontal="center" vertical="center"/>
    </xf>
    <xf numFmtId="0" fontId="7" fillId="0" borderId="105" xfId="112" applyFont="1" applyBorder="1" applyAlignment="1">
      <alignment horizontal="center" vertical="center"/>
    </xf>
    <xf numFmtId="0" fontId="7" fillId="0" borderId="385" xfId="112" applyFont="1" applyBorder="1" applyAlignment="1">
      <alignment horizontal="center" vertical="center"/>
    </xf>
    <xf numFmtId="43" fontId="64" fillId="0" borderId="93" xfId="113" applyFont="1" applyFill="1" applyBorder="1" applyAlignment="1">
      <alignment horizontal="center" vertical="center" wrapText="1"/>
    </xf>
    <xf numFmtId="43" fontId="64" fillId="0" borderId="259" xfId="113" applyFont="1" applyFill="1" applyBorder="1" applyAlignment="1">
      <alignment horizontal="center" vertical="center" wrapText="1"/>
    </xf>
    <xf numFmtId="44" fontId="8" fillId="0" borderId="103" xfId="4" applyFont="1" applyBorder="1" applyAlignment="1">
      <alignment vertical="center"/>
    </xf>
    <xf numFmtId="44" fontId="8" fillId="0" borderId="104" xfId="4" applyFont="1" applyBorder="1" applyAlignment="1">
      <alignment vertical="center"/>
    </xf>
    <xf numFmtId="44" fontId="8" fillId="0" borderId="105" xfId="4" applyFont="1" applyBorder="1" applyAlignment="1">
      <alignment vertical="center"/>
    </xf>
    <xf numFmtId="43" fontId="135" fillId="41" borderId="289" xfId="75" applyNumberFormat="1" applyFont="1" applyFill="1" applyBorder="1" applyAlignment="1">
      <alignment horizontal="center"/>
    </xf>
    <xf numFmtId="43" fontId="145" fillId="0" borderId="56" xfId="75" applyNumberFormat="1" applyFont="1" applyBorder="1" applyAlignment="1">
      <alignment horizontal="center" vertical="center"/>
    </xf>
    <xf numFmtId="0" fontId="177" fillId="0" borderId="72" xfId="115" applyFont="1"/>
    <xf numFmtId="0" fontId="177" fillId="0" borderId="88" xfId="115" applyFont="1" applyBorder="1"/>
    <xf numFmtId="0" fontId="176" fillId="0" borderId="72" xfId="115"/>
    <xf numFmtId="0" fontId="93" fillId="0" borderId="72" xfId="115" applyFont="1"/>
    <xf numFmtId="0" fontId="93" fillId="0" borderId="88" xfId="115" applyFont="1" applyBorder="1"/>
    <xf numFmtId="171" fontId="66" fillId="0" borderId="72" xfId="5" applyNumberFormat="1" applyFont="1" applyAlignment="1">
      <alignment horizontal="left" vertical="center"/>
    </xf>
    <xf numFmtId="172" fontId="66" fillId="0" borderId="72" xfId="5" applyNumberFormat="1" applyFont="1" applyAlignment="1">
      <alignment horizontal="left" vertical="center"/>
    </xf>
    <xf numFmtId="172" fontId="66" fillId="0" borderId="88" xfId="5" applyNumberFormat="1" applyFont="1" applyBorder="1" applyAlignment="1">
      <alignment horizontal="left" vertical="center"/>
    </xf>
    <xf numFmtId="49" fontId="180" fillId="0" borderId="89" xfId="115" applyNumberFormat="1" applyFont="1" applyBorder="1" applyAlignment="1">
      <alignment horizontal="center" vertical="center"/>
    </xf>
    <xf numFmtId="49" fontId="180" fillId="0" borderId="391" xfId="115" applyNumberFormat="1" applyFont="1" applyBorder="1" applyAlignment="1">
      <alignment horizontal="center" vertical="center" wrapText="1"/>
    </xf>
    <xf numFmtId="0" fontId="180" fillId="0" borderId="88" xfId="115" applyFont="1" applyBorder="1" applyAlignment="1">
      <alignment horizontal="center" vertical="center" wrapText="1"/>
    </xf>
    <xf numFmtId="49" fontId="170" fillId="0" borderId="392" xfId="115" applyNumberFormat="1" applyFont="1" applyBorder="1" applyAlignment="1">
      <alignment horizontal="left" vertical="center"/>
    </xf>
    <xf numFmtId="0" fontId="181" fillId="0" borderId="393" xfId="5" quotePrefix="1" applyFont="1" applyBorder="1" applyAlignment="1">
      <alignment horizontal="left" vertical="center"/>
    </xf>
    <xf numFmtId="0" fontId="182" fillId="0" borderId="394" xfId="115" applyFont="1" applyBorder="1" applyAlignment="1">
      <alignment horizontal="left" vertical="center" wrapText="1"/>
    </xf>
    <xf numFmtId="49" fontId="184" fillId="0" borderId="392" xfId="115" applyNumberFormat="1" applyFont="1" applyBorder="1" applyAlignment="1">
      <alignment horizontal="left" vertical="center"/>
    </xf>
    <xf numFmtId="0" fontId="184" fillId="0" borderId="394" xfId="115" applyFont="1" applyBorder="1" applyAlignment="1">
      <alignment horizontal="left" vertical="center" wrapText="1"/>
    </xf>
    <xf numFmtId="49" fontId="185" fillId="0" borderId="392" xfId="115" applyNumberFormat="1" applyFont="1" applyBorder="1" applyAlignment="1">
      <alignment horizontal="left" vertical="center"/>
    </xf>
    <xf numFmtId="0" fontId="185" fillId="0" borderId="394" xfId="115" applyFont="1" applyBorder="1" applyAlignment="1">
      <alignment horizontal="left" vertical="center" wrapText="1"/>
    </xf>
    <xf numFmtId="0" fontId="183" fillId="0" borderId="394" xfId="115" applyFont="1" applyBorder="1" applyAlignment="1">
      <alignment vertical="center"/>
    </xf>
    <xf numFmtId="0" fontId="58" fillId="0" borderId="394" xfId="115" applyFont="1" applyBorder="1" applyAlignment="1">
      <alignment vertical="center"/>
    </xf>
    <xf numFmtId="0" fontId="170" fillId="0" borderId="394" xfId="115" applyFont="1" applyBorder="1" applyAlignment="1">
      <alignment horizontal="left" vertical="center" wrapText="1"/>
    </xf>
    <xf numFmtId="0" fontId="100" fillId="0" borderId="394" xfId="115" applyFont="1" applyBorder="1" applyAlignment="1">
      <alignment vertical="center"/>
    </xf>
    <xf numFmtId="0" fontId="186" fillId="0" borderId="394" xfId="115" applyFont="1" applyBorder="1" applyAlignment="1">
      <alignment vertical="center"/>
    </xf>
    <xf numFmtId="49" fontId="183" fillId="0" borderId="395" xfId="115" quotePrefix="1" applyNumberFormat="1" applyFont="1" applyBorder="1" applyAlignment="1">
      <alignment vertical="center"/>
    </xf>
    <xf numFmtId="0" fontId="181" fillId="0" borderId="396" xfId="5" quotePrefix="1" applyFont="1" applyBorder="1" applyAlignment="1">
      <alignment horizontal="left" vertical="center"/>
    </xf>
    <xf numFmtId="0" fontId="185" fillId="0" borderId="397" xfId="115" applyFont="1" applyBorder="1" applyAlignment="1">
      <alignment horizontal="left" vertical="center" wrapText="1"/>
    </xf>
    <xf numFmtId="0" fontId="187" fillId="0" borderId="72" xfId="5" applyFont="1" applyAlignment="1">
      <alignment vertical="center"/>
    </xf>
    <xf numFmtId="0" fontId="187" fillId="0" borderId="72" xfId="5" applyFont="1" applyAlignment="1">
      <alignment horizontal="left" vertical="center"/>
    </xf>
    <xf numFmtId="0" fontId="181" fillId="0" borderId="72" xfId="5" applyFont="1" applyAlignment="1">
      <alignment vertical="center"/>
    </xf>
    <xf numFmtId="0" fontId="31" fillId="0" borderId="72" xfId="5"/>
    <xf numFmtId="0" fontId="162" fillId="0" borderId="72" xfId="116"/>
    <xf numFmtId="0" fontId="162" fillId="0" borderId="258" xfId="116" applyBorder="1"/>
    <xf numFmtId="0" fontId="162" fillId="0" borderId="258" xfId="116" applyBorder="1" applyAlignment="1">
      <alignment horizontal="left"/>
    </xf>
    <xf numFmtId="0" fontId="162" fillId="0" borderId="269" xfId="116" applyBorder="1"/>
    <xf numFmtId="17" fontId="162" fillId="0" borderId="269" xfId="116" applyNumberFormat="1" applyBorder="1" applyAlignment="1">
      <alignment horizontal="left"/>
    </xf>
    <xf numFmtId="0" fontId="162" fillId="15" borderId="270" xfId="116" applyFill="1" applyBorder="1"/>
    <xf numFmtId="0" fontId="162" fillId="0" borderId="268" xfId="116" applyBorder="1"/>
    <xf numFmtId="0" fontId="162" fillId="0" borderId="268" xfId="116" applyBorder="1" applyAlignment="1">
      <alignment horizontal="left"/>
    </xf>
    <xf numFmtId="0" fontId="162" fillId="0" borderId="269" xfId="116" applyBorder="1" applyAlignment="1">
      <alignment horizontal="left"/>
    </xf>
    <xf numFmtId="0" fontId="141" fillId="14" borderId="257" xfId="116" applyFont="1" applyFill="1" applyBorder="1" applyAlignment="1" applyProtection="1">
      <alignment horizontal="center" vertical="center"/>
      <protection hidden="1"/>
    </xf>
    <xf numFmtId="0" fontId="79" fillId="43" borderId="256" xfId="116" applyFont="1" applyFill="1" applyBorder="1" applyAlignment="1" applyProtection="1">
      <alignment horizontal="center" vertical="center"/>
      <protection hidden="1"/>
    </xf>
    <xf numFmtId="0" fontId="59" fillId="4" borderId="158" xfId="117" applyFont="1" applyFill="1" applyBorder="1" applyAlignment="1">
      <alignment horizontal="center" vertical="center" wrapText="1"/>
    </xf>
    <xf numFmtId="0" fontId="59" fillId="4" borderId="267" xfId="117" applyFont="1" applyFill="1" applyBorder="1" applyAlignment="1">
      <alignment horizontal="center" vertical="center" wrapText="1"/>
    </xf>
    <xf numFmtId="167" fontId="58" fillId="4" borderId="267" xfId="117" applyNumberFormat="1" applyFont="1" applyFill="1" applyBorder="1" applyAlignment="1">
      <alignment horizontal="left" vertical="center" wrapText="1"/>
    </xf>
    <xf numFmtId="0" fontId="58" fillId="4" borderId="267" xfId="117" applyFont="1" applyFill="1" applyBorder="1" applyAlignment="1">
      <alignment horizontal="center" vertical="center" wrapText="1"/>
    </xf>
    <xf numFmtId="0" fontId="58" fillId="4" borderId="266" xfId="118" applyFont="1" applyFill="1" applyBorder="1" applyAlignment="1">
      <alignment horizontal="left" vertical="center" wrapText="1"/>
    </xf>
    <xf numFmtId="0" fontId="100" fillId="12" borderId="265" xfId="117" applyFont="1" applyFill="1" applyBorder="1" applyAlignment="1">
      <alignment vertical="center" wrapText="1"/>
    </xf>
    <xf numFmtId="0" fontId="79" fillId="42" borderId="256" xfId="116" applyFont="1" applyFill="1" applyBorder="1" applyAlignment="1" applyProtection="1">
      <alignment horizontal="center" vertical="center"/>
      <protection hidden="1"/>
    </xf>
    <xf numFmtId="0" fontId="59" fillId="4" borderId="264" xfId="117" applyFont="1" applyFill="1" applyBorder="1" applyAlignment="1">
      <alignment horizontal="center" vertical="center" wrapText="1"/>
    </xf>
    <xf numFmtId="0" fontId="59" fillId="4" borderId="59" xfId="117" applyFont="1" applyFill="1" applyBorder="1" applyAlignment="1">
      <alignment horizontal="center" vertical="center" wrapText="1"/>
    </xf>
    <xf numFmtId="167" fontId="58" fillId="4" borderId="59" xfId="117" applyNumberFormat="1" applyFont="1" applyFill="1" applyBorder="1" applyAlignment="1">
      <alignment horizontal="left" vertical="center" wrapText="1"/>
    </xf>
    <xf numFmtId="0" fontId="58" fillId="4" borderId="59" xfId="117" applyFont="1" applyFill="1" applyBorder="1" applyAlignment="1">
      <alignment horizontal="center" vertical="center" wrapText="1"/>
    </xf>
    <xf numFmtId="0" fontId="58" fillId="4" borderId="58" xfId="118" applyFont="1" applyFill="1" applyBorder="1" applyAlignment="1">
      <alignment horizontal="left" vertical="center" wrapText="1"/>
    </xf>
    <xf numFmtId="0" fontId="100" fillId="12" borderId="263" xfId="117" applyFont="1" applyFill="1" applyBorder="1" applyAlignment="1">
      <alignment vertical="center" wrapText="1"/>
    </xf>
    <xf numFmtId="0" fontId="63" fillId="0" borderId="256" xfId="116" applyFont="1" applyBorder="1" applyAlignment="1">
      <alignment horizontal="center" vertical="center"/>
    </xf>
    <xf numFmtId="0" fontId="59" fillId="4" borderId="262" xfId="117" applyFont="1" applyFill="1" applyBorder="1" applyAlignment="1">
      <alignment horizontal="center" vertical="center" wrapText="1"/>
    </xf>
    <xf numFmtId="0" fontId="59" fillId="4" borderId="69" xfId="117" applyFont="1" applyFill="1" applyBorder="1" applyAlignment="1">
      <alignment horizontal="center" vertical="center" wrapText="1"/>
    </xf>
    <xf numFmtId="167" fontId="58" fillId="4" borderId="69" xfId="117" applyNumberFormat="1" applyFont="1" applyFill="1" applyBorder="1" applyAlignment="1">
      <alignment horizontal="left" vertical="center" wrapText="1"/>
    </xf>
    <xf numFmtId="0" fontId="58" fillId="4" borderId="69" xfId="117" applyFont="1" applyFill="1" applyBorder="1" applyAlignment="1">
      <alignment horizontal="center" vertical="center" wrapText="1"/>
    </xf>
    <xf numFmtId="170" fontId="58" fillId="4" borderId="57" xfId="118" applyNumberFormat="1" applyFont="1" applyFill="1" applyBorder="1" applyAlignment="1">
      <alignment horizontal="left" vertical="center" wrapText="1"/>
    </xf>
    <xf numFmtId="0" fontId="100" fillId="12" borderId="261" xfId="117" applyFont="1" applyFill="1" applyBorder="1" applyAlignment="1">
      <alignment vertical="center" wrapText="1"/>
    </xf>
    <xf numFmtId="0" fontId="140" fillId="41" borderId="255" xfId="116" applyFont="1" applyFill="1" applyBorder="1" applyAlignment="1" applyProtection="1">
      <alignment horizontal="center" vertical="center"/>
      <protection hidden="1"/>
    </xf>
    <xf numFmtId="0" fontId="181" fillId="0" borderId="393" xfId="118" applyFont="1" applyBorder="1" applyAlignment="1">
      <alignment horizontal="left" vertical="center"/>
    </xf>
    <xf numFmtId="172" fontId="66" fillId="0" borderId="72" xfId="118" applyNumberFormat="1" applyFont="1" applyAlignment="1">
      <alignment horizontal="left" vertical="center"/>
    </xf>
    <xf numFmtId="171" fontId="66" fillId="0" borderId="72" xfId="118" applyNumberFormat="1" applyFont="1" applyAlignment="1">
      <alignment horizontal="left" vertical="center"/>
    </xf>
    <xf numFmtId="49" fontId="185" fillId="0" borderId="392" xfId="115" quotePrefix="1" applyNumberFormat="1" applyFont="1" applyBorder="1" applyAlignment="1">
      <alignment horizontal="left" vertical="center"/>
    </xf>
    <xf numFmtId="0" fontId="5" fillId="0" borderId="72" xfId="126"/>
    <xf numFmtId="43" fontId="5" fillId="15" borderId="313" xfId="126" applyNumberFormat="1" applyFill="1" applyBorder="1" applyAlignment="1">
      <alignment vertical="center"/>
    </xf>
    <xf numFmtId="44" fontId="5" fillId="0" borderId="258" xfId="126" applyNumberFormat="1" applyBorder="1" applyAlignment="1">
      <alignment vertical="center"/>
    </xf>
    <xf numFmtId="43" fontId="5" fillId="0" borderId="258" xfId="126" applyNumberFormat="1" applyBorder="1" applyAlignment="1">
      <alignment vertical="center"/>
    </xf>
    <xf numFmtId="43" fontId="64" fillId="0" borderId="258" xfId="126" applyNumberFormat="1" applyFont="1" applyBorder="1" applyAlignment="1">
      <alignment vertical="center"/>
    </xf>
    <xf numFmtId="43" fontId="5" fillId="0" borderId="269" xfId="126" applyNumberFormat="1" applyBorder="1" applyAlignment="1">
      <alignment vertical="center"/>
    </xf>
    <xf numFmtId="0" fontId="5" fillId="0" borderId="258" xfId="126" applyBorder="1" applyAlignment="1">
      <alignment vertical="center"/>
    </xf>
    <xf numFmtId="0" fontId="5" fillId="0" borderId="119" xfId="126" applyBorder="1"/>
    <xf numFmtId="0" fontId="5" fillId="0" borderId="354" xfId="126" applyBorder="1"/>
    <xf numFmtId="3" fontId="189" fillId="65" borderId="399" xfId="126" applyNumberFormat="1" applyFont="1" applyFill="1" applyBorder="1"/>
    <xf numFmtId="3" fontId="189" fillId="66" borderId="399" xfId="126" applyNumberFormat="1" applyFont="1" applyFill="1" applyBorder="1"/>
    <xf numFmtId="3" fontId="189" fillId="67" borderId="399" xfId="126" applyNumberFormat="1" applyFont="1" applyFill="1" applyBorder="1"/>
    <xf numFmtId="0" fontId="189" fillId="0" borderId="72" xfId="126" applyFont="1"/>
    <xf numFmtId="3" fontId="190" fillId="65" borderId="399" xfId="126" applyNumberFormat="1" applyFont="1" applyFill="1" applyBorder="1"/>
    <xf numFmtId="3" fontId="190" fillId="66" borderId="399" xfId="126" applyNumberFormat="1" applyFont="1" applyFill="1" applyBorder="1"/>
    <xf numFmtId="3" fontId="190" fillId="67" borderId="399" xfId="126" applyNumberFormat="1" applyFont="1" applyFill="1" applyBorder="1"/>
    <xf numFmtId="0" fontId="190" fillId="0" borderId="399" xfId="126" applyFont="1" applyBorder="1"/>
    <xf numFmtId="3" fontId="190" fillId="65" borderId="399" xfId="126" applyNumberFormat="1" applyFont="1" applyFill="1" applyBorder="1" applyAlignment="1">
      <alignment horizontal="center" vertical="center" wrapText="1"/>
    </xf>
    <xf numFmtId="3" fontId="191" fillId="66" borderId="399" xfId="126" applyNumberFormat="1" applyFont="1" applyFill="1" applyBorder="1" applyAlignment="1">
      <alignment horizontal="center" vertical="center" wrapText="1"/>
    </xf>
    <xf numFmtId="3" fontId="192" fillId="67" borderId="399" xfId="126" applyNumberFormat="1" applyFont="1" applyFill="1" applyBorder="1" applyAlignment="1">
      <alignment horizontal="center" vertical="center" wrapText="1"/>
    </xf>
    <xf numFmtId="0" fontId="5" fillId="12" borderId="399" xfId="126" applyFill="1" applyBorder="1" applyAlignment="1">
      <alignment horizontal="center" vertical="center" wrapText="1"/>
    </xf>
    <xf numFmtId="3" fontId="193" fillId="12" borderId="399" xfId="126" applyNumberFormat="1" applyFont="1" applyFill="1" applyBorder="1" applyAlignment="1">
      <alignment horizontal="center" vertical="center" wrapText="1"/>
    </xf>
    <xf numFmtId="0" fontId="193" fillId="12" borderId="399" xfId="126" applyFont="1" applyFill="1" applyBorder="1" applyAlignment="1">
      <alignment horizontal="center" vertical="center" wrapText="1"/>
    </xf>
    <xf numFmtId="0" fontId="194" fillId="12" borderId="399" xfId="126" applyFont="1" applyFill="1" applyBorder="1" applyAlignment="1">
      <alignment horizontal="left" vertical="center" wrapText="1"/>
    </xf>
    <xf numFmtId="3" fontId="193" fillId="10" borderId="399" xfId="126" applyNumberFormat="1" applyFont="1" applyFill="1" applyBorder="1" applyAlignment="1">
      <alignment horizontal="center" vertical="center" wrapText="1"/>
    </xf>
    <xf numFmtId="0" fontId="193" fillId="10" borderId="399" xfId="126" applyFont="1" applyFill="1" applyBorder="1" applyAlignment="1">
      <alignment horizontal="center" vertical="center" wrapText="1"/>
    </xf>
    <xf numFmtId="0" fontId="194" fillId="10" borderId="399" xfId="126" applyFont="1" applyFill="1" applyBorder="1" applyAlignment="1">
      <alignment horizontal="left" vertical="center" wrapText="1"/>
    </xf>
    <xf numFmtId="3" fontId="196" fillId="10" borderId="399" xfId="126" applyNumberFormat="1" applyFont="1" applyFill="1" applyBorder="1" applyAlignment="1">
      <alignment horizontal="center" vertical="center" wrapText="1"/>
    </xf>
    <xf numFmtId="3" fontId="196" fillId="12" borderId="399" xfId="126" applyNumberFormat="1" applyFont="1" applyFill="1" applyBorder="1" applyAlignment="1">
      <alignment horizontal="center" vertical="center" wrapText="1"/>
    </xf>
    <xf numFmtId="0" fontId="5" fillId="10" borderId="399" xfId="126" applyFill="1" applyBorder="1"/>
    <xf numFmtId="0" fontId="197" fillId="10" borderId="399" xfId="126" applyFont="1" applyFill="1" applyBorder="1" applyAlignment="1">
      <alignment horizontal="center" vertical="center" wrapText="1"/>
    </xf>
    <xf numFmtId="0" fontId="197" fillId="10" borderId="399" xfId="126" applyFont="1" applyFill="1" applyBorder="1"/>
    <xf numFmtId="0" fontId="195" fillId="72" borderId="399" xfId="126" applyFont="1" applyFill="1" applyBorder="1" applyAlignment="1">
      <alignment horizontal="center" vertical="center" wrapText="1"/>
    </xf>
    <xf numFmtId="0" fontId="5" fillId="72" borderId="72" xfId="126" applyFill="1"/>
    <xf numFmtId="0" fontId="5" fillId="72" borderId="399" xfId="126" applyFill="1" applyBorder="1"/>
    <xf numFmtId="0" fontId="5" fillId="0" borderId="399" xfId="126" applyBorder="1"/>
    <xf numFmtId="0" fontId="190" fillId="12" borderId="72" xfId="126" applyFont="1" applyFill="1"/>
    <xf numFmtId="0" fontId="200" fillId="0" borderId="72" xfId="126" applyFont="1"/>
    <xf numFmtId="4" fontId="201" fillId="0" borderId="72" xfId="126" applyNumberFormat="1" applyFont="1"/>
    <xf numFmtId="0" fontId="201" fillId="0" borderId="72" xfId="126" applyFont="1"/>
    <xf numFmtId="184" fontId="30" fillId="0" borderId="310" xfId="126" applyNumberFormat="1" applyFont="1" applyBorder="1"/>
    <xf numFmtId="4" fontId="30" fillId="0" borderId="5" xfId="126" applyNumberFormat="1" applyFont="1" applyBorder="1" applyAlignment="1">
      <alignment horizontal="center"/>
    </xf>
    <xf numFmtId="43" fontId="30" fillId="0" borderId="5" xfId="126" applyNumberFormat="1" applyFont="1" applyBorder="1" applyAlignment="1">
      <alignment horizontal="center"/>
    </xf>
    <xf numFmtId="0" fontId="33" fillId="0" borderId="309" xfId="126" applyFont="1" applyBorder="1" applyAlignment="1">
      <alignment horizontal="left"/>
    </xf>
    <xf numFmtId="184" fontId="30" fillId="15" borderId="312" xfId="126" applyNumberFormat="1" applyFont="1" applyFill="1" applyBorder="1"/>
    <xf numFmtId="4" fontId="30" fillId="15" borderId="123" xfId="126" applyNumberFormat="1" applyFont="1" applyFill="1" applyBorder="1"/>
    <xf numFmtId="43" fontId="30" fillId="15" borderId="123" xfId="126" applyNumberFormat="1" applyFont="1" applyFill="1" applyBorder="1" applyAlignment="1">
      <alignment horizontal="center"/>
    </xf>
    <xf numFmtId="0" fontId="33" fillId="15" borderId="123" xfId="126" applyFont="1" applyFill="1" applyBorder="1"/>
    <xf numFmtId="0" fontId="201" fillId="15" borderId="311" xfId="126" applyFont="1" applyFill="1" applyBorder="1" applyAlignment="1">
      <alignment horizontal="left"/>
    </xf>
    <xf numFmtId="43" fontId="35" fillId="9" borderId="169" xfId="126" applyNumberFormat="1" applyFont="1" applyFill="1" applyBorder="1" applyAlignment="1">
      <alignment horizontal="center" vertical="center" wrapText="1"/>
    </xf>
    <xf numFmtId="184" fontId="35" fillId="9" borderId="308" xfId="126" applyNumberFormat="1" applyFont="1" applyFill="1" applyBorder="1" applyAlignment="1">
      <alignment horizontal="center" vertical="center"/>
    </xf>
    <xf numFmtId="43" fontId="35" fillId="9" borderId="308" xfId="126" applyNumberFormat="1" applyFont="1" applyFill="1" applyBorder="1" applyAlignment="1">
      <alignment horizontal="center" vertical="center"/>
    </xf>
    <xf numFmtId="0" fontId="35" fillId="9" borderId="308" xfId="126" applyFont="1" applyFill="1" applyBorder="1" applyAlignment="1">
      <alignment horizontal="center" vertical="center" wrapText="1"/>
    </xf>
    <xf numFmtId="0" fontId="35" fillId="9" borderId="307" xfId="126" applyFont="1" applyFill="1" applyBorder="1" applyAlignment="1">
      <alignment horizontal="center" vertical="center" wrapText="1"/>
    </xf>
    <xf numFmtId="0" fontId="5" fillId="0" borderId="306" xfId="126" applyBorder="1"/>
    <xf numFmtId="0" fontId="5" fillId="0" borderId="305" xfId="126" applyBorder="1"/>
    <xf numFmtId="167" fontId="201" fillId="2" borderId="400" xfId="126" applyNumberFormat="1" applyFont="1" applyFill="1" applyBorder="1" applyAlignment="1">
      <alignment horizontal="center" vertical="center"/>
    </xf>
    <xf numFmtId="0" fontId="30" fillId="4" borderId="304" xfId="126" applyFont="1" applyFill="1" applyBorder="1" applyAlignment="1">
      <alignment vertical="center"/>
    </xf>
    <xf numFmtId="17" fontId="30" fillId="4" borderId="303" xfId="126" applyNumberFormat="1" applyFont="1" applyFill="1" applyBorder="1" applyAlignment="1">
      <alignment vertical="center"/>
    </xf>
    <xf numFmtId="0" fontId="29" fillId="4" borderId="302" xfId="126" applyFont="1" applyFill="1" applyBorder="1" applyAlignment="1">
      <alignment vertical="center"/>
    </xf>
    <xf numFmtId="17" fontId="30" fillId="4" borderId="31" xfId="126" applyNumberFormat="1" applyFont="1" applyFill="1" applyBorder="1" applyAlignment="1">
      <alignment horizontal="left" vertical="center"/>
    </xf>
    <xf numFmtId="0" fontId="30" fillId="4" borderId="46" xfId="126" applyFont="1" applyFill="1" applyBorder="1" applyAlignment="1">
      <alignment vertical="center"/>
    </xf>
    <xf numFmtId="0" fontId="30" fillId="4" borderId="45" xfId="126" applyFont="1" applyFill="1" applyBorder="1" applyAlignment="1">
      <alignment vertical="center"/>
    </xf>
    <xf numFmtId="0" fontId="29" fillId="4" borderId="301" xfId="126" applyFont="1" applyFill="1" applyBorder="1" applyAlignment="1">
      <alignment vertical="center"/>
    </xf>
    <xf numFmtId="0" fontId="30" fillId="4" borderId="33" xfId="126" applyFont="1" applyFill="1" applyBorder="1" applyAlignment="1">
      <alignment vertical="center"/>
    </xf>
    <xf numFmtId="0" fontId="198" fillId="76" borderId="72" xfId="126" applyFont="1" applyFill="1"/>
    <xf numFmtId="0" fontId="138" fillId="16" borderId="87" xfId="126" applyFont="1" applyFill="1" applyBorder="1" applyAlignment="1">
      <alignment horizontal="center" vertical="center"/>
    </xf>
    <xf numFmtId="0" fontId="69" fillId="0" borderId="45" xfId="126" applyFont="1" applyBorder="1" applyAlignment="1">
      <alignment vertical="center"/>
    </xf>
    <xf numFmtId="0" fontId="124" fillId="0" borderId="71" xfId="126" applyFont="1" applyBorder="1" applyAlignment="1">
      <alignment vertical="center"/>
    </xf>
    <xf numFmtId="0" fontId="69" fillId="0" borderId="354" xfId="126" applyFont="1" applyBorder="1" applyAlignment="1">
      <alignment horizontal="left" vertical="center"/>
    </xf>
    <xf numFmtId="0" fontId="69" fillId="0" borderId="326" xfId="126" applyFont="1" applyBorder="1" applyAlignment="1">
      <alignment horizontal="left" vertical="center"/>
    </xf>
    <xf numFmtId="0" fontId="72" fillId="0" borderId="354" xfId="126" applyFont="1" applyBorder="1" applyAlignment="1">
      <alignment horizontal="left" vertical="center" wrapText="1"/>
    </xf>
    <xf numFmtId="0" fontId="69" fillId="0" borderId="72" xfId="126" applyFont="1" applyAlignment="1">
      <alignment vertical="center"/>
    </xf>
    <xf numFmtId="0" fontId="69" fillId="0" borderId="2" xfId="126" applyFont="1" applyBorder="1" applyAlignment="1">
      <alignment vertical="center"/>
    </xf>
    <xf numFmtId="0" fontId="72" fillId="0" borderId="325" xfId="126" applyFont="1" applyBorder="1" applyAlignment="1">
      <alignment horizontal="left" vertical="center"/>
    </xf>
    <xf numFmtId="0" fontId="131" fillId="0" borderId="45" xfId="126" applyFont="1" applyBorder="1" applyAlignment="1">
      <alignment vertical="center"/>
    </xf>
    <xf numFmtId="0" fontId="131" fillId="0" borderId="47" xfId="126" applyFont="1" applyBorder="1" applyAlignment="1">
      <alignment vertical="center"/>
    </xf>
    <xf numFmtId="0" fontId="131" fillId="0" borderId="18" xfId="126" applyFont="1" applyBorder="1" applyAlignment="1">
      <alignment vertical="center"/>
    </xf>
    <xf numFmtId="0" fontId="195" fillId="77" borderId="356" xfId="126" applyFont="1" applyFill="1" applyBorder="1" applyAlignment="1">
      <alignment horizontal="center" vertical="center"/>
    </xf>
    <xf numFmtId="0" fontId="198" fillId="78" borderId="401" xfId="126" applyFont="1" applyFill="1" applyBorder="1"/>
    <xf numFmtId="0" fontId="202" fillId="79" borderId="72" xfId="126" applyFont="1" applyFill="1" applyAlignment="1">
      <alignment vertical="center"/>
    </xf>
    <xf numFmtId="0" fontId="203" fillId="80" borderId="72" xfId="126" applyFont="1" applyFill="1" applyAlignment="1">
      <alignment vertical="center"/>
    </xf>
    <xf numFmtId="0" fontId="204" fillId="81" borderId="72" xfId="126" applyFont="1" applyFill="1" applyAlignment="1">
      <alignment vertical="center"/>
    </xf>
    <xf numFmtId="0" fontId="206" fillId="82" borderId="72" xfId="126" applyFont="1" applyFill="1" applyAlignment="1">
      <alignment vertical="center"/>
    </xf>
    <xf numFmtId="4" fontId="202" fillId="79" borderId="72" xfId="126" applyNumberFormat="1" applyFont="1" applyFill="1" applyAlignment="1">
      <alignment horizontal="center" vertical="center"/>
    </xf>
    <xf numFmtId="4" fontId="206" fillId="82" borderId="72" xfId="126" applyNumberFormat="1" applyFont="1" applyFill="1" applyAlignment="1">
      <alignment horizontal="center" vertical="center"/>
    </xf>
    <xf numFmtId="4" fontId="203" fillId="80" borderId="72" xfId="126" applyNumberFormat="1" applyFont="1" applyFill="1" applyAlignment="1">
      <alignment horizontal="center" vertical="center"/>
    </xf>
    <xf numFmtId="4" fontId="204" fillId="81" borderId="72" xfId="126" applyNumberFormat="1" applyFont="1" applyFill="1" applyAlignment="1">
      <alignment horizontal="center" vertical="center"/>
    </xf>
    <xf numFmtId="43" fontId="202" fillId="79" borderId="72" xfId="126" applyNumberFormat="1" applyFont="1" applyFill="1" applyAlignment="1">
      <alignment horizontal="center" vertical="center"/>
    </xf>
    <xf numFmtId="43" fontId="206" fillId="82" borderId="72" xfId="126" applyNumberFormat="1" applyFont="1" applyFill="1" applyAlignment="1">
      <alignment horizontal="center" vertical="center"/>
    </xf>
    <xf numFmtId="43" fontId="203" fillId="80" borderId="72" xfId="126" applyNumberFormat="1" applyFont="1" applyFill="1" applyAlignment="1">
      <alignment horizontal="center" vertical="center"/>
    </xf>
    <xf numFmtId="43" fontId="204" fillId="81" borderId="72" xfId="126" applyNumberFormat="1" applyFont="1" applyFill="1" applyAlignment="1">
      <alignment horizontal="center" vertical="center"/>
    </xf>
    <xf numFmtId="0" fontId="202" fillId="79" borderId="72" xfId="126" applyFont="1" applyFill="1" applyAlignment="1">
      <alignment horizontal="left" vertical="center"/>
    </xf>
    <xf numFmtId="0" fontId="206" fillId="82" borderId="72" xfId="126" applyFont="1" applyFill="1" applyAlignment="1">
      <alignment horizontal="left" vertical="center"/>
    </xf>
    <xf numFmtId="0" fontId="203" fillId="80" borderId="72" xfId="126" applyFont="1" applyFill="1" applyAlignment="1">
      <alignment horizontal="left" vertical="center"/>
    </xf>
    <xf numFmtId="0" fontId="204" fillId="81" borderId="72" xfId="126" applyFont="1" applyFill="1" applyAlignment="1">
      <alignment horizontal="left" vertical="center"/>
    </xf>
    <xf numFmtId="0" fontId="198" fillId="78" borderId="402" xfId="126" applyFont="1" applyFill="1" applyBorder="1"/>
    <xf numFmtId="4" fontId="202" fillId="79" borderId="403" xfId="126" applyNumberFormat="1" applyFont="1" applyFill="1" applyBorder="1" applyAlignment="1">
      <alignment horizontal="right" vertical="center"/>
    </xf>
    <xf numFmtId="4" fontId="203" fillId="80" borderId="403" xfId="126" applyNumberFormat="1" applyFont="1" applyFill="1" applyBorder="1" applyAlignment="1">
      <alignment horizontal="right" vertical="center"/>
    </xf>
    <xf numFmtId="4" fontId="204" fillId="81" borderId="403" xfId="126" applyNumberFormat="1" applyFont="1" applyFill="1" applyBorder="1" applyAlignment="1">
      <alignment horizontal="right" vertical="center"/>
    </xf>
    <xf numFmtId="0" fontId="198" fillId="78" borderId="404" xfId="126" applyFont="1" applyFill="1" applyBorder="1"/>
    <xf numFmtId="0" fontId="202" fillId="79" borderId="405" xfId="126" applyFont="1" applyFill="1" applyBorder="1" applyAlignment="1">
      <alignment horizontal="left" vertical="center"/>
    </xf>
    <xf numFmtId="0" fontId="206" fillId="82" borderId="405" xfId="126" applyFont="1" applyFill="1" applyBorder="1" applyAlignment="1">
      <alignment horizontal="left" vertical="center"/>
    </xf>
    <xf numFmtId="0" fontId="203" fillId="80" borderId="405" xfId="126" applyFont="1" applyFill="1" applyBorder="1" applyAlignment="1">
      <alignment horizontal="left" vertical="center"/>
    </xf>
    <xf numFmtId="0" fontId="204" fillId="81" borderId="405" xfId="126" applyFont="1" applyFill="1" applyBorder="1" applyAlignment="1">
      <alignment horizontal="left" vertical="center"/>
    </xf>
    <xf numFmtId="0" fontId="206" fillId="82" borderId="406" xfId="126" applyFont="1" applyFill="1" applyBorder="1" applyAlignment="1">
      <alignment vertical="center"/>
    </xf>
    <xf numFmtId="0" fontId="205" fillId="82" borderId="72" xfId="126" applyFont="1" applyFill="1" applyAlignment="1">
      <alignment vertical="center"/>
    </xf>
    <xf numFmtId="0" fontId="206" fillId="82" borderId="72" xfId="126" applyFont="1" applyFill="1" applyAlignment="1">
      <alignment horizontal="left" vertical="center" wrapText="1"/>
    </xf>
    <xf numFmtId="0" fontId="206" fillId="82" borderId="72" xfId="126" applyFont="1" applyFill="1"/>
    <xf numFmtId="0" fontId="138" fillId="16" borderId="259" xfId="126" applyFont="1" applyFill="1" applyBorder="1" applyAlignment="1">
      <alignment horizontal="center" vertical="center"/>
    </xf>
    <xf numFmtId="0" fontId="200" fillId="82" borderId="72" xfId="126" applyFont="1" applyFill="1" applyAlignment="1">
      <alignment vertical="center"/>
    </xf>
    <xf numFmtId="0" fontId="207" fillId="82" borderId="72" xfId="126" applyFont="1" applyFill="1" applyAlignment="1">
      <alignment vertical="center"/>
    </xf>
    <xf numFmtId="0" fontId="203" fillId="82" borderId="72" xfId="126" applyFont="1" applyFill="1" applyAlignment="1">
      <alignment vertical="center"/>
    </xf>
    <xf numFmtId="0" fontId="203" fillId="82" borderId="406" xfId="126" applyFont="1" applyFill="1" applyBorder="1" applyAlignment="1">
      <alignment horizontal="left" vertical="center"/>
    </xf>
    <xf numFmtId="0" fontId="205" fillId="82" borderId="406" xfId="126" applyFont="1" applyFill="1" applyBorder="1" applyAlignment="1">
      <alignment horizontal="left" vertical="center"/>
    </xf>
    <xf numFmtId="0" fontId="200" fillId="82" borderId="406" xfId="126" applyFont="1" applyFill="1" applyBorder="1" applyAlignment="1">
      <alignment vertical="center"/>
    </xf>
    <xf numFmtId="0" fontId="205" fillId="82" borderId="406" xfId="126" applyFont="1" applyFill="1" applyBorder="1" applyAlignment="1">
      <alignment vertical="center"/>
    </xf>
    <xf numFmtId="4" fontId="206" fillId="84" borderId="403" xfId="126" applyNumberFormat="1" applyFont="1" applyFill="1" applyBorder="1" applyAlignment="1">
      <alignment horizontal="right" vertical="center"/>
    </xf>
    <xf numFmtId="0" fontId="206" fillId="83" borderId="407" xfId="126" applyFont="1" applyFill="1" applyBorder="1" applyAlignment="1">
      <alignment horizontal="left" vertical="center"/>
    </xf>
    <xf numFmtId="0" fontId="206" fillId="83" borderId="408" xfId="126" applyFont="1" applyFill="1" applyBorder="1" applyAlignment="1">
      <alignment horizontal="left" vertical="center"/>
    </xf>
    <xf numFmtId="0" fontId="206" fillId="83" borderId="408" xfId="126" applyFont="1" applyFill="1" applyBorder="1" applyAlignment="1">
      <alignment vertical="center"/>
    </xf>
    <xf numFmtId="4" fontId="206" fillId="83" borderId="408" xfId="126" applyNumberFormat="1" applyFont="1" applyFill="1" applyBorder="1" applyAlignment="1">
      <alignment horizontal="center" vertical="center"/>
    </xf>
    <xf numFmtId="43" fontId="206" fillId="83" borderId="408" xfId="126" applyNumberFormat="1" applyFont="1" applyFill="1" applyBorder="1" applyAlignment="1">
      <alignment horizontal="center" vertical="center"/>
    </xf>
    <xf numFmtId="4" fontId="206" fillId="85" borderId="409" xfId="126" applyNumberFormat="1" applyFont="1" applyFill="1" applyBorder="1" applyAlignment="1">
      <alignment horizontal="right" vertical="center"/>
    </xf>
    <xf numFmtId="0" fontId="206" fillId="83" borderId="410" xfId="126" applyFont="1" applyFill="1" applyBorder="1" applyAlignment="1">
      <alignment horizontal="left" vertical="center"/>
    </xf>
    <xf numFmtId="0" fontId="206" fillId="83" borderId="411" xfId="126" applyFont="1" applyFill="1" applyBorder="1" applyAlignment="1">
      <alignment horizontal="left" vertical="center"/>
    </xf>
    <xf numFmtId="0" fontId="206" fillId="83" borderId="411" xfId="126" applyFont="1" applyFill="1" applyBorder="1" applyAlignment="1">
      <alignment vertical="center"/>
    </xf>
    <xf numFmtId="4" fontId="206" fillId="83" borderId="411" xfId="126" applyNumberFormat="1" applyFont="1" applyFill="1" applyBorder="1" applyAlignment="1">
      <alignment horizontal="center" vertical="center"/>
    </xf>
    <xf numFmtId="43" fontId="206" fillId="83" borderId="411" xfId="126" applyNumberFormat="1" applyFont="1" applyFill="1" applyBorder="1" applyAlignment="1">
      <alignment horizontal="center" vertical="center"/>
    </xf>
    <xf numFmtId="4" fontId="206" fillId="85" borderId="412" xfId="126" applyNumberFormat="1" applyFont="1" applyFill="1" applyBorder="1" applyAlignment="1">
      <alignment horizontal="right" vertical="center"/>
    </xf>
    <xf numFmtId="0" fontId="206" fillId="82" borderId="407" xfId="126" applyFont="1" applyFill="1" applyBorder="1" applyAlignment="1">
      <alignment horizontal="left" vertical="center"/>
    </xf>
    <xf numFmtId="0" fontId="206" fillId="82" borderId="408" xfId="126" applyFont="1" applyFill="1" applyBorder="1" applyAlignment="1">
      <alignment horizontal="left" vertical="center"/>
    </xf>
    <xf numFmtId="0" fontId="206" fillId="82" borderId="408" xfId="126" applyFont="1" applyFill="1" applyBorder="1" applyAlignment="1">
      <alignment vertical="center"/>
    </xf>
    <xf numFmtId="4" fontId="206" fillId="82" borderId="408" xfId="126" applyNumberFormat="1" applyFont="1" applyFill="1" applyBorder="1" applyAlignment="1">
      <alignment horizontal="center" vertical="center"/>
    </xf>
    <xf numFmtId="43" fontId="206" fillId="82" borderId="408" xfId="126" applyNumberFormat="1" applyFont="1" applyFill="1" applyBorder="1" applyAlignment="1">
      <alignment horizontal="center" vertical="center"/>
    </xf>
    <xf numFmtId="4" fontId="206" fillId="84" borderId="409" xfId="126" applyNumberFormat="1" applyFont="1" applyFill="1" applyBorder="1" applyAlignment="1">
      <alignment horizontal="right" vertical="center"/>
    </xf>
    <xf numFmtId="0" fontId="206" fillId="82" borderId="410" xfId="126" applyFont="1" applyFill="1" applyBorder="1" applyAlignment="1">
      <alignment horizontal="left" vertical="center"/>
    </xf>
    <xf numFmtId="0" fontId="206" fillId="82" borderId="411" xfId="126" applyFont="1" applyFill="1" applyBorder="1" applyAlignment="1">
      <alignment horizontal="left" vertical="center"/>
    </xf>
    <xf numFmtId="0" fontId="206" fillId="82" borderId="411" xfId="126" applyFont="1" applyFill="1" applyBorder="1" applyAlignment="1">
      <alignment vertical="center"/>
    </xf>
    <xf numFmtId="4" fontId="206" fillId="82" borderId="411" xfId="126" applyNumberFormat="1" applyFont="1" applyFill="1" applyBorder="1" applyAlignment="1">
      <alignment horizontal="center" vertical="center"/>
    </xf>
    <xf numFmtId="43" fontId="206" fillId="82" borderId="411" xfId="126" applyNumberFormat="1" applyFont="1" applyFill="1" applyBorder="1" applyAlignment="1">
      <alignment horizontal="center" vertical="center"/>
    </xf>
    <xf numFmtId="4" fontId="206" fillId="84" borderId="412" xfId="126" applyNumberFormat="1" applyFont="1" applyFill="1" applyBorder="1" applyAlignment="1">
      <alignment horizontal="right" vertical="center"/>
    </xf>
    <xf numFmtId="0" fontId="208" fillId="78" borderId="405" xfId="126" applyFont="1" applyFill="1" applyBorder="1" applyAlignment="1">
      <alignment horizontal="left"/>
    </xf>
    <xf numFmtId="0" fontId="208" fillId="78" borderId="72" xfId="126" applyFont="1" applyFill="1" applyAlignment="1">
      <alignment horizontal="left"/>
    </xf>
    <xf numFmtId="0" fontId="208" fillId="78" borderId="72" xfId="126" applyFont="1" applyFill="1"/>
    <xf numFmtId="4" fontId="208" fillId="78" borderId="72" xfId="126" applyNumberFormat="1" applyFont="1" applyFill="1" applyAlignment="1">
      <alignment horizontal="center"/>
    </xf>
    <xf numFmtId="0" fontId="208" fillId="78" borderId="72" xfId="126" applyFont="1" applyFill="1" applyAlignment="1">
      <alignment horizontal="center"/>
    </xf>
    <xf numFmtId="4" fontId="208" fillId="78" borderId="403" xfId="126" applyNumberFormat="1" applyFont="1" applyFill="1" applyBorder="1" applyAlignment="1">
      <alignment horizontal="right"/>
    </xf>
    <xf numFmtId="0" fontId="5" fillId="82" borderId="72" xfId="126" applyFill="1"/>
    <xf numFmtId="193" fontId="202" fillId="79" borderId="72" xfId="126" applyNumberFormat="1" applyFont="1" applyFill="1" applyAlignment="1">
      <alignment horizontal="right" vertical="center"/>
    </xf>
    <xf numFmtId="193" fontId="206" fillId="82" borderId="72" xfId="126" applyNumberFormat="1" applyFont="1" applyFill="1" applyAlignment="1">
      <alignment horizontal="right" vertical="center"/>
    </xf>
    <xf numFmtId="193" fontId="206" fillId="83" borderId="411" xfId="126" applyNumberFormat="1" applyFont="1" applyFill="1" applyBorder="1" applyAlignment="1">
      <alignment horizontal="right" vertical="center"/>
    </xf>
    <xf numFmtId="193" fontId="206" fillId="82" borderId="411" xfId="126" applyNumberFormat="1" applyFont="1" applyFill="1" applyBorder="1" applyAlignment="1">
      <alignment horizontal="right" vertical="center"/>
    </xf>
    <xf numFmtId="193" fontId="206" fillId="83" borderId="408" xfId="126" applyNumberFormat="1" applyFont="1" applyFill="1" applyBorder="1" applyAlignment="1">
      <alignment horizontal="right" vertical="center"/>
    </xf>
    <xf numFmtId="193" fontId="206" fillId="82" borderId="408" xfId="126" applyNumberFormat="1" applyFont="1" applyFill="1" applyBorder="1" applyAlignment="1">
      <alignment horizontal="right" vertical="center"/>
    </xf>
    <xf numFmtId="193" fontId="203" fillId="80" borderId="72" xfId="126" applyNumberFormat="1" applyFont="1" applyFill="1" applyAlignment="1">
      <alignment horizontal="right" vertical="center"/>
    </xf>
    <xf numFmtId="193" fontId="204" fillId="81" borderId="72" xfId="126" applyNumberFormat="1" applyFont="1" applyFill="1" applyAlignment="1">
      <alignment horizontal="right" vertical="center"/>
    </xf>
    <xf numFmtId="193" fontId="208" fillId="78" borderId="72" xfId="126" applyNumberFormat="1" applyFont="1" applyFill="1" applyAlignment="1">
      <alignment horizontal="right"/>
    </xf>
    <xf numFmtId="194" fontId="202" fillId="79" borderId="72" xfId="126" applyNumberFormat="1" applyFont="1" applyFill="1" applyAlignment="1">
      <alignment horizontal="center" vertical="center"/>
    </xf>
    <xf numFmtId="194" fontId="206" fillId="82" borderId="72" xfId="126" applyNumberFormat="1" applyFont="1" applyFill="1" applyAlignment="1">
      <alignment horizontal="center" vertical="center"/>
    </xf>
    <xf numFmtId="194" fontId="206" fillId="83" borderId="411" xfId="126" applyNumberFormat="1" applyFont="1" applyFill="1" applyBorder="1" applyAlignment="1">
      <alignment horizontal="center" vertical="center"/>
    </xf>
    <xf numFmtId="194" fontId="206" fillId="82" borderId="411" xfId="126" applyNumberFormat="1" applyFont="1" applyFill="1" applyBorder="1" applyAlignment="1">
      <alignment horizontal="center" vertical="center"/>
    </xf>
    <xf numFmtId="194" fontId="206" fillId="83" borderId="408" xfId="126" applyNumberFormat="1" applyFont="1" applyFill="1" applyBorder="1" applyAlignment="1">
      <alignment horizontal="center" vertical="center"/>
    </xf>
    <xf numFmtId="194" fontId="206" fillId="82" borderId="408" xfId="126" applyNumberFormat="1" applyFont="1" applyFill="1" applyBorder="1" applyAlignment="1">
      <alignment horizontal="center" vertical="center"/>
    </xf>
    <xf numFmtId="194" fontId="203" fillId="80" borderId="72" xfId="126" applyNumberFormat="1" applyFont="1" applyFill="1" applyAlignment="1">
      <alignment horizontal="center" vertical="center"/>
    </xf>
    <xf numFmtId="194" fontId="204" fillId="81" borderId="72" xfId="126" applyNumberFormat="1" applyFont="1" applyFill="1" applyAlignment="1">
      <alignment horizontal="center" vertical="center"/>
    </xf>
    <xf numFmtId="194" fontId="208" fillId="78" borderId="72" xfId="126" applyNumberFormat="1" applyFont="1" applyFill="1" applyAlignment="1">
      <alignment horizontal="center"/>
    </xf>
    <xf numFmtId="0" fontId="209" fillId="65" borderId="72" xfId="126" applyFont="1" applyFill="1"/>
    <xf numFmtId="0" fontId="195" fillId="74" borderId="356" xfId="126" applyFont="1" applyFill="1" applyBorder="1" applyAlignment="1">
      <alignment horizontal="center" vertical="center" wrapText="1"/>
    </xf>
    <xf numFmtId="0" fontId="3" fillId="0" borderId="72" xfId="131"/>
    <xf numFmtId="0" fontId="211" fillId="0" borderId="72" xfId="131" applyFont="1"/>
    <xf numFmtId="0" fontId="212" fillId="0" borderId="72" xfId="131" applyFont="1"/>
    <xf numFmtId="0" fontId="213" fillId="0" borderId="72" xfId="131" applyFont="1"/>
    <xf numFmtId="4" fontId="214" fillId="2" borderId="413" xfId="131" applyNumberFormat="1" applyFont="1" applyFill="1" applyBorder="1"/>
    <xf numFmtId="0" fontId="214" fillId="2" borderId="413" xfId="131" applyFont="1" applyFill="1" applyBorder="1"/>
    <xf numFmtId="4" fontId="215" fillId="86" borderId="413" xfId="131" applyNumberFormat="1" applyFont="1" applyFill="1" applyBorder="1"/>
    <xf numFmtId="0" fontId="215" fillId="86" borderId="413" xfId="131" applyFont="1" applyFill="1" applyBorder="1"/>
    <xf numFmtId="0" fontId="215" fillId="86" borderId="413" xfId="131" applyFont="1" applyFill="1" applyBorder="1" applyAlignment="1">
      <alignment horizontal="right"/>
    </xf>
    <xf numFmtId="4" fontId="216" fillId="87" borderId="413" xfId="131" applyNumberFormat="1" applyFont="1" applyFill="1" applyBorder="1"/>
    <xf numFmtId="0" fontId="216" fillId="87" borderId="413" xfId="131" applyFont="1" applyFill="1" applyBorder="1"/>
    <xf numFmtId="0" fontId="216" fillId="87" borderId="413" xfId="131" applyFont="1" applyFill="1" applyBorder="1" applyAlignment="1">
      <alignment horizontal="right"/>
    </xf>
    <xf numFmtId="4" fontId="211" fillId="0" borderId="413" xfId="131" applyNumberFormat="1" applyFont="1" applyBorder="1"/>
    <xf numFmtId="0" fontId="211" fillId="0" borderId="413" xfId="131" applyFont="1" applyBorder="1"/>
    <xf numFmtId="0" fontId="215" fillId="88" borderId="413" xfId="131" applyFont="1" applyFill="1" applyBorder="1"/>
    <xf numFmtId="4" fontId="211" fillId="0" borderId="72" xfId="131" applyNumberFormat="1" applyFont="1"/>
    <xf numFmtId="0" fontId="210" fillId="89" borderId="413" xfId="131" applyFont="1" applyFill="1" applyBorder="1" applyAlignment="1">
      <alignment horizontal="center" vertical="center" wrapText="1"/>
    </xf>
    <xf numFmtId="0" fontId="217" fillId="0" borderId="72" xfId="131" applyFont="1"/>
    <xf numFmtId="0" fontId="218" fillId="0" borderId="72" xfId="131" applyFont="1"/>
    <xf numFmtId="0" fontId="2" fillId="0" borderId="72" xfId="132"/>
    <xf numFmtId="43" fontId="2" fillId="15" borderId="313" xfId="132" applyNumberFormat="1" applyFill="1" applyBorder="1" applyAlignment="1">
      <alignment vertical="center"/>
    </xf>
    <xf numFmtId="44" fontId="2" fillId="0" borderId="258" xfId="132" applyNumberFormat="1" applyBorder="1" applyAlignment="1">
      <alignment vertical="center"/>
    </xf>
    <xf numFmtId="43" fontId="2" fillId="0" borderId="258" xfId="132" applyNumberFormat="1" applyBorder="1" applyAlignment="1">
      <alignment vertical="center"/>
    </xf>
    <xf numFmtId="43" fontId="64" fillId="0" borderId="258" xfId="132" applyNumberFormat="1" applyFont="1" applyBorder="1" applyAlignment="1">
      <alignment vertical="center"/>
    </xf>
    <xf numFmtId="43" fontId="2" fillId="0" borderId="269" xfId="132" applyNumberFormat="1" applyBorder="1" applyAlignment="1">
      <alignment vertical="center"/>
    </xf>
    <xf numFmtId="0" fontId="2" fillId="0" borderId="258" xfId="132" applyBorder="1" applyAlignment="1">
      <alignment vertical="center"/>
    </xf>
    <xf numFmtId="43" fontId="2" fillId="60" borderId="313" xfId="132" applyNumberFormat="1" applyFill="1" applyBorder="1" applyAlignment="1">
      <alignment vertical="center"/>
    </xf>
    <xf numFmtId="44" fontId="2" fillId="60" borderId="357" xfId="132" applyNumberFormat="1" applyFill="1" applyBorder="1" applyAlignment="1">
      <alignment vertical="center"/>
    </xf>
    <xf numFmtId="43" fontId="2" fillId="60" borderId="328" xfId="132" applyNumberFormat="1" applyFill="1" applyBorder="1" applyAlignment="1">
      <alignment vertical="center"/>
    </xf>
    <xf numFmtId="43" fontId="64" fillId="60" borderId="328" xfId="132" applyNumberFormat="1" applyFont="1" applyFill="1" applyBorder="1" applyAlignment="1">
      <alignment vertical="center"/>
    </xf>
    <xf numFmtId="0" fontId="2" fillId="60" borderId="328" xfId="132" applyFill="1" applyBorder="1" applyAlignment="1">
      <alignment vertical="center"/>
    </xf>
    <xf numFmtId="0" fontId="2" fillId="60" borderId="314" xfId="132" applyFill="1" applyBorder="1" applyAlignment="1">
      <alignment vertical="center"/>
    </xf>
    <xf numFmtId="0" fontId="2" fillId="60" borderId="258" xfId="132" applyFill="1" applyBorder="1" applyAlignment="1">
      <alignment vertical="center"/>
    </xf>
    <xf numFmtId="43" fontId="217" fillId="0" borderId="72" xfId="132" applyNumberFormat="1" applyFont="1" applyAlignment="1">
      <alignment horizontal="center" vertical="center"/>
    </xf>
    <xf numFmtId="0" fontId="217" fillId="0" borderId="72" xfId="132" applyFont="1" applyAlignment="1">
      <alignment horizontal="center" vertical="center"/>
    </xf>
    <xf numFmtId="0" fontId="170" fillId="59" borderId="356" xfId="132" applyFont="1" applyFill="1" applyBorder="1" applyAlignment="1">
      <alignment horizontal="center" vertical="center" wrapText="1"/>
    </xf>
    <xf numFmtId="0" fontId="170" fillId="59" borderId="356" xfId="132" applyFont="1" applyFill="1" applyBorder="1" applyAlignment="1">
      <alignment horizontal="center" vertical="center"/>
    </xf>
    <xf numFmtId="0" fontId="170" fillId="59" borderId="199" xfId="132" applyFont="1" applyFill="1" applyBorder="1" applyAlignment="1">
      <alignment horizontal="center" vertical="center"/>
    </xf>
    <xf numFmtId="0" fontId="69" fillId="0" borderId="45" xfId="132" applyFont="1" applyBorder="1" applyAlignment="1">
      <alignment vertical="center"/>
    </xf>
    <xf numFmtId="0" fontId="217" fillId="0" borderId="45" xfId="132" applyFont="1" applyBorder="1" applyAlignment="1">
      <alignment vertical="center"/>
    </xf>
    <xf numFmtId="0" fontId="218" fillId="0" borderId="71" xfId="132" applyFont="1" applyBorder="1" applyAlignment="1">
      <alignment vertical="center"/>
    </xf>
    <xf numFmtId="17" fontId="69" fillId="0" borderId="354" xfId="132" applyNumberFormat="1" applyFont="1" applyBorder="1" applyAlignment="1">
      <alignment horizontal="left" vertical="center"/>
    </xf>
    <xf numFmtId="17" fontId="69" fillId="0" borderId="326" xfId="132" applyNumberFormat="1" applyFont="1" applyBorder="1" applyAlignment="1">
      <alignment horizontal="left" vertical="center"/>
    </xf>
    <xf numFmtId="0" fontId="69" fillId="0" borderId="72" xfId="132" applyFont="1" applyAlignment="1">
      <alignment vertical="center"/>
    </xf>
    <xf numFmtId="0" fontId="69" fillId="0" borderId="2" xfId="132" applyFont="1" applyBorder="1" applyAlignment="1">
      <alignment vertical="center"/>
    </xf>
    <xf numFmtId="174" fontId="72" fillId="0" borderId="325" xfId="132" applyNumberFormat="1" applyFont="1" applyBorder="1" applyAlignment="1">
      <alignment horizontal="left" vertical="center"/>
    </xf>
    <xf numFmtId="174" fontId="219" fillId="0" borderId="325" xfId="132" applyNumberFormat="1" applyFont="1" applyBorder="1" applyAlignment="1">
      <alignment horizontal="left" vertical="center"/>
    </xf>
    <xf numFmtId="0" fontId="131" fillId="0" borderId="45" xfId="132" applyFont="1" applyBorder="1" applyAlignment="1">
      <alignment vertical="center"/>
    </xf>
    <xf numFmtId="0" fontId="131" fillId="0" borderId="47" xfId="132" applyFont="1" applyBorder="1" applyAlignment="1">
      <alignment vertical="center"/>
    </xf>
    <xf numFmtId="0" fontId="131" fillId="0" borderId="18" xfId="132" applyFont="1" applyBorder="1" applyAlignment="1">
      <alignment vertical="center"/>
    </xf>
    <xf numFmtId="0" fontId="220" fillId="0" borderId="72" xfId="132" applyFont="1"/>
    <xf numFmtId="0" fontId="200" fillId="0" borderId="72" xfId="132" applyFont="1"/>
    <xf numFmtId="0" fontId="221" fillId="0" borderId="72" xfId="132" applyFont="1"/>
    <xf numFmtId="0" fontId="2" fillId="0" borderId="74" xfId="132" applyBorder="1"/>
    <xf numFmtId="0" fontId="203" fillId="0" borderId="74" xfId="132" applyFont="1" applyBorder="1"/>
    <xf numFmtId="4" fontId="205" fillId="0" borderId="74" xfId="132" applyNumberFormat="1" applyFont="1" applyBorder="1"/>
    <xf numFmtId="0" fontId="205" fillId="0" borderId="74" xfId="132" applyFont="1" applyBorder="1"/>
    <xf numFmtId="9" fontId="205" fillId="0" borderId="74" xfId="132" applyNumberFormat="1" applyFont="1" applyBorder="1"/>
    <xf numFmtId="0" fontId="2" fillId="65" borderId="74" xfId="132" applyFill="1" applyBorder="1"/>
    <xf numFmtId="0" fontId="200" fillId="65" borderId="74" xfId="132" applyFont="1" applyFill="1" applyBorder="1"/>
    <xf numFmtId="0" fontId="195" fillId="76" borderId="74" xfId="132" applyFont="1" applyFill="1" applyBorder="1" applyAlignment="1">
      <alignment horizontal="center" vertical="center" wrapText="1"/>
    </xf>
    <xf numFmtId="0" fontId="222" fillId="0" borderId="72" xfId="132" applyFont="1"/>
    <xf numFmtId="0" fontId="205" fillId="0" borderId="72" xfId="132" applyFont="1"/>
    <xf numFmtId="0" fontId="74" fillId="3" borderId="142" xfId="29" applyFont="1" applyFill="1" applyBorder="1" applyAlignment="1">
      <alignment horizontal="center" vertical="center"/>
    </xf>
    <xf numFmtId="17" fontId="75" fillId="16" borderId="260" xfId="13" applyNumberFormat="1" applyFont="1" applyFill="1" applyBorder="1" applyAlignment="1">
      <alignment horizontal="center" vertical="center"/>
    </xf>
    <xf numFmtId="17" fontId="75" fillId="16" borderId="143" xfId="13" applyNumberFormat="1" applyFont="1" applyFill="1" applyBorder="1" applyAlignment="1">
      <alignment horizontal="center" vertical="center"/>
    </xf>
    <xf numFmtId="0" fontId="33" fillId="0" borderId="72" xfId="97" applyFont="1" applyAlignment="1">
      <alignment horizontal="center"/>
    </xf>
    <xf numFmtId="0" fontId="129" fillId="16" borderId="76" xfId="14" applyFont="1" applyFill="1" applyBorder="1" applyAlignment="1">
      <alignment horizontal="center" vertical="center"/>
    </xf>
    <xf numFmtId="0" fontId="33" fillId="4" borderId="58" xfId="80" applyFont="1" applyFill="1" applyBorder="1" applyAlignment="1">
      <alignment horizontal="left" vertical="center"/>
    </xf>
    <xf numFmtId="0" fontId="98" fillId="0" borderId="59" xfId="80" applyFont="1" applyBorder="1"/>
    <xf numFmtId="167" fontId="154" fillId="2" borderId="38" xfId="80" applyNumberFormat="1" applyFont="1" applyFill="1" applyBorder="1" applyAlignment="1">
      <alignment horizontal="center" vertical="center"/>
    </xf>
    <xf numFmtId="0" fontId="98" fillId="0" borderId="40" xfId="80" applyFont="1" applyBorder="1"/>
    <xf numFmtId="174" fontId="219" fillId="0" borderId="354" xfId="132" applyNumberFormat="1" applyFont="1" applyBorder="1" applyAlignment="1">
      <alignment horizontal="left" vertical="center" wrapText="1"/>
    </xf>
    <xf numFmtId="0" fontId="2" fillId="0" borderId="354" xfId="132" applyBorder="1"/>
    <xf numFmtId="0" fontId="214" fillId="2" borderId="72" xfId="132" applyFont="1" applyFill="1"/>
    <xf numFmtId="0" fontId="2" fillId="2" borderId="72" xfId="132" applyFill="1"/>
    <xf numFmtId="0" fontId="223" fillId="0" borderId="72" xfId="16" applyNumberFormat="1" applyFont="1" applyFill="1" applyBorder="1" applyAlignment="1">
      <alignment vertical="center"/>
    </xf>
    <xf numFmtId="0" fontId="63" fillId="0" borderId="0" xfId="0" applyFont="1"/>
    <xf numFmtId="4" fontId="225" fillId="90" borderId="43" xfId="0" applyNumberFormat="1" applyFont="1" applyFill="1" applyBorder="1" applyAlignment="1">
      <alignment horizontal="center" vertical="center" wrapText="1"/>
    </xf>
    <xf numFmtId="4" fontId="226" fillId="91" borderId="43" xfId="0" applyNumberFormat="1" applyFont="1" applyFill="1" applyBorder="1" applyAlignment="1">
      <alignment horizontal="center" vertical="center" wrapText="1"/>
    </xf>
    <xf numFmtId="4" fontId="226" fillId="92" borderId="43" xfId="0" applyNumberFormat="1" applyFont="1" applyFill="1" applyBorder="1" applyAlignment="1">
      <alignment horizontal="center" vertical="center" wrapText="1"/>
    </xf>
    <xf numFmtId="4" fontId="224" fillId="42" borderId="43" xfId="0" applyNumberFormat="1" applyFont="1" applyFill="1" applyBorder="1" applyAlignment="1">
      <alignment horizontal="center" vertical="center" wrapText="1"/>
    </xf>
    <xf numFmtId="4" fontId="226" fillId="91" borderId="44" xfId="0" applyNumberFormat="1" applyFont="1" applyFill="1" applyBorder="1" applyAlignment="1">
      <alignment horizontal="left" vertical="center"/>
    </xf>
    <xf numFmtId="4" fontId="225" fillId="90" borderId="44" xfId="0" applyNumberFormat="1" applyFont="1" applyFill="1" applyBorder="1" applyAlignment="1">
      <alignment horizontal="left" vertical="center"/>
    </xf>
    <xf numFmtId="4" fontId="227" fillId="90" borderId="122" xfId="16" applyNumberFormat="1" applyFont="1" applyFill="1" applyBorder="1" applyAlignment="1">
      <alignment horizontal="center" vertical="center" wrapText="1"/>
    </xf>
    <xf numFmtId="4" fontId="229" fillId="91" borderId="122" xfId="16" applyNumberFormat="1" applyFont="1" applyFill="1" applyBorder="1" applyAlignment="1">
      <alignment horizontal="center" vertical="center" wrapText="1"/>
    </xf>
    <xf numFmtId="49" fontId="225" fillId="90" borderId="42" xfId="0" applyNumberFormat="1" applyFont="1" applyFill="1" applyBorder="1" applyAlignment="1">
      <alignment horizontal="left" vertical="center" wrapText="1"/>
    </xf>
    <xf numFmtId="49" fontId="225" fillId="90" borderId="44" xfId="0" applyNumberFormat="1" applyFont="1" applyFill="1" applyBorder="1" applyAlignment="1">
      <alignment horizontal="left" vertical="center"/>
    </xf>
    <xf numFmtId="49" fontId="225" fillId="90" borderId="44" xfId="0" applyNumberFormat="1" applyFont="1" applyFill="1" applyBorder="1" applyAlignment="1">
      <alignment horizontal="left" vertical="center" wrapText="1"/>
    </xf>
    <xf numFmtId="0" fontId="225" fillId="90" borderId="44" xfId="0" applyFont="1" applyFill="1" applyBorder="1" applyAlignment="1">
      <alignment vertical="center"/>
    </xf>
    <xf numFmtId="0" fontId="225" fillId="90" borderId="44" xfId="0" applyFont="1" applyFill="1" applyBorder="1" applyAlignment="1">
      <alignment horizontal="center" vertical="center" wrapText="1"/>
    </xf>
    <xf numFmtId="4" fontId="225" fillId="90" borderId="44" xfId="0" applyNumberFormat="1" applyFont="1" applyFill="1" applyBorder="1" applyAlignment="1">
      <alignment horizontal="center" vertical="center" wrapText="1"/>
    </xf>
    <xf numFmtId="4" fontId="225" fillId="90" borderId="44" xfId="0" applyNumberFormat="1" applyFont="1" applyFill="1" applyBorder="1" applyAlignment="1">
      <alignment horizontal="right" vertical="center" wrapText="1"/>
    </xf>
    <xf numFmtId="49" fontId="226" fillId="91" borderId="42" xfId="0" applyNumberFormat="1" applyFont="1" applyFill="1" applyBorder="1" applyAlignment="1">
      <alignment horizontal="left" vertical="center" wrapText="1"/>
    </xf>
    <xf numFmtId="49" fontId="226" fillId="91" borderId="44" xfId="0" applyNumberFormat="1" applyFont="1" applyFill="1" applyBorder="1" applyAlignment="1">
      <alignment horizontal="left" vertical="center"/>
    </xf>
    <xf numFmtId="49" fontId="226" fillId="91" borderId="44" xfId="0" applyNumberFormat="1" applyFont="1" applyFill="1" applyBorder="1" applyAlignment="1">
      <alignment horizontal="left" vertical="center" wrapText="1"/>
    </xf>
    <xf numFmtId="0" fontId="226" fillId="91" borderId="44" xfId="0" applyFont="1" applyFill="1" applyBorder="1" applyAlignment="1">
      <alignment vertical="center"/>
    </xf>
    <xf numFmtId="0" fontId="226" fillId="91" borderId="44" xfId="0" applyFont="1" applyFill="1" applyBorder="1" applyAlignment="1">
      <alignment horizontal="center" vertical="center" wrapText="1"/>
    </xf>
    <xf numFmtId="4" fontId="226" fillId="91" borderId="44" xfId="0" applyNumberFormat="1" applyFont="1" applyFill="1" applyBorder="1" applyAlignment="1">
      <alignment horizontal="center" vertical="center" wrapText="1"/>
    </xf>
    <xf numFmtId="4" fontId="226" fillId="91" borderId="44" xfId="0" applyNumberFormat="1" applyFont="1" applyFill="1" applyBorder="1" applyAlignment="1">
      <alignment horizontal="right" vertical="center" wrapText="1"/>
    </xf>
    <xf numFmtId="49" fontId="226" fillId="92" borderId="42" xfId="0" applyNumberFormat="1" applyFont="1" applyFill="1" applyBorder="1" applyAlignment="1">
      <alignment horizontal="left" vertical="center" wrapText="1"/>
    </xf>
    <xf numFmtId="49" fontId="226" fillId="92" borderId="44" xfId="0" applyNumberFormat="1" applyFont="1" applyFill="1" applyBorder="1" applyAlignment="1">
      <alignment horizontal="left" vertical="center"/>
    </xf>
    <xf numFmtId="49" fontId="226" fillId="92" borderId="44" xfId="0" applyNumberFormat="1" applyFont="1" applyFill="1" applyBorder="1" applyAlignment="1">
      <alignment horizontal="left" vertical="center" wrapText="1"/>
    </xf>
    <xf numFmtId="0" fontId="226" fillId="92" borderId="44" xfId="0" applyFont="1" applyFill="1" applyBorder="1" applyAlignment="1">
      <alignment vertical="center"/>
    </xf>
    <xf numFmtId="0" fontId="226" fillId="92" borderId="44" xfId="0" applyFont="1" applyFill="1" applyBorder="1" applyAlignment="1">
      <alignment horizontal="center" vertical="center" wrapText="1"/>
    </xf>
    <xf numFmtId="4" fontId="226" fillId="92" borderId="44" xfId="0" applyNumberFormat="1" applyFont="1" applyFill="1" applyBorder="1" applyAlignment="1">
      <alignment horizontal="center" vertical="center" wrapText="1"/>
    </xf>
    <xf numFmtId="4" fontId="226" fillId="92" borderId="44" xfId="0" applyNumberFormat="1" applyFont="1" applyFill="1" applyBorder="1" applyAlignment="1">
      <alignment horizontal="right" vertical="center" wrapText="1"/>
    </xf>
    <xf numFmtId="4" fontId="226" fillId="92" borderId="44" xfId="0" applyNumberFormat="1" applyFont="1" applyFill="1" applyBorder="1" applyAlignment="1">
      <alignment horizontal="left" vertical="center"/>
    </xf>
    <xf numFmtId="49" fontId="51" fillId="82" borderId="42" xfId="0" applyNumberFormat="1" applyFont="1" applyFill="1" applyBorder="1" applyAlignment="1">
      <alignment horizontal="left" vertical="center"/>
    </xf>
    <xf numFmtId="49" fontId="51" fillId="82" borderId="44" xfId="0" applyNumberFormat="1" applyFont="1" applyFill="1" applyBorder="1" applyAlignment="1">
      <alignment horizontal="left" vertical="center"/>
    </xf>
    <xf numFmtId="49" fontId="51" fillId="82" borderId="44" xfId="0" applyNumberFormat="1" applyFont="1" applyFill="1" applyBorder="1" applyAlignment="1">
      <alignment horizontal="left" vertical="center" wrapText="1"/>
    </xf>
    <xf numFmtId="0" fontId="51" fillId="82" borderId="44" xfId="0" applyFont="1" applyFill="1" applyBorder="1" applyAlignment="1">
      <alignment vertical="center"/>
    </xf>
    <xf numFmtId="0" fontId="51" fillId="82" borderId="44" xfId="0" applyFont="1" applyFill="1" applyBorder="1" applyAlignment="1">
      <alignment horizontal="center" vertical="center" wrapText="1"/>
    </xf>
    <xf numFmtId="4" fontId="51" fillId="82" borderId="44" xfId="0" applyNumberFormat="1" applyFont="1" applyFill="1" applyBorder="1" applyAlignment="1">
      <alignment horizontal="center" vertical="center" wrapText="1"/>
    </xf>
    <xf numFmtId="4" fontId="51" fillId="82" borderId="44" xfId="0" applyNumberFormat="1" applyFont="1" applyFill="1" applyBorder="1" applyAlignment="1">
      <alignment horizontal="right" vertical="center" wrapText="1"/>
    </xf>
    <xf numFmtId="4" fontId="51" fillId="82" borderId="44" xfId="0" applyNumberFormat="1" applyFont="1" applyFill="1" applyBorder="1" applyAlignment="1">
      <alignment horizontal="left" vertical="center"/>
    </xf>
    <xf numFmtId="0" fontId="229" fillId="91" borderId="86" xfId="16" applyNumberFormat="1" applyFont="1" applyFill="1" applyBorder="1" applyAlignment="1">
      <alignment vertical="center"/>
    </xf>
    <xf numFmtId="0" fontId="229" fillId="91" borderId="86" xfId="16" applyNumberFormat="1" applyFont="1" applyFill="1" applyBorder="1" applyAlignment="1">
      <alignment horizontal="center" vertical="center" wrapText="1"/>
    </xf>
    <xf numFmtId="0" fontId="229" fillId="92" borderId="86" xfId="16" applyNumberFormat="1" applyFont="1" applyFill="1" applyBorder="1" applyAlignment="1">
      <alignment vertical="center"/>
    </xf>
    <xf numFmtId="0" fontId="229" fillId="92" borderId="86" xfId="16" applyNumberFormat="1" applyFont="1" applyFill="1" applyBorder="1" applyAlignment="1">
      <alignment horizontal="center" vertical="center" wrapText="1"/>
    </xf>
    <xf numFmtId="0" fontId="228" fillId="82" borderId="86" xfId="16" applyNumberFormat="1" applyFont="1" applyFill="1" applyBorder="1" applyAlignment="1">
      <alignment vertical="center"/>
    </xf>
    <xf numFmtId="4" fontId="228" fillId="82" borderId="86" xfId="33" applyNumberFormat="1" applyFont="1" applyFill="1" applyBorder="1" applyAlignment="1">
      <alignment horizontal="center" vertical="center" wrapText="1"/>
    </xf>
    <xf numFmtId="4" fontId="229" fillId="92" borderId="86" xfId="33" applyNumberFormat="1" applyFont="1" applyFill="1" applyBorder="1" applyAlignment="1">
      <alignment horizontal="center" vertical="center" wrapText="1"/>
    </xf>
    <xf numFmtId="49" fontId="226" fillId="91" borderId="42" xfId="0" applyNumberFormat="1" applyFont="1" applyFill="1" applyBorder="1" applyAlignment="1">
      <alignment horizontal="left" vertical="center"/>
    </xf>
    <xf numFmtId="49" fontId="226" fillId="92" borderId="42" xfId="0" applyNumberFormat="1" applyFont="1" applyFill="1" applyBorder="1" applyAlignment="1">
      <alignment horizontal="left" vertical="center"/>
    </xf>
    <xf numFmtId="4" fontId="51" fillId="82" borderId="44" xfId="0" applyNumberFormat="1" applyFont="1" applyFill="1" applyBorder="1" applyAlignment="1">
      <alignment horizontal="left" vertical="center" wrapText="1"/>
    </xf>
    <xf numFmtId="49" fontId="225" fillId="90" borderId="17" xfId="0" applyNumberFormat="1" applyFont="1" applyFill="1" applyBorder="1" applyAlignment="1">
      <alignment horizontal="left" vertical="center"/>
    </xf>
    <xf numFmtId="49" fontId="225" fillId="90" borderId="17" xfId="0" applyNumberFormat="1" applyFont="1" applyFill="1" applyBorder="1" applyAlignment="1">
      <alignment horizontal="left" vertical="center" wrapText="1"/>
    </xf>
    <xf numFmtId="0" fontId="225" fillId="90" borderId="17" xfId="0" applyFont="1" applyFill="1" applyBorder="1" applyAlignment="1">
      <alignment horizontal="center" vertical="center" wrapText="1"/>
    </xf>
    <xf numFmtId="4" fontId="225" fillId="90" borderId="17" xfId="0" applyNumberFormat="1" applyFont="1" applyFill="1" applyBorder="1" applyAlignment="1">
      <alignment horizontal="center" vertical="center" wrapText="1"/>
    </xf>
    <xf numFmtId="4" fontId="225" fillId="90"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xf>
    <xf numFmtId="49" fontId="226" fillId="91" borderId="17" xfId="0" applyNumberFormat="1" applyFont="1" applyFill="1" applyBorder="1" applyAlignment="1">
      <alignment horizontal="left" vertical="center" wrapText="1"/>
    </xf>
    <xf numFmtId="0" fontId="226" fillId="91" borderId="17" xfId="0" applyFont="1" applyFill="1" applyBorder="1" applyAlignment="1">
      <alignment vertical="center"/>
    </xf>
    <xf numFmtId="0" fontId="226" fillId="91" borderId="17" xfId="0" applyFont="1" applyFill="1" applyBorder="1" applyAlignment="1">
      <alignment horizontal="center" vertical="center" wrapText="1"/>
    </xf>
    <xf numFmtId="4" fontId="226" fillId="91" borderId="17" xfId="0" applyNumberFormat="1" applyFont="1" applyFill="1" applyBorder="1" applyAlignment="1">
      <alignment horizontal="center" vertical="center" wrapText="1"/>
    </xf>
    <xf numFmtId="4" fontId="226" fillId="91"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xf>
    <xf numFmtId="49" fontId="226" fillId="92" borderId="17" xfId="0" applyNumberFormat="1" applyFont="1" applyFill="1" applyBorder="1" applyAlignment="1">
      <alignment horizontal="left" vertical="center" wrapText="1"/>
    </xf>
    <xf numFmtId="0" fontId="226" fillId="92" borderId="17" xfId="0" applyFont="1" applyFill="1" applyBorder="1" applyAlignment="1">
      <alignment vertical="center"/>
    </xf>
    <xf numFmtId="0" fontId="226" fillId="92" borderId="17" xfId="0" applyFont="1" applyFill="1" applyBorder="1" applyAlignment="1">
      <alignment horizontal="center" vertical="center" wrapText="1"/>
    </xf>
    <xf numFmtId="4" fontId="226" fillId="92" borderId="17" xfId="0" applyNumberFormat="1" applyFont="1" applyFill="1" applyBorder="1" applyAlignment="1">
      <alignment horizontal="center" vertical="center" wrapText="1"/>
    </xf>
    <xf numFmtId="4" fontId="226" fillId="9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xf>
    <xf numFmtId="49" fontId="51" fillId="82" borderId="17" xfId="0" applyNumberFormat="1" applyFont="1" applyFill="1" applyBorder="1" applyAlignment="1">
      <alignment horizontal="left" vertical="center" wrapText="1"/>
    </xf>
    <xf numFmtId="0" fontId="51" fillId="82" borderId="17" xfId="0" applyFont="1" applyFill="1" applyBorder="1" applyAlignment="1">
      <alignment vertical="center"/>
    </xf>
    <xf numFmtId="0" fontId="51" fillId="82" borderId="17" xfId="0" applyFont="1" applyFill="1" applyBorder="1" applyAlignment="1">
      <alignment horizontal="center" vertical="center" wrapText="1"/>
    </xf>
    <xf numFmtId="4" fontId="51" fillId="82" borderId="17" xfId="0" applyNumberFormat="1" applyFont="1" applyFill="1" applyBorder="1" applyAlignment="1">
      <alignment horizontal="center" vertical="center" wrapText="1"/>
    </xf>
    <xf numFmtId="4" fontId="51" fillId="82" borderId="17" xfId="0" applyNumberFormat="1" applyFont="1" applyFill="1" applyBorder="1" applyAlignment="1">
      <alignment horizontal="left" vertical="center"/>
    </xf>
    <xf numFmtId="0" fontId="230" fillId="92" borderId="17" xfId="0" applyFont="1" applyFill="1" applyBorder="1" applyAlignment="1">
      <alignment vertical="center"/>
    </xf>
    <xf numFmtId="49" fontId="51" fillId="82" borderId="42" xfId="0" applyNumberFormat="1" applyFont="1" applyFill="1" applyBorder="1" applyAlignment="1">
      <alignment horizontal="left" vertical="center" wrapText="1"/>
    </xf>
    <xf numFmtId="49" fontId="225" fillId="90" borderId="42" xfId="0" applyNumberFormat="1" applyFont="1" applyFill="1" applyBorder="1" applyAlignment="1">
      <alignment horizontal="left" vertical="center"/>
    </xf>
    <xf numFmtId="4" fontId="229" fillId="91" borderId="86" xfId="33" applyNumberFormat="1" applyFont="1" applyFill="1" applyBorder="1" applyAlignment="1">
      <alignment horizontal="center" vertical="center" wrapText="1"/>
    </xf>
    <xf numFmtId="4" fontId="226" fillId="92" borderId="44" xfId="0" applyNumberFormat="1" applyFont="1" applyFill="1" applyBorder="1" applyAlignment="1">
      <alignment horizontal="left" vertical="center" wrapText="1"/>
    </xf>
    <xf numFmtId="0" fontId="225" fillId="90" borderId="42" xfId="0" applyFont="1" applyFill="1" applyBorder="1" applyAlignment="1">
      <alignment horizontal="left" vertical="center"/>
    </xf>
    <xf numFmtId="0" fontId="225" fillId="90" borderId="17" xfId="0" applyFont="1" applyFill="1" applyBorder="1" applyAlignment="1">
      <alignment vertical="center"/>
    </xf>
    <xf numFmtId="0" fontId="226" fillId="91" borderId="42" xfId="0" applyFont="1" applyFill="1" applyBorder="1" applyAlignment="1">
      <alignment horizontal="left" vertical="center"/>
    </xf>
    <xf numFmtId="0" fontId="226" fillId="92" borderId="42" xfId="0" applyFont="1" applyFill="1" applyBorder="1" applyAlignment="1">
      <alignment horizontal="left" vertical="center"/>
    </xf>
    <xf numFmtId="0" fontId="51" fillId="82" borderId="42" xfId="0" applyFont="1" applyFill="1" applyBorder="1" applyAlignment="1">
      <alignment horizontal="left" vertical="center"/>
    </xf>
    <xf numFmtId="3" fontId="181" fillId="0" borderId="393" xfId="5" quotePrefix="1" applyNumberFormat="1" applyFont="1" applyBorder="1" applyAlignment="1">
      <alignment horizontal="left" vertical="center"/>
    </xf>
    <xf numFmtId="49" fontId="181" fillId="0" borderId="393" xfId="5" quotePrefix="1" applyNumberFormat="1" applyFont="1" applyBorder="1" applyAlignment="1">
      <alignment horizontal="left" vertical="center"/>
    </xf>
    <xf numFmtId="0" fontId="130" fillId="32" borderId="72" xfId="28" applyFont="1" applyFill="1" applyAlignment="1">
      <alignment horizontal="center"/>
    </xf>
    <xf numFmtId="0" fontId="130" fillId="32" borderId="74" xfId="28" applyFont="1" applyFill="1" applyBorder="1" applyAlignment="1">
      <alignment horizontal="center" vertical="center"/>
    </xf>
    <xf numFmtId="0" fontId="31" fillId="32" borderId="414" xfId="28" applyFill="1" applyBorder="1" applyAlignment="1">
      <alignment horizontal="center" vertical="center"/>
    </xf>
    <xf numFmtId="195" fontId="0" fillId="32" borderId="414" xfId="6" applyNumberFormat="1" applyFont="1" applyFill="1" applyBorder="1" applyAlignment="1">
      <alignment horizontal="center" vertical="center"/>
    </xf>
    <xf numFmtId="197" fontId="0" fillId="32" borderId="414" xfId="133" applyNumberFormat="1" applyFont="1" applyFill="1" applyBorder="1" applyAlignment="1">
      <alignment vertical="center"/>
    </xf>
    <xf numFmtId="0" fontId="31" fillId="32" borderId="415" xfId="28" applyFill="1" applyBorder="1" applyAlignment="1">
      <alignment vertical="center" wrapText="1"/>
    </xf>
    <xf numFmtId="0" fontId="31" fillId="32" borderId="207" xfId="28" applyFill="1" applyBorder="1" applyAlignment="1">
      <alignment horizontal="center" vertical="center"/>
    </xf>
    <xf numFmtId="0" fontId="31" fillId="32" borderId="207" xfId="28" applyFill="1" applyBorder="1" applyAlignment="1">
      <alignment horizontal="center" vertical="center" wrapText="1"/>
    </xf>
    <xf numFmtId="0" fontId="31" fillId="32" borderId="207" xfId="28" applyFill="1" applyBorder="1" applyAlignment="1">
      <alignment horizontal="left" vertical="center"/>
    </xf>
    <xf numFmtId="0" fontId="31" fillId="33" borderId="414" xfId="28" applyFill="1" applyBorder="1" applyAlignment="1">
      <alignment horizontal="center" vertical="center"/>
    </xf>
    <xf numFmtId="195" fontId="0" fillId="33" borderId="414" xfId="6" applyNumberFormat="1" applyFont="1" applyFill="1" applyBorder="1" applyAlignment="1">
      <alignment horizontal="center" vertical="center"/>
    </xf>
    <xf numFmtId="197" fontId="0" fillId="33" borderId="414" xfId="133" applyNumberFormat="1" applyFont="1" applyFill="1" applyBorder="1" applyAlignment="1">
      <alignment vertical="center"/>
    </xf>
    <xf numFmtId="0" fontId="31" fillId="33" borderId="416" xfId="28" applyFill="1" applyBorder="1" applyAlignment="1">
      <alignment vertical="center" wrapText="1"/>
    </xf>
    <xf numFmtId="0" fontId="31" fillId="33" borderId="417" xfId="28" applyFill="1" applyBorder="1" applyAlignment="1">
      <alignment horizontal="center" vertical="center"/>
    </xf>
    <xf numFmtId="0" fontId="31" fillId="33" borderId="417" xfId="28" applyFill="1" applyBorder="1" applyAlignment="1">
      <alignment horizontal="center" vertical="center" wrapText="1"/>
    </xf>
    <xf numFmtId="0" fontId="31" fillId="33" borderId="207" xfId="28" applyFill="1" applyBorder="1" applyAlignment="1">
      <alignment horizontal="left" vertical="center"/>
    </xf>
    <xf numFmtId="0" fontId="31" fillId="34" borderId="414" xfId="28" applyFill="1" applyBorder="1" applyAlignment="1">
      <alignment horizontal="center" vertical="center"/>
    </xf>
    <xf numFmtId="195" fontId="0" fillId="34" borderId="414" xfId="6" applyNumberFormat="1" applyFont="1" applyFill="1" applyBorder="1" applyAlignment="1">
      <alignment horizontal="center" vertical="center"/>
    </xf>
    <xf numFmtId="197" fontId="0" fillId="34" borderId="414" xfId="133" applyNumberFormat="1" applyFont="1" applyFill="1" applyBorder="1" applyAlignment="1">
      <alignment vertical="center"/>
    </xf>
    <xf numFmtId="0" fontId="31" fillId="34" borderId="416" xfId="28" applyFill="1" applyBorder="1" applyAlignment="1">
      <alignment horizontal="left" vertical="center" wrapText="1"/>
    </xf>
    <xf numFmtId="0" fontId="31" fillId="47" borderId="414" xfId="28" applyFill="1" applyBorder="1" applyAlignment="1">
      <alignment horizontal="center" vertical="center"/>
    </xf>
    <xf numFmtId="195" fontId="0" fillId="47" borderId="414" xfId="6" applyNumberFormat="1" applyFont="1" applyFill="1" applyBorder="1" applyAlignment="1">
      <alignment horizontal="center" vertical="center"/>
    </xf>
    <xf numFmtId="197" fontId="0" fillId="47" borderId="414" xfId="133" applyNumberFormat="1" applyFont="1" applyFill="1" applyBorder="1" applyAlignment="1">
      <alignment vertical="center"/>
    </xf>
    <xf numFmtId="0" fontId="31" fillId="47" borderId="416" xfId="28" applyFill="1" applyBorder="1" applyAlignment="1">
      <alignment horizontal="left" vertical="center" wrapText="1"/>
    </xf>
    <xf numFmtId="0" fontId="31" fillId="47" borderId="415" xfId="28" applyFill="1" applyBorder="1" applyAlignment="1">
      <alignment horizontal="left" vertical="center" wrapText="1"/>
    </xf>
    <xf numFmtId="0" fontId="31" fillId="47" borderId="327" xfId="28" applyFill="1" applyBorder="1" applyAlignment="1">
      <alignment horizontal="left" vertical="center"/>
    </xf>
    <xf numFmtId="0" fontId="129" fillId="35" borderId="414" xfId="28" applyFont="1" applyFill="1" applyBorder="1" applyAlignment="1">
      <alignment horizontal="center" vertical="center"/>
    </xf>
    <xf numFmtId="195" fontId="129" fillId="35" borderId="414" xfId="6" applyNumberFormat="1" applyFont="1" applyFill="1" applyBorder="1" applyAlignment="1">
      <alignment horizontal="center" vertical="center"/>
    </xf>
    <xf numFmtId="197" fontId="129" fillId="35" borderId="414" xfId="133" applyNumberFormat="1" applyFont="1" applyFill="1" applyBorder="1" applyAlignment="1">
      <alignment vertical="center"/>
    </xf>
    <xf numFmtId="0" fontId="129" fillId="35" borderId="418" xfId="28" applyFont="1" applyFill="1" applyBorder="1" applyAlignment="1">
      <alignment horizontal="left" vertical="center" wrapText="1"/>
    </xf>
    <xf numFmtId="0" fontId="129" fillId="35" borderId="419" xfId="28" applyFont="1" applyFill="1" applyBorder="1" applyAlignment="1">
      <alignment horizontal="left" vertical="center" wrapText="1"/>
    </xf>
    <xf numFmtId="0" fontId="129" fillId="35" borderId="207" xfId="28" applyFont="1" applyFill="1" applyBorder="1" applyAlignment="1">
      <alignment horizontal="left" vertical="center"/>
    </xf>
    <xf numFmtId="0" fontId="52" fillId="32" borderId="72" xfId="28" applyFont="1" applyFill="1" applyAlignment="1">
      <alignment vertical="center"/>
    </xf>
    <xf numFmtId="0" fontId="31" fillId="93" borderId="420" xfId="28" applyFill="1" applyBorder="1" applyAlignment="1">
      <alignment horizontal="left"/>
    </xf>
    <xf numFmtId="0" fontId="130" fillId="32" borderId="420" xfId="28" applyFont="1" applyFill="1" applyBorder="1" applyAlignment="1">
      <alignment horizontal="center" vertical="center"/>
    </xf>
    <xf numFmtId="0" fontId="130" fillId="32" borderId="72" xfId="28" applyFont="1" applyFill="1" applyAlignment="1">
      <alignment horizontal="center" vertical="center"/>
    </xf>
    <xf numFmtId="0" fontId="31" fillId="32" borderId="72" xfId="28" applyFill="1" applyAlignment="1">
      <alignment horizontal="left"/>
    </xf>
    <xf numFmtId="0" fontId="130" fillId="32" borderId="72" xfId="28" applyFont="1" applyFill="1"/>
    <xf numFmtId="0" fontId="130" fillId="32" borderId="423" xfId="28" applyFont="1" applyFill="1" applyBorder="1" applyAlignment="1">
      <alignment horizontal="center" vertical="center"/>
    </xf>
    <xf numFmtId="0" fontId="130" fillId="32" borderId="424" xfId="28" applyFont="1" applyFill="1" applyBorder="1" applyAlignment="1">
      <alignment horizontal="center"/>
    </xf>
    <xf numFmtId="0" fontId="130" fillId="41" borderId="420" xfId="28" applyFont="1" applyFill="1" applyBorder="1"/>
    <xf numFmtId="0" fontId="130" fillId="32" borderId="426" xfId="28" applyFont="1" applyFill="1" applyBorder="1" applyAlignment="1">
      <alignment horizontal="center" vertical="center"/>
    </xf>
    <xf numFmtId="0" fontId="130" fillId="32" borderId="427" xfId="28" applyFont="1" applyFill="1" applyBorder="1" applyAlignment="1">
      <alignment horizontal="center"/>
    </xf>
    <xf numFmtId="0" fontId="130" fillId="32" borderId="420" xfId="28" applyFont="1" applyFill="1" applyBorder="1"/>
    <xf numFmtId="0" fontId="31" fillId="32" borderId="72" xfId="28" applyFill="1" applyAlignment="1">
      <alignment horizontal="center" vertical="center"/>
    </xf>
    <xf numFmtId="0" fontId="31" fillId="32" borderId="426" xfId="28" applyFill="1" applyBorder="1" applyAlignment="1">
      <alignment horizontal="center" vertical="center"/>
    </xf>
    <xf numFmtId="0" fontId="31" fillId="32" borderId="427" xfId="28" applyFill="1" applyBorder="1" applyAlignment="1">
      <alignment horizontal="center"/>
    </xf>
    <xf numFmtId="9" fontId="0" fillId="32" borderId="72" xfId="6" applyFont="1" applyFill="1" applyAlignment="1">
      <alignment horizontal="center" vertical="center"/>
    </xf>
    <xf numFmtId="9" fontId="0" fillId="32" borderId="428" xfId="6" applyFont="1" applyFill="1" applyBorder="1" applyAlignment="1">
      <alignment horizontal="center" vertical="center"/>
    </xf>
    <xf numFmtId="0" fontId="130" fillId="32" borderId="429" xfId="28" applyFont="1" applyFill="1" applyBorder="1" applyAlignment="1">
      <alignment horizontal="center"/>
    </xf>
    <xf numFmtId="195" fontId="0" fillId="33" borderId="414" xfId="6" applyNumberFormat="1" applyFont="1" applyFill="1" applyBorder="1" applyAlignment="1">
      <alignment horizontal="left" vertical="top" wrapText="1"/>
    </xf>
    <xf numFmtId="0" fontId="31" fillId="33" borderId="430" xfId="28" applyFill="1" applyBorder="1" applyAlignment="1">
      <alignment vertical="center" wrapText="1"/>
    </xf>
    <xf numFmtId="0" fontId="31" fillId="33" borderId="431" xfId="28" applyFill="1" applyBorder="1" applyAlignment="1">
      <alignment horizontal="center" vertical="center" wrapText="1"/>
    </xf>
    <xf numFmtId="0" fontId="31" fillId="33" borderId="432" xfId="28" applyFill="1" applyBorder="1" applyAlignment="1">
      <alignment horizontal="center" vertical="center" wrapText="1"/>
    </xf>
    <xf numFmtId="0" fontId="31" fillId="33" borderId="415" xfId="28" applyFill="1" applyBorder="1" applyAlignment="1">
      <alignment horizontal="left" vertical="center"/>
    </xf>
    <xf numFmtId="195" fontId="0" fillId="32" borderId="414" xfId="6" applyNumberFormat="1" applyFont="1" applyFill="1" applyBorder="1" applyAlignment="1">
      <alignment horizontal="left" vertical="top" wrapText="1"/>
    </xf>
    <xf numFmtId="0" fontId="31" fillId="32" borderId="433" xfId="28" applyFill="1" applyBorder="1" applyAlignment="1">
      <alignment vertical="center" wrapText="1"/>
    </xf>
    <xf numFmtId="0" fontId="31" fillId="32" borderId="434" xfId="28" applyFill="1" applyBorder="1" applyAlignment="1">
      <alignment horizontal="center" vertical="center" wrapText="1"/>
    </xf>
    <xf numFmtId="0" fontId="31" fillId="32" borderId="435" xfId="28" applyFill="1" applyBorder="1" applyAlignment="1">
      <alignment horizontal="center" vertical="center" wrapText="1"/>
    </xf>
    <xf numFmtId="0" fontId="31" fillId="32" borderId="415" xfId="28" applyFill="1" applyBorder="1" applyAlignment="1">
      <alignment horizontal="left" vertical="center"/>
    </xf>
    <xf numFmtId="195" fontId="0" fillId="94" borderId="414" xfId="6" applyNumberFormat="1" applyFont="1" applyFill="1" applyBorder="1" applyAlignment="1">
      <alignment horizontal="left" vertical="top" wrapText="1"/>
    </xf>
    <xf numFmtId="0" fontId="31" fillId="94" borderId="87" xfId="28" applyFill="1" applyBorder="1" applyAlignment="1">
      <alignment horizontal="left" vertical="center" wrapText="1"/>
    </xf>
    <xf numFmtId="195" fontId="0" fillId="94" borderId="414" xfId="6" applyNumberFormat="1" applyFont="1" applyFill="1" applyBorder="1" applyAlignment="1">
      <alignment horizontal="center" vertical="center"/>
    </xf>
    <xf numFmtId="197" fontId="0" fillId="94" borderId="414" xfId="133" applyNumberFormat="1" applyFont="1" applyFill="1" applyBorder="1" applyAlignment="1">
      <alignment vertical="center"/>
    </xf>
    <xf numFmtId="0" fontId="31" fillId="94" borderId="414" xfId="28" applyFill="1" applyBorder="1" applyAlignment="1">
      <alignment horizontal="center" vertical="center"/>
    </xf>
    <xf numFmtId="0" fontId="31" fillId="94" borderId="436" xfId="28" applyFill="1" applyBorder="1" applyAlignment="1">
      <alignment horizontal="center" vertical="center"/>
    </xf>
    <xf numFmtId="0" fontId="31" fillId="94" borderId="120" xfId="28" applyFill="1" applyBorder="1" applyAlignment="1">
      <alignment horizontal="center" vertical="center" wrapText="1"/>
    </xf>
    <xf numFmtId="0" fontId="31" fillId="94" borderId="437" xfId="28" applyFill="1" applyBorder="1" applyAlignment="1">
      <alignment horizontal="center" vertical="center" wrapText="1"/>
    </xf>
    <xf numFmtId="0" fontId="31" fillId="94" borderId="415" xfId="28" applyFill="1" applyBorder="1" applyAlignment="1">
      <alignment horizontal="left" vertical="center"/>
    </xf>
    <xf numFmtId="0" fontId="31" fillId="33" borderId="430" xfId="28" applyFill="1" applyBorder="1" applyAlignment="1">
      <alignment horizontal="left" vertical="center" wrapText="1"/>
    </xf>
    <xf numFmtId="0" fontId="31" fillId="33" borderId="435" xfId="28" applyFill="1" applyBorder="1" applyAlignment="1">
      <alignment horizontal="center" vertical="center" wrapText="1"/>
    </xf>
    <xf numFmtId="0" fontId="31" fillId="32" borderId="430" xfId="28" applyFill="1" applyBorder="1" applyAlignment="1">
      <alignment horizontal="left" vertical="center" wrapText="1"/>
    </xf>
    <xf numFmtId="0" fontId="130" fillId="32" borderId="442" xfId="28" applyFont="1" applyFill="1" applyBorder="1"/>
    <xf numFmtId="0" fontId="130" fillId="32" borderId="445" xfId="28" applyFont="1" applyFill="1" applyBorder="1"/>
    <xf numFmtId="0" fontId="130" fillId="41" borderId="445" xfId="28" applyFont="1" applyFill="1" applyBorder="1"/>
    <xf numFmtId="181" fontId="71" fillId="0" borderId="205" xfId="26" applyNumberFormat="1" applyFont="1" applyFill="1" applyBorder="1" applyAlignment="1">
      <alignment vertical="center" wrapText="1"/>
    </xf>
    <xf numFmtId="0" fontId="1" fillId="0" borderId="72" xfId="134"/>
    <xf numFmtId="0" fontId="231" fillId="2" borderId="72" xfId="134" applyFont="1" applyFill="1"/>
    <xf numFmtId="0" fontId="1" fillId="2" borderId="72" xfId="134" applyFill="1"/>
    <xf numFmtId="0" fontId="195" fillId="74" borderId="72" xfId="134" applyFont="1" applyFill="1" applyAlignment="1">
      <alignment horizontal="center" wrapText="1"/>
    </xf>
    <xf numFmtId="0" fontId="198" fillId="76" borderId="72" xfId="134" applyFont="1" applyFill="1"/>
    <xf numFmtId="0" fontId="205" fillId="0" borderId="74" xfId="134" applyFont="1" applyBorder="1"/>
    <xf numFmtId="43" fontId="205" fillId="0" borderId="74" xfId="134" applyNumberFormat="1" applyFont="1" applyBorder="1"/>
    <xf numFmtId="44" fontId="205" fillId="0" borderId="74" xfId="134" applyNumberFormat="1" applyFont="1" applyBorder="1"/>
    <xf numFmtId="0" fontId="200" fillId="65" borderId="72" xfId="134" applyFont="1" applyFill="1"/>
    <xf numFmtId="44" fontId="200" fillId="65" borderId="72" xfId="134" applyNumberFormat="1" applyFont="1" applyFill="1"/>
    <xf numFmtId="0" fontId="198" fillId="73" borderId="72" xfId="134" applyFont="1" applyFill="1"/>
    <xf numFmtId="0" fontId="198" fillId="71" borderId="72" xfId="134" applyFont="1" applyFill="1"/>
    <xf numFmtId="0" fontId="198" fillId="68" borderId="72" xfId="134" applyFont="1" applyFill="1"/>
    <xf numFmtId="0" fontId="198" fillId="69" borderId="72" xfId="134" applyFont="1" applyFill="1"/>
    <xf numFmtId="0" fontId="198" fillId="95" borderId="72" xfId="134" applyFont="1" applyFill="1"/>
    <xf numFmtId="0" fontId="198" fillId="96" borderId="72" xfId="134" applyFont="1" applyFill="1"/>
    <xf numFmtId="0" fontId="198" fillId="97" borderId="72" xfId="134" applyFont="1" applyFill="1"/>
    <xf numFmtId="0" fontId="232" fillId="0" borderId="74" xfId="134" applyFont="1" applyBorder="1"/>
    <xf numFmtId="0" fontId="233" fillId="0" borderId="72" xfId="134" applyFont="1"/>
    <xf numFmtId="44" fontId="233" fillId="0" borderId="72" xfId="134" applyNumberFormat="1" applyFont="1"/>
    <xf numFmtId="49" fontId="45" fillId="2" borderId="34" xfId="0" applyNumberFormat="1" applyFont="1" applyFill="1" applyBorder="1" applyAlignment="1">
      <alignment horizontal="center" vertical="center" wrapText="1"/>
    </xf>
    <xf numFmtId="0" fontId="31" fillId="0" borderId="35" xfId="0" applyFont="1" applyBorder="1"/>
    <xf numFmtId="0" fontId="31" fillId="0" borderId="36" xfId="0" applyFont="1" applyBorder="1"/>
    <xf numFmtId="0" fontId="52" fillId="36" borderId="422" xfId="28" applyFont="1" applyFill="1" applyBorder="1" applyAlignment="1">
      <alignment horizontal="center" vertical="center"/>
    </xf>
    <xf numFmtId="0" fontId="52" fillId="36" borderId="421" xfId="28" applyFont="1" applyFill="1" applyBorder="1" applyAlignment="1">
      <alignment horizontal="center" vertical="center"/>
    </xf>
    <xf numFmtId="197" fontId="0" fillId="93" borderId="420" xfId="133" applyNumberFormat="1" applyFont="1" applyFill="1" applyBorder="1" applyAlignment="1">
      <alignment horizontal="center" vertical="center"/>
    </xf>
    <xf numFmtId="0" fontId="130" fillId="32" borderId="74" xfId="28" applyFont="1" applyFill="1" applyBorder="1" applyAlignment="1">
      <alignment horizontal="center" vertical="center"/>
    </xf>
    <xf numFmtId="197" fontId="0" fillId="93" borderId="420" xfId="133" applyNumberFormat="1" applyFont="1" applyFill="1" applyBorder="1" applyAlignment="1">
      <alignment horizontal="left" vertical="center"/>
    </xf>
    <xf numFmtId="0" fontId="31" fillId="41" borderId="213" xfId="28" applyFill="1" applyBorder="1" applyAlignment="1">
      <alignment horizontal="left"/>
    </xf>
    <xf numFmtId="0" fontId="31" fillId="41" borderId="425" xfId="28" applyFill="1" applyBorder="1" applyAlignment="1">
      <alignment horizontal="left"/>
    </xf>
    <xf numFmtId="0" fontId="31" fillId="32" borderId="213" xfId="28" applyFill="1" applyBorder="1" applyAlignment="1">
      <alignment horizontal="left"/>
    </xf>
    <xf numFmtId="0" fontId="31" fillId="32" borderId="425" xfId="28" applyFill="1" applyBorder="1" applyAlignment="1">
      <alignment horizontal="left"/>
    </xf>
    <xf numFmtId="0" fontId="130" fillId="32" borderId="87" xfId="28" applyFont="1" applyFill="1" applyBorder="1" applyAlignment="1">
      <alignment horizontal="center" vertical="center" wrapText="1"/>
    </xf>
    <xf numFmtId="0" fontId="130" fillId="32" borderId="208" xfId="28" applyFont="1" applyFill="1" applyBorder="1" applyAlignment="1">
      <alignment horizontal="center" vertical="center" wrapText="1"/>
    </xf>
    <xf numFmtId="0" fontId="130" fillId="32" borderId="208" xfId="28" applyFont="1" applyFill="1" applyBorder="1" applyAlignment="1">
      <alignment horizontal="center" vertical="center"/>
    </xf>
    <xf numFmtId="0" fontId="130" fillId="32" borderId="420" xfId="28" applyFont="1" applyFill="1" applyBorder="1" applyAlignment="1">
      <alignment horizontal="center" vertical="center"/>
    </xf>
    <xf numFmtId="0" fontId="52" fillId="36" borderId="76" xfId="28" applyFont="1" applyFill="1" applyBorder="1" applyAlignment="1">
      <alignment horizontal="center" vertical="center"/>
    </xf>
    <xf numFmtId="0" fontId="52" fillId="36" borderId="72" xfId="28" applyFont="1" applyFill="1" applyAlignment="1">
      <alignment horizontal="center" vertical="center"/>
    </xf>
    <xf numFmtId="0" fontId="52" fillId="36" borderId="77" xfId="28" applyFont="1" applyFill="1" applyBorder="1" applyAlignment="1">
      <alignment horizontal="center" vertical="center"/>
    </xf>
    <xf numFmtId="0" fontId="52" fillId="36" borderId="78" xfId="28" applyFont="1" applyFill="1" applyBorder="1" applyAlignment="1">
      <alignment horizontal="center" vertical="center"/>
    </xf>
    <xf numFmtId="0" fontId="52" fillId="36" borderId="447" xfId="28" applyFont="1" applyFill="1" applyBorder="1" applyAlignment="1">
      <alignment horizontal="center" vertical="center"/>
    </xf>
    <xf numFmtId="0" fontId="52" fillId="36" borderId="448" xfId="28" applyFont="1" applyFill="1" applyBorder="1" applyAlignment="1">
      <alignment horizontal="center" vertical="center"/>
    </xf>
    <xf numFmtId="0" fontId="52" fillId="36" borderId="446" xfId="28" applyFont="1" applyFill="1" applyBorder="1" applyAlignment="1">
      <alignment horizontal="center" vertical="center"/>
    </xf>
    <xf numFmtId="0" fontId="31" fillId="41" borderId="427" xfId="28" applyFill="1" applyBorder="1" applyAlignment="1">
      <alignment horizontal="left"/>
    </xf>
    <xf numFmtId="0" fontId="31" fillId="41" borderId="72" xfId="28" applyFill="1" applyAlignment="1">
      <alignment horizontal="left"/>
    </xf>
    <xf numFmtId="9" fontId="0" fillId="32" borderId="447" xfId="6" applyFont="1" applyFill="1" applyBorder="1" applyAlignment="1">
      <alignment horizontal="center" vertical="center"/>
    </xf>
    <xf numFmtId="9" fontId="0" fillId="32" borderId="446" xfId="6" applyFont="1" applyFill="1" applyBorder="1" applyAlignment="1">
      <alignment horizontal="center" vertical="center"/>
    </xf>
    <xf numFmtId="9" fontId="0" fillId="32" borderId="444" xfId="6" applyFont="1" applyFill="1" applyBorder="1" applyAlignment="1">
      <alignment horizontal="center" vertical="center"/>
    </xf>
    <xf numFmtId="9" fontId="0" fillId="32" borderId="443" xfId="6" applyFont="1" applyFill="1" applyBorder="1" applyAlignment="1">
      <alignment horizontal="center" vertical="center"/>
    </xf>
    <xf numFmtId="9" fontId="0" fillId="32" borderId="439" xfId="6" applyFont="1" applyFill="1" applyBorder="1" applyAlignment="1">
      <alignment horizontal="center" vertical="center"/>
    </xf>
    <xf numFmtId="9" fontId="0" fillId="32" borderId="438" xfId="6" applyFont="1" applyFill="1" applyBorder="1" applyAlignment="1">
      <alignment horizontal="center" vertical="center"/>
    </xf>
    <xf numFmtId="0" fontId="31" fillId="32" borderId="427" xfId="28" applyFill="1" applyBorder="1" applyAlignment="1">
      <alignment horizontal="left"/>
    </xf>
    <xf numFmtId="0" fontId="31" fillId="32" borderId="72" xfId="28" applyFill="1" applyAlignment="1">
      <alignment horizontal="left"/>
    </xf>
    <xf numFmtId="0" fontId="31" fillId="32" borderId="441" xfId="28" applyFill="1" applyBorder="1" applyAlignment="1">
      <alignment horizontal="left"/>
    </xf>
    <xf numFmtId="0" fontId="31" fillId="32" borderId="440" xfId="28" applyFill="1" applyBorder="1" applyAlignment="1">
      <alignment horizontal="left"/>
    </xf>
    <xf numFmtId="0" fontId="79" fillId="16" borderId="259" xfId="14" applyFont="1" applyFill="1" applyBorder="1" applyAlignment="1">
      <alignment horizontal="center" vertical="center" wrapText="1"/>
    </xf>
    <xf numFmtId="0" fontId="162" fillId="0" borderId="259" xfId="116" applyBorder="1"/>
    <xf numFmtId="0" fontId="126" fillId="16" borderId="259" xfId="14" applyFont="1" applyFill="1" applyBorder="1" applyAlignment="1">
      <alignment horizontal="center" vertical="center"/>
    </xf>
    <xf numFmtId="49" fontId="79" fillId="16" borderId="74" xfId="16" applyNumberFormat="1" applyFont="1" applyFill="1" applyBorder="1" applyAlignment="1">
      <alignment horizontal="center" vertical="center" wrapText="1"/>
    </xf>
    <xf numFmtId="0" fontId="178" fillId="0" borderId="142" xfId="115" applyFont="1" applyBorder="1" applyAlignment="1">
      <alignment horizontal="left" vertical="center"/>
    </xf>
    <xf numFmtId="0" fontId="178" fillId="0" borderId="109" xfId="115" applyFont="1" applyBorder="1" applyAlignment="1">
      <alignment horizontal="left" vertical="center"/>
    </xf>
    <xf numFmtId="0" fontId="178" fillId="0" borderId="151" xfId="115" applyFont="1" applyBorder="1" applyAlignment="1">
      <alignment horizontal="left" vertical="center"/>
    </xf>
    <xf numFmtId="0" fontId="178" fillId="0" borderId="89" xfId="115" applyFont="1" applyBorder="1" applyAlignment="1">
      <alignment horizontal="left" vertical="center"/>
    </xf>
    <xf numFmtId="0" fontId="178" fillId="0" borderId="72" xfId="115" applyFont="1" applyAlignment="1">
      <alignment horizontal="left" vertical="center"/>
    </xf>
    <xf numFmtId="0" fontId="178" fillId="0" borderId="88" xfId="115" applyFont="1" applyBorder="1" applyAlignment="1">
      <alignment horizontal="left" vertical="center"/>
    </xf>
    <xf numFmtId="0" fontId="179" fillId="0" borderId="388" xfId="115" applyFont="1" applyBorder="1" applyAlignment="1">
      <alignment horizontal="left" vertical="center"/>
    </xf>
    <xf numFmtId="0" fontId="179" fillId="0" borderId="389" xfId="115" applyFont="1" applyBorder="1" applyAlignment="1">
      <alignment horizontal="left" vertical="center"/>
    </xf>
    <xf numFmtId="0" fontId="179" fillId="0" borderId="390" xfId="115" applyFont="1" applyBorder="1" applyAlignment="1">
      <alignment horizontal="left" vertical="center"/>
    </xf>
    <xf numFmtId="0" fontId="178" fillId="0" borderId="368" xfId="115" applyFont="1" applyBorder="1" applyAlignment="1">
      <alignment horizontal="left" vertical="center"/>
    </xf>
    <xf numFmtId="0" fontId="6" fillId="0" borderId="109" xfId="118" applyBorder="1"/>
    <xf numFmtId="0" fontId="6" fillId="0" borderId="151" xfId="118" applyBorder="1"/>
    <xf numFmtId="0" fontId="6" fillId="0" borderId="89" xfId="118" applyBorder="1"/>
    <xf numFmtId="0" fontId="176" fillId="0" borderId="72" xfId="115"/>
    <xf numFmtId="0" fontId="6" fillId="0" borderId="88" xfId="118" applyBorder="1"/>
    <xf numFmtId="0" fontId="179" fillId="0" borderId="398" xfId="115" applyFont="1" applyBorder="1" applyAlignment="1">
      <alignment horizontal="left" vertical="center"/>
    </xf>
    <xf numFmtId="0" fontId="6" fillId="0" borderId="389" xfId="118" applyBorder="1"/>
    <xf numFmtId="0" fontId="6" fillId="0" borderId="390" xfId="118" applyBorder="1"/>
    <xf numFmtId="0" fontId="101" fillId="3" borderId="124" xfId="94" applyFont="1" applyFill="1" applyBorder="1" applyAlignment="1">
      <alignment horizontal="center" vertical="center"/>
    </xf>
    <xf numFmtId="0" fontId="98" fillId="0" borderId="125" xfId="94" applyFont="1" applyBorder="1"/>
    <xf numFmtId="0" fontId="98" fillId="0" borderId="126" xfId="94" applyFont="1" applyBorder="1"/>
    <xf numFmtId="0" fontId="103" fillId="23" borderId="48" xfId="97" applyFont="1" applyFill="1" applyBorder="1" applyAlignment="1">
      <alignment horizontal="center" vertical="center" wrapText="1"/>
    </xf>
    <xf numFmtId="0" fontId="98" fillId="0" borderId="49" xfId="97" applyFont="1" applyBorder="1"/>
    <xf numFmtId="0" fontId="98" fillId="0" borderId="132" xfId="97" applyFont="1" applyBorder="1"/>
    <xf numFmtId="0" fontId="33" fillId="0" borderId="72" xfId="97" applyFont="1" applyAlignment="1">
      <alignment horizontal="center"/>
    </xf>
    <xf numFmtId="0" fontId="10" fillId="0" borderId="72" xfId="97"/>
    <xf numFmtId="0" fontId="101" fillId="3" borderId="124" xfId="97" applyFont="1" applyFill="1" applyBorder="1" applyAlignment="1">
      <alignment horizontal="center" vertical="center"/>
    </xf>
    <xf numFmtId="0" fontId="101" fillId="3" borderId="125" xfId="97" applyFont="1" applyFill="1" applyBorder="1" applyAlignment="1">
      <alignment horizontal="center" vertical="center"/>
    </xf>
    <xf numFmtId="0" fontId="101" fillId="3" borderId="126" xfId="97" applyFont="1" applyFill="1" applyBorder="1" applyAlignment="1">
      <alignment horizontal="center" vertical="center"/>
    </xf>
    <xf numFmtId="0" fontId="103" fillId="23" borderId="163" xfId="97" applyFont="1" applyFill="1" applyBorder="1" applyAlignment="1">
      <alignment horizontal="center" vertical="center" wrapText="1"/>
    </xf>
    <xf numFmtId="0" fontId="98" fillId="0" borderId="164" xfId="97" applyFont="1" applyBorder="1"/>
    <xf numFmtId="0" fontId="122" fillId="27" borderId="134" xfId="94" applyFont="1" applyFill="1" applyBorder="1" applyAlignment="1">
      <alignment horizontal="left" vertical="center" wrapText="1"/>
    </xf>
    <xf numFmtId="0" fontId="122" fillId="27" borderId="135" xfId="94" applyFont="1" applyFill="1" applyBorder="1" applyAlignment="1">
      <alignment horizontal="left" vertical="center" wrapText="1"/>
    </xf>
    <xf numFmtId="0" fontId="101" fillId="3" borderId="163" xfId="97" applyFont="1" applyFill="1" applyBorder="1" applyAlignment="1">
      <alignment horizontal="center" vertical="center"/>
    </xf>
    <xf numFmtId="0" fontId="101" fillId="3" borderId="164" xfId="97" applyFont="1" applyFill="1" applyBorder="1" applyAlignment="1">
      <alignment horizontal="center" vertical="center"/>
    </xf>
    <xf numFmtId="0" fontId="101" fillId="3" borderId="165" xfId="97" applyFont="1" applyFill="1" applyBorder="1" applyAlignment="1">
      <alignment horizontal="center" vertical="center"/>
    </xf>
    <xf numFmtId="173" fontId="135" fillId="5" borderId="281" xfId="15" applyFont="1" applyFill="1" applyBorder="1" applyAlignment="1">
      <alignment horizontal="center" vertical="center" wrapText="1"/>
    </xf>
    <xf numFmtId="173" fontId="135" fillId="5" borderId="284" xfId="15" applyFont="1" applyFill="1" applyBorder="1" applyAlignment="1">
      <alignment horizontal="center" vertical="center"/>
    </xf>
    <xf numFmtId="173" fontId="135" fillId="5" borderId="282" xfId="15" applyFont="1" applyFill="1" applyBorder="1" applyAlignment="1">
      <alignment horizontal="center" vertical="center" wrapText="1"/>
    </xf>
    <xf numFmtId="173" fontId="135" fillId="5" borderId="285" xfId="15" applyFont="1" applyFill="1" applyBorder="1" applyAlignment="1">
      <alignment horizontal="center" vertical="center"/>
    </xf>
    <xf numFmtId="0" fontId="139" fillId="3" borderId="70" xfId="72" applyFont="1" applyFill="1" applyBorder="1" applyAlignment="1">
      <alignment horizontal="left" vertical="center"/>
    </xf>
    <xf numFmtId="0" fontId="139" fillId="3" borderId="72" xfId="72" applyFont="1" applyFill="1" applyAlignment="1">
      <alignment horizontal="left" vertical="center"/>
    </xf>
    <xf numFmtId="173" fontId="135" fillId="5" borderId="274" xfId="15" applyFont="1" applyFill="1" applyBorder="1" applyAlignment="1">
      <alignment horizontal="center" vertical="center"/>
    </xf>
    <xf numFmtId="173" fontId="135" fillId="5" borderId="278" xfId="15" applyFont="1" applyFill="1" applyBorder="1" applyAlignment="1">
      <alignment horizontal="center" vertical="center"/>
    </xf>
    <xf numFmtId="173" fontId="135" fillId="5" borderId="283" xfId="15" applyFont="1" applyFill="1" applyBorder="1" applyAlignment="1">
      <alignment horizontal="center" vertical="center"/>
    </xf>
    <xf numFmtId="173" fontId="135" fillId="5" borderId="275" xfId="15" applyFont="1" applyFill="1" applyBorder="1" applyAlignment="1">
      <alignment horizontal="center" vertical="center"/>
    </xf>
    <xf numFmtId="173" fontId="135" fillId="5" borderId="259" xfId="15" applyFont="1" applyFill="1" applyBorder="1" applyAlignment="1">
      <alignment horizontal="center" vertical="center"/>
    </xf>
    <xf numFmtId="173" fontId="135" fillId="5" borderId="208" xfId="15" applyFont="1" applyFill="1" applyBorder="1" applyAlignment="1">
      <alignment horizontal="center" vertical="center"/>
    </xf>
    <xf numFmtId="43" fontId="135" fillId="5" borderId="275" xfId="74" applyFont="1" applyFill="1" applyBorder="1" applyAlignment="1">
      <alignment horizontal="center" vertical="center"/>
    </xf>
    <xf numFmtId="43" fontId="135" fillId="5" borderId="259" xfId="74" applyFont="1" applyFill="1" applyBorder="1" applyAlignment="1">
      <alignment horizontal="center" vertical="center"/>
    </xf>
    <xf numFmtId="43" fontId="135" fillId="5" borderId="208" xfId="74" applyFont="1" applyFill="1" applyBorder="1" applyAlignment="1">
      <alignment horizontal="center" vertical="center"/>
    </xf>
    <xf numFmtId="43" fontId="135" fillId="5" borderId="276" xfId="74" applyFont="1" applyFill="1" applyBorder="1" applyAlignment="1">
      <alignment horizontal="center" vertical="center"/>
    </xf>
    <xf numFmtId="43" fontId="135" fillId="5" borderId="76" xfId="74" applyFont="1" applyFill="1" applyBorder="1" applyAlignment="1">
      <alignment horizontal="center" vertical="center"/>
    </xf>
    <xf numFmtId="43" fontId="135" fillId="5" borderId="77" xfId="74" applyFont="1" applyFill="1" applyBorder="1" applyAlignment="1">
      <alignment horizontal="center" vertical="center"/>
    </xf>
    <xf numFmtId="0" fontId="138" fillId="44" borderId="159" xfId="75" applyFont="1" applyFill="1" applyBorder="1" applyAlignment="1">
      <alignment horizontal="center" vertical="center" wrapText="1"/>
    </xf>
    <xf numFmtId="0" fontId="138" fillId="44" borderId="113" xfId="75" applyFont="1" applyFill="1" applyBorder="1" applyAlignment="1">
      <alignment horizontal="center" vertical="center" wrapText="1"/>
    </xf>
    <xf numFmtId="0" fontId="138" fillId="44" borderId="277" xfId="75" applyFont="1" applyFill="1" applyBorder="1" applyAlignment="1">
      <alignment horizontal="center" vertical="center" wrapText="1"/>
    </xf>
    <xf numFmtId="173" fontId="138" fillId="44" borderId="159" xfId="15" applyFont="1" applyFill="1" applyBorder="1" applyAlignment="1">
      <alignment horizontal="center" vertical="center" wrapText="1"/>
    </xf>
    <xf numFmtId="173" fontId="138" fillId="44" borderId="113" xfId="15" applyFont="1" applyFill="1" applyBorder="1" applyAlignment="1">
      <alignment horizontal="center" vertical="center" wrapText="1"/>
    </xf>
    <xf numFmtId="173" fontId="138" fillId="44" borderId="277" xfId="15" applyFont="1" applyFill="1" applyBorder="1" applyAlignment="1">
      <alignment horizontal="center" vertical="center" wrapText="1"/>
    </xf>
    <xf numFmtId="173" fontId="135" fillId="5" borderId="284" xfId="15" applyFont="1" applyFill="1" applyBorder="1" applyAlignment="1">
      <alignment horizontal="center" vertical="center" wrapText="1"/>
    </xf>
    <xf numFmtId="173" fontId="135" fillId="5" borderId="285" xfId="15" applyFont="1" applyFill="1" applyBorder="1" applyAlignment="1">
      <alignment horizontal="center" vertical="center" wrapText="1"/>
    </xf>
    <xf numFmtId="4" fontId="71" fillId="0" borderId="108" xfId="26" applyNumberFormat="1" applyFont="1" applyFill="1" applyBorder="1" applyAlignment="1">
      <alignment horizontal="center" vertical="center" wrapText="1"/>
    </xf>
    <xf numFmtId="4" fontId="71" fillId="0" borderId="238" xfId="26" applyNumberFormat="1" applyFont="1" applyFill="1" applyBorder="1" applyAlignment="1">
      <alignment horizontal="center" vertical="center" wrapText="1"/>
    </xf>
    <xf numFmtId="4" fontId="71" fillId="38" borderId="108" xfId="26" applyNumberFormat="1" applyFont="1" applyFill="1" applyBorder="1" applyAlignment="1">
      <alignment horizontal="center" vertical="center" wrapText="1"/>
    </xf>
    <xf numFmtId="4" fontId="71" fillId="38" borderId="107" xfId="26" applyNumberFormat="1" applyFont="1" applyFill="1" applyBorder="1" applyAlignment="1">
      <alignment horizontal="center" vertical="center" wrapText="1"/>
    </xf>
    <xf numFmtId="0" fontId="126" fillId="16" borderId="247" xfId="14" applyFont="1" applyFill="1" applyBorder="1" applyAlignment="1">
      <alignment horizontal="center" vertical="center"/>
    </xf>
    <xf numFmtId="0" fontId="126" fillId="16" borderId="250" xfId="14" applyFont="1" applyFill="1" applyBorder="1" applyAlignment="1">
      <alignment horizontal="center" vertical="center"/>
    </xf>
    <xf numFmtId="0" fontId="83" fillId="16" borderId="248" xfId="14" applyFont="1" applyFill="1" applyBorder="1" applyAlignment="1">
      <alignment horizontal="center" vertical="center" wrapText="1"/>
    </xf>
    <xf numFmtId="0" fontId="83" fillId="16" borderId="251" xfId="14" applyFont="1" applyFill="1" applyBorder="1" applyAlignment="1">
      <alignment horizontal="center" vertical="center" wrapText="1"/>
    </xf>
    <xf numFmtId="0" fontId="83" fillId="16" borderId="249" xfId="14" applyFont="1" applyFill="1" applyBorder="1" applyAlignment="1">
      <alignment horizontal="center" vertical="center" wrapText="1"/>
    </xf>
    <xf numFmtId="0" fontId="83" fillId="16" borderId="247" xfId="14" applyFont="1" applyFill="1" applyBorder="1" applyAlignment="1">
      <alignment horizontal="center" vertical="center" wrapText="1"/>
    </xf>
    <xf numFmtId="0" fontId="125" fillId="0" borderId="74" xfId="73" applyFont="1" applyBorder="1" applyAlignment="1">
      <alignment horizontal="center"/>
    </xf>
    <xf numFmtId="167" fontId="88" fillId="13" borderId="58" xfId="73" applyNumberFormat="1" applyFont="1" applyFill="1" applyBorder="1" applyAlignment="1">
      <alignment horizontal="center"/>
    </xf>
    <xf numFmtId="0" fontId="31" fillId="0" borderId="59" xfId="73" applyFont="1" applyBorder="1"/>
    <xf numFmtId="0" fontId="31" fillId="0" borderId="39" xfId="73" applyFont="1" applyBorder="1"/>
    <xf numFmtId="0" fontId="59" fillId="4" borderId="76" xfId="93" applyFont="1" applyFill="1" applyBorder="1" applyAlignment="1">
      <alignment horizontal="center" vertical="center" wrapText="1"/>
    </xf>
    <xf numFmtId="0" fontId="59" fillId="4" borderId="61" xfId="93" applyFont="1" applyFill="1" applyBorder="1" applyAlignment="1">
      <alignment horizontal="center" vertical="center" wrapText="1"/>
    </xf>
    <xf numFmtId="0" fontId="59" fillId="4" borderId="184" xfId="93" applyFont="1" applyFill="1" applyBorder="1" applyAlignment="1">
      <alignment horizontal="center" vertical="center" wrapText="1"/>
    </xf>
    <xf numFmtId="0" fontId="59" fillId="4" borderId="28" xfId="93" applyFont="1" applyFill="1" applyBorder="1" applyAlignment="1">
      <alignment horizontal="center" vertical="center" wrapText="1"/>
    </xf>
    <xf numFmtId="0" fontId="53" fillId="29" borderId="48" xfId="73" applyFont="1" applyFill="1" applyBorder="1" applyAlignment="1">
      <alignment horizontal="center" vertical="center"/>
    </xf>
    <xf numFmtId="0" fontId="31" fillId="17" borderId="49" xfId="73" applyFont="1" applyFill="1" applyBorder="1" applyAlignment="1">
      <alignment vertical="center"/>
    </xf>
    <xf numFmtId="0" fontId="31" fillId="17" borderId="50" xfId="73" applyFont="1" applyFill="1" applyBorder="1" applyAlignment="1">
      <alignment vertical="center"/>
    </xf>
    <xf numFmtId="0" fontId="88" fillId="13" borderId="51" xfId="73" applyFont="1" applyFill="1" applyBorder="1" applyAlignment="1">
      <alignment horizontal="center" vertical="center"/>
    </xf>
    <xf numFmtId="0" fontId="31" fillId="0" borderId="53" xfId="73" applyFont="1" applyBorder="1"/>
    <xf numFmtId="167" fontId="88" fillId="13" borderId="51" xfId="73" applyNumberFormat="1" applyFont="1" applyFill="1" applyBorder="1" applyAlignment="1">
      <alignment horizontal="center" vertical="center"/>
    </xf>
    <xf numFmtId="167" fontId="88" fillId="13" borderId="31" xfId="73" applyNumberFormat="1" applyFont="1" applyFill="1" applyBorder="1" applyAlignment="1">
      <alignment horizontal="center" vertical="center"/>
    </xf>
    <xf numFmtId="0" fontId="31" fillId="0" borderId="7" xfId="73" applyFont="1" applyBorder="1"/>
    <xf numFmtId="0" fontId="31" fillId="0" borderId="32" xfId="73" applyFont="1" applyBorder="1"/>
    <xf numFmtId="0" fontId="130" fillId="32" borderId="74" xfId="0" applyFont="1" applyFill="1" applyBorder="1" applyAlignment="1">
      <alignment horizontal="center" vertical="center"/>
    </xf>
    <xf numFmtId="0" fontId="130" fillId="32" borderId="74" xfId="28" applyFont="1" applyFill="1" applyBorder="1" applyAlignment="1">
      <alignment horizontal="center" vertical="center" wrapText="1"/>
    </xf>
    <xf numFmtId="0" fontId="130" fillId="32" borderId="210" xfId="28" applyFont="1" applyFill="1" applyBorder="1" applyAlignment="1">
      <alignment horizontal="center"/>
    </xf>
    <xf numFmtId="0" fontId="130" fillId="32" borderId="72" xfId="28" applyFont="1" applyFill="1" applyAlignment="1">
      <alignment horizontal="center"/>
    </xf>
    <xf numFmtId="0" fontId="130" fillId="32" borderId="209" xfId="28" applyFont="1" applyFill="1" applyBorder="1" applyAlignment="1">
      <alignment horizontal="center"/>
    </xf>
    <xf numFmtId="0" fontId="188" fillId="0" borderId="72" xfId="126" applyFont="1"/>
    <xf numFmtId="0" fontId="5" fillId="0" borderId="72" xfId="126"/>
    <xf numFmtId="0" fontId="195" fillId="72" borderId="399" xfId="126" applyFont="1" applyFill="1" applyBorder="1" applyAlignment="1">
      <alignment horizontal="center" vertical="center" wrapText="1"/>
    </xf>
    <xf numFmtId="0" fontId="5" fillId="72" borderId="399" xfId="126" applyFill="1" applyBorder="1"/>
    <xf numFmtId="0" fontId="193" fillId="12" borderId="72" xfId="126" applyFont="1" applyFill="1"/>
    <xf numFmtId="0" fontId="5" fillId="12" borderId="72" xfId="126" applyFill="1"/>
    <xf numFmtId="0" fontId="195" fillId="69" borderId="399" xfId="126" applyFont="1" applyFill="1" applyBorder="1" applyAlignment="1">
      <alignment horizontal="left" vertical="center" wrapText="1"/>
    </xf>
    <xf numFmtId="0" fontId="5" fillId="69" borderId="399" xfId="126" applyFill="1" applyBorder="1"/>
    <xf numFmtId="0" fontId="199" fillId="75" borderId="72" xfId="126" applyFont="1" applyFill="1" applyAlignment="1">
      <alignment horizontal="center" vertical="center" wrapText="1"/>
    </xf>
    <xf numFmtId="0" fontId="5" fillId="75" borderId="72" xfId="126" applyFill="1"/>
    <xf numFmtId="0" fontId="195" fillId="68" borderId="399" xfId="126" applyFont="1" applyFill="1" applyBorder="1" applyAlignment="1">
      <alignment horizontal="left" vertical="center" wrapText="1"/>
    </xf>
    <xf numFmtId="0" fontId="5" fillId="68" borderId="399" xfId="126" applyFill="1" applyBorder="1"/>
    <xf numFmtId="0" fontId="195" fillId="70" borderId="399" xfId="126" applyFont="1" applyFill="1" applyBorder="1" applyAlignment="1">
      <alignment horizontal="left" vertical="center" wrapText="1"/>
    </xf>
    <xf numFmtId="0" fontId="5" fillId="70" borderId="399" xfId="126" applyFill="1" applyBorder="1"/>
    <xf numFmtId="0" fontId="195" fillId="71" borderId="399" xfId="126" applyFont="1" applyFill="1" applyBorder="1" applyAlignment="1">
      <alignment horizontal="left" vertical="center" wrapText="1"/>
    </xf>
    <xf numFmtId="0" fontId="5" fillId="71" borderId="399" xfId="126" applyFill="1" applyBorder="1"/>
    <xf numFmtId="0" fontId="198" fillId="74" borderId="399" xfId="126" applyFont="1" applyFill="1" applyBorder="1" applyAlignment="1">
      <alignment horizontal="center" vertical="center" wrapText="1"/>
    </xf>
    <xf numFmtId="0" fontId="5" fillId="74" borderId="399" xfId="126" applyFill="1" applyBorder="1"/>
    <xf numFmtId="0" fontId="198" fillId="73" borderId="399" xfId="126" applyFont="1" applyFill="1" applyBorder="1" applyAlignment="1">
      <alignment horizontal="center" vertical="center" wrapText="1"/>
    </xf>
    <xf numFmtId="0" fontId="5" fillId="73" borderId="399" xfId="126" applyFill="1" applyBorder="1"/>
    <xf numFmtId="0" fontId="214" fillId="2" borderId="72" xfId="131" applyFont="1" applyFill="1" applyAlignment="1">
      <alignment horizontal="center" vertical="center"/>
    </xf>
    <xf numFmtId="0" fontId="3" fillId="0" borderId="72" xfId="131"/>
    <xf numFmtId="174" fontId="72" fillId="0" borderId="354" xfId="15" quotePrefix="1" applyNumberFormat="1" applyFont="1" applyFill="1" applyBorder="1" applyAlignment="1">
      <alignment horizontal="left" vertical="center" wrapText="1"/>
    </xf>
    <xf numFmtId="0" fontId="138" fillId="16" borderId="75" xfId="14" applyFont="1" applyFill="1" applyBorder="1" applyAlignment="1">
      <alignment horizontal="center" vertical="center"/>
    </xf>
    <xf numFmtId="0" fontId="138" fillId="16" borderId="119" xfId="14" applyFont="1" applyFill="1" applyBorder="1" applyAlignment="1">
      <alignment horizontal="center" vertical="center"/>
    </xf>
    <xf numFmtId="0" fontId="138" fillId="16" borderId="120" xfId="14" applyFont="1" applyFill="1" applyBorder="1" applyAlignment="1">
      <alignment horizontal="center" vertical="center"/>
    </xf>
  </cellXfs>
  <cellStyles count="135">
    <cellStyle name="Hiperlink 2" xfId="35" xr:uid="{6ECF1AB4-A817-4797-9810-A49F93E13BAA}"/>
    <cellStyle name="Moeda" xfId="4" builtinId="4"/>
    <cellStyle name="Moeda 16" xfId="11" xr:uid="{2F6DCA87-DFD9-4BB8-B099-40981A972827}"/>
    <cellStyle name="Moeda 16 2" xfId="78" xr:uid="{8C474D54-C419-4FA3-B4FA-467324721164}"/>
    <cellStyle name="Moeda 16 2 2" xfId="102" xr:uid="{F1C1A80E-64C3-4469-8EE9-5CD9E57E3570}"/>
    <cellStyle name="Moeda 16 2 2 2" xfId="114" xr:uid="{5B9192CD-C6BE-4F59-8BAF-103AB492CC8A}"/>
    <cellStyle name="Moeda 16 2 2 3" xfId="123" xr:uid="{87E54740-D2DB-4B27-A0EA-A4115622C9F6}"/>
    <cellStyle name="Moeda 16 2 2 4" xfId="129" xr:uid="{1DEDBBE3-AB4A-4FA2-B967-4E046E88E202}"/>
    <cellStyle name="Moeda 16 3" xfId="87" xr:uid="{D18ECB3E-DCFA-4C2F-995A-F9309A8B4729}"/>
    <cellStyle name="Moeda 16 3 2" xfId="105" xr:uid="{ABF0438B-15AA-40E6-B84D-1D0DCC1AF4C0}"/>
    <cellStyle name="Moeda 16 5" xfId="83" xr:uid="{2580FF6F-2E63-4DA0-B05B-8E89F38E52B1}"/>
    <cellStyle name="Moeda 16 5 2" xfId="109" xr:uid="{2CF3CD35-9810-46A7-83DB-254A1D0B9181}"/>
    <cellStyle name="Moeda 2" xfId="10" xr:uid="{6990DA40-CC9D-4D61-9436-7E3861ABECCD}"/>
    <cellStyle name="Moeda 2 2" xfId="54" xr:uid="{02CC363E-81AA-42F3-822E-881CAD391B1E}"/>
    <cellStyle name="Moeda 2 2 2" xfId="84" xr:uid="{2A461696-84EB-4A76-B7C1-AD487BA800B9}"/>
    <cellStyle name="Moeda 2 3" xfId="121" xr:uid="{8506413E-29EB-494A-86B2-FBB565BF142E}"/>
    <cellStyle name="Moeda 3" xfId="21" xr:uid="{DFD07D26-E4E9-4F99-B075-46D2E9A5F178}"/>
    <cellStyle name="Moeda 3 2 2" xfId="61" xr:uid="{7C5BD74D-E1CF-49B4-8D02-4B9E3CB7C5EC}"/>
    <cellStyle name="Moeda 4" xfId="106" xr:uid="{68425E6A-05A0-476A-85BD-12BD4856816F}"/>
    <cellStyle name="Moeda 5" xfId="133" xr:uid="{146B26FC-B98E-4BC7-9CCF-29DA1970F590}"/>
    <cellStyle name="Moeda 9" xfId="2" xr:uid="{67B6C1F1-E9A4-41BF-BE19-6B2B1CCF2F09}"/>
    <cellStyle name="Moeda 9 2" xfId="41" xr:uid="{4FAC4656-7700-4B82-9F23-1197F3808E3A}"/>
    <cellStyle name="Normal" xfId="0" builtinId="0"/>
    <cellStyle name="Normal 10" xfId="13" xr:uid="{4F950D56-E469-46AF-B46C-D9521B69060A}"/>
    <cellStyle name="Normal 11" xfId="79" xr:uid="{A6A15EEF-1591-498F-ABEF-87F3E3C5EFDA}"/>
    <cellStyle name="Normal 11 2" xfId="28" xr:uid="{D70E3A2F-B3DC-4895-A231-D46265621F83}"/>
    <cellStyle name="Normal 11 3" xfId="115" xr:uid="{F45F045C-5463-4AAE-8EB6-973826CC0C06}"/>
    <cellStyle name="Normal 12" xfId="92" xr:uid="{92B0468A-2571-430C-BF17-E6254A026C69}"/>
    <cellStyle name="Normal 13" xfId="95" xr:uid="{C5E6705E-4F83-49AA-8553-03C0619DDBBC}"/>
    <cellStyle name="Normal 14" xfId="111" xr:uid="{682C25B3-6F40-49CB-A63C-4D84B0B2D1BB}"/>
    <cellStyle name="Normal 14 4 2" xfId="66" xr:uid="{55F37E3D-B9A7-4CD1-AC6D-F6CC27348C0B}"/>
    <cellStyle name="Normal 14 5" xfId="57" xr:uid="{9DFA9D77-C756-457F-9ED0-230C8016B0DA}"/>
    <cellStyle name="Normal 14 5 2" xfId="75" xr:uid="{61EDCF4F-30B3-49C0-AEE4-B9858EE5D5A7}"/>
    <cellStyle name="Normal 14 6 2" xfId="42" xr:uid="{B33DF242-0053-46BC-A802-65AF71196E6F}"/>
    <cellStyle name="Normal 15" xfId="116" xr:uid="{CC6F6A55-6CDA-4140-998C-74749D2F527D}"/>
    <cellStyle name="Normal 16" xfId="126" xr:uid="{D005BAE9-A461-4FA0-8890-B27B236407DB}"/>
    <cellStyle name="Normal 16 4 2" xfId="63" xr:uid="{1E74DF18-75BD-48DE-A786-B702B4140EEC}"/>
    <cellStyle name="Normal 17" xfId="130" xr:uid="{28FE2A78-2DE3-463C-B948-C10F24CFEC95}"/>
    <cellStyle name="Normal 18" xfId="80" xr:uid="{8BA97679-64F2-4E22-813B-48702A4E554C}"/>
    <cellStyle name="Normal 19" xfId="131" xr:uid="{DC3A0940-FB36-4BF7-80B8-ED71A94ECEF8}"/>
    <cellStyle name="Normal 2" xfId="5" xr:uid="{3DEC521E-67AB-4C1A-8903-8CBE3BC207FD}"/>
    <cellStyle name="Normal 2 2 2" xfId="34" xr:uid="{BA8A0E64-171B-4B05-AE7A-AF43FC419F75}"/>
    <cellStyle name="Normal 2 2 2 2" xfId="3" xr:uid="{C8701B31-013F-4BF4-8F86-E5A275579958}"/>
    <cellStyle name="Normal 2 2 2 2 2" xfId="58" xr:uid="{A5D063F6-91E7-4A1D-AA9A-E3A2FEDEE106}"/>
    <cellStyle name="Normal 2 4" xfId="29" xr:uid="{452DEA03-1DDF-476F-9D8F-2A168AB59DD4}"/>
    <cellStyle name="Normal 2 4 2" xfId="120" xr:uid="{EEC423F5-9289-4BD7-835A-53ECDE6647BE}"/>
    <cellStyle name="Normal 20" xfId="132" xr:uid="{4D195F30-3865-4BE2-AB6B-26AAC4A2AF72}"/>
    <cellStyle name="Normal 21" xfId="134" xr:uid="{13CF921C-88C4-4A64-BB22-2E01084E2A99}"/>
    <cellStyle name="Normal 27 2" xfId="17" xr:uid="{5E456DDA-44DC-4ACF-8FE2-FE81D8CC7FAB}"/>
    <cellStyle name="Normal 27 2 2" xfId="98" xr:uid="{FCA14645-68F6-4BC9-BA0A-5A69E21B80C3}"/>
    <cellStyle name="Normal 28" xfId="39" xr:uid="{11EDA3DB-BFD9-412B-BC08-CA543C3D9646}"/>
    <cellStyle name="Normal 28 2" xfId="55" xr:uid="{80043D83-F251-464B-8C11-BA0B1C1EB70C}"/>
    <cellStyle name="Normal 28 2 2" xfId="72" xr:uid="{2B247029-2CD1-488D-9C5A-455CFE6960FB}"/>
    <cellStyle name="Normal 28 4" xfId="67" xr:uid="{7AE2E2DC-1FB4-458C-8BC8-71A0B8F56C7D}"/>
    <cellStyle name="Normal 3" xfId="7" xr:uid="{44C2B041-9A35-4647-8E80-85B365FD3E87}"/>
    <cellStyle name="Normal 31" xfId="59" xr:uid="{75F11BB9-942F-4526-8886-432B9C539761}"/>
    <cellStyle name="Normal 31 2" xfId="32" xr:uid="{66F4B4FE-2244-4EFD-9D7A-8852AC79806E}"/>
    <cellStyle name="Normal 34 2" xfId="8" xr:uid="{CDCD8C84-5CAB-499B-9D89-15F6B5CB25E3}"/>
    <cellStyle name="Normal 34 2 2" xfId="76" xr:uid="{58D2929A-8F8C-47CC-9DF2-43FE85F6A52C}"/>
    <cellStyle name="Normal 34 2 2 2" xfId="100" xr:uid="{1336DD0D-AACC-4D54-8B37-C326F8BE2590}"/>
    <cellStyle name="Normal 34 2 2 2 2" xfId="112" xr:uid="{EB74B257-590C-474C-A038-34C9CE8A879A}"/>
    <cellStyle name="Normal 34 2 2 2 3" xfId="119" xr:uid="{FBC31DFB-8DC0-4800-AFA0-CBAD94DA68DF}"/>
    <cellStyle name="Normal 34 2 2 2 4" xfId="127" xr:uid="{A13174A4-E390-4786-9847-6BADE408D71A}"/>
    <cellStyle name="Normal 34 2 3" xfId="85" xr:uid="{B99755FF-4464-4480-93C4-22A808C2F803}"/>
    <cellStyle name="Normal 34 2 3 2" xfId="103" xr:uid="{27682F1A-54CB-41E1-B8E5-F4A34C40EF47}"/>
    <cellStyle name="Normal 34 2 4" xfId="81" xr:uid="{C9414EC7-C489-4D36-B8F1-485AB84B51C8}"/>
    <cellStyle name="Normal 34 2 4 2" xfId="107" xr:uid="{F25B7065-BF77-42D2-94EB-640CD2C22337}"/>
    <cellStyle name="Normal 36" xfId="36" xr:uid="{6DA5C95D-AF83-4F5A-A8AE-EB068092DD26}"/>
    <cellStyle name="Normal 36 2" xfId="94" xr:uid="{99DA3B5B-5760-4CC3-B11D-94EFFF52FF6C}"/>
    <cellStyle name="Normal 36 3" xfId="118" xr:uid="{B3F150DB-F3FE-4A91-8412-992DBF587643}"/>
    <cellStyle name="Normal 37" xfId="37" xr:uid="{AED6CA1E-F6AB-41C5-8210-956556A60BFA}"/>
    <cellStyle name="Normal 37 2" xfId="93" xr:uid="{50E5D47E-4BBF-4ABD-9AF0-80B659BD4B76}"/>
    <cellStyle name="Normal 37 3" xfId="97" xr:uid="{4424467C-814D-4FDC-964C-DEC2930BDF8A}"/>
    <cellStyle name="Normal 37 4" xfId="117" xr:uid="{BA2A72A6-2012-434C-9811-A8DDAACF5A62}"/>
    <cellStyle name="Normal 39" xfId="24" xr:uid="{BAAB2D97-1468-436E-8AE2-779D7E03CADE}"/>
    <cellStyle name="Normal 39 2" xfId="45" xr:uid="{010F7370-2F86-4633-A67B-608FF8962EE3}"/>
    <cellStyle name="Normal 39 2 2" xfId="88" xr:uid="{03CA5E1F-1631-4537-B2E7-1F11EF4E1F75}"/>
    <cellStyle name="Normal 39 3" xfId="69" xr:uid="{3091CF5E-D236-477C-9C43-A971CC3AEBAF}"/>
    <cellStyle name="Normal 39 3 2" xfId="91" xr:uid="{6C40BFC6-DD02-4D33-A45A-381FE275EC56}"/>
    <cellStyle name="Normal 4" xfId="9" xr:uid="{C49940E0-4B35-4F8A-B164-50E231C54806}"/>
    <cellStyle name="Normal 4 2" xfId="16" xr:uid="{71F09F1B-C242-43A9-BB6B-6509BD94D460}"/>
    <cellStyle name="Normal 5" xfId="22" xr:uid="{ED34F49C-6DD5-4CF4-907B-DCEB7C00EC85}"/>
    <cellStyle name="Normal 6" xfId="30" xr:uid="{4879B280-B44D-47AC-AD8E-729CBB6A11A2}"/>
    <cellStyle name="Normal 6 2" xfId="73" xr:uid="{464FF9C2-7E33-48C6-9705-32AD95A95730}"/>
    <cellStyle name="Normal 7" xfId="40" xr:uid="{2C820241-6C47-4B55-B66A-5925FCF3DC00}"/>
    <cellStyle name="Normal 7 2" xfId="70" xr:uid="{0CB8BFCF-8F39-4D77-9C0F-A6536E652E55}"/>
    <cellStyle name="Normal 8" xfId="14" xr:uid="{8D2FA2A6-E56A-4BDA-B6BB-10171E76B1D8}"/>
    <cellStyle name="Normal 9" xfId="49" xr:uid="{9ABB1D55-109A-4CAF-A72A-D78CDDF024E7}"/>
    <cellStyle name="Normal 9 2 2 2" xfId="60" xr:uid="{D66065D3-DB38-46EC-A63B-C39C4E1B42D4}"/>
    <cellStyle name="Normal_LD_01_estruturas" xfId="47" xr:uid="{22F3B46B-20AE-4F73-9A39-37D1FD170C25}"/>
    <cellStyle name="Normal_LD_estrutura_arm_escadas" xfId="48" xr:uid="{BD331CC0-451C-4D3B-9BA2-F559044EDC33}"/>
    <cellStyle name="Porcentagem" xfId="110" builtinId="5"/>
    <cellStyle name="Porcentagem 2" xfId="6" xr:uid="{5CF05566-B960-4D47-9AF1-E0E17C920274}"/>
    <cellStyle name="Porcentagem 3" xfId="65" xr:uid="{C5A7CF5D-4305-4FE1-A003-899A815E81D2}"/>
    <cellStyle name="Separador de milhares 4" xfId="27" xr:uid="{07DC35D1-1210-4E9B-93B9-48A8979AFF3C}"/>
    <cellStyle name="Vírgula" xfId="23" builtinId="3"/>
    <cellStyle name="Vírgula 10 3 2" xfId="64" xr:uid="{7A4CE43B-4D05-41CB-8358-3FA134E7A6E6}"/>
    <cellStyle name="Vírgula 2" xfId="50" xr:uid="{FFF4A8AA-2635-4C38-99BA-6ABB4309469C}"/>
    <cellStyle name="Vírgula 2 2" xfId="18" xr:uid="{B49A18F6-AA35-4910-94B6-DF2E34FEFD6A}"/>
    <cellStyle name="Vírgula 2 2 2" xfId="52" xr:uid="{4D15DC66-42C0-47DE-9474-E1745874C111}"/>
    <cellStyle name="Vírgula 20 4 2" xfId="62" xr:uid="{A06C657E-68C3-4EA8-B2AC-5730E90AD0E0}"/>
    <cellStyle name="Vírgula 23 2" xfId="71" xr:uid="{E751815E-E4E3-400A-ADEC-57B32F06F104}"/>
    <cellStyle name="Vírgula 23 3" xfId="19" xr:uid="{6A64712E-5056-458B-8114-57D91F47BC99}"/>
    <cellStyle name="Vírgula 26" xfId="38" xr:uid="{532C9CEF-6B65-4CDD-93B8-8BA177992526}"/>
    <cellStyle name="Vírgula 26 2" xfId="31" xr:uid="{10E18D35-672E-4E97-8182-76C5FF833F70}"/>
    <cellStyle name="Vírgula 26 3" xfId="44" xr:uid="{B69E9D5B-6CE5-43BD-9E07-5797998FF1B2}"/>
    <cellStyle name="Vírgula 26 4" xfId="99" xr:uid="{70B700A7-0810-4FB3-97B2-EFBAC84FA41B}"/>
    <cellStyle name="Vírgula 3" xfId="53" xr:uid="{465871EA-9B17-493B-8781-F7732A085920}"/>
    <cellStyle name="Vírgula 3 2" xfId="15" xr:uid="{3D279FE9-481E-4043-873E-792409D436AA}"/>
    <cellStyle name="Vírgula 3 2 2" xfId="125" xr:uid="{F414E61D-02A6-4B36-9C57-61B19F5C5457}"/>
    <cellStyle name="Vírgula 3 4 2" xfId="20" xr:uid="{7EBAAA13-E8DB-41DB-991E-92F840B27FB2}"/>
    <cellStyle name="Vírgula 30" xfId="25" xr:uid="{A39AF36A-81E8-40EA-9151-9628BAF70838}"/>
    <cellStyle name="Vírgula 30 2" xfId="46" xr:uid="{89AEFA4A-2CCD-427D-8CEA-BB9A49DA023F}"/>
    <cellStyle name="Vírgula 30 2 2" xfId="89" xr:uid="{8E7A55CF-EAF5-4912-986E-A45B8264CD39}"/>
    <cellStyle name="Vírgula 31" xfId="1" xr:uid="{1184CC3E-9022-4290-8982-0859EDB2566B}"/>
    <cellStyle name="Vírgula 31 2" xfId="12" xr:uid="{2B571229-9E98-4D4F-9589-E4F90319C49C}"/>
    <cellStyle name="Vírgula 31 3" xfId="77" xr:uid="{DCB7D162-CD09-42D5-A733-D02C8EA72645}"/>
    <cellStyle name="Vírgula 31 3 2" xfId="101" xr:uid="{2D3E31C6-FCFE-4D94-B092-9B9E85754410}"/>
    <cellStyle name="Vírgula 31 3 2 2" xfId="113" xr:uid="{E0605ECB-936D-4C77-BC25-1C64A56BBEBD}"/>
    <cellStyle name="Vírgula 31 3 2 3" xfId="122" xr:uid="{9A1C5FE9-2643-4EA7-BC6D-AF75A780FE73}"/>
    <cellStyle name="Vírgula 31 3 2 4" xfId="128" xr:uid="{4010AE52-1555-4815-8213-68D360591027}"/>
    <cellStyle name="Vírgula 31 4" xfId="82" xr:uid="{4C67A833-7123-4AA5-B143-0AA3498028ED}"/>
    <cellStyle name="Vírgula 31 4 2" xfId="108" xr:uid="{98ED3DD4-FE6A-406A-9A4D-CA2E0BFE8580}"/>
    <cellStyle name="Vírgula 31 5" xfId="86" xr:uid="{3CD754CD-45F6-45B6-A769-B98414C29178}"/>
    <cellStyle name="Vírgula 31 5 2" xfId="104" xr:uid="{57E9FC50-3DD3-4971-A9E6-34B7950A50D2}"/>
    <cellStyle name="Vírgula 33" xfId="68" xr:uid="{B5EB5BBD-9492-4F69-B8E1-E40E98FBAD51}"/>
    <cellStyle name="Vírgula 33 2" xfId="90" xr:uid="{2969D77F-B76C-470C-8CFA-6A5210ED3F43}"/>
    <cellStyle name="Vírgula 4" xfId="51" xr:uid="{557467F8-C0AC-48B7-9C14-A09EAA460A37}"/>
    <cellStyle name="Vírgula 5" xfId="96" xr:uid="{11CC87AF-28BA-42BA-AAFC-CC1C79806781}"/>
    <cellStyle name="Vírgula 5 2" xfId="33" xr:uid="{4DBDB7D6-F471-48F3-98A3-1868CD5EAF80}"/>
    <cellStyle name="Vírgula 5 2 2" xfId="124" xr:uid="{90EE78CC-B14C-4941-8501-60CB2099A0AC}"/>
    <cellStyle name="Vírgula 7 4" xfId="56" xr:uid="{D01F71B2-6710-4784-8DBD-8A79A705E4AE}"/>
    <cellStyle name="Vírgula 7 4 2" xfId="74" xr:uid="{DE092CA5-0BC1-4E37-9C7E-E43602EDBC19}"/>
    <cellStyle name="Vírgula 8" xfId="26" xr:uid="{672DB333-55C9-4AFD-9B6E-DCCDE75DB601}"/>
    <cellStyle name="Vírgula 9 4 2" xfId="43" xr:uid="{1A751105-540E-4969-B14B-B23274540D1A}"/>
  </cellStyles>
  <dxfs count="20292">
    <dxf>
      <font>
        <color rgb="FFFFFFFF"/>
      </font>
      <fill>
        <patternFill patternType="solid">
          <fgColor indexed="64"/>
          <bgColor rgb="FF00B050"/>
        </patternFill>
      </fill>
    </dxf>
    <dxf>
      <font>
        <color rgb="FF000000"/>
      </font>
      <fill>
        <patternFill patternType="solid">
          <fgColor indexed="64"/>
          <bgColor rgb="FFFFD700"/>
        </patternFill>
      </fill>
    </dxf>
    <dxf>
      <font>
        <color rgb="FFFFFFFF"/>
      </font>
      <fill>
        <patternFill patternType="solid">
          <fgColor indexed="64"/>
          <bgColor rgb="FFFF0000"/>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auto="1"/>
      </font>
      <fill>
        <patternFill>
          <bgColor theme="0" tint="-0.14996795556505021"/>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theme="0"/>
      </font>
      <fill>
        <patternFill>
          <bgColor theme="1" tint="0.24994659260841701"/>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0"/>
        </patternFill>
      </fill>
    </dxf>
    <dxf>
      <font>
        <b/>
      </font>
      <fill>
        <patternFill patternType="solid">
          <fgColor rgb="FFBABABA"/>
          <bgColor rgb="FFBABABA"/>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FF0000"/>
      </font>
      <fill>
        <patternFill>
          <bgColor rgb="FFFECAD1"/>
        </patternFill>
      </fill>
    </dxf>
    <dxf>
      <font>
        <color rgb="FF3F3151"/>
      </font>
      <fill>
        <patternFill patternType="solid">
          <fgColor rgb="FFCCC0D9"/>
          <bgColor rgb="FFCCC0D9"/>
        </patternFill>
      </fill>
    </dxf>
    <dxf>
      <font>
        <color rgb="FF9C5700"/>
      </font>
      <fill>
        <patternFill patternType="solid">
          <fgColor rgb="FFFFEB9C"/>
          <bgColor rgb="FFFFEB9C"/>
        </patternFill>
      </fill>
    </dxf>
    <dxf>
      <font>
        <color rgb="FF31859B"/>
      </font>
      <fill>
        <patternFill patternType="solid">
          <fgColor rgb="FFB6DDE8"/>
          <bgColor rgb="FFB6DDE8"/>
        </patternFill>
      </fill>
    </dxf>
    <dxf>
      <font>
        <color rgb="FF006100"/>
      </font>
      <fill>
        <patternFill patternType="solid">
          <fgColor rgb="FFC6EFCE"/>
          <bgColor rgb="FFC6EFCE"/>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ill>
        <patternFill patternType="solid">
          <fgColor rgb="FFD7D7D7"/>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color rgb="FFFF0000"/>
      </font>
      <fill>
        <patternFill>
          <bgColor rgb="FFFECAD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none">
          <bgColor auto="1"/>
        </patternFill>
      </fill>
    </dxf>
    <dxf>
      <font>
        <b val="0"/>
        <i val="0"/>
      </font>
      <fill>
        <patternFill patternType="none">
          <bgColor auto="1"/>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D8D8D8"/>
          <bgColor rgb="FFD8D8D8"/>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color rgb="FFFF0000"/>
      </font>
      <fill>
        <patternFill patternType="solid">
          <fgColor rgb="FFFECAD1"/>
          <bgColor rgb="FFFECAD1"/>
        </patternFill>
      </fill>
    </dxf>
    <dxf>
      <font>
        <color rgb="FFFF0000"/>
      </font>
      <fill>
        <patternFill patternType="solid">
          <fgColor rgb="FFFECAD1"/>
          <bgColor rgb="FFFECAD1"/>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color rgb="FFFF0000"/>
      </font>
      <fill>
        <patternFill patternType="solid">
          <fgColor rgb="FFFECAD1"/>
          <bgColor rgb="FFFECAD1"/>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color rgb="FFFF0000"/>
      </font>
      <fill>
        <patternFill patternType="solid">
          <fgColor rgb="FFFECAD1"/>
          <bgColor rgb="FFFECAD1"/>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i val="0"/>
      </font>
      <fill>
        <patternFill patternType="solid">
          <bgColor rgb="FFBABABA"/>
        </patternFill>
      </fill>
    </dxf>
    <dxf>
      <font>
        <b val="0"/>
        <i val="0"/>
      </font>
      <fill>
        <patternFill patternType="solid">
          <bgColor rgb="FFD7D7D7"/>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i val="0"/>
      </font>
      <fill>
        <patternFill patternType="solid">
          <bgColor rgb="FFBABABA"/>
        </patternFill>
      </fill>
    </dxf>
    <dxf>
      <font>
        <b val="0"/>
        <i val="0"/>
      </font>
      <fill>
        <patternFill patternType="solid">
          <bgColor rgb="FFD7D7D7"/>
        </patternFill>
      </fill>
    </dxf>
    <dxf>
      <font>
        <b/>
      </font>
      <fill>
        <patternFill patternType="solid">
          <fgColor rgb="FFBABABA"/>
          <bgColor rgb="FFBABABA"/>
        </patternFill>
      </fill>
    </dxf>
    <dxf>
      <font>
        <b val="0"/>
        <i val="0"/>
      </font>
      <fill>
        <patternFill patternType="solid">
          <bgColor rgb="FFD7D7D7"/>
        </patternFill>
      </fill>
    </dxf>
    <dxf>
      <font>
        <b/>
        <i val="0"/>
      </font>
      <fill>
        <patternFill patternType="solid">
          <bgColor rgb="FFBABABA"/>
        </patternFill>
      </fill>
    </dxf>
    <dxf>
      <font>
        <b/>
      </font>
      <fill>
        <patternFill patternType="solid">
          <fgColor rgb="FFBABABA"/>
          <bgColor rgb="FFBABABA"/>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b/>
      </font>
      <fill>
        <patternFill>
          <bgColor auto="1"/>
        </patternFill>
      </fill>
    </dxf>
    <dxf>
      <font>
        <b/>
        <color theme="0"/>
      </font>
      <fill>
        <patternFill>
          <bgColor rgb="FF255AE5"/>
        </patternFill>
      </fill>
    </dxf>
    <dxf>
      <font>
        <b/>
      </font>
      <fill>
        <patternFill>
          <bgColor auto="1"/>
        </patternFill>
      </fill>
    </dxf>
    <dxf>
      <font>
        <color theme="1" tint="0.499984740745262"/>
      </font>
      <fill>
        <patternFill>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b/>
        <i val="0"/>
      </font>
      <fill>
        <patternFill patternType="none">
          <bgColor auto="1"/>
        </patternFill>
      </fill>
    </dxf>
    <dxf>
      <font>
        <b/>
        <i val="0"/>
        <color theme="0"/>
      </font>
      <fill>
        <patternFill>
          <bgColor rgb="FF255AE5"/>
        </patternFill>
      </fill>
    </dxf>
    <dxf>
      <font>
        <b/>
        <i val="0"/>
      </font>
      <fill>
        <patternFill patternType="none">
          <bgColor auto="1"/>
        </patternFill>
      </fill>
    </dxf>
    <dxf>
      <font>
        <b val="0"/>
        <i val="0"/>
        <color theme="1" tint="0.499984740745262"/>
      </font>
      <fill>
        <patternFill patternType="none">
          <bgColor auto="1"/>
        </patternFill>
      </fill>
    </dxf>
    <dxf>
      <font>
        <color rgb="FF000000"/>
      </font>
      <fill>
        <patternFill patternType="solid">
          <fgColor indexed="64"/>
          <bgColor rgb="FFFFD700"/>
        </patternFill>
      </fill>
    </dxf>
    <dxf>
      <font>
        <color rgb="FFFFFFFF"/>
      </font>
      <fill>
        <patternFill patternType="solid">
          <fgColor indexed="64"/>
          <bgColor rgb="FF00B050"/>
        </patternFill>
      </fill>
    </dxf>
    <dxf>
      <font>
        <color rgb="FFFFFFFF"/>
      </font>
      <fill>
        <patternFill patternType="solid">
          <fgColor indexed="64"/>
          <bgColor rgb="FFFF0000"/>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7F7F7F"/>
          <bgColor rgb="FF7F7F7F"/>
        </patternFill>
      </fill>
    </dxf>
    <dxf>
      <font>
        <b/>
      </font>
      <fill>
        <patternFill patternType="solid">
          <fgColor rgb="FFD8D8D8"/>
          <bgColor rgb="FFD8D8D8"/>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font>
      <fill>
        <patternFill patternType="solid">
          <fgColor rgb="FFD8D8D8"/>
          <bgColor rgb="FFD8D8D8"/>
        </patternFill>
      </fill>
    </dxf>
    <dxf>
      <font>
        <b/>
      </font>
      <fill>
        <patternFill patternType="solid">
          <fgColor rgb="FF7F7F7F"/>
          <bgColor rgb="FF7F7F7F"/>
        </patternFill>
      </fill>
    </dxf>
    <dxf>
      <font>
        <b/>
        <color theme="0"/>
      </font>
      <fill>
        <patternFill patternType="solid">
          <fgColor rgb="FF3F3F3F"/>
          <bgColor rgb="FF3F3F3F"/>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499984740745262"/>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auto="1"/>
      </font>
      <fill>
        <patternFill>
          <bgColor theme="0" tint="-0.14996795556505021"/>
        </patternFill>
      </fill>
    </dxf>
    <dxf>
      <font>
        <b/>
        <i val="0"/>
        <color theme="0"/>
      </font>
      <fill>
        <patternFill>
          <bgColor theme="1" tint="0.24994659260841701"/>
        </patternFill>
      </fill>
    </dxf>
    <dxf>
      <font>
        <b/>
        <i val="0"/>
        <color auto="1"/>
      </font>
      <fill>
        <patternFill>
          <bgColor theme="0" tint="-0.14996795556505021"/>
        </patternFill>
      </fill>
    </dxf>
    <dxf>
      <font>
        <b/>
        <i val="0"/>
        <color theme="0"/>
      </font>
      <fill>
        <patternFill>
          <bgColor theme="1" tint="0.24994659260841701"/>
        </patternFill>
      </fill>
    </dxf>
    <dxf>
      <font>
        <b/>
        <i val="0"/>
        <color theme="0"/>
      </font>
      <fill>
        <patternFill>
          <bgColor theme="1" tint="0.24994659260841701"/>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499984740745262"/>
        </patternFill>
      </fill>
    </dxf>
    <dxf>
      <font>
        <b/>
        <i val="0"/>
        <color auto="1"/>
      </font>
      <fill>
        <patternFill>
          <bgColor theme="0" tint="-0.14996795556505021"/>
        </patternFill>
      </fill>
    </dxf>
    <dxf>
      <font>
        <b/>
        <i val="0"/>
        <color auto="1"/>
      </font>
      <fill>
        <patternFill>
          <bgColor theme="0" tint="-0.14996795556505021"/>
        </patternFill>
      </fill>
    </dxf>
    <dxf>
      <font>
        <b/>
      </font>
    </dxf>
    <dxf>
      <font>
        <b/>
        <color theme="0"/>
      </font>
      <fill>
        <patternFill>
          <fgColor theme="0"/>
          <bgColor rgb="FFFF0000"/>
        </patternFill>
      </fill>
    </dxf>
    <dxf>
      <font>
        <b/>
        <color theme="0"/>
      </font>
      <fill>
        <patternFill>
          <bgColor theme="6" tint="-0.499984740745262"/>
        </patternFill>
      </fill>
    </dxf>
    <dxf>
      <font>
        <b/>
      </font>
      <fill>
        <patternFill>
          <bgColor rgb="FF00B050"/>
        </patternFill>
      </fill>
    </dxf>
  </dxfs>
  <tableStyles count="0" defaultTableStyle="TableStyleMedium2" defaultPivotStyle="PivotStyleLight16"/>
  <colors>
    <mruColors>
      <color rgb="FF8FDFA8"/>
      <color rgb="FFDB63B9"/>
      <color rgb="FF0000FF"/>
      <color rgb="FFCC9900"/>
      <color rgb="FF1851D6"/>
      <color rgb="FF255AE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43"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423657</xdr:colOff>
      <xdr:row>1</xdr:row>
      <xdr:rowOff>98221</xdr:rowOff>
    </xdr:to>
    <xdr:pic>
      <xdr:nvPicPr>
        <xdr:cNvPr id="2" name="Imagem 1">
          <a:extLst>
            <a:ext uri="{FF2B5EF4-FFF2-40B4-BE49-F238E27FC236}">
              <a16:creationId xmlns:a16="http://schemas.microsoft.com/office/drawing/2014/main" id="{BD636CE9-DD2A-4CCB-9EAF-1A8A98CA4F75}"/>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39283" b="39658"/>
        <a:stretch/>
      </xdr:blipFill>
      <xdr:spPr bwMode="auto">
        <a:xfrm>
          <a:off x="0" y="0"/>
          <a:ext cx="1566657" cy="3223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0</xdr:colOff>
      <xdr:row>5</xdr:row>
      <xdr:rowOff>171450</xdr:rowOff>
    </xdr:from>
    <xdr:to>
      <xdr:col>11</xdr:col>
      <xdr:colOff>370671</xdr:colOff>
      <xdr:row>33</xdr:row>
      <xdr:rowOff>124829</xdr:rowOff>
    </xdr:to>
    <xdr:pic>
      <xdr:nvPicPr>
        <xdr:cNvPr id="3" name="Imagem 2">
          <a:extLst>
            <a:ext uri="{FF2B5EF4-FFF2-40B4-BE49-F238E27FC236}">
              <a16:creationId xmlns:a16="http://schemas.microsoft.com/office/drawing/2014/main" id="{798A6151-02AF-7087-067D-20B9F3460FB4}"/>
            </a:ext>
          </a:extLst>
        </xdr:cNvPr>
        <xdr:cNvPicPr>
          <a:picLocks noChangeAspect="1"/>
        </xdr:cNvPicPr>
      </xdr:nvPicPr>
      <xdr:blipFill>
        <a:blip xmlns:r="http://schemas.openxmlformats.org/officeDocument/2006/relationships" r:embed="rId2"/>
        <a:stretch>
          <a:fillRect/>
        </a:stretch>
      </xdr:blipFill>
      <xdr:spPr>
        <a:xfrm>
          <a:off x="6610350" y="1152525"/>
          <a:ext cx="5625110" cy="6859005"/>
        </a:xfrm>
        <a:prstGeom prst="rect">
          <a:avLst/>
        </a:prstGeom>
      </xdr:spPr>
    </xdr:pic>
    <xdr:clientData/>
  </xdr:twoCellAnchor>
  <xdr:twoCellAnchor editAs="oneCell">
    <xdr:from>
      <xdr:col>8</xdr:col>
      <xdr:colOff>190501</xdr:colOff>
      <xdr:row>76</xdr:row>
      <xdr:rowOff>70671</xdr:rowOff>
    </xdr:from>
    <xdr:to>
      <xdr:col>11</xdr:col>
      <xdr:colOff>569820</xdr:colOff>
      <xdr:row>98</xdr:row>
      <xdr:rowOff>46565</xdr:rowOff>
    </xdr:to>
    <xdr:pic>
      <xdr:nvPicPr>
        <xdr:cNvPr id="4" name="Imagem 3">
          <a:extLst>
            <a:ext uri="{FF2B5EF4-FFF2-40B4-BE49-F238E27FC236}">
              <a16:creationId xmlns:a16="http://schemas.microsoft.com/office/drawing/2014/main" id="{15E8EF67-D654-1EAA-30EC-2D058D9D71A3}"/>
            </a:ext>
          </a:extLst>
        </xdr:cNvPr>
        <xdr:cNvPicPr>
          <a:picLocks noChangeAspect="1"/>
        </xdr:cNvPicPr>
      </xdr:nvPicPr>
      <xdr:blipFill>
        <a:blip xmlns:r="http://schemas.openxmlformats.org/officeDocument/2006/relationships" r:embed="rId3"/>
        <a:stretch>
          <a:fillRect/>
        </a:stretch>
      </xdr:blipFill>
      <xdr:spPr>
        <a:xfrm>
          <a:off x="7734301" y="13986696"/>
          <a:ext cx="5638800" cy="386377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72"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E0E7138-28CC-4371-880C-943DFA091882}">
  <we:reference id="wa200009404" version="1.0.0.5" store="en-US" storeType="OMEX"/>
  <we:alternateReferences>
    <we:reference id="WA200009404" version="1.0.0.5"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s>
</file>

<file path=xl/worksheets/_rels/sheet3.xml.rels><?xml version="1.0" encoding="UTF-8" standalone="yes"?>
<Relationships xmlns="http://schemas.openxmlformats.org/package/2006/relationships"></Relationships>
</file>

<file path=xl/worksheets/_rels/sheet4.xml.rels><?xml version="1.0" encoding="UTF-8" standalone="yes"?>
<Relationships xmlns="http://schemas.openxmlformats.org/package/2006/relationships"></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2.xml"/><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1" Type="http://schemas.openxmlformats.org/officeDocument/2006/relationships/hyperlink" Target="https://www.google.com/aclk?sa=l&amp;ai=DChcSEwiE9NbFvbKLAxV20sIEHWzsKVUYABAnGgJwdg&amp;co=1&amp;gclid=Cj0KCQiA-5a9BhCBARIsACwMkJ6mW9Xf8EEJipNUyqJzW2YCHDGaSgz6LA9l0n3I7NTk56Hc-GIf_SwaAkDqEALw_wcB&amp;sig=AOD64_0MgBtzPPr6UGA5uHDcGh3RSs4gzA&amp;ctype=5&amp;q=&amp;ved=2ahUKEwi6uMvFvbKLAxVTpJUCHa-5BCoQ9aACKAB6BAgEECo&amp;adurl=" TargetMode="External"/><Relationship Id="rId6"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2A818-A4EA-49B7-8388-A31701FC6708}">
  <sheetPr>
    <tabColor theme="1"/>
    <outlinePr summaryBelow="0"/>
    <pageSetUpPr fitToPage="1"/>
  </sheetPr>
  <dimension ref="A1:P6882"/>
  <sheetViews>
    <sheetView showGridLines="0" topLeftCell="F1" zoomScaleNormal="100" workbookViewId="0">
      <pane ySplit="7" topLeftCell="A8" activePane="bottomLeft" state="frozen"/>
      <selection pane="bottomLeft" activeCell="J568" sqref="J568"/>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9" customHeight="1" collapsed="1" x14ac:dyDescent="0.2">
      <c r="A379" s="459">
        <v>0</v>
      </c>
      <c r="B379" s="459">
        <v>6</v>
      </c>
      <c r="C379" s="459">
        <v>0</v>
      </c>
      <c r="D379" s="460">
        <v>4</v>
      </c>
      <c r="E379" s="460">
        <v>2</v>
      </c>
      <c r="F379" s="474"/>
      <c r="G379" s="1726"/>
      <c r="H379" s="1727" t="s">
        <v>1237</v>
      </c>
      <c r="I379" s="1728" t="s">
        <v>6401</v>
      </c>
      <c r="J379" s="1729" t="s">
        <v>17</v>
      </c>
      <c r="K379" s="1730"/>
      <c r="L379" s="1731"/>
      <c r="M379" s="1731"/>
      <c r="N379" s="1732">
        <v>3569163.7245956999</v>
      </c>
      <c r="O379" s="1770">
        <v>213.088599631856</v>
      </c>
      <c r="P379" s="1724"/>
    </row>
    <row r="380" spans="1:16" ht="13.9" hidden="1" customHeight="1" outlineLevel="1" x14ac:dyDescent="0.2">
      <c r="A380" s="459">
        <v>0</v>
      </c>
      <c r="B380" s="459">
        <v>6</v>
      </c>
      <c r="C380" s="459">
        <v>1</v>
      </c>
      <c r="D380" s="460">
        <v>0</v>
      </c>
      <c r="E380" s="460">
        <v>2</v>
      </c>
      <c r="G380" s="1733"/>
      <c r="H380" s="1734" t="s">
        <v>39</v>
      </c>
      <c r="I380" s="1735" t="s">
        <v>6402</v>
      </c>
      <c r="J380" s="1736" t="s">
        <v>3270</v>
      </c>
      <c r="K380" s="1737"/>
      <c r="L380" s="1738"/>
      <c r="M380" s="1738"/>
      <c r="N380" s="1739">
        <v>1732378.9793951199</v>
      </c>
      <c r="O380" s="1722"/>
      <c r="P380" s="1725"/>
    </row>
    <row r="381" spans="1:16" ht="13.9" hidden="1" customHeight="1" outlineLevel="2" x14ac:dyDescent="0.2">
      <c r="A381" s="459">
        <v>0</v>
      </c>
      <c r="B381" s="459">
        <v>6</v>
      </c>
      <c r="C381" s="459">
        <v>1</v>
      </c>
      <c r="D381" s="460">
        <v>1</v>
      </c>
      <c r="E381" s="460">
        <v>0</v>
      </c>
      <c r="G381" s="1740"/>
      <c r="H381" s="1741" t="s">
        <v>1238</v>
      </c>
      <c r="I381" s="1742" t="s">
        <v>6403</v>
      </c>
      <c r="J381" s="1743" t="s">
        <v>2789</v>
      </c>
      <c r="K381" s="1744"/>
      <c r="L381" s="1745"/>
      <c r="M381" s="1745"/>
      <c r="N381" s="1746">
        <v>443271.64880000002</v>
      </c>
      <c r="O381" s="1747"/>
      <c r="P381" s="1720"/>
    </row>
    <row r="382" spans="1:16" ht="13.9" hidden="1" customHeight="1" outlineLevel="3" x14ac:dyDescent="0.2">
      <c r="A382" s="459">
        <v>0</v>
      </c>
      <c r="B382" s="459">
        <v>6</v>
      </c>
      <c r="C382" s="459">
        <v>1</v>
      </c>
      <c r="D382" s="460">
        <v>1</v>
      </c>
      <c r="E382" s="460">
        <v>1</v>
      </c>
      <c r="G382" s="1790" t="s">
        <v>17</v>
      </c>
      <c r="H382" s="1749" t="s">
        <v>1239</v>
      </c>
      <c r="I382" s="1750" t="s">
        <v>6404</v>
      </c>
      <c r="J382" s="1751" t="s">
        <v>2789</v>
      </c>
      <c r="K382" s="1752" t="s">
        <v>1130</v>
      </c>
      <c r="L382" s="1753">
        <v>1</v>
      </c>
      <c r="M382" s="1753">
        <v>443271.64879999997</v>
      </c>
      <c r="N382" s="1754">
        <v>443271.64880000002</v>
      </c>
      <c r="O382" s="1755" t="s">
        <v>3285</v>
      </c>
      <c r="P382" s="1721" t="s">
        <v>9611</v>
      </c>
    </row>
    <row r="383" spans="1:16" ht="13.9" hidden="1" customHeight="1" outlineLevel="2" x14ac:dyDescent="0.2">
      <c r="A383" s="459">
        <v>0</v>
      </c>
      <c r="B383" s="459">
        <v>6</v>
      </c>
      <c r="C383" s="459">
        <v>1</v>
      </c>
      <c r="D383" s="460">
        <v>2</v>
      </c>
      <c r="E383" s="460">
        <v>0</v>
      </c>
      <c r="G383" s="1740"/>
      <c r="H383" s="1741" t="s">
        <v>1238</v>
      </c>
      <c r="I383" s="1742" t="s">
        <v>6405</v>
      </c>
      <c r="J383" s="1743" t="s">
        <v>3269</v>
      </c>
      <c r="K383" s="1744"/>
      <c r="L383" s="1745"/>
      <c r="M383" s="1745"/>
      <c r="N383" s="1746">
        <v>641526.71</v>
      </c>
      <c r="O383" s="1747"/>
      <c r="P383" s="1720"/>
    </row>
    <row r="384" spans="1:16" ht="13.9" hidden="1" customHeight="1" outlineLevel="3" x14ac:dyDescent="0.2">
      <c r="A384" s="459">
        <v>0</v>
      </c>
      <c r="B384" s="459">
        <v>6</v>
      </c>
      <c r="C384" s="459">
        <v>1</v>
      </c>
      <c r="D384" s="460">
        <v>2</v>
      </c>
      <c r="E384" s="460">
        <v>1</v>
      </c>
      <c r="G384" s="1790" t="s">
        <v>17</v>
      </c>
      <c r="H384" s="1749" t="s">
        <v>1239</v>
      </c>
      <c r="I384" s="1750" t="s">
        <v>6406</v>
      </c>
      <c r="J384" s="1751" t="s">
        <v>3269</v>
      </c>
      <c r="K384" s="1752" t="s">
        <v>1130</v>
      </c>
      <c r="L384" s="1753">
        <v>1</v>
      </c>
      <c r="M384" s="1753">
        <v>641526.71</v>
      </c>
      <c r="N384" s="1754">
        <v>641526.71</v>
      </c>
      <c r="O384" s="1755" t="s">
        <v>3285</v>
      </c>
      <c r="P384" s="1721" t="s">
        <v>9611</v>
      </c>
    </row>
    <row r="385" spans="1:16" ht="13.9" hidden="1" customHeight="1" outlineLevel="2" x14ac:dyDescent="0.2">
      <c r="A385" s="459">
        <v>0</v>
      </c>
      <c r="B385" s="459">
        <v>6</v>
      </c>
      <c r="C385" s="459">
        <v>1</v>
      </c>
      <c r="D385" s="460">
        <v>3</v>
      </c>
      <c r="E385" s="460">
        <v>0</v>
      </c>
      <c r="G385" s="1740"/>
      <c r="H385" s="1741" t="s">
        <v>1238</v>
      </c>
      <c r="I385" s="1742" t="s">
        <v>6407</v>
      </c>
      <c r="J385" s="1743" t="s">
        <v>2520</v>
      </c>
      <c r="K385" s="1744"/>
      <c r="L385" s="1745"/>
      <c r="M385" s="1745"/>
      <c r="N385" s="1746">
        <v>249995</v>
      </c>
      <c r="O385" s="1747"/>
      <c r="P385" s="1720"/>
    </row>
    <row r="386" spans="1:16" ht="13.9" hidden="1" customHeight="1" outlineLevel="3" x14ac:dyDescent="0.2">
      <c r="A386" s="459">
        <v>0</v>
      </c>
      <c r="B386" s="459">
        <v>6</v>
      </c>
      <c r="C386" s="459">
        <v>1</v>
      </c>
      <c r="D386" s="460">
        <v>3</v>
      </c>
      <c r="E386" s="460">
        <v>1</v>
      </c>
      <c r="G386" s="1790" t="s">
        <v>17</v>
      </c>
      <c r="H386" s="1749" t="s">
        <v>1239</v>
      </c>
      <c r="I386" s="1750" t="s">
        <v>6408</v>
      </c>
      <c r="J386" s="1751" t="s">
        <v>2520</v>
      </c>
      <c r="K386" s="1752" t="s">
        <v>1130</v>
      </c>
      <c r="L386" s="1753">
        <v>1</v>
      </c>
      <c r="M386" s="1753">
        <v>249995</v>
      </c>
      <c r="N386" s="1754">
        <v>249995</v>
      </c>
      <c r="O386" s="1755" t="s">
        <v>3285</v>
      </c>
      <c r="P386" s="1721" t="s">
        <v>9611</v>
      </c>
    </row>
    <row r="387" spans="1:16" ht="13.9" hidden="1" customHeight="1" outlineLevel="2" x14ac:dyDescent="0.2">
      <c r="A387" s="459">
        <v>0</v>
      </c>
      <c r="B387" s="459">
        <v>6</v>
      </c>
      <c r="C387" s="459">
        <v>1</v>
      </c>
      <c r="D387" s="460">
        <v>4</v>
      </c>
      <c r="E387" s="460">
        <v>0</v>
      </c>
      <c r="G387" s="1740"/>
      <c r="H387" s="1741" t="s">
        <v>1238</v>
      </c>
      <c r="I387" s="1742" t="s">
        <v>6409</v>
      </c>
      <c r="J387" s="1743" t="s">
        <v>2790</v>
      </c>
      <c r="K387" s="1744"/>
      <c r="L387" s="1745"/>
      <c r="M387" s="1745"/>
      <c r="N387" s="1746">
        <v>6551.71</v>
      </c>
      <c r="O387" s="1747"/>
      <c r="P387" s="1720"/>
    </row>
    <row r="388" spans="1:16" ht="13.9" hidden="1" customHeight="1" outlineLevel="3" x14ac:dyDescent="0.2">
      <c r="A388" s="459">
        <v>0</v>
      </c>
      <c r="B388" s="459">
        <v>6</v>
      </c>
      <c r="C388" s="459">
        <v>1</v>
      </c>
      <c r="D388" s="460">
        <v>4</v>
      </c>
      <c r="E388" s="460">
        <v>1</v>
      </c>
      <c r="G388" s="1790" t="s">
        <v>17</v>
      </c>
      <c r="H388" s="1749" t="s">
        <v>1239</v>
      </c>
      <c r="I388" s="1750" t="s">
        <v>6410</v>
      </c>
      <c r="J388" s="1751" t="s">
        <v>2790</v>
      </c>
      <c r="K388" s="1752" t="s">
        <v>1130</v>
      </c>
      <c r="L388" s="1753">
        <v>1</v>
      </c>
      <c r="M388" s="1753">
        <v>6551.71</v>
      </c>
      <c r="N388" s="1754">
        <v>6551.71</v>
      </c>
      <c r="O388" s="1755" t="s">
        <v>3285</v>
      </c>
      <c r="P388" s="1721" t="s">
        <v>9611</v>
      </c>
    </row>
    <row r="389" spans="1:16" ht="13.9" hidden="1" customHeight="1" outlineLevel="2" x14ac:dyDescent="0.2">
      <c r="A389" s="459">
        <v>0</v>
      </c>
      <c r="B389" s="459">
        <v>6</v>
      </c>
      <c r="C389" s="459">
        <v>1</v>
      </c>
      <c r="D389" s="460">
        <v>5</v>
      </c>
      <c r="E389" s="460">
        <v>0</v>
      </c>
      <c r="G389" s="1740"/>
      <c r="H389" s="1741" t="s">
        <v>1238</v>
      </c>
      <c r="I389" s="1742" t="s">
        <v>6411</v>
      </c>
      <c r="J389" s="1743" t="s">
        <v>2792</v>
      </c>
      <c r="K389" s="1744"/>
      <c r="L389" s="1745"/>
      <c r="M389" s="1745"/>
      <c r="N389" s="1746">
        <v>2334.0500000000002</v>
      </c>
      <c r="O389" s="1747"/>
      <c r="P389" s="1720"/>
    </row>
    <row r="390" spans="1:16" ht="13.9" hidden="1" customHeight="1" outlineLevel="3" x14ac:dyDescent="0.2">
      <c r="A390" s="459">
        <v>0</v>
      </c>
      <c r="B390" s="459">
        <v>6</v>
      </c>
      <c r="C390" s="459">
        <v>1</v>
      </c>
      <c r="D390" s="460">
        <v>5</v>
      </c>
      <c r="E390" s="460">
        <v>1</v>
      </c>
      <c r="G390" s="1790" t="s">
        <v>17</v>
      </c>
      <c r="H390" s="1749" t="s">
        <v>1239</v>
      </c>
      <c r="I390" s="1750" t="s">
        <v>6412</v>
      </c>
      <c r="J390" s="1751" t="s">
        <v>2792</v>
      </c>
      <c r="K390" s="1752" t="s">
        <v>1130</v>
      </c>
      <c r="L390" s="1753">
        <v>1</v>
      </c>
      <c r="M390" s="1753">
        <v>2334.0500000000002</v>
      </c>
      <c r="N390" s="1754">
        <v>2334.0500000000002</v>
      </c>
      <c r="O390" s="1755" t="s">
        <v>3285</v>
      </c>
      <c r="P390" s="1721" t="s">
        <v>9611</v>
      </c>
    </row>
    <row r="391" spans="1:16" ht="13.9" hidden="1" customHeight="1" outlineLevel="2" x14ac:dyDescent="0.2">
      <c r="A391" s="459">
        <v>0</v>
      </c>
      <c r="B391" s="459">
        <v>6</v>
      </c>
      <c r="C391" s="459">
        <v>1</v>
      </c>
      <c r="D391" s="460">
        <v>6</v>
      </c>
      <c r="E391" s="460">
        <v>0</v>
      </c>
      <c r="G391" s="1740"/>
      <c r="H391" s="1741" t="s">
        <v>1238</v>
      </c>
      <c r="I391" s="1742" t="s">
        <v>6413</v>
      </c>
      <c r="J391" s="1743" t="s">
        <v>2793</v>
      </c>
      <c r="K391" s="1744"/>
      <c r="L391" s="1745"/>
      <c r="M391" s="1745"/>
      <c r="N391" s="1746">
        <v>247400.663</v>
      </c>
      <c r="O391" s="1747"/>
      <c r="P391" s="1720"/>
    </row>
    <row r="392" spans="1:16" ht="13.9" hidden="1" customHeight="1" outlineLevel="3" x14ac:dyDescent="0.2">
      <c r="A392" s="459">
        <v>0</v>
      </c>
      <c r="B392" s="459">
        <v>6</v>
      </c>
      <c r="C392" s="459">
        <v>1</v>
      </c>
      <c r="D392" s="460">
        <v>6</v>
      </c>
      <c r="E392" s="460">
        <v>1</v>
      </c>
      <c r="G392" s="1790" t="s">
        <v>17</v>
      </c>
      <c r="H392" s="1749" t="s">
        <v>1239</v>
      </c>
      <c r="I392" s="1750" t="s">
        <v>6414</v>
      </c>
      <c r="J392" s="1751" t="s">
        <v>2793</v>
      </c>
      <c r="K392" s="1752" t="s">
        <v>1130</v>
      </c>
      <c r="L392" s="1753">
        <v>1</v>
      </c>
      <c r="M392" s="1753">
        <v>247400.663</v>
      </c>
      <c r="N392" s="1754">
        <v>247400.663</v>
      </c>
      <c r="O392" s="1755" t="s">
        <v>3285</v>
      </c>
      <c r="P392" s="1721" t="s">
        <v>9611</v>
      </c>
    </row>
    <row r="393" spans="1:16" ht="13.9" hidden="1" customHeight="1" outlineLevel="2" x14ac:dyDescent="0.2">
      <c r="A393" s="459">
        <v>0</v>
      </c>
      <c r="B393" s="459">
        <v>6</v>
      </c>
      <c r="C393" s="459">
        <v>1</v>
      </c>
      <c r="D393" s="460">
        <v>7</v>
      </c>
      <c r="E393" s="460">
        <v>0</v>
      </c>
      <c r="G393" s="1740"/>
      <c r="H393" s="1741" t="s">
        <v>1238</v>
      </c>
      <c r="I393" s="1742" t="s">
        <v>6415</v>
      </c>
      <c r="J393" s="1743" t="s">
        <v>2794</v>
      </c>
      <c r="K393" s="1744"/>
      <c r="L393" s="1745"/>
      <c r="M393" s="1745"/>
      <c r="N393" s="1746">
        <v>3653.25</v>
      </c>
      <c r="O393" s="1747"/>
      <c r="P393" s="1720"/>
    </row>
    <row r="394" spans="1:16" ht="13.9" hidden="1" customHeight="1" outlineLevel="3" x14ac:dyDescent="0.2">
      <c r="A394" s="459">
        <v>0</v>
      </c>
      <c r="B394" s="459">
        <v>6</v>
      </c>
      <c r="C394" s="459">
        <v>1</v>
      </c>
      <c r="D394" s="460">
        <v>7</v>
      </c>
      <c r="E394" s="460">
        <v>1</v>
      </c>
      <c r="G394" s="1790" t="s">
        <v>17</v>
      </c>
      <c r="H394" s="1749" t="s">
        <v>1239</v>
      </c>
      <c r="I394" s="1750" t="s">
        <v>6416</v>
      </c>
      <c r="J394" s="1751" t="s">
        <v>2794</v>
      </c>
      <c r="K394" s="1752" t="s">
        <v>1130</v>
      </c>
      <c r="L394" s="1753">
        <v>1</v>
      </c>
      <c r="M394" s="1753">
        <v>3653.25</v>
      </c>
      <c r="N394" s="1754">
        <v>3653.25</v>
      </c>
      <c r="O394" s="1755" t="s">
        <v>3285</v>
      </c>
      <c r="P394" s="1721" t="s">
        <v>9611</v>
      </c>
    </row>
    <row r="395" spans="1:16" ht="13.9" hidden="1" customHeight="1" outlineLevel="2" x14ac:dyDescent="0.2">
      <c r="A395" s="459">
        <v>0</v>
      </c>
      <c r="B395" s="459">
        <v>6</v>
      </c>
      <c r="C395" s="459">
        <v>1</v>
      </c>
      <c r="D395" s="460">
        <v>8</v>
      </c>
      <c r="E395" s="460">
        <v>0</v>
      </c>
      <c r="G395" s="1740"/>
      <c r="H395" s="1741" t="s">
        <v>1238</v>
      </c>
      <c r="I395" s="1742" t="s">
        <v>6417</v>
      </c>
      <c r="J395" s="1743" t="s">
        <v>2795</v>
      </c>
      <c r="K395" s="1744"/>
      <c r="L395" s="1745"/>
      <c r="M395" s="1745"/>
      <c r="N395" s="1746">
        <v>8750.9875951209797</v>
      </c>
      <c r="O395" s="1747"/>
      <c r="P395" s="1720"/>
    </row>
    <row r="396" spans="1:16" ht="13.9" hidden="1" customHeight="1" outlineLevel="3" x14ac:dyDescent="0.2">
      <c r="A396" s="459">
        <v>0</v>
      </c>
      <c r="B396" s="459">
        <v>6</v>
      </c>
      <c r="C396" s="459">
        <v>1</v>
      </c>
      <c r="D396" s="460">
        <v>8</v>
      </c>
      <c r="E396" s="460">
        <v>1</v>
      </c>
      <c r="G396" s="1790" t="s">
        <v>17</v>
      </c>
      <c r="H396" s="1749" t="s">
        <v>1239</v>
      </c>
      <c r="I396" s="1750" t="s">
        <v>6418</v>
      </c>
      <c r="J396" s="1751" t="s">
        <v>2795</v>
      </c>
      <c r="K396" s="1752" t="s">
        <v>1130</v>
      </c>
      <c r="L396" s="1753">
        <v>1</v>
      </c>
      <c r="M396" s="1753">
        <v>8750.9875951209779</v>
      </c>
      <c r="N396" s="1754">
        <v>8750.9875951209797</v>
      </c>
      <c r="O396" s="1755" t="s">
        <v>3284</v>
      </c>
      <c r="P396" s="1721" t="s">
        <v>9611</v>
      </c>
    </row>
    <row r="397" spans="1:16" ht="13.9" hidden="1" customHeight="1" outlineLevel="2" x14ac:dyDescent="0.2">
      <c r="A397" s="459">
        <v>0</v>
      </c>
      <c r="B397" s="459">
        <v>6</v>
      </c>
      <c r="C397" s="459">
        <v>1</v>
      </c>
      <c r="D397" s="460">
        <v>9</v>
      </c>
      <c r="E397" s="460">
        <v>0</v>
      </c>
      <c r="G397" s="1740"/>
      <c r="H397" s="1741" t="s">
        <v>1238</v>
      </c>
      <c r="I397" s="1742" t="s">
        <v>6419</v>
      </c>
      <c r="J397" s="1743" t="s">
        <v>1254</v>
      </c>
      <c r="K397" s="1744"/>
      <c r="L397" s="1745"/>
      <c r="M397" s="1745"/>
      <c r="N397" s="1746">
        <v>128894.96</v>
      </c>
      <c r="O397" s="1747"/>
      <c r="P397" s="1720"/>
    </row>
    <row r="398" spans="1:16" ht="13.9" hidden="1" customHeight="1" outlineLevel="3" x14ac:dyDescent="0.2">
      <c r="A398" s="459">
        <v>0</v>
      </c>
      <c r="B398" s="459">
        <v>6</v>
      </c>
      <c r="C398" s="459">
        <v>1</v>
      </c>
      <c r="D398" s="460">
        <v>9</v>
      </c>
      <c r="E398" s="460">
        <v>1</v>
      </c>
      <c r="G398" s="1790" t="s">
        <v>17</v>
      </c>
      <c r="H398" s="1749" t="s">
        <v>1239</v>
      </c>
      <c r="I398" s="1750" t="s">
        <v>6420</v>
      </c>
      <c r="J398" s="1751" t="s">
        <v>1255</v>
      </c>
      <c r="K398" s="1752" t="s">
        <v>1130</v>
      </c>
      <c r="L398" s="1753">
        <v>1</v>
      </c>
      <c r="M398" s="1753">
        <v>128894.95999999999</v>
      </c>
      <c r="N398" s="1754">
        <v>128894.96</v>
      </c>
      <c r="O398" s="1755" t="s">
        <v>3268</v>
      </c>
      <c r="P398" s="1721" t="s">
        <v>9611</v>
      </c>
    </row>
    <row r="399" spans="1:16" ht="13.9" hidden="1" customHeight="1" outlineLevel="1" x14ac:dyDescent="0.2">
      <c r="A399" s="459">
        <v>0</v>
      </c>
      <c r="B399" s="459">
        <v>6</v>
      </c>
      <c r="C399" s="459">
        <v>2</v>
      </c>
      <c r="D399" s="460">
        <v>0</v>
      </c>
      <c r="E399" s="460">
        <v>1</v>
      </c>
      <c r="G399" s="1733"/>
      <c r="H399" s="1734" t="s">
        <v>39</v>
      </c>
      <c r="I399" s="1735" t="s">
        <v>6421</v>
      </c>
      <c r="J399" s="1736" t="s">
        <v>3271</v>
      </c>
      <c r="K399" s="1737"/>
      <c r="L399" s="1738"/>
      <c r="M399" s="1738"/>
      <c r="N399" s="1739">
        <v>72484.843776862996</v>
      </c>
      <c r="O399" s="1722"/>
      <c r="P399" s="1725"/>
    </row>
    <row r="400" spans="1:16" ht="13.9" hidden="1" customHeight="1" outlineLevel="2" x14ac:dyDescent="0.2">
      <c r="A400" s="459">
        <v>0</v>
      </c>
      <c r="B400" s="459">
        <v>6</v>
      </c>
      <c r="C400" s="459">
        <v>2</v>
      </c>
      <c r="D400" s="460">
        <v>1</v>
      </c>
      <c r="E400" s="460">
        <v>0</v>
      </c>
      <c r="G400" s="1740"/>
      <c r="H400" s="1741" t="s">
        <v>1238</v>
      </c>
      <c r="I400" s="1742" t="s">
        <v>6422</v>
      </c>
      <c r="J400" s="1743" t="s">
        <v>2790</v>
      </c>
      <c r="K400" s="1744"/>
      <c r="L400" s="1745"/>
      <c r="M400" s="1745"/>
      <c r="N400" s="1746">
        <v>973.32</v>
      </c>
      <c r="O400" s="1747"/>
      <c r="P400" s="1720"/>
    </row>
    <row r="401" spans="1:16" ht="13.9" hidden="1" customHeight="1" outlineLevel="3" x14ac:dyDescent="0.2">
      <c r="A401" s="459">
        <v>0</v>
      </c>
      <c r="B401" s="459">
        <v>6</v>
      </c>
      <c r="C401" s="459">
        <v>2</v>
      </c>
      <c r="D401" s="460">
        <v>1</v>
      </c>
      <c r="E401" s="460">
        <v>1</v>
      </c>
      <c r="G401" s="1790" t="s">
        <v>17</v>
      </c>
      <c r="H401" s="1749" t="s">
        <v>1239</v>
      </c>
      <c r="I401" s="1750" t="s">
        <v>6423</v>
      </c>
      <c r="J401" s="1751" t="s">
        <v>2790</v>
      </c>
      <c r="K401" s="1752" t="s">
        <v>1130</v>
      </c>
      <c r="L401" s="1753">
        <v>1</v>
      </c>
      <c r="M401" s="1753">
        <v>973.31999999999994</v>
      </c>
      <c r="N401" s="1754">
        <v>973.32</v>
      </c>
      <c r="O401" s="1755" t="s">
        <v>3285</v>
      </c>
      <c r="P401" s="1721" t="s">
        <v>9611</v>
      </c>
    </row>
    <row r="402" spans="1:16" ht="13.9" hidden="1" customHeight="1" outlineLevel="2" x14ac:dyDescent="0.2">
      <c r="A402" s="459">
        <v>0</v>
      </c>
      <c r="B402" s="459">
        <v>6</v>
      </c>
      <c r="C402" s="459">
        <v>2</v>
      </c>
      <c r="D402" s="460">
        <v>2</v>
      </c>
      <c r="E402" s="460">
        <v>0</v>
      </c>
      <c r="G402" s="1740"/>
      <c r="H402" s="1741" t="s">
        <v>1238</v>
      </c>
      <c r="I402" s="1742" t="s">
        <v>6424</v>
      </c>
      <c r="J402" s="1743" t="s">
        <v>2792</v>
      </c>
      <c r="K402" s="1744"/>
      <c r="L402" s="1745"/>
      <c r="M402" s="1745"/>
      <c r="N402" s="1746">
        <v>2608.4499999999998</v>
      </c>
      <c r="O402" s="1747"/>
      <c r="P402" s="1720"/>
    </row>
    <row r="403" spans="1:16" ht="13.9" hidden="1" customHeight="1" outlineLevel="3" x14ac:dyDescent="0.2">
      <c r="A403" s="459">
        <v>0</v>
      </c>
      <c r="B403" s="459">
        <v>6</v>
      </c>
      <c r="C403" s="459">
        <v>2</v>
      </c>
      <c r="D403" s="460">
        <v>2</v>
      </c>
      <c r="E403" s="460">
        <v>1</v>
      </c>
      <c r="G403" s="1790" t="s">
        <v>17</v>
      </c>
      <c r="H403" s="1749" t="s">
        <v>1239</v>
      </c>
      <c r="I403" s="1750" t="s">
        <v>6425</v>
      </c>
      <c r="J403" s="1751" t="s">
        <v>2792</v>
      </c>
      <c r="K403" s="1752" t="s">
        <v>1130</v>
      </c>
      <c r="L403" s="1753">
        <v>1</v>
      </c>
      <c r="M403" s="1753">
        <v>2608.4500000000003</v>
      </c>
      <c r="N403" s="1754">
        <v>2608.4499999999998</v>
      </c>
      <c r="O403" s="1755" t="s">
        <v>3285</v>
      </c>
      <c r="P403" s="1721" t="s">
        <v>9611</v>
      </c>
    </row>
    <row r="404" spans="1:16" ht="13.9" hidden="1" customHeight="1" outlineLevel="2" x14ac:dyDescent="0.2">
      <c r="A404" s="459">
        <v>0</v>
      </c>
      <c r="B404" s="459">
        <v>6</v>
      </c>
      <c r="C404" s="459">
        <v>2</v>
      </c>
      <c r="D404" s="460">
        <v>3</v>
      </c>
      <c r="E404" s="460">
        <v>0</v>
      </c>
      <c r="G404" s="1740"/>
      <c r="H404" s="1741" t="s">
        <v>1238</v>
      </c>
      <c r="I404" s="1742" t="s">
        <v>6426</v>
      </c>
      <c r="J404" s="1743" t="s">
        <v>2793</v>
      </c>
      <c r="K404" s="1744"/>
      <c r="L404" s="1745"/>
      <c r="M404" s="1745"/>
      <c r="N404" s="1746">
        <v>7968.7790000000005</v>
      </c>
      <c r="O404" s="1747"/>
      <c r="P404" s="1720"/>
    </row>
    <row r="405" spans="1:16" ht="13.9" hidden="1" customHeight="1" outlineLevel="3" x14ac:dyDescent="0.2">
      <c r="A405" s="459">
        <v>0</v>
      </c>
      <c r="B405" s="459">
        <v>6</v>
      </c>
      <c r="C405" s="459">
        <v>2</v>
      </c>
      <c r="D405" s="460">
        <v>3</v>
      </c>
      <c r="E405" s="460">
        <v>1</v>
      </c>
      <c r="G405" s="1790" t="s">
        <v>17</v>
      </c>
      <c r="H405" s="1749" t="s">
        <v>1239</v>
      </c>
      <c r="I405" s="1750" t="s">
        <v>6427</v>
      </c>
      <c r="J405" s="1751" t="s">
        <v>2793</v>
      </c>
      <c r="K405" s="1752" t="s">
        <v>1130</v>
      </c>
      <c r="L405" s="1753">
        <v>1</v>
      </c>
      <c r="M405" s="1753">
        <v>7968.7789999999986</v>
      </c>
      <c r="N405" s="1754">
        <v>7968.7790000000005</v>
      </c>
      <c r="O405" s="1755" t="s">
        <v>3285</v>
      </c>
      <c r="P405" s="1721" t="s">
        <v>9611</v>
      </c>
    </row>
    <row r="406" spans="1:16" ht="13.9" hidden="1" customHeight="1" outlineLevel="2" x14ac:dyDescent="0.2">
      <c r="A406" s="459">
        <v>0</v>
      </c>
      <c r="B406" s="459">
        <v>6</v>
      </c>
      <c r="C406" s="459">
        <v>2</v>
      </c>
      <c r="D406" s="460">
        <v>4</v>
      </c>
      <c r="E406" s="460">
        <v>0</v>
      </c>
      <c r="G406" s="1740"/>
      <c r="H406" s="1741" t="s">
        <v>1238</v>
      </c>
      <c r="I406" s="1742" t="s">
        <v>6428</v>
      </c>
      <c r="J406" s="1743" t="s">
        <v>2794</v>
      </c>
      <c r="K406" s="1744"/>
      <c r="L406" s="1745"/>
      <c r="M406" s="1745"/>
      <c r="N406" s="1746">
        <v>2070.85</v>
      </c>
      <c r="O406" s="1747"/>
      <c r="P406" s="1720"/>
    </row>
    <row r="407" spans="1:16" ht="13.9" hidden="1" customHeight="1" outlineLevel="3" x14ac:dyDescent="0.2">
      <c r="A407" s="459">
        <v>0</v>
      </c>
      <c r="B407" s="459">
        <v>6</v>
      </c>
      <c r="C407" s="459">
        <v>2</v>
      </c>
      <c r="D407" s="460">
        <v>4</v>
      </c>
      <c r="E407" s="460">
        <v>1</v>
      </c>
      <c r="G407" s="1790" t="s">
        <v>17</v>
      </c>
      <c r="H407" s="1749" t="s">
        <v>1239</v>
      </c>
      <c r="I407" s="1750" t="s">
        <v>6429</v>
      </c>
      <c r="J407" s="1751" t="s">
        <v>2794</v>
      </c>
      <c r="K407" s="1752" t="s">
        <v>1130</v>
      </c>
      <c r="L407" s="1753">
        <v>1</v>
      </c>
      <c r="M407" s="1753">
        <v>2070.85</v>
      </c>
      <c r="N407" s="1754">
        <v>2070.85</v>
      </c>
      <c r="O407" s="1755" t="s">
        <v>3285</v>
      </c>
      <c r="P407" s="1721" t="s">
        <v>9611</v>
      </c>
    </row>
    <row r="408" spans="1:16" ht="13.9" hidden="1" customHeight="1" outlineLevel="2" x14ac:dyDescent="0.2">
      <c r="A408" s="459">
        <v>0</v>
      </c>
      <c r="B408" s="459">
        <v>6</v>
      </c>
      <c r="C408" s="459">
        <v>2</v>
      </c>
      <c r="D408" s="460">
        <v>5</v>
      </c>
      <c r="E408" s="460">
        <v>0</v>
      </c>
      <c r="G408" s="1740"/>
      <c r="H408" s="1741" t="s">
        <v>1238</v>
      </c>
      <c r="I408" s="1742" t="s">
        <v>6430</v>
      </c>
      <c r="J408" s="1743" t="s">
        <v>2795</v>
      </c>
      <c r="K408" s="1744"/>
      <c r="L408" s="1745"/>
      <c r="M408" s="1745"/>
      <c r="N408" s="1746">
        <v>8935.8047768630004</v>
      </c>
      <c r="O408" s="1747"/>
      <c r="P408" s="1720"/>
    </row>
    <row r="409" spans="1:16" ht="13.9" hidden="1" customHeight="1" outlineLevel="3" x14ac:dyDescent="0.2">
      <c r="A409" s="459">
        <v>0</v>
      </c>
      <c r="B409" s="459">
        <v>6</v>
      </c>
      <c r="C409" s="459">
        <v>2</v>
      </c>
      <c r="D409" s="460">
        <v>5</v>
      </c>
      <c r="E409" s="460">
        <v>1</v>
      </c>
      <c r="G409" s="1790" t="s">
        <v>17</v>
      </c>
      <c r="H409" s="1749" t="s">
        <v>1239</v>
      </c>
      <c r="I409" s="1750" t="s">
        <v>6431</v>
      </c>
      <c r="J409" s="1751" t="s">
        <v>2795</v>
      </c>
      <c r="K409" s="1752" t="s">
        <v>1130</v>
      </c>
      <c r="L409" s="1753">
        <v>1</v>
      </c>
      <c r="M409" s="1753">
        <v>8935.8047768629986</v>
      </c>
      <c r="N409" s="1754">
        <v>8935.8047768630004</v>
      </c>
      <c r="O409" s="1755" t="s">
        <v>3284</v>
      </c>
      <c r="P409" s="1721" t="s">
        <v>9611</v>
      </c>
    </row>
    <row r="410" spans="1:16" ht="13.9" hidden="1" customHeight="1" outlineLevel="2" x14ac:dyDescent="0.2">
      <c r="A410" s="459">
        <v>0</v>
      </c>
      <c r="B410" s="459">
        <v>6</v>
      </c>
      <c r="C410" s="459">
        <v>2</v>
      </c>
      <c r="D410" s="460">
        <v>6</v>
      </c>
      <c r="E410" s="460">
        <v>0</v>
      </c>
      <c r="G410" s="1740"/>
      <c r="H410" s="1741" t="s">
        <v>1238</v>
      </c>
      <c r="I410" s="1742" t="s">
        <v>6432</v>
      </c>
      <c r="J410" s="1743" t="s">
        <v>1254</v>
      </c>
      <c r="K410" s="1744"/>
      <c r="L410" s="1745"/>
      <c r="M410" s="1745"/>
      <c r="N410" s="1746">
        <v>49927.64</v>
      </c>
      <c r="O410" s="1747"/>
      <c r="P410" s="1720"/>
    </row>
    <row r="411" spans="1:16" ht="13.9" hidden="1" customHeight="1" outlineLevel="3" x14ac:dyDescent="0.2">
      <c r="A411" s="459">
        <v>0</v>
      </c>
      <c r="B411" s="459">
        <v>6</v>
      </c>
      <c r="C411" s="459">
        <v>2</v>
      </c>
      <c r="D411" s="460">
        <v>6</v>
      </c>
      <c r="E411" s="460">
        <v>1</v>
      </c>
      <c r="G411" s="1790" t="s">
        <v>17</v>
      </c>
      <c r="H411" s="1749" t="s">
        <v>1239</v>
      </c>
      <c r="I411" s="1750" t="s">
        <v>6433</v>
      </c>
      <c r="J411" s="1751" t="s">
        <v>1255</v>
      </c>
      <c r="K411" s="1752" t="s">
        <v>1130</v>
      </c>
      <c r="L411" s="1753">
        <v>1</v>
      </c>
      <c r="M411" s="1753">
        <v>49927.64</v>
      </c>
      <c r="N411" s="1754">
        <v>49927.64</v>
      </c>
      <c r="O411" s="1755" t="s">
        <v>3268</v>
      </c>
      <c r="P411" s="1721" t="s">
        <v>9611</v>
      </c>
    </row>
    <row r="412" spans="1:16" ht="13.9" hidden="1" customHeight="1" outlineLevel="1" x14ac:dyDescent="0.2">
      <c r="A412" s="459">
        <v>0</v>
      </c>
      <c r="B412" s="459">
        <v>6</v>
      </c>
      <c r="C412" s="459">
        <v>3</v>
      </c>
      <c r="D412" s="460">
        <v>0</v>
      </c>
      <c r="E412" s="460">
        <v>1</v>
      </c>
      <c r="G412" s="1733"/>
      <c r="H412" s="1734" t="s">
        <v>39</v>
      </c>
      <c r="I412" s="1735" t="s">
        <v>6434</v>
      </c>
      <c r="J412" s="1736" t="s">
        <v>3272</v>
      </c>
      <c r="K412" s="1737"/>
      <c r="L412" s="1738"/>
      <c r="M412" s="1738"/>
      <c r="N412" s="1739">
        <v>69814.526211850694</v>
      </c>
      <c r="O412" s="1722"/>
      <c r="P412" s="1725"/>
    </row>
    <row r="413" spans="1:16" ht="13.9" hidden="1" customHeight="1" outlineLevel="2" x14ac:dyDescent="0.2">
      <c r="A413" s="459">
        <v>0</v>
      </c>
      <c r="B413" s="459">
        <v>6</v>
      </c>
      <c r="C413" s="459">
        <v>3</v>
      </c>
      <c r="D413" s="460">
        <v>1</v>
      </c>
      <c r="E413" s="460">
        <v>0</v>
      </c>
      <c r="G413" s="1740"/>
      <c r="H413" s="1741" t="s">
        <v>1238</v>
      </c>
      <c r="I413" s="1742" t="s">
        <v>6435</v>
      </c>
      <c r="J413" s="1743" t="s">
        <v>2790</v>
      </c>
      <c r="K413" s="1744"/>
      <c r="L413" s="1745"/>
      <c r="M413" s="1745"/>
      <c r="N413" s="1746">
        <v>960.27</v>
      </c>
      <c r="O413" s="1747"/>
      <c r="P413" s="1720"/>
    </row>
    <row r="414" spans="1:16" ht="13.9" hidden="1" customHeight="1" outlineLevel="3" x14ac:dyDescent="0.2">
      <c r="A414" s="459">
        <v>0</v>
      </c>
      <c r="B414" s="459">
        <v>6</v>
      </c>
      <c r="C414" s="459">
        <v>3</v>
      </c>
      <c r="D414" s="460">
        <v>1</v>
      </c>
      <c r="E414" s="460">
        <v>1</v>
      </c>
      <c r="G414" s="1790" t="s">
        <v>17</v>
      </c>
      <c r="H414" s="1749" t="s">
        <v>1239</v>
      </c>
      <c r="I414" s="1750" t="s">
        <v>6436</v>
      </c>
      <c r="J414" s="1751" t="s">
        <v>2790</v>
      </c>
      <c r="K414" s="1752" t="s">
        <v>1130</v>
      </c>
      <c r="L414" s="1753">
        <v>1</v>
      </c>
      <c r="M414" s="1753">
        <v>960.27</v>
      </c>
      <c r="N414" s="1754">
        <v>960.27</v>
      </c>
      <c r="O414" s="1755" t="s">
        <v>3285</v>
      </c>
      <c r="P414" s="1721" t="s">
        <v>9611</v>
      </c>
    </row>
    <row r="415" spans="1:16" ht="13.9" hidden="1" customHeight="1" outlineLevel="2" x14ac:dyDescent="0.2">
      <c r="A415" s="459">
        <v>0</v>
      </c>
      <c r="B415" s="459">
        <v>6</v>
      </c>
      <c r="C415" s="459">
        <v>3</v>
      </c>
      <c r="D415" s="460">
        <v>2</v>
      </c>
      <c r="E415" s="460">
        <v>0</v>
      </c>
      <c r="G415" s="1740"/>
      <c r="H415" s="1741" t="s">
        <v>1238</v>
      </c>
      <c r="I415" s="1742" t="s">
        <v>6437</v>
      </c>
      <c r="J415" s="1743" t="s">
        <v>2792</v>
      </c>
      <c r="K415" s="1744"/>
      <c r="L415" s="1745"/>
      <c r="M415" s="1745"/>
      <c r="N415" s="1746">
        <v>952.95</v>
      </c>
      <c r="O415" s="1747"/>
      <c r="P415" s="1720"/>
    </row>
    <row r="416" spans="1:16" ht="13.9" hidden="1" customHeight="1" outlineLevel="3" x14ac:dyDescent="0.2">
      <c r="A416" s="459">
        <v>0</v>
      </c>
      <c r="B416" s="459">
        <v>6</v>
      </c>
      <c r="C416" s="459">
        <v>3</v>
      </c>
      <c r="D416" s="460">
        <v>2</v>
      </c>
      <c r="E416" s="460">
        <v>1</v>
      </c>
      <c r="G416" s="1790" t="s">
        <v>17</v>
      </c>
      <c r="H416" s="1749" t="s">
        <v>1239</v>
      </c>
      <c r="I416" s="1750" t="s">
        <v>6438</v>
      </c>
      <c r="J416" s="1751" t="s">
        <v>2792</v>
      </c>
      <c r="K416" s="1752" t="s">
        <v>1130</v>
      </c>
      <c r="L416" s="1753">
        <v>1</v>
      </c>
      <c r="M416" s="1753">
        <v>952.94999999999993</v>
      </c>
      <c r="N416" s="1754">
        <v>952.95</v>
      </c>
      <c r="O416" s="1755" t="s">
        <v>3285</v>
      </c>
      <c r="P416" s="1721" t="s">
        <v>9611</v>
      </c>
    </row>
    <row r="417" spans="1:16" ht="13.9" hidden="1" customHeight="1" outlineLevel="2" x14ac:dyDescent="0.2">
      <c r="A417" s="459">
        <v>0</v>
      </c>
      <c r="B417" s="459">
        <v>6</v>
      </c>
      <c r="C417" s="459">
        <v>3</v>
      </c>
      <c r="D417" s="460">
        <v>3</v>
      </c>
      <c r="E417" s="460">
        <v>0</v>
      </c>
      <c r="G417" s="1740"/>
      <c r="H417" s="1741" t="s">
        <v>1238</v>
      </c>
      <c r="I417" s="1742" t="s">
        <v>6439</v>
      </c>
      <c r="J417" s="1743" t="s">
        <v>2793</v>
      </c>
      <c r="K417" s="1744"/>
      <c r="L417" s="1745"/>
      <c r="M417" s="1745"/>
      <c r="N417" s="1746">
        <v>2280.8510000000001</v>
      </c>
      <c r="O417" s="1747"/>
      <c r="P417" s="1720"/>
    </row>
    <row r="418" spans="1:16" ht="13.9" hidden="1" customHeight="1" outlineLevel="3" x14ac:dyDescent="0.2">
      <c r="A418" s="459">
        <v>0</v>
      </c>
      <c r="B418" s="459">
        <v>6</v>
      </c>
      <c r="C418" s="459">
        <v>3</v>
      </c>
      <c r="D418" s="460">
        <v>3</v>
      </c>
      <c r="E418" s="460">
        <v>1</v>
      </c>
      <c r="G418" s="1790" t="s">
        <v>17</v>
      </c>
      <c r="H418" s="1749" t="s">
        <v>1239</v>
      </c>
      <c r="I418" s="1750" t="s">
        <v>6440</v>
      </c>
      <c r="J418" s="1751" t="s">
        <v>2793</v>
      </c>
      <c r="K418" s="1752" t="s">
        <v>1130</v>
      </c>
      <c r="L418" s="1753">
        <v>1</v>
      </c>
      <c r="M418" s="1753">
        <v>2280.8509999999997</v>
      </c>
      <c r="N418" s="1754">
        <v>2280.8510000000001</v>
      </c>
      <c r="O418" s="1755" t="s">
        <v>3285</v>
      </c>
      <c r="P418" s="1721" t="s">
        <v>9611</v>
      </c>
    </row>
    <row r="419" spans="1:16" ht="13.9" hidden="1" customHeight="1" outlineLevel="2" x14ac:dyDescent="0.2">
      <c r="A419" s="459">
        <v>0</v>
      </c>
      <c r="B419" s="459">
        <v>6</v>
      </c>
      <c r="C419" s="459">
        <v>3</v>
      </c>
      <c r="D419" s="460">
        <v>4</v>
      </c>
      <c r="E419" s="460">
        <v>0</v>
      </c>
      <c r="G419" s="1740"/>
      <c r="H419" s="1741" t="s">
        <v>1238</v>
      </c>
      <c r="I419" s="1742" t="s">
        <v>6441</v>
      </c>
      <c r="J419" s="1743" t="s">
        <v>2794</v>
      </c>
      <c r="K419" s="1744"/>
      <c r="L419" s="1745"/>
      <c r="M419" s="1745"/>
      <c r="N419" s="1746">
        <v>1073.75</v>
      </c>
      <c r="O419" s="1747"/>
      <c r="P419" s="1720"/>
    </row>
    <row r="420" spans="1:16" ht="13.9" hidden="1" customHeight="1" outlineLevel="3" x14ac:dyDescent="0.2">
      <c r="A420" s="459">
        <v>0</v>
      </c>
      <c r="B420" s="459">
        <v>6</v>
      </c>
      <c r="C420" s="459">
        <v>3</v>
      </c>
      <c r="D420" s="460">
        <v>4</v>
      </c>
      <c r="E420" s="460">
        <v>1</v>
      </c>
      <c r="G420" s="1790" t="s">
        <v>17</v>
      </c>
      <c r="H420" s="1749" t="s">
        <v>1239</v>
      </c>
      <c r="I420" s="1750" t="s">
        <v>6442</v>
      </c>
      <c r="J420" s="1751" t="s">
        <v>2794</v>
      </c>
      <c r="K420" s="1752" t="s">
        <v>1130</v>
      </c>
      <c r="L420" s="1753">
        <v>1</v>
      </c>
      <c r="M420" s="1753">
        <v>1073.75</v>
      </c>
      <c r="N420" s="1754">
        <v>1073.75</v>
      </c>
      <c r="O420" s="1755" t="s">
        <v>3285</v>
      </c>
      <c r="P420" s="1721" t="s">
        <v>9611</v>
      </c>
    </row>
    <row r="421" spans="1:16" ht="13.9" hidden="1" customHeight="1" outlineLevel="2" x14ac:dyDescent="0.2">
      <c r="A421" s="459">
        <v>0</v>
      </c>
      <c r="B421" s="459">
        <v>6</v>
      </c>
      <c r="C421" s="459">
        <v>3</v>
      </c>
      <c r="D421" s="460">
        <v>5</v>
      </c>
      <c r="E421" s="460">
        <v>0</v>
      </c>
      <c r="G421" s="1740"/>
      <c r="H421" s="1741" t="s">
        <v>1238</v>
      </c>
      <c r="I421" s="1742" t="s">
        <v>6443</v>
      </c>
      <c r="J421" s="1743" t="s">
        <v>2795</v>
      </c>
      <c r="K421" s="1744"/>
      <c r="L421" s="1745"/>
      <c r="M421" s="1745"/>
      <c r="N421" s="1746">
        <v>9798.5452118506491</v>
      </c>
      <c r="O421" s="1747"/>
      <c r="P421" s="1720"/>
    </row>
    <row r="422" spans="1:16" ht="13.9" hidden="1" customHeight="1" outlineLevel="3" x14ac:dyDescent="0.2">
      <c r="A422" s="459">
        <v>0</v>
      </c>
      <c r="B422" s="459">
        <v>6</v>
      </c>
      <c r="C422" s="459">
        <v>3</v>
      </c>
      <c r="D422" s="460">
        <v>5</v>
      </c>
      <c r="E422" s="460">
        <v>1</v>
      </c>
      <c r="G422" s="1790" t="s">
        <v>17</v>
      </c>
      <c r="H422" s="1749" t="s">
        <v>1239</v>
      </c>
      <c r="I422" s="1750" t="s">
        <v>6444</v>
      </c>
      <c r="J422" s="1751" t="s">
        <v>2795</v>
      </c>
      <c r="K422" s="1752" t="s">
        <v>1130</v>
      </c>
      <c r="L422" s="1753">
        <v>1</v>
      </c>
      <c r="M422" s="1753">
        <v>9798.5452118506455</v>
      </c>
      <c r="N422" s="1754">
        <v>9798.5452118506491</v>
      </c>
      <c r="O422" s="1755" t="s">
        <v>3284</v>
      </c>
      <c r="P422" s="1721" t="s">
        <v>9611</v>
      </c>
    </row>
    <row r="423" spans="1:16" ht="13.9" hidden="1" customHeight="1" outlineLevel="2" x14ac:dyDescent="0.2">
      <c r="A423" s="459">
        <v>0</v>
      </c>
      <c r="B423" s="459">
        <v>6</v>
      </c>
      <c r="C423" s="459">
        <v>3</v>
      </c>
      <c r="D423" s="460">
        <v>6</v>
      </c>
      <c r="E423" s="460">
        <v>0</v>
      </c>
      <c r="G423" s="1740"/>
      <c r="H423" s="1741" t="s">
        <v>1238</v>
      </c>
      <c r="I423" s="1742" t="s">
        <v>6445</v>
      </c>
      <c r="J423" s="1743" t="s">
        <v>1254</v>
      </c>
      <c r="K423" s="1744"/>
      <c r="L423" s="1745"/>
      <c r="M423" s="1745"/>
      <c r="N423" s="1746">
        <v>54748.160000000003</v>
      </c>
      <c r="O423" s="1747"/>
      <c r="P423" s="1720"/>
    </row>
    <row r="424" spans="1:16" ht="13.9" hidden="1" customHeight="1" outlineLevel="3" x14ac:dyDescent="0.2">
      <c r="A424" s="459">
        <v>0</v>
      </c>
      <c r="B424" s="459">
        <v>6</v>
      </c>
      <c r="C424" s="459">
        <v>3</v>
      </c>
      <c r="D424" s="460">
        <v>6</v>
      </c>
      <c r="E424" s="460">
        <v>1</v>
      </c>
      <c r="G424" s="1790" t="s">
        <v>17</v>
      </c>
      <c r="H424" s="1749" t="s">
        <v>1239</v>
      </c>
      <c r="I424" s="1750" t="s">
        <v>6446</v>
      </c>
      <c r="J424" s="1751" t="s">
        <v>1255</v>
      </c>
      <c r="K424" s="1752" t="s">
        <v>1130</v>
      </c>
      <c r="L424" s="1753">
        <v>1</v>
      </c>
      <c r="M424" s="1753">
        <v>54748.160000000003</v>
      </c>
      <c r="N424" s="1754">
        <v>54748.160000000003</v>
      </c>
      <c r="O424" s="1755" t="s">
        <v>3268</v>
      </c>
      <c r="P424" s="1721" t="s">
        <v>9611</v>
      </c>
    </row>
    <row r="425" spans="1:16" ht="13.9" hidden="1" customHeight="1" outlineLevel="1" x14ac:dyDescent="0.2">
      <c r="A425" s="459">
        <v>0</v>
      </c>
      <c r="B425" s="459">
        <v>6</v>
      </c>
      <c r="C425" s="459">
        <v>4</v>
      </c>
      <c r="D425" s="460">
        <v>0</v>
      </c>
      <c r="E425" s="460">
        <v>1</v>
      </c>
      <c r="G425" s="1733"/>
      <c r="H425" s="1734" t="s">
        <v>39</v>
      </c>
      <c r="I425" s="1735" t="s">
        <v>6447</v>
      </c>
      <c r="J425" s="1736" t="s">
        <v>3273</v>
      </c>
      <c r="K425" s="1737"/>
      <c r="L425" s="1738"/>
      <c r="M425" s="1738"/>
      <c r="N425" s="1739">
        <v>69573.492211850695</v>
      </c>
      <c r="O425" s="1722"/>
      <c r="P425" s="1725"/>
    </row>
    <row r="426" spans="1:16" ht="13.9" hidden="1" customHeight="1" outlineLevel="2" x14ac:dyDescent="0.2">
      <c r="A426" s="459">
        <v>0</v>
      </c>
      <c r="B426" s="459">
        <v>6</v>
      </c>
      <c r="C426" s="459">
        <v>4</v>
      </c>
      <c r="D426" s="460">
        <v>1</v>
      </c>
      <c r="E426" s="460">
        <v>0</v>
      </c>
      <c r="G426" s="1740"/>
      <c r="H426" s="1741" t="s">
        <v>1238</v>
      </c>
      <c r="I426" s="1742" t="s">
        <v>6448</v>
      </c>
      <c r="J426" s="1743" t="s">
        <v>2790</v>
      </c>
      <c r="K426" s="1744"/>
      <c r="L426" s="1745"/>
      <c r="M426" s="1745"/>
      <c r="N426" s="1746">
        <v>960.27</v>
      </c>
      <c r="O426" s="1747"/>
      <c r="P426" s="1720"/>
    </row>
    <row r="427" spans="1:16" ht="13.9" hidden="1" customHeight="1" outlineLevel="3" x14ac:dyDescent="0.2">
      <c r="A427" s="459">
        <v>0</v>
      </c>
      <c r="B427" s="459">
        <v>6</v>
      </c>
      <c r="C427" s="459">
        <v>4</v>
      </c>
      <c r="D427" s="460">
        <v>1</v>
      </c>
      <c r="E427" s="460">
        <v>1</v>
      </c>
      <c r="G427" s="1790" t="s">
        <v>17</v>
      </c>
      <c r="H427" s="1749" t="s">
        <v>1239</v>
      </c>
      <c r="I427" s="1750" t="s">
        <v>6449</v>
      </c>
      <c r="J427" s="1751" t="s">
        <v>2790</v>
      </c>
      <c r="K427" s="1752" t="s">
        <v>1130</v>
      </c>
      <c r="L427" s="1753">
        <v>1</v>
      </c>
      <c r="M427" s="1753">
        <v>960.27</v>
      </c>
      <c r="N427" s="1754">
        <v>960.27</v>
      </c>
      <c r="O427" s="1755" t="s">
        <v>3285</v>
      </c>
      <c r="P427" s="1721" t="s">
        <v>9611</v>
      </c>
    </row>
    <row r="428" spans="1:16" ht="13.9" hidden="1" customHeight="1" outlineLevel="2" x14ac:dyDescent="0.2">
      <c r="A428" s="459">
        <v>0</v>
      </c>
      <c r="B428" s="459">
        <v>6</v>
      </c>
      <c r="C428" s="459">
        <v>4</v>
      </c>
      <c r="D428" s="460">
        <v>2</v>
      </c>
      <c r="E428" s="460">
        <v>0</v>
      </c>
      <c r="G428" s="1740"/>
      <c r="H428" s="1741" t="s">
        <v>1238</v>
      </c>
      <c r="I428" s="1742" t="s">
        <v>6450</v>
      </c>
      <c r="J428" s="1743" t="s">
        <v>2792</v>
      </c>
      <c r="K428" s="1744"/>
      <c r="L428" s="1745"/>
      <c r="M428" s="1745"/>
      <c r="N428" s="1746">
        <v>890.55</v>
      </c>
      <c r="O428" s="1747"/>
      <c r="P428" s="1720"/>
    </row>
    <row r="429" spans="1:16" ht="13.9" hidden="1" customHeight="1" outlineLevel="3" x14ac:dyDescent="0.2">
      <c r="A429" s="459">
        <v>0</v>
      </c>
      <c r="B429" s="459">
        <v>6</v>
      </c>
      <c r="C429" s="459">
        <v>4</v>
      </c>
      <c r="D429" s="460">
        <v>2</v>
      </c>
      <c r="E429" s="460">
        <v>1</v>
      </c>
      <c r="G429" s="1790" t="s">
        <v>17</v>
      </c>
      <c r="H429" s="1749" t="s">
        <v>1239</v>
      </c>
      <c r="I429" s="1750" t="s">
        <v>6451</v>
      </c>
      <c r="J429" s="1751" t="s">
        <v>2792</v>
      </c>
      <c r="K429" s="1752" t="s">
        <v>1130</v>
      </c>
      <c r="L429" s="1753">
        <v>1</v>
      </c>
      <c r="M429" s="1753">
        <v>890.55000000000007</v>
      </c>
      <c r="N429" s="1754">
        <v>890.55</v>
      </c>
      <c r="O429" s="1755" t="s">
        <v>3285</v>
      </c>
      <c r="P429" s="1721" t="s">
        <v>9611</v>
      </c>
    </row>
    <row r="430" spans="1:16" ht="13.9" hidden="1" customHeight="1" outlineLevel="2" x14ac:dyDescent="0.2">
      <c r="A430" s="459">
        <v>0</v>
      </c>
      <c r="B430" s="459">
        <v>6</v>
      </c>
      <c r="C430" s="459">
        <v>4</v>
      </c>
      <c r="D430" s="460">
        <v>3</v>
      </c>
      <c r="E430" s="460">
        <v>0</v>
      </c>
      <c r="G430" s="1740"/>
      <c r="H430" s="1741" t="s">
        <v>1238</v>
      </c>
      <c r="I430" s="1742" t="s">
        <v>6452</v>
      </c>
      <c r="J430" s="1743" t="s">
        <v>2793</v>
      </c>
      <c r="K430" s="1744"/>
      <c r="L430" s="1745"/>
      <c r="M430" s="1745"/>
      <c r="N430" s="1746">
        <v>2132.0169999999998</v>
      </c>
      <c r="O430" s="1747"/>
      <c r="P430" s="1720"/>
    </row>
    <row r="431" spans="1:16" ht="13.9" hidden="1" customHeight="1" outlineLevel="3" x14ac:dyDescent="0.2">
      <c r="A431" s="459">
        <v>0</v>
      </c>
      <c r="B431" s="459">
        <v>6</v>
      </c>
      <c r="C431" s="459">
        <v>4</v>
      </c>
      <c r="D431" s="460">
        <v>3</v>
      </c>
      <c r="E431" s="460">
        <v>1</v>
      </c>
      <c r="G431" s="1790" t="s">
        <v>17</v>
      </c>
      <c r="H431" s="1749" t="s">
        <v>1239</v>
      </c>
      <c r="I431" s="1750" t="s">
        <v>6453</v>
      </c>
      <c r="J431" s="1751" t="s">
        <v>2793</v>
      </c>
      <c r="K431" s="1752" t="s">
        <v>1130</v>
      </c>
      <c r="L431" s="1753">
        <v>1</v>
      </c>
      <c r="M431" s="1753">
        <v>2132.0169999999998</v>
      </c>
      <c r="N431" s="1754">
        <v>2132.0169999999998</v>
      </c>
      <c r="O431" s="1755" t="s">
        <v>3285</v>
      </c>
      <c r="P431" s="1721" t="s">
        <v>9611</v>
      </c>
    </row>
    <row r="432" spans="1:16" ht="13.9" hidden="1" customHeight="1" outlineLevel="2" x14ac:dyDescent="0.2">
      <c r="A432" s="459">
        <v>0</v>
      </c>
      <c r="B432" s="459">
        <v>6</v>
      </c>
      <c r="C432" s="459">
        <v>4</v>
      </c>
      <c r="D432" s="460">
        <v>4</v>
      </c>
      <c r="E432" s="460">
        <v>0</v>
      </c>
      <c r="G432" s="1740"/>
      <c r="H432" s="1741" t="s">
        <v>1238</v>
      </c>
      <c r="I432" s="1742" t="s">
        <v>6454</v>
      </c>
      <c r="J432" s="1743" t="s">
        <v>2794</v>
      </c>
      <c r="K432" s="1744"/>
      <c r="L432" s="1745"/>
      <c r="M432" s="1745"/>
      <c r="N432" s="1746">
        <v>1043.95</v>
      </c>
      <c r="O432" s="1747"/>
      <c r="P432" s="1720"/>
    </row>
    <row r="433" spans="1:16" ht="13.9" hidden="1" customHeight="1" outlineLevel="3" x14ac:dyDescent="0.2">
      <c r="A433" s="459">
        <v>0</v>
      </c>
      <c r="B433" s="459">
        <v>6</v>
      </c>
      <c r="C433" s="459">
        <v>4</v>
      </c>
      <c r="D433" s="460">
        <v>4</v>
      </c>
      <c r="E433" s="460">
        <v>1</v>
      </c>
      <c r="G433" s="1790" t="s">
        <v>17</v>
      </c>
      <c r="H433" s="1749" t="s">
        <v>1239</v>
      </c>
      <c r="I433" s="1750" t="s">
        <v>6455</v>
      </c>
      <c r="J433" s="1751" t="s">
        <v>2794</v>
      </c>
      <c r="K433" s="1752" t="s">
        <v>1130</v>
      </c>
      <c r="L433" s="1753">
        <v>1</v>
      </c>
      <c r="M433" s="1753">
        <v>1043.9499999999998</v>
      </c>
      <c r="N433" s="1754">
        <v>1043.95</v>
      </c>
      <c r="O433" s="1755" t="s">
        <v>3285</v>
      </c>
      <c r="P433" s="1721" t="s">
        <v>9611</v>
      </c>
    </row>
    <row r="434" spans="1:16" ht="13.9" hidden="1" customHeight="1" outlineLevel="2" x14ac:dyDescent="0.2">
      <c r="A434" s="459">
        <v>0</v>
      </c>
      <c r="B434" s="459">
        <v>6</v>
      </c>
      <c r="C434" s="459">
        <v>4</v>
      </c>
      <c r="D434" s="460">
        <v>5</v>
      </c>
      <c r="E434" s="460">
        <v>0</v>
      </c>
      <c r="G434" s="1740"/>
      <c r="H434" s="1741" t="s">
        <v>1238</v>
      </c>
      <c r="I434" s="1742" t="s">
        <v>6456</v>
      </c>
      <c r="J434" s="1743" t="s">
        <v>2795</v>
      </c>
      <c r="K434" s="1744"/>
      <c r="L434" s="1745"/>
      <c r="M434" s="1745"/>
      <c r="N434" s="1746">
        <v>9798.5452118506491</v>
      </c>
      <c r="O434" s="1747"/>
      <c r="P434" s="1720"/>
    </row>
    <row r="435" spans="1:16" ht="13.9" hidden="1" customHeight="1" outlineLevel="3" x14ac:dyDescent="0.2">
      <c r="A435" s="459">
        <v>0</v>
      </c>
      <c r="B435" s="459">
        <v>6</v>
      </c>
      <c r="C435" s="459">
        <v>4</v>
      </c>
      <c r="D435" s="460">
        <v>5</v>
      </c>
      <c r="E435" s="460">
        <v>1</v>
      </c>
      <c r="G435" s="1790" t="s">
        <v>17</v>
      </c>
      <c r="H435" s="1749" t="s">
        <v>1239</v>
      </c>
      <c r="I435" s="1750" t="s">
        <v>6457</v>
      </c>
      <c r="J435" s="1751" t="s">
        <v>2795</v>
      </c>
      <c r="K435" s="1752" t="s">
        <v>1130</v>
      </c>
      <c r="L435" s="1753">
        <v>1</v>
      </c>
      <c r="M435" s="1753">
        <v>9798.5452118506455</v>
      </c>
      <c r="N435" s="1754">
        <v>9798.5452118506491</v>
      </c>
      <c r="O435" s="1755" t="s">
        <v>3284</v>
      </c>
      <c r="P435" s="1721" t="s">
        <v>9611</v>
      </c>
    </row>
    <row r="436" spans="1:16" ht="13.9" hidden="1" customHeight="1" outlineLevel="2" x14ac:dyDescent="0.2">
      <c r="A436" s="459">
        <v>0</v>
      </c>
      <c r="B436" s="459">
        <v>6</v>
      </c>
      <c r="C436" s="459">
        <v>4</v>
      </c>
      <c r="D436" s="460">
        <v>6</v>
      </c>
      <c r="E436" s="460">
        <v>0</v>
      </c>
      <c r="G436" s="1740"/>
      <c r="H436" s="1741" t="s">
        <v>1238</v>
      </c>
      <c r="I436" s="1742" t="s">
        <v>6458</v>
      </c>
      <c r="J436" s="1743" t="s">
        <v>1254</v>
      </c>
      <c r="K436" s="1744"/>
      <c r="L436" s="1745"/>
      <c r="M436" s="1745"/>
      <c r="N436" s="1746">
        <v>54748.160000000003</v>
      </c>
      <c r="O436" s="1747"/>
      <c r="P436" s="1720"/>
    </row>
    <row r="437" spans="1:16" ht="13.9" hidden="1" customHeight="1" outlineLevel="3" x14ac:dyDescent="0.2">
      <c r="A437" s="459">
        <v>0</v>
      </c>
      <c r="B437" s="459">
        <v>6</v>
      </c>
      <c r="C437" s="459">
        <v>4</v>
      </c>
      <c r="D437" s="460">
        <v>6</v>
      </c>
      <c r="E437" s="460">
        <v>1</v>
      </c>
      <c r="G437" s="1790" t="s">
        <v>17</v>
      </c>
      <c r="H437" s="1749" t="s">
        <v>1239</v>
      </c>
      <c r="I437" s="1750" t="s">
        <v>6459</v>
      </c>
      <c r="J437" s="1751" t="s">
        <v>1255</v>
      </c>
      <c r="K437" s="1752" t="s">
        <v>1130</v>
      </c>
      <c r="L437" s="1753">
        <v>1</v>
      </c>
      <c r="M437" s="1753">
        <v>54748.160000000003</v>
      </c>
      <c r="N437" s="1754">
        <v>54748.160000000003</v>
      </c>
      <c r="O437" s="1755" t="s">
        <v>3268</v>
      </c>
      <c r="P437" s="1721" t="s">
        <v>9611</v>
      </c>
    </row>
    <row r="438" spans="1:16" ht="13.9" hidden="1" customHeight="1" outlineLevel="1" x14ac:dyDescent="0.2">
      <c r="A438" s="459">
        <v>0</v>
      </c>
      <c r="B438" s="459">
        <v>6</v>
      </c>
      <c r="C438" s="459">
        <v>5</v>
      </c>
      <c r="D438" s="460">
        <v>0</v>
      </c>
      <c r="E438" s="460">
        <v>1</v>
      </c>
      <c r="G438" s="1733"/>
      <c r="H438" s="1734" t="s">
        <v>39</v>
      </c>
      <c r="I438" s="1735" t="s">
        <v>6460</v>
      </c>
      <c r="J438" s="1736" t="s">
        <v>3274</v>
      </c>
      <c r="K438" s="1737"/>
      <c r="L438" s="1738"/>
      <c r="M438" s="1738"/>
      <c r="N438" s="1739">
        <v>70327.788211850697</v>
      </c>
      <c r="O438" s="1722"/>
      <c r="P438" s="1725"/>
    </row>
    <row r="439" spans="1:16" ht="13.9" hidden="1" customHeight="1" outlineLevel="2" x14ac:dyDescent="0.2">
      <c r="A439" s="459">
        <v>0</v>
      </c>
      <c r="B439" s="459">
        <v>6</v>
      </c>
      <c r="C439" s="459">
        <v>5</v>
      </c>
      <c r="D439" s="460">
        <v>1</v>
      </c>
      <c r="E439" s="460">
        <v>0</v>
      </c>
      <c r="G439" s="1740"/>
      <c r="H439" s="1741" t="s">
        <v>1238</v>
      </c>
      <c r="I439" s="1742" t="s">
        <v>6461</v>
      </c>
      <c r="J439" s="1743" t="s">
        <v>2790</v>
      </c>
      <c r="K439" s="1744"/>
      <c r="L439" s="1745"/>
      <c r="M439" s="1745"/>
      <c r="N439" s="1746">
        <v>973.32</v>
      </c>
      <c r="O439" s="1747"/>
      <c r="P439" s="1720"/>
    </row>
    <row r="440" spans="1:16" ht="13.9" hidden="1" customHeight="1" outlineLevel="3" x14ac:dyDescent="0.2">
      <c r="A440" s="459">
        <v>0</v>
      </c>
      <c r="B440" s="459">
        <v>6</v>
      </c>
      <c r="C440" s="459">
        <v>5</v>
      </c>
      <c r="D440" s="460">
        <v>1</v>
      </c>
      <c r="E440" s="460">
        <v>1</v>
      </c>
      <c r="G440" s="1790" t="s">
        <v>17</v>
      </c>
      <c r="H440" s="1749" t="s">
        <v>1239</v>
      </c>
      <c r="I440" s="1750" t="s">
        <v>6462</v>
      </c>
      <c r="J440" s="1751" t="s">
        <v>2790</v>
      </c>
      <c r="K440" s="1752" t="s">
        <v>1130</v>
      </c>
      <c r="L440" s="1753">
        <v>1</v>
      </c>
      <c r="M440" s="1753">
        <v>973.31999999999994</v>
      </c>
      <c r="N440" s="1754">
        <v>973.32</v>
      </c>
      <c r="O440" s="1755" t="s">
        <v>3285</v>
      </c>
      <c r="P440" s="1721" t="s">
        <v>9611</v>
      </c>
    </row>
    <row r="441" spans="1:16" ht="13.9" hidden="1" customHeight="1" outlineLevel="2" x14ac:dyDescent="0.2">
      <c r="A441" s="459">
        <v>0</v>
      </c>
      <c r="B441" s="459">
        <v>6</v>
      </c>
      <c r="C441" s="459">
        <v>5</v>
      </c>
      <c r="D441" s="460">
        <v>2</v>
      </c>
      <c r="E441" s="460">
        <v>0</v>
      </c>
      <c r="G441" s="1740"/>
      <c r="H441" s="1741" t="s">
        <v>1238</v>
      </c>
      <c r="I441" s="1742" t="s">
        <v>6463</v>
      </c>
      <c r="J441" s="1743" t="s">
        <v>2792</v>
      </c>
      <c r="K441" s="1744"/>
      <c r="L441" s="1745"/>
      <c r="M441" s="1745"/>
      <c r="N441" s="1746">
        <v>917.8</v>
      </c>
      <c r="O441" s="1747"/>
      <c r="P441" s="1720"/>
    </row>
    <row r="442" spans="1:16" ht="13.9" hidden="1" customHeight="1" outlineLevel="3" x14ac:dyDescent="0.2">
      <c r="A442" s="459">
        <v>0</v>
      </c>
      <c r="B442" s="459">
        <v>6</v>
      </c>
      <c r="C442" s="459">
        <v>5</v>
      </c>
      <c r="D442" s="460">
        <v>2</v>
      </c>
      <c r="E442" s="460">
        <v>1</v>
      </c>
      <c r="G442" s="1790" t="s">
        <v>17</v>
      </c>
      <c r="H442" s="1749" t="s">
        <v>1239</v>
      </c>
      <c r="I442" s="1750" t="s">
        <v>6464</v>
      </c>
      <c r="J442" s="1751" t="s">
        <v>2792</v>
      </c>
      <c r="K442" s="1752" t="s">
        <v>1130</v>
      </c>
      <c r="L442" s="1753">
        <v>1</v>
      </c>
      <c r="M442" s="1753">
        <v>917.80000000000007</v>
      </c>
      <c r="N442" s="1754">
        <v>917.8</v>
      </c>
      <c r="O442" s="1755" t="s">
        <v>3285</v>
      </c>
      <c r="P442" s="1721" t="s">
        <v>9611</v>
      </c>
    </row>
    <row r="443" spans="1:16" ht="13.9" hidden="1" customHeight="1" outlineLevel="2" x14ac:dyDescent="0.2">
      <c r="A443" s="459">
        <v>0</v>
      </c>
      <c r="B443" s="459">
        <v>6</v>
      </c>
      <c r="C443" s="459">
        <v>5</v>
      </c>
      <c r="D443" s="460">
        <v>3</v>
      </c>
      <c r="E443" s="460">
        <v>0</v>
      </c>
      <c r="G443" s="1740"/>
      <c r="H443" s="1741" t="s">
        <v>1238</v>
      </c>
      <c r="I443" s="1742" t="s">
        <v>6465</v>
      </c>
      <c r="J443" s="1743" t="s">
        <v>2793</v>
      </c>
      <c r="K443" s="1744"/>
      <c r="L443" s="1745"/>
      <c r="M443" s="1745"/>
      <c r="N443" s="1746">
        <v>2104.623</v>
      </c>
      <c r="O443" s="1747"/>
      <c r="P443" s="1720"/>
    </row>
    <row r="444" spans="1:16" ht="13.9" hidden="1" customHeight="1" outlineLevel="3" x14ac:dyDescent="0.2">
      <c r="A444" s="459">
        <v>0</v>
      </c>
      <c r="B444" s="459">
        <v>6</v>
      </c>
      <c r="C444" s="459">
        <v>5</v>
      </c>
      <c r="D444" s="460">
        <v>3</v>
      </c>
      <c r="E444" s="460">
        <v>1</v>
      </c>
      <c r="G444" s="1790" t="s">
        <v>17</v>
      </c>
      <c r="H444" s="1749" t="s">
        <v>1239</v>
      </c>
      <c r="I444" s="1750" t="s">
        <v>6466</v>
      </c>
      <c r="J444" s="1751" t="s">
        <v>2793</v>
      </c>
      <c r="K444" s="1752" t="s">
        <v>1130</v>
      </c>
      <c r="L444" s="1753">
        <v>1</v>
      </c>
      <c r="M444" s="1753">
        <v>2104.623</v>
      </c>
      <c r="N444" s="1754">
        <v>2104.623</v>
      </c>
      <c r="O444" s="1755" t="s">
        <v>3285</v>
      </c>
      <c r="P444" s="1721" t="s">
        <v>9611</v>
      </c>
    </row>
    <row r="445" spans="1:16" ht="13.9" hidden="1" customHeight="1" outlineLevel="2" x14ac:dyDescent="0.2">
      <c r="A445" s="459">
        <v>0</v>
      </c>
      <c r="B445" s="459">
        <v>6</v>
      </c>
      <c r="C445" s="459">
        <v>5</v>
      </c>
      <c r="D445" s="460">
        <v>4</v>
      </c>
      <c r="E445" s="460">
        <v>0</v>
      </c>
      <c r="G445" s="1740"/>
      <c r="H445" s="1741" t="s">
        <v>1238</v>
      </c>
      <c r="I445" s="1742" t="s">
        <v>6467</v>
      </c>
      <c r="J445" s="1743" t="s">
        <v>2794</v>
      </c>
      <c r="K445" s="1744"/>
      <c r="L445" s="1745"/>
      <c r="M445" s="1745"/>
      <c r="N445" s="1746">
        <v>1117.7</v>
      </c>
      <c r="O445" s="1747"/>
      <c r="P445" s="1720"/>
    </row>
    <row r="446" spans="1:16" ht="13.9" hidden="1" customHeight="1" outlineLevel="3" x14ac:dyDescent="0.2">
      <c r="A446" s="459">
        <v>0</v>
      </c>
      <c r="B446" s="459">
        <v>6</v>
      </c>
      <c r="C446" s="459">
        <v>5</v>
      </c>
      <c r="D446" s="460">
        <v>4</v>
      </c>
      <c r="E446" s="460">
        <v>1</v>
      </c>
      <c r="G446" s="1790" t="s">
        <v>17</v>
      </c>
      <c r="H446" s="1749" t="s">
        <v>1239</v>
      </c>
      <c r="I446" s="1750" t="s">
        <v>6468</v>
      </c>
      <c r="J446" s="1751" t="s">
        <v>2794</v>
      </c>
      <c r="K446" s="1752" t="s">
        <v>1130</v>
      </c>
      <c r="L446" s="1753">
        <v>1</v>
      </c>
      <c r="M446" s="1753">
        <v>1117.7</v>
      </c>
      <c r="N446" s="1754">
        <v>1117.7</v>
      </c>
      <c r="O446" s="1755" t="s">
        <v>3285</v>
      </c>
      <c r="P446" s="1721" t="s">
        <v>9611</v>
      </c>
    </row>
    <row r="447" spans="1:16" ht="13.9" hidden="1" customHeight="1" outlineLevel="2" x14ac:dyDescent="0.2">
      <c r="A447" s="459">
        <v>0</v>
      </c>
      <c r="B447" s="459">
        <v>6</v>
      </c>
      <c r="C447" s="459">
        <v>5</v>
      </c>
      <c r="D447" s="460">
        <v>5</v>
      </c>
      <c r="E447" s="460">
        <v>0</v>
      </c>
      <c r="G447" s="1740"/>
      <c r="H447" s="1741" t="s">
        <v>1238</v>
      </c>
      <c r="I447" s="1742" t="s">
        <v>6469</v>
      </c>
      <c r="J447" s="1743" t="s">
        <v>2795</v>
      </c>
      <c r="K447" s="1744"/>
      <c r="L447" s="1745"/>
      <c r="M447" s="1745"/>
      <c r="N447" s="1746">
        <v>9798.5452118506491</v>
      </c>
      <c r="O447" s="1747"/>
      <c r="P447" s="1720"/>
    </row>
    <row r="448" spans="1:16" ht="13.9" hidden="1" customHeight="1" outlineLevel="3" x14ac:dyDescent="0.2">
      <c r="A448" s="459">
        <v>0</v>
      </c>
      <c r="B448" s="459">
        <v>6</v>
      </c>
      <c r="C448" s="459">
        <v>5</v>
      </c>
      <c r="D448" s="460">
        <v>5</v>
      </c>
      <c r="E448" s="460">
        <v>1</v>
      </c>
      <c r="G448" s="1790" t="s">
        <v>17</v>
      </c>
      <c r="H448" s="1749" t="s">
        <v>1239</v>
      </c>
      <c r="I448" s="1750" t="s">
        <v>6470</v>
      </c>
      <c r="J448" s="1751" t="s">
        <v>2795</v>
      </c>
      <c r="K448" s="1752" t="s">
        <v>1130</v>
      </c>
      <c r="L448" s="1753">
        <v>1</v>
      </c>
      <c r="M448" s="1753">
        <v>9798.5452118506455</v>
      </c>
      <c r="N448" s="1754">
        <v>9798.5452118506491</v>
      </c>
      <c r="O448" s="1755" t="s">
        <v>3284</v>
      </c>
      <c r="P448" s="1721" t="s">
        <v>9611</v>
      </c>
    </row>
    <row r="449" spans="1:16" ht="13.9" hidden="1" customHeight="1" outlineLevel="2" x14ac:dyDescent="0.2">
      <c r="A449" s="459">
        <v>0</v>
      </c>
      <c r="B449" s="459">
        <v>6</v>
      </c>
      <c r="C449" s="459">
        <v>5</v>
      </c>
      <c r="D449" s="460">
        <v>6</v>
      </c>
      <c r="E449" s="460">
        <v>0</v>
      </c>
      <c r="G449" s="1740"/>
      <c r="H449" s="1741" t="s">
        <v>1238</v>
      </c>
      <c r="I449" s="1742" t="s">
        <v>6471</v>
      </c>
      <c r="J449" s="1743" t="s">
        <v>1254</v>
      </c>
      <c r="K449" s="1744"/>
      <c r="L449" s="1745"/>
      <c r="M449" s="1745"/>
      <c r="N449" s="1746">
        <v>55415.8</v>
      </c>
      <c r="O449" s="1747"/>
      <c r="P449" s="1720"/>
    </row>
    <row r="450" spans="1:16" ht="13.9" hidden="1" customHeight="1" outlineLevel="3" x14ac:dyDescent="0.2">
      <c r="A450" s="459">
        <v>0</v>
      </c>
      <c r="B450" s="459">
        <v>6</v>
      </c>
      <c r="C450" s="459">
        <v>5</v>
      </c>
      <c r="D450" s="460">
        <v>6</v>
      </c>
      <c r="E450" s="460">
        <v>1</v>
      </c>
      <c r="G450" s="1790" t="s">
        <v>17</v>
      </c>
      <c r="H450" s="1749" t="s">
        <v>1239</v>
      </c>
      <c r="I450" s="1750" t="s">
        <v>6472</v>
      </c>
      <c r="J450" s="1751" t="s">
        <v>1255</v>
      </c>
      <c r="K450" s="1752" t="s">
        <v>1130</v>
      </c>
      <c r="L450" s="1753">
        <v>1</v>
      </c>
      <c r="M450" s="1753">
        <v>55415.8</v>
      </c>
      <c r="N450" s="1754">
        <v>55415.8</v>
      </c>
      <c r="O450" s="1755" t="s">
        <v>3268</v>
      </c>
      <c r="P450" s="1721" t="s">
        <v>9611</v>
      </c>
    </row>
    <row r="451" spans="1:16" ht="13.9" hidden="1" customHeight="1" outlineLevel="1" x14ac:dyDescent="0.2">
      <c r="A451" s="459">
        <v>0</v>
      </c>
      <c r="B451" s="459">
        <v>6</v>
      </c>
      <c r="C451" s="459">
        <v>6</v>
      </c>
      <c r="D451" s="460">
        <v>0</v>
      </c>
      <c r="E451" s="460">
        <v>1</v>
      </c>
      <c r="G451" s="1733"/>
      <c r="H451" s="1734" t="s">
        <v>39</v>
      </c>
      <c r="I451" s="1735" t="s">
        <v>6473</v>
      </c>
      <c r="J451" s="1736" t="s">
        <v>3275</v>
      </c>
      <c r="K451" s="1737"/>
      <c r="L451" s="1738"/>
      <c r="M451" s="1738"/>
      <c r="N451" s="1739">
        <v>72359.732640655799</v>
      </c>
      <c r="O451" s="1722"/>
      <c r="P451" s="1725"/>
    </row>
    <row r="452" spans="1:16" ht="13.9" hidden="1" customHeight="1" outlineLevel="2" x14ac:dyDescent="0.2">
      <c r="A452" s="459">
        <v>0</v>
      </c>
      <c r="B452" s="459">
        <v>6</v>
      </c>
      <c r="C452" s="459">
        <v>6</v>
      </c>
      <c r="D452" s="460">
        <v>1</v>
      </c>
      <c r="E452" s="460">
        <v>0</v>
      </c>
      <c r="G452" s="1740"/>
      <c r="H452" s="1741" t="s">
        <v>1238</v>
      </c>
      <c r="I452" s="1742" t="s">
        <v>6474</v>
      </c>
      <c r="J452" s="1743" t="s">
        <v>2790</v>
      </c>
      <c r="K452" s="1744"/>
      <c r="L452" s="1745"/>
      <c r="M452" s="1745"/>
      <c r="N452" s="1746">
        <v>929.27</v>
      </c>
      <c r="O452" s="1747"/>
      <c r="P452" s="1720"/>
    </row>
    <row r="453" spans="1:16" ht="13.9" hidden="1" customHeight="1" outlineLevel="3" x14ac:dyDescent="0.2">
      <c r="A453" s="459">
        <v>0</v>
      </c>
      <c r="B453" s="459">
        <v>6</v>
      </c>
      <c r="C453" s="459">
        <v>6</v>
      </c>
      <c r="D453" s="460">
        <v>1</v>
      </c>
      <c r="E453" s="460">
        <v>1</v>
      </c>
      <c r="G453" s="1790" t="s">
        <v>17</v>
      </c>
      <c r="H453" s="1749" t="s">
        <v>1239</v>
      </c>
      <c r="I453" s="1750" t="s">
        <v>6475</v>
      </c>
      <c r="J453" s="1751" t="s">
        <v>2790</v>
      </c>
      <c r="K453" s="1752" t="s">
        <v>1130</v>
      </c>
      <c r="L453" s="1753">
        <v>1</v>
      </c>
      <c r="M453" s="1753">
        <v>929.27</v>
      </c>
      <c r="N453" s="1754">
        <v>929.27</v>
      </c>
      <c r="O453" s="1755" t="s">
        <v>3285</v>
      </c>
      <c r="P453" s="1721" t="s">
        <v>9611</v>
      </c>
    </row>
    <row r="454" spans="1:16" ht="13.9" hidden="1" customHeight="1" outlineLevel="2" x14ac:dyDescent="0.2">
      <c r="A454" s="459">
        <v>0</v>
      </c>
      <c r="B454" s="459">
        <v>6</v>
      </c>
      <c r="C454" s="459">
        <v>6</v>
      </c>
      <c r="D454" s="460">
        <v>2</v>
      </c>
      <c r="E454" s="460">
        <v>0</v>
      </c>
      <c r="G454" s="1740"/>
      <c r="H454" s="1741" t="s">
        <v>1238</v>
      </c>
      <c r="I454" s="1742" t="s">
        <v>6476</v>
      </c>
      <c r="J454" s="1743" t="s">
        <v>2792</v>
      </c>
      <c r="K454" s="1744"/>
      <c r="L454" s="1745"/>
      <c r="M454" s="1745"/>
      <c r="N454" s="1746">
        <v>1000.55</v>
      </c>
      <c r="O454" s="1747"/>
      <c r="P454" s="1720"/>
    </row>
    <row r="455" spans="1:16" ht="13.9" hidden="1" customHeight="1" outlineLevel="3" x14ac:dyDescent="0.2">
      <c r="A455" s="459">
        <v>0</v>
      </c>
      <c r="B455" s="459">
        <v>6</v>
      </c>
      <c r="C455" s="459">
        <v>6</v>
      </c>
      <c r="D455" s="460">
        <v>2</v>
      </c>
      <c r="E455" s="460">
        <v>1</v>
      </c>
      <c r="G455" s="1790" t="s">
        <v>17</v>
      </c>
      <c r="H455" s="1749" t="s">
        <v>1239</v>
      </c>
      <c r="I455" s="1750" t="s">
        <v>6477</v>
      </c>
      <c r="J455" s="1751" t="s">
        <v>2792</v>
      </c>
      <c r="K455" s="1752" t="s">
        <v>1130</v>
      </c>
      <c r="L455" s="1753">
        <v>1</v>
      </c>
      <c r="M455" s="1753">
        <v>1000.5500000000001</v>
      </c>
      <c r="N455" s="1754">
        <v>1000.55</v>
      </c>
      <c r="O455" s="1755" t="s">
        <v>3285</v>
      </c>
      <c r="P455" s="1721" t="s">
        <v>9611</v>
      </c>
    </row>
    <row r="456" spans="1:16" ht="13.9" hidden="1" customHeight="1" outlineLevel="2" x14ac:dyDescent="0.2">
      <c r="A456" s="459">
        <v>0</v>
      </c>
      <c r="B456" s="459">
        <v>6</v>
      </c>
      <c r="C456" s="459">
        <v>6</v>
      </c>
      <c r="D456" s="460">
        <v>3</v>
      </c>
      <c r="E456" s="460">
        <v>0</v>
      </c>
      <c r="G456" s="1740"/>
      <c r="H456" s="1741" t="s">
        <v>1238</v>
      </c>
      <c r="I456" s="1742" t="s">
        <v>6478</v>
      </c>
      <c r="J456" s="1743" t="s">
        <v>2793</v>
      </c>
      <c r="K456" s="1744"/>
      <c r="L456" s="1745"/>
      <c r="M456" s="1745"/>
      <c r="N456" s="1746">
        <v>3038.7930000000001</v>
      </c>
      <c r="O456" s="1747"/>
      <c r="P456" s="1720"/>
    </row>
    <row r="457" spans="1:16" ht="13.9" hidden="1" customHeight="1" outlineLevel="3" x14ac:dyDescent="0.2">
      <c r="A457" s="459">
        <v>0</v>
      </c>
      <c r="B457" s="459">
        <v>6</v>
      </c>
      <c r="C457" s="459">
        <v>6</v>
      </c>
      <c r="D457" s="460">
        <v>3</v>
      </c>
      <c r="E457" s="460">
        <v>1</v>
      </c>
      <c r="G457" s="1790" t="s">
        <v>17</v>
      </c>
      <c r="H457" s="1749" t="s">
        <v>1239</v>
      </c>
      <c r="I457" s="1750" t="s">
        <v>6479</v>
      </c>
      <c r="J457" s="1751" t="s">
        <v>2793</v>
      </c>
      <c r="K457" s="1752" t="s">
        <v>1130</v>
      </c>
      <c r="L457" s="1753">
        <v>1</v>
      </c>
      <c r="M457" s="1753">
        <v>3038.7930000000001</v>
      </c>
      <c r="N457" s="1754">
        <v>3038.7930000000001</v>
      </c>
      <c r="O457" s="1755" t="s">
        <v>3285</v>
      </c>
      <c r="P457" s="1721" t="s">
        <v>9611</v>
      </c>
    </row>
    <row r="458" spans="1:16" ht="13.9" hidden="1" customHeight="1" outlineLevel="2" x14ac:dyDescent="0.2">
      <c r="A458" s="459">
        <v>0</v>
      </c>
      <c r="B458" s="459">
        <v>6</v>
      </c>
      <c r="C458" s="459">
        <v>6</v>
      </c>
      <c r="D458" s="460">
        <v>4</v>
      </c>
      <c r="E458" s="460">
        <v>0</v>
      </c>
      <c r="G458" s="1740"/>
      <c r="H458" s="1741" t="s">
        <v>1238</v>
      </c>
      <c r="I458" s="1742" t="s">
        <v>6480</v>
      </c>
      <c r="J458" s="1743" t="s">
        <v>2794</v>
      </c>
      <c r="K458" s="1744"/>
      <c r="L458" s="1745"/>
      <c r="M458" s="1745"/>
      <c r="N458" s="1746">
        <v>1005.6</v>
      </c>
      <c r="O458" s="1747"/>
      <c r="P458" s="1720"/>
    </row>
    <row r="459" spans="1:16" ht="13.9" hidden="1" customHeight="1" outlineLevel="3" x14ac:dyDescent="0.2">
      <c r="A459" s="459">
        <v>0</v>
      </c>
      <c r="B459" s="459">
        <v>6</v>
      </c>
      <c r="C459" s="459">
        <v>6</v>
      </c>
      <c r="D459" s="460">
        <v>4</v>
      </c>
      <c r="E459" s="460">
        <v>1</v>
      </c>
      <c r="G459" s="1790" t="s">
        <v>17</v>
      </c>
      <c r="H459" s="1749" t="s">
        <v>1239</v>
      </c>
      <c r="I459" s="1750" t="s">
        <v>6481</v>
      </c>
      <c r="J459" s="1751" t="s">
        <v>2794</v>
      </c>
      <c r="K459" s="1752" t="s">
        <v>1130</v>
      </c>
      <c r="L459" s="1753">
        <v>1</v>
      </c>
      <c r="M459" s="1753">
        <v>1005.5999999999999</v>
      </c>
      <c r="N459" s="1754">
        <v>1005.6</v>
      </c>
      <c r="O459" s="1755" t="s">
        <v>3285</v>
      </c>
      <c r="P459" s="1721" t="s">
        <v>9611</v>
      </c>
    </row>
    <row r="460" spans="1:16" ht="13.9" hidden="1" customHeight="1" outlineLevel="2" x14ac:dyDescent="0.2">
      <c r="A460" s="459">
        <v>0</v>
      </c>
      <c r="B460" s="459">
        <v>6</v>
      </c>
      <c r="C460" s="459">
        <v>6</v>
      </c>
      <c r="D460" s="460">
        <v>5</v>
      </c>
      <c r="E460" s="460">
        <v>0</v>
      </c>
      <c r="G460" s="1740"/>
      <c r="H460" s="1741" t="s">
        <v>1238</v>
      </c>
      <c r="I460" s="1742" t="s">
        <v>6482</v>
      </c>
      <c r="J460" s="1743" t="s">
        <v>2795</v>
      </c>
      <c r="K460" s="1744"/>
      <c r="L460" s="1745"/>
      <c r="M460" s="1745"/>
      <c r="N460" s="1746">
        <v>9954.1396406557906</v>
      </c>
      <c r="O460" s="1747"/>
      <c r="P460" s="1720"/>
    </row>
    <row r="461" spans="1:16" ht="13.9" hidden="1" customHeight="1" outlineLevel="3" x14ac:dyDescent="0.2">
      <c r="A461" s="459">
        <v>0</v>
      </c>
      <c r="B461" s="459">
        <v>6</v>
      </c>
      <c r="C461" s="459">
        <v>6</v>
      </c>
      <c r="D461" s="460">
        <v>5</v>
      </c>
      <c r="E461" s="460">
        <v>1</v>
      </c>
      <c r="G461" s="1790" t="s">
        <v>17</v>
      </c>
      <c r="H461" s="1749" t="s">
        <v>1239</v>
      </c>
      <c r="I461" s="1750" t="s">
        <v>6483</v>
      </c>
      <c r="J461" s="1751" t="s">
        <v>2795</v>
      </c>
      <c r="K461" s="1752" t="s">
        <v>1130</v>
      </c>
      <c r="L461" s="1753">
        <v>1</v>
      </c>
      <c r="M461" s="1753">
        <v>9954.1396406557869</v>
      </c>
      <c r="N461" s="1754">
        <v>9954.1396406557906</v>
      </c>
      <c r="O461" s="1755" t="s">
        <v>3284</v>
      </c>
      <c r="P461" s="1721" t="s">
        <v>9611</v>
      </c>
    </row>
    <row r="462" spans="1:16" ht="13.9" hidden="1" customHeight="1" outlineLevel="2" x14ac:dyDescent="0.2">
      <c r="A462" s="459">
        <v>0</v>
      </c>
      <c r="B462" s="459">
        <v>6</v>
      </c>
      <c r="C462" s="459">
        <v>6</v>
      </c>
      <c r="D462" s="460">
        <v>6</v>
      </c>
      <c r="E462" s="460">
        <v>0</v>
      </c>
      <c r="G462" s="1740"/>
      <c r="H462" s="1741" t="s">
        <v>1238</v>
      </c>
      <c r="I462" s="1742" t="s">
        <v>6484</v>
      </c>
      <c r="J462" s="1743" t="s">
        <v>1254</v>
      </c>
      <c r="K462" s="1744"/>
      <c r="L462" s="1745"/>
      <c r="M462" s="1745"/>
      <c r="N462" s="1746">
        <v>56431.38</v>
      </c>
      <c r="O462" s="1747"/>
      <c r="P462" s="1720"/>
    </row>
    <row r="463" spans="1:16" ht="13.9" hidden="1" customHeight="1" outlineLevel="3" x14ac:dyDescent="0.2">
      <c r="A463" s="459">
        <v>0</v>
      </c>
      <c r="B463" s="459">
        <v>6</v>
      </c>
      <c r="C463" s="459">
        <v>6</v>
      </c>
      <c r="D463" s="460">
        <v>6</v>
      </c>
      <c r="E463" s="460">
        <v>1</v>
      </c>
      <c r="G463" s="1790" t="s">
        <v>17</v>
      </c>
      <c r="H463" s="1749" t="s">
        <v>1239</v>
      </c>
      <c r="I463" s="1750" t="s">
        <v>6485</v>
      </c>
      <c r="J463" s="1751" t="s">
        <v>1255</v>
      </c>
      <c r="K463" s="1752" t="s">
        <v>1130</v>
      </c>
      <c r="L463" s="1753">
        <v>1</v>
      </c>
      <c r="M463" s="1753">
        <v>56431.38</v>
      </c>
      <c r="N463" s="1754">
        <v>56431.38</v>
      </c>
      <c r="O463" s="1755" t="s">
        <v>3268</v>
      </c>
      <c r="P463" s="1721" t="s">
        <v>9611</v>
      </c>
    </row>
    <row r="464" spans="1:16" ht="13.9" hidden="1" customHeight="1" outlineLevel="1" x14ac:dyDescent="0.2">
      <c r="A464" s="459">
        <v>0</v>
      </c>
      <c r="B464" s="459">
        <v>6</v>
      </c>
      <c r="C464" s="459">
        <v>7</v>
      </c>
      <c r="D464" s="460">
        <v>0</v>
      </c>
      <c r="E464" s="460">
        <v>1</v>
      </c>
      <c r="G464" s="1733"/>
      <c r="H464" s="1734" t="s">
        <v>39</v>
      </c>
      <c r="I464" s="1735" t="s">
        <v>6486</v>
      </c>
      <c r="J464" s="1736" t="s">
        <v>3276</v>
      </c>
      <c r="K464" s="1737"/>
      <c r="L464" s="1738"/>
      <c r="M464" s="1738"/>
      <c r="N464" s="1739">
        <v>81697.706640655801</v>
      </c>
      <c r="O464" s="1722"/>
      <c r="P464" s="1725"/>
    </row>
    <row r="465" spans="1:16" ht="13.9" hidden="1" customHeight="1" outlineLevel="2" x14ac:dyDescent="0.2">
      <c r="A465" s="459">
        <v>0</v>
      </c>
      <c r="B465" s="459">
        <v>6</v>
      </c>
      <c r="C465" s="459">
        <v>7</v>
      </c>
      <c r="D465" s="460">
        <v>1</v>
      </c>
      <c r="E465" s="460">
        <v>0</v>
      </c>
      <c r="G465" s="1740"/>
      <c r="H465" s="1741" t="s">
        <v>1238</v>
      </c>
      <c r="I465" s="1742" t="s">
        <v>6487</v>
      </c>
      <c r="J465" s="1743" t="s">
        <v>2790</v>
      </c>
      <c r="K465" s="1744"/>
      <c r="L465" s="1745"/>
      <c r="M465" s="1745"/>
      <c r="N465" s="1746">
        <v>2807.64</v>
      </c>
      <c r="O465" s="1747"/>
      <c r="P465" s="1720"/>
    </row>
    <row r="466" spans="1:16" ht="13.9" hidden="1" customHeight="1" outlineLevel="3" x14ac:dyDescent="0.2">
      <c r="A466" s="459">
        <v>0</v>
      </c>
      <c r="B466" s="459">
        <v>6</v>
      </c>
      <c r="C466" s="459">
        <v>7</v>
      </c>
      <c r="D466" s="460">
        <v>1</v>
      </c>
      <c r="E466" s="460">
        <v>1</v>
      </c>
      <c r="G466" s="1790" t="s">
        <v>17</v>
      </c>
      <c r="H466" s="1749" t="s">
        <v>1239</v>
      </c>
      <c r="I466" s="1750" t="s">
        <v>6488</v>
      </c>
      <c r="J466" s="1751" t="s">
        <v>2790</v>
      </c>
      <c r="K466" s="1752" t="s">
        <v>1130</v>
      </c>
      <c r="L466" s="1753">
        <v>1</v>
      </c>
      <c r="M466" s="1753">
        <v>2807.6400000000003</v>
      </c>
      <c r="N466" s="1754">
        <v>2807.64</v>
      </c>
      <c r="O466" s="1755" t="s">
        <v>3285</v>
      </c>
      <c r="P466" s="1721" t="s">
        <v>9611</v>
      </c>
    </row>
    <row r="467" spans="1:16" ht="13.9" hidden="1" customHeight="1" outlineLevel="2" x14ac:dyDescent="0.2">
      <c r="A467" s="459">
        <v>0</v>
      </c>
      <c r="B467" s="459">
        <v>6</v>
      </c>
      <c r="C467" s="459">
        <v>7</v>
      </c>
      <c r="D467" s="460">
        <v>2</v>
      </c>
      <c r="E467" s="460">
        <v>0</v>
      </c>
      <c r="G467" s="1740"/>
      <c r="H467" s="1741" t="s">
        <v>1238</v>
      </c>
      <c r="I467" s="1742" t="s">
        <v>6489</v>
      </c>
      <c r="J467" s="1743" t="s">
        <v>2792</v>
      </c>
      <c r="K467" s="1744"/>
      <c r="L467" s="1745"/>
      <c r="M467" s="1745"/>
      <c r="N467" s="1746">
        <v>2979.55</v>
      </c>
      <c r="O467" s="1747"/>
      <c r="P467" s="1720"/>
    </row>
    <row r="468" spans="1:16" ht="13.9" hidden="1" customHeight="1" outlineLevel="3" x14ac:dyDescent="0.2">
      <c r="A468" s="459">
        <v>0</v>
      </c>
      <c r="B468" s="459">
        <v>6</v>
      </c>
      <c r="C468" s="459">
        <v>7</v>
      </c>
      <c r="D468" s="460">
        <v>2</v>
      </c>
      <c r="E468" s="460">
        <v>1</v>
      </c>
      <c r="G468" s="1790" t="s">
        <v>17</v>
      </c>
      <c r="H468" s="1749" t="s">
        <v>1239</v>
      </c>
      <c r="I468" s="1750" t="s">
        <v>6490</v>
      </c>
      <c r="J468" s="1751" t="s">
        <v>2792</v>
      </c>
      <c r="K468" s="1752" t="s">
        <v>1130</v>
      </c>
      <c r="L468" s="1753">
        <v>1</v>
      </c>
      <c r="M468" s="1753">
        <v>2979.5499999999997</v>
      </c>
      <c r="N468" s="1754">
        <v>2979.55</v>
      </c>
      <c r="O468" s="1755" t="s">
        <v>3285</v>
      </c>
      <c r="P468" s="1721" t="s">
        <v>9611</v>
      </c>
    </row>
    <row r="469" spans="1:16" ht="13.9" hidden="1" customHeight="1" outlineLevel="2" x14ac:dyDescent="0.2">
      <c r="A469" s="459">
        <v>0</v>
      </c>
      <c r="B469" s="459">
        <v>6</v>
      </c>
      <c r="C469" s="459">
        <v>7</v>
      </c>
      <c r="D469" s="460">
        <v>3</v>
      </c>
      <c r="E469" s="460">
        <v>0</v>
      </c>
      <c r="G469" s="1740"/>
      <c r="H469" s="1741" t="s">
        <v>1238</v>
      </c>
      <c r="I469" s="1742" t="s">
        <v>6491</v>
      </c>
      <c r="J469" s="1743" t="s">
        <v>2793</v>
      </c>
      <c r="K469" s="1744"/>
      <c r="L469" s="1745"/>
      <c r="M469" s="1745"/>
      <c r="N469" s="1746">
        <v>7370.9470000000001</v>
      </c>
      <c r="O469" s="1747"/>
      <c r="P469" s="1720"/>
    </row>
    <row r="470" spans="1:16" ht="13.9" hidden="1" customHeight="1" outlineLevel="3" x14ac:dyDescent="0.2">
      <c r="A470" s="459">
        <v>0</v>
      </c>
      <c r="B470" s="459">
        <v>6</v>
      </c>
      <c r="C470" s="459">
        <v>7</v>
      </c>
      <c r="D470" s="460">
        <v>3</v>
      </c>
      <c r="E470" s="460">
        <v>1</v>
      </c>
      <c r="G470" s="1790" t="s">
        <v>17</v>
      </c>
      <c r="H470" s="1749" t="s">
        <v>1239</v>
      </c>
      <c r="I470" s="1750" t="s">
        <v>6492</v>
      </c>
      <c r="J470" s="1751" t="s">
        <v>2793</v>
      </c>
      <c r="K470" s="1752" t="s">
        <v>1130</v>
      </c>
      <c r="L470" s="1753">
        <v>1</v>
      </c>
      <c r="M470" s="1753">
        <v>7370.9469999999992</v>
      </c>
      <c r="N470" s="1754">
        <v>7370.9470000000001</v>
      </c>
      <c r="O470" s="1755" t="s">
        <v>3285</v>
      </c>
      <c r="P470" s="1721" t="s">
        <v>9611</v>
      </c>
    </row>
    <row r="471" spans="1:16" ht="13.9" hidden="1" customHeight="1" outlineLevel="2" x14ac:dyDescent="0.2">
      <c r="A471" s="459">
        <v>0</v>
      </c>
      <c r="B471" s="459">
        <v>6</v>
      </c>
      <c r="C471" s="459">
        <v>7</v>
      </c>
      <c r="D471" s="460">
        <v>4</v>
      </c>
      <c r="E471" s="460">
        <v>0</v>
      </c>
      <c r="G471" s="1740"/>
      <c r="H471" s="1741" t="s">
        <v>1238</v>
      </c>
      <c r="I471" s="1742" t="s">
        <v>6493</v>
      </c>
      <c r="J471" s="1743" t="s">
        <v>2794</v>
      </c>
      <c r="K471" s="1744"/>
      <c r="L471" s="1745"/>
      <c r="M471" s="1745"/>
      <c r="N471" s="1746">
        <v>2289.69</v>
      </c>
      <c r="O471" s="1747"/>
      <c r="P471" s="1720"/>
    </row>
    <row r="472" spans="1:16" ht="13.9" hidden="1" customHeight="1" outlineLevel="3" x14ac:dyDescent="0.2">
      <c r="A472" s="459">
        <v>0</v>
      </c>
      <c r="B472" s="459">
        <v>6</v>
      </c>
      <c r="C472" s="459">
        <v>7</v>
      </c>
      <c r="D472" s="460">
        <v>4</v>
      </c>
      <c r="E472" s="460">
        <v>1</v>
      </c>
      <c r="G472" s="1790" t="s">
        <v>17</v>
      </c>
      <c r="H472" s="1749" t="s">
        <v>1239</v>
      </c>
      <c r="I472" s="1750" t="s">
        <v>6494</v>
      </c>
      <c r="J472" s="1751" t="s">
        <v>2794</v>
      </c>
      <c r="K472" s="1752" t="s">
        <v>1130</v>
      </c>
      <c r="L472" s="1753">
        <v>1</v>
      </c>
      <c r="M472" s="1753">
        <v>2289.69</v>
      </c>
      <c r="N472" s="1754">
        <v>2289.69</v>
      </c>
      <c r="O472" s="1755" t="s">
        <v>3285</v>
      </c>
      <c r="P472" s="1721" t="s">
        <v>9611</v>
      </c>
    </row>
    <row r="473" spans="1:16" ht="13.9" hidden="1" customHeight="1" outlineLevel="2" x14ac:dyDescent="0.2">
      <c r="A473" s="459">
        <v>0</v>
      </c>
      <c r="B473" s="459">
        <v>6</v>
      </c>
      <c r="C473" s="459">
        <v>7</v>
      </c>
      <c r="D473" s="460">
        <v>5</v>
      </c>
      <c r="E473" s="460">
        <v>0</v>
      </c>
      <c r="G473" s="1740"/>
      <c r="H473" s="1741" t="s">
        <v>1238</v>
      </c>
      <c r="I473" s="1742" t="s">
        <v>6495</v>
      </c>
      <c r="J473" s="1743" t="s">
        <v>2795</v>
      </c>
      <c r="K473" s="1744"/>
      <c r="L473" s="1745"/>
      <c r="M473" s="1745"/>
      <c r="N473" s="1746">
        <v>9954.1396406557906</v>
      </c>
      <c r="O473" s="1747"/>
      <c r="P473" s="1720"/>
    </row>
    <row r="474" spans="1:16" ht="13.9" hidden="1" customHeight="1" outlineLevel="3" x14ac:dyDescent="0.2">
      <c r="A474" s="459">
        <v>0</v>
      </c>
      <c r="B474" s="459">
        <v>6</v>
      </c>
      <c r="C474" s="459">
        <v>7</v>
      </c>
      <c r="D474" s="460">
        <v>5</v>
      </c>
      <c r="E474" s="460">
        <v>1</v>
      </c>
      <c r="G474" s="1790" t="s">
        <v>17</v>
      </c>
      <c r="H474" s="1749" t="s">
        <v>1239</v>
      </c>
      <c r="I474" s="1750" t="s">
        <v>6496</v>
      </c>
      <c r="J474" s="1751" t="s">
        <v>2795</v>
      </c>
      <c r="K474" s="1752" t="s">
        <v>1130</v>
      </c>
      <c r="L474" s="1753">
        <v>1</v>
      </c>
      <c r="M474" s="1753">
        <v>9954.1396406557869</v>
      </c>
      <c r="N474" s="1754">
        <v>9954.1396406557906</v>
      </c>
      <c r="O474" s="1755" t="s">
        <v>3284</v>
      </c>
      <c r="P474" s="1721" t="s">
        <v>9611</v>
      </c>
    </row>
    <row r="475" spans="1:16" ht="13.9" hidden="1" customHeight="1" outlineLevel="2" x14ac:dyDescent="0.2">
      <c r="A475" s="459">
        <v>0</v>
      </c>
      <c r="B475" s="459">
        <v>6</v>
      </c>
      <c r="C475" s="459">
        <v>7</v>
      </c>
      <c r="D475" s="460">
        <v>6</v>
      </c>
      <c r="E475" s="460">
        <v>0</v>
      </c>
      <c r="G475" s="1740"/>
      <c r="H475" s="1741" t="s">
        <v>1238</v>
      </c>
      <c r="I475" s="1742" t="s">
        <v>6497</v>
      </c>
      <c r="J475" s="1743" t="s">
        <v>1254</v>
      </c>
      <c r="K475" s="1744"/>
      <c r="L475" s="1745"/>
      <c r="M475" s="1745"/>
      <c r="N475" s="1746">
        <v>56295.74</v>
      </c>
      <c r="O475" s="1747"/>
      <c r="P475" s="1720"/>
    </row>
    <row r="476" spans="1:16" ht="13.9" hidden="1" customHeight="1" outlineLevel="3" x14ac:dyDescent="0.2">
      <c r="A476" s="459">
        <v>0</v>
      </c>
      <c r="B476" s="459">
        <v>6</v>
      </c>
      <c r="C476" s="459">
        <v>7</v>
      </c>
      <c r="D476" s="460">
        <v>6</v>
      </c>
      <c r="E476" s="460">
        <v>1</v>
      </c>
      <c r="G476" s="1790" t="s">
        <v>17</v>
      </c>
      <c r="H476" s="1749" t="s">
        <v>1239</v>
      </c>
      <c r="I476" s="1750" t="s">
        <v>6498</v>
      </c>
      <c r="J476" s="1751" t="s">
        <v>1255</v>
      </c>
      <c r="K476" s="1752" t="s">
        <v>1130</v>
      </c>
      <c r="L476" s="1753">
        <v>1</v>
      </c>
      <c r="M476" s="1753">
        <v>56295.74</v>
      </c>
      <c r="N476" s="1754">
        <v>56295.74</v>
      </c>
      <c r="O476" s="1755" t="s">
        <v>3268</v>
      </c>
      <c r="P476" s="1721" t="s">
        <v>9611</v>
      </c>
    </row>
    <row r="477" spans="1:16" ht="13.9" hidden="1" customHeight="1" outlineLevel="1" x14ac:dyDescent="0.2">
      <c r="A477" s="459">
        <v>0</v>
      </c>
      <c r="B477" s="459">
        <v>6</v>
      </c>
      <c r="C477" s="459">
        <v>8</v>
      </c>
      <c r="D477" s="460">
        <v>0</v>
      </c>
      <c r="E477" s="460">
        <v>1</v>
      </c>
      <c r="G477" s="1733"/>
      <c r="H477" s="1734" t="s">
        <v>39</v>
      </c>
      <c r="I477" s="1735" t="s">
        <v>6499</v>
      </c>
      <c r="J477" s="1736" t="s">
        <v>3277</v>
      </c>
      <c r="K477" s="1737"/>
      <c r="L477" s="1738"/>
      <c r="M477" s="1738"/>
      <c r="N477" s="1739">
        <v>59626.110030074698</v>
      </c>
      <c r="O477" s="1722"/>
      <c r="P477" s="1725"/>
    </row>
    <row r="478" spans="1:16" ht="13.9" hidden="1" customHeight="1" outlineLevel="2" x14ac:dyDescent="0.2">
      <c r="A478" s="459">
        <v>0</v>
      </c>
      <c r="B478" s="459">
        <v>6</v>
      </c>
      <c r="C478" s="459">
        <v>8</v>
      </c>
      <c r="D478" s="460">
        <v>1</v>
      </c>
      <c r="E478" s="460">
        <v>0</v>
      </c>
      <c r="G478" s="1740"/>
      <c r="H478" s="1741" t="s">
        <v>1238</v>
      </c>
      <c r="I478" s="1742" t="s">
        <v>6500</v>
      </c>
      <c r="J478" s="1743" t="s">
        <v>2790</v>
      </c>
      <c r="K478" s="1744"/>
      <c r="L478" s="1745"/>
      <c r="M478" s="1745"/>
      <c r="N478" s="1746">
        <v>2101.14</v>
      </c>
      <c r="O478" s="1747"/>
      <c r="P478" s="1720"/>
    </row>
    <row r="479" spans="1:16" ht="13.9" hidden="1" customHeight="1" outlineLevel="3" x14ac:dyDescent="0.2">
      <c r="A479" s="459">
        <v>0</v>
      </c>
      <c r="B479" s="459">
        <v>6</v>
      </c>
      <c r="C479" s="459">
        <v>8</v>
      </c>
      <c r="D479" s="460">
        <v>1</v>
      </c>
      <c r="E479" s="460">
        <v>1</v>
      </c>
      <c r="G479" s="1790" t="s">
        <v>17</v>
      </c>
      <c r="H479" s="1749" t="s">
        <v>1239</v>
      </c>
      <c r="I479" s="1750" t="s">
        <v>6501</v>
      </c>
      <c r="J479" s="1751" t="s">
        <v>2790</v>
      </c>
      <c r="K479" s="1752" t="s">
        <v>1130</v>
      </c>
      <c r="L479" s="1753">
        <v>1</v>
      </c>
      <c r="M479" s="1753">
        <v>2101.14</v>
      </c>
      <c r="N479" s="1754">
        <v>2101.14</v>
      </c>
      <c r="O479" s="1755" t="s">
        <v>3285</v>
      </c>
      <c r="P479" s="1721" t="s">
        <v>9611</v>
      </c>
    </row>
    <row r="480" spans="1:16" ht="13.9" hidden="1" customHeight="1" outlineLevel="2" x14ac:dyDescent="0.2">
      <c r="A480" s="459">
        <v>0</v>
      </c>
      <c r="B480" s="459">
        <v>6</v>
      </c>
      <c r="C480" s="459">
        <v>8</v>
      </c>
      <c r="D480" s="460">
        <v>2</v>
      </c>
      <c r="E480" s="460">
        <v>0</v>
      </c>
      <c r="G480" s="1740"/>
      <c r="H480" s="1741" t="s">
        <v>1238</v>
      </c>
      <c r="I480" s="1742" t="s">
        <v>6502</v>
      </c>
      <c r="J480" s="1743" t="s">
        <v>2792</v>
      </c>
      <c r="K480" s="1744"/>
      <c r="L480" s="1745"/>
      <c r="M480" s="1745"/>
      <c r="N480" s="1746">
        <v>2863.95</v>
      </c>
      <c r="O480" s="1747"/>
      <c r="P480" s="1720"/>
    </row>
    <row r="481" spans="1:16" ht="13.9" hidden="1" customHeight="1" outlineLevel="3" x14ac:dyDescent="0.2">
      <c r="A481" s="459">
        <v>0</v>
      </c>
      <c r="B481" s="459">
        <v>6</v>
      </c>
      <c r="C481" s="459">
        <v>8</v>
      </c>
      <c r="D481" s="460">
        <v>2</v>
      </c>
      <c r="E481" s="460">
        <v>1</v>
      </c>
      <c r="G481" s="1790" t="s">
        <v>17</v>
      </c>
      <c r="H481" s="1749" t="s">
        <v>1239</v>
      </c>
      <c r="I481" s="1750" t="s">
        <v>6503</v>
      </c>
      <c r="J481" s="1751" t="s">
        <v>2792</v>
      </c>
      <c r="K481" s="1752" t="s">
        <v>1130</v>
      </c>
      <c r="L481" s="1753">
        <v>1</v>
      </c>
      <c r="M481" s="1753">
        <v>2863.9500000000003</v>
      </c>
      <c r="N481" s="1754">
        <v>2863.95</v>
      </c>
      <c r="O481" s="1755" t="s">
        <v>3285</v>
      </c>
      <c r="P481" s="1721" t="s">
        <v>9611</v>
      </c>
    </row>
    <row r="482" spans="1:16" ht="13.9" hidden="1" customHeight="1" outlineLevel="2" x14ac:dyDescent="0.2">
      <c r="A482" s="459">
        <v>0</v>
      </c>
      <c r="B482" s="459">
        <v>6</v>
      </c>
      <c r="C482" s="459">
        <v>8</v>
      </c>
      <c r="D482" s="460">
        <v>3</v>
      </c>
      <c r="E482" s="460">
        <v>0</v>
      </c>
      <c r="G482" s="1740"/>
      <c r="H482" s="1741" t="s">
        <v>1238</v>
      </c>
      <c r="I482" s="1742" t="s">
        <v>6504</v>
      </c>
      <c r="J482" s="1743" t="s">
        <v>2793</v>
      </c>
      <c r="K482" s="1744"/>
      <c r="L482" s="1745"/>
      <c r="M482" s="1745"/>
      <c r="N482" s="1746">
        <v>8164.3810000000003</v>
      </c>
      <c r="O482" s="1747"/>
      <c r="P482" s="1720"/>
    </row>
    <row r="483" spans="1:16" ht="13.9" hidden="1" customHeight="1" outlineLevel="3" x14ac:dyDescent="0.2">
      <c r="A483" s="459">
        <v>0</v>
      </c>
      <c r="B483" s="459">
        <v>6</v>
      </c>
      <c r="C483" s="459">
        <v>8</v>
      </c>
      <c r="D483" s="460">
        <v>3</v>
      </c>
      <c r="E483" s="460">
        <v>1</v>
      </c>
      <c r="G483" s="1790" t="s">
        <v>17</v>
      </c>
      <c r="H483" s="1749" t="s">
        <v>1239</v>
      </c>
      <c r="I483" s="1750" t="s">
        <v>6505</v>
      </c>
      <c r="J483" s="1751" t="s">
        <v>2793</v>
      </c>
      <c r="K483" s="1752" t="s">
        <v>1130</v>
      </c>
      <c r="L483" s="1753">
        <v>1</v>
      </c>
      <c r="M483" s="1753">
        <v>8164.3809999999994</v>
      </c>
      <c r="N483" s="1754">
        <v>8164.3810000000003</v>
      </c>
      <c r="O483" s="1755" t="s">
        <v>3285</v>
      </c>
      <c r="P483" s="1721" t="s">
        <v>9611</v>
      </c>
    </row>
    <row r="484" spans="1:16" ht="13.9" hidden="1" customHeight="1" outlineLevel="2" x14ac:dyDescent="0.2">
      <c r="A484" s="459">
        <v>0</v>
      </c>
      <c r="B484" s="459">
        <v>6</v>
      </c>
      <c r="C484" s="459">
        <v>8</v>
      </c>
      <c r="D484" s="460">
        <v>4</v>
      </c>
      <c r="E484" s="460">
        <v>0</v>
      </c>
      <c r="G484" s="1740"/>
      <c r="H484" s="1741" t="s">
        <v>1238</v>
      </c>
      <c r="I484" s="1742" t="s">
        <v>6506</v>
      </c>
      <c r="J484" s="1743" t="s">
        <v>2794</v>
      </c>
      <c r="K484" s="1744"/>
      <c r="L484" s="1745"/>
      <c r="M484" s="1745"/>
      <c r="N484" s="1746">
        <v>2983.4</v>
      </c>
      <c r="O484" s="1747"/>
      <c r="P484" s="1720"/>
    </row>
    <row r="485" spans="1:16" ht="13.9" hidden="1" customHeight="1" outlineLevel="3" x14ac:dyDescent="0.2">
      <c r="A485" s="459">
        <v>0</v>
      </c>
      <c r="B485" s="459">
        <v>6</v>
      </c>
      <c r="C485" s="459">
        <v>8</v>
      </c>
      <c r="D485" s="460">
        <v>4</v>
      </c>
      <c r="E485" s="460">
        <v>1</v>
      </c>
      <c r="G485" s="1790" t="s">
        <v>17</v>
      </c>
      <c r="H485" s="1749" t="s">
        <v>1239</v>
      </c>
      <c r="I485" s="1750" t="s">
        <v>6507</v>
      </c>
      <c r="J485" s="1751" t="s">
        <v>2794</v>
      </c>
      <c r="K485" s="1752" t="s">
        <v>1130</v>
      </c>
      <c r="L485" s="1753">
        <v>1</v>
      </c>
      <c r="M485" s="1753">
        <v>2983.4000000000005</v>
      </c>
      <c r="N485" s="1754">
        <v>2983.4</v>
      </c>
      <c r="O485" s="1755" t="s">
        <v>3285</v>
      </c>
      <c r="P485" s="1721" t="s">
        <v>9611</v>
      </c>
    </row>
    <row r="486" spans="1:16" ht="13.9" hidden="1" customHeight="1" outlineLevel="2" x14ac:dyDescent="0.2">
      <c r="A486" s="459">
        <v>0</v>
      </c>
      <c r="B486" s="459">
        <v>6</v>
      </c>
      <c r="C486" s="459">
        <v>8</v>
      </c>
      <c r="D486" s="460">
        <v>5</v>
      </c>
      <c r="E486" s="460">
        <v>0</v>
      </c>
      <c r="G486" s="1740"/>
      <c r="H486" s="1741" t="s">
        <v>1238</v>
      </c>
      <c r="I486" s="1742" t="s">
        <v>6508</v>
      </c>
      <c r="J486" s="1743" t="s">
        <v>2795</v>
      </c>
      <c r="K486" s="1744"/>
      <c r="L486" s="1745"/>
      <c r="M486" s="1745"/>
      <c r="N486" s="1746">
        <v>5568.7190300747498</v>
      </c>
      <c r="O486" s="1747"/>
      <c r="P486" s="1720"/>
    </row>
    <row r="487" spans="1:16" ht="13.9" hidden="1" customHeight="1" outlineLevel="3" x14ac:dyDescent="0.2">
      <c r="A487" s="459">
        <v>0</v>
      </c>
      <c r="B487" s="459">
        <v>6</v>
      </c>
      <c r="C487" s="459">
        <v>8</v>
      </c>
      <c r="D487" s="460">
        <v>5</v>
      </c>
      <c r="E487" s="460">
        <v>1</v>
      </c>
      <c r="G487" s="1790" t="s">
        <v>17</v>
      </c>
      <c r="H487" s="1749" t="s">
        <v>1239</v>
      </c>
      <c r="I487" s="1750" t="s">
        <v>6509</v>
      </c>
      <c r="J487" s="1751" t="s">
        <v>2795</v>
      </c>
      <c r="K487" s="1752" t="s">
        <v>1130</v>
      </c>
      <c r="L487" s="1753">
        <v>1</v>
      </c>
      <c r="M487" s="1753">
        <v>5568.7190300747534</v>
      </c>
      <c r="N487" s="1754">
        <v>5568.7190300747498</v>
      </c>
      <c r="O487" s="1755" t="s">
        <v>3284</v>
      </c>
      <c r="P487" s="1721" t="s">
        <v>9611</v>
      </c>
    </row>
    <row r="488" spans="1:16" ht="13.9" hidden="1" customHeight="1" outlineLevel="2" x14ac:dyDescent="0.2">
      <c r="A488" s="459">
        <v>0</v>
      </c>
      <c r="B488" s="459">
        <v>6</v>
      </c>
      <c r="C488" s="459">
        <v>8</v>
      </c>
      <c r="D488" s="460">
        <v>6</v>
      </c>
      <c r="E488" s="460">
        <v>0</v>
      </c>
      <c r="G488" s="1740"/>
      <c r="H488" s="1741" t="s">
        <v>1238</v>
      </c>
      <c r="I488" s="1742" t="s">
        <v>6510</v>
      </c>
      <c r="J488" s="1743" t="s">
        <v>1254</v>
      </c>
      <c r="K488" s="1744"/>
      <c r="L488" s="1745"/>
      <c r="M488" s="1745"/>
      <c r="N488" s="1746">
        <v>37944.519999999997</v>
      </c>
      <c r="O488" s="1747"/>
      <c r="P488" s="1720"/>
    </row>
    <row r="489" spans="1:16" ht="13.9" hidden="1" customHeight="1" outlineLevel="3" x14ac:dyDescent="0.2">
      <c r="A489" s="459">
        <v>0</v>
      </c>
      <c r="B489" s="459">
        <v>6</v>
      </c>
      <c r="C489" s="459">
        <v>8</v>
      </c>
      <c r="D489" s="460">
        <v>6</v>
      </c>
      <c r="E489" s="460">
        <v>1</v>
      </c>
      <c r="G489" s="1790" t="s">
        <v>17</v>
      </c>
      <c r="H489" s="1749" t="s">
        <v>1239</v>
      </c>
      <c r="I489" s="1750" t="s">
        <v>6511</v>
      </c>
      <c r="J489" s="1751" t="s">
        <v>1255</v>
      </c>
      <c r="K489" s="1752" t="s">
        <v>1130</v>
      </c>
      <c r="L489" s="1753">
        <v>1</v>
      </c>
      <c r="M489" s="1753">
        <v>37944.519999999997</v>
      </c>
      <c r="N489" s="1754">
        <v>37944.519999999997</v>
      </c>
      <c r="O489" s="1755" t="s">
        <v>3268</v>
      </c>
      <c r="P489" s="1721" t="s">
        <v>9611</v>
      </c>
    </row>
    <row r="490" spans="1:16" ht="13.9" hidden="1" customHeight="1" outlineLevel="1" x14ac:dyDescent="0.2">
      <c r="A490" s="459">
        <v>0</v>
      </c>
      <c r="B490" s="459">
        <v>6</v>
      </c>
      <c r="C490" s="459">
        <v>9</v>
      </c>
      <c r="D490" s="460">
        <v>0</v>
      </c>
      <c r="E490" s="460">
        <v>1</v>
      </c>
      <c r="G490" s="1733"/>
      <c r="H490" s="1734" t="s">
        <v>39</v>
      </c>
      <c r="I490" s="1735" t="s">
        <v>6512</v>
      </c>
      <c r="J490" s="1736" t="s">
        <v>3278</v>
      </c>
      <c r="K490" s="1737"/>
      <c r="L490" s="1738"/>
      <c r="M490" s="1738"/>
      <c r="N490" s="1739">
        <v>48631.154733694697</v>
      </c>
      <c r="O490" s="1722"/>
      <c r="P490" s="1725"/>
    </row>
    <row r="491" spans="1:16" ht="13.9" hidden="1" customHeight="1" outlineLevel="2" x14ac:dyDescent="0.2">
      <c r="A491" s="459">
        <v>0</v>
      </c>
      <c r="B491" s="459">
        <v>6</v>
      </c>
      <c r="C491" s="459">
        <v>9</v>
      </c>
      <c r="D491" s="460">
        <v>1</v>
      </c>
      <c r="E491" s="460">
        <v>0</v>
      </c>
      <c r="G491" s="1740"/>
      <c r="H491" s="1741" t="s">
        <v>1238</v>
      </c>
      <c r="I491" s="1742" t="s">
        <v>6513</v>
      </c>
      <c r="J491" s="1743" t="s">
        <v>2790</v>
      </c>
      <c r="K491" s="1744"/>
      <c r="L491" s="1745"/>
      <c r="M491" s="1745"/>
      <c r="N491" s="1746">
        <v>3445.31</v>
      </c>
      <c r="O491" s="1747"/>
      <c r="P491" s="1720"/>
    </row>
    <row r="492" spans="1:16" ht="13.9" hidden="1" customHeight="1" outlineLevel="3" x14ac:dyDescent="0.2">
      <c r="A492" s="459">
        <v>0</v>
      </c>
      <c r="B492" s="459">
        <v>6</v>
      </c>
      <c r="C492" s="459">
        <v>9</v>
      </c>
      <c r="D492" s="460">
        <v>1</v>
      </c>
      <c r="E492" s="460">
        <v>1</v>
      </c>
      <c r="G492" s="1790" t="s">
        <v>17</v>
      </c>
      <c r="H492" s="1749" t="s">
        <v>1239</v>
      </c>
      <c r="I492" s="1750" t="s">
        <v>6514</v>
      </c>
      <c r="J492" s="1751" t="s">
        <v>2790</v>
      </c>
      <c r="K492" s="1752" t="s">
        <v>1130</v>
      </c>
      <c r="L492" s="1753">
        <v>1</v>
      </c>
      <c r="M492" s="1753">
        <v>3445.31</v>
      </c>
      <c r="N492" s="1754">
        <v>3445.31</v>
      </c>
      <c r="O492" s="1755" t="s">
        <v>3285</v>
      </c>
      <c r="P492" s="1721" t="s">
        <v>9611</v>
      </c>
    </row>
    <row r="493" spans="1:16" ht="13.9" hidden="1" customHeight="1" outlineLevel="2" x14ac:dyDescent="0.2">
      <c r="A493" s="459">
        <v>0</v>
      </c>
      <c r="B493" s="459">
        <v>6</v>
      </c>
      <c r="C493" s="459">
        <v>9</v>
      </c>
      <c r="D493" s="460">
        <v>2</v>
      </c>
      <c r="E493" s="460">
        <v>0</v>
      </c>
      <c r="G493" s="1740"/>
      <c r="H493" s="1741" t="s">
        <v>1238</v>
      </c>
      <c r="I493" s="1742" t="s">
        <v>6515</v>
      </c>
      <c r="J493" s="1743" t="s">
        <v>2792</v>
      </c>
      <c r="K493" s="1744"/>
      <c r="L493" s="1745"/>
      <c r="M493" s="1745"/>
      <c r="N493" s="1746">
        <v>2741.05</v>
      </c>
      <c r="O493" s="1747"/>
      <c r="P493" s="1720"/>
    </row>
    <row r="494" spans="1:16" ht="13.9" hidden="1" customHeight="1" outlineLevel="3" x14ac:dyDescent="0.2">
      <c r="A494" s="459">
        <v>0</v>
      </c>
      <c r="B494" s="459">
        <v>6</v>
      </c>
      <c r="C494" s="459">
        <v>9</v>
      </c>
      <c r="D494" s="460">
        <v>2</v>
      </c>
      <c r="E494" s="460">
        <v>1</v>
      </c>
      <c r="G494" s="1790" t="s">
        <v>17</v>
      </c>
      <c r="H494" s="1749" t="s">
        <v>1239</v>
      </c>
      <c r="I494" s="1750" t="s">
        <v>6516</v>
      </c>
      <c r="J494" s="1751" t="s">
        <v>2792</v>
      </c>
      <c r="K494" s="1752" t="s">
        <v>1130</v>
      </c>
      <c r="L494" s="1753">
        <v>1</v>
      </c>
      <c r="M494" s="1753">
        <v>2741.0499999999997</v>
      </c>
      <c r="N494" s="1754">
        <v>2741.05</v>
      </c>
      <c r="O494" s="1755" t="s">
        <v>3285</v>
      </c>
      <c r="P494" s="1721" t="s">
        <v>9611</v>
      </c>
    </row>
    <row r="495" spans="1:16" ht="13.9" hidden="1" customHeight="1" outlineLevel="2" x14ac:dyDescent="0.2">
      <c r="A495" s="459">
        <v>0</v>
      </c>
      <c r="B495" s="459">
        <v>6</v>
      </c>
      <c r="C495" s="459">
        <v>9</v>
      </c>
      <c r="D495" s="460">
        <v>3</v>
      </c>
      <c r="E495" s="460">
        <v>0</v>
      </c>
      <c r="G495" s="1740"/>
      <c r="H495" s="1741" t="s">
        <v>1238</v>
      </c>
      <c r="I495" s="1742" t="s">
        <v>6517</v>
      </c>
      <c r="J495" s="1743" t="s">
        <v>2793</v>
      </c>
      <c r="K495" s="1744"/>
      <c r="L495" s="1745"/>
      <c r="M495" s="1745"/>
      <c r="N495" s="1746">
        <v>7421.7190000000001</v>
      </c>
      <c r="O495" s="1747"/>
      <c r="P495" s="1720"/>
    </row>
    <row r="496" spans="1:16" ht="13.9" hidden="1" customHeight="1" outlineLevel="3" x14ac:dyDescent="0.2">
      <c r="A496" s="459">
        <v>0</v>
      </c>
      <c r="B496" s="459">
        <v>6</v>
      </c>
      <c r="C496" s="459">
        <v>9</v>
      </c>
      <c r="D496" s="460">
        <v>3</v>
      </c>
      <c r="E496" s="460">
        <v>1</v>
      </c>
      <c r="G496" s="1790" t="s">
        <v>17</v>
      </c>
      <c r="H496" s="1749" t="s">
        <v>1239</v>
      </c>
      <c r="I496" s="1750" t="s">
        <v>6518</v>
      </c>
      <c r="J496" s="1751" t="s">
        <v>2793</v>
      </c>
      <c r="K496" s="1752" t="s">
        <v>1130</v>
      </c>
      <c r="L496" s="1753">
        <v>1</v>
      </c>
      <c r="M496" s="1753">
        <v>7421.7189999999991</v>
      </c>
      <c r="N496" s="1754">
        <v>7421.7190000000001</v>
      </c>
      <c r="O496" s="1755" t="s">
        <v>3285</v>
      </c>
      <c r="P496" s="1721" t="s">
        <v>9611</v>
      </c>
    </row>
    <row r="497" spans="1:16" ht="13.9" hidden="1" customHeight="1" outlineLevel="2" x14ac:dyDescent="0.2">
      <c r="A497" s="459">
        <v>0</v>
      </c>
      <c r="B497" s="459">
        <v>6</v>
      </c>
      <c r="C497" s="459">
        <v>9</v>
      </c>
      <c r="D497" s="460">
        <v>4</v>
      </c>
      <c r="E497" s="460">
        <v>0</v>
      </c>
      <c r="G497" s="1740"/>
      <c r="H497" s="1741" t="s">
        <v>1238</v>
      </c>
      <c r="I497" s="1742" t="s">
        <v>6519</v>
      </c>
      <c r="J497" s="1743" t="s">
        <v>2794</v>
      </c>
      <c r="K497" s="1744"/>
      <c r="L497" s="1745"/>
      <c r="M497" s="1745"/>
      <c r="N497" s="1746">
        <v>4908.8500000000004</v>
      </c>
      <c r="O497" s="1747"/>
      <c r="P497" s="1720"/>
    </row>
    <row r="498" spans="1:16" ht="13.9" hidden="1" customHeight="1" outlineLevel="3" x14ac:dyDescent="0.2">
      <c r="A498" s="459">
        <v>0</v>
      </c>
      <c r="B498" s="459">
        <v>6</v>
      </c>
      <c r="C498" s="459">
        <v>9</v>
      </c>
      <c r="D498" s="460">
        <v>4</v>
      </c>
      <c r="E498" s="460">
        <v>1</v>
      </c>
      <c r="G498" s="1790" t="s">
        <v>17</v>
      </c>
      <c r="H498" s="1749" t="s">
        <v>1239</v>
      </c>
      <c r="I498" s="1750" t="s">
        <v>6520</v>
      </c>
      <c r="J498" s="1751" t="s">
        <v>2794</v>
      </c>
      <c r="K498" s="1752" t="s">
        <v>1130</v>
      </c>
      <c r="L498" s="1753">
        <v>1</v>
      </c>
      <c r="M498" s="1753">
        <v>4908.8500000000004</v>
      </c>
      <c r="N498" s="1754">
        <v>4908.8500000000004</v>
      </c>
      <c r="O498" s="1755" t="s">
        <v>3285</v>
      </c>
      <c r="P498" s="1721" t="s">
        <v>9611</v>
      </c>
    </row>
    <row r="499" spans="1:16" ht="13.9" hidden="1" customHeight="1" outlineLevel="2" x14ac:dyDescent="0.2">
      <c r="A499" s="459">
        <v>0</v>
      </c>
      <c r="B499" s="459">
        <v>6</v>
      </c>
      <c r="C499" s="459">
        <v>9</v>
      </c>
      <c r="D499" s="460">
        <v>5</v>
      </c>
      <c r="E499" s="460">
        <v>0</v>
      </c>
      <c r="G499" s="1740"/>
      <c r="H499" s="1741" t="s">
        <v>1238</v>
      </c>
      <c r="I499" s="1742" t="s">
        <v>6521</v>
      </c>
      <c r="J499" s="1743" t="s">
        <v>2795</v>
      </c>
      <c r="K499" s="1744"/>
      <c r="L499" s="1745"/>
      <c r="M499" s="1745"/>
      <c r="N499" s="1746">
        <v>3853.9457336946498</v>
      </c>
      <c r="O499" s="1747"/>
      <c r="P499" s="1720"/>
    </row>
    <row r="500" spans="1:16" ht="13.9" hidden="1" customHeight="1" outlineLevel="3" x14ac:dyDescent="0.2">
      <c r="A500" s="459">
        <v>0</v>
      </c>
      <c r="B500" s="459">
        <v>6</v>
      </c>
      <c r="C500" s="459">
        <v>9</v>
      </c>
      <c r="D500" s="460">
        <v>5</v>
      </c>
      <c r="E500" s="460">
        <v>1</v>
      </c>
      <c r="G500" s="1790" t="s">
        <v>17</v>
      </c>
      <c r="H500" s="1749" t="s">
        <v>1239</v>
      </c>
      <c r="I500" s="1750" t="s">
        <v>6522</v>
      </c>
      <c r="J500" s="1751" t="s">
        <v>2795</v>
      </c>
      <c r="K500" s="1752" t="s">
        <v>1130</v>
      </c>
      <c r="L500" s="1753">
        <v>1</v>
      </c>
      <c r="M500" s="1753">
        <v>3853.9457336946534</v>
      </c>
      <c r="N500" s="1754">
        <v>3853.9457336946498</v>
      </c>
      <c r="O500" s="1755" t="s">
        <v>3284</v>
      </c>
      <c r="P500" s="1721" t="s">
        <v>9611</v>
      </c>
    </row>
    <row r="501" spans="1:16" ht="13.9" hidden="1" customHeight="1" outlineLevel="2" x14ac:dyDescent="0.2">
      <c r="A501" s="459">
        <v>0</v>
      </c>
      <c r="B501" s="459">
        <v>6</v>
      </c>
      <c r="C501" s="459">
        <v>9</v>
      </c>
      <c r="D501" s="460">
        <v>6</v>
      </c>
      <c r="E501" s="460">
        <v>0</v>
      </c>
      <c r="G501" s="1740"/>
      <c r="H501" s="1741" t="s">
        <v>1238</v>
      </c>
      <c r="I501" s="1742" t="s">
        <v>6523</v>
      </c>
      <c r="J501" s="1743" t="s">
        <v>1254</v>
      </c>
      <c r="K501" s="1744"/>
      <c r="L501" s="1745"/>
      <c r="M501" s="1745"/>
      <c r="N501" s="1746">
        <v>26260.28</v>
      </c>
      <c r="O501" s="1747"/>
      <c r="P501" s="1720"/>
    </row>
    <row r="502" spans="1:16" ht="13.9" hidden="1" customHeight="1" outlineLevel="3" x14ac:dyDescent="0.2">
      <c r="A502" s="459">
        <v>0</v>
      </c>
      <c r="B502" s="459">
        <v>6</v>
      </c>
      <c r="C502" s="459">
        <v>9</v>
      </c>
      <c r="D502" s="460">
        <v>6</v>
      </c>
      <c r="E502" s="460">
        <v>1</v>
      </c>
      <c r="G502" s="1790" t="s">
        <v>17</v>
      </c>
      <c r="H502" s="1749" t="s">
        <v>1239</v>
      </c>
      <c r="I502" s="1750" t="s">
        <v>6524</v>
      </c>
      <c r="J502" s="1751" t="s">
        <v>1255</v>
      </c>
      <c r="K502" s="1752" t="s">
        <v>1130</v>
      </c>
      <c r="L502" s="1753">
        <v>1</v>
      </c>
      <c r="M502" s="1753">
        <v>26260.280000000002</v>
      </c>
      <c r="N502" s="1754">
        <v>26260.28</v>
      </c>
      <c r="O502" s="1755" t="s">
        <v>3268</v>
      </c>
      <c r="P502" s="1721" t="s">
        <v>9611</v>
      </c>
    </row>
    <row r="503" spans="1:16" ht="13.9" hidden="1" customHeight="1" outlineLevel="1" x14ac:dyDescent="0.2">
      <c r="A503" s="459">
        <v>0</v>
      </c>
      <c r="B503" s="459">
        <v>6</v>
      </c>
      <c r="C503" s="459">
        <v>10</v>
      </c>
      <c r="D503" s="460">
        <v>0</v>
      </c>
      <c r="E503" s="460">
        <v>1</v>
      </c>
      <c r="G503" s="1733"/>
      <c r="H503" s="1734" t="s">
        <v>39</v>
      </c>
      <c r="I503" s="1735" t="s">
        <v>6525</v>
      </c>
      <c r="J503" s="1736" t="s">
        <v>3279</v>
      </c>
      <c r="K503" s="1737"/>
      <c r="L503" s="1738"/>
      <c r="M503" s="1738"/>
      <c r="N503" s="1739">
        <v>337780.159537645</v>
      </c>
      <c r="O503" s="1722"/>
      <c r="P503" s="1725"/>
    </row>
    <row r="504" spans="1:16" ht="13.9" hidden="1" customHeight="1" outlineLevel="2" x14ac:dyDescent="0.2">
      <c r="A504" s="459">
        <v>0</v>
      </c>
      <c r="B504" s="459">
        <v>6</v>
      </c>
      <c r="C504" s="459">
        <v>10</v>
      </c>
      <c r="D504" s="460">
        <v>1</v>
      </c>
      <c r="E504" s="460">
        <v>0</v>
      </c>
      <c r="G504" s="1740"/>
      <c r="H504" s="1741" t="s">
        <v>1238</v>
      </c>
      <c r="I504" s="1742" t="s">
        <v>6526</v>
      </c>
      <c r="J504" s="1743" t="s">
        <v>2790</v>
      </c>
      <c r="K504" s="1744"/>
      <c r="L504" s="1745"/>
      <c r="M504" s="1745"/>
      <c r="N504" s="1746">
        <v>19590.34</v>
      </c>
      <c r="O504" s="1747"/>
      <c r="P504" s="1720"/>
    </row>
    <row r="505" spans="1:16" ht="13.9" hidden="1" customHeight="1" outlineLevel="3" x14ac:dyDescent="0.2">
      <c r="A505" s="459">
        <v>0</v>
      </c>
      <c r="B505" s="459">
        <v>6</v>
      </c>
      <c r="C505" s="459">
        <v>10</v>
      </c>
      <c r="D505" s="460">
        <v>1</v>
      </c>
      <c r="E505" s="460">
        <v>1</v>
      </c>
      <c r="G505" s="1790" t="s">
        <v>17</v>
      </c>
      <c r="H505" s="1749" t="s">
        <v>1239</v>
      </c>
      <c r="I505" s="1750" t="s">
        <v>6527</v>
      </c>
      <c r="J505" s="1751" t="s">
        <v>2790</v>
      </c>
      <c r="K505" s="1752" t="s">
        <v>1130</v>
      </c>
      <c r="L505" s="1753">
        <v>1</v>
      </c>
      <c r="M505" s="1753">
        <v>19590.34</v>
      </c>
      <c r="N505" s="1754">
        <v>19590.34</v>
      </c>
      <c r="O505" s="1755" t="s">
        <v>3285</v>
      </c>
      <c r="P505" s="1721" t="s">
        <v>9611</v>
      </c>
    </row>
    <row r="506" spans="1:16" ht="13.9" hidden="1" customHeight="1" outlineLevel="2" x14ac:dyDescent="0.2">
      <c r="A506" s="459">
        <v>0</v>
      </c>
      <c r="B506" s="459">
        <v>6</v>
      </c>
      <c r="C506" s="459">
        <v>10</v>
      </c>
      <c r="D506" s="460">
        <v>2</v>
      </c>
      <c r="E506" s="460">
        <v>0</v>
      </c>
      <c r="G506" s="1740"/>
      <c r="H506" s="1741" t="s">
        <v>1238</v>
      </c>
      <c r="I506" s="1742" t="s">
        <v>6528</v>
      </c>
      <c r="J506" s="1743" t="s">
        <v>2792</v>
      </c>
      <c r="K506" s="1744"/>
      <c r="L506" s="1745"/>
      <c r="M506" s="1745"/>
      <c r="N506" s="1746">
        <v>18686.150000000001</v>
      </c>
      <c r="O506" s="1747"/>
      <c r="P506" s="1720"/>
    </row>
    <row r="507" spans="1:16" ht="13.9" hidden="1" customHeight="1" outlineLevel="3" x14ac:dyDescent="0.2">
      <c r="A507" s="459">
        <v>0</v>
      </c>
      <c r="B507" s="459">
        <v>6</v>
      </c>
      <c r="C507" s="459">
        <v>10</v>
      </c>
      <c r="D507" s="460">
        <v>2</v>
      </c>
      <c r="E507" s="460">
        <v>1</v>
      </c>
      <c r="G507" s="1790" t="s">
        <v>17</v>
      </c>
      <c r="H507" s="1749" t="s">
        <v>1239</v>
      </c>
      <c r="I507" s="1750" t="s">
        <v>6529</v>
      </c>
      <c r="J507" s="1751" t="s">
        <v>2792</v>
      </c>
      <c r="K507" s="1752" t="s">
        <v>1130</v>
      </c>
      <c r="L507" s="1753">
        <v>1</v>
      </c>
      <c r="M507" s="1753">
        <v>18686.150000000001</v>
      </c>
      <c r="N507" s="1754">
        <v>18686.150000000001</v>
      </c>
      <c r="O507" s="1755" t="s">
        <v>3285</v>
      </c>
      <c r="P507" s="1721" t="s">
        <v>9611</v>
      </c>
    </row>
    <row r="508" spans="1:16" ht="13.9" hidden="1" customHeight="1" outlineLevel="2" x14ac:dyDescent="0.2">
      <c r="A508" s="459">
        <v>0</v>
      </c>
      <c r="B508" s="459">
        <v>6</v>
      </c>
      <c r="C508" s="459">
        <v>10</v>
      </c>
      <c r="D508" s="460">
        <v>3</v>
      </c>
      <c r="E508" s="460">
        <v>0</v>
      </c>
      <c r="G508" s="1740"/>
      <c r="H508" s="1741" t="s">
        <v>1238</v>
      </c>
      <c r="I508" s="1742" t="s">
        <v>6530</v>
      </c>
      <c r="J508" s="1743" t="s">
        <v>2793</v>
      </c>
      <c r="K508" s="1744"/>
      <c r="L508" s="1745"/>
      <c r="M508" s="1745"/>
      <c r="N508" s="1746">
        <v>54396.061999999998</v>
      </c>
      <c r="O508" s="1747"/>
      <c r="P508" s="1720"/>
    </row>
    <row r="509" spans="1:16" ht="13.9" hidden="1" customHeight="1" outlineLevel="3" x14ac:dyDescent="0.2">
      <c r="A509" s="459">
        <v>0</v>
      </c>
      <c r="B509" s="459">
        <v>6</v>
      </c>
      <c r="C509" s="459">
        <v>10</v>
      </c>
      <c r="D509" s="460">
        <v>3</v>
      </c>
      <c r="E509" s="460">
        <v>1</v>
      </c>
      <c r="G509" s="1790" t="s">
        <v>17</v>
      </c>
      <c r="H509" s="1749" t="s">
        <v>1239</v>
      </c>
      <c r="I509" s="1750" t="s">
        <v>6531</v>
      </c>
      <c r="J509" s="1751" t="s">
        <v>2793</v>
      </c>
      <c r="K509" s="1752" t="s">
        <v>1130</v>
      </c>
      <c r="L509" s="1753">
        <v>1</v>
      </c>
      <c r="M509" s="1753">
        <v>54396.061999999998</v>
      </c>
      <c r="N509" s="1754">
        <v>54396.061999999998</v>
      </c>
      <c r="O509" s="1755" t="s">
        <v>3285</v>
      </c>
      <c r="P509" s="1721" t="s">
        <v>9611</v>
      </c>
    </row>
    <row r="510" spans="1:16" ht="13.9" hidden="1" customHeight="1" outlineLevel="2" x14ac:dyDescent="0.2">
      <c r="A510" s="459">
        <v>0</v>
      </c>
      <c r="B510" s="459">
        <v>6</v>
      </c>
      <c r="C510" s="459">
        <v>10</v>
      </c>
      <c r="D510" s="460">
        <v>4</v>
      </c>
      <c r="E510" s="460">
        <v>0</v>
      </c>
      <c r="G510" s="1740"/>
      <c r="H510" s="1741" t="s">
        <v>1238</v>
      </c>
      <c r="I510" s="1742" t="s">
        <v>6532</v>
      </c>
      <c r="J510" s="1743" t="s">
        <v>2794</v>
      </c>
      <c r="K510" s="1744"/>
      <c r="L510" s="1745"/>
      <c r="M510" s="1745"/>
      <c r="N510" s="1746">
        <v>33560.800000000003</v>
      </c>
      <c r="O510" s="1747"/>
      <c r="P510" s="1720"/>
    </row>
    <row r="511" spans="1:16" ht="13.9" hidden="1" customHeight="1" outlineLevel="3" x14ac:dyDescent="0.2">
      <c r="A511" s="459">
        <v>0</v>
      </c>
      <c r="B511" s="459">
        <v>6</v>
      </c>
      <c r="C511" s="459">
        <v>10</v>
      </c>
      <c r="D511" s="460">
        <v>4</v>
      </c>
      <c r="E511" s="460">
        <v>1</v>
      </c>
      <c r="G511" s="1790" t="s">
        <v>17</v>
      </c>
      <c r="H511" s="1749" t="s">
        <v>1239</v>
      </c>
      <c r="I511" s="1750" t="s">
        <v>6533</v>
      </c>
      <c r="J511" s="1751" t="s">
        <v>2794</v>
      </c>
      <c r="K511" s="1752" t="s">
        <v>1130</v>
      </c>
      <c r="L511" s="1753">
        <v>1</v>
      </c>
      <c r="M511" s="1753">
        <v>33560.800000000003</v>
      </c>
      <c r="N511" s="1754">
        <v>33560.800000000003</v>
      </c>
      <c r="O511" s="1755" t="s">
        <v>3285</v>
      </c>
      <c r="P511" s="1721" t="s">
        <v>9611</v>
      </c>
    </row>
    <row r="512" spans="1:16" ht="13.9" hidden="1" customHeight="1" outlineLevel="2" x14ac:dyDescent="0.2">
      <c r="A512" s="459">
        <v>0</v>
      </c>
      <c r="B512" s="459">
        <v>6</v>
      </c>
      <c r="C512" s="459">
        <v>10</v>
      </c>
      <c r="D512" s="460">
        <v>5</v>
      </c>
      <c r="E512" s="460">
        <v>0</v>
      </c>
      <c r="G512" s="1740"/>
      <c r="H512" s="1741" t="s">
        <v>1238</v>
      </c>
      <c r="I512" s="1742" t="s">
        <v>6534</v>
      </c>
      <c r="J512" s="1743" t="s">
        <v>2795</v>
      </c>
      <c r="K512" s="1744"/>
      <c r="L512" s="1745"/>
      <c r="M512" s="1745"/>
      <c r="N512" s="1746">
        <v>27073.207537644699</v>
      </c>
      <c r="O512" s="1747"/>
      <c r="P512" s="1720"/>
    </row>
    <row r="513" spans="1:16" ht="13.9" hidden="1" customHeight="1" outlineLevel="3" x14ac:dyDescent="0.2">
      <c r="A513" s="459">
        <v>0</v>
      </c>
      <c r="B513" s="459">
        <v>6</v>
      </c>
      <c r="C513" s="459">
        <v>10</v>
      </c>
      <c r="D513" s="460">
        <v>5</v>
      </c>
      <c r="E513" s="460">
        <v>1</v>
      </c>
      <c r="G513" s="1790" t="s">
        <v>17</v>
      </c>
      <c r="H513" s="1749" t="s">
        <v>1239</v>
      </c>
      <c r="I513" s="1750" t="s">
        <v>6535</v>
      </c>
      <c r="J513" s="1751" t="s">
        <v>2795</v>
      </c>
      <c r="K513" s="1752" t="s">
        <v>1130</v>
      </c>
      <c r="L513" s="1753">
        <v>1</v>
      </c>
      <c r="M513" s="1753">
        <v>27073.207537644663</v>
      </c>
      <c r="N513" s="1754">
        <v>27073.207537644699</v>
      </c>
      <c r="O513" s="1755" t="s">
        <v>3284</v>
      </c>
      <c r="P513" s="1721" t="s">
        <v>9611</v>
      </c>
    </row>
    <row r="514" spans="1:16" ht="13.9" hidden="1" customHeight="1" outlineLevel="2" x14ac:dyDescent="0.2">
      <c r="A514" s="459">
        <v>0</v>
      </c>
      <c r="B514" s="459">
        <v>6</v>
      </c>
      <c r="C514" s="459">
        <v>10</v>
      </c>
      <c r="D514" s="460">
        <v>6</v>
      </c>
      <c r="E514" s="460">
        <v>0</v>
      </c>
      <c r="G514" s="1740"/>
      <c r="H514" s="1741" t="s">
        <v>1238</v>
      </c>
      <c r="I514" s="1742" t="s">
        <v>6536</v>
      </c>
      <c r="J514" s="1743" t="s">
        <v>1254</v>
      </c>
      <c r="K514" s="1744"/>
      <c r="L514" s="1745"/>
      <c r="M514" s="1745"/>
      <c r="N514" s="1746">
        <v>184473.60000000001</v>
      </c>
      <c r="O514" s="1747"/>
      <c r="P514" s="1720"/>
    </row>
    <row r="515" spans="1:16" ht="13.9" hidden="1" customHeight="1" outlineLevel="3" x14ac:dyDescent="0.2">
      <c r="A515" s="459">
        <v>0</v>
      </c>
      <c r="B515" s="459">
        <v>6</v>
      </c>
      <c r="C515" s="459">
        <v>10</v>
      </c>
      <c r="D515" s="460">
        <v>6</v>
      </c>
      <c r="E515" s="460">
        <v>1</v>
      </c>
      <c r="G515" s="1790" t="s">
        <v>17</v>
      </c>
      <c r="H515" s="1749" t="s">
        <v>1239</v>
      </c>
      <c r="I515" s="1750" t="s">
        <v>6537</v>
      </c>
      <c r="J515" s="1751" t="s">
        <v>1255</v>
      </c>
      <c r="K515" s="1752" t="s">
        <v>1130</v>
      </c>
      <c r="L515" s="1753">
        <v>1</v>
      </c>
      <c r="M515" s="1753">
        <v>184473.60000000006</v>
      </c>
      <c r="N515" s="1754">
        <v>184473.60000000001</v>
      </c>
      <c r="O515" s="1755" t="s">
        <v>3268</v>
      </c>
      <c r="P515" s="1721" t="s">
        <v>9611</v>
      </c>
    </row>
    <row r="516" spans="1:16" ht="13.9" hidden="1" customHeight="1" outlineLevel="1" x14ac:dyDescent="0.2">
      <c r="A516" s="459">
        <v>0</v>
      </c>
      <c r="B516" s="459">
        <v>6</v>
      </c>
      <c r="C516" s="459">
        <v>11</v>
      </c>
      <c r="D516" s="460">
        <v>0</v>
      </c>
      <c r="E516" s="460">
        <v>1</v>
      </c>
      <c r="G516" s="1733"/>
      <c r="H516" s="1734" t="s">
        <v>39</v>
      </c>
      <c r="I516" s="1735" t="s">
        <v>6538</v>
      </c>
      <c r="J516" s="1736" t="s">
        <v>3280</v>
      </c>
      <c r="K516" s="1737"/>
      <c r="L516" s="1738"/>
      <c r="M516" s="1738"/>
      <c r="N516" s="1739">
        <v>857673.05429390003</v>
      </c>
      <c r="O516" s="1722"/>
      <c r="P516" s="1725"/>
    </row>
    <row r="517" spans="1:16" ht="13.9" hidden="1" customHeight="1" outlineLevel="2" x14ac:dyDescent="0.2">
      <c r="A517" s="459">
        <v>0</v>
      </c>
      <c r="B517" s="459">
        <v>6</v>
      </c>
      <c r="C517" s="459">
        <v>11</v>
      </c>
      <c r="D517" s="460">
        <v>1</v>
      </c>
      <c r="E517" s="460">
        <v>0</v>
      </c>
      <c r="G517" s="1740"/>
      <c r="H517" s="1741" t="s">
        <v>1238</v>
      </c>
      <c r="I517" s="1742" t="s">
        <v>6539</v>
      </c>
      <c r="J517" s="1743" t="s">
        <v>2790</v>
      </c>
      <c r="K517" s="1744"/>
      <c r="L517" s="1745"/>
      <c r="M517" s="1745"/>
      <c r="N517" s="1746">
        <v>40511.230000000003</v>
      </c>
      <c r="O517" s="1747"/>
      <c r="P517" s="1720"/>
    </row>
    <row r="518" spans="1:16" ht="13.9" hidden="1" customHeight="1" outlineLevel="3" x14ac:dyDescent="0.2">
      <c r="A518" s="459">
        <v>0</v>
      </c>
      <c r="B518" s="459">
        <v>6</v>
      </c>
      <c r="C518" s="459">
        <v>11</v>
      </c>
      <c r="D518" s="460">
        <v>1</v>
      </c>
      <c r="E518" s="460">
        <v>1</v>
      </c>
      <c r="G518" s="1790" t="s">
        <v>17</v>
      </c>
      <c r="H518" s="1749" t="s">
        <v>1239</v>
      </c>
      <c r="I518" s="1750" t="s">
        <v>6540</v>
      </c>
      <c r="J518" s="1751" t="s">
        <v>2790</v>
      </c>
      <c r="K518" s="1752" t="s">
        <v>1130</v>
      </c>
      <c r="L518" s="1753">
        <v>1</v>
      </c>
      <c r="M518" s="1753">
        <v>40511.229999999996</v>
      </c>
      <c r="N518" s="1754">
        <v>40511.230000000003</v>
      </c>
      <c r="O518" s="1755" t="s">
        <v>3285</v>
      </c>
      <c r="P518" s="1721" t="s">
        <v>9611</v>
      </c>
    </row>
    <row r="519" spans="1:16" ht="13.9" hidden="1" customHeight="1" outlineLevel="2" x14ac:dyDescent="0.2">
      <c r="A519" s="459">
        <v>0</v>
      </c>
      <c r="B519" s="459">
        <v>6</v>
      </c>
      <c r="C519" s="459">
        <v>11</v>
      </c>
      <c r="D519" s="460">
        <v>2</v>
      </c>
      <c r="E519" s="460">
        <v>0</v>
      </c>
      <c r="G519" s="1740"/>
      <c r="H519" s="1741" t="s">
        <v>1238</v>
      </c>
      <c r="I519" s="1742" t="s">
        <v>6541</v>
      </c>
      <c r="J519" s="1743" t="s">
        <v>2792</v>
      </c>
      <c r="K519" s="1744"/>
      <c r="L519" s="1745"/>
      <c r="M519" s="1745"/>
      <c r="N519" s="1746">
        <v>44290.7</v>
      </c>
      <c r="O519" s="1747"/>
      <c r="P519" s="1720"/>
    </row>
    <row r="520" spans="1:16" ht="13.9" hidden="1" customHeight="1" outlineLevel="3" x14ac:dyDescent="0.2">
      <c r="A520" s="459">
        <v>0</v>
      </c>
      <c r="B520" s="459">
        <v>6</v>
      </c>
      <c r="C520" s="459">
        <v>11</v>
      </c>
      <c r="D520" s="460">
        <v>2</v>
      </c>
      <c r="E520" s="460">
        <v>1</v>
      </c>
      <c r="G520" s="1790" t="s">
        <v>17</v>
      </c>
      <c r="H520" s="1749" t="s">
        <v>1239</v>
      </c>
      <c r="I520" s="1750" t="s">
        <v>6542</v>
      </c>
      <c r="J520" s="1751" t="s">
        <v>2792</v>
      </c>
      <c r="K520" s="1752" t="s">
        <v>1130</v>
      </c>
      <c r="L520" s="1753">
        <v>1</v>
      </c>
      <c r="M520" s="1753">
        <v>44290.7</v>
      </c>
      <c r="N520" s="1754">
        <v>44290.7</v>
      </c>
      <c r="O520" s="1755" t="s">
        <v>3285</v>
      </c>
      <c r="P520" s="1721" t="s">
        <v>9611</v>
      </c>
    </row>
    <row r="521" spans="1:16" ht="13.9" hidden="1" customHeight="1" outlineLevel="2" x14ac:dyDescent="0.2">
      <c r="A521" s="459">
        <v>0</v>
      </c>
      <c r="B521" s="459">
        <v>6</v>
      </c>
      <c r="C521" s="459">
        <v>11</v>
      </c>
      <c r="D521" s="460">
        <v>3</v>
      </c>
      <c r="E521" s="460">
        <v>0</v>
      </c>
      <c r="G521" s="1740"/>
      <c r="H521" s="1741" t="s">
        <v>1238</v>
      </c>
      <c r="I521" s="1742" t="s">
        <v>6543</v>
      </c>
      <c r="J521" s="1743" t="s">
        <v>2793</v>
      </c>
      <c r="K521" s="1744"/>
      <c r="L521" s="1745"/>
      <c r="M521" s="1745"/>
      <c r="N521" s="1746">
        <v>121966.558</v>
      </c>
      <c r="O521" s="1747"/>
      <c r="P521" s="1720"/>
    </row>
    <row r="522" spans="1:16" ht="13.9" hidden="1" customHeight="1" outlineLevel="3" x14ac:dyDescent="0.2">
      <c r="A522" s="459">
        <v>0</v>
      </c>
      <c r="B522" s="459">
        <v>6</v>
      </c>
      <c r="C522" s="459">
        <v>11</v>
      </c>
      <c r="D522" s="460">
        <v>3</v>
      </c>
      <c r="E522" s="460">
        <v>1</v>
      </c>
      <c r="G522" s="1790" t="s">
        <v>17</v>
      </c>
      <c r="H522" s="1749" t="s">
        <v>1239</v>
      </c>
      <c r="I522" s="1750" t="s">
        <v>6544</v>
      </c>
      <c r="J522" s="1751" t="s">
        <v>2793</v>
      </c>
      <c r="K522" s="1752" t="s">
        <v>1130</v>
      </c>
      <c r="L522" s="1753">
        <v>1</v>
      </c>
      <c r="M522" s="1753">
        <v>121966.55800000002</v>
      </c>
      <c r="N522" s="1754">
        <v>121966.558</v>
      </c>
      <c r="O522" s="1755" t="s">
        <v>3285</v>
      </c>
      <c r="P522" s="1721" t="s">
        <v>9611</v>
      </c>
    </row>
    <row r="523" spans="1:16" ht="13.9" hidden="1" customHeight="1" outlineLevel="2" x14ac:dyDescent="0.2">
      <c r="A523" s="459">
        <v>0</v>
      </c>
      <c r="B523" s="459">
        <v>6</v>
      </c>
      <c r="C523" s="459">
        <v>11</v>
      </c>
      <c r="D523" s="460">
        <v>4</v>
      </c>
      <c r="E523" s="460">
        <v>0</v>
      </c>
      <c r="G523" s="1740"/>
      <c r="H523" s="1741" t="s">
        <v>1238</v>
      </c>
      <c r="I523" s="1742" t="s">
        <v>6545</v>
      </c>
      <c r="J523" s="1743" t="s">
        <v>2794</v>
      </c>
      <c r="K523" s="1744"/>
      <c r="L523" s="1745"/>
      <c r="M523" s="1745"/>
      <c r="N523" s="1746">
        <v>72230.44</v>
      </c>
      <c r="O523" s="1747"/>
      <c r="P523" s="1720"/>
    </row>
    <row r="524" spans="1:16" ht="13.9" hidden="1" customHeight="1" outlineLevel="3" x14ac:dyDescent="0.2">
      <c r="A524" s="459">
        <v>0</v>
      </c>
      <c r="B524" s="459">
        <v>6</v>
      </c>
      <c r="C524" s="459">
        <v>11</v>
      </c>
      <c r="D524" s="460">
        <v>4</v>
      </c>
      <c r="E524" s="460">
        <v>1</v>
      </c>
      <c r="G524" s="1790" t="s">
        <v>17</v>
      </c>
      <c r="H524" s="1749" t="s">
        <v>1239</v>
      </c>
      <c r="I524" s="1750" t="s">
        <v>6546</v>
      </c>
      <c r="J524" s="1751" t="s">
        <v>2794</v>
      </c>
      <c r="K524" s="1752" t="s">
        <v>1130</v>
      </c>
      <c r="L524" s="1753">
        <v>1</v>
      </c>
      <c r="M524" s="1753">
        <v>72230.44</v>
      </c>
      <c r="N524" s="1754">
        <v>72230.44</v>
      </c>
      <c r="O524" s="1755" t="s">
        <v>3285</v>
      </c>
      <c r="P524" s="1721" t="s">
        <v>9611</v>
      </c>
    </row>
    <row r="525" spans="1:16" ht="13.9" hidden="1" customHeight="1" outlineLevel="2" x14ac:dyDescent="0.2">
      <c r="A525" s="459">
        <v>0</v>
      </c>
      <c r="B525" s="459">
        <v>6</v>
      </c>
      <c r="C525" s="459">
        <v>11</v>
      </c>
      <c r="D525" s="460">
        <v>5</v>
      </c>
      <c r="E525" s="460">
        <v>0</v>
      </c>
      <c r="G525" s="1740"/>
      <c r="H525" s="1741" t="s">
        <v>1238</v>
      </c>
      <c r="I525" s="1742" t="s">
        <v>6547</v>
      </c>
      <c r="J525" s="1743" t="s">
        <v>2795</v>
      </c>
      <c r="K525" s="1744"/>
      <c r="L525" s="1745"/>
      <c r="M525" s="1745"/>
      <c r="N525" s="1746">
        <v>71104.646293900398</v>
      </c>
      <c r="O525" s="1747"/>
      <c r="P525" s="1720"/>
    </row>
    <row r="526" spans="1:16" ht="13.9" hidden="1" customHeight="1" outlineLevel="3" x14ac:dyDescent="0.2">
      <c r="A526" s="459">
        <v>0</v>
      </c>
      <c r="B526" s="459">
        <v>6</v>
      </c>
      <c r="C526" s="459">
        <v>11</v>
      </c>
      <c r="D526" s="460">
        <v>5</v>
      </c>
      <c r="E526" s="460">
        <v>1</v>
      </c>
      <c r="G526" s="1790" t="s">
        <v>17</v>
      </c>
      <c r="H526" s="1749" t="s">
        <v>1239</v>
      </c>
      <c r="I526" s="1750" t="s">
        <v>6548</v>
      </c>
      <c r="J526" s="1751" t="s">
        <v>2795</v>
      </c>
      <c r="K526" s="1752" t="s">
        <v>1130</v>
      </c>
      <c r="L526" s="1753">
        <v>1</v>
      </c>
      <c r="M526" s="1753">
        <v>71104.646293900412</v>
      </c>
      <c r="N526" s="1754">
        <v>71104.646293900398</v>
      </c>
      <c r="O526" s="1755" t="s">
        <v>3284</v>
      </c>
      <c r="P526" s="1721" t="s">
        <v>9611</v>
      </c>
    </row>
    <row r="527" spans="1:16" ht="13.9" hidden="1" customHeight="1" outlineLevel="2" x14ac:dyDescent="0.2">
      <c r="A527" s="459">
        <v>0</v>
      </c>
      <c r="B527" s="459">
        <v>6</v>
      </c>
      <c r="C527" s="459">
        <v>11</v>
      </c>
      <c r="D527" s="460">
        <v>6</v>
      </c>
      <c r="E527" s="460">
        <v>0</v>
      </c>
      <c r="G527" s="1740"/>
      <c r="H527" s="1741" t="s">
        <v>1238</v>
      </c>
      <c r="I527" s="1742" t="s">
        <v>6549</v>
      </c>
      <c r="J527" s="1743" t="s">
        <v>1254</v>
      </c>
      <c r="K527" s="1744"/>
      <c r="L527" s="1745"/>
      <c r="M527" s="1745"/>
      <c r="N527" s="1746">
        <v>507569.48</v>
      </c>
      <c r="O527" s="1747"/>
      <c r="P527" s="1720"/>
    </row>
    <row r="528" spans="1:16" ht="13.9" hidden="1" customHeight="1" outlineLevel="3" x14ac:dyDescent="0.2">
      <c r="A528" s="459">
        <v>0</v>
      </c>
      <c r="B528" s="459">
        <v>6</v>
      </c>
      <c r="C528" s="459">
        <v>11</v>
      </c>
      <c r="D528" s="460">
        <v>6</v>
      </c>
      <c r="E528" s="460">
        <v>1</v>
      </c>
      <c r="G528" s="1790" t="s">
        <v>17</v>
      </c>
      <c r="H528" s="1749" t="s">
        <v>1239</v>
      </c>
      <c r="I528" s="1750" t="s">
        <v>6550</v>
      </c>
      <c r="J528" s="1751" t="s">
        <v>1255</v>
      </c>
      <c r="K528" s="1752" t="s">
        <v>1130</v>
      </c>
      <c r="L528" s="1753">
        <v>1</v>
      </c>
      <c r="M528" s="1753">
        <v>507569.47999999963</v>
      </c>
      <c r="N528" s="1754">
        <v>507569.48</v>
      </c>
      <c r="O528" s="1755" t="s">
        <v>3268</v>
      </c>
      <c r="P528" s="1721" t="s">
        <v>9611</v>
      </c>
    </row>
    <row r="529" spans="1:16" ht="13.9" hidden="1" customHeight="1" outlineLevel="1" x14ac:dyDescent="0.2">
      <c r="A529" s="459">
        <v>0</v>
      </c>
      <c r="B529" s="459">
        <v>6</v>
      </c>
      <c r="C529" s="459">
        <v>12</v>
      </c>
      <c r="D529" s="460">
        <v>0</v>
      </c>
      <c r="E529" s="460">
        <v>1</v>
      </c>
      <c r="G529" s="1733"/>
      <c r="H529" s="1734" t="s">
        <v>39</v>
      </c>
      <c r="I529" s="1735" t="s">
        <v>6551</v>
      </c>
      <c r="J529" s="1736" t="s">
        <v>3281</v>
      </c>
      <c r="K529" s="1737"/>
      <c r="L529" s="1738"/>
      <c r="M529" s="1738"/>
      <c r="N529" s="1739">
        <v>38786.3015378048</v>
      </c>
      <c r="O529" s="1722"/>
      <c r="P529" s="1725"/>
    </row>
    <row r="530" spans="1:16" ht="13.9" hidden="1" customHeight="1" outlineLevel="2" x14ac:dyDescent="0.2">
      <c r="A530" s="459">
        <v>0</v>
      </c>
      <c r="B530" s="459">
        <v>6</v>
      </c>
      <c r="C530" s="459">
        <v>12</v>
      </c>
      <c r="D530" s="460">
        <v>1</v>
      </c>
      <c r="E530" s="460">
        <v>0</v>
      </c>
      <c r="G530" s="1740"/>
      <c r="H530" s="1741" t="s">
        <v>1238</v>
      </c>
      <c r="I530" s="1742" t="s">
        <v>6552</v>
      </c>
      <c r="J530" s="1743" t="s">
        <v>2790</v>
      </c>
      <c r="K530" s="1744"/>
      <c r="L530" s="1745"/>
      <c r="M530" s="1745"/>
      <c r="N530" s="1746">
        <v>1688.57</v>
      </c>
      <c r="O530" s="1747"/>
      <c r="P530" s="1720"/>
    </row>
    <row r="531" spans="1:16" ht="13.9" hidden="1" customHeight="1" outlineLevel="3" x14ac:dyDescent="0.2">
      <c r="A531" s="459">
        <v>0</v>
      </c>
      <c r="B531" s="459">
        <v>6</v>
      </c>
      <c r="C531" s="459">
        <v>12</v>
      </c>
      <c r="D531" s="460">
        <v>1</v>
      </c>
      <c r="E531" s="460">
        <v>1</v>
      </c>
      <c r="G531" s="1790" t="s">
        <v>17</v>
      </c>
      <c r="H531" s="1749" t="s">
        <v>1239</v>
      </c>
      <c r="I531" s="1750" t="s">
        <v>6553</v>
      </c>
      <c r="J531" s="1751" t="s">
        <v>2790</v>
      </c>
      <c r="K531" s="1752" t="s">
        <v>1130</v>
      </c>
      <c r="L531" s="1753">
        <v>1</v>
      </c>
      <c r="M531" s="1753">
        <v>1688.5700000000002</v>
      </c>
      <c r="N531" s="1754">
        <v>1688.57</v>
      </c>
      <c r="O531" s="1755" t="s">
        <v>3285</v>
      </c>
      <c r="P531" s="1721" t="s">
        <v>9611</v>
      </c>
    </row>
    <row r="532" spans="1:16" ht="13.9" hidden="1" customHeight="1" outlineLevel="2" x14ac:dyDescent="0.2">
      <c r="A532" s="459">
        <v>0</v>
      </c>
      <c r="B532" s="459">
        <v>6</v>
      </c>
      <c r="C532" s="459">
        <v>12</v>
      </c>
      <c r="D532" s="460">
        <v>2</v>
      </c>
      <c r="E532" s="460">
        <v>0</v>
      </c>
      <c r="G532" s="1740"/>
      <c r="H532" s="1741" t="s">
        <v>1238</v>
      </c>
      <c r="I532" s="1742" t="s">
        <v>6554</v>
      </c>
      <c r="J532" s="1743" t="s">
        <v>2792</v>
      </c>
      <c r="K532" s="1744"/>
      <c r="L532" s="1745"/>
      <c r="M532" s="1745"/>
      <c r="N532" s="1746">
        <v>2018.1</v>
      </c>
      <c r="O532" s="1747"/>
      <c r="P532" s="1720"/>
    </row>
    <row r="533" spans="1:16" ht="13.9" hidden="1" customHeight="1" outlineLevel="3" x14ac:dyDescent="0.2">
      <c r="A533" s="459">
        <v>0</v>
      </c>
      <c r="B533" s="459">
        <v>6</v>
      </c>
      <c r="C533" s="459">
        <v>12</v>
      </c>
      <c r="D533" s="460">
        <v>2</v>
      </c>
      <c r="E533" s="460">
        <v>1</v>
      </c>
      <c r="G533" s="1790" t="s">
        <v>17</v>
      </c>
      <c r="H533" s="1749" t="s">
        <v>1239</v>
      </c>
      <c r="I533" s="1750" t="s">
        <v>6555</v>
      </c>
      <c r="J533" s="1751" t="s">
        <v>2792</v>
      </c>
      <c r="K533" s="1752" t="s">
        <v>1130</v>
      </c>
      <c r="L533" s="1753">
        <v>1</v>
      </c>
      <c r="M533" s="1753">
        <v>2018.1000000000001</v>
      </c>
      <c r="N533" s="1754">
        <v>2018.1</v>
      </c>
      <c r="O533" s="1755" t="s">
        <v>3285</v>
      </c>
      <c r="P533" s="1721" t="s">
        <v>9611</v>
      </c>
    </row>
    <row r="534" spans="1:16" ht="13.9" hidden="1" customHeight="1" outlineLevel="2" x14ac:dyDescent="0.2">
      <c r="A534" s="459">
        <v>0</v>
      </c>
      <c r="B534" s="459">
        <v>6</v>
      </c>
      <c r="C534" s="459">
        <v>12</v>
      </c>
      <c r="D534" s="460">
        <v>3</v>
      </c>
      <c r="E534" s="460">
        <v>0</v>
      </c>
      <c r="G534" s="1740"/>
      <c r="H534" s="1741" t="s">
        <v>1238</v>
      </c>
      <c r="I534" s="1742" t="s">
        <v>6556</v>
      </c>
      <c r="J534" s="1743" t="s">
        <v>2793</v>
      </c>
      <c r="K534" s="1744"/>
      <c r="L534" s="1745"/>
      <c r="M534" s="1745"/>
      <c r="N534" s="1746">
        <v>6066.4459999999999</v>
      </c>
      <c r="O534" s="1747"/>
      <c r="P534" s="1720"/>
    </row>
    <row r="535" spans="1:16" ht="13.9" hidden="1" customHeight="1" outlineLevel="3" x14ac:dyDescent="0.2">
      <c r="A535" s="459">
        <v>0</v>
      </c>
      <c r="B535" s="459">
        <v>6</v>
      </c>
      <c r="C535" s="459">
        <v>12</v>
      </c>
      <c r="D535" s="460">
        <v>3</v>
      </c>
      <c r="E535" s="460">
        <v>1</v>
      </c>
      <c r="G535" s="1790" t="s">
        <v>17</v>
      </c>
      <c r="H535" s="1749" t="s">
        <v>1239</v>
      </c>
      <c r="I535" s="1750" t="s">
        <v>6557</v>
      </c>
      <c r="J535" s="1751" t="s">
        <v>2793</v>
      </c>
      <c r="K535" s="1752" t="s">
        <v>1130</v>
      </c>
      <c r="L535" s="1753">
        <v>1</v>
      </c>
      <c r="M535" s="1753">
        <v>6066.4460000000008</v>
      </c>
      <c r="N535" s="1754">
        <v>6066.4459999999999</v>
      </c>
      <c r="O535" s="1755" t="s">
        <v>3285</v>
      </c>
      <c r="P535" s="1721" t="s">
        <v>9611</v>
      </c>
    </row>
    <row r="536" spans="1:16" ht="13.9" hidden="1" customHeight="1" outlineLevel="2" x14ac:dyDescent="0.2">
      <c r="A536" s="459">
        <v>0</v>
      </c>
      <c r="B536" s="459">
        <v>6</v>
      </c>
      <c r="C536" s="459">
        <v>12</v>
      </c>
      <c r="D536" s="460">
        <v>4</v>
      </c>
      <c r="E536" s="460">
        <v>0</v>
      </c>
      <c r="G536" s="1740"/>
      <c r="H536" s="1741" t="s">
        <v>1238</v>
      </c>
      <c r="I536" s="1742" t="s">
        <v>6558</v>
      </c>
      <c r="J536" s="1743" t="s">
        <v>2794</v>
      </c>
      <c r="K536" s="1744"/>
      <c r="L536" s="1745"/>
      <c r="M536" s="1745"/>
      <c r="N536" s="1746">
        <v>3362.31</v>
      </c>
      <c r="O536" s="1747"/>
      <c r="P536" s="1720"/>
    </row>
    <row r="537" spans="1:16" ht="13.9" hidden="1" customHeight="1" outlineLevel="3" x14ac:dyDescent="0.2">
      <c r="A537" s="459">
        <v>0</v>
      </c>
      <c r="B537" s="459">
        <v>6</v>
      </c>
      <c r="C537" s="459">
        <v>12</v>
      </c>
      <c r="D537" s="460">
        <v>4</v>
      </c>
      <c r="E537" s="460">
        <v>1</v>
      </c>
      <c r="G537" s="1790" t="s">
        <v>17</v>
      </c>
      <c r="H537" s="1749" t="s">
        <v>1239</v>
      </c>
      <c r="I537" s="1750" t="s">
        <v>6559</v>
      </c>
      <c r="J537" s="1751" t="s">
        <v>2794</v>
      </c>
      <c r="K537" s="1752" t="s">
        <v>1130</v>
      </c>
      <c r="L537" s="1753">
        <v>1</v>
      </c>
      <c r="M537" s="1753">
        <v>3362.3100000000004</v>
      </c>
      <c r="N537" s="1754">
        <v>3362.31</v>
      </c>
      <c r="O537" s="1755" t="s">
        <v>3285</v>
      </c>
      <c r="P537" s="1721" t="s">
        <v>9611</v>
      </c>
    </row>
    <row r="538" spans="1:16" ht="13.9" hidden="1" customHeight="1" outlineLevel="2" x14ac:dyDescent="0.2">
      <c r="A538" s="459">
        <v>0</v>
      </c>
      <c r="B538" s="459">
        <v>6</v>
      </c>
      <c r="C538" s="459">
        <v>12</v>
      </c>
      <c r="D538" s="460">
        <v>5</v>
      </c>
      <c r="E538" s="460">
        <v>0</v>
      </c>
      <c r="G538" s="1740"/>
      <c r="H538" s="1741" t="s">
        <v>1238</v>
      </c>
      <c r="I538" s="1742" t="s">
        <v>6560</v>
      </c>
      <c r="J538" s="1743" t="s">
        <v>2795</v>
      </c>
      <c r="K538" s="1744"/>
      <c r="L538" s="1745"/>
      <c r="M538" s="1745"/>
      <c r="N538" s="1746">
        <v>3385.9355378047799</v>
      </c>
      <c r="O538" s="1747"/>
      <c r="P538" s="1720"/>
    </row>
    <row r="539" spans="1:16" ht="13.9" hidden="1" customHeight="1" outlineLevel="3" x14ac:dyDescent="0.2">
      <c r="A539" s="459">
        <v>0</v>
      </c>
      <c r="B539" s="459">
        <v>6</v>
      </c>
      <c r="C539" s="459">
        <v>12</v>
      </c>
      <c r="D539" s="460">
        <v>5</v>
      </c>
      <c r="E539" s="460">
        <v>1</v>
      </c>
      <c r="G539" s="1790" t="s">
        <v>17</v>
      </c>
      <c r="H539" s="1749" t="s">
        <v>1239</v>
      </c>
      <c r="I539" s="1750" t="s">
        <v>6561</v>
      </c>
      <c r="J539" s="1751" t="s">
        <v>2795</v>
      </c>
      <c r="K539" s="1752" t="s">
        <v>1130</v>
      </c>
      <c r="L539" s="1753">
        <v>1</v>
      </c>
      <c r="M539" s="1753">
        <v>3385.9355378047812</v>
      </c>
      <c r="N539" s="1754">
        <v>3385.9355378047799</v>
      </c>
      <c r="O539" s="1755" t="s">
        <v>3284</v>
      </c>
      <c r="P539" s="1721" t="s">
        <v>9611</v>
      </c>
    </row>
    <row r="540" spans="1:16" ht="13.9" hidden="1" customHeight="1" outlineLevel="2" x14ac:dyDescent="0.2">
      <c r="A540" s="459">
        <v>0</v>
      </c>
      <c r="B540" s="459">
        <v>6</v>
      </c>
      <c r="C540" s="459">
        <v>12</v>
      </c>
      <c r="D540" s="460">
        <v>6</v>
      </c>
      <c r="E540" s="460">
        <v>0</v>
      </c>
      <c r="G540" s="1740"/>
      <c r="H540" s="1741" t="s">
        <v>1238</v>
      </c>
      <c r="I540" s="1742" t="s">
        <v>6562</v>
      </c>
      <c r="J540" s="1743" t="s">
        <v>1254</v>
      </c>
      <c r="K540" s="1744"/>
      <c r="L540" s="1745"/>
      <c r="M540" s="1745"/>
      <c r="N540" s="1746">
        <v>22264.94</v>
      </c>
      <c r="O540" s="1747"/>
      <c r="P540" s="1720"/>
    </row>
    <row r="541" spans="1:16" ht="13.9" hidden="1" customHeight="1" outlineLevel="3" x14ac:dyDescent="0.2">
      <c r="A541" s="459">
        <v>0</v>
      </c>
      <c r="B541" s="459">
        <v>6</v>
      </c>
      <c r="C541" s="459">
        <v>12</v>
      </c>
      <c r="D541" s="460">
        <v>6</v>
      </c>
      <c r="E541" s="460">
        <v>1</v>
      </c>
      <c r="G541" s="1790" t="s">
        <v>17</v>
      </c>
      <c r="H541" s="1749" t="s">
        <v>1239</v>
      </c>
      <c r="I541" s="1750" t="s">
        <v>6563</v>
      </c>
      <c r="J541" s="1751" t="s">
        <v>1255</v>
      </c>
      <c r="K541" s="1752" t="s">
        <v>1130</v>
      </c>
      <c r="L541" s="1753">
        <v>1</v>
      </c>
      <c r="M541" s="1753">
        <v>22264.94</v>
      </c>
      <c r="N541" s="1754">
        <v>22264.94</v>
      </c>
      <c r="O541" s="1755" t="s">
        <v>3268</v>
      </c>
      <c r="P541" s="1721" t="s">
        <v>9611</v>
      </c>
    </row>
    <row r="542" spans="1:16" ht="13.9" hidden="1" customHeight="1" outlineLevel="1" x14ac:dyDescent="0.2">
      <c r="A542" s="459">
        <v>0</v>
      </c>
      <c r="B542" s="459">
        <v>6</v>
      </c>
      <c r="C542" s="459">
        <v>13</v>
      </c>
      <c r="D542" s="460">
        <v>0</v>
      </c>
      <c r="E542" s="460">
        <v>1</v>
      </c>
      <c r="G542" s="1733"/>
      <c r="H542" s="1734" t="s">
        <v>39</v>
      </c>
      <c r="I542" s="1735" t="s">
        <v>6564</v>
      </c>
      <c r="J542" s="1736" t="s">
        <v>3282</v>
      </c>
      <c r="K542" s="1737"/>
      <c r="L542" s="1738"/>
      <c r="M542" s="1738"/>
      <c r="N542" s="1739">
        <v>35206.863542132902</v>
      </c>
      <c r="O542" s="1722"/>
      <c r="P542" s="1725"/>
    </row>
    <row r="543" spans="1:16" ht="13.9" hidden="1" customHeight="1" outlineLevel="2" x14ac:dyDescent="0.2">
      <c r="A543" s="459">
        <v>0</v>
      </c>
      <c r="B543" s="459">
        <v>6</v>
      </c>
      <c r="C543" s="459">
        <v>13</v>
      </c>
      <c r="D543" s="460">
        <v>1</v>
      </c>
      <c r="E543" s="460">
        <v>0</v>
      </c>
      <c r="G543" s="1740"/>
      <c r="H543" s="1741" t="s">
        <v>1238</v>
      </c>
      <c r="I543" s="1742" t="s">
        <v>6565</v>
      </c>
      <c r="J543" s="1743" t="s">
        <v>2790</v>
      </c>
      <c r="K543" s="1744"/>
      <c r="L543" s="1745"/>
      <c r="M543" s="1745"/>
      <c r="N543" s="1746">
        <v>1914.35</v>
      </c>
      <c r="O543" s="1747"/>
      <c r="P543" s="1720"/>
    </row>
    <row r="544" spans="1:16" ht="13.9" hidden="1" customHeight="1" outlineLevel="3" x14ac:dyDescent="0.2">
      <c r="A544" s="459">
        <v>0</v>
      </c>
      <c r="B544" s="459">
        <v>6</v>
      </c>
      <c r="C544" s="459">
        <v>13</v>
      </c>
      <c r="D544" s="460">
        <v>1</v>
      </c>
      <c r="E544" s="460">
        <v>1</v>
      </c>
      <c r="G544" s="1790" t="s">
        <v>17</v>
      </c>
      <c r="H544" s="1749" t="s">
        <v>1239</v>
      </c>
      <c r="I544" s="1750" t="s">
        <v>6566</v>
      </c>
      <c r="J544" s="1751" t="s">
        <v>2790</v>
      </c>
      <c r="K544" s="1752" t="s">
        <v>1130</v>
      </c>
      <c r="L544" s="1753">
        <v>1</v>
      </c>
      <c r="M544" s="1753">
        <v>1914.35</v>
      </c>
      <c r="N544" s="1754">
        <v>1914.35</v>
      </c>
      <c r="O544" s="1755" t="s">
        <v>3285</v>
      </c>
      <c r="P544" s="1721" t="s">
        <v>9611</v>
      </c>
    </row>
    <row r="545" spans="1:16" ht="13.9" hidden="1" customHeight="1" outlineLevel="2" x14ac:dyDescent="0.2">
      <c r="A545" s="459">
        <v>0</v>
      </c>
      <c r="B545" s="459">
        <v>6</v>
      </c>
      <c r="C545" s="459">
        <v>13</v>
      </c>
      <c r="D545" s="460">
        <v>2</v>
      </c>
      <c r="E545" s="460">
        <v>0</v>
      </c>
      <c r="G545" s="1740"/>
      <c r="H545" s="1741" t="s">
        <v>1238</v>
      </c>
      <c r="I545" s="1742" t="s">
        <v>6567</v>
      </c>
      <c r="J545" s="1743" t="s">
        <v>2792</v>
      </c>
      <c r="K545" s="1744"/>
      <c r="L545" s="1745"/>
      <c r="M545" s="1745"/>
      <c r="N545" s="1746">
        <v>1498.65</v>
      </c>
      <c r="O545" s="1747"/>
      <c r="P545" s="1720"/>
    </row>
    <row r="546" spans="1:16" ht="13.9" hidden="1" customHeight="1" outlineLevel="3" x14ac:dyDescent="0.2">
      <c r="A546" s="459">
        <v>0</v>
      </c>
      <c r="B546" s="459">
        <v>6</v>
      </c>
      <c r="C546" s="459">
        <v>13</v>
      </c>
      <c r="D546" s="460">
        <v>2</v>
      </c>
      <c r="E546" s="460">
        <v>1</v>
      </c>
      <c r="G546" s="1790" t="s">
        <v>17</v>
      </c>
      <c r="H546" s="1749" t="s">
        <v>1239</v>
      </c>
      <c r="I546" s="1750" t="s">
        <v>6568</v>
      </c>
      <c r="J546" s="1751" t="s">
        <v>2792</v>
      </c>
      <c r="K546" s="1752" t="s">
        <v>1130</v>
      </c>
      <c r="L546" s="1753">
        <v>1</v>
      </c>
      <c r="M546" s="1753">
        <v>1498.6499999999999</v>
      </c>
      <c r="N546" s="1754">
        <v>1498.65</v>
      </c>
      <c r="O546" s="1755" t="s">
        <v>3285</v>
      </c>
      <c r="P546" s="1721" t="s">
        <v>9611</v>
      </c>
    </row>
    <row r="547" spans="1:16" ht="13.9" hidden="1" customHeight="1" outlineLevel="2" x14ac:dyDescent="0.2">
      <c r="A547" s="459">
        <v>0</v>
      </c>
      <c r="B547" s="459">
        <v>6</v>
      </c>
      <c r="C547" s="459">
        <v>13</v>
      </c>
      <c r="D547" s="460">
        <v>3</v>
      </c>
      <c r="E547" s="460">
        <v>0</v>
      </c>
      <c r="G547" s="1740"/>
      <c r="H547" s="1741" t="s">
        <v>1238</v>
      </c>
      <c r="I547" s="1742" t="s">
        <v>6569</v>
      </c>
      <c r="J547" s="1743" t="s">
        <v>2793</v>
      </c>
      <c r="K547" s="1744"/>
      <c r="L547" s="1745"/>
      <c r="M547" s="1745"/>
      <c r="N547" s="1746">
        <v>5058.5389999999998</v>
      </c>
      <c r="O547" s="1747"/>
      <c r="P547" s="1720"/>
    </row>
    <row r="548" spans="1:16" ht="13.9" hidden="1" customHeight="1" outlineLevel="3" x14ac:dyDescent="0.2">
      <c r="A548" s="459">
        <v>0</v>
      </c>
      <c r="B548" s="459">
        <v>6</v>
      </c>
      <c r="C548" s="459">
        <v>13</v>
      </c>
      <c r="D548" s="460">
        <v>3</v>
      </c>
      <c r="E548" s="460">
        <v>1</v>
      </c>
      <c r="G548" s="1790" t="s">
        <v>17</v>
      </c>
      <c r="H548" s="1749" t="s">
        <v>1239</v>
      </c>
      <c r="I548" s="1750" t="s">
        <v>6570</v>
      </c>
      <c r="J548" s="1751" t="s">
        <v>2793</v>
      </c>
      <c r="K548" s="1752" t="s">
        <v>1130</v>
      </c>
      <c r="L548" s="1753">
        <v>1</v>
      </c>
      <c r="M548" s="1753">
        <v>5058.5390000000025</v>
      </c>
      <c r="N548" s="1754">
        <v>5058.5389999999998</v>
      </c>
      <c r="O548" s="1755" t="s">
        <v>3285</v>
      </c>
      <c r="P548" s="1721" t="s">
        <v>9611</v>
      </c>
    </row>
    <row r="549" spans="1:16" ht="13.9" hidden="1" customHeight="1" outlineLevel="2" x14ac:dyDescent="0.2">
      <c r="A549" s="459">
        <v>0</v>
      </c>
      <c r="B549" s="459">
        <v>6</v>
      </c>
      <c r="C549" s="459">
        <v>13</v>
      </c>
      <c r="D549" s="460">
        <v>4</v>
      </c>
      <c r="E549" s="460">
        <v>0</v>
      </c>
      <c r="G549" s="1740"/>
      <c r="H549" s="1741" t="s">
        <v>1238</v>
      </c>
      <c r="I549" s="1742" t="s">
        <v>6571</v>
      </c>
      <c r="J549" s="1743" t="s">
        <v>2794</v>
      </c>
      <c r="K549" s="1744"/>
      <c r="L549" s="1745"/>
      <c r="M549" s="1745"/>
      <c r="N549" s="1746">
        <v>2278.9299999999998</v>
      </c>
      <c r="O549" s="1747"/>
      <c r="P549" s="1720"/>
    </row>
    <row r="550" spans="1:16" ht="13.9" hidden="1" customHeight="1" outlineLevel="3" x14ac:dyDescent="0.2">
      <c r="A550" s="459">
        <v>0</v>
      </c>
      <c r="B550" s="459">
        <v>6</v>
      </c>
      <c r="C550" s="459">
        <v>13</v>
      </c>
      <c r="D550" s="460">
        <v>4</v>
      </c>
      <c r="E550" s="460">
        <v>1</v>
      </c>
      <c r="G550" s="1790" t="s">
        <v>17</v>
      </c>
      <c r="H550" s="1749" t="s">
        <v>1239</v>
      </c>
      <c r="I550" s="1750" t="s">
        <v>6572</v>
      </c>
      <c r="J550" s="1751" t="s">
        <v>2794</v>
      </c>
      <c r="K550" s="1752" t="s">
        <v>1130</v>
      </c>
      <c r="L550" s="1753">
        <v>1</v>
      </c>
      <c r="M550" s="1753">
        <v>2278.9300000000003</v>
      </c>
      <c r="N550" s="1754">
        <v>2278.9299999999998</v>
      </c>
      <c r="O550" s="1755" t="s">
        <v>3285</v>
      </c>
      <c r="P550" s="1721" t="s">
        <v>9611</v>
      </c>
    </row>
    <row r="551" spans="1:16" ht="13.9" hidden="1" customHeight="1" outlineLevel="2" x14ac:dyDescent="0.2">
      <c r="A551" s="459">
        <v>0</v>
      </c>
      <c r="B551" s="459">
        <v>6</v>
      </c>
      <c r="C551" s="459">
        <v>13</v>
      </c>
      <c r="D551" s="460">
        <v>5</v>
      </c>
      <c r="E551" s="460">
        <v>0</v>
      </c>
      <c r="G551" s="1740"/>
      <c r="H551" s="1741" t="s">
        <v>1238</v>
      </c>
      <c r="I551" s="1742" t="s">
        <v>6573</v>
      </c>
      <c r="J551" s="1743" t="s">
        <v>2795</v>
      </c>
      <c r="K551" s="1744"/>
      <c r="L551" s="1745"/>
      <c r="M551" s="1745"/>
      <c r="N551" s="1746">
        <v>3267.5945421329102</v>
      </c>
      <c r="O551" s="1747"/>
      <c r="P551" s="1720"/>
    </row>
    <row r="552" spans="1:16" ht="13.9" hidden="1" customHeight="1" outlineLevel="3" x14ac:dyDescent="0.2">
      <c r="A552" s="459">
        <v>0</v>
      </c>
      <c r="B552" s="459">
        <v>6</v>
      </c>
      <c r="C552" s="459">
        <v>13</v>
      </c>
      <c r="D552" s="460">
        <v>5</v>
      </c>
      <c r="E552" s="460">
        <v>1</v>
      </c>
      <c r="G552" s="1790" t="s">
        <v>17</v>
      </c>
      <c r="H552" s="1749" t="s">
        <v>1239</v>
      </c>
      <c r="I552" s="1750" t="s">
        <v>6574</v>
      </c>
      <c r="J552" s="1751" t="s">
        <v>2795</v>
      </c>
      <c r="K552" s="1752" t="s">
        <v>1130</v>
      </c>
      <c r="L552" s="1753">
        <v>1</v>
      </c>
      <c r="M552" s="1753">
        <v>3267.5945421329138</v>
      </c>
      <c r="N552" s="1754">
        <v>3267.5945421329102</v>
      </c>
      <c r="O552" s="1755" t="s">
        <v>3284</v>
      </c>
      <c r="P552" s="1721" t="s">
        <v>9611</v>
      </c>
    </row>
    <row r="553" spans="1:16" ht="13.9" hidden="1" customHeight="1" outlineLevel="2" x14ac:dyDescent="0.2">
      <c r="A553" s="459">
        <v>0</v>
      </c>
      <c r="B553" s="459">
        <v>6</v>
      </c>
      <c r="C553" s="459">
        <v>13</v>
      </c>
      <c r="D553" s="460">
        <v>6</v>
      </c>
      <c r="E553" s="460">
        <v>0</v>
      </c>
      <c r="G553" s="1740"/>
      <c r="H553" s="1741" t="s">
        <v>1238</v>
      </c>
      <c r="I553" s="1742" t="s">
        <v>6575</v>
      </c>
      <c r="J553" s="1743" t="s">
        <v>1254</v>
      </c>
      <c r="K553" s="1744"/>
      <c r="L553" s="1745"/>
      <c r="M553" s="1745"/>
      <c r="N553" s="1746">
        <v>21188.799999999999</v>
      </c>
      <c r="O553" s="1747"/>
      <c r="P553" s="1720"/>
    </row>
    <row r="554" spans="1:16" ht="13.9" hidden="1" customHeight="1" outlineLevel="3" x14ac:dyDescent="0.2">
      <c r="A554" s="459">
        <v>0</v>
      </c>
      <c r="B554" s="459">
        <v>6</v>
      </c>
      <c r="C554" s="459">
        <v>13</v>
      </c>
      <c r="D554" s="460">
        <v>6</v>
      </c>
      <c r="E554" s="460">
        <v>1</v>
      </c>
      <c r="G554" s="1790" t="s">
        <v>17</v>
      </c>
      <c r="H554" s="1749" t="s">
        <v>1239</v>
      </c>
      <c r="I554" s="1750" t="s">
        <v>6576</v>
      </c>
      <c r="J554" s="1751" t="s">
        <v>1255</v>
      </c>
      <c r="K554" s="1752" t="s">
        <v>1130</v>
      </c>
      <c r="L554" s="1753">
        <v>1</v>
      </c>
      <c r="M554" s="1753">
        <v>21188.799999999999</v>
      </c>
      <c r="N554" s="1754">
        <v>21188.799999999999</v>
      </c>
      <c r="O554" s="1755" t="s">
        <v>3268</v>
      </c>
      <c r="P554" s="1721" t="s">
        <v>9611</v>
      </c>
    </row>
    <row r="555" spans="1:16" ht="13.9" hidden="1" customHeight="1" outlineLevel="1" x14ac:dyDescent="0.2">
      <c r="A555" s="459">
        <v>0</v>
      </c>
      <c r="B555" s="459">
        <v>6</v>
      </c>
      <c r="C555" s="459">
        <v>14</v>
      </c>
      <c r="D555" s="460">
        <v>0</v>
      </c>
      <c r="E555" s="460">
        <v>1</v>
      </c>
      <c r="G555" s="1733"/>
      <c r="H555" s="1734" t="s">
        <v>39</v>
      </c>
      <c r="I555" s="1735" t="s">
        <v>6577</v>
      </c>
      <c r="J555" s="1736" t="s">
        <v>3283</v>
      </c>
      <c r="K555" s="1737"/>
      <c r="L555" s="1738"/>
      <c r="M555" s="1738"/>
      <c r="N555" s="1739">
        <v>22823.011831603799</v>
      </c>
      <c r="O555" s="1722"/>
      <c r="P555" s="1725"/>
    </row>
    <row r="556" spans="1:16" ht="13.9" hidden="1" customHeight="1" outlineLevel="2" x14ac:dyDescent="0.2">
      <c r="A556" s="459">
        <v>0</v>
      </c>
      <c r="B556" s="459">
        <v>6</v>
      </c>
      <c r="C556" s="459">
        <v>14</v>
      </c>
      <c r="D556" s="460">
        <v>1</v>
      </c>
      <c r="E556" s="460">
        <v>0</v>
      </c>
      <c r="G556" s="1740"/>
      <c r="H556" s="1741" t="s">
        <v>1238</v>
      </c>
      <c r="I556" s="1742" t="s">
        <v>6578</v>
      </c>
      <c r="J556" s="1743" t="s">
        <v>2790</v>
      </c>
      <c r="K556" s="1744"/>
      <c r="L556" s="1745"/>
      <c r="M556" s="1745"/>
      <c r="N556" s="1746">
        <v>949.52</v>
      </c>
      <c r="O556" s="1747"/>
      <c r="P556" s="1720"/>
    </row>
    <row r="557" spans="1:16" ht="13.9" hidden="1" customHeight="1" outlineLevel="3" x14ac:dyDescent="0.2">
      <c r="A557" s="459">
        <v>0</v>
      </c>
      <c r="B557" s="459">
        <v>6</v>
      </c>
      <c r="C557" s="459">
        <v>14</v>
      </c>
      <c r="D557" s="460">
        <v>1</v>
      </c>
      <c r="E557" s="460">
        <v>1</v>
      </c>
      <c r="G557" s="1790" t="s">
        <v>17</v>
      </c>
      <c r="H557" s="1749" t="s">
        <v>1239</v>
      </c>
      <c r="I557" s="1750" t="s">
        <v>6579</v>
      </c>
      <c r="J557" s="1751" t="s">
        <v>2790</v>
      </c>
      <c r="K557" s="1752" t="s">
        <v>1130</v>
      </c>
      <c r="L557" s="1753">
        <v>1</v>
      </c>
      <c r="M557" s="1753">
        <v>949.52</v>
      </c>
      <c r="N557" s="1754">
        <v>949.52</v>
      </c>
      <c r="O557" s="1755" t="s">
        <v>3285</v>
      </c>
      <c r="P557" s="1721" t="s">
        <v>9611</v>
      </c>
    </row>
    <row r="558" spans="1:16" ht="13.9" hidden="1" customHeight="1" outlineLevel="2" x14ac:dyDescent="0.2">
      <c r="A558" s="459">
        <v>0</v>
      </c>
      <c r="B558" s="459">
        <v>6</v>
      </c>
      <c r="C558" s="459">
        <v>14</v>
      </c>
      <c r="D558" s="460">
        <v>2</v>
      </c>
      <c r="E558" s="460">
        <v>0</v>
      </c>
      <c r="G558" s="1740"/>
      <c r="H558" s="1741" t="s">
        <v>1238</v>
      </c>
      <c r="I558" s="1742" t="s">
        <v>6580</v>
      </c>
      <c r="J558" s="1743" t="s">
        <v>2792</v>
      </c>
      <c r="K558" s="1744"/>
      <c r="L558" s="1745"/>
      <c r="M558" s="1745"/>
      <c r="N558" s="1746">
        <v>353.1</v>
      </c>
      <c r="O558" s="1747"/>
      <c r="P558" s="1720"/>
    </row>
    <row r="559" spans="1:16" ht="13.9" hidden="1" customHeight="1" outlineLevel="3" x14ac:dyDescent="0.2">
      <c r="A559" s="459">
        <v>0</v>
      </c>
      <c r="B559" s="459">
        <v>6</v>
      </c>
      <c r="C559" s="459">
        <v>14</v>
      </c>
      <c r="D559" s="460">
        <v>2</v>
      </c>
      <c r="E559" s="460">
        <v>1</v>
      </c>
      <c r="G559" s="1790" t="s">
        <v>17</v>
      </c>
      <c r="H559" s="1749" t="s">
        <v>1239</v>
      </c>
      <c r="I559" s="1750" t="s">
        <v>6581</v>
      </c>
      <c r="J559" s="1751" t="s">
        <v>2792</v>
      </c>
      <c r="K559" s="1752" t="s">
        <v>1130</v>
      </c>
      <c r="L559" s="1753">
        <v>1</v>
      </c>
      <c r="M559" s="1753">
        <v>353.09999999999997</v>
      </c>
      <c r="N559" s="1754">
        <v>353.1</v>
      </c>
      <c r="O559" s="1755" t="s">
        <v>3285</v>
      </c>
      <c r="P559" s="1721" t="s">
        <v>9611</v>
      </c>
    </row>
    <row r="560" spans="1:16" ht="13.9" hidden="1" customHeight="1" outlineLevel="2" x14ac:dyDescent="0.2">
      <c r="A560" s="459">
        <v>0</v>
      </c>
      <c r="B560" s="459">
        <v>6</v>
      </c>
      <c r="C560" s="459">
        <v>14</v>
      </c>
      <c r="D560" s="460">
        <v>3</v>
      </c>
      <c r="E560" s="460">
        <v>0</v>
      </c>
      <c r="G560" s="1740"/>
      <c r="H560" s="1741" t="s">
        <v>1238</v>
      </c>
      <c r="I560" s="1742" t="s">
        <v>6582</v>
      </c>
      <c r="J560" s="1743" t="s">
        <v>2793</v>
      </c>
      <c r="K560" s="1744"/>
      <c r="L560" s="1745"/>
      <c r="M560" s="1745"/>
      <c r="N560" s="1746">
        <v>1230.2239999999999</v>
      </c>
      <c r="O560" s="1747"/>
      <c r="P560" s="1720"/>
    </row>
    <row r="561" spans="1:16" ht="13.9" hidden="1" customHeight="1" outlineLevel="3" x14ac:dyDescent="0.2">
      <c r="A561" s="459">
        <v>0</v>
      </c>
      <c r="B561" s="459">
        <v>6</v>
      </c>
      <c r="C561" s="459">
        <v>14</v>
      </c>
      <c r="D561" s="460">
        <v>3</v>
      </c>
      <c r="E561" s="460">
        <v>1</v>
      </c>
      <c r="G561" s="1790" t="s">
        <v>17</v>
      </c>
      <c r="H561" s="1749" t="s">
        <v>1239</v>
      </c>
      <c r="I561" s="1750" t="s">
        <v>6583</v>
      </c>
      <c r="J561" s="1751" t="s">
        <v>2793</v>
      </c>
      <c r="K561" s="1752" t="s">
        <v>1130</v>
      </c>
      <c r="L561" s="1753">
        <v>1</v>
      </c>
      <c r="M561" s="1753">
        <v>1230.2239999999999</v>
      </c>
      <c r="N561" s="1754">
        <v>1230.2239999999999</v>
      </c>
      <c r="O561" s="1755" t="s">
        <v>3285</v>
      </c>
      <c r="P561" s="1721" t="s">
        <v>9611</v>
      </c>
    </row>
    <row r="562" spans="1:16" ht="13.9" hidden="1" customHeight="1" outlineLevel="2" x14ac:dyDescent="0.2">
      <c r="A562" s="459">
        <v>0</v>
      </c>
      <c r="B562" s="459">
        <v>6</v>
      </c>
      <c r="C562" s="459">
        <v>14</v>
      </c>
      <c r="D562" s="460">
        <v>4</v>
      </c>
      <c r="E562" s="460">
        <v>0</v>
      </c>
      <c r="G562" s="1740"/>
      <c r="H562" s="1741" t="s">
        <v>1238</v>
      </c>
      <c r="I562" s="1742" t="s">
        <v>6584</v>
      </c>
      <c r="J562" s="1743" t="s">
        <v>2794</v>
      </c>
      <c r="K562" s="1744"/>
      <c r="L562" s="1745"/>
      <c r="M562" s="1745"/>
      <c r="N562" s="1746">
        <v>369.05</v>
      </c>
      <c r="O562" s="1747"/>
      <c r="P562" s="1720"/>
    </row>
    <row r="563" spans="1:16" ht="13.9" hidden="1" customHeight="1" outlineLevel="3" x14ac:dyDescent="0.2">
      <c r="A563" s="459">
        <v>0</v>
      </c>
      <c r="B563" s="459">
        <v>6</v>
      </c>
      <c r="C563" s="459">
        <v>14</v>
      </c>
      <c r="D563" s="460">
        <v>4</v>
      </c>
      <c r="E563" s="460">
        <v>1</v>
      </c>
      <c r="G563" s="1790" t="s">
        <v>17</v>
      </c>
      <c r="H563" s="1749" t="s">
        <v>1239</v>
      </c>
      <c r="I563" s="1750" t="s">
        <v>6585</v>
      </c>
      <c r="J563" s="1751" t="s">
        <v>2794</v>
      </c>
      <c r="K563" s="1752" t="s">
        <v>1130</v>
      </c>
      <c r="L563" s="1753">
        <v>1</v>
      </c>
      <c r="M563" s="1753">
        <v>369.04999999999995</v>
      </c>
      <c r="N563" s="1754">
        <v>369.05</v>
      </c>
      <c r="O563" s="1755" t="s">
        <v>3285</v>
      </c>
      <c r="P563" s="1721" t="s">
        <v>9611</v>
      </c>
    </row>
    <row r="564" spans="1:16" ht="13.9" hidden="1" customHeight="1" outlineLevel="2" x14ac:dyDescent="0.2">
      <c r="A564" s="459">
        <v>0</v>
      </c>
      <c r="B564" s="459">
        <v>6</v>
      </c>
      <c r="C564" s="459">
        <v>14</v>
      </c>
      <c r="D564" s="460">
        <v>5</v>
      </c>
      <c r="E564" s="460">
        <v>0</v>
      </c>
      <c r="G564" s="1740"/>
      <c r="H564" s="1741" t="s">
        <v>1238</v>
      </c>
      <c r="I564" s="1742" t="s">
        <v>6586</v>
      </c>
      <c r="J564" s="1743" t="s">
        <v>2795</v>
      </c>
      <c r="K564" s="1744"/>
      <c r="L564" s="1745"/>
      <c r="M564" s="1745"/>
      <c r="N564" s="1746">
        <v>3109.6578316038199</v>
      </c>
      <c r="O564" s="1747"/>
      <c r="P564" s="1720"/>
    </row>
    <row r="565" spans="1:16" ht="13.9" hidden="1" customHeight="1" outlineLevel="3" x14ac:dyDescent="0.2">
      <c r="A565" s="459">
        <v>0</v>
      </c>
      <c r="B565" s="459">
        <v>6</v>
      </c>
      <c r="C565" s="459">
        <v>14</v>
      </c>
      <c r="D565" s="460">
        <v>5</v>
      </c>
      <c r="E565" s="460">
        <v>1</v>
      </c>
      <c r="G565" s="1790" t="s">
        <v>17</v>
      </c>
      <c r="H565" s="1749" t="s">
        <v>1239</v>
      </c>
      <c r="I565" s="1750" t="s">
        <v>6587</v>
      </c>
      <c r="J565" s="1751" t="s">
        <v>2795</v>
      </c>
      <c r="K565" s="1752" t="s">
        <v>1130</v>
      </c>
      <c r="L565" s="1753">
        <v>1</v>
      </c>
      <c r="M565" s="1753">
        <v>3109.6578316038244</v>
      </c>
      <c r="N565" s="1754">
        <v>3109.6578316038199</v>
      </c>
      <c r="O565" s="1755" t="s">
        <v>3284</v>
      </c>
      <c r="P565" s="1721" t="s">
        <v>9611</v>
      </c>
    </row>
    <row r="566" spans="1:16" ht="13.9" hidden="1" customHeight="1" outlineLevel="2" x14ac:dyDescent="0.2">
      <c r="A566" s="459">
        <v>0</v>
      </c>
      <c r="B566" s="459">
        <v>6</v>
      </c>
      <c r="C566" s="459">
        <v>14</v>
      </c>
      <c r="D566" s="460">
        <v>6</v>
      </c>
      <c r="E566" s="460">
        <v>0</v>
      </c>
      <c r="G566" s="1740"/>
      <c r="H566" s="1741" t="s">
        <v>1238</v>
      </c>
      <c r="I566" s="1742" t="s">
        <v>6588</v>
      </c>
      <c r="J566" s="1743" t="s">
        <v>1254</v>
      </c>
      <c r="K566" s="1744"/>
      <c r="L566" s="1745"/>
      <c r="M566" s="1745"/>
      <c r="N566" s="1746">
        <v>16811.46</v>
      </c>
      <c r="O566" s="1747"/>
      <c r="P566" s="1720"/>
    </row>
    <row r="567" spans="1:16" ht="13.9" hidden="1" customHeight="1" outlineLevel="3" x14ac:dyDescent="0.2">
      <c r="A567" s="459">
        <v>0</v>
      </c>
      <c r="B567" s="459">
        <v>6</v>
      </c>
      <c r="C567" s="459">
        <v>14</v>
      </c>
      <c r="D567" s="460">
        <v>6</v>
      </c>
      <c r="E567" s="460">
        <v>1</v>
      </c>
      <c r="G567" s="1790" t="s">
        <v>17</v>
      </c>
      <c r="H567" s="1749" t="s">
        <v>1239</v>
      </c>
      <c r="I567" s="1750" t="s">
        <v>6589</v>
      </c>
      <c r="J567" s="1751" t="s">
        <v>1255</v>
      </c>
      <c r="K567" s="1752" t="s">
        <v>1130</v>
      </c>
      <c r="L567" s="1753">
        <v>1</v>
      </c>
      <c r="M567" s="1753">
        <v>16811.46</v>
      </c>
      <c r="N567" s="1754">
        <v>16811.46</v>
      </c>
      <c r="O567" s="1755" t="s">
        <v>3268</v>
      </c>
      <c r="P567" s="1721" t="s">
        <v>9611</v>
      </c>
    </row>
    <row r="568" spans="1:16" ht="13.9" customHeight="1" collapsed="1" x14ac:dyDescent="0.2">
      <c r="A568" s="459">
        <v>0</v>
      </c>
      <c r="B568" s="459">
        <v>7</v>
      </c>
      <c r="C568" s="459">
        <v>0</v>
      </c>
      <c r="D568" s="460">
        <v>6</v>
      </c>
      <c r="E568" s="460">
        <v>1</v>
      </c>
      <c r="F568" s="474"/>
      <c r="G568" s="1791"/>
      <c r="H568" s="1727" t="s">
        <v>1237</v>
      </c>
      <c r="I568" s="1728" t="s">
        <v>6590</v>
      </c>
      <c r="J568" s="1729" t="s">
        <v>18</v>
      </c>
      <c r="K568" s="1730"/>
      <c r="L568" s="1731"/>
      <c r="M568" s="1731"/>
      <c r="N568" s="1732">
        <v>2801537.89336211</v>
      </c>
      <c r="O568" s="1770">
        <v>167.25928889119101</v>
      </c>
      <c r="P568" s="1724"/>
    </row>
    <row r="569" spans="1:16" ht="13.9" hidden="1" customHeight="1" outlineLevel="1" x14ac:dyDescent="0.2">
      <c r="A569" s="459">
        <v>0</v>
      </c>
      <c r="B569" s="459">
        <v>7</v>
      </c>
      <c r="C569" s="459">
        <v>1</v>
      </c>
      <c r="D569" s="460">
        <v>0</v>
      </c>
      <c r="E569" s="460">
        <v>1</v>
      </c>
      <c r="G569" s="1733"/>
      <c r="H569" s="1734" t="s">
        <v>39</v>
      </c>
      <c r="I569" s="1735" t="s">
        <v>6591</v>
      </c>
      <c r="J569" s="1736" t="s">
        <v>3286</v>
      </c>
      <c r="K569" s="1737"/>
      <c r="L569" s="1738"/>
      <c r="M569" s="1738"/>
      <c r="N569" s="1739">
        <v>299058.90349076298</v>
      </c>
      <c r="O569" s="1722"/>
      <c r="P569" s="1725"/>
    </row>
    <row r="570" spans="1:16" ht="13.9" hidden="1" customHeight="1" outlineLevel="2" x14ac:dyDescent="0.2">
      <c r="A570" s="459">
        <v>0</v>
      </c>
      <c r="B570" s="459">
        <v>7</v>
      </c>
      <c r="C570" s="459">
        <v>1</v>
      </c>
      <c r="D570" s="460">
        <v>1</v>
      </c>
      <c r="E570" s="460">
        <v>0</v>
      </c>
      <c r="G570" s="1764"/>
      <c r="H570" s="1741" t="s">
        <v>1238</v>
      </c>
      <c r="I570" s="1742" t="s">
        <v>6592</v>
      </c>
      <c r="J570" s="1743" t="s">
        <v>2521</v>
      </c>
      <c r="K570" s="1744"/>
      <c r="L570" s="1745"/>
      <c r="M570" s="1745"/>
      <c r="N570" s="1746">
        <v>139834.96731661999</v>
      </c>
      <c r="O570" s="1747"/>
      <c r="P570" s="1720"/>
    </row>
    <row r="571" spans="1:16" ht="13.9" hidden="1" customHeight="1" outlineLevel="3" x14ac:dyDescent="0.2">
      <c r="A571" s="459">
        <v>0</v>
      </c>
      <c r="B571" s="459">
        <v>7</v>
      </c>
      <c r="C571" s="459">
        <v>1</v>
      </c>
      <c r="D571" s="460">
        <v>1</v>
      </c>
      <c r="E571" s="460">
        <v>1</v>
      </c>
      <c r="G571" s="1748" t="s">
        <v>18</v>
      </c>
      <c r="H571" s="1749" t="s">
        <v>1239</v>
      </c>
      <c r="I571" s="1750" t="s">
        <v>6593</v>
      </c>
      <c r="J571" s="1751" t="s">
        <v>3287</v>
      </c>
      <c r="K571" s="1752" t="s">
        <v>1130</v>
      </c>
      <c r="L571" s="1753">
        <v>1</v>
      </c>
      <c r="M571" s="1753">
        <v>139834.96731661988</v>
      </c>
      <c r="N571" s="1754">
        <v>139834.96731661999</v>
      </c>
      <c r="O571" s="1755" t="s">
        <v>3285</v>
      </c>
      <c r="P571" s="1721" t="s">
        <v>9611</v>
      </c>
    </row>
    <row r="572" spans="1:16" ht="13.9" hidden="1" customHeight="1" outlineLevel="2" x14ac:dyDescent="0.2">
      <c r="A572" s="459">
        <v>0</v>
      </c>
      <c r="B572" s="459">
        <v>7</v>
      </c>
      <c r="C572" s="459">
        <v>1</v>
      </c>
      <c r="D572" s="460">
        <v>2</v>
      </c>
      <c r="E572" s="460">
        <v>0</v>
      </c>
      <c r="G572" s="1764"/>
      <c r="H572" s="1741" t="s">
        <v>1238</v>
      </c>
      <c r="I572" s="1742" t="s">
        <v>6594</v>
      </c>
      <c r="J572" s="1743" t="s">
        <v>2796</v>
      </c>
      <c r="K572" s="1744"/>
      <c r="L572" s="1745"/>
      <c r="M572" s="1745"/>
      <c r="N572" s="1746">
        <v>40168.446174143297</v>
      </c>
      <c r="O572" s="1747"/>
      <c r="P572" s="1720"/>
    </row>
    <row r="573" spans="1:16" ht="13.9" hidden="1" customHeight="1" outlineLevel="3" x14ac:dyDescent="0.2">
      <c r="A573" s="459">
        <v>0</v>
      </c>
      <c r="B573" s="459">
        <v>7</v>
      </c>
      <c r="C573" s="459">
        <v>1</v>
      </c>
      <c r="D573" s="460">
        <v>2</v>
      </c>
      <c r="E573" s="460">
        <v>1</v>
      </c>
      <c r="G573" s="1748" t="s">
        <v>18</v>
      </c>
      <c r="H573" s="1749" t="s">
        <v>1239</v>
      </c>
      <c r="I573" s="1750" t="s">
        <v>6595</v>
      </c>
      <c r="J573" s="1751" t="s">
        <v>2796</v>
      </c>
      <c r="K573" s="1752" t="s">
        <v>1130</v>
      </c>
      <c r="L573" s="1753">
        <v>1</v>
      </c>
      <c r="M573" s="1753">
        <v>40168.446174143312</v>
      </c>
      <c r="N573" s="1754">
        <v>40168.446174143297</v>
      </c>
      <c r="O573" s="1755" t="s">
        <v>3285</v>
      </c>
      <c r="P573" s="1721" t="s">
        <v>9611</v>
      </c>
    </row>
    <row r="574" spans="1:16" ht="13.9" hidden="1" customHeight="1" outlineLevel="2" x14ac:dyDescent="0.2">
      <c r="A574" s="459">
        <v>0</v>
      </c>
      <c r="B574" s="459">
        <v>7</v>
      </c>
      <c r="C574" s="459">
        <v>1</v>
      </c>
      <c r="D574" s="460">
        <v>3</v>
      </c>
      <c r="E574" s="460">
        <v>0</v>
      </c>
      <c r="G574" s="1764"/>
      <c r="H574" s="1741" t="s">
        <v>1238</v>
      </c>
      <c r="I574" s="1742" t="s">
        <v>6596</v>
      </c>
      <c r="J574" s="1743" t="s">
        <v>2797</v>
      </c>
      <c r="K574" s="1744"/>
      <c r="L574" s="1745"/>
      <c r="M574" s="1745"/>
      <c r="N574" s="1746">
        <v>252</v>
      </c>
      <c r="O574" s="1747"/>
      <c r="P574" s="1720"/>
    </row>
    <row r="575" spans="1:16" ht="13.9" hidden="1" customHeight="1" outlineLevel="3" x14ac:dyDescent="0.2">
      <c r="A575" s="459">
        <v>0</v>
      </c>
      <c r="B575" s="459">
        <v>7</v>
      </c>
      <c r="C575" s="459">
        <v>1</v>
      </c>
      <c r="D575" s="460">
        <v>3</v>
      </c>
      <c r="E575" s="460">
        <v>1</v>
      </c>
      <c r="G575" s="1748" t="s">
        <v>18</v>
      </c>
      <c r="H575" s="1749" t="s">
        <v>1239</v>
      </c>
      <c r="I575" s="1750" t="s">
        <v>6597</v>
      </c>
      <c r="J575" s="1751" t="s">
        <v>2797</v>
      </c>
      <c r="K575" s="1752" t="s">
        <v>1130</v>
      </c>
      <c r="L575" s="1753">
        <v>1</v>
      </c>
      <c r="M575" s="1753">
        <v>252</v>
      </c>
      <c r="N575" s="1754">
        <v>252</v>
      </c>
      <c r="O575" s="1755" t="s">
        <v>3288</v>
      </c>
      <c r="P575" s="1721" t="s">
        <v>9611</v>
      </c>
    </row>
    <row r="576" spans="1:16" ht="13.9" hidden="1" customHeight="1" outlineLevel="2" x14ac:dyDescent="0.2">
      <c r="A576" s="459">
        <v>0</v>
      </c>
      <c r="B576" s="459">
        <v>7</v>
      </c>
      <c r="C576" s="459">
        <v>1</v>
      </c>
      <c r="D576" s="460">
        <v>4</v>
      </c>
      <c r="E576" s="460">
        <v>0</v>
      </c>
      <c r="G576" s="1764"/>
      <c r="H576" s="1741" t="s">
        <v>1238</v>
      </c>
      <c r="I576" s="1742" t="s">
        <v>6598</v>
      </c>
      <c r="J576" s="1743" t="s">
        <v>2522</v>
      </c>
      <c r="K576" s="1744"/>
      <c r="L576" s="1745"/>
      <c r="M576" s="1745"/>
      <c r="N576" s="1746">
        <v>73297.850000000006</v>
      </c>
      <c r="O576" s="1747"/>
      <c r="P576" s="1720"/>
    </row>
    <row r="577" spans="1:16" ht="13.9" hidden="1" customHeight="1" outlineLevel="3" x14ac:dyDescent="0.2">
      <c r="A577" s="459">
        <v>0</v>
      </c>
      <c r="B577" s="459">
        <v>7</v>
      </c>
      <c r="C577" s="459">
        <v>1</v>
      </c>
      <c r="D577" s="460">
        <v>4</v>
      </c>
      <c r="E577" s="460">
        <v>1</v>
      </c>
      <c r="G577" s="1748" t="s">
        <v>18</v>
      </c>
      <c r="H577" s="1749" t="s">
        <v>1239</v>
      </c>
      <c r="I577" s="1750" t="s">
        <v>6599</v>
      </c>
      <c r="J577" s="1751" t="s">
        <v>2522</v>
      </c>
      <c r="K577" s="1752" t="s">
        <v>1130</v>
      </c>
      <c r="L577" s="1753">
        <v>1</v>
      </c>
      <c r="M577" s="1753">
        <v>73297.850000000006</v>
      </c>
      <c r="N577" s="1754">
        <v>73297.850000000006</v>
      </c>
      <c r="O577" s="1755" t="s">
        <v>3289</v>
      </c>
      <c r="P577" s="1721" t="s">
        <v>9611</v>
      </c>
    </row>
    <row r="578" spans="1:16" ht="13.9" hidden="1" customHeight="1" outlineLevel="2" x14ac:dyDescent="0.2">
      <c r="A578" s="459">
        <v>0</v>
      </c>
      <c r="B578" s="459">
        <v>7</v>
      </c>
      <c r="C578" s="459">
        <v>1</v>
      </c>
      <c r="D578" s="460">
        <v>5</v>
      </c>
      <c r="E578" s="460">
        <v>0</v>
      </c>
      <c r="G578" s="1764"/>
      <c r="H578" s="1741" t="s">
        <v>1238</v>
      </c>
      <c r="I578" s="1742" t="s">
        <v>6600</v>
      </c>
      <c r="J578" s="1743" t="s">
        <v>1256</v>
      </c>
      <c r="K578" s="1744"/>
      <c r="L578" s="1745"/>
      <c r="M578" s="1745"/>
      <c r="N578" s="1746">
        <v>45505.64</v>
      </c>
      <c r="O578" s="1747"/>
      <c r="P578" s="1720"/>
    </row>
    <row r="579" spans="1:16" ht="13.9" hidden="1" customHeight="1" outlineLevel="3" x14ac:dyDescent="0.2">
      <c r="A579" s="459">
        <v>0</v>
      </c>
      <c r="B579" s="459">
        <v>7</v>
      </c>
      <c r="C579" s="459">
        <v>1</v>
      </c>
      <c r="D579" s="460">
        <v>5</v>
      </c>
      <c r="E579" s="460">
        <v>1</v>
      </c>
      <c r="G579" s="1748" t="s">
        <v>18</v>
      </c>
      <c r="H579" s="1749" t="s">
        <v>1239</v>
      </c>
      <c r="I579" s="1750" t="s">
        <v>6601</v>
      </c>
      <c r="J579" s="1751" t="s">
        <v>1257</v>
      </c>
      <c r="K579" s="1752" t="s">
        <v>1130</v>
      </c>
      <c r="L579" s="1753">
        <v>1</v>
      </c>
      <c r="M579" s="1753">
        <v>45505.64</v>
      </c>
      <c r="N579" s="1754">
        <v>45505.64</v>
      </c>
      <c r="O579" s="1761" t="s">
        <v>5458</v>
      </c>
      <c r="P579" s="1721" t="s">
        <v>9611</v>
      </c>
    </row>
    <row r="580" spans="1:16" ht="13.9" hidden="1" customHeight="1" outlineLevel="1" x14ac:dyDescent="0.2">
      <c r="A580" s="459">
        <v>0</v>
      </c>
      <c r="B580" s="459">
        <v>7</v>
      </c>
      <c r="C580" s="459">
        <v>2</v>
      </c>
      <c r="D580" s="460">
        <v>0</v>
      </c>
      <c r="E580" s="460">
        <v>1</v>
      </c>
      <c r="G580" s="1733"/>
      <c r="H580" s="1734" t="s">
        <v>39</v>
      </c>
      <c r="I580" s="1735" t="s">
        <v>6602</v>
      </c>
      <c r="J580" s="1736" t="s">
        <v>3290</v>
      </c>
      <c r="K580" s="1737"/>
      <c r="L580" s="1738"/>
      <c r="M580" s="1738"/>
      <c r="N580" s="1739">
        <v>56495.390199930902</v>
      </c>
      <c r="O580" s="1722"/>
      <c r="P580" s="1725"/>
    </row>
    <row r="581" spans="1:16" ht="13.9" hidden="1" customHeight="1" outlineLevel="2" x14ac:dyDescent="0.2">
      <c r="A581" s="459">
        <v>0</v>
      </c>
      <c r="B581" s="459">
        <v>7</v>
      </c>
      <c r="C581" s="459">
        <v>2</v>
      </c>
      <c r="D581" s="460">
        <v>1</v>
      </c>
      <c r="E581" s="460">
        <v>0</v>
      </c>
      <c r="G581" s="1764"/>
      <c r="H581" s="1741" t="s">
        <v>1238</v>
      </c>
      <c r="I581" s="1742" t="s">
        <v>6603</v>
      </c>
      <c r="J581" s="1743" t="s">
        <v>2521</v>
      </c>
      <c r="K581" s="1744"/>
      <c r="L581" s="1745"/>
      <c r="M581" s="1745"/>
      <c r="N581" s="1746">
        <v>1924.7411999999999</v>
      </c>
      <c r="O581" s="1747"/>
      <c r="P581" s="1720"/>
    </row>
    <row r="582" spans="1:16" ht="13.9" hidden="1" customHeight="1" outlineLevel="3" x14ac:dyDescent="0.2">
      <c r="A582" s="459">
        <v>0</v>
      </c>
      <c r="B582" s="459">
        <v>7</v>
      </c>
      <c r="C582" s="459">
        <v>2</v>
      </c>
      <c r="D582" s="460">
        <v>1</v>
      </c>
      <c r="E582" s="460">
        <v>1</v>
      </c>
      <c r="G582" s="1748" t="s">
        <v>18</v>
      </c>
      <c r="H582" s="1749" t="s">
        <v>1239</v>
      </c>
      <c r="I582" s="1750" t="s">
        <v>6604</v>
      </c>
      <c r="J582" s="1751" t="s">
        <v>3287</v>
      </c>
      <c r="K582" s="1752" t="s">
        <v>1130</v>
      </c>
      <c r="L582" s="1753">
        <v>1</v>
      </c>
      <c r="M582" s="1753">
        <v>1924.7411999999999</v>
      </c>
      <c r="N582" s="1754">
        <v>1924.7411999999999</v>
      </c>
      <c r="O582" s="1755" t="s">
        <v>3285</v>
      </c>
      <c r="P582" s="1721" t="s">
        <v>9611</v>
      </c>
    </row>
    <row r="583" spans="1:16" ht="13.9" hidden="1" customHeight="1" outlineLevel="2" x14ac:dyDescent="0.2">
      <c r="A583" s="459">
        <v>0</v>
      </c>
      <c r="B583" s="459">
        <v>7</v>
      </c>
      <c r="C583" s="459">
        <v>2</v>
      </c>
      <c r="D583" s="460">
        <v>2</v>
      </c>
      <c r="E583" s="460">
        <v>0</v>
      </c>
      <c r="G583" s="1764"/>
      <c r="H583" s="1741" t="s">
        <v>1238</v>
      </c>
      <c r="I583" s="1742" t="s">
        <v>6605</v>
      </c>
      <c r="J583" s="1743" t="s">
        <v>2796</v>
      </c>
      <c r="K583" s="1744"/>
      <c r="L583" s="1745"/>
      <c r="M583" s="1745"/>
      <c r="N583" s="1746">
        <v>7851.9489999308698</v>
      </c>
      <c r="O583" s="1747"/>
      <c r="P583" s="1720"/>
    </row>
    <row r="584" spans="1:16" ht="13.9" hidden="1" customHeight="1" outlineLevel="3" x14ac:dyDescent="0.2">
      <c r="A584" s="459">
        <v>0</v>
      </c>
      <c r="B584" s="459">
        <v>7</v>
      </c>
      <c r="C584" s="459">
        <v>2</v>
      </c>
      <c r="D584" s="460">
        <v>2</v>
      </c>
      <c r="E584" s="460">
        <v>1</v>
      </c>
      <c r="G584" s="1748" t="s">
        <v>18</v>
      </c>
      <c r="H584" s="1749" t="s">
        <v>1239</v>
      </c>
      <c r="I584" s="1750" t="s">
        <v>6606</v>
      </c>
      <c r="J584" s="1751" t="s">
        <v>2796</v>
      </c>
      <c r="K584" s="1752" t="s">
        <v>1130</v>
      </c>
      <c r="L584" s="1753">
        <v>1</v>
      </c>
      <c r="M584" s="1753">
        <v>7851.9489999308698</v>
      </c>
      <c r="N584" s="1754">
        <v>7851.9489999308698</v>
      </c>
      <c r="O584" s="1755" t="s">
        <v>3285</v>
      </c>
      <c r="P584" s="1721" t="s">
        <v>9611</v>
      </c>
    </row>
    <row r="585" spans="1:16" ht="13.9" hidden="1" customHeight="1" outlineLevel="2" x14ac:dyDescent="0.2">
      <c r="A585" s="459">
        <v>0</v>
      </c>
      <c r="B585" s="459">
        <v>7</v>
      </c>
      <c r="C585" s="459">
        <v>2</v>
      </c>
      <c r="D585" s="460">
        <v>3</v>
      </c>
      <c r="E585" s="460">
        <v>0</v>
      </c>
      <c r="G585" s="1764"/>
      <c r="H585" s="1741" t="s">
        <v>1238</v>
      </c>
      <c r="I585" s="1742" t="s">
        <v>6607</v>
      </c>
      <c r="J585" s="1743" t="s">
        <v>2797</v>
      </c>
      <c r="K585" s="1744"/>
      <c r="L585" s="1745"/>
      <c r="M585" s="1745"/>
      <c r="N585" s="1746">
        <v>252</v>
      </c>
      <c r="O585" s="1747"/>
      <c r="P585" s="1720"/>
    </row>
    <row r="586" spans="1:16" ht="13.9" hidden="1" customHeight="1" outlineLevel="3" x14ac:dyDescent="0.2">
      <c r="A586" s="459">
        <v>0</v>
      </c>
      <c r="B586" s="459">
        <v>7</v>
      </c>
      <c r="C586" s="459">
        <v>2</v>
      </c>
      <c r="D586" s="460">
        <v>3</v>
      </c>
      <c r="E586" s="460">
        <v>1</v>
      </c>
      <c r="G586" s="1748" t="s">
        <v>18</v>
      </c>
      <c r="H586" s="1749" t="s">
        <v>1239</v>
      </c>
      <c r="I586" s="1750" t="s">
        <v>6608</v>
      </c>
      <c r="J586" s="1751" t="s">
        <v>2797</v>
      </c>
      <c r="K586" s="1752" t="s">
        <v>1130</v>
      </c>
      <c r="L586" s="1753">
        <v>1</v>
      </c>
      <c r="M586" s="1753">
        <v>252</v>
      </c>
      <c r="N586" s="1754">
        <v>252</v>
      </c>
      <c r="O586" s="1755" t="s">
        <v>3288</v>
      </c>
      <c r="P586" s="1721" t="s">
        <v>9611</v>
      </c>
    </row>
    <row r="587" spans="1:16" ht="13.9" hidden="1" customHeight="1" outlineLevel="2" x14ac:dyDescent="0.2">
      <c r="A587" s="459">
        <v>0</v>
      </c>
      <c r="B587" s="459">
        <v>7</v>
      </c>
      <c r="C587" s="459">
        <v>2</v>
      </c>
      <c r="D587" s="460">
        <v>4</v>
      </c>
      <c r="E587" s="460">
        <v>0</v>
      </c>
      <c r="G587" s="1764"/>
      <c r="H587" s="1741" t="s">
        <v>1238</v>
      </c>
      <c r="I587" s="1742" t="s">
        <v>6609</v>
      </c>
      <c r="J587" s="1743" t="s">
        <v>1256</v>
      </c>
      <c r="K587" s="1744"/>
      <c r="L587" s="1745"/>
      <c r="M587" s="1745"/>
      <c r="N587" s="1746">
        <v>46466.7</v>
      </c>
      <c r="O587" s="1747"/>
      <c r="P587" s="1720"/>
    </row>
    <row r="588" spans="1:16" ht="13.9" hidden="1" customHeight="1" outlineLevel="3" x14ac:dyDescent="0.2">
      <c r="A588" s="459">
        <v>0</v>
      </c>
      <c r="B588" s="459">
        <v>7</v>
      </c>
      <c r="C588" s="459">
        <v>2</v>
      </c>
      <c r="D588" s="460">
        <v>4</v>
      </c>
      <c r="E588" s="460">
        <v>1</v>
      </c>
      <c r="G588" s="1748" t="s">
        <v>18</v>
      </c>
      <c r="H588" s="1749" t="s">
        <v>1239</v>
      </c>
      <c r="I588" s="1750" t="s">
        <v>6610</v>
      </c>
      <c r="J588" s="1751" t="s">
        <v>1257</v>
      </c>
      <c r="K588" s="1752" t="s">
        <v>1130</v>
      </c>
      <c r="L588" s="1753">
        <v>1</v>
      </c>
      <c r="M588" s="1753">
        <v>46466.7</v>
      </c>
      <c r="N588" s="1754">
        <v>46466.7</v>
      </c>
      <c r="O588" s="1761" t="s">
        <v>5458</v>
      </c>
      <c r="P588" s="1721" t="s">
        <v>9611</v>
      </c>
    </row>
    <row r="589" spans="1:16" ht="13.9" hidden="1" customHeight="1" outlineLevel="1" x14ac:dyDescent="0.2">
      <c r="A589" s="459">
        <v>0</v>
      </c>
      <c r="B589" s="459">
        <v>7</v>
      </c>
      <c r="C589" s="459">
        <v>3</v>
      </c>
      <c r="D589" s="460">
        <v>0</v>
      </c>
      <c r="E589" s="460">
        <v>1</v>
      </c>
      <c r="G589" s="1733"/>
      <c r="H589" s="1734" t="s">
        <v>39</v>
      </c>
      <c r="I589" s="1735" t="s">
        <v>6611</v>
      </c>
      <c r="J589" s="1736" t="s">
        <v>3291</v>
      </c>
      <c r="K589" s="1737"/>
      <c r="L589" s="1738"/>
      <c r="M589" s="1738"/>
      <c r="N589" s="1739">
        <v>58401.67</v>
      </c>
      <c r="O589" s="1722"/>
      <c r="P589" s="1725"/>
    </row>
    <row r="590" spans="1:16" ht="13.9" hidden="1" customHeight="1" outlineLevel="2" x14ac:dyDescent="0.2">
      <c r="A590" s="459">
        <v>0</v>
      </c>
      <c r="B590" s="459">
        <v>7</v>
      </c>
      <c r="C590" s="459">
        <v>3</v>
      </c>
      <c r="D590" s="460">
        <v>1</v>
      </c>
      <c r="E590" s="460">
        <v>0</v>
      </c>
      <c r="G590" s="1764"/>
      <c r="H590" s="1741" t="s">
        <v>1238</v>
      </c>
      <c r="I590" s="1742" t="s">
        <v>6612</v>
      </c>
      <c r="J590" s="1743" t="s">
        <v>2521</v>
      </c>
      <c r="K590" s="1744"/>
      <c r="L590" s="1745"/>
      <c r="M590" s="1745"/>
      <c r="N590" s="1746">
        <v>5667.7969999999996</v>
      </c>
      <c r="O590" s="1747"/>
      <c r="P590" s="1720"/>
    </row>
    <row r="591" spans="1:16" ht="13.9" hidden="1" customHeight="1" outlineLevel="3" x14ac:dyDescent="0.2">
      <c r="A591" s="459">
        <v>0</v>
      </c>
      <c r="B591" s="459">
        <v>7</v>
      </c>
      <c r="C591" s="459">
        <v>3</v>
      </c>
      <c r="D591" s="460">
        <v>1</v>
      </c>
      <c r="E591" s="460">
        <v>1</v>
      </c>
      <c r="G591" s="1748" t="s">
        <v>18</v>
      </c>
      <c r="H591" s="1749" t="s">
        <v>1239</v>
      </c>
      <c r="I591" s="1750" t="s">
        <v>6613</v>
      </c>
      <c r="J591" s="1751" t="s">
        <v>3287</v>
      </c>
      <c r="K591" s="1752" t="s">
        <v>1130</v>
      </c>
      <c r="L591" s="1753">
        <v>1</v>
      </c>
      <c r="M591" s="1753">
        <v>5667.7970000000005</v>
      </c>
      <c r="N591" s="1754">
        <v>5667.7969999999996</v>
      </c>
      <c r="O591" s="1755" t="s">
        <v>3285</v>
      </c>
      <c r="P591" s="1721" t="s">
        <v>9611</v>
      </c>
    </row>
    <row r="592" spans="1:16" ht="13.9" hidden="1" customHeight="1" outlineLevel="2" x14ac:dyDescent="0.2">
      <c r="A592" s="459">
        <v>0</v>
      </c>
      <c r="B592" s="459">
        <v>7</v>
      </c>
      <c r="C592" s="459">
        <v>3</v>
      </c>
      <c r="D592" s="460">
        <v>2</v>
      </c>
      <c r="E592" s="460">
        <v>0</v>
      </c>
      <c r="G592" s="1764"/>
      <c r="H592" s="1741" t="s">
        <v>1238</v>
      </c>
      <c r="I592" s="1742" t="s">
        <v>6614</v>
      </c>
      <c r="J592" s="1743" t="s">
        <v>2796</v>
      </c>
      <c r="K592" s="1744"/>
      <c r="L592" s="1745"/>
      <c r="M592" s="1745"/>
      <c r="N592" s="1746">
        <v>1528.873</v>
      </c>
      <c r="O592" s="1747"/>
      <c r="P592" s="1720"/>
    </row>
    <row r="593" spans="1:16" ht="13.9" hidden="1" customHeight="1" outlineLevel="3" x14ac:dyDescent="0.2">
      <c r="A593" s="459">
        <v>0</v>
      </c>
      <c r="B593" s="459">
        <v>7</v>
      </c>
      <c r="C593" s="459">
        <v>3</v>
      </c>
      <c r="D593" s="460">
        <v>2</v>
      </c>
      <c r="E593" s="460">
        <v>1</v>
      </c>
      <c r="G593" s="1748" t="s">
        <v>18</v>
      </c>
      <c r="H593" s="1749" t="s">
        <v>1239</v>
      </c>
      <c r="I593" s="1750" t="s">
        <v>6615</v>
      </c>
      <c r="J593" s="1751" t="s">
        <v>2796</v>
      </c>
      <c r="K593" s="1752" t="s">
        <v>1130</v>
      </c>
      <c r="L593" s="1753">
        <v>1</v>
      </c>
      <c r="M593" s="1753">
        <v>1528.8729999999998</v>
      </c>
      <c r="N593" s="1754">
        <v>1528.873</v>
      </c>
      <c r="O593" s="1755" t="s">
        <v>3285</v>
      </c>
      <c r="P593" s="1721" t="s">
        <v>9611</v>
      </c>
    </row>
    <row r="594" spans="1:16" ht="13.9" hidden="1" customHeight="1" outlineLevel="2" x14ac:dyDescent="0.2">
      <c r="A594" s="459">
        <v>0</v>
      </c>
      <c r="B594" s="459">
        <v>7</v>
      </c>
      <c r="C594" s="459">
        <v>3</v>
      </c>
      <c r="D594" s="460">
        <v>3</v>
      </c>
      <c r="E594" s="460">
        <v>0</v>
      </c>
      <c r="G594" s="1764"/>
      <c r="H594" s="1741" t="s">
        <v>1238</v>
      </c>
      <c r="I594" s="1742" t="s">
        <v>6616</v>
      </c>
      <c r="J594" s="1743" t="s">
        <v>2797</v>
      </c>
      <c r="K594" s="1744"/>
      <c r="L594" s="1745"/>
      <c r="M594" s="1745"/>
      <c r="N594" s="1746">
        <v>252</v>
      </c>
      <c r="O594" s="1747"/>
      <c r="P594" s="1720"/>
    </row>
    <row r="595" spans="1:16" ht="13.9" hidden="1" customHeight="1" outlineLevel="3" x14ac:dyDescent="0.2">
      <c r="A595" s="459">
        <v>0</v>
      </c>
      <c r="B595" s="459">
        <v>7</v>
      </c>
      <c r="C595" s="459">
        <v>3</v>
      </c>
      <c r="D595" s="460">
        <v>3</v>
      </c>
      <c r="E595" s="460">
        <v>1</v>
      </c>
      <c r="G595" s="1748" t="s">
        <v>18</v>
      </c>
      <c r="H595" s="1749" t="s">
        <v>1239</v>
      </c>
      <c r="I595" s="1750" t="s">
        <v>6617</v>
      </c>
      <c r="J595" s="1751" t="s">
        <v>2797</v>
      </c>
      <c r="K595" s="1752" t="s">
        <v>1130</v>
      </c>
      <c r="L595" s="1753">
        <v>1</v>
      </c>
      <c r="M595" s="1753">
        <v>252</v>
      </c>
      <c r="N595" s="1754">
        <v>252</v>
      </c>
      <c r="O595" s="1755" t="s">
        <v>3288</v>
      </c>
      <c r="P595" s="1721" t="s">
        <v>9611</v>
      </c>
    </row>
    <row r="596" spans="1:16" ht="13.9" hidden="1" customHeight="1" outlineLevel="2" x14ac:dyDescent="0.2">
      <c r="A596" s="459">
        <v>0</v>
      </c>
      <c r="B596" s="459">
        <v>7</v>
      </c>
      <c r="C596" s="459">
        <v>3</v>
      </c>
      <c r="D596" s="460">
        <v>4</v>
      </c>
      <c r="E596" s="460">
        <v>0</v>
      </c>
      <c r="G596" s="1764"/>
      <c r="H596" s="1741" t="s">
        <v>1238</v>
      </c>
      <c r="I596" s="1742" t="s">
        <v>6618</v>
      </c>
      <c r="J596" s="1743" t="s">
        <v>1256</v>
      </c>
      <c r="K596" s="1744"/>
      <c r="L596" s="1745"/>
      <c r="M596" s="1745"/>
      <c r="N596" s="1746">
        <v>50953</v>
      </c>
      <c r="O596" s="1747"/>
      <c r="P596" s="1720"/>
    </row>
    <row r="597" spans="1:16" ht="13.9" hidden="1" customHeight="1" outlineLevel="3" x14ac:dyDescent="0.2">
      <c r="A597" s="459">
        <v>0</v>
      </c>
      <c r="B597" s="459">
        <v>7</v>
      </c>
      <c r="C597" s="459">
        <v>3</v>
      </c>
      <c r="D597" s="460">
        <v>4</v>
      </c>
      <c r="E597" s="460">
        <v>1</v>
      </c>
      <c r="G597" s="1748" t="s">
        <v>18</v>
      </c>
      <c r="H597" s="1749" t="s">
        <v>1239</v>
      </c>
      <c r="I597" s="1750" t="s">
        <v>6619</v>
      </c>
      <c r="J597" s="1751" t="s">
        <v>1257</v>
      </c>
      <c r="K597" s="1752" t="s">
        <v>1130</v>
      </c>
      <c r="L597" s="1753">
        <v>1</v>
      </c>
      <c r="M597" s="1753">
        <v>50953</v>
      </c>
      <c r="N597" s="1754">
        <v>50953</v>
      </c>
      <c r="O597" s="1761" t="s">
        <v>5458</v>
      </c>
      <c r="P597" s="1721" t="s">
        <v>9611</v>
      </c>
    </row>
    <row r="598" spans="1:16" ht="13.9" hidden="1" customHeight="1" outlineLevel="1" x14ac:dyDescent="0.2">
      <c r="A598" s="459">
        <v>0</v>
      </c>
      <c r="B598" s="459">
        <v>7</v>
      </c>
      <c r="C598" s="459">
        <v>4</v>
      </c>
      <c r="D598" s="460">
        <v>0</v>
      </c>
      <c r="E598" s="460">
        <v>1</v>
      </c>
      <c r="G598" s="1733"/>
      <c r="H598" s="1734" t="s">
        <v>39</v>
      </c>
      <c r="I598" s="1735" t="s">
        <v>6620</v>
      </c>
      <c r="J598" s="1736" t="s">
        <v>3292</v>
      </c>
      <c r="K598" s="1737"/>
      <c r="L598" s="1738"/>
      <c r="M598" s="1738"/>
      <c r="N598" s="1739">
        <v>62749.544399999999</v>
      </c>
      <c r="O598" s="1722"/>
      <c r="P598" s="1725"/>
    </row>
    <row r="599" spans="1:16" ht="13.9" hidden="1" customHeight="1" outlineLevel="2" x14ac:dyDescent="0.2">
      <c r="A599" s="459">
        <v>0</v>
      </c>
      <c r="B599" s="459">
        <v>7</v>
      </c>
      <c r="C599" s="459">
        <v>4</v>
      </c>
      <c r="D599" s="460">
        <v>1</v>
      </c>
      <c r="E599" s="460">
        <v>0</v>
      </c>
      <c r="G599" s="1764"/>
      <c r="H599" s="1741" t="s">
        <v>1238</v>
      </c>
      <c r="I599" s="1742" t="s">
        <v>6621</v>
      </c>
      <c r="J599" s="1743" t="s">
        <v>2521</v>
      </c>
      <c r="K599" s="1744"/>
      <c r="L599" s="1745"/>
      <c r="M599" s="1745"/>
      <c r="N599" s="1746">
        <v>5933.3770000000004</v>
      </c>
      <c r="O599" s="1747"/>
      <c r="P599" s="1720"/>
    </row>
    <row r="600" spans="1:16" ht="13.9" hidden="1" customHeight="1" outlineLevel="3" x14ac:dyDescent="0.2">
      <c r="A600" s="459">
        <v>0</v>
      </c>
      <c r="B600" s="459">
        <v>7</v>
      </c>
      <c r="C600" s="459">
        <v>4</v>
      </c>
      <c r="D600" s="460">
        <v>1</v>
      </c>
      <c r="E600" s="460">
        <v>1</v>
      </c>
      <c r="G600" s="1748" t="s">
        <v>18</v>
      </c>
      <c r="H600" s="1749" t="s">
        <v>1239</v>
      </c>
      <c r="I600" s="1750" t="s">
        <v>6622</v>
      </c>
      <c r="J600" s="1751" t="s">
        <v>3287</v>
      </c>
      <c r="K600" s="1752" t="s">
        <v>1130</v>
      </c>
      <c r="L600" s="1753">
        <v>1</v>
      </c>
      <c r="M600" s="1753">
        <v>5933.3770000000004</v>
      </c>
      <c r="N600" s="1754">
        <v>5933.3770000000004</v>
      </c>
      <c r="O600" s="1755" t="s">
        <v>3285</v>
      </c>
      <c r="P600" s="1721" t="s">
        <v>9611</v>
      </c>
    </row>
    <row r="601" spans="1:16" ht="13.9" hidden="1" customHeight="1" outlineLevel="2" x14ac:dyDescent="0.2">
      <c r="A601" s="459">
        <v>0</v>
      </c>
      <c r="B601" s="459">
        <v>7</v>
      </c>
      <c r="C601" s="459">
        <v>4</v>
      </c>
      <c r="D601" s="460">
        <v>2</v>
      </c>
      <c r="E601" s="460">
        <v>0</v>
      </c>
      <c r="G601" s="1764"/>
      <c r="H601" s="1741" t="s">
        <v>1238</v>
      </c>
      <c r="I601" s="1742" t="s">
        <v>6623</v>
      </c>
      <c r="J601" s="1743" t="s">
        <v>2796</v>
      </c>
      <c r="K601" s="1744"/>
      <c r="L601" s="1745"/>
      <c r="M601" s="1745"/>
      <c r="N601" s="1746">
        <v>5611.1674000000003</v>
      </c>
      <c r="O601" s="1747"/>
      <c r="P601" s="1720"/>
    </row>
    <row r="602" spans="1:16" ht="13.9" hidden="1" customHeight="1" outlineLevel="3" x14ac:dyDescent="0.2">
      <c r="A602" s="459">
        <v>0</v>
      </c>
      <c r="B602" s="459">
        <v>7</v>
      </c>
      <c r="C602" s="459">
        <v>4</v>
      </c>
      <c r="D602" s="460">
        <v>2</v>
      </c>
      <c r="E602" s="460">
        <v>1</v>
      </c>
      <c r="G602" s="1748" t="s">
        <v>18</v>
      </c>
      <c r="H602" s="1749" t="s">
        <v>1239</v>
      </c>
      <c r="I602" s="1750" t="s">
        <v>6624</v>
      </c>
      <c r="J602" s="1751" t="s">
        <v>2796</v>
      </c>
      <c r="K602" s="1752" t="s">
        <v>1130</v>
      </c>
      <c r="L602" s="1753">
        <v>1</v>
      </c>
      <c r="M602" s="1753">
        <v>5611.1674000000003</v>
      </c>
      <c r="N602" s="1754">
        <v>5611.1674000000003</v>
      </c>
      <c r="O602" s="1755" t="s">
        <v>3285</v>
      </c>
      <c r="P602" s="1721" t="s">
        <v>9611</v>
      </c>
    </row>
    <row r="603" spans="1:16" ht="13.9" hidden="1" customHeight="1" outlineLevel="2" x14ac:dyDescent="0.2">
      <c r="A603" s="459">
        <v>0</v>
      </c>
      <c r="B603" s="459">
        <v>7</v>
      </c>
      <c r="C603" s="459">
        <v>4</v>
      </c>
      <c r="D603" s="460">
        <v>3</v>
      </c>
      <c r="E603" s="460">
        <v>0</v>
      </c>
      <c r="G603" s="1764"/>
      <c r="H603" s="1741" t="s">
        <v>1238</v>
      </c>
      <c r="I603" s="1742" t="s">
        <v>6625</v>
      </c>
      <c r="J603" s="1743" t="s">
        <v>2797</v>
      </c>
      <c r="K603" s="1744"/>
      <c r="L603" s="1745"/>
      <c r="M603" s="1745"/>
      <c r="N603" s="1746">
        <v>252</v>
      </c>
      <c r="O603" s="1747"/>
      <c r="P603" s="1720"/>
    </row>
    <row r="604" spans="1:16" ht="13.9" hidden="1" customHeight="1" outlineLevel="3" x14ac:dyDescent="0.2">
      <c r="A604" s="459">
        <v>0</v>
      </c>
      <c r="B604" s="459">
        <v>7</v>
      </c>
      <c r="C604" s="459">
        <v>4</v>
      </c>
      <c r="D604" s="460">
        <v>3</v>
      </c>
      <c r="E604" s="460">
        <v>1</v>
      </c>
      <c r="G604" s="1748" t="s">
        <v>18</v>
      </c>
      <c r="H604" s="1749" t="s">
        <v>1239</v>
      </c>
      <c r="I604" s="1750" t="s">
        <v>6626</v>
      </c>
      <c r="J604" s="1751" t="s">
        <v>2797</v>
      </c>
      <c r="K604" s="1752" t="s">
        <v>1130</v>
      </c>
      <c r="L604" s="1753">
        <v>1</v>
      </c>
      <c r="M604" s="1753">
        <v>252</v>
      </c>
      <c r="N604" s="1754">
        <v>252</v>
      </c>
      <c r="O604" s="1755" t="s">
        <v>3288</v>
      </c>
      <c r="P604" s="1721" t="s">
        <v>9611</v>
      </c>
    </row>
    <row r="605" spans="1:16" ht="13.9" hidden="1" customHeight="1" outlineLevel="2" x14ac:dyDescent="0.2">
      <c r="A605" s="459">
        <v>0</v>
      </c>
      <c r="B605" s="459">
        <v>7</v>
      </c>
      <c r="C605" s="459">
        <v>4</v>
      </c>
      <c r="D605" s="460">
        <v>4</v>
      </c>
      <c r="E605" s="460">
        <v>0</v>
      </c>
      <c r="G605" s="1764"/>
      <c r="H605" s="1741" t="s">
        <v>1238</v>
      </c>
      <c r="I605" s="1742" t="s">
        <v>6627</v>
      </c>
      <c r="J605" s="1743" t="s">
        <v>1256</v>
      </c>
      <c r="K605" s="1744"/>
      <c r="L605" s="1745"/>
      <c r="M605" s="1745"/>
      <c r="N605" s="1746">
        <v>50953</v>
      </c>
      <c r="O605" s="1747"/>
      <c r="P605" s="1720"/>
    </row>
    <row r="606" spans="1:16" ht="13.9" hidden="1" customHeight="1" outlineLevel="3" x14ac:dyDescent="0.2">
      <c r="A606" s="459">
        <v>0</v>
      </c>
      <c r="B606" s="459">
        <v>7</v>
      </c>
      <c r="C606" s="459">
        <v>4</v>
      </c>
      <c r="D606" s="460">
        <v>4</v>
      </c>
      <c r="E606" s="460">
        <v>1</v>
      </c>
      <c r="G606" s="1748" t="s">
        <v>18</v>
      </c>
      <c r="H606" s="1749" t="s">
        <v>1239</v>
      </c>
      <c r="I606" s="1750" t="s">
        <v>6628</v>
      </c>
      <c r="J606" s="1751" t="s">
        <v>1257</v>
      </c>
      <c r="K606" s="1752" t="s">
        <v>1130</v>
      </c>
      <c r="L606" s="1753">
        <v>1</v>
      </c>
      <c r="M606" s="1753">
        <v>50953</v>
      </c>
      <c r="N606" s="1754">
        <v>50953</v>
      </c>
      <c r="O606" s="1761" t="s">
        <v>5458</v>
      </c>
      <c r="P606" s="1721" t="s">
        <v>9611</v>
      </c>
    </row>
    <row r="607" spans="1:16" ht="13.9" hidden="1" customHeight="1" outlineLevel="1" x14ac:dyDescent="0.2">
      <c r="A607" s="459">
        <v>0</v>
      </c>
      <c r="B607" s="459">
        <v>7</v>
      </c>
      <c r="C607" s="459">
        <v>5</v>
      </c>
      <c r="D607" s="460">
        <v>0</v>
      </c>
      <c r="E607" s="460">
        <v>1</v>
      </c>
      <c r="G607" s="1733"/>
      <c r="H607" s="1734" t="s">
        <v>39</v>
      </c>
      <c r="I607" s="1735" t="s">
        <v>6629</v>
      </c>
      <c r="J607" s="1736" t="s">
        <v>3293</v>
      </c>
      <c r="K607" s="1737"/>
      <c r="L607" s="1738"/>
      <c r="M607" s="1738"/>
      <c r="N607" s="1739">
        <v>54662.768300000003</v>
      </c>
      <c r="O607" s="1722"/>
      <c r="P607" s="1725"/>
    </row>
    <row r="608" spans="1:16" ht="13.9" hidden="1" customHeight="1" outlineLevel="2" x14ac:dyDescent="0.2">
      <c r="A608" s="459">
        <v>0</v>
      </c>
      <c r="B608" s="459">
        <v>7</v>
      </c>
      <c r="C608" s="459">
        <v>5</v>
      </c>
      <c r="D608" s="460">
        <v>1</v>
      </c>
      <c r="E608" s="460">
        <v>0</v>
      </c>
      <c r="G608" s="1764"/>
      <c r="H608" s="1741" t="s">
        <v>1238</v>
      </c>
      <c r="I608" s="1742" t="s">
        <v>6630</v>
      </c>
      <c r="J608" s="1743" t="s">
        <v>2521</v>
      </c>
      <c r="K608" s="1744"/>
      <c r="L608" s="1745"/>
      <c r="M608" s="1745"/>
      <c r="N608" s="1746">
        <v>943.60789999999997</v>
      </c>
      <c r="O608" s="1747"/>
      <c r="P608" s="1720"/>
    </row>
    <row r="609" spans="1:16" ht="13.9" hidden="1" customHeight="1" outlineLevel="3" x14ac:dyDescent="0.2">
      <c r="A609" s="459">
        <v>0</v>
      </c>
      <c r="B609" s="459">
        <v>7</v>
      </c>
      <c r="C609" s="459">
        <v>5</v>
      </c>
      <c r="D609" s="460">
        <v>1</v>
      </c>
      <c r="E609" s="460">
        <v>1</v>
      </c>
      <c r="G609" s="1748" t="s">
        <v>18</v>
      </c>
      <c r="H609" s="1749" t="s">
        <v>1239</v>
      </c>
      <c r="I609" s="1750" t="s">
        <v>6631</v>
      </c>
      <c r="J609" s="1751" t="s">
        <v>3287</v>
      </c>
      <c r="K609" s="1752" t="s">
        <v>1130</v>
      </c>
      <c r="L609" s="1753">
        <v>1</v>
      </c>
      <c r="M609" s="1753">
        <v>943.60789999999997</v>
      </c>
      <c r="N609" s="1754">
        <v>943.60789999999997</v>
      </c>
      <c r="O609" s="1755" t="s">
        <v>3285</v>
      </c>
      <c r="P609" s="1721" t="s">
        <v>9611</v>
      </c>
    </row>
    <row r="610" spans="1:16" ht="13.9" hidden="1" customHeight="1" outlineLevel="2" x14ac:dyDescent="0.2">
      <c r="A610" s="459">
        <v>0</v>
      </c>
      <c r="B610" s="459">
        <v>7</v>
      </c>
      <c r="C610" s="459">
        <v>5</v>
      </c>
      <c r="D610" s="460">
        <v>2</v>
      </c>
      <c r="E610" s="460">
        <v>0</v>
      </c>
      <c r="G610" s="1764"/>
      <c r="H610" s="1741" t="s">
        <v>1238</v>
      </c>
      <c r="I610" s="1742" t="s">
        <v>6632</v>
      </c>
      <c r="J610" s="1743" t="s">
        <v>2796</v>
      </c>
      <c r="K610" s="1744"/>
      <c r="L610" s="1745"/>
      <c r="M610" s="1745"/>
      <c r="N610" s="1746">
        <v>2514.1604000000002</v>
      </c>
      <c r="O610" s="1747"/>
      <c r="P610" s="1720"/>
    </row>
    <row r="611" spans="1:16" ht="13.9" hidden="1" customHeight="1" outlineLevel="3" x14ac:dyDescent="0.2">
      <c r="A611" s="459">
        <v>0</v>
      </c>
      <c r="B611" s="459">
        <v>7</v>
      </c>
      <c r="C611" s="459">
        <v>5</v>
      </c>
      <c r="D611" s="460">
        <v>2</v>
      </c>
      <c r="E611" s="460">
        <v>1</v>
      </c>
      <c r="G611" s="1748" t="s">
        <v>18</v>
      </c>
      <c r="H611" s="1749" t="s">
        <v>1239</v>
      </c>
      <c r="I611" s="1750" t="s">
        <v>6633</v>
      </c>
      <c r="J611" s="1751" t="s">
        <v>2796</v>
      </c>
      <c r="K611" s="1752" t="s">
        <v>1130</v>
      </c>
      <c r="L611" s="1753">
        <v>1</v>
      </c>
      <c r="M611" s="1753">
        <v>2514.1604000000002</v>
      </c>
      <c r="N611" s="1754">
        <v>2514.1604000000002</v>
      </c>
      <c r="O611" s="1755" t="s">
        <v>3285</v>
      </c>
      <c r="P611" s="1721" t="s">
        <v>9611</v>
      </c>
    </row>
    <row r="612" spans="1:16" ht="13.9" hidden="1" customHeight="1" outlineLevel="2" x14ac:dyDescent="0.2">
      <c r="A612" s="459">
        <v>0</v>
      </c>
      <c r="B612" s="459">
        <v>7</v>
      </c>
      <c r="C612" s="459">
        <v>5</v>
      </c>
      <c r="D612" s="460">
        <v>3</v>
      </c>
      <c r="E612" s="460">
        <v>0</v>
      </c>
      <c r="G612" s="1764"/>
      <c r="H612" s="1741" t="s">
        <v>1238</v>
      </c>
      <c r="I612" s="1742" t="s">
        <v>6634</v>
      </c>
      <c r="J612" s="1743" t="s">
        <v>2797</v>
      </c>
      <c r="K612" s="1744"/>
      <c r="L612" s="1745"/>
      <c r="M612" s="1745"/>
      <c r="N612" s="1746">
        <v>252</v>
      </c>
      <c r="O612" s="1747"/>
      <c r="P612" s="1720"/>
    </row>
    <row r="613" spans="1:16" ht="13.9" hidden="1" customHeight="1" outlineLevel="3" x14ac:dyDescent="0.2">
      <c r="A613" s="459">
        <v>0</v>
      </c>
      <c r="B613" s="459">
        <v>7</v>
      </c>
      <c r="C613" s="459">
        <v>5</v>
      </c>
      <c r="D613" s="460">
        <v>3</v>
      </c>
      <c r="E613" s="460">
        <v>1</v>
      </c>
      <c r="G613" s="1748" t="s">
        <v>18</v>
      </c>
      <c r="H613" s="1749" t="s">
        <v>1239</v>
      </c>
      <c r="I613" s="1750" t="s">
        <v>6635</v>
      </c>
      <c r="J613" s="1751" t="s">
        <v>2797</v>
      </c>
      <c r="K613" s="1752" t="s">
        <v>1130</v>
      </c>
      <c r="L613" s="1753">
        <v>1</v>
      </c>
      <c r="M613" s="1753">
        <v>252</v>
      </c>
      <c r="N613" s="1754">
        <v>252</v>
      </c>
      <c r="O613" s="1755" t="s">
        <v>3288</v>
      </c>
      <c r="P613" s="1721" t="s">
        <v>9611</v>
      </c>
    </row>
    <row r="614" spans="1:16" ht="13.9" hidden="1" customHeight="1" outlineLevel="2" x14ac:dyDescent="0.2">
      <c r="A614" s="459">
        <v>0</v>
      </c>
      <c r="B614" s="459">
        <v>7</v>
      </c>
      <c r="C614" s="459">
        <v>5</v>
      </c>
      <c r="D614" s="460">
        <v>4</v>
      </c>
      <c r="E614" s="460">
        <v>0</v>
      </c>
      <c r="G614" s="1764"/>
      <c r="H614" s="1741" t="s">
        <v>1238</v>
      </c>
      <c r="I614" s="1742" t="s">
        <v>6636</v>
      </c>
      <c r="J614" s="1743" t="s">
        <v>1256</v>
      </c>
      <c r="K614" s="1744"/>
      <c r="L614" s="1745"/>
      <c r="M614" s="1745"/>
      <c r="N614" s="1746">
        <v>50953</v>
      </c>
      <c r="O614" s="1747"/>
      <c r="P614" s="1720"/>
    </row>
    <row r="615" spans="1:16" ht="13.9" hidden="1" customHeight="1" outlineLevel="3" x14ac:dyDescent="0.2">
      <c r="A615" s="459">
        <v>0</v>
      </c>
      <c r="B615" s="459">
        <v>7</v>
      </c>
      <c r="C615" s="459">
        <v>5</v>
      </c>
      <c r="D615" s="460">
        <v>4</v>
      </c>
      <c r="E615" s="460">
        <v>1</v>
      </c>
      <c r="G615" s="1748" t="s">
        <v>18</v>
      </c>
      <c r="H615" s="1749" t="s">
        <v>1239</v>
      </c>
      <c r="I615" s="1750" t="s">
        <v>6637</v>
      </c>
      <c r="J615" s="1751" t="s">
        <v>1257</v>
      </c>
      <c r="K615" s="1752" t="s">
        <v>1130</v>
      </c>
      <c r="L615" s="1753">
        <v>1</v>
      </c>
      <c r="M615" s="1753">
        <v>50953</v>
      </c>
      <c r="N615" s="1754">
        <v>50953</v>
      </c>
      <c r="O615" s="1761" t="s">
        <v>5458</v>
      </c>
      <c r="P615" s="1721" t="s">
        <v>9611</v>
      </c>
    </row>
    <row r="616" spans="1:16" ht="13.9" hidden="1" customHeight="1" outlineLevel="1" x14ac:dyDescent="0.2">
      <c r="A616" s="459">
        <v>0</v>
      </c>
      <c r="B616" s="459">
        <v>7</v>
      </c>
      <c r="C616" s="459">
        <v>6</v>
      </c>
      <c r="D616" s="460">
        <v>0</v>
      </c>
      <c r="E616" s="460">
        <v>1</v>
      </c>
      <c r="G616" s="1733"/>
      <c r="H616" s="1734" t="s">
        <v>39</v>
      </c>
      <c r="I616" s="1735" t="s">
        <v>6638</v>
      </c>
      <c r="J616" s="1736" t="s">
        <v>3294</v>
      </c>
      <c r="K616" s="1737"/>
      <c r="L616" s="1738"/>
      <c r="M616" s="1738"/>
      <c r="N616" s="1739">
        <v>62630.867707647398</v>
      </c>
      <c r="O616" s="1722"/>
      <c r="P616" s="1725"/>
    </row>
    <row r="617" spans="1:16" ht="13.9" hidden="1" customHeight="1" outlineLevel="2" x14ac:dyDescent="0.2">
      <c r="A617" s="459">
        <v>0</v>
      </c>
      <c r="B617" s="459">
        <v>7</v>
      </c>
      <c r="C617" s="459">
        <v>6</v>
      </c>
      <c r="D617" s="460">
        <v>1</v>
      </c>
      <c r="E617" s="460">
        <v>0</v>
      </c>
      <c r="G617" s="1764"/>
      <c r="H617" s="1741" t="s">
        <v>1238</v>
      </c>
      <c r="I617" s="1742" t="s">
        <v>6639</v>
      </c>
      <c r="J617" s="1743" t="s">
        <v>2521</v>
      </c>
      <c r="K617" s="1744"/>
      <c r="L617" s="1745"/>
      <c r="M617" s="1745"/>
      <c r="N617" s="1746">
        <v>2324.1990000000001</v>
      </c>
      <c r="O617" s="1747"/>
      <c r="P617" s="1720"/>
    </row>
    <row r="618" spans="1:16" ht="13.9" hidden="1" customHeight="1" outlineLevel="3" x14ac:dyDescent="0.2">
      <c r="A618" s="459">
        <v>0</v>
      </c>
      <c r="B618" s="459">
        <v>7</v>
      </c>
      <c r="C618" s="459">
        <v>6</v>
      </c>
      <c r="D618" s="460">
        <v>1</v>
      </c>
      <c r="E618" s="460">
        <v>1</v>
      </c>
      <c r="G618" s="1748" t="s">
        <v>18</v>
      </c>
      <c r="H618" s="1749" t="s">
        <v>1239</v>
      </c>
      <c r="I618" s="1750" t="s">
        <v>6640</v>
      </c>
      <c r="J618" s="1751" t="s">
        <v>3287</v>
      </c>
      <c r="K618" s="1752" t="s">
        <v>1130</v>
      </c>
      <c r="L618" s="1753">
        <v>1</v>
      </c>
      <c r="M618" s="1753">
        <v>2324.1989999999996</v>
      </c>
      <c r="N618" s="1754">
        <v>2324.1990000000001</v>
      </c>
      <c r="O618" s="1755" t="s">
        <v>3285</v>
      </c>
      <c r="P618" s="1721" t="s">
        <v>9611</v>
      </c>
    </row>
    <row r="619" spans="1:16" ht="13.9" hidden="1" customHeight="1" outlineLevel="2" x14ac:dyDescent="0.2">
      <c r="A619" s="459">
        <v>0</v>
      </c>
      <c r="B619" s="459">
        <v>7</v>
      </c>
      <c r="C619" s="459">
        <v>6</v>
      </c>
      <c r="D619" s="460">
        <v>2</v>
      </c>
      <c r="E619" s="460">
        <v>0</v>
      </c>
      <c r="G619" s="1764"/>
      <c r="H619" s="1741" t="s">
        <v>1238</v>
      </c>
      <c r="I619" s="1742" t="s">
        <v>6641</v>
      </c>
      <c r="J619" s="1743" t="s">
        <v>2796</v>
      </c>
      <c r="K619" s="1744"/>
      <c r="L619" s="1745"/>
      <c r="M619" s="1745"/>
      <c r="N619" s="1746">
        <v>8292.5687076473696</v>
      </c>
      <c r="O619" s="1747"/>
      <c r="P619" s="1720"/>
    </row>
    <row r="620" spans="1:16" ht="13.9" hidden="1" customHeight="1" outlineLevel="3" x14ac:dyDescent="0.2">
      <c r="A620" s="459">
        <v>0</v>
      </c>
      <c r="B620" s="459">
        <v>7</v>
      </c>
      <c r="C620" s="459">
        <v>6</v>
      </c>
      <c r="D620" s="460">
        <v>2</v>
      </c>
      <c r="E620" s="460">
        <v>1</v>
      </c>
      <c r="G620" s="1748" t="s">
        <v>18</v>
      </c>
      <c r="H620" s="1749" t="s">
        <v>1239</v>
      </c>
      <c r="I620" s="1750" t="s">
        <v>6642</v>
      </c>
      <c r="J620" s="1751" t="s">
        <v>2796</v>
      </c>
      <c r="K620" s="1752" t="s">
        <v>1130</v>
      </c>
      <c r="L620" s="1753">
        <v>1</v>
      </c>
      <c r="M620" s="1753">
        <v>8292.5687076473714</v>
      </c>
      <c r="N620" s="1754">
        <v>8292.5687076473696</v>
      </c>
      <c r="O620" s="1755" t="s">
        <v>3285</v>
      </c>
      <c r="P620" s="1721" t="s">
        <v>9611</v>
      </c>
    </row>
    <row r="621" spans="1:16" ht="13.9" hidden="1" customHeight="1" outlineLevel="2" x14ac:dyDescent="0.2">
      <c r="A621" s="459">
        <v>0</v>
      </c>
      <c r="B621" s="459">
        <v>7</v>
      </c>
      <c r="C621" s="459">
        <v>6</v>
      </c>
      <c r="D621" s="460">
        <v>3</v>
      </c>
      <c r="E621" s="460">
        <v>0</v>
      </c>
      <c r="G621" s="1764"/>
      <c r="H621" s="1741" t="s">
        <v>1238</v>
      </c>
      <c r="I621" s="1742" t="s">
        <v>6643</v>
      </c>
      <c r="J621" s="1743" t="s">
        <v>2797</v>
      </c>
      <c r="K621" s="1744"/>
      <c r="L621" s="1745"/>
      <c r="M621" s="1745"/>
      <c r="N621" s="1746">
        <v>252</v>
      </c>
      <c r="O621" s="1747"/>
      <c r="P621" s="1720"/>
    </row>
    <row r="622" spans="1:16" ht="13.9" hidden="1" customHeight="1" outlineLevel="3" x14ac:dyDescent="0.2">
      <c r="A622" s="459">
        <v>0</v>
      </c>
      <c r="B622" s="459">
        <v>7</v>
      </c>
      <c r="C622" s="459">
        <v>6</v>
      </c>
      <c r="D622" s="460">
        <v>3</v>
      </c>
      <c r="E622" s="460">
        <v>1</v>
      </c>
      <c r="G622" s="1748" t="s">
        <v>18</v>
      </c>
      <c r="H622" s="1749" t="s">
        <v>1239</v>
      </c>
      <c r="I622" s="1750" t="s">
        <v>6644</v>
      </c>
      <c r="J622" s="1751" t="s">
        <v>2797</v>
      </c>
      <c r="K622" s="1752" t="s">
        <v>1130</v>
      </c>
      <c r="L622" s="1753">
        <v>1</v>
      </c>
      <c r="M622" s="1753">
        <v>252</v>
      </c>
      <c r="N622" s="1754">
        <v>252</v>
      </c>
      <c r="O622" s="1755" t="s">
        <v>3288</v>
      </c>
      <c r="P622" s="1721" t="s">
        <v>9611</v>
      </c>
    </row>
    <row r="623" spans="1:16" ht="13.9" hidden="1" customHeight="1" outlineLevel="2" x14ac:dyDescent="0.2">
      <c r="A623" s="459">
        <v>0</v>
      </c>
      <c r="B623" s="459">
        <v>7</v>
      </c>
      <c r="C623" s="459">
        <v>6</v>
      </c>
      <c r="D623" s="460">
        <v>4</v>
      </c>
      <c r="E623" s="460">
        <v>0</v>
      </c>
      <c r="G623" s="1764"/>
      <c r="H623" s="1741" t="s">
        <v>1238</v>
      </c>
      <c r="I623" s="1742" t="s">
        <v>6645</v>
      </c>
      <c r="J623" s="1743" t="s">
        <v>1256</v>
      </c>
      <c r="K623" s="1744"/>
      <c r="L623" s="1745"/>
      <c r="M623" s="1745"/>
      <c r="N623" s="1746">
        <v>51762.1</v>
      </c>
      <c r="O623" s="1747"/>
      <c r="P623" s="1720"/>
    </row>
    <row r="624" spans="1:16" ht="13.9" hidden="1" customHeight="1" outlineLevel="3" x14ac:dyDescent="0.2">
      <c r="A624" s="459">
        <v>0</v>
      </c>
      <c r="B624" s="459">
        <v>7</v>
      </c>
      <c r="C624" s="459">
        <v>6</v>
      </c>
      <c r="D624" s="460">
        <v>4</v>
      </c>
      <c r="E624" s="460">
        <v>1</v>
      </c>
      <c r="G624" s="1748" t="s">
        <v>18</v>
      </c>
      <c r="H624" s="1749" t="s">
        <v>1239</v>
      </c>
      <c r="I624" s="1750" t="s">
        <v>6646</v>
      </c>
      <c r="J624" s="1751" t="s">
        <v>1257</v>
      </c>
      <c r="K624" s="1752" t="s">
        <v>1130</v>
      </c>
      <c r="L624" s="1753">
        <v>1</v>
      </c>
      <c r="M624" s="1753">
        <v>51762.100000000006</v>
      </c>
      <c r="N624" s="1754">
        <v>51762.1</v>
      </c>
      <c r="O624" s="1761" t="s">
        <v>5458</v>
      </c>
      <c r="P624" s="1721" t="s">
        <v>9611</v>
      </c>
    </row>
    <row r="625" spans="1:16" ht="13.9" hidden="1" customHeight="1" outlineLevel="1" x14ac:dyDescent="0.2">
      <c r="A625" s="459">
        <v>0</v>
      </c>
      <c r="B625" s="459">
        <v>7</v>
      </c>
      <c r="C625" s="459">
        <v>7</v>
      </c>
      <c r="D625" s="460">
        <v>0</v>
      </c>
      <c r="E625" s="460">
        <v>1</v>
      </c>
      <c r="G625" s="1733"/>
      <c r="H625" s="1734" t="s">
        <v>39</v>
      </c>
      <c r="I625" s="1735" t="s">
        <v>6647</v>
      </c>
      <c r="J625" s="1736" t="s">
        <v>3295</v>
      </c>
      <c r="K625" s="1737"/>
      <c r="L625" s="1738"/>
      <c r="M625" s="1738"/>
      <c r="N625" s="1739">
        <v>68292.702774485297</v>
      </c>
      <c r="O625" s="1722"/>
      <c r="P625" s="1725"/>
    </row>
    <row r="626" spans="1:16" ht="13.9" hidden="1" customHeight="1" outlineLevel="2" x14ac:dyDescent="0.2">
      <c r="A626" s="459">
        <v>0</v>
      </c>
      <c r="B626" s="459">
        <v>7</v>
      </c>
      <c r="C626" s="459">
        <v>7</v>
      </c>
      <c r="D626" s="460">
        <v>1</v>
      </c>
      <c r="E626" s="460">
        <v>0</v>
      </c>
      <c r="G626" s="1764"/>
      <c r="H626" s="1741" t="s">
        <v>1238</v>
      </c>
      <c r="I626" s="1742" t="s">
        <v>6648</v>
      </c>
      <c r="J626" s="1743" t="s">
        <v>2521</v>
      </c>
      <c r="K626" s="1744"/>
      <c r="L626" s="1745"/>
      <c r="M626" s="1745"/>
      <c r="N626" s="1746">
        <v>1836.40446821347</v>
      </c>
      <c r="O626" s="1747"/>
      <c r="P626" s="1720"/>
    </row>
    <row r="627" spans="1:16" ht="13.9" hidden="1" customHeight="1" outlineLevel="3" x14ac:dyDescent="0.2">
      <c r="A627" s="459">
        <v>0</v>
      </c>
      <c r="B627" s="459">
        <v>7</v>
      </c>
      <c r="C627" s="459">
        <v>7</v>
      </c>
      <c r="D627" s="460">
        <v>1</v>
      </c>
      <c r="E627" s="460">
        <v>1</v>
      </c>
      <c r="G627" s="1748" t="s">
        <v>18</v>
      </c>
      <c r="H627" s="1749" t="s">
        <v>1239</v>
      </c>
      <c r="I627" s="1750" t="s">
        <v>6649</v>
      </c>
      <c r="J627" s="1751" t="s">
        <v>3287</v>
      </c>
      <c r="K627" s="1752" t="s">
        <v>1130</v>
      </c>
      <c r="L627" s="1753">
        <v>1</v>
      </c>
      <c r="M627" s="1753">
        <v>1836.404468213474</v>
      </c>
      <c r="N627" s="1754">
        <v>1836.40446821347</v>
      </c>
      <c r="O627" s="1755" t="s">
        <v>3285</v>
      </c>
      <c r="P627" s="1721" t="s">
        <v>9611</v>
      </c>
    </row>
    <row r="628" spans="1:16" ht="13.9" hidden="1" customHeight="1" outlineLevel="2" x14ac:dyDescent="0.2">
      <c r="A628" s="459">
        <v>0</v>
      </c>
      <c r="B628" s="459">
        <v>7</v>
      </c>
      <c r="C628" s="459">
        <v>7</v>
      </c>
      <c r="D628" s="460">
        <v>2</v>
      </c>
      <c r="E628" s="460">
        <v>0</v>
      </c>
      <c r="G628" s="1764"/>
      <c r="H628" s="1741" t="s">
        <v>1238</v>
      </c>
      <c r="I628" s="1742" t="s">
        <v>6650</v>
      </c>
      <c r="J628" s="1743" t="s">
        <v>2796</v>
      </c>
      <c r="K628" s="1744"/>
      <c r="L628" s="1745"/>
      <c r="M628" s="1745"/>
      <c r="N628" s="1746">
        <v>14442.198306271801</v>
      </c>
      <c r="O628" s="1747"/>
      <c r="P628" s="1720"/>
    </row>
    <row r="629" spans="1:16" ht="13.9" hidden="1" customHeight="1" outlineLevel="3" x14ac:dyDescent="0.2">
      <c r="A629" s="459">
        <v>0</v>
      </c>
      <c r="B629" s="459">
        <v>7</v>
      </c>
      <c r="C629" s="459">
        <v>7</v>
      </c>
      <c r="D629" s="460">
        <v>2</v>
      </c>
      <c r="E629" s="460">
        <v>1</v>
      </c>
      <c r="G629" s="1748" t="s">
        <v>18</v>
      </c>
      <c r="H629" s="1749" t="s">
        <v>1239</v>
      </c>
      <c r="I629" s="1750" t="s">
        <v>6651</v>
      </c>
      <c r="J629" s="1751" t="s">
        <v>2796</v>
      </c>
      <c r="K629" s="1752" t="s">
        <v>1130</v>
      </c>
      <c r="L629" s="1753">
        <v>1</v>
      </c>
      <c r="M629" s="1753">
        <v>14442.198306271848</v>
      </c>
      <c r="N629" s="1754">
        <v>14442.198306271801</v>
      </c>
      <c r="O629" s="1755" t="s">
        <v>3285</v>
      </c>
      <c r="P629" s="1721" t="s">
        <v>9611</v>
      </c>
    </row>
    <row r="630" spans="1:16" ht="13.9" hidden="1" customHeight="1" outlineLevel="2" x14ac:dyDescent="0.2">
      <c r="A630" s="459">
        <v>0</v>
      </c>
      <c r="B630" s="459">
        <v>7</v>
      </c>
      <c r="C630" s="459">
        <v>7</v>
      </c>
      <c r="D630" s="460">
        <v>3</v>
      </c>
      <c r="E630" s="460">
        <v>0</v>
      </c>
      <c r="G630" s="1764"/>
      <c r="H630" s="1741" t="s">
        <v>1238</v>
      </c>
      <c r="I630" s="1742" t="s">
        <v>6652</v>
      </c>
      <c r="J630" s="1743" t="s">
        <v>2797</v>
      </c>
      <c r="K630" s="1744"/>
      <c r="L630" s="1745"/>
      <c r="M630" s="1745"/>
      <c r="N630" s="1746">
        <v>252</v>
      </c>
      <c r="O630" s="1747"/>
      <c r="P630" s="1720"/>
    </row>
    <row r="631" spans="1:16" ht="13.9" hidden="1" customHeight="1" outlineLevel="3" x14ac:dyDescent="0.2">
      <c r="A631" s="459">
        <v>0</v>
      </c>
      <c r="B631" s="459">
        <v>7</v>
      </c>
      <c r="C631" s="459">
        <v>7</v>
      </c>
      <c r="D631" s="460">
        <v>3</v>
      </c>
      <c r="E631" s="460">
        <v>1</v>
      </c>
      <c r="G631" s="1748" t="s">
        <v>18</v>
      </c>
      <c r="H631" s="1749" t="s">
        <v>1239</v>
      </c>
      <c r="I631" s="1750" t="s">
        <v>6653</v>
      </c>
      <c r="J631" s="1751" t="s">
        <v>2797</v>
      </c>
      <c r="K631" s="1752" t="s">
        <v>1130</v>
      </c>
      <c r="L631" s="1753">
        <v>1</v>
      </c>
      <c r="M631" s="1753">
        <v>252</v>
      </c>
      <c r="N631" s="1754">
        <v>252</v>
      </c>
      <c r="O631" s="1755" t="s">
        <v>3288</v>
      </c>
      <c r="P631" s="1721" t="s">
        <v>9611</v>
      </c>
    </row>
    <row r="632" spans="1:16" ht="13.9" hidden="1" customHeight="1" outlineLevel="2" x14ac:dyDescent="0.2">
      <c r="A632" s="459">
        <v>0</v>
      </c>
      <c r="B632" s="459">
        <v>7</v>
      </c>
      <c r="C632" s="459">
        <v>7</v>
      </c>
      <c r="D632" s="460">
        <v>4</v>
      </c>
      <c r="E632" s="460">
        <v>0</v>
      </c>
      <c r="G632" s="1764"/>
      <c r="H632" s="1741" t="s">
        <v>1238</v>
      </c>
      <c r="I632" s="1742" t="s">
        <v>6654</v>
      </c>
      <c r="J632" s="1743" t="s">
        <v>1256</v>
      </c>
      <c r="K632" s="1744"/>
      <c r="L632" s="1745"/>
      <c r="M632" s="1745"/>
      <c r="N632" s="1746">
        <v>51762.1</v>
      </c>
      <c r="O632" s="1747"/>
      <c r="P632" s="1720"/>
    </row>
    <row r="633" spans="1:16" ht="13.9" hidden="1" customHeight="1" outlineLevel="3" x14ac:dyDescent="0.2">
      <c r="A633" s="459">
        <v>0</v>
      </c>
      <c r="B633" s="459">
        <v>7</v>
      </c>
      <c r="C633" s="459">
        <v>7</v>
      </c>
      <c r="D633" s="460">
        <v>4</v>
      </c>
      <c r="E633" s="460">
        <v>1</v>
      </c>
      <c r="G633" s="1748" t="s">
        <v>18</v>
      </c>
      <c r="H633" s="1749" t="s">
        <v>1239</v>
      </c>
      <c r="I633" s="1750" t="s">
        <v>6655</v>
      </c>
      <c r="J633" s="1751" t="s">
        <v>1257</v>
      </c>
      <c r="K633" s="1752" t="s">
        <v>1130</v>
      </c>
      <c r="L633" s="1753">
        <v>1</v>
      </c>
      <c r="M633" s="1753">
        <v>51762.100000000006</v>
      </c>
      <c r="N633" s="1754">
        <v>51762.1</v>
      </c>
      <c r="O633" s="1761" t="s">
        <v>5458</v>
      </c>
      <c r="P633" s="1721" t="s">
        <v>9611</v>
      </c>
    </row>
    <row r="634" spans="1:16" ht="13.9" hidden="1" customHeight="1" outlineLevel="1" x14ac:dyDescent="0.2">
      <c r="A634" s="459">
        <v>0</v>
      </c>
      <c r="B634" s="459">
        <v>7</v>
      </c>
      <c r="C634" s="459">
        <v>8</v>
      </c>
      <c r="D634" s="460">
        <v>0</v>
      </c>
      <c r="E634" s="460">
        <v>1</v>
      </c>
      <c r="G634" s="1733"/>
      <c r="H634" s="1734" t="s">
        <v>39</v>
      </c>
      <c r="I634" s="1735" t="s">
        <v>6656</v>
      </c>
      <c r="J634" s="1736" t="s">
        <v>3296</v>
      </c>
      <c r="K634" s="1737"/>
      <c r="L634" s="1738"/>
      <c r="M634" s="1738"/>
      <c r="N634" s="1739">
        <v>105736.117348628</v>
      </c>
      <c r="O634" s="1722"/>
      <c r="P634" s="1725"/>
    </row>
    <row r="635" spans="1:16" ht="13.9" hidden="1" customHeight="1" outlineLevel="2" x14ac:dyDescent="0.2">
      <c r="A635" s="459">
        <v>0</v>
      </c>
      <c r="B635" s="459">
        <v>7</v>
      </c>
      <c r="C635" s="459">
        <v>8</v>
      </c>
      <c r="D635" s="460">
        <v>1</v>
      </c>
      <c r="E635" s="460">
        <v>0</v>
      </c>
      <c r="G635" s="1764"/>
      <c r="H635" s="1741" t="s">
        <v>1238</v>
      </c>
      <c r="I635" s="1742" t="s">
        <v>6657</v>
      </c>
      <c r="J635" s="1743" t="s">
        <v>2521</v>
      </c>
      <c r="K635" s="1744"/>
      <c r="L635" s="1745"/>
      <c r="M635" s="1745"/>
      <c r="N635" s="1746">
        <v>1549.0139525003301</v>
      </c>
      <c r="O635" s="1747"/>
      <c r="P635" s="1720"/>
    </row>
    <row r="636" spans="1:16" ht="13.9" hidden="1" customHeight="1" outlineLevel="3" x14ac:dyDescent="0.2">
      <c r="A636" s="459">
        <v>0</v>
      </c>
      <c r="B636" s="459">
        <v>7</v>
      </c>
      <c r="C636" s="459">
        <v>8</v>
      </c>
      <c r="D636" s="460">
        <v>1</v>
      </c>
      <c r="E636" s="460">
        <v>1</v>
      </c>
      <c r="G636" s="1748" t="s">
        <v>18</v>
      </c>
      <c r="H636" s="1749" t="s">
        <v>1239</v>
      </c>
      <c r="I636" s="1750" t="s">
        <v>6658</v>
      </c>
      <c r="J636" s="1751" t="s">
        <v>3287</v>
      </c>
      <c r="K636" s="1752" t="s">
        <v>1130</v>
      </c>
      <c r="L636" s="1753">
        <v>1</v>
      </c>
      <c r="M636" s="1753">
        <v>1549.0139525003278</v>
      </c>
      <c r="N636" s="1754">
        <v>1549.0139525003301</v>
      </c>
      <c r="O636" s="1755" t="s">
        <v>3285</v>
      </c>
      <c r="P636" s="1721" t="s">
        <v>9611</v>
      </c>
    </row>
    <row r="637" spans="1:16" ht="13.9" hidden="1" customHeight="1" outlineLevel="2" x14ac:dyDescent="0.2">
      <c r="A637" s="459">
        <v>0</v>
      </c>
      <c r="B637" s="459">
        <v>7</v>
      </c>
      <c r="C637" s="459">
        <v>8</v>
      </c>
      <c r="D637" s="460">
        <v>2</v>
      </c>
      <c r="E637" s="460">
        <v>0</v>
      </c>
      <c r="G637" s="1764"/>
      <c r="H637" s="1741" t="s">
        <v>1238</v>
      </c>
      <c r="I637" s="1742" t="s">
        <v>6659</v>
      </c>
      <c r="J637" s="1743" t="s">
        <v>2796</v>
      </c>
      <c r="K637" s="1744"/>
      <c r="L637" s="1745"/>
      <c r="M637" s="1745"/>
      <c r="N637" s="1746">
        <v>74977.443396127797</v>
      </c>
      <c r="O637" s="1747"/>
      <c r="P637" s="1720"/>
    </row>
    <row r="638" spans="1:16" ht="13.9" hidden="1" customHeight="1" outlineLevel="3" x14ac:dyDescent="0.2">
      <c r="A638" s="459">
        <v>0</v>
      </c>
      <c r="B638" s="459">
        <v>7</v>
      </c>
      <c r="C638" s="459">
        <v>8</v>
      </c>
      <c r="D638" s="460">
        <v>2</v>
      </c>
      <c r="E638" s="460">
        <v>1</v>
      </c>
      <c r="G638" s="1748" t="s">
        <v>18</v>
      </c>
      <c r="H638" s="1749" t="s">
        <v>1239</v>
      </c>
      <c r="I638" s="1750" t="s">
        <v>6660</v>
      </c>
      <c r="J638" s="1751" t="s">
        <v>2796</v>
      </c>
      <c r="K638" s="1752" t="s">
        <v>1130</v>
      </c>
      <c r="L638" s="1753">
        <v>1</v>
      </c>
      <c r="M638" s="1753">
        <v>74977.443396127797</v>
      </c>
      <c r="N638" s="1754">
        <v>74977.443396127797</v>
      </c>
      <c r="O638" s="1755" t="s">
        <v>3285</v>
      </c>
      <c r="P638" s="1721" t="s">
        <v>9611</v>
      </c>
    </row>
    <row r="639" spans="1:16" ht="13.9" hidden="1" customHeight="1" outlineLevel="2" x14ac:dyDescent="0.2">
      <c r="A639" s="459">
        <v>0</v>
      </c>
      <c r="B639" s="459">
        <v>7</v>
      </c>
      <c r="C639" s="459">
        <v>8</v>
      </c>
      <c r="D639" s="460">
        <v>3</v>
      </c>
      <c r="E639" s="460">
        <v>0</v>
      </c>
      <c r="G639" s="1764"/>
      <c r="H639" s="1741" t="s">
        <v>1238</v>
      </c>
      <c r="I639" s="1742" t="s">
        <v>6661</v>
      </c>
      <c r="J639" s="1743" t="s">
        <v>2797</v>
      </c>
      <c r="K639" s="1744"/>
      <c r="L639" s="1745"/>
      <c r="M639" s="1745"/>
      <c r="N639" s="1746">
        <v>252</v>
      </c>
      <c r="O639" s="1747"/>
      <c r="P639" s="1720"/>
    </row>
    <row r="640" spans="1:16" ht="13.9" hidden="1" customHeight="1" outlineLevel="3" x14ac:dyDescent="0.2">
      <c r="A640" s="459">
        <v>0</v>
      </c>
      <c r="B640" s="459">
        <v>7</v>
      </c>
      <c r="C640" s="459">
        <v>8</v>
      </c>
      <c r="D640" s="460">
        <v>3</v>
      </c>
      <c r="E640" s="460">
        <v>1</v>
      </c>
      <c r="G640" s="1748" t="s">
        <v>18</v>
      </c>
      <c r="H640" s="1749" t="s">
        <v>1239</v>
      </c>
      <c r="I640" s="1750" t="s">
        <v>6662</v>
      </c>
      <c r="J640" s="1751" t="s">
        <v>2797</v>
      </c>
      <c r="K640" s="1752" t="s">
        <v>1130</v>
      </c>
      <c r="L640" s="1753">
        <v>1</v>
      </c>
      <c r="M640" s="1753">
        <v>252</v>
      </c>
      <c r="N640" s="1754">
        <v>252</v>
      </c>
      <c r="O640" s="1755" t="s">
        <v>3288</v>
      </c>
      <c r="P640" s="1721" t="s">
        <v>9611</v>
      </c>
    </row>
    <row r="641" spans="1:16" ht="13.9" hidden="1" customHeight="1" outlineLevel="2" x14ac:dyDescent="0.2">
      <c r="A641" s="459">
        <v>0</v>
      </c>
      <c r="B641" s="459">
        <v>7</v>
      </c>
      <c r="C641" s="459">
        <v>8</v>
      </c>
      <c r="D641" s="460">
        <v>4</v>
      </c>
      <c r="E641" s="460">
        <v>0</v>
      </c>
      <c r="G641" s="1764"/>
      <c r="H641" s="1741" t="s">
        <v>1238</v>
      </c>
      <c r="I641" s="1742" t="s">
        <v>6663</v>
      </c>
      <c r="J641" s="1743" t="s">
        <v>1256</v>
      </c>
      <c r="K641" s="1744"/>
      <c r="L641" s="1745"/>
      <c r="M641" s="1745"/>
      <c r="N641" s="1746">
        <v>28957.66</v>
      </c>
      <c r="O641" s="1747"/>
      <c r="P641" s="1720"/>
    </row>
    <row r="642" spans="1:16" ht="13.9" hidden="1" customHeight="1" outlineLevel="3" x14ac:dyDescent="0.2">
      <c r="A642" s="459">
        <v>0</v>
      </c>
      <c r="B642" s="459">
        <v>7</v>
      </c>
      <c r="C642" s="459">
        <v>8</v>
      </c>
      <c r="D642" s="460">
        <v>4</v>
      </c>
      <c r="E642" s="460">
        <v>1</v>
      </c>
      <c r="G642" s="1748" t="s">
        <v>18</v>
      </c>
      <c r="H642" s="1749" t="s">
        <v>1239</v>
      </c>
      <c r="I642" s="1750" t="s">
        <v>6664</v>
      </c>
      <c r="J642" s="1751" t="s">
        <v>1257</v>
      </c>
      <c r="K642" s="1752" t="s">
        <v>1130</v>
      </c>
      <c r="L642" s="1753">
        <v>1</v>
      </c>
      <c r="M642" s="1753">
        <v>28957.66</v>
      </c>
      <c r="N642" s="1754">
        <v>28957.66</v>
      </c>
      <c r="O642" s="1761" t="s">
        <v>5458</v>
      </c>
      <c r="P642" s="1721" t="s">
        <v>9611</v>
      </c>
    </row>
    <row r="643" spans="1:16" ht="13.9" hidden="1" customHeight="1" outlineLevel="1" x14ac:dyDescent="0.2">
      <c r="A643" s="459">
        <v>0</v>
      </c>
      <c r="B643" s="459">
        <v>7</v>
      </c>
      <c r="C643" s="459">
        <v>9</v>
      </c>
      <c r="D643" s="460">
        <v>0</v>
      </c>
      <c r="E643" s="460">
        <v>1</v>
      </c>
      <c r="G643" s="1733"/>
      <c r="H643" s="1734" t="s">
        <v>39</v>
      </c>
      <c r="I643" s="1735" t="s">
        <v>6665</v>
      </c>
      <c r="J643" s="1736" t="s">
        <v>3297</v>
      </c>
      <c r="K643" s="1737"/>
      <c r="L643" s="1738"/>
      <c r="M643" s="1738"/>
      <c r="N643" s="1739">
        <v>161488.91655904599</v>
      </c>
      <c r="O643" s="1722"/>
      <c r="P643" s="1725"/>
    </row>
    <row r="644" spans="1:16" ht="13.9" hidden="1" customHeight="1" outlineLevel="2" x14ac:dyDescent="0.2">
      <c r="A644" s="459">
        <v>0</v>
      </c>
      <c r="B644" s="459">
        <v>7</v>
      </c>
      <c r="C644" s="459">
        <v>9</v>
      </c>
      <c r="D644" s="460">
        <v>1</v>
      </c>
      <c r="E644" s="460">
        <v>0</v>
      </c>
      <c r="G644" s="1764"/>
      <c r="H644" s="1741" t="s">
        <v>1238</v>
      </c>
      <c r="I644" s="1742" t="s">
        <v>6666</v>
      </c>
      <c r="J644" s="1743" t="s">
        <v>2521</v>
      </c>
      <c r="K644" s="1744"/>
      <c r="L644" s="1745"/>
      <c r="M644" s="1745"/>
      <c r="N644" s="1746">
        <v>75503.946584484002</v>
      </c>
      <c r="O644" s="1747"/>
      <c r="P644" s="1720"/>
    </row>
    <row r="645" spans="1:16" ht="13.9" hidden="1" customHeight="1" outlineLevel="3" x14ac:dyDescent="0.2">
      <c r="A645" s="459">
        <v>0</v>
      </c>
      <c r="B645" s="459">
        <v>7</v>
      </c>
      <c r="C645" s="459">
        <v>9</v>
      </c>
      <c r="D645" s="460">
        <v>1</v>
      </c>
      <c r="E645" s="460">
        <v>1</v>
      </c>
      <c r="G645" s="1748" t="s">
        <v>18</v>
      </c>
      <c r="H645" s="1749" t="s">
        <v>1239</v>
      </c>
      <c r="I645" s="1750" t="s">
        <v>6667</v>
      </c>
      <c r="J645" s="1751" t="s">
        <v>3287</v>
      </c>
      <c r="K645" s="1752" t="s">
        <v>1130</v>
      </c>
      <c r="L645" s="1753">
        <v>1</v>
      </c>
      <c r="M645" s="1753">
        <v>75503.946584484002</v>
      </c>
      <c r="N645" s="1754">
        <v>75503.946584484002</v>
      </c>
      <c r="O645" s="1755" t="s">
        <v>3285</v>
      </c>
      <c r="P645" s="1721" t="s">
        <v>9611</v>
      </c>
    </row>
    <row r="646" spans="1:16" ht="13.9" hidden="1" customHeight="1" outlineLevel="2" x14ac:dyDescent="0.2">
      <c r="A646" s="459">
        <v>0</v>
      </c>
      <c r="B646" s="459">
        <v>7</v>
      </c>
      <c r="C646" s="459">
        <v>9</v>
      </c>
      <c r="D646" s="460">
        <v>2</v>
      </c>
      <c r="E646" s="460">
        <v>0</v>
      </c>
      <c r="G646" s="1764"/>
      <c r="H646" s="1741" t="s">
        <v>1238</v>
      </c>
      <c r="I646" s="1742" t="s">
        <v>6668</v>
      </c>
      <c r="J646" s="1743" t="s">
        <v>2796</v>
      </c>
      <c r="K646" s="1744"/>
      <c r="L646" s="1745"/>
      <c r="M646" s="1745"/>
      <c r="N646" s="1746">
        <v>65692.2299745622</v>
      </c>
      <c r="O646" s="1747"/>
      <c r="P646" s="1720"/>
    </row>
    <row r="647" spans="1:16" ht="13.9" hidden="1" customHeight="1" outlineLevel="3" x14ac:dyDescent="0.2">
      <c r="A647" s="459">
        <v>0</v>
      </c>
      <c r="B647" s="459">
        <v>7</v>
      </c>
      <c r="C647" s="459">
        <v>9</v>
      </c>
      <c r="D647" s="460">
        <v>2</v>
      </c>
      <c r="E647" s="460">
        <v>1</v>
      </c>
      <c r="G647" s="1748" t="s">
        <v>18</v>
      </c>
      <c r="H647" s="1749" t="s">
        <v>1239</v>
      </c>
      <c r="I647" s="1750" t="s">
        <v>6669</v>
      </c>
      <c r="J647" s="1751" t="s">
        <v>2796</v>
      </c>
      <c r="K647" s="1752" t="s">
        <v>1130</v>
      </c>
      <c r="L647" s="1753">
        <v>1</v>
      </c>
      <c r="M647" s="1753">
        <v>65692.229974562186</v>
      </c>
      <c r="N647" s="1754">
        <v>65692.2299745622</v>
      </c>
      <c r="O647" s="1755" t="s">
        <v>3285</v>
      </c>
      <c r="P647" s="1721" t="s">
        <v>9611</v>
      </c>
    </row>
    <row r="648" spans="1:16" ht="13.9" hidden="1" customHeight="1" outlineLevel="2" x14ac:dyDescent="0.2">
      <c r="A648" s="459">
        <v>0</v>
      </c>
      <c r="B648" s="459">
        <v>7</v>
      </c>
      <c r="C648" s="459">
        <v>9</v>
      </c>
      <c r="D648" s="460">
        <v>3</v>
      </c>
      <c r="E648" s="460">
        <v>0</v>
      </c>
      <c r="G648" s="1764"/>
      <c r="H648" s="1741" t="s">
        <v>1238</v>
      </c>
      <c r="I648" s="1742" t="s">
        <v>6670</v>
      </c>
      <c r="J648" s="1743" t="s">
        <v>2797</v>
      </c>
      <c r="K648" s="1744"/>
      <c r="L648" s="1745"/>
      <c r="M648" s="1745"/>
      <c r="N648" s="1746">
        <v>252</v>
      </c>
      <c r="O648" s="1747"/>
      <c r="P648" s="1720"/>
    </row>
    <row r="649" spans="1:16" ht="13.9" hidden="1" customHeight="1" outlineLevel="3" x14ac:dyDescent="0.2">
      <c r="A649" s="459">
        <v>0</v>
      </c>
      <c r="B649" s="459">
        <v>7</v>
      </c>
      <c r="C649" s="459">
        <v>9</v>
      </c>
      <c r="D649" s="460">
        <v>3</v>
      </c>
      <c r="E649" s="460">
        <v>1</v>
      </c>
      <c r="G649" s="1748" t="s">
        <v>18</v>
      </c>
      <c r="H649" s="1749" t="s">
        <v>1239</v>
      </c>
      <c r="I649" s="1750" t="s">
        <v>6671</v>
      </c>
      <c r="J649" s="1751" t="s">
        <v>2797</v>
      </c>
      <c r="K649" s="1752" t="s">
        <v>1130</v>
      </c>
      <c r="L649" s="1753">
        <v>1</v>
      </c>
      <c r="M649" s="1753">
        <v>252</v>
      </c>
      <c r="N649" s="1754">
        <v>252</v>
      </c>
      <c r="O649" s="1755" t="s">
        <v>3288</v>
      </c>
      <c r="P649" s="1721" t="s">
        <v>9611</v>
      </c>
    </row>
    <row r="650" spans="1:16" ht="13.9" hidden="1" customHeight="1" outlineLevel="2" x14ac:dyDescent="0.2">
      <c r="A650" s="459">
        <v>0</v>
      </c>
      <c r="B650" s="459">
        <v>7</v>
      </c>
      <c r="C650" s="459">
        <v>9</v>
      </c>
      <c r="D650" s="460">
        <v>4</v>
      </c>
      <c r="E650" s="460">
        <v>0</v>
      </c>
      <c r="G650" s="1764"/>
      <c r="H650" s="1741" t="s">
        <v>1238</v>
      </c>
      <c r="I650" s="1742" t="s">
        <v>6672</v>
      </c>
      <c r="J650" s="1743" t="s">
        <v>1256</v>
      </c>
      <c r="K650" s="1744"/>
      <c r="L650" s="1745"/>
      <c r="M650" s="1745"/>
      <c r="N650" s="1746">
        <v>20040.740000000002</v>
      </c>
      <c r="O650" s="1747"/>
      <c r="P650" s="1720"/>
    </row>
    <row r="651" spans="1:16" ht="13.9" hidden="1" customHeight="1" outlineLevel="3" x14ac:dyDescent="0.2">
      <c r="A651" s="459">
        <v>0</v>
      </c>
      <c r="B651" s="459">
        <v>7</v>
      </c>
      <c r="C651" s="459">
        <v>9</v>
      </c>
      <c r="D651" s="460">
        <v>4</v>
      </c>
      <c r="E651" s="460">
        <v>1</v>
      </c>
      <c r="G651" s="1748" t="s">
        <v>18</v>
      </c>
      <c r="H651" s="1749" t="s">
        <v>1239</v>
      </c>
      <c r="I651" s="1750" t="s">
        <v>6673</v>
      </c>
      <c r="J651" s="1751" t="s">
        <v>1257</v>
      </c>
      <c r="K651" s="1752" t="s">
        <v>1130</v>
      </c>
      <c r="L651" s="1753">
        <v>1</v>
      </c>
      <c r="M651" s="1753">
        <v>20040.739999999998</v>
      </c>
      <c r="N651" s="1754">
        <v>20040.740000000002</v>
      </c>
      <c r="O651" s="1761" t="s">
        <v>5458</v>
      </c>
      <c r="P651" s="1721" t="s">
        <v>9611</v>
      </c>
    </row>
    <row r="652" spans="1:16" ht="13.9" hidden="1" customHeight="1" outlineLevel="1" x14ac:dyDescent="0.2">
      <c r="A652" s="459">
        <v>0</v>
      </c>
      <c r="B652" s="459">
        <v>7</v>
      </c>
      <c r="C652" s="459">
        <v>10</v>
      </c>
      <c r="D652" s="460">
        <v>0</v>
      </c>
      <c r="E652" s="460">
        <v>1</v>
      </c>
      <c r="G652" s="1733"/>
      <c r="H652" s="1734" t="s">
        <v>39</v>
      </c>
      <c r="I652" s="1735" t="s">
        <v>6674</v>
      </c>
      <c r="J652" s="1736" t="s">
        <v>3298</v>
      </c>
      <c r="K652" s="1737"/>
      <c r="L652" s="1738"/>
      <c r="M652" s="1738"/>
      <c r="N652" s="1739">
        <v>615624.03766277805</v>
      </c>
      <c r="O652" s="1722"/>
      <c r="P652" s="1725"/>
    </row>
    <row r="653" spans="1:16" ht="13.9" hidden="1" customHeight="1" outlineLevel="2" x14ac:dyDescent="0.2">
      <c r="A653" s="459">
        <v>0</v>
      </c>
      <c r="B653" s="459">
        <v>7</v>
      </c>
      <c r="C653" s="459">
        <v>10</v>
      </c>
      <c r="D653" s="460">
        <v>1</v>
      </c>
      <c r="E653" s="460">
        <v>0</v>
      </c>
      <c r="G653" s="1764"/>
      <c r="H653" s="1741" t="s">
        <v>1238</v>
      </c>
      <c r="I653" s="1742" t="s">
        <v>6675</v>
      </c>
      <c r="J653" s="1743" t="s">
        <v>2521</v>
      </c>
      <c r="K653" s="1744"/>
      <c r="L653" s="1745"/>
      <c r="M653" s="1745"/>
      <c r="N653" s="1746">
        <v>201471.08802380101</v>
      </c>
      <c r="O653" s="1747"/>
      <c r="P653" s="1720"/>
    </row>
    <row r="654" spans="1:16" ht="13.9" hidden="1" customHeight="1" outlineLevel="3" x14ac:dyDescent="0.2">
      <c r="A654" s="459">
        <v>0</v>
      </c>
      <c r="B654" s="459">
        <v>7</v>
      </c>
      <c r="C654" s="459">
        <v>10</v>
      </c>
      <c r="D654" s="460">
        <v>1</v>
      </c>
      <c r="E654" s="460">
        <v>1</v>
      </c>
      <c r="G654" s="1748" t="s">
        <v>18</v>
      </c>
      <c r="H654" s="1749" t="s">
        <v>1239</v>
      </c>
      <c r="I654" s="1750" t="s">
        <v>6676</v>
      </c>
      <c r="J654" s="1751" t="s">
        <v>3287</v>
      </c>
      <c r="K654" s="1752" t="s">
        <v>1130</v>
      </c>
      <c r="L654" s="1753">
        <v>1</v>
      </c>
      <c r="M654" s="1753">
        <v>201471.08802380069</v>
      </c>
      <c r="N654" s="1754">
        <v>201471.08802380101</v>
      </c>
      <c r="O654" s="1755" t="s">
        <v>3285</v>
      </c>
      <c r="P654" s="1721" t="s">
        <v>9611</v>
      </c>
    </row>
    <row r="655" spans="1:16" ht="13.9" hidden="1" customHeight="1" outlineLevel="2" x14ac:dyDescent="0.2">
      <c r="A655" s="459">
        <v>0</v>
      </c>
      <c r="B655" s="459">
        <v>7</v>
      </c>
      <c r="C655" s="459">
        <v>10</v>
      </c>
      <c r="D655" s="460">
        <v>2</v>
      </c>
      <c r="E655" s="460">
        <v>0</v>
      </c>
      <c r="G655" s="1764"/>
      <c r="H655" s="1741" t="s">
        <v>1238</v>
      </c>
      <c r="I655" s="1742" t="s">
        <v>6677</v>
      </c>
      <c r="J655" s="1743" t="s">
        <v>2796</v>
      </c>
      <c r="K655" s="1744"/>
      <c r="L655" s="1745"/>
      <c r="M655" s="1745"/>
      <c r="N655" s="1746">
        <v>270753.84963897802</v>
      </c>
      <c r="O655" s="1747"/>
      <c r="P655" s="1720"/>
    </row>
    <row r="656" spans="1:16" ht="13.9" hidden="1" customHeight="1" outlineLevel="3" x14ac:dyDescent="0.2">
      <c r="A656" s="459">
        <v>0</v>
      </c>
      <c r="B656" s="459">
        <v>7</v>
      </c>
      <c r="C656" s="459">
        <v>10</v>
      </c>
      <c r="D656" s="460">
        <v>2</v>
      </c>
      <c r="E656" s="460">
        <v>1</v>
      </c>
      <c r="G656" s="1748" t="s">
        <v>18</v>
      </c>
      <c r="H656" s="1749" t="s">
        <v>1239</v>
      </c>
      <c r="I656" s="1750" t="s">
        <v>6678</v>
      </c>
      <c r="J656" s="1751" t="s">
        <v>2796</v>
      </c>
      <c r="K656" s="1752" t="s">
        <v>1130</v>
      </c>
      <c r="L656" s="1753">
        <v>1</v>
      </c>
      <c r="M656" s="1753">
        <v>270753.84963897767</v>
      </c>
      <c r="N656" s="1754">
        <v>270753.84963897802</v>
      </c>
      <c r="O656" s="1755" t="s">
        <v>3285</v>
      </c>
      <c r="P656" s="1721" t="s">
        <v>9611</v>
      </c>
    </row>
    <row r="657" spans="1:16" ht="13.9" hidden="1" customHeight="1" outlineLevel="2" x14ac:dyDescent="0.2">
      <c r="A657" s="459">
        <v>0</v>
      </c>
      <c r="B657" s="459">
        <v>7</v>
      </c>
      <c r="C657" s="459">
        <v>10</v>
      </c>
      <c r="D657" s="460">
        <v>3</v>
      </c>
      <c r="E657" s="460">
        <v>0</v>
      </c>
      <c r="G657" s="1764"/>
      <c r="H657" s="1741" t="s">
        <v>1238</v>
      </c>
      <c r="I657" s="1742" t="s">
        <v>6679</v>
      </c>
      <c r="J657" s="1743" t="s">
        <v>2797</v>
      </c>
      <c r="K657" s="1744"/>
      <c r="L657" s="1745"/>
      <c r="M657" s="1745"/>
      <c r="N657" s="1746">
        <v>2016</v>
      </c>
      <c r="O657" s="1747"/>
      <c r="P657" s="1720"/>
    </row>
    <row r="658" spans="1:16" ht="13.9" hidden="1" customHeight="1" outlineLevel="3" x14ac:dyDescent="0.2">
      <c r="A658" s="459">
        <v>0</v>
      </c>
      <c r="B658" s="459">
        <v>7</v>
      </c>
      <c r="C658" s="459">
        <v>10</v>
      </c>
      <c r="D658" s="460">
        <v>3</v>
      </c>
      <c r="E658" s="460">
        <v>1</v>
      </c>
      <c r="G658" s="1748" t="s">
        <v>18</v>
      </c>
      <c r="H658" s="1749" t="s">
        <v>1239</v>
      </c>
      <c r="I658" s="1750" t="s">
        <v>6680</v>
      </c>
      <c r="J658" s="1751" t="s">
        <v>2797</v>
      </c>
      <c r="K658" s="1752" t="s">
        <v>1130</v>
      </c>
      <c r="L658" s="1753">
        <v>1</v>
      </c>
      <c r="M658" s="1753">
        <v>2016</v>
      </c>
      <c r="N658" s="1754">
        <v>2016</v>
      </c>
      <c r="O658" s="1755" t="s">
        <v>3288</v>
      </c>
      <c r="P658" s="1721" t="s">
        <v>9611</v>
      </c>
    </row>
    <row r="659" spans="1:16" ht="13.9" hidden="1" customHeight="1" outlineLevel="2" x14ac:dyDescent="0.2">
      <c r="A659" s="459">
        <v>0</v>
      </c>
      <c r="B659" s="459">
        <v>7</v>
      </c>
      <c r="C659" s="459">
        <v>10</v>
      </c>
      <c r="D659" s="460">
        <v>4</v>
      </c>
      <c r="E659" s="460">
        <v>0</v>
      </c>
      <c r="G659" s="1764"/>
      <c r="H659" s="1741" t="s">
        <v>1238</v>
      </c>
      <c r="I659" s="1742" t="s">
        <v>6681</v>
      </c>
      <c r="J659" s="1743" t="s">
        <v>2522</v>
      </c>
      <c r="K659" s="1744"/>
      <c r="L659" s="1745"/>
      <c r="M659" s="1745"/>
      <c r="N659" s="1746">
        <v>600.86</v>
      </c>
      <c r="O659" s="1747"/>
      <c r="P659" s="1720"/>
    </row>
    <row r="660" spans="1:16" ht="13.9" hidden="1" customHeight="1" outlineLevel="3" x14ac:dyDescent="0.2">
      <c r="A660" s="459">
        <v>0</v>
      </c>
      <c r="B660" s="459">
        <v>7</v>
      </c>
      <c r="C660" s="459">
        <v>10</v>
      </c>
      <c r="D660" s="460">
        <v>4</v>
      </c>
      <c r="E660" s="460">
        <v>1</v>
      </c>
      <c r="G660" s="1748" t="s">
        <v>18</v>
      </c>
      <c r="H660" s="1749" t="s">
        <v>1239</v>
      </c>
      <c r="I660" s="1750" t="s">
        <v>6682</v>
      </c>
      <c r="J660" s="1751" t="s">
        <v>2522</v>
      </c>
      <c r="K660" s="1752" t="s">
        <v>1130</v>
      </c>
      <c r="L660" s="1753">
        <v>1</v>
      </c>
      <c r="M660" s="1753">
        <v>600.86</v>
      </c>
      <c r="N660" s="1754">
        <v>600.86</v>
      </c>
      <c r="O660" s="1755" t="s">
        <v>3289</v>
      </c>
      <c r="P660" s="1721" t="s">
        <v>9611</v>
      </c>
    </row>
    <row r="661" spans="1:16" ht="13.9" hidden="1" customHeight="1" outlineLevel="2" x14ac:dyDescent="0.2">
      <c r="A661" s="459">
        <v>0</v>
      </c>
      <c r="B661" s="459">
        <v>7</v>
      </c>
      <c r="C661" s="459">
        <v>10</v>
      </c>
      <c r="D661" s="460">
        <v>5</v>
      </c>
      <c r="E661" s="460">
        <v>0</v>
      </c>
      <c r="G661" s="1764"/>
      <c r="H661" s="1741" t="s">
        <v>1238</v>
      </c>
      <c r="I661" s="1742" t="s">
        <v>6683</v>
      </c>
      <c r="J661" s="1743" t="s">
        <v>1256</v>
      </c>
      <c r="K661" s="1744"/>
      <c r="L661" s="1745"/>
      <c r="M661" s="1745"/>
      <c r="N661" s="1746">
        <v>140782.24</v>
      </c>
      <c r="O661" s="1747"/>
      <c r="P661" s="1720"/>
    </row>
    <row r="662" spans="1:16" ht="13.9" hidden="1" customHeight="1" outlineLevel="3" x14ac:dyDescent="0.2">
      <c r="A662" s="459">
        <v>0</v>
      </c>
      <c r="B662" s="459">
        <v>7</v>
      </c>
      <c r="C662" s="459">
        <v>10</v>
      </c>
      <c r="D662" s="460">
        <v>5</v>
      </c>
      <c r="E662" s="460">
        <v>1</v>
      </c>
      <c r="G662" s="1748" t="s">
        <v>18</v>
      </c>
      <c r="H662" s="1749" t="s">
        <v>1239</v>
      </c>
      <c r="I662" s="1750" t="s">
        <v>6684</v>
      </c>
      <c r="J662" s="1751" t="s">
        <v>1257</v>
      </c>
      <c r="K662" s="1752" t="s">
        <v>1130</v>
      </c>
      <c r="L662" s="1753">
        <v>1</v>
      </c>
      <c r="M662" s="1753">
        <v>140782.24000000002</v>
      </c>
      <c r="N662" s="1754">
        <v>140782.24</v>
      </c>
      <c r="O662" s="1761" t="s">
        <v>5458</v>
      </c>
      <c r="P662" s="1721" t="s">
        <v>9611</v>
      </c>
    </row>
    <row r="663" spans="1:16" ht="13.9" hidden="1" customHeight="1" outlineLevel="1" x14ac:dyDescent="0.2">
      <c r="A663" s="459">
        <v>0</v>
      </c>
      <c r="B663" s="459">
        <v>7</v>
      </c>
      <c r="C663" s="459">
        <v>11</v>
      </c>
      <c r="D663" s="460">
        <v>0</v>
      </c>
      <c r="E663" s="460">
        <v>1</v>
      </c>
      <c r="G663" s="1733"/>
      <c r="H663" s="1734" t="s">
        <v>39</v>
      </c>
      <c r="I663" s="1735" t="s">
        <v>6685</v>
      </c>
      <c r="J663" s="1736" t="s">
        <v>3299</v>
      </c>
      <c r="K663" s="1737"/>
      <c r="L663" s="1738"/>
      <c r="M663" s="1738"/>
      <c r="N663" s="1739">
        <v>578435.10566785198</v>
      </c>
      <c r="O663" s="1722"/>
      <c r="P663" s="1725"/>
    </row>
    <row r="664" spans="1:16" ht="13.9" hidden="1" customHeight="1" outlineLevel="2" x14ac:dyDescent="0.2">
      <c r="A664" s="459">
        <v>0</v>
      </c>
      <c r="B664" s="459">
        <v>7</v>
      </c>
      <c r="C664" s="459">
        <v>11</v>
      </c>
      <c r="D664" s="460">
        <v>1</v>
      </c>
      <c r="E664" s="460">
        <v>0</v>
      </c>
      <c r="G664" s="1764"/>
      <c r="H664" s="1741" t="s">
        <v>1238</v>
      </c>
      <c r="I664" s="1742" t="s">
        <v>6686</v>
      </c>
      <c r="J664" s="1743" t="s">
        <v>2521</v>
      </c>
      <c r="K664" s="1744"/>
      <c r="L664" s="1745"/>
      <c r="M664" s="1745"/>
      <c r="N664" s="1746">
        <v>116667.34070267501</v>
      </c>
      <c r="O664" s="1747"/>
      <c r="P664" s="1720"/>
    </row>
    <row r="665" spans="1:16" ht="13.9" hidden="1" customHeight="1" outlineLevel="3" x14ac:dyDescent="0.2">
      <c r="A665" s="459">
        <v>0</v>
      </c>
      <c r="B665" s="459">
        <v>7</v>
      </c>
      <c r="C665" s="459">
        <v>11</v>
      </c>
      <c r="D665" s="460">
        <v>1</v>
      </c>
      <c r="E665" s="460">
        <v>1</v>
      </c>
      <c r="G665" s="1748" t="s">
        <v>18</v>
      </c>
      <c r="H665" s="1749" t="s">
        <v>1239</v>
      </c>
      <c r="I665" s="1750" t="s">
        <v>6687</v>
      </c>
      <c r="J665" s="1751" t="s">
        <v>3287</v>
      </c>
      <c r="K665" s="1752" t="s">
        <v>1130</v>
      </c>
      <c r="L665" s="1753">
        <v>1</v>
      </c>
      <c r="M665" s="1753">
        <v>116667.34070267536</v>
      </c>
      <c r="N665" s="1754">
        <v>116667.34070267501</v>
      </c>
      <c r="O665" s="1755" t="s">
        <v>3285</v>
      </c>
      <c r="P665" s="1721" t="s">
        <v>9611</v>
      </c>
    </row>
    <row r="666" spans="1:16" ht="13.9" hidden="1" customHeight="1" outlineLevel="2" x14ac:dyDescent="0.2">
      <c r="A666" s="459">
        <v>0</v>
      </c>
      <c r="B666" s="459">
        <v>7</v>
      </c>
      <c r="C666" s="459">
        <v>11</v>
      </c>
      <c r="D666" s="460">
        <v>2</v>
      </c>
      <c r="E666" s="460">
        <v>0</v>
      </c>
      <c r="G666" s="1764"/>
      <c r="H666" s="1741" t="s">
        <v>1238</v>
      </c>
      <c r="I666" s="1742" t="s">
        <v>6688</v>
      </c>
      <c r="J666" s="1743" t="s">
        <v>2796</v>
      </c>
      <c r="K666" s="1744"/>
      <c r="L666" s="1745"/>
      <c r="M666" s="1745"/>
      <c r="N666" s="1746">
        <v>67666.724965176807</v>
      </c>
      <c r="O666" s="1747"/>
      <c r="P666" s="1720"/>
    </row>
    <row r="667" spans="1:16" ht="13.9" hidden="1" customHeight="1" outlineLevel="3" x14ac:dyDescent="0.2">
      <c r="A667" s="459">
        <v>0</v>
      </c>
      <c r="B667" s="459">
        <v>7</v>
      </c>
      <c r="C667" s="459">
        <v>11</v>
      </c>
      <c r="D667" s="460">
        <v>2</v>
      </c>
      <c r="E667" s="460">
        <v>1</v>
      </c>
      <c r="G667" s="1748" t="s">
        <v>18</v>
      </c>
      <c r="H667" s="1749" t="s">
        <v>1239</v>
      </c>
      <c r="I667" s="1750" t="s">
        <v>6689</v>
      </c>
      <c r="J667" s="1751" t="s">
        <v>2796</v>
      </c>
      <c r="K667" s="1752" t="s">
        <v>1130</v>
      </c>
      <c r="L667" s="1753">
        <v>1</v>
      </c>
      <c r="M667" s="1753">
        <v>67666.724965176836</v>
      </c>
      <c r="N667" s="1754">
        <v>67666.724965176807</v>
      </c>
      <c r="O667" s="1755" t="s">
        <v>3285</v>
      </c>
      <c r="P667" s="1721" t="s">
        <v>9611</v>
      </c>
    </row>
    <row r="668" spans="1:16" ht="13.9" hidden="1" customHeight="1" outlineLevel="2" x14ac:dyDescent="0.2">
      <c r="A668" s="459">
        <v>0</v>
      </c>
      <c r="B668" s="459">
        <v>7</v>
      </c>
      <c r="C668" s="459">
        <v>11</v>
      </c>
      <c r="D668" s="460">
        <v>3</v>
      </c>
      <c r="E668" s="460">
        <v>0</v>
      </c>
      <c r="G668" s="1764"/>
      <c r="H668" s="1741" t="s">
        <v>1238</v>
      </c>
      <c r="I668" s="1742" t="s">
        <v>6690</v>
      </c>
      <c r="J668" s="1743" t="s">
        <v>2797</v>
      </c>
      <c r="K668" s="1744"/>
      <c r="L668" s="1745"/>
      <c r="M668" s="1745"/>
      <c r="N668" s="1746">
        <v>5544</v>
      </c>
      <c r="O668" s="1747"/>
      <c r="P668" s="1720"/>
    </row>
    <row r="669" spans="1:16" ht="13.9" hidden="1" customHeight="1" outlineLevel="3" x14ac:dyDescent="0.2">
      <c r="A669" s="459">
        <v>0</v>
      </c>
      <c r="B669" s="459">
        <v>7</v>
      </c>
      <c r="C669" s="459">
        <v>11</v>
      </c>
      <c r="D669" s="460">
        <v>3</v>
      </c>
      <c r="E669" s="460">
        <v>1</v>
      </c>
      <c r="G669" s="1748" t="s">
        <v>18</v>
      </c>
      <c r="H669" s="1749" t="s">
        <v>1239</v>
      </c>
      <c r="I669" s="1750" t="s">
        <v>6691</v>
      </c>
      <c r="J669" s="1751" t="s">
        <v>2797</v>
      </c>
      <c r="K669" s="1752" t="s">
        <v>1130</v>
      </c>
      <c r="L669" s="1753">
        <v>1</v>
      </c>
      <c r="M669" s="1753">
        <v>5544</v>
      </c>
      <c r="N669" s="1754">
        <v>5544</v>
      </c>
      <c r="O669" s="1755" t="s">
        <v>3288</v>
      </c>
      <c r="P669" s="1721" t="s">
        <v>9611</v>
      </c>
    </row>
    <row r="670" spans="1:16" ht="13.9" hidden="1" customHeight="1" outlineLevel="2" x14ac:dyDescent="0.2">
      <c r="A670" s="459">
        <v>0</v>
      </c>
      <c r="B670" s="459">
        <v>7</v>
      </c>
      <c r="C670" s="459">
        <v>11</v>
      </c>
      <c r="D670" s="460">
        <v>4</v>
      </c>
      <c r="E670" s="460">
        <v>0</v>
      </c>
      <c r="G670" s="1764"/>
      <c r="H670" s="1741" t="s">
        <v>1238</v>
      </c>
      <c r="I670" s="1742" t="s">
        <v>6692</v>
      </c>
      <c r="J670" s="1743" t="s">
        <v>2522</v>
      </c>
      <c r="K670" s="1744"/>
      <c r="L670" s="1745"/>
      <c r="M670" s="1745"/>
      <c r="N670" s="1746">
        <v>1201.72</v>
      </c>
      <c r="O670" s="1747"/>
      <c r="P670" s="1720"/>
    </row>
    <row r="671" spans="1:16" ht="13.9" hidden="1" customHeight="1" outlineLevel="3" x14ac:dyDescent="0.2">
      <c r="A671" s="459">
        <v>0</v>
      </c>
      <c r="B671" s="459">
        <v>7</v>
      </c>
      <c r="C671" s="459">
        <v>11</v>
      </c>
      <c r="D671" s="460">
        <v>4</v>
      </c>
      <c r="E671" s="460">
        <v>1</v>
      </c>
      <c r="G671" s="1748" t="s">
        <v>18</v>
      </c>
      <c r="H671" s="1749" t="s">
        <v>1239</v>
      </c>
      <c r="I671" s="1750" t="s">
        <v>6693</v>
      </c>
      <c r="J671" s="1751" t="s">
        <v>2522</v>
      </c>
      <c r="K671" s="1752" t="s">
        <v>1130</v>
      </c>
      <c r="L671" s="1753">
        <v>1</v>
      </c>
      <c r="M671" s="1753">
        <v>1201.72</v>
      </c>
      <c r="N671" s="1754">
        <v>1201.72</v>
      </c>
      <c r="O671" s="1755" t="s">
        <v>3289</v>
      </c>
      <c r="P671" s="1721" t="s">
        <v>9611</v>
      </c>
    </row>
    <row r="672" spans="1:16" ht="13.9" hidden="1" customHeight="1" outlineLevel="2" x14ac:dyDescent="0.2">
      <c r="A672" s="459">
        <v>0</v>
      </c>
      <c r="B672" s="459">
        <v>7</v>
      </c>
      <c r="C672" s="459">
        <v>11</v>
      </c>
      <c r="D672" s="460">
        <v>5</v>
      </c>
      <c r="E672" s="460">
        <v>0</v>
      </c>
      <c r="G672" s="1764"/>
      <c r="H672" s="1741" t="s">
        <v>1238</v>
      </c>
      <c r="I672" s="1742" t="s">
        <v>6694</v>
      </c>
      <c r="J672" s="1743" t="s">
        <v>1256</v>
      </c>
      <c r="K672" s="1744"/>
      <c r="L672" s="1745"/>
      <c r="M672" s="1745"/>
      <c r="N672" s="1746">
        <v>387355.32</v>
      </c>
      <c r="O672" s="1747"/>
      <c r="P672" s="1720"/>
    </row>
    <row r="673" spans="1:16" ht="13.9" hidden="1" customHeight="1" outlineLevel="3" x14ac:dyDescent="0.2">
      <c r="A673" s="459">
        <v>0</v>
      </c>
      <c r="B673" s="459">
        <v>7</v>
      </c>
      <c r="C673" s="459">
        <v>11</v>
      </c>
      <c r="D673" s="460">
        <v>5</v>
      </c>
      <c r="E673" s="460">
        <v>1</v>
      </c>
      <c r="G673" s="1748" t="s">
        <v>18</v>
      </c>
      <c r="H673" s="1749" t="s">
        <v>1239</v>
      </c>
      <c r="I673" s="1750" t="s">
        <v>6695</v>
      </c>
      <c r="J673" s="1751" t="s">
        <v>1257</v>
      </c>
      <c r="K673" s="1752" t="s">
        <v>1130</v>
      </c>
      <c r="L673" s="1753">
        <v>1</v>
      </c>
      <c r="M673" s="1753">
        <v>387355.32</v>
      </c>
      <c r="N673" s="1754">
        <v>387355.32</v>
      </c>
      <c r="O673" s="1761" t="s">
        <v>5458</v>
      </c>
      <c r="P673" s="1721" t="s">
        <v>9611</v>
      </c>
    </row>
    <row r="674" spans="1:16" ht="13.9" hidden="1" customHeight="1" outlineLevel="1" x14ac:dyDescent="0.2">
      <c r="A674" s="459">
        <v>0</v>
      </c>
      <c r="B674" s="459">
        <v>7</v>
      </c>
      <c r="C674" s="459">
        <v>12</v>
      </c>
      <c r="D674" s="460">
        <v>0</v>
      </c>
      <c r="E674" s="460">
        <v>1</v>
      </c>
      <c r="G674" s="1733"/>
      <c r="H674" s="1734" t="s">
        <v>39</v>
      </c>
      <c r="I674" s="1735" t="s">
        <v>6696</v>
      </c>
      <c r="J674" s="1736" t="s">
        <v>3300</v>
      </c>
      <c r="K674" s="1737"/>
      <c r="L674" s="1738"/>
      <c r="M674" s="1738"/>
      <c r="N674" s="1739">
        <v>108194.941435812</v>
      </c>
      <c r="O674" s="1722"/>
      <c r="P674" s="1725"/>
    </row>
    <row r="675" spans="1:16" ht="13.9" hidden="1" customHeight="1" outlineLevel="2" x14ac:dyDescent="0.2">
      <c r="A675" s="459">
        <v>0</v>
      </c>
      <c r="B675" s="459">
        <v>7</v>
      </c>
      <c r="C675" s="459">
        <v>12</v>
      </c>
      <c r="D675" s="460">
        <v>1</v>
      </c>
      <c r="E675" s="460">
        <v>0</v>
      </c>
      <c r="G675" s="1764"/>
      <c r="H675" s="1741" t="s">
        <v>1238</v>
      </c>
      <c r="I675" s="1742" t="s">
        <v>6697</v>
      </c>
      <c r="J675" s="1743" t="s">
        <v>2521</v>
      </c>
      <c r="K675" s="1744"/>
      <c r="L675" s="1745"/>
      <c r="M675" s="1745"/>
      <c r="N675" s="1746">
        <v>60914.022071385298</v>
      </c>
      <c r="O675" s="1747"/>
      <c r="P675" s="1720"/>
    </row>
    <row r="676" spans="1:16" ht="13.9" hidden="1" customHeight="1" outlineLevel="3" x14ac:dyDescent="0.2">
      <c r="A676" s="459">
        <v>0</v>
      </c>
      <c r="B676" s="459">
        <v>7</v>
      </c>
      <c r="C676" s="459">
        <v>12</v>
      </c>
      <c r="D676" s="460">
        <v>1</v>
      </c>
      <c r="E676" s="460">
        <v>1</v>
      </c>
      <c r="G676" s="1748" t="s">
        <v>18</v>
      </c>
      <c r="H676" s="1749" t="s">
        <v>1239</v>
      </c>
      <c r="I676" s="1750" t="s">
        <v>6698</v>
      </c>
      <c r="J676" s="1751" t="s">
        <v>3287</v>
      </c>
      <c r="K676" s="1752" t="s">
        <v>1130</v>
      </c>
      <c r="L676" s="1753">
        <v>1</v>
      </c>
      <c r="M676" s="1753">
        <v>60914.022071385312</v>
      </c>
      <c r="N676" s="1754">
        <v>60914.022071385298</v>
      </c>
      <c r="O676" s="1755" t="s">
        <v>3285</v>
      </c>
      <c r="P676" s="1721" t="s">
        <v>9611</v>
      </c>
    </row>
    <row r="677" spans="1:16" ht="13.9" hidden="1" customHeight="1" outlineLevel="2" x14ac:dyDescent="0.2">
      <c r="A677" s="459">
        <v>0</v>
      </c>
      <c r="B677" s="459">
        <v>7</v>
      </c>
      <c r="C677" s="459">
        <v>12</v>
      </c>
      <c r="D677" s="460">
        <v>2</v>
      </c>
      <c r="E677" s="460">
        <v>0</v>
      </c>
      <c r="G677" s="1764"/>
      <c r="H677" s="1741" t="s">
        <v>1238</v>
      </c>
      <c r="I677" s="1742" t="s">
        <v>6699</v>
      </c>
      <c r="J677" s="1743" t="s">
        <v>2796</v>
      </c>
      <c r="K677" s="1744"/>
      <c r="L677" s="1745"/>
      <c r="M677" s="1745"/>
      <c r="N677" s="1746">
        <v>30037.239364426601</v>
      </c>
      <c r="O677" s="1747"/>
      <c r="P677" s="1720"/>
    </row>
    <row r="678" spans="1:16" ht="13.9" hidden="1" customHeight="1" outlineLevel="3" x14ac:dyDescent="0.2">
      <c r="A678" s="459">
        <v>0</v>
      </c>
      <c r="B678" s="459">
        <v>7</v>
      </c>
      <c r="C678" s="459">
        <v>12</v>
      </c>
      <c r="D678" s="460">
        <v>2</v>
      </c>
      <c r="E678" s="460">
        <v>1</v>
      </c>
      <c r="G678" s="1748" t="s">
        <v>18</v>
      </c>
      <c r="H678" s="1749" t="s">
        <v>1239</v>
      </c>
      <c r="I678" s="1750" t="s">
        <v>6700</v>
      </c>
      <c r="J678" s="1751" t="s">
        <v>2796</v>
      </c>
      <c r="K678" s="1752" t="s">
        <v>1130</v>
      </c>
      <c r="L678" s="1753">
        <v>1</v>
      </c>
      <c r="M678" s="1753">
        <v>30037.239364426649</v>
      </c>
      <c r="N678" s="1754">
        <v>30037.239364426601</v>
      </c>
      <c r="O678" s="1755" t="s">
        <v>3285</v>
      </c>
      <c r="P678" s="1721" t="s">
        <v>9611</v>
      </c>
    </row>
    <row r="679" spans="1:16" ht="13.9" hidden="1" customHeight="1" outlineLevel="2" x14ac:dyDescent="0.2">
      <c r="A679" s="459">
        <v>0</v>
      </c>
      <c r="B679" s="459">
        <v>7</v>
      </c>
      <c r="C679" s="459">
        <v>12</v>
      </c>
      <c r="D679" s="460">
        <v>3</v>
      </c>
      <c r="E679" s="460">
        <v>0</v>
      </c>
      <c r="G679" s="1764"/>
      <c r="H679" s="1741" t="s">
        <v>1238</v>
      </c>
      <c r="I679" s="1742" t="s">
        <v>6701</v>
      </c>
      <c r="J679" s="1743" t="s">
        <v>2797</v>
      </c>
      <c r="K679" s="1744"/>
      <c r="L679" s="1745"/>
      <c r="M679" s="1745"/>
      <c r="N679" s="1746">
        <v>252</v>
      </c>
      <c r="O679" s="1747"/>
      <c r="P679" s="1720"/>
    </row>
    <row r="680" spans="1:16" ht="13.9" hidden="1" customHeight="1" outlineLevel="3" x14ac:dyDescent="0.2">
      <c r="A680" s="459">
        <v>0</v>
      </c>
      <c r="B680" s="459">
        <v>7</v>
      </c>
      <c r="C680" s="459">
        <v>12</v>
      </c>
      <c r="D680" s="460">
        <v>3</v>
      </c>
      <c r="E680" s="460">
        <v>1</v>
      </c>
      <c r="G680" s="1748" t="s">
        <v>18</v>
      </c>
      <c r="H680" s="1749" t="s">
        <v>1239</v>
      </c>
      <c r="I680" s="1750" t="s">
        <v>6702</v>
      </c>
      <c r="J680" s="1751" t="s">
        <v>2797</v>
      </c>
      <c r="K680" s="1752" t="s">
        <v>1130</v>
      </c>
      <c r="L680" s="1753">
        <v>1</v>
      </c>
      <c r="M680" s="1753">
        <v>252</v>
      </c>
      <c r="N680" s="1754">
        <v>252</v>
      </c>
      <c r="O680" s="1755" t="s">
        <v>3288</v>
      </c>
      <c r="P680" s="1721" t="s">
        <v>9611</v>
      </c>
    </row>
    <row r="681" spans="1:16" ht="13.9" hidden="1" customHeight="1" outlineLevel="2" x14ac:dyDescent="0.2">
      <c r="A681" s="459">
        <v>0</v>
      </c>
      <c r="B681" s="459">
        <v>7</v>
      </c>
      <c r="C681" s="459">
        <v>12</v>
      </c>
      <c r="D681" s="460">
        <v>4</v>
      </c>
      <c r="E681" s="460">
        <v>0</v>
      </c>
      <c r="G681" s="1764"/>
      <c r="H681" s="1741" t="s">
        <v>1238</v>
      </c>
      <c r="I681" s="1742" t="s">
        <v>6703</v>
      </c>
      <c r="J681" s="1743" t="s">
        <v>1256</v>
      </c>
      <c r="K681" s="1744"/>
      <c r="L681" s="1745"/>
      <c r="M681" s="1745"/>
      <c r="N681" s="1746">
        <v>16991.68</v>
      </c>
      <c r="O681" s="1747"/>
      <c r="P681" s="1720"/>
    </row>
    <row r="682" spans="1:16" ht="13.9" hidden="1" customHeight="1" outlineLevel="3" x14ac:dyDescent="0.2">
      <c r="A682" s="459">
        <v>0</v>
      </c>
      <c r="B682" s="459">
        <v>7</v>
      </c>
      <c r="C682" s="459">
        <v>12</v>
      </c>
      <c r="D682" s="460">
        <v>4</v>
      </c>
      <c r="E682" s="460">
        <v>1</v>
      </c>
      <c r="G682" s="1748" t="s">
        <v>18</v>
      </c>
      <c r="H682" s="1749" t="s">
        <v>1239</v>
      </c>
      <c r="I682" s="1750" t="s">
        <v>6704</v>
      </c>
      <c r="J682" s="1751" t="s">
        <v>1257</v>
      </c>
      <c r="K682" s="1752" t="s">
        <v>1130</v>
      </c>
      <c r="L682" s="1753">
        <v>1</v>
      </c>
      <c r="M682" s="1753">
        <v>16991.68</v>
      </c>
      <c r="N682" s="1754">
        <v>16991.68</v>
      </c>
      <c r="O682" s="1761" t="s">
        <v>5458</v>
      </c>
      <c r="P682" s="1721" t="s">
        <v>9611</v>
      </c>
    </row>
    <row r="683" spans="1:16" ht="13.9" hidden="1" customHeight="1" outlineLevel="1" x14ac:dyDescent="0.2">
      <c r="A683" s="459">
        <v>0</v>
      </c>
      <c r="B683" s="459">
        <v>7</v>
      </c>
      <c r="C683" s="459">
        <v>13</v>
      </c>
      <c r="D683" s="460">
        <v>0</v>
      </c>
      <c r="E683" s="460">
        <v>1</v>
      </c>
      <c r="G683" s="1733"/>
      <c r="H683" s="1734" t="s">
        <v>39</v>
      </c>
      <c r="I683" s="1735" t="s">
        <v>6705</v>
      </c>
      <c r="J683" s="1736" t="s">
        <v>3301</v>
      </c>
      <c r="K683" s="1737"/>
      <c r="L683" s="1738"/>
      <c r="M683" s="1738"/>
      <c r="N683" s="1739">
        <v>61518.190304438598</v>
      </c>
      <c r="O683" s="1722"/>
      <c r="P683" s="1725"/>
    </row>
    <row r="684" spans="1:16" ht="13.9" hidden="1" customHeight="1" outlineLevel="2" x14ac:dyDescent="0.2">
      <c r="A684" s="459">
        <v>0</v>
      </c>
      <c r="B684" s="459">
        <v>7</v>
      </c>
      <c r="C684" s="459">
        <v>13</v>
      </c>
      <c r="D684" s="460">
        <v>1</v>
      </c>
      <c r="E684" s="460">
        <v>0</v>
      </c>
      <c r="G684" s="1764"/>
      <c r="H684" s="1741" t="s">
        <v>1238</v>
      </c>
      <c r="I684" s="1742" t="s">
        <v>6706</v>
      </c>
      <c r="J684" s="1743" t="s">
        <v>2521</v>
      </c>
      <c r="K684" s="1744"/>
      <c r="L684" s="1745"/>
      <c r="M684" s="1745"/>
      <c r="N684" s="1746">
        <v>25503.495244944301</v>
      </c>
      <c r="O684" s="1747"/>
      <c r="P684" s="1720"/>
    </row>
    <row r="685" spans="1:16" ht="13.9" hidden="1" customHeight="1" outlineLevel="3" x14ac:dyDescent="0.2">
      <c r="A685" s="459">
        <v>0</v>
      </c>
      <c r="B685" s="459">
        <v>7</v>
      </c>
      <c r="C685" s="459">
        <v>13</v>
      </c>
      <c r="D685" s="460">
        <v>1</v>
      </c>
      <c r="E685" s="460">
        <v>1</v>
      </c>
      <c r="G685" s="1748" t="s">
        <v>18</v>
      </c>
      <c r="H685" s="1749" t="s">
        <v>1239</v>
      </c>
      <c r="I685" s="1750" t="s">
        <v>6707</v>
      </c>
      <c r="J685" s="1751" t="s">
        <v>3287</v>
      </c>
      <c r="K685" s="1752" t="s">
        <v>1130</v>
      </c>
      <c r="L685" s="1753">
        <v>1</v>
      </c>
      <c r="M685" s="1753">
        <v>25503.495244944253</v>
      </c>
      <c r="N685" s="1754">
        <v>25503.495244944301</v>
      </c>
      <c r="O685" s="1755" t="s">
        <v>3285</v>
      </c>
      <c r="P685" s="1721" t="s">
        <v>9611</v>
      </c>
    </row>
    <row r="686" spans="1:16" ht="13.9" hidden="1" customHeight="1" outlineLevel="2" x14ac:dyDescent="0.2">
      <c r="A686" s="459">
        <v>0</v>
      </c>
      <c r="B686" s="459">
        <v>7</v>
      </c>
      <c r="C686" s="459">
        <v>13</v>
      </c>
      <c r="D686" s="460">
        <v>2</v>
      </c>
      <c r="E686" s="460">
        <v>0</v>
      </c>
      <c r="G686" s="1764"/>
      <c r="H686" s="1741" t="s">
        <v>1238</v>
      </c>
      <c r="I686" s="1742" t="s">
        <v>6708</v>
      </c>
      <c r="J686" s="1743" t="s">
        <v>2796</v>
      </c>
      <c r="K686" s="1744"/>
      <c r="L686" s="1745"/>
      <c r="M686" s="1745"/>
      <c r="N686" s="1746">
        <v>19592.295059494299</v>
      </c>
      <c r="O686" s="1747"/>
      <c r="P686" s="1720"/>
    </row>
    <row r="687" spans="1:16" ht="13.9" hidden="1" customHeight="1" outlineLevel="3" x14ac:dyDescent="0.2">
      <c r="A687" s="459">
        <v>0</v>
      </c>
      <c r="B687" s="459">
        <v>7</v>
      </c>
      <c r="C687" s="459">
        <v>13</v>
      </c>
      <c r="D687" s="460">
        <v>2</v>
      </c>
      <c r="E687" s="460">
        <v>1</v>
      </c>
      <c r="G687" s="1748" t="s">
        <v>18</v>
      </c>
      <c r="H687" s="1749" t="s">
        <v>1239</v>
      </c>
      <c r="I687" s="1750" t="s">
        <v>6709</v>
      </c>
      <c r="J687" s="1751" t="s">
        <v>2796</v>
      </c>
      <c r="K687" s="1752" t="s">
        <v>1130</v>
      </c>
      <c r="L687" s="1753">
        <v>1</v>
      </c>
      <c r="M687" s="1753">
        <v>19592.295059494318</v>
      </c>
      <c r="N687" s="1754">
        <v>19592.295059494299</v>
      </c>
      <c r="O687" s="1755" t="s">
        <v>3285</v>
      </c>
      <c r="P687" s="1721" t="s">
        <v>9611</v>
      </c>
    </row>
    <row r="688" spans="1:16" ht="13.9" hidden="1" customHeight="1" outlineLevel="2" x14ac:dyDescent="0.2">
      <c r="A688" s="459">
        <v>0</v>
      </c>
      <c r="B688" s="459">
        <v>7</v>
      </c>
      <c r="C688" s="459">
        <v>13</v>
      </c>
      <c r="D688" s="460">
        <v>3</v>
      </c>
      <c r="E688" s="460">
        <v>0</v>
      </c>
      <c r="G688" s="1764"/>
      <c r="H688" s="1741" t="s">
        <v>1238</v>
      </c>
      <c r="I688" s="1742" t="s">
        <v>6710</v>
      </c>
      <c r="J688" s="1743" t="s">
        <v>2797</v>
      </c>
      <c r="K688" s="1744"/>
      <c r="L688" s="1745"/>
      <c r="M688" s="1745"/>
      <c r="N688" s="1746">
        <v>252</v>
      </c>
      <c r="O688" s="1747"/>
      <c r="P688" s="1720"/>
    </row>
    <row r="689" spans="1:16" ht="13.9" hidden="1" customHeight="1" outlineLevel="3" x14ac:dyDescent="0.2">
      <c r="A689" s="459">
        <v>0</v>
      </c>
      <c r="B689" s="459">
        <v>7</v>
      </c>
      <c r="C689" s="459">
        <v>13</v>
      </c>
      <c r="D689" s="460">
        <v>3</v>
      </c>
      <c r="E689" s="460">
        <v>1</v>
      </c>
      <c r="G689" s="1748" t="s">
        <v>18</v>
      </c>
      <c r="H689" s="1749" t="s">
        <v>1239</v>
      </c>
      <c r="I689" s="1750" t="s">
        <v>6711</v>
      </c>
      <c r="J689" s="1751" t="s">
        <v>2797</v>
      </c>
      <c r="K689" s="1752" t="s">
        <v>1130</v>
      </c>
      <c r="L689" s="1753">
        <v>1</v>
      </c>
      <c r="M689" s="1753">
        <v>252</v>
      </c>
      <c r="N689" s="1754">
        <v>252</v>
      </c>
      <c r="O689" s="1755" t="s">
        <v>3288</v>
      </c>
      <c r="P689" s="1721" t="s">
        <v>9611</v>
      </c>
    </row>
    <row r="690" spans="1:16" ht="13.9" hidden="1" customHeight="1" outlineLevel="2" x14ac:dyDescent="0.2">
      <c r="A690" s="459">
        <v>0</v>
      </c>
      <c r="B690" s="459">
        <v>7</v>
      </c>
      <c r="C690" s="459">
        <v>13</v>
      </c>
      <c r="D690" s="460">
        <v>4</v>
      </c>
      <c r="E690" s="460">
        <v>0</v>
      </c>
      <c r="G690" s="1764"/>
      <c r="H690" s="1741" t="s">
        <v>1238</v>
      </c>
      <c r="I690" s="1742" t="s">
        <v>6712</v>
      </c>
      <c r="J690" s="1743" t="s">
        <v>1256</v>
      </c>
      <c r="K690" s="1744"/>
      <c r="L690" s="1745"/>
      <c r="M690" s="1745"/>
      <c r="N690" s="1746">
        <v>16170.4</v>
      </c>
      <c r="O690" s="1747"/>
      <c r="P690" s="1720"/>
    </row>
    <row r="691" spans="1:16" ht="13.9" hidden="1" customHeight="1" outlineLevel="3" x14ac:dyDescent="0.2">
      <c r="A691" s="459">
        <v>0</v>
      </c>
      <c r="B691" s="459">
        <v>7</v>
      </c>
      <c r="C691" s="459">
        <v>13</v>
      </c>
      <c r="D691" s="460">
        <v>4</v>
      </c>
      <c r="E691" s="460">
        <v>1</v>
      </c>
      <c r="G691" s="1748" t="s">
        <v>18</v>
      </c>
      <c r="H691" s="1749" t="s">
        <v>1239</v>
      </c>
      <c r="I691" s="1750" t="s">
        <v>6713</v>
      </c>
      <c r="J691" s="1751" t="s">
        <v>1257</v>
      </c>
      <c r="K691" s="1752" t="s">
        <v>1130</v>
      </c>
      <c r="L691" s="1753">
        <v>1</v>
      </c>
      <c r="M691" s="1753">
        <v>16170.400000000001</v>
      </c>
      <c r="N691" s="1754">
        <v>16170.4</v>
      </c>
      <c r="O691" s="1761" t="s">
        <v>5458</v>
      </c>
      <c r="P691" s="1721" t="s">
        <v>9611</v>
      </c>
    </row>
    <row r="692" spans="1:16" ht="13.9" hidden="1" customHeight="1" outlineLevel="1" x14ac:dyDescent="0.2">
      <c r="A692" s="459">
        <v>0</v>
      </c>
      <c r="B692" s="459">
        <v>7</v>
      </c>
      <c r="C692" s="459">
        <v>14</v>
      </c>
      <c r="D692" s="460">
        <v>0</v>
      </c>
      <c r="E692" s="460">
        <v>1</v>
      </c>
      <c r="G692" s="1733"/>
      <c r="H692" s="1734" t="s">
        <v>39</v>
      </c>
      <c r="I692" s="1735" t="s">
        <v>6714</v>
      </c>
      <c r="J692" s="1736" t="s">
        <v>3302</v>
      </c>
      <c r="K692" s="1737"/>
      <c r="L692" s="1738"/>
      <c r="M692" s="1738"/>
      <c r="N692" s="1739">
        <v>508248.73751072597</v>
      </c>
      <c r="O692" s="1722"/>
      <c r="P692" s="1725"/>
    </row>
    <row r="693" spans="1:16" ht="13.9" hidden="1" customHeight="1" outlineLevel="2" x14ac:dyDescent="0.2">
      <c r="A693" s="459">
        <v>0</v>
      </c>
      <c r="B693" s="459">
        <v>7</v>
      </c>
      <c r="C693" s="459">
        <v>14</v>
      </c>
      <c r="D693" s="460">
        <v>1</v>
      </c>
      <c r="E693" s="460">
        <v>0</v>
      </c>
      <c r="G693" s="1764"/>
      <c r="H693" s="1741" t="s">
        <v>1238</v>
      </c>
      <c r="I693" s="1742" t="s">
        <v>6715</v>
      </c>
      <c r="J693" s="1743" t="s">
        <v>2521</v>
      </c>
      <c r="K693" s="1744"/>
      <c r="L693" s="1745"/>
      <c r="M693" s="1745"/>
      <c r="N693" s="1746">
        <v>165838.40289917501</v>
      </c>
      <c r="O693" s="1747"/>
      <c r="P693" s="1720"/>
    </row>
    <row r="694" spans="1:16" ht="13.9" hidden="1" customHeight="1" outlineLevel="3" x14ac:dyDescent="0.2">
      <c r="A694" s="459">
        <v>0</v>
      </c>
      <c r="B694" s="459">
        <v>7</v>
      </c>
      <c r="C694" s="459">
        <v>14</v>
      </c>
      <c r="D694" s="460">
        <v>1</v>
      </c>
      <c r="E694" s="460">
        <v>1</v>
      </c>
      <c r="G694" s="1748" t="s">
        <v>18</v>
      </c>
      <c r="H694" s="1749" t="s">
        <v>1239</v>
      </c>
      <c r="I694" s="1750" t="s">
        <v>6716</v>
      </c>
      <c r="J694" s="1751" t="s">
        <v>3287</v>
      </c>
      <c r="K694" s="1752" t="s">
        <v>1130</v>
      </c>
      <c r="L694" s="1753">
        <v>1</v>
      </c>
      <c r="M694" s="1753">
        <v>165838.40289917515</v>
      </c>
      <c r="N694" s="1754">
        <v>165838.40289917501</v>
      </c>
      <c r="O694" s="1755" t="s">
        <v>3285</v>
      </c>
      <c r="P694" s="1721" t="s">
        <v>9611</v>
      </c>
    </row>
    <row r="695" spans="1:16" ht="13.9" hidden="1" customHeight="1" outlineLevel="2" x14ac:dyDescent="0.2">
      <c r="A695" s="459">
        <v>0</v>
      </c>
      <c r="B695" s="459">
        <v>7</v>
      </c>
      <c r="C695" s="459">
        <v>14</v>
      </c>
      <c r="D695" s="460">
        <v>2</v>
      </c>
      <c r="E695" s="460">
        <v>0</v>
      </c>
      <c r="G695" s="1764"/>
      <c r="H695" s="1741" t="s">
        <v>1238</v>
      </c>
      <c r="I695" s="1742" t="s">
        <v>6717</v>
      </c>
      <c r="J695" s="1743" t="s">
        <v>2796</v>
      </c>
      <c r="K695" s="1744"/>
      <c r="L695" s="1745"/>
      <c r="M695" s="1745"/>
      <c r="N695" s="1746">
        <v>277434.45461155102</v>
      </c>
      <c r="O695" s="1747"/>
      <c r="P695" s="1720"/>
    </row>
    <row r="696" spans="1:16" ht="13.9" hidden="1" customHeight="1" outlineLevel="3" x14ac:dyDescent="0.2">
      <c r="A696" s="459">
        <v>0</v>
      </c>
      <c r="B696" s="459">
        <v>7</v>
      </c>
      <c r="C696" s="459">
        <v>14</v>
      </c>
      <c r="D696" s="460">
        <v>2</v>
      </c>
      <c r="E696" s="460">
        <v>1</v>
      </c>
      <c r="G696" s="1748" t="s">
        <v>18</v>
      </c>
      <c r="H696" s="1749" t="s">
        <v>1239</v>
      </c>
      <c r="I696" s="1750" t="s">
        <v>6718</v>
      </c>
      <c r="J696" s="1751" t="s">
        <v>2796</v>
      </c>
      <c r="K696" s="1752" t="s">
        <v>1130</v>
      </c>
      <c r="L696" s="1753">
        <v>1</v>
      </c>
      <c r="M696" s="1753">
        <v>277434.45461155119</v>
      </c>
      <c r="N696" s="1754">
        <v>277434.45461155102</v>
      </c>
      <c r="O696" s="1755" t="s">
        <v>3285</v>
      </c>
      <c r="P696" s="1721" t="s">
        <v>9611</v>
      </c>
    </row>
    <row r="697" spans="1:16" ht="13.9" hidden="1" customHeight="1" outlineLevel="2" x14ac:dyDescent="0.2">
      <c r="A697" s="459">
        <v>0</v>
      </c>
      <c r="B697" s="459">
        <v>7</v>
      </c>
      <c r="C697" s="459">
        <v>14</v>
      </c>
      <c r="D697" s="460">
        <v>3</v>
      </c>
      <c r="E697" s="460">
        <v>0</v>
      </c>
      <c r="G697" s="1764"/>
      <c r="H697" s="1741" t="s">
        <v>1238</v>
      </c>
      <c r="I697" s="1742" t="s">
        <v>6719</v>
      </c>
      <c r="J697" s="1743" t="s">
        <v>2797</v>
      </c>
      <c r="K697" s="1744"/>
      <c r="L697" s="1745"/>
      <c r="M697" s="1745"/>
      <c r="N697" s="1746">
        <v>252</v>
      </c>
      <c r="O697" s="1747"/>
      <c r="P697" s="1720"/>
    </row>
    <row r="698" spans="1:16" ht="13.9" hidden="1" customHeight="1" outlineLevel="3" x14ac:dyDescent="0.2">
      <c r="A698" s="459">
        <v>0</v>
      </c>
      <c r="B698" s="459">
        <v>7</v>
      </c>
      <c r="C698" s="459">
        <v>14</v>
      </c>
      <c r="D698" s="460">
        <v>3</v>
      </c>
      <c r="E698" s="460">
        <v>1</v>
      </c>
      <c r="G698" s="1748" t="s">
        <v>18</v>
      </c>
      <c r="H698" s="1749" t="s">
        <v>1239</v>
      </c>
      <c r="I698" s="1750" t="s">
        <v>6720</v>
      </c>
      <c r="J698" s="1751" t="s">
        <v>2797</v>
      </c>
      <c r="K698" s="1752" t="s">
        <v>1130</v>
      </c>
      <c r="L698" s="1753">
        <v>1</v>
      </c>
      <c r="M698" s="1753">
        <v>252</v>
      </c>
      <c r="N698" s="1754">
        <v>252</v>
      </c>
      <c r="O698" s="1755" t="s">
        <v>3288</v>
      </c>
      <c r="P698" s="1721" t="s">
        <v>9611</v>
      </c>
    </row>
    <row r="699" spans="1:16" ht="13.9" hidden="1" customHeight="1" outlineLevel="2" x14ac:dyDescent="0.2">
      <c r="A699" s="459">
        <v>0</v>
      </c>
      <c r="B699" s="459">
        <v>7</v>
      </c>
      <c r="C699" s="459">
        <v>14</v>
      </c>
      <c r="D699" s="460">
        <v>4</v>
      </c>
      <c r="E699" s="460">
        <v>0</v>
      </c>
      <c r="G699" s="1764"/>
      <c r="H699" s="1741" t="s">
        <v>1238</v>
      </c>
      <c r="I699" s="1742" t="s">
        <v>6721</v>
      </c>
      <c r="J699" s="1743" t="s">
        <v>2522</v>
      </c>
      <c r="K699" s="1744"/>
      <c r="L699" s="1745"/>
      <c r="M699" s="1745"/>
      <c r="N699" s="1746">
        <v>60448.12</v>
      </c>
      <c r="O699" s="1747"/>
      <c r="P699" s="1720"/>
    </row>
    <row r="700" spans="1:16" ht="13.9" hidden="1" customHeight="1" outlineLevel="3" x14ac:dyDescent="0.2">
      <c r="A700" s="459">
        <v>0</v>
      </c>
      <c r="B700" s="459">
        <v>7</v>
      </c>
      <c r="C700" s="459">
        <v>14</v>
      </c>
      <c r="D700" s="460">
        <v>4</v>
      </c>
      <c r="E700" s="460">
        <v>1</v>
      </c>
      <c r="G700" s="1748" t="s">
        <v>18</v>
      </c>
      <c r="H700" s="1749" t="s">
        <v>1239</v>
      </c>
      <c r="I700" s="1750" t="s">
        <v>6722</v>
      </c>
      <c r="J700" s="1751" t="s">
        <v>2522</v>
      </c>
      <c r="K700" s="1752" t="s">
        <v>1130</v>
      </c>
      <c r="L700" s="1753">
        <v>1</v>
      </c>
      <c r="M700" s="1753">
        <v>60448.12</v>
      </c>
      <c r="N700" s="1754">
        <v>60448.12</v>
      </c>
      <c r="O700" s="1755" t="s">
        <v>3289</v>
      </c>
      <c r="P700" s="1721" t="s">
        <v>9611</v>
      </c>
    </row>
    <row r="701" spans="1:16" ht="13.9" hidden="1" customHeight="1" outlineLevel="2" x14ac:dyDescent="0.2">
      <c r="A701" s="459">
        <v>0</v>
      </c>
      <c r="B701" s="459">
        <v>7</v>
      </c>
      <c r="C701" s="459">
        <v>14</v>
      </c>
      <c r="D701" s="460">
        <v>5</v>
      </c>
      <c r="E701" s="460">
        <v>0</v>
      </c>
      <c r="G701" s="1764"/>
      <c r="H701" s="1741" t="s">
        <v>1238</v>
      </c>
      <c r="I701" s="1742" t="s">
        <v>6723</v>
      </c>
      <c r="J701" s="1743" t="s">
        <v>1256</v>
      </c>
      <c r="K701" s="1744"/>
      <c r="L701" s="1745"/>
      <c r="M701" s="1745"/>
      <c r="N701" s="1746">
        <v>4275.76</v>
      </c>
      <c r="O701" s="1747"/>
      <c r="P701" s="1720"/>
    </row>
    <row r="702" spans="1:16" ht="13.9" hidden="1" customHeight="1" outlineLevel="3" x14ac:dyDescent="0.2">
      <c r="A702" s="459">
        <v>0</v>
      </c>
      <c r="B702" s="459">
        <v>7</v>
      </c>
      <c r="C702" s="459">
        <v>14</v>
      </c>
      <c r="D702" s="460">
        <v>5</v>
      </c>
      <c r="E702" s="460">
        <v>1</v>
      </c>
      <c r="G702" s="1748" t="s">
        <v>18</v>
      </c>
      <c r="H702" s="1749" t="s">
        <v>1239</v>
      </c>
      <c r="I702" s="1750" t="s">
        <v>6724</v>
      </c>
      <c r="J702" s="1751" t="s">
        <v>1257</v>
      </c>
      <c r="K702" s="1752" t="s">
        <v>1130</v>
      </c>
      <c r="L702" s="1753">
        <v>1</v>
      </c>
      <c r="M702" s="1753">
        <v>4275.76</v>
      </c>
      <c r="N702" s="1754">
        <v>4275.76</v>
      </c>
      <c r="O702" s="1761" t="s">
        <v>5458</v>
      </c>
      <c r="P702" s="1721" t="s">
        <v>9611</v>
      </c>
    </row>
    <row r="703" spans="1:16" ht="13.9" customHeight="1" collapsed="1" x14ac:dyDescent="0.2">
      <c r="A703" s="459">
        <v>0</v>
      </c>
      <c r="B703" s="459">
        <v>8</v>
      </c>
      <c r="C703" s="459">
        <v>0</v>
      </c>
      <c r="D703" s="460">
        <v>5</v>
      </c>
      <c r="E703" s="460">
        <v>1</v>
      </c>
      <c r="F703" s="474"/>
      <c r="G703" s="1791"/>
      <c r="H703" s="1727" t="s">
        <v>1237</v>
      </c>
      <c r="I703" s="1728" t="s">
        <v>6725</v>
      </c>
      <c r="J703" s="1729" t="s">
        <v>1258</v>
      </c>
      <c r="K703" s="1730"/>
      <c r="L703" s="1731"/>
      <c r="M703" s="1731"/>
      <c r="N703" s="1732">
        <v>2726218.0507999999</v>
      </c>
      <c r="O703" s="1770">
        <v>162.76249327897199</v>
      </c>
      <c r="P703" s="1723"/>
    </row>
    <row r="704" spans="1:16" ht="13.9" hidden="1" customHeight="1" outlineLevel="1" x14ac:dyDescent="0.2">
      <c r="A704" s="459">
        <v>0</v>
      </c>
      <c r="B704" s="459">
        <v>8</v>
      </c>
      <c r="C704" s="459">
        <v>1</v>
      </c>
      <c r="D704" s="460">
        <v>0</v>
      </c>
      <c r="E704" s="460">
        <v>1</v>
      </c>
      <c r="G704" s="1733"/>
      <c r="H704" s="1734" t="s">
        <v>39</v>
      </c>
      <c r="I704" s="1735" t="s">
        <v>6726</v>
      </c>
      <c r="J704" s="1736" t="s">
        <v>3337</v>
      </c>
      <c r="K704" s="1737"/>
      <c r="L704" s="1738"/>
      <c r="M704" s="1738"/>
      <c r="N704" s="1739">
        <v>95954.486999999994</v>
      </c>
      <c r="O704" s="1722"/>
      <c r="P704" s="1725"/>
    </row>
    <row r="705" spans="1:16" ht="13.9" hidden="1" customHeight="1" outlineLevel="2" x14ac:dyDescent="0.2">
      <c r="A705" s="459">
        <v>0</v>
      </c>
      <c r="B705" s="459">
        <v>8</v>
      </c>
      <c r="C705" s="459">
        <v>1</v>
      </c>
      <c r="D705" s="460">
        <v>1</v>
      </c>
      <c r="E705" s="460">
        <v>0</v>
      </c>
      <c r="G705" s="1740"/>
      <c r="H705" s="1741" t="s">
        <v>1238</v>
      </c>
      <c r="I705" s="1742" t="s">
        <v>6727</v>
      </c>
      <c r="J705" s="1743" t="s">
        <v>2798</v>
      </c>
      <c r="K705" s="1744"/>
      <c r="L705" s="1745"/>
      <c r="M705" s="1745"/>
      <c r="N705" s="1746">
        <v>16802</v>
      </c>
      <c r="O705" s="1747"/>
      <c r="P705" s="1720"/>
    </row>
    <row r="706" spans="1:16" ht="13.9" hidden="1" customHeight="1" outlineLevel="3" x14ac:dyDescent="0.2">
      <c r="A706" s="459">
        <v>0</v>
      </c>
      <c r="B706" s="459">
        <v>8</v>
      </c>
      <c r="C706" s="459">
        <v>1</v>
      </c>
      <c r="D706" s="460">
        <v>1</v>
      </c>
      <c r="E706" s="460">
        <v>1</v>
      </c>
      <c r="G706" s="1790" t="s">
        <v>1258</v>
      </c>
      <c r="H706" s="1749" t="s">
        <v>1239</v>
      </c>
      <c r="I706" s="1750" t="s">
        <v>6728</v>
      </c>
      <c r="J706" s="1751" t="s">
        <v>2798</v>
      </c>
      <c r="K706" s="1752" t="s">
        <v>1130</v>
      </c>
      <c r="L706" s="1753">
        <v>1</v>
      </c>
      <c r="M706" s="1753">
        <v>16802</v>
      </c>
      <c r="N706" s="1754">
        <v>16802</v>
      </c>
      <c r="O706" s="1755" t="s">
        <v>2791</v>
      </c>
      <c r="P706" s="1721" t="s">
        <v>9611</v>
      </c>
    </row>
    <row r="707" spans="1:16" ht="13.9" hidden="1" customHeight="1" outlineLevel="2" x14ac:dyDescent="0.2">
      <c r="A707" s="459">
        <v>0</v>
      </c>
      <c r="B707" s="459">
        <v>8</v>
      </c>
      <c r="C707" s="459">
        <v>1</v>
      </c>
      <c r="D707" s="460">
        <v>2</v>
      </c>
      <c r="E707" s="460">
        <v>0</v>
      </c>
      <c r="G707" s="1740"/>
      <c r="H707" s="1741" t="s">
        <v>1238</v>
      </c>
      <c r="I707" s="1742" t="s">
        <v>6729</v>
      </c>
      <c r="J707" s="1743" t="s">
        <v>2799</v>
      </c>
      <c r="K707" s="1744"/>
      <c r="L707" s="1745"/>
      <c r="M707" s="1745"/>
      <c r="N707" s="1746">
        <v>2892.59</v>
      </c>
      <c r="O707" s="1747"/>
      <c r="P707" s="1720"/>
    </row>
    <row r="708" spans="1:16" ht="13.9" hidden="1" customHeight="1" outlineLevel="3" x14ac:dyDescent="0.2">
      <c r="A708" s="459">
        <v>0</v>
      </c>
      <c r="B708" s="459">
        <v>8</v>
      </c>
      <c r="C708" s="459">
        <v>1</v>
      </c>
      <c r="D708" s="460">
        <v>2</v>
      </c>
      <c r="E708" s="460">
        <v>1</v>
      </c>
      <c r="G708" s="1790" t="s">
        <v>1258</v>
      </c>
      <c r="H708" s="1749" t="s">
        <v>1239</v>
      </c>
      <c r="I708" s="1750" t="s">
        <v>6730</v>
      </c>
      <c r="J708" s="1751" t="s">
        <v>2799</v>
      </c>
      <c r="K708" s="1752" t="s">
        <v>1130</v>
      </c>
      <c r="L708" s="1753">
        <v>1</v>
      </c>
      <c r="M708" s="1753">
        <v>2892.59</v>
      </c>
      <c r="N708" s="1754">
        <v>2892.59</v>
      </c>
      <c r="O708" s="1755" t="s">
        <v>2791</v>
      </c>
      <c r="P708" s="1721" t="s">
        <v>9611</v>
      </c>
    </row>
    <row r="709" spans="1:16" ht="13.9" hidden="1" customHeight="1" outlineLevel="2" x14ac:dyDescent="0.2">
      <c r="A709" s="459">
        <v>0</v>
      </c>
      <c r="B709" s="459">
        <v>8</v>
      </c>
      <c r="C709" s="459">
        <v>1</v>
      </c>
      <c r="D709" s="460">
        <v>3</v>
      </c>
      <c r="E709" s="460">
        <v>0</v>
      </c>
      <c r="G709" s="1740"/>
      <c r="H709" s="1741" t="s">
        <v>1238</v>
      </c>
      <c r="I709" s="1742" t="s">
        <v>6731</v>
      </c>
      <c r="J709" s="1743" t="s">
        <v>3353</v>
      </c>
      <c r="K709" s="1744"/>
      <c r="L709" s="1745"/>
      <c r="M709" s="1745"/>
      <c r="N709" s="1746">
        <v>66734.2</v>
      </c>
      <c r="O709" s="1747"/>
      <c r="P709" s="1720"/>
    </row>
    <row r="710" spans="1:16" ht="13.9" hidden="1" customHeight="1" outlineLevel="3" x14ac:dyDescent="0.2">
      <c r="A710" s="459">
        <v>0</v>
      </c>
      <c r="B710" s="459">
        <v>8</v>
      </c>
      <c r="C710" s="459">
        <v>1</v>
      </c>
      <c r="D710" s="460">
        <v>3</v>
      </c>
      <c r="E710" s="460">
        <v>1</v>
      </c>
      <c r="G710" s="1790" t="s">
        <v>1258</v>
      </c>
      <c r="H710" s="1749" t="s">
        <v>1239</v>
      </c>
      <c r="I710" s="1750" t="s">
        <v>6732</v>
      </c>
      <c r="J710" s="1751" t="s">
        <v>3353</v>
      </c>
      <c r="K710" s="1752" t="s">
        <v>1130</v>
      </c>
      <c r="L710" s="1753">
        <v>1</v>
      </c>
      <c r="M710" s="1753">
        <v>66734.2</v>
      </c>
      <c r="N710" s="1754">
        <v>66734.2</v>
      </c>
      <c r="O710" s="1755" t="s">
        <v>2791</v>
      </c>
      <c r="P710" s="1721" t="s">
        <v>9611</v>
      </c>
    </row>
    <row r="711" spans="1:16" ht="13.9" hidden="1" customHeight="1" outlineLevel="2" x14ac:dyDescent="0.2">
      <c r="A711" s="459">
        <v>0</v>
      </c>
      <c r="B711" s="459">
        <v>8</v>
      </c>
      <c r="C711" s="459">
        <v>1</v>
      </c>
      <c r="D711" s="460">
        <v>4</v>
      </c>
      <c r="E711" s="460">
        <v>0</v>
      </c>
      <c r="G711" s="1740"/>
      <c r="H711" s="1741" t="s">
        <v>1238</v>
      </c>
      <c r="I711" s="1742" t="s">
        <v>6733</v>
      </c>
      <c r="J711" s="1743" t="s">
        <v>2800</v>
      </c>
      <c r="K711" s="1744"/>
      <c r="L711" s="1745"/>
      <c r="M711" s="1745"/>
      <c r="N711" s="1746">
        <v>0</v>
      </c>
      <c r="O711" s="1747"/>
      <c r="P711" s="1720"/>
    </row>
    <row r="712" spans="1:16" ht="13.9" hidden="1" customHeight="1" outlineLevel="3" x14ac:dyDescent="0.2">
      <c r="A712" s="459">
        <v>0</v>
      </c>
      <c r="B712" s="459">
        <v>8</v>
      </c>
      <c r="C712" s="459">
        <v>1</v>
      </c>
      <c r="D712" s="460">
        <v>4</v>
      </c>
      <c r="E712" s="460">
        <v>1</v>
      </c>
      <c r="G712" s="1790" t="s">
        <v>1258</v>
      </c>
      <c r="H712" s="1749" t="s">
        <v>1239</v>
      </c>
      <c r="I712" s="1750" t="s">
        <v>6734</v>
      </c>
      <c r="J712" s="1751" t="s">
        <v>2800</v>
      </c>
      <c r="K712" s="1752" t="s">
        <v>1130</v>
      </c>
      <c r="L712" s="1753">
        <v>1</v>
      </c>
      <c r="M712" s="1753">
        <v>0</v>
      </c>
      <c r="N712" s="1754">
        <v>0</v>
      </c>
      <c r="O712" s="1755" t="s">
        <v>3351</v>
      </c>
      <c r="P712" s="1721" t="s">
        <v>9611</v>
      </c>
    </row>
    <row r="713" spans="1:16" ht="13.9" hidden="1" customHeight="1" outlineLevel="2" x14ac:dyDescent="0.2">
      <c r="A713" s="459">
        <v>0</v>
      </c>
      <c r="B713" s="459">
        <v>8</v>
      </c>
      <c r="C713" s="459">
        <v>1</v>
      </c>
      <c r="D713" s="460">
        <v>5</v>
      </c>
      <c r="E713" s="460">
        <v>0</v>
      </c>
      <c r="G713" s="1740"/>
      <c r="H713" s="1741" t="s">
        <v>1238</v>
      </c>
      <c r="I713" s="1742" t="s">
        <v>6735</v>
      </c>
      <c r="J713" s="1743" t="s">
        <v>2523</v>
      </c>
      <c r="K713" s="1744"/>
      <c r="L713" s="1745"/>
      <c r="M713" s="1745"/>
      <c r="N713" s="1746">
        <v>5602.7969999999996</v>
      </c>
      <c r="O713" s="1747"/>
      <c r="P713" s="1720"/>
    </row>
    <row r="714" spans="1:16" ht="13.9" hidden="1" customHeight="1" outlineLevel="3" x14ac:dyDescent="0.2">
      <c r="A714" s="459">
        <v>0</v>
      </c>
      <c r="B714" s="459">
        <v>8</v>
      </c>
      <c r="C714" s="459">
        <v>1</v>
      </c>
      <c r="D714" s="460">
        <v>5</v>
      </c>
      <c r="E714" s="460">
        <v>1</v>
      </c>
      <c r="G714" s="1790" t="s">
        <v>1258</v>
      </c>
      <c r="H714" s="1749" t="s">
        <v>1239</v>
      </c>
      <c r="I714" s="1750" t="s">
        <v>6736</v>
      </c>
      <c r="J714" s="1751" t="s">
        <v>2523</v>
      </c>
      <c r="K714" s="1752" t="s">
        <v>1130</v>
      </c>
      <c r="L714" s="1753">
        <v>1</v>
      </c>
      <c r="M714" s="1753">
        <v>5602.7970000000005</v>
      </c>
      <c r="N714" s="1754">
        <v>5602.7969999999996</v>
      </c>
      <c r="O714" s="1755" t="s">
        <v>2791</v>
      </c>
      <c r="P714" s="1721" t="s">
        <v>9611</v>
      </c>
    </row>
    <row r="715" spans="1:16" ht="13.9" hidden="1" customHeight="1" outlineLevel="2" x14ac:dyDescent="0.2">
      <c r="A715" s="459">
        <v>0</v>
      </c>
      <c r="B715" s="459">
        <v>8</v>
      </c>
      <c r="C715" s="459">
        <v>1</v>
      </c>
      <c r="D715" s="460">
        <v>6</v>
      </c>
      <c r="E715" s="460">
        <v>0</v>
      </c>
      <c r="G715" s="1740"/>
      <c r="H715" s="1741" t="s">
        <v>1238</v>
      </c>
      <c r="I715" s="1742" t="s">
        <v>6737</v>
      </c>
      <c r="J715" s="1743" t="s">
        <v>2522</v>
      </c>
      <c r="K715" s="1744"/>
      <c r="L715" s="1745"/>
      <c r="M715" s="1745"/>
      <c r="N715" s="1746">
        <v>0</v>
      </c>
      <c r="O715" s="1747"/>
      <c r="P715" s="1720"/>
    </row>
    <row r="716" spans="1:16" ht="13.9" hidden="1" customHeight="1" outlineLevel="3" x14ac:dyDescent="0.2">
      <c r="A716" s="459">
        <v>0</v>
      </c>
      <c r="B716" s="459">
        <v>8</v>
      </c>
      <c r="C716" s="459">
        <v>1</v>
      </c>
      <c r="D716" s="460">
        <v>6</v>
      </c>
      <c r="E716" s="460">
        <v>1</v>
      </c>
      <c r="G716" s="1790" t="s">
        <v>1258</v>
      </c>
      <c r="H716" s="1749" t="s">
        <v>1239</v>
      </c>
      <c r="I716" s="1750" t="s">
        <v>6738</v>
      </c>
      <c r="J716" s="1751" t="s">
        <v>2522</v>
      </c>
      <c r="K716" s="1752" t="s">
        <v>1130</v>
      </c>
      <c r="L716" s="1753">
        <v>1</v>
      </c>
      <c r="M716" s="1753">
        <v>0</v>
      </c>
      <c r="N716" s="1754">
        <v>0</v>
      </c>
      <c r="O716" s="1755" t="s">
        <v>2791</v>
      </c>
      <c r="P716" s="1721" t="s">
        <v>9611</v>
      </c>
    </row>
    <row r="717" spans="1:16" ht="13.9" hidden="1" customHeight="1" outlineLevel="2" x14ac:dyDescent="0.2">
      <c r="A717" s="459">
        <v>0</v>
      </c>
      <c r="B717" s="459">
        <v>8</v>
      </c>
      <c r="C717" s="459">
        <v>1</v>
      </c>
      <c r="D717" s="460">
        <v>7</v>
      </c>
      <c r="E717" s="460">
        <v>0</v>
      </c>
      <c r="G717" s="1740"/>
      <c r="H717" s="1741" t="s">
        <v>1238</v>
      </c>
      <c r="I717" s="1742" t="s">
        <v>6739</v>
      </c>
      <c r="J717" s="1743" t="s">
        <v>15</v>
      </c>
      <c r="K717" s="1744"/>
      <c r="L717" s="1745"/>
      <c r="M717" s="1745"/>
      <c r="N717" s="1746">
        <v>3922.9</v>
      </c>
      <c r="O717" s="1747"/>
      <c r="P717" s="1720"/>
    </row>
    <row r="718" spans="1:16" ht="13.9" hidden="1" customHeight="1" outlineLevel="3" x14ac:dyDescent="0.2">
      <c r="A718" s="459">
        <v>0</v>
      </c>
      <c r="B718" s="459">
        <v>8</v>
      </c>
      <c r="C718" s="459">
        <v>1</v>
      </c>
      <c r="D718" s="460">
        <v>7</v>
      </c>
      <c r="E718" s="460">
        <v>1</v>
      </c>
      <c r="G718" s="1790" t="s">
        <v>1258</v>
      </c>
      <c r="H718" s="1749" t="s">
        <v>1239</v>
      </c>
      <c r="I718" s="1750" t="s">
        <v>6740</v>
      </c>
      <c r="J718" s="1751" t="s">
        <v>1259</v>
      </c>
      <c r="K718" s="1752" t="s">
        <v>1130</v>
      </c>
      <c r="L718" s="1753">
        <v>1</v>
      </c>
      <c r="M718" s="1753">
        <v>3922.9</v>
      </c>
      <c r="N718" s="1754">
        <v>3922.9</v>
      </c>
      <c r="O718" s="1765" t="s">
        <v>2801</v>
      </c>
      <c r="P718" s="1721" t="s">
        <v>9611</v>
      </c>
    </row>
    <row r="719" spans="1:16" ht="13.9" hidden="1" customHeight="1" outlineLevel="1" x14ac:dyDescent="0.2">
      <c r="A719" s="459">
        <v>0</v>
      </c>
      <c r="B719" s="459">
        <v>8</v>
      </c>
      <c r="C719" s="459">
        <v>2</v>
      </c>
      <c r="D719" s="460">
        <v>0</v>
      </c>
      <c r="E719" s="460">
        <v>1</v>
      </c>
      <c r="G719" s="1733"/>
      <c r="H719" s="1734" t="s">
        <v>39</v>
      </c>
      <c r="I719" s="1735" t="s">
        <v>6741</v>
      </c>
      <c r="J719" s="1736" t="s">
        <v>3338</v>
      </c>
      <c r="K719" s="1737"/>
      <c r="L719" s="1738"/>
      <c r="M719" s="1738"/>
      <c r="N719" s="1739">
        <v>138596.63500000001</v>
      </c>
      <c r="O719" s="1722"/>
      <c r="P719" s="1725"/>
    </row>
    <row r="720" spans="1:16" ht="13.9" hidden="1" customHeight="1" outlineLevel="2" x14ac:dyDescent="0.2">
      <c r="A720" s="459">
        <v>0</v>
      </c>
      <c r="B720" s="459">
        <v>8</v>
      </c>
      <c r="C720" s="459">
        <v>2</v>
      </c>
      <c r="D720" s="460">
        <v>1</v>
      </c>
      <c r="E720" s="460">
        <v>0</v>
      </c>
      <c r="G720" s="1740"/>
      <c r="H720" s="1741" t="s">
        <v>1238</v>
      </c>
      <c r="I720" s="1742" t="s">
        <v>6742</v>
      </c>
      <c r="J720" s="1743" t="s">
        <v>2798</v>
      </c>
      <c r="K720" s="1744"/>
      <c r="L720" s="1745"/>
      <c r="M720" s="1745"/>
      <c r="N720" s="1746">
        <v>6776</v>
      </c>
      <c r="O720" s="1747"/>
      <c r="P720" s="1720"/>
    </row>
    <row r="721" spans="1:16" ht="13.9" hidden="1" customHeight="1" outlineLevel="3" x14ac:dyDescent="0.2">
      <c r="A721" s="459">
        <v>0</v>
      </c>
      <c r="B721" s="459">
        <v>8</v>
      </c>
      <c r="C721" s="459">
        <v>2</v>
      </c>
      <c r="D721" s="460">
        <v>1</v>
      </c>
      <c r="E721" s="460">
        <v>1</v>
      </c>
      <c r="G721" s="1790" t="s">
        <v>1258</v>
      </c>
      <c r="H721" s="1749" t="s">
        <v>1239</v>
      </c>
      <c r="I721" s="1750" t="s">
        <v>6743</v>
      </c>
      <c r="J721" s="1751" t="s">
        <v>2798</v>
      </c>
      <c r="K721" s="1752" t="s">
        <v>1130</v>
      </c>
      <c r="L721" s="1753">
        <v>1</v>
      </c>
      <c r="M721" s="1753">
        <v>6776</v>
      </c>
      <c r="N721" s="1754">
        <v>6776</v>
      </c>
      <c r="O721" s="1755" t="s">
        <v>2791</v>
      </c>
      <c r="P721" s="1721" t="s">
        <v>9611</v>
      </c>
    </row>
    <row r="722" spans="1:16" ht="13.9" hidden="1" customHeight="1" outlineLevel="2" x14ac:dyDescent="0.2">
      <c r="A722" s="459">
        <v>0</v>
      </c>
      <c r="B722" s="459">
        <v>8</v>
      </c>
      <c r="C722" s="459">
        <v>2</v>
      </c>
      <c r="D722" s="460">
        <v>2</v>
      </c>
      <c r="E722" s="460">
        <v>0</v>
      </c>
      <c r="G722" s="1740"/>
      <c r="H722" s="1741" t="s">
        <v>1238</v>
      </c>
      <c r="I722" s="1742" t="s">
        <v>6744</v>
      </c>
      <c r="J722" s="1743" t="s">
        <v>2799</v>
      </c>
      <c r="K722" s="1744"/>
      <c r="L722" s="1745"/>
      <c r="M722" s="1745"/>
      <c r="N722" s="1746">
        <v>2329.23</v>
      </c>
      <c r="O722" s="1747"/>
      <c r="P722" s="1720"/>
    </row>
    <row r="723" spans="1:16" ht="13.9" hidden="1" customHeight="1" outlineLevel="3" x14ac:dyDescent="0.2">
      <c r="A723" s="459">
        <v>0</v>
      </c>
      <c r="B723" s="459">
        <v>8</v>
      </c>
      <c r="C723" s="459">
        <v>2</v>
      </c>
      <c r="D723" s="460">
        <v>2</v>
      </c>
      <c r="E723" s="460">
        <v>1</v>
      </c>
      <c r="G723" s="1790" t="s">
        <v>1258</v>
      </c>
      <c r="H723" s="1749" t="s">
        <v>1239</v>
      </c>
      <c r="I723" s="1750" t="s">
        <v>6745</v>
      </c>
      <c r="J723" s="1751" t="s">
        <v>2799</v>
      </c>
      <c r="K723" s="1752" t="s">
        <v>1130</v>
      </c>
      <c r="L723" s="1753">
        <v>1</v>
      </c>
      <c r="M723" s="1753">
        <v>2329.23</v>
      </c>
      <c r="N723" s="1754">
        <v>2329.23</v>
      </c>
      <c r="O723" s="1755" t="s">
        <v>2791</v>
      </c>
      <c r="P723" s="1721" t="s">
        <v>9611</v>
      </c>
    </row>
    <row r="724" spans="1:16" ht="13.9" hidden="1" customHeight="1" outlineLevel="2" x14ac:dyDescent="0.2">
      <c r="A724" s="459">
        <v>0</v>
      </c>
      <c r="B724" s="459">
        <v>8</v>
      </c>
      <c r="C724" s="459">
        <v>2</v>
      </c>
      <c r="D724" s="460">
        <v>3</v>
      </c>
      <c r="E724" s="460">
        <v>0</v>
      </c>
      <c r="G724" s="1740"/>
      <c r="H724" s="1741" t="s">
        <v>1238</v>
      </c>
      <c r="I724" s="1742" t="s">
        <v>6746</v>
      </c>
      <c r="J724" s="1743" t="s">
        <v>3353</v>
      </c>
      <c r="K724" s="1744"/>
      <c r="L724" s="1745"/>
      <c r="M724" s="1745"/>
      <c r="N724" s="1746">
        <v>116980.6</v>
      </c>
      <c r="O724" s="1747"/>
      <c r="P724" s="1720"/>
    </row>
    <row r="725" spans="1:16" ht="13.9" hidden="1" customHeight="1" outlineLevel="3" x14ac:dyDescent="0.2">
      <c r="A725" s="459">
        <v>0</v>
      </c>
      <c r="B725" s="459">
        <v>8</v>
      </c>
      <c r="C725" s="459">
        <v>2</v>
      </c>
      <c r="D725" s="460">
        <v>3</v>
      </c>
      <c r="E725" s="460">
        <v>1</v>
      </c>
      <c r="G725" s="1790" t="s">
        <v>1258</v>
      </c>
      <c r="H725" s="1749" t="s">
        <v>1239</v>
      </c>
      <c r="I725" s="1750" t="s">
        <v>6747</v>
      </c>
      <c r="J725" s="1751" t="s">
        <v>3353</v>
      </c>
      <c r="K725" s="1752" t="s">
        <v>1130</v>
      </c>
      <c r="L725" s="1753">
        <v>1</v>
      </c>
      <c r="M725" s="1753">
        <v>116980.6</v>
      </c>
      <c r="N725" s="1754">
        <v>116980.6</v>
      </c>
      <c r="O725" s="1755" t="s">
        <v>2791</v>
      </c>
      <c r="P725" s="1721" t="s">
        <v>9611</v>
      </c>
    </row>
    <row r="726" spans="1:16" ht="13.9" hidden="1" customHeight="1" outlineLevel="2" x14ac:dyDescent="0.2">
      <c r="A726" s="459">
        <v>0</v>
      </c>
      <c r="B726" s="459">
        <v>8</v>
      </c>
      <c r="C726" s="459">
        <v>2</v>
      </c>
      <c r="D726" s="460">
        <v>4</v>
      </c>
      <c r="E726" s="460">
        <v>0</v>
      </c>
      <c r="G726" s="1740"/>
      <c r="H726" s="1741" t="s">
        <v>1238</v>
      </c>
      <c r="I726" s="1742" t="s">
        <v>6748</v>
      </c>
      <c r="J726" s="1743" t="s">
        <v>2800</v>
      </c>
      <c r="K726" s="1744"/>
      <c r="L726" s="1745"/>
      <c r="M726" s="1745"/>
      <c r="N726" s="1746">
        <v>0</v>
      </c>
      <c r="O726" s="1747"/>
      <c r="P726" s="1720"/>
    </row>
    <row r="727" spans="1:16" ht="13.9" hidden="1" customHeight="1" outlineLevel="3" x14ac:dyDescent="0.2">
      <c r="A727" s="459">
        <v>0</v>
      </c>
      <c r="B727" s="459">
        <v>8</v>
      </c>
      <c r="C727" s="459">
        <v>2</v>
      </c>
      <c r="D727" s="460">
        <v>4</v>
      </c>
      <c r="E727" s="460">
        <v>1</v>
      </c>
      <c r="G727" s="1790" t="s">
        <v>1258</v>
      </c>
      <c r="H727" s="1749" t="s">
        <v>1239</v>
      </c>
      <c r="I727" s="1750" t="s">
        <v>6749</v>
      </c>
      <c r="J727" s="1751" t="s">
        <v>2800</v>
      </c>
      <c r="K727" s="1752" t="s">
        <v>1130</v>
      </c>
      <c r="L727" s="1753">
        <v>1</v>
      </c>
      <c r="M727" s="1753"/>
      <c r="N727" s="1754">
        <v>0</v>
      </c>
      <c r="O727" s="1755" t="s">
        <v>3351</v>
      </c>
      <c r="P727" s="1721" t="s">
        <v>9611</v>
      </c>
    </row>
    <row r="728" spans="1:16" ht="13.9" hidden="1" customHeight="1" outlineLevel="2" x14ac:dyDescent="0.2">
      <c r="A728" s="459">
        <v>0</v>
      </c>
      <c r="B728" s="459">
        <v>8</v>
      </c>
      <c r="C728" s="459">
        <v>2</v>
      </c>
      <c r="D728" s="460">
        <v>5</v>
      </c>
      <c r="E728" s="460">
        <v>0</v>
      </c>
      <c r="G728" s="1740"/>
      <c r="H728" s="1741" t="s">
        <v>1238</v>
      </c>
      <c r="I728" s="1742" t="s">
        <v>6750</v>
      </c>
      <c r="J728" s="1743" t="s">
        <v>2523</v>
      </c>
      <c r="K728" s="1744"/>
      <c r="L728" s="1745"/>
      <c r="M728" s="1745"/>
      <c r="N728" s="1746">
        <v>8505.0550000000003</v>
      </c>
      <c r="O728" s="1747"/>
      <c r="P728" s="1720"/>
    </row>
    <row r="729" spans="1:16" ht="13.9" hidden="1" customHeight="1" outlineLevel="3" x14ac:dyDescent="0.2">
      <c r="A729" s="459">
        <v>0</v>
      </c>
      <c r="B729" s="459">
        <v>8</v>
      </c>
      <c r="C729" s="459">
        <v>2</v>
      </c>
      <c r="D729" s="460">
        <v>5</v>
      </c>
      <c r="E729" s="460">
        <v>1</v>
      </c>
      <c r="G729" s="1790" t="s">
        <v>1258</v>
      </c>
      <c r="H729" s="1749" t="s">
        <v>1239</v>
      </c>
      <c r="I729" s="1750" t="s">
        <v>6751</v>
      </c>
      <c r="J729" s="1751" t="s">
        <v>2523</v>
      </c>
      <c r="K729" s="1752" t="s">
        <v>1130</v>
      </c>
      <c r="L729" s="1753">
        <v>1</v>
      </c>
      <c r="M729" s="1753">
        <v>8505.0550000000003</v>
      </c>
      <c r="N729" s="1754">
        <v>8505.0550000000003</v>
      </c>
      <c r="O729" s="1755" t="s">
        <v>2791</v>
      </c>
      <c r="P729" s="1721" t="s">
        <v>9611</v>
      </c>
    </row>
    <row r="730" spans="1:16" ht="13.9" hidden="1" customHeight="1" outlineLevel="2" x14ac:dyDescent="0.2">
      <c r="A730" s="459">
        <v>0</v>
      </c>
      <c r="B730" s="459">
        <v>8</v>
      </c>
      <c r="C730" s="459">
        <v>2</v>
      </c>
      <c r="D730" s="460">
        <v>6</v>
      </c>
      <c r="E730" s="460">
        <v>0</v>
      </c>
      <c r="G730" s="1740"/>
      <c r="H730" s="1741" t="s">
        <v>1238</v>
      </c>
      <c r="I730" s="1742" t="s">
        <v>6752</v>
      </c>
      <c r="J730" s="1743" t="s">
        <v>2522</v>
      </c>
      <c r="K730" s="1744"/>
      <c r="L730" s="1745"/>
      <c r="M730" s="1745"/>
      <c r="N730" s="1746">
        <v>0</v>
      </c>
      <c r="O730" s="1747"/>
      <c r="P730" s="1720"/>
    </row>
    <row r="731" spans="1:16" ht="13.9" hidden="1" customHeight="1" outlineLevel="3" x14ac:dyDescent="0.2">
      <c r="A731" s="459">
        <v>0</v>
      </c>
      <c r="B731" s="459">
        <v>8</v>
      </c>
      <c r="C731" s="459">
        <v>2</v>
      </c>
      <c r="D731" s="460">
        <v>6</v>
      </c>
      <c r="E731" s="460">
        <v>1</v>
      </c>
      <c r="G731" s="1790" t="s">
        <v>1258</v>
      </c>
      <c r="H731" s="1749" t="s">
        <v>1239</v>
      </c>
      <c r="I731" s="1750" t="s">
        <v>6753</v>
      </c>
      <c r="J731" s="1751" t="s">
        <v>2522</v>
      </c>
      <c r="K731" s="1752" t="s">
        <v>1130</v>
      </c>
      <c r="L731" s="1753">
        <v>1</v>
      </c>
      <c r="M731" s="1753"/>
      <c r="N731" s="1754">
        <v>0</v>
      </c>
      <c r="O731" s="1755" t="s">
        <v>2791</v>
      </c>
      <c r="P731" s="1721" t="s">
        <v>9611</v>
      </c>
    </row>
    <row r="732" spans="1:16" ht="13.9" hidden="1" customHeight="1" outlineLevel="2" x14ac:dyDescent="0.2">
      <c r="A732" s="459">
        <v>0</v>
      </c>
      <c r="B732" s="459">
        <v>8</v>
      </c>
      <c r="C732" s="459">
        <v>2</v>
      </c>
      <c r="D732" s="460">
        <v>7</v>
      </c>
      <c r="E732" s="460">
        <v>0</v>
      </c>
      <c r="G732" s="1740"/>
      <c r="H732" s="1741" t="s">
        <v>1238</v>
      </c>
      <c r="I732" s="1742" t="s">
        <v>6754</v>
      </c>
      <c r="J732" s="1743" t="s">
        <v>15</v>
      </c>
      <c r="K732" s="1744"/>
      <c r="L732" s="1745"/>
      <c r="M732" s="1745"/>
      <c r="N732" s="1746">
        <v>4005.75</v>
      </c>
      <c r="O732" s="1747"/>
      <c r="P732" s="1720"/>
    </row>
    <row r="733" spans="1:16" ht="13.9" hidden="1" customHeight="1" outlineLevel="3" x14ac:dyDescent="0.2">
      <c r="A733" s="459">
        <v>0</v>
      </c>
      <c r="B733" s="459">
        <v>8</v>
      </c>
      <c r="C733" s="459">
        <v>2</v>
      </c>
      <c r="D733" s="460">
        <v>7</v>
      </c>
      <c r="E733" s="460">
        <v>1</v>
      </c>
      <c r="G733" s="1790" t="s">
        <v>1258</v>
      </c>
      <c r="H733" s="1749" t="s">
        <v>1239</v>
      </c>
      <c r="I733" s="1750" t="s">
        <v>6755</v>
      </c>
      <c r="J733" s="1751" t="s">
        <v>1259</v>
      </c>
      <c r="K733" s="1752" t="s">
        <v>1130</v>
      </c>
      <c r="L733" s="1753">
        <v>1</v>
      </c>
      <c r="M733" s="1753">
        <v>4005.75</v>
      </c>
      <c r="N733" s="1754">
        <v>4005.75</v>
      </c>
      <c r="O733" s="1765" t="s">
        <v>2801</v>
      </c>
      <c r="P733" s="1721" t="s">
        <v>9611</v>
      </c>
    </row>
    <row r="734" spans="1:16" ht="13.9" hidden="1" customHeight="1" outlineLevel="1" x14ac:dyDescent="0.2">
      <c r="A734" s="459">
        <v>0</v>
      </c>
      <c r="B734" s="459">
        <v>8</v>
      </c>
      <c r="C734" s="459">
        <v>3</v>
      </c>
      <c r="D734" s="460">
        <v>0</v>
      </c>
      <c r="E734" s="460">
        <v>1</v>
      </c>
      <c r="G734" s="1733"/>
      <c r="H734" s="1734" t="s">
        <v>39</v>
      </c>
      <c r="I734" s="1735" t="s">
        <v>6756</v>
      </c>
      <c r="J734" s="1736" t="s">
        <v>3339</v>
      </c>
      <c r="K734" s="1737"/>
      <c r="L734" s="1738"/>
      <c r="M734" s="1738"/>
      <c r="N734" s="1739">
        <v>206623.302</v>
      </c>
      <c r="O734" s="1722"/>
      <c r="P734" s="1725"/>
    </row>
    <row r="735" spans="1:16" ht="13.9" hidden="1" customHeight="1" outlineLevel="2" x14ac:dyDescent="0.2">
      <c r="A735" s="459">
        <v>0</v>
      </c>
      <c r="B735" s="459">
        <v>8</v>
      </c>
      <c r="C735" s="459">
        <v>3</v>
      </c>
      <c r="D735" s="460">
        <v>1</v>
      </c>
      <c r="E735" s="460">
        <v>0</v>
      </c>
      <c r="G735" s="1740"/>
      <c r="H735" s="1741" t="s">
        <v>1238</v>
      </c>
      <c r="I735" s="1742" t="s">
        <v>6757</v>
      </c>
      <c r="J735" s="1743" t="s">
        <v>2798</v>
      </c>
      <c r="K735" s="1744"/>
      <c r="L735" s="1745"/>
      <c r="M735" s="1745"/>
      <c r="N735" s="1746">
        <v>5453.5</v>
      </c>
      <c r="O735" s="1747"/>
      <c r="P735" s="1720"/>
    </row>
    <row r="736" spans="1:16" ht="13.9" hidden="1" customHeight="1" outlineLevel="3" x14ac:dyDescent="0.2">
      <c r="A736" s="459">
        <v>0</v>
      </c>
      <c r="B736" s="459">
        <v>8</v>
      </c>
      <c r="C736" s="459">
        <v>3</v>
      </c>
      <c r="D736" s="460">
        <v>1</v>
      </c>
      <c r="E736" s="460">
        <v>1</v>
      </c>
      <c r="G736" s="1790" t="s">
        <v>1258</v>
      </c>
      <c r="H736" s="1749" t="s">
        <v>1239</v>
      </c>
      <c r="I736" s="1750" t="s">
        <v>6758</v>
      </c>
      <c r="J736" s="1751" t="s">
        <v>2798</v>
      </c>
      <c r="K736" s="1752" t="s">
        <v>1130</v>
      </c>
      <c r="L736" s="1753">
        <v>1</v>
      </c>
      <c r="M736" s="1753">
        <v>5453.5</v>
      </c>
      <c r="N736" s="1754">
        <v>5453.5</v>
      </c>
      <c r="O736" s="1755" t="s">
        <v>2791</v>
      </c>
      <c r="P736" s="1721" t="s">
        <v>9611</v>
      </c>
    </row>
    <row r="737" spans="1:16" ht="13.9" hidden="1" customHeight="1" outlineLevel="2" x14ac:dyDescent="0.2">
      <c r="A737" s="459">
        <v>0</v>
      </c>
      <c r="B737" s="459">
        <v>8</v>
      </c>
      <c r="C737" s="459">
        <v>3</v>
      </c>
      <c r="D737" s="460">
        <v>2</v>
      </c>
      <c r="E737" s="460">
        <v>0</v>
      </c>
      <c r="G737" s="1740"/>
      <c r="H737" s="1741" t="s">
        <v>1238</v>
      </c>
      <c r="I737" s="1742" t="s">
        <v>6759</v>
      </c>
      <c r="J737" s="1743" t="s">
        <v>2799</v>
      </c>
      <c r="K737" s="1744"/>
      <c r="L737" s="1745"/>
      <c r="M737" s="1745"/>
      <c r="N737" s="1746">
        <v>2033.84</v>
      </c>
      <c r="O737" s="1747"/>
      <c r="P737" s="1720"/>
    </row>
    <row r="738" spans="1:16" ht="13.9" hidden="1" customHeight="1" outlineLevel="3" x14ac:dyDescent="0.2">
      <c r="A738" s="459">
        <v>0</v>
      </c>
      <c r="B738" s="459">
        <v>8</v>
      </c>
      <c r="C738" s="459">
        <v>3</v>
      </c>
      <c r="D738" s="460">
        <v>2</v>
      </c>
      <c r="E738" s="460">
        <v>1</v>
      </c>
      <c r="G738" s="1790" t="s">
        <v>1258</v>
      </c>
      <c r="H738" s="1749" t="s">
        <v>1239</v>
      </c>
      <c r="I738" s="1750" t="s">
        <v>6760</v>
      </c>
      <c r="J738" s="1751" t="s">
        <v>2799</v>
      </c>
      <c r="K738" s="1752" t="s">
        <v>1130</v>
      </c>
      <c r="L738" s="1753">
        <v>1</v>
      </c>
      <c r="M738" s="1753">
        <v>2033.84</v>
      </c>
      <c r="N738" s="1754">
        <v>2033.84</v>
      </c>
      <c r="O738" s="1755" t="s">
        <v>2791</v>
      </c>
      <c r="P738" s="1721" t="s">
        <v>9611</v>
      </c>
    </row>
    <row r="739" spans="1:16" ht="13.9" hidden="1" customHeight="1" outlineLevel="2" x14ac:dyDescent="0.2">
      <c r="A739" s="459">
        <v>0</v>
      </c>
      <c r="B739" s="459">
        <v>8</v>
      </c>
      <c r="C739" s="459">
        <v>3</v>
      </c>
      <c r="D739" s="460">
        <v>3</v>
      </c>
      <c r="E739" s="460">
        <v>0</v>
      </c>
      <c r="G739" s="1740"/>
      <c r="H739" s="1741" t="s">
        <v>1238</v>
      </c>
      <c r="I739" s="1742" t="s">
        <v>6761</v>
      </c>
      <c r="J739" s="1743" t="s">
        <v>3353</v>
      </c>
      <c r="K739" s="1744"/>
      <c r="L739" s="1745"/>
      <c r="M739" s="1745"/>
      <c r="N739" s="1746">
        <v>187329.8</v>
      </c>
      <c r="O739" s="1747"/>
      <c r="P739" s="1720"/>
    </row>
    <row r="740" spans="1:16" ht="13.9" hidden="1" customHeight="1" outlineLevel="3" x14ac:dyDescent="0.2">
      <c r="A740" s="459">
        <v>0</v>
      </c>
      <c r="B740" s="459">
        <v>8</v>
      </c>
      <c r="C740" s="459">
        <v>3</v>
      </c>
      <c r="D740" s="460">
        <v>3</v>
      </c>
      <c r="E740" s="460">
        <v>1</v>
      </c>
      <c r="G740" s="1790" t="s">
        <v>1258</v>
      </c>
      <c r="H740" s="1749" t="s">
        <v>1239</v>
      </c>
      <c r="I740" s="1750" t="s">
        <v>6762</v>
      </c>
      <c r="J740" s="1751" t="s">
        <v>3353</v>
      </c>
      <c r="K740" s="1752" t="s">
        <v>1130</v>
      </c>
      <c r="L740" s="1753">
        <v>1</v>
      </c>
      <c r="M740" s="1753">
        <v>187329.8</v>
      </c>
      <c r="N740" s="1754">
        <v>187329.8</v>
      </c>
      <c r="O740" s="1755" t="s">
        <v>2791</v>
      </c>
      <c r="P740" s="1721" t="s">
        <v>9611</v>
      </c>
    </row>
    <row r="741" spans="1:16" ht="13.9" hidden="1" customHeight="1" outlineLevel="2" x14ac:dyDescent="0.2">
      <c r="A741" s="459">
        <v>0</v>
      </c>
      <c r="B741" s="459">
        <v>8</v>
      </c>
      <c r="C741" s="459">
        <v>3</v>
      </c>
      <c r="D741" s="460">
        <v>4</v>
      </c>
      <c r="E741" s="460">
        <v>0</v>
      </c>
      <c r="G741" s="1740"/>
      <c r="H741" s="1741" t="s">
        <v>1238</v>
      </c>
      <c r="I741" s="1742" t="s">
        <v>6763</v>
      </c>
      <c r="J741" s="1743" t="s">
        <v>2800</v>
      </c>
      <c r="K741" s="1744"/>
      <c r="L741" s="1745"/>
      <c r="M741" s="1745"/>
      <c r="N741" s="1746">
        <v>0</v>
      </c>
      <c r="O741" s="1747"/>
      <c r="P741" s="1720"/>
    </row>
    <row r="742" spans="1:16" ht="13.9" hidden="1" customHeight="1" outlineLevel="3" x14ac:dyDescent="0.2">
      <c r="A742" s="459">
        <v>0</v>
      </c>
      <c r="B742" s="459">
        <v>8</v>
      </c>
      <c r="C742" s="459">
        <v>3</v>
      </c>
      <c r="D742" s="460">
        <v>4</v>
      </c>
      <c r="E742" s="460">
        <v>1</v>
      </c>
      <c r="G742" s="1790" t="s">
        <v>1258</v>
      </c>
      <c r="H742" s="1749" t="s">
        <v>1239</v>
      </c>
      <c r="I742" s="1750" t="s">
        <v>6764</v>
      </c>
      <c r="J742" s="1751" t="s">
        <v>2800</v>
      </c>
      <c r="K742" s="1752" t="s">
        <v>1130</v>
      </c>
      <c r="L742" s="1753">
        <v>1</v>
      </c>
      <c r="M742" s="1753">
        <v>0</v>
      </c>
      <c r="N742" s="1754">
        <v>0</v>
      </c>
      <c r="O742" s="1755" t="s">
        <v>3351</v>
      </c>
      <c r="P742" s="1721" t="s">
        <v>9611</v>
      </c>
    </row>
    <row r="743" spans="1:16" ht="13.9" hidden="1" customHeight="1" outlineLevel="2" x14ac:dyDescent="0.2">
      <c r="A743" s="459">
        <v>0</v>
      </c>
      <c r="B743" s="459">
        <v>8</v>
      </c>
      <c r="C743" s="459">
        <v>3</v>
      </c>
      <c r="D743" s="460">
        <v>5</v>
      </c>
      <c r="E743" s="460">
        <v>0</v>
      </c>
      <c r="G743" s="1740"/>
      <c r="H743" s="1741" t="s">
        <v>1238</v>
      </c>
      <c r="I743" s="1742" t="s">
        <v>6765</v>
      </c>
      <c r="J743" s="1743" t="s">
        <v>2523</v>
      </c>
      <c r="K743" s="1744"/>
      <c r="L743" s="1745"/>
      <c r="M743" s="1745"/>
      <c r="N743" s="1746">
        <v>7413.6620000000003</v>
      </c>
      <c r="O743" s="1747"/>
      <c r="P743" s="1720"/>
    </row>
    <row r="744" spans="1:16" ht="13.9" hidden="1" customHeight="1" outlineLevel="3" x14ac:dyDescent="0.2">
      <c r="A744" s="459">
        <v>0</v>
      </c>
      <c r="B744" s="459">
        <v>8</v>
      </c>
      <c r="C744" s="459">
        <v>3</v>
      </c>
      <c r="D744" s="460">
        <v>5</v>
      </c>
      <c r="E744" s="460">
        <v>1</v>
      </c>
      <c r="G744" s="1790" t="s">
        <v>1258</v>
      </c>
      <c r="H744" s="1749" t="s">
        <v>1239</v>
      </c>
      <c r="I744" s="1750" t="s">
        <v>6766</v>
      </c>
      <c r="J744" s="1751" t="s">
        <v>2523</v>
      </c>
      <c r="K744" s="1752" t="s">
        <v>1130</v>
      </c>
      <c r="L744" s="1753">
        <v>1</v>
      </c>
      <c r="M744" s="1753">
        <v>7413.6620000000012</v>
      </c>
      <c r="N744" s="1754">
        <v>7413.6620000000003</v>
      </c>
      <c r="O744" s="1755" t="s">
        <v>2791</v>
      </c>
      <c r="P744" s="1721" t="s">
        <v>9611</v>
      </c>
    </row>
    <row r="745" spans="1:16" ht="13.9" hidden="1" customHeight="1" outlineLevel="2" x14ac:dyDescent="0.2">
      <c r="A745" s="459">
        <v>0</v>
      </c>
      <c r="B745" s="459">
        <v>8</v>
      </c>
      <c r="C745" s="459">
        <v>3</v>
      </c>
      <c r="D745" s="460">
        <v>6</v>
      </c>
      <c r="E745" s="460">
        <v>0</v>
      </c>
      <c r="G745" s="1740"/>
      <c r="H745" s="1741" t="s">
        <v>1238</v>
      </c>
      <c r="I745" s="1742" t="s">
        <v>6767</v>
      </c>
      <c r="J745" s="1743" t="s">
        <v>2522</v>
      </c>
      <c r="K745" s="1744"/>
      <c r="L745" s="1745"/>
      <c r="M745" s="1745"/>
      <c r="N745" s="1746">
        <v>0</v>
      </c>
      <c r="O745" s="1747"/>
      <c r="P745" s="1720"/>
    </row>
    <row r="746" spans="1:16" ht="13.9" hidden="1" customHeight="1" outlineLevel="3" x14ac:dyDescent="0.2">
      <c r="A746" s="459">
        <v>0</v>
      </c>
      <c r="B746" s="459">
        <v>8</v>
      </c>
      <c r="C746" s="459">
        <v>3</v>
      </c>
      <c r="D746" s="460">
        <v>6</v>
      </c>
      <c r="E746" s="460">
        <v>1</v>
      </c>
      <c r="G746" s="1790" t="s">
        <v>1258</v>
      </c>
      <c r="H746" s="1749" t="s">
        <v>1239</v>
      </c>
      <c r="I746" s="1750" t="s">
        <v>6768</v>
      </c>
      <c r="J746" s="1751" t="s">
        <v>2522</v>
      </c>
      <c r="K746" s="1752" t="s">
        <v>1130</v>
      </c>
      <c r="L746" s="1753">
        <v>1</v>
      </c>
      <c r="M746" s="1753">
        <v>0</v>
      </c>
      <c r="N746" s="1754">
        <v>0</v>
      </c>
      <c r="O746" s="1755" t="s">
        <v>2791</v>
      </c>
      <c r="P746" s="1721" t="s">
        <v>9611</v>
      </c>
    </row>
    <row r="747" spans="1:16" ht="13.9" hidden="1" customHeight="1" outlineLevel="2" x14ac:dyDescent="0.2">
      <c r="A747" s="459">
        <v>0</v>
      </c>
      <c r="B747" s="459">
        <v>8</v>
      </c>
      <c r="C747" s="459">
        <v>3</v>
      </c>
      <c r="D747" s="460">
        <v>7</v>
      </c>
      <c r="E747" s="460">
        <v>0</v>
      </c>
      <c r="G747" s="1740"/>
      <c r="H747" s="1741" t="s">
        <v>1238</v>
      </c>
      <c r="I747" s="1742" t="s">
        <v>6769</v>
      </c>
      <c r="J747" s="1743" t="s">
        <v>15</v>
      </c>
      <c r="K747" s="1744"/>
      <c r="L747" s="1745"/>
      <c r="M747" s="1745"/>
      <c r="N747" s="1746">
        <v>4392.5</v>
      </c>
      <c r="O747" s="1747"/>
      <c r="P747" s="1720"/>
    </row>
    <row r="748" spans="1:16" ht="13.9" hidden="1" customHeight="1" outlineLevel="3" x14ac:dyDescent="0.2">
      <c r="A748" s="459">
        <v>0</v>
      </c>
      <c r="B748" s="459">
        <v>8</v>
      </c>
      <c r="C748" s="459">
        <v>3</v>
      </c>
      <c r="D748" s="460">
        <v>7</v>
      </c>
      <c r="E748" s="460">
        <v>1</v>
      </c>
      <c r="G748" s="1790" t="s">
        <v>1258</v>
      </c>
      <c r="H748" s="1749" t="s">
        <v>1239</v>
      </c>
      <c r="I748" s="1750" t="s">
        <v>6770</v>
      </c>
      <c r="J748" s="1751" t="s">
        <v>1259</v>
      </c>
      <c r="K748" s="1752" t="s">
        <v>1130</v>
      </c>
      <c r="L748" s="1753">
        <v>1</v>
      </c>
      <c r="M748" s="1753">
        <v>4392.5</v>
      </c>
      <c r="N748" s="1754">
        <v>4392.5</v>
      </c>
      <c r="O748" s="1765" t="s">
        <v>2801</v>
      </c>
      <c r="P748" s="1721" t="s">
        <v>9611</v>
      </c>
    </row>
    <row r="749" spans="1:16" ht="13.9" hidden="1" customHeight="1" outlineLevel="1" x14ac:dyDescent="0.2">
      <c r="A749" s="459">
        <v>0</v>
      </c>
      <c r="B749" s="459">
        <v>8</v>
      </c>
      <c r="C749" s="459">
        <v>4</v>
      </c>
      <c r="D749" s="460">
        <v>0</v>
      </c>
      <c r="E749" s="460">
        <v>1</v>
      </c>
      <c r="G749" s="1733"/>
      <c r="H749" s="1734" t="s">
        <v>39</v>
      </c>
      <c r="I749" s="1735" t="s">
        <v>6771</v>
      </c>
      <c r="J749" s="1736" t="s">
        <v>3340</v>
      </c>
      <c r="K749" s="1737"/>
      <c r="L749" s="1738"/>
      <c r="M749" s="1738"/>
      <c r="N749" s="1739">
        <v>219050.859</v>
      </c>
      <c r="O749" s="1722"/>
      <c r="P749" s="1725"/>
    </row>
    <row r="750" spans="1:16" ht="13.9" hidden="1" customHeight="1" outlineLevel="2" x14ac:dyDescent="0.2">
      <c r="A750" s="459">
        <v>0</v>
      </c>
      <c r="B750" s="459">
        <v>8</v>
      </c>
      <c r="C750" s="459">
        <v>4</v>
      </c>
      <c r="D750" s="460">
        <v>1</v>
      </c>
      <c r="E750" s="460">
        <v>0</v>
      </c>
      <c r="G750" s="1740"/>
      <c r="H750" s="1741" t="s">
        <v>1238</v>
      </c>
      <c r="I750" s="1742" t="s">
        <v>6772</v>
      </c>
      <c r="J750" s="1743" t="s">
        <v>2798</v>
      </c>
      <c r="K750" s="1744"/>
      <c r="L750" s="1745"/>
      <c r="M750" s="1745"/>
      <c r="N750" s="1746">
        <v>5453.5</v>
      </c>
      <c r="O750" s="1747"/>
      <c r="P750" s="1720"/>
    </row>
    <row r="751" spans="1:16" ht="13.9" hidden="1" customHeight="1" outlineLevel="3" x14ac:dyDescent="0.2">
      <c r="A751" s="459">
        <v>0</v>
      </c>
      <c r="B751" s="459">
        <v>8</v>
      </c>
      <c r="C751" s="459">
        <v>4</v>
      </c>
      <c r="D751" s="460">
        <v>1</v>
      </c>
      <c r="E751" s="460">
        <v>1</v>
      </c>
      <c r="G751" s="1790" t="s">
        <v>1258</v>
      </c>
      <c r="H751" s="1749" t="s">
        <v>1239</v>
      </c>
      <c r="I751" s="1750" t="s">
        <v>6773</v>
      </c>
      <c r="J751" s="1751" t="s">
        <v>2798</v>
      </c>
      <c r="K751" s="1752" t="s">
        <v>1130</v>
      </c>
      <c r="L751" s="1753">
        <v>1</v>
      </c>
      <c r="M751" s="1753">
        <v>5453.5</v>
      </c>
      <c r="N751" s="1754">
        <v>5453.5</v>
      </c>
      <c r="O751" s="1755" t="s">
        <v>2791</v>
      </c>
      <c r="P751" s="1721" t="s">
        <v>9611</v>
      </c>
    </row>
    <row r="752" spans="1:16" ht="13.9" hidden="1" customHeight="1" outlineLevel="2" x14ac:dyDescent="0.2">
      <c r="A752" s="459">
        <v>0</v>
      </c>
      <c r="B752" s="459">
        <v>8</v>
      </c>
      <c r="C752" s="459">
        <v>4</v>
      </c>
      <c r="D752" s="460">
        <v>2</v>
      </c>
      <c r="E752" s="460">
        <v>0</v>
      </c>
      <c r="G752" s="1740"/>
      <c r="H752" s="1741" t="s">
        <v>1238</v>
      </c>
      <c r="I752" s="1742" t="s">
        <v>6774</v>
      </c>
      <c r="J752" s="1743" t="s">
        <v>2799</v>
      </c>
      <c r="K752" s="1744"/>
      <c r="L752" s="1745"/>
      <c r="M752" s="1745"/>
      <c r="N752" s="1746">
        <v>2028.04</v>
      </c>
      <c r="O752" s="1747"/>
      <c r="P752" s="1720"/>
    </row>
    <row r="753" spans="1:16" ht="13.9" hidden="1" customHeight="1" outlineLevel="3" x14ac:dyDescent="0.2">
      <c r="A753" s="459">
        <v>0</v>
      </c>
      <c r="B753" s="459">
        <v>8</v>
      </c>
      <c r="C753" s="459">
        <v>4</v>
      </c>
      <c r="D753" s="460">
        <v>2</v>
      </c>
      <c r="E753" s="460">
        <v>1</v>
      </c>
      <c r="G753" s="1790" t="s">
        <v>1258</v>
      </c>
      <c r="H753" s="1749" t="s">
        <v>1239</v>
      </c>
      <c r="I753" s="1750" t="s">
        <v>6775</v>
      </c>
      <c r="J753" s="1751" t="s">
        <v>2799</v>
      </c>
      <c r="K753" s="1752" t="s">
        <v>1130</v>
      </c>
      <c r="L753" s="1753">
        <v>1</v>
      </c>
      <c r="M753" s="1753">
        <v>2028.04</v>
      </c>
      <c r="N753" s="1754">
        <v>2028.04</v>
      </c>
      <c r="O753" s="1755" t="s">
        <v>2791</v>
      </c>
      <c r="P753" s="1721" t="s">
        <v>9611</v>
      </c>
    </row>
    <row r="754" spans="1:16" ht="13.9" hidden="1" customHeight="1" outlineLevel="2" x14ac:dyDescent="0.2">
      <c r="A754" s="459">
        <v>0</v>
      </c>
      <c r="B754" s="459">
        <v>8</v>
      </c>
      <c r="C754" s="459">
        <v>4</v>
      </c>
      <c r="D754" s="460">
        <v>3</v>
      </c>
      <c r="E754" s="460">
        <v>0</v>
      </c>
      <c r="G754" s="1740"/>
      <c r="H754" s="1741" t="s">
        <v>1238</v>
      </c>
      <c r="I754" s="1742" t="s">
        <v>6776</v>
      </c>
      <c r="J754" s="1743" t="s">
        <v>3353</v>
      </c>
      <c r="K754" s="1744"/>
      <c r="L754" s="1745"/>
      <c r="M754" s="1745"/>
      <c r="N754" s="1746">
        <v>199625.60000000001</v>
      </c>
      <c r="O754" s="1747"/>
      <c r="P754" s="1720"/>
    </row>
    <row r="755" spans="1:16" ht="13.9" hidden="1" customHeight="1" outlineLevel="3" x14ac:dyDescent="0.2">
      <c r="A755" s="459">
        <v>0</v>
      </c>
      <c r="B755" s="459">
        <v>8</v>
      </c>
      <c r="C755" s="459">
        <v>4</v>
      </c>
      <c r="D755" s="460">
        <v>3</v>
      </c>
      <c r="E755" s="460">
        <v>1</v>
      </c>
      <c r="G755" s="1790" t="s">
        <v>1258</v>
      </c>
      <c r="H755" s="1749" t="s">
        <v>1239</v>
      </c>
      <c r="I755" s="1750" t="s">
        <v>6777</v>
      </c>
      <c r="J755" s="1751" t="s">
        <v>3353</v>
      </c>
      <c r="K755" s="1752" t="s">
        <v>1130</v>
      </c>
      <c r="L755" s="1753">
        <v>1</v>
      </c>
      <c r="M755" s="1753">
        <v>199625.60000000001</v>
      </c>
      <c r="N755" s="1754">
        <v>199625.60000000001</v>
      </c>
      <c r="O755" s="1755" t="s">
        <v>2791</v>
      </c>
      <c r="P755" s="1721" t="s">
        <v>9611</v>
      </c>
    </row>
    <row r="756" spans="1:16" ht="13.9" hidden="1" customHeight="1" outlineLevel="2" x14ac:dyDescent="0.2">
      <c r="A756" s="459">
        <v>0</v>
      </c>
      <c r="B756" s="459">
        <v>8</v>
      </c>
      <c r="C756" s="459">
        <v>4</v>
      </c>
      <c r="D756" s="460">
        <v>4</v>
      </c>
      <c r="E756" s="460">
        <v>0</v>
      </c>
      <c r="G756" s="1740"/>
      <c r="H756" s="1741" t="s">
        <v>1238</v>
      </c>
      <c r="I756" s="1742" t="s">
        <v>6778</v>
      </c>
      <c r="J756" s="1743" t="s">
        <v>2800</v>
      </c>
      <c r="K756" s="1744"/>
      <c r="L756" s="1745"/>
      <c r="M756" s="1745"/>
      <c r="N756" s="1746">
        <v>0</v>
      </c>
      <c r="O756" s="1747"/>
      <c r="P756" s="1720"/>
    </row>
    <row r="757" spans="1:16" ht="13.9" hidden="1" customHeight="1" outlineLevel="3" x14ac:dyDescent="0.2">
      <c r="A757" s="459">
        <v>0</v>
      </c>
      <c r="B757" s="459">
        <v>8</v>
      </c>
      <c r="C757" s="459">
        <v>4</v>
      </c>
      <c r="D757" s="460">
        <v>4</v>
      </c>
      <c r="E757" s="460">
        <v>1</v>
      </c>
      <c r="G757" s="1790" t="s">
        <v>1258</v>
      </c>
      <c r="H757" s="1749" t="s">
        <v>1239</v>
      </c>
      <c r="I757" s="1750" t="s">
        <v>6779</v>
      </c>
      <c r="J757" s="1751" t="s">
        <v>2800</v>
      </c>
      <c r="K757" s="1752" t="s">
        <v>1130</v>
      </c>
      <c r="L757" s="1753">
        <v>1</v>
      </c>
      <c r="M757" s="1753"/>
      <c r="N757" s="1754">
        <v>0</v>
      </c>
      <c r="O757" s="1755" t="s">
        <v>3351</v>
      </c>
      <c r="P757" s="1721" t="s">
        <v>9611</v>
      </c>
    </row>
    <row r="758" spans="1:16" ht="13.9" hidden="1" customHeight="1" outlineLevel="2" x14ac:dyDescent="0.2">
      <c r="A758" s="459">
        <v>0</v>
      </c>
      <c r="B758" s="459">
        <v>8</v>
      </c>
      <c r="C758" s="459">
        <v>4</v>
      </c>
      <c r="D758" s="460">
        <v>5</v>
      </c>
      <c r="E758" s="460">
        <v>0</v>
      </c>
      <c r="G758" s="1740"/>
      <c r="H758" s="1741" t="s">
        <v>1238</v>
      </c>
      <c r="I758" s="1742" t="s">
        <v>6780</v>
      </c>
      <c r="J758" s="1743" t="s">
        <v>2523</v>
      </c>
      <c r="K758" s="1744"/>
      <c r="L758" s="1745"/>
      <c r="M758" s="1745"/>
      <c r="N758" s="1746">
        <v>7551.2190000000001</v>
      </c>
      <c r="O758" s="1747"/>
      <c r="P758" s="1720"/>
    </row>
    <row r="759" spans="1:16" ht="13.9" hidden="1" customHeight="1" outlineLevel="3" x14ac:dyDescent="0.2">
      <c r="A759" s="459">
        <v>0</v>
      </c>
      <c r="B759" s="459">
        <v>8</v>
      </c>
      <c r="C759" s="459">
        <v>4</v>
      </c>
      <c r="D759" s="460">
        <v>5</v>
      </c>
      <c r="E759" s="460">
        <v>1</v>
      </c>
      <c r="G759" s="1790" t="s">
        <v>1258</v>
      </c>
      <c r="H759" s="1749" t="s">
        <v>1239</v>
      </c>
      <c r="I759" s="1750" t="s">
        <v>6781</v>
      </c>
      <c r="J759" s="1751" t="s">
        <v>2523</v>
      </c>
      <c r="K759" s="1752" t="s">
        <v>1130</v>
      </c>
      <c r="L759" s="1753">
        <v>1</v>
      </c>
      <c r="M759" s="1753">
        <v>7551.2189999999982</v>
      </c>
      <c r="N759" s="1754">
        <v>7551.2190000000001</v>
      </c>
      <c r="O759" s="1755" t="s">
        <v>2791</v>
      </c>
      <c r="P759" s="1721" t="s">
        <v>9611</v>
      </c>
    </row>
    <row r="760" spans="1:16" ht="13.9" hidden="1" customHeight="1" outlineLevel="2" x14ac:dyDescent="0.2">
      <c r="A760" s="459">
        <v>0</v>
      </c>
      <c r="B760" s="459">
        <v>8</v>
      </c>
      <c r="C760" s="459">
        <v>4</v>
      </c>
      <c r="D760" s="460">
        <v>6</v>
      </c>
      <c r="E760" s="460">
        <v>0</v>
      </c>
      <c r="G760" s="1740"/>
      <c r="H760" s="1741" t="s">
        <v>1238</v>
      </c>
      <c r="I760" s="1742" t="s">
        <v>6782</v>
      </c>
      <c r="J760" s="1743" t="s">
        <v>2522</v>
      </c>
      <c r="K760" s="1744"/>
      <c r="L760" s="1745"/>
      <c r="M760" s="1745"/>
      <c r="N760" s="1746">
        <v>0</v>
      </c>
      <c r="O760" s="1747"/>
      <c r="P760" s="1720"/>
    </row>
    <row r="761" spans="1:16" ht="13.9" hidden="1" customHeight="1" outlineLevel="3" x14ac:dyDescent="0.2">
      <c r="A761" s="459">
        <v>0</v>
      </c>
      <c r="B761" s="459">
        <v>8</v>
      </c>
      <c r="C761" s="459">
        <v>4</v>
      </c>
      <c r="D761" s="460">
        <v>6</v>
      </c>
      <c r="E761" s="460">
        <v>1</v>
      </c>
      <c r="G761" s="1790" t="s">
        <v>1258</v>
      </c>
      <c r="H761" s="1749" t="s">
        <v>1239</v>
      </c>
      <c r="I761" s="1750" t="s">
        <v>6783</v>
      </c>
      <c r="J761" s="1751" t="s">
        <v>2522</v>
      </c>
      <c r="K761" s="1752" t="s">
        <v>1130</v>
      </c>
      <c r="L761" s="1753">
        <v>1</v>
      </c>
      <c r="M761" s="1753"/>
      <c r="N761" s="1754">
        <v>0</v>
      </c>
      <c r="O761" s="1755" t="s">
        <v>2791</v>
      </c>
      <c r="P761" s="1721" t="s">
        <v>9611</v>
      </c>
    </row>
    <row r="762" spans="1:16" ht="13.9" hidden="1" customHeight="1" outlineLevel="2" x14ac:dyDescent="0.2">
      <c r="A762" s="459">
        <v>0</v>
      </c>
      <c r="B762" s="459">
        <v>8</v>
      </c>
      <c r="C762" s="459">
        <v>4</v>
      </c>
      <c r="D762" s="460">
        <v>7</v>
      </c>
      <c r="E762" s="460">
        <v>0</v>
      </c>
      <c r="G762" s="1740"/>
      <c r="H762" s="1741" t="s">
        <v>1238</v>
      </c>
      <c r="I762" s="1742" t="s">
        <v>6784</v>
      </c>
      <c r="J762" s="1743" t="s">
        <v>15</v>
      </c>
      <c r="K762" s="1744"/>
      <c r="L762" s="1745"/>
      <c r="M762" s="1745"/>
      <c r="N762" s="1746">
        <v>4392.5</v>
      </c>
      <c r="O762" s="1747"/>
      <c r="P762" s="1720"/>
    </row>
    <row r="763" spans="1:16" ht="13.9" hidden="1" customHeight="1" outlineLevel="3" x14ac:dyDescent="0.2">
      <c r="A763" s="459">
        <v>0</v>
      </c>
      <c r="B763" s="459">
        <v>8</v>
      </c>
      <c r="C763" s="459">
        <v>4</v>
      </c>
      <c r="D763" s="460">
        <v>7</v>
      </c>
      <c r="E763" s="460">
        <v>1</v>
      </c>
      <c r="G763" s="1790" t="s">
        <v>1258</v>
      </c>
      <c r="H763" s="1749" t="s">
        <v>1239</v>
      </c>
      <c r="I763" s="1750" t="s">
        <v>6785</v>
      </c>
      <c r="J763" s="1751" t="s">
        <v>1259</v>
      </c>
      <c r="K763" s="1752" t="s">
        <v>1130</v>
      </c>
      <c r="L763" s="1753">
        <v>1</v>
      </c>
      <c r="M763" s="1753">
        <v>4392.5</v>
      </c>
      <c r="N763" s="1754">
        <v>4392.5</v>
      </c>
      <c r="O763" s="1765" t="s">
        <v>2801</v>
      </c>
      <c r="P763" s="1721" t="s">
        <v>9611</v>
      </c>
    </row>
    <row r="764" spans="1:16" ht="13.9" hidden="1" customHeight="1" outlineLevel="1" x14ac:dyDescent="0.2">
      <c r="A764" s="459">
        <v>0</v>
      </c>
      <c r="B764" s="459">
        <v>8</v>
      </c>
      <c r="C764" s="459">
        <v>5</v>
      </c>
      <c r="D764" s="460">
        <v>0</v>
      </c>
      <c r="E764" s="460">
        <v>1</v>
      </c>
      <c r="G764" s="1733"/>
      <c r="H764" s="1734" t="s">
        <v>39</v>
      </c>
      <c r="I764" s="1735" t="s">
        <v>6786</v>
      </c>
      <c r="J764" s="1736" t="s">
        <v>3341</v>
      </c>
      <c r="K764" s="1737"/>
      <c r="L764" s="1738"/>
      <c r="M764" s="1738"/>
      <c r="N764" s="1739">
        <v>228438.611</v>
      </c>
      <c r="O764" s="1722"/>
      <c r="P764" s="1725"/>
    </row>
    <row r="765" spans="1:16" ht="13.9" hidden="1" customHeight="1" outlineLevel="2" x14ac:dyDescent="0.2">
      <c r="A765" s="459">
        <v>0</v>
      </c>
      <c r="B765" s="459">
        <v>8</v>
      </c>
      <c r="C765" s="459">
        <v>5</v>
      </c>
      <c r="D765" s="460">
        <v>1</v>
      </c>
      <c r="E765" s="460">
        <v>0</v>
      </c>
      <c r="G765" s="1740"/>
      <c r="H765" s="1741" t="s">
        <v>1238</v>
      </c>
      <c r="I765" s="1742" t="s">
        <v>6787</v>
      </c>
      <c r="J765" s="1743" t="s">
        <v>2798</v>
      </c>
      <c r="K765" s="1744"/>
      <c r="L765" s="1745"/>
      <c r="M765" s="1745"/>
      <c r="N765" s="1746">
        <v>18467.89</v>
      </c>
      <c r="O765" s="1747"/>
      <c r="P765" s="1720"/>
    </row>
    <row r="766" spans="1:16" ht="13.9" hidden="1" customHeight="1" outlineLevel="3" x14ac:dyDescent="0.2">
      <c r="A766" s="459">
        <v>0</v>
      </c>
      <c r="B766" s="459">
        <v>8</v>
      </c>
      <c r="C766" s="459">
        <v>5</v>
      </c>
      <c r="D766" s="460">
        <v>1</v>
      </c>
      <c r="E766" s="460">
        <v>1</v>
      </c>
      <c r="G766" s="1790" t="s">
        <v>1258</v>
      </c>
      <c r="H766" s="1749" t="s">
        <v>1239</v>
      </c>
      <c r="I766" s="1750" t="s">
        <v>6788</v>
      </c>
      <c r="J766" s="1751" t="s">
        <v>2798</v>
      </c>
      <c r="K766" s="1752" t="s">
        <v>1130</v>
      </c>
      <c r="L766" s="1753">
        <v>1</v>
      </c>
      <c r="M766" s="1753">
        <v>18467.89</v>
      </c>
      <c r="N766" s="1754">
        <v>18467.89</v>
      </c>
      <c r="O766" s="1755" t="s">
        <v>2791</v>
      </c>
      <c r="P766" s="1721" t="s">
        <v>9611</v>
      </c>
    </row>
    <row r="767" spans="1:16" ht="13.9" hidden="1" customHeight="1" outlineLevel="2" x14ac:dyDescent="0.2">
      <c r="A767" s="459">
        <v>0</v>
      </c>
      <c r="B767" s="459">
        <v>8</v>
      </c>
      <c r="C767" s="459">
        <v>5</v>
      </c>
      <c r="D767" s="460">
        <v>2</v>
      </c>
      <c r="E767" s="460">
        <v>0</v>
      </c>
      <c r="G767" s="1740"/>
      <c r="H767" s="1741" t="s">
        <v>1238</v>
      </c>
      <c r="I767" s="1742" t="s">
        <v>6789</v>
      </c>
      <c r="J767" s="1743" t="s">
        <v>2799</v>
      </c>
      <c r="K767" s="1744"/>
      <c r="L767" s="1745"/>
      <c r="M767" s="1745"/>
      <c r="N767" s="1746">
        <v>2092.54</v>
      </c>
      <c r="O767" s="1747"/>
      <c r="P767" s="1720"/>
    </row>
    <row r="768" spans="1:16" ht="13.9" hidden="1" customHeight="1" outlineLevel="3" x14ac:dyDescent="0.2">
      <c r="A768" s="459">
        <v>0</v>
      </c>
      <c r="B768" s="459">
        <v>8</v>
      </c>
      <c r="C768" s="459">
        <v>5</v>
      </c>
      <c r="D768" s="460">
        <v>2</v>
      </c>
      <c r="E768" s="460">
        <v>1</v>
      </c>
      <c r="G768" s="1790" t="s">
        <v>1258</v>
      </c>
      <c r="H768" s="1749" t="s">
        <v>1239</v>
      </c>
      <c r="I768" s="1750" t="s">
        <v>6790</v>
      </c>
      <c r="J768" s="1751" t="s">
        <v>2799</v>
      </c>
      <c r="K768" s="1752" t="s">
        <v>1130</v>
      </c>
      <c r="L768" s="1753">
        <v>1</v>
      </c>
      <c r="M768" s="1753">
        <v>2092.54</v>
      </c>
      <c r="N768" s="1754">
        <v>2092.54</v>
      </c>
      <c r="O768" s="1755" t="s">
        <v>2791</v>
      </c>
      <c r="P768" s="1721" t="s">
        <v>9611</v>
      </c>
    </row>
    <row r="769" spans="1:16" ht="13.9" hidden="1" customHeight="1" outlineLevel="2" x14ac:dyDescent="0.2">
      <c r="A769" s="459">
        <v>0</v>
      </c>
      <c r="B769" s="459">
        <v>8</v>
      </c>
      <c r="C769" s="459">
        <v>5</v>
      </c>
      <c r="D769" s="460">
        <v>3</v>
      </c>
      <c r="E769" s="460">
        <v>0</v>
      </c>
      <c r="G769" s="1740"/>
      <c r="H769" s="1741" t="s">
        <v>1238</v>
      </c>
      <c r="I769" s="1742" t="s">
        <v>6791</v>
      </c>
      <c r="J769" s="1743" t="s">
        <v>3353</v>
      </c>
      <c r="K769" s="1744"/>
      <c r="L769" s="1745"/>
      <c r="M769" s="1745"/>
      <c r="N769" s="1746">
        <v>195429.9</v>
      </c>
      <c r="O769" s="1747"/>
      <c r="P769" s="1720"/>
    </row>
    <row r="770" spans="1:16" ht="13.9" hidden="1" customHeight="1" outlineLevel="3" x14ac:dyDescent="0.2">
      <c r="A770" s="459">
        <v>0</v>
      </c>
      <c r="B770" s="459">
        <v>8</v>
      </c>
      <c r="C770" s="459">
        <v>5</v>
      </c>
      <c r="D770" s="460">
        <v>3</v>
      </c>
      <c r="E770" s="460">
        <v>1</v>
      </c>
      <c r="G770" s="1790" t="s">
        <v>1258</v>
      </c>
      <c r="H770" s="1749" t="s">
        <v>1239</v>
      </c>
      <c r="I770" s="1750" t="s">
        <v>6792</v>
      </c>
      <c r="J770" s="1751" t="s">
        <v>3353</v>
      </c>
      <c r="K770" s="1752" t="s">
        <v>1130</v>
      </c>
      <c r="L770" s="1753">
        <v>1</v>
      </c>
      <c r="M770" s="1753">
        <v>195429.9</v>
      </c>
      <c r="N770" s="1754">
        <v>195429.9</v>
      </c>
      <c r="O770" s="1755" t="s">
        <v>2791</v>
      </c>
      <c r="P770" s="1721" t="s">
        <v>9611</v>
      </c>
    </row>
    <row r="771" spans="1:16" ht="13.9" hidden="1" customHeight="1" outlineLevel="2" x14ac:dyDescent="0.2">
      <c r="A771" s="459">
        <v>0</v>
      </c>
      <c r="B771" s="459">
        <v>8</v>
      </c>
      <c r="C771" s="459">
        <v>5</v>
      </c>
      <c r="D771" s="460">
        <v>4</v>
      </c>
      <c r="E771" s="460">
        <v>0</v>
      </c>
      <c r="G771" s="1740"/>
      <c r="H771" s="1741" t="s">
        <v>1238</v>
      </c>
      <c r="I771" s="1742" t="s">
        <v>6793</v>
      </c>
      <c r="J771" s="1743" t="s">
        <v>2800</v>
      </c>
      <c r="K771" s="1744"/>
      <c r="L771" s="1745"/>
      <c r="M771" s="1745"/>
      <c r="N771" s="1746">
        <v>0</v>
      </c>
      <c r="O771" s="1747"/>
      <c r="P771" s="1720"/>
    </row>
    <row r="772" spans="1:16" ht="13.9" hidden="1" customHeight="1" outlineLevel="3" x14ac:dyDescent="0.2">
      <c r="A772" s="459">
        <v>0</v>
      </c>
      <c r="B772" s="459">
        <v>8</v>
      </c>
      <c r="C772" s="459">
        <v>5</v>
      </c>
      <c r="D772" s="460">
        <v>4</v>
      </c>
      <c r="E772" s="460">
        <v>1</v>
      </c>
      <c r="G772" s="1790" t="s">
        <v>1258</v>
      </c>
      <c r="H772" s="1749" t="s">
        <v>1239</v>
      </c>
      <c r="I772" s="1750" t="s">
        <v>6794</v>
      </c>
      <c r="J772" s="1751" t="s">
        <v>2800</v>
      </c>
      <c r="K772" s="1752" t="s">
        <v>1130</v>
      </c>
      <c r="L772" s="1753">
        <v>1</v>
      </c>
      <c r="M772" s="1753"/>
      <c r="N772" s="1754">
        <v>0</v>
      </c>
      <c r="O772" s="1755" t="s">
        <v>3351</v>
      </c>
      <c r="P772" s="1721" t="s">
        <v>9611</v>
      </c>
    </row>
    <row r="773" spans="1:16" ht="13.9" hidden="1" customHeight="1" outlineLevel="2" x14ac:dyDescent="0.2">
      <c r="A773" s="459">
        <v>0</v>
      </c>
      <c r="B773" s="459">
        <v>8</v>
      </c>
      <c r="C773" s="459">
        <v>5</v>
      </c>
      <c r="D773" s="460">
        <v>5</v>
      </c>
      <c r="E773" s="460">
        <v>0</v>
      </c>
      <c r="G773" s="1740"/>
      <c r="H773" s="1741" t="s">
        <v>1238</v>
      </c>
      <c r="I773" s="1742" t="s">
        <v>6795</v>
      </c>
      <c r="J773" s="1743" t="s">
        <v>2523</v>
      </c>
      <c r="K773" s="1744"/>
      <c r="L773" s="1745"/>
      <c r="M773" s="1745"/>
      <c r="N773" s="1746">
        <v>8055.7809999999999</v>
      </c>
      <c r="O773" s="1747"/>
      <c r="P773" s="1720"/>
    </row>
    <row r="774" spans="1:16" ht="13.9" hidden="1" customHeight="1" outlineLevel="3" x14ac:dyDescent="0.2">
      <c r="A774" s="459">
        <v>0</v>
      </c>
      <c r="B774" s="459">
        <v>8</v>
      </c>
      <c r="C774" s="459">
        <v>5</v>
      </c>
      <c r="D774" s="460">
        <v>5</v>
      </c>
      <c r="E774" s="460">
        <v>1</v>
      </c>
      <c r="G774" s="1790" t="s">
        <v>1258</v>
      </c>
      <c r="H774" s="1749" t="s">
        <v>1239</v>
      </c>
      <c r="I774" s="1750" t="s">
        <v>6796</v>
      </c>
      <c r="J774" s="1751" t="s">
        <v>2523</v>
      </c>
      <c r="K774" s="1752" t="s">
        <v>1130</v>
      </c>
      <c r="L774" s="1753">
        <v>1</v>
      </c>
      <c r="M774" s="1753">
        <v>8055.7810000000009</v>
      </c>
      <c r="N774" s="1754">
        <v>8055.7809999999999</v>
      </c>
      <c r="O774" s="1755" t="s">
        <v>2791</v>
      </c>
      <c r="P774" s="1721" t="s">
        <v>9611</v>
      </c>
    </row>
    <row r="775" spans="1:16" ht="13.9" hidden="1" customHeight="1" outlineLevel="2" x14ac:dyDescent="0.2">
      <c r="A775" s="459">
        <v>0</v>
      </c>
      <c r="B775" s="459">
        <v>8</v>
      </c>
      <c r="C775" s="459">
        <v>5</v>
      </c>
      <c r="D775" s="460">
        <v>6</v>
      </c>
      <c r="E775" s="460">
        <v>0</v>
      </c>
      <c r="G775" s="1740"/>
      <c r="H775" s="1741" t="s">
        <v>1238</v>
      </c>
      <c r="I775" s="1742" t="s">
        <v>6797</v>
      </c>
      <c r="J775" s="1743" t="s">
        <v>2522</v>
      </c>
      <c r="K775" s="1744"/>
      <c r="L775" s="1745"/>
      <c r="M775" s="1745"/>
      <c r="N775" s="1746">
        <v>0</v>
      </c>
      <c r="O775" s="1747"/>
      <c r="P775" s="1720"/>
    </row>
    <row r="776" spans="1:16" ht="13.9" hidden="1" customHeight="1" outlineLevel="3" x14ac:dyDescent="0.2">
      <c r="A776" s="459">
        <v>0</v>
      </c>
      <c r="B776" s="459">
        <v>8</v>
      </c>
      <c r="C776" s="459">
        <v>5</v>
      </c>
      <c r="D776" s="460">
        <v>6</v>
      </c>
      <c r="E776" s="460">
        <v>1</v>
      </c>
      <c r="G776" s="1790" t="s">
        <v>1258</v>
      </c>
      <c r="H776" s="1749" t="s">
        <v>1239</v>
      </c>
      <c r="I776" s="1750" t="s">
        <v>6798</v>
      </c>
      <c r="J776" s="1751" t="s">
        <v>2522</v>
      </c>
      <c r="K776" s="1752" t="s">
        <v>1130</v>
      </c>
      <c r="L776" s="1753">
        <v>1</v>
      </c>
      <c r="M776" s="1753"/>
      <c r="N776" s="1754">
        <v>0</v>
      </c>
      <c r="O776" s="1755" t="s">
        <v>2791</v>
      </c>
      <c r="P776" s="1721" t="s">
        <v>9611</v>
      </c>
    </row>
    <row r="777" spans="1:16" ht="13.9" hidden="1" customHeight="1" outlineLevel="2" x14ac:dyDescent="0.2">
      <c r="A777" s="459">
        <v>0</v>
      </c>
      <c r="B777" s="459">
        <v>8</v>
      </c>
      <c r="C777" s="459">
        <v>5</v>
      </c>
      <c r="D777" s="460">
        <v>7</v>
      </c>
      <c r="E777" s="460">
        <v>0</v>
      </c>
      <c r="G777" s="1740"/>
      <c r="H777" s="1741" t="s">
        <v>1238</v>
      </c>
      <c r="I777" s="1742" t="s">
        <v>6799</v>
      </c>
      <c r="J777" s="1743" t="s">
        <v>15</v>
      </c>
      <c r="K777" s="1744"/>
      <c r="L777" s="1745"/>
      <c r="M777" s="1745"/>
      <c r="N777" s="1746">
        <v>4392.5</v>
      </c>
      <c r="O777" s="1747"/>
      <c r="P777" s="1720"/>
    </row>
    <row r="778" spans="1:16" ht="13.9" hidden="1" customHeight="1" outlineLevel="3" x14ac:dyDescent="0.2">
      <c r="A778" s="459">
        <v>0</v>
      </c>
      <c r="B778" s="459">
        <v>8</v>
      </c>
      <c r="C778" s="459">
        <v>5</v>
      </c>
      <c r="D778" s="460">
        <v>7</v>
      </c>
      <c r="E778" s="460">
        <v>1</v>
      </c>
      <c r="G778" s="1790" t="s">
        <v>1258</v>
      </c>
      <c r="H778" s="1749" t="s">
        <v>1239</v>
      </c>
      <c r="I778" s="1750" t="s">
        <v>6800</v>
      </c>
      <c r="J778" s="1751" t="s">
        <v>1259</v>
      </c>
      <c r="K778" s="1752" t="s">
        <v>1130</v>
      </c>
      <c r="L778" s="1753">
        <v>1</v>
      </c>
      <c r="M778" s="1753">
        <v>4392.5</v>
      </c>
      <c r="N778" s="1754">
        <v>4392.5</v>
      </c>
      <c r="O778" s="1765" t="s">
        <v>2801</v>
      </c>
      <c r="P778" s="1721" t="s">
        <v>9611</v>
      </c>
    </row>
    <row r="779" spans="1:16" ht="13.9" hidden="1" customHeight="1" outlineLevel="1" x14ac:dyDescent="0.2">
      <c r="A779" s="459">
        <v>0</v>
      </c>
      <c r="B779" s="459">
        <v>8</v>
      </c>
      <c r="C779" s="459">
        <v>6</v>
      </c>
      <c r="D779" s="460">
        <v>0</v>
      </c>
      <c r="E779" s="460">
        <v>1</v>
      </c>
      <c r="G779" s="1733"/>
      <c r="H779" s="1734" t="s">
        <v>39</v>
      </c>
      <c r="I779" s="1735" t="s">
        <v>6801</v>
      </c>
      <c r="J779" s="1736" t="s">
        <v>3342</v>
      </c>
      <c r="K779" s="1737"/>
      <c r="L779" s="1738"/>
      <c r="M779" s="1738"/>
      <c r="N779" s="1739">
        <v>258084.546</v>
      </c>
      <c r="O779" s="1722"/>
      <c r="P779" s="1725"/>
    </row>
    <row r="780" spans="1:16" ht="13.9" hidden="1" customHeight="1" outlineLevel="2" x14ac:dyDescent="0.2">
      <c r="A780" s="459">
        <v>0</v>
      </c>
      <c r="B780" s="459">
        <v>8</v>
      </c>
      <c r="C780" s="459">
        <v>6</v>
      </c>
      <c r="D780" s="460">
        <v>1</v>
      </c>
      <c r="E780" s="460">
        <v>0</v>
      </c>
      <c r="G780" s="1740"/>
      <c r="H780" s="1741" t="s">
        <v>1238</v>
      </c>
      <c r="I780" s="1742" t="s">
        <v>6802</v>
      </c>
      <c r="J780" s="1743" t="s">
        <v>2798</v>
      </c>
      <c r="K780" s="1744"/>
      <c r="L780" s="1745"/>
      <c r="M780" s="1745"/>
      <c r="N780" s="1746">
        <v>5145</v>
      </c>
      <c r="O780" s="1747"/>
      <c r="P780" s="1720"/>
    </row>
    <row r="781" spans="1:16" ht="13.9" hidden="1" customHeight="1" outlineLevel="3" x14ac:dyDescent="0.2">
      <c r="A781" s="459">
        <v>0</v>
      </c>
      <c r="B781" s="459">
        <v>8</v>
      </c>
      <c r="C781" s="459">
        <v>6</v>
      </c>
      <c r="D781" s="460">
        <v>1</v>
      </c>
      <c r="E781" s="460">
        <v>1</v>
      </c>
      <c r="G781" s="1790" t="s">
        <v>1258</v>
      </c>
      <c r="H781" s="1749" t="s">
        <v>1239</v>
      </c>
      <c r="I781" s="1750" t="s">
        <v>6803</v>
      </c>
      <c r="J781" s="1751" t="s">
        <v>2798</v>
      </c>
      <c r="K781" s="1752" t="s">
        <v>1130</v>
      </c>
      <c r="L781" s="1753">
        <v>1</v>
      </c>
      <c r="M781" s="1753">
        <v>5145</v>
      </c>
      <c r="N781" s="1754">
        <v>5145</v>
      </c>
      <c r="O781" s="1755" t="s">
        <v>2791</v>
      </c>
      <c r="P781" s="1721" t="s">
        <v>9611</v>
      </c>
    </row>
    <row r="782" spans="1:16" ht="13.9" hidden="1" customHeight="1" outlineLevel="2" x14ac:dyDescent="0.2">
      <c r="A782" s="459">
        <v>0</v>
      </c>
      <c r="B782" s="459">
        <v>8</v>
      </c>
      <c r="C782" s="459">
        <v>6</v>
      </c>
      <c r="D782" s="460">
        <v>2</v>
      </c>
      <c r="E782" s="460">
        <v>0</v>
      </c>
      <c r="G782" s="1740"/>
      <c r="H782" s="1741" t="s">
        <v>1238</v>
      </c>
      <c r="I782" s="1742" t="s">
        <v>6804</v>
      </c>
      <c r="J782" s="1743" t="s">
        <v>2799</v>
      </c>
      <c r="K782" s="1744"/>
      <c r="L782" s="1745"/>
      <c r="M782" s="1745"/>
      <c r="N782" s="1746">
        <v>2712.84</v>
      </c>
      <c r="O782" s="1747"/>
      <c r="P782" s="1720"/>
    </row>
    <row r="783" spans="1:16" ht="13.9" hidden="1" customHeight="1" outlineLevel="3" x14ac:dyDescent="0.2">
      <c r="A783" s="459">
        <v>0</v>
      </c>
      <c r="B783" s="459">
        <v>8</v>
      </c>
      <c r="C783" s="459">
        <v>6</v>
      </c>
      <c r="D783" s="460">
        <v>2</v>
      </c>
      <c r="E783" s="460">
        <v>1</v>
      </c>
      <c r="G783" s="1790" t="s">
        <v>1258</v>
      </c>
      <c r="H783" s="1749" t="s">
        <v>1239</v>
      </c>
      <c r="I783" s="1750" t="s">
        <v>6805</v>
      </c>
      <c r="J783" s="1751" t="s">
        <v>2799</v>
      </c>
      <c r="K783" s="1752" t="s">
        <v>1130</v>
      </c>
      <c r="L783" s="1753">
        <v>1</v>
      </c>
      <c r="M783" s="1753">
        <v>2712.84</v>
      </c>
      <c r="N783" s="1754">
        <v>2712.84</v>
      </c>
      <c r="O783" s="1755" t="s">
        <v>2791</v>
      </c>
      <c r="P783" s="1721" t="s">
        <v>9611</v>
      </c>
    </row>
    <row r="784" spans="1:16" ht="13.9" hidden="1" customHeight="1" outlineLevel="2" x14ac:dyDescent="0.2">
      <c r="A784" s="459">
        <v>0</v>
      </c>
      <c r="B784" s="459">
        <v>8</v>
      </c>
      <c r="C784" s="459">
        <v>6</v>
      </c>
      <c r="D784" s="460">
        <v>3</v>
      </c>
      <c r="E784" s="460">
        <v>0</v>
      </c>
      <c r="G784" s="1740"/>
      <c r="H784" s="1741" t="s">
        <v>1238</v>
      </c>
      <c r="I784" s="1742" t="s">
        <v>6806</v>
      </c>
      <c r="J784" s="1743" t="s">
        <v>3353</v>
      </c>
      <c r="K784" s="1744"/>
      <c r="L784" s="1745"/>
      <c r="M784" s="1745"/>
      <c r="N784" s="1746">
        <v>237305.2</v>
      </c>
      <c r="O784" s="1747"/>
      <c r="P784" s="1720"/>
    </row>
    <row r="785" spans="1:16" ht="13.9" hidden="1" customHeight="1" outlineLevel="3" x14ac:dyDescent="0.2">
      <c r="A785" s="459">
        <v>0</v>
      </c>
      <c r="B785" s="459">
        <v>8</v>
      </c>
      <c r="C785" s="459">
        <v>6</v>
      </c>
      <c r="D785" s="460">
        <v>3</v>
      </c>
      <c r="E785" s="460">
        <v>1</v>
      </c>
      <c r="G785" s="1790" t="s">
        <v>1258</v>
      </c>
      <c r="H785" s="1749" t="s">
        <v>1239</v>
      </c>
      <c r="I785" s="1750" t="s">
        <v>6807</v>
      </c>
      <c r="J785" s="1751" t="s">
        <v>3353</v>
      </c>
      <c r="K785" s="1752" t="s">
        <v>1130</v>
      </c>
      <c r="L785" s="1753">
        <v>1</v>
      </c>
      <c r="M785" s="1753">
        <v>237305.2</v>
      </c>
      <c r="N785" s="1754">
        <v>237305.2</v>
      </c>
      <c r="O785" s="1755" t="s">
        <v>2791</v>
      </c>
      <c r="P785" s="1721" t="s">
        <v>9611</v>
      </c>
    </row>
    <row r="786" spans="1:16" ht="13.9" hidden="1" customHeight="1" outlineLevel="2" x14ac:dyDescent="0.2">
      <c r="A786" s="459">
        <v>0</v>
      </c>
      <c r="B786" s="459">
        <v>8</v>
      </c>
      <c r="C786" s="459">
        <v>6</v>
      </c>
      <c r="D786" s="460">
        <v>4</v>
      </c>
      <c r="E786" s="460">
        <v>0</v>
      </c>
      <c r="G786" s="1740"/>
      <c r="H786" s="1741" t="s">
        <v>1238</v>
      </c>
      <c r="I786" s="1742" t="s">
        <v>6808</v>
      </c>
      <c r="J786" s="1743" t="s">
        <v>2800</v>
      </c>
      <c r="K786" s="1744"/>
      <c r="L786" s="1745"/>
      <c r="M786" s="1745"/>
      <c r="N786" s="1746">
        <v>0</v>
      </c>
      <c r="O786" s="1747"/>
      <c r="P786" s="1720"/>
    </row>
    <row r="787" spans="1:16" ht="13.9" hidden="1" customHeight="1" outlineLevel="3" x14ac:dyDescent="0.2">
      <c r="A787" s="459">
        <v>0</v>
      </c>
      <c r="B787" s="459">
        <v>8</v>
      </c>
      <c r="C787" s="459">
        <v>6</v>
      </c>
      <c r="D787" s="460">
        <v>4</v>
      </c>
      <c r="E787" s="460">
        <v>1</v>
      </c>
      <c r="G787" s="1790" t="s">
        <v>1258</v>
      </c>
      <c r="H787" s="1749" t="s">
        <v>1239</v>
      </c>
      <c r="I787" s="1750" t="s">
        <v>6809</v>
      </c>
      <c r="J787" s="1751" t="s">
        <v>2800</v>
      </c>
      <c r="K787" s="1752" t="s">
        <v>1130</v>
      </c>
      <c r="L787" s="1753">
        <v>1</v>
      </c>
      <c r="M787" s="1753"/>
      <c r="N787" s="1754">
        <v>0</v>
      </c>
      <c r="O787" s="1755" t="s">
        <v>3351</v>
      </c>
      <c r="P787" s="1721" t="s">
        <v>9611</v>
      </c>
    </row>
    <row r="788" spans="1:16" ht="13.9" hidden="1" customHeight="1" outlineLevel="2" x14ac:dyDescent="0.2">
      <c r="A788" s="459">
        <v>0</v>
      </c>
      <c r="B788" s="459">
        <v>8</v>
      </c>
      <c r="C788" s="459">
        <v>6</v>
      </c>
      <c r="D788" s="460">
        <v>5</v>
      </c>
      <c r="E788" s="460">
        <v>0</v>
      </c>
      <c r="G788" s="1740"/>
      <c r="H788" s="1741" t="s">
        <v>1238</v>
      </c>
      <c r="I788" s="1742" t="s">
        <v>6810</v>
      </c>
      <c r="J788" s="1743" t="s">
        <v>2523</v>
      </c>
      <c r="K788" s="1744"/>
      <c r="L788" s="1745"/>
      <c r="M788" s="1745"/>
      <c r="N788" s="1746">
        <v>8459.2559999999994</v>
      </c>
      <c r="O788" s="1747"/>
      <c r="P788" s="1720"/>
    </row>
    <row r="789" spans="1:16" ht="13.9" hidden="1" customHeight="1" outlineLevel="3" x14ac:dyDescent="0.2">
      <c r="A789" s="459">
        <v>0</v>
      </c>
      <c r="B789" s="459">
        <v>8</v>
      </c>
      <c r="C789" s="459">
        <v>6</v>
      </c>
      <c r="D789" s="460">
        <v>5</v>
      </c>
      <c r="E789" s="460">
        <v>1</v>
      </c>
      <c r="G789" s="1790" t="s">
        <v>1258</v>
      </c>
      <c r="H789" s="1749" t="s">
        <v>1239</v>
      </c>
      <c r="I789" s="1750" t="s">
        <v>6811</v>
      </c>
      <c r="J789" s="1751" t="s">
        <v>2523</v>
      </c>
      <c r="K789" s="1752" t="s">
        <v>1130</v>
      </c>
      <c r="L789" s="1753">
        <v>1</v>
      </c>
      <c r="M789" s="1753">
        <v>8459.2559999999976</v>
      </c>
      <c r="N789" s="1754">
        <v>8459.2559999999994</v>
      </c>
      <c r="O789" s="1755" t="s">
        <v>2791</v>
      </c>
      <c r="P789" s="1721" t="s">
        <v>9611</v>
      </c>
    </row>
    <row r="790" spans="1:16" ht="13.9" hidden="1" customHeight="1" outlineLevel="2" x14ac:dyDescent="0.2">
      <c r="A790" s="459">
        <v>0</v>
      </c>
      <c r="B790" s="459">
        <v>8</v>
      </c>
      <c r="C790" s="459">
        <v>6</v>
      </c>
      <c r="D790" s="460">
        <v>6</v>
      </c>
      <c r="E790" s="460">
        <v>0</v>
      </c>
      <c r="G790" s="1740"/>
      <c r="H790" s="1741" t="s">
        <v>1238</v>
      </c>
      <c r="I790" s="1742" t="s">
        <v>6812</v>
      </c>
      <c r="J790" s="1743" t="s">
        <v>2522</v>
      </c>
      <c r="K790" s="1744"/>
      <c r="L790" s="1745"/>
      <c r="M790" s="1745"/>
      <c r="N790" s="1746">
        <v>0</v>
      </c>
      <c r="O790" s="1747"/>
      <c r="P790" s="1720"/>
    </row>
    <row r="791" spans="1:16" ht="13.9" hidden="1" customHeight="1" outlineLevel="3" x14ac:dyDescent="0.2">
      <c r="A791" s="459">
        <v>0</v>
      </c>
      <c r="B791" s="459">
        <v>8</v>
      </c>
      <c r="C791" s="459">
        <v>6</v>
      </c>
      <c r="D791" s="460">
        <v>6</v>
      </c>
      <c r="E791" s="460">
        <v>1</v>
      </c>
      <c r="G791" s="1790" t="s">
        <v>1258</v>
      </c>
      <c r="H791" s="1749" t="s">
        <v>1239</v>
      </c>
      <c r="I791" s="1750" t="s">
        <v>6813</v>
      </c>
      <c r="J791" s="1751" t="s">
        <v>2522</v>
      </c>
      <c r="K791" s="1752" t="s">
        <v>1130</v>
      </c>
      <c r="L791" s="1753">
        <v>1</v>
      </c>
      <c r="M791" s="1753"/>
      <c r="N791" s="1754">
        <v>0</v>
      </c>
      <c r="O791" s="1755" t="s">
        <v>2791</v>
      </c>
      <c r="P791" s="1721" t="s">
        <v>9611</v>
      </c>
    </row>
    <row r="792" spans="1:16" ht="13.9" hidden="1" customHeight="1" outlineLevel="2" x14ac:dyDescent="0.2">
      <c r="A792" s="459">
        <v>0</v>
      </c>
      <c r="B792" s="459">
        <v>8</v>
      </c>
      <c r="C792" s="459">
        <v>6</v>
      </c>
      <c r="D792" s="460">
        <v>7</v>
      </c>
      <c r="E792" s="460">
        <v>0</v>
      </c>
      <c r="G792" s="1740"/>
      <c r="H792" s="1741" t="s">
        <v>1238</v>
      </c>
      <c r="I792" s="1742" t="s">
        <v>6814</v>
      </c>
      <c r="J792" s="1743" t="s">
        <v>15</v>
      </c>
      <c r="K792" s="1744"/>
      <c r="L792" s="1745"/>
      <c r="M792" s="1745"/>
      <c r="N792" s="1746">
        <v>4462.25</v>
      </c>
      <c r="O792" s="1747"/>
      <c r="P792" s="1720"/>
    </row>
    <row r="793" spans="1:16" ht="13.9" hidden="1" customHeight="1" outlineLevel="3" x14ac:dyDescent="0.2">
      <c r="A793" s="459">
        <v>0</v>
      </c>
      <c r="B793" s="459">
        <v>8</v>
      </c>
      <c r="C793" s="459">
        <v>6</v>
      </c>
      <c r="D793" s="460">
        <v>7</v>
      </c>
      <c r="E793" s="460">
        <v>1</v>
      </c>
      <c r="G793" s="1790" t="s">
        <v>1258</v>
      </c>
      <c r="H793" s="1749" t="s">
        <v>1239</v>
      </c>
      <c r="I793" s="1750" t="s">
        <v>6815</v>
      </c>
      <c r="J793" s="1751" t="s">
        <v>1259</v>
      </c>
      <c r="K793" s="1752" t="s">
        <v>1130</v>
      </c>
      <c r="L793" s="1753">
        <v>1</v>
      </c>
      <c r="M793" s="1753">
        <v>4462.25</v>
      </c>
      <c r="N793" s="1754">
        <v>4462.25</v>
      </c>
      <c r="O793" s="1765" t="s">
        <v>2801</v>
      </c>
      <c r="P793" s="1721" t="s">
        <v>9611</v>
      </c>
    </row>
    <row r="794" spans="1:16" ht="13.9" hidden="1" customHeight="1" outlineLevel="1" x14ac:dyDescent="0.2">
      <c r="A794" s="459">
        <v>0</v>
      </c>
      <c r="B794" s="459">
        <v>8</v>
      </c>
      <c r="C794" s="459">
        <v>7</v>
      </c>
      <c r="D794" s="460">
        <v>0</v>
      </c>
      <c r="E794" s="460">
        <v>1</v>
      </c>
      <c r="G794" s="1733"/>
      <c r="H794" s="1734" t="s">
        <v>39</v>
      </c>
      <c r="I794" s="1735" t="s">
        <v>6816</v>
      </c>
      <c r="J794" s="1736" t="s">
        <v>3343</v>
      </c>
      <c r="K794" s="1737"/>
      <c r="L794" s="1738"/>
      <c r="M794" s="1738"/>
      <c r="N794" s="1739">
        <v>187448.41</v>
      </c>
      <c r="O794" s="1722"/>
      <c r="P794" s="1725"/>
    </row>
    <row r="795" spans="1:16" ht="13.9" hidden="1" customHeight="1" outlineLevel="2" x14ac:dyDescent="0.2">
      <c r="A795" s="459">
        <v>0</v>
      </c>
      <c r="B795" s="459">
        <v>8</v>
      </c>
      <c r="C795" s="459">
        <v>7</v>
      </c>
      <c r="D795" s="460">
        <v>1</v>
      </c>
      <c r="E795" s="460">
        <v>0</v>
      </c>
      <c r="G795" s="1740"/>
      <c r="H795" s="1741" t="s">
        <v>1238</v>
      </c>
      <c r="I795" s="1742" t="s">
        <v>6817</v>
      </c>
      <c r="J795" s="1743" t="s">
        <v>2798</v>
      </c>
      <c r="K795" s="1744"/>
      <c r="L795" s="1745"/>
      <c r="M795" s="1745"/>
      <c r="N795" s="1746">
        <v>8801</v>
      </c>
      <c r="O795" s="1747"/>
      <c r="P795" s="1720"/>
    </row>
    <row r="796" spans="1:16" ht="13.9" hidden="1" customHeight="1" outlineLevel="3" x14ac:dyDescent="0.2">
      <c r="A796" s="459">
        <v>0</v>
      </c>
      <c r="B796" s="459">
        <v>8</v>
      </c>
      <c r="C796" s="459">
        <v>7</v>
      </c>
      <c r="D796" s="460">
        <v>1</v>
      </c>
      <c r="E796" s="460">
        <v>1</v>
      </c>
      <c r="G796" s="1790" t="s">
        <v>1258</v>
      </c>
      <c r="H796" s="1749" t="s">
        <v>1239</v>
      </c>
      <c r="I796" s="1750" t="s">
        <v>6818</v>
      </c>
      <c r="J796" s="1751" t="s">
        <v>2798</v>
      </c>
      <c r="K796" s="1752" t="s">
        <v>1130</v>
      </c>
      <c r="L796" s="1753">
        <v>1</v>
      </c>
      <c r="M796" s="1753">
        <v>8801</v>
      </c>
      <c r="N796" s="1754">
        <v>8801</v>
      </c>
      <c r="O796" s="1755" t="s">
        <v>2791</v>
      </c>
      <c r="P796" s="1721" t="s">
        <v>9611</v>
      </c>
    </row>
    <row r="797" spans="1:16" ht="13.9" hidden="1" customHeight="1" outlineLevel="2" x14ac:dyDescent="0.2">
      <c r="A797" s="459">
        <v>0</v>
      </c>
      <c r="B797" s="459">
        <v>8</v>
      </c>
      <c r="C797" s="459">
        <v>7</v>
      </c>
      <c r="D797" s="460">
        <v>2</v>
      </c>
      <c r="E797" s="460">
        <v>0</v>
      </c>
      <c r="G797" s="1740"/>
      <c r="H797" s="1741" t="s">
        <v>1238</v>
      </c>
      <c r="I797" s="1742" t="s">
        <v>6819</v>
      </c>
      <c r="J797" s="1743" t="s">
        <v>2799</v>
      </c>
      <c r="K797" s="1744"/>
      <c r="L797" s="1745"/>
      <c r="M797" s="1745"/>
      <c r="N797" s="1746">
        <v>2298.5700000000002</v>
      </c>
      <c r="O797" s="1747"/>
      <c r="P797" s="1720"/>
    </row>
    <row r="798" spans="1:16" ht="13.9" hidden="1" customHeight="1" outlineLevel="3" x14ac:dyDescent="0.2">
      <c r="A798" s="459">
        <v>0</v>
      </c>
      <c r="B798" s="459">
        <v>8</v>
      </c>
      <c r="C798" s="459">
        <v>7</v>
      </c>
      <c r="D798" s="460">
        <v>2</v>
      </c>
      <c r="E798" s="460">
        <v>1</v>
      </c>
      <c r="G798" s="1790" t="s">
        <v>1258</v>
      </c>
      <c r="H798" s="1749" t="s">
        <v>1239</v>
      </c>
      <c r="I798" s="1750" t="s">
        <v>6820</v>
      </c>
      <c r="J798" s="1751" t="s">
        <v>2799</v>
      </c>
      <c r="K798" s="1752" t="s">
        <v>1130</v>
      </c>
      <c r="L798" s="1753">
        <v>1</v>
      </c>
      <c r="M798" s="1753">
        <v>2298.5699999999997</v>
      </c>
      <c r="N798" s="1754">
        <v>2298.5700000000002</v>
      </c>
      <c r="O798" s="1755" t="s">
        <v>2791</v>
      </c>
      <c r="P798" s="1721" t="s">
        <v>9611</v>
      </c>
    </row>
    <row r="799" spans="1:16" ht="13.9" hidden="1" customHeight="1" outlineLevel="2" x14ac:dyDescent="0.2">
      <c r="A799" s="459">
        <v>0</v>
      </c>
      <c r="B799" s="459">
        <v>8</v>
      </c>
      <c r="C799" s="459">
        <v>7</v>
      </c>
      <c r="D799" s="460">
        <v>3</v>
      </c>
      <c r="E799" s="460">
        <v>0</v>
      </c>
      <c r="G799" s="1740"/>
      <c r="H799" s="1741" t="s">
        <v>1238</v>
      </c>
      <c r="I799" s="1742" t="s">
        <v>6821</v>
      </c>
      <c r="J799" s="1743" t="s">
        <v>3353</v>
      </c>
      <c r="K799" s="1744"/>
      <c r="L799" s="1745"/>
      <c r="M799" s="1745"/>
      <c r="N799" s="1746">
        <v>163725.9</v>
      </c>
      <c r="O799" s="1747"/>
      <c r="P799" s="1720"/>
    </row>
    <row r="800" spans="1:16" ht="13.9" hidden="1" customHeight="1" outlineLevel="3" x14ac:dyDescent="0.2">
      <c r="A800" s="459">
        <v>0</v>
      </c>
      <c r="B800" s="459">
        <v>8</v>
      </c>
      <c r="C800" s="459">
        <v>7</v>
      </c>
      <c r="D800" s="460">
        <v>3</v>
      </c>
      <c r="E800" s="460">
        <v>1</v>
      </c>
      <c r="G800" s="1790" t="s">
        <v>1258</v>
      </c>
      <c r="H800" s="1749" t="s">
        <v>1239</v>
      </c>
      <c r="I800" s="1750" t="s">
        <v>6822</v>
      </c>
      <c r="J800" s="1751" t="s">
        <v>3353</v>
      </c>
      <c r="K800" s="1752" t="s">
        <v>1130</v>
      </c>
      <c r="L800" s="1753">
        <v>1</v>
      </c>
      <c r="M800" s="1753">
        <v>163725.9</v>
      </c>
      <c r="N800" s="1754">
        <v>163725.9</v>
      </c>
      <c r="O800" s="1755" t="s">
        <v>2791</v>
      </c>
      <c r="P800" s="1721" t="s">
        <v>9611</v>
      </c>
    </row>
    <row r="801" spans="1:16" ht="13.9" hidden="1" customHeight="1" outlineLevel="2" x14ac:dyDescent="0.2">
      <c r="A801" s="459">
        <v>0</v>
      </c>
      <c r="B801" s="459">
        <v>8</v>
      </c>
      <c r="C801" s="459">
        <v>7</v>
      </c>
      <c r="D801" s="460">
        <v>4</v>
      </c>
      <c r="E801" s="460">
        <v>0</v>
      </c>
      <c r="G801" s="1740"/>
      <c r="H801" s="1741" t="s">
        <v>1238</v>
      </c>
      <c r="I801" s="1742" t="s">
        <v>6823</v>
      </c>
      <c r="J801" s="1743" t="s">
        <v>2800</v>
      </c>
      <c r="K801" s="1744"/>
      <c r="L801" s="1745"/>
      <c r="M801" s="1745"/>
      <c r="N801" s="1746">
        <v>0</v>
      </c>
      <c r="O801" s="1747"/>
      <c r="P801" s="1720"/>
    </row>
    <row r="802" spans="1:16" ht="13.9" hidden="1" customHeight="1" outlineLevel="3" x14ac:dyDescent="0.2">
      <c r="A802" s="459">
        <v>0</v>
      </c>
      <c r="B802" s="459">
        <v>8</v>
      </c>
      <c r="C802" s="459">
        <v>7</v>
      </c>
      <c r="D802" s="460">
        <v>4</v>
      </c>
      <c r="E802" s="460">
        <v>1</v>
      </c>
      <c r="G802" s="1790" t="s">
        <v>1258</v>
      </c>
      <c r="H802" s="1749" t="s">
        <v>1239</v>
      </c>
      <c r="I802" s="1750" t="s">
        <v>6824</v>
      </c>
      <c r="J802" s="1751" t="s">
        <v>2800</v>
      </c>
      <c r="K802" s="1752" t="s">
        <v>1130</v>
      </c>
      <c r="L802" s="1753">
        <v>1</v>
      </c>
      <c r="M802" s="1753"/>
      <c r="N802" s="1754">
        <v>0</v>
      </c>
      <c r="O802" s="1755" t="s">
        <v>3351</v>
      </c>
      <c r="P802" s="1721" t="s">
        <v>9611</v>
      </c>
    </row>
    <row r="803" spans="1:16" ht="13.9" hidden="1" customHeight="1" outlineLevel="2" x14ac:dyDescent="0.2">
      <c r="A803" s="459">
        <v>0</v>
      </c>
      <c r="B803" s="459">
        <v>8</v>
      </c>
      <c r="C803" s="459">
        <v>7</v>
      </c>
      <c r="D803" s="460">
        <v>5</v>
      </c>
      <c r="E803" s="460">
        <v>0</v>
      </c>
      <c r="G803" s="1740"/>
      <c r="H803" s="1741" t="s">
        <v>1238</v>
      </c>
      <c r="I803" s="1742" t="s">
        <v>6825</v>
      </c>
      <c r="J803" s="1743" t="s">
        <v>2523</v>
      </c>
      <c r="K803" s="1744"/>
      <c r="L803" s="1745"/>
      <c r="M803" s="1745"/>
      <c r="N803" s="1746">
        <v>8160.69</v>
      </c>
      <c r="O803" s="1747"/>
      <c r="P803" s="1720"/>
    </row>
    <row r="804" spans="1:16" ht="13.9" hidden="1" customHeight="1" outlineLevel="3" x14ac:dyDescent="0.2">
      <c r="A804" s="459">
        <v>0</v>
      </c>
      <c r="B804" s="459">
        <v>8</v>
      </c>
      <c r="C804" s="459">
        <v>7</v>
      </c>
      <c r="D804" s="460">
        <v>5</v>
      </c>
      <c r="E804" s="460">
        <v>1</v>
      </c>
      <c r="G804" s="1790" t="s">
        <v>1258</v>
      </c>
      <c r="H804" s="1749" t="s">
        <v>1239</v>
      </c>
      <c r="I804" s="1750" t="s">
        <v>6826</v>
      </c>
      <c r="J804" s="1751" t="s">
        <v>2523</v>
      </c>
      <c r="K804" s="1752" t="s">
        <v>1130</v>
      </c>
      <c r="L804" s="1753">
        <v>1</v>
      </c>
      <c r="M804" s="1753">
        <v>8160.6900000000005</v>
      </c>
      <c r="N804" s="1754">
        <v>8160.69</v>
      </c>
      <c r="O804" s="1755" t="s">
        <v>2791</v>
      </c>
      <c r="P804" s="1721" t="s">
        <v>9611</v>
      </c>
    </row>
    <row r="805" spans="1:16" ht="13.9" hidden="1" customHeight="1" outlineLevel="2" x14ac:dyDescent="0.2">
      <c r="A805" s="459">
        <v>0</v>
      </c>
      <c r="B805" s="459">
        <v>8</v>
      </c>
      <c r="C805" s="459">
        <v>7</v>
      </c>
      <c r="D805" s="460">
        <v>6</v>
      </c>
      <c r="E805" s="460">
        <v>0</v>
      </c>
      <c r="G805" s="1740"/>
      <c r="H805" s="1741" t="s">
        <v>1238</v>
      </c>
      <c r="I805" s="1742" t="s">
        <v>6827</v>
      </c>
      <c r="J805" s="1743" t="s">
        <v>2522</v>
      </c>
      <c r="K805" s="1744"/>
      <c r="L805" s="1745"/>
      <c r="M805" s="1745"/>
      <c r="N805" s="1746">
        <v>0</v>
      </c>
      <c r="O805" s="1747"/>
      <c r="P805" s="1720"/>
    </row>
    <row r="806" spans="1:16" ht="13.9" hidden="1" customHeight="1" outlineLevel="3" x14ac:dyDescent="0.2">
      <c r="A806" s="459">
        <v>0</v>
      </c>
      <c r="B806" s="459">
        <v>8</v>
      </c>
      <c r="C806" s="459">
        <v>7</v>
      </c>
      <c r="D806" s="460">
        <v>6</v>
      </c>
      <c r="E806" s="460">
        <v>1</v>
      </c>
      <c r="G806" s="1790" t="s">
        <v>1258</v>
      </c>
      <c r="H806" s="1749" t="s">
        <v>1239</v>
      </c>
      <c r="I806" s="1750" t="s">
        <v>6828</v>
      </c>
      <c r="J806" s="1751" t="s">
        <v>2522</v>
      </c>
      <c r="K806" s="1752" t="s">
        <v>1130</v>
      </c>
      <c r="L806" s="1753">
        <v>1</v>
      </c>
      <c r="M806" s="1753"/>
      <c r="N806" s="1754">
        <v>0</v>
      </c>
      <c r="O806" s="1755" t="s">
        <v>2791</v>
      </c>
      <c r="P806" s="1721" t="s">
        <v>9611</v>
      </c>
    </row>
    <row r="807" spans="1:16" ht="13.9" hidden="1" customHeight="1" outlineLevel="2" x14ac:dyDescent="0.2">
      <c r="A807" s="459">
        <v>0</v>
      </c>
      <c r="B807" s="459">
        <v>8</v>
      </c>
      <c r="C807" s="459">
        <v>7</v>
      </c>
      <c r="D807" s="460">
        <v>7</v>
      </c>
      <c r="E807" s="460">
        <v>0</v>
      </c>
      <c r="G807" s="1740"/>
      <c r="H807" s="1741" t="s">
        <v>1238</v>
      </c>
      <c r="I807" s="1742" t="s">
        <v>6829</v>
      </c>
      <c r="J807" s="1743" t="s">
        <v>15</v>
      </c>
      <c r="K807" s="1744"/>
      <c r="L807" s="1745"/>
      <c r="M807" s="1745"/>
      <c r="N807" s="1746">
        <v>4462.25</v>
      </c>
      <c r="O807" s="1747"/>
      <c r="P807" s="1720"/>
    </row>
    <row r="808" spans="1:16" ht="13.9" hidden="1" customHeight="1" outlineLevel="3" x14ac:dyDescent="0.2">
      <c r="A808" s="459">
        <v>0</v>
      </c>
      <c r="B808" s="459">
        <v>8</v>
      </c>
      <c r="C808" s="459">
        <v>7</v>
      </c>
      <c r="D808" s="460">
        <v>7</v>
      </c>
      <c r="E808" s="460">
        <v>1</v>
      </c>
      <c r="G808" s="1790" t="s">
        <v>1258</v>
      </c>
      <c r="H808" s="1749" t="s">
        <v>1239</v>
      </c>
      <c r="I808" s="1750" t="s">
        <v>6830</v>
      </c>
      <c r="J808" s="1751" t="s">
        <v>1259</v>
      </c>
      <c r="K808" s="1752" t="s">
        <v>1130</v>
      </c>
      <c r="L808" s="1753">
        <v>1</v>
      </c>
      <c r="M808" s="1753">
        <v>4462.25</v>
      </c>
      <c r="N808" s="1754">
        <v>4462.25</v>
      </c>
      <c r="O808" s="1765" t="s">
        <v>2801</v>
      </c>
      <c r="P808" s="1721" t="s">
        <v>9611</v>
      </c>
    </row>
    <row r="809" spans="1:16" ht="13.9" hidden="1" customHeight="1" outlineLevel="1" x14ac:dyDescent="0.2">
      <c r="A809" s="459">
        <v>0</v>
      </c>
      <c r="B809" s="459">
        <v>8</v>
      </c>
      <c r="C809" s="459">
        <v>8</v>
      </c>
      <c r="D809" s="460">
        <v>0</v>
      </c>
      <c r="E809" s="460">
        <v>1</v>
      </c>
      <c r="G809" s="1733"/>
      <c r="H809" s="1734" t="s">
        <v>39</v>
      </c>
      <c r="I809" s="1735" t="s">
        <v>6831</v>
      </c>
      <c r="J809" s="1736" t="s">
        <v>3344</v>
      </c>
      <c r="K809" s="1737"/>
      <c r="L809" s="1738"/>
      <c r="M809" s="1738"/>
      <c r="N809" s="1739">
        <v>44273.483999999997</v>
      </c>
      <c r="O809" s="1722"/>
      <c r="P809" s="1725"/>
    </row>
    <row r="810" spans="1:16" ht="13.9" hidden="1" customHeight="1" outlineLevel="2" x14ac:dyDescent="0.2">
      <c r="A810" s="459">
        <v>0</v>
      </c>
      <c r="B810" s="459">
        <v>8</v>
      </c>
      <c r="C810" s="459">
        <v>8</v>
      </c>
      <c r="D810" s="460">
        <v>1</v>
      </c>
      <c r="E810" s="460">
        <v>0</v>
      </c>
      <c r="G810" s="1740"/>
      <c r="H810" s="1741" t="s">
        <v>1238</v>
      </c>
      <c r="I810" s="1742" t="s">
        <v>6832</v>
      </c>
      <c r="J810" s="1743" t="s">
        <v>2798</v>
      </c>
      <c r="K810" s="1744"/>
      <c r="L810" s="1745"/>
      <c r="M810" s="1745"/>
      <c r="N810" s="1746">
        <v>3982.75</v>
      </c>
      <c r="O810" s="1747"/>
      <c r="P810" s="1720"/>
    </row>
    <row r="811" spans="1:16" ht="13.9" hidden="1" customHeight="1" outlineLevel="3" x14ac:dyDescent="0.2">
      <c r="A811" s="459">
        <v>0</v>
      </c>
      <c r="B811" s="459">
        <v>8</v>
      </c>
      <c r="C811" s="459">
        <v>8</v>
      </c>
      <c r="D811" s="460">
        <v>1</v>
      </c>
      <c r="E811" s="460">
        <v>1</v>
      </c>
      <c r="G811" s="1790" t="s">
        <v>1258</v>
      </c>
      <c r="H811" s="1749" t="s">
        <v>1239</v>
      </c>
      <c r="I811" s="1750" t="s">
        <v>6833</v>
      </c>
      <c r="J811" s="1751" t="s">
        <v>2798</v>
      </c>
      <c r="K811" s="1752" t="s">
        <v>1130</v>
      </c>
      <c r="L811" s="1753">
        <v>1</v>
      </c>
      <c r="M811" s="1753">
        <v>3982.75</v>
      </c>
      <c r="N811" s="1754">
        <v>3982.75</v>
      </c>
      <c r="O811" s="1755" t="s">
        <v>2791</v>
      </c>
      <c r="P811" s="1721" t="s">
        <v>9611</v>
      </c>
    </row>
    <row r="812" spans="1:16" ht="13.9" hidden="1" customHeight="1" outlineLevel="2" x14ac:dyDescent="0.2">
      <c r="A812" s="459">
        <v>0</v>
      </c>
      <c r="B812" s="459">
        <v>8</v>
      </c>
      <c r="C812" s="459">
        <v>8</v>
      </c>
      <c r="D812" s="460">
        <v>2</v>
      </c>
      <c r="E812" s="460">
        <v>0</v>
      </c>
      <c r="G812" s="1740"/>
      <c r="H812" s="1741" t="s">
        <v>1238</v>
      </c>
      <c r="I812" s="1742" t="s">
        <v>6834</v>
      </c>
      <c r="J812" s="1743" t="s">
        <v>2799</v>
      </c>
      <c r="K812" s="1744"/>
      <c r="L812" s="1745"/>
      <c r="M812" s="1745"/>
      <c r="N812" s="1746">
        <v>1517.74</v>
      </c>
      <c r="O812" s="1747"/>
      <c r="P812" s="1720"/>
    </row>
    <row r="813" spans="1:16" ht="13.9" hidden="1" customHeight="1" outlineLevel="3" x14ac:dyDescent="0.2">
      <c r="A813" s="459">
        <v>0</v>
      </c>
      <c r="B813" s="459">
        <v>8</v>
      </c>
      <c r="C813" s="459">
        <v>8</v>
      </c>
      <c r="D813" s="460">
        <v>2</v>
      </c>
      <c r="E813" s="460">
        <v>1</v>
      </c>
      <c r="G813" s="1790" t="s">
        <v>1258</v>
      </c>
      <c r="H813" s="1749" t="s">
        <v>1239</v>
      </c>
      <c r="I813" s="1750" t="s">
        <v>6835</v>
      </c>
      <c r="J813" s="1751" t="s">
        <v>2799</v>
      </c>
      <c r="K813" s="1752" t="s">
        <v>1130</v>
      </c>
      <c r="L813" s="1753">
        <v>1</v>
      </c>
      <c r="M813" s="1753">
        <v>1517.74</v>
      </c>
      <c r="N813" s="1754">
        <v>1517.74</v>
      </c>
      <c r="O813" s="1755" t="s">
        <v>2791</v>
      </c>
      <c r="P813" s="1721" t="s">
        <v>9611</v>
      </c>
    </row>
    <row r="814" spans="1:16" ht="13.9" hidden="1" customHeight="1" outlineLevel="2" x14ac:dyDescent="0.2">
      <c r="A814" s="459">
        <v>0</v>
      </c>
      <c r="B814" s="459">
        <v>8</v>
      </c>
      <c r="C814" s="459">
        <v>8</v>
      </c>
      <c r="D814" s="460">
        <v>3</v>
      </c>
      <c r="E814" s="460">
        <v>0</v>
      </c>
      <c r="G814" s="1740"/>
      <c r="H814" s="1741" t="s">
        <v>1238</v>
      </c>
      <c r="I814" s="1742" t="s">
        <v>6836</v>
      </c>
      <c r="J814" s="1743" t="s">
        <v>3353</v>
      </c>
      <c r="K814" s="1744"/>
      <c r="L814" s="1745"/>
      <c r="M814" s="1745"/>
      <c r="N814" s="1746">
        <v>30559.1</v>
      </c>
      <c r="O814" s="1747"/>
      <c r="P814" s="1720"/>
    </row>
    <row r="815" spans="1:16" ht="13.9" hidden="1" customHeight="1" outlineLevel="3" x14ac:dyDescent="0.2">
      <c r="A815" s="459">
        <v>0</v>
      </c>
      <c r="B815" s="459">
        <v>8</v>
      </c>
      <c r="C815" s="459">
        <v>8</v>
      </c>
      <c r="D815" s="460">
        <v>3</v>
      </c>
      <c r="E815" s="460">
        <v>1</v>
      </c>
      <c r="G815" s="1790" t="s">
        <v>1258</v>
      </c>
      <c r="H815" s="1749" t="s">
        <v>1239</v>
      </c>
      <c r="I815" s="1750" t="s">
        <v>6837</v>
      </c>
      <c r="J815" s="1751" t="s">
        <v>3353</v>
      </c>
      <c r="K815" s="1752" t="s">
        <v>1130</v>
      </c>
      <c r="L815" s="1753">
        <v>1</v>
      </c>
      <c r="M815" s="1753">
        <v>30559.1</v>
      </c>
      <c r="N815" s="1754">
        <v>30559.1</v>
      </c>
      <c r="O815" s="1755" t="s">
        <v>2791</v>
      </c>
      <c r="P815" s="1721" t="s">
        <v>9611</v>
      </c>
    </row>
    <row r="816" spans="1:16" ht="13.9" hidden="1" customHeight="1" outlineLevel="2" x14ac:dyDescent="0.2">
      <c r="A816" s="459">
        <v>0</v>
      </c>
      <c r="B816" s="459">
        <v>8</v>
      </c>
      <c r="C816" s="459">
        <v>8</v>
      </c>
      <c r="D816" s="460">
        <v>4</v>
      </c>
      <c r="E816" s="460">
        <v>0</v>
      </c>
      <c r="G816" s="1740"/>
      <c r="H816" s="1741" t="s">
        <v>1238</v>
      </c>
      <c r="I816" s="1742" t="s">
        <v>6838</v>
      </c>
      <c r="J816" s="1743" t="s">
        <v>2800</v>
      </c>
      <c r="K816" s="1744"/>
      <c r="L816" s="1745"/>
      <c r="M816" s="1745"/>
      <c r="N816" s="1746">
        <v>0</v>
      </c>
      <c r="O816" s="1747"/>
      <c r="P816" s="1720"/>
    </row>
    <row r="817" spans="1:16" ht="13.9" hidden="1" customHeight="1" outlineLevel="3" x14ac:dyDescent="0.2">
      <c r="A817" s="459">
        <v>0</v>
      </c>
      <c r="B817" s="459">
        <v>8</v>
      </c>
      <c r="C817" s="459">
        <v>8</v>
      </c>
      <c r="D817" s="460">
        <v>4</v>
      </c>
      <c r="E817" s="460">
        <v>1</v>
      </c>
      <c r="G817" s="1790" t="s">
        <v>1258</v>
      </c>
      <c r="H817" s="1749" t="s">
        <v>1239</v>
      </c>
      <c r="I817" s="1750" t="s">
        <v>6839</v>
      </c>
      <c r="J817" s="1751" t="s">
        <v>2800</v>
      </c>
      <c r="K817" s="1752" t="s">
        <v>1130</v>
      </c>
      <c r="L817" s="1753">
        <v>1</v>
      </c>
      <c r="M817" s="1753"/>
      <c r="N817" s="1754">
        <v>0</v>
      </c>
      <c r="O817" s="1755" t="s">
        <v>3351</v>
      </c>
      <c r="P817" s="1721" t="s">
        <v>9611</v>
      </c>
    </row>
    <row r="818" spans="1:16" ht="13.9" hidden="1" customHeight="1" outlineLevel="2" x14ac:dyDescent="0.2">
      <c r="A818" s="459">
        <v>0</v>
      </c>
      <c r="B818" s="459">
        <v>8</v>
      </c>
      <c r="C818" s="459">
        <v>8</v>
      </c>
      <c r="D818" s="460">
        <v>5</v>
      </c>
      <c r="E818" s="460">
        <v>0</v>
      </c>
      <c r="G818" s="1740"/>
      <c r="H818" s="1741" t="s">
        <v>1238</v>
      </c>
      <c r="I818" s="1742" t="s">
        <v>6840</v>
      </c>
      <c r="J818" s="1743" t="s">
        <v>2523</v>
      </c>
      <c r="K818" s="1744"/>
      <c r="L818" s="1745"/>
      <c r="M818" s="1745"/>
      <c r="N818" s="1746">
        <v>5717.5439999999999</v>
      </c>
      <c r="O818" s="1747"/>
      <c r="P818" s="1720"/>
    </row>
    <row r="819" spans="1:16" ht="13.9" hidden="1" customHeight="1" outlineLevel="3" x14ac:dyDescent="0.2">
      <c r="A819" s="459">
        <v>0</v>
      </c>
      <c r="B819" s="459">
        <v>8</v>
      </c>
      <c r="C819" s="459">
        <v>8</v>
      </c>
      <c r="D819" s="460">
        <v>5</v>
      </c>
      <c r="E819" s="460">
        <v>1</v>
      </c>
      <c r="G819" s="1790" t="s">
        <v>1258</v>
      </c>
      <c r="H819" s="1749" t="s">
        <v>1239</v>
      </c>
      <c r="I819" s="1750" t="s">
        <v>6841</v>
      </c>
      <c r="J819" s="1751" t="s">
        <v>2523</v>
      </c>
      <c r="K819" s="1752" t="s">
        <v>1130</v>
      </c>
      <c r="L819" s="1753">
        <v>1</v>
      </c>
      <c r="M819" s="1753">
        <v>5717.5439999999999</v>
      </c>
      <c r="N819" s="1754">
        <v>5717.5439999999999</v>
      </c>
      <c r="O819" s="1755" t="s">
        <v>2791</v>
      </c>
      <c r="P819" s="1721" t="s">
        <v>9611</v>
      </c>
    </row>
    <row r="820" spans="1:16" ht="13.9" hidden="1" customHeight="1" outlineLevel="2" x14ac:dyDescent="0.2">
      <c r="A820" s="459">
        <v>0</v>
      </c>
      <c r="B820" s="459">
        <v>8</v>
      </c>
      <c r="C820" s="459">
        <v>8</v>
      </c>
      <c r="D820" s="460">
        <v>6</v>
      </c>
      <c r="E820" s="460">
        <v>0</v>
      </c>
      <c r="G820" s="1740"/>
      <c r="H820" s="1741" t="s">
        <v>1238</v>
      </c>
      <c r="I820" s="1742" t="s">
        <v>6842</v>
      </c>
      <c r="J820" s="1743" t="s">
        <v>2522</v>
      </c>
      <c r="K820" s="1744"/>
      <c r="L820" s="1745"/>
      <c r="M820" s="1745"/>
      <c r="N820" s="1746">
        <v>0</v>
      </c>
      <c r="O820" s="1747"/>
      <c r="P820" s="1720"/>
    </row>
    <row r="821" spans="1:16" ht="13.9" hidden="1" customHeight="1" outlineLevel="3" x14ac:dyDescent="0.2">
      <c r="A821" s="459">
        <v>0</v>
      </c>
      <c r="B821" s="459">
        <v>8</v>
      </c>
      <c r="C821" s="459">
        <v>8</v>
      </c>
      <c r="D821" s="460">
        <v>6</v>
      </c>
      <c r="E821" s="460">
        <v>1</v>
      </c>
      <c r="G821" s="1790" t="s">
        <v>1258</v>
      </c>
      <c r="H821" s="1749" t="s">
        <v>1239</v>
      </c>
      <c r="I821" s="1750" t="s">
        <v>6843</v>
      </c>
      <c r="J821" s="1751" t="s">
        <v>2522</v>
      </c>
      <c r="K821" s="1752" t="s">
        <v>1130</v>
      </c>
      <c r="L821" s="1753">
        <v>1</v>
      </c>
      <c r="M821" s="1753"/>
      <c r="N821" s="1754">
        <v>0</v>
      </c>
      <c r="O821" s="1755" t="s">
        <v>2791</v>
      </c>
      <c r="P821" s="1721" t="s">
        <v>9611</v>
      </c>
    </row>
    <row r="822" spans="1:16" ht="13.9" hidden="1" customHeight="1" outlineLevel="2" x14ac:dyDescent="0.2">
      <c r="A822" s="459">
        <v>0</v>
      </c>
      <c r="B822" s="459">
        <v>8</v>
      </c>
      <c r="C822" s="459">
        <v>8</v>
      </c>
      <c r="D822" s="460">
        <v>7</v>
      </c>
      <c r="E822" s="460">
        <v>0</v>
      </c>
      <c r="G822" s="1740"/>
      <c r="H822" s="1741" t="s">
        <v>1238</v>
      </c>
      <c r="I822" s="1742" t="s">
        <v>6844</v>
      </c>
      <c r="J822" s="1743" t="s">
        <v>15</v>
      </c>
      <c r="K822" s="1744"/>
      <c r="L822" s="1745"/>
      <c r="M822" s="1745"/>
      <c r="N822" s="1746">
        <v>2496.35</v>
      </c>
      <c r="O822" s="1747"/>
      <c r="P822" s="1720"/>
    </row>
    <row r="823" spans="1:16" ht="13.9" hidden="1" customHeight="1" outlineLevel="3" x14ac:dyDescent="0.2">
      <c r="A823" s="459">
        <v>0</v>
      </c>
      <c r="B823" s="459">
        <v>8</v>
      </c>
      <c r="C823" s="459">
        <v>8</v>
      </c>
      <c r="D823" s="460">
        <v>7</v>
      </c>
      <c r="E823" s="460">
        <v>1</v>
      </c>
      <c r="G823" s="1790" t="s">
        <v>1258</v>
      </c>
      <c r="H823" s="1749" t="s">
        <v>1239</v>
      </c>
      <c r="I823" s="1750" t="s">
        <v>6845</v>
      </c>
      <c r="J823" s="1751" t="s">
        <v>1259</v>
      </c>
      <c r="K823" s="1752" t="s">
        <v>1130</v>
      </c>
      <c r="L823" s="1753">
        <v>1</v>
      </c>
      <c r="M823" s="1753">
        <v>2496.35</v>
      </c>
      <c r="N823" s="1754">
        <v>2496.35</v>
      </c>
      <c r="O823" s="1765" t="s">
        <v>2801</v>
      </c>
      <c r="P823" s="1721" t="s">
        <v>9611</v>
      </c>
    </row>
    <row r="824" spans="1:16" ht="13.9" hidden="1" customHeight="1" outlineLevel="1" x14ac:dyDescent="0.2">
      <c r="A824" s="459">
        <v>0</v>
      </c>
      <c r="B824" s="459">
        <v>8</v>
      </c>
      <c r="C824" s="459">
        <v>9</v>
      </c>
      <c r="D824" s="460">
        <v>0</v>
      </c>
      <c r="E824" s="460">
        <v>1</v>
      </c>
      <c r="G824" s="1733"/>
      <c r="H824" s="1734" t="s">
        <v>39</v>
      </c>
      <c r="I824" s="1735" t="s">
        <v>6846</v>
      </c>
      <c r="J824" s="1736" t="s">
        <v>3346</v>
      </c>
      <c r="K824" s="1737"/>
      <c r="L824" s="1738"/>
      <c r="M824" s="1738"/>
      <c r="N824" s="1739">
        <v>32959.947200000002</v>
      </c>
      <c r="O824" s="1722"/>
      <c r="P824" s="1725"/>
    </row>
    <row r="825" spans="1:16" ht="13.9" hidden="1" customHeight="1" outlineLevel="2" x14ac:dyDescent="0.2">
      <c r="A825" s="459">
        <v>0</v>
      </c>
      <c r="B825" s="459">
        <v>8</v>
      </c>
      <c r="C825" s="459">
        <v>9</v>
      </c>
      <c r="D825" s="460">
        <v>1</v>
      </c>
      <c r="E825" s="460">
        <v>0</v>
      </c>
      <c r="G825" s="1740"/>
      <c r="H825" s="1741" t="s">
        <v>1238</v>
      </c>
      <c r="I825" s="1742" t="s">
        <v>6847</v>
      </c>
      <c r="J825" s="1743" t="s">
        <v>2798</v>
      </c>
      <c r="K825" s="1744"/>
      <c r="L825" s="1745"/>
      <c r="M825" s="1745"/>
      <c r="N825" s="1746">
        <v>3346.25</v>
      </c>
      <c r="O825" s="1747"/>
      <c r="P825" s="1720"/>
    </row>
    <row r="826" spans="1:16" ht="13.9" hidden="1" customHeight="1" outlineLevel="3" x14ac:dyDescent="0.2">
      <c r="A826" s="459">
        <v>0</v>
      </c>
      <c r="B826" s="459">
        <v>8</v>
      </c>
      <c r="C826" s="459">
        <v>9</v>
      </c>
      <c r="D826" s="460">
        <v>1</v>
      </c>
      <c r="E826" s="460">
        <v>1</v>
      </c>
      <c r="G826" s="1790" t="s">
        <v>1258</v>
      </c>
      <c r="H826" s="1749" t="s">
        <v>1239</v>
      </c>
      <c r="I826" s="1750" t="s">
        <v>6848</v>
      </c>
      <c r="J826" s="1751" t="s">
        <v>2798</v>
      </c>
      <c r="K826" s="1752" t="s">
        <v>1130</v>
      </c>
      <c r="L826" s="1753">
        <v>1</v>
      </c>
      <c r="M826" s="1753">
        <v>3346.25</v>
      </c>
      <c r="N826" s="1754">
        <v>3346.25</v>
      </c>
      <c r="O826" s="1755" t="s">
        <v>2791</v>
      </c>
      <c r="P826" s="1721" t="s">
        <v>9611</v>
      </c>
    </row>
    <row r="827" spans="1:16" ht="13.9" hidden="1" customHeight="1" outlineLevel="2" x14ac:dyDescent="0.2">
      <c r="A827" s="459">
        <v>0</v>
      </c>
      <c r="B827" s="459">
        <v>8</v>
      </c>
      <c r="C827" s="459">
        <v>9</v>
      </c>
      <c r="D827" s="460">
        <v>2</v>
      </c>
      <c r="E827" s="460">
        <v>0</v>
      </c>
      <c r="G827" s="1740"/>
      <c r="H827" s="1741" t="s">
        <v>1238</v>
      </c>
      <c r="I827" s="1742" t="s">
        <v>6849</v>
      </c>
      <c r="J827" s="1743" t="s">
        <v>2799</v>
      </c>
      <c r="K827" s="1744"/>
      <c r="L827" s="1745"/>
      <c r="M827" s="1745"/>
      <c r="N827" s="1746">
        <v>600.45000000000005</v>
      </c>
      <c r="O827" s="1747"/>
      <c r="P827" s="1720"/>
    </row>
    <row r="828" spans="1:16" ht="13.9" hidden="1" customHeight="1" outlineLevel="3" x14ac:dyDescent="0.2">
      <c r="A828" s="459">
        <v>0</v>
      </c>
      <c r="B828" s="459">
        <v>8</v>
      </c>
      <c r="C828" s="459">
        <v>9</v>
      </c>
      <c r="D828" s="460">
        <v>2</v>
      </c>
      <c r="E828" s="460">
        <v>1</v>
      </c>
      <c r="G828" s="1790" t="s">
        <v>1258</v>
      </c>
      <c r="H828" s="1749" t="s">
        <v>1239</v>
      </c>
      <c r="I828" s="1750" t="s">
        <v>6850</v>
      </c>
      <c r="J828" s="1751" t="s">
        <v>2799</v>
      </c>
      <c r="K828" s="1752" t="s">
        <v>1130</v>
      </c>
      <c r="L828" s="1753">
        <v>1</v>
      </c>
      <c r="M828" s="1753">
        <v>600.45000000000005</v>
      </c>
      <c r="N828" s="1754">
        <v>600.45000000000005</v>
      </c>
      <c r="O828" s="1755" t="s">
        <v>2791</v>
      </c>
      <c r="P828" s="1721" t="s">
        <v>9611</v>
      </c>
    </row>
    <row r="829" spans="1:16" ht="13.9" hidden="1" customHeight="1" outlineLevel="2" x14ac:dyDescent="0.2">
      <c r="A829" s="459">
        <v>0</v>
      </c>
      <c r="B829" s="459">
        <v>8</v>
      </c>
      <c r="C829" s="459">
        <v>9</v>
      </c>
      <c r="D829" s="460">
        <v>3</v>
      </c>
      <c r="E829" s="460">
        <v>0</v>
      </c>
      <c r="G829" s="1740"/>
      <c r="H829" s="1741" t="s">
        <v>1238</v>
      </c>
      <c r="I829" s="1742" t="s">
        <v>6851</v>
      </c>
      <c r="J829" s="1743" t="s">
        <v>3353</v>
      </c>
      <c r="K829" s="1744"/>
      <c r="L829" s="1745"/>
      <c r="M829" s="1745"/>
      <c r="N829" s="1746">
        <v>24380.45</v>
      </c>
      <c r="O829" s="1747"/>
      <c r="P829" s="1720"/>
    </row>
    <row r="830" spans="1:16" ht="13.9" hidden="1" customHeight="1" outlineLevel="3" x14ac:dyDescent="0.2">
      <c r="A830" s="459">
        <v>0</v>
      </c>
      <c r="B830" s="459">
        <v>8</v>
      </c>
      <c r="C830" s="459">
        <v>9</v>
      </c>
      <c r="D830" s="460">
        <v>3</v>
      </c>
      <c r="E830" s="460">
        <v>1</v>
      </c>
      <c r="G830" s="1790" t="s">
        <v>1258</v>
      </c>
      <c r="H830" s="1749" t="s">
        <v>1239</v>
      </c>
      <c r="I830" s="1750" t="s">
        <v>6852</v>
      </c>
      <c r="J830" s="1751" t="s">
        <v>3353</v>
      </c>
      <c r="K830" s="1752" t="s">
        <v>1130</v>
      </c>
      <c r="L830" s="1753">
        <v>1</v>
      </c>
      <c r="M830" s="1753">
        <v>24380.45</v>
      </c>
      <c r="N830" s="1754">
        <v>24380.45</v>
      </c>
      <c r="O830" s="1755" t="s">
        <v>2791</v>
      </c>
      <c r="P830" s="1721" t="s">
        <v>9611</v>
      </c>
    </row>
    <row r="831" spans="1:16" ht="13.9" hidden="1" customHeight="1" outlineLevel="2" x14ac:dyDescent="0.2">
      <c r="A831" s="459">
        <v>0</v>
      </c>
      <c r="B831" s="459">
        <v>8</v>
      </c>
      <c r="C831" s="459">
        <v>9</v>
      </c>
      <c r="D831" s="460">
        <v>4</v>
      </c>
      <c r="E831" s="460">
        <v>0</v>
      </c>
      <c r="G831" s="1740"/>
      <c r="H831" s="1741" t="s">
        <v>1238</v>
      </c>
      <c r="I831" s="1742" t="s">
        <v>6853</v>
      </c>
      <c r="J831" s="1743" t="s">
        <v>2800</v>
      </c>
      <c r="K831" s="1744"/>
      <c r="L831" s="1745"/>
      <c r="M831" s="1745"/>
      <c r="N831" s="1746">
        <v>0</v>
      </c>
      <c r="O831" s="1747"/>
      <c r="P831" s="1720"/>
    </row>
    <row r="832" spans="1:16" ht="13.9" hidden="1" customHeight="1" outlineLevel="3" x14ac:dyDescent="0.2">
      <c r="A832" s="459">
        <v>0</v>
      </c>
      <c r="B832" s="459">
        <v>8</v>
      </c>
      <c r="C832" s="459">
        <v>9</v>
      </c>
      <c r="D832" s="460">
        <v>4</v>
      </c>
      <c r="E832" s="460">
        <v>1</v>
      </c>
      <c r="G832" s="1790" t="s">
        <v>1258</v>
      </c>
      <c r="H832" s="1749" t="s">
        <v>1239</v>
      </c>
      <c r="I832" s="1750" t="s">
        <v>6854</v>
      </c>
      <c r="J832" s="1751" t="s">
        <v>2800</v>
      </c>
      <c r="K832" s="1752" t="s">
        <v>1130</v>
      </c>
      <c r="L832" s="1753">
        <v>1</v>
      </c>
      <c r="M832" s="1753"/>
      <c r="N832" s="1754">
        <v>0</v>
      </c>
      <c r="O832" s="1755" t="s">
        <v>3351</v>
      </c>
      <c r="P832" s="1721" t="s">
        <v>9611</v>
      </c>
    </row>
    <row r="833" spans="1:16" ht="13.9" hidden="1" customHeight="1" outlineLevel="2" x14ac:dyDescent="0.2">
      <c r="A833" s="459">
        <v>0</v>
      </c>
      <c r="B833" s="459">
        <v>8</v>
      </c>
      <c r="C833" s="459">
        <v>9</v>
      </c>
      <c r="D833" s="460">
        <v>5</v>
      </c>
      <c r="E833" s="460">
        <v>0</v>
      </c>
      <c r="G833" s="1740"/>
      <c r="H833" s="1741" t="s">
        <v>1238</v>
      </c>
      <c r="I833" s="1742" t="s">
        <v>6855</v>
      </c>
      <c r="J833" s="1743" t="s">
        <v>2523</v>
      </c>
      <c r="K833" s="1744"/>
      <c r="L833" s="1745"/>
      <c r="M833" s="1745"/>
      <c r="N833" s="1746">
        <v>2905.1471999999999</v>
      </c>
      <c r="O833" s="1747"/>
      <c r="P833" s="1720"/>
    </row>
    <row r="834" spans="1:16" ht="13.9" hidden="1" customHeight="1" outlineLevel="3" x14ac:dyDescent="0.2">
      <c r="A834" s="459">
        <v>0</v>
      </c>
      <c r="B834" s="459">
        <v>8</v>
      </c>
      <c r="C834" s="459">
        <v>9</v>
      </c>
      <c r="D834" s="460">
        <v>5</v>
      </c>
      <c r="E834" s="460">
        <v>1</v>
      </c>
      <c r="G834" s="1790" t="s">
        <v>1258</v>
      </c>
      <c r="H834" s="1749" t="s">
        <v>1239</v>
      </c>
      <c r="I834" s="1750" t="s">
        <v>6856</v>
      </c>
      <c r="J834" s="1751" t="s">
        <v>2523</v>
      </c>
      <c r="K834" s="1752" t="s">
        <v>1130</v>
      </c>
      <c r="L834" s="1753">
        <v>1</v>
      </c>
      <c r="M834" s="1753">
        <v>2905.1472000000003</v>
      </c>
      <c r="N834" s="1754">
        <v>2905.1471999999999</v>
      </c>
      <c r="O834" s="1755" t="s">
        <v>2791</v>
      </c>
      <c r="P834" s="1721" t="s">
        <v>9611</v>
      </c>
    </row>
    <row r="835" spans="1:16" ht="13.9" hidden="1" customHeight="1" outlineLevel="2" x14ac:dyDescent="0.2">
      <c r="A835" s="459">
        <v>0</v>
      </c>
      <c r="B835" s="459">
        <v>8</v>
      </c>
      <c r="C835" s="459">
        <v>9</v>
      </c>
      <c r="D835" s="460">
        <v>6</v>
      </c>
      <c r="E835" s="460">
        <v>0</v>
      </c>
      <c r="G835" s="1740"/>
      <c r="H835" s="1741" t="s">
        <v>1238</v>
      </c>
      <c r="I835" s="1742" t="s">
        <v>6857</v>
      </c>
      <c r="J835" s="1743" t="s">
        <v>2522</v>
      </c>
      <c r="K835" s="1744"/>
      <c r="L835" s="1745"/>
      <c r="M835" s="1745"/>
      <c r="N835" s="1746">
        <v>0</v>
      </c>
      <c r="O835" s="1747"/>
      <c r="P835" s="1720"/>
    </row>
    <row r="836" spans="1:16" ht="13.9" hidden="1" customHeight="1" outlineLevel="3" x14ac:dyDescent="0.2">
      <c r="A836" s="459">
        <v>0</v>
      </c>
      <c r="B836" s="459">
        <v>8</v>
      </c>
      <c r="C836" s="459">
        <v>9</v>
      </c>
      <c r="D836" s="460">
        <v>6</v>
      </c>
      <c r="E836" s="460">
        <v>1</v>
      </c>
      <c r="G836" s="1790" t="s">
        <v>1258</v>
      </c>
      <c r="H836" s="1749" t="s">
        <v>1239</v>
      </c>
      <c r="I836" s="1750" t="s">
        <v>6858</v>
      </c>
      <c r="J836" s="1751" t="s">
        <v>2522</v>
      </c>
      <c r="K836" s="1752" t="s">
        <v>1130</v>
      </c>
      <c r="L836" s="1753">
        <v>1</v>
      </c>
      <c r="M836" s="1753"/>
      <c r="N836" s="1754">
        <v>0</v>
      </c>
      <c r="O836" s="1755" t="s">
        <v>2791</v>
      </c>
      <c r="P836" s="1721" t="s">
        <v>9611</v>
      </c>
    </row>
    <row r="837" spans="1:16" ht="13.9" hidden="1" customHeight="1" outlineLevel="2" x14ac:dyDescent="0.2">
      <c r="A837" s="459">
        <v>0</v>
      </c>
      <c r="B837" s="459">
        <v>8</v>
      </c>
      <c r="C837" s="459">
        <v>9</v>
      </c>
      <c r="D837" s="460">
        <v>7</v>
      </c>
      <c r="E837" s="460">
        <v>0</v>
      </c>
      <c r="G837" s="1740"/>
      <c r="H837" s="1741" t="s">
        <v>1238</v>
      </c>
      <c r="I837" s="1742" t="s">
        <v>6859</v>
      </c>
      <c r="J837" s="1743" t="s">
        <v>15</v>
      </c>
      <c r="K837" s="1744"/>
      <c r="L837" s="1745"/>
      <c r="M837" s="1745"/>
      <c r="N837" s="1746">
        <v>1727.65</v>
      </c>
      <c r="O837" s="1747"/>
      <c r="P837" s="1720"/>
    </row>
    <row r="838" spans="1:16" ht="13.9" hidden="1" customHeight="1" outlineLevel="3" x14ac:dyDescent="0.2">
      <c r="A838" s="459">
        <v>0</v>
      </c>
      <c r="B838" s="459">
        <v>8</v>
      </c>
      <c r="C838" s="459">
        <v>9</v>
      </c>
      <c r="D838" s="460">
        <v>7</v>
      </c>
      <c r="E838" s="460">
        <v>1</v>
      </c>
      <c r="G838" s="1790" t="s">
        <v>1258</v>
      </c>
      <c r="H838" s="1749" t="s">
        <v>1239</v>
      </c>
      <c r="I838" s="1750" t="s">
        <v>6860</v>
      </c>
      <c r="J838" s="1751" t="s">
        <v>1259</v>
      </c>
      <c r="K838" s="1752" t="s">
        <v>1130</v>
      </c>
      <c r="L838" s="1753">
        <v>1</v>
      </c>
      <c r="M838" s="1753">
        <v>1727.6499999999999</v>
      </c>
      <c r="N838" s="1754">
        <v>1727.65</v>
      </c>
      <c r="O838" s="1765" t="s">
        <v>2801</v>
      </c>
      <c r="P838" s="1721" t="s">
        <v>9611</v>
      </c>
    </row>
    <row r="839" spans="1:16" ht="13.9" hidden="1" customHeight="1" outlineLevel="1" x14ac:dyDescent="0.2">
      <c r="A839" s="459">
        <v>0</v>
      </c>
      <c r="B839" s="459">
        <v>8</v>
      </c>
      <c r="C839" s="459">
        <v>10</v>
      </c>
      <c r="D839" s="460">
        <v>0</v>
      </c>
      <c r="E839" s="460">
        <v>1</v>
      </c>
      <c r="G839" s="1733"/>
      <c r="H839" s="1734" t="s">
        <v>39</v>
      </c>
      <c r="I839" s="1735" t="s">
        <v>6861</v>
      </c>
      <c r="J839" s="1736" t="s">
        <v>3345</v>
      </c>
      <c r="K839" s="1737"/>
      <c r="L839" s="1738"/>
      <c r="M839" s="1738"/>
      <c r="N839" s="1739">
        <v>291075.56679999997</v>
      </c>
      <c r="O839" s="1722"/>
      <c r="P839" s="1725"/>
    </row>
    <row r="840" spans="1:16" ht="13.9" hidden="1" customHeight="1" outlineLevel="2" x14ac:dyDescent="0.2">
      <c r="A840" s="459">
        <v>0</v>
      </c>
      <c r="B840" s="459">
        <v>8</v>
      </c>
      <c r="C840" s="459">
        <v>10</v>
      </c>
      <c r="D840" s="460">
        <v>1</v>
      </c>
      <c r="E840" s="460">
        <v>0</v>
      </c>
      <c r="G840" s="1740"/>
      <c r="H840" s="1741" t="s">
        <v>1238</v>
      </c>
      <c r="I840" s="1742" t="s">
        <v>6862</v>
      </c>
      <c r="J840" s="1743" t="s">
        <v>2798</v>
      </c>
      <c r="K840" s="1744"/>
      <c r="L840" s="1745"/>
      <c r="M840" s="1745"/>
      <c r="N840" s="1746">
        <v>27689.795999999998</v>
      </c>
      <c r="O840" s="1747"/>
      <c r="P840" s="1720"/>
    </row>
    <row r="841" spans="1:16" ht="13.9" hidden="1" customHeight="1" outlineLevel="3" x14ac:dyDescent="0.2">
      <c r="A841" s="459">
        <v>0</v>
      </c>
      <c r="B841" s="459">
        <v>8</v>
      </c>
      <c r="C841" s="459">
        <v>10</v>
      </c>
      <c r="D841" s="460">
        <v>1</v>
      </c>
      <c r="E841" s="460">
        <v>1</v>
      </c>
      <c r="G841" s="1790" t="s">
        <v>1258</v>
      </c>
      <c r="H841" s="1749" t="s">
        <v>1239</v>
      </c>
      <c r="I841" s="1750" t="s">
        <v>6863</v>
      </c>
      <c r="J841" s="1751" t="s">
        <v>2798</v>
      </c>
      <c r="K841" s="1752" t="s">
        <v>1130</v>
      </c>
      <c r="L841" s="1753">
        <v>1</v>
      </c>
      <c r="M841" s="1753">
        <v>27689.796000000002</v>
      </c>
      <c r="N841" s="1754">
        <v>27689.795999999998</v>
      </c>
      <c r="O841" s="1755" t="s">
        <v>2791</v>
      </c>
      <c r="P841" s="1721" t="s">
        <v>9611</v>
      </c>
    </row>
    <row r="842" spans="1:16" ht="13.9" hidden="1" customHeight="1" outlineLevel="2" x14ac:dyDescent="0.2">
      <c r="A842" s="459">
        <v>0</v>
      </c>
      <c r="B842" s="459">
        <v>8</v>
      </c>
      <c r="C842" s="459">
        <v>10</v>
      </c>
      <c r="D842" s="460">
        <v>2</v>
      </c>
      <c r="E842" s="460">
        <v>0</v>
      </c>
      <c r="G842" s="1740"/>
      <c r="H842" s="1741" t="s">
        <v>1238</v>
      </c>
      <c r="I842" s="1742" t="s">
        <v>6864</v>
      </c>
      <c r="J842" s="1743" t="s">
        <v>2799</v>
      </c>
      <c r="K842" s="1744"/>
      <c r="L842" s="1745"/>
      <c r="M842" s="1745"/>
      <c r="N842" s="1746">
        <v>6153.6</v>
      </c>
      <c r="O842" s="1747"/>
      <c r="P842" s="1720"/>
    </row>
    <row r="843" spans="1:16" ht="13.9" hidden="1" customHeight="1" outlineLevel="3" x14ac:dyDescent="0.2">
      <c r="A843" s="459">
        <v>0</v>
      </c>
      <c r="B843" s="459">
        <v>8</v>
      </c>
      <c r="C843" s="459">
        <v>10</v>
      </c>
      <c r="D843" s="460">
        <v>2</v>
      </c>
      <c r="E843" s="460">
        <v>1</v>
      </c>
      <c r="G843" s="1790" t="s">
        <v>1258</v>
      </c>
      <c r="H843" s="1749" t="s">
        <v>1239</v>
      </c>
      <c r="I843" s="1750" t="s">
        <v>6865</v>
      </c>
      <c r="J843" s="1751" t="s">
        <v>2799</v>
      </c>
      <c r="K843" s="1752" t="s">
        <v>1130</v>
      </c>
      <c r="L843" s="1753">
        <v>1</v>
      </c>
      <c r="M843" s="1753">
        <v>6153.6</v>
      </c>
      <c r="N843" s="1754">
        <v>6153.6</v>
      </c>
      <c r="O843" s="1755" t="s">
        <v>2791</v>
      </c>
      <c r="P843" s="1721" t="s">
        <v>9611</v>
      </c>
    </row>
    <row r="844" spans="1:16" ht="13.9" hidden="1" customHeight="1" outlineLevel="2" x14ac:dyDescent="0.2">
      <c r="A844" s="459">
        <v>0</v>
      </c>
      <c r="B844" s="459">
        <v>8</v>
      </c>
      <c r="C844" s="459">
        <v>10</v>
      </c>
      <c r="D844" s="460">
        <v>3</v>
      </c>
      <c r="E844" s="460">
        <v>0</v>
      </c>
      <c r="G844" s="1740"/>
      <c r="H844" s="1741" t="s">
        <v>1238</v>
      </c>
      <c r="I844" s="1742" t="s">
        <v>6866</v>
      </c>
      <c r="J844" s="1743" t="s">
        <v>3353</v>
      </c>
      <c r="K844" s="1744"/>
      <c r="L844" s="1745"/>
      <c r="M844" s="1745"/>
      <c r="N844" s="1746">
        <v>219912.65</v>
      </c>
      <c r="O844" s="1747"/>
      <c r="P844" s="1720"/>
    </row>
    <row r="845" spans="1:16" ht="13.9" hidden="1" customHeight="1" outlineLevel="3" x14ac:dyDescent="0.2">
      <c r="A845" s="459">
        <v>0</v>
      </c>
      <c r="B845" s="459">
        <v>8</v>
      </c>
      <c r="C845" s="459">
        <v>10</v>
      </c>
      <c r="D845" s="460">
        <v>3</v>
      </c>
      <c r="E845" s="460">
        <v>1</v>
      </c>
      <c r="G845" s="1790" t="s">
        <v>1258</v>
      </c>
      <c r="H845" s="1749" t="s">
        <v>1239</v>
      </c>
      <c r="I845" s="1750" t="s">
        <v>6867</v>
      </c>
      <c r="J845" s="1751" t="s">
        <v>3353</v>
      </c>
      <c r="K845" s="1752" t="s">
        <v>1130</v>
      </c>
      <c r="L845" s="1753">
        <v>1</v>
      </c>
      <c r="M845" s="1753">
        <v>219912.65</v>
      </c>
      <c r="N845" s="1754">
        <v>219912.65</v>
      </c>
      <c r="O845" s="1755" t="s">
        <v>2791</v>
      </c>
      <c r="P845" s="1721" t="s">
        <v>9611</v>
      </c>
    </row>
    <row r="846" spans="1:16" ht="13.9" hidden="1" customHeight="1" outlineLevel="2" x14ac:dyDescent="0.2">
      <c r="A846" s="459">
        <v>0</v>
      </c>
      <c r="B846" s="459">
        <v>8</v>
      </c>
      <c r="C846" s="459">
        <v>10</v>
      </c>
      <c r="D846" s="460">
        <v>4</v>
      </c>
      <c r="E846" s="460">
        <v>0</v>
      </c>
      <c r="G846" s="1740"/>
      <c r="H846" s="1741" t="s">
        <v>1238</v>
      </c>
      <c r="I846" s="1742" t="s">
        <v>6868</v>
      </c>
      <c r="J846" s="1743" t="s">
        <v>2800</v>
      </c>
      <c r="K846" s="1744"/>
      <c r="L846" s="1745"/>
      <c r="M846" s="1745"/>
      <c r="N846" s="1746">
        <v>0</v>
      </c>
      <c r="O846" s="1747"/>
      <c r="P846" s="1720"/>
    </row>
    <row r="847" spans="1:16" ht="13.9" hidden="1" customHeight="1" outlineLevel="3" x14ac:dyDescent="0.2">
      <c r="A847" s="459">
        <v>0</v>
      </c>
      <c r="B847" s="459">
        <v>8</v>
      </c>
      <c r="C847" s="459">
        <v>10</v>
      </c>
      <c r="D847" s="460">
        <v>4</v>
      </c>
      <c r="E847" s="460">
        <v>1</v>
      </c>
      <c r="G847" s="1790" t="s">
        <v>1258</v>
      </c>
      <c r="H847" s="1749" t="s">
        <v>1239</v>
      </c>
      <c r="I847" s="1750" t="s">
        <v>6869</v>
      </c>
      <c r="J847" s="1751" t="s">
        <v>2800</v>
      </c>
      <c r="K847" s="1752" t="s">
        <v>1130</v>
      </c>
      <c r="L847" s="1753">
        <v>1</v>
      </c>
      <c r="M847" s="1753"/>
      <c r="N847" s="1754">
        <v>0</v>
      </c>
      <c r="O847" s="1755" t="s">
        <v>3351</v>
      </c>
      <c r="P847" s="1721" t="s">
        <v>9611</v>
      </c>
    </row>
    <row r="848" spans="1:16" ht="13.9" hidden="1" customHeight="1" outlineLevel="2" x14ac:dyDescent="0.2">
      <c r="A848" s="459">
        <v>0</v>
      </c>
      <c r="B848" s="459">
        <v>8</v>
      </c>
      <c r="C848" s="459">
        <v>10</v>
      </c>
      <c r="D848" s="460">
        <v>5</v>
      </c>
      <c r="E848" s="460">
        <v>0</v>
      </c>
      <c r="G848" s="1740"/>
      <c r="H848" s="1741" t="s">
        <v>1238</v>
      </c>
      <c r="I848" s="1742" t="s">
        <v>6870</v>
      </c>
      <c r="J848" s="1743" t="s">
        <v>2523</v>
      </c>
      <c r="K848" s="1744"/>
      <c r="L848" s="1745"/>
      <c r="M848" s="1745"/>
      <c r="N848" s="1746">
        <v>25183.120800000001</v>
      </c>
      <c r="O848" s="1747"/>
      <c r="P848" s="1720"/>
    </row>
    <row r="849" spans="1:16" ht="13.9" hidden="1" customHeight="1" outlineLevel="3" x14ac:dyDescent="0.2">
      <c r="A849" s="459">
        <v>0</v>
      </c>
      <c r="B849" s="459">
        <v>8</v>
      </c>
      <c r="C849" s="459">
        <v>10</v>
      </c>
      <c r="D849" s="460">
        <v>5</v>
      </c>
      <c r="E849" s="460">
        <v>1</v>
      </c>
      <c r="G849" s="1790" t="s">
        <v>1258</v>
      </c>
      <c r="H849" s="1749" t="s">
        <v>1239</v>
      </c>
      <c r="I849" s="1750" t="s">
        <v>6871</v>
      </c>
      <c r="J849" s="1751" t="s">
        <v>2523</v>
      </c>
      <c r="K849" s="1752" t="s">
        <v>1130</v>
      </c>
      <c r="L849" s="1753">
        <v>1</v>
      </c>
      <c r="M849" s="1753">
        <v>25183.120800000001</v>
      </c>
      <c r="N849" s="1754">
        <v>25183.120800000001</v>
      </c>
      <c r="O849" s="1755" t="s">
        <v>2791</v>
      </c>
      <c r="P849" s="1721" t="s">
        <v>9611</v>
      </c>
    </row>
    <row r="850" spans="1:16" ht="13.9" hidden="1" customHeight="1" outlineLevel="2" x14ac:dyDescent="0.2">
      <c r="A850" s="459">
        <v>0</v>
      </c>
      <c r="B850" s="459">
        <v>8</v>
      </c>
      <c r="C850" s="459">
        <v>10</v>
      </c>
      <c r="D850" s="460">
        <v>6</v>
      </c>
      <c r="E850" s="460">
        <v>0</v>
      </c>
      <c r="G850" s="1740"/>
      <c r="H850" s="1741" t="s">
        <v>1238</v>
      </c>
      <c r="I850" s="1742" t="s">
        <v>6872</v>
      </c>
      <c r="J850" s="1743" t="s">
        <v>2522</v>
      </c>
      <c r="K850" s="1744"/>
      <c r="L850" s="1745"/>
      <c r="M850" s="1745"/>
      <c r="N850" s="1746">
        <v>0</v>
      </c>
      <c r="O850" s="1747"/>
      <c r="P850" s="1720"/>
    </row>
    <row r="851" spans="1:16" ht="13.9" hidden="1" customHeight="1" outlineLevel="3" x14ac:dyDescent="0.2">
      <c r="A851" s="459">
        <v>0</v>
      </c>
      <c r="B851" s="459">
        <v>8</v>
      </c>
      <c r="C851" s="459">
        <v>10</v>
      </c>
      <c r="D851" s="460">
        <v>6</v>
      </c>
      <c r="E851" s="460">
        <v>1</v>
      </c>
      <c r="G851" s="1790" t="s">
        <v>1258</v>
      </c>
      <c r="H851" s="1749" t="s">
        <v>1239</v>
      </c>
      <c r="I851" s="1750" t="s">
        <v>6873</v>
      </c>
      <c r="J851" s="1751" t="s">
        <v>2522</v>
      </c>
      <c r="K851" s="1752" t="s">
        <v>1130</v>
      </c>
      <c r="L851" s="1753">
        <v>1</v>
      </c>
      <c r="M851" s="1753"/>
      <c r="N851" s="1754">
        <v>0</v>
      </c>
      <c r="O851" s="1755" t="s">
        <v>2791</v>
      </c>
      <c r="P851" s="1721" t="s">
        <v>9611</v>
      </c>
    </row>
    <row r="852" spans="1:16" ht="13.9" hidden="1" customHeight="1" outlineLevel="2" x14ac:dyDescent="0.2">
      <c r="A852" s="459">
        <v>0</v>
      </c>
      <c r="B852" s="459">
        <v>8</v>
      </c>
      <c r="C852" s="459">
        <v>10</v>
      </c>
      <c r="D852" s="460">
        <v>7</v>
      </c>
      <c r="E852" s="460">
        <v>0</v>
      </c>
      <c r="G852" s="1740"/>
      <c r="H852" s="1741" t="s">
        <v>1238</v>
      </c>
      <c r="I852" s="1742" t="s">
        <v>6874</v>
      </c>
      <c r="J852" s="1743" t="s">
        <v>15</v>
      </c>
      <c r="K852" s="1744"/>
      <c r="L852" s="1745"/>
      <c r="M852" s="1745"/>
      <c r="N852" s="1746">
        <v>12136.4</v>
      </c>
      <c r="O852" s="1747"/>
      <c r="P852" s="1720"/>
    </row>
    <row r="853" spans="1:16" ht="13.9" hidden="1" customHeight="1" outlineLevel="3" x14ac:dyDescent="0.2">
      <c r="A853" s="459">
        <v>0</v>
      </c>
      <c r="B853" s="459">
        <v>8</v>
      </c>
      <c r="C853" s="459">
        <v>10</v>
      </c>
      <c r="D853" s="460">
        <v>7</v>
      </c>
      <c r="E853" s="460">
        <v>1</v>
      </c>
      <c r="G853" s="1790" t="s">
        <v>1258</v>
      </c>
      <c r="H853" s="1749" t="s">
        <v>1239</v>
      </c>
      <c r="I853" s="1750" t="s">
        <v>6875</v>
      </c>
      <c r="J853" s="1751" t="s">
        <v>1259</v>
      </c>
      <c r="K853" s="1752" t="s">
        <v>1130</v>
      </c>
      <c r="L853" s="1753">
        <v>1</v>
      </c>
      <c r="M853" s="1753">
        <v>12136.400000000001</v>
      </c>
      <c r="N853" s="1754">
        <v>12136.4</v>
      </c>
      <c r="O853" s="1765" t="s">
        <v>2801</v>
      </c>
      <c r="P853" s="1721" t="s">
        <v>9611</v>
      </c>
    </row>
    <row r="854" spans="1:16" ht="13.9" hidden="1" customHeight="1" outlineLevel="1" x14ac:dyDescent="0.2">
      <c r="A854" s="459">
        <v>0</v>
      </c>
      <c r="B854" s="459">
        <v>8</v>
      </c>
      <c r="C854" s="459">
        <v>11</v>
      </c>
      <c r="D854" s="460">
        <v>0</v>
      </c>
      <c r="E854" s="460">
        <v>1</v>
      </c>
      <c r="G854" s="1733"/>
      <c r="H854" s="1734" t="s">
        <v>39</v>
      </c>
      <c r="I854" s="1735" t="s">
        <v>6876</v>
      </c>
      <c r="J854" s="1736" t="s">
        <v>3347</v>
      </c>
      <c r="K854" s="1737"/>
      <c r="L854" s="1738"/>
      <c r="M854" s="1738"/>
      <c r="N854" s="1739">
        <v>705113.91929999995</v>
      </c>
      <c r="O854" s="1722"/>
      <c r="P854" s="1725"/>
    </row>
    <row r="855" spans="1:16" ht="13.9" hidden="1" customHeight="1" outlineLevel="2" x14ac:dyDescent="0.2">
      <c r="A855" s="459">
        <v>0</v>
      </c>
      <c r="B855" s="459">
        <v>8</v>
      </c>
      <c r="C855" s="459">
        <v>11</v>
      </c>
      <c r="D855" s="460">
        <v>1</v>
      </c>
      <c r="E855" s="460">
        <v>0</v>
      </c>
      <c r="G855" s="1740"/>
      <c r="H855" s="1741" t="s">
        <v>1238</v>
      </c>
      <c r="I855" s="1742" t="s">
        <v>6877</v>
      </c>
      <c r="J855" s="1743" t="s">
        <v>2798</v>
      </c>
      <c r="K855" s="1744"/>
      <c r="L855" s="1745"/>
      <c r="M855" s="1745"/>
      <c r="N855" s="1746">
        <v>62099.82</v>
      </c>
      <c r="O855" s="1747"/>
      <c r="P855" s="1720"/>
    </row>
    <row r="856" spans="1:16" ht="13.9" hidden="1" customHeight="1" outlineLevel="3" x14ac:dyDescent="0.2">
      <c r="A856" s="459">
        <v>0</v>
      </c>
      <c r="B856" s="459">
        <v>8</v>
      </c>
      <c r="C856" s="459">
        <v>11</v>
      </c>
      <c r="D856" s="460">
        <v>1</v>
      </c>
      <c r="E856" s="460">
        <v>1</v>
      </c>
      <c r="G856" s="1790" t="s">
        <v>1258</v>
      </c>
      <c r="H856" s="1749" t="s">
        <v>1239</v>
      </c>
      <c r="I856" s="1750" t="s">
        <v>6878</v>
      </c>
      <c r="J856" s="1751" t="s">
        <v>2798</v>
      </c>
      <c r="K856" s="1752" t="s">
        <v>1130</v>
      </c>
      <c r="L856" s="1753">
        <v>1</v>
      </c>
      <c r="M856" s="1753">
        <v>62099.82</v>
      </c>
      <c r="N856" s="1754">
        <v>62099.82</v>
      </c>
      <c r="O856" s="1755" t="s">
        <v>2791</v>
      </c>
      <c r="P856" s="1721" t="s">
        <v>9611</v>
      </c>
    </row>
    <row r="857" spans="1:16" ht="13.9" hidden="1" customHeight="1" outlineLevel="2" x14ac:dyDescent="0.2">
      <c r="A857" s="459">
        <v>0</v>
      </c>
      <c r="B857" s="459">
        <v>8</v>
      </c>
      <c r="C857" s="459">
        <v>11</v>
      </c>
      <c r="D857" s="460">
        <v>2</v>
      </c>
      <c r="E857" s="460">
        <v>0</v>
      </c>
      <c r="G857" s="1740"/>
      <c r="H857" s="1741" t="s">
        <v>1238</v>
      </c>
      <c r="I857" s="1742" t="s">
        <v>6879</v>
      </c>
      <c r="J857" s="1743" t="s">
        <v>2799</v>
      </c>
      <c r="K857" s="1744"/>
      <c r="L857" s="1745"/>
      <c r="M857" s="1745"/>
      <c r="N857" s="1746">
        <v>14952.7</v>
      </c>
      <c r="O857" s="1747"/>
      <c r="P857" s="1720"/>
    </row>
    <row r="858" spans="1:16" ht="13.9" hidden="1" customHeight="1" outlineLevel="3" x14ac:dyDescent="0.2">
      <c r="A858" s="459">
        <v>0</v>
      </c>
      <c r="B858" s="459">
        <v>8</v>
      </c>
      <c r="C858" s="459">
        <v>11</v>
      </c>
      <c r="D858" s="460">
        <v>2</v>
      </c>
      <c r="E858" s="460">
        <v>1</v>
      </c>
      <c r="G858" s="1790" t="s">
        <v>1258</v>
      </c>
      <c r="H858" s="1749" t="s">
        <v>1239</v>
      </c>
      <c r="I858" s="1750" t="s">
        <v>6880</v>
      </c>
      <c r="J858" s="1751" t="s">
        <v>2799</v>
      </c>
      <c r="K858" s="1752" t="s">
        <v>1130</v>
      </c>
      <c r="L858" s="1753">
        <v>1</v>
      </c>
      <c r="M858" s="1753">
        <v>14952.7</v>
      </c>
      <c r="N858" s="1754">
        <v>14952.7</v>
      </c>
      <c r="O858" s="1755" t="s">
        <v>2791</v>
      </c>
      <c r="P858" s="1721" t="s">
        <v>9611</v>
      </c>
    </row>
    <row r="859" spans="1:16" ht="13.9" hidden="1" customHeight="1" outlineLevel="2" x14ac:dyDescent="0.2">
      <c r="A859" s="459">
        <v>0</v>
      </c>
      <c r="B859" s="459">
        <v>8</v>
      </c>
      <c r="C859" s="459">
        <v>11</v>
      </c>
      <c r="D859" s="460">
        <v>3</v>
      </c>
      <c r="E859" s="460">
        <v>0</v>
      </c>
      <c r="G859" s="1740"/>
      <c r="H859" s="1741" t="s">
        <v>1238</v>
      </c>
      <c r="I859" s="1742" t="s">
        <v>6881</v>
      </c>
      <c r="J859" s="1743" t="s">
        <v>3353</v>
      </c>
      <c r="K859" s="1744"/>
      <c r="L859" s="1745"/>
      <c r="M859" s="1745"/>
      <c r="N859" s="1746">
        <v>511713.1</v>
      </c>
      <c r="O859" s="1747"/>
      <c r="P859" s="1720"/>
    </row>
    <row r="860" spans="1:16" ht="13.9" hidden="1" customHeight="1" outlineLevel="3" x14ac:dyDescent="0.2">
      <c r="A860" s="459">
        <v>0</v>
      </c>
      <c r="B860" s="459">
        <v>8</v>
      </c>
      <c r="C860" s="459">
        <v>11</v>
      </c>
      <c r="D860" s="460">
        <v>3</v>
      </c>
      <c r="E860" s="460">
        <v>1</v>
      </c>
      <c r="G860" s="1790" t="s">
        <v>1258</v>
      </c>
      <c r="H860" s="1749" t="s">
        <v>1239</v>
      </c>
      <c r="I860" s="1750" t="s">
        <v>6882</v>
      </c>
      <c r="J860" s="1751" t="s">
        <v>3353</v>
      </c>
      <c r="K860" s="1752" t="s">
        <v>1130</v>
      </c>
      <c r="L860" s="1753">
        <v>1</v>
      </c>
      <c r="M860" s="1753">
        <v>511713.10000000003</v>
      </c>
      <c r="N860" s="1754">
        <v>511713.1</v>
      </c>
      <c r="O860" s="1755" t="s">
        <v>2791</v>
      </c>
      <c r="P860" s="1721" t="s">
        <v>9611</v>
      </c>
    </row>
    <row r="861" spans="1:16" ht="13.9" hidden="1" customHeight="1" outlineLevel="2" x14ac:dyDescent="0.2">
      <c r="A861" s="459">
        <v>0</v>
      </c>
      <c r="B861" s="459">
        <v>8</v>
      </c>
      <c r="C861" s="459">
        <v>11</v>
      </c>
      <c r="D861" s="460">
        <v>4</v>
      </c>
      <c r="E861" s="460">
        <v>0</v>
      </c>
      <c r="G861" s="1740"/>
      <c r="H861" s="1741" t="s">
        <v>1238</v>
      </c>
      <c r="I861" s="1742" t="s">
        <v>6883</v>
      </c>
      <c r="J861" s="1743" t="s">
        <v>2800</v>
      </c>
      <c r="K861" s="1744"/>
      <c r="L861" s="1745"/>
      <c r="M861" s="1745"/>
      <c r="N861" s="1746">
        <v>0</v>
      </c>
      <c r="O861" s="1747"/>
      <c r="P861" s="1720"/>
    </row>
    <row r="862" spans="1:16" ht="13.9" hidden="1" customHeight="1" outlineLevel="3" x14ac:dyDescent="0.2">
      <c r="A862" s="459">
        <v>0</v>
      </c>
      <c r="B862" s="459">
        <v>8</v>
      </c>
      <c r="C862" s="459">
        <v>11</v>
      </c>
      <c r="D862" s="460">
        <v>4</v>
      </c>
      <c r="E862" s="460">
        <v>1</v>
      </c>
      <c r="G862" s="1790" t="s">
        <v>1258</v>
      </c>
      <c r="H862" s="1749" t="s">
        <v>1239</v>
      </c>
      <c r="I862" s="1750" t="s">
        <v>6884</v>
      </c>
      <c r="J862" s="1751" t="s">
        <v>2800</v>
      </c>
      <c r="K862" s="1752" t="s">
        <v>1130</v>
      </c>
      <c r="L862" s="1753">
        <v>1</v>
      </c>
      <c r="M862" s="1753"/>
      <c r="N862" s="1754">
        <v>0</v>
      </c>
      <c r="O862" s="1755" t="s">
        <v>3351</v>
      </c>
      <c r="P862" s="1721" t="s">
        <v>9611</v>
      </c>
    </row>
    <row r="863" spans="1:16" ht="13.9" hidden="1" customHeight="1" outlineLevel="2" x14ac:dyDescent="0.2">
      <c r="A863" s="459">
        <v>0</v>
      </c>
      <c r="B863" s="459">
        <v>8</v>
      </c>
      <c r="C863" s="459">
        <v>11</v>
      </c>
      <c r="D863" s="460">
        <v>5</v>
      </c>
      <c r="E863" s="460">
        <v>0</v>
      </c>
      <c r="G863" s="1740"/>
      <c r="H863" s="1741" t="s">
        <v>1238</v>
      </c>
      <c r="I863" s="1742" t="s">
        <v>6885</v>
      </c>
      <c r="J863" s="1743" t="s">
        <v>2523</v>
      </c>
      <c r="K863" s="1744"/>
      <c r="L863" s="1745"/>
      <c r="M863" s="1745"/>
      <c r="N863" s="1746">
        <v>84473.449299999993</v>
      </c>
      <c r="O863" s="1747"/>
      <c r="P863" s="1720"/>
    </row>
    <row r="864" spans="1:16" ht="13.9" hidden="1" customHeight="1" outlineLevel="3" x14ac:dyDescent="0.2">
      <c r="A864" s="459">
        <v>0</v>
      </c>
      <c r="B864" s="459">
        <v>8</v>
      </c>
      <c r="C864" s="459">
        <v>11</v>
      </c>
      <c r="D864" s="460">
        <v>5</v>
      </c>
      <c r="E864" s="460">
        <v>1</v>
      </c>
      <c r="G864" s="1790" t="s">
        <v>1258</v>
      </c>
      <c r="H864" s="1749" t="s">
        <v>1239</v>
      </c>
      <c r="I864" s="1750" t="s">
        <v>6886</v>
      </c>
      <c r="J864" s="1751" t="s">
        <v>2523</v>
      </c>
      <c r="K864" s="1752" t="s">
        <v>1130</v>
      </c>
      <c r="L864" s="1753">
        <v>1</v>
      </c>
      <c r="M864" s="1753">
        <v>84473.449300000007</v>
      </c>
      <c r="N864" s="1754">
        <v>84473.449299999993</v>
      </c>
      <c r="O864" s="1755" t="s">
        <v>2791</v>
      </c>
      <c r="P864" s="1721" t="s">
        <v>9611</v>
      </c>
    </row>
    <row r="865" spans="1:16" ht="13.9" hidden="1" customHeight="1" outlineLevel="2" x14ac:dyDescent="0.2">
      <c r="A865" s="459">
        <v>0</v>
      </c>
      <c r="B865" s="459">
        <v>8</v>
      </c>
      <c r="C865" s="459">
        <v>11</v>
      </c>
      <c r="D865" s="460">
        <v>6</v>
      </c>
      <c r="E865" s="460">
        <v>0</v>
      </c>
      <c r="G865" s="1740"/>
      <c r="H865" s="1741" t="s">
        <v>1238</v>
      </c>
      <c r="I865" s="1742" t="s">
        <v>6887</v>
      </c>
      <c r="J865" s="1743" t="s">
        <v>2522</v>
      </c>
      <c r="K865" s="1744"/>
      <c r="L865" s="1745"/>
      <c r="M865" s="1745"/>
      <c r="N865" s="1746">
        <v>0</v>
      </c>
      <c r="O865" s="1747"/>
      <c r="P865" s="1720"/>
    </row>
    <row r="866" spans="1:16" ht="13.9" hidden="1" customHeight="1" outlineLevel="3" x14ac:dyDescent="0.2">
      <c r="A866" s="459">
        <v>0</v>
      </c>
      <c r="B866" s="459">
        <v>8</v>
      </c>
      <c r="C866" s="459">
        <v>11</v>
      </c>
      <c r="D866" s="460">
        <v>6</v>
      </c>
      <c r="E866" s="460">
        <v>1</v>
      </c>
      <c r="G866" s="1790" t="s">
        <v>1258</v>
      </c>
      <c r="H866" s="1749" t="s">
        <v>1239</v>
      </c>
      <c r="I866" s="1750" t="s">
        <v>6888</v>
      </c>
      <c r="J866" s="1751" t="s">
        <v>2522</v>
      </c>
      <c r="K866" s="1752" t="s">
        <v>1130</v>
      </c>
      <c r="L866" s="1753">
        <v>1</v>
      </c>
      <c r="M866" s="1753"/>
      <c r="N866" s="1754">
        <v>0</v>
      </c>
      <c r="O866" s="1755" t="s">
        <v>2791</v>
      </c>
      <c r="P866" s="1721" t="s">
        <v>9611</v>
      </c>
    </row>
    <row r="867" spans="1:16" ht="13.9" hidden="1" customHeight="1" outlineLevel="2" x14ac:dyDescent="0.2">
      <c r="A867" s="459">
        <v>0</v>
      </c>
      <c r="B867" s="459">
        <v>8</v>
      </c>
      <c r="C867" s="459">
        <v>11</v>
      </c>
      <c r="D867" s="460">
        <v>7</v>
      </c>
      <c r="E867" s="460">
        <v>0</v>
      </c>
      <c r="G867" s="1740"/>
      <c r="H867" s="1741" t="s">
        <v>1238</v>
      </c>
      <c r="I867" s="1742" t="s">
        <v>6889</v>
      </c>
      <c r="J867" s="1743" t="s">
        <v>15</v>
      </c>
      <c r="K867" s="1744"/>
      <c r="L867" s="1745"/>
      <c r="M867" s="1745"/>
      <c r="N867" s="1746">
        <v>31874.85</v>
      </c>
      <c r="O867" s="1747"/>
      <c r="P867" s="1720"/>
    </row>
    <row r="868" spans="1:16" ht="13.9" hidden="1" customHeight="1" outlineLevel="3" x14ac:dyDescent="0.2">
      <c r="A868" s="459">
        <v>0</v>
      </c>
      <c r="B868" s="459">
        <v>8</v>
      </c>
      <c r="C868" s="459">
        <v>11</v>
      </c>
      <c r="D868" s="460">
        <v>7</v>
      </c>
      <c r="E868" s="460">
        <v>1</v>
      </c>
      <c r="G868" s="1790" t="s">
        <v>1258</v>
      </c>
      <c r="H868" s="1749" t="s">
        <v>1239</v>
      </c>
      <c r="I868" s="1750" t="s">
        <v>6890</v>
      </c>
      <c r="J868" s="1751" t="s">
        <v>1259</v>
      </c>
      <c r="K868" s="1752" t="s">
        <v>1130</v>
      </c>
      <c r="L868" s="1753">
        <v>1</v>
      </c>
      <c r="M868" s="1753">
        <v>31874.850000000002</v>
      </c>
      <c r="N868" s="1754">
        <v>31874.85</v>
      </c>
      <c r="O868" s="1765" t="s">
        <v>2801</v>
      </c>
      <c r="P868" s="1721" t="s">
        <v>9611</v>
      </c>
    </row>
    <row r="869" spans="1:16" ht="13.9" hidden="1" customHeight="1" outlineLevel="1" x14ac:dyDescent="0.2">
      <c r="A869" s="459">
        <v>0</v>
      </c>
      <c r="B869" s="459">
        <v>8</v>
      </c>
      <c r="C869" s="459">
        <v>12</v>
      </c>
      <c r="D869" s="460">
        <v>0</v>
      </c>
      <c r="E869" s="460">
        <v>1</v>
      </c>
      <c r="G869" s="1733"/>
      <c r="H869" s="1734" t="s">
        <v>39</v>
      </c>
      <c r="I869" s="1735" t="s">
        <v>6891</v>
      </c>
      <c r="J869" s="1736" t="s">
        <v>3348</v>
      </c>
      <c r="K869" s="1737"/>
      <c r="L869" s="1738"/>
      <c r="M869" s="1738"/>
      <c r="N869" s="1739">
        <v>30016.770199999999</v>
      </c>
      <c r="O869" s="1722"/>
      <c r="P869" s="1725"/>
    </row>
    <row r="870" spans="1:16" ht="13.9" hidden="1" customHeight="1" outlineLevel="2" x14ac:dyDescent="0.2">
      <c r="A870" s="459">
        <v>0</v>
      </c>
      <c r="B870" s="459">
        <v>8</v>
      </c>
      <c r="C870" s="459">
        <v>12</v>
      </c>
      <c r="D870" s="460">
        <v>1</v>
      </c>
      <c r="E870" s="460">
        <v>0</v>
      </c>
      <c r="G870" s="1740"/>
      <c r="H870" s="1741" t="s">
        <v>1238</v>
      </c>
      <c r="I870" s="1742" t="s">
        <v>6892</v>
      </c>
      <c r="J870" s="1743" t="s">
        <v>2798</v>
      </c>
      <c r="K870" s="1744"/>
      <c r="L870" s="1745"/>
      <c r="M870" s="1745"/>
      <c r="N870" s="1746">
        <v>3267.2</v>
      </c>
      <c r="O870" s="1747"/>
      <c r="P870" s="1720"/>
    </row>
    <row r="871" spans="1:16" ht="13.9" hidden="1" customHeight="1" outlineLevel="3" x14ac:dyDescent="0.2">
      <c r="A871" s="459">
        <v>0</v>
      </c>
      <c r="B871" s="459">
        <v>8</v>
      </c>
      <c r="C871" s="459">
        <v>12</v>
      </c>
      <c r="D871" s="460">
        <v>1</v>
      </c>
      <c r="E871" s="460">
        <v>1</v>
      </c>
      <c r="G871" s="1790" t="s">
        <v>1258</v>
      </c>
      <c r="H871" s="1749" t="s">
        <v>1239</v>
      </c>
      <c r="I871" s="1750" t="s">
        <v>6893</v>
      </c>
      <c r="J871" s="1751" t="s">
        <v>2798</v>
      </c>
      <c r="K871" s="1752" t="s">
        <v>1130</v>
      </c>
      <c r="L871" s="1753">
        <v>1</v>
      </c>
      <c r="M871" s="1753">
        <v>3267.2</v>
      </c>
      <c r="N871" s="1754">
        <v>3267.2</v>
      </c>
      <c r="O871" s="1755" t="s">
        <v>2791</v>
      </c>
      <c r="P871" s="1721" t="s">
        <v>9611</v>
      </c>
    </row>
    <row r="872" spans="1:16" ht="13.9" hidden="1" customHeight="1" outlineLevel="2" x14ac:dyDescent="0.2">
      <c r="A872" s="459">
        <v>0</v>
      </c>
      <c r="B872" s="459">
        <v>8</v>
      </c>
      <c r="C872" s="459">
        <v>12</v>
      </c>
      <c r="D872" s="460">
        <v>2</v>
      </c>
      <c r="E872" s="460">
        <v>0</v>
      </c>
      <c r="G872" s="1740"/>
      <c r="H872" s="1741" t="s">
        <v>1238</v>
      </c>
      <c r="I872" s="1742" t="s">
        <v>6894</v>
      </c>
      <c r="J872" s="1743" t="s">
        <v>2799</v>
      </c>
      <c r="K872" s="1744"/>
      <c r="L872" s="1745"/>
      <c r="M872" s="1745"/>
      <c r="N872" s="1746">
        <v>600.45000000000005</v>
      </c>
      <c r="O872" s="1747"/>
      <c r="P872" s="1720"/>
    </row>
    <row r="873" spans="1:16" ht="13.9" hidden="1" customHeight="1" outlineLevel="3" x14ac:dyDescent="0.2">
      <c r="A873" s="459">
        <v>0</v>
      </c>
      <c r="B873" s="459">
        <v>8</v>
      </c>
      <c r="C873" s="459">
        <v>12</v>
      </c>
      <c r="D873" s="460">
        <v>2</v>
      </c>
      <c r="E873" s="460">
        <v>1</v>
      </c>
      <c r="G873" s="1790" t="s">
        <v>1258</v>
      </c>
      <c r="H873" s="1749" t="s">
        <v>1239</v>
      </c>
      <c r="I873" s="1750" t="s">
        <v>6895</v>
      </c>
      <c r="J873" s="1751" t="s">
        <v>2799</v>
      </c>
      <c r="K873" s="1752" t="s">
        <v>1130</v>
      </c>
      <c r="L873" s="1753">
        <v>1</v>
      </c>
      <c r="M873" s="1753">
        <v>600.45000000000005</v>
      </c>
      <c r="N873" s="1754">
        <v>600.45000000000005</v>
      </c>
      <c r="O873" s="1755" t="s">
        <v>2791</v>
      </c>
      <c r="P873" s="1721" t="s">
        <v>9611</v>
      </c>
    </row>
    <row r="874" spans="1:16" ht="13.9" hidden="1" customHeight="1" outlineLevel="2" x14ac:dyDescent="0.2">
      <c r="A874" s="459">
        <v>0</v>
      </c>
      <c r="B874" s="459">
        <v>8</v>
      </c>
      <c r="C874" s="459">
        <v>12</v>
      </c>
      <c r="D874" s="460">
        <v>3</v>
      </c>
      <c r="E874" s="460">
        <v>0</v>
      </c>
      <c r="G874" s="1740"/>
      <c r="H874" s="1741" t="s">
        <v>1238</v>
      </c>
      <c r="I874" s="1742" t="s">
        <v>6896</v>
      </c>
      <c r="J874" s="1743" t="s">
        <v>3353</v>
      </c>
      <c r="K874" s="1744"/>
      <c r="L874" s="1745"/>
      <c r="M874" s="1745"/>
      <c r="N874" s="1746">
        <v>21722</v>
      </c>
      <c r="O874" s="1747"/>
      <c r="P874" s="1720"/>
    </row>
    <row r="875" spans="1:16" ht="13.9" hidden="1" customHeight="1" outlineLevel="3" x14ac:dyDescent="0.2">
      <c r="A875" s="459">
        <v>0</v>
      </c>
      <c r="B875" s="459">
        <v>8</v>
      </c>
      <c r="C875" s="459">
        <v>12</v>
      </c>
      <c r="D875" s="460">
        <v>3</v>
      </c>
      <c r="E875" s="460">
        <v>1</v>
      </c>
      <c r="G875" s="1790" t="s">
        <v>1258</v>
      </c>
      <c r="H875" s="1749" t="s">
        <v>1239</v>
      </c>
      <c r="I875" s="1750" t="s">
        <v>6897</v>
      </c>
      <c r="J875" s="1751" t="s">
        <v>3353</v>
      </c>
      <c r="K875" s="1752" t="s">
        <v>1130</v>
      </c>
      <c r="L875" s="1753">
        <v>1</v>
      </c>
      <c r="M875" s="1753">
        <v>21722</v>
      </c>
      <c r="N875" s="1754">
        <v>21722</v>
      </c>
      <c r="O875" s="1755" t="s">
        <v>2791</v>
      </c>
      <c r="P875" s="1721" t="s">
        <v>9611</v>
      </c>
    </row>
    <row r="876" spans="1:16" ht="13.9" hidden="1" customHeight="1" outlineLevel="2" x14ac:dyDescent="0.2">
      <c r="A876" s="459">
        <v>0</v>
      </c>
      <c r="B876" s="459">
        <v>8</v>
      </c>
      <c r="C876" s="459">
        <v>12</v>
      </c>
      <c r="D876" s="460">
        <v>4</v>
      </c>
      <c r="E876" s="460">
        <v>0</v>
      </c>
      <c r="G876" s="1740"/>
      <c r="H876" s="1741" t="s">
        <v>1238</v>
      </c>
      <c r="I876" s="1742" t="s">
        <v>6898</v>
      </c>
      <c r="J876" s="1743" t="s">
        <v>2800</v>
      </c>
      <c r="K876" s="1744"/>
      <c r="L876" s="1745"/>
      <c r="M876" s="1745"/>
      <c r="N876" s="1746">
        <v>0</v>
      </c>
      <c r="O876" s="1747"/>
      <c r="P876" s="1720"/>
    </row>
    <row r="877" spans="1:16" ht="13.9" hidden="1" customHeight="1" outlineLevel="3" x14ac:dyDescent="0.2">
      <c r="A877" s="459">
        <v>0</v>
      </c>
      <c r="B877" s="459">
        <v>8</v>
      </c>
      <c r="C877" s="459">
        <v>12</v>
      </c>
      <c r="D877" s="460">
        <v>4</v>
      </c>
      <c r="E877" s="460">
        <v>1</v>
      </c>
      <c r="G877" s="1790" t="s">
        <v>1258</v>
      </c>
      <c r="H877" s="1749" t="s">
        <v>1239</v>
      </c>
      <c r="I877" s="1750" t="s">
        <v>6899</v>
      </c>
      <c r="J877" s="1751" t="s">
        <v>2800</v>
      </c>
      <c r="K877" s="1752" t="s">
        <v>1130</v>
      </c>
      <c r="L877" s="1753">
        <v>1</v>
      </c>
      <c r="M877" s="1753"/>
      <c r="N877" s="1754">
        <v>0</v>
      </c>
      <c r="O877" s="1755" t="s">
        <v>3351</v>
      </c>
      <c r="P877" s="1721" t="s">
        <v>9611</v>
      </c>
    </row>
    <row r="878" spans="1:16" ht="13.9" hidden="1" customHeight="1" outlineLevel="2" x14ac:dyDescent="0.2">
      <c r="A878" s="459">
        <v>0</v>
      </c>
      <c r="B878" s="459">
        <v>8</v>
      </c>
      <c r="C878" s="459">
        <v>12</v>
      </c>
      <c r="D878" s="460">
        <v>5</v>
      </c>
      <c r="E878" s="460">
        <v>0</v>
      </c>
      <c r="G878" s="1740"/>
      <c r="H878" s="1741" t="s">
        <v>1238</v>
      </c>
      <c r="I878" s="1742" t="s">
        <v>6900</v>
      </c>
      <c r="J878" s="1743" t="s">
        <v>2523</v>
      </c>
      <c r="K878" s="1744"/>
      <c r="L878" s="1745"/>
      <c r="M878" s="1745"/>
      <c r="N878" s="1746">
        <v>2909.2701999999999</v>
      </c>
      <c r="O878" s="1747"/>
      <c r="P878" s="1720"/>
    </row>
    <row r="879" spans="1:16" ht="13.9" hidden="1" customHeight="1" outlineLevel="3" x14ac:dyDescent="0.2">
      <c r="A879" s="459">
        <v>0</v>
      </c>
      <c r="B879" s="459">
        <v>8</v>
      </c>
      <c r="C879" s="459">
        <v>12</v>
      </c>
      <c r="D879" s="460">
        <v>5</v>
      </c>
      <c r="E879" s="460">
        <v>1</v>
      </c>
      <c r="G879" s="1790" t="s">
        <v>1258</v>
      </c>
      <c r="H879" s="1749" t="s">
        <v>1239</v>
      </c>
      <c r="I879" s="1750" t="s">
        <v>6901</v>
      </c>
      <c r="J879" s="1751" t="s">
        <v>2523</v>
      </c>
      <c r="K879" s="1752" t="s">
        <v>1130</v>
      </c>
      <c r="L879" s="1753">
        <v>1</v>
      </c>
      <c r="M879" s="1753">
        <v>2909.2701999999999</v>
      </c>
      <c r="N879" s="1754">
        <v>2909.2701999999999</v>
      </c>
      <c r="O879" s="1755" t="s">
        <v>2791</v>
      </c>
      <c r="P879" s="1721" t="s">
        <v>9611</v>
      </c>
    </row>
    <row r="880" spans="1:16" ht="13.9" hidden="1" customHeight="1" outlineLevel="2" x14ac:dyDescent="0.2">
      <c r="A880" s="459">
        <v>0</v>
      </c>
      <c r="B880" s="459">
        <v>8</v>
      </c>
      <c r="C880" s="459">
        <v>12</v>
      </c>
      <c r="D880" s="460">
        <v>6</v>
      </c>
      <c r="E880" s="460">
        <v>0</v>
      </c>
      <c r="G880" s="1740"/>
      <c r="H880" s="1741" t="s">
        <v>1238</v>
      </c>
      <c r="I880" s="1742" t="s">
        <v>6902</v>
      </c>
      <c r="J880" s="1743" t="s">
        <v>2522</v>
      </c>
      <c r="K880" s="1744"/>
      <c r="L880" s="1745"/>
      <c r="M880" s="1745"/>
      <c r="N880" s="1746">
        <v>0</v>
      </c>
      <c r="O880" s="1747"/>
      <c r="P880" s="1720"/>
    </row>
    <row r="881" spans="1:16" ht="13.9" hidden="1" customHeight="1" outlineLevel="3" x14ac:dyDescent="0.2">
      <c r="A881" s="459">
        <v>0</v>
      </c>
      <c r="B881" s="459">
        <v>8</v>
      </c>
      <c r="C881" s="459">
        <v>12</v>
      </c>
      <c r="D881" s="460">
        <v>6</v>
      </c>
      <c r="E881" s="460">
        <v>1</v>
      </c>
      <c r="G881" s="1790" t="s">
        <v>1258</v>
      </c>
      <c r="H881" s="1749" t="s">
        <v>1239</v>
      </c>
      <c r="I881" s="1750" t="s">
        <v>6903</v>
      </c>
      <c r="J881" s="1751" t="s">
        <v>2522</v>
      </c>
      <c r="K881" s="1752" t="s">
        <v>1130</v>
      </c>
      <c r="L881" s="1753">
        <v>1</v>
      </c>
      <c r="M881" s="1753"/>
      <c r="N881" s="1754">
        <v>0</v>
      </c>
      <c r="O881" s="1755" t="s">
        <v>2791</v>
      </c>
      <c r="P881" s="1721" t="s">
        <v>9611</v>
      </c>
    </row>
    <row r="882" spans="1:16" ht="13.9" hidden="1" customHeight="1" outlineLevel="2" x14ac:dyDescent="0.2">
      <c r="A882" s="459">
        <v>0</v>
      </c>
      <c r="B882" s="459">
        <v>8</v>
      </c>
      <c r="C882" s="459">
        <v>12</v>
      </c>
      <c r="D882" s="460">
        <v>7</v>
      </c>
      <c r="E882" s="460">
        <v>0</v>
      </c>
      <c r="G882" s="1740"/>
      <c r="H882" s="1741" t="s">
        <v>1238</v>
      </c>
      <c r="I882" s="1742" t="s">
        <v>6904</v>
      </c>
      <c r="J882" s="1743" t="s">
        <v>15</v>
      </c>
      <c r="K882" s="1744"/>
      <c r="L882" s="1745"/>
      <c r="M882" s="1745"/>
      <c r="N882" s="1746">
        <v>1517.85</v>
      </c>
      <c r="O882" s="1747"/>
      <c r="P882" s="1720"/>
    </row>
    <row r="883" spans="1:16" ht="13.9" hidden="1" customHeight="1" outlineLevel="3" x14ac:dyDescent="0.2">
      <c r="A883" s="459">
        <v>0</v>
      </c>
      <c r="B883" s="459">
        <v>8</v>
      </c>
      <c r="C883" s="459">
        <v>12</v>
      </c>
      <c r="D883" s="460">
        <v>7</v>
      </c>
      <c r="E883" s="460">
        <v>1</v>
      </c>
      <c r="G883" s="1790" t="s">
        <v>1258</v>
      </c>
      <c r="H883" s="1749" t="s">
        <v>1239</v>
      </c>
      <c r="I883" s="1750" t="s">
        <v>6905</v>
      </c>
      <c r="J883" s="1751" t="s">
        <v>1259</v>
      </c>
      <c r="K883" s="1752" t="s">
        <v>1130</v>
      </c>
      <c r="L883" s="1753">
        <v>1</v>
      </c>
      <c r="M883" s="1753">
        <v>1517.85</v>
      </c>
      <c r="N883" s="1754">
        <v>1517.85</v>
      </c>
      <c r="O883" s="1765" t="s">
        <v>2801</v>
      </c>
      <c r="P883" s="1721" t="s">
        <v>9611</v>
      </c>
    </row>
    <row r="884" spans="1:16" ht="13.9" hidden="1" customHeight="1" outlineLevel="1" x14ac:dyDescent="0.2">
      <c r="A884" s="459">
        <v>0</v>
      </c>
      <c r="B884" s="459">
        <v>8</v>
      </c>
      <c r="C884" s="459">
        <v>13</v>
      </c>
      <c r="D884" s="460">
        <v>0</v>
      </c>
      <c r="E884" s="460">
        <v>1</v>
      </c>
      <c r="G884" s="1733"/>
      <c r="H884" s="1734" t="s">
        <v>39</v>
      </c>
      <c r="I884" s="1735" t="s">
        <v>6906</v>
      </c>
      <c r="J884" s="1736" t="s">
        <v>3349</v>
      </c>
      <c r="K884" s="1737"/>
      <c r="L884" s="1738"/>
      <c r="M884" s="1738"/>
      <c r="N884" s="1739">
        <v>36851.269999999997</v>
      </c>
      <c r="O884" s="1722"/>
      <c r="P884" s="1725"/>
    </row>
    <row r="885" spans="1:16" ht="13.9" hidden="1" customHeight="1" outlineLevel="2" x14ac:dyDescent="0.2">
      <c r="A885" s="459">
        <v>0</v>
      </c>
      <c r="B885" s="459">
        <v>8</v>
      </c>
      <c r="C885" s="459">
        <v>13</v>
      </c>
      <c r="D885" s="460">
        <v>1</v>
      </c>
      <c r="E885" s="460">
        <v>0</v>
      </c>
      <c r="G885" s="1740"/>
      <c r="H885" s="1741" t="s">
        <v>1238</v>
      </c>
      <c r="I885" s="1742" t="s">
        <v>6907</v>
      </c>
      <c r="J885" s="1743" t="s">
        <v>2798</v>
      </c>
      <c r="K885" s="1744"/>
      <c r="L885" s="1745"/>
      <c r="M885" s="1745"/>
      <c r="N885" s="1746">
        <v>4400.41</v>
      </c>
      <c r="O885" s="1747"/>
      <c r="P885" s="1720"/>
    </row>
    <row r="886" spans="1:16" ht="13.9" hidden="1" customHeight="1" outlineLevel="3" x14ac:dyDescent="0.2">
      <c r="A886" s="459">
        <v>0</v>
      </c>
      <c r="B886" s="459">
        <v>8</v>
      </c>
      <c r="C886" s="459">
        <v>13</v>
      </c>
      <c r="D886" s="460">
        <v>1</v>
      </c>
      <c r="E886" s="460">
        <v>1</v>
      </c>
      <c r="G886" s="1790" t="s">
        <v>1258</v>
      </c>
      <c r="H886" s="1749" t="s">
        <v>1239</v>
      </c>
      <c r="I886" s="1750" t="s">
        <v>6908</v>
      </c>
      <c r="J886" s="1751" t="s">
        <v>2798</v>
      </c>
      <c r="K886" s="1752" t="s">
        <v>1130</v>
      </c>
      <c r="L886" s="1753">
        <v>1</v>
      </c>
      <c r="M886" s="1753">
        <v>4400.41</v>
      </c>
      <c r="N886" s="1754">
        <v>4400.41</v>
      </c>
      <c r="O886" s="1755" t="s">
        <v>2791</v>
      </c>
      <c r="P886" s="1721" t="s">
        <v>9611</v>
      </c>
    </row>
    <row r="887" spans="1:16" ht="13.9" hidden="1" customHeight="1" outlineLevel="2" x14ac:dyDescent="0.2">
      <c r="A887" s="459">
        <v>0</v>
      </c>
      <c r="B887" s="459">
        <v>8</v>
      </c>
      <c r="C887" s="459">
        <v>13</v>
      </c>
      <c r="D887" s="460">
        <v>2</v>
      </c>
      <c r="E887" s="460">
        <v>0</v>
      </c>
      <c r="G887" s="1740"/>
      <c r="H887" s="1741" t="s">
        <v>1238</v>
      </c>
      <c r="I887" s="1742" t="s">
        <v>6909</v>
      </c>
      <c r="J887" s="1743" t="s">
        <v>2799</v>
      </c>
      <c r="K887" s="1744"/>
      <c r="L887" s="1745"/>
      <c r="M887" s="1745"/>
      <c r="N887" s="1746">
        <v>538.95000000000005</v>
      </c>
      <c r="O887" s="1747"/>
      <c r="P887" s="1720"/>
    </row>
    <row r="888" spans="1:16" ht="13.9" hidden="1" customHeight="1" outlineLevel="3" x14ac:dyDescent="0.2">
      <c r="A888" s="459">
        <v>0</v>
      </c>
      <c r="B888" s="459">
        <v>8</v>
      </c>
      <c r="C888" s="459">
        <v>13</v>
      </c>
      <c r="D888" s="460">
        <v>2</v>
      </c>
      <c r="E888" s="460">
        <v>1</v>
      </c>
      <c r="G888" s="1790" t="s">
        <v>1258</v>
      </c>
      <c r="H888" s="1749" t="s">
        <v>1239</v>
      </c>
      <c r="I888" s="1750" t="s">
        <v>6910</v>
      </c>
      <c r="J888" s="1751" t="s">
        <v>2799</v>
      </c>
      <c r="K888" s="1752" t="s">
        <v>1130</v>
      </c>
      <c r="L888" s="1753">
        <v>1</v>
      </c>
      <c r="M888" s="1753">
        <v>538.95000000000005</v>
      </c>
      <c r="N888" s="1754">
        <v>538.95000000000005</v>
      </c>
      <c r="O888" s="1755" t="s">
        <v>2791</v>
      </c>
      <c r="P888" s="1721" t="s">
        <v>9611</v>
      </c>
    </row>
    <row r="889" spans="1:16" ht="13.9" hidden="1" customHeight="1" outlineLevel="2" x14ac:dyDescent="0.2">
      <c r="A889" s="459">
        <v>0</v>
      </c>
      <c r="B889" s="459">
        <v>8</v>
      </c>
      <c r="C889" s="459">
        <v>13</v>
      </c>
      <c r="D889" s="460">
        <v>3</v>
      </c>
      <c r="E889" s="460">
        <v>0</v>
      </c>
      <c r="G889" s="1740"/>
      <c r="H889" s="1741" t="s">
        <v>1238</v>
      </c>
      <c r="I889" s="1742" t="s">
        <v>6911</v>
      </c>
      <c r="J889" s="1743" t="s">
        <v>3353</v>
      </c>
      <c r="K889" s="1744"/>
      <c r="L889" s="1745"/>
      <c r="M889" s="1745"/>
      <c r="N889" s="1746">
        <v>28146.2</v>
      </c>
      <c r="O889" s="1747"/>
      <c r="P889" s="1720"/>
    </row>
    <row r="890" spans="1:16" ht="13.9" hidden="1" customHeight="1" outlineLevel="3" x14ac:dyDescent="0.2">
      <c r="A890" s="459">
        <v>0</v>
      </c>
      <c r="B890" s="459">
        <v>8</v>
      </c>
      <c r="C890" s="459">
        <v>13</v>
      </c>
      <c r="D890" s="460">
        <v>3</v>
      </c>
      <c r="E890" s="460">
        <v>1</v>
      </c>
      <c r="G890" s="1790" t="s">
        <v>1258</v>
      </c>
      <c r="H890" s="1749" t="s">
        <v>1239</v>
      </c>
      <c r="I890" s="1750" t="s">
        <v>6912</v>
      </c>
      <c r="J890" s="1751" t="s">
        <v>3353</v>
      </c>
      <c r="K890" s="1752" t="s">
        <v>1130</v>
      </c>
      <c r="L890" s="1753">
        <v>1</v>
      </c>
      <c r="M890" s="1753">
        <v>28146.2</v>
      </c>
      <c r="N890" s="1754">
        <v>28146.2</v>
      </c>
      <c r="O890" s="1755" t="s">
        <v>2791</v>
      </c>
      <c r="P890" s="1721" t="s">
        <v>9611</v>
      </c>
    </row>
    <row r="891" spans="1:16" ht="13.9" hidden="1" customHeight="1" outlineLevel="2" x14ac:dyDescent="0.2">
      <c r="A891" s="459">
        <v>0</v>
      </c>
      <c r="B891" s="459">
        <v>8</v>
      </c>
      <c r="C891" s="459">
        <v>13</v>
      </c>
      <c r="D891" s="460">
        <v>4</v>
      </c>
      <c r="E891" s="460">
        <v>0</v>
      </c>
      <c r="G891" s="1740"/>
      <c r="H891" s="1741" t="s">
        <v>1238</v>
      </c>
      <c r="I891" s="1742" t="s">
        <v>6913</v>
      </c>
      <c r="J891" s="1743" t="s">
        <v>2800</v>
      </c>
      <c r="K891" s="1744"/>
      <c r="L891" s="1745"/>
      <c r="M891" s="1745"/>
      <c r="N891" s="1746">
        <v>0</v>
      </c>
      <c r="O891" s="1747"/>
      <c r="P891" s="1720"/>
    </row>
    <row r="892" spans="1:16" ht="13.9" hidden="1" customHeight="1" outlineLevel="3" x14ac:dyDescent="0.2">
      <c r="A892" s="459">
        <v>0</v>
      </c>
      <c r="B892" s="459">
        <v>8</v>
      </c>
      <c r="C892" s="459">
        <v>13</v>
      </c>
      <c r="D892" s="460">
        <v>4</v>
      </c>
      <c r="E892" s="460">
        <v>1</v>
      </c>
      <c r="G892" s="1790" t="s">
        <v>1258</v>
      </c>
      <c r="H892" s="1749" t="s">
        <v>1239</v>
      </c>
      <c r="I892" s="1750" t="s">
        <v>6914</v>
      </c>
      <c r="J892" s="1751" t="s">
        <v>2800</v>
      </c>
      <c r="K892" s="1752" t="s">
        <v>1130</v>
      </c>
      <c r="L892" s="1753">
        <v>1</v>
      </c>
      <c r="M892" s="1753"/>
      <c r="N892" s="1754">
        <v>0</v>
      </c>
      <c r="O892" s="1755" t="s">
        <v>3351</v>
      </c>
      <c r="P892" s="1721" t="s">
        <v>9611</v>
      </c>
    </row>
    <row r="893" spans="1:16" ht="13.9" hidden="1" customHeight="1" outlineLevel="2" x14ac:dyDescent="0.2">
      <c r="A893" s="459">
        <v>0</v>
      </c>
      <c r="B893" s="459">
        <v>8</v>
      </c>
      <c r="C893" s="459">
        <v>13</v>
      </c>
      <c r="D893" s="460">
        <v>5</v>
      </c>
      <c r="E893" s="460">
        <v>0</v>
      </c>
      <c r="G893" s="1740"/>
      <c r="H893" s="1741" t="s">
        <v>1238</v>
      </c>
      <c r="I893" s="1742" t="s">
        <v>6915</v>
      </c>
      <c r="J893" s="1743" t="s">
        <v>2523</v>
      </c>
      <c r="K893" s="1744"/>
      <c r="L893" s="1745"/>
      <c r="M893" s="1745"/>
      <c r="N893" s="1746">
        <v>2300.91</v>
      </c>
      <c r="O893" s="1747"/>
      <c r="P893" s="1720"/>
    </row>
    <row r="894" spans="1:16" ht="13.9" hidden="1" customHeight="1" outlineLevel="3" x14ac:dyDescent="0.2">
      <c r="A894" s="459">
        <v>0</v>
      </c>
      <c r="B894" s="459">
        <v>8</v>
      </c>
      <c r="C894" s="459">
        <v>13</v>
      </c>
      <c r="D894" s="460">
        <v>5</v>
      </c>
      <c r="E894" s="460">
        <v>1</v>
      </c>
      <c r="G894" s="1790" t="s">
        <v>1258</v>
      </c>
      <c r="H894" s="1749" t="s">
        <v>1239</v>
      </c>
      <c r="I894" s="1750" t="s">
        <v>6916</v>
      </c>
      <c r="J894" s="1751" t="s">
        <v>2523</v>
      </c>
      <c r="K894" s="1752" t="s">
        <v>1130</v>
      </c>
      <c r="L894" s="1753">
        <v>1</v>
      </c>
      <c r="M894" s="1753">
        <v>2300.9100000000008</v>
      </c>
      <c r="N894" s="1754">
        <v>2300.91</v>
      </c>
      <c r="O894" s="1755" t="s">
        <v>2791</v>
      </c>
      <c r="P894" s="1721" t="s">
        <v>9611</v>
      </c>
    </row>
    <row r="895" spans="1:16" ht="13.9" hidden="1" customHeight="1" outlineLevel="2" x14ac:dyDescent="0.2">
      <c r="A895" s="459">
        <v>0</v>
      </c>
      <c r="B895" s="459">
        <v>8</v>
      </c>
      <c r="C895" s="459">
        <v>13</v>
      </c>
      <c r="D895" s="460">
        <v>6</v>
      </c>
      <c r="E895" s="460">
        <v>0</v>
      </c>
      <c r="G895" s="1740"/>
      <c r="H895" s="1741" t="s">
        <v>1238</v>
      </c>
      <c r="I895" s="1742" t="s">
        <v>6917</v>
      </c>
      <c r="J895" s="1743" t="s">
        <v>2522</v>
      </c>
      <c r="K895" s="1744"/>
      <c r="L895" s="1745"/>
      <c r="M895" s="1745"/>
      <c r="N895" s="1746">
        <v>0</v>
      </c>
      <c r="O895" s="1747"/>
      <c r="P895" s="1720"/>
    </row>
    <row r="896" spans="1:16" ht="13.9" hidden="1" customHeight="1" outlineLevel="3" x14ac:dyDescent="0.2">
      <c r="A896" s="459">
        <v>0</v>
      </c>
      <c r="B896" s="459">
        <v>8</v>
      </c>
      <c r="C896" s="459">
        <v>13</v>
      </c>
      <c r="D896" s="460">
        <v>6</v>
      </c>
      <c r="E896" s="460">
        <v>1</v>
      </c>
      <c r="G896" s="1790" t="s">
        <v>1258</v>
      </c>
      <c r="H896" s="1749" t="s">
        <v>1239</v>
      </c>
      <c r="I896" s="1750" t="s">
        <v>6918</v>
      </c>
      <c r="J896" s="1751" t="s">
        <v>2522</v>
      </c>
      <c r="K896" s="1752" t="s">
        <v>1130</v>
      </c>
      <c r="L896" s="1753">
        <v>1</v>
      </c>
      <c r="M896" s="1753"/>
      <c r="N896" s="1754">
        <v>0</v>
      </c>
      <c r="O896" s="1755" t="s">
        <v>2791</v>
      </c>
      <c r="P896" s="1721" t="s">
        <v>9611</v>
      </c>
    </row>
    <row r="897" spans="1:16" ht="13.9" hidden="1" customHeight="1" outlineLevel="2" x14ac:dyDescent="0.2">
      <c r="A897" s="459">
        <v>0</v>
      </c>
      <c r="B897" s="459">
        <v>8</v>
      </c>
      <c r="C897" s="459">
        <v>13</v>
      </c>
      <c r="D897" s="460">
        <v>7</v>
      </c>
      <c r="E897" s="460">
        <v>0</v>
      </c>
      <c r="G897" s="1740"/>
      <c r="H897" s="1741" t="s">
        <v>1238</v>
      </c>
      <c r="I897" s="1742" t="s">
        <v>6919</v>
      </c>
      <c r="J897" s="1743" t="s">
        <v>15</v>
      </c>
      <c r="K897" s="1744"/>
      <c r="L897" s="1745"/>
      <c r="M897" s="1745"/>
      <c r="N897" s="1746">
        <v>1464.8</v>
      </c>
      <c r="O897" s="1747"/>
      <c r="P897" s="1720"/>
    </row>
    <row r="898" spans="1:16" ht="13.9" hidden="1" customHeight="1" outlineLevel="3" x14ac:dyDescent="0.2">
      <c r="A898" s="459">
        <v>0</v>
      </c>
      <c r="B898" s="459">
        <v>8</v>
      </c>
      <c r="C898" s="459">
        <v>13</v>
      </c>
      <c r="D898" s="460">
        <v>7</v>
      </c>
      <c r="E898" s="460">
        <v>1</v>
      </c>
      <c r="G898" s="1790" t="s">
        <v>1258</v>
      </c>
      <c r="H898" s="1749" t="s">
        <v>1239</v>
      </c>
      <c r="I898" s="1750" t="s">
        <v>6920</v>
      </c>
      <c r="J898" s="1751" t="s">
        <v>1259</v>
      </c>
      <c r="K898" s="1752" t="s">
        <v>1130</v>
      </c>
      <c r="L898" s="1753">
        <v>1</v>
      </c>
      <c r="M898" s="1753">
        <v>1464.8</v>
      </c>
      <c r="N898" s="1754">
        <v>1464.8</v>
      </c>
      <c r="O898" s="1765" t="s">
        <v>2801</v>
      </c>
      <c r="P898" s="1721" t="s">
        <v>9611</v>
      </c>
    </row>
    <row r="899" spans="1:16" ht="13.9" hidden="1" customHeight="1" outlineLevel="1" x14ac:dyDescent="0.2">
      <c r="A899" s="459">
        <v>0</v>
      </c>
      <c r="B899" s="459">
        <v>8</v>
      </c>
      <c r="C899" s="459">
        <v>14</v>
      </c>
      <c r="D899" s="460">
        <v>0</v>
      </c>
      <c r="E899" s="460">
        <v>1</v>
      </c>
      <c r="G899" s="1733"/>
      <c r="H899" s="1734" t="s">
        <v>39</v>
      </c>
      <c r="I899" s="1735" t="s">
        <v>6921</v>
      </c>
      <c r="J899" s="1736" t="s">
        <v>3350</v>
      </c>
      <c r="K899" s="1737"/>
      <c r="L899" s="1738"/>
      <c r="M899" s="1738"/>
      <c r="N899" s="1739">
        <v>251730.2433</v>
      </c>
      <c r="O899" s="1722"/>
      <c r="P899" s="1725"/>
    </row>
    <row r="900" spans="1:16" ht="13.9" hidden="1" customHeight="1" outlineLevel="2" x14ac:dyDescent="0.2">
      <c r="A900" s="459">
        <v>0</v>
      </c>
      <c r="B900" s="459">
        <v>8</v>
      </c>
      <c r="C900" s="459">
        <v>14</v>
      </c>
      <c r="D900" s="460">
        <v>1</v>
      </c>
      <c r="E900" s="460">
        <v>0</v>
      </c>
      <c r="G900" s="1740"/>
      <c r="H900" s="1741" t="s">
        <v>1238</v>
      </c>
      <c r="I900" s="1742" t="s">
        <v>6922</v>
      </c>
      <c r="J900" s="1743" t="s">
        <v>2798</v>
      </c>
      <c r="K900" s="1744"/>
      <c r="L900" s="1745"/>
      <c r="M900" s="1745"/>
      <c r="N900" s="1746">
        <v>27210.58</v>
      </c>
      <c r="O900" s="1747"/>
      <c r="P900" s="1720"/>
    </row>
    <row r="901" spans="1:16" ht="13.9" hidden="1" customHeight="1" outlineLevel="3" x14ac:dyDescent="0.2">
      <c r="A901" s="459">
        <v>0</v>
      </c>
      <c r="B901" s="459">
        <v>8</v>
      </c>
      <c r="C901" s="459">
        <v>14</v>
      </c>
      <c r="D901" s="460">
        <v>1</v>
      </c>
      <c r="E901" s="460">
        <v>1</v>
      </c>
      <c r="G901" s="1790" t="s">
        <v>1258</v>
      </c>
      <c r="H901" s="1749" t="s">
        <v>1239</v>
      </c>
      <c r="I901" s="1750" t="s">
        <v>6923</v>
      </c>
      <c r="J901" s="1751" t="s">
        <v>2798</v>
      </c>
      <c r="K901" s="1752" t="s">
        <v>1130</v>
      </c>
      <c r="L901" s="1753">
        <v>1</v>
      </c>
      <c r="M901" s="1753">
        <v>27210.58</v>
      </c>
      <c r="N901" s="1754">
        <v>27210.58</v>
      </c>
      <c r="O901" s="1755" t="s">
        <v>2791</v>
      </c>
      <c r="P901" s="1721" t="s">
        <v>9611</v>
      </c>
    </row>
    <row r="902" spans="1:16" ht="13.9" hidden="1" customHeight="1" outlineLevel="2" x14ac:dyDescent="0.2">
      <c r="A902" s="459">
        <v>0</v>
      </c>
      <c r="B902" s="459">
        <v>8</v>
      </c>
      <c r="C902" s="459">
        <v>14</v>
      </c>
      <c r="D902" s="460">
        <v>2</v>
      </c>
      <c r="E902" s="460">
        <v>0</v>
      </c>
      <c r="G902" s="1740"/>
      <c r="H902" s="1741" t="s">
        <v>1238</v>
      </c>
      <c r="I902" s="1742" t="s">
        <v>6924</v>
      </c>
      <c r="J902" s="1743" t="s">
        <v>2799</v>
      </c>
      <c r="K902" s="1744"/>
      <c r="L902" s="1745"/>
      <c r="M902" s="1745"/>
      <c r="N902" s="1746">
        <v>1445.66</v>
      </c>
      <c r="O902" s="1747"/>
      <c r="P902" s="1720"/>
    </row>
    <row r="903" spans="1:16" ht="13.9" hidden="1" customHeight="1" outlineLevel="3" x14ac:dyDescent="0.2">
      <c r="A903" s="459">
        <v>0</v>
      </c>
      <c r="B903" s="459">
        <v>8</v>
      </c>
      <c r="C903" s="459">
        <v>14</v>
      </c>
      <c r="D903" s="460">
        <v>2</v>
      </c>
      <c r="E903" s="460">
        <v>1</v>
      </c>
      <c r="G903" s="1790" t="s">
        <v>1258</v>
      </c>
      <c r="H903" s="1749" t="s">
        <v>1239</v>
      </c>
      <c r="I903" s="1750" t="s">
        <v>6925</v>
      </c>
      <c r="J903" s="1751" t="s">
        <v>2799</v>
      </c>
      <c r="K903" s="1752" t="s">
        <v>1130</v>
      </c>
      <c r="L903" s="1753">
        <v>1</v>
      </c>
      <c r="M903" s="1753">
        <v>1445.6599999999999</v>
      </c>
      <c r="N903" s="1754">
        <v>1445.66</v>
      </c>
      <c r="O903" s="1755" t="s">
        <v>2791</v>
      </c>
      <c r="P903" s="1721" t="s">
        <v>9611</v>
      </c>
    </row>
    <row r="904" spans="1:16" ht="13.9" hidden="1" customHeight="1" outlineLevel="2" x14ac:dyDescent="0.2">
      <c r="A904" s="459">
        <v>0</v>
      </c>
      <c r="B904" s="459">
        <v>8</v>
      </c>
      <c r="C904" s="459">
        <v>14</v>
      </c>
      <c r="D904" s="460">
        <v>3</v>
      </c>
      <c r="E904" s="460">
        <v>0</v>
      </c>
      <c r="G904" s="1740"/>
      <c r="H904" s="1741" t="s">
        <v>1238</v>
      </c>
      <c r="I904" s="1742" t="s">
        <v>6926</v>
      </c>
      <c r="J904" s="1743" t="s">
        <v>3353</v>
      </c>
      <c r="K904" s="1744"/>
      <c r="L904" s="1745"/>
      <c r="M904" s="1745"/>
      <c r="N904" s="1746">
        <v>75139.7</v>
      </c>
      <c r="O904" s="1747"/>
      <c r="P904" s="1720"/>
    </row>
    <row r="905" spans="1:16" ht="13.9" hidden="1" customHeight="1" outlineLevel="3" x14ac:dyDescent="0.2">
      <c r="A905" s="459">
        <v>0</v>
      </c>
      <c r="B905" s="459">
        <v>8</v>
      </c>
      <c r="C905" s="459">
        <v>14</v>
      </c>
      <c r="D905" s="460">
        <v>3</v>
      </c>
      <c r="E905" s="460">
        <v>1</v>
      </c>
      <c r="G905" s="1790" t="s">
        <v>1258</v>
      </c>
      <c r="H905" s="1749" t="s">
        <v>1239</v>
      </c>
      <c r="I905" s="1750" t="s">
        <v>6927</v>
      </c>
      <c r="J905" s="1751" t="s">
        <v>3353</v>
      </c>
      <c r="K905" s="1752" t="s">
        <v>1130</v>
      </c>
      <c r="L905" s="1753">
        <v>1</v>
      </c>
      <c r="M905" s="1753">
        <v>75139.7</v>
      </c>
      <c r="N905" s="1754">
        <v>75139.7</v>
      </c>
      <c r="O905" s="1755" t="s">
        <v>2791</v>
      </c>
      <c r="P905" s="1721" t="s">
        <v>9611</v>
      </c>
    </row>
    <row r="906" spans="1:16" ht="13.9" hidden="1" customHeight="1" outlineLevel="2" x14ac:dyDescent="0.2">
      <c r="A906" s="459">
        <v>0</v>
      </c>
      <c r="B906" s="459">
        <v>8</v>
      </c>
      <c r="C906" s="459">
        <v>14</v>
      </c>
      <c r="D906" s="460">
        <v>4</v>
      </c>
      <c r="E906" s="460">
        <v>0</v>
      </c>
      <c r="G906" s="1740"/>
      <c r="H906" s="1741" t="s">
        <v>1238</v>
      </c>
      <c r="I906" s="1742" t="s">
        <v>6928</v>
      </c>
      <c r="J906" s="1743" t="s">
        <v>2800</v>
      </c>
      <c r="K906" s="1744"/>
      <c r="L906" s="1745"/>
      <c r="M906" s="1745"/>
      <c r="N906" s="1746">
        <v>133997.35999999999</v>
      </c>
      <c r="O906" s="1747"/>
      <c r="P906" s="1720"/>
    </row>
    <row r="907" spans="1:16" ht="13.9" hidden="1" customHeight="1" outlineLevel="3" x14ac:dyDescent="0.2">
      <c r="A907" s="459">
        <v>0</v>
      </c>
      <c r="B907" s="459">
        <v>8</v>
      </c>
      <c r="C907" s="459">
        <v>14</v>
      </c>
      <c r="D907" s="460">
        <v>4</v>
      </c>
      <c r="E907" s="460">
        <v>1</v>
      </c>
      <c r="G907" s="1790" t="s">
        <v>1258</v>
      </c>
      <c r="H907" s="1749" t="s">
        <v>1239</v>
      </c>
      <c r="I907" s="1750" t="s">
        <v>6929</v>
      </c>
      <c r="J907" s="1751" t="s">
        <v>2800</v>
      </c>
      <c r="K907" s="1752" t="s">
        <v>1130</v>
      </c>
      <c r="L907" s="1753">
        <v>1</v>
      </c>
      <c r="M907" s="1753">
        <v>133997.36000000002</v>
      </c>
      <c r="N907" s="1754">
        <v>133997.35999999999</v>
      </c>
      <c r="O907" s="1755" t="s">
        <v>3351</v>
      </c>
      <c r="P907" s="1721" t="s">
        <v>9611</v>
      </c>
    </row>
    <row r="908" spans="1:16" ht="13.9" hidden="1" customHeight="1" outlineLevel="2" x14ac:dyDescent="0.2">
      <c r="A908" s="459">
        <v>0</v>
      </c>
      <c r="B908" s="459">
        <v>8</v>
      </c>
      <c r="C908" s="459">
        <v>14</v>
      </c>
      <c r="D908" s="460">
        <v>5</v>
      </c>
      <c r="E908" s="460">
        <v>0</v>
      </c>
      <c r="G908" s="1740"/>
      <c r="H908" s="1741" t="s">
        <v>1238</v>
      </c>
      <c r="I908" s="1742" t="s">
        <v>6930</v>
      </c>
      <c r="J908" s="1743" t="s">
        <v>2523</v>
      </c>
      <c r="K908" s="1744"/>
      <c r="L908" s="1745"/>
      <c r="M908" s="1745"/>
      <c r="N908" s="1746">
        <v>3782.9432999999999</v>
      </c>
      <c r="O908" s="1747"/>
      <c r="P908" s="1720"/>
    </row>
    <row r="909" spans="1:16" ht="13.9" hidden="1" customHeight="1" outlineLevel="3" x14ac:dyDescent="0.2">
      <c r="A909" s="459">
        <v>0</v>
      </c>
      <c r="B909" s="459">
        <v>8</v>
      </c>
      <c r="C909" s="459">
        <v>14</v>
      </c>
      <c r="D909" s="460">
        <v>5</v>
      </c>
      <c r="E909" s="460">
        <v>1</v>
      </c>
      <c r="G909" s="1790" t="s">
        <v>1258</v>
      </c>
      <c r="H909" s="1749" t="s">
        <v>1239</v>
      </c>
      <c r="I909" s="1750" t="s">
        <v>6931</v>
      </c>
      <c r="J909" s="1751" t="s">
        <v>2523</v>
      </c>
      <c r="K909" s="1752" t="s">
        <v>1130</v>
      </c>
      <c r="L909" s="1753">
        <v>1</v>
      </c>
      <c r="M909" s="1753">
        <v>3782.9432999999999</v>
      </c>
      <c r="N909" s="1754">
        <v>3782.9432999999999</v>
      </c>
      <c r="O909" s="1755" t="s">
        <v>2791</v>
      </c>
      <c r="P909" s="1721" t="s">
        <v>9611</v>
      </c>
    </row>
    <row r="910" spans="1:16" ht="13.9" hidden="1" customHeight="1" outlineLevel="2" x14ac:dyDescent="0.2">
      <c r="A910" s="459">
        <v>0</v>
      </c>
      <c r="B910" s="459">
        <v>8</v>
      </c>
      <c r="C910" s="459">
        <v>14</v>
      </c>
      <c r="D910" s="460">
        <v>6</v>
      </c>
      <c r="E910" s="460">
        <v>0</v>
      </c>
      <c r="G910" s="1740"/>
      <c r="H910" s="1741" t="s">
        <v>1238</v>
      </c>
      <c r="I910" s="1742" t="s">
        <v>6932</v>
      </c>
      <c r="J910" s="1743" t="s">
        <v>2522</v>
      </c>
      <c r="K910" s="1744"/>
      <c r="L910" s="1745"/>
      <c r="M910" s="1745"/>
      <c r="N910" s="1746">
        <v>8760</v>
      </c>
      <c r="O910" s="1747"/>
      <c r="P910" s="1720"/>
    </row>
    <row r="911" spans="1:16" ht="13.9" hidden="1" customHeight="1" outlineLevel="3" x14ac:dyDescent="0.2">
      <c r="A911" s="459">
        <v>0</v>
      </c>
      <c r="B911" s="459">
        <v>8</v>
      </c>
      <c r="C911" s="459">
        <v>14</v>
      </c>
      <c r="D911" s="460">
        <v>6</v>
      </c>
      <c r="E911" s="460">
        <v>1</v>
      </c>
      <c r="G911" s="1790" t="s">
        <v>1258</v>
      </c>
      <c r="H911" s="1749" t="s">
        <v>1239</v>
      </c>
      <c r="I911" s="1750" t="s">
        <v>6933</v>
      </c>
      <c r="J911" s="1751" t="s">
        <v>2522</v>
      </c>
      <c r="K911" s="1752" t="s">
        <v>1130</v>
      </c>
      <c r="L911" s="1753">
        <v>1</v>
      </c>
      <c r="M911" s="1753">
        <v>8760</v>
      </c>
      <c r="N911" s="1754">
        <v>8760</v>
      </c>
      <c r="O911" s="1755" t="s">
        <v>2791</v>
      </c>
      <c r="P911" s="1721" t="s">
        <v>9611</v>
      </c>
    </row>
    <row r="912" spans="1:16" ht="13.9" hidden="1" customHeight="1" outlineLevel="2" x14ac:dyDescent="0.2">
      <c r="A912" s="459">
        <v>0</v>
      </c>
      <c r="B912" s="459">
        <v>8</v>
      </c>
      <c r="C912" s="459">
        <v>14</v>
      </c>
      <c r="D912" s="460">
        <v>7</v>
      </c>
      <c r="E912" s="460">
        <v>0</v>
      </c>
      <c r="G912" s="1740"/>
      <c r="H912" s="1741" t="s">
        <v>1238</v>
      </c>
      <c r="I912" s="1742" t="s">
        <v>6934</v>
      </c>
      <c r="J912" s="1743" t="s">
        <v>15</v>
      </c>
      <c r="K912" s="1744"/>
      <c r="L912" s="1745"/>
      <c r="M912" s="1745"/>
      <c r="N912" s="1746">
        <v>1394</v>
      </c>
      <c r="O912" s="1747"/>
      <c r="P912" s="1720"/>
    </row>
    <row r="913" spans="1:16" ht="13.9" hidden="1" customHeight="1" outlineLevel="3" x14ac:dyDescent="0.2">
      <c r="A913" s="459">
        <v>0</v>
      </c>
      <c r="B913" s="459">
        <v>8</v>
      </c>
      <c r="C913" s="459">
        <v>14</v>
      </c>
      <c r="D913" s="460">
        <v>7</v>
      </c>
      <c r="E913" s="460">
        <v>1</v>
      </c>
      <c r="G913" s="1790" t="s">
        <v>1258</v>
      </c>
      <c r="H913" s="1749" t="s">
        <v>1239</v>
      </c>
      <c r="I913" s="1750" t="s">
        <v>6935</v>
      </c>
      <c r="J913" s="1751" t="s">
        <v>1259</v>
      </c>
      <c r="K913" s="1752" t="s">
        <v>1130</v>
      </c>
      <c r="L913" s="1753">
        <v>1</v>
      </c>
      <c r="M913" s="1753">
        <v>1394</v>
      </c>
      <c r="N913" s="1754">
        <v>1394</v>
      </c>
      <c r="O913" s="1765" t="s">
        <v>2801</v>
      </c>
      <c r="P913" s="1721" t="s">
        <v>9611</v>
      </c>
    </row>
    <row r="914" spans="1:16" ht="13.9" customHeight="1" collapsed="1" x14ac:dyDescent="0.2">
      <c r="A914" s="459">
        <v>0</v>
      </c>
      <c r="B914" s="459">
        <v>9</v>
      </c>
      <c r="C914" s="459">
        <v>0</v>
      </c>
      <c r="D914" s="460">
        <v>7</v>
      </c>
      <c r="E914" s="460">
        <v>1</v>
      </c>
      <c r="F914" s="474"/>
      <c r="G914" s="1726"/>
      <c r="H914" s="1727" t="s">
        <v>1237</v>
      </c>
      <c r="I914" s="1728" t="s">
        <v>6936</v>
      </c>
      <c r="J914" s="1729" t="s">
        <v>19</v>
      </c>
      <c r="K914" s="1730"/>
      <c r="L914" s="1731"/>
      <c r="M914" s="1731"/>
      <c r="N914" s="1732">
        <v>250000</v>
      </c>
      <c r="O914" s="1770">
        <v>14.9256671922492</v>
      </c>
      <c r="P914" s="1723"/>
    </row>
    <row r="915" spans="1:16" ht="13.9" hidden="1" customHeight="1" outlineLevel="1" x14ac:dyDescent="0.2">
      <c r="A915" s="459">
        <v>0</v>
      </c>
      <c r="B915" s="459">
        <v>9</v>
      </c>
      <c r="C915" s="459">
        <v>1</v>
      </c>
      <c r="D915" s="460">
        <v>0</v>
      </c>
      <c r="E915" s="460">
        <v>1</v>
      </c>
      <c r="G915" s="1733"/>
      <c r="H915" s="1734" t="s">
        <v>39</v>
      </c>
      <c r="I915" s="1735" t="s">
        <v>6937</v>
      </c>
      <c r="J915" s="1736" t="s">
        <v>3308</v>
      </c>
      <c r="K915" s="1737"/>
      <c r="L915" s="1738"/>
      <c r="M915" s="1738"/>
      <c r="N915" s="1739">
        <v>26282.604474772699</v>
      </c>
      <c r="O915" s="1792"/>
      <c r="P915" s="1725"/>
    </row>
    <row r="916" spans="1:16" ht="13.9" hidden="1" customHeight="1" outlineLevel="2" x14ac:dyDescent="0.2">
      <c r="A916" s="459">
        <v>0</v>
      </c>
      <c r="B916" s="459">
        <v>9</v>
      </c>
      <c r="C916" s="459">
        <v>1</v>
      </c>
      <c r="D916" s="460">
        <v>1</v>
      </c>
      <c r="E916" s="460">
        <v>0</v>
      </c>
      <c r="G916" s="1764"/>
      <c r="H916" s="1741" t="s">
        <v>1238</v>
      </c>
      <c r="I916" s="1742" t="s">
        <v>6938</v>
      </c>
      <c r="J916" s="1743" t="s">
        <v>2802</v>
      </c>
      <c r="K916" s="1744"/>
      <c r="L916" s="1745"/>
      <c r="M916" s="1745"/>
      <c r="N916" s="1746">
        <v>1013.3124919985401</v>
      </c>
      <c r="O916" s="1762"/>
      <c r="P916" s="1720"/>
    </row>
    <row r="917" spans="1:16" ht="13.9" hidden="1" customHeight="1" outlineLevel="3" x14ac:dyDescent="0.2">
      <c r="A917" s="459">
        <v>0</v>
      </c>
      <c r="B917" s="459">
        <v>9</v>
      </c>
      <c r="C917" s="459">
        <v>1</v>
      </c>
      <c r="D917" s="460">
        <v>1</v>
      </c>
      <c r="E917" s="460">
        <v>1</v>
      </c>
      <c r="G917" s="1748" t="s">
        <v>19</v>
      </c>
      <c r="H917" s="1749" t="s">
        <v>1239</v>
      </c>
      <c r="I917" s="1750" t="s">
        <v>6939</v>
      </c>
      <c r="J917" s="1751" t="s">
        <v>2802</v>
      </c>
      <c r="K917" s="1752" t="s">
        <v>1130</v>
      </c>
      <c r="L917" s="1753">
        <v>1</v>
      </c>
      <c r="M917" s="1753">
        <v>1013.3124919985378</v>
      </c>
      <c r="N917" s="1754">
        <v>1013.3124919985401</v>
      </c>
      <c r="O917" s="1761" t="s">
        <v>5384</v>
      </c>
      <c r="P917" s="1721" t="s">
        <v>9611</v>
      </c>
    </row>
    <row r="918" spans="1:16" ht="13.9" hidden="1" customHeight="1" outlineLevel="2" x14ac:dyDescent="0.2">
      <c r="A918" s="459">
        <v>0</v>
      </c>
      <c r="B918" s="459">
        <v>9</v>
      </c>
      <c r="C918" s="459">
        <v>1</v>
      </c>
      <c r="D918" s="460">
        <v>2</v>
      </c>
      <c r="E918" s="460">
        <v>0</v>
      </c>
      <c r="G918" s="1764"/>
      <c r="H918" s="1741" t="s">
        <v>1238</v>
      </c>
      <c r="I918" s="1742" t="s">
        <v>6940</v>
      </c>
      <c r="J918" s="1743" t="s">
        <v>3307</v>
      </c>
      <c r="K918" s="1744"/>
      <c r="L918" s="1745"/>
      <c r="M918" s="1745"/>
      <c r="N918" s="1746">
        <v>22367.255954230201</v>
      </c>
      <c r="O918" s="1762"/>
      <c r="P918" s="1720"/>
    </row>
    <row r="919" spans="1:16" ht="13.9" hidden="1" customHeight="1" outlineLevel="3" x14ac:dyDescent="0.2">
      <c r="A919" s="459">
        <v>0</v>
      </c>
      <c r="B919" s="459">
        <v>9</v>
      </c>
      <c r="C919" s="459">
        <v>1</v>
      </c>
      <c r="D919" s="460">
        <v>2</v>
      </c>
      <c r="E919" s="460">
        <v>1</v>
      </c>
      <c r="G919" s="1748" t="s">
        <v>19</v>
      </c>
      <c r="H919" s="1749" t="s">
        <v>1239</v>
      </c>
      <c r="I919" s="1750" t="s">
        <v>6941</v>
      </c>
      <c r="J919" s="1751" t="s">
        <v>3307</v>
      </c>
      <c r="K919" s="1752" t="s">
        <v>1130</v>
      </c>
      <c r="L919" s="1753">
        <v>1</v>
      </c>
      <c r="M919" s="1753">
        <v>22367.255954230244</v>
      </c>
      <c r="N919" s="1754">
        <v>22367.255954230201</v>
      </c>
      <c r="O919" s="1761" t="s">
        <v>5384</v>
      </c>
      <c r="P919" s="1721" t="s">
        <v>9611</v>
      </c>
    </row>
    <row r="920" spans="1:16" ht="13.9" hidden="1" customHeight="1" outlineLevel="2" x14ac:dyDescent="0.2">
      <c r="A920" s="459">
        <v>0</v>
      </c>
      <c r="B920" s="459">
        <v>9</v>
      </c>
      <c r="C920" s="459">
        <v>1</v>
      </c>
      <c r="D920" s="460">
        <v>3</v>
      </c>
      <c r="E920" s="460">
        <v>0</v>
      </c>
      <c r="G920" s="1764"/>
      <c r="H920" s="1741" t="s">
        <v>1238</v>
      </c>
      <c r="I920" s="1742" t="s">
        <v>6942</v>
      </c>
      <c r="J920" s="1743" t="s">
        <v>15</v>
      </c>
      <c r="K920" s="1744"/>
      <c r="L920" s="1745"/>
      <c r="M920" s="1745"/>
      <c r="N920" s="1746">
        <v>2902.0360285438901</v>
      </c>
      <c r="O920" s="1762"/>
      <c r="P920" s="1720"/>
    </row>
    <row r="921" spans="1:16" ht="13.9" hidden="1" customHeight="1" outlineLevel="3" x14ac:dyDescent="0.2">
      <c r="A921" s="459">
        <v>0</v>
      </c>
      <c r="B921" s="459">
        <v>9</v>
      </c>
      <c r="C921" s="459">
        <v>1</v>
      </c>
      <c r="D921" s="460">
        <v>3</v>
      </c>
      <c r="E921" s="460">
        <v>1</v>
      </c>
      <c r="G921" s="1748" t="s">
        <v>19</v>
      </c>
      <c r="H921" s="1749" t="s">
        <v>1239</v>
      </c>
      <c r="I921" s="1750" t="s">
        <v>6943</v>
      </c>
      <c r="J921" s="1751" t="s">
        <v>1260</v>
      </c>
      <c r="K921" s="1752" t="s">
        <v>1130</v>
      </c>
      <c r="L921" s="1753">
        <v>1</v>
      </c>
      <c r="M921" s="1753">
        <v>2902.0360285438901</v>
      </c>
      <c r="N921" s="1754">
        <v>2902.0360285438901</v>
      </c>
      <c r="O921" s="1761" t="s">
        <v>5384</v>
      </c>
      <c r="P921" s="1721" t="s">
        <v>9611</v>
      </c>
    </row>
    <row r="922" spans="1:16" ht="13.9" hidden="1" customHeight="1" outlineLevel="1" x14ac:dyDescent="0.2">
      <c r="A922" s="459">
        <v>0</v>
      </c>
      <c r="B922" s="459">
        <v>9</v>
      </c>
      <c r="C922" s="459">
        <v>2</v>
      </c>
      <c r="D922" s="460">
        <v>0</v>
      </c>
      <c r="E922" s="460">
        <v>1</v>
      </c>
      <c r="G922" s="1733"/>
      <c r="H922" s="1734" t="s">
        <v>39</v>
      </c>
      <c r="I922" s="1735" t="s">
        <v>6944</v>
      </c>
      <c r="J922" s="1736" t="s">
        <v>3309</v>
      </c>
      <c r="K922" s="1737"/>
      <c r="L922" s="1738"/>
      <c r="M922" s="1738"/>
      <c r="N922" s="1739">
        <v>5591.4490962267</v>
      </c>
      <c r="O922" s="1792"/>
      <c r="P922" s="1725"/>
    </row>
    <row r="923" spans="1:16" ht="13.9" hidden="1" customHeight="1" outlineLevel="2" x14ac:dyDescent="0.2">
      <c r="A923" s="459">
        <v>0</v>
      </c>
      <c r="B923" s="459">
        <v>9</v>
      </c>
      <c r="C923" s="459">
        <v>2</v>
      </c>
      <c r="D923" s="460">
        <v>1</v>
      </c>
      <c r="E923" s="460">
        <v>0</v>
      </c>
      <c r="G923" s="1764"/>
      <c r="H923" s="1741" t="s">
        <v>1238</v>
      </c>
      <c r="I923" s="1742" t="s">
        <v>6945</v>
      </c>
      <c r="J923" s="1743" t="s">
        <v>3307</v>
      </c>
      <c r="K923" s="1744"/>
      <c r="L923" s="1745"/>
      <c r="M923" s="1745"/>
      <c r="N923" s="1746">
        <v>2628.12328589769</v>
      </c>
      <c r="O923" s="1762"/>
      <c r="P923" s="1720"/>
    </row>
    <row r="924" spans="1:16" ht="13.9" hidden="1" customHeight="1" outlineLevel="3" x14ac:dyDescent="0.2">
      <c r="A924" s="459">
        <v>0</v>
      </c>
      <c r="B924" s="459">
        <v>9</v>
      </c>
      <c r="C924" s="459">
        <v>2</v>
      </c>
      <c r="D924" s="460">
        <v>1</v>
      </c>
      <c r="E924" s="460">
        <v>1</v>
      </c>
      <c r="G924" s="1748" t="s">
        <v>19</v>
      </c>
      <c r="H924" s="1749" t="s">
        <v>1239</v>
      </c>
      <c r="I924" s="1750" t="s">
        <v>6946</v>
      </c>
      <c r="J924" s="1751" t="s">
        <v>3307</v>
      </c>
      <c r="K924" s="1752" t="s">
        <v>1130</v>
      </c>
      <c r="L924" s="1753">
        <v>1</v>
      </c>
      <c r="M924" s="1753">
        <v>2628.1232858976855</v>
      </c>
      <c r="N924" s="1754">
        <v>2628.12328589769</v>
      </c>
      <c r="O924" s="1761" t="s">
        <v>5384</v>
      </c>
      <c r="P924" s="1721" t="s">
        <v>9611</v>
      </c>
    </row>
    <row r="925" spans="1:16" ht="13.9" hidden="1" customHeight="1" outlineLevel="2" x14ac:dyDescent="0.2">
      <c r="A925" s="459">
        <v>0</v>
      </c>
      <c r="B925" s="459">
        <v>9</v>
      </c>
      <c r="C925" s="459">
        <v>2</v>
      </c>
      <c r="D925" s="460">
        <v>2</v>
      </c>
      <c r="E925" s="460">
        <v>0</v>
      </c>
      <c r="G925" s="1764"/>
      <c r="H925" s="1741" t="s">
        <v>1238</v>
      </c>
      <c r="I925" s="1742" t="s">
        <v>6947</v>
      </c>
      <c r="J925" s="1743" t="s">
        <v>15</v>
      </c>
      <c r="K925" s="1744"/>
      <c r="L925" s="1745"/>
      <c r="M925" s="1745"/>
      <c r="N925" s="1746">
        <v>2963.32581032901</v>
      </c>
      <c r="O925" s="1762"/>
      <c r="P925" s="1720"/>
    </row>
    <row r="926" spans="1:16" ht="13.9" hidden="1" customHeight="1" outlineLevel="3" x14ac:dyDescent="0.2">
      <c r="A926" s="459">
        <v>0</v>
      </c>
      <c r="B926" s="459">
        <v>9</v>
      </c>
      <c r="C926" s="459">
        <v>2</v>
      </c>
      <c r="D926" s="460">
        <v>2</v>
      </c>
      <c r="E926" s="460">
        <v>1</v>
      </c>
      <c r="G926" s="1748" t="s">
        <v>19</v>
      </c>
      <c r="H926" s="1749" t="s">
        <v>1239</v>
      </c>
      <c r="I926" s="1750" t="s">
        <v>6948</v>
      </c>
      <c r="J926" s="1751" t="s">
        <v>1260</v>
      </c>
      <c r="K926" s="1752" t="s">
        <v>1130</v>
      </c>
      <c r="L926" s="1753">
        <v>1</v>
      </c>
      <c r="M926" s="1753">
        <v>2963.3258103290132</v>
      </c>
      <c r="N926" s="1754">
        <v>2963.32581032901</v>
      </c>
      <c r="O926" s="1761" t="s">
        <v>5384</v>
      </c>
      <c r="P926" s="1721" t="s">
        <v>9611</v>
      </c>
    </row>
    <row r="927" spans="1:16" ht="13.9" hidden="1" customHeight="1" outlineLevel="1" x14ac:dyDescent="0.2">
      <c r="A927" s="459">
        <v>0</v>
      </c>
      <c r="B927" s="459">
        <v>9</v>
      </c>
      <c r="C927" s="459">
        <v>3</v>
      </c>
      <c r="D927" s="460">
        <v>0</v>
      </c>
      <c r="E927" s="460">
        <v>1</v>
      </c>
      <c r="G927" s="1733"/>
      <c r="H927" s="1734" t="s">
        <v>39</v>
      </c>
      <c r="I927" s="1735" t="s">
        <v>6949</v>
      </c>
      <c r="J927" s="1736" t="s">
        <v>3310</v>
      </c>
      <c r="K927" s="1737"/>
      <c r="L927" s="1738"/>
      <c r="M927" s="1738"/>
      <c r="N927" s="1739">
        <v>27552.957507340099</v>
      </c>
      <c r="O927" s="1792"/>
      <c r="P927" s="1725"/>
    </row>
    <row r="928" spans="1:16" ht="13.9" hidden="1" customHeight="1" outlineLevel="2" x14ac:dyDescent="0.2">
      <c r="A928" s="459">
        <v>0</v>
      </c>
      <c r="B928" s="459">
        <v>9</v>
      </c>
      <c r="C928" s="459">
        <v>3</v>
      </c>
      <c r="D928" s="460">
        <v>1</v>
      </c>
      <c r="E928" s="460">
        <v>0</v>
      </c>
      <c r="G928" s="1764"/>
      <c r="H928" s="1741" t="s">
        <v>1238</v>
      </c>
      <c r="I928" s="1742" t="s">
        <v>6950</v>
      </c>
      <c r="J928" s="1743" t="s">
        <v>3307</v>
      </c>
      <c r="K928" s="1744"/>
      <c r="L928" s="1745"/>
      <c r="M928" s="1745"/>
      <c r="N928" s="1746">
        <v>24303.526409076301</v>
      </c>
      <c r="O928" s="1762"/>
      <c r="P928" s="1720"/>
    </row>
    <row r="929" spans="1:16" ht="13.9" hidden="1" customHeight="1" outlineLevel="3" x14ac:dyDescent="0.2">
      <c r="A929" s="459">
        <v>0</v>
      </c>
      <c r="B929" s="459">
        <v>9</v>
      </c>
      <c r="C929" s="459">
        <v>3</v>
      </c>
      <c r="D929" s="460">
        <v>1</v>
      </c>
      <c r="E929" s="460">
        <v>1</v>
      </c>
      <c r="G929" s="1748" t="s">
        <v>19</v>
      </c>
      <c r="H929" s="1749" t="s">
        <v>1239</v>
      </c>
      <c r="I929" s="1750" t="s">
        <v>6951</v>
      </c>
      <c r="J929" s="1751" t="s">
        <v>3307</v>
      </c>
      <c r="K929" s="1752" t="s">
        <v>1130</v>
      </c>
      <c r="L929" s="1753">
        <v>1</v>
      </c>
      <c r="M929" s="1753">
        <v>24303.526409076258</v>
      </c>
      <c r="N929" s="1754">
        <v>24303.526409076301</v>
      </c>
      <c r="O929" s="1761" t="s">
        <v>5384</v>
      </c>
      <c r="P929" s="1721" t="s">
        <v>9611</v>
      </c>
    </row>
    <row r="930" spans="1:16" ht="13.9" hidden="1" customHeight="1" outlineLevel="2" x14ac:dyDescent="0.2">
      <c r="A930" s="459">
        <v>0</v>
      </c>
      <c r="B930" s="459">
        <v>9</v>
      </c>
      <c r="C930" s="459">
        <v>3</v>
      </c>
      <c r="D930" s="460">
        <v>2</v>
      </c>
      <c r="E930" s="460">
        <v>0</v>
      </c>
      <c r="G930" s="1764"/>
      <c r="H930" s="1741" t="s">
        <v>1238</v>
      </c>
      <c r="I930" s="1742" t="s">
        <v>6952</v>
      </c>
      <c r="J930" s="1743" t="s">
        <v>15</v>
      </c>
      <c r="K930" s="1744"/>
      <c r="L930" s="1745"/>
      <c r="M930" s="1745"/>
      <c r="N930" s="1746">
        <v>3249.4310982637899</v>
      </c>
      <c r="O930" s="1762"/>
      <c r="P930" s="1720"/>
    </row>
    <row r="931" spans="1:16" ht="13.9" hidden="1" customHeight="1" outlineLevel="3" x14ac:dyDescent="0.2">
      <c r="A931" s="459">
        <v>0</v>
      </c>
      <c r="B931" s="459">
        <v>9</v>
      </c>
      <c r="C931" s="459">
        <v>3</v>
      </c>
      <c r="D931" s="460">
        <v>2</v>
      </c>
      <c r="E931" s="460">
        <v>1</v>
      </c>
      <c r="G931" s="1748" t="s">
        <v>19</v>
      </c>
      <c r="H931" s="1749" t="s">
        <v>1239</v>
      </c>
      <c r="I931" s="1750" t="s">
        <v>6953</v>
      </c>
      <c r="J931" s="1751" t="s">
        <v>1260</v>
      </c>
      <c r="K931" s="1752" t="s">
        <v>1130</v>
      </c>
      <c r="L931" s="1753">
        <v>1</v>
      </c>
      <c r="M931" s="1753">
        <v>3249.431098263794</v>
      </c>
      <c r="N931" s="1754">
        <v>3249.4310982637899</v>
      </c>
      <c r="O931" s="1761" t="s">
        <v>5384</v>
      </c>
      <c r="P931" s="1721" t="s">
        <v>9611</v>
      </c>
    </row>
    <row r="932" spans="1:16" ht="13.9" hidden="1" customHeight="1" outlineLevel="1" x14ac:dyDescent="0.2">
      <c r="A932" s="459">
        <v>0</v>
      </c>
      <c r="B932" s="459">
        <v>9</v>
      </c>
      <c r="C932" s="459">
        <v>4</v>
      </c>
      <c r="D932" s="460">
        <v>0</v>
      </c>
      <c r="E932" s="460">
        <v>1</v>
      </c>
      <c r="G932" s="1733"/>
      <c r="H932" s="1734" t="s">
        <v>39</v>
      </c>
      <c r="I932" s="1735" t="s">
        <v>6954</v>
      </c>
      <c r="J932" s="1736" t="s">
        <v>3311</v>
      </c>
      <c r="K932" s="1737"/>
      <c r="L932" s="1738"/>
      <c r="M932" s="1738"/>
      <c r="N932" s="1739">
        <v>4125.4721935630196</v>
      </c>
      <c r="O932" s="1792"/>
      <c r="P932" s="1725"/>
    </row>
    <row r="933" spans="1:16" ht="13.9" hidden="1" customHeight="1" outlineLevel="2" x14ac:dyDescent="0.2">
      <c r="A933" s="459">
        <v>0</v>
      </c>
      <c r="B933" s="459">
        <v>9</v>
      </c>
      <c r="C933" s="459">
        <v>4</v>
      </c>
      <c r="D933" s="460">
        <v>1</v>
      </c>
      <c r="E933" s="460">
        <v>0</v>
      </c>
      <c r="G933" s="1764"/>
      <c r="H933" s="1741" t="s">
        <v>1238</v>
      </c>
      <c r="I933" s="1742" t="s">
        <v>6955</v>
      </c>
      <c r="J933" s="1743" t="s">
        <v>3307</v>
      </c>
      <c r="K933" s="1744"/>
      <c r="L933" s="1745"/>
      <c r="M933" s="1745"/>
      <c r="N933" s="1746">
        <v>876.04109529922903</v>
      </c>
      <c r="O933" s="1762"/>
      <c r="P933" s="1720"/>
    </row>
    <row r="934" spans="1:16" ht="13.9" hidden="1" customHeight="1" outlineLevel="3" x14ac:dyDescent="0.2">
      <c r="A934" s="459">
        <v>0</v>
      </c>
      <c r="B934" s="459">
        <v>9</v>
      </c>
      <c r="C934" s="459">
        <v>4</v>
      </c>
      <c r="D934" s="460">
        <v>1</v>
      </c>
      <c r="E934" s="460">
        <v>1</v>
      </c>
      <c r="G934" s="1748" t="s">
        <v>19</v>
      </c>
      <c r="H934" s="1749" t="s">
        <v>1239</v>
      </c>
      <c r="I934" s="1750" t="s">
        <v>6956</v>
      </c>
      <c r="J934" s="1751" t="s">
        <v>3307</v>
      </c>
      <c r="K934" s="1752" t="s">
        <v>1130</v>
      </c>
      <c r="L934" s="1753">
        <v>1</v>
      </c>
      <c r="M934" s="1753">
        <v>876.04109529922857</v>
      </c>
      <c r="N934" s="1754">
        <v>876.04109529922903</v>
      </c>
      <c r="O934" s="1761" t="s">
        <v>5384</v>
      </c>
      <c r="P934" s="1721" t="s">
        <v>9611</v>
      </c>
    </row>
    <row r="935" spans="1:16" ht="13.9" hidden="1" customHeight="1" outlineLevel="2" x14ac:dyDescent="0.2">
      <c r="A935" s="459">
        <v>0</v>
      </c>
      <c r="B935" s="459">
        <v>9</v>
      </c>
      <c r="C935" s="459">
        <v>4</v>
      </c>
      <c r="D935" s="460">
        <v>2</v>
      </c>
      <c r="E935" s="460">
        <v>0</v>
      </c>
      <c r="G935" s="1764"/>
      <c r="H935" s="1741" t="s">
        <v>1238</v>
      </c>
      <c r="I935" s="1742" t="s">
        <v>6957</v>
      </c>
      <c r="J935" s="1743" t="s">
        <v>15</v>
      </c>
      <c r="K935" s="1744"/>
      <c r="L935" s="1745"/>
      <c r="M935" s="1745"/>
      <c r="N935" s="1746">
        <v>3249.4310982637899</v>
      </c>
      <c r="O935" s="1762"/>
      <c r="P935" s="1720"/>
    </row>
    <row r="936" spans="1:16" ht="13.9" hidden="1" customHeight="1" outlineLevel="3" x14ac:dyDescent="0.2">
      <c r="A936" s="459">
        <v>0</v>
      </c>
      <c r="B936" s="459">
        <v>9</v>
      </c>
      <c r="C936" s="459">
        <v>4</v>
      </c>
      <c r="D936" s="460">
        <v>2</v>
      </c>
      <c r="E936" s="460">
        <v>1</v>
      </c>
      <c r="G936" s="1748" t="s">
        <v>19</v>
      </c>
      <c r="H936" s="1749" t="s">
        <v>1239</v>
      </c>
      <c r="I936" s="1750" t="s">
        <v>6958</v>
      </c>
      <c r="J936" s="1751" t="s">
        <v>1260</v>
      </c>
      <c r="K936" s="1752" t="s">
        <v>1130</v>
      </c>
      <c r="L936" s="1753">
        <v>1</v>
      </c>
      <c r="M936" s="1753">
        <v>3249.431098263794</v>
      </c>
      <c r="N936" s="1754">
        <v>3249.4310982637899</v>
      </c>
      <c r="O936" s="1761" t="s">
        <v>5384</v>
      </c>
      <c r="P936" s="1721" t="s">
        <v>9611</v>
      </c>
    </row>
    <row r="937" spans="1:16" ht="13.9" hidden="1" customHeight="1" outlineLevel="1" x14ac:dyDescent="0.2">
      <c r="A937" s="459">
        <v>0</v>
      </c>
      <c r="B937" s="459">
        <v>9</v>
      </c>
      <c r="C937" s="459">
        <v>5</v>
      </c>
      <c r="D937" s="460">
        <v>0</v>
      </c>
      <c r="E937" s="460">
        <v>1</v>
      </c>
      <c r="G937" s="1733"/>
      <c r="H937" s="1734" t="s">
        <v>39</v>
      </c>
      <c r="I937" s="1735" t="s">
        <v>6959</v>
      </c>
      <c r="J937" s="1736" t="s">
        <v>3312</v>
      </c>
      <c r="K937" s="1737"/>
      <c r="L937" s="1738"/>
      <c r="M937" s="1738"/>
      <c r="N937" s="1739">
        <v>4178.22933507993</v>
      </c>
      <c r="O937" s="1792"/>
      <c r="P937" s="1725"/>
    </row>
    <row r="938" spans="1:16" ht="13.9" hidden="1" customHeight="1" outlineLevel="2" x14ac:dyDescent="0.2">
      <c r="A938" s="459">
        <v>0</v>
      </c>
      <c r="B938" s="459">
        <v>9</v>
      </c>
      <c r="C938" s="459">
        <v>5</v>
      </c>
      <c r="D938" s="460">
        <v>1</v>
      </c>
      <c r="E938" s="460">
        <v>0</v>
      </c>
      <c r="G938" s="1764"/>
      <c r="H938" s="1741" t="s">
        <v>1238</v>
      </c>
      <c r="I938" s="1742" t="s">
        <v>6960</v>
      </c>
      <c r="J938" s="1743" t="s">
        <v>3307</v>
      </c>
      <c r="K938" s="1744"/>
      <c r="L938" s="1745"/>
      <c r="M938" s="1745"/>
      <c r="N938" s="1746">
        <v>928.798236816138</v>
      </c>
      <c r="O938" s="1762"/>
      <c r="P938" s="1720"/>
    </row>
    <row r="939" spans="1:16" ht="13.9" hidden="1" customHeight="1" outlineLevel="3" x14ac:dyDescent="0.2">
      <c r="A939" s="459">
        <v>0</v>
      </c>
      <c r="B939" s="459">
        <v>9</v>
      </c>
      <c r="C939" s="459">
        <v>5</v>
      </c>
      <c r="D939" s="460">
        <v>1</v>
      </c>
      <c r="E939" s="460">
        <v>1</v>
      </c>
      <c r="G939" s="1748" t="s">
        <v>19</v>
      </c>
      <c r="H939" s="1749" t="s">
        <v>1239</v>
      </c>
      <c r="I939" s="1750" t="s">
        <v>6961</v>
      </c>
      <c r="J939" s="1751" t="s">
        <v>3307</v>
      </c>
      <c r="K939" s="1752" t="s">
        <v>1130</v>
      </c>
      <c r="L939" s="1753">
        <v>1</v>
      </c>
      <c r="M939" s="1753">
        <v>928.79823681613755</v>
      </c>
      <c r="N939" s="1754">
        <v>928.798236816138</v>
      </c>
      <c r="O939" s="1761" t="s">
        <v>5384</v>
      </c>
      <c r="P939" s="1721" t="s">
        <v>9611</v>
      </c>
    </row>
    <row r="940" spans="1:16" ht="13.9" hidden="1" customHeight="1" outlineLevel="2" x14ac:dyDescent="0.2">
      <c r="A940" s="459">
        <v>0</v>
      </c>
      <c r="B940" s="459">
        <v>9</v>
      </c>
      <c r="C940" s="459">
        <v>5</v>
      </c>
      <c r="D940" s="460">
        <v>2</v>
      </c>
      <c r="E940" s="460">
        <v>0</v>
      </c>
      <c r="G940" s="1764"/>
      <c r="H940" s="1741" t="s">
        <v>1238</v>
      </c>
      <c r="I940" s="1742" t="s">
        <v>6962</v>
      </c>
      <c r="J940" s="1743" t="s">
        <v>15</v>
      </c>
      <c r="K940" s="1744"/>
      <c r="L940" s="1745"/>
      <c r="M940" s="1745"/>
      <c r="N940" s="1746">
        <v>3249.4310982637899</v>
      </c>
      <c r="O940" s="1762"/>
      <c r="P940" s="1720"/>
    </row>
    <row r="941" spans="1:16" ht="13.9" hidden="1" customHeight="1" outlineLevel="3" x14ac:dyDescent="0.2">
      <c r="A941" s="459">
        <v>0</v>
      </c>
      <c r="B941" s="459">
        <v>9</v>
      </c>
      <c r="C941" s="459">
        <v>5</v>
      </c>
      <c r="D941" s="460">
        <v>2</v>
      </c>
      <c r="E941" s="460">
        <v>1</v>
      </c>
      <c r="G941" s="1748" t="s">
        <v>19</v>
      </c>
      <c r="H941" s="1749" t="s">
        <v>1239</v>
      </c>
      <c r="I941" s="1750" t="s">
        <v>6963</v>
      </c>
      <c r="J941" s="1751" t="s">
        <v>1260</v>
      </c>
      <c r="K941" s="1752" t="s">
        <v>1130</v>
      </c>
      <c r="L941" s="1753">
        <v>1</v>
      </c>
      <c r="M941" s="1753">
        <v>3249.431098263794</v>
      </c>
      <c r="N941" s="1754">
        <v>3249.4310982637899</v>
      </c>
      <c r="O941" s="1761" t="s">
        <v>5384</v>
      </c>
      <c r="P941" s="1721" t="s">
        <v>9611</v>
      </c>
    </row>
    <row r="942" spans="1:16" ht="13.9" hidden="1" customHeight="1" outlineLevel="1" x14ac:dyDescent="0.2">
      <c r="A942" s="459">
        <v>0</v>
      </c>
      <c r="B942" s="459">
        <v>9</v>
      </c>
      <c r="C942" s="459">
        <v>6</v>
      </c>
      <c r="D942" s="460">
        <v>0</v>
      </c>
      <c r="E942" s="460">
        <v>1</v>
      </c>
      <c r="G942" s="1733"/>
      <c r="H942" s="1734" t="s">
        <v>39</v>
      </c>
      <c r="I942" s="1735" t="s">
        <v>6964</v>
      </c>
      <c r="J942" s="1736" t="s">
        <v>3313</v>
      </c>
      <c r="K942" s="1737"/>
      <c r="L942" s="1738"/>
      <c r="M942" s="1738"/>
      <c r="N942" s="1739">
        <v>4298.3190950152803</v>
      </c>
      <c r="O942" s="1792"/>
      <c r="P942" s="1725"/>
    </row>
    <row r="943" spans="1:16" ht="13.9" hidden="1" customHeight="1" outlineLevel="2" x14ac:dyDescent="0.2">
      <c r="A943" s="459">
        <v>0</v>
      </c>
      <c r="B943" s="459">
        <v>9</v>
      </c>
      <c r="C943" s="459">
        <v>6</v>
      </c>
      <c r="D943" s="460">
        <v>1</v>
      </c>
      <c r="E943" s="460">
        <v>0</v>
      </c>
      <c r="G943" s="1764"/>
      <c r="H943" s="1741" t="s">
        <v>1238</v>
      </c>
      <c r="I943" s="1742" t="s">
        <v>6965</v>
      </c>
      <c r="J943" s="1743" t="s">
        <v>3307</v>
      </c>
      <c r="K943" s="1744"/>
      <c r="L943" s="1745"/>
      <c r="M943" s="1745"/>
      <c r="N943" s="1746">
        <v>997.28917623836401</v>
      </c>
      <c r="O943" s="1762"/>
      <c r="P943" s="1720"/>
    </row>
    <row r="944" spans="1:16" ht="13.9" hidden="1" customHeight="1" outlineLevel="3" x14ac:dyDescent="0.2">
      <c r="A944" s="459">
        <v>0</v>
      </c>
      <c r="B944" s="459">
        <v>9</v>
      </c>
      <c r="C944" s="459">
        <v>6</v>
      </c>
      <c r="D944" s="460">
        <v>1</v>
      </c>
      <c r="E944" s="460">
        <v>1</v>
      </c>
      <c r="G944" s="1748" t="s">
        <v>19</v>
      </c>
      <c r="H944" s="1749" t="s">
        <v>1239</v>
      </c>
      <c r="I944" s="1750" t="s">
        <v>6966</v>
      </c>
      <c r="J944" s="1751" t="s">
        <v>3307</v>
      </c>
      <c r="K944" s="1752" t="s">
        <v>1130</v>
      </c>
      <c r="L944" s="1753">
        <v>1</v>
      </c>
      <c r="M944" s="1753">
        <v>997.28917623836389</v>
      </c>
      <c r="N944" s="1754">
        <v>997.28917623836401</v>
      </c>
      <c r="O944" s="1761" t="s">
        <v>5384</v>
      </c>
      <c r="P944" s="1721" t="s">
        <v>9611</v>
      </c>
    </row>
    <row r="945" spans="1:16" ht="13.9" hidden="1" customHeight="1" outlineLevel="2" x14ac:dyDescent="0.2">
      <c r="A945" s="459">
        <v>0</v>
      </c>
      <c r="B945" s="459">
        <v>9</v>
      </c>
      <c r="C945" s="459">
        <v>6</v>
      </c>
      <c r="D945" s="460">
        <v>2</v>
      </c>
      <c r="E945" s="460">
        <v>0</v>
      </c>
      <c r="G945" s="1764"/>
      <c r="H945" s="1741" t="s">
        <v>1238</v>
      </c>
      <c r="I945" s="1742" t="s">
        <v>6967</v>
      </c>
      <c r="J945" s="1743" t="s">
        <v>15</v>
      </c>
      <c r="K945" s="1744"/>
      <c r="L945" s="1745"/>
      <c r="M945" s="1745"/>
      <c r="N945" s="1746">
        <v>3301.0299187769201</v>
      </c>
      <c r="O945" s="1762"/>
      <c r="P945" s="1720"/>
    </row>
    <row r="946" spans="1:16" ht="13.9" hidden="1" customHeight="1" outlineLevel="3" x14ac:dyDescent="0.2">
      <c r="A946" s="459">
        <v>0</v>
      </c>
      <c r="B946" s="459">
        <v>9</v>
      </c>
      <c r="C946" s="459">
        <v>6</v>
      </c>
      <c r="D946" s="460">
        <v>2</v>
      </c>
      <c r="E946" s="460">
        <v>1</v>
      </c>
      <c r="G946" s="1748" t="s">
        <v>19</v>
      </c>
      <c r="H946" s="1749" t="s">
        <v>1239</v>
      </c>
      <c r="I946" s="1750" t="s">
        <v>6968</v>
      </c>
      <c r="J946" s="1751" t="s">
        <v>1260</v>
      </c>
      <c r="K946" s="1752" t="s">
        <v>1130</v>
      </c>
      <c r="L946" s="1753">
        <v>1</v>
      </c>
      <c r="M946" s="1753">
        <v>3301.0299187769183</v>
      </c>
      <c r="N946" s="1754">
        <v>3301.0299187769201</v>
      </c>
      <c r="O946" s="1761" t="s">
        <v>5384</v>
      </c>
      <c r="P946" s="1721" t="s">
        <v>9611</v>
      </c>
    </row>
    <row r="947" spans="1:16" ht="13.9" hidden="1" customHeight="1" outlineLevel="1" x14ac:dyDescent="0.2">
      <c r="A947" s="459">
        <v>0</v>
      </c>
      <c r="B947" s="459">
        <v>9</v>
      </c>
      <c r="C947" s="459">
        <v>7</v>
      </c>
      <c r="D947" s="460">
        <v>0</v>
      </c>
      <c r="E947" s="460">
        <v>1</v>
      </c>
      <c r="G947" s="1733"/>
      <c r="H947" s="1734" t="s">
        <v>39</v>
      </c>
      <c r="I947" s="1735" t="s">
        <v>6969</v>
      </c>
      <c r="J947" s="1736" t="s">
        <v>3314</v>
      </c>
      <c r="K947" s="1737"/>
      <c r="L947" s="1738"/>
      <c r="M947" s="1738"/>
      <c r="N947" s="1739">
        <v>6612.36043357779</v>
      </c>
      <c r="O947" s="1792"/>
      <c r="P947" s="1725"/>
    </row>
    <row r="948" spans="1:16" ht="13.9" hidden="1" customHeight="1" outlineLevel="2" x14ac:dyDescent="0.2">
      <c r="A948" s="459">
        <v>0</v>
      </c>
      <c r="B948" s="459">
        <v>9</v>
      </c>
      <c r="C948" s="459">
        <v>7</v>
      </c>
      <c r="D948" s="460">
        <v>1</v>
      </c>
      <c r="E948" s="460">
        <v>0</v>
      </c>
      <c r="G948" s="1764"/>
      <c r="H948" s="1741" t="s">
        <v>1238</v>
      </c>
      <c r="I948" s="1742" t="s">
        <v>6970</v>
      </c>
      <c r="J948" s="1743" t="s">
        <v>2802</v>
      </c>
      <c r="K948" s="1744"/>
      <c r="L948" s="1745"/>
      <c r="M948" s="1745"/>
      <c r="N948" s="1746">
        <v>202.662498399708</v>
      </c>
      <c r="O948" s="1762"/>
      <c r="P948" s="1720"/>
    </row>
    <row r="949" spans="1:16" ht="13.9" hidden="1" customHeight="1" outlineLevel="3" x14ac:dyDescent="0.2">
      <c r="A949" s="459">
        <v>0</v>
      </c>
      <c r="B949" s="459">
        <v>9</v>
      </c>
      <c r="C949" s="459">
        <v>7</v>
      </c>
      <c r="D949" s="460">
        <v>1</v>
      </c>
      <c r="E949" s="460">
        <v>1</v>
      </c>
      <c r="G949" s="1748" t="s">
        <v>19</v>
      </c>
      <c r="H949" s="1749" t="s">
        <v>1239</v>
      </c>
      <c r="I949" s="1750" t="s">
        <v>6971</v>
      </c>
      <c r="J949" s="1751" t="s">
        <v>2802</v>
      </c>
      <c r="K949" s="1752" t="s">
        <v>1130</v>
      </c>
      <c r="L949" s="1753">
        <v>1</v>
      </c>
      <c r="M949" s="1753">
        <v>202.66249839970757</v>
      </c>
      <c r="N949" s="1754">
        <v>202.662498399708</v>
      </c>
      <c r="O949" s="1761" t="s">
        <v>5384</v>
      </c>
      <c r="P949" s="1721" t="s">
        <v>9611</v>
      </c>
    </row>
    <row r="950" spans="1:16" ht="13.9" hidden="1" customHeight="1" outlineLevel="2" x14ac:dyDescent="0.2">
      <c r="A950" s="459">
        <v>0</v>
      </c>
      <c r="B950" s="459">
        <v>9</v>
      </c>
      <c r="C950" s="459">
        <v>7</v>
      </c>
      <c r="D950" s="460">
        <v>2</v>
      </c>
      <c r="E950" s="460">
        <v>0</v>
      </c>
      <c r="G950" s="1764"/>
      <c r="H950" s="1741" t="s">
        <v>1238</v>
      </c>
      <c r="I950" s="1742" t="s">
        <v>6972</v>
      </c>
      <c r="J950" s="1743" t="s">
        <v>3307</v>
      </c>
      <c r="K950" s="1744"/>
      <c r="L950" s="1745"/>
      <c r="M950" s="1745"/>
      <c r="N950" s="1746">
        <v>3108.66801640117</v>
      </c>
      <c r="O950" s="1762"/>
      <c r="P950" s="1720"/>
    </row>
    <row r="951" spans="1:16" ht="13.9" hidden="1" customHeight="1" outlineLevel="3" x14ac:dyDescent="0.2">
      <c r="A951" s="459">
        <v>0</v>
      </c>
      <c r="B951" s="459">
        <v>9</v>
      </c>
      <c r="C951" s="459">
        <v>7</v>
      </c>
      <c r="D951" s="460">
        <v>2</v>
      </c>
      <c r="E951" s="460">
        <v>1</v>
      </c>
      <c r="G951" s="1748" t="s">
        <v>19</v>
      </c>
      <c r="H951" s="1749" t="s">
        <v>1239</v>
      </c>
      <c r="I951" s="1750" t="s">
        <v>6973</v>
      </c>
      <c r="J951" s="1751" t="s">
        <v>3307</v>
      </c>
      <c r="K951" s="1752" t="s">
        <v>1130</v>
      </c>
      <c r="L951" s="1753">
        <v>1</v>
      </c>
      <c r="M951" s="1753">
        <v>3108.6680164011691</v>
      </c>
      <c r="N951" s="1754">
        <v>3108.66801640117</v>
      </c>
      <c r="O951" s="1761" t="s">
        <v>5384</v>
      </c>
      <c r="P951" s="1721" t="s">
        <v>9611</v>
      </c>
    </row>
    <row r="952" spans="1:16" ht="13.9" hidden="1" customHeight="1" outlineLevel="2" x14ac:dyDescent="0.2">
      <c r="A952" s="459">
        <v>0</v>
      </c>
      <c r="B952" s="459">
        <v>9</v>
      </c>
      <c r="C952" s="459">
        <v>7</v>
      </c>
      <c r="D952" s="460">
        <v>3</v>
      </c>
      <c r="E952" s="460">
        <v>0</v>
      </c>
      <c r="G952" s="1764"/>
      <c r="H952" s="1741" t="s">
        <v>1238</v>
      </c>
      <c r="I952" s="1742" t="s">
        <v>6974</v>
      </c>
      <c r="J952" s="1743" t="s">
        <v>15</v>
      </c>
      <c r="K952" s="1744"/>
      <c r="L952" s="1745"/>
      <c r="M952" s="1745"/>
      <c r="N952" s="1746">
        <v>3301.0299187769201</v>
      </c>
      <c r="O952" s="1762"/>
      <c r="P952" s="1720"/>
    </row>
    <row r="953" spans="1:16" ht="13.9" hidden="1" customHeight="1" outlineLevel="3" x14ac:dyDescent="0.2">
      <c r="A953" s="459">
        <v>0</v>
      </c>
      <c r="B953" s="459">
        <v>9</v>
      </c>
      <c r="C953" s="459">
        <v>7</v>
      </c>
      <c r="D953" s="460">
        <v>3</v>
      </c>
      <c r="E953" s="460">
        <v>1</v>
      </c>
      <c r="G953" s="1748" t="s">
        <v>19</v>
      </c>
      <c r="H953" s="1749" t="s">
        <v>1239</v>
      </c>
      <c r="I953" s="1750" t="s">
        <v>6975</v>
      </c>
      <c r="J953" s="1751" t="s">
        <v>1260</v>
      </c>
      <c r="K953" s="1752" t="s">
        <v>1130</v>
      </c>
      <c r="L953" s="1753">
        <v>1</v>
      </c>
      <c r="M953" s="1753">
        <v>3301.0299187769183</v>
      </c>
      <c r="N953" s="1754">
        <v>3301.0299187769201</v>
      </c>
      <c r="O953" s="1761" t="s">
        <v>5384</v>
      </c>
      <c r="P953" s="1721" t="s">
        <v>9611</v>
      </c>
    </row>
    <row r="954" spans="1:16" ht="13.9" hidden="1" customHeight="1" outlineLevel="1" x14ac:dyDescent="0.2">
      <c r="A954" s="459">
        <v>0</v>
      </c>
      <c r="B954" s="459">
        <v>9</v>
      </c>
      <c r="C954" s="459">
        <v>8</v>
      </c>
      <c r="D954" s="460">
        <v>0</v>
      </c>
      <c r="E954" s="460">
        <v>1</v>
      </c>
      <c r="G954" s="1733"/>
      <c r="H954" s="1734" t="s">
        <v>39</v>
      </c>
      <c r="I954" s="1735" t="s">
        <v>6976</v>
      </c>
      <c r="J954" s="1736" t="s">
        <v>3315</v>
      </c>
      <c r="K954" s="1737"/>
      <c r="L954" s="1738"/>
      <c r="M954" s="1738"/>
      <c r="N954" s="1739">
        <v>5977.5606898403903</v>
      </c>
      <c r="O954" s="1792"/>
      <c r="P954" s="1725"/>
    </row>
    <row r="955" spans="1:16" ht="13.9" hidden="1" customHeight="1" outlineLevel="2" x14ac:dyDescent="0.2">
      <c r="A955" s="459">
        <v>0</v>
      </c>
      <c r="B955" s="459">
        <v>9</v>
      </c>
      <c r="C955" s="459">
        <v>8</v>
      </c>
      <c r="D955" s="460">
        <v>1</v>
      </c>
      <c r="E955" s="460">
        <v>0</v>
      </c>
      <c r="G955" s="1764"/>
      <c r="H955" s="1741" t="s">
        <v>1238</v>
      </c>
      <c r="I955" s="1742" t="s">
        <v>6977</v>
      </c>
      <c r="J955" s="1743" t="s">
        <v>2802</v>
      </c>
      <c r="K955" s="1744"/>
      <c r="L955" s="1745"/>
      <c r="M955" s="1745"/>
      <c r="N955" s="1746">
        <v>333.94387051577399</v>
      </c>
      <c r="O955" s="1762"/>
      <c r="P955" s="1720"/>
    </row>
    <row r="956" spans="1:16" ht="13.9" hidden="1" customHeight="1" outlineLevel="3" x14ac:dyDescent="0.2">
      <c r="A956" s="459">
        <v>0</v>
      </c>
      <c r="B956" s="459">
        <v>9</v>
      </c>
      <c r="C956" s="459">
        <v>8</v>
      </c>
      <c r="D956" s="460">
        <v>1</v>
      </c>
      <c r="E956" s="460">
        <v>1</v>
      </c>
      <c r="G956" s="1748" t="s">
        <v>19</v>
      </c>
      <c r="H956" s="1749" t="s">
        <v>1239</v>
      </c>
      <c r="I956" s="1750" t="s">
        <v>6978</v>
      </c>
      <c r="J956" s="1751" t="s">
        <v>2802</v>
      </c>
      <c r="K956" s="1752" t="s">
        <v>1130</v>
      </c>
      <c r="L956" s="1753">
        <v>1</v>
      </c>
      <c r="M956" s="1753">
        <v>333.94387051577428</v>
      </c>
      <c r="N956" s="1754">
        <v>333.94387051577399</v>
      </c>
      <c r="O956" s="1761" t="s">
        <v>5384</v>
      </c>
      <c r="P956" s="1721" t="s">
        <v>9611</v>
      </c>
    </row>
    <row r="957" spans="1:16" ht="13.9" hidden="1" customHeight="1" outlineLevel="2" x14ac:dyDescent="0.2">
      <c r="A957" s="459">
        <v>0</v>
      </c>
      <c r="B957" s="459">
        <v>9</v>
      </c>
      <c r="C957" s="459">
        <v>8</v>
      </c>
      <c r="D957" s="460">
        <v>2</v>
      </c>
      <c r="E957" s="460">
        <v>0</v>
      </c>
      <c r="G957" s="1764"/>
      <c r="H957" s="1741" t="s">
        <v>1238</v>
      </c>
      <c r="I957" s="1742" t="s">
        <v>6979</v>
      </c>
      <c r="J957" s="1743" t="s">
        <v>3307</v>
      </c>
      <c r="K957" s="1744"/>
      <c r="L957" s="1745"/>
      <c r="M957" s="1745"/>
      <c r="N957" s="1746">
        <v>3796.8968825799798</v>
      </c>
      <c r="O957" s="1762"/>
      <c r="P957" s="1720"/>
    </row>
    <row r="958" spans="1:16" ht="13.9" hidden="1" customHeight="1" outlineLevel="3" x14ac:dyDescent="0.2">
      <c r="A958" s="459">
        <v>0</v>
      </c>
      <c r="B958" s="459">
        <v>9</v>
      </c>
      <c r="C958" s="459">
        <v>8</v>
      </c>
      <c r="D958" s="460">
        <v>2</v>
      </c>
      <c r="E958" s="460">
        <v>1</v>
      </c>
      <c r="G958" s="1748" t="s">
        <v>19</v>
      </c>
      <c r="H958" s="1749" t="s">
        <v>1239</v>
      </c>
      <c r="I958" s="1750" t="s">
        <v>6980</v>
      </c>
      <c r="J958" s="1751" t="s">
        <v>3307</v>
      </c>
      <c r="K958" s="1752" t="s">
        <v>1130</v>
      </c>
      <c r="L958" s="1753">
        <v>1</v>
      </c>
      <c r="M958" s="1753">
        <v>3796.8968825799784</v>
      </c>
      <c r="N958" s="1754">
        <v>3796.8968825799798</v>
      </c>
      <c r="O958" s="1761" t="s">
        <v>5384</v>
      </c>
      <c r="P958" s="1721" t="s">
        <v>9611</v>
      </c>
    </row>
    <row r="959" spans="1:16" ht="13.9" hidden="1" customHeight="1" outlineLevel="2" x14ac:dyDescent="0.2">
      <c r="A959" s="459">
        <v>0</v>
      </c>
      <c r="B959" s="459">
        <v>9</v>
      </c>
      <c r="C959" s="459">
        <v>8</v>
      </c>
      <c r="D959" s="460">
        <v>3</v>
      </c>
      <c r="E959" s="460">
        <v>0</v>
      </c>
      <c r="G959" s="1764"/>
      <c r="H959" s="1741" t="s">
        <v>1238</v>
      </c>
      <c r="I959" s="1742" t="s">
        <v>6981</v>
      </c>
      <c r="J959" s="1743" t="s">
        <v>15</v>
      </c>
      <c r="K959" s="1744"/>
      <c r="L959" s="1745"/>
      <c r="M959" s="1745"/>
      <c r="N959" s="1746">
        <v>1846.7199367446401</v>
      </c>
      <c r="O959" s="1762"/>
      <c r="P959" s="1720"/>
    </row>
    <row r="960" spans="1:16" ht="13.9" hidden="1" customHeight="1" outlineLevel="3" x14ac:dyDescent="0.2">
      <c r="A960" s="459">
        <v>0</v>
      </c>
      <c r="B960" s="459">
        <v>9</v>
      </c>
      <c r="C960" s="459">
        <v>8</v>
      </c>
      <c r="D960" s="460">
        <v>3</v>
      </c>
      <c r="E960" s="460">
        <v>1</v>
      </c>
      <c r="G960" s="1748" t="s">
        <v>19</v>
      </c>
      <c r="H960" s="1749" t="s">
        <v>1239</v>
      </c>
      <c r="I960" s="1750" t="s">
        <v>6982</v>
      </c>
      <c r="J960" s="1751" t="s">
        <v>1260</v>
      </c>
      <c r="K960" s="1752" t="s">
        <v>1130</v>
      </c>
      <c r="L960" s="1753">
        <v>1</v>
      </c>
      <c r="M960" s="1753">
        <v>1846.7199367446378</v>
      </c>
      <c r="N960" s="1754">
        <v>1846.7199367446401</v>
      </c>
      <c r="O960" s="1761" t="s">
        <v>5384</v>
      </c>
      <c r="P960" s="1721" t="s">
        <v>9611</v>
      </c>
    </row>
    <row r="961" spans="1:16" ht="13.9" hidden="1" customHeight="1" outlineLevel="1" x14ac:dyDescent="0.2">
      <c r="A961" s="459">
        <v>0</v>
      </c>
      <c r="B961" s="459">
        <v>9</v>
      </c>
      <c r="C961" s="459">
        <v>9</v>
      </c>
      <c r="D961" s="460">
        <v>0</v>
      </c>
      <c r="E961" s="460">
        <v>1</v>
      </c>
      <c r="G961" s="1733"/>
      <c r="H961" s="1734" t="s">
        <v>39</v>
      </c>
      <c r="I961" s="1735" t="s">
        <v>6983</v>
      </c>
      <c r="J961" s="1736" t="s">
        <v>3316</v>
      </c>
      <c r="K961" s="1737"/>
      <c r="L961" s="1738"/>
      <c r="M961" s="1738"/>
      <c r="N961" s="1739">
        <v>5891.4923227798699</v>
      </c>
      <c r="O961" s="1792"/>
      <c r="P961" s="1725"/>
    </row>
    <row r="962" spans="1:16" ht="13.9" hidden="1" customHeight="1" outlineLevel="2" x14ac:dyDescent="0.2">
      <c r="A962" s="459">
        <v>0</v>
      </c>
      <c r="B962" s="459">
        <v>9</v>
      </c>
      <c r="C962" s="459">
        <v>9</v>
      </c>
      <c r="D962" s="460">
        <v>1</v>
      </c>
      <c r="E962" s="460">
        <v>0</v>
      </c>
      <c r="G962" s="1764"/>
      <c r="H962" s="1741" t="s">
        <v>1238</v>
      </c>
      <c r="I962" s="1742" t="s">
        <v>6984</v>
      </c>
      <c r="J962" s="1743" t="s">
        <v>2802</v>
      </c>
      <c r="K962" s="1744"/>
      <c r="L962" s="1745"/>
      <c r="M962" s="1745"/>
      <c r="N962" s="1746">
        <v>703.82788853100396</v>
      </c>
      <c r="O962" s="1762"/>
      <c r="P962" s="1720"/>
    </row>
    <row r="963" spans="1:16" ht="13.9" hidden="1" customHeight="1" outlineLevel="3" x14ac:dyDescent="0.2">
      <c r="A963" s="459">
        <v>0</v>
      </c>
      <c r="B963" s="459">
        <v>9</v>
      </c>
      <c r="C963" s="459">
        <v>9</v>
      </c>
      <c r="D963" s="460">
        <v>1</v>
      </c>
      <c r="E963" s="460">
        <v>1</v>
      </c>
      <c r="G963" s="1748" t="s">
        <v>19</v>
      </c>
      <c r="H963" s="1749" t="s">
        <v>1239</v>
      </c>
      <c r="I963" s="1750" t="s">
        <v>6985</v>
      </c>
      <c r="J963" s="1751" t="s">
        <v>2802</v>
      </c>
      <c r="K963" s="1752" t="s">
        <v>1130</v>
      </c>
      <c r="L963" s="1753">
        <v>1</v>
      </c>
      <c r="M963" s="1753">
        <v>703.82788853100408</v>
      </c>
      <c r="N963" s="1754">
        <v>703.82788853100396</v>
      </c>
      <c r="O963" s="1761" t="s">
        <v>5384</v>
      </c>
      <c r="P963" s="1721" t="s">
        <v>9611</v>
      </c>
    </row>
    <row r="964" spans="1:16" ht="13.9" hidden="1" customHeight="1" outlineLevel="2" x14ac:dyDescent="0.2">
      <c r="A964" s="459">
        <v>0</v>
      </c>
      <c r="B964" s="459">
        <v>9</v>
      </c>
      <c r="C964" s="459">
        <v>9</v>
      </c>
      <c r="D964" s="460">
        <v>2</v>
      </c>
      <c r="E964" s="460">
        <v>0</v>
      </c>
      <c r="G964" s="1764"/>
      <c r="H964" s="1741" t="s">
        <v>1238</v>
      </c>
      <c r="I964" s="1742" t="s">
        <v>6986</v>
      </c>
      <c r="J964" s="1743" t="s">
        <v>3307</v>
      </c>
      <c r="K964" s="1744"/>
      <c r="L964" s="1745"/>
      <c r="M964" s="1745"/>
      <c r="N964" s="1746">
        <v>3909.6041868008401</v>
      </c>
      <c r="O964" s="1762"/>
      <c r="P964" s="1720"/>
    </row>
    <row r="965" spans="1:16" ht="13.9" hidden="1" customHeight="1" outlineLevel="3" x14ac:dyDescent="0.2">
      <c r="A965" s="459">
        <v>0</v>
      </c>
      <c r="B965" s="459">
        <v>9</v>
      </c>
      <c r="C965" s="459">
        <v>9</v>
      </c>
      <c r="D965" s="460">
        <v>2</v>
      </c>
      <c r="E965" s="460">
        <v>1</v>
      </c>
      <c r="G965" s="1748" t="s">
        <v>19</v>
      </c>
      <c r="H965" s="1749" t="s">
        <v>1239</v>
      </c>
      <c r="I965" s="1750" t="s">
        <v>6987</v>
      </c>
      <c r="J965" s="1751" t="s">
        <v>3307</v>
      </c>
      <c r="K965" s="1752" t="s">
        <v>1130</v>
      </c>
      <c r="L965" s="1753">
        <v>1</v>
      </c>
      <c r="M965" s="1753">
        <v>3909.6041868008401</v>
      </c>
      <c r="N965" s="1754">
        <v>3909.6041868008401</v>
      </c>
      <c r="O965" s="1761" t="s">
        <v>5384</v>
      </c>
      <c r="P965" s="1721" t="s">
        <v>9611</v>
      </c>
    </row>
    <row r="966" spans="1:16" ht="13.9" hidden="1" customHeight="1" outlineLevel="2" x14ac:dyDescent="0.2">
      <c r="A966" s="459">
        <v>0</v>
      </c>
      <c r="B966" s="459">
        <v>9</v>
      </c>
      <c r="C966" s="459">
        <v>9</v>
      </c>
      <c r="D966" s="460">
        <v>3</v>
      </c>
      <c r="E966" s="460">
        <v>0</v>
      </c>
      <c r="G966" s="1764"/>
      <c r="H966" s="1741" t="s">
        <v>1238</v>
      </c>
      <c r="I966" s="1742" t="s">
        <v>6988</v>
      </c>
      <c r="J966" s="1743" t="s">
        <v>15</v>
      </c>
      <c r="K966" s="1744"/>
      <c r="L966" s="1745"/>
      <c r="M966" s="1745"/>
      <c r="N966" s="1746">
        <v>1278.0602474480199</v>
      </c>
      <c r="O966" s="1762"/>
      <c r="P966" s="1720"/>
    </row>
    <row r="967" spans="1:16" ht="13.9" hidden="1" customHeight="1" outlineLevel="3" x14ac:dyDescent="0.2">
      <c r="A967" s="459">
        <v>0</v>
      </c>
      <c r="B967" s="459">
        <v>9</v>
      </c>
      <c r="C967" s="459">
        <v>9</v>
      </c>
      <c r="D967" s="460">
        <v>3</v>
      </c>
      <c r="E967" s="460">
        <v>1</v>
      </c>
      <c r="G967" s="1748" t="s">
        <v>19</v>
      </c>
      <c r="H967" s="1749" t="s">
        <v>1239</v>
      </c>
      <c r="I967" s="1750" t="s">
        <v>6989</v>
      </c>
      <c r="J967" s="1751" t="s">
        <v>1260</v>
      </c>
      <c r="K967" s="1752" t="s">
        <v>1130</v>
      </c>
      <c r="L967" s="1753">
        <v>1</v>
      </c>
      <c r="M967" s="1753">
        <v>1278.0602474480233</v>
      </c>
      <c r="N967" s="1754">
        <v>1278.0602474480199</v>
      </c>
      <c r="O967" s="1761" t="s">
        <v>5384</v>
      </c>
      <c r="P967" s="1721" t="s">
        <v>9611</v>
      </c>
    </row>
    <row r="968" spans="1:16" ht="13.9" hidden="1" customHeight="1" outlineLevel="1" x14ac:dyDescent="0.2">
      <c r="A968" s="459">
        <v>0</v>
      </c>
      <c r="B968" s="459">
        <v>9</v>
      </c>
      <c r="C968" s="459">
        <v>10</v>
      </c>
      <c r="D968" s="460">
        <v>0</v>
      </c>
      <c r="E968" s="460">
        <v>1</v>
      </c>
      <c r="G968" s="1733"/>
      <c r="H968" s="1734" t="s">
        <v>39</v>
      </c>
      <c r="I968" s="1735" t="s">
        <v>6990</v>
      </c>
      <c r="J968" s="1736" t="s">
        <v>3317</v>
      </c>
      <c r="K968" s="1737"/>
      <c r="L968" s="1738"/>
      <c r="M968" s="1738"/>
      <c r="N968" s="1739">
        <v>48047.017865752103</v>
      </c>
      <c r="O968" s="1792"/>
      <c r="P968" s="1725"/>
    </row>
    <row r="969" spans="1:16" ht="13.9" hidden="1" customHeight="1" outlineLevel="2" x14ac:dyDescent="0.2">
      <c r="A969" s="459">
        <v>0</v>
      </c>
      <c r="B969" s="459">
        <v>9</v>
      </c>
      <c r="C969" s="459">
        <v>10</v>
      </c>
      <c r="D969" s="460">
        <v>1</v>
      </c>
      <c r="E969" s="460">
        <v>0</v>
      </c>
      <c r="G969" s="1764"/>
      <c r="H969" s="1741" t="s">
        <v>1238</v>
      </c>
      <c r="I969" s="1742" t="s">
        <v>6991</v>
      </c>
      <c r="J969" s="1743" t="s">
        <v>2802</v>
      </c>
      <c r="K969" s="1744"/>
      <c r="L969" s="1745"/>
      <c r="M969" s="1745"/>
      <c r="N969" s="1746">
        <v>5982.5370525135304</v>
      </c>
      <c r="O969" s="1762"/>
      <c r="P969" s="1720"/>
    </row>
    <row r="970" spans="1:16" ht="13.9" hidden="1" customHeight="1" outlineLevel="3" x14ac:dyDescent="0.2">
      <c r="A970" s="459">
        <v>0</v>
      </c>
      <c r="B970" s="459">
        <v>9</v>
      </c>
      <c r="C970" s="459">
        <v>10</v>
      </c>
      <c r="D970" s="460">
        <v>1</v>
      </c>
      <c r="E970" s="460">
        <v>1</v>
      </c>
      <c r="G970" s="1748" t="s">
        <v>19</v>
      </c>
      <c r="H970" s="1749" t="s">
        <v>1239</v>
      </c>
      <c r="I970" s="1750" t="s">
        <v>6992</v>
      </c>
      <c r="J970" s="1751" t="s">
        <v>2802</v>
      </c>
      <c r="K970" s="1752" t="s">
        <v>1130</v>
      </c>
      <c r="L970" s="1753">
        <v>1</v>
      </c>
      <c r="M970" s="1753">
        <v>5982.5370525135349</v>
      </c>
      <c r="N970" s="1754">
        <v>5982.5370525135304</v>
      </c>
      <c r="O970" s="1761" t="s">
        <v>5384</v>
      </c>
      <c r="P970" s="1721" t="s">
        <v>9611</v>
      </c>
    </row>
    <row r="971" spans="1:16" ht="13.9" hidden="1" customHeight="1" outlineLevel="2" x14ac:dyDescent="0.2">
      <c r="A971" s="459">
        <v>0</v>
      </c>
      <c r="B971" s="459">
        <v>9</v>
      </c>
      <c r="C971" s="459">
        <v>10</v>
      </c>
      <c r="D971" s="460">
        <v>2</v>
      </c>
      <c r="E971" s="460">
        <v>0</v>
      </c>
      <c r="G971" s="1764"/>
      <c r="H971" s="1741" t="s">
        <v>1238</v>
      </c>
      <c r="I971" s="1742" t="s">
        <v>6993</v>
      </c>
      <c r="J971" s="1743" t="s">
        <v>3307</v>
      </c>
      <c r="K971" s="1744"/>
      <c r="L971" s="1745"/>
      <c r="M971" s="1745"/>
      <c r="N971" s="1746">
        <v>33086.360020758497</v>
      </c>
      <c r="O971" s="1762"/>
      <c r="P971" s="1720"/>
    </row>
    <row r="972" spans="1:16" ht="13.9" hidden="1" customHeight="1" outlineLevel="3" x14ac:dyDescent="0.2">
      <c r="A972" s="459">
        <v>0</v>
      </c>
      <c r="B972" s="459">
        <v>9</v>
      </c>
      <c r="C972" s="459">
        <v>10</v>
      </c>
      <c r="D972" s="460">
        <v>2</v>
      </c>
      <c r="E972" s="460">
        <v>1</v>
      </c>
      <c r="G972" s="1748" t="s">
        <v>19</v>
      </c>
      <c r="H972" s="1749" t="s">
        <v>1239</v>
      </c>
      <c r="I972" s="1750" t="s">
        <v>6994</v>
      </c>
      <c r="J972" s="1751" t="s">
        <v>3307</v>
      </c>
      <c r="K972" s="1752" t="s">
        <v>1130</v>
      </c>
      <c r="L972" s="1753">
        <v>1</v>
      </c>
      <c r="M972" s="1753">
        <v>33086.360020758475</v>
      </c>
      <c r="N972" s="1754">
        <v>33086.360020758497</v>
      </c>
      <c r="O972" s="1761" t="s">
        <v>5384</v>
      </c>
      <c r="P972" s="1721" t="s">
        <v>9611</v>
      </c>
    </row>
    <row r="973" spans="1:16" ht="13.9" hidden="1" customHeight="1" outlineLevel="2" x14ac:dyDescent="0.2">
      <c r="A973" s="459">
        <v>0</v>
      </c>
      <c r="B973" s="459">
        <v>9</v>
      </c>
      <c r="C973" s="459">
        <v>10</v>
      </c>
      <c r="D973" s="460">
        <v>3</v>
      </c>
      <c r="E973" s="460">
        <v>0</v>
      </c>
      <c r="G973" s="1764"/>
      <c r="H973" s="1741" t="s">
        <v>1238</v>
      </c>
      <c r="I973" s="1742" t="s">
        <v>6995</v>
      </c>
      <c r="J973" s="1743" t="s">
        <v>15</v>
      </c>
      <c r="K973" s="1744"/>
      <c r="L973" s="1745"/>
      <c r="M973" s="1745"/>
      <c r="N973" s="1746">
        <v>8978.1207924800692</v>
      </c>
      <c r="O973" s="1762"/>
      <c r="P973" s="1720"/>
    </row>
    <row r="974" spans="1:16" ht="13.9" hidden="1" customHeight="1" outlineLevel="3" x14ac:dyDescent="0.2">
      <c r="A974" s="459">
        <v>0</v>
      </c>
      <c r="B974" s="459">
        <v>9</v>
      </c>
      <c r="C974" s="459">
        <v>10</v>
      </c>
      <c r="D974" s="460">
        <v>3</v>
      </c>
      <c r="E974" s="460">
        <v>1</v>
      </c>
      <c r="G974" s="1748" t="s">
        <v>19</v>
      </c>
      <c r="H974" s="1749" t="s">
        <v>1239</v>
      </c>
      <c r="I974" s="1750" t="s">
        <v>6996</v>
      </c>
      <c r="J974" s="1751" t="s">
        <v>1260</v>
      </c>
      <c r="K974" s="1752" t="s">
        <v>1130</v>
      </c>
      <c r="L974" s="1753">
        <v>1</v>
      </c>
      <c r="M974" s="1753">
        <v>8978.120792480071</v>
      </c>
      <c r="N974" s="1754">
        <v>8978.1207924800692</v>
      </c>
      <c r="O974" s="1761" t="s">
        <v>5384</v>
      </c>
      <c r="P974" s="1721" t="s">
        <v>9611</v>
      </c>
    </row>
    <row r="975" spans="1:16" ht="13.9" hidden="1" customHeight="1" outlineLevel="1" x14ac:dyDescent="0.2">
      <c r="A975" s="459">
        <v>0</v>
      </c>
      <c r="B975" s="459">
        <v>9</v>
      </c>
      <c r="C975" s="459">
        <v>11</v>
      </c>
      <c r="D975" s="460">
        <v>0</v>
      </c>
      <c r="E975" s="460">
        <v>1</v>
      </c>
      <c r="G975" s="1733"/>
      <c r="H975" s="1734" t="s">
        <v>39</v>
      </c>
      <c r="I975" s="1735" t="s">
        <v>6997</v>
      </c>
      <c r="J975" s="1736" t="s">
        <v>3318</v>
      </c>
      <c r="K975" s="1737"/>
      <c r="L975" s="1738"/>
      <c r="M975" s="1738"/>
      <c r="N975" s="1739">
        <v>102824.42640481501</v>
      </c>
      <c r="O975" s="1792"/>
      <c r="P975" s="1725"/>
    </row>
    <row r="976" spans="1:16" ht="13.9" hidden="1" customHeight="1" outlineLevel="2" x14ac:dyDescent="0.2">
      <c r="A976" s="459">
        <v>0</v>
      </c>
      <c r="B976" s="459">
        <v>9</v>
      </c>
      <c r="C976" s="459">
        <v>11</v>
      </c>
      <c r="D976" s="460">
        <v>1</v>
      </c>
      <c r="E976" s="460">
        <v>0</v>
      </c>
      <c r="G976" s="1764"/>
      <c r="H976" s="1741" t="s">
        <v>1238</v>
      </c>
      <c r="I976" s="1742" t="s">
        <v>6998</v>
      </c>
      <c r="J976" s="1743" t="s">
        <v>2802</v>
      </c>
      <c r="K976" s="1744"/>
      <c r="L976" s="1745"/>
      <c r="M976" s="1745"/>
      <c r="N976" s="1746">
        <v>7390.1928295755397</v>
      </c>
      <c r="O976" s="1762"/>
      <c r="P976" s="1720"/>
    </row>
    <row r="977" spans="1:16" ht="13.9" hidden="1" customHeight="1" outlineLevel="3" x14ac:dyDescent="0.2">
      <c r="A977" s="459">
        <v>0</v>
      </c>
      <c r="B977" s="459">
        <v>9</v>
      </c>
      <c r="C977" s="459">
        <v>11</v>
      </c>
      <c r="D977" s="460">
        <v>1</v>
      </c>
      <c r="E977" s="460">
        <v>1</v>
      </c>
      <c r="G977" s="1748" t="s">
        <v>19</v>
      </c>
      <c r="H977" s="1749" t="s">
        <v>1239</v>
      </c>
      <c r="I977" s="1750" t="s">
        <v>6999</v>
      </c>
      <c r="J977" s="1751" t="s">
        <v>2802</v>
      </c>
      <c r="K977" s="1752" t="s">
        <v>1130</v>
      </c>
      <c r="L977" s="1753">
        <v>1</v>
      </c>
      <c r="M977" s="1753">
        <v>7390.1928295755424</v>
      </c>
      <c r="N977" s="1754">
        <v>7390.1928295755397</v>
      </c>
      <c r="O977" s="1761" t="s">
        <v>5384</v>
      </c>
      <c r="P977" s="1721" t="s">
        <v>9611</v>
      </c>
    </row>
    <row r="978" spans="1:16" ht="13.9" hidden="1" customHeight="1" outlineLevel="2" x14ac:dyDescent="0.2">
      <c r="A978" s="459">
        <v>0</v>
      </c>
      <c r="B978" s="459">
        <v>9</v>
      </c>
      <c r="C978" s="459">
        <v>11</v>
      </c>
      <c r="D978" s="460">
        <v>2</v>
      </c>
      <c r="E978" s="460">
        <v>0</v>
      </c>
      <c r="G978" s="1764"/>
      <c r="H978" s="1741" t="s">
        <v>1238</v>
      </c>
      <c r="I978" s="1742" t="s">
        <v>7000</v>
      </c>
      <c r="J978" s="1743" t="s">
        <v>3307</v>
      </c>
      <c r="K978" s="1744"/>
      <c r="L978" s="1745"/>
      <c r="M978" s="1745"/>
      <c r="N978" s="1746">
        <v>71854.238391973995</v>
      </c>
      <c r="O978" s="1762"/>
      <c r="P978" s="1720"/>
    </row>
    <row r="979" spans="1:16" ht="13.9" hidden="1" customHeight="1" outlineLevel="3" x14ac:dyDescent="0.2">
      <c r="A979" s="459">
        <v>0</v>
      </c>
      <c r="B979" s="459">
        <v>9</v>
      </c>
      <c r="C979" s="459">
        <v>11</v>
      </c>
      <c r="D979" s="460">
        <v>2</v>
      </c>
      <c r="E979" s="460">
        <v>1</v>
      </c>
      <c r="G979" s="1748" t="s">
        <v>19</v>
      </c>
      <c r="H979" s="1749" t="s">
        <v>1239</v>
      </c>
      <c r="I979" s="1750" t="s">
        <v>7001</v>
      </c>
      <c r="J979" s="1751" t="s">
        <v>3307</v>
      </c>
      <c r="K979" s="1752" t="s">
        <v>1130</v>
      </c>
      <c r="L979" s="1753">
        <v>1</v>
      </c>
      <c r="M979" s="1753">
        <v>71854.238391973951</v>
      </c>
      <c r="N979" s="1754">
        <v>71854.238391973995</v>
      </c>
      <c r="O979" s="1761" t="s">
        <v>5384</v>
      </c>
      <c r="P979" s="1721" t="s">
        <v>9611</v>
      </c>
    </row>
    <row r="980" spans="1:16" ht="13.9" hidden="1" customHeight="1" outlineLevel="2" x14ac:dyDescent="0.2">
      <c r="A980" s="459">
        <v>0</v>
      </c>
      <c r="B980" s="459">
        <v>9</v>
      </c>
      <c r="C980" s="459">
        <v>11</v>
      </c>
      <c r="D980" s="460">
        <v>3</v>
      </c>
      <c r="E980" s="460">
        <v>0</v>
      </c>
      <c r="G980" s="1764"/>
      <c r="H980" s="1741" t="s">
        <v>1238</v>
      </c>
      <c r="I980" s="1742" t="s">
        <v>7002</v>
      </c>
      <c r="J980" s="1743" t="s">
        <v>15</v>
      </c>
      <c r="K980" s="1744"/>
      <c r="L980" s="1745"/>
      <c r="M980" s="1745"/>
      <c r="N980" s="1746">
        <v>23579.995183265499</v>
      </c>
      <c r="O980" s="1762"/>
      <c r="P980" s="1720"/>
    </row>
    <row r="981" spans="1:16" ht="13.9" hidden="1" customHeight="1" outlineLevel="3" x14ac:dyDescent="0.2">
      <c r="A981" s="459">
        <v>0</v>
      </c>
      <c r="B981" s="459">
        <v>9</v>
      </c>
      <c r="C981" s="459">
        <v>11</v>
      </c>
      <c r="D981" s="460">
        <v>3</v>
      </c>
      <c r="E981" s="460">
        <v>1</v>
      </c>
      <c r="G981" s="1748" t="s">
        <v>19</v>
      </c>
      <c r="H981" s="1749" t="s">
        <v>1239</v>
      </c>
      <c r="I981" s="1750" t="s">
        <v>7003</v>
      </c>
      <c r="J981" s="1751" t="s">
        <v>1260</v>
      </c>
      <c r="K981" s="1752" t="s">
        <v>1130</v>
      </c>
      <c r="L981" s="1753">
        <v>1</v>
      </c>
      <c r="M981" s="1753">
        <v>23579.995183265499</v>
      </c>
      <c r="N981" s="1754">
        <v>23579.995183265499</v>
      </c>
      <c r="O981" s="1761" t="s">
        <v>5384</v>
      </c>
      <c r="P981" s="1721" t="s">
        <v>9611</v>
      </c>
    </row>
    <row r="982" spans="1:16" ht="13.9" hidden="1" customHeight="1" outlineLevel="1" x14ac:dyDescent="0.2">
      <c r="A982" s="459">
        <v>0</v>
      </c>
      <c r="B982" s="459">
        <v>9</v>
      </c>
      <c r="C982" s="459">
        <v>12</v>
      </c>
      <c r="D982" s="460">
        <v>0</v>
      </c>
      <c r="E982" s="460">
        <v>1</v>
      </c>
      <c r="G982" s="1733"/>
      <c r="H982" s="1734" t="s">
        <v>39</v>
      </c>
      <c r="I982" s="1735" t="s">
        <v>7004</v>
      </c>
      <c r="J982" s="1736" t="s">
        <v>3319</v>
      </c>
      <c r="K982" s="1737"/>
      <c r="L982" s="1738"/>
      <c r="M982" s="1738"/>
      <c r="N982" s="1739">
        <v>1612.90082464391</v>
      </c>
      <c r="O982" s="1792"/>
      <c r="P982" s="1725"/>
    </row>
    <row r="983" spans="1:16" ht="13.9" hidden="1" customHeight="1" outlineLevel="2" x14ac:dyDescent="0.2">
      <c r="A983" s="459">
        <v>0</v>
      </c>
      <c r="B983" s="459">
        <v>9</v>
      </c>
      <c r="C983" s="459">
        <v>12</v>
      </c>
      <c r="D983" s="460">
        <v>1</v>
      </c>
      <c r="E983" s="460">
        <v>0</v>
      </c>
      <c r="G983" s="1764"/>
      <c r="H983" s="1741" t="s">
        <v>1238</v>
      </c>
      <c r="I983" s="1742" t="s">
        <v>7005</v>
      </c>
      <c r="J983" s="1743" t="s">
        <v>3307</v>
      </c>
      <c r="K983" s="1744"/>
      <c r="L983" s="1745"/>
      <c r="M983" s="1745"/>
      <c r="N983" s="1746">
        <v>490.04391115507599</v>
      </c>
      <c r="O983" s="1762"/>
      <c r="P983" s="1720"/>
    </row>
    <row r="984" spans="1:16" ht="13.9" hidden="1" customHeight="1" outlineLevel="3" x14ac:dyDescent="0.2">
      <c r="A984" s="459">
        <v>0</v>
      </c>
      <c r="B984" s="459">
        <v>9</v>
      </c>
      <c r="C984" s="459">
        <v>12</v>
      </c>
      <c r="D984" s="460">
        <v>1</v>
      </c>
      <c r="E984" s="460">
        <v>1</v>
      </c>
      <c r="G984" s="1748" t="s">
        <v>19</v>
      </c>
      <c r="H984" s="1749" t="s">
        <v>1239</v>
      </c>
      <c r="I984" s="1750" t="s">
        <v>7006</v>
      </c>
      <c r="J984" s="1751" t="s">
        <v>3307</v>
      </c>
      <c r="K984" s="1752" t="s">
        <v>1130</v>
      </c>
      <c r="L984" s="1753">
        <v>1</v>
      </c>
      <c r="M984" s="1753">
        <v>490.0439111550761</v>
      </c>
      <c r="N984" s="1754">
        <v>490.04391115507599</v>
      </c>
      <c r="O984" s="1761" t="s">
        <v>5384</v>
      </c>
      <c r="P984" s="1721" t="s">
        <v>9611</v>
      </c>
    </row>
    <row r="985" spans="1:16" ht="13.9" hidden="1" customHeight="1" outlineLevel="2" x14ac:dyDescent="0.2">
      <c r="A985" s="459">
        <v>0</v>
      </c>
      <c r="B985" s="459">
        <v>9</v>
      </c>
      <c r="C985" s="459">
        <v>12</v>
      </c>
      <c r="D985" s="460">
        <v>2</v>
      </c>
      <c r="E985" s="460">
        <v>0</v>
      </c>
      <c r="G985" s="1764"/>
      <c r="H985" s="1741" t="s">
        <v>1238</v>
      </c>
      <c r="I985" s="1742" t="s">
        <v>7007</v>
      </c>
      <c r="J985" s="1743" t="s">
        <v>15</v>
      </c>
      <c r="K985" s="1744"/>
      <c r="L985" s="1745"/>
      <c r="M985" s="1745"/>
      <c r="N985" s="1746">
        <v>1122.8569134888301</v>
      </c>
      <c r="O985" s="1762"/>
      <c r="P985" s="1720"/>
    </row>
    <row r="986" spans="1:16" ht="13.9" hidden="1" customHeight="1" outlineLevel="3" x14ac:dyDescent="0.2">
      <c r="A986" s="459">
        <v>0</v>
      </c>
      <c r="B986" s="459">
        <v>9</v>
      </c>
      <c r="C986" s="459">
        <v>12</v>
      </c>
      <c r="D986" s="460">
        <v>2</v>
      </c>
      <c r="E986" s="460">
        <v>1</v>
      </c>
      <c r="G986" s="1748" t="s">
        <v>19</v>
      </c>
      <c r="H986" s="1749" t="s">
        <v>1239</v>
      </c>
      <c r="I986" s="1750" t="s">
        <v>7008</v>
      </c>
      <c r="J986" s="1751" t="s">
        <v>1260</v>
      </c>
      <c r="K986" s="1752" t="s">
        <v>1130</v>
      </c>
      <c r="L986" s="1753">
        <v>1</v>
      </c>
      <c r="M986" s="1753">
        <v>1122.8569134888332</v>
      </c>
      <c r="N986" s="1754">
        <v>1122.8569134888301</v>
      </c>
      <c r="O986" s="1761" t="s">
        <v>5384</v>
      </c>
      <c r="P986" s="1721" t="s">
        <v>9611</v>
      </c>
    </row>
    <row r="987" spans="1:16" ht="13.9" hidden="1" customHeight="1" outlineLevel="1" x14ac:dyDescent="0.2">
      <c r="A987" s="459">
        <v>0</v>
      </c>
      <c r="B987" s="459">
        <v>9</v>
      </c>
      <c r="C987" s="459">
        <v>13</v>
      </c>
      <c r="D987" s="460">
        <v>0</v>
      </c>
      <c r="E987" s="460">
        <v>1</v>
      </c>
      <c r="G987" s="1733"/>
      <c r="H987" s="1734" t="s">
        <v>39</v>
      </c>
      <c r="I987" s="1735" t="s">
        <v>7009</v>
      </c>
      <c r="J987" s="1736" t="s">
        <v>3320</v>
      </c>
      <c r="K987" s="1737"/>
      <c r="L987" s="1738"/>
      <c r="M987" s="1738"/>
      <c r="N987" s="1739">
        <v>5893.8765023146198</v>
      </c>
      <c r="O987" s="1792"/>
      <c r="P987" s="1725"/>
    </row>
    <row r="988" spans="1:16" ht="13.9" hidden="1" customHeight="1" outlineLevel="2" x14ac:dyDescent="0.2">
      <c r="A988" s="459">
        <v>0</v>
      </c>
      <c r="B988" s="459">
        <v>9</v>
      </c>
      <c r="C988" s="459">
        <v>13</v>
      </c>
      <c r="D988" s="460">
        <v>1</v>
      </c>
      <c r="E988" s="460">
        <v>0</v>
      </c>
      <c r="G988" s="1764"/>
      <c r="H988" s="1741" t="s">
        <v>1238</v>
      </c>
      <c r="I988" s="1742" t="s">
        <v>7010</v>
      </c>
      <c r="J988" s="1743" t="s">
        <v>2802</v>
      </c>
      <c r="K988" s="1744"/>
      <c r="L988" s="1745"/>
      <c r="M988" s="1745"/>
      <c r="N988" s="1746">
        <v>351.91394426550198</v>
      </c>
      <c r="O988" s="1762"/>
      <c r="P988" s="1720"/>
    </row>
    <row r="989" spans="1:16" ht="13.9" hidden="1" customHeight="1" outlineLevel="3" x14ac:dyDescent="0.2">
      <c r="A989" s="459">
        <v>0</v>
      </c>
      <c r="B989" s="459">
        <v>9</v>
      </c>
      <c r="C989" s="459">
        <v>13</v>
      </c>
      <c r="D989" s="460">
        <v>1</v>
      </c>
      <c r="E989" s="460">
        <v>1</v>
      </c>
      <c r="G989" s="1748" t="s">
        <v>19</v>
      </c>
      <c r="H989" s="1749" t="s">
        <v>1239</v>
      </c>
      <c r="I989" s="1750" t="s">
        <v>7011</v>
      </c>
      <c r="J989" s="1751" t="s">
        <v>2802</v>
      </c>
      <c r="K989" s="1752" t="s">
        <v>1130</v>
      </c>
      <c r="L989" s="1753">
        <v>1</v>
      </c>
      <c r="M989" s="1753">
        <v>351.91394426550204</v>
      </c>
      <c r="N989" s="1754">
        <v>351.91394426550198</v>
      </c>
      <c r="O989" s="1761" t="s">
        <v>5384</v>
      </c>
      <c r="P989" s="1721" t="s">
        <v>9611</v>
      </c>
    </row>
    <row r="990" spans="1:16" ht="13.9" hidden="1" customHeight="1" outlineLevel="2" x14ac:dyDescent="0.2">
      <c r="A990" s="459">
        <v>0</v>
      </c>
      <c r="B990" s="459">
        <v>9</v>
      </c>
      <c r="C990" s="459">
        <v>13</v>
      </c>
      <c r="D990" s="460">
        <v>2</v>
      </c>
      <c r="E990" s="460">
        <v>0</v>
      </c>
      <c r="G990" s="1764"/>
      <c r="H990" s="1741" t="s">
        <v>1238</v>
      </c>
      <c r="I990" s="1742" t="s">
        <v>7012</v>
      </c>
      <c r="J990" s="1743" t="s">
        <v>3307</v>
      </c>
      <c r="K990" s="1744"/>
      <c r="L990" s="1745"/>
      <c r="M990" s="1745"/>
      <c r="N990" s="1746">
        <v>4458.3503388716999</v>
      </c>
      <c r="O990" s="1762"/>
      <c r="P990" s="1720"/>
    </row>
    <row r="991" spans="1:16" ht="13.9" hidden="1" customHeight="1" outlineLevel="3" x14ac:dyDescent="0.2">
      <c r="A991" s="459">
        <v>0</v>
      </c>
      <c r="B991" s="459">
        <v>9</v>
      </c>
      <c r="C991" s="459">
        <v>13</v>
      </c>
      <c r="D991" s="460">
        <v>2</v>
      </c>
      <c r="E991" s="460">
        <v>1</v>
      </c>
      <c r="G991" s="1748" t="s">
        <v>19</v>
      </c>
      <c r="H991" s="1749" t="s">
        <v>1239</v>
      </c>
      <c r="I991" s="1750" t="s">
        <v>7013</v>
      </c>
      <c r="J991" s="1751" t="s">
        <v>3307</v>
      </c>
      <c r="K991" s="1752" t="s">
        <v>1130</v>
      </c>
      <c r="L991" s="1753">
        <v>1</v>
      </c>
      <c r="M991" s="1753">
        <v>4458.3503388716954</v>
      </c>
      <c r="N991" s="1754">
        <v>4458.3503388716999</v>
      </c>
      <c r="O991" s="1761" t="s">
        <v>5384</v>
      </c>
      <c r="P991" s="1721" t="s">
        <v>9611</v>
      </c>
    </row>
    <row r="992" spans="1:16" ht="13.9" hidden="1" customHeight="1" outlineLevel="2" x14ac:dyDescent="0.2">
      <c r="A992" s="459">
        <v>0</v>
      </c>
      <c r="B992" s="459">
        <v>9</v>
      </c>
      <c r="C992" s="459">
        <v>13</v>
      </c>
      <c r="D992" s="460">
        <v>3</v>
      </c>
      <c r="E992" s="460">
        <v>0</v>
      </c>
      <c r="G992" s="1764"/>
      <c r="H992" s="1741" t="s">
        <v>1238</v>
      </c>
      <c r="I992" s="1742" t="s">
        <v>7014</v>
      </c>
      <c r="J992" s="1743" t="s">
        <v>15</v>
      </c>
      <c r="K992" s="1744"/>
      <c r="L992" s="1745"/>
      <c r="M992" s="1745"/>
      <c r="N992" s="1746">
        <v>1083.61221917742</v>
      </c>
      <c r="O992" s="1762"/>
      <c r="P992" s="1720"/>
    </row>
    <row r="993" spans="1:16" ht="13.9" hidden="1" customHeight="1" outlineLevel="3" x14ac:dyDescent="0.2">
      <c r="A993" s="459">
        <v>0</v>
      </c>
      <c r="B993" s="459">
        <v>9</v>
      </c>
      <c r="C993" s="459">
        <v>13</v>
      </c>
      <c r="D993" s="460">
        <v>3</v>
      </c>
      <c r="E993" s="460">
        <v>1</v>
      </c>
      <c r="G993" s="1748" t="s">
        <v>19</v>
      </c>
      <c r="H993" s="1749" t="s">
        <v>1239</v>
      </c>
      <c r="I993" s="1750" t="s">
        <v>7015</v>
      </c>
      <c r="J993" s="1751" t="s">
        <v>1260</v>
      </c>
      <c r="K993" s="1752" t="s">
        <v>1130</v>
      </c>
      <c r="L993" s="1753">
        <v>1</v>
      </c>
      <c r="M993" s="1753">
        <v>1083.6122191774173</v>
      </c>
      <c r="N993" s="1754">
        <v>1083.61221917742</v>
      </c>
      <c r="O993" s="1761" t="s">
        <v>5384</v>
      </c>
      <c r="P993" s="1721" t="s">
        <v>9611</v>
      </c>
    </row>
    <row r="994" spans="1:16" ht="13.9" hidden="1" customHeight="1" outlineLevel="1" x14ac:dyDescent="0.2">
      <c r="A994" s="459">
        <v>0</v>
      </c>
      <c r="B994" s="459">
        <v>9</v>
      </c>
      <c r="C994" s="459">
        <v>14</v>
      </c>
      <c r="D994" s="460">
        <v>0</v>
      </c>
      <c r="E994" s="460">
        <v>1</v>
      </c>
      <c r="G994" s="1733"/>
      <c r="H994" s="1734" t="s">
        <v>39</v>
      </c>
      <c r="I994" s="1735" t="s">
        <v>7016</v>
      </c>
      <c r="J994" s="1736" t="s">
        <v>3321</v>
      </c>
      <c r="K994" s="1737"/>
      <c r="L994" s="1738"/>
      <c r="M994" s="1738"/>
      <c r="N994" s="1739">
        <v>1111.33325427872</v>
      </c>
      <c r="O994" s="1792"/>
      <c r="P994" s="1725"/>
    </row>
    <row r="995" spans="1:16" ht="13.9" hidden="1" customHeight="1" outlineLevel="2" x14ac:dyDescent="0.2">
      <c r="A995" s="459">
        <v>0</v>
      </c>
      <c r="B995" s="459">
        <v>9</v>
      </c>
      <c r="C995" s="459">
        <v>14</v>
      </c>
      <c r="D995" s="460">
        <v>1</v>
      </c>
      <c r="E995" s="460">
        <v>0</v>
      </c>
      <c r="G995" s="1764"/>
      <c r="H995" s="1741" t="s">
        <v>1238</v>
      </c>
      <c r="I995" s="1742" t="s">
        <v>7017</v>
      </c>
      <c r="J995" s="1743" t="s">
        <v>3307</v>
      </c>
      <c r="K995" s="1744"/>
      <c r="L995" s="1745"/>
      <c r="M995" s="1745"/>
      <c r="N995" s="1746">
        <v>80.096612052258806</v>
      </c>
      <c r="O995" s="1762"/>
      <c r="P995" s="1720"/>
    </row>
    <row r="996" spans="1:16" ht="13.9" hidden="1" customHeight="1" outlineLevel="3" x14ac:dyDescent="0.2">
      <c r="A996" s="459">
        <v>0</v>
      </c>
      <c r="B996" s="459">
        <v>9</v>
      </c>
      <c r="C996" s="459">
        <v>14</v>
      </c>
      <c r="D996" s="460">
        <v>1</v>
      </c>
      <c r="E996" s="460">
        <v>1</v>
      </c>
      <c r="G996" s="1748" t="s">
        <v>19</v>
      </c>
      <c r="H996" s="1749" t="s">
        <v>1239</v>
      </c>
      <c r="I996" s="1750" t="s">
        <v>7018</v>
      </c>
      <c r="J996" s="1751" t="s">
        <v>3307</v>
      </c>
      <c r="K996" s="1752" t="s">
        <v>1130</v>
      </c>
      <c r="L996" s="1753">
        <v>1</v>
      </c>
      <c r="M996" s="1753">
        <v>80.096612052258791</v>
      </c>
      <c r="N996" s="1754">
        <v>80.096612052258806</v>
      </c>
      <c r="O996" s="1761" t="s">
        <v>5384</v>
      </c>
      <c r="P996" s="1721" t="s">
        <v>9611</v>
      </c>
    </row>
    <row r="997" spans="1:16" ht="13.9" hidden="1" customHeight="1" outlineLevel="2" x14ac:dyDescent="0.2">
      <c r="A997" s="459">
        <v>0</v>
      </c>
      <c r="B997" s="459">
        <v>9</v>
      </c>
      <c r="C997" s="459">
        <v>14</v>
      </c>
      <c r="D997" s="460">
        <v>2</v>
      </c>
      <c r="E997" s="460">
        <v>0</v>
      </c>
      <c r="G997" s="1764"/>
      <c r="H997" s="1741" t="s">
        <v>1238</v>
      </c>
      <c r="I997" s="1742" t="s">
        <v>7019</v>
      </c>
      <c r="J997" s="1743" t="s">
        <v>15</v>
      </c>
      <c r="K997" s="1744"/>
      <c r="L997" s="1745"/>
      <c r="M997" s="1745"/>
      <c r="N997" s="1746">
        <v>1031.2366422264599</v>
      </c>
      <c r="O997" s="1762"/>
      <c r="P997" s="1720"/>
    </row>
    <row r="998" spans="1:16" ht="13.9" hidden="1" customHeight="1" outlineLevel="3" x14ac:dyDescent="0.2">
      <c r="A998" s="459">
        <v>0</v>
      </c>
      <c r="B998" s="459">
        <v>9</v>
      </c>
      <c r="C998" s="459">
        <v>14</v>
      </c>
      <c r="D998" s="460">
        <v>2</v>
      </c>
      <c r="E998" s="460">
        <v>1</v>
      </c>
      <c r="G998" s="1748" t="s">
        <v>19</v>
      </c>
      <c r="H998" s="1749" t="s">
        <v>1239</v>
      </c>
      <c r="I998" s="1750" t="s">
        <v>7020</v>
      </c>
      <c r="J998" s="1751" t="s">
        <v>1260</v>
      </c>
      <c r="K998" s="1752" t="s">
        <v>1130</v>
      </c>
      <c r="L998" s="1753">
        <v>1</v>
      </c>
      <c r="M998" s="1753">
        <v>1031.2366422264606</v>
      </c>
      <c r="N998" s="1754">
        <v>1031.2366422264599</v>
      </c>
      <c r="O998" s="1761" t="s">
        <v>5384</v>
      </c>
      <c r="P998" s="1721" t="s">
        <v>9611</v>
      </c>
    </row>
    <row r="999" spans="1:16" ht="13.9" customHeight="1" collapsed="1" x14ac:dyDescent="0.2">
      <c r="A999" s="459">
        <v>0</v>
      </c>
      <c r="B999" s="459">
        <v>10</v>
      </c>
      <c r="C999" s="459">
        <v>0</v>
      </c>
      <c r="D999" s="460">
        <v>2</v>
      </c>
      <c r="E999" s="460">
        <v>1</v>
      </c>
      <c r="F999" s="474"/>
      <c r="G999" s="1791"/>
      <c r="H999" s="1727" t="s">
        <v>1237</v>
      </c>
      <c r="I999" s="1728" t="s">
        <v>7021</v>
      </c>
      <c r="J999" s="1729" t="s">
        <v>20</v>
      </c>
      <c r="K999" s="1730"/>
      <c r="L999" s="1731"/>
      <c r="M999" s="1731"/>
      <c r="N999" s="1732">
        <v>7315899.7379999999</v>
      </c>
      <c r="O999" s="1770">
        <v>436.778738805003</v>
      </c>
      <c r="P999" s="1724"/>
    </row>
    <row r="1000" spans="1:16" ht="13.9" hidden="1" customHeight="1" outlineLevel="1" x14ac:dyDescent="0.2">
      <c r="A1000" s="459">
        <v>0</v>
      </c>
      <c r="B1000" s="459">
        <v>10</v>
      </c>
      <c r="C1000" s="459">
        <v>1</v>
      </c>
      <c r="D1000" s="460">
        <v>0</v>
      </c>
      <c r="E1000" s="460">
        <v>1</v>
      </c>
      <c r="G1000" s="1763"/>
      <c r="H1000" s="1734" t="s">
        <v>39</v>
      </c>
      <c r="I1000" s="1735" t="s">
        <v>7022</v>
      </c>
      <c r="J1000" s="1736" t="s">
        <v>20</v>
      </c>
      <c r="K1000" s="1737"/>
      <c r="L1000" s="1738"/>
      <c r="M1000" s="1738"/>
      <c r="N1000" s="1739">
        <v>7315899.7379999999</v>
      </c>
      <c r="O1000" s="1722"/>
      <c r="P1000" s="1725"/>
    </row>
    <row r="1001" spans="1:16" ht="13.9" hidden="1" customHeight="1" outlineLevel="2" x14ac:dyDescent="0.2">
      <c r="A1001" s="459">
        <v>0</v>
      </c>
      <c r="B1001" s="459">
        <v>10</v>
      </c>
      <c r="C1001" s="459">
        <v>1</v>
      </c>
      <c r="D1001" s="460">
        <v>1</v>
      </c>
      <c r="E1001" s="460">
        <v>0</v>
      </c>
      <c r="G1001" s="1764"/>
      <c r="H1001" s="1741" t="s">
        <v>1238</v>
      </c>
      <c r="I1001" s="1742" t="s">
        <v>7023</v>
      </c>
      <c r="J1001" s="1743" t="s">
        <v>2803</v>
      </c>
      <c r="K1001" s="1744"/>
      <c r="L1001" s="1745"/>
      <c r="M1001" s="1745"/>
      <c r="N1001" s="1746">
        <v>335622.94799999997</v>
      </c>
      <c r="O1001" s="1747"/>
      <c r="P1001" s="1720"/>
    </row>
    <row r="1002" spans="1:16" ht="13.9" hidden="1" customHeight="1" outlineLevel="3" x14ac:dyDescent="0.2">
      <c r="A1002" s="459">
        <v>0</v>
      </c>
      <c r="B1002" s="459">
        <v>10</v>
      </c>
      <c r="C1002" s="459">
        <v>1</v>
      </c>
      <c r="D1002" s="460">
        <v>1</v>
      </c>
      <c r="E1002" s="460">
        <v>1</v>
      </c>
      <c r="G1002" s="1748" t="s">
        <v>2384</v>
      </c>
      <c r="H1002" s="1749" t="s">
        <v>1239</v>
      </c>
      <c r="I1002" s="1750" t="s">
        <v>7024</v>
      </c>
      <c r="J1002" s="1751" t="s">
        <v>2526</v>
      </c>
      <c r="K1002" s="1752" t="s">
        <v>1130</v>
      </c>
      <c r="L1002" s="1753">
        <v>1</v>
      </c>
      <c r="M1002" s="1753">
        <v>84457.098000000013</v>
      </c>
      <c r="N1002" s="1754">
        <v>84457.097999999998</v>
      </c>
      <c r="O1002" s="1755"/>
      <c r="P1002" s="1721" t="s">
        <v>9611</v>
      </c>
    </row>
    <row r="1003" spans="1:16" ht="13.9" hidden="1" customHeight="1" outlineLevel="3" x14ac:dyDescent="0.2">
      <c r="A1003" s="459">
        <v>0</v>
      </c>
      <c r="B1003" s="459">
        <v>10</v>
      </c>
      <c r="C1003" s="459">
        <v>1</v>
      </c>
      <c r="D1003" s="460">
        <v>1</v>
      </c>
      <c r="E1003" s="460">
        <v>2</v>
      </c>
      <c r="G1003" s="1748" t="s">
        <v>2384</v>
      </c>
      <c r="H1003" s="1749" t="s">
        <v>1239</v>
      </c>
      <c r="I1003" s="1750" t="s">
        <v>7025</v>
      </c>
      <c r="J1003" s="1751" t="s">
        <v>3306</v>
      </c>
      <c r="K1003" s="1752" t="s">
        <v>1130</v>
      </c>
      <c r="L1003" s="1753">
        <v>1</v>
      </c>
      <c r="M1003" s="1753">
        <v>251165.85</v>
      </c>
      <c r="N1003" s="1754">
        <v>251165.85</v>
      </c>
      <c r="O1003" s="1755"/>
      <c r="P1003" s="1721" t="s">
        <v>9611</v>
      </c>
    </row>
    <row r="1004" spans="1:16" ht="13.9" hidden="1" customHeight="1" outlineLevel="2" x14ac:dyDescent="0.2">
      <c r="A1004" s="459">
        <v>0</v>
      </c>
      <c r="B1004" s="459">
        <v>10</v>
      </c>
      <c r="C1004" s="459">
        <v>1</v>
      </c>
      <c r="D1004" s="460">
        <v>2</v>
      </c>
      <c r="E1004" s="460">
        <v>0</v>
      </c>
      <c r="G1004" s="1764"/>
      <c r="H1004" s="1741" t="s">
        <v>1238</v>
      </c>
      <c r="I1004" s="1742" t="s">
        <v>7026</v>
      </c>
      <c r="J1004" s="1743" t="s">
        <v>21</v>
      </c>
      <c r="K1004" s="1744"/>
      <c r="L1004" s="1745"/>
      <c r="M1004" s="1745"/>
      <c r="N1004" s="1746">
        <v>6949076.79</v>
      </c>
      <c r="O1004" s="1747"/>
      <c r="P1004" s="1720"/>
    </row>
    <row r="1005" spans="1:16" ht="13.9" hidden="1" customHeight="1" outlineLevel="3" x14ac:dyDescent="0.2">
      <c r="A1005" s="459">
        <v>0</v>
      </c>
      <c r="B1005" s="459">
        <v>10</v>
      </c>
      <c r="C1005" s="459">
        <v>1</v>
      </c>
      <c r="D1005" s="460">
        <v>2</v>
      </c>
      <c r="E1005" s="460">
        <v>1</v>
      </c>
      <c r="G1005" s="1748" t="s">
        <v>2384</v>
      </c>
      <c r="H1005" s="1749" t="s">
        <v>1239</v>
      </c>
      <c r="I1005" s="1750" t="s">
        <v>7027</v>
      </c>
      <c r="J1005" s="1751" t="s">
        <v>5386</v>
      </c>
      <c r="K1005" s="1752" t="s">
        <v>534</v>
      </c>
      <c r="L1005" s="1753">
        <v>1</v>
      </c>
      <c r="M1005" s="1753">
        <v>72000</v>
      </c>
      <c r="N1005" s="1754">
        <v>72000</v>
      </c>
      <c r="O1005" s="1761" t="s">
        <v>5388</v>
      </c>
      <c r="P1005" s="1721" t="s">
        <v>9611</v>
      </c>
    </row>
    <row r="1006" spans="1:16" ht="13.9" hidden="1" customHeight="1" outlineLevel="3" x14ac:dyDescent="0.2">
      <c r="A1006" s="459">
        <v>0</v>
      </c>
      <c r="B1006" s="459">
        <v>10</v>
      </c>
      <c r="C1006" s="459">
        <v>1</v>
      </c>
      <c r="D1006" s="460">
        <v>2</v>
      </c>
      <c r="E1006" s="460">
        <v>2</v>
      </c>
      <c r="G1006" s="1748" t="s">
        <v>2384</v>
      </c>
      <c r="H1006" s="1749" t="s">
        <v>1239</v>
      </c>
      <c r="I1006" s="1750" t="s">
        <v>7028</v>
      </c>
      <c r="J1006" s="1751" t="s">
        <v>5387</v>
      </c>
      <c r="K1006" s="1752" t="s">
        <v>534</v>
      </c>
      <c r="L1006" s="1753">
        <v>1</v>
      </c>
      <c r="M1006" s="1753">
        <v>29342.86</v>
      </c>
      <c r="N1006" s="1754">
        <v>29342.86</v>
      </c>
      <c r="O1006" s="1761" t="s">
        <v>5388</v>
      </c>
      <c r="P1006" s="1721" t="s">
        <v>9611</v>
      </c>
    </row>
    <row r="1007" spans="1:16" ht="13.9" hidden="1" customHeight="1" outlineLevel="3" x14ac:dyDescent="0.2">
      <c r="A1007" s="459">
        <v>0</v>
      </c>
      <c r="B1007" s="459">
        <v>10</v>
      </c>
      <c r="C1007" s="459">
        <v>1</v>
      </c>
      <c r="D1007" s="460">
        <v>2</v>
      </c>
      <c r="E1007" s="460">
        <v>3</v>
      </c>
      <c r="G1007" s="1748" t="s">
        <v>2384</v>
      </c>
      <c r="H1007" s="1749" t="s">
        <v>1239</v>
      </c>
      <c r="I1007" s="1750" t="s">
        <v>7029</v>
      </c>
      <c r="J1007" s="1751" t="s">
        <v>3158</v>
      </c>
      <c r="K1007" s="1752" t="s">
        <v>534</v>
      </c>
      <c r="L1007" s="1753">
        <v>1</v>
      </c>
      <c r="M1007" s="1753">
        <v>1175729.5900000001</v>
      </c>
      <c r="N1007" s="1754">
        <v>1175729.5900000001</v>
      </c>
      <c r="O1007" s="1755" t="s">
        <v>2804</v>
      </c>
      <c r="P1007" s="1721" t="s">
        <v>9611</v>
      </c>
    </row>
    <row r="1008" spans="1:16" ht="13.9" hidden="1" customHeight="1" outlineLevel="3" x14ac:dyDescent="0.2">
      <c r="A1008" s="459">
        <v>0</v>
      </c>
      <c r="B1008" s="459">
        <v>10</v>
      </c>
      <c r="C1008" s="459">
        <v>1</v>
      </c>
      <c r="D1008" s="460">
        <v>2</v>
      </c>
      <c r="E1008" s="460">
        <v>4</v>
      </c>
      <c r="G1008" s="1748" t="s">
        <v>2384</v>
      </c>
      <c r="H1008" s="1749" t="s">
        <v>1239</v>
      </c>
      <c r="I1008" s="1750" t="s">
        <v>7030</v>
      </c>
      <c r="J1008" s="1751" t="s">
        <v>3159</v>
      </c>
      <c r="K1008" s="1752" t="s">
        <v>534</v>
      </c>
      <c r="L1008" s="1753">
        <v>2</v>
      </c>
      <c r="M1008" s="1753">
        <v>1486002.17</v>
      </c>
      <c r="N1008" s="1754">
        <v>2972004.34</v>
      </c>
      <c r="O1008" s="1755" t="s">
        <v>2804</v>
      </c>
      <c r="P1008" s="1721" t="s">
        <v>9611</v>
      </c>
    </row>
    <row r="1009" spans="1:16" ht="13.9" hidden="1" customHeight="1" outlineLevel="3" x14ac:dyDescent="0.2">
      <c r="A1009" s="459">
        <v>0</v>
      </c>
      <c r="B1009" s="459">
        <v>10</v>
      </c>
      <c r="C1009" s="459">
        <v>1</v>
      </c>
      <c r="D1009" s="460">
        <v>2</v>
      </c>
      <c r="E1009" s="460">
        <v>5</v>
      </c>
      <c r="G1009" s="1748" t="s">
        <v>2384</v>
      </c>
      <c r="H1009" s="1749" t="s">
        <v>1239</v>
      </c>
      <c r="I1009" s="1750" t="s">
        <v>7031</v>
      </c>
      <c r="J1009" s="1751" t="s">
        <v>3160</v>
      </c>
      <c r="K1009" s="1752" t="s">
        <v>534</v>
      </c>
      <c r="L1009" s="1753">
        <v>2</v>
      </c>
      <c r="M1009" s="1753">
        <v>1350000</v>
      </c>
      <c r="N1009" s="1754">
        <v>2700000</v>
      </c>
      <c r="O1009" s="1761" t="s">
        <v>5385</v>
      </c>
      <c r="P1009" s="1721" t="s">
        <v>9611</v>
      </c>
    </row>
    <row r="1010" spans="1:16" ht="13.9" hidden="1" customHeight="1" outlineLevel="2" x14ac:dyDescent="0.2">
      <c r="A1010" s="459">
        <v>0</v>
      </c>
      <c r="B1010" s="459">
        <v>10</v>
      </c>
      <c r="C1010" s="459">
        <v>1</v>
      </c>
      <c r="D1010" s="460">
        <v>3</v>
      </c>
      <c r="E1010" s="460">
        <v>0</v>
      </c>
      <c r="G1010" s="1764"/>
      <c r="H1010" s="1741" t="s">
        <v>1238</v>
      </c>
      <c r="I1010" s="1742" t="s">
        <v>7032</v>
      </c>
      <c r="J1010" s="1743" t="s">
        <v>2527</v>
      </c>
      <c r="K1010" s="1744"/>
      <c r="L1010" s="1745"/>
      <c r="M1010" s="1745"/>
      <c r="N1010" s="1746">
        <v>31200</v>
      </c>
      <c r="O1010" s="1747"/>
      <c r="P1010" s="1720"/>
    </row>
    <row r="1011" spans="1:16" ht="13.9" hidden="1" customHeight="1" outlineLevel="3" x14ac:dyDescent="0.2">
      <c r="A1011" s="459">
        <v>0</v>
      </c>
      <c r="B1011" s="459">
        <v>10</v>
      </c>
      <c r="C1011" s="459">
        <v>1</v>
      </c>
      <c r="D1011" s="460">
        <v>3</v>
      </c>
      <c r="E1011" s="460">
        <v>1</v>
      </c>
      <c r="G1011" s="1748" t="s">
        <v>2384</v>
      </c>
      <c r="H1011" s="1749" t="s">
        <v>1239</v>
      </c>
      <c r="I1011" s="1750" t="s">
        <v>7033</v>
      </c>
      <c r="J1011" s="1751" t="s">
        <v>2527</v>
      </c>
      <c r="K1011" s="1752" t="s">
        <v>534</v>
      </c>
      <c r="L1011" s="1753">
        <v>48</v>
      </c>
      <c r="M1011" s="1753">
        <v>650</v>
      </c>
      <c r="N1011" s="1754">
        <v>31200</v>
      </c>
      <c r="O1011" s="1765" t="s">
        <v>3352</v>
      </c>
      <c r="P1011" s="1721" t="s">
        <v>9611</v>
      </c>
    </row>
    <row r="1012" spans="1:16" ht="13.9" customHeight="1" collapsed="1" x14ac:dyDescent="0.2">
      <c r="A1012" s="459">
        <v>0</v>
      </c>
      <c r="B1012" s="459">
        <v>11</v>
      </c>
      <c r="C1012" s="459">
        <v>0</v>
      </c>
      <c r="D1012" s="460">
        <v>3</v>
      </c>
      <c r="E1012" s="460">
        <v>1</v>
      </c>
      <c r="F1012" s="474"/>
      <c r="G1012" s="1791"/>
      <c r="H1012" s="1727" t="s">
        <v>1237</v>
      </c>
      <c r="I1012" s="1728" t="s">
        <v>7034</v>
      </c>
      <c r="J1012" s="1729" t="s">
        <v>2805</v>
      </c>
      <c r="K1012" s="1730"/>
      <c r="L1012" s="1731"/>
      <c r="M1012" s="1731"/>
      <c r="N1012" s="1732">
        <v>933451.700000001</v>
      </c>
      <c r="O1012" s="1770">
        <v>55.7295576569568</v>
      </c>
      <c r="P1012" s="1724"/>
    </row>
    <row r="1013" spans="1:16" ht="13.9" hidden="1" customHeight="1" outlineLevel="1" x14ac:dyDescent="0.2">
      <c r="A1013" s="459">
        <v>0</v>
      </c>
      <c r="B1013" s="459">
        <v>11</v>
      </c>
      <c r="C1013" s="459">
        <v>1</v>
      </c>
      <c r="D1013" s="460">
        <v>0</v>
      </c>
      <c r="E1013" s="460">
        <v>1</v>
      </c>
      <c r="G1013" s="1733"/>
      <c r="H1013" s="1734" t="s">
        <v>39</v>
      </c>
      <c r="I1013" s="1735" t="s">
        <v>7035</v>
      </c>
      <c r="J1013" s="1736" t="s">
        <v>5499</v>
      </c>
      <c r="K1013" s="1737"/>
      <c r="L1013" s="1738"/>
      <c r="M1013" s="1738"/>
      <c r="N1013" s="1739">
        <v>50951.783772002098</v>
      </c>
      <c r="O1013" s="1722"/>
      <c r="P1013" s="1725"/>
    </row>
    <row r="1014" spans="1:16" ht="13.9" hidden="1" customHeight="1" outlineLevel="2" x14ac:dyDescent="0.2">
      <c r="A1014" s="459">
        <v>0</v>
      </c>
      <c r="B1014" s="459">
        <v>11</v>
      </c>
      <c r="C1014" s="459">
        <v>1</v>
      </c>
      <c r="D1014" s="460">
        <v>1</v>
      </c>
      <c r="E1014" s="460">
        <v>0</v>
      </c>
      <c r="G1014" s="1740"/>
      <c r="H1014" s="1741" t="s">
        <v>1238</v>
      </c>
      <c r="I1014" s="1742" t="s">
        <v>7036</v>
      </c>
      <c r="J1014" s="1743" t="s">
        <v>1303</v>
      </c>
      <c r="K1014" s="1744"/>
      <c r="L1014" s="1745"/>
      <c r="M1014" s="1745"/>
      <c r="N1014" s="1746">
        <v>33389.609572922003</v>
      </c>
      <c r="O1014" s="1747"/>
      <c r="P1014" s="1720"/>
    </row>
    <row r="1015" spans="1:16" ht="33.75" hidden="1" customHeight="1" outlineLevel="3" x14ac:dyDescent="0.2">
      <c r="A1015" s="459">
        <v>0</v>
      </c>
      <c r="B1015" s="459">
        <v>11</v>
      </c>
      <c r="C1015" s="459">
        <v>1</v>
      </c>
      <c r="D1015" s="460">
        <v>1</v>
      </c>
      <c r="E1015" s="460">
        <v>1</v>
      </c>
      <c r="G1015" s="1790" t="s">
        <v>2805</v>
      </c>
      <c r="H1015" s="1749" t="s">
        <v>1239</v>
      </c>
      <c r="I1015" s="1750" t="s">
        <v>7037</v>
      </c>
      <c r="J1015" s="1751" t="s">
        <v>1261</v>
      </c>
      <c r="K1015" s="1752" t="s">
        <v>1130</v>
      </c>
      <c r="L1015" s="1753">
        <v>1</v>
      </c>
      <c r="M1015" s="1753">
        <v>25725.178512731374</v>
      </c>
      <c r="N1015" s="1754">
        <v>25725.1785127314</v>
      </c>
      <c r="O1015" s="1761" t="s">
        <v>5445</v>
      </c>
      <c r="P1015" s="1721" t="s">
        <v>9611</v>
      </c>
    </row>
    <row r="1016" spans="1:16" ht="33" hidden="1" customHeight="1" outlineLevel="3" x14ac:dyDescent="0.2">
      <c r="A1016" s="459">
        <v>0</v>
      </c>
      <c r="B1016" s="459">
        <v>11</v>
      </c>
      <c r="C1016" s="459">
        <v>1</v>
      </c>
      <c r="D1016" s="460">
        <v>1</v>
      </c>
      <c r="E1016" s="460">
        <v>2</v>
      </c>
      <c r="G1016" s="1790" t="s">
        <v>2805</v>
      </c>
      <c r="H1016" s="1749" t="s">
        <v>1239</v>
      </c>
      <c r="I1016" s="1750" t="s">
        <v>7038</v>
      </c>
      <c r="J1016" s="1751" t="s">
        <v>1262</v>
      </c>
      <c r="K1016" s="1752" t="s">
        <v>1130</v>
      </c>
      <c r="L1016" s="1753">
        <v>1</v>
      </c>
      <c r="M1016" s="1753">
        <v>7664.4310601906218</v>
      </c>
      <c r="N1016" s="1754">
        <v>7664.43106019062</v>
      </c>
      <c r="O1016" s="1761" t="s">
        <v>5446</v>
      </c>
      <c r="P1016" s="1721" t="s">
        <v>9611</v>
      </c>
    </row>
    <row r="1017" spans="1:16" ht="13.9" hidden="1" customHeight="1" outlineLevel="2" x14ac:dyDescent="0.2">
      <c r="A1017" s="459">
        <v>0</v>
      </c>
      <c r="B1017" s="459">
        <v>11</v>
      </c>
      <c r="C1017" s="459">
        <v>1</v>
      </c>
      <c r="D1017" s="460">
        <v>2</v>
      </c>
      <c r="E1017" s="460">
        <v>0</v>
      </c>
      <c r="G1017" s="1740"/>
      <c r="H1017" s="1741" t="s">
        <v>1238</v>
      </c>
      <c r="I1017" s="1742" t="s">
        <v>7039</v>
      </c>
      <c r="J1017" s="1743" t="s">
        <v>1682</v>
      </c>
      <c r="K1017" s="1744"/>
      <c r="L1017" s="1745"/>
      <c r="M1017" s="1745"/>
      <c r="N1017" s="1746">
        <v>1952.0394081353099</v>
      </c>
      <c r="O1017" s="1747"/>
      <c r="P1017" s="1720"/>
    </row>
    <row r="1018" spans="1:16" ht="13.9" hidden="1" customHeight="1" outlineLevel="3" x14ac:dyDescent="0.2">
      <c r="A1018" s="459">
        <v>0</v>
      </c>
      <c r="B1018" s="459">
        <v>11</v>
      </c>
      <c r="C1018" s="459">
        <v>1</v>
      </c>
      <c r="D1018" s="460">
        <v>2</v>
      </c>
      <c r="E1018" s="460">
        <v>1</v>
      </c>
      <c r="G1018" s="1790" t="s">
        <v>2805</v>
      </c>
      <c r="H1018" s="1749" t="s">
        <v>1239</v>
      </c>
      <c r="I1018" s="1750" t="s">
        <v>7040</v>
      </c>
      <c r="J1018" s="1751" t="s">
        <v>3265</v>
      </c>
      <c r="K1018" s="1752" t="s">
        <v>1130</v>
      </c>
      <c r="L1018" s="1753">
        <v>1</v>
      </c>
      <c r="M1018" s="1753">
        <v>1952.0394081353129</v>
      </c>
      <c r="N1018" s="1754">
        <v>1952.0394081353099</v>
      </c>
      <c r="O1018" s="1755" t="s">
        <v>3267</v>
      </c>
      <c r="P1018" s="1721" t="s">
        <v>9611</v>
      </c>
    </row>
    <row r="1019" spans="1:16" ht="13.9" hidden="1" customHeight="1" outlineLevel="2" x14ac:dyDescent="0.2">
      <c r="A1019" s="459">
        <v>0</v>
      </c>
      <c r="B1019" s="459">
        <v>11</v>
      </c>
      <c r="C1019" s="459">
        <v>1</v>
      </c>
      <c r="D1019" s="460">
        <v>3</v>
      </c>
      <c r="E1019" s="460">
        <v>0</v>
      </c>
      <c r="G1019" s="1740"/>
      <c r="H1019" s="1741" t="s">
        <v>1238</v>
      </c>
      <c r="I1019" s="1742" t="s">
        <v>7041</v>
      </c>
      <c r="J1019" s="1743" t="s">
        <v>3264</v>
      </c>
      <c r="K1019" s="1744"/>
      <c r="L1019" s="1745"/>
      <c r="M1019" s="1745"/>
      <c r="N1019" s="1746">
        <v>13757.921938028199</v>
      </c>
      <c r="O1019" s="1747"/>
      <c r="P1019" s="1720"/>
    </row>
    <row r="1020" spans="1:16" ht="13.9" hidden="1" customHeight="1" outlineLevel="3" x14ac:dyDescent="0.2">
      <c r="A1020" s="459">
        <v>0</v>
      </c>
      <c r="B1020" s="459">
        <v>11</v>
      </c>
      <c r="C1020" s="459">
        <v>1</v>
      </c>
      <c r="D1020" s="460">
        <v>3</v>
      </c>
      <c r="E1020" s="460">
        <v>1</v>
      </c>
      <c r="G1020" s="1790" t="s">
        <v>2805</v>
      </c>
      <c r="H1020" s="1749" t="s">
        <v>1239</v>
      </c>
      <c r="I1020" s="1750" t="s">
        <v>7042</v>
      </c>
      <c r="J1020" s="1751" t="s">
        <v>3266</v>
      </c>
      <c r="K1020" s="1752" t="s">
        <v>1130</v>
      </c>
      <c r="L1020" s="1753">
        <v>1</v>
      </c>
      <c r="M1020" s="1753">
        <v>123.57732628053333</v>
      </c>
      <c r="N1020" s="1754">
        <v>123.577326280533</v>
      </c>
      <c r="O1020" s="1755" t="s">
        <v>3336</v>
      </c>
      <c r="P1020" s="1721" t="s">
        <v>9611</v>
      </c>
    </row>
    <row r="1021" spans="1:16" ht="13.9" hidden="1" customHeight="1" outlineLevel="3" x14ac:dyDescent="0.2">
      <c r="A1021" s="459">
        <v>0</v>
      </c>
      <c r="B1021" s="459">
        <v>11</v>
      </c>
      <c r="C1021" s="459">
        <v>1</v>
      </c>
      <c r="D1021" s="460">
        <v>3</v>
      </c>
      <c r="E1021" s="460">
        <v>2</v>
      </c>
      <c r="G1021" s="1790" t="s">
        <v>2805</v>
      </c>
      <c r="H1021" s="1749" t="s">
        <v>1239</v>
      </c>
      <c r="I1021" s="1750" t="s">
        <v>7043</v>
      </c>
      <c r="J1021" s="1751" t="s">
        <v>5497</v>
      </c>
      <c r="K1021" s="1752" t="s">
        <v>1130</v>
      </c>
      <c r="L1021" s="1753">
        <v>1</v>
      </c>
      <c r="M1021" s="1753">
        <v>13634.344611747627</v>
      </c>
      <c r="N1021" s="1754">
        <v>13634.3446117476</v>
      </c>
      <c r="O1021" s="1761" t="s">
        <v>5445</v>
      </c>
      <c r="P1021" s="1721" t="s">
        <v>9611</v>
      </c>
    </row>
    <row r="1022" spans="1:16" ht="13.9" hidden="1" customHeight="1" outlineLevel="2" x14ac:dyDescent="0.2">
      <c r="A1022" s="459">
        <v>0</v>
      </c>
      <c r="B1022" s="459">
        <v>11</v>
      </c>
      <c r="C1022" s="459">
        <v>1</v>
      </c>
      <c r="D1022" s="460">
        <v>4</v>
      </c>
      <c r="E1022" s="460">
        <v>0</v>
      </c>
      <c r="G1022" s="1740"/>
      <c r="H1022" s="1741" t="s">
        <v>1238</v>
      </c>
      <c r="I1022" s="1742" t="s">
        <v>7044</v>
      </c>
      <c r="J1022" s="1743" t="s">
        <v>2806</v>
      </c>
      <c r="K1022" s="1744"/>
      <c r="L1022" s="1745"/>
      <c r="M1022" s="1745"/>
      <c r="N1022" s="1746">
        <v>0</v>
      </c>
      <c r="O1022" s="1747"/>
      <c r="P1022" s="1720"/>
    </row>
    <row r="1023" spans="1:16" ht="13.9" hidden="1" customHeight="1" outlineLevel="3" x14ac:dyDescent="0.2">
      <c r="A1023" s="459">
        <v>0</v>
      </c>
      <c r="B1023" s="459">
        <v>11</v>
      </c>
      <c r="C1023" s="459">
        <v>1</v>
      </c>
      <c r="D1023" s="460">
        <v>4</v>
      </c>
      <c r="E1023" s="460">
        <v>1</v>
      </c>
      <c r="G1023" s="1790" t="s">
        <v>2805</v>
      </c>
      <c r="H1023" s="1749" t="s">
        <v>1239</v>
      </c>
      <c r="I1023" s="1750" t="s">
        <v>7045</v>
      </c>
      <c r="J1023" s="1751" t="s">
        <v>2806</v>
      </c>
      <c r="K1023" s="1752" t="s">
        <v>534</v>
      </c>
      <c r="L1023" s="1753">
        <v>0</v>
      </c>
      <c r="M1023" s="1753">
        <v>2262</v>
      </c>
      <c r="N1023" s="1754">
        <v>0</v>
      </c>
      <c r="O1023" s="1755" t="s">
        <v>2807</v>
      </c>
      <c r="P1023" s="1721" t="s">
        <v>9611</v>
      </c>
    </row>
    <row r="1024" spans="1:16" ht="13.9" hidden="1" customHeight="1" outlineLevel="3" x14ac:dyDescent="0.2">
      <c r="A1024" s="459">
        <v>0</v>
      </c>
      <c r="B1024" s="459">
        <v>11</v>
      </c>
      <c r="C1024" s="459">
        <v>1</v>
      </c>
      <c r="D1024" s="460">
        <v>4</v>
      </c>
      <c r="E1024" s="460">
        <v>2</v>
      </c>
      <c r="G1024" s="1790" t="s">
        <v>2805</v>
      </c>
      <c r="H1024" s="1749" t="s">
        <v>1239</v>
      </c>
      <c r="I1024" s="1750" t="s">
        <v>7046</v>
      </c>
      <c r="J1024" s="1751" t="s">
        <v>3262</v>
      </c>
      <c r="K1024" s="1752" t="s">
        <v>534</v>
      </c>
      <c r="L1024" s="1753">
        <v>0</v>
      </c>
      <c r="M1024" s="1753">
        <v>1100</v>
      </c>
      <c r="N1024" s="1754">
        <v>0</v>
      </c>
      <c r="O1024" s="1755" t="s">
        <v>3263</v>
      </c>
      <c r="P1024" s="1721" t="s">
        <v>9611</v>
      </c>
    </row>
    <row r="1025" spans="1:16" ht="13.9" hidden="1" customHeight="1" outlineLevel="2" x14ac:dyDescent="0.2">
      <c r="A1025" s="459">
        <v>0</v>
      </c>
      <c r="B1025" s="459">
        <v>11</v>
      </c>
      <c r="C1025" s="459">
        <v>1</v>
      </c>
      <c r="D1025" s="460">
        <v>5</v>
      </c>
      <c r="E1025" s="460">
        <v>0</v>
      </c>
      <c r="G1025" s="1740"/>
      <c r="H1025" s="1741" t="s">
        <v>1238</v>
      </c>
      <c r="I1025" s="1742" t="s">
        <v>7047</v>
      </c>
      <c r="J1025" s="1743" t="s">
        <v>15</v>
      </c>
      <c r="K1025" s="1744"/>
      <c r="L1025" s="1745"/>
      <c r="M1025" s="1745"/>
      <c r="N1025" s="1746">
        <v>1852.21285291666</v>
      </c>
      <c r="O1025" s="1747"/>
      <c r="P1025" s="1720"/>
    </row>
    <row r="1026" spans="1:16" ht="13.9" hidden="1" customHeight="1" outlineLevel="3" x14ac:dyDescent="0.2">
      <c r="A1026" s="459">
        <v>0</v>
      </c>
      <c r="B1026" s="459">
        <v>11</v>
      </c>
      <c r="C1026" s="459">
        <v>1</v>
      </c>
      <c r="D1026" s="460">
        <v>5</v>
      </c>
      <c r="E1026" s="460">
        <v>1</v>
      </c>
      <c r="G1026" s="1790" t="s">
        <v>2805</v>
      </c>
      <c r="H1026" s="1749" t="s">
        <v>1239</v>
      </c>
      <c r="I1026" s="1750" t="s">
        <v>7048</v>
      </c>
      <c r="J1026" s="1751" t="s">
        <v>2808</v>
      </c>
      <c r="K1026" s="1752" t="s">
        <v>1130</v>
      </c>
      <c r="L1026" s="1753">
        <v>1</v>
      </c>
      <c r="M1026" s="1753">
        <v>1852.2128529166589</v>
      </c>
      <c r="N1026" s="1754">
        <v>1852.21285291666</v>
      </c>
      <c r="O1026" s="1755" t="s">
        <v>5447</v>
      </c>
      <c r="P1026" s="1721" t="s">
        <v>9611</v>
      </c>
    </row>
    <row r="1027" spans="1:16" ht="13.9" hidden="1" customHeight="1" outlineLevel="1" x14ac:dyDescent="0.2">
      <c r="A1027" s="459">
        <v>0</v>
      </c>
      <c r="B1027" s="459">
        <v>11</v>
      </c>
      <c r="C1027" s="459">
        <v>2</v>
      </c>
      <c r="D1027" s="460">
        <v>0</v>
      </c>
      <c r="E1027" s="460">
        <v>1</v>
      </c>
      <c r="G1027" s="1733"/>
      <c r="H1027" s="1734" t="s">
        <v>39</v>
      </c>
      <c r="I1027" s="1735" t="s">
        <v>7049</v>
      </c>
      <c r="J1027" s="1736" t="s">
        <v>5500</v>
      </c>
      <c r="K1027" s="1737"/>
      <c r="L1027" s="1738"/>
      <c r="M1027" s="1738"/>
      <c r="N1027" s="1739">
        <v>57957.020861254801</v>
      </c>
      <c r="O1027" s="1722"/>
      <c r="P1027" s="1725"/>
    </row>
    <row r="1028" spans="1:16" ht="13.9" hidden="1" customHeight="1" outlineLevel="2" x14ac:dyDescent="0.2">
      <c r="A1028" s="459">
        <v>0</v>
      </c>
      <c r="B1028" s="459">
        <v>11</v>
      </c>
      <c r="C1028" s="459">
        <v>2</v>
      </c>
      <c r="D1028" s="460">
        <v>1</v>
      </c>
      <c r="E1028" s="460">
        <v>0</v>
      </c>
      <c r="G1028" s="1740"/>
      <c r="H1028" s="1741" t="s">
        <v>1238</v>
      </c>
      <c r="I1028" s="1742" t="s">
        <v>7050</v>
      </c>
      <c r="J1028" s="1743" t="s">
        <v>1303</v>
      </c>
      <c r="K1028" s="1744"/>
      <c r="L1028" s="1745"/>
      <c r="M1028" s="1745"/>
      <c r="N1028" s="1746">
        <v>37980.2659554848</v>
      </c>
      <c r="O1028" s="1747"/>
      <c r="P1028" s="1720"/>
    </row>
    <row r="1029" spans="1:16" ht="33.75" hidden="1" customHeight="1" outlineLevel="3" x14ac:dyDescent="0.2">
      <c r="A1029" s="459">
        <v>0</v>
      </c>
      <c r="B1029" s="459">
        <v>11</v>
      </c>
      <c r="C1029" s="459">
        <v>2</v>
      </c>
      <c r="D1029" s="460">
        <v>1</v>
      </c>
      <c r="E1029" s="460">
        <v>1</v>
      </c>
      <c r="G1029" s="1790" t="s">
        <v>2805</v>
      </c>
      <c r="H1029" s="1749" t="s">
        <v>1239</v>
      </c>
      <c r="I1029" s="1750" t="s">
        <v>7051</v>
      </c>
      <c r="J1029" s="1751" t="s">
        <v>1261</v>
      </c>
      <c r="K1029" s="1752" t="s">
        <v>1130</v>
      </c>
      <c r="L1029" s="1753">
        <v>1</v>
      </c>
      <c r="M1029" s="1753">
        <v>29262.070870640488</v>
      </c>
      <c r="N1029" s="1754">
        <v>29262.070870640498</v>
      </c>
      <c r="O1029" s="1761" t="s">
        <v>5445</v>
      </c>
      <c r="P1029" s="1721" t="s">
        <v>9611</v>
      </c>
    </row>
    <row r="1030" spans="1:16" ht="33" hidden="1" customHeight="1" outlineLevel="3" x14ac:dyDescent="0.2">
      <c r="A1030" s="459">
        <v>0</v>
      </c>
      <c r="B1030" s="459">
        <v>11</v>
      </c>
      <c r="C1030" s="459">
        <v>2</v>
      </c>
      <c r="D1030" s="460">
        <v>1</v>
      </c>
      <c r="E1030" s="460">
        <v>2</v>
      </c>
      <c r="G1030" s="1790" t="s">
        <v>2805</v>
      </c>
      <c r="H1030" s="1749" t="s">
        <v>1239</v>
      </c>
      <c r="I1030" s="1750" t="s">
        <v>7052</v>
      </c>
      <c r="J1030" s="1751" t="s">
        <v>1262</v>
      </c>
      <c r="K1030" s="1752" t="s">
        <v>1130</v>
      </c>
      <c r="L1030" s="1753">
        <v>1</v>
      </c>
      <c r="M1030" s="1753">
        <v>8718.1950848442739</v>
      </c>
      <c r="N1030" s="1754">
        <v>8718.1950848442702</v>
      </c>
      <c r="O1030" s="1761" t="s">
        <v>5446</v>
      </c>
      <c r="P1030" s="1721" t="s">
        <v>9611</v>
      </c>
    </row>
    <row r="1031" spans="1:16" ht="13.9" hidden="1" customHeight="1" outlineLevel="2" x14ac:dyDescent="0.2">
      <c r="A1031" s="459">
        <v>0</v>
      </c>
      <c r="B1031" s="459">
        <v>11</v>
      </c>
      <c r="C1031" s="459">
        <v>2</v>
      </c>
      <c r="D1031" s="460">
        <v>2</v>
      </c>
      <c r="E1031" s="460">
        <v>0</v>
      </c>
      <c r="G1031" s="1740"/>
      <c r="H1031" s="1741" t="s">
        <v>1238</v>
      </c>
      <c r="I1031" s="1742" t="s">
        <v>7053</v>
      </c>
      <c r="J1031" s="1743" t="s">
        <v>1682</v>
      </c>
      <c r="K1031" s="1744"/>
      <c r="L1031" s="1745"/>
      <c r="M1031" s="1745"/>
      <c r="N1031" s="1746">
        <v>2220.4205686996402</v>
      </c>
      <c r="O1031" s="1747"/>
      <c r="P1031" s="1720"/>
    </row>
    <row r="1032" spans="1:16" ht="13.9" hidden="1" customHeight="1" outlineLevel="3" x14ac:dyDescent="0.2">
      <c r="A1032" s="459">
        <v>0</v>
      </c>
      <c r="B1032" s="459">
        <v>11</v>
      </c>
      <c r="C1032" s="459">
        <v>2</v>
      </c>
      <c r="D1032" s="460">
        <v>2</v>
      </c>
      <c r="E1032" s="460">
        <v>1</v>
      </c>
      <c r="G1032" s="1790" t="s">
        <v>2805</v>
      </c>
      <c r="H1032" s="1749" t="s">
        <v>1239</v>
      </c>
      <c r="I1032" s="1750" t="s">
        <v>7054</v>
      </c>
      <c r="J1032" s="1751" t="s">
        <v>3265</v>
      </c>
      <c r="K1032" s="1752" t="s">
        <v>1130</v>
      </c>
      <c r="L1032" s="1753">
        <v>1</v>
      </c>
      <c r="M1032" s="1753">
        <v>2220.4205686996356</v>
      </c>
      <c r="N1032" s="1754">
        <v>2220.4205686996402</v>
      </c>
      <c r="O1032" s="1755" t="s">
        <v>3267</v>
      </c>
      <c r="P1032" s="1721" t="s">
        <v>9611</v>
      </c>
    </row>
    <row r="1033" spans="1:16" ht="13.9" hidden="1" customHeight="1" outlineLevel="2" x14ac:dyDescent="0.2">
      <c r="A1033" s="459">
        <v>0</v>
      </c>
      <c r="B1033" s="459">
        <v>11</v>
      </c>
      <c r="C1033" s="459">
        <v>2</v>
      </c>
      <c r="D1033" s="460">
        <v>3</v>
      </c>
      <c r="E1033" s="460">
        <v>0</v>
      </c>
      <c r="G1033" s="1740"/>
      <c r="H1033" s="1741" t="s">
        <v>1238</v>
      </c>
      <c r="I1033" s="1742" t="s">
        <v>7055</v>
      </c>
      <c r="J1033" s="1743" t="s">
        <v>3264</v>
      </c>
      <c r="K1033" s="1744"/>
      <c r="L1033" s="1745"/>
      <c r="M1033" s="1745"/>
      <c r="N1033" s="1746">
        <v>15649.465234384301</v>
      </c>
      <c r="O1033" s="1747"/>
      <c r="P1033" s="1720"/>
    </row>
    <row r="1034" spans="1:16" ht="13.9" hidden="1" customHeight="1" outlineLevel="3" x14ac:dyDescent="0.2">
      <c r="A1034" s="459">
        <v>0</v>
      </c>
      <c r="B1034" s="459">
        <v>11</v>
      </c>
      <c r="C1034" s="459">
        <v>2</v>
      </c>
      <c r="D1034" s="460">
        <v>3</v>
      </c>
      <c r="E1034" s="460">
        <v>1</v>
      </c>
      <c r="G1034" s="1790" t="s">
        <v>2805</v>
      </c>
      <c r="H1034" s="1749" t="s">
        <v>1239</v>
      </c>
      <c r="I1034" s="1750" t="s">
        <v>7056</v>
      </c>
      <c r="J1034" s="1751" t="s">
        <v>3266</v>
      </c>
      <c r="K1034" s="1752" t="s">
        <v>1130</v>
      </c>
      <c r="L1034" s="1753">
        <v>1</v>
      </c>
      <c r="M1034" s="1753">
        <v>140.56767294483925</v>
      </c>
      <c r="N1034" s="1754">
        <v>140.56767294483899</v>
      </c>
      <c r="O1034" s="1755" t="s">
        <v>3336</v>
      </c>
      <c r="P1034" s="1721" t="s">
        <v>9611</v>
      </c>
    </row>
    <row r="1035" spans="1:16" ht="13.9" hidden="1" customHeight="1" outlineLevel="3" x14ac:dyDescent="0.2">
      <c r="A1035" s="459">
        <v>0</v>
      </c>
      <c r="B1035" s="459">
        <v>11</v>
      </c>
      <c r="C1035" s="459">
        <v>2</v>
      </c>
      <c r="D1035" s="460">
        <v>3</v>
      </c>
      <c r="E1035" s="460">
        <v>2</v>
      </c>
      <c r="G1035" s="1790" t="s">
        <v>2805</v>
      </c>
      <c r="H1035" s="1749" t="s">
        <v>1239</v>
      </c>
      <c r="I1035" s="1750" t="s">
        <v>7057</v>
      </c>
      <c r="J1035" s="1751" t="s">
        <v>5497</v>
      </c>
      <c r="K1035" s="1752" t="s">
        <v>1130</v>
      </c>
      <c r="L1035" s="1753">
        <v>1</v>
      </c>
      <c r="M1035" s="1753">
        <v>15508.897561439459</v>
      </c>
      <c r="N1035" s="1754">
        <v>15508.8975614395</v>
      </c>
      <c r="O1035" s="1761" t="s">
        <v>5445</v>
      </c>
      <c r="P1035" s="1721" t="s">
        <v>9611</v>
      </c>
    </row>
    <row r="1036" spans="1:16" ht="13.9" hidden="1" customHeight="1" outlineLevel="2" x14ac:dyDescent="0.2">
      <c r="A1036" s="459">
        <v>0</v>
      </c>
      <c r="B1036" s="459">
        <v>11</v>
      </c>
      <c r="C1036" s="459">
        <v>2</v>
      </c>
      <c r="D1036" s="460">
        <v>4</v>
      </c>
      <c r="E1036" s="460">
        <v>0</v>
      </c>
      <c r="G1036" s="1740"/>
      <c r="H1036" s="1741" t="s">
        <v>1238</v>
      </c>
      <c r="I1036" s="1742" t="s">
        <v>7058</v>
      </c>
      <c r="J1036" s="1743" t="s">
        <v>2806</v>
      </c>
      <c r="K1036" s="1744"/>
      <c r="L1036" s="1745"/>
      <c r="M1036" s="1745"/>
      <c r="N1036" s="1746">
        <v>0</v>
      </c>
      <c r="O1036" s="1747"/>
      <c r="P1036" s="1720"/>
    </row>
    <row r="1037" spans="1:16" ht="13.9" hidden="1" customHeight="1" outlineLevel="3" x14ac:dyDescent="0.2">
      <c r="A1037" s="459">
        <v>0</v>
      </c>
      <c r="B1037" s="459">
        <v>11</v>
      </c>
      <c r="C1037" s="459">
        <v>2</v>
      </c>
      <c r="D1037" s="460">
        <v>4</v>
      </c>
      <c r="E1037" s="460">
        <v>1</v>
      </c>
      <c r="G1037" s="1790" t="s">
        <v>2805</v>
      </c>
      <c r="H1037" s="1749" t="s">
        <v>1239</v>
      </c>
      <c r="I1037" s="1750" t="s">
        <v>7059</v>
      </c>
      <c r="J1037" s="1751" t="s">
        <v>2806</v>
      </c>
      <c r="K1037" s="1752" t="s">
        <v>534</v>
      </c>
      <c r="L1037" s="1753">
        <v>0</v>
      </c>
      <c r="M1037" s="1753">
        <v>2262</v>
      </c>
      <c r="N1037" s="1754">
        <v>0</v>
      </c>
      <c r="O1037" s="1755" t="s">
        <v>2807</v>
      </c>
      <c r="P1037" s="1721" t="s">
        <v>9611</v>
      </c>
    </row>
    <row r="1038" spans="1:16" ht="13.9" hidden="1" customHeight="1" outlineLevel="3" x14ac:dyDescent="0.2">
      <c r="A1038" s="459">
        <v>0</v>
      </c>
      <c r="B1038" s="459">
        <v>11</v>
      </c>
      <c r="C1038" s="459">
        <v>2</v>
      </c>
      <c r="D1038" s="460">
        <v>4</v>
      </c>
      <c r="E1038" s="460">
        <v>2</v>
      </c>
      <c r="G1038" s="1790" t="s">
        <v>2805</v>
      </c>
      <c r="H1038" s="1749" t="s">
        <v>1239</v>
      </c>
      <c r="I1038" s="1750" t="s">
        <v>7060</v>
      </c>
      <c r="J1038" s="1751" t="s">
        <v>3262</v>
      </c>
      <c r="K1038" s="1752" t="s">
        <v>534</v>
      </c>
      <c r="L1038" s="1753">
        <v>0</v>
      </c>
      <c r="M1038" s="1753">
        <v>1100</v>
      </c>
      <c r="N1038" s="1754">
        <v>0</v>
      </c>
      <c r="O1038" s="1755" t="s">
        <v>3263</v>
      </c>
      <c r="P1038" s="1721" t="s">
        <v>9611</v>
      </c>
    </row>
    <row r="1039" spans="1:16" ht="13.9" hidden="1" customHeight="1" outlineLevel="2" x14ac:dyDescent="0.2">
      <c r="A1039" s="459">
        <v>0</v>
      </c>
      <c r="B1039" s="459">
        <v>11</v>
      </c>
      <c r="C1039" s="459">
        <v>2</v>
      </c>
      <c r="D1039" s="460">
        <v>5</v>
      </c>
      <c r="E1039" s="460">
        <v>0</v>
      </c>
      <c r="G1039" s="1740"/>
      <c r="H1039" s="1741" t="s">
        <v>1238</v>
      </c>
      <c r="I1039" s="1742" t="s">
        <v>7061</v>
      </c>
      <c r="J1039" s="1743" t="s">
        <v>15</v>
      </c>
      <c r="K1039" s="1744"/>
      <c r="L1039" s="1745"/>
      <c r="M1039" s="1745"/>
      <c r="N1039" s="1746">
        <v>2106.8691026861202</v>
      </c>
      <c r="O1039" s="1747"/>
      <c r="P1039" s="1720"/>
    </row>
    <row r="1040" spans="1:16" ht="13.9" hidden="1" customHeight="1" outlineLevel="3" x14ac:dyDescent="0.2">
      <c r="A1040" s="459">
        <v>0</v>
      </c>
      <c r="B1040" s="459">
        <v>11</v>
      </c>
      <c r="C1040" s="459">
        <v>2</v>
      </c>
      <c r="D1040" s="460">
        <v>5</v>
      </c>
      <c r="E1040" s="460">
        <v>1</v>
      </c>
      <c r="G1040" s="1790" t="s">
        <v>2805</v>
      </c>
      <c r="H1040" s="1749" t="s">
        <v>1239</v>
      </c>
      <c r="I1040" s="1750" t="s">
        <v>7062</v>
      </c>
      <c r="J1040" s="1751" t="s">
        <v>2808</v>
      </c>
      <c r="K1040" s="1752" t="s">
        <v>1130</v>
      </c>
      <c r="L1040" s="1753">
        <v>1</v>
      </c>
      <c r="M1040" s="1753">
        <v>2106.8691026861152</v>
      </c>
      <c r="N1040" s="1754">
        <v>2106.8691026861202</v>
      </c>
      <c r="O1040" s="1755" t="s">
        <v>5447</v>
      </c>
      <c r="P1040" s="1721" t="s">
        <v>9611</v>
      </c>
    </row>
    <row r="1041" spans="1:16" ht="13.9" hidden="1" customHeight="1" outlineLevel="1" x14ac:dyDescent="0.2">
      <c r="A1041" s="459">
        <v>0</v>
      </c>
      <c r="B1041" s="459">
        <v>11</v>
      </c>
      <c r="C1041" s="459">
        <v>3</v>
      </c>
      <c r="D1041" s="460">
        <v>0</v>
      </c>
      <c r="E1041" s="460">
        <v>1</v>
      </c>
      <c r="G1041" s="1733"/>
      <c r="H1041" s="1734" t="s">
        <v>39</v>
      </c>
      <c r="I1041" s="1735" t="s">
        <v>7063</v>
      </c>
      <c r="J1041" s="1736" t="s">
        <v>5501</v>
      </c>
      <c r="K1041" s="1737"/>
      <c r="L1041" s="1738"/>
      <c r="M1041" s="1738"/>
      <c r="N1041" s="1739">
        <v>35785.331061010402</v>
      </c>
      <c r="O1041" s="1722"/>
      <c r="P1041" s="1725"/>
    </row>
    <row r="1042" spans="1:16" ht="13.9" hidden="1" customHeight="1" outlineLevel="2" x14ac:dyDescent="0.2">
      <c r="A1042" s="459">
        <v>0</v>
      </c>
      <c r="B1042" s="459">
        <v>11</v>
      </c>
      <c r="C1042" s="459">
        <v>3</v>
      </c>
      <c r="D1042" s="460">
        <v>1</v>
      </c>
      <c r="E1042" s="460">
        <v>0</v>
      </c>
      <c r="G1042" s="1740"/>
      <c r="H1042" s="1741" t="s">
        <v>1238</v>
      </c>
      <c r="I1042" s="1742" t="s">
        <v>7064</v>
      </c>
      <c r="J1042" s="1743" t="s">
        <v>1303</v>
      </c>
      <c r="K1042" s="1744"/>
      <c r="L1042" s="1745"/>
      <c r="M1042" s="1745"/>
      <c r="N1042" s="1746">
        <v>21247.585168463102</v>
      </c>
      <c r="O1042" s="1747"/>
      <c r="P1042" s="1720"/>
    </row>
    <row r="1043" spans="1:16" ht="33.75" hidden="1" customHeight="1" outlineLevel="3" x14ac:dyDescent="0.2">
      <c r="A1043" s="459">
        <v>0</v>
      </c>
      <c r="B1043" s="459">
        <v>11</v>
      </c>
      <c r="C1043" s="459">
        <v>3</v>
      </c>
      <c r="D1043" s="460">
        <v>1</v>
      </c>
      <c r="E1043" s="460">
        <v>1</v>
      </c>
      <c r="G1043" s="1790" t="s">
        <v>2805</v>
      </c>
      <c r="H1043" s="1749" t="s">
        <v>1239</v>
      </c>
      <c r="I1043" s="1750" t="s">
        <v>7065</v>
      </c>
      <c r="J1043" s="1751" t="s">
        <v>1261</v>
      </c>
      <c r="K1043" s="1752" t="s">
        <v>1130</v>
      </c>
      <c r="L1043" s="1753">
        <v>1</v>
      </c>
      <c r="M1043" s="1753">
        <v>16370.299875157909</v>
      </c>
      <c r="N1043" s="1754">
        <v>16370.2998751579</v>
      </c>
      <c r="O1043" s="1761" t="s">
        <v>5445</v>
      </c>
      <c r="P1043" s="1721" t="s">
        <v>9611</v>
      </c>
    </row>
    <row r="1044" spans="1:16" ht="33" hidden="1" customHeight="1" outlineLevel="3" x14ac:dyDescent="0.2">
      <c r="A1044" s="459">
        <v>0</v>
      </c>
      <c r="B1044" s="459">
        <v>11</v>
      </c>
      <c r="C1044" s="459">
        <v>3</v>
      </c>
      <c r="D1044" s="460">
        <v>1</v>
      </c>
      <c r="E1044" s="460">
        <v>2</v>
      </c>
      <c r="G1044" s="1790" t="s">
        <v>2805</v>
      </c>
      <c r="H1044" s="1749" t="s">
        <v>1239</v>
      </c>
      <c r="I1044" s="1750" t="s">
        <v>7066</v>
      </c>
      <c r="J1044" s="1751" t="s">
        <v>1262</v>
      </c>
      <c r="K1044" s="1752" t="s">
        <v>1130</v>
      </c>
      <c r="L1044" s="1753">
        <v>1</v>
      </c>
      <c r="M1044" s="1753">
        <v>4877.2852933051718</v>
      </c>
      <c r="N1044" s="1754">
        <v>4877.2852933051699</v>
      </c>
      <c r="O1044" s="1761" t="s">
        <v>5446</v>
      </c>
      <c r="P1044" s="1721" t="s">
        <v>9611</v>
      </c>
    </row>
    <row r="1045" spans="1:16" ht="13.9" hidden="1" customHeight="1" outlineLevel="2" x14ac:dyDescent="0.2">
      <c r="A1045" s="459">
        <v>0</v>
      </c>
      <c r="B1045" s="459">
        <v>11</v>
      </c>
      <c r="C1045" s="459">
        <v>3</v>
      </c>
      <c r="D1045" s="460">
        <v>2</v>
      </c>
      <c r="E1045" s="460">
        <v>0</v>
      </c>
      <c r="G1045" s="1740"/>
      <c r="H1045" s="1741" t="s">
        <v>1238</v>
      </c>
      <c r="I1045" s="1742" t="s">
        <v>7067</v>
      </c>
      <c r="J1045" s="1743" t="s">
        <v>1682</v>
      </c>
      <c r="K1045" s="1744"/>
      <c r="L1045" s="1745"/>
      <c r="M1045" s="1745"/>
      <c r="N1045" s="1746">
        <v>1242.1865396769199</v>
      </c>
      <c r="O1045" s="1747"/>
      <c r="P1045" s="1720"/>
    </row>
    <row r="1046" spans="1:16" ht="13.9" hidden="1" customHeight="1" outlineLevel="3" x14ac:dyDescent="0.2">
      <c r="A1046" s="459">
        <v>0</v>
      </c>
      <c r="B1046" s="459">
        <v>11</v>
      </c>
      <c r="C1046" s="459">
        <v>3</v>
      </c>
      <c r="D1046" s="460">
        <v>2</v>
      </c>
      <c r="E1046" s="460">
        <v>1</v>
      </c>
      <c r="G1046" s="1790" t="s">
        <v>2805</v>
      </c>
      <c r="H1046" s="1749" t="s">
        <v>1239</v>
      </c>
      <c r="I1046" s="1750" t="s">
        <v>7068</v>
      </c>
      <c r="J1046" s="1751" t="s">
        <v>3265</v>
      </c>
      <c r="K1046" s="1752" t="s">
        <v>1130</v>
      </c>
      <c r="L1046" s="1753">
        <v>1</v>
      </c>
      <c r="M1046" s="1753">
        <v>1242.1865396769197</v>
      </c>
      <c r="N1046" s="1754">
        <v>1242.1865396769199</v>
      </c>
      <c r="O1046" s="1755" t="s">
        <v>3267</v>
      </c>
      <c r="P1046" s="1721" t="s">
        <v>9611</v>
      </c>
    </row>
    <row r="1047" spans="1:16" ht="13.9" hidden="1" customHeight="1" outlineLevel="2" x14ac:dyDescent="0.2">
      <c r="A1047" s="459">
        <v>0</v>
      </c>
      <c r="B1047" s="459">
        <v>11</v>
      </c>
      <c r="C1047" s="459">
        <v>3</v>
      </c>
      <c r="D1047" s="460">
        <v>3</v>
      </c>
      <c r="E1047" s="460">
        <v>0</v>
      </c>
      <c r="G1047" s="1740"/>
      <c r="H1047" s="1741" t="s">
        <v>1238</v>
      </c>
      <c r="I1047" s="1742" t="s">
        <v>7069</v>
      </c>
      <c r="J1047" s="1743" t="s">
        <v>3264</v>
      </c>
      <c r="K1047" s="1744"/>
      <c r="L1047" s="1745"/>
      <c r="M1047" s="1745"/>
      <c r="N1047" s="1746">
        <v>8754.8977618589797</v>
      </c>
      <c r="O1047" s="1747"/>
      <c r="P1047" s="1720"/>
    </row>
    <row r="1048" spans="1:16" ht="13.9" hidden="1" customHeight="1" outlineLevel="3" x14ac:dyDescent="0.2">
      <c r="A1048" s="459">
        <v>0</v>
      </c>
      <c r="B1048" s="459">
        <v>11</v>
      </c>
      <c r="C1048" s="459">
        <v>3</v>
      </c>
      <c r="D1048" s="460">
        <v>3</v>
      </c>
      <c r="E1048" s="460">
        <v>1</v>
      </c>
      <c r="G1048" s="1790" t="s">
        <v>2805</v>
      </c>
      <c r="H1048" s="1749" t="s">
        <v>1239</v>
      </c>
      <c r="I1048" s="1750" t="s">
        <v>7070</v>
      </c>
      <c r="J1048" s="1751" t="s">
        <v>3266</v>
      </c>
      <c r="K1048" s="1752" t="s">
        <v>1130</v>
      </c>
      <c r="L1048" s="1753">
        <v>1</v>
      </c>
      <c r="M1048" s="1753">
        <v>78.638828025289811</v>
      </c>
      <c r="N1048" s="1754">
        <v>78.638828025289797</v>
      </c>
      <c r="O1048" s="1755" t="s">
        <v>3336</v>
      </c>
      <c r="P1048" s="1721" t="s">
        <v>9611</v>
      </c>
    </row>
    <row r="1049" spans="1:16" ht="13.9" hidden="1" customHeight="1" outlineLevel="3" x14ac:dyDescent="0.2">
      <c r="A1049" s="459">
        <v>0</v>
      </c>
      <c r="B1049" s="459">
        <v>11</v>
      </c>
      <c r="C1049" s="459">
        <v>3</v>
      </c>
      <c r="D1049" s="460">
        <v>3</v>
      </c>
      <c r="E1049" s="460">
        <v>2</v>
      </c>
      <c r="G1049" s="1790" t="s">
        <v>2805</v>
      </c>
      <c r="H1049" s="1749" t="s">
        <v>1239</v>
      </c>
      <c r="I1049" s="1750" t="s">
        <v>7071</v>
      </c>
      <c r="J1049" s="1751" t="s">
        <v>5497</v>
      </c>
      <c r="K1049" s="1752" t="s">
        <v>1130</v>
      </c>
      <c r="L1049" s="1753">
        <v>1</v>
      </c>
      <c r="M1049" s="1753">
        <v>8676.2589338336911</v>
      </c>
      <c r="N1049" s="1754">
        <v>8676.2589338336893</v>
      </c>
      <c r="O1049" s="1761" t="s">
        <v>5445</v>
      </c>
      <c r="P1049" s="1721" t="s">
        <v>9611</v>
      </c>
    </row>
    <row r="1050" spans="1:16" ht="13.9" hidden="1" customHeight="1" outlineLevel="2" x14ac:dyDescent="0.2">
      <c r="A1050" s="459">
        <v>0</v>
      </c>
      <c r="B1050" s="459">
        <v>11</v>
      </c>
      <c r="C1050" s="459">
        <v>3</v>
      </c>
      <c r="D1050" s="460">
        <v>4</v>
      </c>
      <c r="E1050" s="460">
        <v>0</v>
      </c>
      <c r="G1050" s="1740"/>
      <c r="H1050" s="1741" t="s">
        <v>1238</v>
      </c>
      <c r="I1050" s="1742" t="s">
        <v>7072</v>
      </c>
      <c r="J1050" s="1743" t="s">
        <v>2806</v>
      </c>
      <c r="K1050" s="1744"/>
      <c r="L1050" s="1745"/>
      <c r="M1050" s="1745"/>
      <c r="N1050" s="1746">
        <v>3362</v>
      </c>
      <c r="O1050" s="1747"/>
      <c r="P1050" s="1720"/>
    </row>
    <row r="1051" spans="1:16" ht="13.9" hidden="1" customHeight="1" outlineLevel="3" x14ac:dyDescent="0.2">
      <c r="A1051" s="459">
        <v>0</v>
      </c>
      <c r="B1051" s="459">
        <v>11</v>
      </c>
      <c r="C1051" s="459">
        <v>3</v>
      </c>
      <c r="D1051" s="460">
        <v>4</v>
      </c>
      <c r="E1051" s="460">
        <v>1</v>
      </c>
      <c r="G1051" s="1790" t="s">
        <v>2805</v>
      </c>
      <c r="H1051" s="1749" t="s">
        <v>1239</v>
      </c>
      <c r="I1051" s="1750" t="s">
        <v>7073</v>
      </c>
      <c r="J1051" s="1751" t="s">
        <v>2806</v>
      </c>
      <c r="K1051" s="1752" t="s">
        <v>534</v>
      </c>
      <c r="L1051" s="1753">
        <v>1</v>
      </c>
      <c r="M1051" s="1753">
        <v>2262</v>
      </c>
      <c r="N1051" s="1754">
        <v>2262</v>
      </c>
      <c r="O1051" s="1755" t="s">
        <v>2807</v>
      </c>
      <c r="P1051" s="1721" t="s">
        <v>9611</v>
      </c>
    </row>
    <row r="1052" spans="1:16" ht="13.9" hidden="1" customHeight="1" outlineLevel="3" x14ac:dyDescent="0.2">
      <c r="A1052" s="459">
        <v>0</v>
      </c>
      <c r="B1052" s="459">
        <v>11</v>
      </c>
      <c r="C1052" s="459">
        <v>3</v>
      </c>
      <c r="D1052" s="460">
        <v>4</v>
      </c>
      <c r="E1052" s="460">
        <v>2</v>
      </c>
      <c r="G1052" s="1790" t="s">
        <v>2805</v>
      </c>
      <c r="H1052" s="1749" t="s">
        <v>1239</v>
      </c>
      <c r="I1052" s="1750" t="s">
        <v>7074</v>
      </c>
      <c r="J1052" s="1751" t="s">
        <v>3262</v>
      </c>
      <c r="K1052" s="1752" t="s">
        <v>534</v>
      </c>
      <c r="L1052" s="1753">
        <v>1</v>
      </c>
      <c r="M1052" s="1753">
        <v>1100</v>
      </c>
      <c r="N1052" s="1754">
        <v>1100</v>
      </c>
      <c r="O1052" s="1755" t="s">
        <v>3263</v>
      </c>
      <c r="P1052" s="1721" t="s">
        <v>9611</v>
      </c>
    </row>
    <row r="1053" spans="1:16" ht="13.9" hidden="1" customHeight="1" outlineLevel="2" x14ac:dyDescent="0.2">
      <c r="A1053" s="459">
        <v>0</v>
      </c>
      <c r="B1053" s="459">
        <v>11</v>
      </c>
      <c r="C1053" s="459">
        <v>3</v>
      </c>
      <c r="D1053" s="460">
        <v>5</v>
      </c>
      <c r="E1053" s="460">
        <v>0</v>
      </c>
      <c r="G1053" s="1740"/>
      <c r="H1053" s="1741" t="s">
        <v>1238</v>
      </c>
      <c r="I1053" s="1742" t="s">
        <v>7075</v>
      </c>
      <c r="J1053" s="1743" t="s">
        <v>15</v>
      </c>
      <c r="K1053" s="1744"/>
      <c r="L1053" s="1745"/>
      <c r="M1053" s="1745"/>
      <c r="N1053" s="1746">
        <v>1178.6615910113701</v>
      </c>
      <c r="O1053" s="1747"/>
      <c r="P1053" s="1720"/>
    </row>
    <row r="1054" spans="1:16" ht="13.9" hidden="1" customHeight="1" outlineLevel="3" x14ac:dyDescent="0.2">
      <c r="A1054" s="459">
        <v>0</v>
      </c>
      <c r="B1054" s="459">
        <v>11</v>
      </c>
      <c r="C1054" s="459">
        <v>3</v>
      </c>
      <c r="D1054" s="460">
        <v>5</v>
      </c>
      <c r="E1054" s="460">
        <v>1</v>
      </c>
      <c r="G1054" s="1790" t="s">
        <v>2805</v>
      </c>
      <c r="H1054" s="1749" t="s">
        <v>1239</v>
      </c>
      <c r="I1054" s="1750" t="s">
        <v>7076</v>
      </c>
      <c r="J1054" s="1751" t="s">
        <v>2808</v>
      </c>
      <c r="K1054" s="1752" t="s">
        <v>1130</v>
      </c>
      <c r="L1054" s="1753">
        <v>1</v>
      </c>
      <c r="M1054" s="1753">
        <v>1178.6615910113694</v>
      </c>
      <c r="N1054" s="1754">
        <v>1178.6615910113701</v>
      </c>
      <c r="O1054" s="1755" t="s">
        <v>5447</v>
      </c>
      <c r="P1054" s="1721" t="s">
        <v>9611</v>
      </c>
    </row>
    <row r="1055" spans="1:16" ht="13.9" hidden="1" customHeight="1" outlineLevel="1" x14ac:dyDescent="0.2">
      <c r="A1055" s="459">
        <v>0</v>
      </c>
      <c r="B1055" s="459">
        <v>11</v>
      </c>
      <c r="C1055" s="459">
        <v>4</v>
      </c>
      <c r="D1055" s="460">
        <v>0</v>
      </c>
      <c r="E1055" s="460">
        <v>1</v>
      </c>
      <c r="G1055" s="1733"/>
      <c r="H1055" s="1734" t="s">
        <v>39</v>
      </c>
      <c r="I1055" s="1735" t="s">
        <v>7077</v>
      </c>
      <c r="J1055" s="1736" t="s">
        <v>5502</v>
      </c>
      <c r="K1055" s="1737"/>
      <c r="L1055" s="1738"/>
      <c r="M1055" s="1738"/>
      <c r="N1055" s="1739">
        <v>29163.228436539201</v>
      </c>
      <c r="O1055" s="1722"/>
      <c r="P1055" s="1725"/>
    </row>
    <row r="1056" spans="1:16" ht="13.9" hidden="1" customHeight="1" outlineLevel="2" x14ac:dyDescent="0.2">
      <c r="A1056" s="459">
        <v>0</v>
      </c>
      <c r="B1056" s="459">
        <v>11</v>
      </c>
      <c r="C1056" s="459">
        <v>4</v>
      </c>
      <c r="D1056" s="460">
        <v>1</v>
      </c>
      <c r="E1056" s="460">
        <v>0</v>
      </c>
      <c r="G1056" s="1740"/>
      <c r="H1056" s="1741" t="s">
        <v>1238</v>
      </c>
      <c r="I1056" s="1742" t="s">
        <v>7078</v>
      </c>
      <c r="J1056" s="1743" t="s">
        <v>1303</v>
      </c>
      <c r="K1056" s="1744"/>
      <c r="L1056" s="1745"/>
      <c r="M1056" s="1745"/>
      <c r="N1056" s="1746">
        <v>14704.8252513851</v>
      </c>
      <c r="O1056" s="1747"/>
      <c r="P1056" s="1720"/>
    </row>
    <row r="1057" spans="1:16" ht="33.75" hidden="1" customHeight="1" outlineLevel="3" x14ac:dyDescent="0.2">
      <c r="A1057" s="459">
        <v>0</v>
      </c>
      <c r="B1057" s="459">
        <v>11</v>
      </c>
      <c r="C1057" s="459">
        <v>4</v>
      </c>
      <c r="D1057" s="460">
        <v>1</v>
      </c>
      <c r="E1057" s="460">
        <v>1</v>
      </c>
      <c r="G1057" s="1790" t="s">
        <v>2805</v>
      </c>
      <c r="H1057" s="1749" t="s">
        <v>1239</v>
      </c>
      <c r="I1057" s="1750" t="s">
        <v>7079</v>
      </c>
      <c r="J1057" s="1751" t="s">
        <v>1261</v>
      </c>
      <c r="K1057" s="1752" t="s">
        <v>1130</v>
      </c>
      <c r="L1057" s="1753">
        <v>1</v>
      </c>
      <c r="M1057" s="1753">
        <v>11329.400356246744</v>
      </c>
      <c r="N1057" s="1754">
        <v>11329.400356246701</v>
      </c>
      <c r="O1057" s="1761" t="s">
        <v>5445</v>
      </c>
      <c r="P1057" s="1721" t="s">
        <v>9611</v>
      </c>
    </row>
    <row r="1058" spans="1:16" ht="33" hidden="1" customHeight="1" outlineLevel="3" x14ac:dyDescent="0.2">
      <c r="A1058" s="459">
        <v>0</v>
      </c>
      <c r="B1058" s="459">
        <v>11</v>
      </c>
      <c r="C1058" s="459">
        <v>4</v>
      </c>
      <c r="D1058" s="460">
        <v>1</v>
      </c>
      <c r="E1058" s="460">
        <v>2</v>
      </c>
      <c r="G1058" s="1790" t="s">
        <v>2805</v>
      </c>
      <c r="H1058" s="1749" t="s">
        <v>1239</v>
      </c>
      <c r="I1058" s="1750" t="s">
        <v>7080</v>
      </c>
      <c r="J1058" s="1751" t="s">
        <v>1262</v>
      </c>
      <c r="K1058" s="1752" t="s">
        <v>1130</v>
      </c>
      <c r="L1058" s="1753">
        <v>1</v>
      </c>
      <c r="M1058" s="1753">
        <v>3375.4248951383738</v>
      </c>
      <c r="N1058" s="1754">
        <v>3375.4248951383702</v>
      </c>
      <c r="O1058" s="1761" t="s">
        <v>5446</v>
      </c>
      <c r="P1058" s="1721" t="s">
        <v>9611</v>
      </c>
    </row>
    <row r="1059" spans="1:16" ht="13.9" hidden="1" customHeight="1" outlineLevel="2" x14ac:dyDescent="0.2">
      <c r="A1059" s="459">
        <v>0</v>
      </c>
      <c r="B1059" s="459">
        <v>11</v>
      </c>
      <c r="C1059" s="459">
        <v>4</v>
      </c>
      <c r="D1059" s="460">
        <v>2</v>
      </c>
      <c r="E1059" s="460">
        <v>0</v>
      </c>
      <c r="G1059" s="1740"/>
      <c r="H1059" s="1741" t="s">
        <v>1238</v>
      </c>
      <c r="I1059" s="1742" t="s">
        <v>7081</v>
      </c>
      <c r="J1059" s="1743" t="s">
        <v>1682</v>
      </c>
      <c r="K1059" s="1744"/>
      <c r="L1059" s="1745"/>
      <c r="M1059" s="1745"/>
      <c r="N1059" s="1746">
        <v>859.68056373218099</v>
      </c>
      <c r="O1059" s="1747"/>
      <c r="P1059" s="1720"/>
    </row>
    <row r="1060" spans="1:16" ht="13.9" hidden="1" customHeight="1" outlineLevel="3" x14ac:dyDescent="0.2">
      <c r="A1060" s="459">
        <v>0</v>
      </c>
      <c r="B1060" s="459">
        <v>11</v>
      </c>
      <c r="C1060" s="459">
        <v>4</v>
      </c>
      <c r="D1060" s="460">
        <v>2</v>
      </c>
      <c r="E1060" s="460">
        <v>1</v>
      </c>
      <c r="G1060" s="1790" t="s">
        <v>2805</v>
      </c>
      <c r="H1060" s="1749" t="s">
        <v>1239</v>
      </c>
      <c r="I1060" s="1750" t="s">
        <v>7082</v>
      </c>
      <c r="J1060" s="1751" t="s">
        <v>3265</v>
      </c>
      <c r="K1060" s="1752" t="s">
        <v>1130</v>
      </c>
      <c r="L1060" s="1753">
        <v>1</v>
      </c>
      <c r="M1060" s="1753">
        <v>859.6805637321811</v>
      </c>
      <c r="N1060" s="1754">
        <v>859.68056373218099</v>
      </c>
      <c r="O1060" s="1755" t="s">
        <v>3267</v>
      </c>
      <c r="P1060" s="1721" t="s">
        <v>9611</v>
      </c>
    </row>
    <row r="1061" spans="1:16" ht="13.9" hidden="1" customHeight="1" outlineLevel="2" x14ac:dyDescent="0.2">
      <c r="A1061" s="459">
        <v>0</v>
      </c>
      <c r="B1061" s="459">
        <v>11</v>
      </c>
      <c r="C1061" s="459">
        <v>4</v>
      </c>
      <c r="D1061" s="460">
        <v>3</v>
      </c>
      <c r="E1061" s="460">
        <v>0</v>
      </c>
      <c r="G1061" s="1740"/>
      <c r="H1061" s="1741" t="s">
        <v>1238</v>
      </c>
      <c r="I1061" s="1742" t="s">
        <v>7083</v>
      </c>
      <c r="J1061" s="1743" t="s">
        <v>3264</v>
      </c>
      <c r="K1061" s="1744"/>
      <c r="L1061" s="1745"/>
      <c r="M1061" s="1745"/>
      <c r="N1061" s="1746">
        <v>6059.0057957720901</v>
      </c>
      <c r="O1061" s="1747"/>
      <c r="P1061" s="1720"/>
    </row>
    <row r="1062" spans="1:16" ht="13.9" hidden="1" customHeight="1" outlineLevel="3" x14ac:dyDescent="0.2">
      <c r="A1062" s="459">
        <v>0</v>
      </c>
      <c r="B1062" s="459">
        <v>11</v>
      </c>
      <c r="C1062" s="459">
        <v>4</v>
      </c>
      <c r="D1062" s="460">
        <v>3</v>
      </c>
      <c r="E1062" s="460">
        <v>1</v>
      </c>
      <c r="G1062" s="1790" t="s">
        <v>2805</v>
      </c>
      <c r="H1062" s="1749" t="s">
        <v>1239</v>
      </c>
      <c r="I1062" s="1750" t="s">
        <v>7084</v>
      </c>
      <c r="J1062" s="1751" t="s">
        <v>3266</v>
      </c>
      <c r="K1062" s="1752" t="s">
        <v>1130</v>
      </c>
      <c r="L1062" s="1753">
        <v>1</v>
      </c>
      <c r="M1062" s="1753">
        <v>54.423606961320296</v>
      </c>
      <c r="N1062" s="1754">
        <v>54.423606961320303</v>
      </c>
      <c r="O1062" s="1755" t="s">
        <v>3336</v>
      </c>
      <c r="P1062" s="1721" t="s">
        <v>9611</v>
      </c>
    </row>
    <row r="1063" spans="1:16" ht="13.9" hidden="1" customHeight="1" outlineLevel="3" x14ac:dyDescent="0.2">
      <c r="A1063" s="459">
        <v>0</v>
      </c>
      <c r="B1063" s="459">
        <v>11</v>
      </c>
      <c r="C1063" s="459">
        <v>4</v>
      </c>
      <c r="D1063" s="460">
        <v>3</v>
      </c>
      <c r="E1063" s="460">
        <v>2</v>
      </c>
      <c r="G1063" s="1790" t="s">
        <v>2805</v>
      </c>
      <c r="H1063" s="1749" t="s">
        <v>1239</v>
      </c>
      <c r="I1063" s="1750" t="s">
        <v>7085</v>
      </c>
      <c r="J1063" s="1751" t="s">
        <v>5497</v>
      </c>
      <c r="K1063" s="1752" t="s">
        <v>1130</v>
      </c>
      <c r="L1063" s="1753">
        <v>1</v>
      </c>
      <c r="M1063" s="1753">
        <v>6004.5821888107739</v>
      </c>
      <c r="N1063" s="1754">
        <v>6004.5821888107703</v>
      </c>
      <c r="O1063" s="1761" t="s">
        <v>5445</v>
      </c>
      <c r="P1063" s="1721" t="s">
        <v>9611</v>
      </c>
    </row>
    <row r="1064" spans="1:16" ht="13.9" hidden="1" customHeight="1" outlineLevel="2" x14ac:dyDescent="0.2">
      <c r="A1064" s="459">
        <v>0</v>
      </c>
      <c r="B1064" s="459">
        <v>11</v>
      </c>
      <c r="C1064" s="459">
        <v>4</v>
      </c>
      <c r="D1064" s="460">
        <v>4</v>
      </c>
      <c r="E1064" s="460">
        <v>0</v>
      </c>
      <c r="G1064" s="1740"/>
      <c r="H1064" s="1741" t="s">
        <v>1238</v>
      </c>
      <c r="I1064" s="1742" t="s">
        <v>7086</v>
      </c>
      <c r="J1064" s="1743" t="s">
        <v>2806</v>
      </c>
      <c r="K1064" s="1744"/>
      <c r="L1064" s="1745"/>
      <c r="M1064" s="1745"/>
      <c r="N1064" s="1746">
        <v>6724</v>
      </c>
      <c r="O1064" s="1747"/>
      <c r="P1064" s="1720"/>
    </row>
    <row r="1065" spans="1:16" ht="13.9" hidden="1" customHeight="1" outlineLevel="3" x14ac:dyDescent="0.2">
      <c r="A1065" s="459">
        <v>0</v>
      </c>
      <c r="B1065" s="459">
        <v>11</v>
      </c>
      <c r="C1065" s="459">
        <v>4</v>
      </c>
      <c r="D1065" s="460">
        <v>4</v>
      </c>
      <c r="E1065" s="460">
        <v>1</v>
      </c>
      <c r="G1065" s="1790" t="s">
        <v>2805</v>
      </c>
      <c r="H1065" s="1749" t="s">
        <v>1239</v>
      </c>
      <c r="I1065" s="1750" t="s">
        <v>7087</v>
      </c>
      <c r="J1065" s="1751" t="s">
        <v>2806</v>
      </c>
      <c r="K1065" s="1752" t="s">
        <v>534</v>
      </c>
      <c r="L1065" s="1753">
        <v>2</v>
      </c>
      <c r="M1065" s="1753">
        <v>2262</v>
      </c>
      <c r="N1065" s="1754">
        <v>4524</v>
      </c>
      <c r="O1065" s="1755" t="s">
        <v>2807</v>
      </c>
      <c r="P1065" s="1721" t="s">
        <v>9611</v>
      </c>
    </row>
    <row r="1066" spans="1:16" ht="13.9" hidden="1" customHeight="1" outlineLevel="3" x14ac:dyDescent="0.2">
      <c r="A1066" s="459">
        <v>0</v>
      </c>
      <c r="B1066" s="459">
        <v>11</v>
      </c>
      <c r="C1066" s="459">
        <v>4</v>
      </c>
      <c r="D1066" s="460">
        <v>4</v>
      </c>
      <c r="E1066" s="460">
        <v>2</v>
      </c>
      <c r="G1066" s="1790" t="s">
        <v>2805</v>
      </c>
      <c r="H1066" s="1749" t="s">
        <v>1239</v>
      </c>
      <c r="I1066" s="1750" t="s">
        <v>7088</v>
      </c>
      <c r="J1066" s="1751" t="s">
        <v>3262</v>
      </c>
      <c r="K1066" s="1752" t="s">
        <v>534</v>
      </c>
      <c r="L1066" s="1753">
        <v>2</v>
      </c>
      <c r="M1066" s="1753">
        <v>1100</v>
      </c>
      <c r="N1066" s="1754">
        <v>2200</v>
      </c>
      <c r="O1066" s="1755" t="s">
        <v>3263</v>
      </c>
      <c r="P1066" s="1721" t="s">
        <v>9611</v>
      </c>
    </row>
    <row r="1067" spans="1:16" ht="13.9" hidden="1" customHeight="1" outlineLevel="2" x14ac:dyDescent="0.2">
      <c r="A1067" s="459">
        <v>0</v>
      </c>
      <c r="B1067" s="459">
        <v>11</v>
      </c>
      <c r="C1067" s="459">
        <v>4</v>
      </c>
      <c r="D1067" s="460">
        <v>5</v>
      </c>
      <c r="E1067" s="460">
        <v>0</v>
      </c>
      <c r="G1067" s="1740"/>
      <c r="H1067" s="1741" t="s">
        <v>1238</v>
      </c>
      <c r="I1067" s="1742" t="s">
        <v>7089</v>
      </c>
      <c r="J1067" s="1743" t="s">
        <v>15</v>
      </c>
      <c r="K1067" s="1744"/>
      <c r="L1067" s="1745"/>
      <c r="M1067" s="1745"/>
      <c r="N1067" s="1746">
        <v>815.71682564976504</v>
      </c>
      <c r="O1067" s="1747"/>
      <c r="P1067" s="1720"/>
    </row>
    <row r="1068" spans="1:16" ht="13.9" hidden="1" customHeight="1" outlineLevel="3" x14ac:dyDescent="0.2">
      <c r="A1068" s="459">
        <v>0</v>
      </c>
      <c r="B1068" s="459">
        <v>11</v>
      </c>
      <c r="C1068" s="459">
        <v>4</v>
      </c>
      <c r="D1068" s="460">
        <v>5</v>
      </c>
      <c r="E1068" s="460">
        <v>1</v>
      </c>
      <c r="G1068" s="1790" t="s">
        <v>2805</v>
      </c>
      <c r="H1068" s="1749" t="s">
        <v>1239</v>
      </c>
      <c r="I1068" s="1750" t="s">
        <v>7090</v>
      </c>
      <c r="J1068" s="1751" t="s">
        <v>2808</v>
      </c>
      <c r="K1068" s="1752" t="s">
        <v>1130</v>
      </c>
      <c r="L1068" s="1753">
        <v>1</v>
      </c>
      <c r="M1068" s="1753">
        <v>815.7168256497655</v>
      </c>
      <c r="N1068" s="1754">
        <v>815.71682564976504</v>
      </c>
      <c r="O1068" s="1755" t="s">
        <v>5447</v>
      </c>
      <c r="P1068" s="1721" t="s">
        <v>9611</v>
      </c>
    </row>
    <row r="1069" spans="1:16" ht="13.9" hidden="1" customHeight="1" outlineLevel="1" x14ac:dyDescent="0.2">
      <c r="A1069" s="459">
        <v>0</v>
      </c>
      <c r="B1069" s="459">
        <v>11</v>
      </c>
      <c r="C1069" s="459">
        <v>5</v>
      </c>
      <c r="D1069" s="460">
        <v>0</v>
      </c>
      <c r="E1069" s="460">
        <v>1</v>
      </c>
      <c r="G1069" s="1733"/>
      <c r="H1069" s="1734" t="s">
        <v>39</v>
      </c>
      <c r="I1069" s="1735" t="s">
        <v>7091</v>
      </c>
      <c r="J1069" s="1736" t="s">
        <v>5503</v>
      </c>
      <c r="K1069" s="1737"/>
      <c r="L1069" s="1738"/>
      <c r="M1069" s="1738"/>
      <c r="N1069" s="1739">
        <v>211423.147510904</v>
      </c>
      <c r="O1069" s="1722"/>
      <c r="P1069" s="1725"/>
    </row>
    <row r="1070" spans="1:16" ht="13.9" hidden="1" customHeight="1" outlineLevel="2" x14ac:dyDescent="0.2">
      <c r="A1070" s="459">
        <v>0</v>
      </c>
      <c r="B1070" s="459">
        <v>11</v>
      </c>
      <c r="C1070" s="459">
        <v>5</v>
      </c>
      <c r="D1070" s="460">
        <v>1</v>
      </c>
      <c r="E1070" s="460">
        <v>0</v>
      </c>
      <c r="G1070" s="1740"/>
      <c r="H1070" s="1741" t="s">
        <v>1238</v>
      </c>
      <c r="I1070" s="1742" t="s">
        <v>7092</v>
      </c>
      <c r="J1070" s="1743" t="s">
        <v>1303</v>
      </c>
      <c r="K1070" s="1744"/>
      <c r="L1070" s="1745"/>
      <c r="M1070" s="1745"/>
      <c r="N1070" s="1746">
        <v>103298.492854982</v>
      </c>
      <c r="O1070" s="1747"/>
      <c r="P1070" s="1720"/>
    </row>
    <row r="1071" spans="1:16" ht="33.75" hidden="1" customHeight="1" outlineLevel="3" x14ac:dyDescent="0.2">
      <c r="A1071" s="459">
        <v>0</v>
      </c>
      <c r="B1071" s="459">
        <v>11</v>
      </c>
      <c r="C1071" s="459">
        <v>5</v>
      </c>
      <c r="D1071" s="460">
        <v>1</v>
      </c>
      <c r="E1071" s="460">
        <v>1</v>
      </c>
      <c r="G1071" s="1790" t="s">
        <v>2805</v>
      </c>
      <c r="H1071" s="1749" t="s">
        <v>1239</v>
      </c>
      <c r="I1071" s="1750" t="s">
        <v>7093</v>
      </c>
      <c r="J1071" s="1751" t="s">
        <v>1261</v>
      </c>
      <c r="K1071" s="1752" t="s">
        <v>1130</v>
      </c>
      <c r="L1071" s="1753">
        <v>1</v>
      </c>
      <c r="M1071" s="1753">
        <v>79586.799689493244</v>
      </c>
      <c r="N1071" s="1754">
        <v>79586.7996894932</v>
      </c>
      <c r="O1071" s="1761" t="s">
        <v>5445</v>
      </c>
      <c r="P1071" s="1721" t="s">
        <v>9611</v>
      </c>
    </row>
    <row r="1072" spans="1:16" ht="33" hidden="1" customHeight="1" outlineLevel="3" x14ac:dyDescent="0.2">
      <c r="A1072" s="459">
        <v>0</v>
      </c>
      <c r="B1072" s="459">
        <v>11</v>
      </c>
      <c r="C1072" s="459">
        <v>5</v>
      </c>
      <c r="D1072" s="460">
        <v>1</v>
      </c>
      <c r="E1072" s="460">
        <v>2</v>
      </c>
      <c r="G1072" s="1790" t="s">
        <v>2805</v>
      </c>
      <c r="H1072" s="1749" t="s">
        <v>1239</v>
      </c>
      <c r="I1072" s="1750" t="s">
        <v>7094</v>
      </c>
      <c r="J1072" s="1751" t="s">
        <v>1262</v>
      </c>
      <c r="K1072" s="1752" t="s">
        <v>1130</v>
      </c>
      <c r="L1072" s="1753">
        <v>1</v>
      </c>
      <c r="M1072" s="1753">
        <v>23711.693165489174</v>
      </c>
      <c r="N1072" s="1754">
        <v>23711.6931654892</v>
      </c>
      <c r="O1072" s="1761" t="s">
        <v>5446</v>
      </c>
      <c r="P1072" s="1721" t="s">
        <v>9611</v>
      </c>
    </row>
    <row r="1073" spans="1:16" ht="13.9" hidden="1" customHeight="1" outlineLevel="2" x14ac:dyDescent="0.2">
      <c r="A1073" s="459">
        <v>0</v>
      </c>
      <c r="B1073" s="459">
        <v>11</v>
      </c>
      <c r="C1073" s="459">
        <v>5</v>
      </c>
      <c r="D1073" s="460">
        <v>2</v>
      </c>
      <c r="E1073" s="460">
        <v>0</v>
      </c>
      <c r="G1073" s="1740"/>
      <c r="H1073" s="1741" t="s">
        <v>1238</v>
      </c>
      <c r="I1073" s="1742" t="s">
        <v>7095</v>
      </c>
      <c r="J1073" s="1743" t="s">
        <v>1682</v>
      </c>
      <c r="K1073" s="1744"/>
      <c r="L1073" s="1745"/>
      <c r="M1073" s="1745"/>
      <c r="N1073" s="1746">
        <v>6039.0861538385898</v>
      </c>
      <c r="O1073" s="1747"/>
      <c r="P1073" s="1720"/>
    </row>
    <row r="1074" spans="1:16" ht="13.9" hidden="1" customHeight="1" outlineLevel="3" x14ac:dyDescent="0.2">
      <c r="A1074" s="459">
        <v>0</v>
      </c>
      <c r="B1074" s="459">
        <v>11</v>
      </c>
      <c r="C1074" s="459">
        <v>5</v>
      </c>
      <c r="D1074" s="460">
        <v>2</v>
      </c>
      <c r="E1074" s="460">
        <v>1</v>
      </c>
      <c r="G1074" s="1790" t="s">
        <v>2805</v>
      </c>
      <c r="H1074" s="1749" t="s">
        <v>1239</v>
      </c>
      <c r="I1074" s="1750" t="s">
        <v>7096</v>
      </c>
      <c r="J1074" s="1751" t="s">
        <v>3265</v>
      </c>
      <c r="K1074" s="1752" t="s">
        <v>1130</v>
      </c>
      <c r="L1074" s="1753">
        <v>1</v>
      </c>
      <c r="M1074" s="1753">
        <v>6039.0861538385934</v>
      </c>
      <c r="N1074" s="1754">
        <v>6039.0861538385898</v>
      </c>
      <c r="O1074" s="1755" t="s">
        <v>3267</v>
      </c>
      <c r="P1074" s="1721" t="s">
        <v>9611</v>
      </c>
    </row>
    <row r="1075" spans="1:16" ht="13.9" hidden="1" customHeight="1" outlineLevel="2" x14ac:dyDescent="0.2">
      <c r="A1075" s="459">
        <v>0</v>
      </c>
      <c r="B1075" s="459">
        <v>11</v>
      </c>
      <c r="C1075" s="459">
        <v>5</v>
      </c>
      <c r="D1075" s="460">
        <v>3</v>
      </c>
      <c r="E1075" s="460">
        <v>0</v>
      </c>
      <c r="G1075" s="1740"/>
      <c r="H1075" s="1741" t="s">
        <v>1238</v>
      </c>
      <c r="I1075" s="1742" t="s">
        <v>7097</v>
      </c>
      <c r="J1075" s="1743" t="s">
        <v>3264</v>
      </c>
      <c r="K1075" s="1744"/>
      <c r="L1075" s="1745"/>
      <c r="M1075" s="1745"/>
      <c r="N1075" s="1746">
        <v>42563.318924439802</v>
      </c>
      <c r="O1075" s="1747"/>
      <c r="P1075" s="1720"/>
    </row>
    <row r="1076" spans="1:16" ht="13.9" hidden="1" customHeight="1" outlineLevel="3" x14ac:dyDescent="0.2">
      <c r="A1076" s="459">
        <v>0</v>
      </c>
      <c r="B1076" s="459">
        <v>11</v>
      </c>
      <c r="C1076" s="459">
        <v>5</v>
      </c>
      <c r="D1076" s="460">
        <v>3</v>
      </c>
      <c r="E1076" s="460">
        <v>1</v>
      </c>
      <c r="G1076" s="1790" t="s">
        <v>2805</v>
      </c>
      <c r="H1076" s="1749" t="s">
        <v>1239</v>
      </c>
      <c r="I1076" s="1750" t="s">
        <v>7098</v>
      </c>
      <c r="J1076" s="1751" t="s">
        <v>3266</v>
      </c>
      <c r="K1076" s="1752" t="s">
        <v>1130</v>
      </c>
      <c r="L1076" s="1753">
        <v>1</v>
      </c>
      <c r="M1076" s="1753">
        <v>382.31508900840322</v>
      </c>
      <c r="N1076" s="1754">
        <v>382.31508900840299</v>
      </c>
      <c r="O1076" s="1755" t="s">
        <v>3336</v>
      </c>
      <c r="P1076" s="1721" t="s">
        <v>9611</v>
      </c>
    </row>
    <row r="1077" spans="1:16" ht="13.9" hidden="1" customHeight="1" outlineLevel="3" x14ac:dyDescent="0.2">
      <c r="A1077" s="459">
        <v>0</v>
      </c>
      <c r="B1077" s="459">
        <v>11</v>
      </c>
      <c r="C1077" s="459">
        <v>5</v>
      </c>
      <c r="D1077" s="460">
        <v>3</v>
      </c>
      <c r="E1077" s="460">
        <v>2</v>
      </c>
      <c r="G1077" s="1790" t="s">
        <v>2805</v>
      </c>
      <c r="H1077" s="1749" t="s">
        <v>1239</v>
      </c>
      <c r="I1077" s="1750" t="s">
        <v>7099</v>
      </c>
      <c r="J1077" s="1751" t="s">
        <v>5497</v>
      </c>
      <c r="K1077" s="1752" t="s">
        <v>1130</v>
      </c>
      <c r="L1077" s="1753">
        <v>1</v>
      </c>
      <c r="M1077" s="1753">
        <v>42181.003835431424</v>
      </c>
      <c r="N1077" s="1754">
        <v>42181.003835431402</v>
      </c>
      <c r="O1077" s="1761" t="s">
        <v>5445</v>
      </c>
      <c r="P1077" s="1721" t="s">
        <v>9611</v>
      </c>
    </row>
    <row r="1078" spans="1:16" ht="13.9" hidden="1" customHeight="1" outlineLevel="2" x14ac:dyDescent="0.2">
      <c r="A1078" s="459">
        <v>0</v>
      </c>
      <c r="B1078" s="459">
        <v>11</v>
      </c>
      <c r="C1078" s="459">
        <v>5</v>
      </c>
      <c r="D1078" s="460">
        <v>4</v>
      </c>
      <c r="E1078" s="460">
        <v>0</v>
      </c>
      <c r="G1078" s="1740"/>
      <c r="H1078" s="1741" t="s">
        <v>1238</v>
      </c>
      <c r="I1078" s="1742" t="s">
        <v>7100</v>
      </c>
      <c r="J1078" s="1743" t="s">
        <v>2806</v>
      </c>
      <c r="K1078" s="1744"/>
      <c r="L1078" s="1745"/>
      <c r="M1078" s="1745"/>
      <c r="N1078" s="1746">
        <v>53792</v>
      </c>
      <c r="O1078" s="1747"/>
      <c r="P1078" s="1720"/>
    </row>
    <row r="1079" spans="1:16" ht="13.9" hidden="1" customHeight="1" outlineLevel="3" x14ac:dyDescent="0.2">
      <c r="A1079" s="459">
        <v>0</v>
      </c>
      <c r="B1079" s="459">
        <v>11</v>
      </c>
      <c r="C1079" s="459">
        <v>5</v>
      </c>
      <c r="D1079" s="460">
        <v>4</v>
      </c>
      <c r="E1079" s="460">
        <v>1</v>
      </c>
      <c r="G1079" s="1790" t="s">
        <v>2805</v>
      </c>
      <c r="H1079" s="1749" t="s">
        <v>1239</v>
      </c>
      <c r="I1079" s="1750" t="s">
        <v>7101</v>
      </c>
      <c r="J1079" s="1751" t="s">
        <v>2806</v>
      </c>
      <c r="K1079" s="1752" t="s">
        <v>534</v>
      </c>
      <c r="L1079" s="1753">
        <v>16</v>
      </c>
      <c r="M1079" s="1753">
        <v>2262</v>
      </c>
      <c r="N1079" s="1754">
        <v>36192</v>
      </c>
      <c r="O1079" s="1755" t="s">
        <v>2807</v>
      </c>
      <c r="P1079" s="1721" t="s">
        <v>9611</v>
      </c>
    </row>
    <row r="1080" spans="1:16" ht="13.9" hidden="1" customHeight="1" outlineLevel="3" x14ac:dyDescent="0.2">
      <c r="A1080" s="459">
        <v>0</v>
      </c>
      <c r="B1080" s="459">
        <v>11</v>
      </c>
      <c r="C1080" s="459">
        <v>5</v>
      </c>
      <c r="D1080" s="460">
        <v>4</v>
      </c>
      <c r="E1080" s="460">
        <v>2</v>
      </c>
      <c r="G1080" s="1790" t="s">
        <v>2805</v>
      </c>
      <c r="H1080" s="1749" t="s">
        <v>1239</v>
      </c>
      <c r="I1080" s="1750" t="s">
        <v>7102</v>
      </c>
      <c r="J1080" s="1751" t="s">
        <v>3262</v>
      </c>
      <c r="K1080" s="1752" t="s">
        <v>534</v>
      </c>
      <c r="L1080" s="1753">
        <v>16</v>
      </c>
      <c r="M1080" s="1753">
        <v>1100</v>
      </c>
      <c r="N1080" s="1754">
        <v>17600</v>
      </c>
      <c r="O1080" s="1755" t="s">
        <v>3263</v>
      </c>
      <c r="P1080" s="1721" t="s">
        <v>9611</v>
      </c>
    </row>
    <row r="1081" spans="1:16" ht="13.9" hidden="1" customHeight="1" outlineLevel="2" x14ac:dyDescent="0.2">
      <c r="A1081" s="459">
        <v>0</v>
      </c>
      <c r="B1081" s="459">
        <v>11</v>
      </c>
      <c r="C1081" s="459">
        <v>5</v>
      </c>
      <c r="D1081" s="460">
        <v>5</v>
      </c>
      <c r="E1081" s="460">
        <v>0</v>
      </c>
      <c r="G1081" s="1740"/>
      <c r="H1081" s="1741" t="s">
        <v>1238</v>
      </c>
      <c r="I1081" s="1742" t="s">
        <v>7103</v>
      </c>
      <c r="J1081" s="1743" t="s">
        <v>15</v>
      </c>
      <c r="K1081" s="1744"/>
      <c r="L1081" s="1745"/>
      <c r="M1081" s="1745"/>
      <c r="N1081" s="1746">
        <v>5730.2495776435098</v>
      </c>
      <c r="O1081" s="1747"/>
      <c r="P1081" s="1720"/>
    </row>
    <row r="1082" spans="1:16" ht="13.9" hidden="1" customHeight="1" outlineLevel="3" x14ac:dyDescent="0.2">
      <c r="A1082" s="459">
        <v>0</v>
      </c>
      <c r="B1082" s="459">
        <v>11</v>
      </c>
      <c r="C1082" s="459">
        <v>5</v>
      </c>
      <c r="D1082" s="460">
        <v>5</v>
      </c>
      <c r="E1082" s="460">
        <v>1</v>
      </c>
      <c r="G1082" s="1790" t="s">
        <v>2805</v>
      </c>
      <c r="H1082" s="1749" t="s">
        <v>1239</v>
      </c>
      <c r="I1082" s="1750" t="s">
        <v>7104</v>
      </c>
      <c r="J1082" s="1751" t="s">
        <v>2808</v>
      </c>
      <c r="K1082" s="1752" t="s">
        <v>1130</v>
      </c>
      <c r="L1082" s="1753">
        <v>1</v>
      </c>
      <c r="M1082" s="1753">
        <v>5730.2495776435135</v>
      </c>
      <c r="N1082" s="1754">
        <v>5730.2495776435098</v>
      </c>
      <c r="O1082" s="1755" t="s">
        <v>5447</v>
      </c>
      <c r="P1082" s="1721" t="s">
        <v>9611</v>
      </c>
    </row>
    <row r="1083" spans="1:16" ht="13.9" hidden="1" customHeight="1" outlineLevel="1" x14ac:dyDescent="0.2">
      <c r="A1083" s="459">
        <v>0</v>
      </c>
      <c r="B1083" s="459">
        <v>11</v>
      </c>
      <c r="C1083" s="459">
        <v>6</v>
      </c>
      <c r="D1083" s="460">
        <v>0</v>
      </c>
      <c r="E1083" s="460">
        <v>1</v>
      </c>
      <c r="G1083" s="1733"/>
      <c r="H1083" s="1734" t="s">
        <v>39</v>
      </c>
      <c r="I1083" s="1735" t="s">
        <v>7105</v>
      </c>
      <c r="J1083" s="1736" t="s">
        <v>5504</v>
      </c>
      <c r="K1083" s="1737"/>
      <c r="L1083" s="1738"/>
      <c r="M1083" s="1738"/>
      <c r="N1083" s="1739">
        <v>507678.24965289299</v>
      </c>
      <c r="O1083" s="1722"/>
      <c r="P1083" s="1725"/>
    </row>
    <row r="1084" spans="1:16" ht="13.9" hidden="1" customHeight="1" outlineLevel="2" x14ac:dyDescent="0.2">
      <c r="A1084" s="459">
        <v>0</v>
      </c>
      <c r="B1084" s="459">
        <v>11</v>
      </c>
      <c r="C1084" s="459">
        <v>6</v>
      </c>
      <c r="D1084" s="460">
        <v>1</v>
      </c>
      <c r="E1084" s="460">
        <v>0</v>
      </c>
      <c r="G1084" s="1740"/>
      <c r="H1084" s="1741" t="s">
        <v>1238</v>
      </c>
      <c r="I1084" s="1742" t="s">
        <v>7106</v>
      </c>
      <c r="J1084" s="1743" t="s">
        <v>1303</v>
      </c>
      <c r="K1084" s="1744"/>
      <c r="L1084" s="1745"/>
      <c r="M1084" s="1745"/>
      <c r="N1084" s="1746">
        <v>284220.657061284</v>
      </c>
      <c r="O1084" s="1747"/>
      <c r="P1084" s="1720"/>
    </row>
    <row r="1085" spans="1:16" ht="33.75" hidden="1" customHeight="1" outlineLevel="3" x14ac:dyDescent="0.2">
      <c r="A1085" s="459">
        <v>0</v>
      </c>
      <c r="B1085" s="459">
        <v>11</v>
      </c>
      <c r="C1085" s="459">
        <v>6</v>
      </c>
      <c r="D1085" s="460">
        <v>1</v>
      </c>
      <c r="E1085" s="460">
        <v>1</v>
      </c>
      <c r="G1085" s="1790" t="s">
        <v>2805</v>
      </c>
      <c r="H1085" s="1749" t="s">
        <v>1239</v>
      </c>
      <c r="I1085" s="1750" t="s">
        <v>7107</v>
      </c>
      <c r="J1085" s="1751" t="s">
        <v>1261</v>
      </c>
      <c r="K1085" s="1752" t="s">
        <v>1130</v>
      </c>
      <c r="L1085" s="1753">
        <v>1</v>
      </c>
      <c r="M1085" s="1753">
        <v>218979.11456373721</v>
      </c>
      <c r="N1085" s="1754">
        <v>218979.11456373701</v>
      </c>
      <c r="O1085" s="1761" t="s">
        <v>5445</v>
      </c>
      <c r="P1085" s="1721" t="s">
        <v>9611</v>
      </c>
    </row>
    <row r="1086" spans="1:16" ht="33" hidden="1" customHeight="1" outlineLevel="3" x14ac:dyDescent="0.2">
      <c r="A1086" s="459">
        <v>0</v>
      </c>
      <c r="B1086" s="459">
        <v>11</v>
      </c>
      <c r="C1086" s="459">
        <v>6</v>
      </c>
      <c r="D1086" s="460">
        <v>1</v>
      </c>
      <c r="E1086" s="460">
        <v>2</v>
      </c>
      <c r="G1086" s="1790" t="s">
        <v>2805</v>
      </c>
      <c r="H1086" s="1749" t="s">
        <v>1239</v>
      </c>
      <c r="I1086" s="1750" t="s">
        <v>7108</v>
      </c>
      <c r="J1086" s="1751" t="s">
        <v>1262</v>
      </c>
      <c r="K1086" s="1752" t="s">
        <v>1130</v>
      </c>
      <c r="L1086" s="1753">
        <v>1</v>
      </c>
      <c r="M1086" s="1753">
        <v>65241.542497547052</v>
      </c>
      <c r="N1086" s="1754">
        <v>65241.542497547103</v>
      </c>
      <c r="O1086" s="1761" t="s">
        <v>5446</v>
      </c>
      <c r="P1086" s="1721" t="s">
        <v>9611</v>
      </c>
    </row>
    <row r="1087" spans="1:16" ht="13.9" hidden="1" customHeight="1" outlineLevel="2" x14ac:dyDescent="0.2">
      <c r="A1087" s="459">
        <v>0</v>
      </c>
      <c r="B1087" s="459">
        <v>11</v>
      </c>
      <c r="C1087" s="459">
        <v>6</v>
      </c>
      <c r="D1087" s="460">
        <v>2</v>
      </c>
      <c r="E1087" s="460">
        <v>0</v>
      </c>
      <c r="G1087" s="1740"/>
      <c r="H1087" s="1741" t="s">
        <v>1238</v>
      </c>
      <c r="I1087" s="1742" t="s">
        <v>7109</v>
      </c>
      <c r="J1087" s="1743" t="s">
        <v>1682</v>
      </c>
      <c r="K1087" s="1744"/>
      <c r="L1087" s="1745"/>
      <c r="M1087" s="1745"/>
      <c r="N1087" s="1746">
        <v>16616.244702653701</v>
      </c>
      <c r="O1087" s="1747"/>
      <c r="P1087" s="1720"/>
    </row>
    <row r="1088" spans="1:16" ht="13.9" hidden="1" customHeight="1" outlineLevel="3" x14ac:dyDescent="0.2">
      <c r="A1088" s="459">
        <v>0</v>
      </c>
      <c r="B1088" s="459">
        <v>11</v>
      </c>
      <c r="C1088" s="459">
        <v>6</v>
      </c>
      <c r="D1088" s="460">
        <v>2</v>
      </c>
      <c r="E1088" s="460">
        <v>1</v>
      </c>
      <c r="G1088" s="1790" t="s">
        <v>2805</v>
      </c>
      <c r="H1088" s="1749" t="s">
        <v>1239</v>
      </c>
      <c r="I1088" s="1750" t="s">
        <v>7110</v>
      </c>
      <c r="J1088" s="1751" t="s">
        <v>3265</v>
      </c>
      <c r="K1088" s="1752" t="s">
        <v>1130</v>
      </c>
      <c r="L1088" s="1753">
        <v>1</v>
      </c>
      <c r="M1088" s="1753">
        <v>16616.244702653657</v>
      </c>
      <c r="N1088" s="1754">
        <v>16616.244702653701</v>
      </c>
      <c r="O1088" s="1755" t="s">
        <v>3267</v>
      </c>
      <c r="P1088" s="1721" t="s">
        <v>9611</v>
      </c>
    </row>
    <row r="1089" spans="1:16" ht="13.9" hidden="1" customHeight="1" outlineLevel="2" x14ac:dyDescent="0.2">
      <c r="A1089" s="459">
        <v>0</v>
      </c>
      <c r="B1089" s="459">
        <v>11</v>
      </c>
      <c r="C1089" s="459">
        <v>6</v>
      </c>
      <c r="D1089" s="460">
        <v>3</v>
      </c>
      <c r="E1089" s="460">
        <v>0</v>
      </c>
      <c r="G1089" s="1740"/>
      <c r="H1089" s="1741" t="s">
        <v>1238</v>
      </c>
      <c r="I1089" s="1742" t="s">
        <v>7111</v>
      </c>
      <c r="J1089" s="1743" t="s">
        <v>3264</v>
      </c>
      <c r="K1089" s="1744"/>
      <c r="L1089" s="1745"/>
      <c r="M1089" s="1745"/>
      <c r="N1089" s="1746">
        <v>117110.851640366</v>
      </c>
      <c r="O1089" s="1747"/>
      <c r="P1089" s="1720"/>
    </row>
    <row r="1090" spans="1:16" ht="13.9" hidden="1" customHeight="1" outlineLevel="3" x14ac:dyDescent="0.2">
      <c r="A1090" s="459">
        <v>0</v>
      </c>
      <c r="B1090" s="459">
        <v>11</v>
      </c>
      <c r="C1090" s="459">
        <v>6</v>
      </c>
      <c r="D1090" s="460">
        <v>3</v>
      </c>
      <c r="E1090" s="460">
        <v>1</v>
      </c>
      <c r="G1090" s="1790" t="s">
        <v>2805</v>
      </c>
      <c r="H1090" s="1749" t="s">
        <v>1239</v>
      </c>
      <c r="I1090" s="1750" t="s">
        <v>7112</v>
      </c>
      <c r="J1090" s="1751" t="s">
        <v>3266</v>
      </c>
      <c r="K1090" s="1752" t="s">
        <v>1130</v>
      </c>
      <c r="L1090" s="1753">
        <v>1</v>
      </c>
      <c r="M1090" s="1753">
        <v>1051.9209215855526</v>
      </c>
      <c r="N1090" s="1754">
        <v>1051.9209215855501</v>
      </c>
      <c r="O1090" s="1755" t="s">
        <v>3336</v>
      </c>
      <c r="P1090" s="1721" t="s">
        <v>9611</v>
      </c>
    </row>
    <row r="1091" spans="1:16" ht="13.9" hidden="1" customHeight="1" outlineLevel="3" x14ac:dyDescent="0.2">
      <c r="A1091" s="459">
        <v>0</v>
      </c>
      <c r="B1091" s="459">
        <v>11</v>
      </c>
      <c r="C1091" s="459">
        <v>6</v>
      </c>
      <c r="D1091" s="460">
        <v>3</v>
      </c>
      <c r="E1091" s="460">
        <v>2</v>
      </c>
      <c r="G1091" s="1790" t="s">
        <v>2805</v>
      </c>
      <c r="H1091" s="1749" t="s">
        <v>1239</v>
      </c>
      <c r="I1091" s="1750" t="s">
        <v>7113</v>
      </c>
      <c r="J1091" s="1751" t="s">
        <v>5497</v>
      </c>
      <c r="K1091" s="1752" t="s">
        <v>1130</v>
      </c>
      <c r="L1091" s="1753">
        <v>1</v>
      </c>
      <c r="M1091" s="1753">
        <v>116058.9307187807</v>
      </c>
      <c r="N1091" s="1754">
        <v>116058.930718781</v>
      </c>
      <c r="O1091" s="1761" t="s">
        <v>5445</v>
      </c>
      <c r="P1091" s="1721" t="s">
        <v>9611</v>
      </c>
    </row>
    <row r="1092" spans="1:16" ht="13.9" hidden="1" customHeight="1" outlineLevel="2" x14ac:dyDescent="0.2">
      <c r="A1092" s="459">
        <v>0</v>
      </c>
      <c r="B1092" s="459">
        <v>11</v>
      </c>
      <c r="C1092" s="459">
        <v>6</v>
      </c>
      <c r="D1092" s="460">
        <v>4</v>
      </c>
      <c r="E1092" s="460">
        <v>0</v>
      </c>
      <c r="G1092" s="1740"/>
      <c r="H1092" s="1741" t="s">
        <v>1238</v>
      </c>
      <c r="I1092" s="1742" t="s">
        <v>7114</v>
      </c>
      <c r="J1092" s="1743" t="s">
        <v>2806</v>
      </c>
      <c r="K1092" s="1744"/>
      <c r="L1092" s="1745"/>
      <c r="M1092" s="1745"/>
      <c r="N1092" s="1746">
        <v>73964</v>
      </c>
      <c r="O1092" s="1747"/>
      <c r="P1092" s="1720"/>
    </row>
    <row r="1093" spans="1:16" ht="13.9" hidden="1" customHeight="1" outlineLevel="3" x14ac:dyDescent="0.2">
      <c r="A1093" s="459">
        <v>0</v>
      </c>
      <c r="B1093" s="459">
        <v>11</v>
      </c>
      <c r="C1093" s="459">
        <v>6</v>
      </c>
      <c r="D1093" s="460">
        <v>4</v>
      </c>
      <c r="E1093" s="460">
        <v>1</v>
      </c>
      <c r="G1093" s="1790" t="s">
        <v>2805</v>
      </c>
      <c r="H1093" s="1749" t="s">
        <v>1239</v>
      </c>
      <c r="I1093" s="1750" t="s">
        <v>7115</v>
      </c>
      <c r="J1093" s="1751" t="s">
        <v>2806</v>
      </c>
      <c r="K1093" s="1752" t="s">
        <v>534</v>
      </c>
      <c r="L1093" s="1753">
        <v>22</v>
      </c>
      <c r="M1093" s="1753">
        <v>2262</v>
      </c>
      <c r="N1093" s="1754">
        <v>49764</v>
      </c>
      <c r="O1093" s="1755" t="s">
        <v>2807</v>
      </c>
      <c r="P1093" s="1721" t="s">
        <v>9611</v>
      </c>
    </row>
    <row r="1094" spans="1:16" ht="13.9" hidden="1" customHeight="1" outlineLevel="3" x14ac:dyDescent="0.2">
      <c r="A1094" s="459">
        <v>0</v>
      </c>
      <c r="B1094" s="459">
        <v>11</v>
      </c>
      <c r="C1094" s="459">
        <v>6</v>
      </c>
      <c r="D1094" s="460">
        <v>4</v>
      </c>
      <c r="E1094" s="460">
        <v>2</v>
      </c>
      <c r="G1094" s="1790" t="s">
        <v>2805</v>
      </c>
      <c r="H1094" s="1749" t="s">
        <v>1239</v>
      </c>
      <c r="I1094" s="1750" t="s">
        <v>7116</v>
      </c>
      <c r="J1094" s="1751" t="s">
        <v>3262</v>
      </c>
      <c r="K1094" s="1752" t="s">
        <v>534</v>
      </c>
      <c r="L1094" s="1753">
        <v>22</v>
      </c>
      <c r="M1094" s="1753">
        <v>1100</v>
      </c>
      <c r="N1094" s="1754">
        <v>24200</v>
      </c>
      <c r="O1094" s="1755" t="s">
        <v>3263</v>
      </c>
      <c r="P1094" s="1721" t="s">
        <v>9611</v>
      </c>
    </row>
    <row r="1095" spans="1:16" ht="13.9" hidden="1" customHeight="1" outlineLevel="2" x14ac:dyDescent="0.2">
      <c r="A1095" s="459">
        <v>0</v>
      </c>
      <c r="B1095" s="459">
        <v>11</v>
      </c>
      <c r="C1095" s="459">
        <v>6</v>
      </c>
      <c r="D1095" s="460">
        <v>5</v>
      </c>
      <c r="E1095" s="460">
        <v>0</v>
      </c>
      <c r="G1095" s="1740"/>
      <c r="H1095" s="1741" t="s">
        <v>1238</v>
      </c>
      <c r="I1095" s="1742" t="s">
        <v>7117</v>
      </c>
      <c r="J1095" s="1743" t="s">
        <v>15</v>
      </c>
      <c r="K1095" s="1744"/>
      <c r="L1095" s="1745"/>
      <c r="M1095" s="1745"/>
      <c r="N1095" s="1746">
        <v>15766.496248589099</v>
      </c>
      <c r="O1095" s="1747"/>
      <c r="P1095" s="1720"/>
    </row>
    <row r="1096" spans="1:16" ht="13.9" hidden="1" customHeight="1" outlineLevel="3" x14ac:dyDescent="0.2">
      <c r="A1096" s="459">
        <v>0</v>
      </c>
      <c r="B1096" s="459">
        <v>11</v>
      </c>
      <c r="C1096" s="459">
        <v>6</v>
      </c>
      <c r="D1096" s="460">
        <v>5</v>
      </c>
      <c r="E1096" s="460">
        <v>1</v>
      </c>
      <c r="G1096" s="1790" t="s">
        <v>2805</v>
      </c>
      <c r="H1096" s="1749" t="s">
        <v>1239</v>
      </c>
      <c r="I1096" s="1750" t="s">
        <v>7118</v>
      </c>
      <c r="J1096" s="1751" t="s">
        <v>2808</v>
      </c>
      <c r="K1096" s="1752" t="s">
        <v>1130</v>
      </c>
      <c r="L1096" s="1753">
        <v>1</v>
      </c>
      <c r="M1096" s="1753">
        <v>15766.496248589088</v>
      </c>
      <c r="N1096" s="1754">
        <v>15766.496248589099</v>
      </c>
      <c r="O1096" s="1755" t="s">
        <v>5447</v>
      </c>
      <c r="P1096" s="1721" t="s">
        <v>9611</v>
      </c>
    </row>
    <row r="1097" spans="1:16" ht="13.9" hidden="1" customHeight="1" outlineLevel="1" x14ac:dyDescent="0.2">
      <c r="A1097" s="459">
        <v>0</v>
      </c>
      <c r="B1097" s="459">
        <v>11</v>
      </c>
      <c r="C1097" s="459">
        <v>7</v>
      </c>
      <c r="D1097" s="460">
        <v>0</v>
      </c>
      <c r="E1097" s="460">
        <v>1</v>
      </c>
      <c r="G1097" s="1733"/>
      <c r="H1097" s="1734" t="s">
        <v>39</v>
      </c>
      <c r="I1097" s="1735" t="s">
        <v>7119</v>
      </c>
      <c r="J1097" s="1736" t="s">
        <v>5505</v>
      </c>
      <c r="K1097" s="1737"/>
      <c r="L1097" s="1738"/>
      <c r="M1097" s="1738"/>
      <c r="N1097" s="1739">
        <v>22387.255007578198</v>
      </c>
      <c r="O1097" s="1722"/>
      <c r="P1097" s="1725"/>
    </row>
    <row r="1098" spans="1:16" ht="13.9" hidden="1" customHeight="1" outlineLevel="2" x14ac:dyDescent="0.2">
      <c r="A1098" s="459">
        <v>0</v>
      </c>
      <c r="B1098" s="459">
        <v>11</v>
      </c>
      <c r="C1098" s="459">
        <v>7</v>
      </c>
      <c r="D1098" s="460">
        <v>1</v>
      </c>
      <c r="E1098" s="460">
        <v>0</v>
      </c>
      <c r="G1098" s="1740"/>
      <c r="H1098" s="1741" t="s">
        <v>1238</v>
      </c>
      <c r="I1098" s="1742" t="s">
        <v>7120</v>
      </c>
      <c r="J1098" s="1743" t="s">
        <v>1303</v>
      </c>
      <c r="K1098" s="1744"/>
      <c r="L1098" s="1745"/>
      <c r="M1098" s="1745"/>
      <c r="N1098" s="1746">
        <v>12467.5877800648</v>
      </c>
      <c r="O1098" s="1747"/>
      <c r="P1098" s="1720"/>
    </row>
    <row r="1099" spans="1:16" ht="33.75" hidden="1" customHeight="1" outlineLevel="3" x14ac:dyDescent="0.2">
      <c r="A1099" s="459">
        <v>0</v>
      </c>
      <c r="B1099" s="459">
        <v>11</v>
      </c>
      <c r="C1099" s="459">
        <v>7</v>
      </c>
      <c r="D1099" s="460">
        <v>1</v>
      </c>
      <c r="E1099" s="460">
        <v>1</v>
      </c>
      <c r="G1099" s="1790" t="s">
        <v>2805</v>
      </c>
      <c r="H1099" s="1749" t="s">
        <v>1239</v>
      </c>
      <c r="I1099" s="1750" t="s">
        <v>7121</v>
      </c>
      <c r="J1099" s="1751" t="s">
        <v>1261</v>
      </c>
      <c r="K1099" s="1752" t="s">
        <v>1130</v>
      </c>
      <c r="L1099" s="1753">
        <v>1</v>
      </c>
      <c r="M1099" s="1753">
        <v>9605.7104400950611</v>
      </c>
      <c r="N1099" s="1754">
        <v>9605.7104400950593</v>
      </c>
      <c r="O1099" s="1761" t="s">
        <v>5445</v>
      </c>
      <c r="P1099" s="1721" t="s">
        <v>9611</v>
      </c>
    </row>
    <row r="1100" spans="1:16" ht="33" hidden="1" customHeight="1" outlineLevel="3" x14ac:dyDescent="0.2">
      <c r="A1100" s="459">
        <v>0</v>
      </c>
      <c r="B1100" s="459">
        <v>11</v>
      </c>
      <c r="C1100" s="459">
        <v>7</v>
      </c>
      <c r="D1100" s="460">
        <v>1</v>
      </c>
      <c r="E1100" s="460">
        <v>2</v>
      </c>
      <c r="G1100" s="1790" t="s">
        <v>2805</v>
      </c>
      <c r="H1100" s="1749" t="s">
        <v>1239</v>
      </c>
      <c r="I1100" s="1750" t="s">
        <v>7122</v>
      </c>
      <c r="J1100" s="1751" t="s">
        <v>1262</v>
      </c>
      <c r="K1100" s="1752" t="s">
        <v>1130</v>
      </c>
      <c r="L1100" s="1753">
        <v>1</v>
      </c>
      <c r="M1100" s="1753">
        <v>2861.877339969722</v>
      </c>
      <c r="N1100" s="1754">
        <v>2861.8773399697202</v>
      </c>
      <c r="O1100" s="1761" t="s">
        <v>5446</v>
      </c>
      <c r="P1100" s="1721" t="s">
        <v>9611</v>
      </c>
    </row>
    <row r="1101" spans="1:16" ht="13.9" hidden="1" customHeight="1" outlineLevel="2" x14ac:dyDescent="0.2">
      <c r="A1101" s="459">
        <v>0</v>
      </c>
      <c r="B1101" s="459">
        <v>11</v>
      </c>
      <c r="C1101" s="459">
        <v>7</v>
      </c>
      <c r="D1101" s="460">
        <v>2</v>
      </c>
      <c r="E1101" s="460">
        <v>0</v>
      </c>
      <c r="G1101" s="1740"/>
      <c r="H1101" s="1741" t="s">
        <v>1238</v>
      </c>
      <c r="I1101" s="1742" t="s">
        <v>7123</v>
      </c>
      <c r="J1101" s="1743" t="s">
        <v>1682</v>
      </c>
      <c r="K1101" s="1744"/>
      <c r="L1101" s="1745"/>
      <c r="M1101" s="1745"/>
      <c r="N1101" s="1746">
        <v>728.88611104963297</v>
      </c>
      <c r="O1101" s="1747"/>
      <c r="P1101" s="1720"/>
    </row>
    <row r="1102" spans="1:16" ht="13.9" hidden="1" customHeight="1" outlineLevel="3" x14ac:dyDescent="0.2">
      <c r="A1102" s="459">
        <v>0</v>
      </c>
      <c r="B1102" s="459">
        <v>11</v>
      </c>
      <c r="C1102" s="459">
        <v>7</v>
      </c>
      <c r="D1102" s="460">
        <v>2</v>
      </c>
      <c r="E1102" s="460">
        <v>1</v>
      </c>
      <c r="G1102" s="1790" t="s">
        <v>2805</v>
      </c>
      <c r="H1102" s="1749" t="s">
        <v>1239</v>
      </c>
      <c r="I1102" s="1750" t="s">
        <v>7124</v>
      </c>
      <c r="J1102" s="1751" t="s">
        <v>3265</v>
      </c>
      <c r="K1102" s="1752" t="s">
        <v>1130</v>
      </c>
      <c r="L1102" s="1753">
        <v>1</v>
      </c>
      <c r="M1102" s="1753">
        <v>728.88611104963331</v>
      </c>
      <c r="N1102" s="1754">
        <v>728.88611104963297</v>
      </c>
      <c r="O1102" s="1755" t="s">
        <v>3267</v>
      </c>
      <c r="P1102" s="1721" t="s">
        <v>9611</v>
      </c>
    </row>
    <row r="1103" spans="1:16" ht="13.9" hidden="1" customHeight="1" outlineLevel="2" x14ac:dyDescent="0.2">
      <c r="A1103" s="459">
        <v>0</v>
      </c>
      <c r="B1103" s="459">
        <v>11</v>
      </c>
      <c r="C1103" s="459">
        <v>7</v>
      </c>
      <c r="D1103" s="460">
        <v>3</v>
      </c>
      <c r="E1103" s="460">
        <v>0</v>
      </c>
      <c r="G1103" s="1740"/>
      <c r="H1103" s="1741" t="s">
        <v>1238</v>
      </c>
      <c r="I1103" s="1742" t="s">
        <v>7125</v>
      </c>
      <c r="J1103" s="1743" t="s">
        <v>3264</v>
      </c>
      <c r="K1103" s="1744"/>
      <c r="L1103" s="1745"/>
      <c r="M1103" s="1745"/>
      <c r="N1103" s="1746">
        <v>5137.1699647769901</v>
      </c>
      <c r="O1103" s="1747"/>
      <c r="P1103" s="1720"/>
    </row>
    <row r="1104" spans="1:16" ht="13.9" hidden="1" customHeight="1" outlineLevel="3" x14ac:dyDescent="0.2">
      <c r="A1104" s="459">
        <v>0</v>
      </c>
      <c r="B1104" s="459">
        <v>11</v>
      </c>
      <c r="C1104" s="459">
        <v>7</v>
      </c>
      <c r="D1104" s="460">
        <v>3</v>
      </c>
      <c r="E1104" s="460">
        <v>1</v>
      </c>
      <c r="G1104" s="1790" t="s">
        <v>2805</v>
      </c>
      <c r="H1104" s="1749" t="s">
        <v>1239</v>
      </c>
      <c r="I1104" s="1750" t="s">
        <v>7126</v>
      </c>
      <c r="J1104" s="1751" t="s">
        <v>3266</v>
      </c>
      <c r="K1104" s="1752" t="s">
        <v>1130</v>
      </c>
      <c r="L1104" s="1753">
        <v>1</v>
      </c>
      <c r="M1104" s="1753">
        <v>46.143431526606648</v>
      </c>
      <c r="N1104" s="1754">
        <v>46.143431526606598</v>
      </c>
      <c r="O1104" s="1755" t="s">
        <v>3336</v>
      </c>
      <c r="P1104" s="1721" t="s">
        <v>9611</v>
      </c>
    </row>
    <row r="1105" spans="1:16" ht="13.9" hidden="1" customHeight="1" outlineLevel="3" x14ac:dyDescent="0.2">
      <c r="A1105" s="459">
        <v>0</v>
      </c>
      <c r="B1105" s="459">
        <v>11</v>
      </c>
      <c r="C1105" s="459">
        <v>7</v>
      </c>
      <c r="D1105" s="460">
        <v>3</v>
      </c>
      <c r="E1105" s="460">
        <v>2</v>
      </c>
      <c r="G1105" s="1790" t="s">
        <v>2805</v>
      </c>
      <c r="H1105" s="1749" t="s">
        <v>1239</v>
      </c>
      <c r="I1105" s="1750" t="s">
        <v>7127</v>
      </c>
      <c r="J1105" s="1751" t="s">
        <v>5497</v>
      </c>
      <c r="K1105" s="1752" t="s">
        <v>1130</v>
      </c>
      <c r="L1105" s="1753">
        <v>1</v>
      </c>
      <c r="M1105" s="1753">
        <v>5091.0265332503823</v>
      </c>
      <c r="N1105" s="1754">
        <v>5091.0265332503805</v>
      </c>
      <c r="O1105" s="1761" t="s">
        <v>5445</v>
      </c>
      <c r="P1105" s="1721" t="s">
        <v>9611</v>
      </c>
    </row>
    <row r="1106" spans="1:16" ht="13.9" hidden="1" customHeight="1" outlineLevel="2" x14ac:dyDescent="0.2">
      <c r="A1106" s="459">
        <v>0</v>
      </c>
      <c r="B1106" s="459">
        <v>11</v>
      </c>
      <c r="C1106" s="459">
        <v>7</v>
      </c>
      <c r="D1106" s="460">
        <v>4</v>
      </c>
      <c r="E1106" s="460">
        <v>0</v>
      </c>
      <c r="G1106" s="1740"/>
      <c r="H1106" s="1741" t="s">
        <v>1238</v>
      </c>
      <c r="I1106" s="1742" t="s">
        <v>7128</v>
      </c>
      <c r="J1106" s="1743" t="s">
        <v>2806</v>
      </c>
      <c r="K1106" s="1744"/>
      <c r="L1106" s="1745"/>
      <c r="M1106" s="1745"/>
      <c r="N1106" s="1746">
        <v>3362</v>
      </c>
      <c r="O1106" s="1747"/>
      <c r="P1106" s="1720"/>
    </row>
    <row r="1107" spans="1:16" ht="13.9" hidden="1" customHeight="1" outlineLevel="3" x14ac:dyDescent="0.2">
      <c r="A1107" s="459">
        <v>0</v>
      </c>
      <c r="B1107" s="459">
        <v>11</v>
      </c>
      <c r="C1107" s="459">
        <v>7</v>
      </c>
      <c r="D1107" s="460">
        <v>4</v>
      </c>
      <c r="E1107" s="460">
        <v>1</v>
      </c>
      <c r="G1107" s="1790" t="s">
        <v>2805</v>
      </c>
      <c r="H1107" s="1749" t="s">
        <v>1239</v>
      </c>
      <c r="I1107" s="1750" t="s">
        <v>7129</v>
      </c>
      <c r="J1107" s="1751" t="s">
        <v>2806</v>
      </c>
      <c r="K1107" s="1752" t="s">
        <v>534</v>
      </c>
      <c r="L1107" s="1753">
        <v>1</v>
      </c>
      <c r="M1107" s="1753">
        <v>2262</v>
      </c>
      <c r="N1107" s="1754">
        <v>2262</v>
      </c>
      <c r="O1107" s="1755" t="s">
        <v>2807</v>
      </c>
      <c r="P1107" s="1721" t="s">
        <v>9611</v>
      </c>
    </row>
    <row r="1108" spans="1:16" ht="13.9" hidden="1" customHeight="1" outlineLevel="3" x14ac:dyDescent="0.2">
      <c r="A1108" s="459">
        <v>0</v>
      </c>
      <c r="B1108" s="459">
        <v>11</v>
      </c>
      <c r="C1108" s="459">
        <v>7</v>
      </c>
      <c r="D1108" s="460">
        <v>4</v>
      </c>
      <c r="E1108" s="460">
        <v>2</v>
      </c>
      <c r="G1108" s="1790" t="s">
        <v>2805</v>
      </c>
      <c r="H1108" s="1749" t="s">
        <v>1239</v>
      </c>
      <c r="I1108" s="1750" t="s">
        <v>7130</v>
      </c>
      <c r="J1108" s="1751" t="s">
        <v>3262</v>
      </c>
      <c r="K1108" s="1752" t="s">
        <v>534</v>
      </c>
      <c r="L1108" s="1753">
        <v>1</v>
      </c>
      <c r="M1108" s="1753">
        <v>1100</v>
      </c>
      <c r="N1108" s="1754">
        <v>1100</v>
      </c>
      <c r="O1108" s="1755" t="s">
        <v>3263</v>
      </c>
      <c r="P1108" s="1721" t="s">
        <v>9611</v>
      </c>
    </row>
    <row r="1109" spans="1:16" ht="13.9" hidden="1" customHeight="1" outlineLevel="2" x14ac:dyDescent="0.2">
      <c r="A1109" s="459">
        <v>0</v>
      </c>
      <c r="B1109" s="459">
        <v>11</v>
      </c>
      <c r="C1109" s="459">
        <v>7</v>
      </c>
      <c r="D1109" s="460">
        <v>5</v>
      </c>
      <c r="E1109" s="460">
        <v>0</v>
      </c>
      <c r="G1109" s="1740"/>
      <c r="H1109" s="1741" t="s">
        <v>1238</v>
      </c>
      <c r="I1109" s="1742" t="s">
        <v>7131</v>
      </c>
      <c r="J1109" s="1743" t="s">
        <v>15</v>
      </c>
      <c r="K1109" s="1744"/>
      <c r="L1109" s="1745"/>
      <c r="M1109" s="1745"/>
      <c r="N1109" s="1746">
        <v>691.61115168684398</v>
      </c>
      <c r="O1109" s="1747"/>
      <c r="P1109" s="1720"/>
    </row>
    <row r="1110" spans="1:16" ht="13.9" hidden="1" customHeight="1" outlineLevel="3" x14ac:dyDescent="0.2">
      <c r="A1110" s="459">
        <v>0</v>
      </c>
      <c r="B1110" s="459">
        <v>11</v>
      </c>
      <c r="C1110" s="459">
        <v>7</v>
      </c>
      <c r="D1110" s="460">
        <v>5</v>
      </c>
      <c r="E1110" s="460">
        <v>1</v>
      </c>
      <c r="G1110" s="1790" t="s">
        <v>2805</v>
      </c>
      <c r="H1110" s="1749" t="s">
        <v>1239</v>
      </c>
      <c r="I1110" s="1750" t="s">
        <v>7132</v>
      </c>
      <c r="J1110" s="1751" t="s">
        <v>2808</v>
      </c>
      <c r="K1110" s="1752" t="s">
        <v>1130</v>
      </c>
      <c r="L1110" s="1753">
        <v>1</v>
      </c>
      <c r="M1110" s="1753">
        <v>691.61115168684444</v>
      </c>
      <c r="N1110" s="1754">
        <v>691.61115168684398</v>
      </c>
      <c r="O1110" s="1755" t="s">
        <v>5447</v>
      </c>
      <c r="P1110" s="1721" t="s">
        <v>9611</v>
      </c>
    </row>
    <row r="1111" spans="1:16" ht="13.9" hidden="1" customHeight="1" outlineLevel="1" x14ac:dyDescent="0.2">
      <c r="A1111" s="459">
        <v>0</v>
      </c>
      <c r="B1111" s="459">
        <v>11</v>
      </c>
      <c r="C1111" s="459">
        <v>8</v>
      </c>
      <c r="D1111" s="460">
        <v>0</v>
      </c>
      <c r="E1111" s="460">
        <v>1</v>
      </c>
      <c r="G1111" s="1733"/>
      <c r="H1111" s="1734" t="s">
        <v>39</v>
      </c>
      <c r="I1111" s="1735" t="s">
        <v>7133</v>
      </c>
      <c r="J1111" s="1736" t="s">
        <v>5506</v>
      </c>
      <c r="K1111" s="1737"/>
      <c r="L1111" s="1738"/>
      <c r="M1111" s="1738"/>
      <c r="N1111" s="1739">
        <v>18105.6836978182</v>
      </c>
      <c r="O1111" s="1722"/>
      <c r="P1111" s="1725"/>
    </row>
    <row r="1112" spans="1:16" ht="13.9" hidden="1" customHeight="1" outlineLevel="2" x14ac:dyDescent="0.2">
      <c r="A1112" s="459">
        <v>0</v>
      </c>
      <c r="B1112" s="459">
        <v>11</v>
      </c>
      <c r="C1112" s="459">
        <v>8</v>
      </c>
      <c r="D1112" s="460">
        <v>1</v>
      </c>
      <c r="E1112" s="460">
        <v>0</v>
      </c>
      <c r="G1112" s="1740"/>
      <c r="H1112" s="1741" t="s">
        <v>1238</v>
      </c>
      <c r="I1112" s="1742" t="s">
        <v>7134</v>
      </c>
      <c r="J1112" s="1743" t="s">
        <v>1303</v>
      </c>
      <c r="K1112" s="1744"/>
      <c r="L1112" s="1745"/>
      <c r="M1112" s="1745"/>
      <c r="N1112" s="1746">
        <v>11864.976355413901</v>
      </c>
      <c r="O1112" s="1747"/>
      <c r="P1112" s="1720"/>
    </row>
    <row r="1113" spans="1:16" ht="33.75" hidden="1" customHeight="1" outlineLevel="3" x14ac:dyDescent="0.2">
      <c r="A1113" s="459">
        <v>0</v>
      </c>
      <c r="B1113" s="459">
        <v>11</v>
      </c>
      <c r="C1113" s="459">
        <v>8</v>
      </c>
      <c r="D1113" s="460">
        <v>1</v>
      </c>
      <c r="E1113" s="460">
        <v>1</v>
      </c>
      <c r="G1113" s="1790" t="s">
        <v>2805</v>
      </c>
      <c r="H1113" s="1749" t="s">
        <v>1239</v>
      </c>
      <c r="I1113" s="1750" t="s">
        <v>7135</v>
      </c>
      <c r="J1113" s="1751" t="s">
        <v>1261</v>
      </c>
      <c r="K1113" s="1752" t="s">
        <v>1130</v>
      </c>
      <c r="L1113" s="1753">
        <v>1</v>
      </c>
      <c r="M1113" s="1753">
        <v>9141.4256918982228</v>
      </c>
      <c r="N1113" s="1754">
        <v>9141.4256918982192</v>
      </c>
      <c r="O1113" s="1761" t="s">
        <v>5445</v>
      </c>
      <c r="P1113" s="1721" t="s">
        <v>9611</v>
      </c>
    </row>
    <row r="1114" spans="1:16" ht="33" hidden="1" customHeight="1" outlineLevel="3" x14ac:dyDescent="0.2">
      <c r="A1114" s="459">
        <v>0</v>
      </c>
      <c r="B1114" s="459">
        <v>11</v>
      </c>
      <c r="C1114" s="459">
        <v>8</v>
      </c>
      <c r="D1114" s="460">
        <v>1</v>
      </c>
      <c r="E1114" s="460">
        <v>2</v>
      </c>
      <c r="G1114" s="1790" t="s">
        <v>2805</v>
      </c>
      <c r="H1114" s="1749" t="s">
        <v>1239</v>
      </c>
      <c r="I1114" s="1750" t="s">
        <v>7136</v>
      </c>
      <c r="J1114" s="1751" t="s">
        <v>1262</v>
      </c>
      <c r="K1114" s="1752" t="s">
        <v>1130</v>
      </c>
      <c r="L1114" s="1753">
        <v>1</v>
      </c>
      <c r="M1114" s="1753">
        <v>2723.5506635156967</v>
      </c>
      <c r="N1114" s="1754">
        <v>2723.5506635156999</v>
      </c>
      <c r="O1114" s="1761" t="s">
        <v>5446</v>
      </c>
      <c r="P1114" s="1721" t="s">
        <v>9611</v>
      </c>
    </row>
    <row r="1115" spans="1:16" ht="13.9" hidden="1" customHeight="1" outlineLevel="2" x14ac:dyDescent="0.2">
      <c r="A1115" s="459">
        <v>0</v>
      </c>
      <c r="B1115" s="459">
        <v>11</v>
      </c>
      <c r="C1115" s="459">
        <v>8</v>
      </c>
      <c r="D1115" s="460">
        <v>2</v>
      </c>
      <c r="E1115" s="460">
        <v>0</v>
      </c>
      <c r="G1115" s="1740"/>
      <c r="H1115" s="1741" t="s">
        <v>1238</v>
      </c>
      <c r="I1115" s="1742" t="s">
        <v>7137</v>
      </c>
      <c r="J1115" s="1743" t="s">
        <v>1682</v>
      </c>
      <c r="K1115" s="1744"/>
      <c r="L1115" s="1745"/>
      <c r="M1115" s="1745"/>
      <c r="N1115" s="1746">
        <v>693.65595221408296</v>
      </c>
      <c r="O1115" s="1747"/>
      <c r="P1115" s="1720"/>
    </row>
    <row r="1116" spans="1:16" ht="13.9" hidden="1" customHeight="1" outlineLevel="3" x14ac:dyDescent="0.2">
      <c r="A1116" s="459">
        <v>0</v>
      </c>
      <c r="B1116" s="459">
        <v>11</v>
      </c>
      <c r="C1116" s="459">
        <v>8</v>
      </c>
      <c r="D1116" s="460">
        <v>2</v>
      </c>
      <c r="E1116" s="460">
        <v>1</v>
      </c>
      <c r="G1116" s="1790" t="s">
        <v>2805</v>
      </c>
      <c r="H1116" s="1749" t="s">
        <v>1239</v>
      </c>
      <c r="I1116" s="1750" t="s">
        <v>7138</v>
      </c>
      <c r="J1116" s="1751" t="s">
        <v>3265</v>
      </c>
      <c r="K1116" s="1752" t="s">
        <v>1130</v>
      </c>
      <c r="L1116" s="1753">
        <v>1</v>
      </c>
      <c r="M1116" s="1753">
        <v>693.65595221408307</v>
      </c>
      <c r="N1116" s="1754">
        <v>693.65595221408296</v>
      </c>
      <c r="O1116" s="1755" t="s">
        <v>3267</v>
      </c>
      <c r="P1116" s="1721" t="s">
        <v>9611</v>
      </c>
    </row>
    <row r="1117" spans="1:16" ht="13.9" hidden="1" customHeight="1" outlineLevel="2" x14ac:dyDescent="0.2">
      <c r="A1117" s="459">
        <v>0</v>
      </c>
      <c r="B1117" s="459">
        <v>11</v>
      </c>
      <c r="C1117" s="459">
        <v>8</v>
      </c>
      <c r="D1117" s="460">
        <v>3</v>
      </c>
      <c r="E1117" s="460">
        <v>0</v>
      </c>
      <c r="G1117" s="1740"/>
      <c r="H1117" s="1741" t="s">
        <v>1238</v>
      </c>
      <c r="I1117" s="1742" t="s">
        <v>7139</v>
      </c>
      <c r="J1117" s="1743" t="s">
        <v>3264</v>
      </c>
      <c r="K1117" s="1744"/>
      <c r="L1117" s="1745"/>
      <c r="M1117" s="1745"/>
      <c r="N1117" s="1746">
        <v>4888.8687403735103</v>
      </c>
      <c r="O1117" s="1747"/>
      <c r="P1117" s="1720"/>
    </row>
    <row r="1118" spans="1:16" ht="13.9" hidden="1" customHeight="1" outlineLevel="3" x14ac:dyDescent="0.2">
      <c r="A1118" s="459">
        <v>0</v>
      </c>
      <c r="B1118" s="459">
        <v>11</v>
      </c>
      <c r="C1118" s="459">
        <v>8</v>
      </c>
      <c r="D1118" s="460">
        <v>3</v>
      </c>
      <c r="E1118" s="460">
        <v>1</v>
      </c>
      <c r="G1118" s="1790" t="s">
        <v>2805</v>
      </c>
      <c r="H1118" s="1749" t="s">
        <v>1239</v>
      </c>
      <c r="I1118" s="1750" t="s">
        <v>7140</v>
      </c>
      <c r="J1118" s="1751" t="s">
        <v>3266</v>
      </c>
      <c r="K1118" s="1752" t="s">
        <v>1130</v>
      </c>
      <c r="L1118" s="1753">
        <v>1</v>
      </c>
      <c r="M1118" s="1753">
        <v>43.913123667456084</v>
      </c>
      <c r="N1118" s="1754">
        <v>43.913123667456098</v>
      </c>
      <c r="O1118" s="1755" t="s">
        <v>3336</v>
      </c>
      <c r="P1118" s="1721" t="s">
        <v>9611</v>
      </c>
    </row>
    <row r="1119" spans="1:16" ht="13.9" hidden="1" customHeight="1" outlineLevel="3" x14ac:dyDescent="0.2">
      <c r="A1119" s="459">
        <v>0</v>
      </c>
      <c r="B1119" s="459">
        <v>11</v>
      </c>
      <c r="C1119" s="459">
        <v>8</v>
      </c>
      <c r="D1119" s="460">
        <v>3</v>
      </c>
      <c r="E1119" s="460">
        <v>2</v>
      </c>
      <c r="G1119" s="1790" t="s">
        <v>2805</v>
      </c>
      <c r="H1119" s="1749" t="s">
        <v>1239</v>
      </c>
      <c r="I1119" s="1750" t="s">
        <v>7141</v>
      </c>
      <c r="J1119" s="1751" t="s">
        <v>5497</v>
      </c>
      <c r="K1119" s="1752" t="s">
        <v>1130</v>
      </c>
      <c r="L1119" s="1753">
        <v>1</v>
      </c>
      <c r="M1119" s="1753">
        <v>4844.9556167060582</v>
      </c>
      <c r="N1119" s="1754">
        <v>4844.95561670606</v>
      </c>
      <c r="O1119" s="1761" t="s">
        <v>5445</v>
      </c>
      <c r="P1119" s="1721" t="s">
        <v>9611</v>
      </c>
    </row>
    <row r="1120" spans="1:16" ht="13.9" hidden="1" customHeight="1" outlineLevel="2" x14ac:dyDescent="0.2">
      <c r="A1120" s="459">
        <v>0</v>
      </c>
      <c r="B1120" s="459">
        <v>11</v>
      </c>
      <c r="C1120" s="459">
        <v>8</v>
      </c>
      <c r="D1120" s="460">
        <v>4</v>
      </c>
      <c r="E1120" s="460">
        <v>0</v>
      </c>
      <c r="G1120" s="1740"/>
      <c r="H1120" s="1741" t="s">
        <v>1238</v>
      </c>
      <c r="I1120" s="1742" t="s">
        <v>7142</v>
      </c>
      <c r="J1120" s="1743" t="s">
        <v>2806</v>
      </c>
      <c r="K1120" s="1744"/>
      <c r="L1120" s="1745"/>
      <c r="M1120" s="1745"/>
      <c r="N1120" s="1746">
        <v>0</v>
      </c>
      <c r="O1120" s="1747"/>
      <c r="P1120" s="1720"/>
    </row>
    <row r="1121" spans="1:16" ht="13.9" hidden="1" customHeight="1" outlineLevel="3" x14ac:dyDescent="0.2">
      <c r="A1121" s="459">
        <v>0</v>
      </c>
      <c r="B1121" s="459">
        <v>11</v>
      </c>
      <c r="C1121" s="459">
        <v>8</v>
      </c>
      <c r="D1121" s="460">
        <v>4</v>
      </c>
      <c r="E1121" s="460">
        <v>1</v>
      </c>
      <c r="G1121" s="1790" t="s">
        <v>2805</v>
      </c>
      <c r="H1121" s="1749" t="s">
        <v>1239</v>
      </c>
      <c r="I1121" s="1750" t="s">
        <v>7143</v>
      </c>
      <c r="J1121" s="1751" t="s">
        <v>2806</v>
      </c>
      <c r="K1121" s="1752" t="s">
        <v>534</v>
      </c>
      <c r="L1121" s="1753">
        <v>0</v>
      </c>
      <c r="M1121" s="1753">
        <v>2262</v>
      </c>
      <c r="N1121" s="1754">
        <v>0</v>
      </c>
      <c r="O1121" s="1755" t="s">
        <v>2807</v>
      </c>
      <c r="P1121" s="1721" t="s">
        <v>9611</v>
      </c>
    </row>
    <row r="1122" spans="1:16" ht="13.9" hidden="1" customHeight="1" outlineLevel="3" x14ac:dyDescent="0.2">
      <c r="A1122" s="459">
        <v>0</v>
      </c>
      <c r="B1122" s="459">
        <v>11</v>
      </c>
      <c r="C1122" s="459">
        <v>8</v>
      </c>
      <c r="D1122" s="460">
        <v>4</v>
      </c>
      <c r="E1122" s="460">
        <v>2</v>
      </c>
      <c r="G1122" s="1790" t="s">
        <v>2805</v>
      </c>
      <c r="H1122" s="1749" t="s">
        <v>1239</v>
      </c>
      <c r="I1122" s="1750" t="s">
        <v>7144</v>
      </c>
      <c r="J1122" s="1751" t="s">
        <v>3262</v>
      </c>
      <c r="K1122" s="1752" t="s">
        <v>534</v>
      </c>
      <c r="L1122" s="1753">
        <v>0</v>
      </c>
      <c r="M1122" s="1753">
        <v>1100</v>
      </c>
      <c r="N1122" s="1754">
        <v>0</v>
      </c>
      <c r="O1122" s="1755" t="s">
        <v>3263</v>
      </c>
      <c r="P1122" s="1721" t="s">
        <v>9611</v>
      </c>
    </row>
    <row r="1123" spans="1:16" ht="13.9" hidden="1" customHeight="1" outlineLevel="2" x14ac:dyDescent="0.2">
      <c r="A1123" s="459">
        <v>0</v>
      </c>
      <c r="B1123" s="459">
        <v>11</v>
      </c>
      <c r="C1123" s="459">
        <v>8</v>
      </c>
      <c r="D1123" s="460">
        <v>5</v>
      </c>
      <c r="E1123" s="460">
        <v>0</v>
      </c>
      <c r="G1123" s="1740"/>
      <c r="H1123" s="1741" t="s">
        <v>1238</v>
      </c>
      <c r="I1123" s="1742" t="s">
        <v>7145</v>
      </c>
      <c r="J1123" s="1743" t="s">
        <v>15</v>
      </c>
      <c r="K1123" s="1744"/>
      <c r="L1123" s="1745"/>
      <c r="M1123" s="1745"/>
      <c r="N1123" s="1746">
        <v>658.18264981667198</v>
      </c>
      <c r="O1123" s="1747"/>
      <c r="P1123" s="1720"/>
    </row>
    <row r="1124" spans="1:16" ht="13.9" hidden="1" customHeight="1" outlineLevel="3" x14ac:dyDescent="0.2">
      <c r="A1124" s="459">
        <v>0</v>
      </c>
      <c r="B1124" s="459">
        <v>11</v>
      </c>
      <c r="C1124" s="459">
        <v>8</v>
      </c>
      <c r="D1124" s="460">
        <v>5</v>
      </c>
      <c r="E1124" s="460">
        <v>1</v>
      </c>
      <c r="G1124" s="1790" t="s">
        <v>2805</v>
      </c>
      <c r="H1124" s="1749" t="s">
        <v>1239</v>
      </c>
      <c r="I1124" s="1750" t="s">
        <v>7146</v>
      </c>
      <c r="J1124" s="1751" t="s">
        <v>2808</v>
      </c>
      <c r="K1124" s="1752" t="s">
        <v>1130</v>
      </c>
      <c r="L1124" s="1753">
        <v>1</v>
      </c>
      <c r="M1124" s="1753">
        <v>658.18264981667198</v>
      </c>
      <c r="N1124" s="1754">
        <v>658.18264981667198</v>
      </c>
      <c r="O1124" s="1755" t="s">
        <v>5447</v>
      </c>
      <c r="P1124" s="1721" t="s">
        <v>9611</v>
      </c>
    </row>
    <row r="1125" spans="1:16" ht="13.9" customHeight="1" collapsed="1" x14ac:dyDescent="0.2">
      <c r="A1125" s="459">
        <v>0</v>
      </c>
      <c r="B1125" s="459">
        <v>12</v>
      </c>
      <c r="C1125" s="459">
        <v>0</v>
      </c>
      <c r="D1125" s="460">
        <v>5</v>
      </c>
      <c r="E1125" s="460">
        <v>1</v>
      </c>
      <c r="F1125" s="474"/>
      <c r="G1125" s="1791"/>
      <c r="H1125" s="1727" t="s">
        <v>1237</v>
      </c>
      <c r="I1125" s="1728" t="s">
        <v>7147</v>
      </c>
      <c r="J1125" s="1729" t="s">
        <v>22</v>
      </c>
      <c r="K1125" s="1730"/>
      <c r="L1125" s="1731"/>
      <c r="M1125" s="1731"/>
      <c r="N1125" s="1732"/>
      <c r="O1125" s="1770"/>
      <c r="P1125" s="1724"/>
    </row>
    <row r="1126" spans="1:16" ht="13.9" hidden="1" customHeight="1" outlineLevel="1" x14ac:dyDescent="0.2">
      <c r="A1126" s="459">
        <v>0</v>
      </c>
      <c r="B1126" s="459">
        <v>12</v>
      </c>
      <c r="C1126" s="459">
        <v>1</v>
      </c>
      <c r="D1126" s="460">
        <v>0</v>
      </c>
      <c r="E1126" s="460">
        <v>1</v>
      </c>
      <c r="G1126" s="1763"/>
      <c r="H1126" s="1734" t="s">
        <v>39</v>
      </c>
      <c r="I1126" s="1735" t="s">
        <v>7148</v>
      </c>
      <c r="J1126" s="1736" t="s">
        <v>3322</v>
      </c>
      <c r="K1126" s="1737"/>
      <c r="L1126" s="1738"/>
      <c r="M1126" s="1738"/>
      <c r="N1126" s="1739"/>
      <c r="O1126" s="1722"/>
      <c r="P1126" s="1725"/>
    </row>
    <row r="1127" spans="1:16" ht="13.5" hidden="1" customHeight="1" outlineLevel="2" x14ac:dyDescent="0.2">
      <c r="A1127" s="459">
        <v>0</v>
      </c>
      <c r="B1127" s="459">
        <v>12</v>
      </c>
      <c r="C1127" s="459">
        <v>1</v>
      </c>
      <c r="D1127" s="460">
        <v>1</v>
      </c>
      <c r="E1127" s="460">
        <v>0</v>
      </c>
      <c r="G1127" s="1764"/>
      <c r="H1127" s="1741" t="s">
        <v>1238</v>
      </c>
      <c r="I1127" s="1742" t="s">
        <v>7149</v>
      </c>
      <c r="J1127" s="1743" t="s">
        <v>2809</v>
      </c>
      <c r="K1127" s="1744"/>
      <c r="L1127" s="1745"/>
      <c r="M1127" s="1745"/>
      <c r="N1127" s="1746">
        <v>2800</v>
      </c>
      <c r="O1127" s="1747"/>
      <c r="P1127" s="1720"/>
    </row>
    <row r="1128" spans="1:16" ht="13.5" hidden="1" customHeight="1" outlineLevel="3" x14ac:dyDescent="0.2">
      <c r="A1128" s="459">
        <v>0</v>
      </c>
      <c r="B1128" s="459">
        <v>12</v>
      </c>
      <c r="C1128" s="459">
        <v>1</v>
      </c>
      <c r="D1128" s="460">
        <v>1</v>
      </c>
      <c r="E1128" s="460">
        <v>1</v>
      </c>
      <c r="F1128" s="130"/>
      <c r="G1128" s="1748" t="s">
        <v>2384</v>
      </c>
      <c r="H1128" s="1749" t="s">
        <v>1239</v>
      </c>
      <c r="I1128" s="1750" t="s">
        <v>7150</v>
      </c>
      <c r="J1128" s="1751" t="s">
        <v>2809</v>
      </c>
      <c r="K1128" s="1752" t="s">
        <v>1130</v>
      </c>
      <c r="L1128" s="1753">
        <v>1</v>
      </c>
      <c r="M1128" s="1753">
        <v>2800</v>
      </c>
      <c r="N1128" s="1754">
        <v>2800</v>
      </c>
      <c r="O1128" s="1755" t="s">
        <v>1263</v>
      </c>
      <c r="P1128" s="1721" t="s">
        <v>9611</v>
      </c>
    </row>
    <row r="1129" spans="1:16" ht="13.5" hidden="1" customHeight="1" outlineLevel="2" x14ac:dyDescent="0.2">
      <c r="A1129" s="459">
        <v>0</v>
      </c>
      <c r="B1129" s="459">
        <v>12</v>
      </c>
      <c r="C1129" s="459">
        <v>1</v>
      </c>
      <c r="D1129" s="460">
        <v>2</v>
      </c>
      <c r="E1129" s="460">
        <v>0</v>
      </c>
      <c r="F1129" s="130"/>
      <c r="G1129" s="1764"/>
      <c r="H1129" s="1741" t="s">
        <v>1238</v>
      </c>
      <c r="I1129" s="1742" t="s">
        <v>7151</v>
      </c>
      <c r="J1129" s="1743" t="s">
        <v>2810</v>
      </c>
      <c r="K1129" s="1744"/>
      <c r="L1129" s="1745"/>
      <c r="M1129" s="1745"/>
      <c r="N1129" s="1746"/>
      <c r="O1129" s="1793"/>
      <c r="P1129" s="1720"/>
    </row>
    <row r="1130" spans="1:16" ht="13.5" hidden="1" customHeight="1" outlineLevel="3" x14ac:dyDescent="0.2">
      <c r="A1130" s="459">
        <v>0</v>
      </c>
      <c r="B1130" s="459">
        <v>12</v>
      </c>
      <c r="C1130" s="459">
        <v>1</v>
      </c>
      <c r="D1130" s="460">
        <v>2</v>
      </c>
      <c r="E1130" s="460">
        <v>1</v>
      </c>
      <c r="F1130" s="130"/>
      <c r="G1130" s="1748" t="s">
        <v>2384</v>
      </c>
      <c r="H1130" s="1749" t="s">
        <v>1239</v>
      </c>
      <c r="I1130" s="1750" t="s">
        <v>7152</v>
      </c>
      <c r="J1130" s="1751" t="s">
        <v>2810</v>
      </c>
      <c r="K1130" s="1752" t="s">
        <v>1130</v>
      </c>
      <c r="L1130" s="1753">
        <v>1</v>
      </c>
      <c r="M1130" s="1753" t="e">
        <v>#REF!</v>
      </c>
      <c r="N1130" s="1754"/>
      <c r="O1130" s="1761" t="s">
        <v>5448</v>
      </c>
      <c r="P1130" s="1721" t="s">
        <v>9611</v>
      </c>
    </row>
    <row r="1131" spans="1:16" ht="13.9" hidden="1" customHeight="1" outlineLevel="1" x14ac:dyDescent="0.2">
      <c r="A1131" s="459">
        <v>0</v>
      </c>
      <c r="B1131" s="459">
        <v>12</v>
      </c>
      <c r="C1131" s="459">
        <v>2</v>
      </c>
      <c r="D1131" s="460">
        <v>0</v>
      </c>
      <c r="E1131" s="460">
        <v>1</v>
      </c>
      <c r="G1131" s="1763"/>
      <c r="H1131" s="1734" t="s">
        <v>39</v>
      </c>
      <c r="I1131" s="1735" t="s">
        <v>7153</v>
      </c>
      <c r="J1131" s="1736" t="s">
        <v>3324</v>
      </c>
      <c r="K1131" s="1737"/>
      <c r="L1131" s="1738"/>
      <c r="M1131" s="1738"/>
      <c r="N1131" s="1739"/>
      <c r="O1131" s="1722"/>
      <c r="P1131" s="1725"/>
    </row>
    <row r="1132" spans="1:16" ht="13.5" hidden="1" customHeight="1" outlineLevel="2" x14ac:dyDescent="0.2">
      <c r="A1132" s="459">
        <v>0</v>
      </c>
      <c r="B1132" s="459">
        <v>12</v>
      </c>
      <c r="C1132" s="459">
        <v>2</v>
      </c>
      <c r="D1132" s="460">
        <v>1</v>
      </c>
      <c r="E1132" s="460">
        <v>0</v>
      </c>
      <c r="F1132" s="130"/>
      <c r="G1132" s="1764"/>
      <c r="H1132" s="1741" t="s">
        <v>1238</v>
      </c>
      <c r="I1132" s="1742" t="s">
        <v>7154</v>
      </c>
      <c r="J1132" s="1743" t="s">
        <v>2810</v>
      </c>
      <c r="K1132" s="1744"/>
      <c r="L1132" s="1745"/>
      <c r="M1132" s="1745"/>
      <c r="N1132" s="1746"/>
      <c r="O1132" s="1793"/>
      <c r="P1132" s="1720"/>
    </row>
    <row r="1133" spans="1:16" ht="13.5" hidden="1" customHeight="1" outlineLevel="3" x14ac:dyDescent="0.2">
      <c r="A1133" s="459">
        <v>0</v>
      </c>
      <c r="B1133" s="459">
        <v>12</v>
      </c>
      <c r="C1133" s="459">
        <v>2</v>
      </c>
      <c r="D1133" s="460">
        <v>1</v>
      </c>
      <c r="E1133" s="460">
        <v>1</v>
      </c>
      <c r="F1133" s="130"/>
      <c r="G1133" s="1748" t="s">
        <v>2384</v>
      </c>
      <c r="H1133" s="1749" t="s">
        <v>1239</v>
      </c>
      <c r="I1133" s="1750" t="s">
        <v>7155</v>
      </c>
      <c r="J1133" s="1751" t="s">
        <v>2810</v>
      </c>
      <c r="K1133" s="1752" t="s">
        <v>1130</v>
      </c>
      <c r="L1133" s="1753">
        <v>1</v>
      </c>
      <c r="M1133" s="1753" t="e">
        <v>#REF!</v>
      </c>
      <c r="N1133" s="1754"/>
      <c r="O1133" s="1761" t="s">
        <v>5448</v>
      </c>
      <c r="P1133" s="1721" t="s">
        <v>9611</v>
      </c>
    </row>
    <row r="1134" spans="1:16" ht="13.9" hidden="1" customHeight="1" outlineLevel="1" x14ac:dyDescent="0.2">
      <c r="A1134" s="459">
        <v>0</v>
      </c>
      <c r="B1134" s="459">
        <v>12</v>
      </c>
      <c r="C1134" s="459">
        <v>3</v>
      </c>
      <c r="D1134" s="460">
        <v>0</v>
      </c>
      <c r="E1134" s="460">
        <v>1</v>
      </c>
      <c r="G1134" s="1763"/>
      <c r="H1134" s="1734" t="s">
        <v>39</v>
      </c>
      <c r="I1134" s="1735" t="s">
        <v>7156</v>
      </c>
      <c r="J1134" s="1736" t="s">
        <v>3325</v>
      </c>
      <c r="K1134" s="1737"/>
      <c r="L1134" s="1738"/>
      <c r="M1134" s="1738"/>
      <c r="N1134" s="1739"/>
      <c r="O1134" s="1722"/>
      <c r="P1134" s="1725"/>
    </row>
    <row r="1135" spans="1:16" ht="13.5" hidden="1" customHeight="1" outlineLevel="2" x14ac:dyDescent="0.2">
      <c r="A1135" s="459">
        <v>0</v>
      </c>
      <c r="B1135" s="459">
        <v>12</v>
      </c>
      <c r="C1135" s="459">
        <v>3</v>
      </c>
      <c r="D1135" s="460">
        <v>1</v>
      </c>
      <c r="E1135" s="460">
        <v>0</v>
      </c>
      <c r="F1135" s="130"/>
      <c r="G1135" s="1764"/>
      <c r="H1135" s="1741" t="s">
        <v>1238</v>
      </c>
      <c r="I1135" s="1742" t="s">
        <v>7157</v>
      </c>
      <c r="J1135" s="1743" t="s">
        <v>2810</v>
      </c>
      <c r="K1135" s="1744"/>
      <c r="L1135" s="1745"/>
      <c r="M1135" s="1745"/>
      <c r="N1135" s="1746"/>
      <c r="O1135" s="1793"/>
      <c r="P1135" s="1720"/>
    </row>
    <row r="1136" spans="1:16" ht="13.5" hidden="1" customHeight="1" outlineLevel="3" x14ac:dyDescent="0.2">
      <c r="A1136" s="459">
        <v>0</v>
      </c>
      <c r="B1136" s="459">
        <v>12</v>
      </c>
      <c r="C1136" s="459">
        <v>3</v>
      </c>
      <c r="D1136" s="460">
        <v>1</v>
      </c>
      <c r="E1136" s="460">
        <v>1</v>
      </c>
      <c r="F1136" s="130"/>
      <c r="G1136" s="1748" t="s">
        <v>2384</v>
      </c>
      <c r="H1136" s="1749" t="s">
        <v>1239</v>
      </c>
      <c r="I1136" s="1750" t="s">
        <v>7158</v>
      </c>
      <c r="J1136" s="1751" t="s">
        <v>2810</v>
      </c>
      <c r="K1136" s="1752" t="s">
        <v>1130</v>
      </c>
      <c r="L1136" s="1753">
        <v>1</v>
      </c>
      <c r="M1136" s="1753" t="e">
        <v>#REF!</v>
      </c>
      <c r="N1136" s="1754"/>
      <c r="O1136" s="1755" t="s">
        <v>3323</v>
      </c>
      <c r="P1136" s="1721" t="s">
        <v>9611</v>
      </c>
    </row>
    <row r="1137" spans="1:16" ht="13.9" hidden="1" customHeight="1" outlineLevel="1" x14ac:dyDescent="0.2">
      <c r="A1137" s="459">
        <v>0</v>
      </c>
      <c r="B1137" s="459">
        <v>12</v>
      </c>
      <c r="C1137" s="459">
        <v>4</v>
      </c>
      <c r="D1137" s="460">
        <v>0</v>
      </c>
      <c r="E1137" s="460">
        <v>1</v>
      </c>
      <c r="G1137" s="1763"/>
      <c r="H1137" s="1734" t="s">
        <v>39</v>
      </c>
      <c r="I1137" s="1735" t="s">
        <v>7159</v>
      </c>
      <c r="J1137" s="1736" t="s">
        <v>3326</v>
      </c>
      <c r="K1137" s="1737"/>
      <c r="L1137" s="1738"/>
      <c r="M1137" s="1738"/>
      <c r="N1137" s="1739"/>
      <c r="O1137" s="1722"/>
      <c r="P1137" s="1725"/>
    </row>
    <row r="1138" spans="1:16" ht="13.5" hidden="1" customHeight="1" outlineLevel="2" x14ac:dyDescent="0.2">
      <c r="A1138" s="459">
        <v>0</v>
      </c>
      <c r="B1138" s="459">
        <v>12</v>
      </c>
      <c r="C1138" s="459">
        <v>4</v>
      </c>
      <c r="D1138" s="460">
        <v>1</v>
      </c>
      <c r="E1138" s="460">
        <v>0</v>
      </c>
      <c r="F1138" s="130"/>
      <c r="G1138" s="1764"/>
      <c r="H1138" s="1741" t="s">
        <v>1238</v>
      </c>
      <c r="I1138" s="1742" t="s">
        <v>7160</v>
      </c>
      <c r="J1138" s="1743" t="s">
        <v>2810</v>
      </c>
      <c r="K1138" s="1744"/>
      <c r="L1138" s="1745"/>
      <c r="M1138" s="1745"/>
      <c r="N1138" s="1746"/>
      <c r="O1138" s="1793"/>
      <c r="P1138" s="1720"/>
    </row>
    <row r="1139" spans="1:16" ht="13.5" hidden="1" customHeight="1" outlineLevel="3" x14ac:dyDescent="0.2">
      <c r="A1139" s="459">
        <v>0</v>
      </c>
      <c r="B1139" s="459">
        <v>12</v>
      </c>
      <c r="C1139" s="459">
        <v>4</v>
      </c>
      <c r="D1139" s="460">
        <v>1</v>
      </c>
      <c r="E1139" s="460">
        <v>1</v>
      </c>
      <c r="F1139" s="130"/>
      <c r="G1139" s="1748" t="s">
        <v>2384</v>
      </c>
      <c r="H1139" s="1749" t="s">
        <v>1239</v>
      </c>
      <c r="I1139" s="1750" t="s">
        <v>7161</v>
      </c>
      <c r="J1139" s="1751" t="s">
        <v>2810</v>
      </c>
      <c r="K1139" s="1752" t="s">
        <v>1130</v>
      </c>
      <c r="L1139" s="1753">
        <v>1</v>
      </c>
      <c r="M1139" s="1753" t="e">
        <v>#REF!</v>
      </c>
      <c r="N1139" s="1754"/>
      <c r="O1139" s="1755" t="s">
        <v>3323</v>
      </c>
      <c r="P1139" s="1721" t="s">
        <v>9611</v>
      </c>
    </row>
    <row r="1140" spans="1:16" ht="13.9" hidden="1" customHeight="1" outlineLevel="1" x14ac:dyDescent="0.2">
      <c r="A1140" s="459">
        <v>0</v>
      </c>
      <c r="B1140" s="459">
        <v>12</v>
      </c>
      <c r="C1140" s="459">
        <v>5</v>
      </c>
      <c r="D1140" s="460">
        <v>0</v>
      </c>
      <c r="E1140" s="460">
        <v>1</v>
      </c>
      <c r="G1140" s="1763"/>
      <c r="H1140" s="1734" t="s">
        <v>39</v>
      </c>
      <c r="I1140" s="1735" t="s">
        <v>7162</v>
      </c>
      <c r="J1140" s="1736" t="s">
        <v>3327</v>
      </c>
      <c r="K1140" s="1737"/>
      <c r="L1140" s="1738"/>
      <c r="M1140" s="1738"/>
      <c r="N1140" s="1739"/>
      <c r="O1140" s="1722"/>
      <c r="P1140" s="1725"/>
    </row>
    <row r="1141" spans="1:16" ht="13.5" hidden="1" customHeight="1" outlineLevel="2" x14ac:dyDescent="0.2">
      <c r="A1141" s="459">
        <v>0</v>
      </c>
      <c r="B1141" s="459">
        <v>12</v>
      </c>
      <c r="C1141" s="459">
        <v>5</v>
      </c>
      <c r="D1141" s="460">
        <v>1</v>
      </c>
      <c r="E1141" s="460">
        <v>0</v>
      </c>
      <c r="F1141" s="130"/>
      <c r="G1141" s="1764"/>
      <c r="H1141" s="1741" t="s">
        <v>1238</v>
      </c>
      <c r="I1141" s="1742" t="s">
        <v>7163</v>
      </c>
      <c r="J1141" s="1743" t="s">
        <v>2810</v>
      </c>
      <c r="K1141" s="1744"/>
      <c r="L1141" s="1745"/>
      <c r="M1141" s="1745"/>
      <c r="N1141" s="1746"/>
      <c r="O1141" s="1793"/>
      <c r="P1141" s="1720"/>
    </row>
    <row r="1142" spans="1:16" ht="13.5" hidden="1" customHeight="1" outlineLevel="3" x14ac:dyDescent="0.2">
      <c r="A1142" s="459">
        <v>0</v>
      </c>
      <c r="B1142" s="459">
        <v>12</v>
      </c>
      <c r="C1142" s="459">
        <v>5</v>
      </c>
      <c r="D1142" s="460">
        <v>1</v>
      </c>
      <c r="E1142" s="460">
        <v>1</v>
      </c>
      <c r="F1142" s="130"/>
      <c r="G1142" s="1748" t="s">
        <v>2384</v>
      </c>
      <c r="H1142" s="1749" t="s">
        <v>1239</v>
      </c>
      <c r="I1142" s="1750" t="s">
        <v>7164</v>
      </c>
      <c r="J1142" s="1751" t="s">
        <v>2810</v>
      </c>
      <c r="K1142" s="1752" t="s">
        <v>1130</v>
      </c>
      <c r="L1142" s="1753">
        <v>1</v>
      </c>
      <c r="M1142" s="1753" t="e">
        <v>#REF!</v>
      </c>
      <c r="N1142" s="1754"/>
      <c r="O1142" s="1755" t="s">
        <v>3323</v>
      </c>
      <c r="P1142" s="1721" t="s">
        <v>9611</v>
      </c>
    </row>
    <row r="1143" spans="1:16" ht="13.9" hidden="1" customHeight="1" outlineLevel="1" x14ac:dyDescent="0.2">
      <c r="A1143" s="459">
        <v>0</v>
      </c>
      <c r="B1143" s="459">
        <v>12</v>
      </c>
      <c r="C1143" s="459">
        <v>6</v>
      </c>
      <c r="D1143" s="460">
        <v>0</v>
      </c>
      <c r="E1143" s="460">
        <v>1</v>
      </c>
      <c r="G1143" s="1763"/>
      <c r="H1143" s="1734" t="s">
        <v>39</v>
      </c>
      <c r="I1143" s="1735" t="s">
        <v>7165</v>
      </c>
      <c r="J1143" s="1736" t="s">
        <v>3328</v>
      </c>
      <c r="K1143" s="1737"/>
      <c r="L1143" s="1738"/>
      <c r="M1143" s="1738"/>
      <c r="N1143" s="1739"/>
      <c r="O1143" s="1722"/>
      <c r="P1143" s="1725"/>
    </row>
    <row r="1144" spans="1:16" ht="13.5" hidden="1" customHeight="1" outlineLevel="2" x14ac:dyDescent="0.2">
      <c r="A1144" s="459">
        <v>0</v>
      </c>
      <c r="B1144" s="459">
        <v>12</v>
      </c>
      <c r="C1144" s="459">
        <v>6</v>
      </c>
      <c r="D1144" s="460">
        <v>1</v>
      </c>
      <c r="E1144" s="460">
        <v>0</v>
      </c>
      <c r="F1144" s="130"/>
      <c r="G1144" s="1764"/>
      <c r="H1144" s="1741" t="s">
        <v>1238</v>
      </c>
      <c r="I1144" s="1742" t="s">
        <v>7166</v>
      </c>
      <c r="J1144" s="1743" t="s">
        <v>2810</v>
      </c>
      <c r="K1144" s="1744"/>
      <c r="L1144" s="1745"/>
      <c r="M1144" s="1745"/>
      <c r="N1144" s="1746"/>
      <c r="O1144" s="1793"/>
      <c r="P1144" s="1720"/>
    </row>
    <row r="1145" spans="1:16" ht="13.5" hidden="1" customHeight="1" outlineLevel="3" x14ac:dyDescent="0.2">
      <c r="A1145" s="459">
        <v>0</v>
      </c>
      <c r="B1145" s="459">
        <v>12</v>
      </c>
      <c r="C1145" s="459">
        <v>6</v>
      </c>
      <c r="D1145" s="460">
        <v>1</v>
      </c>
      <c r="E1145" s="460">
        <v>1</v>
      </c>
      <c r="F1145" s="130"/>
      <c r="G1145" s="1748" t="s">
        <v>2384</v>
      </c>
      <c r="H1145" s="1749" t="s">
        <v>1239</v>
      </c>
      <c r="I1145" s="1750" t="s">
        <v>7167</v>
      </c>
      <c r="J1145" s="1751" t="s">
        <v>2810</v>
      </c>
      <c r="K1145" s="1752" t="s">
        <v>1130</v>
      </c>
      <c r="L1145" s="1753">
        <v>1</v>
      </c>
      <c r="M1145" s="1753" t="e">
        <v>#REF!</v>
      </c>
      <c r="N1145" s="1754"/>
      <c r="O1145" s="1755" t="s">
        <v>3323</v>
      </c>
      <c r="P1145" s="1721" t="s">
        <v>9611</v>
      </c>
    </row>
    <row r="1146" spans="1:16" ht="13.9" hidden="1" customHeight="1" outlineLevel="1" x14ac:dyDescent="0.2">
      <c r="A1146" s="459">
        <v>0</v>
      </c>
      <c r="B1146" s="459">
        <v>12</v>
      </c>
      <c r="C1146" s="459">
        <v>7</v>
      </c>
      <c r="D1146" s="460">
        <v>0</v>
      </c>
      <c r="E1146" s="460">
        <v>1</v>
      </c>
      <c r="G1146" s="1763"/>
      <c r="H1146" s="1734" t="s">
        <v>39</v>
      </c>
      <c r="I1146" s="1735" t="s">
        <v>7168</v>
      </c>
      <c r="J1146" s="1736" t="s">
        <v>3329</v>
      </c>
      <c r="K1146" s="1737"/>
      <c r="L1146" s="1738"/>
      <c r="M1146" s="1738"/>
      <c r="N1146" s="1739"/>
      <c r="O1146" s="1722"/>
      <c r="P1146" s="1725"/>
    </row>
    <row r="1147" spans="1:16" ht="13.5" hidden="1" customHeight="1" outlineLevel="2" x14ac:dyDescent="0.2">
      <c r="A1147" s="459">
        <v>0</v>
      </c>
      <c r="B1147" s="459">
        <v>12</v>
      </c>
      <c r="C1147" s="459">
        <v>7</v>
      </c>
      <c r="D1147" s="460">
        <v>1</v>
      </c>
      <c r="E1147" s="460">
        <v>0</v>
      </c>
      <c r="G1147" s="1764"/>
      <c r="H1147" s="1741" t="s">
        <v>1238</v>
      </c>
      <c r="I1147" s="1742" t="s">
        <v>7169</v>
      </c>
      <c r="J1147" s="1743" t="s">
        <v>2809</v>
      </c>
      <c r="K1147" s="1744"/>
      <c r="L1147" s="1745"/>
      <c r="M1147" s="1745"/>
      <c r="N1147" s="1746">
        <v>14910</v>
      </c>
      <c r="O1147" s="1747"/>
      <c r="P1147" s="1720"/>
    </row>
    <row r="1148" spans="1:16" ht="13.5" hidden="1" customHeight="1" outlineLevel="3" x14ac:dyDescent="0.2">
      <c r="A1148" s="459">
        <v>0</v>
      </c>
      <c r="B1148" s="459">
        <v>12</v>
      </c>
      <c r="C1148" s="459">
        <v>7</v>
      </c>
      <c r="D1148" s="460">
        <v>1</v>
      </c>
      <c r="E1148" s="460">
        <v>1</v>
      </c>
      <c r="F1148" s="130"/>
      <c r="G1148" s="1748" t="s">
        <v>2384</v>
      </c>
      <c r="H1148" s="1749" t="s">
        <v>1239</v>
      </c>
      <c r="I1148" s="1750" t="s">
        <v>7170</v>
      </c>
      <c r="J1148" s="1751" t="s">
        <v>2809</v>
      </c>
      <c r="K1148" s="1752" t="s">
        <v>1130</v>
      </c>
      <c r="L1148" s="1753">
        <v>1</v>
      </c>
      <c r="M1148" s="1753">
        <v>14910</v>
      </c>
      <c r="N1148" s="1754">
        <v>14910</v>
      </c>
      <c r="O1148" s="1755" t="s">
        <v>1263</v>
      </c>
      <c r="P1148" s="1721" t="s">
        <v>9611</v>
      </c>
    </row>
    <row r="1149" spans="1:16" ht="13.5" hidden="1" customHeight="1" outlineLevel="2" x14ac:dyDescent="0.2">
      <c r="A1149" s="459">
        <v>0</v>
      </c>
      <c r="B1149" s="459">
        <v>12</v>
      </c>
      <c r="C1149" s="459">
        <v>7</v>
      </c>
      <c r="D1149" s="460">
        <v>2</v>
      </c>
      <c r="E1149" s="460">
        <v>0</v>
      </c>
      <c r="F1149" s="130"/>
      <c r="G1149" s="1764"/>
      <c r="H1149" s="1741" t="s">
        <v>1238</v>
      </c>
      <c r="I1149" s="1742" t="s">
        <v>7171</v>
      </c>
      <c r="J1149" s="1743" t="s">
        <v>2810</v>
      </c>
      <c r="K1149" s="1744"/>
      <c r="L1149" s="1745"/>
      <c r="M1149" s="1745"/>
      <c r="N1149" s="1746"/>
      <c r="O1149" s="1793"/>
      <c r="P1149" s="1720"/>
    </row>
    <row r="1150" spans="1:16" ht="13.5" hidden="1" customHeight="1" outlineLevel="3" x14ac:dyDescent="0.2">
      <c r="A1150" s="459">
        <v>0</v>
      </c>
      <c r="B1150" s="459">
        <v>12</v>
      </c>
      <c r="C1150" s="459">
        <v>7</v>
      </c>
      <c r="D1150" s="460">
        <v>2</v>
      </c>
      <c r="E1150" s="460">
        <v>1</v>
      </c>
      <c r="F1150" s="130"/>
      <c r="G1150" s="1748" t="s">
        <v>2384</v>
      </c>
      <c r="H1150" s="1749" t="s">
        <v>1239</v>
      </c>
      <c r="I1150" s="1750" t="s">
        <v>7172</v>
      </c>
      <c r="J1150" s="1751" t="s">
        <v>2810</v>
      </c>
      <c r="K1150" s="1752" t="s">
        <v>1130</v>
      </c>
      <c r="L1150" s="1753">
        <v>1</v>
      </c>
      <c r="M1150" s="1753" t="e">
        <v>#REF!</v>
      </c>
      <c r="N1150" s="1754"/>
      <c r="O1150" s="1755" t="s">
        <v>3323</v>
      </c>
      <c r="P1150" s="1721" t="s">
        <v>9611</v>
      </c>
    </row>
    <row r="1151" spans="1:16" ht="13.5" hidden="1" customHeight="1" outlineLevel="2" x14ac:dyDescent="0.2">
      <c r="A1151" s="459">
        <v>0</v>
      </c>
      <c r="B1151" s="459">
        <v>12</v>
      </c>
      <c r="C1151" s="459">
        <v>7</v>
      </c>
      <c r="D1151" s="460">
        <v>3</v>
      </c>
      <c r="E1151" s="460">
        <v>0</v>
      </c>
      <c r="F1151" s="130"/>
      <c r="G1151" s="1764"/>
      <c r="H1151" s="1741" t="s">
        <v>1238</v>
      </c>
      <c r="I1151" s="1742" t="s">
        <v>7173</v>
      </c>
      <c r="J1151" s="1743" t="s">
        <v>2524</v>
      </c>
      <c r="K1151" s="1744"/>
      <c r="L1151" s="1745"/>
      <c r="M1151" s="1745"/>
      <c r="N1151" s="1746">
        <v>42992.695764557197</v>
      </c>
      <c r="O1151" s="1747"/>
      <c r="P1151" s="1720"/>
    </row>
    <row r="1152" spans="1:16" ht="13.5" hidden="1" customHeight="1" outlineLevel="3" x14ac:dyDescent="0.2">
      <c r="A1152" s="459">
        <v>0</v>
      </c>
      <c r="B1152" s="459">
        <v>12</v>
      </c>
      <c r="C1152" s="459">
        <v>7</v>
      </c>
      <c r="D1152" s="460">
        <v>3</v>
      </c>
      <c r="E1152" s="460">
        <v>1</v>
      </c>
      <c r="F1152" s="130"/>
      <c r="G1152" s="1748" t="s">
        <v>2384</v>
      </c>
      <c r="H1152" s="1749" t="s">
        <v>1239</v>
      </c>
      <c r="I1152" s="1750" t="s">
        <v>7174</v>
      </c>
      <c r="J1152" s="1751" t="s">
        <v>2811</v>
      </c>
      <c r="K1152" s="1752" t="s">
        <v>1130</v>
      </c>
      <c r="L1152" s="1753">
        <v>1</v>
      </c>
      <c r="M1152" s="1753">
        <v>42992.695764557211</v>
      </c>
      <c r="N1152" s="1754">
        <v>42992.695764557197</v>
      </c>
      <c r="O1152" s="1755" t="s">
        <v>1263</v>
      </c>
      <c r="P1152" s="1721" t="s">
        <v>9611</v>
      </c>
    </row>
    <row r="1153" spans="1:16" ht="13.9" hidden="1" customHeight="1" outlineLevel="1" x14ac:dyDescent="0.2">
      <c r="A1153" s="459">
        <v>0</v>
      </c>
      <c r="B1153" s="459">
        <v>12</v>
      </c>
      <c r="C1153" s="459">
        <v>8</v>
      </c>
      <c r="D1153" s="460">
        <v>0</v>
      </c>
      <c r="E1153" s="460">
        <v>1</v>
      </c>
      <c r="G1153" s="1763"/>
      <c r="H1153" s="1734" t="s">
        <v>39</v>
      </c>
      <c r="I1153" s="1735" t="s">
        <v>7175</v>
      </c>
      <c r="J1153" s="1736" t="s">
        <v>3330</v>
      </c>
      <c r="K1153" s="1737"/>
      <c r="L1153" s="1738"/>
      <c r="M1153" s="1738"/>
      <c r="N1153" s="1739"/>
      <c r="O1153" s="1722"/>
      <c r="P1153" s="1725"/>
    </row>
    <row r="1154" spans="1:16" ht="13.5" hidden="1" customHeight="1" outlineLevel="2" x14ac:dyDescent="0.2">
      <c r="A1154" s="459">
        <v>0</v>
      </c>
      <c r="B1154" s="459">
        <v>12</v>
      </c>
      <c r="C1154" s="459">
        <v>8</v>
      </c>
      <c r="D1154" s="460">
        <v>1</v>
      </c>
      <c r="E1154" s="460">
        <v>0</v>
      </c>
      <c r="G1154" s="1764"/>
      <c r="H1154" s="1741" t="s">
        <v>1238</v>
      </c>
      <c r="I1154" s="1742" t="s">
        <v>7176</v>
      </c>
      <c r="J1154" s="1743" t="s">
        <v>2809</v>
      </c>
      <c r="K1154" s="1744"/>
      <c r="L1154" s="1745"/>
      <c r="M1154" s="1745"/>
      <c r="N1154" s="1746">
        <v>13700</v>
      </c>
      <c r="O1154" s="1747"/>
      <c r="P1154" s="1720"/>
    </row>
    <row r="1155" spans="1:16" ht="13.5" hidden="1" customHeight="1" outlineLevel="3" x14ac:dyDescent="0.2">
      <c r="A1155" s="459">
        <v>0</v>
      </c>
      <c r="B1155" s="459">
        <v>12</v>
      </c>
      <c r="C1155" s="459">
        <v>8</v>
      </c>
      <c r="D1155" s="460">
        <v>1</v>
      </c>
      <c r="E1155" s="460">
        <v>1</v>
      </c>
      <c r="F1155" s="130"/>
      <c r="G1155" s="1748" t="s">
        <v>2384</v>
      </c>
      <c r="H1155" s="1749" t="s">
        <v>1239</v>
      </c>
      <c r="I1155" s="1750" t="s">
        <v>7177</v>
      </c>
      <c r="J1155" s="1751" t="s">
        <v>2809</v>
      </c>
      <c r="K1155" s="1752" t="s">
        <v>1130</v>
      </c>
      <c r="L1155" s="1753">
        <v>1</v>
      </c>
      <c r="M1155" s="1753">
        <v>13700</v>
      </c>
      <c r="N1155" s="1754">
        <v>13700</v>
      </c>
      <c r="O1155" s="1755" t="s">
        <v>1263</v>
      </c>
      <c r="P1155" s="1721" t="s">
        <v>9611</v>
      </c>
    </row>
    <row r="1156" spans="1:16" ht="13.5" hidden="1" customHeight="1" outlineLevel="2" x14ac:dyDescent="0.2">
      <c r="A1156" s="459">
        <v>0</v>
      </c>
      <c r="B1156" s="459">
        <v>12</v>
      </c>
      <c r="C1156" s="459">
        <v>8</v>
      </c>
      <c r="D1156" s="460">
        <v>2</v>
      </c>
      <c r="E1156" s="460">
        <v>0</v>
      </c>
      <c r="F1156" s="130"/>
      <c r="G1156" s="1764"/>
      <c r="H1156" s="1741" t="s">
        <v>1238</v>
      </c>
      <c r="I1156" s="1742" t="s">
        <v>7178</v>
      </c>
      <c r="J1156" s="1743" t="s">
        <v>2810</v>
      </c>
      <c r="K1156" s="1744"/>
      <c r="L1156" s="1745"/>
      <c r="M1156" s="1745"/>
      <c r="N1156" s="1746"/>
      <c r="O1156" s="1793"/>
      <c r="P1156" s="1720"/>
    </row>
    <row r="1157" spans="1:16" ht="13.5" hidden="1" customHeight="1" outlineLevel="3" x14ac:dyDescent="0.2">
      <c r="A1157" s="459">
        <v>0</v>
      </c>
      <c r="B1157" s="459">
        <v>12</v>
      </c>
      <c r="C1157" s="459">
        <v>8</v>
      </c>
      <c r="D1157" s="460">
        <v>2</v>
      </c>
      <c r="E1157" s="460">
        <v>1</v>
      </c>
      <c r="F1157" s="130"/>
      <c r="G1157" s="1748" t="s">
        <v>2384</v>
      </c>
      <c r="H1157" s="1749" t="s">
        <v>1239</v>
      </c>
      <c r="I1157" s="1750" t="s">
        <v>7179</v>
      </c>
      <c r="J1157" s="1751" t="s">
        <v>2810</v>
      </c>
      <c r="K1157" s="1752" t="s">
        <v>1130</v>
      </c>
      <c r="L1157" s="1753">
        <v>1</v>
      </c>
      <c r="M1157" s="1753" t="e">
        <v>#REF!</v>
      </c>
      <c r="N1157" s="1754"/>
      <c r="O1157" s="1755" t="s">
        <v>3323</v>
      </c>
      <c r="P1157" s="1721" t="s">
        <v>9611</v>
      </c>
    </row>
    <row r="1158" spans="1:16" ht="13.5" hidden="1" customHeight="1" outlineLevel="2" x14ac:dyDescent="0.2">
      <c r="A1158" s="459">
        <v>0</v>
      </c>
      <c r="B1158" s="459">
        <v>12</v>
      </c>
      <c r="C1158" s="459">
        <v>8</v>
      </c>
      <c r="D1158" s="460">
        <v>3</v>
      </c>
      <c r="E1158" s="460">
        <v>0</v>
      </c>
      <c r="F1158" s="130"/>
      <c r="G1158" s="1764"/>
      <c r="H1158" s="1741" t="s">
        <v>1238</v>
      </c>
      <c r="I1158" s="1742" t="s">
        <v>7180</v>
      </c>
      <c r="J1158" s="1743" t="s">
        <v>2524</v>
      </c>
      <c r="K1158" s="1744"/>
      <c r="L1158" s="1745"/>
      <c r="M1158" s="1745"/>
      <c r="N1158" s="1746">
        <v>42992.695764557197</v>
      </c>
      <c r="O1158" s="1747"/>
      <c r="P1158" s="1720"/>
    </row>
    <row r="1159" spans="1:16" ht="13.5" hidden="1" customHeight="1" outlineLevel="3" x14ac:dyDescent="0.2">
      <c r="A1159" s="459">
        <v>0</v>
      </c>
      <c r="B1159" s="459">
        <v>12</v>
      </c>
      <c r="C1159" s="459">
        <v>8</v>
      </c>
      <c r="D1159" s="460">
        <v>3</v>
      </c>
      <c r="E1159" s="460">
        <v>1</v>
      </c>
      <c r="F1159" s="130"/>
      <c r="G1159" s="1748" t="s">
        <v>2384</v>
      </c>
      <c r="H1159" s="1749" t="s">
        <v>1239</v>
      </c>
      <c r="I1159" s="1750" t="s">
        <v>7181</v>
      </c>
      <c r="J1159" s="1751" t="s">
        <v>2811</v>
      </c>
      <c r="K1159" s="1752" t="s">
        <v>1130</v>
      </c>
      <c r="L1159" s="1753">
        <v>1</v>
      </c>
      <c r="M1159" s="1753">
        <v>42992.695764557211</v>
      </c>
      <c r="N1159" s="1754">
        <v>42992.695764557197</v>
      </c>
      <c r="O1159" s="1755" t="s">
        <v>1263</v>
      </c>
      <c r="P1159" s="1721" t="s">
        <v>9611</v>
      </c>
    </row>
    <row r="1160" spans="1:16" ht="13.9" hidden="1" customHeight="1" outlineLevel="1" x14ac:dyDescent="0.2">
      <c r="A1160" s="459">
        <v>0</v>
      </c>
      <c r="B1160" s="459">
        <v>12</v>
      </c>
      <c r="C1160" s="459">
        <v>9</v>
      </c>
      <c r="D1160" s="460">
        <v>0</v>
      </c>
      <c r="E1160" s="460">
        <v>1</v>
      </c>
      <c r="G1160" s="1763"/>
      <c r="H1160" s="1734" t="s">
        <v>39</v>
      </c>
      <c r="I1160" s="1735" t="s">
        <v>7182</v>
      </c>
      <c r="J1160" s="1736" t="s">
        <v>3331</v>
      </c>
      <c r="K1160" s="1737"/>
      <c r="L1160" s="1738"/>
      <c r="M1160" s="1738"/>
      <c r="N1160" s="1739"/>
      <c r="O1160" s="1722"/>
      <c r="P1160" s="1725"/>
    </row>
    <row r="1161" spans="1:16" ht="13.5" hidden="1" customHeight="1" outlineLevel="2" x14ac:dyDescent="0.2">
      <c r="A1161" s="459">
        <v>0</v>
      </c>
      <c r="B1161" s="459">
        <v>12</v>
      </c>
      <c r="C1161" s="459">
        <v>9</v>
      </c>
      <c r="D1161" s="460">
        <v>1</v>
      </c>
      <c r="E1161" s="460">
        <v>0</v>
      </c>
      <c r="G1161" s="1764"/>
      <c r="H1161" s="1741" t="s">
        <v>1238</v>
      </c>
      <c r="I1161" s="1742" t="s">
        <v>7183</v>
      </c>
      <c r="J1161" s="1743" t="s">
        <v>2809</v>
      </c>
      <c r="K1161" s="1744"/>
      <c r="L1161" s="1745"/>
      <c r="M1161" s="1745"/>
      <c r="N1161" s="1746">
        <v>1720</v>
      </c>
      <c r="O1161" s="1747"/>
      <c r="P1161" s="1720"/>
    </row>
    <row r="1162" spans="1:16" ht="13.5" hidden="1" customHeight="1" outlineLevel="3" x14ac:dyDescent="0.2">
      <c r="A1162" s="459">
        <v>0</v>
      </c>
      <c r="B1162" s="459">
        <v>12</v>
      </c>
      <c r="C1162" s="459">
        <v>9</v>
      </c>
      <c r="D1162" s="460">
        <v>1</v>
      </c>
      <c r="E1162" s="460">
        <v>1</v>
      </c>
      <c r="F1162" s="130"/>
      <c r="G1162" s="1748" t="s">
        <v>2384</v>
      </c>
      <c r="H1162" s="1749" t="s">
        <v>1239</v>
      </c>
      <c r="I1162" s="1750" t="s">
        <v>7184</v>
      </c>
      <c r="J1162" s="1751" t="s">
        <v>2809</v>
      </c>
      <c r="K1162" s="1752" t="s">
        <v>1130</v>
      </c>
      <c r="L1162" s="1753">
        <v>1</v>
      </c>
      <c r="M1162" s="1753">
        <v>1720</v>
      </c>
      <c r="N1162" s="1754">
        <v>1720</v>
      </c>
      <c r="O1162" s="1755" t="s">
        <v>1263</v>
      </c>
      <c r="P1162" s="1721" t="s">
        <v>9611</v>
      </c>
    </row>
    <row r="1163" spans="1:16" ht="13.5" hidden="1" customHeight="1" outlineLevel="2" x14ac:dyDescent="0.2">
      <c r="A1163" s="459">
        <v>0</v>
      </c>
      <c r="B1163" s="459">
        <v>12</v>
      </c>
      <c r="C1163" s="459">
        <v>9</v>
      </c>
      <c r="D1163" s="460">
        <v>2</v>
      </c>
      <c r="E1163" s="460">
        <v>0</v>
      </c>
      <c r="F1163" s="130"/>
      <c r="G1163" s="1764"/>
      <c r="H1163" s="1741" t="s">
        <v>1238</v>
      </c>
      <c r="I1163" s="1742" t="s">
        <v>7185</v>
      </c>
      <c r="J1163" s="1743" t="s">
        <v>2810</v>
      </c>
      <c r="K1163" s="1744"/>
      <c r="L1163" s="1745"/>
      <c r="M1163" s="1745"/>
      <c r="N1163" s="1746"/>
      <c r="O1163" s="1793"/>
      <c r="P1163" s="1720"/>
    </row>
    <row r="1164" spans="1:16" ht="13.5" hidden="1" customHeight="1" outlineLevel="3" x14ac:dyDescent="0.2">
      <c r="A1164" s="459">
        <v>0</v>
      </c>
      <c r="B1164" s="459">
        <v>12</v>
      </c>
      <c r="C1164" s="459">
        <v>9</v>
      </c>
      <c r="D1164" s="460">
        <v>2</v>
      </c>
      <c r="E1164" s="460">
        <v>1</v>
      </c>
      <c r="F1164" s="130"/>
      <c r="G1164" s="1748" t="s">
        <v>2384</v>
      </c>
      <c r="H1164" s="1749" t="s">
        <v>1239</v>
      </c>
      <c r="I1164" s="1750" t="s">
        <v>7186</v>
      </c>
      <c r="J1164" s="1751" t="s">
        <v>2810</v>
      </c>
      <c r="K1164" s="1752" t="s">
        <v>1130</v>
      </c>
      <c r="L1164" s="1753">
        <v>1</v>
      </c>
      <c r="M1164" s="1753" t="e">
        <v>#REF!</v>
      </c>
      <c r="N1164" s="1754"/>
      <c r="O1164" s="1761" t="s">
        <v>5449</v>
      </c>
      <c r="P1164" s="1721" t="s">
        <v>9611</v>
      </c>
    </row>
    <row r="1165" spans="1:16" ht="13.9" hidden="1" customHeight="1" outlineLevel="1" x14ac:dyDescent="0.2">
      <c r="A1165" s="459">
        <v>0</v>
      </c>
      <c r="B1165" s="459">
        <v>12</v>
      </c>
      <c r="C1165" s="459">
        <v>10</v>
      </c>
      <c r="D1165" s="460">
        <v>0</v>
      </c>
      <c r="E1165" s="460">
        <v>1</v>
      </c>
      <c r="G1165" s="1763"/>
      <c r="H1165" s="1734" t="s">
        <v>39</v>
      </c>
      <c r="I1165" s="1735" t="s">
        <v>7187</v>
      </c>
      <c r="J1165" s="1736" t="s">
        <v>3332</v>
      </c>
      <c r="K1165" s="1737"/>
      <c r="L1165" s="1738"/>
      <c r="M1165" s="1738"/>
      <c r="N1165" s="1739"/>
      <c r="O1165" s="1722"/>
      <c r="P1165" s="1725"/>
    </row>
    <row r="1166" spans="1:16" ht="13.5" hidden="1" customHeight="1" outlineLevel="2" x14ac:dyDescent="0.2">
      <c r="A1166" s="459">
        <v>0</v>
      </c>
      <c r="B1166" s="459">
        <v>12</v>
      </c>
      <c r="C1166" s="459">
        <v>10</v>
      </c>
      <c r="D1166" s="460">
        <v>1</v>
      </c>
      <c r="E1166" s="460">
        <v>0</v>
      </c>
      <c r="G1166" s="1764"/>
      <c r="H1166" s="1741" t="s">
        <v>1238</v>
      </c>
      <c r="I1166" s="1742" t="s">
        <v>7188</v>
      </c>
      <c r="J1166" s="1743" t="s">
        <v>2809</v>
      </c>
      <c r="K1166" s="1744"/>
      <c r="L1166" s="1745"/>
      <c r="M1166" s="1745"/>
      <c r="N1166" s="1746">
        <v>2560</v>
      </c>
      <c r="O1166" s="1747"/>
      <c r="P1166" s="1720"/>
    </row>
    <row r="1167" spans="1:16" ht="13.5" hidden="1" customHeight="1" outlineLevel="3" x14ac:dyDescent="0.2">
      <c r="A1167" s="459">
        <v>0</v>
      </c>
      <c r="B1167" s="459">
        <v>12</v>
      </c>
      <c r="C1167" s="459">
        <v>10</v>
      </c>
      <c r="D1167" s="460">
        <v>1</v>
      </c>
      <c r="E1167" s="460">
        <v>1</v>
      </c>
      <c r="F1167" s="130"/>
      <c r="G1167" s="1748" t="s">
        <v>2384</v>
      </c>
      <c r="H1167" s="1749" t="s">
        <v>1239</v>
      </c>
      <c r="I1167" s="1750" t="s">
        <v>7189</v>
      </c>
      <c r="J1167" s="1751" t="s">
        <v>2809</v>
      </c>
      <c r="K1167" s="1752" t="s">
        <v>1130</v>
      </c>
      <c r="L1167" s="1753">
        <v>1</v>
      </c>
      <c r="M1167" s="1753">
        <v>2560</v>
      </c>
      <c r="N1167" s="1754">
        <v>2560</v>
      </c>
      <c r="O1167" s="1761" t="s">
        <v>5449</v>
      </c>
      <c r="P1167" s="1721" t="s">
        <v>9611</v>
      </c>
    </row>
    <row r="1168" spans="1:16" ht="13.5" hidden="1" customHeight="1" outlineLevel="2" x14ac:dyDescent="0.2">
      <c r="A1168" s="459">
        <v>0</v>
      </c>
      <c r="B1168" s="459">
        <v>12</v>
      </c>
      <c r="C1168" s="459">
        <v>10</v>
      </c>
      <c r="D1168" s="460">
        <v>2</v>
      </c>
      <c r="E1168" s="460">
        <v>0</v>
      </c>
      <c r="F1168" s="130"/>
      <c r="G1168" s="1764"/>
      <c r="H1168" s="1741" t="s">
        <v>1238</v>
      </c>
      <c r="I1168" s="1742" t="s">
        <v>7190</v>
      </c>
      <c r="J1168" s="1743" t="s">
        <v>2810</v>
      </c>
      <c r="K1168" s="1744"/>
      <c r="L1168" s="1745"/>
      <c r="M1168" s="1745"/>
      <c r="N1168" s="1746"/>
      <c r="O1168" s="1793"/>
      <c r="P1168" s="1720"/>
    </row>
    <row r="1169" spans="1:16" ht="13.5" hidden="1" customHeight="1" outlineLevel="3" x14ac:dyDescent="0.2">
      <c r="A1169" s="459">
        <v>0</v>
      </c>
      <c r="B1169" s="459">
        <v>12</v>
      </c>
      <c r="C1169" s="459">
        <v>10</v>
      </c>
      <c r="D1169" s="460">
        <v>2</v>
      </c>
      <c r="E1169" s="460">
        <v>1</v>
      </c>
      <c r="F1169" s="130"/>
      <c r="G1169" s="1748" t="s">
        <v>2384</v>
      </c>
      <c r="H1169" s="1749" t="s">
        <v>1239</v>
      </c>
      <c r="I1169" s="1750" t="s">
        <v>7191</v>
      </c>
      <c r="J1169" s="1751" t="s">
        <v>2810</v>
      </c>
      <c r="K1169" s="1752" t="s">
        <v>1130</v>
      </c>
      <c r="L1169" s="1753">
        <v>1</v>
      </c>
      <c r="M1169" s="1753" t="e">
        <v>#REF!</v>
      </c>
      <c r="N1169" s="1754"/>
      <c r="O1169" s="1755" t="s">
        <v>3323</v>
      </c>
      <c r="P1169" s="1721" t="s">
        <v>9611</v>
      </c>
    </row>
    <row r="1170" spans="1:16" ht="13.9" hidden="1" customHeight="1" outlineLevel="1" x14ac:dyDescent="0.2">
      <c r="A1170" s="459">
        <v>0</v>
      </c>
      <c r="B1170" s="459">
        <v>12</v>
      </c>
      <c r="C1170" s="459">
        <v>11</v>
      </c>
      <c r="D1170" s="460">
        <v>0</v>
      </c>
      <c r="E1170" s="460">
        <v>1</v>
      </c>
      <c r="G1170" s="1763"/>
      <c r="H1170" s="1734" t="s">
        <v>39</v>
      </c>
      <c r="I1170" s="1735" t="s">
        <v>7192</v>
      </c>
      <c r="J1170" s="1736" t="s">
        <v>3333</v>
      </c>
      <c r="K1170" s="1737"/>
      <c r="L1170" s="1738"/>
      <c r="M1170" s="1738"/>
      <c r="N1170" s="1739"/>
      <c r="O1170" s="1722"/>
      <c r="P1170" s="1725"/>
    </row>
    <row r="1171" spans="1:16" ht="13.5" hidden="1" customHeight="1" outlineLevel="2" x14ac:dyDescent="0.2">
      <c r="A1171" s="459">
        <v>0</v>
      </c>
      <c r="B1171" s="459">
        <v>12</v>
      </c>
      <c r="C1171" s="459">
        <v>11</v>
      </c>
      <c r="D1171" s="460">
        <v>1</v>
      </c>
      <c r="E1171" s="460">
        <v>0</v>
      </c>
      <c r="G1171" s="1764"/>
      <c r="H1171" s="1741" t="s">
        <v>1238</v>
      </c>
      <c r="I1171" s="1742" t="s">
        <v>7193</v>
      </c>
      <c r="J1171" s="1743" t="s">
        <v>2809</v>
      </c>
      <c r="K1171" s="1744"/>
      <c r="L1171" s="1745"/>
      <c r="M1171" s="1745"/>
      <c r="N1171" s="1746">
        <v>3520</v>
      </c>
      <c r="O1171" s="1747"/>
      <c r="P1171" s="1720"/>
    </row>
    <row r="1172" spans="1:16" ht="13.5" hidden="1" customHeight="1" outlineLevel="3" x14ac:dyDescent="0.2">
      <c r="A1172" s="459">
        <v>0</v>
      </c>
      <c r="B1172" s="459">
        <v>12</v>
      </c>
      <c r="C1172" s="459">
        <v>11</v>
      </c>
      <c r="D1172" s="460">
        <v>1</v>
      </c>
      <c r="E1172" s="460">
        <v>1</v>
      </c>
      <c r="F1172" s="130"/>
      <c r="G1172" s="1748" t="s">
        <v>2384</v>
      </c>
      <c r="H1172" s="1749" t="s">
        <v>1239</v>
      </c>
      <c r="I1172" s="1750" t="s">
        <v>7194</v>
      </c>
      <c r="J1172" s="1751" t="s">
        <v>2809</v>
      </c>
      <c r="K1172" s="1752" t="s">
        <v>1130</v>
      </c>
      <c r="L1172" s="1753">
        <v>1</v>
      </c>
      <c r="M1172" s="1753">
        <v>3520</v>
      </c>
      <c r="N1172" s="1754">
        <v>3520</v>
      </c>
      <c r="O1172" s="1755" t="s">
        <v>1263</v>
      </c>
      <c r="P1172" s="1721" t="s">
        <v>9611</v>
      </c>
    </row>
    <row r="1173" spans="1:16" ht="13.5" hidden="1" customHeight="1" outlineLevel="2" x14ac:dyDescent="0.2">
      <c r="A1173" s="459">
        <v>0</v>
      </c>
      <c r="B1173" s="459">
        <v>12</v>
      </c>
      <c r="C1173" s="459">
        <v>11</v>
      </c>
      <c r="D1173" s="460">
        <v>2</v>
      </c>
      <c r="E1173" s="460">
        <v>0</v>
      </c>
      <c r="F1173" s="130"/>
      <c r="G1173" s="1764"/>
      <c r="H1173" s="1741" t="s">
        <v>1238</v>
      </c>
      <c r="I1173" s="1742" t="s">
        <v>7195</v>
      </c>
      <c r="J1173" s="1743" t="s">
        <v>2810</v>
      </c>
      <c r="K1173" s="1744"/>
      <c r="L1173" s="1745"/>
      <c r="M1173" s="1745"/>
      <c r="N1173" s="1746"/>
      <c r="O1173" s="1793"/>
      <c r="P1173" s="1720"/>
    </row>
    <row r="1174" spans="1:16" ht="13.5" hidden="1" customHeight="1" outlineLevel="3" x14ac:dyDescent="0.2">
      <c r="A1174" s="459">
        <v>0</v>
      </c>
      <c r="B1174" s="459">
        <v>12</v>
      </c>
      <c r="C1174" s="459">
        <v>11</v>
      </c>
      <c r="D1174" s="460">
        <v>2</v>
      </c>
      <c r="E1174" s="460">
        <v>1</v>
      </c>
      <c r="F1174" s="130"/>
      <c r="G1174" s="1748" t="s">
        <v>2384</v>
      </c>
      <c r="H1174" s="1749" t="s">
        <v>1239</v>
      </c>
      <c r="I1174" s="1750" t="s">
        <v>7196</v>
      </c>
      <c r="J1174" s="1751" t="s">
        <v>2810</v>
      </c>
      <c r="K1174" s="1752" t="s">
        <v>1130</v>
      </c>
      <c r="L1174" s="1753">
        <v>1</v>
      </c>
      <c r="M1174" s="1753" t="e">
        <v>#REF!</v>
      </c>
      <c r="N1174" s="1754"/>
      <c r="O1174" s="1761" t="s">
        <v>5449</v>
      </c>
      <c r="P1174" s="1721" t="s">
        <v>9611</v>
      </c>
    </row>
    <row r="1175" spans="1:16" ht="13.9" hidden="1" customHeight="1" outlineLevel="1" x14ac:dyDescent="0.2">
      <c r="A1175" s="459">
        <v>0</v>
      </c>
      <c r="B1175" s="459">
        <v>12</v>
      </c>
      <c r="C1175" s="459">
        <v>12</v>
      </c>
      <c r="D1175" s="460">
        <v>0</v>
      </c>
      <c r="E1175" s="460">
        <v>1</v>
      </c>
      <c r="G1175" s="1763"/>
      <c r="H1175" s="1734" t="s">
        <v>39</v>
      </c>
      <c r="I1175" s="1735" t="s">
        <v>7197</v>
      </c>
      <c r="J1175" s="1736" t="s">
        <v>3334</v>
      </c>
      <c r="K1175" s="1737"/>
      <c r="L1175" s="1738"/>
      <c r="M1175" s="1738"/>
      <c r="N1175" s="1739"/>
      <c r="O1175" s="1722"/>
      <c r="P1175" s="1725"/>
    </row>
    <row r="1176" spans="1:16" ht="13.5" hidden="1" customHeight="1" outlineLevel="2" x14ac:dyDescent="0.2">
      <c r="A1176" s="459">
        <v>0</v>
      </c>
      <c r="B1176" s="459">
        <v>12</v>
      </c>
      <c r="C1176" s="459">
        <v>12</v>
      </c>
      <c r="D1176" s="460">
        <v>1</v>
      </c>
      <c r="E1176" s="460">
        <v>0</v>
      </c>
      <c r="G1176" s="1764"/>
      <c r="H1176" s="1741" t="s">
        <v>1238</v>
      </c>
      <c r="I1176" s="1742" t="s">
        <v>7198</v>
      </c>
      <c r="J1176" s="1743" t="s">
        <v>2809</v>
      </c>
      <c r="K1176" s="1744"/>
      <c r="L1176" s="1745"/>
      <c r="M1176" s="1745"/>
      <c r="N1176" s="1746">
        <v>320</v>
      </c>
      <c r="O1176" s="1747"/>
      <c r="P1176" s="1720"/>
    </row>
    <row r="1177" spans="1:16" ht="13.5" hidden="1" customHeight="1" outlineLevel="3" x14ac:dyDescent="0.2">
      <c r="A1177" s="459">
        <v>0</v>
      </c>
      <c r="B1177" s="459">
        <v>12</v>
      </c>
      <c r="C1177" s="459">
        <v>12</v>
      </c>
      <c r="D1177" s="460">
        <v>1</v>
      </c>
      <c r="E1177" s="460">
        <v>1</v>
      </c>
      <c r="F1177" s="130"/>
      <c r="G1177" s="1748" t="s">
        <v>2384</v>
      </c>
      <c r="H1177" s="1749" t="s">
        <v>1239</v>
      </c>
      <c r="I1177" s="1750" t="s">
        <v>7199</v>
      </c>
      <c r="J1177" s="1751" t="s">
        <v>2809</v>
      </c>
      <c r="K1177" s="1752" t="s">
        <v>1130</v>
      </c>
      <c r="L1177" s="1753">
        <v>1</v>
      </c>
      <c r="M1177" s="1753">
        <v>320</v>
      </c>
      <c r="N1177" s="1754">
        <v>320</v>
      </c>
      <c r="O1177" s="1755" t="s">
        <v>1263</v>
      </c>
      <c r="P1177" s="1721" t="s">
        <v>9611</v>
      </c>
    </row>
    <row r="1178" spans="1:16" ht="13.5" hidden="1" customHeight="1" outlineLevel="2" x14ac:dyDescent="0.2">
      <c r="A1178" s="459">
        <v>0</v>
      </c>
      <c r="B1178" s="459">
        <v>12</v>
      </c>
      <c r="C1178" s="459">
        <v>12</v>
      </c>
      <c r="D1178" s="460">
        <v>2</v>
      </c>
      <c r="E1178" s="460">
        <v>0</v>
      </c>
      <c r="F1178" s="130"/>
      <c r="G1178" s="1764"/>
      <c r="H1178" s="1741" t="s">
        <v>1238</v>
      </c>
      <c r="I1178" s="1742" t="s">
        <v>7200</v>
      </c>
      <c r="J1178" s="1743" t="s">
        <v>2810</v>
      </c>
      <c r="K1178" s="1744"/>
      <c r="L1178" s="1745"/>
      <c r="M1178" s="1745"/>
      <c r="N1178" s="1746"/>
      <c r="O1178" s="1793"/>
      <c r="P1178" s="1720"/>
    </row>
    <row r="1179" spans="1:16" ht="13.5" hidden="1" customHeight="1" outlineLevel="3" x14ac:dyDescent="0.2">
      <c r="A1179" s="459">
        <v>0</v>
      </c>
      <c r="B1179" s="459">
        <v>12</v>
      </c>
      <c r="C1179" s="459">
        <v>12</v>
      </c>
      <c r="D1179" s="460">
        <v>2</v>
      </c>
      <c r="E1179" s="460">
        <v>1</v>
      </c>
      <c r="F1179" s="130"/>
      <c r="G1179" s="1748" t="s">
        <v>2384</v>
      </c>
      <c r="H1179" s="1749" t="s">
        <v>1239</v>
      </c>
      <c r="I1179" s="1750" t="s">
        <v>7201</v>
      </c>
      <c r="J1179" s="1751" t="s">
        <v>2810</v>
      </c>
      <c r="K1179" s="1752" t="s">
        <v>1130</v>
      </c>
      <c r="L1179" s="1753">
        <v>1</v>
      </c>
      <c r="M1179" s="1753" t="e">
        <v>#REF!</v>
      </c>
      <c r="N1179" s="1754"/>
      <c r="O1179" s="1761" t="s">
        <v>5449</v>
      </c>
      <c r="P1179" s="1721" t="s">
        <v>9611</v>
      </c>
    </row>
    <row r="1180" spans="1:16" ht="13.9" hidden="1" customHeight="1" outlineLevel="1" x14ac:dyDescent="0.2">
      <c r="A1180" s="459">
        <v>0</v>
      </c>
      <c r="B1180" s="459">
        <v>12</v>
      </c>
      <c r="C1180" s="459">
        <v>13</v>
      </c>
      <c r="D1180" s="460">
        <v>0</v>
      </c>
      <c r="E1180" s="460">
        <v>1</v>
      </c>
      <c r="G1180" s="1763"/>
      <c r="H1180" s="1734" t="s">
        <v>39</v>
      </c>
      <c r="I1180" s="1735" t="s">
        <v>7202</v>
      </c>
      <c r="J1180" s="1736" t="s">
        <v>3335</v>
      </c>
      <c r="K1180" s="1737"/>
      <c r="L1180" s="1738"/>
      <c r="M1180" s="1738"/>
      <c r="N1180" s="1739"/>
      <c r="O1180" s="1722"/>
      <c r="P1180" s="1725"/>
    </row>
    <row r="1181" spans="1:16" ht="13.5" hidden="1" customHeight="1" outlineLevel="2" x14ac:dyDescent="0.2">
      <c r="A1181" s="459">
        <v>0</v>
      </c>
      <c r="B1181" s="459">
        <v>12</v>
      </c>
      <c r="C1181" s="459">
        <v>13</v>
      </c>
      <c r="D1181" s="460">
        <v>1</v>
      </c>
      <c r="E1181" s="460">
        <v>0</v>
      </c>
      <c r="F1181" s="130"/>
      <c r="G1181" s="1764"/>
      <c r="H1181" s="1741" t="s">
        <v>1238</v>
      </c>
      <c r="I1181" s="1742" t="s">
        <v>7203</v>
      </c>
      <c r="J1181" s="1743" t="s">
        <v>2810</v>
      </c>
      <c r="K1181" s="1744"/>
      <c r="L1181" s="1745"/>
      <c r="M1181" s="1745"/>
      <c r="N1181" s="1746"/>
      <c r="O1181" s="1793"/>
      <c r="P1181" s="1720"/>
    </row>
    <row r="1182" spans="1:16" ht="13.5" hidden="1" customHeight="1" outlineLevel="3" x14ac:dyDescent="0.2">
      <c r="A1182" s="459">
        <v>0</v>
      </c>
      <c r="B1182" s="459">
        <v>12</v>
      </c>
      <c r="C1182" s="459">
        <v>13</v>
      </c>
      <c r="D1182" s="460">
        <v>1</v>
      </c>
      <c r="E1182" s="460">
        <v>1</v>
      </c>
      <c r="F1182" s="130"/>
      <c r="G1182" s="1748" t="s">
        <v>2384</v>
      </c>
      <c r="H1182" s="1749" t="s">
        <v>1239</v>
      </c>
      <c r="I1182" s="1750" t="s">
        <v>7204</v>
      </c>
      <c r="J1182" s="1751" t="s">
        <v>2810</v>
      </c>
      <c r="K1182" s="1752" t="s">
        <v>1130</v>
      </c>
      <c r="L1182" s="1753">
        <v>1</v>
      </c>
      <c r="M1182" s="1753" t="e">
        <v>#REF!</v>
      </c>
      <c r="N1182" s="1754"/>
      <c r="O1182" s="1761" t="s">
        <v>5449</v>
      </c>
      <c r="P1182" s="1721" t="s">
        <v>9611</v>
      </c>
    </row>
    <row r="1183" spans="1:16" ht="13.5" customHeight="1" collapsed="1" x14ac:dyDescent="0.2">
      <c r="A1183" s="459">
        <v>0</v>
      </c>
      <c r="B1183" s="459">
        <v>13</v>
      </c>
      <c r="C1183" s="459">
        <v>0</v>
      </c>
      <c r="D1183" s="460">
        <v>1</v>
      </c>
      <c r="E1183" s="460">
        <v>1</v>
      </c>
      <c r="F1183" s="474"/>
      <c r="G1183" s="1794"/>
      <c r="H1183" s="1766" t="s">
        <v>1237</v>
      </c>
      <c r="I1183" s="1728" t="s">
        <v>7205</v>
      </c>
      <c r="J1183" s="1795" t="s">
        <v>441</v>
      </c>
      <c r="K1183" s="1768"/>
      <c r="L1183" s="1769"/>
      <c r="M1183" s="1769"/>
      <c r="N1183" s="1732">
        <v>1076652.81713433</v>
      </c>
      <c r="O1183" s="1770">
        <v>64.279046520578206</v>
      </c>
      <c r="P1183" s="1718"/>
    </row>
    <row r="1184" spans="1:16" ht="13.5" hidden="1" customHeight="1" outlineLevel="1" x14ac:dyDescent="0.2">
      <c r="A1184" s="459">
        <v>0</v>
      </c>
      <c r="B1184" s="459">
        <v>13</v>
      </c>
      <c r="C1184" s="459">
        <v>1</v>
      </c>
      <c r="D1184" s="460">
        <v>0</v>
      </c>
      <c r="E1184" s="460">
        <v>1</v>
      </c>
      <c r="G1184" s="1796"/>
      <c r="H1184" s="1771" t="s">
        <v>39</v>
      </c>
      <c r="I1184" s="1735" t="s">
        <v>7206</v>
      </c>
      <c r="J1184" s="1773" t="s">
        <v>2788</v>
      </c>
      <c r="K1184" s="1774"/>
      <c r="L1184" s="1775"/>
      <c r="M1184" s="1775"/>
      <c r="N1184" s="1739">
        <v>67700.351232000001</v>
      </c>
      <c r="O1184" s="1776">
        <v>4.04189164514883</v>
      </c>
      <c r="P1184" s="1719"/>
    </row>
    <row r="1185" spans="1:16" ht="13.5" hidden="1" customHeight="1" outlineLevel="2" x14ac:dyDescent="0.2">
      <c r="A1185" s="459">
        <v>0</v>
      </c>
      <c r="B1185" s="459">
        <v>13</v>
      </c>
      <c r="C1185" s="459">
        <v>1</v>
      </c>
      <c r="D1185" s="460">
        <v>1</v>
      </c>
      <c r="E1185" s="460">
        <v>0</v>
      </c>
      <c r="G1185" s="1797"/>
      <c r="H1185" s="1777" t="s">
        <v>1238</v>
      </c>
      <c r="I1185" s="1742" t="s">
        <v>7207</v>
      </c>
      <c r="J1185" s="1779" t="s">
        <v>25</v>
      </c>
      <c r="K1185" s="1780"/>
      <c r="L1185" s="1781"/>
      <c r="M1185" s="1781"/>
      <c r="N1185" s="1746">
        <v>2052.6453320000001</v>
      </c>
      <c r="O1185" s="1782">
        <v>0.12254840435662299</v>
      </c>
      <c r="P1185" s="1720"/>
    </row>
    <row r="1186" spans="1:16" ht="13.5" hidden="1" customHeight="1" outlineLevel="3" x14ac:dyDescent="0.2">
      <c r="A1186" s="459">
        <v>0</v>
      </c>
      <c r="B1186" s="459">
        <v>13</v>
      </c>
      <c r="C1186" s="459">
        <v>1</v>
      </c>
      <c r="D1186" s="460">
        <v>1</v>
      </c>
      <c r="E1186" s="460">
        <v>1</v>
      </c>
      <c r="G1186" s="1798" t="s">
        <v>24</v>
      </c>
      <c r="H1186" s="1783" t="s">
        <v>1239</v>
      </c>
      <c r="I1186" s="1750" t="s">
        <v>7208</v>
      </c>
      <c r="J1186" s="1785" t="s">
        <v>442</v>
      </c>
      <c r="K1186" s="1786" t="s">
        <v>642</v>
      </c>
      <c r="L1186" s="1787">
        <v>242.57999999999998</v>
      </c>
      <c r="M1186" s="1787">
        <v>7.0658999999999992</v>
      </c>
      <c r="N1186" s="1754">
        <v>1714.046022</v>
      </c>
      <c r="O1186" s="1788" t="s">
        <v>4191</v>
      </c>
      <c r="P1186" s="1721" t="s">
        <v>9611</v>
      </c>
    </row>
    <row r="1187" spans="1:16" ht="13.5" hidden="1" customHeight="1" outlineLevel="3" x14ac:dyDescent="0.2">
      <c r="A1187" s="459">
        <v>0</v>
      </c>
      <c r="B1187" s="459">
        <v>13</v>
      </c>
      <c r="C1187" s="459">
        <v>1</v>
      </c>
      <c r="D1187" s="460">
        <v>1</v>
      </c>
      <c r="E1187" s="460">
        <v>2</v>
      </c>
      <c r="G1187" s="1798" t="s">
        <v>24</v>
      </c>
      <c r="H1187" s="1783" t="s">
        <v>1239</v>
      </c>
      <c r="I1187" s="1750" t="s">
        <v>7209</v>
      </c>
      <c r="J1187" s="1785" t="s">
        <v>444</v>
      </c>
      <c r="K1187" s="1786" t="s">
        <v>642</v>
      </c>
      <c r="L1187" s="1787">
        <v>6.86</v>
      </c>
      <c r="M1187" s="1787">
        <v>49.358499999999999</v>
      </c>
      <c r="N1187" s="1754">
        <v>338.59931</v>
      </c>
      <c r="O1187" s="1788" t="s">
        <v>4192</v>
      </c>
      <c r="P1187" s="1721" t="s">
        <v>9611</v>
      </c>
    </row>
    <row r="1188" spans="1:16" ht="13.5" hidden="1" customHeight="1" outlineLevel="2" x14ac:dyDescent="0.2">
      <c r="A1188" s="459">
        <v>0</v>
      </c>
      <c r="B1188" s="459">
        <v>13</v>
      </c>
      <c r="C1188" s="459">
        <v>1</v>
      </c>
      <c r="D1188" s="460">
        <v>2</v>
      </c>
      <c r="E1188" s="460">
        <v>0</v>
      </c>
      <c r="G1188" s="1797"/>
      <c r="H1188" s="1777" t="s">
        <v>1238</v>
      </c>
      <c r="I1188" s="1742" t="s">
        <v>7210</v>
      </c>
      <c r="J1188" s="1779" t="s">
        <v>2528</v>
      </c>
      <c r="K1188" s="1780"/>
      <c r="L1188" s="1781"/>
      <c r="M1188" s="1781"/>
      <c r="N1188" s="1746">
        <v>20378.466</v>
      </c>
      <c r="O1188" s="1782"/>
      <c r="P1188" s="1720"/>
    </row>
    <row r="1189" spans="1:16" ht="13.5" hidden="1" customHeight="1" outlineLevel="3" x14ac:dyDescent="0.2">
      <c r="A1189" s="459">
        <v>0</v>
      </c>
      <c r="B1189" s="459">
        <v>13</v>
      </c>
      <c r="C1189" s="459">
        <v>1</v>
      </c>
      <c r="D1189" s="460">
        <v>2</v>
      </c>
      <c r="E1189" s="460">
        <v>1</v>
      </c>
      <c r="G1189" s="1798" t="s">
        <v>24</v>
      </c>
      <c r="H1189" s="1783" t="s">
        <v>1239</v>
      </c>
      <c r="I1189" s="1750" t="s">
        <v>4155</v>
      </c>
      <c r="J1189" s="1785" t="s">
        <v>447</v>
      </c>
      <c r="K1189" s="1786" t="s">
        <v>642</v>
      </c>
      <c r="L1189" s="1787">
        <v>698.84999999999991</v>
      </c>
      <c r="M1189" s="1787">
        <v>29.160000000000004</v>
      </c>
      <c r="N1189" s="1754">
        <v>20378.466</v>
      </c>
      <c r="O1189" s="1788"/>
      <c r="P1189" s="1721" t="s">
        <v>9611</v>
      </c>
    </row>
    <row r="1190" spans="1:16" ht="13.5" hidden="1" customHeight="1" outlineLevel="2" x14ac:dyDescent="0.2">
      <c r="A1190" s="459">
        <v>0</v>
      </c>
      <c r="B1190" s="459">
        <v>13</v>
      </c>
      <c r="C1190" s="459">
        <v>1</v>
      </c>
      <c r="D1190" s="460">
        <v>3</v>
      </c>
      <c r="E1190" s="460">
        <v>0</v>
      </c>
      <c r="G1190" s="1797"/>
      <c r="H1190" s="1777" t="s">
        <v>1238</v>
      </c>
      <c r="I1190" s="1742" t="s">
        <v>7211</v>
      </c>
      <c r="J1190" s="1779" t="s">
        <v>4187</v>
      </c>
      <c r="K1190" s="1780"/>
      <c r="L1190" s="1781"/>
      <c r="M1190" s="1781"/>
      <c r="N1190" s="1746">
        <v>6753.1912739999998</v>
      </c>
      <c r="O1190" s="1782"/>
      <c r="P1190" s="1720"/>
    </row>
    <row r="1191" spans="1:16" ht="13.5" hidden="1" customHeight="1" outlineLevel="3" x14ac:dyDescent="0.2">
      <c r="A1191" s="459">
        <v>0</v>
      </c>
      <c r="B1191" s="459">
        <v>13</v>
      </c>
      <c r="C1191" s="459">
        <v>1</v>
      </c>
      <c r="D1191" s="460">
        <v>3</v>
      </c>
      <c r="E1191" s="460">
        <v>1</v>
      </c>
      <c r="G1191" s="1798" t="s">
        <v>24</v>
      </c>
      <c r="H1191" s="1783" t="s">
        <v>1239</v>
      </c>
      <c r="I1191" s="1750" t="s">
        <v>7212</v>
      </c>
      <c r="J1191" s="1785" t="s">
        <v>4170</v>
      </c>
      <c r="K1191" s="1786" t="s">
        <v>642</v>
      </c>
      <c r="L1191" s="1787">
        <v>97.67</v>
      </c>
      <c r="M1191" s="1787">
        <v>46.211799999999997</v>
      </c>
      <c r="N1191" s="1754">
        <v>4513.5065059999997</v>
      </c>
      <c r="O1191" s="1788" t="s">
        <v>4178</v>
      </c>
      <c r="P1191" s="1721" t="s">
        <v>9611</v>
      </c>
    </row>
    <row r="1192" spans="1:16" ht="13.5" hidden="1" customHeight="1" outlineLevel="3" x14ac:dyDescent="0.2">
      <c r="A1192" s="459">
        <v>0</v>
      </c>
      <c r="B1192" s="459">
        <v>13</v>
      </c>
      <c r="C1192" s="459">
        <v>1</v>
      </c>
      <c r="D1192" s="460">
        <v>3</v>
      </c>
      <c r="E1192" s="460">
        <v>2</v>
      </c>
      <c r="G1192" s="1798" t="s">
        <v>24</v>
      </c>
      <c r="H1192" s="1783" t="s">
        <v>1239</v>
      </c>
      <c r="I1192" s="1750" t="s">
        <v>7213</v>
      </c>
      <c r="J1192" s="1785" t="s">
        <v>4169</v>
      </c>
      <c r="K1192" s="1786" t="s">
        <v>642</v>
      </c>
      <c r="L1192" s="1787">
        <v>65.759999999999991</v>
      </c>
      <c r="M1192" s="1787">
        <v>34.058466666666661</v>
      </c>
      <c r="N1192" s="1754">
        <v>2239.6847680000001</v>
      </c>
      <c r="O1192" s="1788" t="s">
        <v>4179</v>
      </c>
      <c r="P1192" s="1721" t="s">
        <v>9611</v>
      </c>
    </row>
    <row r="1193" spans="1:16" ht="13.5" hidden="1" customHeight="1" outlineLevel="2" x14ac:dyDescent="0.2">
      <c r="A1193" s="459">
        <v>0</v>
      </c>
      <c r="B1193" s="459">
        <v>13</v>
      </c>
      <c r="C1193" s="459">
        <v>1</v>
      </c>
      <c r="D1193" s="460">
        <v>4</v>
      </c>
      <c r="E1193" s="460">
        <v>0</v>
      </c>
      <c r="G1193" s="1797"/>
      <c r="H1193" s="1777" t="s">
        <v>1238</v>
      </c>
      <c r="I1193" s="1742" t="s">
        <v>7214</v>
      </c>
      <c r="J1193" s="1779" t="s">
        <v>2786</v>
      </c>
      <c r="K1193" s="1780"/>
      <c r="L1193" s="1781"/>
      <c r="M1193" s="1781"/>
      <c r="N1193" s="1746">
        <v>19.413326000000001</v>
      </c>
      <c r="O1193" s="1782"/>
      <c r="P1193" s="1720"/>
    </row>
    <row r="1194" spans="1:16" ht="13.5" hidden="1" customHeight="1" outlineLevel="3" x14ac:dyDescent="0.2">
      <c r="A1194" s="459">
        <v>0</v>
      </c>
      <c r="B1194" s="459">
        <v>13</v>
      </c>
      <c r="C1194" s="459">
        <v>1</v>
      </c>
      <c r="D1194" s="460">
        <v>4</v>
      </c>
      <c r="E1194" s="460">
        <v>1</v>
      </c>
      <c r="G1194" s="1798" t="s">
        <v>24</v>
      </c>
      <c r="H1194" s="1783" t="s">
        <v>1239</v>
      </c>
      <c r="I1194" s="1750" t="s">
        <v>7215</v>
      </c>
      <c r="J1194" s="1785" t="s">
        <v>4169</v>
      </c>
      <c r="K1194" s="1786" t="s">
        <v>642</v>
      </c>
      <c r="L1194" s="1787">
        <v>0.56999999999999995</v>
      </c>
      <c r="M1194" s="1787">
        <v>34.058466666666661</v>
      </c>
      <c r="N1194" s="1754">
        <v>19.413326000000001</v>
      </c>
      <c r="O1194" s="1788"/>
      <c r="P1194" s="1721" t="s">
        <v>9611</v>
      </c>
    </row>
    <row r="1195" spans="1:16" ht="13.5" hidden="1" customHeight="1" outlineLevel="2" x14ac:dyDescent="0.2">
      <c r="A1195" s="459">
        <v>0</v>
      </c>
      <c r="B1195" s="459">
        <v>13</v>
      </c>
      <c r="C1195" s="459">
        <v>1</v>
      </c>
      <c r="D1195" s="460">
        <v>5</v>
      </c>
      <c r="E1195" s="460">
        <v>0</v>
      </c>
      <c r="G1195" s="1797"/>
      <c r="H1195" s="1777" t="s">
        <v>1238</v>
      </c>
      <c r="I1195" s="1742" t="s">
        <v>7216</v>
      </c>
      <c r="J1195" s="1779" t="s">
        <v>2787</v>
      </c>
      <c r="K1195" s="1780"/>
      <c r="L1195" s="1781"/>
      <c r="M1195" s="1781"/>
      <c r="N1195" s="1746">
        <v>70.080119999999994</v>
      </c>
      <c r="O1195" s="1782"/>
      <c r="P1195" s="1720"/>
    </row>
    <row r="1196" spans="1:16" ht="13.5" hidden="1" customHeight="1" outlineLevel="3" x14ac:dyDescent="0.2">
      <c r="A1196" s="459">
        <v>0</v>
      </c>
      <c r="B1196" s="459">
        <v>13</v>
      </c>
      <c r="C1196" s="459">
        <v>1</v>
      </c>
      <c r="D1196" s="460">
        <v>5</v>
      </c>
      <c r="E1196" s="460">
        <v>1</v>
      </c>
      <c r="G1196" s="1798" t="s">
        <v>24</v>
      </c>
      <c r="H1196" s="1783" t="s">
        <v>1239</v>
      </c>
      <c r="I1196" s="1750" t="s">
        <v>7217</v>
      </c>
      <c r="J1196" s="1785" t="s">
        <v>1683</v>
      </c>
      <c r="K1196" s="1786" t="s">
        <v>534</v>
      </c>
      <c r="L1196" s="1787">
        <v>8</v>
      </c>
      <c r="M1196" s="1787">
        <v>8.760015000000001</v>
      </c>
      <c r="N1196" s="1754">
        <v>70.080119999999994</v>
      </c>
      <c r="O1196" s="1788" t="s">
        <v>4207</v>
      </c>
      <c r="P1196" s="1721" t="s">
        <v>9611</v>
      </c>
    </row>
    <row r="1197" spans="1:16" ht="13.5" hidden="1" customHeight="1" outlineLevel="2" x14ac:dyDescent="0.2">
      <c r="A1197" s="459">
        <v>0</v>
      </c>
      <c r="B1197" s="459">
        <v>13</v>
      </c>
      <c r="C1197" s="459">
        <v>1</v>
      </c>
      <c r="D1197" s="460">
        <v>6</v>
      </c>
      <c r="E1197" s="460">
        <v>0</v>
      </c>
      <c r="G1197" s="1797"/>
      <c r="H1197" s="1777" t="s">
        <v>1238</v>
      </c>
      <c r="I1197" s="1742" t="s">
        <v>7218</v>
      </c>
      <c r="J1197" s="1779" t="s">
        <v>4185</v>
      </c>
      <c r="K1197" s="1780"/>
      <c r="L1197" s="1781"/>
      <c r="M1197" s="1781"/>
      <c r="N1197" s="1746">
        <v>6660.1951799999997</v>
      </c>
      <c r="O1197" s="1782"/>
      <c r="P1197" s="1720"/>
    </row>
    <row r="1198" spans="1:16" ht="13.5" hidden="1" customHeight="1" outlineLevel="3" x14ac:dyDescent="0.2">
      <c r="A1198" s="459">
        <v>0</v>
      </c>
      <c r="B1198" s="459">
        <v>13</v>
      </c>
      <c r="C1198" s="459">
        <v>1</v>
      </c>
      <c r="D1198" s="460">
        <v>6</v>
      </c>
      <c r="E1198" s="460">
        <v>1</v>
      </c>
      <c r="G1198" s="1798" t="s">
        <v>24</v>
      </c>
      <c r="H1198" s="1783" t="s">
        <v>1239</v>
      </c>
      <c r="I1198" s="1750" t="s">
        <v>7219</v>
      </c>
      <c r="J1198" s="1785" t="s">
        <v>4175</v>
      </c>
      <c r="K1198" s="1786" t="s">
        <v>642</v>
      </c>
      <c r="L1198" s="1787">
        <v>36.76</v>
      </c>
      <c r="M1198" s="1787">
        <v>181.18049999999999</v>
      </c>
      <c r="N1198" s="1754">
        <v>6660.1951799999997</v>
      </c>
      <c r="O1198" s="1788" t="s">
        <v>4186</v>
      </c>
      <c r="P1198" s="1721" t="s">
        <v>9611</v>
      </c>
    </row>
    <row r="1199" spans="1:16" ht="13.5" hidden="1" customHeight="1" outlineLevel="2" x14ac:dyDescent="0.2">
      <c r="A1199" s="459">
        <v>0</v>
      </c>
      <c r="B1199" s="459">
        <v>13</v>
      </c>
      <c r="C1199" s="459">
        <v>1</v>
      </c>
      <c r="D1199" s="460">
        <v>7</v>
      </c>
      <c r="E1199" s="460">
        <v>0</v>
      </c>
      <c r="G1199" s="1797"/>
      <c r="H1199" s="1777" t="s">
        <v>1238</v>
      </c>
      <c r="I1199" s="1742" t="s">
        <v>7220</v>
      </c>
      <c r="J1199" s="1779" t="s">
        <v>1249</v>
      </c>
      <c r="K1199" s="1780"/>
      <c r="L1199" s="1781"/>
      <c r="M1199" s="1781"/>
      <c r="N1199" s="1746">
        <v>31766.36</v>
      </c>
      <c r="O1199" s="1782"/>
      <c r="P1199" s="1720"/>
    </row>
    <row r="1200" spans="1:16" ht="13.5" hidden="1" customHeight="1" outlineLevel="3" x14ac:dyDescent="0.2">
      <c r="A1200" s="459">
        <v>0</v>
      </c>
      <c r="B1200" s="459">
        <v>13</v>
      </c>
      <c r="C1200" s="459">
        <v>1</v>
      </c>
      <c r="D1200" s="460">
        <v>7</v>
      </c>
      <c r="E1200" s="460">
        <v>1</v>
      </c>
      <c r="G1200" s="1798" t="s">
        <v>24</v>
      </c>
      <c r="H1200" s="1783" t="s">
        <v>1239</v>
      </c>
      <c r="I1200" s="1750" t="s">
        <v>7221</v>
      </c>
      <c r="J1200" s="1785" t="s">
        <v>470</v>
      </c>
      <c r="K1200" s="1786" t="s">
        <v>642</v>
      </c>
      <c r="L1200" s="1787">
        <v>242.57999999999998</v>
      </c>
      <c r="M1200" s="1787">
        <v>20</v>
      </c>
      <c r="N1200" s="1754">
        <v>4851.6000000000004</v>
      </c>
      <c r="O1200" s="1788"/>
      <c r="P1200" s="1721" t="s">
        <v>9611</v>
      </c>
    </row>
    <row r="1201" spans="1:16" ht="13.5" hidden="1" customHeight="1" outlineLevel="3" x14ac:dyDescent="0.2">
      <c r="A1201" s="459">
        <v>0</v>
      </c>
      <c r="B1201" s="459">
        <v>13</v>
      </c>
      <c r="C1201" s="459">
        <v>1</v>
      </c>
      <c r="D1201" s="460">
        <v>7</v>
      </c>
      <c r="E1201" s="460">
        <v>2</v>
      </c>
      <c r="G1201" s="1798" t="s">
        <v>24</v>
      </c>
      <c r="H1201" s="1783" t="s">
        <v>1239</v>
      </c>
      <c r="I1201" s="1750" t="s">
        <v>7222</v>
      </c>
      <c r="J1201" s="1785" t="s">
        <v>471</v>
      </c>
      <c r="K1201" s="1786" t="s">
        <v>642</v>
      </c>
      <c r="L1201" s="1787">
        <v>6.86</v>
      </c>
      <c r="M1201" s="1787">
        <v>35</v>
      </c>
      <c r="N1201" s="1754">
        <v>240.1</v>
      </c>
      <c r="O1201" s="1788"/>
      <c r="P1201" s="1721" t="s">
        <v>9611</v>
      </c>
    </row>
    <row r="1202" spans="1:16" ht="13.5" hidden="1" customHeight="1" outlineLevel="3" x14ac:dyDescent="0.2">
      <c r="A1202" s="459">
        <v>0</v>
      </c>
      <c r="B1202" s="459">
        <v>13</v>
      </c>
      <c r="C1202" s="459">
        <v>1</v>
      </c>
      <c r="D1202" s="460">
        <v>7</v>
      </c>
      <c r="E1202" s="460">
        <v>3</v>
      </c>
      <c r="G1202" s="1798" t="s">
        <v>24</v>
      </c>
      <c r="H1202" s="1783" t="s">
        <v>1239</v>
      </c>
      <c r="I1202" s="1750" t="s">
        <v>7223</v>
      </c>
      <c r="J1202" s="1785" t="s">
        <v>476</v>
      </c>
      <c r="K1202" s="1786" t="s">
        <v>642</v>
      </c>
      <c r="L1202" s="1787">
        <v>698.84999999999991</v>
      </c>
      <c r="M1202" s="1787">
        <v>28</v>
      </c>
      <c r="N1202" s="1754">
        <v>19567.8</v>
      </c>
      <c r="O1202" s="1788"/>
      <c r="P1202" s="1721" t="s">
        <v>9611</v>
      </c>
    </row>
    <row r="1203" spans="1:16" ht="13.5" hidden="1" customHeight="1" outlineLevel="3" x14ac:dyDescent="0.2">
      <c r="A1203" s="459">
        <v>0</v>
      </c>
      <c r="B1203" s="459">
        <v>13</v>
      </c>
      <c r="C1203" s="459">
        <v>1</v>
      </c>
      <c r="D1203" s="460">
        <v>7</v>
      </c>
      <c r="E1203" s="460">
        <v>4</v>
      </c>
      <c r="G1203" s="1798" t="s">
        <v>24</v>
      </c>
      <c r="H1203" s="1783" t="s">
        <v>1239</v>
      </c>
      <c r="I1203" s="1750" t="s">
        <v>7224</v>
      </c>
      <c r="J1203" s="1785" t="s">
        <v>4194</v>
      </c>
      <c r="K1203" s="1786" t="s">
        <v>642</v>
      </c>
      <c r="L1203" s="1787">
        <v>97.67</v>
      </c>
      <c r="M1203" s="1787">
        <v>30</v>
      </c>
      <c r="N1203" s="1754">
        <v>2930.1</v>
      </c>
      <c r="O1203" s="1788"/>
      <c r="P1203" s="1721" t="s">
        <v>9611</v>
      </c>
    </row>
    <row r="1204" spans="1:16" ht="13.5" hidden="1" customHeight="1" outlineLevel="3" x14ac:dyDescent="0.2">
      <c r="A1204" s="459">
        <v>0</v>
      </c>
      <c r="B1204" s="459">
        <v>13</v>
      </c>
      <c r="C1204" s="459">
        <v>1</v>
      </c>
      <c r="D1204" s="460">
        <v>7</v>
      </c>
      <c r="E1204" s="460">
        <v>5</v>
      </c>
      <c r="G1204" s="1798" t="s">
        <v>24</v>
      </c>
      <c r="H1204" s="1783" t="s">
        <v>1239</v>
      </c>
      <c r="I1204" s="1750" t="s">
        <v>7225</v>
      </c>
      <c r="J1204" s="1785" t="s">
        <v>4195</v>
      </c>
      <c r="K1204" s="1786" t="s">
        <v>642</v>
      </c>
      <c r="L1204" s="1787">
        <v>66.329999999999984</v>
      </c>
      <c r="M1204" s="1787">
        <v>32</v>
      </c>
      <c r="N1204" s="1754">
        <v>2122.56</v>
      </c>
      <c r="O1204" s="1788" t="s">
        <v>4197</v>
      </c>
      <c r="P1204" s="1721" t="s">
        <v>9611</v>
      </c>
    </row>
    <row r="1205" spans="1:16" ht="13.5" hidden="1" customHeight="1" outlineLevel="3" x14ac:dyDescent="0.2">
      <c r="A1205" s="459">
        <v>0</v>
      </c>
      <c r="B1205" s="459">
        <v>13</v>
      </c>
      <c r="C1205" s="459">
        <v>1</v>
      </c>
      <c r="D1205" s="460">
        <v>7</v>
      </c>
      <c r="E1205" s="460">
        <v>6</v>
      </c>
      <c r="G1205" s="1798" t="s">
        <v>24</v>
      </c>
      <c r="H1205" s="1783" t="s">
        <v>1239</v>
      </c>
      <c r="I1205" s="1750" t="s">
        <v>7226</v>
      </c>
      <c r="J1205" s="1785" t="s">
        <v>4196</v>
      </c>
      <c r="K1205" s="1786" t="s">
        <v>642</v>
      </c>
      <c r="L1205" s="1787">
        <v>36.76</v>
      </c>
      <c r="M1205" s="1787">
        <v>45</v>
      </c>
      <c r="N1205" s="1754">
        <v>1654.2</v>
      </c>
      <c r="O1205" s="1788" t="s">
        <v>4203</v>
      </c>
      <c r="P1205" s="1721" t="s">
        <v>9611</v>
      </c>
    </row>
    <row r="1206" spans="1:16" ht="13.5" hidden="1" customHeight="1" outlineLevel="3" x14ac:dyDescent="0.2">
      <c r="A1206" s="459">
        <v>0</v>
      </c>
      <c r="B1206" s="459">
        <v>13</v>
      </c>
      <c r="C1206" s="459">
        <v>1</v>
      </c>
      <c r="D1206" s="460">
        <v>7</v>
      </c>
      <c r="E1206" s="460">
        <v>7</v>
      </c>
      <c r="G1206" s="1798" t="s">
        <v>24</v>
      </c>
      <c r="H1206" s="1783" t="s">
        <v>1239</v>
      </c>
      <c r="I1206" s="1750" t="s">
        <v>7227</v>
      </c>
      <c r="J1206" s="1751" t="s">
        <v>478</v>
      </c>
      <c r="K1206" s="1786" t="s">
        <v>534</v>
      </c>
      <c r="L1206" s="1787">
        <v>8</v>
      </c>
      <c r="M1206" s="1787">
        <v>50</v>
      </c>
      <c r="N1206" s="1754">
        <v>400</v>
      </c>
      <c r="O1206" s="1788"/>
      <c r="P1206" s="1721" t="s">
        <v>9611</v>
      </c>
    </row>
    <row r="1207" spans="1:16" ht="13.5" hidden="1" customHeight="1" outlineLevel="1" x14ac:dyDescent="0.2">
      <c r="A1207" s="459">
        <v>0</v>
      </c>
      <c r="B1207" s="459">
        <v>13</v>
      </c>
      <c r="C1207" s="459">
        <v>2</v>
      </c>
      <c r="D1207" s="460">
        <v>0</v>
      </c>
      <c r="E1207" s="460">
        <v>7</v>
      </c>
      <c r="G1207" s="1796"/>
      <c r="H1207" s="1771" t="s">
        <v>39</v>
      </c>
      <c r="I1207" s="1735" t="s">
        <v>7228</v>
      </c>
      <c r="J1207" s="1773" t="s">
        <v>2828</v>
      </c>
      <c r="K1207" s="1774"/>
      <c r="L1207" s="1775"/>
      <c r="M1207" s="1775"/>
      <c r="N1207" s="1739">
        <v>840.60852466666699</v>
      </c>
      <c r="O1207" s="1776">
        <v>5.01865723125689E-2</v>
      </c>
      <c r="P1207" s="1719"/>
    </row>
    <row r="1208" spans="1:16" ht="13.5" hidden="1" customHeight="1" outlineLevel="2" x14ac:dyDescent="0.2">
      <c r="A1208" s="459">
        <v>0</v>
      </c>
      <c r="B1208" s="459">
        <v>13</v>
      </c>
      <c r="C1208" s="459">
        <v>2</v>
      </c>
      <c r="D1208" s="460">
        <v>1</v>
      </c>
      <c r="E1208" s="460">
        <v>0</v>
      </c>
      <c r="G1208" s="1797"/>
      <c r="H1208" s="1777" t="s">
        <v>1238</v>
      </c>
      <c r="I1208" s="1742" t="s">
        <v>7229</v>
      </c>
      <c r="J1208" s="1779" t="s">
        <v>2786</v>
      </c>
      <c r="K1208" s="1780"/>
      <c r="L1208" s="1781"/>
      <c r="M1208" s="1781"/>
      <c r="N1208" s="1746">
        <v>424.368494666667</v>
      </c>
      <c r="O1208" s="1782"/>
      <c r="P1208" s="1720"/>
    </row>
    <row r="1209" spans="1:16" ht="13.5" hidden="1" customHeight="1" outlineLevel="3" x14ac:dyDescent="0.2">
      <c r="A1209" s="459">
        <v>0</v>
      </c>
      <c r="B1209" s="459">
        <v>13</v>
      </c>
      <c r="C1209" s="459">
        <v>2</v>
      </c>
      <c r="D1209" s="460">
        <v>1</v>
      </c>
      <c r="E1209" s="460">
        <v>1</v>
      </c>
      <c r="G1209" s="1798" t="s">
        <v>24</v>
      </c>
      <c r="H1209" s="1783" t="s">
        <v>1239</v>
      </c>
      <c r="I1209" s="1750" t="s">
        <v>7230</v>
      </c>
      <c r="J1209" s="1785" t="s">
        <v>4169</v>
      </c>
      <c r="K1209" s="1786" t="s">
        <v>642</v>
      </c>
      <c r="L1209" s="1787">
        <v>12.46</v>
      </c>
      <c r="M1209" s="1787">
        <v>34.058466666666661</v>
      </c>
      <c r="N1209" s="1754">
        <v>424.368494666667</v>
      </c>
      <c r="O1209" s="1788"/>
      <c r="P1209" s="1721" t="s">
        <v>9611</v>
      </c>
    </row>
    <row r="1210" spans="1:16" ht="13.5" hidden="1" customHeight="1" outlineLevel="2" x14ac:dyDescent="0.2">
      <c r="A1210" s="459">
        <v>0</v>
      </c>
      <c r="B1210" s="459">
        <v>13</v>
      </c>
      <c r="C1210" s="459">
        <v>2</v>
      </c>
      <c r="D1210" s="460">
        <v>2</v>
      </c>
      <c r="E1210" s="460">
        <v>0</v>
      </c>
      <c r="G1210" s="1797"/>
      <c r="H1210" s="1777" t="s">
        <v>1238</v>
      </c>
      <c r="I1210" s="1742" t="s">
        <v>7231</v>
      </c>
      <c r="J1210" s="1779" t="s">
        <v>2787</v>
      </c>
      <c r="K1210" s="1780"/>
      <c r="L1210" s="1781"/>
      <c r="M1210" s="1781"/>
      <c r="N1210" s="1746">
        <v>17.520029999999998</v>
      </c>
      <c r="O1210" s="1782"/>
      <c r="P1210" s="1720"/>
    </row>
    <row r="1211" spans="1:16" ht="13.5" hidden="1" customHeight="1" outlineLevel="3" x14ac:dyDescent="0.2">
      <c r="A1211" s="459">
        <v>0</v>
      </c>
      <c r="B1211" s="459">
        <v>13</v>
      </c>
      <c r="C1211" s="459">
        <v>2</v>
      </c>
      <c r="D1211" s="460">
        <v>2</v>
      </c>
      <c r="E1211" s="460">
        <v>1</v>
      </c>
      <c r="G1211" s="1798" t="s">
        <v>24</v>
      </c>
      <c r="H1211" s="1783" t="s">
        <v>1239</v>
      </c>
      <c r="I1211" s="1750" t="s">
        <v>7232</v>
      </c>
      <c r="J1211" s="1785" t="s">
        <v>1683</v>
      </c>
      <c r="K1211" s="1786" t="s">
        <v>534</v>
      </c>
      <c r="L1211" s="1787">
        <v>2</v>
      </c>
      <c r="M1211" s="1787">
        <v>8.760015000000001</v>
      </c>
      <c r="N1211" s="1754">
        <v>17.520029999999998</v>
      </c>
      <c r="O1211" s="1788" t="s">
        <v>4207</v>
      </c>
      <c r="P1211" s="1721" t="s">
        <v>9611</v>
      </c>
    </row>
    <row r="1212" spans="1:16" ht="13.5" hidden="1" customHeight="1" outlineLevel="2" x14ac:dyDescent="0.2">
      <c r="A1212" s="459">
        <v>0</v>
      </c>
      <c r="B1212" s="459">
        <v>13</v>
      </c>
      <c r="C1212" s="459">
        <v>2</v>
      </c>
      <c r="D1212" s="460">
        <v>3</v>
      </c>
      <c r="E1212" s="460">
        <v>0</v>
      </c>
      <c r="G1212" s="1797"/>
      <c r="H1212" s="1777" t="s">
        <v>1238</v>
      </c>
      <c r="I1212" s="1742" t="s">
        <v>7233</v>
      </c>
      <c r="J1212" s="1779" t="s">
        <v>1249</v>
      </c>
      <c r="K1212" s="1780"/>
      <c r="L1212" s="1781"/>
      <c r="M1212" s="1781"/>
      <c r="N1212" s="1746">
        <v>398.72</v>
      </c>
      <c r="O1212" s="1782"/>
      <c r="P1212" s="1720"/>
    </row>
    <row r="1213" spans="1:16" ht="13.5" hidden="1" customHeight="1" outlineLevel="3" x14ac:dyDescent="0.2">
      <c r="A1213" s="459">
        <v>0</v>
      </c>
      <c r="B1213" s="459">
        <v>13</v>
      </c>
      <c r="C1213" s="459">
        <v>2</v>
      </c>
      <c r="D1213" s="460">
        <v>3</v>
      </c>
      <c r="E1213" s="460">
        <v>1</v>
      </c>
      <c r="G1213" s="1798" t="s">
        <v>24</v>
      </c>
      <c r="H1213" s="1783" t="s">
        <v>1239</v>
      </c>
      <c r="I1213" s="1750" t="s">
        <v>7234</v>
      </c>
      <c r="J1213" s="1785" t="s">
        <v>4195</v>
      </c>
      <c r="K1213" s="1786" t="s">
        <v>642</v>
      </c>
      <c r="L1213" s="1787">
        <v>12.46</v>
      </c>
      <c r="M1213" s="1787">
        <v>32</v>
      </c>
      <c r="N1213" s="1754">
        <v>398.72</v>
      </c>
      <c r="O1213" s="1788"/>
      <c r="P1213" s="1721" t="s">
        <v>9611</v>
      </c>
    </row>
    <row r="1214" spans="1:16" ht="13.5" hidden="1" customHeight="1" outlineLevel="1" x14ac:dyDescent="0.2">
      <c r="A1214" s="459">
        <v>0</v>
      </c>
      <c r="B1214" s="459">
        <v>13</v>
      </c>
      <c r="C1214" s="459">
        <v>3</v>
      </c>
      <c r="D1214" s="460">
        <v>0</v>
      </c>
      <c r="E1214" s="460">
        <v>1</v>
      </c>
      <c r="G1214" s="1796"/>
      <c r="H1214" s="1771" t="s">
        <v>39</v>
      </c>
      <c r="I1214" s="1735" t="s">
        <v>7235</v>
      </c>
      <c r="J1214" s="1773" t="s">
        <v>2829</v>
      </c>
      <c r="K1214" s="1774"/>
      <c r="L1214" s="1775"/>
      <c r="M1214" s="1775"/>
      <c r="N1214" s="1739">
        <v>2061.3689886666698</v>
      </c>
      <c r="O1214" s="1776">
        <v>0.12306922994104801</v>
      </c>
      <c r="P1214" s="1719"/>
    </row>
    <row r="1215" spans="1:16" ht="13.5" hidden="1" customHeight="1" outlineLevel="2" x14ac:dyDescent="0.2">
      <c r="A1215" s="459">
        <v>0</v>
      </c>
      <c r="B1215" s="459">
        <v>13</v>
      </c>
      <c r="C1215" s="459">
        <v>3</v>
      </c>
      <c r="D1215" s="460">
        <v>1</v>
      </c>
      <c r="E1215" s="460">
        <v>0</v>
      </c>
      <c r="G1215" s="1797"/>
      <c r="H1215" s="1777" t="s">
        <v>1238</v>
      </c>
      <c r="I1215" s="1742" t="s">
        <v>7236</v>
      </c>
      <c r="J1215" s="1779" t="s">
        <v>2786</v>
      </c>
      <c r="K1215" s="1780"/>
      <c r="L1215" s="1781"/>
      <c r="M1215" s="1781"/>
      <c r="N1215" s="1746">
        <v>1053.76895866667</v>
      </c>
      <c r="O1215" s="1782"/>
      <c r="P1215" s="1720"/>
    </row>
    <row r="1216" spans="1:16" ht="13.5" hidden="1" customHeight="1" outlineLevel="3" x14ac:dyDescent="0.2">
      <c r="A1216" s="459">
        <v>0</v>
      </c>
      <c r="B1216" s="459">
        <v>13</v>
      </c>
      <c r="C1216" s="459">
        <v>3</v>
      </c>
      <c r="D1216" s="460">
        <v>1</v>
      </c>
      <c r="E1216" s="460">
        <v>1</v>
      </c>
      <c r="G1216" s="1798" t="s">
        <v>24</v>
      </c>
      <c r="H1216" s="1783" t="s">
        <v>1239</v>
      </c>
      <c r="I1216" s="1750" t="s">
        <v>7237</v>
      </c>
      <c r="J1216" s="1785" t="s">
        <v>4169</v>
      </c>
      <c r="K1216" s="1786" t="s">
        <v>642</v>
      </c>
      <c r="L1216" s="1787">
        <v>30.94</v>
      </c>
      <c r="M1216" s="1787">
        <v>34.058466666666661</v>
      </c>
      <c r="N1216" s="1754">
        <v>1053.76895866667</v>
      </c>
      <c r="O1216" s="1788"/>
      <c r="P1216" s="1721" t="s">
        <v>9611</v>
      </c>
    </row>
    <row r="1217" spans="1:16" ht="13.5" hidden="1" customHeight="1" outlineLevel="2" x14ac:dyDescent="0.2">
      <c r="A1217" s="459">
        <v>0</v>
      </c>
      <c r="B1217" s="459">
        <v>13</v>
      </c>
      <c r="C1217" s="459">
        <v>3</v>
      </c>
      <c r="D1217" s="460">
        <v>2</v>
      </c>
      <c r="E1217" s="460">
        <v>0</v>
      </c>
      <c r="G1217" s="1797"/>
      <c r="H1217" s="1777" t="s">
        <v>1238</v>
      </c>
      <c r="I1217" s="1742" t="s">
        <v>7238</v>
      </c>
      <c r="J1217" s="1779" t="s">
        <v>2787</v>
      </c>
      <c r="K1217" s="1780"/>
      <c r="L1217" s="1781"/>
      <c r="M1217" s="1781"/>
      <c r="N1217" s="1746">
        <v>17.520029999999998</v>
      </c>
      <c r="O1217" s="1782"/>
      <c r="P1217" s="1720"/>
    </row>
    <row r="1218" spans="1:16" ht="13.5" hidden="1" customHeight="1" outlineLevel="3" x14ac:dyDescent="0.2">
      <c r="A1218" s="459">
        <v>0</v>
      </c>
      <c r="B1218" s="459">
        <v>13</v>
      </c>
      <c r="C1218" s="459">
        <v>3</v>
      </c>
      <c r="D1218" s="460">
        <v>2</v>
      </c>
      <c r="E1218" s="460">
        <v>1</v>
      </c>
      <c r="G1218" s="1798" t="s">
        <v>24</v>
      </c>
      <c r="H1218" s="1783" t="s">
        <v>1239</v>
      </c>
      <c r="I1218" s="1750" t="s">
        <v>7239</v>
      </c>
      <c r="J1218" s="1785" t="s">
        <v>1683</v>
      </c>
      <c r="K1218" s="1786" t="s">
        <v>534</v>
      </c>
      <c r="L1218" s="1787">
        <v>2</v>
      </c>
      <c r="M1218" s="1787">
        <v>8.760015000000001</v>
      </c>
      <c r="N1218" s="1754">
        <v>17.520029999999998</v>
      </c>
      <c r="O1218" s="1788" t="s">
        <v>4207</v>
      </c>
      <c r="P1218" s="1721" t="s">
        <v>9611</v>
      </c>
    </row>
    <row r="1219" spans="1:16" ht="13.5" hidden="1" customHeight="1" outlineLevel="2" x14ac:dyDescent="0.2">
      <c r="A1219" s="459">
        <v>0</v>
      </c>
      <c r="B1219" s="459">
        <v>13</v>
      </c>
      <c r="C1219" s="459">
        <v>3</v>
      </c>
      <c r="D1219" s="460">
        <v>3</v>
      </c>
      <c r="E1219" s="460">
        <v>0</v>
      </c>
      <c r="G1219" s="1797"/>
      <c r="H1219" s="1777" t="s">
        <v>1238</v>
      </c>
      <c r="I1219" s="1742" t="s">
        <v>7240</v>
      </c>
      <c r="J1219" s="1779" t="s">
        <v>1249</v>
      </c>
      <c r="K1219" s="1780"/>
      <c r="L1219" s="1781"/>
      <c r="M1219" s="1781"/>
      <c r="N1219" s="1746">
        <v>990.08</v>
      </c>
      <c r="O1219" s="1782"/>
      <c r="P1219" s="1720"/>
    </row>
    <row r="1220" spans="1:16" ht="13.5" hidden="1" customHeight="1" outlineLevel="3" x14ac:dyDescent="0.2">
      <c r="A1220" s="459">
        <v>0</v>
      </c>
      <c r="B1220" s="459">
        <v>13</v>
      </c>
      <c r="C1220" s="459">
        <v>3</v>
      </c>
      <c r="D1220" s="460">
        <v>3</v>
      </c>
      <c r="E1220" s="460">
        <v>1</v>
      </c>
      <c r="G1220" s="1798" t="s">
        <v>24</v>
      </c>
      <c r="H1220" s="1783" t="s">
        <v>1239</v>
      </c>
      <c r="I1220" s="1750" t="s">
        <v>7241</v>
      </c>
      <c r="J1220" s="1785" t="s">
        <v>4195</v>
      </c>
      <c r="K1220" s="1786" t="s">
        <v>642</v>
      </c>
      <c r="L1220" s="1787">
        <v>30.94</v>
      </c>
      <c r="M1220" s="1787">
        <v>32</v>
      </c>
      <c r="N1220" s="1754">
        <v>990.08</v>
      </c>
      <c r="O1220" s="1788"/>
      <c r="P1220" s="1721" t="s">
        <v>9611</v>
      </c>
    </row>
    <row r="1221" spans="1:16" ht="13.5" hidden="1" customHeight="1" outlineLevel="1" x14ac:dyDescent="0.2">
      <c r="A1221" s="459">
        <v>0</v>
      </c>
      <c r="B1221" s="459">
        <v>13</v>
      </c>
      <c r="C1221" s="459">
        <v>4</v>
      </c>
      <c r="D1221" s="460">
        <v>0</v>
      </c>
      <c r="E1221" s="460">
        <v>1</v>
      </c>
      <c r="G1221" s="1796"/>
      <c r="H1221" s="1771" t="s">
        <v>39</v>
      </c>
      <c r="I1221" s="1735" t="s">
        <v>7242</v>
      </c>
      <c r="J1221" s="1773" t="s">
        <v>2830</v>
      </c>
      <c r="K1221" s="1774"/>
      <c r="L1221" s="1775"/>
      <c r="M1221" s="1775"/>
      <c r="N1221" s="1739">
        <v>1688.7992366666699</v>
      </c>
      <c r="O1221" s="1776">
        <v>0.10082582144404401</v>
      </c>
      <c r="P1221" s="1719"/>
    </row>
    <row r="1222" spans="1:16" ht="13.5" hidden="1" customHeight="1" outlineLevel="2" x14ac:dyDescent="0.2">
      <c r="A1222" s="459">
        <v>0</v>
      </c>
      <c r="B1222" s="459">
        <v>13</v>
      </c>
      <c r="C1222" s="459">
        <v>4</v>
      </c>
      <c r="D1222" s="460">
        <v>1</v>
      </c>
      <c r="E1222" s="460">
        <v>0</v>
      </c>
      <c r="G1222" s="1797"/>
      <c r="H1222" s="1777" t="s">
        <v>1238</v>
      </c>
      <c r="I1222" s="1742" t="s">
        <v>7243</v>
      </c>
      <c r="J1222" s="1779" t="s">
        <v>2786</v>
      </c>
      <c r="K1222" s="1780"/>
      <c r="L1222" s="1781"/>
      <c r="M1222" s="1781"/>
      <c r="N1222" s="1746">
        <v>861.67920666666703</v>
      </c>
      <c r="O1222" s="1782"/>
      <c r="P1222" s="1720"/>
    </row>
    <row r="1223" spans="1:16" ht="13.5" hidden="1" customHeight="1" outlineLevel="3" x14ac:dyDescent="0.2">
      <c r="A1223" s="459">
        <v>0</v>
      </c>
      <c r="B1223" s="459">
        <v>13</v>
      </c>
      <c r="C1223" s="459">
        <v>4</v>
      </c>
      <c r="D1223" s="460">
        <v>1</v>
      </c>
      <c r="E1223" s="460">
        <v>1</v>
      </c>
      <c r="G1223" s="1798" t="s">
        <v>24</v>
      </c>
      <c r="H1223" s="1783" t="s">
        <v>1239</v>
      </c>
      <c r="I1223" s="1750" t="s">
        <v>7244</v>
      </c>
      <c r="J1223" s="1785" t="s">
        <v>4169</v>
      </c>
      <c r="K1223" s="1786" t="s">
        <v>642</v>
      </c>
      <c r="L1223" s="1787">
        <v>25.3</v>
      </c>
      <c r="M1223" s="1787">
        <v>34.058466666666661</v>
      </c>
      <c r="N1223" s="1754">
        <v>861.67920666666703</v>
      </c>
      <c r="O1223" s="1788"/>
      <c r="P1223" s="1721" t="s">
        <v>9611</v>
      </c>
    </row>
    <row r="1224" spans="1:16" ht="13.5" hidden="1" customHeight="1" outlineLevel="2" x14ac:dyDescent="0.2">
      <c r="A1224" s="459">
        <v>0</v>
      </c>
      <c r="B1224" s="459">
        <v>13</v>
      </c>
      <c r="C1224" s="459">
        <v>4</v>
      </c>
      <c r="D1224" s="460">
        <v>2</v>
      </c>
      <c r="E1224" s="460">
        <v>0</v>
      </c>
      <c r="G1224" s="1797"/>
      <c r="H1224" s="1777" t="s">
        <v>1238</v>
      </c>
      <c r="I1224" s="1742" t="s">
        <v>7245</v>
      </c>
      <c r="J1224" s="1779" t="s">
        <v>2787</v>
      </c>
      <c r="K1224" s="1780"/>
      <c r="L1224" s="1781"/>
      <c r="M1224" s="1781"/>
      <c r="N1224" s="1746">
        <v>17.520029999999998</v>
      </c>
      <c r="O1224" s="1782"/>
      <c r="P1224" s="1720"/>
    </row>
    <row r="1225" spans="1:16" ht="13.5" hidden="1" customHeight="1" outlineLevel="3" x14ac:dyDescent="0.2">
      <c r="A1225" s="459">
        <v>0</v>
      </c>
      <c r="B1225" s="459">
        <v>13</v>
      </c>
      <c r="C1225" s="459">
        <v>4</v>
      </c>
      <c r="D1225" s="460">
        <v>2</v>
      </c>
      <c r="E1225" s="460">
        <v>1</v>
      </c>
      <c r="G1225" s="1798" t="s">
        <v>24</v>
      </c>
      <c r="H1225" s="1783" t="s">
        <v>1239</v>
      </c>
      <c r="I1225" s="1750" t="s">
        <v>7246</v>
      </c>
      <c r="J1225" s="1785" t="s">
        <v>1683</v>
      </c>
      <c r="K1225" s="1786" t="s">
        <v>534</v>
      </c>
      <c r="L1225" s="1787">
        <v>2</v>
      </c>
      <c r="M1225" s="1787">
        <v>8.760015000000001</v>
      </c>
      <c r="N1225" s="1754">
        <v>17.520029999999998</v>
      </c>
      <c r="O1225" s="1788" t="s">
        <v>4207</v>
      </c>
      <c r="P1225" s="1721" t="s">
        <v>9611</v>
      </c>
    </row>
    <row r="1226" spans="1:16" ht="13.5" hidden="1" customHeight="1" outlineLevel="2" x14ac:dyDescent="0.2">
      <c r="A1226" s="459">
        <v>0</v>
      </c>
      <c r="B1226" s="459">
        <v>13</v>
      </c>
      <c r="C1226" s="459">
        <v>4</v>
      </c>
      <c r="D1226" s="460">
        <v>3</v>
      </c>
      <c r="E1226" s="460">
        <v>0</v>
      </c>
      <c r="G1226" s="1797"/>
      <c r="H1226" s="1777" t="s">
        <v>1238</v>
      </c>
      <c r="I1226" s="1742" t="s">
        <v>7247</v>
      </c>
      <c r="J1226" s="1779" t="s">
        <v>1249</v>
      </c>
      <c r="K1226" s="1780"/>
      <c r="L1226" s="1781"/>
      <c r="M1226" s="1781"/>
      <c r="N1226" s="1746">
        <v>809.6</v>
      </c>
      <c r="O1226" s="1782"/>
      <c r="P1226" s="1720"/>
    </row>
    <row r="1227" spans="1:16" ht="13.5" hidden="1" customHeight="1" outlineLevel="3" x14ac:dyDescent="0.2">
      <c r="A1227" s="459">
        <v>0</v>
      </c>
      <c r="B1227" s="459">
        <v>13</v>
      </c>
      <c r="C1227" s="459">
        <v>4</v>
      </c>
      <c r="D1227" s="460">
        <v>3</v>
      </c>
      <c r="E1227" s="460">
        <v>1</v>
      </c>
      <c r="G1227" s="1798" t="s">
        <v>24</v>
      </c>
      <c r="H1227" s="1783" t="s">
        <v>1239</v>
      </c>
      <c r="I1227" s="1750" t="s">
        <v>7248</v>
      </c>
      <c r="J1227" s="1785" t="s">
        <v>4195</v>
      </c>
      <c r="K1227" s="1786" t="s">
        <v>642</v>
      </c>
      <c r="L1227" s="1787">
        <v>25.3</v>
      </c>
      <c r="M1227" s="1787">
        <v>32</v>
      </c>
      <c r="N1227" s="1754">
        <v>809.6</v>
      </c>
      <c r="O1227" s="1788"/>
      <c r="P1227" s="1721" t="s">
        <v>9611</v>
      </c>
    </row>
    <row r="1228" spans="1:16" ht="13.5" hidden="1" customHeight="1" outlineLevel="1" x14ac:dyDescent="0.2">
      <c r="A1228" s="459">
        <v>0</v>
      </c>
      <c r="B1228" s="459">
        <v>13</v>
      </c>
      <c r="C1228" s="459">
        <v>5</v>
      </c>
      <c r="D1228" s="460">
        <v>0</v>
      </c>
      <c r="E1228" s="460">
        <v>1</v>
      </c>
      <c r="G1228" s="1796"/>
      <c r="H1228" s="1771" t="s">
        <v>39</v>
      </c>
      <c r="I1228" s="1735" t="s">
        <v>7249</v>
      </c>
      <c r="J1228" s="1773" t="s">
        <v>2831</v>
      </c>
      <c r="K1228" s="1774"/>
      <c r="L1228" s="1775"/>
      <c r="M1228" s="1775"/>
      <c r="N1228" s="1739">
        <v>5211.5835686666696</v>
      </c>
      <c r="O1228" s="1776">
        <v>0.31114544756205098</v>
      </c>
      <c r="P1228" s="1719"/>
    </row>
    <row r="1229" spans="1:16" ht="13.5" hidden="1" customHeight="1" outlineLevel="2" x14ac:dyDescent="0.2">
      <c r="A1229" s="459">
        <v>0</v>
      </c>
      <c r="B1229" s="459">
        <v>13</v>
      </c>
      <c r="C1229" s="459">
        <v>5</v>
      </c>
      <c r="D1229" s="460">
        <v>1</v>
      </c>
      <c r="E1229" s="460">
        <v>0</v>
      </c>
      <c r="G1229" s="1797"/>
      <c r="H1229" s="1777" t="s">
        <v>1238</v>
      </c>
      <c r="I1229" s="1742" t="s">
        <v>7250</v>
      </c>
      <c r="J1229" s="1779" t="s">
        <v>25</v>
      </c>
      <c r="K1229" s="1780"/>
      <c r="L1229" s="1781"/>
      <c r="M1229" s="1781"/>
      <c r="N1229" s="1746">
        <v>281.55775599999998</v>
      </c>
      <c r="O1229" s="1782">
        <v>1.6809749445809999E-2</v>
      </c>
      <c r="P1229" s="1720"/>
    </row>
    <row r="1230" spans="1:16" ht="13.5" hidden="1" customHeight="1" outlineLevel="3" x14ac:dyDescent="0.2">
      <c r="A1230" s="459">
        <v>0</v>
      </c>
      <c r="B1230" s="459">
        <v>13</v>
      </c>
      <c r="C1230" s="459">
        <v>5</v>
      </c>
      <c r="D1230" s="460">
        <v>1</v>
      </c>
      <c r="E1230" s="460">
        <v>1</v>
      </c>
      <c r="G1230" s="1798" t="s">
        <v>24</v>
      </c>
      <c r="H1230" s="1783" t="s">
        <v>1239</v>
      </c>
      <c r="I1230" s="1750" t="s">
        <v>7251</v>
      </c>
      <c r="J1230" s="1785" t="s">
        <v>442</v>
      </c>
      <c r="K1230" s="1786" t="s">
        <v>642</v>
      </c>
      <c r="L1230" s="1787">
        <v>4.99</v>
      </c>
      <c r="M1230" s="1787">
        <v>7.0658999999999992</v>
      </c>
      <c r="N1230" s="1754">
        <v>35.258840999999997</v>
      </c>
      <c r="O1230" s="1788" t="s">
        <v>4191</v>
      </c>
      <c r="P1230" s="1721" t="s">
        <v>9611</v>
      </c>
    </row>
    <row r="1231" spans="1:16" ht="13.5" hidden="1" customHeight="1" outlineLevel="3" x14ac:dyDescent="0.2">
      <c r="A1231" s="459">
        <v>0</v>
      </c>
      <c r="B1231" s="459">
        <v>13</v>
      </c>
      <c r="C1231" s="459">
        <v>5</v>
      </c>
      <c r="D1231" s="460">
        <v>1</v>
      </c>
      <c r="E1231" s="460">
        <v>2</v>
      </c>
      <c r="G1231" s="1798" t="s">
        <v>24</v>
      </c>
      <c r="H1231" s="1783" t="s">
        <v>1239</v>
      </c>
      <c r="I1231" s="1750" t="s">
        <v>7252</v>
      </c>
      <c r="J1231" s="1785" t="s">
        <v>444</v>
      </c>
      <c r="K1231" s="1786" t="s">
        <v>642</v>
      </c>
      <c r="L1231" s="1787">
        <v>4.99</v>
      </c>
      <c r="M1231" s="1787">
        <v>49.358499999999999</v>
      </c>
      <c r="N1231" s="1754">
        <v>246.29891499999999</v>
      </c>
      <c r="O1231" s="1788" t="s">
        <v>4192</v>
      </c>
      <c r="P1231" s="1721" t="s">
        <v>9611</v>
      </c>
    </row>
    <row r="1232" spans="1:16" ht="13.5" hidden="1" customHeight="1" outlineLevel="2" x14ac:dyDescent="0.2">
      <c r="A1232" s="459">
        <v>0</v>
      </c>
      <c r="B1232" s="459">
        <v>13</v>
      </c>
      <c r="C1232" s="459">
        <v>5</v>
      </c>
      <c r="D1232" s="460">
        <v>2</v>
      </c>
      <c r="E1232" s="460">
        <v>0</v>
      </c>
      <c r="G1232" s="1797"/>
      <c r="H1232" s="1777" t="s">
        <v>1238</v>
      </c>
      <c r="I1232" s="1742" t="s">
        <v>7253</v>
      </c>
      <c r="J1232" s="1779" t="s">
        <v>2786</v>
      </c>
      <c r="K1232" s="1780"/>
      <c r="L1232" s="1781"/>
      <c r="M1232" s="1781"/>
      <c r="N1232" s="1746">
        <v>861.67920666666703</v>
      </c>
      <c r="O1232" s="1782"/>
      <c r="P1232" s="1720"/>
    </row>
    <row r="1233" spans="1:16" ht="13.5" hidden="1" customHeight="1" outlineLevel="3" x14ac:dyDescent="0.2">
      <c r="A1233" s="459">
        <v>0</v>
      </c>
      <c r="B1233" s="459">
        <v>13</v>
      </c>
      <c r="C1233" s="459">
        <v>5</v>
      </c>
      <c r="D1233" s="460">
        <v>2</v>
      </c>
      <c r="E1233" s="460">
        <v>1</v>
      </c>
      <c r="G1233" s="1798" t="s">
        <v>24</v>
      </c>
      <c r="H1233" s="1783" t="s">
        <v>1239</v>
      </c>
      <c r="I1233" s="1750" t="s">
        <v>7254</v>
      </c>
      <c r="J1233" s="1785" t="s">
        <v>4169</v>
      </c>
      <c r="K1233" s="1786" t="s">
        <v>642</v>
      </c>
      <c r="L1233" s="1787">
        <v>25.3</v>
      </c>
      <c r="M1233" s="1787">
        <v>34.058466666666661</v>
      </c>
      <c r="N1233" s="1754">
        <v>861.67920666666703</v>
      </c>
      <c r="O1233" s="1788"/>
      <c r="P1233" s="1721" t="s">
        <v>9611</v>
      </c>
    </row>
    <row r="1234" spans="1:16" ht="13.5" hidden="1" customHeight="1" outlineLevel="2" x14ac:dyDescent="0.2">
      <c r="A1234" s="459">
        <v>0</v>
      </c>
      <c r="B1234" s="459">
        <v>13</v>
      </c>
      <c r="C1234" s="459">
        <v>5</v>
      </c>
      <c r="D1234" s="460">
        <v>3</v>
      </c>
      <c r="E1234" s="460">
        <v>0</v>
      </c>
      <c r="G1234" s="1797"/>
      <c r="H1234" s="1777" t="s">
        <v>1238</v>
      </c>
      <c r="I1234" s="1742" t="s">
        <v>7255</v>
      </c>
      <c r="J1234" s="1779" t="s">
        <v>2787</v>
      </c>
      <c r="K1234" s="1780"/>
      <c r="L1234" s="1781"/>
      <c r="M1234" s="1781"/>
      <c r="N1234" s="1746">
        <v>17.520029999999998</v>
      </c>
      <c r="O1234" s="1782"/>
      <c r="P1234" s="1720"/>
    </row>
    <row r="1235" spans="1:16" ht="13.5" hidden="1" customHeight="1" outlineLevel="3" x14ac:dyDescent="0.2">
      <c r="A1235" s="459">
        <v>0</v>
      </c>
      <c r="B1235" s="459">
        <v>13</v>
      </c>
      <c r="C1235" s="459">
        <v>5</v>
      </c>
      <c r="D1235" s="460">
        <v>3</v>
      </c>
      <c r="E1235" s="460">
        <v>1</v>
      </c>
      <c r="G1235" s="1798" t="s">
        <v>24</v>
      </c>
      <c r="H1235" s="1783" t="s">
        <v>1239</v>
      </c>
      <c r="I1235" s="1750" t="s">
        <v>7256</v>
      </c>
      <c r="J1235" s="1785" t="s">
        <v>1683</v>
      </c>
      <c r="K1235" s="1786" t="s">
        <v>534</v>
      </c>
      <c r="L1235" s="1787">
        <v>2</v>
      </c>
      <c r="M1235" s="1787">
        <v>8.760015000000001</v>
      </c>
      <c r="N1235" s="1754">
        <v>17.520029999999998</v>
      </c>
      <c r="O1235" s="1788" t="s">
        <v>4207</v>
      </c>
      <c r="P1235" s="1721" t="s">
        <v>9611</v>
      </c>
    </row>
    <row r="1236" spans="1:16" ht="13.5" hidden="1" customHeight="1" outlineLevel="2" x14ac:dyDescent="0.2">
      <c r="A1236" s="459">
        <v>0</v>
      </c>
      <c r="B1236" s="459">
        <v>13</v>
      </c>
      <c r="C1236" s="459">
        <v>5</v>
      </c>
      <c r="D1236" s="460">
        <v>4</v>
      </c>
      <c r="E1236" s="460">
        <v>0</v>
      </c>
      <c r="G1236" s="1797"/>
      <c r="H1236" s="1777" t="s">
        <v>1238</v>
      </c>
      <c r="I1236" s="1742" t="s">
        <v>7257</v>
      </c>
      <c r="J1236" s="1779" t="s">
        <v>4189</v>
      </c>
      <c r="K1236" s="1780"/>
      <c r="L1236" s="1781"/>
      <c r="M1236" s="1781"/>
      <c r="N1236" s="1746">
        <v>1900.5865759999999</v>
      </c>
      <c r="O1236" s="1782"/>
      <c r="P1236" s="1720"/>
    </row>
    <row r="1237" spans="1:16" ht="13.5" hidden="1" customHeight="1" outlineLevel="3" x14ac:dyDescent="0.2">
      <c r="A1237" s="459">
        <v>0</v>
      </c>
      <c r="B1237" s="459">
        <v>13</v>
      </c>
      <c r="C1237" s="459">
        <v>5</v>
      </c>
      <c r="D1237" s="460">
        <v>4</v>
      </c>
      <c r="E1237" s="460">
        <v>1</v>
      </c>
      <c r="G1237" s="1798" t="s">
        <v>24</v>
      </c>
      <c r="H1237" s="1783" t="s">
        <v>1239</v>
      </c>
      <c r="I1237" s="1750" t="s">
        <v>7258</v>
      </c>
      <c r="J1237" s="1785" t="s">
        <v>4171</v>
      </c>
      <c r="K1237" s="1786" t="s">
        <v>642</v>
      </c>
      <c r="L1237" s="1787">
        <v>4.99</v>
      </c>
      <c r="M1237" s="1787">
        <v>74.891800000000003</v>
      </c>
      <c r="N1237" s="1754">
        <v>373.710082</v>
      </c>
      <c r="O1237" s="1788" t="s">
        <v>4184</v>
      </c>
      <c r="P1237" s="1721" t="s">
        <v>9611</v>
      </c>
    </row>
    <row r="1238" spans="1:16" ht="13.5" hidden="1" customHeight="1" outlineLevel="3" x14ac:dyDescent="0.2">
      <c r="A1238" s="459">
        <v>0</v>
      </c>
      <c r="B1238" s="459">
        <v>13</v>
      </c>
      <c r="C1238" s="459">
        <v>5</v>
      </c>
      <c r="D1238" s="460">
        <v>4</v>
      </c>
      <c r="E1238" s="460">
        <v>2</v>
      </c>
      <c r="G1238" s="1798" t="s">
        <v>24</v>
      </c>
      <c r="H1238" s="1783" t="s">
        <v>1239</v>
      </c>
      <c r="I1238" s="1750" t="s">
        <v>7259</v>
      </c>
      <c r="J1238" s="1785" t="s">
        <v>4173</v>
      </c>
      <c r="K1238" s="1786" t="s">
        <v>642</v>
      </c>
      <c r="L1238" s="1787">
        <v>20.83</v>
      </c>
      <c r="M1238" s="1787">
        <v>73.3018</v>
      </c>
      <c r="N1238" s="1754">
        <v>1526.8764940000001</v>
      </c>
      <c r="O1238" s="1788" t="s">
        <v>4184</v>
      </c>
      <c r="P1238" s="1721" t="s">
        <v>9611</v>
      </c>
    </row>
    <row r="1239" spans="1:16" ht="13.5" hidden="1" customHeight="1" outlineLevel="2" x14ac:dyDescent="0.2">
      <c r="A1239" s="459">
        <v>0</v>
      </c>
      <c r="B1239" s="459">
        <v>13</v>
      </c>
      <c r="C1239" s="459">
        <v>5</v>
      </c>
      <c r="D1239" s="460">
        <v>5</v>
      </c>
      <c r="E1239" s="460">
        <v>0</v>
      </c>
      <c r="G1239" s="1797"/>
      <c r="H1239" s="1777" t="s">
        <v>1238</v>
      </c>
      <c r="I1239" s="1742" t="s">
        <v>7260</v>
      </c>
      <c r="J1239" s="1779" t="s">
        <v>1249</v>
      </c>
      <c r="K1239" s="1780"/>
      <c r="L1239" s="1781"/>
      <c r="M1239" s="1781"/>
      <c r="N1239" s="1746">
        <v>2150.2399999999998</v>
      </c>
      <c r="O1239" s="1782"/>
      <c r="P1239" s="1720"/>
    </row>
    <row r="1240" spans="1:16" ht="13.5" hidden="1" customHeight="1" outlineLevel="3" x14ac:dyDescent="0.2">
      <c r="A1240" s="459">
        <v>0</v>
      </c>
      <c r="B1240" s="459">
        <v>13</v>
      </c>
      <c r="C1240" s="459">
        <v>5</v>
      </c>
      <c r="D1240" s="460">
        <v>5</v>
      </c>
      <c r="E1240" s="460">
        <v>1</v>
      </c>
      <c r="G1240" s="1798" t="s">
        <v>24</v>
      </c>
      <c r="H1240" s="1783" t="s">
        <v>1239</v>
      </c>
      <c r="I1240" s="1750" t="s">
        <v>7261</v>
      </c>
      <c r="J1240" s="1785" t="s">
        <v>470</v>
      </c>
      <c r="K1240" s="1786" t="s">
        <v>642</v>
      </c>
      <c r="L1240" s="1787">
        <v>4.99</v>
      </c>
      <c r="M1240" s="1787">
        <v>20</v>
      </c>
      <c r="N1240" s="1754">
        <v>99.8</v>
      </c>
      <c r="O1240" s="1788"/>
      <c r="P1240" s="1721" t="s">
        <v>9611</v>
      </c>
    </row>
    <row r="1241" spans="1:16" ht="13.5" hidden="1" customHeight="1" outlineLevel="3" x14ac:dyDescent="0.2">
      <c r="A1241" s="459">
        <v>0</v>
      </c>
      <c r="B1241" s="459">
        <v>13</v>
      </c>
      <c r="C1241" s="459">
        <v>5</v>
      </c>
      <c r="D1241" s="460">
        <v>5</v>
      </c>
      <c r="E1241" s="460">
        <v>2</v>
      </c>
      <c r="G1241" s="1798" t="s">
        <v>24</v>
      </c>
      <c r="H1241" s="1783" t="s">
        <v>1239</v>
      </c>
      <c r="I1241" s="1750" t="s">
        <v>7262</v>
      </c>
      <c r="J1241" s="1785" t="s">
        <v>471</v>
      </c>
      <c r="K1241" s="1786" t="s">
        <v>642</v>
      </c>
      <c r="L1241" s="1787">
        <v>4.99</v>
      </c>
      <c r="M1241" s="1787">
        <v>35</v>
      </c>
      <c r="N1241" s="1754">
        <v>174.65</v>
      </c>
      <c r="O1241" s="1788"/>
      <c r="P1241" s="1721" t="s">
        <v>9611</v>
      </c>
    </row>
    <row r="1242" spans="1:16" ht="13.5" hidden="1" customHeight="1" outlineLevel="3" x14ac:dyDescent="0.2">
      <c r="A1242" s="459">
        <v>0</v>
      </c>
      <c r="B1242" s="459">
        <v>13</v>
      </c>
      <c r="C1242" s="459">
        <v>5</v>
      </c>
      <c r="D1242" s="460">
        <v>5</v>
      </c>
      <c r="E1242" s="460">
        <v>3</v>
      </c>
      <c r="G1242" s="1798" t="s">
        <v>24</v>
      </c>
      <c r="H1242" s="1783" t="s">
        <v>1239</v>
      </c>
      <c r="I1242" s="1750" t="s">
        <v>7263</v>
      </c>
      <c r="J1242" s="1785" t="s">
        <v>4198</v>
      </c>
      <c r="K1242" s="1786" t="s">
        <v>642</v>
      </c>
      <c r="L1242" s="1787">
        <v>20.83</v>
      </c>
      <c r="M1242" s="1787">
        <v>38</v>
      </c>
      <c r="N1242" s="1754">
        <v>791.54</v>
      </c>
      <c r="O1242" s="1788"/>
      <c r="P1242" s="1721" t="s">
        <v>9611</v>
      </c>
    </row>
    <row r="1243" spans="1:16" ht="13.5" hidden="1" customHeight="1" outlineLevel="3" x14ac:dyDescent="0.2">
      <c r="A1243" s="459">
        <v>0</v>
      </c>
      <c r="B1243" s="459">
        <v>13</v>
      </c>
      <c r="C1243" s="459">
        <v>5</v>
      </c>
      <c r="D1243" s="460">
        <v>5</v>
      </c>
      <c r="E1243" s="460">
        <v>4</v>
      </c>
      <c r="G1243" s="1798" t="s">
        <v>24</v>
      </c>
      <c r="H1243" s="1783" t="s">
        <v>1239</v>
      </c>
      <c r="I1243" s="1750" t="s">
        <v>7264</v>
      </c>
      <c r="J1243" s="1785" t="s">
        <v>4195</v>
      </c>
      <c r="K1243" s="1786" t="s">
        <v>642</v>
      </c>
      <c r="L1243" s="1787">
        <v>25.3</v>
      </c>
      <c r="M1243" s="1787">
        <v>32</v>
      </c>
      <c r="N1243" s="1754">
        <v>809.6</v>
      </c>
      <c r="O1243" s="1788"/>
      <c r="P1243" s="1721" t="s">
        <v>9611</v>
      </c>
    </row>
    <row r="1244" spans="1:16" ht="13.5" hidden="1" customHeight="1" outlineLevel="3" x14ac:dyDescent="0.2">
      <c r="A1244" s="459">
        <v>0</v>
      </c>
      <c r="B1244" s="459">
        <v>13</v>
      </c>
      <c r="C1244" s="459">
        <v>5</v>
      </c>
      <c r="D1244" s="460">
        <v>5</v>
      </c>
      <c r="E1244" s="460">
        <v>5</v>
      </c>
      <c r="G1244" s="1798" t="s">
        <v>24</v>
      </c>
      <c r="H1244" s="1783" t="s">
        <v>1239</v>
      </c>
      <c r="I1244" s="1750" t="s">
        <v>7265</v>
      </c>
      <c r="J1244" s="1785" t="s">
        <v>4201</v>
      </c>
      <c r="K1244" s="1786" t="s">
        <v>642</v>
      </c>
      <c r="L1244" s="1787">
        <v>4.99</v>
      </c>
      <c r="M1244" s="1787">
        <v>35</v>
      </c>
      <c r="N1244" s="1754">
        <v>174.65</v>
      </c>
      <c r="O1244" s="1788"/>
      <c r="P1244" s="1721" t="s">
        <v>9611</v>
      </c>
    </row>
    <row r="1245" spans="1:16" ht="13.5" hidden="1" customHeight="1" outlineLevel="3" x14ac:dyDescent="0.2">
      <c r="A1245" s="459">
        <v>0</v>
      </c>
      <c r="B1245" s="459">
        <v>13</v>
      </c>
      <c r="C1245" s="459">
        <v>5</v>
      </c>
      <c r="D1245" s="460">
        <v>5</v>
      </c>
      <c r="E1245" s="460">
        <v>6</v>
      </c>
      <c r="G1245" s="1798" t="s">
        <v>24</v>
      </c>
      <c r="H1245" s="1783" t="s">
        <v>1239</v>
      </c>
      <c r="I1245" s="1750" t="s">
        <v>7266</v>
      </c>
      <c r="J1245" s="1751" t="s">
        <v>478</v>
      </c>
      <c r="K1245" s="1786" t="s">
        <v>534</v>
      </c>
      <c r="L1245" s="1787">
        <v>2</v>
      </c>
      <c r="M1245" s="1787">
        <v>50</v>
      </c>
      <c r="N1245" s="1754">
        <v>100</v>
      </c>
      <c r="O1245" s="1788"/>
      <c r="P1245" s="1721" t="s">
        <v>9611</v>
      </c>
    </row>
    <row r="1246" spans="1:16" ht="13.5" hidden="1" customHeight="1" outlineLevel="1" x14ac:dyDescent="0.2">
      <c r="A1246" s="459">
        <v>0</v>
      </c>
      <c r="B1246" s="459">
        <v>13</v>
      </c>
      <c r="C1246" s="459">
        <v>6</v>
      </c>
      <c r="D1246" s="460">
        <v>0</v>
      </c>
      <c r="E1246" s="460">
        <v>6</v>
      </c>
      <c r="G1246" s="1796"/>
      <c r="H1246" s="1771" t="s">
        <v>39</v>
      </c>
      <c r="I1246" s="1735" t="s">
        <v>7267</v>
      </c>
      <c r="J1246" s="1773" t="s">
        <v>2832</v>
      </c>
      <c r="K1246" s="1774"/>
      <c r="L1246" s="1775"/>
      <c r="M1246" s="1775"/>
      <c r="N1246" s="1739">
        <v>2131.6426786666698</v>
      </c>
      <c r="O1246" s="1776">
        <v>0.12726475677829299</v>
      </c>
      <c r="P1246" s="1719"/>
    </row>
    <row r="1247" spans="1:16" ht="13.5" hidden="1" customHeight="1" outlineLevel="2" x14ac:dyDescent="0.2">
      <c r="A1247" s="459">
        <v>0</v>
      </c>
      <c r="B1247" s="459">
        <v>13</v>
      </c>
      <c r="C1247" s="459">
        <v>6</v>
      </c>
      <c r="D1247" s="460">
        <v>1</v>
      </c>
      <c r="E1247" s="460">
        <v>0</v>
      </c>
      <c r="G1247" s="1797"/>
      <c r="H1247" s="1777" t="s">
        <v>1238</v>
      </c>
      <c r="I1247" s="1742" t="s">
        <v>7268</v>
      </c>
      <c r="J1247" s="1779" t="s">
        <v>2786</v>
      </c>
      <c r="K1247" s="1780"/>
      <c r="L1247" s="1781"/>
      <c r="M1247" s="1781"/>
      <c r="N1247" s="1746">
        <v>1038.44264866667</v>
      </c>
      <c r="O1247" s="1782"/>
      <c r="P1247" s="1720"/>
    </row>
    <row r="1248" spans="1:16" ht="13.5" hidden="1" customHeight="1" outlineLevel="3" x14ac:dyDescent="0.2">
      <c r="A1248" s="459">
        <v>0</v>
      </c>
      <c r="B1248" s="459">
        <v>13</v>
      </c>
      <c r="C1248" s="459">
        <v>6</v>
      </c>
      <c r="D1248" s="460">
        <v>1</v>
      </c>
      <c r="E1248" s="460">
        <v>1</v>
      </c>
      <c r="G1248" s="1798" t="s">
        <v>24</v>
      </c>
      <c r="H1248" s="1783" t="s">
        <v>1239</v>
      </c>
      <c r="I1248" s="1750" t="s">
        <v>7269</v>
      </c>
      <c r="J1248" s="1785" t="s">
        <v>4169</v>
      </c>
      <c r="K1248" s="1786" t="s">
        <v>642</v>
      </c>
      <c r="L1248" s="1787">
        <v>30.490000000000002</v>
      </c>
      <c r="M1248" s="1787">
        <v>34.058466666666661</v>
      </c>
      <c r="N1248" s="1754">
        <v>1038.44264866667</v>
      </c>
      <c r="O1248" s="1788"/>
      <c r="P1248" s="1721" t="s">
        <v>9611</v>
      </c>
    </row>
    <row r="1249" spans="1:16" ht="13.5" hidden="1" customHeight="1" outlineLevel="2" x14ac:dyDescent="0.2">
      <c r="A1249" s="459">
        <v>0</v>
      </c>
      <c r="B1249" s="459">
        <v>13</v>
      </c>
      <c r="C1249" s="459">
        <v>6</v>
      </c>
      <c r="D1249" s="460">
        <v>2</v>
      </c>
      <c r="E1249" s="460">
        <v>0</v>
      </c>
      <c r="G1249" s="1797"/>
      <c r="H1249" s="1777" t="s">
        <v>1238</v>
      </c>
      <c r="I1249" s="1742" t="s">
        <v>7270</v>
      </c>
      <c r="J1249" s="1779" t="s">
        <v>2787</v>
      </c>
      <c r="K1249" s="1780"/>
      <c r="L1249" s="1781"/>
      <c r="M1249" s="1781"/>
      <c r="N1249" s="1746">
        <v>17.520029999999998</v>
      </c>
      <c r="O1249" s="1782"/>
      <c r="P1249" s="1720"/>
    </row>
    <row r="1250" spans="1:16" ht="13.5" hidden="1" customHeight="1" outlineLevel="3" x14ac:dyDescent="0.2">
      <c r="A1250" s="459">
        <v>0</v>
      </c>
      <c r="B1250" s="459">
        <v>13</v>
      </c>
      <c r="C1250" s="459">
        <v>6</v>
      </c>
      <c r="D1250" s="460">
        <v>2</v>
      </c>
      <c r="E1250" s="460">
        <v>1</v>
      </c>
      <c r="G1250" s="1798" t="s">
        <v>24</v>
      </c>
      <c r="H1250" s="1783" t="s">
        <v>1239</v>
      </c>
      <c r="I1250" s="1750" t="s">
        <v>7271</v>
      </c>
      <c r="J1250" s="1785" t="s">
        <v>1683</v>
      </c>
      <c r="K1250" s="1786" t="s">
        <v>534</v>
      </c>
      <c r="L1250" s="1787">
        <v>2</v>
      </c>
      <c r="M1250" s="1787">
        <v>8.760015000000001</v>
      </c>
      <c r="N1250" s="1754">
        <v>17.520029999999998</v>
      </c>
      <c r="O1250" s="1788" t="s">
        <v>4207</v>
      </c>
      <c r="P1250" s="1721" t="s">
        <v>9611</v>
      </c>
    </row>
    <row r="1251" spans="1:16" ht="13.5" hidden="1" customHeight="1" outlineLevel="2" x14ac:dyDescent="0.2">
      <c r="A1251" s="459">
        <v>0</v>
      </c>
      <c r="B1251" s="459">
        <v>13</v>
      </c>
      <c r="C1251" s="459">
        <v>6</v>
      </c>
      <c r="D1251" s="460">
        <v>3</v>
      </c>
      <c r="E1251" s="460">
        <v>0</v>
      </c>
      <c r="G1251" s="1797"/>
      <c r="H1251" s="1777" t="s">
        <v>1238</v>
      </c>
      <c r="I1251" s="1742" t="s">
        <v>7272</v>
      </c>
      <c r="J1251" s="1779" t="s">
        <v>1249</v>
      </c>
      <c r="K1251" s="1780"/>
      <c r="L1251" s="1781"/>
      <c r="M1251" s="1781"/>
      <c r="N1251" s="1746">
        <v>1075.68</v>
      </c>
      <c r="O1251" s="1782"/>
      <c r="P1251" s="1720"/>
    </row>
    <row r="1252" spans="1:16" ht="13.5" hidden="1" customHeight="1" outlineLevel="3" x14ac:dyDescent="0.2">
      <c r="A1252" s="459">
        <v>0</v>
      </c>
      <c r="B1252" s="459">
        <v>13</v>
      </c>
      <c r="C1252" s="459">
        <v>6</v>
      </c>
      <c r="D1252" s="460">
        <v>3</v>
      </c>
      <c r="E1252" s="460">
        <v>1</v>
      </c>
      <c r="G1252" s="1798" t="s">
        <v>24</v>
      </c>
      <c r="H1252" s="1783" t="s">
        <v>1239</v>
      </c>
      <c r="I1252" s="1750" t="s">
        <v>7273</v>
      </c>
      <c r="J1252" s="1785" t="s">
        <v>4195</v>
      </c>
      <c r="K1252" s="1786" t="s">
        <v>642</v>
      </c>
      <c r="L1252" s="1787">
        <v>30.490000000000002</v>
      </c>
      <c r="M1252" s="1787">
        <v>32</v>
      </c>
      <c r="N1252" s="1754">
        <v>975.68</v>
      </c>
      <c r="O1252" s="1788"/>
      <c r="P1252" s="1721" t="s">
        <v>9611</v>
      </c>
    </row>
    <row r="1253" spans="1:16" ht="13.5" hidden="1" customHeight="1" outlineLevel="3" x14ac:dyDescent="0.2">
      <c r="A1253" s="459">
        <v>0</v>
      </c>
      <c r="B1253" s="459">
        <v>13</v>
      </c>
      <c r="C1253" s="459">
        <v>6</v>
      </c>
      <c r="D1253" s="460">
        <v>3</v>
      </c>
      <c r="E1253" s="460">
        <v>2</v>
      </c>
      <c r="G1253" s="1798" t="s">
        <v>24</v>
      </c>
      <c r="H1253" s="1783" t="s">
        <v>1239</v>
      </c>
      <c r="I1253" s="1750" t="s">
        <v>7274</v>
      </c>
      <c r="J1253" s="1751" t="s">
        <v>478</v>
      </c>
      <c r="K1253" s="1786" t="s">
        <v>534</v>
      </c>
      <c r="L1253" s="1787">
        <v>2</v>
      </c>
      <c r="M1253" s="1787">
        <v>50</v>
      </c>
      <c r="N1253" s="1754">
        <v>100</v>
      </c>
      <c r="O1253" s="1788"/>
      <c r="P1253" s="1721" t="s">
        <v>9611</v>
      </c>
    </row>
    <row r="1254" spans="1:16" ht="13.5" hidden="1" customHeight="1" outlineLevel="1" x14ac:dyDescent="0.2">
      <c r="A1254" s="459">
        <v>0</v>
      </c>
      <c r="B1254" s="459">
        <v>13</v>
      </c>
      <c r="C1254" s="459">
        <v>7</v>
      </c>
      <c r="D1254" s="460">
        <v>0</v>
      </c>
      <c r="E1254" s="460">
        <v>2</v>
      </c>
      <c r="G1254" s="1796"/>
      <c r="H1254" s="1771" t="s">
        <v>39</v>
      </c>
      <c r="I1254" s="1735" t="s">
        <v>7275</v>
      </c>
      <c r="J1254" s="1773" t="s">
        <v>2833</v>
      </c>
      <c r="K1254" s="1774"/>
      <c r="L1254" s="1775"/>
      <c r="M1254" s="1775"/>
      <c r="N1254" s="1739">
        <v>157022.473058667</v>
      </c>
      <c r="O1254" s="1776">
        <v>9.3746606983102705</v>
      </c>
      <c r="P1254" s="1719"/>
    </row>
    <row r="1255" spans="1:16" ht="13.5" hidden="1" customHeight="1" outlineLevel="2" x14ac:dyDescent="0.2">
      <c r="A1255" s="459">
        <v>0</v>
      </c>
      <c r="B1255" s="459">
        <v>13</v>
      </c>
      <c r="C1255" s="459">
        <v>7</v>
      </c>
      <c r="D1255" s="460">
        <v>1</v>
      </c>
      <c r="E1255" s="460">
        <v>0</v>
      </c>
      <c r="G1255" s="1797"/>
      <c r="H1255" s="1777" t="s">
        <v>1238</v>
      </c>
      <c r="I1255" s="1742" t="s">
        <v>7276</v>
      </c>
      <c r="J1255" s="1779" t="s">
        <v>25</v>
      </c>
      <c r="K1255" s="1780"/>
      <c r="L1255" s="1781"/>
      <c r="M1255" s="1781"/>
      <c r="N1255" s="1746">
        <v>16197.604813</v>
      </c>
      <c r="O1255" s="1782">
        <v>0.96704023500164504</v>
      </c>
      <c r="P1255" s="1720"/>
    </row>
    <row r="1256" spans="1:16" ht="13.5" hidden="1" customHeight="1" outlineLevel="3" x14ac:dyDescent="0.2">
      <c r="A1256" s="459">
        <v>0</v>
      </c>
      <c r="B1256" s="459">
        <v>13</v>
      </c>
      <c r="C1256" s="459">
        <v>7</v>
      </c>
      <c r="D1256" s="460">
        <v>1</v>
      </c>
      <c r="E1256" s="460">
        <v>1</v>
      </c>
      <c r="G1256" s="1798" t="s">
        <v>24</v>
      </c>
      <c r="H1256" s="1783" t="s">
        <v>1239</v>
      </c>
      <c r="I1256" s="1750" t="s">
        <v>7277</v>
      </c>
      <c r="J1256" s="1785" t="s">
        <v>442</v>
      </c>
      <c r="K1256" s="1786" t="s">
        <v>642</v>
      </c>
      <c r="L1256" s="1787">
        <v>301.02000000000004</v>
      </c>
      <c r="M1256" s="1787">
        <v>7.0658999999999992</v>
      </c>
      <c r="N1256" s="1754">
        <v>2126.977218</v>
      </c>
      <c r="O1256" s="1788" t="s">
        <v>4191</v>
      </c>
      <c r="P1256" s="1721" t="s">
        <v>9611</v>
      </c>
    </row>
    <row r="1257" spans="1:16" ht="13.5" hidden="1" customHeight="1" outlineLevel="3" x14ac:dyDescent="0.2">
      <c r="A1257" s="459">
        <v>0</v>
      </c>
      <c r="B1257" s="459">
        <v>13</v>
      </c>
      <c r="C1257" s="459">
        <v>7</v>
      </c>
      <c r="D1257" s="460">
        <v>1</v>
      </c>
      <c r="E1257" s="460">
        <v>2</v>
      </c>
      <c r="G1257" s="1798" t="s">
        <v>24</v>
      </c>
      <c r="H1257" s="1783" t="s">
        <v>1239</v>
      </c>
      <c r="I1257" s="1750" t="s">
        <v>7278</v>
      </c>
      <c r="J1257" s="1785" t="s">
        <v>444</v>
      </c>
      <c r="K1257" s="1786" t="s">
        <v>642</v>
      </c>
      <c r="L1257" s="1787">
        <v>285.07</v>
      </c>
      <c r="M1257" s="1787">
        <v>49.358499999999999</v>
      </c>
      <c r="N1257" s="1754">
        <v>14070.627595</v>
      </c>
      <c r="O1257" s="1788" t="s">
        <v>4192</v>
      </c>
      <c r="P1257" s="1721" t="s">
        <v>9611</v>
      </c>
    </row>
    <row r="1258" spans="1:16" ht="13.5" hidden="1" customHeight="1" outlineLevel="2" x14ac:dyDescent="0.2">
      <c r="A1258" s="459">
        <v>0</v>
      </c>
      <c r="B1258" s="459">
        <v>13</v>
      </c>
      <c r="C1258" s="459">
        <v>7</v>
      </c>
      <c r="D1258" s="460">
        <v>2</v>
      </c>
      <c r="E1258" s="460">
        <v>0</v>
      </c>
      <c r="G1258" s="1797"/>
      <c r="H1258" s="1777" t="s">
        <v>1238</v>
      </c>
      <c r="I1258" s="1742" t="s">
        <v>7279</v>
      </c>
      <c r="J1258" s="1779" t="s">
        <v>2785</v>
      </c>
      <c r="K1258" s="1780"/>
      <c r="L1258" s="1781"/>
      <c r="M1258" s="1781"/>
      <c r="N1258" s="1746">
        <v>64619.94644</v>
      </c>
      <c r="O1258" s="1782"/>
      <c r="P1258" s="1720"/>
    </row>
    <row r="1259" spans="1:16" ht="13.5" hidden="1" customHeight="1" outlineLevel="3" x14ac:dyDescent="0.2">
      <c r="A1259" s="459">
        <v>0</v>
      </c>
      <c r="B1259" s="459">
        <v>13</v>
      </c>
      <c r="C1259" s="459">
        <v>7</v>
      </c>
      <c r="D1259" s="460">
        <v>2</v>
      </c>
      <c r="E1259" s="460">
        <v>1</v>
      </c>
      <c r="G1259" s="1798" t="s">
        <v>24</v>
      </c>
      <c r="H1259" s="1783" t="s">
        <v>1239</v>
      </c>
      <c r="I1259" s="1750" t="s">
        <v>7280</v>
      </c>
      <c r="J1259" s="1785" t="s">
        <v>4190</v>
      </c>
      <c r="K1259" s="1786" t="s">
        <v>642</v>
      </c>
      <c r="L1259" s="1787">
        <v>241.13</v>
      </c>
      <c r="M1259" s="1787">
        <v>267.988</v>
      </c>
      <c r="N1259" s="1754">
        <v>64619.94644</v>
      </c>
      <c r="O1259" s="1788" t="s">
        <v>2208</v>
      </c>
      <c r="P1259" s="1721" t="s">
        <v>9611</v>
      </c>
    </row>
    <row r="1260" spans="1:16" ht="13.5" hidden="1" customHeight="1" outlineLevel="2" x14ac:dyDescent="0.2">
      <c r="A1260" s="459">
        <v>0</v>
      </c>
      <c r="B1260" s="459">
        <v>13</v>
      </c>
      <c r="C1260" s="459">
        <v>7</v>
      </c>
      <c r="D1260" s="460">
        <v>3</v>
      </c>
      <c r="E1260" s="460">
        <v>0</v>
      </c>
      <c r="G1260" s="1797"/>
      <c r="H1260" s="1777" t="s">
        <v>1238</v>
      </c>
      <c r="I1260" s="1742" t="s">
        <v>7281</v>
      </c>
      <c r="J1260" s="1779" t="s">
        <v>4187</v>
      </c>
      <c r="K1260" s="1780"/>
      <c r="L1260" s="1781"/>
      <c r="M1260" s="1781"/>
      <c r="N1260" s="1746">
        <v>30639.501863666701</v>
      </c>
      <c r="O1260" s="1782"/>
      <c r="P1260" s="1720"/>
    </row>
    <row r="1261" spans="1:16" ht="13.5" hidden="1" customHeight="1" outlineLevel="3" x14ac:dyDescent="0.2">
      <c r="A1261" s="459">
        <v>0</v>
      </c>
      <c r="B1261" s="459">
        <v>13</v>
      </c>
      <c r="C1261" s="459">
        <v>7</v>
      </c>
      <c r="D1261" s="460">
        <v>3</v>
      </c>
      <c r="E1261" s="460">
        <v>1</v>
      </c>
      <c r="G1261" s="1798" t="s">
        <v>24</v>
      </c>
      <c r="H1261" s="1783" t="s">
        <v>1239</v>
      </c>
      <c r="I1261" s="1750" t="s">
        <v>7282</v>
      </c>
      <c r="J1261" s="1785" t="s">
        <v>4169</v>
      </c>
      <c r="K1261" s="1786" t="s">
        <v>642</v>
      </c>
      <c r="L1261" s="1787">
        <v>26.41</v>
      </c>
      <c r="M1261" s="1787">
        <v>34.058466666666661</v>
      </c>
      <c r="N1261" s="1754">
        <v>899.48410466666701</v>
      </c>
      <c r="O1261" s="1788" t="s">
        <v>4179</v>
      </c>
      <c r="P1261" s="1721" t="s">
        <v>9611</v>
      </c>
    </row>
    <row r="1262" spans="1:16" ht="13.5" hidden="1" customHeight="1" outlineLevel="3" x14ac:dyDescent="0.2">
      <c r="A1262" s="459">
        <v>0</v>
      </c>
      <c r="B1262" s="459">
        <v>13</v>
      </c>
      <c r="C1262" s="459">
        <v>7</v>
      </c>
      <c r="D1262" s="460">
        <v>3</v>
      </c>
      <c r="E1262" s="460">
        <v>2</v>
      </c>
      <c r="G1262" s="1798" t="s">
        <v>24</v>
      </c>
      <c r="H1262" s="1783" t="s">
        <v>1239</v>
      </c>
      <c r="I1262" s="1750" t="s">
        <v>7283</v>
      </c>
      <c r="J1262" s="1785" t="s">
        <v>4172</v>
      </c>
      <c r="K1262" s="1786" t="s">
        <v>642</v>
      </c>
      <c r="L1262" s="1787">
        <v>48.03</v>
      </c>
      <c r="M1262" s="1787">
        <v>148.89179999999999</v>
      </c>
      <c r="N1262" s="1754">
        <v>7151.2731540000004</v>
      </c>
      <c r="O1262" s="1788" t="s">
        <v>4180</v>
      </c>
      <c r="P1262" s="1721" t="s">
        <v>9611</v>
      </c>
    </row>
    <row r="1263" spans="1:16" ht="13.5" hidden="1" customHeight="1" outlineLevel="3" x14ac:dyDescent="0.2">
      <c r="A1263" s="459">
        <v>0</v>
      </c>
      <c r="B1263" s="459">
        <v>13</v>
      </c>
      <c r="C1263" s="459">
        <v>7</v>
      </c>
      <c r="D1263" s="460">
        <v>3</v>
      </c>
      <c r="E1263" s="460">
        <v>3</v>
      </c>
      <c r="G1263" s="1798" t="s">
        <v>24</v>
      </c>
      <c r="H1263" s="1783" t="s">
        <v>1239</v>
      </c>
      <c r="I1263" s="1750" t="s">
        <v>7284</v>
      </c>
      <c r="J1263" s="1785" t="s">
        <v>4174</v>
      </c>
      <c r="K1263" s="1786" t="s">
        <v>642</v>
      </c>
      <c r="L1263" s="1787">
        <v>169.60999999999999</v>
      </c>
      <c r="M1263" s="1787">
        <v>133.18049999999999</v>
      </c>
      <c r="N1263" s="1754">
        <v>22588.744605</v>
      </c>
      <c r="O1263" s="1788" t="s">
        <v>4183</v>
      </c>
      <c r="P1263" s="1721" t="s">
        <v>9611</v>
      </c>
    </row>
    <row r="1264" spans="1:16" ht="13.5" hidden="1" customHeight="1" outlineLevel="2" x14ac:dyDescent="0.2">
      <c r="A1264" s="459">
        <v>0</v>
      </c>
      <c r="B1264" s="459">
        <v>13</v>
      </c>
      <c r="C1264" s="459">
        <v>7</v>
      </c>
      <c r="D1264" s="460">
        <v>4</v>
      </c>
      <c r="E1264" s="460">
        <v>0</v>
      </c>
      <c r="G1264" s="1797"/>
      <c r="H1264" s="1777" t="s">
        <v>1238</v>
      </c>
      <c r="I1264" s="1742" t="s">
        <v>7285</v>
      </c>
      <c r="J1264" s="1779" t="s">
        <v>2786</v>
      </c>
      <c r="K1264" s="1780"/>
      <c r="L1264" s="1781"/>
      <c r="M1264" s="1781"/>
      <c r="N1264" s="1746">
        <v>1213.843752</v>
      </c>
      <c r="O1264" s="1782"/>
      <c r="P1264" s="1720"/>
    </row>
    <row r="1265" spans="1:16" ht="13.5" hidden="1" customHeight="1" outlineLevel="3" x14ac:dyDescent="0.2">
      <c r="A1265" s="459">
        <v>0</v>
      </c>
      <c r="B1265" s="459">
        <v>13</v>
      </c>
      <c r="C1265" s="459">
        <v>7</v>
      </c>
      <c r="D1265" s="460">
        <v>4</v>
      </c>
      <c r="E1265" s="460">
        <v>1</v>
      </c>
      <c r="G1265" s="1798" t="s">
        <v>24</v>
      </c>
      <c r="H1265" s="1783" t="s">
        <v>1239</v>
      </c>
      <c r="I1265" s="1750" t="s">
        <v>7286</v>
      </c>
      <c r="J1265" s="1785" t="s">
        <v>4169</v>
      </c>
      <c r="K1265" s="1786" t="s">
        <v>642</v>
      </c>
      <c r="L1265" s="1787">
        <v>35.64</v>
      </c>
      <c r="M1265" s="1787">
        <v>34.058466666666661</v>
      </c>
      <c r="N1265" s="1754">
        <v>1213.843752</v>
      </c>
      <c r="O1265" s="1788"/>
      <c r="P1265" s="1721" t="s">
        <v>9611</v>
      </c>
    </row>
    <row r="1266" spans="1:16" ht="13.5" hidden="1" customHeight="1" outlineLevel="2" x14ac:dyDescent="0.2">
      <c r="A1266" s="459">
        <v>0</v>
      </c>
      <c r="B1266" s="459">
        <v>13</v>
      </c>
      <c r="C1266" s="459">
        <v>7</v>
      </c>
      <c r="D1266" s="460">
        <v>5</v>
      </c>
      <c r="E1266" s="460">
        <v>0</v>
      </c>
      <c r="G1266" s="1797"/>
      <c r="H1266" s="1777" t="s">
        <v>1238</v>
      </c>
      <c r="I1266" s="1742" t="s">
        <v>7287</v>
      </c>
      <c r="J1266" s="1779" t="s">
        <v>2787</v>
      </c>
      <c r="K1266" s="1780"/>
      <c r="L1266" s="1781"/>
      <c r="M1266" s="1781"/>
      <c r="N1266" s="1746">
        <v>70.080119999999994</v>
      </c>
      <c r="O1266" s="1782"/>
      <c r="P1266" s="1720"/>
    </row>
    <row r="1267" spans="1:16" ht="13.5" hidden="1" customHeight="1" outlineLevel="3" x14ac:dyDescent="0.2">
      <c r="A1267" s="459">
        <v>0</v>
      </c>
      <c r="B1267" s="459">
        <v>13</v>
      </c>
      <c r="C1267" s="459">
        <v>7</v>
      </c>
      <c r="D1267" s="460">
        <v>5</v>
      </c>
      <c r="E1267" s="460">
        <v>1</v>
      </c>
      <c r="G1267" s="1798" t="s">
        <v>24</v>
      </c>
      <c r="H1267" s="1783" t="s">
        <v>1239</v>
      </c>
      <c r="I1267" s="1750" t="s">
        <v>7288</v>
      </c>
      <c r="J1267" s="1785" t="s">
        <v>1683</v>
      </c>
      <c r="K1267" s="1786" t="s">
        <v>534</v>
      </c>
      <c r="L1267" s="1787">
        <v>8</v>
      </c>
      <c r="M1267" s="1787">
        <v>8.760015000000001</v>
      </c>
      <c r="N1267" s="1754">
        <v>70.080119999999994</v>
      </c>
      <c r="O1267" s="1788" t="s">
        <v>4207</v>
      </c>
      <c r="P1267" s="1721" t="s">
        <v>9611</v>
      </c>
    </row>
    <row r="1268" spans="1:16" ht="13.5" hidden="1" customHeight="1" outlineLevel="2" x14ac:dyDescent="0.2">
      <c r="A1268" s="459">
        <v>0</v>
      </c>
      <c r="B1268" s="459">
        <v>13</v>
      </c>
      <c r="C1268" s="459">
        <v>7</v>
      </c>
      <c r="D1268" s="460">
        <v>6</v>
      </c>
      <c r="E1268" s="460">
        <v>0</v>
      </c>
      <c r="G1268" s="1797"/>
      <c r="H1268" s="1777" t="s">
        <v>1238</v>
      </c>
      <c r="I1268" s="1742" t="s">
        <v>7289</v>
      </c>
      <c r="J1268" s="1779" t="s">
        <v>4185</v>
      </c>
      <c r="K1268" s="1780"/>
      <c r="L1268" s="1781"/>
      <c r="M1268" s="1781"/>
      <c r="N1268" s="1746">
        <v>1039.9760699999999</v>
      </c>
      <c r="O1268" s="1782"/>
      <c r="P1268" s="1720"/>
    </row>
    <row r="1269" spans="1:16" ht="13.5" hidden="1" customHeight="1" outlineLevel="3" x14ac:dyDescent="0.2">
      <c r="A1269" s="459">
        <v>0</v>
      </c>
      <c r="B1269" s="459">
        <v>13</v>
      </c>
      <c r="C1269" s="459">
        <v>7</v>
      </c>
      <c r="D1269" s="460">
        <v>6</v>
      </c>
      <c r="E1269" s="460">
        <v>1</v>
      </c>
      <c r="G1269" s="1798" t="s">
        <v>24</v>
      </c>
      <c r="H1269" s="1783" t="s">
        <v>1239</v>
      </c>
      <c r="I1269" s="1750" t="s">
        <v>7290</v>
      </c>
      <c r="J1269" s="1785" t="s">
        <v>4175</v>
      </c>
      <c r="K1269" s="1786" t="s">
        <v>642</v>
      </c>
      <c r="L1269" s="1787">
        <v>5.7399999999999993</v>
      </c>
      <c r="M1269" s="1787">
        <v>181.18049999999999</v>
      </c>
      <c r="N1269" s="1754">
        <v>1039.9760699999999</v>
      </c>
      <c r="O1269" s="1788" t="s">
        <v>4186</v>
      </c>
      <c r="P1269" s="1721" t="s">
        <v>9611</v>
      </c>
    </row>
    <row r="1270" spans="1:16" ht="13.5" hidden="1" customHeight="1" outlineLevel="2" x14ac:dyDescent="0.2">
      <c r="A1270" s="459">
        <v>0</v>
      </c>
      <c r="B1270" s="459">
        <v>13</v>
      </c>
      <c r="C1270" s="459">
        <v>7</v>
      </c>
      <c r="D1270" s="460">
        <v>7</v>
      </c>
      <c r="E1270" s="460">
        <v>0</v>
      </c>
      <c r="G1270" s="1797"/>
      <c r="H1270" s="1777" t="s">
        <v>1238</v>
      </c>
      <c r="I1270" s="1742" t="s">
        <v>7291</v>
      </c>
      <c r="J1270" s="1779" t="s">
        <v>1249</v>
      </c>
      <c r="K1270" s="1780"/>
      <c r="L1270" s="1781"/>
      <c r="M1270" s="1781"/>
      <c r="N1270" s="1746">
        <v>43241.52</v>
      </c>
      <c r="O1270" s="1782"/>
      <c r="P1270" s="1720"/>
    </row>
    <row r="1271" spans="1:16" ht="13.5" hidden="1" customHeight="1" outlineLevel="3" x14ac:dyDescent="0.2">
      <c r="A1271" s="459">
        <v>0</v>
      </c>
      <c r="B1271" s="459">
        <v>13</v>
      </c>
      <c r="C1271" s="459">
        <v>7</v>
      </c>
      <c r="D1271" s="460">
        <v>7</v>
      </c>
      <c r="E1271" s="460">
        <v>1</v>
      </c>
      <c r="G1271" s="1798" t="s">
        <v>24</v>
      </c>
      <c r="H1271" s="1783" t="s">
        <v>1239</v>
      </c>
      <c r="I1271" s="1750" t="s">
        <v>7292</v>
      </c>
      <c r="J1271" s="1785" t="s">
        <v>470</v>
      </c>
      <c r="K1271" s="1786" t="s">
        <v>642</v>
      </c>
      <c r="L1271" s="1787">
        <v>301.02000000000004</v>
      </c>
      <c r="M1271" s="1787">
        <v>20</v>
      </c>
      <c r="N1271" s="1754">
        <v>6020.4</v>
      </c>
      <c r="O1271" s="1788"/>
      <c r="P1271" s="1721" t="s">
        <v>9611</v>
      </c>
    </row>
    <row r="1272" spans="1:16" ht="13.5" hidden="1" customHeight="1" outlineLevel="3" x14ac:dyDescent="0.2">
      <c r="A1272" s="459">
        <v>0</v>
      </c>
      <c r="B1272" s="459">
        <v>13</v>
      </c>
      <c r="C1272" s="459">
        <v>7</v>
      </c>
      <c r="D1272" s="460">
        <v>7</v>
      </c>
      <c r="E1272" s="460">
        <v>2</v>
      </c>
      <c r="G1272" s="1798" t="s">
        <v>24</v>
      </c>
      <c r="H1272" s="1783" t="s">
        <v>1239</v>
      </c>
      <c r="I1272" s="1750" t="s">
        <v>7293</v>
      </c>
      <c r="J1272" s="1785" t="s">
        <v>471</v>
      </c>
      <c r="K1272" s="1786" t="s">
        <v>642</v>
      </c>
      <c r="L1272" s="1787">
        <v>285.07</v>
      </c>
      <c r="M1272" s="1787">
        <v>35</v>
      </c>
      <c r="N1272" s="1754">
        <v>9977.4500000000007</v>
      </c>
      <c r="O1272" s="1788"/>
      <c r="P1272" s="1721" t="s">
        <v>9611</v>
      </c>
    </row>
    <row r="1273" spans="1:16" ht="13.5" hidden="1" customHeight="1" outlineLevel="3" x14ac:dyDescent="0.2">
      <c r="A1273" s="459">
        <v>0</v>
      </c>
      <c r="B1273" s="459">
        <v>13</v>
      </c>
      <c r="C1273" s="459">
        <v>7</v>
      </c>
      <c r="D1273" s="460">
        <v>7</v>
      </c>
      <c r="E1273" s="460">
        <v>3</v>
      </c>
      <c r="G1273" s="1798" t="s">
        <v>24</v>
      </c>
      <c r="H1273" s="1783" t="s">
        <v>1239</v>
      </c>
      <c r="I1273" s="1750" t="s">
        <v>7294</v>
      </c>
      <c r="J1273" s="1785" t="s">
        <v>4195</v>
      </c>
      <c r="K1273" s="1786" t="s">
        <v>642</v>
      </c>
      <c r="L1273" s="1787">
        <v>62.05</v>
      </c>
      <c r="M1273" s="1787">
        <v>32</v>
      </c>
      <c r="N1273" s="1754">
        <v>1985.6</v>
      </c>
      <c r="O1273" s="1788"/>
      <c r="P1273" s="1721" t="s">
        <v>9611</v>
      </c>
    </row>
    <row r="1274" spans="1:16" ht="13.5" hidden="1" customHeight="1" outlineLevel="3" x14ac:dyDescent="0.2">
      <c r="A1274" s="459">
        <v>0</v>
      </c>
      <c r="B1274" s="459">
        <v>13</v>
      </c>
      <c r="C1274" s="459">
        <v>7</v>
      </c>
      <c r="D1274" s="460">
        <v>7</v>
      </c>
      <c r="E1274" s="460">
        <v>4</v>
      </c>
      <c r="G1274" s="1798" t="s">
        <v>24</v>
      </c>
      <c r="H1274" s="1783" t="s">
        <v>1239</v>
      </c>
      <c r="I1274" s="1750" t="s">
        <v>7295</v>
      </c>
      <c r="J1274" s="1785" t="s">
        <v>4199</v>
      </c>
      <c r="K1274" s="1786" t="s">
        <v>642</v>
      </c>
      <c r="L1274" s="1787">
        <v>169.60999999999999</v>
      </c>
      <c r="M1274" s="1787">
        <v>45</v>
      </c>
      <c r="N1274" s="1754">
        <v>7632.45</v>
      </c>
      <c r="O1274" s="1788"/>
      <c r="P1274" s="1721" t="s">
        <v>9611</v>
      </c>
    </row>
    <row r="1275" spans="1:16" ht="13.5" hidden="1" customHeight="1" outlineLevel="3" x14ac:dyDescent="0.2">
      <c r="A1275" s="459">
        <v>0</v>
      </c>
      <c r="B1275" s="459">
        <v>13</v>
      </c>
      <c r="C1275" s="459">
        <v>7</v>
      </c>
      <c r="D1275" s="460">
        <v>7</v>
      </c>
      <c r="E1275" s="460">
        <v>5</v>
      </c>
      <c r="G1275" s="1798" t="s">
        <v>24</v>
      </c>
      <c r="H1275" s="1783" t="s">
        <v>1239</v>
      </c>
      <c r="I1275" s="1750" t="s">
        <v>7296</v>
      </c>
      <c r="J1275" s="1785" t="s">
        <v>4196</v>
      </c>
      <c r="K1275" s="1786" t="s">
        <v>642</v>
      </c>
      <c r="L1275" s="1787">
        <v>5.7399999999999993</v>
      </c>
      <c r="M1275" s="1787">
        <v>45</v>
      </c>
      <c r="N1275" s="1754">
        <v>258.3</v>
      </c>
      <c r="O1275" s="1788"/>
      <c r="P1275" s="1721" t="s">
        <v>9611</v>
      </c>
    </row>
    <row r="1276" spans="1:16" ht="13.5" hidden="1" customHeight="1" outlineLevel="3" x14ac:dyDescent="0.2">
      <c r="A1276" s="459">
        <v>0</v>
      </c>
      <c r="B1276" s="459">
        <v>13</v>
      </c>
      <c r="C1276" s="459">
        <v>7</v>
      </c>
      <c r="D1276" s="460">
        <v>7</v>
      </c>
      <c r="E1276" s="460">
        <v>6</v>
      </c>
      <c r="G1276" s="1798" t="s">
        <v>24</v>
      </c>
      <c r="H1276" s="1783" t="s">
        <v>1239</v>
      </c>
      <c r="I1276" s="1750" t="s">
        <v>7297</v>
      </c>
      <c r="J1276" s="1785" t="s">
        <v>4200</v>
      </c>
      <c r="K1276" s="1786" t="s">
        <v>642</v>
      </c>
      <c r="L1276" s="1787">
        <v>241.13</v>
      </c>
      <c r="M1276" s="1787">
        <v>62</v>
      </c>
      <c r="N1276" s="1754">
        <v>14950.06</v>
      </c>
      <c r="O1276" s="1788"/>
      <c r="P1276" s="1721" t="s">
        <v>9611</v>
      </c>
    </row>
    <row r="1277" spans="1:16" ht="13.5" hidden="1" customHeight="1" outlineLevel="3" x14ac:dyDescent="0.2">
      <c r="A1277" s="459">
        <v>0</v>
      </c>
      <c r="B1277" s="459">
        <v>13</v>
      </c>
      <c r="C1277" s="459">
        <v>7</v>
      </c>
      <c r="D1277" s="460">
        <v>7</v>
      </c>
      <c r="E1277" s="460">
        <v>7</v>
      </c>
      <c r="G1277" s="1798" t="s">
        <v>24</v>
      </c>
      <c r="H1277" s="1783" t="s">
        <v>1239</v>
      </c>
      <c r="I1277" s="1750" t="s">
        <v>7298</v>
      </c>
      <c r="J1277" s="1785" t="s">
        <v>4202</v>
      </c>
      <c r="K1277" s="1786" t="s">
        <v>642</v>
      </c>
      <c r="L1277" s="1787">
        <v>48.03</v>
      </c>
      <c r="M1277" s="1787">
        <v>42</v>
      </c>
      <c r="N1277" s="1754">
        <v>2017.26</v>
      </c>
      <c r="O1277" s="1788"/>
      <c r="P1277" s="1721" t="s">
        <v>9611</v>
      </c>
    </row>
    <row r="1278" spans="1:16" ht="13.5" hidden="1" customHeight="1" outlineLevel="3" x14ac:dyDescent="0.2">
      <c r="A1278" s="459">
        <v>0</v>
      </c>
      <c r="B1278" s="459">
        <v>13</v>
      </c>
      <c r="C1278" s="459">
        <v>7</v>
      </c>
      <c r="D1278" s="460">
        <v>7</v>
      </c>
      <c r="E1278" s="460">
        <v>8</v>
      </c>
      <c r="G1278" s="1798" t="s">
        <v>24</v>
      </c>
      <c r="H1278" s="1783" t="s">
        <v>1239</v>
      </c>
      <c r="I1278" s="1750" t="s">
        <v>7299</v>
      </c>
      <c r="J1278" s="1751" t="s">
        <v>478</v>
      </c>
      <c r="K1278" s="1786" t="s">
        <v>534</v>
      </c>
      <c r="L1278" s="1787">
        <v>8</v>
      </c>
      <c r="M1278" s="1787">
        <v>50</v>
      </c>
      <c r="N1278" s="1754">
        <v>400</v>
      </c>
      <c r="O1278" s="1788"/>
      <c r="P1278" s="1721" t="s">
        <v>9611</v>
      </c>
    </row>
    <row r="1279" spans="1:16" ht="13.5" hidden="1" customHeight="1" outlineLevel="1" x14ac:dyDescent="0.2">
      <c r="A1279" s="459">
        <v>0</v>
      </c>
      <c r="B1279" s="459">
        <v>13</v>
      </c>
      <c r="C1279" s="459">
        <v>8</v>
      </c>
      <c r="D1279" s="460">
        <v>0</v>
      </c>
      <c r="E1279" s="460">
        <v>8</v>
      </c>
      <c r="G1279" s="1796"/>
      <c r="H1279" s="1771" t="s">
        <v>39</v>
      </c>
      <c r="I1279" s="1735" t="s">
        <v>7300</v>
      </c>
      <c r="J1279" s="1773" t="s">
        <v>2834</v>
      </c>
      <c r="K1279" s="1774"/>
      <c r="L1279" s="1775"/>
      <c r="M1279" s="1775"/>
      <c r="N1279" s="1739">
        <v>131918.56087433299</v>
      </c>
      <c r="O1279" s="1776">
        <v>7.8758901443630398</v>
      </c>
      <c r="P1279" s="1719"/>
    </row>
    <row r="1280" spans="1:16" ht="13.5" hidden="1" customHeight="1" outlineLevel="2" x14ac:dyDescent="0.2">
      <c r="A1280" s="459">
        <v>0</v>
      </c>
      <c r="B1280" s="459">
        <v>13</v>
      </c>
      <c r="C1280" s="459">
        <v>8</v>
      </c>
      <c r="D1280" s="460">
        <v>1</v>
      </c>
      <c r="E1280" s="460">
        <v>0</v>
      </c>
      <c r="G1280" s="1797"/>
      <c r="H1280" s="1777" t="s">
        <v>1238</v>
      </c>
      <c r="I1280" s="1742" t="s">
        <v>7301</v>
      </c>
      <c r="J1280" s="1779" t="s">
        <v>25</v>
      </c>
      <c r="K1280" s="1780"/>
      <c r="L1280" s="1781"/>
      <c r="M1280" s="1781"/>
      <c r="N1280" s="1746">
        <v>19906.993666999999</v>
      </c>
      <c r="O1280" s="1782">
        <v>1.1885006490874099</v>
      </c>
      <c r="P1280" s="1720"/>
    </row>
    <row r="1281" spans="1:16" ht="13.5" hidden="1" customHeight="1" outlineLevel="3" x14ac:dyDescent="0.2">
      <c r="A1281" s="459">
        <v>0</v>
      </c>
      <c r="B1281" s="459">
        <v>13</v>
      </c>
      <c r="C1281" s="459">
        <v>8</v>
      </c>
      <c r="D1281" s="460">
        <v>1</v>
      </c>
      <c r="E1281" s="460">
        <v>1</v>
      </c>
      <c r="G1281" s="1798" t="s">
        <v>24</v>
      </c>
      <c r="H1281" s="1783" t="s">
        <v>1239</v>
      </c>
      <c r="I1281" s="1750" t="s">
        <v>7302</v>
      </c>
      <c r="J1281" s="1785" t="s">
        <v>442</v>
      </c>
      <c r="K1281" s="1786" t="s">
        <v>642</v>
      </c>
      <c r="L1281" s="1787">
        <v>360.48</v>
      </c>
      <c r="M1281" s="1787">
        <v>7.0658999999999992</v>
      </c>
      <c r="N1281" s="1754">
        <v>2547.115632</v>
      </c>
      <c r="O1281" s="1788" t="s">
        <v>4191</v>
      </c>
      <c r="P1281" s="1721" t="s">
        <v>9611</v>
      </c>
    </row>
    <row r="1282" spans="1:16" ht="13.5" hidden="1" customHeight="1" outlineLevel="3" x14ac:dyDescent="0.2">
      <c r="A1282" s="459">
        <v>0</v>
      </c>
      <c r="B1282" s="459">
        <v>13</v>
      </c>
      <c r="C1282" s="459">
        <v>8</v>
      </c>
      <c r="D1282" s="460">
        <v>1</v>
      </c>
      <c r="E1282" s="460">
        <v>2</v>
      </c>
      <c r="G1282" s="1798" t="s">
        <v>24</v>
      </c>
      <c r="H1282" s="1783" t="s">
        <v>1239</v>
      </c>
      <c r="I1282" s="1750" t="s">
        <v>7303</v>
      </c>
      <c r="J1282" s="1785" t="s">
        <v>444</v>
      </c>
      <c r="K1282" s="1786" t="s">
        <v>642</v>
      </c>
      <c r="L1282" s="1787">
        <v>351.71000000000004</v>
      </c>
      <c r="M1282" s="1787">
        <v>49.358499999999999</v>
      </c>
      <c r="N1282" s="1754">
        <v>17359.878035000002</v>
      </c>
      <c r="O1282" s="1788" t="s">
        <v>4192</v>
      </c>
      <c r="P1282" s="1721" t="s">
        <v>9611</v>
      </c>
    </row>
    <row r="1283" spans="1:16" ht="13.5" hidden="1" customHeight="1" outlineLevel="2" x14ac:dyDescent="0.2">
      <c r="A1283" s="459">
        <v>0</v>
      </c>
      <c r="B1283" s="459">
        <v>13</v>
      </c>
      <c r="C1283" s="459">
        <v>8</v>
      </c>
      <c r="D1283" s="460">
        <v>2</v>
      </c>
      <c r="E1283" s="460">
        <v>0</v>
      </c>
      <c r="G1283" s="1797"/>
      <c r="H1283" s="1777" t="s">
        <v>1238</v>
      </c>
      <c r="I1283" s="1742" t="s">
        <v>7304</v>
      </c>
      <c r="J1283" s="1779" t="s">
        <v>4187</v>
      </c>
      <c r="K1283" s="1780"/>
      <c r="L1283" s="1781"/>
      <c r="M1283" s="1781"/>
      <c r="N1283" s="1746">
        <v>16717.790313666701</v>
      </c>
      <c r="O1283" s="1782"/>
      <c r="P1283" s="1720"/>
    </row>
    <row r="1284" spans="1:16" ht="13.5" hidden="1" customHeight="1" outlineLevel="3" x14ac:dyDescent="0.2">
      <c r="A1284" s="459">
        <v>0</v>
      </c>
      <c r="B1284" s="459">
        <v>13</v>
      </c>
      <c r="C1284" s="459">
        <v>8</v>
      </c>
      <c r="D1284" s="460">
        <v>2</v>
      </c>
      <c r="E1284" s="460">
        <v>1</v>
      </c>
      <c r="G1284" s="1798" t="s">
        <v>24</v>
      </c>
      <c r="H1284" s="1783" t="s">
        <v>1239</v>
      </c>
      <c r="I1284" s="1750" t="s">
        <v>7305</v>
      </c>
      <c r="J1284" s="1785" t="s">
        <v>4169</v>
      </c>
      <c r="K1284" s="1786" t="s">
        <v>642</v>
      </c>
      <c r="L1284" s="1787">
        <v>21.34</v>
      </c>
      <c r="M1284" s="1787">
        <v>34.058466666666661</v>
      </c>
      <c r="N1284" s="1754">
        <v>726.80767866666702</v>
      </c>
      <c r="O1284" s="1788" t="s">
        <v>4179</v>
      </c>
      <c r="P1284" s="1721" t="s">
        <v>9611</v>
      </c>
    </row>
    <row r="1285" spans="1:16" ht="13.5" hidden="1" customHeight="1" outlineLevel="3" x14ac:dyDescent="0.2">
      <c r="A1285" s="459">
        <v>0</v>
      </c>
      <c r="B1285" s="459">
        <v>13</v>
      </c>
      <c r="C1285" s="459">
        <v>8</v>
      </c>
      <c r="D1285" s="460">
        <v>2</v>
      </c>
      <c r="E1285" s="460">
        <v>2</v>
      </c>
      <c r="G1285" s="1798" t="s">
        <v>24</v>
      </c>
      <c r="H1285" s="1783" t="s">
        <v>1239</v>
      </c>
      <c r="I1285" s="1750" t="s">
        <v>7306</v>
      </c>
      <c r="J1285" s="1785" t="s">
        <v>4174</v>
      </c>
      <c r="K1285" s="1786" t="s">
        <v>642</v>
      </c>
      <c r="L1285" s="1787">
        <v>120.07000000000001</v>
      </c>
      <c r="M1285" s="1787">
        <v>133.18049999999999</v>
      </c>
      <c r="N1285" s="1754">
        <v>15990.982635</v>
      </c>
      <c r="O1285" s="1788" t="s">
        <v>4183</v>
      </c>
      <c r="P1285" s="1721" t="s">
        <v>9611</v>
      </c>
    </row>
    <row r="1286" spans="1:16" ht="13.5" hidden="1" customHeight="1" outlineLevel="2" x14ac:dyDescent="0.2">
      <c r="A1286" s="459">
        <v>0</v>
      </c>
      <c r="B1286" s="459">
        <v>13</v>
      </c>
      <c r="C1286" s="459">
        <v>8</v>
      </c>
      <c r="D1286" s="460">
        <v>3</v>
      </c>
      <c r="E1286" s="460">
        <v>0</v>
      </c>
      <c r="G1286" s="1797"/>
      <c r="H1286" s="1777" t="s">
        <v>1238</v>
      </c>
      <c r="I1286" s="1742" t="s">
        <v>7307</v>
      </c>
      <c r="J1286" s="1779" t="s">
        <v>2786</v>
      </c>
      <c r="K1286" s="1780"/>
      <c r="L1286" s="1781"/>
      <c r="M1286" s="1781"/>
      <c r="N1286" s="1746">
        <v>777.89537866666603</v>
      </c>
      <c r="O1286" s="1782"/>
      <c r="P1286" s="1720"/>
    </row>
    <row r="1287" spans="1:16" ht="13.5" hidden="1" customHeight="1" outlineLevel="3" x14ac:dyDescent="0.2">
      <c r="A1287" s="459">
        <v>0</v>
      </c>
      <c r="B1287" s="459">
        <v>13</v>
      </c>
      <c r="C1287" s="459">
        <v>8</v>
      </c>
      <c r="D1287" s="460">
        <v>3</v>
      </c>
      <c r="E1287" s="460">
        <v>1</v>
      </c>
      <c r="G1287" s="1798" t="s">
        <v>24</v>
      </c>
      <c r="H1287" s="1783" t="s">
        <v>1239</v>
      </c>
      <c r="I1287" s="1750" t="s">
        <v>7308</v>
      </c>
      <c r="J1287" s="1785" t="s">
        <v>4169</v>
      </c>
      <c r="K1287" s="1786" t="s">
        <v>642</v>
      </c>
      <c r="L1287" s="1787">
        <v>22.84</v>
      </c>
      <c r="M1287" s="1787">
        <v>34.058466666666661</v>
      </c>
      <c r="N1287" s="1754">
        <v>777.89537866666603</v>
      </c>
      <c r="O1287" s="1788"/>
      <c r="P1287" s="1721" t="s">
        <v>9611</v>
      </c>
    </row>
    <row r="1288" spans="1:16" ht="13.5" hidden="1" customHeight="1" outlineLevel="2" x14ac:dyDescent="0.2">
      <c r="A1288" s="459">
        <v>0</v>
      </c>
      <c r="B1288" s="459">
        <v>13</v>
      </c>
      <c r="C1288" s="459">
        <v>8</v>
      </c>
      <c r="D1288" s="460">
        <v>4</v>
      </c>
      <c r="E1288" s="460">
        <v>0</v>
      </c>
      <c r="G1288" s="1797"/>
      <c r="H1288" s="1777" t="s">
        <v>1238</v>
      </c>
      <c r="I1288" s="1742" t="s">
        <v>7309</v>
      </c>
      <c r="J1288" s="1779" t="s">
        <v>2787</v>
      </c>
      <c r="K1288" s="1780"/>
      <c r="L1288" s="1781"/>
      <c r="M1288" s="1781"/>
      <c r="N1288" s="1746">
        <v>61.320104999999998</v>
      </c>
      <c r="O1288" s="1782"/>
      <c r="P1288" s="1720"/>
    </row>
    <row r="1289" spans="1:16" ht="13.5" hidden="1" customHeight="1" outlineLevel="3" x14ac:dyDescent="0.2">
      <c r="A1289" s="459">
        <v>0</v>
      </c>
      <c r="B1289" s="459">
        <v>13</v>
      </c>
      <c r="C1289" s="459">
        <v>8</v>
      </c>
      <c r="D1289" s="460">
        <v>4</v>
      </c>
      <c r="E1289" s="460">
        <v>1</v>
      </c>
      <c r="G1289" s="1798" t="s">
        <v>24</v>
      </c>
      <c r="H1289" s="1783" t="s">
        <v>1239</v>
      </c>
      <c r="I1289" s="1750" t="s">
        <v>7310</v>
      </c>
      <c r="J1289" s="1785" t="s">
        <v>1683</v>
      </c>
      <c r="K1289" s="1786" t="s">
        <v>534</v>
      </c>
      <c r="L1289" s="1787">
        <v>7</v>
      </c>
      <c r="M1289" s="1787">
        <v>8.760015000000001</v>
      </c>
      <c r="N1289" s="1754">
        <v>61.320104999999998</v>
      </c>
      <c r="O1289" s="1788" t="s">
        <v>4207</v>
      </c>
      <c r="P1289" s="1721" t="s">
        <v>9611</v>
      </c>
    </row>
    <row r="1290" spans="1:16" ht="13.5" hidden="1" customHeight="1" outlineLevel="2" x14ac:dyDescent="0.2">
      <c r="A1290" s="459">
        <v>0</v>
      </c>
      <c r="B1290" s="459">
        <v>13</v>
      </c>
      <c r="C1290" s="459">
        <v>8</v>
      </c>
      <c r="D1290" s="460">
        <v>5</v>
      </c>
      <c r="E1290" s="460">
        <v>0</v>
      </c>
      <c r="G1290" s="1797"/>
      <c r="H1290" s="1777" t="s">
        <v>1238</v>
      </c>
      <c r="I1290" s="1742" t="s">
        <v>7311</v>
      </c>
      <c r="J1290" s="1779" t="s">
        <v>4185</v>
      </c>
      <c r="K1290" s="1780"/>
      <c r="L1290" s="1781"/>
      <c r="M1290" s="1781"/>
      <c r="N1290" s="1746">
        <v>54285.30141</v>
      </c>
      <c r="O1290" s="1782"/>
      <c r="P1290" s="1720"/>
    </row>
    <row r="1291" spans="1:16" ht="13.5" hidden="1" customHeight="1" outlineLevel="3" x14ac:dyDescent="0.2">
      <c r="A1291" s="459">
        <v>0</v>
      </c>
      <c r="B1291" s="459">
        <v>13</v>
      </c>
      <c r="C1291" s="459">
        <v>8</v>
      </c>
      <c r="D1291" s="460">
        <v>5</v>
      </c>
      <c r="E1291" s="460">
        <v>1</v>
      </c>
      <c r="G1291" s="1798" t="s">
        <v>24</v>
      </c>
      <c r="H1291" s="1783" t="s">
        <v>1239</v>
      </c>
      <c r="I1291" s="1750" t="s">
        <v>7312</v>
      </c>
      <c r="J1291" s="1785" t="s">
        <v>4175</v>
      </c>
      <c r="K1291" s="1786" t="s">
        <v>642</v>
      </c>
      <c r="L1291" s="1787">
        <v>299.62</v>
      </c>
      <c r="M1291" s="1787">
        <v>181.18049999999999</v>
      </c>
      <c r="N1291" s="1754">
        <v>54285.30141</v>
      </c>
      <c r="O1291" s="1788" t="s">
        <v>4186</v>
      </c>
      <c r="P1291" s="1721" t="s">
        <v>9611</v>
      </c>
    </row>
    <row r="1292" spans="1:16" ht="13.5" hidden="1" customHeight="1" outlineLevel="2" x14ac:dyDescent="0.2">
      <c r="A1292" s="459">
        <v>0</v>
      </c>
      <c r="B1292" s="459">
        <v>13</v>
      </c>
      <c r="C1292" s="459">
        <v>8</v>
      </c>
      <c r="D1292" s="460">
        <v>6</v>
      </c>
      <c r="E1292" s="460">
        <v>0</v>
      </c>
      <c r="G1292" s="1797"/>
      <c r="H1292" s="1777" t="s">
        <v>1238</v>
      </c>
      <c r="I1292" s="1742" t="s">
        <v>7313</v>
      </c>
      <c r="J1292" s="1779" t="s">
        <v>1249</v>
      </c>
      <c r="K1292" s="1780"/>
      <c r="L1292" s="1781"/>
      <c r="M1292" s="1781"/>
      <c r="N1292" s="1746">
        <v>40169.26</v>
      </c>
      <c r="O1292" s="1782"/>
      <c r="P1292" s="1720"/>
    </row>
    <row r="1293" spans="1:16" ht="13.5" hidden="1" customHeight="1" outlineLevel="3" x14ac:dyDescent="0.2">
      <c r="A1293" s="459">
        <v>0</v>
      </c>
      <c r="B1293" s="459">
        <v>13</v>
      </c>
      <c r="C1293" s="459">
        <v>8</v>
      </c>
      <c r="D1293" s="460">
        <v>6</v>
      </c>
      <c r="E1293" s="460">
        <v>1</v>
      </c>
      <c r="G1293" s="1798" t="s">
        <v>24</v>
      </c>
      <c r="H1293" s="1783" t="s">
        <v>1239</v>
      </c>
      <c r="I1293" s="1750" t="s">
        <v>7314</v>
      </c>
      <c r="J1293" s="1785" t="s">
        <v>470</v>
      </c>
      <c r="K1293" s="1786" t="s">
        <v>642</v>
      </c>
      <c r="L1293" s="1787">
        <v>360.48</v>
      </c>
      <c r="M1293" s="1787">
        <v>20</v>
      </c>
      <c r="N1293" s="1754">
        <v>7209.6</v>
      </c>
      <c r="O1293" s="1788"/>
      <c r="P1293" s="1721" t="s">
        <v>9611</v>
      </c>
    </row>
    <row r="1294" spans="1:16" ht="13.5" hidden="1" customHeight="1" outlineLevel="3" x14ac:dyDescent="0.2">
      <c r="A1294" s="459">
        <v>0</v>
      </c>
      <c r="B1294" s="459">
        <v>13</v>
      </c>
      <c r="C1294" s="459">
        <v>8</v>
      </c>
      <c r="D1294" s="460">
        <v>6</v>
      </c>
      <c r="E1294" s="460">
        <v>2</v>
      </c>
      <c r="G1294" s="1798" t="s">
        <v>24</v>
      </c>
      <c r="H1294" s="1783" t="s">
        <v>1239</v>
      </c>
      <c r="I1294" s="1750" t="s">
        <v>7315</v>
      </c>
      <c r="J1294" s="1785" t="s">
        <v>471</v>
      </c>
      <c r="K1294" s="1786" t="s">
        <v>642</v>
      </c>
      <c r="L1294" s="1787">
        <v>351.71000000000004</v>
      </c>
      <c r="M1294" s="1787">
        <v>35</v>
      </c>
      <c r="N1294" s="1754">
        <v>12309.85</v>
      </c>
      <c r="O1294" s="1788"/>
      <c r="P1294" s="1721" t="s">
        <v>9611</v>
      </c>
    </row>
    <row r="1295" spans="1:16" ht="13.5" hidden="1" customHeight="1" outlineLevel="3" x14ac:dyDescent="0.2">
      <c r="A1295" s="459">
        <v>0</v>
      </c>
      <c r="B1295" s="459">
        <v>13</v>
      </c>
      <c r="C1295" s="459">
        <v>8</v>
      </c>
      <c r="D1295" s="460">
        <v>6</v>
      </c>
      <c r="E1295" s="460">
        <v>3</v>
      </c>
      <c r="G1295" s="1798" t="s">
        <v>24</v>
      </c>
      <c r="H1295" s="1783" t="s">
        <v>1239</v>
      </c>
      <c r="I1295" s="1750" t="s">
        <v>7316</v>
      </c>
      <c r="J1295" s="1785" t="s">
        <v>4195</v>
      </c>
      <c r="K1295" s="1786" t="s">
        <v>642</v>
      </c>
      <c r="L1295" s="1787">
        <v>44.18</v>
      </c>
      <c r="M1295" s="1787">
        <v>32</v>
      </c>
      <c r="N1295" s="1754">
        <v>1413.76</v>
      </c>
      <c r="O1295" s="1788"/>
      <c r="P1295" s="1721" t="s">
        <v>9611</v>
      </c>
    </row>
    <row r="1296" spans="1:16" ht="13.5" hidden="1" customHeight="1" outlineLevel="3" x14ac:dyDescent="0.2">
      <c r="A1296" s="459">
        <v>0</v>
      </c>
      <c r="B1296" s="459">
        <v>13</v>
      </c>
      <c r="C1296" s="459">
        <v>8</v>
      </c>
      <c r="D1296" s="460">
        <v>6</v>
      </c>
      <c r="E1296" s="460">
        <v>4</v>
      </c>
      <c r="G1296" s="1798" t="s">
        <v>24</v>
      </c>
      <c r="H1296" s="1783" t="s">
        <v>1239</v>
      </c>
      <c r="I1296" s="1750" t="s">
        <v>7317</v>
      </c>
      <c r="J1296" s="1785" t="s">
        <v>4199</v>
      </c>
      <c r="K1296" s="1786" t="s">
        <v>642</v>
      </c>
      <c r="L1296" s="1787">
        <v>120.07000000000001</v>
      </c>
      <c r="M1296" s="1787">
        <v>45</v>
      </c>
      <c r="N1296" s="1754">
        <v>5403.15</v>
      </c>
      <c r="O1296" s="1788"/>
      <c r="P1296" s="1721" t="s">
        <v>9611</v>
      </c>
    </row>
    <row r="1297" spans="1:16" ht="13.5" hidden="1" customHeight="1" outlineLevel="3" x14ac:dyDescent="0.2">
      <c r="A1297" s="459">
        <v>0</v>
      </c>
      <c r="B1297" s="459">
        <v>13</v>
      </c>
      <c r="C1297" s="459">
        <v>8</v>
      </c>
      <c r="D1297" s="460">
        <v>6</v>
      </c>
      <c r="E1297" s="460">
        <v>5</v>
      </c>
      <c r="G1297" s="1798" t="s">
        <v>24</v>
      </c>
      <c r="H1297" s="1783" t="s">
        <v>1239</v>
      </c>
      <c r="I1297" s="1750" t="s">
        <v>7318</v>
      </c>
      <c r="J1297" s="1785" t="s">
        <v>4196</v>
      </c>
      <c r="K1297" s="1786" t="s">
        <v>642</v>
      </c>
      <c r="L1297" s="1787">
        <v>299.62</v>
      </c>
      <c r="M1297" s="1787">
        <v>45</v>
      </c>
      <c r="N1297" s="1754">
        <v>13482.9</v>
      </c>
      <c r="O1297" s="1788"/>
      <c r="P1297" s="1721" t="s">
        <v>9611</v>
      </c>
    </row>
    <row r="1298" spans="1:16" ht="13.5" hidden="1" customHeight="1" outlineLevel="3" x14ac:dyDescent="0.2">
      <c r="A1298" s="459">
        <v>0</v>
      </c>
      <c r="B1298" s="459">
        <v>13</v>
      </c>
      <c r="C1298" s="459">
        <v>8</v>
      </c>
      <c r="D1298" s="460">
        <v>6</v>
      </c>
      <c r="E1298" s="460">
        <v>6</v>
      </c>
      <c r="G1298" s="1798" t="s">
        <v>24</v>
      </c>
      <c r="H1298" s="1783" t="s">
        <v>1239</v>
      </c>
      <c r="I1298" s="1750" t="s">
        <v>7319</v>
      </c>
      <c r="J1298" s="1751" t="s">
        <v>478</v>
      </c>
      <c r="K1298" s="1786" t="s">
        <v>534</v>
      </c>
      <c r="L1298" s="1787">
        <v>7</v>
      </c>
      <c r="M1298" s="1787">
        <v>50</v>
      </c>
      <c r="N1298" s="1754">
        <v>350</v>
      </c>
      <c r="O1298" s="1788"/>
      <c r="P1298" s="1721" t="s">
        <v>9611</v>
      </c>
    </row>
    <row r="1299" spans="1:16" ht="13.5" hidden="1" customHeight="1" outlineLevel="1" x14ac:dyDescent="0.2">
      <c r="A1299" s="459">
        <v>0</v>
      </c>
      <c r="B1299" s="459">
        <v>13</v>
      </c>
      <c r="C1299" s="459">
        <v>9</v>
      </c>
      <c r="D1299" s="460">
        <v>0</v>
      </c>
      <c r="E1299" s="460">
        <v>6</v>
      </c>
      <c r="G1299" s="1796"/>
      <c r="H1299" s="1771" t="s">
        <v>39</v>
      </c>
      <c r="I1299" s="1735" t="s">
        <v>7320</v>
      </c>
      <c r="J1299" s="1773" t="s">
        <v>2835</v>
      </c>
      <c r="K1299" s="1774"/>
      <c r="L1299" s="1775"/>
      <c r="M1299" s="1775"/>
      <c r="N1299" s="1739">
        <v>35844.704781</v>
      </c>
      <c r="O1299" s="1776">
        <v>2.1400245366625099</v>
      </c>
      <c r="P1299" s="1719"/>
    </row>
    <row r="1300" spans="1:16" ht="13.5" hidden="1" customHeight="1" outlineLevel="2" x14ac:dyDescent="0.2">
      <c r="A1300" s="459">
        <v>0</v>
      </c>
      <c r="B1300" s="459">
        <v>13</v>
      </c>
      <c r="C1300" s="459">
        <v>9</v>
      </c>
      <c r="D1300" s="460">
        <v>1</v>
      </c>
      <c r="E1300" s="460">
        <v>0</v>
      </c>
      <c r="G1300" s="1797"/>
      <c r="H1300" s="1777" t="s">
        <v>1238</v>
      </c>
      <c r="I1300" s="1742" t="s">
        <v>7321</v>
      </c>
      <c r="J1300" s="1779" t="s">
        <v>25</v>
      </c>
      <c r="K1300" s="1780"/>
      <c r="L1300" s="1781"/>
      <c r="M1300" s="1781"/>
      <c r="N1300" s="1746">
        <v>3086.7944130000001</v>
      </c>
      <c r="O1300" s="1782">
        <v>0.184289864397328</v>
      </c>
      <c r="P1300" s="1720"/>
    </row>
    <row r="1301" spans="1:16" ht="13.5" hidden="1" customHeight="1" outlineLevel="3" x14ac:dyDescent="0.2">
      <c r="A1301" s="459">
        <v>0</v>
      </c>
      <c r="B1301" s="459">
        <v>13</v>
      </c>
      <c r="C1301" s="459">
        <v>9</v>
      </c>
      <c r="D1301" s="460">
        <v>1</v>
      </c>
      <c r="E1301" s="460">
        <v>1</v>
      </c>
      <c r="G1301" s="1798" t="s">
        <v>24</v>
      </c>
      <c r="H1301" s="1783" t="s">
        <v>1239</v>
      </c>
      <c r="I1301" s="1750" t="s">
        <v>7322</v>
      </c>
      <c r="J1301" s="1785" t="s">
        <v>442</v>
      </c>
      <c r="K1301" s="1786" t="s">
        <v>642</v>
      </c>
      <c r="L1301" s="1787">
        <v>123.76999999999998</v>
      </c>
      <c r="M1301" s="1787">
        <v>7.0658999999999992</v>
      </c>
      <c r="N1301" s="1754">
        <v>874.54644299999995</v>
      </c>
      <c r="O1301" s="1788" t="s">
        <v>4191</v>
      </c>
      <c r="P1301" s="1721" t="s">
        <v>9611</v>
      </c>
    </row>
    <row r="1302" spans="1:16" ht="13.5" hidden="1" customHeight="1" outlineLevel="3" x14ac:dyDescent="0.2">
      <c r="A1302" s="459">
        <v>0</v>
      </c>
      <c r="B1302" s="459">
        <v>13</v>
      </c>
      <c r="C1302" s="459">
        <v>9</v>
      </c>
      <c r="D1302" s="460">
        <v>1</v>
      </c>
      <c r="E1302" s="460">
        <v>2</v>
      </c>
      <c r="G1302" s="1798" t="s">
        <v>24</v>
      </c>
      <c r="H1302" s="1783" t="s">
        <v>1239</v>
      </c>
      <c r="I1302" s="1750" t="s">
        <v>7323</v>
      </c>
      <c r="J1302" s="1785" t="s">
        <v>444</v>
      </c>
      <c r="K1302" s="1786" t="s">
        <v>642</v>
      </c>
      <c r="L1302" s="1787">
        <v>44.82</v>
      </c>
      <c r="M1302" s="1787">
        <v>49.358499999999999</v>
      </c>
      <c r="N1302" s="1754">
        <v>2212.2479699999999</v>
      </c>
      <c r="O1302" s="1788" t="s">
        <v>4192</v>
      </c>
      <c r="P1302" s="1721" t="s">
        <v>9611</v>
      </c>
    </row>
    <row r="1303" spans="1:16" ht="13.5" hidden="1" customHeight="1" outlineLevel="2" x14ac:dyDescent="0.2">
      <c r="A1303" s="459">
        <v>0</v>
      </c>
      <c r="B1303" s="459">
        <v>13</v>
      </c>
      <c r="C1303" s="459">
        <v>9</v>
      </c>
      <c r="D1303" s="460">
        <v>2</v>
      </c>
      <c r="E1303" s="460">
        <v>0</v>
      </c>
      <c r="G1303" s="1797"/>
      <c r="H1303" s="1777" t="s">
        <v>1238</v>
      </c>
      <c r="I1303" s="1742" t="s">
        <v>7324</v>
      </c>
      <c r="J1303" s="1779" t="s">
        <v>4188</v>
      </c>
      <c r="K1303" s="1780"/>
      <c r="L1303" s="1781"/>
      <c r="M1303" s="1781"/>
      <c r="N1303" s="1746">
        <v>5714.4672840000003</v>
      </c>
      <c r="O1303" s="1782"/>
      <c r="P1303" s="1720"/>
    </row>
    <row r="1304" spans="1:16" ht="13.5" hidden="1" customHeight="1" outlineLevel="3" x14ac:dyDescent="0.2">
      <c r="A1304" s="459">
        <v>0</v>
      </c>
      <c r="B1304" s="459">
        <v>13</v>
      </c>
      <c r="C1304" s="459">
        <v>9</v>
      </c>
      <c r="D1304" s="460">
        <v>2</v>
      </c>
      <c r="E1304" s="460">
        <v>1</v>
      </c>
      <c r="G1304" s="1798" t="s">
        <v>24</v>
      </c>
      <c r="H1304" s="1783" t="s">
        <v>1239</v>
      </c>
      <c r="I1304" s="1750" t="s">
        <v>7325</v>
      </c>
      <c r="J1304" s="1785" t="s">
        <v>4174</v>
      </c>
      <c r="K1304" s="1786" t="s">
        <v>642</v>
      </c>
      <c r="L1304" s="1787"/>
      <c r="M1304" s="1787">
        <v>133.18049999999999</v>
      </c>
      <c r="N1304" s="1754">
        <v>0</v>
      </c>
      <c r="O1304" s="1788" t="s">
        <v>4177</v>
      </c>
      <c r="P1304" s="1721" t="s">
        <v>9611</v>
      </c>
    </row>
    <row r="1305" spans="1:16" ht="13.5" hidden="1" customHeight="1" outlineLevel="3" x14ac:dyDescent="0.2">
      <c r="A1305" s="459">
        <v>0</v>
      </c>
      <c r="B1305" s="459">
        <v>13</v>
      </c>
      <c r="C1305" s="459">
        <v>9</v>
      </c>
      <c r="D1305" s="460">
        <v>2</v>
      </c>
      <c r="E1305" s="460">
        <v>2</v>
      </c>
      <c r="G1305" s="1798" t="s">
        <v>24</v>
      </c>
      <c r="H1305" s="1783" t="s">
        <v>1239</v>
      </c>
      <c r="I1305" s="1750" t="s">
        <v>7326</v>
      </c>
      <c r="J1305" s="1785" t="s">
        <v>4172</v>
      </c>
      <c r="K1305" s="1786" t="s">
        <v>642</v>
      </c>
      <c r="L1305" s="1787">
        <v>38.380000000000003</v>
      </c>
      <c r="M1305" s="1787">
        <v>148.89179999999999</v>
      </c>
      <c r="N1305" s="1754">
        <v>5714.4672840000003</v>
      </c>
      <c r="O1305" s="1788" t="s">
        <v>4181</v>
      </c>
      <c r="P1305" s="1721" t="s">
        <v>9611</v>
      </c>
    </row>
    <row r="1306" spans="1:16" ht="13.5" hidden="1" customHeight="1" outlineLevel="2" x14ac:dyDescent="0.2">
      <c r="A1306" s="459">
        <v>0</v>
      </c>
      <c r="B1306" s="459">
        <v>13</v>
      </c>
      <c r="C1306" s="459">
        <v>9</v>
      </c>
      <c r="D1306" s="460">
        <v>3</v>
      </c>
      <c r="E1306" s="460">
        <v>0</v>
      </c>
      <c r="G1306" s="1797"/>
      <c r="H1306" s="1777" t="s">
        <v>1238</v>
      </c>
      <c r="I1306" s="1742" t="s">
        <v>7327</v>
      </c>
      <c r="J1306" s="1779" t="s">
        <v>4187</v>
      </c>
      <c r="K1306" s="1780"/>
      <c r="L1306" s="1781"/>
      <c r="M1306" s="1781"/>
      <c r="N1306" s="1746">
        <v>11127.6923133333</v>
      </c>
      <c r="O1306" s="1782"/>
      <c r="P1306" s="1720"/>
    </row>
    <row r="1307" spans="1:16" ht="13.5" hidden="1" customHeight="1" outlineLevel="3" x14ac:dyDescent="0.2">
      <c r="A1307" s="459">
        <v>0</v>
      </c>
      <c r="B1307" s="459">
        <v>13</v>
      </c>
      <c r="C1307" s="459">
        <v>9</v>
      </c>
      <c r="D1307" s="460">
        <v>3</v>
      </c>
      <c r="E1307" s="460">
        <v>1</v>
      </c>
      <c r="G1307" s="1798" t="s">
        <v>24</v>
      </c>
      <c r="H1307" s="1783" t="s">
        <v>1239</v>
      </c>
      <c r="I1307" s="1750" t="s">
        <v>7328</v>
      </c>
      <c r="J1307" s="1785" t="s">
        <v>4169</v>
      </c>
      <c r="K1307" s="1786" t="s">
        <v>642</v>
      </c>
      <c r="L1307" s="1787">
        <v>103.00999999999999</v>
      </c>
      <c r="M1307" s="1787">
        <v>34.058466666666661</v>
      </c>
      <c r="N1307" s="1754">
        <v>3508.3626513333302</v>
      </c>
      <c r="O1307" s="1788" t="s">
        <v>4179</v>
      </c>
      <c r="P1307" s="1721" t="s">
        <v>9611</v>
      </c>
    </row>
    <row r="1308" spans="1:16" ht="13.5" hidden="1" customHeight="1" outlineLevel="3" x14ac:dyDescent="0.2">
      <c r="A1308" s="459">
        <v>0</v>
      </c>
      <c r="B1308" s="459">
        <v>13</v>
      </c>
      <c r="C1308" s="459">
        <v>9</v>
      </c>
      <c r="D1308" s="460">
        <v>3</v>
      </c>
      <c r="E1308" s="460">
        <v>2</v>
      </c>
      <c r="G1308" s="1798" t="s">
        <v>24</v>
      </c>
      <c r="H1308" s="1783" t="s">
        <v>1239</v>
      </c>
      <c r="I1308" s="1750" t="s">
        <v>7329</v>
      </c>
      <c r="J1308" s="1785" t="s">
        <v>4172</v>
      </c>
      <c r="K1308" s="1786" t="s">
        <v>642</v>
      </c>
      <c r="L1308" s="1787">
        <v>8.99</v>
      </c>
      <c r="M1308" s="1787">
        <v>148.89179999999999</v>
      </c>
      <c r="N1308" s="1754">
        <v>1338.537282</v>
      </c>
      <c r="O1308" s="1788" t="s">
        <v>4180</v>
      </c>
      <c r="P1308" s="1721" t="s">
        <v>9611</v>
      </c>
    </row>
    <row r="1309" spans="1:16" ht="13.5" hidden="1" customHeight="1" outlineLevel="3" x14ac:dyDescent="0.2">
      <c r="A1309" s="459">
        <v>0</v>
      </c>
      <c r="B1309" s="459">
        <v>13</v>
      </c>
      <c r="C1309" s="459">
        <v>9</v>
      </c>
      <c r="D1309" s="460">
        <v>3</v>
      </c>
      <c r="E1309" s="460">
        <v>3</v>
      </c>
      <c r="G1309" s="1798" t="s">
        <v>24</v>
      </c>
      <c r="H1309" s="1783" t="s">
        <v>1239</v>
      </c>
      <c r="I1309" s="1750" t="s">
        <v>7330</v>
      </c>
      <c r="J1309" s="1785" t="s">
        <v>4174</v>
      </c>
      <c r="K1309" s="1786" t="s">
        <v>642</v>
      </c>
      <c r="L1309" s="1787">
        <v>47.16</v>
      </c>
      <c r="M1309" s="1787">
        <v>133.18049999999999</v>
      </c>
      <c r="N1309" s="1754">
        <v>6280.7923799999999</v>
      </c>
      <c r="O1309" s="1788" t="s">
        <v>4183</v>
      </c>
      <c r="P1309" s="1721" t="s">
        <v>9611</v>
      </c>
    </row>
    <row r="1310" spans="1:16" ht="13.5" hidden="1" customHeight="1" outlineLevel="2" x14ac:dyDescent="0.2">
      <c r="A1310" s="459">
        <v>0</v>
      </c>
      <c r="B1310" s="459">
        <v>13</v>
      </c>
      <c r="C1310" s="459">
        <v>9</v>
      </c>
      <c r="D1310" s="460">
        <v>4</v>
      </c>
      <c r="E1310" s="460">
        <v>0</v>
      </c>
      <c r="G1310" s="1797"/>
      <c r="H1310" s="1777" t="s">
        <v>1238</v>
      </c>
      <c r="I1310" s="1742" t="s">
        <v>7331</v>
      </c>
      <c r="J1310" s="1779" t="s">
        <v>2786</v>
      </c>
      <c r="K1310" s="1780"/>
      <c r="L1310" s="1781"/>
      <c r="M1310" s="1781"/>
      <c r="N1310" s="1746">
        <v>1695.4304706666701</v>
      </c>
      <c r="O1310" s="1782"/>
      <c r="P1310" s="1720"/>
    </row>
    <row r="1311" spans="1:16" ht="13.5" hidden="1" customHeight="1" outlineLevel="3" x14ac:dyDescent="0.2">
      <c r="A1311" s="459">
        <v>0</v>
      </c>
      <c r="B1311" s="459">
        <v>13</v>
      </c>
      <c r="C1311" s="459">
        <v>9</v>
      </c>
      <c r="D1311" s="460">
        <v>4</v>
      </c>
      <c r="E1311" s="460">
        <v>1</v>
      </c>
      <c r="G1311" s="1798" t="s">
        <v>24</v>
      </c>
      <c r="H1311" s="1783" t="s">
        <v>1239</v>
      </c>
      <c r="I1311" s="1750" t="s">
        <v>7332</v>
      </c>
      <c r="J1311" s="1785" t="s">
        <v>4169</v>
      </c>
      <c r="K1311" s="1786" t="s">
        <v>642</v>
      </c>
      <c r="L1311" s="1787">
        <v>49.78</v>
      </c>
      <c r="M1311" s="1787">
        <v>34.058466666666661</v>
      </c>
      <c r="N1311" s="1754">
        <v>1695.4304706666701</v>
      </c>
      <c r="O1311" s="1788"/>
      <c r="P1311" s="1721" t="s">
        <v>9611</v>
      </c>
    </row>
    <row r="1312" spans="1:16" ht="13.5" hidden="1" customHeight="1" outlineLevel="2" x14ac:dyDescent="0.2">
      <c r="A1312" s="459">
        <v>0</v>
      </c>
      <c r="B1312" s="459">
        <v>13</v>
      </c>
      <c r="C1312" s="459">
        <v>9</v>
      </c>
      <c r="D1312" s="460">
        <v>5</v>
      </c>
      <c r="E1312" s="460">
        <v>0</v>
      </c>
      <c r="G1312" s="1797"/>
      <c r="H1312" s="1777" t="s">
        <v>1238</v>
      </c>
      <c r="I1312" s="1742" t="s">
        <v>7333</v>
      </c>
      <c r="J1312" s="1779" t="s">
        <v>2787</v>
      </c>
      <c r="K1312" s="1780"/>
      <c r="L1312" s="1781"/>
      <c r="M1312" s="1781"/>
      <c r="N1312" s="1746">
        <v>175.2003</v>
      </c>
      <c r="O1312" s="1782"/>
      <c r="P1312" s="1720"/>
    </row>
    <row r="1313" spans="1:16" ht="13.5" hidden="1" customHeight="1" outlineLevel="3" x14ac:dyDescent="0.2">
      <c r="A1313" s="459">
        <v>0</v>
      </c>
      <c r="B1313" s="459">
        <v>13</v>
      </c>
      <c r="C1313" s="459">
        <v>9</v>
      </c>
      <c r="D1313" s="460">
        <v>5</v>
      </c>
      <c r="E1313" s="460">
        <v>1</v>
      </c>
      <c r="G1313" s="1798" t="s">
        <v>24</v>
      </c>
      <c r="H1313" s="1783" t="s">
        <v>1239</v>
      </c>
      <c r="I1313" s="1750" t="s">
        <v>7334</v>
      </c>
      <c r="J1313" s="1785" t="s">
        <v>1683</v>
      </c>
      <c r="K1313" s="1786" t="s">
        <v>534</v>
      </c>
      <c r="L1313" s="1787">
        <v>20</v>
      </c>
      <c r="M1313" s="1787">
        <v>8.760015000000001</v>
      </c>
      <c r="N1313" s="1754">
        <v>175.2003</v>
      </c>
      <c r="O1313" s="1788" t="s">
        <v>4207</v>
      </c>
      <c r="P1313" s="1721" t="s">
        <v>9611</v>
      </c>
    </row>
    <row r="1314" spans="1:16" ht="13.5" hidden="1" customHeight="1" outlineLevel="2" x14ac:dyDescent="0.2">
      <c r="A1314" s="459">
        <v>0</v>
      </c>
      <c r="B1314" s="459">
        <v>13</v>
      </c>
      <c r="C1314" s="459">
        <v>9</v>
      </c>
      <c r="D1314" s="460">
        <v>6</v>
      </c>
      <c r="E1314" s="460">
        <v>0</v>
      </c>
      <c r="G1314" s="1797"/>
      <c r="H1314" s="1777" t="s">
        <v>1238</v>
      </c>
      <c r="I1314" s="1742" t="s">
        <v>7335</v>
      </c>
      <c r="J1314" s="1779" t="s">
        <v>1249</v>
      </c>
      <c r="K1314" s="1780"/>
      <c r="L1314" s="1781"/>
      <c r="M1314" s="1781"/>
      <c r="N1314" s="1746">
        <v>14045.12</v>
      </c>
      <c r="O1314" s="1782"/>
      <c r="P1314" s="1720"/>
    </row>
    <row r="1315" spans="1:16" ht="13.5" hidden="1" customHeight="1" outlineLevel="3" x14ac:dyDescent="0.2">
      <c r="A1315" s="459">
        <v>0</v>
      </c>
      <c r="B1315" s="459">
        <v>13</v>
      </c>
      <c r="C1315" s="459">
        <v>9</v>
      </c>
      <c r="D1315" s="460">
        <v>6</v>
      </c>
      <c r="E1315" s="460">
        <v>1</v>
      </c>
      <c r="G1315" s="1798" t="s">
        <v>24</v>
      </c>
      <c r="H1315" s="1783" t="s">
        <v>1239</v>
      </c>
      <c r="I1315" s="1750" t="s">
        <v>7336</v>
      </c>
      <c r="J1315" s="1785" t="s">
        <v>470</v>
      </c>
      <c r="K1315" s="1786" t="s">
        <v>642</v>
      </c>
      <c r="L1315" s="1787">
        <v>123.76999999999998</v>
      </c>
      <c r="M1315" s="1787">
        <v>20</v>
      </c>
      <c r="N1315" s="1754">
        <v>2475.4</v>
      </c>
      <c r="O1315" s="1788"/>
      <c r="P1315" s="1721" t="s">
        <v>9611</v>
      </c>
    </row>
    <row r="1316" spans="1:16" ht="13.5" hidden="1" customHeight="1" outlineLevel="3" x14ac:dyDescent="0.2">
      <c r="A1316" s="459">
        <v>0</v>
      </c>
      <c r="B1316" s="459">
        <v>13</v>
      </c>
      <c r="C1316" s="459">
        <v>9</v>
      </c>
      <c r="D1316" s="460">
        <v>6</v>
      </c>
      <c r="E1316" s="460">
        <v>2</v>
      </c>
      <c r="G1316" s="1798" t="s">
        <v>24</v>
      </c>
      <c r="H1316" s="1783" t="s">
        <v>1239</v>
      </c>
      <c r="I1316" s="1750" t="s">
        <v>7337</v>
      </c>
      <c r="J1316" s="1785" t="s">
        <v>471</v>
      </c>
      <c r="K1316" s="1786" t="s">
        <v>642</v>
      </c>
      <c r="L1316" s="1787">
        <v>44.82</v>
      </c>
      <c r="M1316" s="1787">
        <v>35</v>
      </c>
      <c r="N1316" s="1754">
        <v>1568.7</v>
      </c>
      <c r="O1316" s="1788"/>
      <c r="P1316" s="1721" t="s">
        <v>9611</v>
      </c>
    </row>
    <row r="1317" spans="1:16" ht="13.5" hidden="1" customHeight="1" outlineLevel="3" x14ac:dyDescent="0.2">
      <c r="A1317" s="459">
        <v>0</v>
      </c>
      <c r="B1317" s="459">
        <v>13</v>
      </c>
      <c r="C1317" s="459">
        <v>9</v>
      </c>
      <c r="D1317" s="460">
        <v>6</v>
      </c>
      <c r="E1317" s="460">
        <v>3</v>
      </c>
      <c r="G1317" s="1798" t="s">
        <v>24</v>
      </c>
      <c r="H1317" s="1783" t="s">
        <v>1239</v>
      </c>
      <c r="I1317" s="1750" t="s">
        <v>7338</v>
      </c>
      <c r="J1317" s="1785" t="s">
        <v>4195</v>
      </c>
      <c r="K1317" s="1786" t="s">
        <v>642</v>
      </c>
      <c r="L1317" s="1787">
        <v>152.79</v>
      </c>
      <c r="M1317" s="1787">
        <v>32</v>
      </c>
      <c r="N1317" s="1754">
        <v>4889.28</v>
      </c>
      <c r="O1317" s="1788"/>
      <c r="P1317" s="1721" t="s">
        <v>9611</v>
      </c>
    </row>
    <row r="1318" spans="1:16" ht="13.5" hidden="1" customHeight="1" outlineLevel="3" x14ac:dyDescent="0.2">
      <c r="A1318" s="459">
        <v>0</v>
      </c>
      <c r="B1318" s="459">
        <v>13</v>
      </c>
      <c r="C1318" s="459">
        <v>9</v>
      </c>
      <c r="D1318" s="460">
        <v>6</v>
      </c>
      <c r="E1318" s="460">
        <v>4</v>
      </c>
      <c r="G1318" s="1798" t="s">
        <v>24</v>
      </c>
      <c r="H1318" s="1783" t="s">
        <v>1239</v>
      </c>
      <c r="I1318" s="1750" t="s">
        <v>7339</v>
      </c>
      <c r="J1318" s="1785" t="s">
        <v>4199</v>
      </c>
      <c r="K1318" s="1786" t="s">
        <v>642</v>
      </c>
      <c r="L1318" s="1787">
        <v>47.16</v>
      </c>
      <c r="M1318" s="1787">
        <v>45</v>
      </c>
      <c r="N1318" s="1754">
        <v>2122.1999999999998</v>
      </c>
      <c r="O1318" s="1788"/>
      <c r="P1318" s="1721" t="s">
        <v>9611</v>
      </c>
    </row>
    <row r="1319" spans="1:16" ht="13.5" hidden="1" customHeight="1" outlineLevel="3" x14ac:dyDescent="0.2">
      <c r="A1319" s="459">
        <v>0</v>
      </c>
      <c r="B1319" s="459">
        <v>13</v>
      </c>
      <c r="C1319" s="459">
        <v>9</v>
      </c>
      <c r="D1319" s="460">
        <v>6</v>
      </c>
      <c r="E1319" s="460">
        <v>5</v>
      </c>
      <c r="G1319" s="1798" t="s">
        <v>24</v>
      </c>
      <c r="H1319" s="1783" t="s">
        <v>1239</v>
      </c>
      <c r="I1319" s="1750" t="s">
        <v>7340</v>
      </c>
      <c r="J1319" s="1785" t="s">
        <v>4202</v>
      </c>
      <c r="K1319" s="1786" t="s">
        <v>642</v>
      </c>
      <c r="L1319" s="1787">
        <v>47.370000000000005</v>
      </c>
      <c r="M1319" s="1787">
        <v>42</v>
      </c>
      <c r="N1319" s="1754">
        <v>1989.54</v>
      </c>
      <c r="O1319" s="1788"/>
      <c r="P1319" s="1721" t="s">
        <v>9611</v>
      </c>
    </row>
    <row r="1320" spans="1:16" ht="13.5" hidden="1" customHeight="1" outlineLevel="3" x14ac:dyDescent="0.2">
      <c r="A1320" s="459">
        <v>0</v>
      </c>
      <c r="B1320" s="459">
        <v>13</v>
      </c>
      <c r="C1320" s="459">
        <v>9</v>
      </c>
      <c r="D1320" s="460">
        <v>6</v>
      </c>
      <c r="E1320" s="460">
        <v>6</v>
      </c>
      <c r="G1320" s="1798" t="s">
        <v>24</v>
      </c>
      <c r="H1320" s="1783" t="s">
        <v>1239</v>
      </c>
      <c r="I1320" s="1750" t="s">
        <v>7341</v>
      </c>
      <c r="J1320" s="1751" t="s">
        <v>478</v>
      </c>
      <c r="K1320" s="1786" t="s">
        <v>534</v>
      </c>
      <c r="L1320" s="1787">
        <v>20</v>
      </c>
      <c r="M1320" s="1787">
        <v>50</v>
      </c>
      <c r="N1320" s="1754">
        <v>1000</v>
      </c>
      <c r="O1320" s="1788"/>
      <c r="P1320" s="1721" t="s">
        <v>9611</v>
      </c>
    </row>
    <row r="1321" spans="1:16" ht="13.5" hidden="1" customHeight="1" outlineLevel="1" x14ac:dyDescent="0.2">
      <c r="A1321" s="459">
        <v>0</v>
      </c>
      <c r="B1321" s="459">
        <v>13</v>
      </c>
      <c r="C1321" s="459">
        <v>10</v>
      </c>
      <c r="D1321" s="460">
        <v>0</v>
      </c>
      <c r="E1321" s="460">
        <v>6</v>
      </c>
      <c r="G1321" s="1796"/>
      <c r="H1321" s="1771" t="s">
        <v>39</v>
      </c>
      <c r="I1321" s="1735" t="s">
        <v>7342</v>
      </c>
      <c r="J1321" s="1773" t="s">
        <v>2836</v>
      </c>
      <c r="K1321" s="1774"/>
      <c r="L1321" s="1775"/>
      <c r="M1321" s="1775"/>
      <c r="N1321" s="1739">
        <v>161272.162232</v>
      </c>
      <c r="O1321" s="1776">
        <v>9.6283784833969897</v>
      </c>
      <c r="P1321" s="1719"/>
    </row>
    <row r="1322" spans="1:16" ht="13.5" hidden="1" customHeight="1" outlineLevel="2" x14ac:dyDescent="0.2">
      <c r="A1322" s="459">
        <v>0</v>
      </c>
      <c r="B1322" s="459">
        <v>13</v>
      </c>
      <c r="C1322" s="459">
        <v>10</v>
      </c>
      <c r="D1322" s="460">
        <v>1</v>
      </c>
      <c r="E1322" s="460">
        <v>0</v>
      </c>
      <c r="G1322" s="1797"/>
      <c r="H1322" s="1777" t="s">
        <v>1238</v>
      </c>
      <c r="I1322" s="1742" t="s">
        <v>7343</v>
      </c>
      <c r="J1322" s="1779" t="s">
        <v>25</v>
      </c>
      <c r="K1322" s="1780"/>
      <c r="L1322" s="1781"/>
      <c r="M1322" s="1781"/>
      <c r="N1322" s="1746">
        <v>3499.5989519999998</v>
      </c>
      <c r="O1322" s="1782">
        <v>0.208935397055584</v>
      </c>
      <c r="P1322" s="1720"/>
    </row>
    <row r="1323" spans="1:16" ht="13.5" hidden="1" customHeight="1" outlineLevel="3" x14ac:dyDescent="0.2">
      <c r="A1323" s="459">
        <v>0</v>
      </c>
      <c r="B1323" s="459">
        <v>13</v>
      </c>
      <c r="C1323" s="459">
        <v>10</v>
      </c>
      <c r="D1323" s="460">
        <v>1</v>
      </c>
      <c r="E1323" s="460">
        <v>1</v>
      </c>
      <c r="G1323" s="1798" t="s">
        <v>24</v>
      </c>
      <c r="H1323" s="1783" t="s">
        <v>1239</v>
      </c>
      <c r="I1323" s="1750" t="s">
        <v>7344</v>
      </c>
      <c r="J1323" s="1785" t="s">
        <v>442</v>
      </c>
      <c r="K1323" s="1786" t="s">
        <v>642</v>
      </c>
      <c r="L1323" s="1787">
        <v>495.28000000000003</v>
      </c>
      <c r="M1323" s="1787">
        <v>7.0658999999999992</v>
      </c>
      <c r="N1323" s="1754">
        <v>3499.5989519999998</v>
      </c>
      <c r="O1323" s="1788" t="s">
        <v>4191</v>
      </c>
      <c r="P1323" s="1721" t="s">
        <v>9611</v>
      </c>
    </row>
    <row r="1324" spans="1:16" ht="13.5" hidden="1" customHeight="1" outlineLevel="2" x14ac:dyDescent="0.2">
      <c r="A1324" s="459">
        <v>0</v>
      </c>
      <c r="B1324" s="459">
        <v>13</v>
      </c>
      <c r="C1324" s="459">
        <v>10</v>
      </c>
      <c r="D1324" s="460">
        <v>2</v>
      </c>
      <c r="E1324" s="460">
        <v>0</v>
      </c>
      <c r="G1324" s="1797"/>
      <c r="H1324" s="1777" t="s">
        <v>1238</v>
      </c>
      <c r="I1324" s="1742" t="s">
        <v>7345</v>
      </c>
      <c r="J1324" s="1779" t="s">
        <v>4188</v>
      </c>
      <c r="K1324" s="1780"/>
      <c r="L1324" s="1781"/>
      <c r="M1324" s="1781"/>
      <c r="N1324" s="1746">
        <v>23858.422031999999</v>
      </c>
      <c r="O1324" s="1782"/>
      <c r="P1324" s="1720"/>
    </row>
    <row r="1325" spans="1:16" ht="13.5" hidden="1" customHeight="1" outlineLevel="3" x14ac:dyDescent="0.2">
      <c r="A1325" s="459">
        <v>0</v>
      </c>
      <c r="B1325" s="459">
        <v>13</v>
      </c>
      <c r="C1325" s="459">
        <v>10</v>
      </c>
      <c r="D1325" s="460">
        <v>2</v>
      </c>
      <c r="E1325" s="460">
        <v>1</v>
      </c>
      <c r="G1325" s="1798" t="s">
        <v>24</v>
      </c>
      <c r="H1325" s="1783" t="s">
        <v>1239</v>
      </c>
      <c r="I1325" s="1750" t="s">
        <v>7346</v>
      </c>
      <c r="J1325" s="1785" t="s">
        <v>4172</v>
      </c>
      <c r="K1325" s="1786" t="s">
        <v>642</v>
      </c>
      <c r="L1325" s="1787">
        <v>160.24</v>
      </c>
      <c r="M1325" s="1787">
        <v>148.89179999999999</v>
      </c>
      <c r="N1325" s="1754">
        <v>23858.422031999999</v>
      </c>
      <c r="O1325" s="1788" t="s">
        <v>4181</v>
      </c>
      <c r="P1325" s="1721" t="s">
        <v>9611</v>
      </c>
    </row>
    <row r="1326" spans="1:16" ht="13.5" hidden="1" customHeight="1" outlineLevel="2" x14ac:dyDescent="0.2">
      <c r="A1326" s="459">
        <v>0</v>
      </c>
      <c r="B1326" s="459">
        <v>13</v>
      </c>
      <c r="C1326" s="459">
        <v>10</v>
      </c>
      <c r="D1326" s="460">
        <v>3</v>
      </c>
      <c r="E1326" s="460">
        <v>0</v>
      </c>
      <c r="G1326" s="1797"/>
      <c r="H1326" s="1777" t="s">
        <v>1238</v>
      </c>
      <c r="I1326" s="1742" t="s">
        <v>7347</v>
      </c>
      <c r="J1326" s="1779" t="s">
        <v>4187</v>
      </c>
      <c r="K1326" s="1780"/>
      <c r="L1326" s="1781"/>
      <c r="M1326" s="1781"/>
      <c r="N1326" s="1746">
        <v>47660.958997333299</v>
      </c>
      <c r="O1326" s="1782"/>
      <c r="P1326" s="1720"/>
    </row>
    <row r="1327" spans="1:16" ht="13.5" hidden="1" customHeight="1" outlineLevel="3" x14ac:dyDescent="0.2">
      <c r="A1327" s="459">
        <v>0</v>
      </c>
      <c r="B1327" s="459">
        <v>13</v>
      </c>
      <c r="C1327" s="459">
        <v>10</v>
      </c>
      <c r="D1327" s="460">
        <v>3</v>
      </c>
      <c r="E1327" s="460">
        <v>1</v>
      </c>
      <c r="G1327" s="1798" t="s">
        <v>24</v>
      </c>
      <c r="H1327" s="1783" t="s">
        <v>1239</v>
      </c>
      <c r="I1327" s="1750" t="s">
        <v>7348</v>
      </c>
      <c r="J1327" s="1785" t="s">
        <v>4169</v>
      </c>
      <c r="K1327" s="1786" t="s">
        <v>642</v>
      </c>
      <c r="L1327" s="1787">
        <v>794.00000000000011</v>
      </c>
      <c r="M1327" s="1787">
        <v>34.058466666666661</v>
      </c>
      <c r="N1327" s="1754">
        <v>27042.422533333302</v>
      </c>
      <c r="O1327" s="1788" t="s">
        <v>4179</v>
      </c>
      <c r="P1327" s="1721" t="s">
        <v>9611</v>
      </c>
    </row>
    <row r="1328" spans="1:16" ht="13.5" hidden="1" customHeight="1" outlineLevel="3" x14ac:dyDescent="0.2">
      <c r="A1328" s="459">
        <v>0</v>
      </c>
      <c r="B1328" s="459">
        <v>13</v>
      </c>
      <c r="C1328" s="459">
        <v>10</v>
      </c>
      <c r="D1328" s="460">
        <v>3</v>
      </c>
      <c r="E1328" s="460">
        <v>2</v>
      </c>
      <c r="G1328" s="1798" t="s">
        <v>24</v>
      </c>
      <c r="H1328" s="1783" t="s">
        <v>1239</v>
      </c>
      <c r="I1328" s="1750" t="s">
        <v>7349</v>
      </c>
      <c r="J1328" s="1785" t="s">
        <v>4172</v>
      </c>
      <c r="K1328" s="1786" t="s">
        <v>642</v>
      </c>
      <c r="L1328" s="1787">
        <v>138.47999999999999</v>
      </c>
      <c r="M1328" s="1787">
        <v>148.89179999999999</v>
      </c>
      <c r="N1328" s="1754">
        <v>20618.536464000001</v>
      </c>
      <c r="O1328" s="1788" t="s">
        <v>4180</v>
      </c>
      <c r="P1328" s="1721" t="s">
        <v>9611</v>
      </c>
    </row>
    <row r="1329" spans="1:16" ht="13.5" hidden="1" customHeight="1" outlineLevel="2" x14ac:dyDescent="0.2">
      <c r="A1329" s="459">
        <v>0</v>
      </c>
      <c r="B1329" s="459">
        <v>13</v>
      </c>
      <c r="C1329" s="459">
        <v>10</v>
      </c>
      <c r="D1329" s="460">
        <v>4</v>
      </c>
      <c r="E1329" s="460">
        <v>0</v>
      </c>
      <c r="G1329" s="1797"/>
      <c r="H1329" s="1777" t="s">
        <v>1238</v>
      </c>
      <c r="I1329" s="1742" t="s">
        <v>7350</v>
      </c>
      <c r="J1329" s="1779" t="s">
        <v>2786</v>
      </c>
      <c r="K1329" s="1780"/>
      <c r="L1329" s="1781"/>
      <c r="M1329" s="1781"/>
      <c r="N1329" s="1746">
        <v>14947.5798506667</v>
      </c>
      <c r="O1329" s="1782"/>
      <c r="P1329" s="1720"/>
    </row>
    <row r="1330" spans="1:16" ht="13.5" hidden="1" customHeight="1" outlineLevel="3" x14ac:dyDescent="0.2">
      <c r="A1330" s="459">
        <v>0</v>
      </c>
      <c r="B1330" s="459">
        <v>13</v>
      </c>
      <c r="C1330" s="459">
        <v>10</v>
      </c>
      <c r="D1330" s="460">
        <v>4</v>
      </c>
      <c r="E1330" s="460">
        <v>1</v>
      </c>
      <c r="G1330" s="1798" t="s">
        <v>24</v>
      </c>
      <c r="H1330" s="1783" t="s">
        <v>1239</v>
      </c>
      <c r="I1330" s="1750" t="s">
        <v>7351</v>
      </c>
      <c r="J1330" s="1785" t="s">
        <v>4169</v>
      </c>
      <c r="K1330" s="1786" t="s">
        <v>642</v>
      </c>
      <c r="L1330" s="1787">
        <v>438.88</v>
      </c>
      <c r="M1330" s="1787">
        <v>34.058466666666661</v>
      </c>
      <c r="N1330" s="1754">
        <v>14947.5798506667</v>
      </c>
      <c r="O1330" s="1788"/>
      <c r="P1330" s="1721" t="s">
        <v>9611</v>
      </c>
    </row>
    <row r="1331" spans="1:16" ht="13.5" hidden="1" customHeight="1" outlineLevel="2" x14ac:dyDescent="0.2">
      <c r="A1331" s="459">
        <v>0</v>
      </c>
      <c r="B1331" s="459">
        <v>13</v>
      </c>
      <c r="C1331" s="459">
        <v>10</v>
      </c>
      <c r="D1331" s="460">
        <v>5</v>
      </c>
      <c r="E1331" s="460">
        <v>0</v>
      </c>
      <c r="G1331" s="1797"/>
      <c r="H1331" s="1777" t="s">
        <v>1238</v>
      </c>
      <c r="I1331" s="1742" t="s">
        <v>7352</v>
      </c>
      <c r="J1331" s="1779" t="s">
        <v>2787</v>
      </c>
      <c r="K1331" s="1780"/>
      <c r="L1331" s="1781"/>
      <c r="M1331" s="1781"/>
      <c r="N1331" s="1746">
        <v>1401.6024</v>
      </c>
      <c r="O1331" s="1782"/>
      <c r="P1331" s="1720"/>
    </row>
    <row r="1332" spans="1:16" ht="13.5" hidden="1" customHeight="1" outlineLevel="3" x14ac:dyDescent="0.2">
      <c r="A1332" s="459">
        <v>0</v>
      </c>
      <c r="B1332" s="459">
        <v>13</v>
      </c>
      <c r="C1332" s="459">
        <v>10</v>
      </c>
      <c r="D1332" s="460">
        <v>5</v>
      </c>
      <c r="E1332" s="460">
        <v>1</v>
      </c>
      <c r="G1332" s="1798" t="s">
        <v>24</v>
      </c>
      <c r="H1332" s="1783" t="s">
        <v>1239</v>
      </c>
      <c r="I1332" s="1750" t="s">
        <v>7353</v>
      </c>
      <c r="J1332" s="1785" t="s">
        <v>1683</v>
      </c>
      <c r="K1332" s="1786" t="s">
        <v>534</v>
      </c>
      <c r="L1332" s="1787">
        <v>160</v>
      </c>
      <c r="M1332" s="1787">
        <v>8.760015000000001</v>
      </c>
      <c r="N1332" s="1754">
        <v>1401.6024</v>
      </c>
      <c r="O1332" s="1788" t="s">
        <v>4207</v>
      </c>
      <c r="P1332" s="1721" t="s">
        <v>9611</v>
      </c>
    </row>
    <row r="1333" spans="1:16" ht="13.5" hidden="1" customHeight="1" outlineLevel="2" x14ac:dyDescent="0.2">
      <c r="A1333" s="459">
        <v>0</v>
      </c>
      <c r="B1333" s="459">
        <v>13</v>
      </c>
      <c r="C1333" s="459">
        <v>10</v>
      </c>
      <c r="D1333" s="460">
        <v>6</v>
      </c>
      <c r="E1333" s="460">
        <v>0</v>
      </c>
      <c r="G1333" s="1797"/>
      <c r="H1333" s="1777" t="s">
        <v>1238</v>
      </c>
      <c r="I1333" s="1742" t="s">
        <v>7354</v>
      </c>
      <c r="J1333" s="1779" t="s">
        <v>1249</v>
      </c>
      <c r="K1333" s="1780"/>
      <c r="L1333" s="1781"/>
      <c r="M1333" s="1781"/>
      <c r="N1333" s="1746">
        <v>69904</v>
      </c>
      <c r="O1333" s="1782"/>
      <c r="P1333" s="1720"/>
    </row>
    <row r="1334" spans="1:16" ht="13.5" hidden="1" customHeight="1" outlineLevel="3" x14ac:dyDescent="0.2">
      <c r="A1334" s="459">
        <v>0</v>
      </c>
      <c r="B1334" s="459">
        <v>13</v>
      </c>
      <c r="C1334" s="459">
        <v>10</v>
      </c>
      <c r="D1334" s="460">
        <v>6</v>
      </c>
      <c r="E1334" s="460">
        <v>1</v>
      </c>
      <c r="G1334" s="1798" t="s">
        <v>24</v>
      </c>
      <c r="H1334" s="1783" t="s">
        <v>1239</v>
      </c>
      <c r="I1334" s="1750" t="s">
        <v>7355</v>
      </c>
      <c r="J1334" s="1785" t="s">
        <v>470</v>
      </c>
      <c r="K1334" s="1786" t="s">
        <v>642</v>
      </c>
      <c r="L1334" s="1787">
        <v>495.28000000000003</v>
      </c>
      <c r="M1334" s="1787">
        <v>20</v>
      </c>
      <c r="N1334" s="1754">
        <v>9905.6</v>
      </c>
      <c r="O1334" s="1788"/>
      <c r="P1334" s="1721" t="s">
        <v>9611</v>
      </c>
    </row>
    <row r="1335" spans="1:16" ht="13.5" hidden="1" customHeight="1" outlineLevel="3" x14ac:dyDescent="0.2">
      <c r="A1335" s="459">
        <v>0</v>
      </c>
      <c r="B1335" s="459">
        <v>13</v>
      </c>
      <c r="C1335" s="459">
        <v>10</v>
      </c>
      <c r="D1335" s="460">
        <v>6</v>
      </c>
      <c r="E1335" s="460">
        <v>2</v>
      </c>
      <c r="G1335" s="1798" t="s">
        <v>24</v>
      </c>
      <c r="H1335" s="1783" t="s">
        <v>1239</v>
      </c>
      <c r="I1335" s="1750" t="s">
        <v>7356</v>
      </c>
      <c r="J1335" s="1785" t="s">
        <v>4195</v>
      </c>
      <c r="K1335" s="1786" t="s">
        <v>642</v>
      </c>
      <c r="L1335" s="1787">
        <v>1232.8800000000001</v>
      </c>
      <c r="M1335" s="1787">
        <v>32</v>
      </c>
      <c r="N1335" s="1754">
        <v>39452.160000000003</v>
      </c>
      <c r="O1335" s="1788"/>
      <c r="P1335" s="1721" t="s">
        <v>9611</v>
      </c>
    </row>
    <row r="1336" spans="1:16" ht="13.5" hidden="1" customHeight="1" outlineLevel="3" x14ac:dyDescent="0.2">
      <c r="A1336" s="459">
        <v>0</v>
      </c>
      <c r="B1336" s="459">
        <v>13</v>
      </c>
      <c r="C1336" s="459">
        <v>10</v>
      </c>
      <c r="D1336" s="460">
        <v>6</v>
      </c>
      <c r="E1336" s="460">
        <v>3</v>
      </c>
      <c r="G1336" s="1798" t="s">
        <v>24</v>
      </c>
      <c r="H1336" s="1783" t="s">
        <v>1239</v>
      </c>
      <c r="I1336" s="1750" t="s">
        <v>7357</v>
      </c>
      <c r="J1336" s="1785" t="s">
        <v>4202</v>
      </c>
      <c r="K1336" s="1786" t="s">
        <v>642</v>
      </c>
      <c r="L1336" s="1787">
        <v>298.72000000000003</v>
      </c>
      <c r="M1336" s="1787">
        <v>42</v>
      </c>
      <c r="N1336" s="1754">
        <v>12546.24</v>
      </c>
      <c r="O1336" s="1788"/>
      <c r="P1336" s="1721" t="s">
        <v>9611</v>
      </c>
    </row>
    <row r="1337" spans="1:16" ht="13.5" hidden="1" customHeight="1" outlineLevel="3" x14ac:dyDescent="0.2">
      <c r="A1337" s="459">
        <v>0</v>
      </c>
      <c r="B1337" s="459">
        <v>13</v>
      </c>
      <c r="C1337" s="459">
        <v>10</v>
      </c>
      <c r="D1337" s="460">
        <v>6</v>
      </c>
      <c r="E1337" s="460">
        <v>4</v>
      </c>
      <c r="G1337" s="1798" t="s">
        <v>24</v>
      </c>
      <c r="H1337" s="1783" t="s">
        <v>1239</v>
      </c>
      <c r="I1337" s="1750" t="s">
        <v>7358</v>
      </c>
      <c r="J1337" s="1751" t="s">
        <v>478</v>
      </c>
      <c r="K1337" s="1786" t="s">
        <v>534</v>
      </c>
      <c r="L1337" s="1787">
        <v>160</v>
      </c>
      <c r="M1337" s="1787">
        <v>50</v>
      </c>
      <c r="N1337" s="1754">
        <v>8000</v>
      </c>
      <c r="O1337" s="1788"/>
      <c r="P1337" s="1721" t="s">
        <v>9611</v>
      </c>
    </row>
    <row r="1338" spans="1:16" ht="13.5" hidden="1" customHeight="1" outlineLevel="1" x14ac:dyDescent="0.2">
      <c r="A1338" s="459">
        <v>0</v>
      </c>
      <c r="B1338" s="459">
        <v>13</v>
      </c>
      <c r="C1338" s="459">
        <v>11</v>
      </c>
      <c r="D1338" s="460">
        <v>0</v>
      </c>
      <c r="E1338" s="460">
        <v>4</v>
      </c>
      <c r="G1338" s="1796"/>
      <c r="H1338" s="1771" t="s">
        <v>39</v>
      </c>
      <c r="I1338" s="1735" t="s">
        <v>7359</v>
      </c>
      <c r="J1338" s="1773" t="s">
        <v>2837</v>
      </c>
      <c r="K1338" s="1774"/>
      <c r="L1338" s="1775"/>
      <c r="M1338" s="1775"/>
      <c r="N1338" s="1739">
        <v>345442.800552</v>
      </c>
      <c r="O1338" s="1776">
        <v>20.623857099990602</v>
      </c>
      <c r="P1338" s="1719"/>
    </row>
    <row r="1339" spans="1:16" ht="13.5" hidden="1" customHeight="1" outlineLevel="2" x14ac:dyDescent="0.2">
      <c r="A1339" s="459">
        <v>0</v>
      </c>
      <c r="B1339" s="459">
        <v>13</v>
      </c>
      <c r="C1339" s="459">
        <v>11</v>
      </c>
      <c r="D1339" s="460">
        <v>1</v>
      </c>
      <c r="E1339" s="460">
        <v>0</v>
      </c>
      <c r="G1339" s="1797"/>
      <c r="H1339" s="1777" t="s">
        <v>1238</v>
      </c>
      <c r="I1339" s="1742" t="s">
        <v>7360</v>
      </c>
      <c r="J1339" s="1779" t="s">
        <v>25</v>
      </c>
      <c r="K1339" s="1780"/>
      <c r="L1339" s="1781"/>
      <c r="M1339" s="1781"/>
      <c r="N1339" s="1746">
        <v>12669.457634</v>
      </c>
      <c r="O1339" s="1782">
        <v>0.75640043260553802</v>
      </c>
      <c r="P1339" s="1720"/>
    </row>
    <row r="1340" spans="1:16" ht="13.5" hidden="1" customHeight="1" outlineLevel="3" x14ac:dyDescent="0.2">
      <c r="A1340" s="459">
        <v>0</v>
      </c>
      <c r="B1340" s="459">
        <v>13</v>
      </c>
      <c r="C1340" s="459">
        <v>11</v>
      </c>
      <c r="D1340" s="460">
        <v>1</v>
      </c>
      <c r="E1340" s="460">
        <v>1</v>
      </c>
      <c r="G1340" s="1798" t="s">
        <v>24</v>
      </c>
      <c r="H1340" s="1783" t="s">
        <v>1239</v>
      </c>
      <c r="I1340" s="1750" t="s">
        <v>7361</v>
      </c>
      <c r="J1340" s="1785" t="s">
        <v>442</v>
      </c>
      <c r="K1340" s="1786" t="s">
        <v>642</v>
      </c>
      <c r="L1340" s="1787">
        <v>977.90999999999985</v>
      </c>
      <c r="M1340" s="1787">
        <v>7.0658999999999992</v>
      </c>
      <c r="N1340" s="1754">
        <v>6909.8142690000004</v>
      </c>
      <c r="O1340" s="1788" t="s">
        <v>4191</v>
      </c>
      <c r="P1340" s="1721" t="s">
        <v>9611</v>
      </c>
    </row>
    <row r="1341" spans="1:16" ht="13.5" hidden="1" customHeight="1" outlineLevel="3" x14ac:dyDescent="0.2">
      <c r="A1341" s="459">
        <v>0</v>
      </c>
      <c r="B1341" s="459">
        <v>13</v>
      </c>
      <c r="C1341" s="459">
        <v>11</v>
      </c>
      <c r="D1341" s="460">
        <v>1</v>
      </c>
      <c r="E1341" s="460">
        <v>2</v>
      </c>
      <c r="G1341" s="1798" t="s">
        <v>24</v>
      </c>
      <c r="H1341" s="1783" t="s">
        <v>1239</v>
      </c>
      <c r="I1341" s="1750" t="s">
        <v>7362</v>
      </c>
      <c r="J1341" s="1785" t="s">
        <v>444</v>
      </c>
      <c r="K1341" s="1786" t="s">
        <v>642</v>
      </c>
      <c r="L1341" s="1787">
        <v>116.68999999999996</v>
      </c>
      <c r="M1341" s="1787">
        <v>49.358499999999999</v>
      </c>
      <c r="N1341" s="1754">
        <v>5759.6433649999999</v>
      </c>
      <c r="O1341" s="1788" t="s">
        <v>4192</v>
      </c>
      <c r="P1341" s="1721" t="s">
        <v>9611</v>
      </c>
    </row>
    <row r="1342" spans="1:16" ht="13.5" hidden="1" customHeight="1" outlineLevel="2" x14ac:dyDescent="0.2">
      <c r="A1342" s="459">
        <v>0</v>
      </c>
      <c r="B1342" s="459">
        <v>13</v>
      </c>
      <c r="C1342" s="459">
        <v>11</v>
      </c>
      <c r="D1342" s="460">
        <v>2</v>
      </c>
      <c r="E1342" s="460">
        <v>0</v>
      </c>
      <c r="G1342" s="1797"/>
      <c r="H1342" s="1777" t="s">
        <v>1238</v>
      </c>
      <c r="I1342" s="1742" t="s">
        <v>7363</v>
      </c>
      <c r="J1342" s="1779" t="s">
        <v>4188</v>
      </c>
      <c r="K1342" s="1780"/>
      <c r="L1342" s="1781"/>
      <c r="M1342" s="1781"/>
      <c r="N1342" s="1746">
        <v>16247.073216000001</v>
      </c>
      <c r="O1342" s="1782"/>
      <c r="P1342" s="1720"/>
    </row>
    <row r="1343" spans="1:16" ht="13.5" hidden="1" customHeight="1" outlineLevel="3" x14ac:dyDescent="0.2">
      <c r="A1343" s="459">
        <v>0</v>
      </c>
      <c r="B1343" s="459">
        <v>13</v>
      </c>
      <c r="C1343" s="459">
        <v>11</v>
      </c>
      <c r="D1343" s="460">
        <v>2</v>
      </c>
      <c r="E1343" s="460">
        <v>1</v>
      </c>
      <c r="G1343" s="1798" t="s">
        <v>24</v>
      </c>
      <c r="H1343" s="1783" t="s">
        <v>1239</v>
      </c>
      <c r="I1343" s="1750" t="s">
        <v>7364</v>
      </c>
      <c r="J1343" s="1785" t="s">
        <v>4172</v>
      </c>
      <c r="K1343" s="1786" t="s">
        <v>642</v>
      </c>
      <c r="L1343" s="1787">
        <v>109.12</v>
      </c>
      <c r="M1343" s="1787">
        <v>148.89179999999999</v>
      </c>
      <c r="N1343" s="1754">
        <v>16247.073216000001</v>
      </c>
      <c r="O1343" s="1788" t="s">
        <v>4181</v>
      </c>
      <c r="P1343" s="1721" t="s">
        <v>9611</v>
      </c>
    </row>
    <row r="1344" spans="1:16" ht="13.5" hidden="1" customHeight="1" outlineLevel="2" x14ac:dyDescent="0.2">
      <c r="A1344" s="459">
        <v>0</v>
      </c>
      <c r="B1344" s="459">
        <v>13</v>
      </c>
      <c r="C1344" s="459">
        <v>11</v>
      </c>
      <c r="D1344" s="460">
        <v>3</v>
      </c>
      <c r="E1344" s="460">
        <v>0</v>
      </c>
      <c r="G1344" s="1797"/>
      <c r="H1344" s="1777" t="s">
        <v>1238</v>
      </c>
      <c r="I1344" s="1742" t="s">
        <v>7365</v>
      </c>
      <c r="J1344" s="1779" t="s">
        <v>4187</v>
      </c>
      <c r="K1344" s="1780"/>
      <c r="L1344" s="1781"/>
      <c r="M1344" s="1781"/>
      <c r="N1344" s="1746">
        <v>116469.79429933301</v>
      </c>
      <c r="O1344" s="1782"/>
      <c r="P1344" s="1720"/>
    </row>
    <row r="1345" spans="1:16" ht="13.5" hidden="1" customHeight="1" outlineLevel="3" x14ac:dyDescent="0.2">
      <c r="A1345" s="459">
        <v>0</v>
      </c>
      <c r="B1345" s="459">
        <v>13</v>
      </c>
      <c r="C1345" s="459">
        <v>11</v>
      </c>
      <c r="D1345" s="460">
        <v>3</v>
      </c>
      <c r="E1345" s="460">
        <v>1</v>
      </c>
      <c r="G1345" s="1798" t="s">
        <v>24</v>
      </c>
      <c r="H1345" s="1783" t="s">
        <v>1239</v>
      </c>
      <c r="I1345" s="1750" t="s">
        <v>7366</v>
      </c>
      <c r="J1345" s="1785" t="s">
        <v>4169</v>
      </c>
      <c r="K1345" s="1786" t="s">
        <v>642</v>
      </c>
      <c r="L1345" s="1787">
        <v>1936.1899999999998</v>
      </c>
      <c r="M1345" s="1787">
        <v>34.058466666666661</v>
      </c>
      <c r="N1345" s="1754">
        <v>65943.662575333306</v>
      </c>
      <c r="O1345" s="1788" t="s">
        <v>4179</v>
      </c>
      <c r="P1345" s="1721" t="s">
        <v>9611</v>
      </c>
    </row>
    <row r="1346" spans="1:16" ht="13.5" hidden="1" customHeight="1" outlineLevel="3" x14ac:dyDescent="0.2">
      <c r="A1346" s="459">
        <v>0</v>
      </c>
      <c r="B1346" s="459">
        <v>13</v>
      </c>
      <c r="C1346" s="459">
        <v>11</v>
      </c>
      <c r="D1346" s="460">
        <v>3</v>
      </c>
      <c r="E1346" s="460">
        <v>2</v>
      </c>
      <c r="G1346" s="1798" t="s">
        <v>24</v>
      </c>
      <c r="H1346" s="1783" t="s">
        <v>1239</v>
      </c>
      <c r="I1346" s="1750" t="s">
        <v>7367</v>
      </c>
      <c r="J1346" s="1785" t="s">
        <v>4172</v>
      </c>
      <c r="K1346" s="1786" t="s">
        <v>642</v>
      </c>
      <c r="L1346" s="1787">
        <v>199.37999999999997</v>
      </c>
      <c r="M1346" s="1787">
        <v>148.89179999999999</v>
      </c>
      <c r="N1346" s="1754">
        <v>29686.047084000002</v>
      </c>
      <c r="O1346" s="1788" t="s">
        <v>4180</v>
      </c>
      <c r="P1346" s="1721" t="s">
        <v>9611</v>
      </c>
    </row>
    <row r="1347" spans="1:16" ht="13.5" hidden="1" customHeight="1" outlineLevel="3" x14ac:dyDescent="0.2">
      <c r="A1347" s="459">
        <v>0</v>
      </c>
      <c r="B1347" s="459">
        <v>13</v>
      </c>
      <c r="C1347" s="459">
        <v>11</v>
      </c>
      <c r="D1347" s="460">
        <v>3</v>
      </c>
      <c r="E1347" s="460">
        <v>3</v>
      </c>
      <c r="G1347" s="1798" t="s">
        <v>24</v>
      </c>
      <c r="H1347" s="1783" t="s">
        <v>1239</v>
      </c>
      <c r="I1347" s="1750" t="s">
        <v>7368</v>
      </c>
      <c r="J1347" s="1785" t="s">
        <v>4174</v>
      </c>
      <c r="K1347" s="1786" t="s">
        <v>642</v>
      </c>
      <c r="L1347" s="1787">
        <v>156.47999999999996</v>
      </c>
      <c r="M1347" s="1787">
        <v>133.18049999999999</v>
      </c>
      <c r="N1347" s="1754">
        <v>20840.084640000001</v>
      </c>
      <c r="O1347" s="1788" t="s">
        <v>4183</v>
      </c>
      <c r="P1347" s="1721" t="s">
        <v>9611</v>
      </c>
    </row>
    <row r="1348" spans="1:16" ht="13.5" hidden="1" customHeight="1" outlineLevel="2" x14ac:dyDescent="0.2">
      <c r="A1348" s="459">
        <v>0</v>
      </c>
      <c r="B1348" s="459">
        <v>13</v>
      </c>
      <c r="C1348" s="459">
        <v>11</v>
      </c>
      <c r="D1348" s="460">
        <v>4</v>
      </c>
      <c r="E1348" s="460">
        <v>0</v>
      </c>
      <c r="G1348" s="1797"/>
      <c r="H1348" s="1777" t="s">
        <v>1238</v>
      </c>
      <c r="I1348" s="1742" t="s">
        <v>7369</v>
      </c>
      <c r="J1348" s="1779" t="s">
        <v>2786</v>
      </c>
      <c r="K1348" s="1780"/>
      <c r="L1348" s="1781"/>
      <c r="M1348" s="1781"/>
      <c r="N1348" s="1746">
        <v>35370.398802666699</v>
      </c>
      <c r="O1348" s="1782"/>
      <c r="P1348" s="1720"/>
    </row>
    <row r="1349" spans="1:16" ht="13.5" hidden="1" customHeight="1" outlineLevel="3" x14ac:dyDescent="0.2">
      <c r="A1349" s="459">
        <v>0</v>
      </c>
      <c r="B1349" s="459">
        <v>13</v>
      </c>
      <c r="C1349" s="459">
        <v>11</v>
      </c>
      <c r="D1349" s="460">
        <v>4</v>
      </c>
      <c r="E1349" s="460">
        <v>1</v>
      </c>
      <c r="G1349" s="1798" t="s">
        <v>24</v>
      </c>
      <c r="H1349" s="1783" t="s">
        <v>1239</v>
      </c>
      <c r="I1349" s="1750" t="s">
        <v>7370</v>
      </c>
      <c r="J1349" s="1785" t="s">
        <v>4169</v>
      </c>
      <c r="K1349" s="1786" t="s">
        <v>642</v>
      </c>
      <c r="L1349" s="1787">
        <v>1038.52</v>
      </c>
      <c r="M1349" s="1787">
        <v>34.058466666666661</v>
      </c>
      <c r="N1349" s="1754">
        <v>35370.398802666699</v>
      </c>
      <c r="O1349" s="1788"/>
      <c r="P1349" s="1721" t="s">
        <v>9611</v>
      </c>
    </row>
    <row r="1350" spans="1:16" ht="13.5" hidden="1" customHeight="1" outlineLevel="2" x14ac:dyDescent="0.2">
      <c r="A1350" s="459">
        <v>0</v>
      </c>
      <c r="B1350" s="459">
        <v>13</v>
      </c>
      <c r="C1350" s="459">
        <v>11</v>
      </c>
      <c r="D1350" s="460">
        <v>5</v>
      </c>
      <c r="E1350" s="460">
        <v>0</v>
      </c>
      <c r="G1350" s="1797"/>
      <c r="H1350" s="1777" t="s">
        <v>1238</v>
      </c>
      <c r="I1350" s="1742" t="s">
        <v>7371</v>
      </c>
      <c r="J1350" s="1779" t="s">
        <v>2787</v>
      </c>
      <c r="K1350" s="1780"/>
      <c r="L1350" s="1781"/>
      <c r="M1350" s="1781"/>
      <c r="N1350" s="1746">
        <v>3854.4065999999998</v>
      </c>
      <c r="O1350" s="1782"/>
      <c r="P1350" s="1720"/>
    </row>
    <row r="1351" spans="1:16" ht="13.5" hidden="1" customHeight="1" outlineLevel="3" x14ac:dyDescent="0.2">
      <c r="A1351" s="459">
        <v>0</v>
      </c>
      <c r="B1351" s="459">
        <v>13</v>
      </c>
      <c r="C1351" s="459">
        <v>11</v>
      </c>
      <c r="D1351" s="460">
        <v>5</v>
      </c>
      <c r="E1351" s="460">
        <v>1</v>
      </c>
      <c r="G1351" s="1798" t="s">
        <v>24</v>
      </c>
      <c r="H1351" s="1783" t="s">
        <v>1239</v>
      </c>
      <c r="I1351" s="1750" t="s">
        <v>7372</v>
      </c>
      <c r="J1351" s="1785" t="s">
        <v>1683</v>
      </c>
      <c r="K1351" s="1786" t="s">
        <v>534</v>
      </c>
      <c r="L1351" s="1787">
        <v>440</v>
      </c>
      <c r="M1351" s="1787">
        <v>8.760015000000001</v>
      </c>
      <c r="N1351" s="1754">
        <v>3854.4065999999998</v>
      </c>
      <c r="O1351" s="1788" t="s">
        <v>4207</v>
      </c>
      <c r="P1351" s="1721" t="s">
        <v>9611</v>
      </c>
    </row>
    <row r="1352" spans="1:16" ht="13.5" hidden="1" customHeight="1" outlineLevel="2" x14ac:dyDescent="0.2">
      <c r="A1352" s="459">
        <v>0</v>
      </c>
      <c r="B1352" s="459">
        <v>13</v>
      </c>
      <c r="C1352" s="459">
        <v>11</v>
      </c>
      <c r="D1352" s="460">
        <v>6</v>
      </c>
      <c r="E1352" s="460">
        <v>0</v>
      </c>
      <c r="G1352" s="1797"/>
      <c r="H1352" s="1777" t="s">
        <v>1238</v>
      </c>
      <c r="I1352" s="1742" t="s">
        <v>7373</v>
      </c>
      <c r="J1352" s="1779" t="s">
        <v>1249</v>
      </c>
      <c r="K1352" s="1780"/>
      <c r="L1352" s="1781"/>
      <c r="M1352" s="1781"/>
      <c r="N1352" s="1746">
        <v>160831.67000000001</v>
      </c>
      <c r="O1352" s="1782"/>
      <c r="P1352" s="1720"/>
    </row>
    <row r="1353" spans="1:16" ht="13.5" hidden="1" customHeight="1" outlineLevel="3" x14ac:dyDescent="0.2">
      <c r="A1353" s="459">
        <v>0</v>
      </c>
      <c r="B1353" s="459">
        <v>13</v>
      </c>
      <c r="C1353" s="459">
        <v>11</v>
      </c>
      <c r="D1353" s="460">
        <v>6</v>
      </c>
      <c r="E1353" s="460">
        <v>1</v>
      </c>
      <c r="G1353" s="1798" t="s">
        <v>24</v>
      </c>
      <c r="H1353" s="1783" t="s">
        <v>1239</v>
      </c>
      <c r="I1353" s="1750" t="s">
        <v>7374</v>
      </c>
      <c r="J1353" s="1785" t="s">
        <v>470</v>
      </c>
      <c r="K1353" s="1786" t="s">
        <v>642</v>
      </c>
      <c r="L1353" s="1787">
        <v>977.90999999999985</v>
      </c>
      <c r="M1353" s="1787">
        <v>20</v>
      </c>
      <c r="N1353" s="1754">
        <v>19558.2</v>
      </c>
      <c r="O1353" s="1788"/>
      <c r="P1353" s="1721" t="s">
        <v>9611</v>
      </c>
    </row>
    <row r="1354" spans="1:16" ht="13.5" hidden="1" customHeight="1" outlineLevel="3" x14ac:dyDescent="0.2">
      <c r="A1354" s="459">
        <v>0</v>
      </c>
      <c r="B1354" s="459">
        <v>13</v>
      </c>
      <c r="C1354" s="459">
        <v>11</v>
      </c>
      <c r="D1354" s="460">
        <v>6</v>
      </c>
      <c r="E1354" s="460">
        <v>2</v>
      </c>
      <c r="G1354" s="1798" t="s">
        <v>24</v>
      </c>
      <c r="H1354" s="1783" t="s">
        <v>1239</v>
      </c>
      <c r="I1354" s="1750" t="s">
        <v>7375</v>
      </c>
      <c r="J1354" s="1785" t="s">
        <v>471</v>
      </c>
      <c r="K1354" s="1786" t="s">
        <v>642</v>
      </c>
      <c r="L1354" s="1787">
        <v>116.68999999999996</v>
      </c>
      <c r="M1354" s="1787">
        <v>35</v>
      </c>
      <c r="N1354" s="1754">
        <v>4084.15</v>
      </c>
      <c r="O1354" s="1788"/>
      <c r="P1354" s="1721" t="s">
        <v>9611</v>
      </c>
    </row>
    <row r="1355" spans="1:16" ht="13.5" hidden="1" customHeight="1" outlineLevel="3" x14ac:dyDescent="0.2">
      <c r="A1355" s="459">
        <v>0</v>
      </c>
      <c r="B1355" s="459">
        <v>13</v>
      </c>
      <c r="C1355" s="459">
        <v>11</v>
      </c>
      <c r="D1355" s="460">
        <v>6</v>
      </c>
      <c r="E1355" s="460">
        <v>3</v>
      </c>
      <c r="G1355" s="1798" t="s">
        <v>24</v>
      </c>
      <c r="H1355" s="1783" t="s">
        <v>1239</v>
      </c>
      <c r="I1355" s="1750" t="s">
        <v>7376</v>
      </c>
      <c r="J1355" s="1785" t="s">
        <v>4195</v>
      </c>
      <c r="K1355" s="1786" t="s">
        <v>642</v>
      </c>
      <c r="L1355" s="1787">
        <v>2974.71</v>
      </c>
      <c r="M1355" s="1787">
        <v>32</v>
      </c>
      <c r="N1355" s="1754">
        <v>95190.720000000001</v>
      </c>
      <c r="O1355" s="1788"/>
      <c r="P1355" s="1721" t="s">
        <v>9611</v>
      </c>
    </row>
    <row r="1356" spans="1:16" ht="13.5" hidden="1" customHeight="1" outlineLevel="3" x14ac:dyDescent="0.2">
      <c r="A1356" s="459">
        <v>0</v>
      </c>
      <c r="B1356" s="459">
        <v>13</v>
      </c>
      <c r="C1356" s="459">
        <v>11</v>
      </c>
      <c r="D1356" s="460">
        <v>6</v>
      </c>
      <c r="E1356" s="460">
        <v>4</v>
      </c>
      <c r="G1356" s="1798" t="s">
        <v>24</v>
      </c>
      <c r="H1356" s="1783" t="s">
        <v>1239</v>
      </c>
      <c r="I1356" s="1750" t="s">
        <v>7377</v>
      </c>
      <c r="J1356" s="1785" t="s">
        <v>4199</v>
      </c>
      <c r="K1356" s="1786" t="s">
        <v>642</v>
      </c>
      <c r="L1356" s="1787">
        <v>156.47999999999996</v>
      </c>
      <c r="M1356" s="1787">
        <v>45</v>
      </c>
      <c r="N1356" s="1754">
        <v>7041.6</v>
      </c>
      <c r="O1356" s="1788"/>
      <c r="P1356" s="1721" t="s">
        <v>9611</v>
      </c>
    </row>
    <row r="1357" spans="1:16" ht="13.5" hidden="1" customHeight="1" outlineLevel="3" x14ac:dyDescent="0.2">
      <c r="A1357" s="459">
        <v>0</v>
      </c>
      <c r="B1357" s="459">
        <v>13</v>
      </c>
      <c r="C1357" s="459">
        <v>11</v>
      </c>
      <c r="D1357" s="460">
        <v>6</v>
      </c>
      <c r="E1357" s="460">
        <v>5</v>
      </c>
      <c r="G1357" s="1798" t="s">
        <v>24</v>
      </c>
      <c r="H1357" s="1783" t="s">
        <v>1239</v>
      </c>
      <c r="I1357" s="1750" t="s">
        <v>7378</v>
      </c>
      <c r="J1357" s="1785" t="s">
        <v>4202</v>
      </c>
      <c r="K1357" s="1786" t="s">
        <v>642</v>
      </c>
      <c r="L1357" s="1787">
        <v>308.5</v>
      </c>
      <c r="M1357" s="1787">
        <v>42</v>
      </c>
      <c r="N1357" s="1754">
        <v>12957</v>
      </c>
      <c r="O1357" s="1788"/>
      <c r="P1357" s="1721" t="s">
        <v>9611</v>
      </c>
    </row>
    <row r="1358" spans="1:16" ht="13.5" hidden="1" customHeight="1" outlineLevel="3" x14ac:dyDescent="0.2">
      <c r="A1358" s="459">
        <v>0</v>
      </c>
      <c r="B1358" s="459">
        <v>13</v>
      </c>
      <c r="C1358" s="459">
        <v>11</v>
      </c>
      <c r="D1358" s="460">
        <v>6</v>
      </c>
      <c r="E1358" s="460">
        <v>6</v>
      </c>
      <c r="G1358" s="1798" t="s">
        <v>24</v>
      </c>
      <c r="H1358" s="1783" t="s">
        <v>1239</v>
      </c>
      <c r="I1358" s="1750" t="s">
        <v>7379</v>
      </c>
      <c r="J1358" s="1751" t="s">
        <v>478</v>
      </c>
      <c r="K1358" s="1786" t="s">
        <v>534</v>
      </c>
      <c r="L1358" s="1787">
        <v>440</v>
      </c>
      <c r="M1358" s="1787">
        <v>50</v>
      </c>
      <c r="N1358" s="1754">
        <v>22000</v>
      </c>
      <c r="O1358" s="1788"/>
      <c r="P1358" s="1721" t="s">
        <v>9611</v>
      </c>
    </row>
    <row r="1359" spans="1:16" ht="13.5" hidden="1" customHeight="1" outlineLevel="1" x14ac:dyDescent="0.2">
      <c r="A1359" s="459">
        <v>0</v>
      </c>
      <c r="B1359" s="459">
        <v>13</v>
      </c>
      <c r="C1359" s="459">
        <v>12</v>
      </c>
      <c r="D1359" s="460">
        <v>0</v>
      </c>
      <c r="E1359" s="460">
        <v>6</v>
      </c>
      <c r="G1359" s="1796"/>
      <c r="H1359" s="1771" t="s">
        <v>39</v>
      </c>
      <c r="I1359" s="1735" t="s">
        <v>7380</v>
      </c>
      <c r="J1359" s="1773" t="s">
        <v>2838</v>
      </c>
      <c r="K1359" s="1774"/>
      <c r="L1359" s="1775"/>
      <c r="M1359" s="1775"/>
      <c r="N1359" s="1739">
        <v>29621.327888</v>
      </c>
      <c r="O1359" s="1776">
        <v>1.76847232739511</v>
      </c>
      <c r="P1359" s="1719"/>
    </row>
    <row r="1360" spans="1:16" ht="13.5" hidden="1" customHeight="1" outlineLevel="2" x14ac:dyDescent="0.2">
      <c r="A1360" s="459">
        <v>0</v>
      </c>
      <c r="B1360" s="459">
        <v>13</v>
      </c>
      <c r="C1360" s="459">
        <v>12</v>
      </c>
      <c r="D1360" s="460">
        <v>1</v>
      </c>
      <c r="E1360" s="460">
        <v>0</v>
      </c>
      <c r="G1360" s="1797"/>
      <c r="H1360" s="1777" t="s">
        <v>1238</v>
      </c>
      <c r="I1360" s="1742" t="s">
        <v>7381</v>
      </c>
      <c r="J1360" s="1779" t="s">
        <v>25</v>
      </c>
      <c r="K1360" s="1780"/>
      <c r="L1360" s="1781"/>
      <c r="M1360" s="1781"/>
      <c r="N1360" s="1746">
        <v>1327.886107</v>
      </c>
      <c r="O1360" s="1782">
        <v>7.9278344409173404E-2</v>
      </c>
      <c r="P1360" s="1720"/>
    </row>
    <row r="1361" spans="1:16" ht="13.5" hidden="1" customHeight="1" outlineLevel="3" x14ac:dyDescent="0.2">
      <c r="A1361" s="459">
        <v>0</v>
      </c>
      <c r="B1361" s="459">
        <v>13</v>
      </c>
      <c r="C1361" s="459">
        <v>12</v>
      </c>
      <c r="D1361" s="460">
        <v>1</v>
      </c>
      <c r="E1361" s="460">
        <v>1</v>
      </c>
      <c r="G1361" s="1798" t="s">
        <v>24</v>
      </c>
      <c r="H1361" s="1783" t="s">
        <v>1239</v>
      </c>
      <c r="I1361" s="1750" t="s">
        <v>7382</v>
      </c>
      <c r="J1361" s="1785" t="s">
        <v>442</v>
      </c>
      <c r="K1361" s="1786" t="s">
        <v>642</v>
      </c>
      <c r="L1361" s="1787">
        <v>110.52999999999999</v>
      </c>
      <c r="M1361" s="1787">
        <v>7.0658999999999992</v>
      </c>
      <c r="N1361" s="1754">
        <v>780.99392699999999</v>
      </c>
      <c r="O1361" s="1788" t="s">
        <v>4191</v>
      </c>
      <c r="P1361" s="1721" t="s">
        <v>9611</v>
      </c>
    </row>
    <row r="1362" spans="1:16" ht="13.5" hidden="1" customHeight="1" outlineLevel="3" x14ac:dyDescent="0.2">
      <c r="A1362" s="459">
        <v>0</v>
      </c>
      <c r="B1362" s="459">
        <v>13</v>
      </c>
      <c r="C1362" s="459">
        <v>12</v>
      </c>
      <c r="D1362" s="460">
        <v>1</v>
      </c>
      <c r="E1362" s="460">
        <v>2</v>
      </c>
      <c r="G1362" s="1798" t="s">
        <v>24</v>
      </c>
      <c r="H1362" s="1783" t="s">
        <v>1239</v>
      </c>
      <c r="I1362" s="1750" t="s">
        <v>7383</v>
      </c>
      <c r="J1362" s="1785" t="s">
        <v>444</v>
      </c>
      <c r="K1362" s="1786" t="s">
        <v>642</v>
      </c>
      <c r="L1362" s="1787">
        <v>11.08</v>
      </c>
      <c r="M1362" s="1787">
        <v>49.358499999999999</v>
      </c>
      <c r="N1362" s="1754">
        <v>546.89218000000005</v>
      </c>
      <c r="O1362" s="1788" t="s">
        <v>4192</v>
      </c>
      <c r="P1362" s="1721" t="s">
        <v>9611</v>
      </c>
    </row>
    <row r="1363" spans="1:16" ht="13.5" hidden="1" customHeight="1" outlineLevel="2" x14ac:dyDescent="0.2">
      <c r="A1363" s="459">
        <v>0</v>
      </c>
      <c r="B1363" s="459">
        <v>13</v>
      </c>
      <c r="C1363" s="459">
        <v>12</v>
      </c>
      <c r="D1363" s="460">
        <v>2</v>
      </c>
      <c r="E1363" s="460">
        <v>0</v>
      </c>
      <c r="G1363" s="1797"/>
      <c r="H1363" s="1777" t="s">
        <v>1238</v>
      </c>
      <c r="I1363" s="1742" t="s">
        <v>7384</v>
      </c>
      <c r="J1363" s="1779" t="s">
        <v>4188</v>
      </c>
      <c r="K1363" s="1780"/>
      <c r="L1363" s="1781"/>
      <c r="M1363" s="1781"/>
      <c r="N1363" s="1746">
        <v>9561.8313959999996</v>
      </c>
      <c r="O1363" s="1782"/>
      <c r="P1363" s="1720"/>
    </row>
    <row r="1364" spans="1:16" ht="13.5" hidden="1" customHeight="1" outlineLevel="3" x14ac:dyDescent="0.2">
      <c r="A1364" s="459">
        <v>0</v>
      </c>
      <c r="B1364" s="459">
        <v>13</v>
      </c>
      <c r="C1364" s="459">
        <v>12</v>
      </c>
      <c r="D1364" s="460">
        <v>2</v>
      </c>
      <c r="E1364" s="460">
        <v>1</v>
      </c>
      <c r="G1364" s="1798" t="s">
        <v>24</v>
      </c>
      <c r="H1364" s="1783" t="s">
        <v>1239</v>
      </c>
      <c r="I1364" s="1750" t="s">
        <v>7385</v>
      </c>
      <c r="J1364" s="1785" t="s">
        <v>4172</v>
      </c>
      <c r="K1364" s="1786" t="s">
        <v>642</v>
      </c>
      <c r="L1364" s="1787">
        <v>64.22</v>
      </c>
      <c r="M1364" s="1787">
        <v>148.89179999999999</v>
      </c>
      <c r="N1364" s="1754">
        <v>9561.8313959999996</v>
      </c>
      <c r="O1364" s="1788" t="s">
        <v>4181</v>
      </c>
      <c r="P1364" s="1721" t="s">
        <v>9611</v>
      </c>
    </row>
    <row r="1365" spans="1:16" ht="13.5" hidden="1" customHeight="1" outlineLevel="2" x14ac:dyDescent="0.2">
      <c r="A1365" s="459">
        <v>0</v>
      </c>
      <c r="B1365" s="459">
        <v>13</v>
      </c>
      <c r="C1365" s="459">
        <v>12</v>
      </c>
      <c r="D1365" s="460">
        <v>3</v>
      </c>
      <c r="E1365" s="460">
        <v>0</v>
      </c>
      <c r="G1365" s="1797"/>
      <c r="H1365" s="1777" t="s">
        <v>1238</v>
      </c>
      <c r="I1365" s="1742" t="s">
        <v>7386</v>
      </c>
      <c r="J1365" s="1779" t="s">
        <v>4187</v>
      </c>
      <c r="K1365" s="1780"/>
      <c r="L1365" s="1781"/>
      <c r="M1365" s="1781"/>
      <c r="N1365" s="1746">
        <v>5521.3217616666698</v>
      </c>
      <c r="O1365" s="1782"/>
      <c r="P1365" s="1720"/>
    </row>
    <row r="1366" spans="1:16" ht="13.5" hidden="1" customHeight="1" outlineLevel="3" x14ac:dyDescent="0.2">
      <c r="A1366" s="459">
        <v>0</v>
      </c>
      <c r="B1366" s="459">
        <v>13</v>
      </c>
      <c r="C1366" s="459">
        <v>12</v>
      </c>
      <c r="D1366" s="460">
        <v>3</v>
      </c>
      <c r="E1366" s="460">
        <v>1</v>
      </c>
      <c r="G1366" s="1798" t="s">
        <v>24</v>
      </c>
      <c r="H1366" s="1783" t="s">
        <v>1239</v>
      </c>
      <c r="I1366" s="1750" t="s">
        <v>7387</v>
      </c>
      <c r="J1366" s="1785" t="s">
        <v>4169</v>
      </c>
      <c r="K1366" s="1786" t="s">
        <v>642</v>
      </c>
      <c r="L1366" s="1787">
        <v>93.61</v>
      </c>
      <c r="M1366" s="1787">
        <v>34.058466666666661</v>
      </c>
      <c r="N1366" s="1754">
        <v>3188.2130646666701</v>
      </c>
      <c r="O1366" s="1788" t="s">
        <v>4179</v>
      </c>
      <c r="P1366" s="1721" t="s">
        <v>9611</v>
      </c>
    </row>
    <row r="1367" spans="1:16" ht="13.5" hidden="1" customHeight="1" outlineLevel="3" x14ac:dyDescent="0.2">
      <c r="A1367" s="459">
        <v>0</v>
      </c>
      <c r="B1367" s="459">
        <v>13</v>
      </c>
      <c r="C1367" s="459">
        <v>12</v>
      </c>
      <c r="D1367" s="460">
        <v>3</v>
      </c>
      <c r="E1367" s="460">
        <v>2</v>
      </c>
      <c r="G1367" s="1798" t="s">
        <v>24</v>
      </c>
      <c r="H1367" s="1783" t="s">
        <v>1239</v>
      </c>
      <c r="I1367" s="1750" t="s">
        <v>7388</v>
      </c>
      <c r="J1367" s="1785" t="s">
        <v>4172</v>
      </c>
      <c r="K1367" s="1786" t="s">
        <v>642</v>
      </c>
      <c r="L1367" s="1787">
        <v>4.1400000000000006</v>
      </c>
      <c r="M1367" s="1787">
        <v>148.89179999999999</v>
      </c>
      <c r="N1367" s="1754">
        <v>616.41205200000002</v>
      </c>
      <c r="O1367" s="1788" t="s">
        <v>4180</v>
      </c>
      <c r="P1367" s="1721" t="s">
        <v>9611</v>
      </c>
    </row>
    <row r="1368" spans="1:16" ht="13.5" hidden="1" customHeight="1" outlineLevel="3" x14ac:dyDescent="0.2">
      <c r="A1368" s="459">
        <v>0</v>
      </c>
      <c r="B1368" s="459">
        <v>13</v>
      </c>
      <c r="C1368" s="459">
        <v>12</v>
      </c>
      <c r="D1368" s="460">
        <v>3</v>
      </c>
      <c r="E1368" s="460">
        <v>3</v>
      </c>
      <c r="G1368" s="1798" t="s">
        <v>24</v>
      </c>
      <c r="H1368" s="1783" t="s">
        <v>1239</v>
      </c>
      <c r="I1368" s="1750" t="s">
        <v>7389</v>
      </c>
      <c r="J1368" s="1785" t="s">
        <v>4174</v>
      </c>
      <c r="K1368" s="1786" t="s">
        <v>642</v>
      </c>
      <c r="L1368" s="1787">
        <v>12.89</v>
      </c>
      <c r="M1368" s="1787">
        <v>133.18049999999999</v>
      </c>
      <c r="N1368" s="1754">
        <v>1716.696645</v>
      </c>
      <c r="O1368" s="1788" t="s">
        <v>4183</v>
      </c>
      <c r="P1368" s="1721" t="s">
        <v>9611</v>
      </c>
    </row>
    <row r="1369" spans="1:16" ht="13.5" hidden="1" customHeight="1" outlineLevel="2" x14ac:dyDescent="0.2">
      <c r="A1369" s="459">
        <v>0</v>
      </c>
      <c r="B1369" s="459">
        <v>13</v>
      </c>
      <c r="C1369" s="459">
        <v>12</v>
      </c>
      <c r="D1369" s="460">
        <v>4</v>
      </c>
      <c r="E1369" s="460">
        <v>0</v>
      </c>
      <c r="G1369" s="1797"/>
      <c r="H1369" s="1777" t="s">
        <v>1238</v>
      </c>
      <c r="I1369" s="1742" t="s">
        <v>7390</v>
      </c>
      <c r="J1369" s="1779" t="s">
        <v>2786</v>
      </c>
      <c r="K1369" s="1780"/>
      <c r="L1369" s="1781"/>
      <c r="M1369" s="1781"/>
      <c r="N1369" s="1746">
        <v>1723.35841333333</v>
      </c>
      <c r="O1369" s="1782"/>
      <c r="P1369" s="1720"/>
    </row>
    <row r="1370" spans="1:16" ht="13.5" hidden="1" customHeight="1" outlineLevel="3" x14ac:dyDescent="0.2">
      <c r="A1370" s="459">
        <v>0</v>
      </c>
      <c r="B1370" s="459">
        <v>13</v>
      </c>
      <c r="C1370" s="459">
        <v>12</v>
      </c>
      <c r="D1370" s="460">
        <v>4</v>
      </c>
      <c r="E1370" s="460">
        <v>1</v>
      </c>
      <c r="G1370" s="1798" t="s">
        <v>24</v>
      </c>
      <c r="H1370" s="1783" t="s">
        <v>1239</v>
      </c>
      <c r="I1370" s="1750" t="s">
        <v>7391</v>
      </c>
      <c r="J1370" s="1785" t="s">
        <v>4169</v>
      </c>
      <c r="K1370" s="1786" t="s">
        <v>642</v>
      </c>
      <c r="L1370" s="1787">
        <v>50.6</v>
      </c>
      <c r="M1370" s="1787">
        <v>34.058466666666661</v>
      </c>
      <c r="N1370" s="1754">
        <v>1723.35841333333</v>
      </c>
      <c r="O1370" s="1788"/>
      <c r="P1370" s="1721" t="s">
        <v>9611</v>
      </c>
    </row>
    <row r="1371" spans="1:16" ht="13.5" hidden="1" customHeight="1" outlineLevel="2" x14ac:dyDescent="0.2">
      <c r="A1371" s="459">
        <v>0</v>
      </c>
      <c r="B1371" s="459">
        <v>13</v>
      </c>
      <c r="C1371" s="459">
        <v>12</v>
      </c>
      <c r="D1371" s="460">
        <v>5</v>
      </c>
      <c r="E1371" s="460">
        <v>0</v>
      </c>
      <c r="G1371" s="1797"/>
      <c r="H1371" s="1777" t="s">
        <v>1238</v>
      </c>
      <c r="I1371" s="1742" t="s">
        <v>7392</v>
      </c>
      <c r="J1371" s="1779" t="s">
        <v>2787</v>
      </c>
      <c r="K1371" s="1780"/>
      <c r="L1371" s="1781"/>
      <c r="M1371" s="1781"/>
      <c r="N1371" s="1746">
        <v>122.64021</v>
      </c>
      <c r="O1371" s="1782"/>
      <c r="P1371" s="1720"/>
    </row>
    <row r="1372" spans="1:16" ht="13.5" hidden="1" customHeight="1" outlineLevel="3" x14ac:dyDescent="0.2">
      <c r="A1372" s="459">
        <v>0</v>
      </c>
      <c r="B1372" s="459">
        <v>13</v>
      </c>
      <c r="C1372" s="459">
        <v>12</v>
      </c>
      <c r="D1372" s="460">
        <v>5</v>
      </c>
      <c r="E1372" s="460">
        <v>1</v>
      </c>
      <c r="G1372" s="1798" t="s">
        <v>24</v>
      </c>
      <c r="H1372" s="1783" t="s">
        <v>1239</v>
      </c>
      <c r="I1372" s="1750" t="s">
        <v>7393</v>
      </c>
      <c r="J1372" s="1785" t="s">
        <v>1683</v>
      </c>
      <c r="K1372" s="1786" t="s">
        <v>534</v>
      </c>
      <c r="L1372" s="1787">
        <v>14</v>
      </c>
      <c r="M1372" s="1787">
        <v>8.760015000000001</v>
      </c>
      <c r="N1372" s="1754">
        <v>122.64021</v>
      </c>
      <c r="O1372" s="1788"/>
      <c r="P1372" s="1721" t="s">
        <v>9611</v>
      </c>
    </row>
    <row r="1373" spans="1:16" ht="13.5" hidden="1" customHeight="1" outlineLevel="2" x14ac:dyDescent="0.2">
      <c r="A1373" s="459">
        <v>0</v>
      </c>
      <c r="B1373" s="459">
        <v>13</v>
      </c>
      <c r="C1373" s="459">
        <v>12</v>
      </c>
      <c r="D1373" s="460">
        <v>6</v>
      </c>
      <c r="E1373" s="460">
        <v>0</v>
      </c>
      <c r="G1373" s="1797"/>
      <c r="H1373" s="1777" t="s">
        <v>1238</v>
      </c>
      <c r="I1373" s="1742" t="s">
        <v>7394</v>
      </c>
      <c r="J1373" s="1779" t="s">
        <v>1249</v>
      </c>
      <c r="K1373" s="1780"/>
      <c r="L1373" s="1781"/>
      <c r="M1373" s="1781"/>
      <c r="N1373" s="1746">
        <v>11364.29</v>
      </c>
      <c r="O1373" s="1782"/>
      <c r="P1373" s="1720"/>
    </row>
    <row r="1374" spans="1:16" ht="13.5" hidden="1" customHeight="1" outlineLevel="3" x14ac:dyDescent="0.2">
      <c r="A1374" s="459">
        <v>0</v>
      </c>
      <c r="B1374" s="459">
        <v>13</v>
      </c>
      <c r="C1374" s="459">
        <v>12</v>
      </c>
      <c r="D1374" s="460">
        <v>6</v>
      </c>
      <c r="E1374" s="460">
        <v>1</v>
      </c>
      <c r="G1374" s="1798" t="s">
        <v>24</v>
      </c>
      <c r="H1374" s="1783" t="s">
        <v>1239</v>
      </c>
      <c r="I1374" s="1750" t="s">
        <v>7395</v>
      </c>
      <c r="J1374" s="1785" t="s">
        <v>470</v>
      </c>
      <c r="K1374" s="1786" t="s">
        <v>642</v>
      </c>
      <c r="L1374" s="1787">
        <v>110.52999999999999</v>
      </c>
      <c r="M1374" s="1787">
        <v>20</v>
      </c>
      <c r="N1374" s="1754">
        <v>2210.6</v>
      </c>
      <c r="O1374" s="1788"/>
      <c r="P1374" s="1721" t="s">
        <v>9611</v>
      </c>
    </row>
    <row r="1375" spans="1:16" ht="13.5" hidden="1" customHeight="1" outlineLevel="3" x14ac:dyDescent="0.2">
      <c r="A1375" s="459">
        <v>0</v>
      </c>
      <c r="B1375" s="459">
        <v>13</v>
      </c>
      <c r="C1375" s="459">
        <v>12</v>
      </c>
      <c r="D1375" s="460">
        <v>6</v>
      </c>
      <c r="E1375" s="460">
        <v>2</v>
      </c>
      <c r="G1375" s="1798" t="s">
        <v>24</v>
      </c>
      <c r="H1375" s="1783" t="s">
        <v>1239</v>
      </c>
      <c r="I1375" s="1750" t="s">
        <v>7396</v>
      </c>
      <c r="J1375" s="1785" t="s">
        <v>471</v>
      </c>
      <c r="K1375" s="1786" t="s">
        <v>642</v>
      </c>
      <c r="L1375" s="1787">
        <v>11.08</v>
      </c>
      <c r="M1375" s="1787">
        <v>35</v>
      </c>
      <c r="N1375" s="1754">
        <v>387.8</v>
      </c>
      <c r="O1375" s="1788"/>
      <c r="P1375" s="1721" t="s">
        <v>9611</v>
      </c>
    </row>
    <row r="1376" spans="1:16" ht="13.5" hidden="1" customHeight="1" outlineLevel="3" x14ac:dyDescent="0.2">
      <c r="A1376" s="459">
        <v>0</v>
      </c>
      <c r="B1376" s="459">
        <v>13</v>
      </c>
      <c r="C1376" s="459">
        <v>12</v>
      </c>
      <c r="D1376" s="460">
        <v>6</v>
      </c>
      <c r="E1376" s="460">
        <v>3</v>
      </c>
      <c r="G1376" s="1798" t="s">
        <v>24</v>
      </c>
      <c r="H1376" s="1783" t="s">
        <v>1239</v>
      </c>
      <c r="I1376" s="1750" t="s">
        <v>7397</v>
      </c>
      <c r="J1376" s="1785" t="s">
        <v>4195</v>
      </c>
      <c r="K1376" s="1786" t="s">
        <v>642</v>
      </c>
      <c r="L1376" s="1787">
        <v>144.21</v>
      </c>
      <c r="M1376" s="1787">
        <v>32</v>
      </c>
      <c r="N1376" s="1754">
        <v>4614.72</v>
      </c>
      <c r="O1376" s="1788"/>
      <c r="P1376" s="1721" t="s">
        <v>9611</v>
      </c>
    </row>
    <row r="1377" spans="1:16" ht="13.5" hidden="1" customHeight="1" outlineLevel="3" x14ac:dyDescent="0.2">
      <c r="A1377" s="459">
        <v>0</v>
      </c>
      <c r="B1377" s="459">
        <v>13</v>
      </c>
      <c r="C1377" s="459">
        <v>12</v>
      </c>
      <c r="D1377" s="460">
        <v>6</v>
      </c>
      <c r="E1377" s="460">
        <v>4</v>
      </c>
      <c r="G1377" s="1798" t="s">
        <v>24</v>
      </c>
      <c r="H1377" s="1783" t="s">
        <v>1239</v>
      </c>
      <c r="I1377" s="1750" t="s">
        <v>7398</v>
      </c>
      <c r="J1377" s="1785" t="s">
        <v>4199</v>
      </c>
      <c r="K1377" s="1786" t="s">
        <v>642</v>
      </c>
      <c r="L1377" s="1787">
        <v>12.89</v>
      </c>
      <c r="M1377" s="1787">
        <v>45</v>
      </c>
      <c r="N1377" s="1754">
        <v>580.04999999999995</v>
      </c>
      <c r="O1377" s="1788"/>
      <c r="P1377" s="1721" t="s">
        <v>9611</v>
      </c>
    </row>
    <row r="1378" spans="1:16" ht="13.5" hidden="1" customHeight="1" outlineLevel="3" x14ac:dyDescent="0.2">
      <c r="A1378" s="459">
        <v>0</v>
      </c>
      <c r="B1378" s="459">
        <v>13</v>
      </c>
      <c r="C1378" s="459">
        <v>12</v>
      </c>
      <c r="D1378" s="460">
        <v>6</v>
      </c>
      <c r="E1378" s="460">
        <v>5</v>
      </c>
      <c r="G1378" s="1798" t="s">
        <v>24</v>
      </c>
      <c r="H1378" s="1783" t="s">
        <v>1239</v>
      </c>
      <c r="I1378" s="1750" t="s">
        <v>7399</v>
      </c>
      <c r="J1378" s="1785" t="s">
        <v>4202</v>
      </c>
      <c r="K1378" s="1786" t="s">
        <v>642</v>
      </c>
      <c r="L1378" s="1787">
        <v>68.36</v>
      </c>
      <c r="M1378" s="1787">
        <v>42</v>
      </c>
      <c r="N1378" s="1754">
        <v>2871.12</v>
      </c>
      <c r="O1378" s="1788"/>
      <c r="P1378" s="1721" t="s">
        <v>9611</v>
      </c>
    </row>
    <row r="1379" spans="1:16" ht="13.5" hidden="1" customHeight="1" outlineLevel="3" x14ac:dyDescent="0.2">
      <c r="A1379" s="459">
        <v>0</v>
      </c>
      <c r="B1379" s="459">
        <v>13</v>
      </c>
      <c r="C1379" s="459">
        <v>12</v>
      </c>
      <c r="D1379" s="460">
        <v>6</v>
      </c>
      <c r="E1379" s="460">
        <v>6</v>
      </c>
      <c r="G1379" s="1798" t="s">
        <v>24</v>
      </c>
      <c r="H1379" s="1783" t="s">
        <v>1239</v>
      </c>
      <c r="I1379" s="1750" t="s">
        <v>7400</v>
      </c>
      <c r="J1379" s="1751" t="s">
        <v>478</v>
      </c>
      <c r="K1379" s="1786" t="s">
        <v>534</v>
      </c>
      <c r="L1379" s="1787">
        <v>14</v>
      </c>
      <c r="M1379" s="1787">
        <v>50</v>
      </c>
      <c r="N1379" s="1754">
        <v>700</v>
      </c>
      <c r="O1379" s="1788"/>
      <c r="P1379" s="1721" t="s">
        <v>9611</v>
      </c>
    </row>
    <row r="1380" spans="1:16" ht="13.5" hidden="1" customHeight="1" outlineLevel="1" x14ac:dyDescent="0.2">
      <c r="A1380" s="459">
        <v>0</v>
      </c>
      <c r="B1380" s="459">
        <v>13</v>
      </c>
      <c r="C1380" s="459">
        <v>13</v>
      </c>
      <c r="D1380" s="460">
        <v>0</v>
      </c>
      <c r="E1380" s="460">
        <v>6</v>
      </c>
      <c r="G1380" s="1796"/>
      <c r="H1380" s="1771" t="s">
        <v>39</v>
      </c>
      <c r="I1380" s="1735" t="s">
        <v>7401</v>
      </c>
      <c r="J1380" s="1773" t="s">
        <v>2839</v>
      </c>
      <c r="K1380" s="1774"/>
      <c r="L1380" s="1775"/>
      <c r="M1380" s="1775"/>
      <c r="N1380" s="1739">
        <v>36625.202243333297</v>
      </c>
      <c r="O1380" s="1776">
        <v>2.1866223181312399</v>
      </c>
      <c r="P1380" s="1719"/>
    </row>
    <row r="1381" spans="1:16" ht="13.5" hidden="1" customHeight="1" outlineLevel="2" x14ac:dyDescent="0.2">
      <c r="A1381" s="459">
        <v>0</v>
      </c>
      <c r="B1381" s="459">
        <v>13</v>
      </c>
      <c r="C1381" s="459">
        <v>13</v>
      </c>
      <c r="D1381" s="460">
        <v>1</v>
      </c>
      <c r="E1381" s="460">
        <v>0</v>
      </c>
      <c r="G1381" s="1797"/>
      <c r="H1381" s="1777" t="s">
        <v>1238</v>
      </c>
      <c r="I1381" s="1742" t="s">
        <v>7402</v>
      </c>
      <c r="J1381" s="1779" t="s">
        <v>25</v>
      </c>
      <c r="K1381" s="1780"/>
      <c r="L1381" s="1781"/>
      <c r="M1381" s="1781"/>
      <c r="N1381" s="1746">
        <v>3218.1447720000001</v>
      </c>
      <c r="O1381" s="1782">
        <v>0.19213183137339401</v>
      </c>
      <c r="P1381" s="1720"/>
    </row>
    <row r="1382" spans="1:16" ht="13.5" hidden="1" customHeight="1" outlineLevel="3" x14ac:dyDescent="0.2">
      <c r="A1382" s="459">
        <v>0</v>
      </c>
      <c r="B1382" s="459">
        <v>13</v>
      </c>
      <c r="C1382" s="459">
        <v>13</v>
      </c>
      <c r="D1382" s="460">
        <v>1</v>
      </c>
      <c r="E1382" s="460">
        <v>1</v>
      </c>
      <c r="G1382" s="1798" t="s">
        <v>24</v>
      </c>
      <c r="H1382" s="1783" t="s">
        <v>1239</v>
      </c>
      <c r="I1382" s="1750" t="s">
        <v>7403</v>
      </c>
      <c r="J1382" s="1785" t="s">
        <v>442</v>
      </c>
      <c r="K1382" s="1786" t="s">
        <v>642</v>
      </c>
      <c r="L1382" s="1787">
        <v>113.23</v>
      </c>
      <c r="M1382" s="1787">
        <v>7.0658999999999992</v>
      </c>
      <c r="N1382" s="1754">
        <v>800.07185700000002</v>
      </c>
      <c r="O1382" s="1788" t="s">
        <v>4191</v>
      </c>
      <c r="P1382" s="1721" t="s">
        <v>9611</v>
      </c>
    </row>
    <row r="1383" spans="1:16" ht="13.5" hidden="1" customHeight="1" outlineLevel="3" x14ac:dyDescent="0.2">
      <c r="A1383" s="459">
        <v>0</v>
      </c>
      <c r="B1383" s="459">
        <v>13</v>
      </c>
      <c r="C1383" s="459">
        <v>13</v>
      </c>
      <c r="D1383" s="460">
        <v>1</v>
      </c>
      <c r="E1383" s="460">
        <v>2</v>
      </c>
      <c r="G1383" s="1798" t="s">
        <v>24</v>
      </c>
      <c r="H1383" s="1783" t="s">
        <v>1239</v>
      </c>
      <c r="I1383" s="1750" t="s">
        <v>7404</v>
      </c>
      <c r="J1383" s="1785" t="s">
        <v>444</v>
      </c>
      <c r="K1383" s="1786" t="s">
        <v>642</v>
      </c>
      <c r="L1383" s="1787">
        <v>48.99</v>
      </c>
      <c r="M1383" s="1787">
        <v>49.358499999999999</v>
      </c>
      <c r="N1383" s="1754">
        <v>2418.0729150000002</v>
      </c>
      <c r="O1383" s="1788" t="s">
        <v>4192</v>
      </c>
      <c r="P1383" s="1721" t="s">
        <v>9611</v>
      </c>
    </row>
    <row r="1384" spans="1:16" ht="13.5" hidden="1" customHeight="1" outlineLevel="2" x14ac:dyDescent="0.2">
      <c r="A1384" s="459">
        <v>0</v>
      </c>
      <c r="B1384" s="459">
        <v>13</v>
      </c>
      <c r="C1384" s="459">
        <v>13</v>
      </c>
      <c r="D1384" s="460">
        <v>2</v>
      </c>
      <c r="E1384" s="460">
        <v>0</v>
      </c>
      <c r="G1384" s="1797"/>
      <c r="H1384" s="1777" t="s">
        <v>1238</v>
      </c>
      <c r="I1384" s="1742" t="s">
        <v>7405</v>
      </c>
      <c r="J1384" s="1779" t="s">
        <v>4188</v>
      </c>
      <c r="K1384" s="1780"/>
      <c r="L1384" s="1781"/>
      <c r="M1384" s="1781"/>
      <c r="N1384" s="1746">
        <v>13811.860182</v>
      </c>
      <c r="O1384" s="1782"/>
      <c r="P1384" s="1720"/>
    </row>
    <row r="1385" spans="1:16" ht="13.5" hidden="1" customHeight="1" outlineLevel="3" x14ac:dyDescent="0.2">
      <c r="A1385" s="459">
        <v>0</v>
      </c>
      <c r="B1385" s="459">
        <v>13</v>
      </c>
      <c r="C1385" s="459">
        <v>13</v>
      </c>
      <c r="D1385" s="460">
        <v>2</v>
      </c>
      <c r="E1385" s="460">
        <v>1</v>
      </c>
      <c r="G1385" s="1798" t="s">
        <v>24</v>
      </c>
      <c r="H1385" s="1783" t="s">
        <v>1239</v>
      </c>
      <c r="I1385" s="1750" t="s">
        <v>7406</v>
      </c>
      <c r="J1385" s="1785" t="s">
        <v>4174</v>
      </c>
      <c r="K1385" s="1786" t="s">
        <v>642</v>
      </c>
      <c r="L1385" s="1787">
        <v>48.1</v>
      </c>
      <c r="M1385" s="1787">
        <v>133.18049999999999</v>
      </c>
      <c r="N1385" s="1754">
        <v>6405.9820499999996</v>
      </c>
      <c r="O1385" s="1788" t="s">
        <v>4177</v>
      </c>
      <c r="P1385" s="1721" t="s">
        <v>9611</v>
      </c>
    </row>
    <row r="1386" spans="1:16" ht="13.5" hidden="1" customHeight="1" outlineLevel="3" x14ac:dyDescent="0.2">
      <c r="A1386" s="459">
        <v>0</v>
      </c>
      <c r="B1386" s="459">
        <v>13</v>
      </c>
      <c r="C1386" s="459">
        <v>13</v>
      </c>
      <c r="D1386" s="460">
        <v>2</v>
      </c>
      <c r="E1386" s="460">
        <v>2</v>
      </c>
      <c r="G1386" s="1798" t="s">
        <v>24</v>
      </c>
      <c r="H1386" s="1783" t="s">
        <v>1239</v>
      </c>
      <c r="I1386" s="1750" t="s">
        <v>7407</v>
      </c>
      <c r="J1386" s="1785" t="s">
        <v>4172</v>
      </c>
      <c r="K1386" s="1786" t="s">
        <v>642</v>
      </c>
      <c r="L1386" s="1787">
        <v>49.74</v>
      </c>
      <c r="M1386" s="1787">
        <v>148.89179999999999</v>
      </c>
      <c r="N1386" s="1754">
        <v>7405.8781319999998</v>
      </c>
      <c r="O1386" s="1788" t="s">
        <v>4181</v>
      </c>
      <c r="P1386" s="1721" t="s">
        <v>9611</v>
      </c>
    </row>
    <row r="1387" spans="1:16" ht="13.5" hidden="1" customHeight="1" outlineLevel="2" x14ac:dyDescent="0.2">
      <c r="A1387" s="459">
        <v>0</v>
      </c>
      <c r="B1387" s="459">
        <v>13</v>
      </c>
      <c r="C1387" s="459">
        <v>13</v>
      </c>
      <c r="D1387" s="460">
        <v>3</v>
      </c>
      <c r="E1387" s="460">
        <v>0</v>
      </c>
      <c r="G1387" s="1797"/>
      <c r="H1387" s="1777" t="s">
        <v>1238</v>
      </c>
      <c r="I1387" s="1742" t="s">
        <v>7408</v>
      </c>
      <c r="J1387" s="1779" t="s">
        <v>2785</v>
      </c>
      <c r="K1387" s="1780"/>
      <c r="L1387" s="1781"/>
      <c r="M1387" s="1781"/>
      <c r="N1387" s="1746">
        <v>3346.825965</v>
      </c>
      <c r="O1387" s="1782"/>
      <c r="P1387" s="1720"/>
    </row>
    <row r="1388" spans="1:16" ht="13.5" hidden="1" customHeight="1" outlineLevel="3" x14ac:dyDescent="0.2">
      <c r="A1388" s="459">
        <v>0</v>
      </c>
      <c r="B1388" s="459">
        <v>13</v>
      </c>
      <c r="C1388" s="459">
        <v>13</v>
      </c>
      <c r="D1388" s="460">
        <v>3</v>
      </c>
      <c r="E1388" s="460">
        <v>1</v>
      </c>
      <c r="G1388" s="1798" t="s">
        <v>24</v>
      </c>
      <c r="H1388" s="1783" t="s">
        <v>1239</v>
      </c>
      <c r="I1388" s="1750" t="s">
        <v>7409</v>
      </c>
      <c r="J1388" s="1785" t="s">
        <v>4174</v>
      </c>
      <c r="K1388" s="1786" t="s">
        <v>642</v>
      </c>
      <c r="L1388" s="1787">
        <v>25.130000000000003</v>
      </c>
      <c r="M1388" s="1787">
        <v>133.18049999999999</v>
      </c>
      <c r="N1388" s="1754">
        <v>3346.825965</v>
      </c>
      <c r="O1388" s="1788" t="s">
        <v>2208</v>
      </c>
      <c r="P1388" s="1721" t="s">
        <v>9611</v>
      </c>
    </row>
    <row r="1389" spans="1:16" ht="13.5" hidden="1" customHeight="1" outlineLevel="2" x14ac:dyDescent="0.2">
      <c r="A1389" s="459">
        <v>0</v>
      </c>
      <c r="B1389" s="459">
        <v>13</v>
      </c>
      <c r="C1389" s="459">
        <v>13</v>
      </c>
      <c r="D1389" s="460">
        <v>4</v>
      </c>
      <c r="E1389" s="460">
        <v>0</v>
      </c>
      <c r="G1389" s="1797"/>
      <c r="H1389" s="1777" t="s">
        <v>1238</v>
      </c>
      <c r="I1389" s="1742" t="s">
        <v>7410</v>
      </c>
      <c r="J1389" s="1779" t="s">
        <v>4187</v>
      </c>
      <c r="K1389" s="1780"/>
      <c r="L1389" s="1781"/>
      <c r="M1389" s="1781"/>
      <c r="N1389" s="1746">
        <v>2361.25691166667</v>
      </c>
      <c r="O1389" s="1782"/>
      <c r="P1389" s="1720"/>
    </row>
    <row r="1390" spans="1:16" ht="13.5" hidden="1" customHeight="1" outlineLevel="3" x14ac:dyDescent="0.2">
      <c r="A1390" s="459">
        <v>0</v>
      </c>
      <c r="B1390" s="459">
        <v>13</v>
      </c>
      <c r="C1390" s="459">
        <v>13</v>
      </c>
      <c r="D1390" s="460">
        <v>4</v>
      </c>
      <c r="E1390" s="460">
        <v>1</v>
      </c>
      <c r="G1390" s="1798" t="s">
        <v>24</v>
      </c>
      <c r="H1390" s="1783" t="s">
        <v>1239</v>
      </c>
      <c r="I1390" s="1750" t="s">
        <v>7411</v>
      </c>
      <c r="J1390" s="1785" t="s">
        <v>4169</v>
      </c>
      <c r="K1390" s="1786" t="s">
        <v>642</v>
      </c>
      <c r="L1390" s="1787">
        <v>34.660000000000004</v>
      </c>
      <c r="M1390" s="1787">
        <v>34.058466666666661</v>
      </c>
      <c r="N1390" s="1754">
        <v>1180.46645466667</v>
      </c>
      <c r="O1390" s="1788" t="s">
        <v>4179</v>
      </c>
      <c r="P1390" s="1721" t="s">
        <v>9611</v>
      </c>
    </row>
    <row r="1391" spans="1:16" ht="13.5" hidden="1" customHeight="1" outlineLevel="3" x14ac:dyDescent="0.2">
      <c r="A1391" s="459">
        <v>0</v>
      </c>
      <c r="B1391" s="459">
        <v>13</v>
      </c>
      <c r="C1391" s="459">
        <v>13</v>
      </c>
      <c r="D1391" s="460">
        <v>4</v>
      </c>
      <c r="E1391" s="460">
        <v>2</v>
      </c>
      <c r="G1391" s="1798" t="s">
        <v>24</v>
      </c>
      <c r="H1391" s="1783" t="s">
        <v>1239</v>
      </c>
      <c r="I1391" s="1750" t="s">
        <v>7412</v>
      </c>
      <c r="J1391" s="1785" t="s">
        <v>4172</v>
      </c>
      <c r="K1391" s="1786" t="s">
        <v>642</v>
      </c>
      <c r="L1391" s="1787">
        <v>4.29</v>
      </c>
      <c r="M1391" s="1787">
        <v>148.89179999999999</v>
      </c>
      <c r="N1391" s="1754">
        <v>638.74582199999998</v>
      </c>
      <c r="O1391" s="1788" t="s">
        <v>4180</v>
      </c>
      <c r="P1391" s="1721" t="s">
        <v>9611</v>
      </c>
    </row>
    <row r="1392" spans="1:16" ht="13.5" hidden="1" customHeight="1" outlineLevel="3" x14ac:dyDescent="0.2">
      <c r="A1392" s="459">
        <v>0</v>
      </c>
      <c r="B1392" s="459">
        <v>13</v>
      </c>
      <c r="C1392" s="459">
        <v>13</v>
      </c>
      <c r="D1392" s="460">
        <v>4</v>
      </c>
      <c r="E1392" s="460">
        <v>3</v>
      </c>
      <c r="G1392" s="1798" t="s">
        <v>24</v>
      </c>
      <c r="H1392" s="1783" t="s">
        <v>1239</v>
      </c>
      <c r="I1392" s="1750" t="s">
        <v>7413</v>
      </c>
      <c r="J1392" s="1785" t="s">
        <v>4174</v>
      </c>
      <c r="K1392" s="1786" t="s">
        <v>642</v>
      </c>
      <c r="L1392" s="1787">
        <v>4.07</v>
      </c>
      <c r="M1392" s="1787">
        <v>133.18049999999999</v>
      </c>
      <c r="N1392" s="1754">
        <v>542.04463499999997</v>
      </c>
      <c r="O1392" s="1788" t="s">
        <v>4183</v>
      </c>
      <c r="P1392" s="1721" t="s">
        <v>9611</v>
      </c>
    </row>
    <row r="1393" spans="1:16" ht="13.5" hidden="1" customHeight="1" outlineLevel="2" x14ac:dyDescent="0.2">
      <c r="A1393" s="459">
        <v>0</v>
      </c>
      <c r="B1393" s="459">
        <v>13</v>
      </c>
      <c r="C1393" s="459">
        <v>13</v>
      </c>
      <c r="D1393" s="460">
        <v>5</v>
      </c>
      <c r="E1393" s="460">
        <v>0</v>
      </c>
      <c r="G1393" s="1797"/>
      <c r="H1393" s="1777" t="s">
        <v>1238</v>
      </c>
      <c r="I1393" s="1742" t="s">
        <v>7414</v>
      </c>
      <c r="J1393" s="1779" t="s">
        <v>2786</v>
      </c>
      <c r="K1393" s="1780"/>
      <c r="L1393" s="1781"/>
      <c r="M1393" s="1781"/>
      <c r="N1393" s="1746">
        <v>1330.66429266667</v>
      </c>
      <c r="O1393" s="1782"/>
      <c r="P1393" s="1720"/>
    </row>
    <row r="1394" spans="1:16" ht="13.5" hidden="1" customHeight="1" outlineLevel="3" x14ac:dyDescent="0.2">
      <c r="A1394" s="459">
        <v>0</v>
      </c>
      <c r="B1394" s="459">
        <v>13</v>
      </c>
      <c r="C1394" s="459">
        <v>13</v>
      </c>
      <c r="D1394" s="460">
        <v>5</v>
      </c>
      <c r="E1394" s="460">
        <v>1</v>
      </c>
      <c r="G1394" s="1798" t="s">
        <v>24</v>
      </c>
      <c r="H1394" s="1783" t="s">
        <v>1239</v>
      </c>
      <c r="I1394" s="1750" t="s">
        <v>7415</v>
      </c>
      <c r="J1394" s="1785" t="s">
        <v>4169</v>
      </c>
      <c r="K1394" s="1786" t="s">
        <v>642</v>
      </c>
      <c r="L1394" s="1787">
        <v>39.07</v>
      </c>
      <c r="M1394" s="1787">
        <v>34.058466666666661</v>
      </c>
      <c r="N1394" s="1754">
        <v>1330.66429266667</v>
      </c>
      <c r="O1394" s="1788"/>
      <c r="P1394" s="1721" t="s">
        <v>9611</v>
      </c>
    </row>
    <row r="1395" spans="1:16" ht="13.5" hidden="1" customHeight="1" outlineLevel="2" x14ac:dyDescent="0.2">
      <c r="A1395" s="459">
        <v>0</v>
      </c>
      <c r="B1395" s="459">
        <v>13</v>
      </c>
      <c r="C1395" s="459">
        <v>13</v>
      </c>
      <c r="D1395" s="460">
        <v>6</v>
      </c>
      <c r="E1395" s="460">
        <v>0</v>
      </c>
      <c r="G1395" s="1797"/>
      <c r="H1395" s="1777" t="s">
        <v>1238</v>
      </c>
      <c r="I1395" s="1742" t="s">
        <v>7416</v>
      </c>
      <c r="J1395" s="1779" t="s">
        <v>2787</v>
      </c>
      <c r="K1395" s="1780"/>
      <c r="L1395" s="1781"/>
      <c r="M1395" s="1781"/>
      <c r="N1395" s="1746">
        <v>70.080119999999994</v>
      </c>
      <c r="O1395" s="1782"/>
      <c r="P1395" s="1720"/>
    </row>
    <row r="1396" spans="1:16" ht="13.5" hidden="1" customHeight="1" outlineLevel="3" x14ac:dyDescent="0.2">
      <c r="A1396" s="459">
        <v>0</v>
      </c>
      <c r="B1396" s="459">
        <v>13</v>
      </c>
      <c r="C1396" s="459">
        <v>13</v>
      </c>
      <c r="D1396" s="460">
        <v>6</v>
      </c>
      <c r="E1396" s="460">
        <v>1</v>
      </c>
      <c r="G1396" s="1798" t="s">
        <v>24</v>
      </c>
      <c r="H1396" s="1783" t="s">
        <v>1239</v>
      </c>
      <c r="I1396" s="1750" t="s">
        <v>7417</v>
      </c>
      <c r="J1396" s="1785" t="s">
        <v>1683</v>
      </c>
      <c r="K1396" s="1786" t="s">
        <v>534</v>
      </c>
      <c r="L1396" s="1787">
        <v>8</v>
      </c>
      <c r="M1396" s="1787">
        <v>8.760015000000001</v>
      </c>
      <c r="N1396" s="1754">
        <v>70.080119999999994</v>
      </c>
      <c r="O1396" s="1788"/>
      <c r="P1396" s="1721" t="s">
        <v>9611</v>
      </c>
    </row>
    <row r="1397" spans="1:16" ht="13.5" hidden="1" customHeight="1" outlineLevel="2" x14ac:dyDescent="0.2">
      <c r="A1397" s="459">
        <v>0</v>
      </c>
      <c r="B1397" s="459">
        <v>13</v>
      </c>
      <c r="C1397" s="459">
        <v>13</v>
      </c>
      <c r="D1397" s="460">
        <v>7</v>
      </c>
      <c r="E1397" s="460">
        <v>0</v>
      </c>
      <c r="G1397" s="1797"/>
      <c r="H1397" s="1777" t="s">
        <v>1238</v>
      </c>
      <c r="I1397" s="1742" t="s">
        <v>7418</v>
      </c>
      <c r="J1397" s="1779" t="s">
        <v>1249</v>
      </c>
      <c r="K1397" s="1780"/>
      <c r="L1397" s="1781"/>
      <c r="M1397" s="1781"/>
      <c r="N1397" s="1746">
        <v>12486.37</v>
      </c>
      <c r="O1397" s="1782"/>
      <c r="P1397" s="1720"/>
    </row>
    <row r="1398" spans="1:16" ht="13.5" hidden="1" customHeight="1" outlineLevel="3" x14ac:dyDescent="0.2">
      <c r="A1398" s="459">
        <v>0</v>
      </c>
      <c r="B1398" s="459">
        <v>13</v>
      </c>
      <c r="C1398" s="459">
        <v>13</v>
      </c>
      <c r="D1398" s="460">
        <v>7</v>
      </c>
      <c r="E1398" s="460">
        <v>1</v>
      </c>
      <c r="G1398" s="1798" t="s">
        <v>24</v>
      </c>
      <c r="H1398" s="1783" t="s">
        <v>1239</v>
      </c>
      <c r="I1398" s="1750" t="s">
        <v>7419</v>
      </c>
      <c r="J1398" s="1785" t="s">
        <v>470</v>
      </c>
      <c r="K1398" s="1786" t="s">
        <v>642</v>
      </c>
      <c r="L1398" s="1787">
        <v>113.23</v>
      </c>
      <c r="M1398" s="1787">
        <v>20</v>
      </c>
      <c r="N1398" s="1754">
        <v>2264.6</v>
      </c>
      <c r="O1398" s="1788"/>
      <c r="P1398" s="1721" t="s">
        <v>9611</v>
      </c>
    </row>
    <row r="1399" spans="1:16" ht="13.5" hidden="1" customHeight="1" outlineLevel="3" x14ac:dyDescent="0.2">
      <c r="A1399" s="459">
        <v>0</v>
      </c>
      <c r="B1399" s="459">
        <v>13</v>
      </c>
      <c r="C1399" s="459">
        <v>13</v>
      </c>
      <c r="D1399" s="460">
        <v>7</v>
      </c>
      <c r="E1399" s="460">
        <v>2</v>
      </c>
      <c r="G1399" s="1798" t="s">
        <v>24</v>
      </c>
      <c r="H1399" s="1783" t="s">
        <v>1239</v>
      </c>
      <c r="I1399" s="1750" t="s">
        <v>7420</v>
      </c>
      <c r="J1399" s="1785" t="s">
        <v>471</v>
      </c>
      <c r="K1399" s="1786" t="s">
        <v>642</v>
      </c>
      <c r="L1399" s="1787">
        <v>48.99</v>
      </c>
      <c r="M1399" s="1787">
        <v>35</v>
      </c>
      <c r="N1399" s="1754">
        <v>1714.65</v>
      </c>
      <c r="O1399" s="1788"/>
      <c r="P1399" s="1721" t="s">
        <v>9611</v>
      </c>
    </row>
    <row r="1400" spans="1:16" ht="13.5" hidden="1" customHeight="1" outlineLevel="3" x14ac:dyDescent="0.2">
      <c r="A1400" s="459">
        <v>0</v>
      </c>
      <c r="B1400" s="459">
        <v>13</v>
      </c>
      <c r="C1400" s="459">
        <v>13</v>
      </c>
      <c r="D1400" s="460">
        <v>7</v>
      </c>
      <c r="E1400" s="460">
        <v>3</v>
      </c>
      <c r="G1400" s="1798" t="s">
        <v>24</v>
      </c>
      <c r="H1400" s="1783" t="s">
        <v>1239</v>
      </c>
      <c r="I1400" s="1750" t="s">
        <v>7421</v>
      </c>
      <c r="J1400" s="1785" t="s">
        <v>4195</v>
      </c>
      <c r="K1400" s="1786" t="s">
        <v>642</v>
      </c>
      <c r="L1400" s="1787">
        <v>73.73</v>
      </c>
      <c r="M1400" s="1787">
        <v>32</v>
      </c>
      <c r="N1400" s="1754">
        <v>2359.36</v>
      </c>
      <c r="O1400" s="1788"/>
      <c r="P1400" s="1721" t="s">
        <v>9611</v>
      </c>
    </row>
    <row r="1401" spans="1:16" ht="13.5" hidden="1" customHeight="1" outlineLevel="3" x14ac:dyDescent="0.2">
      <c r="A1401" s="459">
        <v>0</v>
      </c>
      <c r="B1401" s="459">
        <v>13</v>
      </c>
      <c r="C1401" s="459">
        <v>13</v>
      </c>
      <c r="D1401" s="460">
        <v>7</v>
      </c>
      <c r="E1401" s="460">
        <v>4</v>
      </c>
      <c r="G1401" s="1798" t="s">
        <v>24</v>
      </c>
      <c r="H1401" s="1783" t="s">
        <v>1239</v>
      </c>
      <c r="I1401" s="1750" t="s">
        <v>7422</v>
      </c>
      <c r="J1401" s="1785" t="s">
        <v>4199</v>
      </c>
      <c r="K1401" s="1786" t="s">
        <v>642</v>
      </c>
      <c r="L1401" s="1787">
        <v>77.300000000000011</v>
      </c>
      <c r="M1401" s="1787">
        <v>45</v>
      </c>
      <c r="N1401" s="1754">
        <v>3478.5</v>
      </c>
      <c r="O1401" s="1788"/>
      <c r="P1401" s="1721" t="s">
        <v>9611</v>
      </c>
    </row>
    <row r="1402" spans="1:16" ht="13.5" hidden="1" customHeight="1" outlineLevel="3" x14ac:dyDescent="0.2">
      <c r="A1402" s="459">
        <v>0</v>
      </c>
      <c r="B1402" s="459">
        <v>13</v>
      </c>
      <c r="C1402" s="459">
        <v>13</v>
      </c>
      <c r="D1402" s="460">
        <v>7</v>
      </c>
      <c r="E1402" s="460">
        <v>5</v>
      </c>
      <c r="G1402" s="1798" t="s">
        <v>24</v>
      </c>
      <c r="H1402" s="1783" t="s">
        <v>1239</v>
      </c>
      <c r="I1402" s="1750" t="s">
        <v>7423</v>
      </c>
      <c r="J1402" s="1785" t="s">
        <v>4202</v>
      </c>
      <c r="K1402" s="1786" t="s">
        <v>642</v>
      </c>
      <c r="L1402" s="1787">
        <v>54.03</v>
      </c>
      <c r="M1402" s="1787">
        <v>42</v>
      </c>
      <c r="N1402" s="1754">
        <v>2269.2600000000002</v>
      </c>
      <c r="O1402" s="1788"/>
      <c r="P1402" s="1721" t="s">
        <v>9611</v>
      </c>
    </row>
    <row r="1403" spans="1:16" ht="13.5" hidden="1" customHeight="1" outlineLevel="3" x14ac:dyDescent="0.2">
      <c r="A1403" s="459">
        <v>0</v>
      </c>
      <c r="B1403" s="459">
        <v>13</v>
      </c>
      <c r="C1403" s="459">
        <v>13</v>
      </c>
      <c r="D1403" s="460">
        <v>7</v>
      </c>
      <c r="E1403" s="460">
        <v>6</v>
      </c>
      <c r="G1403" s="1798" t="s">
        <v>24</v>
      </c>
      <c r="H1403" s="1783" t="s">
        <v>1239</v>
      </c>
      <c r="I1403" s="1750" t="s">
        <v>7424</v>
      </c>
      <c r="J1403" s="1751" t="s">
        <v>478</v>
      </c>
      <c r="K1403" s="1786" t="s">
        <v>534</v>
      </c>
      <c r="L1403" s="1787">
        <v>8</v>
      </c>
      <c r="M1403" s="1787">
        <v>50</v>
      </c>
      <c r="N1403" s="1754">
        <v>400</v>
      </c>
      <c r="O1403" s="1788"/>
      <c r="P1403" s="1721" t="s">
        <v>9611</v>
      </c>
    </row>
    <row r="1404" spans="1:16" ht="13.5" hidden="1" customHeight="1" outlineLevel="1" x14ac:dyDescent="0.2">
      <c r="A1404" s="459">
        <v>0</v>
      </c>
      <c r="B1404" s="459">
        <v>13</v>
      </c>
      <c r="C1404" s="459">
        <v>14</v>
      </c>
      <c r="D1404" s="460">
        <v>0</v>
      </c>
      <c r="E1404" s="460">
        <v>6</v>
      </c>
      <c r="G1404" s="1796"/>
      <c r="H1404" s="1771" t="s">
        <v>39</v>
      </c>
      <c r="I1404" s="1735" t="s">
        <v>7425</v>
      </c>
      <c r="J1404" s="1773" t="s">
        <v>2840</v>
      </c>
      <c r="K1404" s="1774"/>
      <c r="L1404" s="1775"/>
      <c r="M1404" s="1775"/>
      <c r="N1404" s="1739">
        <v>52519.731890666699</v>
      </c>
      <c r="O1404" s="1776">
        <v>3.1355681569049798</v>
      </c>
      <c r="P1404" s="1719"/>
    </row>
    <row r="1405" spans="1:16" ht="13.5" hidden="1" customHeight="1" outlineLevel="2" x14ac:dyDescent="0.2">
      <c r="A1405" s="459">
        <v>0</v>
      </c>
      <c r="B1405" s="459">
        <v>13</v>
      </c>
      <c r="C1405" s="459">
        <v>14</v>
      </c>
      <c r="D1405" s="460">
        <v>1</v>
      </c>
      <c r="E1405" s="460">
        <v>0</v>
      </c>
      <c r="G1405" s="1797"/>
      <c r="H1405" s="1777" t="s">
        <v>1238</v>
      </c>
      <c r="I1405" s="1742" t="s">
        <v>7426</v>
      </c>
      <c r="J1405" s="1779" t="s">
        <v>25</v>
      </c>
      <c r="K1405" s="1780"/>
      <c r="L1405" s="1781"/>
      <c r="M1405" s="1781"/>
      <c r="N1405" s="1746">
        <v>8242.1708909999998</v>
      </c>
      <c r="O1405" s="1782">
        <v>0.49207959864283901</v>
      </c>
      <c r="P1405" s="1720"/>
    </row>
    <row r="1406" spans="1:16" ht="13.5" hidden="1" customHeight="1" outlineLevel="3" x14ac:dyDescent="0.2">
      <c r="A1406" s="459">
        <v>0</v>
      </c>
      <c r="B1406" s="459">
        <v>13</v>
      </c>
      <c r="C1406" s="459">
        <v>14</v>
      </c>
      <c r="D1406" s="460">
        <v>1</v>
      </c>
      <c r="E1406" s="460">
        <v>1</v>
      </c>
      <c r="G1406" s="1798" t="s">
        <v>24</v>
      </c>
      <c r="H1406" s="1783" t="s">
        <v>1239</v>
      </c>
      <c r="I1406" s="1750" t="s">
        <v>7427</v>
      </c>
      <c r="J1406" s="1785" t="s">
        <v>442</v>
      </c>
      <c r="K1406" s="1786" t="s">
        <v>642</v>
      </c>
      <c r="L1406" s="1787">
        <v>158.89000000000001</v>
      </c>
      <c r="M1406" s="1787">
        <v>7.0658999999999992</v>
      </c>
      <c r="N1406" s="1754">
        <v>1122.7008510000001</v>
      </c>
      <c r="O1406" s="1788" t="s">
        <v>4191</v>
      </c>
      <c r="P1406" s="1721" t="s">
        <v>9611</v>
      </c>
    </row>
    <row r="1407" spans="1:16" ht="13.5" hidden="1" customHeight="1" outlineLevel="3" x14ac:dyDescent="0.2">
      <c r="A1407" s="459">
        <v>0</v>
      </c>
      <c r="B1407" s="459">
        <v>13</v>
      </c>
      <c r="C1407" s="459">
        <v>14</v>
      </c>
      <c r="D1407" s="460">
        <v>1</v>
      </c>
      <c r="E1407" s="460">
        <v>2</v>
      </c>
      <c r="G1407" s="1798" t="s">
        <v>24</v>
      </c>
      <c r="H1407" s="1783" t="s">
        <v>1239</v>
      </c>
      <c r="I1407" s="1750" t="s">
        <v>7428</v>
      </c>
      <c r="J1407" s="1785" t="s">
        <v>444</v>
      </c>
      <c r="K1407" s="1786" t="s">
        <v>642</v>
      </c>
      <c r="L1407" s="1787">
        <v>144.24</v>
      </c>
      <c r="M1407" s="1787">
        <v>49.358499999999999</v>
      </c>
      <c r="N1407" s="1754">
        <v>7119.4700400000002</v>
      </c>
      <c r="O1407" s="1788" t="s">
        <v>4192</v>
      </c>
      <c r="P1407" s="1721" t="s">
        <v>9611</v>
      </c>
    </row>
    <row r="1408" spans="1:16" ht="13.5" hidden="1" customHeight="1" outlineLevel="2" x14ac:dyDescent="0.2">
      <c r="A1408" s="459">
        <v>0</v>
      </c>
      <c r="B1408" s="459">
        <v>13</v>
      </c>
      <c r="C1408" s="459">
        <v>14</v>
      </c>
      <c r="D1408" s="460">
        <v>2</v>
      </c>
      <c r="E1408" s="460">
        <v>0</v>
      </c>
      <c r="G1408" s="1797"/>
      <c r="H1408" s="1777" t="s">
        <v>1238</v>
      </c>
      <c r="I1408" s="1742" t="s">
        <v>7429</v>
      </c>
      <c r="J1408" s="1779" t="s">
        <v>4188</v>
      </c>
      <c r="K1408" s="1780"/>
      <c r="L1408" s="1781"/>
      <c r="M1408" s="1781"/>
      <c r="N1408" s="1746">
        <v>24517.525449000001</v>
      </c>
      <c r="O1408" s="1782"/>
      <c r="P1408" s="1720"/>
    </row>
    <row r="1409" spans="1:16" ht="13.5" hidden="1" customHeight="1" outlineLevel="3" x14ac:dyDescent="0.2">
      <c r="A1409" s="459">
        <v>0</v>
      </c>
      <c r="B1409" s="459">
        <v>13</v>
      </c>
      <c r="C1409" s="459">
        <v>14</v>
      </c>
      <c r="D1409" s="460">
        <v>2</v>
      </c>
      <c r="E1409" s="460">
        <v>1</v>
      </c>
      <c r="G1409" s="1798" t="s">
        <v>24</v>
      </c>
      <c r="H1409" s="1783" t="s">
        <v>1239</v>
      </c>
      <c r="I1409" s="1750" t="s">
        <v>7430</v>
      </c>
      <c r="J1409" s="1785" t="s">
        <v>4174</v>
      </c>
      <c r="K1409" s="1786" t="s">
        <v>642</v>
      </c>
      <c r="L1409" s="1787">
        <v>173.55</v>
      </c>
      <c r="M1409" s="1787">
        <v>133.18049999999999</v>
      </c>
      <c r="N1409" s="1754">
        <v>23113.475774999999</v>
      </c>
      <c r="O1409" s="1788" t="s">
        <v>4177</v>
      </c>
      <c r="P1409" s="1721" t="s">
        <v>9611</v>
      </c>
    </row>
    <row r="1410" spans="1:16" ht="13.5" hidden="1" customHeight="1" outlineLevel="3" x14ac:dyDescent="0.2">
      <c r="A1410" s="459">
        <v>0</v>
      </c>
      <c r="B1410" s="459">
        <v>13</v>
      </c>
      <c r="C1410" s="459">
        <v>14</v>
      </c>
      <c r="D1410" s="460">
        <v>2</v>
      </c>
      <c r="E1410" s="460">
        <v>2</v>
      </c>
      <c r="G1410" s="1798" t="s">
        <v>24</v>
      </c>
      <c r="H1410" s="1783" t="s">
        <v>1239</v>
      </c>
      <c r="I1410" s="1750" t="s">
        <v>7431</v>
      </c>
      <c r="J1410" s="1785" t="s">
        <v>4172</v>
      </c>
      <c r="K1410" s="1786" t="s">
        <v>642</v>
      </c>
      <c r="L1410" s="1787">
        <v>9.43</v>
      </c>
      <c r="M1410" s="1787">
        <v>148.89179999999999</v>
      </c>
      <c r="N1410" s="1754">
        <v>1404.0496740000001</v>
      </c>
      <c r="O1410" s="1788" t="s">
        <v>4181</v>
      </c>
      <c r="P1410" s="1721" t="s">
        <v>9611</v>
      </c>
    </row>
    <row r="1411" spans="1:16" ht="13.5" hidden="1" customHeight="1" outlineLevel="2" x14ac:dyDescent="0.2">
      <c r="A1411" s="459">
        <v>0</v>
      </c>
      <c r="B1411" s="459">
        <v>13</v>
      </c>
      <c r="C1411" s="459">
        <v>14</v>
      </c>
      <c r="D1411" s="460">
        <v>3</v>
      </c>
      <c r="E1411" s="460">
        <v>0</v>
      </c>
      <c r="G1411" s="1797"/>
      <c r="H1411" s="1777" t="s">
        <v>1238</v>
      </c>
      <c r="I1411" s="1742" t="s">
        <v>7432</v>
      </c>
      <c r="J1411" s="1779" t="s">
        <v>4187</v>
      </c>
      <c r="K1411" s="1780"/>
      <c r="L1411" s="1781"/>
      <c r="M1411" s="1781"/>
      <c r="N1411" s="1746">
        <v>1663.7560966666699</v>
      </c>
      <c r="O1411" s="1782"/>
      <c r="P1411" s="1720"/>
    </row>
    <row r="1412" spans="1:16" ht="13.5" hidden="1" customHeight="1" outlineLevel="3" x14ac:dyDescent="0.2">
      <c r="A1412" s="459">
        <v>0</v>
      </c>
      <c r="B1412" s="459">
        <v>13</v>
      </c>
      <c r="C1412" s="459">
        <v>14</v>
      </c>
      <c r="D1412" s="460">
        <v>3</v>
      </c>
      <c r="E1412" s="460">
        <v>1</v>
      </c>
      <c r="G1412" s="1798" t="s">
        <v>24</v>
      </c>
      <c r="H1412" s="1783" t="s">
        <v>1239</v>
      </c>
      <c r="I1412" s="1750" t="s">
        <v>7433</v>
      </c>
      <c r="J1412" s="1785" t="s">
        <v>4169</v>
      </c>
      <c r="K1412" s="1786" t="s">
        <v>642</v>
      </c>
      <c r="L1412" s="1787">
        <v>48.849999999999994</v>
      </c>
      <c r="M1412" s="1787">
        <v>34.058466666666661</v>
      </c>
      <c r="N1412" s="1754">
        <v>1663.7560966666699</v>
      </c>
      <c r="O1412" s="1788" t="s">
        <v>4179</v>
      </c>
      <c r="P1412" s="1721" t="s">
        <v>9611</v>
      </c>
    </row>
    <row r="1413" spans="1:16" ht="13.5" hidden="1" customHeight="1" outlineLevel="2" x14ac:dyDescent="0.2">
      <c r="A1413" s="459">
        <v>0</v>
      </c>
      <c r="B1413" s="459">
        <v>13</v>
      </c>
      <c r="C1413" s="459">
        <v>14</v>
      </c>
      <c r="D1413" s="460">
        <v>4</v>
      </c>
      <c r="E1413" s="460">
        <v>0</v>
      </c>
      <c r="G1413" s="1797"/>
      <c r="H1413" s="1777" t="s">
        <v>1238</v>
      </c>
      <c r="I1413" s="1742" t="s">
        <v>7434</v>
      </c>
      <c r="J1413" s="1779" t="s">
        <v>2786</v>
      </c>
      <c r="K1413" s="1780"/>
      <c r="L1413" s="1781"/>
      <c r="M1413" s="1781"/>
      <c r="N1413" s="1746">
        <v>52.109453999999999</v>
      </c>
      <c r="O1413" s="1782"/>
      <c r="P1413" s="1720"/>
    </row>
    <row r="1414" spans="1:16" ht="13.5" hidden="1" customHeight="1" outlineLevel="3" x14ac:dyDescent="0.2">
      <c r="A1414" s="459">
        <v>0</v>
      </c>
      <c r="B1414" s="459">
        <v>13</v>
      </c>
      <c r="C1414" s="459">
        <v>14</v>
      </c>
      <c r="D1414" s="460">
        <v>4</v>
      </c>
      <c r="E1414" s="460">
        <v>1</v>
      </c>
      <c r="G1414" s="1798" t="s">
        <v>24</v>
      </c>
      <c r="H1414" s="1783" t="s">
        <v>1239</v>
      </c>
      <c r="I1414" s="1750" t="s">
        <v>7435</v>
      </c>
      <c r="J1414" s="1785" t="s">
        <v>4169</v>
      </c>
      <c r="K1414" s="1786" t="s">
        <v>642</v>
      </c>
      <c r="L1414" s="1787">
        <v>1.53</v>
      </c>
      <c r="M1414" s="1787">
        <v>34.058466666666661</v>
      </c>
      <c r="N1414" s="1754">
        <v>52.109453999999999</v>
      </c>
      <c r="O1414" s="1788"/>
      <c r="P1414" s="1721" t="s">
        <v>9611</v>
      </c>
    </row>
    <row r="1415" spans="1:16" ht="13.5" hidden="1" customHeight="1" outlineLevel="2" x14ac:dyDescent="0.2">
      <c r="A1415" s="459">
        <v>0</v>
      </c>
      <c r="B1415" s="459">
        <v>13</v>
      </c>
      <c r="C1415" s="459">
        <v>14</v>
      </c>
      <c r="D1415" s="460">
        <v>5</v>
      </c>
      <c r="E1415" s="460">
        <v>0</v>
      </c>
      <c r="G1415" s="1797"/>
      <c r="H1415" s="1777" t="s">
        <v>1238</v>
      </c>
      <c r="I1415" s="1742" t="s">
        <v>7436</v>
      </c>
      <c r="J1415" s="1779" t="s">
        <v>1249</v>
      </c>
      <c r="K1415" s="1780"/>
      <c r="L1415" s="1781"/>
      <c r="M1415" s="1781"/>
      <c r="N1415" s="1746">
        <v>18044.169999999998</v>
      </c>
      <c r="O1415" s="1782"/>
      <c r="P1415" s="1720"/>
    </row>
    <row r="1416" spans="1:16" ht="13.5" hidden="1" customHeight="1" outlineLevel="3" x14ac:dyDescent="0.2">
      <c r="A1416" s="459">
        <v>0</v>
      </c>
      <c r="B1416" s="459">
        <v>13</v>
      </c>
      <c r="C1416" s="459">
        <v>14</v>
      </c>
      <c r="D1416" s="460">
        <v>5</v>
      </c>
      <c r="E1416" s="460">
        <v>1</v>
      </c>
      <c r="G1416" s="1798" t="s">
        <v>24</v>
      </c>
      <c r="H1416" s="1783" t="s">
        <v>1239</v>
      </c>
      <c r="I1416" s="1750" t="s">
        <v>7437</v>
      </c>
      <c r="J1416" s="1785" t="s">
        <v>470</v>
      </c>
      <c r="K1416" s="1786" t="s">
        <v>642</v>
      </c>
      <c r="L1416" s="1787">
        <v>158.89000000000001</v>
      </c>
      <c r="M1416" s="1787">
        <v>20</v>
      </c>
      <c r="N1416" s="1754">
        <v>3177.8</v>
      </c>
      <c r="O1416" s="1788"/>
      <c r="P1416" s="1721" t="s">
        <v>9611</v>
      </c>
    </row>
    <row r="1417" spans="1:16" ht="13.5" hidden="1" customHeight="1" outlineLevel="3" x14ac:dyDescent="0.2">
      <c r="A1417" s="459">
        <v>0</v>
      </c>
      <c r="B1417" s="459">
        <v>13</v>
      </c>
      <c r="C1417" s="459">
        <v>14</v>
      </c>
      <c r="D1417" s="460">
        <v>5</v>
      </c>
      <c r="E1417" s="460">
        <v>2</v>
      </c>
      <c r="G1417" s="1798" t="s">
        <v>24</v>
      </c>
      <c r="H1417" s="1783" t="s">
        <v>1239</v>
      </c>
      <c r="I1417" s="1750" t="s">
        <v>7438</v>
      </c>
      <c r="J1417" s="1785" t="s">
        <v>471</v>
      </c>
      <c r="K1417" s="1786" t="s">
        <v>642</v>
      </c>
      <c r="L1417" s="1787">
        <v>144.24</v>
      </c>
      <c r="M1417" s="1787">
        <v>35</v>
      </c>
      <c r="N1417" s="1754">
        <v>5048.3999999999996</v>
      </c>
      <c r="O1417" s="1788"/>
      <c r="P1417" s="1721" t="s">
        <v>9611</v>
      </c>
    </row>
    <row r="1418" spans="1:16" ht="13.5" hidden="1" customHeight="1" outlineLevel="3" x14ac:dyDescent="0.2">
      <c r="A1418" s="459">
        <v>0</v>
      </c>
      <c r="B1418" s="459">
        <v>13</v>
      </c>
      <c r="C1418" s="459">
        <v>14</v>
      </c>
      <c r="D1418" s="460">
        <v>5</v>
      </c>
      <c r="E1418" s="460">
        <v>3</v>
      </c>
      <c r="G1418" s="1798" t="s">
        <v>24</v>
      </c>
      <c r="H1418" s="1783" t="s">
        <v>1239</v>
      </c>
      <c r="I1418" s="1750" t="s">
        <v>7439</v>
      </c>
      <c r="J1418" s="1785" t="s">
        <v>4195</v>
      </c>
      <c r="K1418" s="1786" t="s">
        <v>642</v>
      </c>
      <c r="L1418" s="1787">
        <v>50.379999999999995</v>
      </c>
      <c r="M1418" s="1787">
        <v>32</v>
      </c>
      <c r="N1418" s="1754">
        <v>1612.16</v>
      </c>
      <c r="O1418" s="1788"/>
      <c r="P1418" s="1721" t="s">
        <v>9611</v>
      </c>
    </row>
    <row r="1419" spans="1:16" ht="13.5" hidden="1" customHeight="1" outlineLevel="3" x14ac:dyDescent="0.2">
      <c r="A1419" s="459">
        <v>0</v>
      </c>
      <c r="B1419" s="459">
        <v>13</v>
      </c>
      <c r="C1419" s="459">
        <v>14</v>
      </c>
      <c r="D1419" s="460">
        <v>5</v>
      </c>
      <c r="E1419" s="460">
        <v>4</v>
      </c>
      <c r="G1419" s="1798" t="s">
        <v>24</v>
      </c>
      <c r="H1419" s="1783" t="s">
        <v>1239</v>
      </c>
      <c r="I1419" s="1750" t="s">
        <v>7440</v>
      </c>
      <c r="J1419" s="1785" t="s">
        <v>4199</v>
      </c>
      <c r="K1419" s="1786" t="s">
        <v>642</v>
      </c>
      <c r="L1419" s="1787">
        <v>173.55</v>
      </c>
      <c r="M1419" s="1787">
        <v>45</v>
      </c>
      <c r="N1419" s="1754">
        <v>7809.75</v>
      </c>
      <c r="O1419" s="1788"/>
      <c r="P1419" s="1721" t="s">
        <v>9611</v>
      </c>
    </row>
    <row r="1420" spans="1:16" ht="13.5" hidden="1" customHeight="1" outlineLevel="3" x14ac:dyDescent="0.2">
      <c r="A1420" s="459">
        <v>0</v>
      </c>
      <c r="B1420" s="459">
        <v>13</v>
      </c>
      <c r="C1420" s="459">
        <v>14</v>
      </c>
      <c r="D1420" s="460">
        <v>5</v>
      </c>
      <c r="E1420" s="460">
        <v>5</v>
      </c>
      <c r="G1420" s="1798" t="s">
        <v>24</v>
      </c>
      <c r="H1420" s="1783" t="s">
        <v>1239</v>
      </c>
      <c r="I1420" s="1750" t="s">
        <v>7441</v>
      </c>
      <c r="J1420" s="1785" t="s">
        <v>4202</v>
      </c>
      <c r="K1420" s="1786" t="s">
        <v>642</v>
      </c>
      <c r="L1420" s="1787">
        <v>9.43</v>
      </c>
      <c r="M1420" s="1787">
        <v>42</v>
      </c>
      <c r="N1420" s="1754">
        <v>396.06</v>
      </c>
      <c r="O1420" s="1788"/>
      <c r="P1420" s="1721" t="s">
        <v>9611</v>
      </c>
    </row>
    <row r="1421" spans="1:16" ht="13.5" hidden="1" customHeight="1" outlineLevel="1" x14ac:dyDescent="0.2">
      <c r="A1421" s="459">
        <v>0</v>
      </c>
      <c r="B1421" s="459">
        <v>13</v>
      </c>
      <c r="C1421" s="459">
        <v>15</v>
      </c>
      <c r="D1421" s="460">
        <v>0</v>
      </c>
      <c r="E1421" s="460">
        <v>5</v>
      </c>
      <c r="G1421" s="1796"/>
      <c r="H1421" s="1771" t="s">
        <v>39</v>
      </c>
      <c r="I1421" s="1735" t="s">
        <v>7442</v>
      </c>
      <c r="J1421" s="1773" t="s">
        <v>2841</v>
      </c>
      <c r="K1421" s="1774"/>
      <c r="L1421" s="1775"/>
      <c r="M1421" s="1775"/>
      <c r="N1421" s="1739">
        <v>46751.499385000003</v>
      </c>
      <c r="O1421" s="1776">
        <v>2.7911892822366</v>
      </c>
      <c r="P1421" s="1719"/>
    </row>
    <row r="1422" spans="1:16" ht="13.5" hidden="1" customHeight="1" outlineLevel="2" x14ac:dyDescent="0.2">
      <c r="A1422" s="459">
        <v>0</v>
      </c>
      <c r="B1422" s="459">
        <v>13</v>
      </c>
      <c r="C1422" s="459">
        <v>15</v>
      </c>
      <c r="D1422" s="460">
        <v>1</v>
      </c>
      <c r="E1422" s="460">
        <v>0</v>
      </c>
      <c r="G1422" s="1797"/>
      <c r="H1422" s="1777" t="s">
        <v>1238</v>
      </c>
      <c r="I1422" s="1742" t="s">
        <v>7443</v>
      </c>
      <c r="J1422" s="1779" t="s">
        <v>25</v>
      </c>
      <c r="K1422" s="1780"/>
      <c r="L1422" s="1781"/>
      <c r="M1422" s="1781"/>
      <c r="N1422" s="1746">
        <v>916.51788899999997</v>
      </c>
      <c r="O1422" s="1782">
        <v>5.4718563947827002E-2</v>
      </c>
      <c r="P1422" s="1720"/>
    </row>
    <row r="1423" spans="1:16" ht="13.5" hidden="1" customHeight="1" outlineLevel="3" x14ac:dyDescent="0.2">
      <c r="A1423" s="459">
        <v>0</v>
      </c>
      <c r="B1423" s="459">
        <v>13</v>
      </c>
      <c r="C1423" s="459">
        <v>15</v>
      </c>
      <c r="D1423" s="460">
        <v>1</v>
      </c>
      <c r="E1423" s="460">
        <v>1</v>
      </c>
      <c r="G1423" s="1798" t="s">
        <v>24</v>
      </c>
      <c r="H1423" s="1783" t="s">
        <v>1239</v>
      </c>
      <c r="I1423" s="1750" t="s">
        <v>7444</v>
      </c>
      <c r="J1423" s="1785" t="s">
        <v>442</v>
      </c>
      <c r="K1423" s="1786" t="s">
        <v>642</v>
      </c>
      <c r="L1423" s="1787">
        <v>129.71</v>
      </c>
      <c r="M1423" s="1787">
        <v>7.0658999999999992</v>
      </c>
      <c r="N1423" s="1754">
        <v>916.51788899999997</v>
      </c>
      <c r="O1423" s="1788" t="s">
        <v>4191</v>
      </c>
      <c r="P1423" s="1721" t="s">
        <v>9611</v>
      </c>
    </row>
    <row r="1424" spans="1:16" ht="13.5" hidden="1" customHeight="1" outlineLevel="2" x14ac:dyDescent="0.2">
      <c r="A1424" s="459">
        <v>0</v>
      </c>
      <c r="B1424" s="459">
        <v>13</v>
      </c>
      <c r="C1424" s="459">
        <v>15</v>
      </c>
      <c r="D1424" s="460">
        <v>2</v>
      </c>
      <c r="E1424" s="460">
        <v>0</v>
      </c>
      <c r="G1424" s="1797"/>
      <c r="H1424" s="1777" t="s">
        <v>1238</v>
      </c>
      <c r="I1424" s="1742" t="s">
        <v>7445</v>
      </c>
      <c r="J1424" s="1779" t="s">
        <v>4189</v>
      </c>
      <c r="K1424" s="1780"/>
      <c r="L1424" s="1781"/>
      <c r="M1424" s="1781"/>
      <c r="N1424" s="1746">
        <v>30162.691495999999</v>
      </c>
      <c r="O1424" s="1782"/>
      <c r="P1424" s="1720"/>
    </row>
    <row r="1425" spans="1:16" ht="13.5" hidden="1" customHeight="1" outlineLevel="3" x14ac:dyDescent="0.2">
      <c r="A1425" s="459">
        <v>0</v>
      </c>
      <c r="B1425" s="459">
        <v>13</v>
      </c>
      <c r="C1425" s="459">
        <v>15</v>
      </c>
      <c r="D1425" s="460">
        <v>2</v>
      </c>
      <c r="E1425" s="460">
        <v>1</v>
      </c>
      <c r="G1425" s="1798" t="s">
        <v>24</v>
      </c>
      <c r="H1425" s="1783" t="s">
        <v>1239</v>
      </c>
      <c r="I1425" s="1750" t="s">
        <v>7446</v>
      </c>
      <c r="J1425" s="1785" t="s">
        <v>4172</v>
      </c>
      <c r="K1425" s="1786" t="s">
        <v>642</v>
      </c>
      <c r="L1425" s="1787">
        <v>65.84</v>
      </c>
      <c r="M1425" s="1787">
        <v>148.89179999999999</v>
      </c>
      <c r="N1425" s="1754">
        <v>9803.0361119999998</v>
      </c>
      <c r="O1425" s="1788" t="s">
        <v>4182</v>
      </c>
      <c r="P1425" s="1721" t="s">
        <v>9611</v>
      </c>
    </row>
    <row r="1426" spans="1:16" ht="13.5" hidden="1" customHeight="1" outlineLevel="3" x14ac:dyDescent="0.2">
      <c r="A1426" s="459">
        <v>0</v>
      </c>
      <c r="B1426" s="459">
        <v>13</v>
      </c>
      <c r="C1426" s="459">
        <v>15</v>
      </c>
      <c r="D1426" s="460">
        <v>2</v>
      </c>
      <c r="E1426" s="460">
        <v>2</v>
      </c>
      <c r="G1426" s="1798" t="s">
        <v>24</v>
      </c>
      <c r="H1426" s="1783" t="s">
        <v>1239</v>
      </c>
      <c r="I1426" s="1750" t="s">
        <v>7447</v>
      </c>
      <c r="J1426" s="1785" t="s">
        <v>4171</v>
      </c>
      <c r="K1426" s="1786" t="s">
        <v>642</v>
      </c>
      <c r="L1426" s="1787">
        <v>63.21</v>
      </c>
      <c r="M1426" s="1787">
        <v>74.891800000000003</v>
      </c>
      <c r="N1426" s="1754">
        <v>4733.9106780000002</v>
      </c>
      <c r="O1426" s="1788" t="s">
        <v>4184</v>
      </c>
      <c r="P1426" s="1721" t="s">
        <v>9611</v>
      </c>
    </row>
    <row r="1427" spans="1:16" ht="13.5" hidden="1" customHeight="1" outlineLevel="3" x14ac:dyDescent="0.2">
      <c r="A1427" s="459">
        <v>0</v>
      </c>
      <c r="B1427" s="459">
        <v>13</v>
      </c>
      <c r="C1427" s="459">
        <v>15</v>
      </c>
      <c r="D1427" s="460">
        <v>2</v>
      </c>
      <c r="E1427" s="460">
        <v>3</v>
      </c>
      <c r="G1427" s="1798" t="s">
        <v>24</v>
      </c>
      <c r="H1427" s="1783" t="s">
        <v>1239</v>
      </c>
      <c r="I1427" s="1750" t="s">
        <v>7448</v>
      </c>
      <c r="J1427" s="1785" t="s">
        <v>4173</v>
      </c>
      <c r="K1427" s="1786" t="s">
        <v>642</v>
      </c>
      <c r="L1427" s="1787">
        <v>213.17000000000002</v>
      </c>
      <c r="M1427" s="1787">
        <v>73.3018</v>
      </c>
      <c r="N1427" s="1754">
        <v>15625.744705999999</v>
      </c>
      <c r="O1427" s="1788" t="s">
        <v>4184</v>
      </c>
      <c r="P1427" s="1721" t="s">
        <v>9611</v>
      </c>
    </row>
    <row r="1428" spans="1:16" ht="13.5" hidden="1" customHeight="1" outlineLevel="2" x14ac:dyDescent="0.2">
      <c r="A1428" s="459">
        <v>0</v>
      </c>
      <c r="B1428" s="459">
        <v>13</v>
      </c>
      <c r="C1428" s="459">
        <v>15</v>
      </c>
      <c r="D1428" s="460">
        <v>3</v>
      </c>
      <c r="E1428" s="460">
        <v>0</v>
      </c>
      <c r="G1428" s="1797"/>
      <c r="H1428" s="1777" t="s">
        <v>1238</v>
      </c>
      <c r="I1428" s="1742" t="s">
        <v>7449</v>
      </c>
      <c r="J1428" s="1779" t="s">
        <v>1249</v>
      </c>
      <c r="K1428" s="1780"/>
      <c r="L1428" s="1781"/>
      <c r="M1428" s="1781"/>
      <c r="N1428" s="1746">
        <v>15672.29</v>
      </c>
      <c r="O1428" s="1782"/>
      <c r="P1428" s="1720"/>
    </row>
    <row r="1429" spans="1:16" ht="13.5" hidden="1" customHeight="1" outlineLevel="3" x14ac:dyDescent="0.2">
      <c r="A1429" s="459">
        <v>0</v>
      </c>
      <c r="B1429" s="459">
        <v>13</v>
      </c>
      <c r="C1429" s="459">
        <v>15</v>
      </c>
      <c r="D1429" s="460">
        <v>3</v>
      </c>
      <c r="E1429" s="460">
        <v>1</v>
      </c>
      <c r="G1429" s="1798" t="s">
        <v>24</v>
      </c>
      <c r="H1429" s="1783" t="s">
        <v>1239</v>
      </c>
      <c r="I1429" s="1750" t="s">
        <v>7450</v>
      </c>
      <c r="J1429" s="1785" t="s">
        <v>470</v>
      </c>
      <c r="K1429" s="1786" t="s">
        <v>642</v>
      </c>
      <c r="L1429" s="1787">
        <v>129.71</v>
      </c>
      <c r="M1429" s="1787">
        <v>20</v>
      </c>
      <c r="N1429" s="1754">
        <v>2594.1999999999998</v>
      </c>
      <c r="O1429" s="1788"/>
      <c r="P1429" s="1721" t="s">
        <v>9611</v>
      </c>
    </row>
    <row r="1430" spans="1:16" ht="13.5" hidden="1" customHeight="1" outlineLevel="3" x14ac:dyDescent="0.2">
      <c r="A1430" s="459">
        <v>0</v>
      </c>
      <c r="B1430" s="459">
        <v>13</v>
      </c>
      <c r="C1430" s="459">
        <v>15</v>
      </c>
      <c r="D1430" s="460">
        <v>3</v>
      </c>
      <c r="E1430" s="460">
        <v>2</v>
      </c>
      <c r="G1430" s="1798" t="s">
        <v>24</v>
      </c>
      <c r="H1430" s="1783" t="s">
        <v>1239</v>
      </c>
      <c r="I1430" s="1750" t="s">
        <v>7451</v>
      </c>
      <c r="J1430" s="1785" t="s">
        <v>4198</v>
      </c>
      <c r="K1430" s="1786" t="s">
        <v>642</v>
      </c>
      <c r="L1430" s="1787">
        <v>213.17000000000002</v>
      </c>
      <c r="M1430" s="1787">
        <v>38</v>
      </c>
      <c r="N1430" s="1754">
        <v>8100.46</v>
      </c>
      <c r="O1430" s="1788"/>
      <c r="P1430" s="1721" t="s">
        <v>9611</v>
      </c>
    </row>
    <row r="1431" spans="1:16" ht="13.5" hidden="1" customHeight="1" outlineLevel="3" x14ac:dyDescent="0.2">
      <c r="A1431" s="459">
        <v>0</v>
      </c>
      <c r="B1431" s="459">
        <v>13</v>
      </c>
      <c r="C1431" s="459">
        <v>15</v>
      </c>
      <c r="D1431" s="460">
        <v>3</v>
      </c>
      <c r="E1431" s="460">
        <v>3</v>
      </c>
      <c r="G1431" s="1798" t="s">
        <v>24</v>
      </c>
      <c r="H1431" s="1783" t="s">
        <v>1239</v>
      </c>
      <c r="I1431" s="1750" t="s">
        <v>7452</v>
      </c>
      <c r="J1431" s="1785" t="s">
        <v>4201</v>
      </c>
      <c r="K1431" s="1786" t="s">
        <v>642</v>
      </c>
      <c r="L1431" s="1787">
        <v>63.21</v>
      </c>
      <c r="M1431" s="1787">
        <v>35</v>
      </c>
      <c r="N1431" s="1754">
        <v>2212.35</v>
      </c>
      <c r="O1431" s="1788"/>
      <c r="P1431" s="1721" t="s">
        <v>9611</v>
      </c>
    </row>
    <row r="1432" spans="1:16" ht="13.5" hidden="1" customHeight="1" outlineLevel="3" x14ac:dyDescent="0.2">
      <c r="A1432" s="459">
        <v>0</v>
      </c>
      <c r="B1432" s="459">
        <v>13</v>
      </c>
      <c r="C1432" s="459">
        <v>15</v>
      </c>
      <c r="D1432" s="460">
        <v>3</v>
      </c>
      <c r="E1432" s="460">
        <v>4</v>
      </c>
      <c r="G1432" s="1798" t="s">
        <v>24</v>
      </c>
      <c r="H1432" s="1783" t="s">
        <v>1239</v>
      </c>
      <c r="I1432" s="1750" t="s">
        <v>7453</v>
      </c>
      <c r="J1432" s="1785" t="s">
        <v>4202</v>
      </c>
      <c r="K1432" s="1786" t="s">
        <v>642</v>
      </c>
      <c r="L1432" s="1787">
        <v>65.84</v>
      </c>
      <c r="M1432" s="1787">
        <v>42</v>
      </c>
      <c r="N1432" s="1754">
        <v>2765.28</v>
      </c>
      <c r="O1432" s="1788"/>
      <c r="P1432" s="1721" t="s">
        <v>9611</v>
      </c>
    </row>
    <row r="1433" spans="1:16" ht="13.5" hidden="1" customHeight="1" outlineLevel="1" x14ac:dyDescent="0.2">
      <c r="A1433" s="459">
        <v>0</v>
      </c>
      <c r="B1433" s="459">
        <v>18</v>
      </c>
      <c r="C1433" s="459">
        <v>1</v>
      </c>
      <c r="D1433" s="460">
        <v>0</v>
      </c>
      <c r="E1433" s="460">
        <v>3</v>
      </c>
      <c r="G1433" s="1796"/>
      <c r="H1433" s="1771" t="s">
        <v>39</v>
      </c>
      <c r="I1433" s="1735" t="s">
        <v>8408</v>
      </c>
      <c r="J1433" s="1773" t="s">
        <v>5508</v>
      </c>
      <c r="K1433" s="1774"/>
      <c r="L1433" s="1775"/>
      <c r="M1433" s="1775"/>
      <c r="N1433" s="1739"/>
      <c r="O1433" s="1776"/>
      <c r="P1433" s="1719"/>
    </row>
    <row r="1434" spans="1:16" ht="13.5" hidden="1" customHeight="1" outlineLevel="2" x14ac:dyDescent="0.2">
      <c r="A1434" s="459">
        <v>0</v>
      </c>
      <c r="B1434" s="459">
        <v>18</v>
      </c>
      <c r="C1434" s="459">
        <v>1</v>
      </c>
      <c r="D1434" s="460">
        <v>1</v>
      </c>
      <c r="E1434" s="460">
        <v>0</v>
      </c>
      <c r="G1434" s="1797"/>
      <c r="H1434" s="1777" t="s">
        <v>1238</v>
      </c>
      <c r="I1434" s="1742" t="s">
        <v>8409</v>
      </c>
      <c r="J1434" s="1779" t="s">
        <v>28</v>
      </c>
      <c r="K1434" s="1780"/>
      <c r="L1434" s="1781"/>
      <c r="M1434" s="1781"/>
      <c r="N1434" s="1746">
        <v>10971.603999999999</v>
      </c>
      <c r="O1434" s="1782">
        <v>0.65503403947659899</v>
      </c>
      <c r="P1434" s="1720"/>
    </row>
    <row r="1435" spans="1:16" ht="13.5" hidden="1" customHeight="1" outlineLevel="3" x14ac:dyDescent="0.2">
      <c r="A1435" s="459">
        <v>0</v>
      </c>
      <c r="B1435" s="459">
        <v>18</v>
      </c>
      <c r="C1435" s="459">
        <v>1</v>
      </c>
      <c r="D1435" s="460">
        <v>1</v>
      </c>
      <c r="E1435" s="460">
        <v>1</v>
      </c>
      <c r="G1435" s="1798" t="s">
        <v>52</v>
      </c>
      <c r="H1435" s="1783" t="s">
        <v>1239</v>
      </c>
      <c r="I1435" s="1750" t="s">
        <v>8410</v>
      </c>
      <c r="J1435" s="1785" t="s">
        <v>791</v>
      </c>
      <c r="K1435" s="1786" t="s">
        <v>788</v>
      </c>
      <c r="L1435" s="1787">
        <v>472.09999999999991</v>
      </c>
      <c r="M1435" s="1787">
        <v>23.240000000000002</v>
      </c>
      <c r="N1435" s="1754">
        <v>10971.603999999999</v>
      </c>
      <c r="O1435" s="1788" t="s">
        <v>3252</v>
      </c>
      <c r="P1435" s="1721" t="s">
        <v>9611</v>
      </c>
    </row>
    <row r="1436" spans="1:16" ht="13.5" hidden="1" customHeight="1" outlineLevel="2" x14ac:dyDescent="0.2">
      <c r="A1436" s="459">
        <v>0</v>
      </c>
      <c r="B1436" s="459">
        <v>18</v>
      </c>
      <c r="C1436" s="459">
        <v>1</v>
      </c>
      <c r="D1436" s="460">
        <v>2</v>
      </c>
      <c r="E1436" s="460">
        <v>0</v>
      </c>
      <c r="G1436" s="1797"/>
      <c r="H1436" s="1777" t="s">
        <v>1238</v>
      </c>
      <c r="I1436" s="1742" t="s">
        <v>8411</v>
      </c>
      <c r="J1436" s="1779" t="s">
        <v>29</v>
      </c>
      <c r="K1436" s="1780"/>
      <c r="L1436" s="1781"/>
      <c r="M1436" s="1781"/>
      <c r="N1436" s="1746">
        <v>1066855.46829102</v>
      </c>
      <c r="O1436" s="1782"/>
      <c r="P1436" s="1720"/>
    </row>
    <row r="1437" spans="1:16" ht="13.5" hidden="1" customHeight="1" outlineLevel="3" x14ac:dyDescent="0.2">
      <c r="A1437" s="459">
        <v>0</v>
      </c>
      <c r="B1437" s="459">
        <v>18</v>
      </c>
      <c r="C1437" s="459">
        <v>1</v>
      </c>
      <c r="D1437" s="460">
        <v>2</v>
      </c>
      <c r="E1437" s="460">
        <v>1</v>
      </c>
      <c r="G1437" s="1798" t="s">
        <v>52</v>
      </c>
      <c r="H1437" s="1783" t="s">
        <v>1239</v>
      </c>
      <c r="I1437" s="1750" t="s">
        <v>8412</v>
      </c>
      <c r="J1437" s="1785" t="s">
        <v>3247</v>
      </c>
      <c r="K1437" s="1786" t="s">
        <v>642</v>
      </c>
      <c r="L1437" s="1787">
        <v>33.400000000000006</v>
      </c>
      <c r="M1437" s="1787">
        <v>1906.3139681515586</v>
      </c>
      <c r="N1437" s="1754">
        <v>63670.8865362621</v>
      </c>
      <c r="O1437" s="1788" t="s">
        <v>3252</v>
      </c>
      <c r="P1437" s="1721" t="s">
        <v>9611</v>
      </c>
    </row>
    <row r="1438" spans="1:16" ht="13.5" hidden="1" customHeight="1" outlineLevel="3" x14ac:dyDescent="0.2">
      <c r="A1438" s="459">
        <v>0</v>
      </c>
      <c r="B1438" s="459">
        <v>18</v>
      </c>
      <c r="C1438" s="459">
        <v>1</v>
      </c>
      <c r="D1438" s="460">
        <v>2</v>
      </c>
      <c r="E1438" s="460">
        <v>2</v>
      </c>
      <c r="G1438" s="1798" t="s">
        <v>52</v>
      </c>
      <c r="H1438" s="1783" t="s">
        <v>1239</v>
      </c>
      <c r="I1438" s="1750" t="s">
        <v>8413</v>
      </c>
      <c r="J1438" s="1785" t="s">
        <v>3248</v>
      </c>
      <c r="K1438" s="1786" t="s">
        <v>642</v>
      </c>
      <c r="L1438" s="1787">
        <v>4.0000000000000009</v>
      </c>
      <c r="M1438" s="1787">
        <v>2650.4955587130289</v>
      </c>
      <c r="N1438" s="1754">
        <v>10601.982234852099</v>
      </c>
      <c r="O1438" s="1788" t="s">
        <v>3252</v>
      </c>
      <c r="P1438" s="1721" t="s">
        <v>9611</v>
      </c>
    </row>
    <row r="1439" spans="1:16" ht="13.5" hidden="1" customHeight="1" outlineLevel="3" x14ac:dyDescent="0.2">
      <c r="A1439" s="459">
        <v>0</v>
      </c>
      <c r="B1439" s="459">
        <v>18</v>
      </c>
      <c r="C1439" s="459">
        <v>1</v>
      </c>
      <c r="D1439" s="460">
        <v>2</v>
      </c>
      <c r="E1439" s="460">
        <v>3</v>
      </c>
      <c r="G1439" s="1798" t="s">
        <v>52</v>
      </c>
      <c r="H1439" s="1783" t="s">
        <v>1239</v>
      </c>
      <c r="I1439" s="1750" t="s">
        <v>8414</v>
      </c>
      <c r="J1439" s="1785" t="s">
        <v>3249</v>
      </c>
      <c r="K1439" s="1786" t="s">
        <v>642</v>
      </c>
      <c r="L1439" s="1787">
        <v>107.01499999999997</v>
      </c>
      <c r="M1439" s="1787">
        <v>2873.7896511695099</v>
      </c>
      <c r="N1439" s="1754">
        <v>307538.59951990499</v>
      </c>
      <c r="O1439" s="1788" t="s">
        <v>3252</v>
      </c>
      <c r="P1439" s="1721" t="s">
        <v>9611</v>
      </c>
    </row>
    <row r="1440" spans="1:16" ht="13.5" hidden="1" customHeight="1" outlineLevel="3" x14ac:dyDescent="0.2">
      <c r="A1440" s="459">
        <v>0</v>
      </c>
      <c r="B1440" s="459">
        <v>18</v>
      </c>
      <c r="C1440" s="459">
        <v>1</v>
      </c>
      <c r="D1440" s="460">
        <v>2</v>
      </c>
      <c r="E1440" s="460">
        <v>4</v>
      </c>
      <c r="G1440" s="1798" t="s">
        <v>52</v>
      </c>
      <c r="H1440" s="1783" t="s">
        <v>1239</v>
      </c>
      <c r="I1440" s="1750" t="s">
        <v>8415</v>
      </c>
      <c r="J1440" s="1785" t="s">
        <v>3250</v>
      </c>
      <c r="K1440" s="1786" t="s">
        <v>642</v>
      </c>
      <c r="L1440" s="1787">
        <v>134.535</v>
      </c>
      <c r="M1440" s="1787">
        <v>3623.4139814918053</v>
      </c>
      <c r="N1440" s="1754">
        <v>487476</v>
      </c>
      <c r="O1440" s="1788" t="s">
        <v>3252</v>
      </c>
      <c r="P1440" s="1721" t="s">
        <v>9611</v>
      </c>
    </row>
    <row r="1441" spans="1:16" ht="13.5" hidden="1" customHeight="1" outlineLevel="3" x14ac:dyDescent="0.2">
      <c r="A1441" s="459">
        <v>0</v>
      </c>
      <c r="B1441" s="459">
        <v>18</v>
      </c>
      <c r="C1441" s="459">
        <v>1</v>
      </c>
      <c r="D1441" s="460">
        <v>2</v>
      </c>
      <c r="E1441" s="460">
        <v>5</v>
      </c>
      <c r="G1441" s="1798" t="s">
        <v>52</v>
      </c>
      <c r="H1441" s="1783" t="s">
        <v>1239</v>
      </c>
      <c r="I1441" s="1750" t="s">
        <v>8416</v>
      </c>
      <c r="J1441" s="1785" t="s">
        <v>3253</v>
      </c>
      <c r="K1441" s="1786" t="s">
        <v>534</v>
      </c>
      <c r="L1441" s="1787">
        <v>1</v>
      </c>
      <c r="M1441" s="1787">
        <v>197568</v>
      </c>
      <c r="N1441" s="1754">
        <v>197568</v>
      </c>
      <c r="O1441" s="1788" t="s">
        <v>3251</v>
      </c>
      <c r="P1441" s="1721" t="s">
        <v>9611</v>
      </c>
    </row>
    <row r="1442" spans="1:16" ht="12.75" hidden="1" customHeight="1" outlineLevel="2" x14ac:dyDescent="0.2">
      <c r="A1442" s="459">
        <v>0</v>
      </c>
      <c r="B1442" s="459">
        <v>18</v>
      </c>
      <c r="C1442" s="459">
        <v>1</v>
      </c>
      <c r="D1442" s="460">
        <v>3</v>
      </c>
      <c r="E1442" s="460">
        <v>0</v>
      </c>
      <c r="G1442" s="1797"/>
      <c r="H1442" s="1777" t="s">
        <v>1238</v>
      </c>
      <c r="I1442" s="1742" t="s">
        <v>8417</v>
      </c>
      <c r="J1442" s="1779" t="s">
        <v>2819</v>
      </c>
      <c r="K1442" s="1780"/>
      <c r="L1442" s="1781"/>
      <c r="M1442" s="1781"/>
      <c r="N1442" s="1746"/>
      <c r="O1442" s="1782"/>
      <c r="P1442" s="1720"/>
    </row>
    <row r="1443" spans="1:16" ht="12.75" hidden="1" customHeight="1" outlineLevel="3" x14ac:dyDescent="0.2">
      <c r="A1443" s="459">
        <v>0</v>
      </c>
      <c r="B1443" s="459">
        <v>18</v>
      </c>
      <c r="C1443" s="459">
        <v>1</v>
      </c>
      <c r="D1443" s="460">
        <v>3</v>
      </c>
      <c r="E1443" s="460">
        <v>1</v>
      </c>
      <c r="G1443" s="1798" t="s">
        <v>52</v>
      </c>
      <c r="H1443" s="1783" t="s">
        <v>1239</v>
      </c>
      <c r="I1443" s="1750" t="s">
        <v>8418</v>
      </c>
      <c r="J1443" s="1785" t="s">
        <v>797</v>
      </c>
      <c r="K1443" s="1786" t="s">
        <v>642</v>
      </c>
      <c r="L1443" s="1787" t="e">
        <v>#REF!</v>
      </c>
      <c r="M1443" s="1787">
        <v>1403.9850000000001</v>
      </c>
      <c r="N1443" s="1754"/>
      <c r="O1443" s="1788" t="s">
        <v>3251</v>
      </c>
      <c r="P1443" s="1721" t="s">
        <v>9611</v>
      </c>
    </row>
    <row r="1444" spans="1:16" ht="13.5" hidden="1" customHeight="1" outlineLevel="1" x14ac:dyDescent="0.2">
      <c r="A1444" s="459">
        <v>0</v>
      </c>
      <c r="B1444" s="459">
        <v>18</v>
      </c>
      <c r="C1444" s="459">
        <v>2</v>
      </c>
      <c r="D1444" s="460">
        <v>0</v>
      </c>
      <c r="E1444" s="460">
        <v>1</v>
      </c>
      <c r="G1444" s="1796"/>
      <c r="H1444" s="1771" t="s">
        <v>39</v>
      </c>
      <c r="I1444" s="1735" t="s">
        <v>8419</v>
      </c>
      <c r="J1444" s="1773" t="s">
        <v>5509</v>
      </c>
      <c r="K1444" s="1774"/>
      <c r="L1444" s="1775"/>
      <c r="M1444" s="1775"/>
      <c r="N1444" s="1739"/>
      <c r="O1444" s="1776"/>
      <c r="P1444" s="1719"/>
    </row>
    <row r="1445" spans="1:16" ht="13.5" hidden="1" customHeight="1" outlineLevel="2" x14ac:dyDescent="0.2">
      <c r="A1445" s="459">
        <v>0</v>
      </c>
      <c r="B1445" s="459">
        <v>18</v>
      </c>
      <c r="C1445" s="459">
        <v>2</v>
      </c>
      <c r="D1445" s="460">
        <v>1</v>
      </c>
      <c r="E1445" s="460">
        <v>0</v>
      </c>
      <c r="G1445" s="1797"/>
      <c r="H1445" s="1777" t="s">
        <v>1238</v>
      </c>
      <c r="I1445" s="1742" t="s">
        <v>8420</v>
      </c>
      <c r="J1445" s="1779" t="s">
        <v>28</v>
      </c>
      <c r="K1445" s="1780"/>
      <c r="L1445" s="1781"/>
      <c r="M1445" s="1781"/>
      <c r="N1445" s="1746">
        <v>478.74400000000003</v>
      </c>
      <c r="O1445" s="1782">
        <v>2.85822944571445E-2</v>
      </c>
      <c r="P1445" s="1720"/>
    </row>
    <row r="1446" spans="1:16" ht="13.5" hidden="1" customHeight="1" outlineLevel="3" x14ac:dyDescent="0.2">
      <c r="A1446" s="459">
        <v>0</v>
      </c>
      <c r="B1446" s="459">
        <v>18</v>
      </c>
      <c r="C1446" s="459">
        <v>2</v>
      </c>
      <c r="D1446" s="460">
        <v>1</v>
      </c>
      <c r="E1446" s="460">
        <v>1</v>
      </c>
      <c r="G1446" s="1798" t="s">
        <v>52</v>
      </c>
      <c r="H1446" s="1783" t="s">
        <v>1239</v>
      </c>
      <c r="I1446" s="1750" t="s">
        <v>8421</v>
      </c>
      <c r="J1446" s="1785" t="s">
        <v>791</v>
      </c>
      <c r="K1446" s="1786" t="s">
        <v>788</v>
      </c>
      <c r="L1446" s="1787">
        <v>20.6</v>
      </c>
      <c r="M1446" s="1787">
        <v>23.240000000000002</v>
      </c>
      <c r="N1446" s="1754">
        <v>478.74400000000003</v>
      </c>
      <c r="O1446" s="1788" t="s">
        <v>3252</v>
      </c>
      <c r="P1446" s="1721" t="s">
        <v>9611</v>
      </c>
    </row>
    <row r="1447" spans="1:16" ht="13.5" hidden="1" customHeight="1" outlineLevel="2" x14ac:dyDescent="0.2">
      <c r="A1447" s="459">
        <v>0</v>
      </c>
      <c r="B1447" s="459">
        <v>18</v>
      </c>
      <c r="C1447" s="459">
        <v>2</v>
      </c>
      <c r="D1447" s="460">
        <v>2</v>
      </c>
      <c r="E1447" s="460">
        <v>0</v>
      </c>
      <c r="G1447" s="1797"/>
      <c r="H1447" s="1777" t="s">
        <v>1238</v>
      </c>
      <c r="I1447" s="1742" t="s">
        <v>8422</v>
      </c>
      <c r="J1447" s="1779" t="s">
        <v>29</v>
      </c>
      <c r="K1447" s="1780"/>
      <c r="L1447" s="1781"/>
      <c r="M1447" s="1781"/>
      <c r="N1447" s="1746">
        <v>18223.1524392147</v>
      </c>
      <c r="O1447" s="1782"/>
      <c r="P1447" s="1720"/>
    </row>
    <row r="1448" spans="1:16" ht="13.5" hidden="1" customHeight="1" outlineLevel="3" x14ac:dyDescent="0.2">
      <c r="A1448" s="459">
        <v>0</v>
      </c>
      <c r="B1448" s="459">
        <v>18</v>
      </c>
      <c r="C1448" s="459">
        <v>2</v>
      </c>
      <c r="D1448" s="460">
        <v>2</v>
      </c>
      <c r="E1448" s="460">
        <v>1</v>
      </c>
      <c r="G1448" s="1798" t="s">
        <v>52</v>
      </c>
      <c r="H1448" s="1783" t="s">
        <v>1239</v>
      </c>
      <c r="I1448" s="1750" t="s">
        <v>8423</v>
      </c>
      <c r="J1448" s="1785" t="s">
        <v>3247</v>
      </c>
      <c r="K1448" s="1786" t="s">
        <v>642</v>
      </c>
      <c r="L1448" s="1787">
        <v>6</v>
      </c>
      <c r="M1448" s="1787">
        <v>1906.3139681515586</v>
      </c>
      <c r="N1448" s="1754">
        <v>11437.883808909401</v>
      </c>
      <c r="O1448" s="1788" t="s">
        <v>3252</v>
      </c>
      <c r="P1448" s="1721" t="s">
        <v>9611</v>
      </c>
    </row>
    <row r="1449" spans="1:16" ht="13.5" hidden="1" customHeight="1" outlineLevel="3" x14ac:dyDescent="0.2">
      <c r="A1449" s="459">
        <v>0</v>
      </c>
      <c r="B1449" s="459">
        <v>18</v>
      </c>
      <c r="C1449" s="459">
        <v>2</v>
      </c>
      <c r="D1449" s="460">
        <v>2</v>
      </c>
      <c r="E1449" s="460">
        <v>2</v>
      </c>
      <c r="G1449" s="1798" t="s">
        <v>52</v>
      </c>
      <c r="H1449" s="1783" t="s">
        <v>1239</v>
      </c>
      <c r="I1449" s="1750" t="s">
        <v>8424</v>
      </c>
      <c r="J1449" s="1785" t="s">
        <v>3248</v>
      </c>
      <c r="K1449" s="1786" t="s">
        <v>642</v>
      </c>
      <c r="L1449" s="1787">
        <v>2.5600000000000005</v>
      </c>
      <c r="M1449" s="1787">
        <v>2650.4955587130289</v>
      </c>
      <c r="N1449" s="1754">
        <v>6785.2686303053597</v>
      </c>
      <c r="O1449" s="1788" t="s">
        <v>3252</v>
      </c>
      <c r="P1449" s="1721" t="s">
        <v>9611</v>
      </c>
    </row>
    <row r="1450" spans="1:16" ht="12.75" hidden="1" customHeight="1" outlineLevel="2" x14ac:dyDescent="0.2">
      <c r="A1450" s="459">
        <v>0</v>
      </c>
      <c r="B1450" s="459">
        <v>18</v>
      </c>
      <c r="C1450" s="459">
        <v>2</v>
      </c>
      <c r="D1450" s="460">
        <v>3</v>
      </c>
      <c r="E1450" s="460">
        <v>0</v>
      </c>
      <c r="G1450" s="1797"/>
      <c r="H1450" s="1777" t="s">
        <v>1238</v>
      </c>
      <c r="I1450" s="1742" t="s">
        <v>8425</v>
      </c>
      <c r="J1450" s="1779" t="s">
        <v>2819</v>
      </c>
      <c r="K1450" s="1780"/>
      <c r="L1450" s="1781"/>
      <c r="M1450" s="1781"/>
      <c r="N1450" s="1746"/>
      <c r="O1450" s="1782"/>
      <c r="P1450" s="1720"/>
    </row>
    <row r="1451" spans="1:16" ht="12.75" hidden="1" customHeight="1" outlineLevel="3" x14ac:dyDescent="0.2">
      <c r="A1451" s="459">
        <v>0</v>
      </c>
      <c r="B1451" s="459">
        <v>18</v>
      </c>
      <c r="C1451" s="459">
        <v>2</v>
      </c>
      <c r="D1451" s="460">
        <v>3</v>
      </c>
      <c r="E1451" s="460">
        <v>1</v>
      </c>
      <c r="G1451" s="1798" t="s">
        <v>52</v>
      </c>
      <c r="H1451" s="1783" t="s">
        <v>1239</v>
      </c>
      <c r="I1451" s="1750" t="s">
        <v>8426</v>
      </c>
      <c r="J1451" s="1785" t="s">
        <v>797</v>
      </c>
      <c r="K1451" s="1786" t="s">
        <v>642</v>
      </c>
      <c r="L1451" s="1787" t="e">
        <v>#REF!</v>
      </c>
      <c r="M1451" s="1787">
        <v>1403.9850000000001</v>
      </c>
      <c r="N1451" s="1754"/>
      <c r="O1451" s="1788" t="s">
        <v>3251</v>
      </c>
      <c r="P1451" s="1721" t="s">
        <v>9611</v>
      </c>
    </row>
    <row r="1452" spans="1:16" ht="12.75" hidden="1" customHeight="1" outlineLevel="2" x14ac:dyDescent="0.2">
      <c r="A1452" s="459">
        <v>0</v>
      </c>
      <c r="B1452" s="459">
        <v>18</v>
      </c>
      <c r="C1452" s="459">
        <v>2</v>
      </c>
      <c r="D1452" s="460">
        <v>4</v>
      </c>
      <c r="E1452" s="460">
        <v>0</v>
      </c>
      <c r="G1452" s="1797"/>
      <c r="H1452" s="1777" t="s">
        <v>1238</v>
      </c>
      <c r="I1452" s="1742" t="s">
        <v>8427</v>
      </c>
      <c r="J1452" s="1779" t="s">
        <v>3259</v>
      </c>
      <c r="K1452" s="1780"/>
      <c r="L1452" s="1781"/>
      <c r="M1452" s="1781"/>
      <c r="N1452" s="1746"/>
      <c r="O1452" s="1782"/>
      <c r="P1452" s="1720"/>
    </row>
    <row r="1453" spans="1:16" ht="12.75" hidden="1" customHeight="1" outlineLevel="3" x14ac:dyDescent="0.2">
      <c r="A1453" s="459">
        <v>0</v>
      </c>
      <c r="B1453" s="459">
        <v>18</v>
      </c>
      <c r="C1453" s="459">
        <v>2</v>
      </c>
      <c r="D1453" s="460">
        <v>4</v>
      </c>
      <c r="E1453" s="460">
        <v>1</v>
      </c>
      <c r="G1453" s="1798" t="s">
        <v>52</v>
      </c>
      <c r="H1453" s="1783" t="s">
        <v>1239</v>
      </c>
      <c r="I1453" s="1750" t="s">
        <v>8428</v>
      </c>
      <c r="J1453" s="1785" t="s">
        <v>794</v>
      </c>
      <c r="K1453" s="1786" t="s">
        <v>642</v>
      </c>
      <c r="L1453" s="1787" t="e">
        <v>#REF!</v>
      </c>
      <c r="M1453" s="1787">
        <v>2122.5413895570964</v>
      </c>
      <c r="N1453" s="1754"/>
      <c r="O1453" s="1788" t="s">
        <v>3251</v>
      </c>
      <c r="P1453" s="1721" t="s">
        <v>9611</v>
      </c>
    </row>
    <row r="1454" spans="1:16" ht="13.5" hidden="1" customHeight="1" outlineLevel="1" x14ac:dyDescent="0.2">
      <c r="A1454" s="459">
        <v>0</v>
      </c>
      <c r="B1454" s="459">
        <v>18</v>
      </c>
      <c r="C1454" s="459">
        <v>3</v>
      </c>
      <c r="D1454" s="460">
        <v>0</v>
      </c>
      <c r="E1454" s="460">
        <v>1</v>
      </c>
      <c r="G1454" s="1796"/>
      <c r="H1454" s="1771" t="s">
        <v>39</v>
      </c>
      <c r="I1454" s="1735" t="s">
        <v>8429</v>
      </c>
      <c r="J1454" s="1773" t="s">
        <v>5511</v>
      </c>
      <c r="K1454" s="1774"/>
      <c r="L1454" s="1775"/>
      <c r="M1454" s="1775"/>
      <c r="N1454" s="1739"/>
      <c r="O1454" s="1776"/>
      <c r="P1454" s="1719"/>
    </row>
    <row r="1455" spans="1:16" ht="13.5" hidden="1" customHeight="1" outlineLevel="2" x14ac:dyDescent="0.2">
      <c r="A1455" s="459">
        <v>0</v>
      </c>
      <c r="B1455" s="459">
        <v>18</v>
      </c>
      <c r="C1455" s="459">
        <v>3</v>
      </c>
      <c r="D1455" s="460">
        <v>1</v>
      </c>
      <c r="E1455" s="460">
        <v>0</v>
      </c>
      <c r="G1455" s="1797"/>
      <c r="H1455" s="1777" t="s">
        <v>1238</v>
      </c>
      <c r="I1455" s="1742" t="s">
        <v>8430</v>
      </c>
      <c r="J1455" s="1779" t="s">
        <v>28</v>
      </c>
      <c r="K1455" s="1780"/>
      <c r="L1455" s="1781"/>
      <c r="M1455" s="1781"/>
      <c r="N1455" s="1746">
        <v>223.10400000000001</v>
      </c>
      <c r="O1455" s="1782">
        <v>1.33199042130382E-2</v>
      </c>
      <c r="P1455" s="1720"/>
    </row>
    <row r="1456" spans="1:16" ht="13.5" hidden="1" customHeight="1" outlineLevel="3" x14ac:dyDescent="0.2">
      <c r="A1456" s="459">
        <v>0</v>
      </c>
      <c r="B1456" s="459">
        <v>18</v>
      </c>
      <c r="C1456" s="459">
        <v>3</v>
      </c>
      <c r="D1456" s="460">
        <v>1</v>
      </c>
      <c r="E1456" s="460">
        <v>1</v>
      </c>
      <c r="G1456" s="1798" t="s">
        <v>52</v>
      </c>
      <c r="H1456" s="1783" t="s">
        <v>1239</v>
      </c>
      <c r="I1456" s="1750" t="s">
        <v>8431</v>
      </c>
      <c r="J1456" s="1785" t="s">
        <v>791</v>
      </c>
      <c r="K1456" s="1786" t="s">
        <v>788</v>
      </c>
      <c r="L1456" s="1787">
        <v>9.6000000000000014</v>
      </c>
      <c r="M1456" s="1787">
        <v>23.240000000000002</v>
      </c>
      <c r="N1456" s="1754">
        <v>223.10400000000001</v>
      </c>
      <c r="O1456" s="1788" t="s">
        <v>3252</v>
      </c>
      <c r="P1456" s="1721" t="s">
        <v>9611</v>
      </c>
    </row>
    <row r="1457" spans="1:16" ht="13.5" hidden="1" customHeight="1" outlineLevel="2" x14ac:dyDescent="0.2">
      <c r="A1457" s="459">
        <v>0</v>
      </c>
      <c r="B1457" s="459">
        <v>18</v>
      </c>
      <c r="C1457" s="459">
        <v>3</v>
      </c>
      <c r="D1457" s="460">
        <v>2</v>
      </c>
      <c r="E1457" s="460">
        <v>0</v>
      </c>
      <c r="G1457" s="1797"/>
      <c r="H1457" s="1777" t="s">
        <v>1238</v>
      </c>
      <c r="I1457" s="1742" t="s">
        <v>8432</v>
      </c>
      <c r="J1457" s="1779" t="s">
        <v>29</v>
      </c>
      <c r="K1457" s="1780"/>
      <c r="L1457" s="1781"/>
      <c r="M1457" s="1781"/>
      <c r="N1457" s="1746">
        <v>6785.2686303053597</v>
      </c>
      <c r="O1457" s="1782"/>
      <c r="P1457" s="1720"/>
    </row>
    <row r="1458" spans="1:16" ht="13.5" hidden="1" customHeight="1" outlineLevel="3" x14ac:dyDescent="0.2">
      <c r="A1458" s="459">
        <v>0</v>
      </c>
      <c r="B1458" s="459">
        <v>18</v>
      </c>
      <c r="C1458" s="459">
        <v>3</v>
      </c>
      <c r="D1458" s="460">
        <v>2</v>
      </c>
      <c r="E1458" s="460">
        <v>1</v>
      </c>
      <c r="G1458" s="1798" t="s">
        <v>52</v>
      </c>
      <c r="H1458" s="1783" t="s">
        <v>1239</v>
      </c>
      <c r="I1458" s="1750" t="s">
        <v>8433</v>
      </c>
      <c r="J1458" s="1785" t="s">
        <v>3248</v>
      </c>
      <c r="K1458" s="1786" t="s">
        <v>642</v>
      </c>
      <c r="L1458" s="1787">
        <v>2.5600000000000005</v>
      </c>
      <c r="M1458" s="1787">
        <v>2650.4955587130289</v>
      </c>
      <c r="N1458" s="1754">
        <v>6785.2686303053597</v>
      </c>
      <c r="O1458" s="1788" t="s">
        <v>3252</v>
      </c>
      <c r="P1458" s="1721" t="s">
        <v>9611</v>
      </c>
    </row>
    <row r="1459" spans="1:16" ht="12.75" hidden="1" customHeight="1" outlineLevel="2" x14ac:dyDescent="0.2">
      <c r="A1459" s="459">
        <v>0</v>
      </c>
      <c r="B1459" s="459">
        <v>18</v>
      </c>
      <c r="C1459" s="459">
        <v>3</v>
      </c>
      <c r="D1459" s="460">
        <v>3</v>
      </c>
      <c r="E1459" s="460">
        <v>0</v>
      </c>
      <c r="G1459" s="1797"/>
      <c r="H1459" s="1777" t="s">
        <v>1238</v>
      </c>
      <c r="I1459" s="1742" t="s">
        <v>8434</v>
      </c>
      <c r="J1459" s="1779" t="s">
        <v>3259</v>
      </c>
      <c r="K1459" s="1780"/>
      <c r="L1459" s="1781"/>
      <c r="M1459" s="1781"/>
      <c r="N1459" s="1746"/>
      <c r="O1459" s="1782"/>
      <c r="P1459" s="1720"/>
    </row>
    <row r="1460" spans="1:16" ht="12.75" hidden="1" customHeight="1" outlineLevel="3" x14ac:dyDescent="0.2">
      <c r="A1460" s="459">
        <v>0</v>
      </c>
      <c r="B1460" s="459">
        <v>18</v>
      </c>
      <c r="C1460" s="459">
        <v>3</v>
      </c>
      <c r="D1460" s="460">
        <v>3</v>
      </c>
      <c r="E1460" s="460">
        <v>1</v>
      </c>
      <c r="G1460" s="1798" t="s">
        <v>52</v>
      </c>
      <c r="H1460" s="1783" t="s">
        <v>1239</v>
      </c>
      <c r="I1460" s="1750" t="s">
        <v>8435</v>
      </c>
      <c r="J1460" s="1785" t="s">
        <v>794</v>
      </c>
      <c r="K1460" s="1786" t="s">
        <v>642</v>
      </c>
      <c r="L1460" s="1787" t="e">
        <v>#REF!</v>
      </c>
      <c r="M1460" s="1787">
        <v>2122.5413895570964</v>
      </c>
      <c r="N1460" s="1754"/>
      <c r="O1460" s="1788" t="s">
        <v>3251</v>
      </c>
      <c r="P1460" s="1721" t="s">
        <v>9611</v>
      </c>
    </row>
    <row r="1461" spans="1:16" ht="12.75" hidden="1" customHeight="1" outlineLevel="2" x14ac:dyDescent="0.2">
      <c r="A1461" s="459">
        <v>0</v>
      </c>
      <c r="B1461" s="459">
        <v>18</v>
      </c>
      <c r="C1461" s="459">
        <v>3</v>
      </c>
      <c r="D1461" s="460">
        <v>4</v>
      </c>
      <c r="E1461" s="460">
        <v>0</v>
      </c>
      <c r="G1461" s="1797"/>
      <c r="H1461" s="1777" t="s">
        <v>1238</v>
      </c>
      <c r="I1461" s="1742" t="s">
        <v>8436</v>
      </c>
      <c r="J1461" s="1779" t="s">
        <v>799</v>
      </c>
      <c r="K1461" s="1780"/>
      <c r="L1461" s="1781"/>
      <c r="M1461" s="1781"/>
      <c r="N1461" s="1746"/>
      <c r="O1461" s="1782"/>
      <c r="P1461" s="1720"/>
    </row>
    <row r="1462" spans="1:16" ht="13.5" hidden="1" customHeight="1" outlineLevel="3" x14ac:dyDescent="0.2">
      <c r="A1462" s="459">
        <v>0</v>
      </c>
      <c r="B1462" s="459">
        <v>18</v>
      </c>
      <c r="C1462" s="459">
        <v>3</v>
      </c>
      <c r="D1462" s="460">
        <v>4</v>
      </c>
      <c r="E1462" s="460">
        <v>1</v>
      </c>
      <c r="G1462" s="1798" t="s">
        <v>52</v>
      </c>
      <c r="H1462" s="1783" t="s">
        <v>1239</v>
      </c>
      <c r="I1462" s="1750" t="s">
        <v>8437</v>
      </c>
      <c r="J1462" s="1785" t="s">
        <v>799</v>
      </c>
      <c r="K1462" s="1786" t="s">
        <v>642</v>
      </c>
      <c r="L1462" s="1787" t="e">
        <v>#REF!</v>
      </c>
      <c r="M1462" s="1787">
        <v>1533.99</v>
      </c>
      <c r="N1462" s="1754"/>
      <c r="O1462" s="1788" t="s">
        <v>3251</v>
      </c>
      <c r="P1462" s="1721" t="s">
        <v>9611</v>
      </c>
    </row>
    <row r="1463" spans="1:16" ht="13.5" hidden="1" customHeight="1" outlineLevel="1" x14ac:dyDescent="0.2">
      <c r="A1463" s="459">
        <v>0</v>
      </c>
      <c r="B1463" s="459">
        <v>18</v>
      </c>
      <c r="C1463" s="459">
        <v>4</v>
      </c>
      <c r="D1463" s="460">
        <v>0</v>
      </c>
      <c r="E1463" s="460">
        <v>1</v>
      </c>
      <c r="G1463" s="1796"/>
      <c r="H1463" s="1771" t="s">
        <v>39</v>
      </c>
      <c r="I1463" s="1735" t="s">
        <v>8438</v>
      </c>
      <c r="J1463" s="1773" t="s">
        <v>5510</v>
      </c>
      <c r="K1463" s="1774"/>
      <c r="L1463" s="1775"/>
      <c r="M1463" s="1775"/>
      <c r="N1463" s="1739"/>
      <c r="O1463" s="1776"/>
      <c r="P1463" s="1719"/>
    </row>
    <row r="1464" spans="1:16" ht="13.5" hidden="1" customHeight="1" outlineLevel="2" x14ac:dyDescent="0.2">
      <c r="A1464" s="459">
        <v>0</v>
      </c>
      <c r="B1464" s="459">
        <v>18</v>
      </c>
      <c r="C1464" s="459">
        <v>4</v>
      </c>
      <c r="D1464" s="460">
        <v>1</v>
      </c>
      <c r="E1464" s="460">
        <v>0</v>
      </c>
      <c r="G1464" s="1797"/>
      <c r="H1464" s="1777" t="s">
        <v>1238</v>
      </c>
      <c r="I1464" s="1742" t="s">
        <v>8439</v>
      </c>
      <c r="J1464" s="1779" t="s">
        <v>28</v>
      </c>
      <c r="K1464" s="1780"/>
      <c r="L1464" s="1781"/>
      <c r="M1464" s="1781"/>
      <c r="N1464" s="1746">
        <v>223.10400000000001</v>
      </c>
      <c r="O1464" s="1782">
        <v>1.33199042130382E-2</v>
      </c>
      <c r="P1464" s="1720"/>
    </row>
    <row r="1465" spans="1:16" ht="13.5" hidden="1" customHeight="1" outlineLevel="3" x14ac:dyDescent="0.2">
      <c r="A1465" s="459">
        <v>0</v>
      </c>
      <c r="B1465" s="459">
        <v>18</v>
      </c>
      <c r="C1465" s="459">
        <v>4</v>
      </c>
      <c r="D1465" s="460">
        <v>1</v>
      </c>
      <c r="E1465" s="460">
        <v>1</v>
      </c>
      <c r="G1465" s="1798" t="s">
        <v>52</v>
      </c>
      <c r="H1465" s="1783" t="s">
        <v>1239</v>
      </c>
      <c r="I1465" s="1750" t="s">
        <v>8440</v>
      </c>
      <c r="J1465" s="1785" t="s">
        <v>791</v>
      </c>
      <c r="K1465" s="1786" t="s">
        <v>788</v>
      </c>
      <c r="L1465" s="1787">
        <v>9.6000000000000014</v>
      </c>
      <c r="M1465" s="1787">
        <v>23.240000000000002</v>
      </c>
      <c r="N1465" s="1754">
        <v>223.10400000000001</v>
      </c>
      <c r="O1465" s="1788" t="s">
        <v>3252</v>
      </c>
      <c r="P1465" s="1721" t="s">
        <v>9611</v>
      </c>
    </row>
    <row r="1466" spans="1:16" ht="13.5" hidden="1" customHeight="1" outlineLevel="2" x14ac:dyDescent="0.2">
      <c r="A1466" s="459">
        <v>0</v>
      </c>
      <c r="B1466" s="459">
        <v>18</v>
      </c>
      <c r="C1466" s="459">
        <v>4</v>
      </c>
      <c r="D1466" s="460">
        <v>2</v>
      </c>
      <c r="E1466" s="460">
        <v>0</v>
      </c>
      <c r="G1466" s="1797"/>
      <c r="H1466" s="1777" t="s">
        <v>1238</v>
      </c>
      <c r="I1466" s="1742" t="s">
        <v>8441</v>
      </c>
      <c r="J1466" s="1779" t="s">
        <v>29</v>
      </c>
      <c r="K1466" s="1780"/>
      <c r="L1466" s="1781"/>
      <c r="M1466" s="1781"/>
      <c r="N1466" s="1746">
        <v>6785.2686303053597</v>
      </c>
      <c r="O1466" s="1782"/>
      <c r="P1466" s="1720"/>
    </row>
    <row r="1467" spans="1:16" ht="13.5" hidden="1" customHeight="1" outlineLevel="3" x14ac:dyDescent="0.2">
      <c r="A1467" s="459">
        <v>0</v>
      </c>
      <c r="B1467" s="459">
        <v>18</v>
      </c>
      <c r="C1467" s="459">
        <v>4</v>
      </c>
      <c r="D1467" s="460">
        <v>2</v>
      </c>
      <c r="E1467" s="460">
        <v>1</v>
      </c>
      <c r="G1467" s="1798" t="s">
        <v>52</v>
      </c>
      <c r="H1467" s="1783" t="s">
        <v>1239</v>
      </c>
      <c r="I1467" s="1750" t="s">
        <v>8442</v>
      </c>
      <c r="J1467" s="1785" t="s">
        <v>3248</v>
      </c>
      <c r="K1467" s="1786" t="s">
        <v>642</v>
      </c>
      <c r="L1467" s="1787">
        <v>2.5600000000000005</v>
      </c>
      <c r="M1467" s="1787">
        <v>2650.4955587130289</v>
      </c>
      <c r="N1467" s="1754">
        <v>6785.2686303053597</v>
      </c>
      <c r="O1467" s="1788" t="s">
        <v>3252</v>
      </c>
      <c r="P1467" s="1721" t="s">
        <v>9611</v>
      </c>
    </row>
    <row r="1468" spans="1:16" ht="12.75" hidden="1" customHeight="1" outlineLevel="2" x14ac:dyDescent="0.2">
      <c r="A1468" s="459">
        <v>0</v>
      </c>
      <c r="B1468" s="459">
        <v>18</v>
      </c>
      <c r="C1468" s="459">
        <v>4</v>
      </c>
      <c r="D1468" s="460">
        <v>3</v>
      </c>
      <c r="E1468" s="460">
        <v>0</v>
      </c>
      <c r="G1468" s="1797"/>
      <c r="H1468" s="1777" t="s">
        <v>1238</v>
      </c>
      <c r="I1468" s="1742" t="s">
        <v>8443</v>
      </c>
      <c r="J1468" s="1779" t="s">
        <v>799</v>
      </c>
      <c r="K1468" s="1780"/>
      <c r="L1468" s="1781"/>
      <c r="M1468" s="1781"/>
      <c r="N1468" s="1746"/>
      <c r="O1468" s="1782"/>
      <c r="P1468" s="1720"/>
    </row>
    <row r="1469" spans="1:16" ht="13.5" hidden="1" customHeight="1" outlineLevel="3" x14ac:dyDescent="0.2">
      <c r="A1469" s="459">
        <v>0</v>
      </c>
      <c r="B1469" s="459">
        <v>18</v>
      </c>
      <c r="C1469" s="459">
        <v>4</v>
      </c>
      <c r="D1469" s="460">
        <v>3</v>
      </c>
      <c r="E1469" s="460">
        <v>1</v>
      </c>
      <c r="G1469" s="1798" t="s">
        <v>52</v>
      </c>
      <c r="H1469" s="1783" t="s">
        <v>1239</v>
      </c>
      <c r="I1469" s="1750" t="s">
        <v>8444</v>
      </c>
      <c r="J1469" s="1785" t="s">
        <v>799</v>
      </c>
      <c r="K1469" s="1786" t="s">
        <v>642</v>
      </c>
      <c r="L1469" s="1787" t="e">
        <v>#REF!</v>
      </c>
      <c r="M1469" s="1787">
        <v>1533.99</v>
      </c>
      <c r="N1469" s="1754"/>
      <c r="O1469" s="1788" t="s">
        <v>3251</v>
      </c>
      <c r="P1469" s="1721" t="s">
        <v>9611</v>
      </c>
    </row>
    <row r="1470" spans="1:16" ht="13.5" hidden="1" customHeight="1" outlineLevel="1" x14ac:dyDescent="0.2">
      <c r="A1470" s="459">
        <v>0</v>
      </c>
      <c r="B1470" s="459">
        <v>18</v>
      </c>
      <c r="C1470" s="459">
        <v>5</v>
      </c>
      <c r="D1470" s="460">
        <v>0</v>
      </c>
      <c r="E1470" s="460">
        <v>1</v>
      </c>
      <c r="G1470" s="1796"/>
      <c r="H1470" s="1771" t="s">
        <v>39</v>
      </c>
      <c r="I1470" s="1735" t="s">
        <v>8445</v>
      </c>
      <c r="J1470" s="1773" t="s">
        <v>5512</v>
      </c>
      <c r="K1470" s="1774"/>
      <c r="L1470" s="1775"/>
      <c r="M1470" s="1775"/>
      <c r="N1470" s="1739"/>
      <c r="O1470" s="1776"/>
      <c r="P1470" s="1719"/>
    </row>
    <row r="1471" spans="1:16" ht="13.5" hidden="1" customHeight="1" outlineLevel="2" x14ac:dyDescent="0.2">
      <c r="A1471" s="459">
        <v>0</v>
      </c>
      <c r="B1471" s="459">
        <v>18</v>
      </c>
      <c r="C1471" s="459">
        <v>5</v>
      </c>
      <c r="D1471" s="460">
        <v>1</v>
      </c>
      <c r="E1471" s="460">
        <v>0</v>
      </c>
      <c r="G1471" s="1797"/>
      <c r="H1471" s="1777" t="s">
        <v>1238</v>
      </c>
      <c r="I1471" s="1742" t="s">
        <v>8446</v>
      </c>
      <c r="J1471" s="1779" t="s">
        <v>28</v>
      </c>
      <c r="K1471" s="1780"/>
      <c r="L1471" s="1781"/>
      <c r="M1471" s="1781"/>
      <c r="N1471" s="1746">
        <v>223.10400000000001</v>
      </c>
      <c r="O1471" s="1782">
        <v>1.33199042130382E-2</v>
      </c>
      <c r="P1471" s="1720"/>
    </row>
    <row r="1472" spans="1:16" ht="13.5" hidden="1" customHeight="1" outlineLevel="3" x14ac:dyDescent="0.2">
      <c r="A1472" s="459">
        <v>0</v>
      </c>
      <c r="B1472" s="459">
        <v>18</v>
      </c>
      <c r="C1472" s="459">
        <v>5</v>
      </c>
      <c r="D1472" s="460">
        <v>1</v>
      </c>
      <c r="E1472" s="460">
        <v>1</v>
      </c>
      <c r="G1472" s="1798" t="s">
        <v>52</v>
      </c>
      <c r="H1472" s="1783" t="s">
        <v>1239</v>
      </c>
      <c r="I1472" s="1750" t="s">
        <v>8447</v>
      </c>
      <c r="J1472" s="1785" t="s">
        <v>791</v>
      </c>
      <c r="K1472" s="1786" t="s">
        <v>788</v>
      </c>
      <c r="L1472" s="1787">
        <v>9.6000000000000014</v>
      </c>
      <c r="M1472" s="1787">
        <v>23.240000000000002</v>
      </c>
      <c r="N1472" s="1754">
        <v>223.10400000000001</v>
      </c>
      <c r="O1472" s="1788" t="s">
        <v>3252</v>
      </c>
      <c r="P1472" s="1721" t="s">
        <v>9611</v>
      </c>
    </row>
    <row r="1473" spans="1:16" ht="13.5" hidden="1" customHeight="1" outlineLevel="2" x14ac:dyDescent="0.2">
      <c r="A1473" s="459">
        <v>0</v>
      </c>
      <c r="B1473" s="459">
        <v>18</v>
      </c>
      <c r="C1473" s="459">
        <v>5</v>
      </c>
      <c r="D1473" s="460">
        <v>2</v>
      </c>
      <c r="E1473" s="460">
        <v>0</v>
      </c>
      <c r="G1473" s="1797"/>
      <c r="H1473" s="1777" t="s">
        <v>1238</v>
      </c>
      <c r="I1473" s="1742" t="s">
        <v>8448</v>
      </c>
      <c r="J1473" s="1779" t="s">
        <v>29</v>
      </c>
      <c r="K1473" s="1780"/>
      <c r="L1473" s="1781"/>
      <c r="M1473" s="1781"/>
      <c r="N1473" s="1746">
        <v>6785.2686303053597</v>
      </c>
      <c r="O1473" s="1782"/>
      <c r="P1473" s="1720"/>
    </row>
    <row r="1474" spans="1:16" ht="13.5" hidden="1" customHeight="1" outlineLevel="3" x14ac:dyDescent="0.2">
      <c r="A1474" s="459">
        <v>0</v>
      </c>
      <c r="B1474" s="459">
        <v>18</v>
      </c>
      <c r="C1474" s="459">
        <v>5</v>
      </c>
      <c r="D1474" s="460">
        <v>2</v>
      </c>
      <c r="E1474" s="460">
        <v>1</v>
      </c>
      <c r="G1474" s="1798" t="s">
        <v>52</v>
      </c>
      <c r="H1474" s="1783" t="s">
        <v>1239</v>
      </c>
      <c r="I1474" s="1750" t="s">
        <v>8449</v>
      </c>
      <c r="J1474" s="1785" t="s">
        <v>3248</v>
      </c>
      <c r="K1474" s="1786" t="s">
        <v>642</v>
      </c>
      <c r="L1474" s="1787">
        <v>2.5600000000000005</v>
      </c>
      <c r="M1474" s="1787">
        <v>2650.4955587130289</v>
      </c>
      <c r="N1474" s="1754">
        <v>6785.2686303053597</v>
      </c>
      <c r="O1474" s="1788" t="s">
        <v>3252</v>
      </c>
      <c r="P1474" s="1721" t="s">
        <v>9611</v>
      </c>
    </row>
    <row r="1475" spans="1:16" ht="12.75" hidden="1" customHeight="1" outlineLevel="2" x14ac:dyDescent="0.2">
      <c r="A1475" s="459">
        <v>0</v>
      </c>
      <c r="B1475" s="459">
        <v>18</v>
      </c>
      <c r="C1475" s="459">
        <v>5</v>
      </c>
      <c r="D1475" s="460">
        <v>3</v>
      </c>
      <c r="E1475" s="460">
        <v>0</v>
      </c>
      <c r="G1475" s="1797"/>
      <c r="H1475" s="1777" t="s">
        <v>1238</v>
      </c>
      <c r="I1475" s="1742" t="s">
        <v>8450</v>
      </c>
      <c r="J1475" s="1779" t="s">
        <v>799</v>
      </c>
      <c r="K1475" s="1780"/>
      <c r="L1475" s="1781"/>
      <c r="M1475" s="1781"/>
      <c r="N1475" s="1746"/>
      <c r="O1475" s="1782"/>
      <c r="P1475" s="1720"/>
    </row>
    <row r="1476" spans="1:16" ht="13.5" hidden="1" customHeight="1" outlineLevel="3" x14ac:dyDescent="0.2">
      <c r="A1476" s="459">
        <v>0</v>
      </c>
      <c r="B1476" s="459">
        <v>18</v>
      </c>
      <c r="C1476" s="459">
        <v>5</v>
      </c>
      <c r="D1476" s="460">
        <v>3</v>
      </c>
      <c r="E1476" s="460">
        <v>1</v>
      </c>
      <c r="G1476" s="1798" t="s">
        <v>52</v>
      </c>
      <c r="H1476" s="1783" t="s">
        <v>1239</v>
      </c>
      <c r="I1476" s="1750" t="s">
        <v>8451</v>
      </c>
      <c r="J1476" s="1785" t="s">
        <v>799</v>
      </c>
      <c r="K1476" s="1786" t="s">
        <v>642</v>
      </c>
      <c r="L1476" s="1787" t="e">
        <v>#REF!</v>
      </c>
      <c r="M1476" s="1787">
        <v>1533.99</v>
      </c>
      <c r="N1476" s="1754"/>
      <c r="O1476" s="1788" t="s">
        <v>3251</v>
      </c>
      <c r="P1476" s="1721" t="s">
        <v>9611</v>
      </c>
    </row>
    <row r="1477" spans="1:16" ht="13.5" hidden="1" customHeight="1" outlineLevel="1" x14ac:dyDescent="0.2">
      <c r="A1477" s="459">
        <v>0</v>
      </c>
      <c r="B1477" s="459">
        <v>18</v>
      </c>
      <c r="C1477" s="459">
        <v>6</v>
      </c>
      <c r="D1477" s="460">
        <v>0</v>
      </c>
      <c r="E1477" s="460">
        <v>1</v>
      </c>
      <c r="G1477" s="1796"/>
      <c r="H1477" s="1771" t="s">
        <v>39</v>
      </c>
      <c r="I1477" s="1735" t="s">
        <v>8452</v>
      </c>
      <c r="J1477" s="1773" t="s">
        <v>5513</v>
      </c>
      <c r="K1477" s="1774"/>
      <c r="L1477" s="1775"/>
      <c r="M1477" s="1775"/>
      <c r="N1477" s="1739"/>
      <c r="O1477" s="1776"/>
      <c r="P1477" s="1719"/>
    </row>
    <row r="1478" spans="1:16" ht="13.5" hidden="1" customHeight="1" outlineLevel="2" x14ac:dyDescent="0.2">
      <c r="A1478" s="459">
        <v>0</v>
      </c>
      <c r="B1478" s="459">
        <v>18</v>
      </c>
      <c r="C1478" s="459">
        <v>6</v>
      </c>
      <c r="D1478" s="460">
        <v>1</v>
      </c>
      <c r="E1478" s="460">
        <v>0</v>
      </c>
      <c r="G1478" s="1797"/>
      <c r="H1478" s="1777" t="s">
        <v>1238</v>
      </c>
      <c r="I1478" s="1742" t="s">
        <v>8453</v>
      </c>
      <c r="J1478" s="1779" t="s">
        <v>28</v>
      </c>
      <c r="K1478" s="1780"/>
      <c r="L1478" s="1781"/>
      <c r="M1478" s="1781"/>
      <c r="N1478" s="1746">
        <v>341.62799999999999</v>
      </c>
      <c r="O1478" s="1782">
        <v>2.03961033262148E-2</v>
      </c>
      <c r="P1478" s="1720"/>
    </row>
    <row r="1479" spans="1:16" ht="13.5" hidden="1" customHeight="1" outlineLevel="3" x14ac:dyDescent="0.2">
      <c r="A1479" s="459">
        <v>0</v>
      </c>
      <c r="B1479" s="459">
        <v>18</v>
      </c>
      <c r="C1479" s="459">
        <v>6</v>
      </c>
      <c r="D1479" s="460">
        <v>1</v>
      </c>
      <c r="E1479" s="460">
        <v>1</v>
      </c>
      <c r="G1479" s="1798" t="s">
        <v>52</v>
      </c>
      <c r="H1479" s="1783" t="s">
        <v>1239</v>
      </c>
      <c r="I1479" s="1750" t="s">
        <v>8454</v>
      </c>
      <c r="J1479" s="1785" t="s">
        <v>791</v>
      </c>
      <c r="K1479" s="1786" t="s">
        <v>788</v>
      </c>
      <c r="L1479" s="1787">
        <v>14.700000000000001</v>
      </c>
      <c r="M1479" s="1787">
        <v>23.240000000000002</v>
      </c>
      <c r="N1479" s="1754">
        <v>341.62799999999999</v>
      </c>
      <c r="O1479" s="1788" t="s">
        <v>3252</v>
      </c>
      <c r="P1479" s="1721" t="s">
        <v>9611</v>
      </c>
    </row>
    <row r="1480" spans="1:16" ht="13.5" hidden="1" customHeight="1" outlineLevel="2" x14ac:dyDescent="0.2">
      <c r="A1480" s="459">
        <v>0</v>
      </c>
      <c r="B1480" s="459">
        <v>18</v>
      </c>
      <c r="C1480" s="459">
        <v>6</v>
      </c>
      <c r="D1480" s="460">
        <v>2</v>
      </c>
      <c r="E1480" s="460">
        <v>0</v>
      </c>
      <c r="G1480" s="1797"/>
      <c r="H1480" s="1777" t="s">
        <v>1238</v>
      </c>
      <c r="I1480" s="1742" t="s">
        <v>8455</v>
      </c>
      <c r="J1480" s="1779" t="s">
        <v>29</v>
      </c>
      <c r="K1480" s="1780"/>
      <c r="L1480" s="1781"/>
      <c r="M1480" s="1781"/>
      <c r="N1480" s="1746">
        <v>10388.202030111799</v>
      </c>
      <c r="O1480" s="1782"/>
      <c r="P1480" s="1720"/>
    </row>
    <row r="1481" spans="1:16" ht="13.5" hidden="1" customHeight="1" outlineLevel="3" x14ac:dyDescent="0.2">
      <c r="A1481" s="459">
        <v>0</v>
      </c>
      <c r="B1481" s="459">
        <v>18</v>
      </c>
      <c r="C1481" s="459">
        <v>6</v>
      </c>
      <c r="D1481" s="460">
        <v>2</v>
      </c>
      <c r="E1481" s="460">
        <v>1</v>
      </c>
      <c r="G1481" s="1798" t="s">
        <v>52</v>
      </c>
      <c r="H1481" s="1783" t="s">
        <v>1239</v>
      </c>
      <c r="I1481" s="1750" t="s">
        <v>8456</v>
      </c>
      <c r="J1481" s="1785" t="s">
        <v>3247</v>
      </c>
      <c r="K1481" s="1786" t="s">
        <v>642</v>
      </c>
      <c r="L1481" s="1787">
        <v>1.8900000000000001</v>
      </c>
      <c r="M1481" s="1787">
        <v>1906.3139681515586</v>
      </c>
      <c r="N1481" s="1754">
        <v>3602.9333998064499</v>
      </c>
      <c r="O1481" s="1788" t="s">
        <v>3252</v>
      </c>
      <c r="P1481" s="1721" t="s">
        <v>9611</v>
      </c>
    </row>
    <row r="1482" spans="1:16" ht="13.5" hidden="1" customHeight="1" outlineLevel="3" x14ac:dyDescent="0.2">
      <c r="A1482" s="459">
        <v>0</v>
      </c>
      <c r="B1482" s="459">
        <v>18</v>
      </c>
      <c r="C1482" s="459">
        <v>6</v>
      </c>
      <c r="D1482" s="460">
        <v>2</v>
      </c>
      <c r="E1482" s="460">
        <v>2</v>
      </c>
      <c r="G1482" s="1798" t="s">
        <v>52</v>
      </c>
      <c r="H1482" s="1783" t="s">
        <v>1239</v>
      </c>
      <c r="I1482" s="1750" t="s">
        <v>8457</v>
      </c>
      <c r="J1482" s="1785" t="s">
        <v>3248</v>
      </c>
      <c r="K1482" s="1786" t="s">
        <v>642</v>
      </c>
      <c r="L1482" s="1787">
        <v>2.5600000000000005</v>
      </c>
      <c r="M1482" s="1787">
        <v>2650.4955587130289</v>
      </c>
      <c r="N1482" s="1754">
        <v>6785.2686303053597</v>
      </c>
      <c r="O1482" s="1788" t="s">
        <v>3252</v>
      </c>
      <c r="P1482" s="1721" t="s">
        <v>9611</v>
      </c>
    </row>
    <row r="1483" spans="1:16" ht="12.75" hidden="1" customHeight="1" outlineLevel="2" x14ac:dyDescent="0.2">
      <c r="A1483" s="459">
        <v>0</v>
      </c>
      <c r="B1483" s="459">
        <v>18</v>
      </c>
      <c r="C1483" s="459">
        <v>6</v>
      </c>
      <c r="D1483" s="460">
        <v>3</v>
      </c>
      <c r="E1483" s="460">
        <v>0</v>
      </c>
      <c r="G1483" s="1797"/>
      <c r="H1483" s="1777" t="s">
        <v>1238</v>
      </c>
      <c r="I1483" s="1742" t="s">
        <v>8458</v>
      </c>
      <c r="J1483" s="1779" t="s">
        <v>799</v>
      </c>
      <c r="K1483" s="1780"/>
      <c r="L1483" s="1781"/>
      <c r="M1483" s="1781"/>
      <c r="N1483" s="1746"/>
      <c r="O1483" s="1782"/>
      <c r="P1483" s="1720"/>
    </row>
    <row r="1484" spans="1:16" ht="13.5" hidden="1" customHeight="1" outlineLevel="3" x14ac:dyDescent="0.2">
      <c r="A1484" s="459">
        <v>0</v>
      </c>
      <c r="B1484" s="459">
        <v>18</v>
      </c>
      <c r="C1484" s="459">
        <v>6</v>
      </c>
      <c r="D1484" s="460">
        <v>3</v>
      </c>
      <c r="E1484" s="460">
        <v>1</v>
      </c>
      <c r="G1484" s="1798" t="s">
        <v>52</v>
      </c>
      <c r="H1484" s="1783" t="s">
        <v>1239</v>
      </c>
      <c r="I1484" s="1750" t="s">
        <v>8459</v>
      </c>
      <c r="J1484" s="1785" t="s">
        <v>799</v>
      </c>
      <c r="K1484" s="1786" t="s">
        <v>642</v>
      </c>
      <c r="L1484" s="1787" t="e">
        <v>#REF!</v>
      </c>
      <c r="M1484" s="1787">
        <v>1533.99</v>
      </c>
      <c r="N1484" s="1754"/>
      <c r="O1484" s="1788" t="s">
        <v>3251</v>
      </c>
      <c r="P1484" s="1721" t="s">
        <v>9611</v>
      </c>
    </row>
    <row r="1485" spans="1:16" ht="13.5" hidden="1" customHeight="1" outlineLevel="1" x14ac:dyDescent="0.2">
      <c r="A1485" s="459">
        <v>0</v>
      </c>
      <c r="B1485" s="459">
        <v>18</v>
      </c>
      <c r="C1485" s="459">
        <v>7</v>
      </c>
      <c r="D1485" s="460">
        <v>0</v>
      </c>
      <c r="E1485" s="460">
        <v>1</v>
      </c>
      <c r="G1485" s="1796"/>
      <c r="H1485" s="1771" t="s">
        <v>39</v>
      </c>
      <c r="I1485" s="1735" t="s">
        <v>8460</v>
      </c>
      <c r="J1485" s="1773" t="s">
        <v>5514</v>
      </c>
      <c r="K1485" s="1774"/>
      <c r="L1485" s="1775"/>
      <c r="M1485" s="1775"/>
      <c r="N1485" s="1739"/>
      <c r="O1485" s="1776"/>
      <c r="P1485" s="1719"/>
    </row>
    <row r="1486" spans="1:16" ht="13.5" hidden="1" customHeight="1" outlineLevel="2" x14ac:dyDescent="0.2">
      <c r="A1486" s="459">
        <v>0</v>
      </c>
      <c r="B1486" s="459">
        <v>18</v>
      </c>
      <c r="C1486" s="459">
        <v>7</v>
      </c>
      <c r="D1486" s="460">
        <v>1</v>
      </c>
      <c r="E1486" s="460">
        <v>0</v>
      </c>
      <c r="G1486" s="1797"/>
      <c r="H1486" s="1777" t="s">
        <v>1238</v>
      </c>
      <c r="I1486" s="1742" t="s">
        <v>8461</v>
      </c>
      <c r="J1486" s="1779" t="s">
        <v>28</v>
      </c>
      <c r="K1486" s="1780"/>
      <c r="L1486" s="1781"/>
      <c r="M1486" s="1781"/>
      <c r="N1486" s="1746">
        <v>611.21199999999999</v>
      </c>
      <c r="O1486" s="1782">
        <v>3.6490987583636003E-2</v>
      </c>
      <c r="P1486" s="1720"/>
    </row>
    <row r="1487" spans="1:16" ht="13.5" hidden="1" customHeight="1" outlineLevel="3" x14ac:dyDescent="0.2">
      <c r="A1487" s="459">
        <v>0</v>
      </c>
      <c r="B1487" s="459">
        <v>18</v>
      </c>
      <c r="C1487" s="459">
        <v>7</v>
      </c>
      <c r="D1487" s="460">
        <v>1</v>
      </c>
      <c r="E1487" s="460">
        <v>1</v>
      </c>
      <c r="G1487" s="1798" t="s">
        <v>52</v>
      </c>
      <c r="H1487" s="1783" t="s">
        <v>1239</v>
      </c>
      <c r="I1487" s="1750" t="s">
        <v>8462</v>
      </c>
      <c r="J1487" s="1785" t="s">
        <v>791</v>
      </c>
      <c r="K1487" s="1786" t="s">
        <v>788</v>
      </c>
      <c r="L1487" s="1787">
        <v>26.3</v>
      </c>
      <c r="M1487" s="1787">
        <v>23.240000000000002</v>
      </c>
      <c r="N1487" s="1754">
        <v>611.21199999999999</v>
      </c>
      <c r="O1487" s="1788" t="s">
        <v>3252</v>
      </c>
      <c r="P1487" s="1721" t="s">
        <v>9611</v>
      </c>
    </row>
    <row r="1488" spans="1:16" ht="13.5" hidden="1" customHeight="1" outlineLevel="2" x14ac:dyDescent="0.2">
      <c r="A1488" s="459">
        <v>0</v>
      </c>
      <c r="B1488" s="459">
        <v>18</v>
      </c>
      <c r="C1488" s="459">
        <v>7</v>
      </c>
      <c r="D1488" s="460">
        <v>2</v>
      </c>
      <c r="E1488" s="460">
        <v>0</v>
      </c>
      <c r="G1488" s="1797"/>
      <c r="H1488" s="1777" t="s">
        <v>1238</v>
      </c>
      <c r="I1488" s="1742" t="s">
        <v>8463</v>
      </c>
      <c r="J1488" s="1779" t="s">
        <v>29</v>
      </c>
      <c r="K1488" s="1780"/>
      <c r="L1488" s="1781"/>
      <c r="M1488" s="1781"/>
      <c r="N1488" s="1746">
        <v>19195.372562971999</v>
      </c>
      <c r="O1488" s="1782"/>
      <c r="P1488" s="1720"/>
    </row>
    <row r="1489" spans="1:16" ht="13.5" hidden="1" customHeight="1" outlineLevel="3" x14ac:dyDescent="0.2">
      <c r="A1489" s="459">
        <v>0</v>
      </c>
      <c r="B1489" s="459">
        <v>18</v>
      </c>
      <c r="C1489" s="459">
        <v>7</v>
      </c>
      <c r="D1489" s="460">
        <v>2</v>
      </c>
      <c r="E1489" s="460">
        <v>1</v>
      </c>
      <c r="G1489" s="1798" t="s">
        <v>52</v>
      </c>
      <c r="H1489" s="1783" t="s">
        <v>1239</v>
      </c>
      <c r="I1489" s="1750" t="s">
        <v>8464</v>
      </c>
      <c r="J1489" s="1785" t="s">
        <v>3247</v>
      </c>
      <c r="K1489" s="1786" t="s">
        <v>642</v>
      </c>
      <c r="L1489" s="1787">
        <v>6.51</v>
      </c>
      <c r="M1489" s="1787">
        <v>1906.3139681515586</v>
      </c>
      <c r="N1489" s="1754">
        <v>12410.1039326666</v>
      </c>
      <c r="O1489" s="1788" t="s">
        <v>3252</v>
      </c>
      <c r="P1489" s="1721" t="s">
        <v>9611</v>
      </c>
    </row>
    <row r="1490" spans="1:16" ht="13.5" hidden="1" customHeight="1" outlineLevel="3" x14ac:dyDescent="0.2">
      <c r="A1490" s="459">
        <v>0</v>
      </c>
      <c r="B1490" s="459">
        <v>18</v>
      </c>
      <c r="C1490" s="459">
        <v>7</v>
      </c>
      <c r="D1490" s="460">
        <v>2</v>
      </c>
      <c r="E1490" s="460">
        <v>2</v>
      </c>
      <c r="G1490" s="1798" t="s">
        <v>52</v>
      </c>
      <c r="H1490" s="1783" t="s">
        <v>1239</v>
      </c>
      <c r="I1490" s="1750" t="s">
        <v>8465</v>
      </c>
      <c r="J1490" s="1785" t="s">
        <v>3248</v>
      </c>
      <c r="K1490" s="1786" t="s">
        <v>642</v>
      </c>
      <c r="L1490" s="1787">
        <v>2.5600000000000005</v>
      </c>
      <c r="M1490" s="1787">
        <v>2650.4955587130289</v>
      </c>
      <c r="N1490" s="1754">
        <v>6785.2686303053597</v>
      </c>
      <c r="O1490" s="1788" t="s">
        <v>3252</v>
      </c>
      <c r="P1490" s="1721" t="s">
        <v>9611</v>
      </c>
    </row>
    <row r="1491" spans="1:16" ht="12.75" hidden="1" customHeight="1" outlineLevel="2" x14ac:dyDescent="0.2">
      <c r="A1491" s="459">
        <v>0</v>
      </c>
      <c r="B1491" s="459">
        <v>18</v>
      </c>
      <c r="C1491" s="459">
        <v>7</v>
      </c>
      <c r="D1491" s="460">
        <v>3</v>
      </c>
      <c r="E1491" s="460">
        <v>0</v>
      </c>
      <c r="G1491" s="1797"/>
      <c r="H1491" s="1777" t="s">
        <v>1238</v>
      </c>
      <c r="I1491" s="1742" t="s">
        <v>8466</v>
      </c>
      <c r="J1491" s="1779" t="s">
        <v>2819</v>
      </c>
      <c r="K1491" s="1780"/>
      <c r="L1491" s="1781"/>
      <c r="M1491" s="1781"/>
      <c r="N1491" s="1746"/>
      <c r="O1491" s="1782"/>
      <c r="P1491" s="1720"/>
    </row>
    <row r="1492" spans="1:16" ht="12.75" hidden="1" customHeight="1" outlineLevel="3" x14ac:dyDescent="0.2">
      <c r="A1492" s="459">
        <v>0</v>
      </c>
      <c r="B1492" s="459">
        <v>18</v>
      </c>
      <c r="C1492" s="459">
        <v>7</v>
      </c>
      <c r="D1492" s="460">
        <v>3</v>
      </c>
      <c r="E1492" s="460">
        <v>1</v>
      </c>
      <c r="G1492" s="1798" t="s">
        <v>52</v>
      </c>
      <c r="H1492" s="1783" t="s">
        <v>1239</v>
      </c>
      <c r="I1492" s="1750" t="s">
        <v>8467</v>
      </c>
      <c r="J1492" s="1785" t="s">
        <v>797</v>
      </c>
      <c r="K1492" s="1786" t="s">
        <v>642</v>
      </c>
      <c r="L1492" s="1787" t="e">
        <v>#REF!</v>
      </c>
      <c r="M1492" s="1787">
        <v>1403.9850000000001</v>
      </c>
      <c r="N1492" s="1754"/>
      <c r="O1492" s="1788" t="s">
        <v>3251</v>
      </c>
      <c r="P1492" s="1721" t="s">
        <v>9611</v>
      </c>
    </row>
    <row r="1493" spans="1:16" ht="12.75" hidden="1" customHeight="1" outlineLevel="2" x14ac:dyDescent="0.2">
      <c r="A1493" s="459">
        <v>0</v>
      </c>
      <c r="B1493" s="459">
        <v>18</v>
      </c>
      <c r="C1493" s="459">
        <v>7</v>
      </c>
      <c r="D1493" s="460">
        <v>4</v>
      </c>
      <c r="E1493" s="460">
        <v>0</v>
      </c>
      <c r="G1493" s="1797"/>
      <c r="H1493" s="1777" t="s">
        <v>1238</v>
      </c>
      <c r="I1493" s="1742" t="s">
        <v>8468</v>
      </c>
      <c r="J1493" s="1779" t="s">
        <v>799</v>
      </c>
      <c r="K1493" s="1780"/>
      <c r="L1493" s="1781"/>
      <c r="M1493" s="1781"/>
      <c r="N1493" s="1746"/>
      <c r="O1493" s="1782"/>
      <c r="P1493" s="1720"/>
    </row>
    <row r="1494" spans="1:16" ht="13.5" hidden="1" customHeight="1" outlineLevel="3" x14ac:dyDescent="0.2">
      <c r="A1494" s="459">
        <v>0</v>
      </c>
      <c r="B1494" s="459">
        <v>18</v>
      </c>
      <c r="C1494" s="459">
        <v>7</v>
      </c>
      <c r="D1494" s="460">
        <v>4</v>
      </c>
      <c r="E1494" s="460">
        <v>1</v>
      </c>
      <c r="G1494" s="1798" t="s">
        <v>52</v>
      </c>
      <c r="H1494" s="1783" t="s">
        <v>1239</v>
      </c>
      <c r="I1494" s="1750" t="s">
        <v>8469</v>
      </c>
      <c r="J1494" s="1785" t="s">
        <v>799</v>
      </c>
      <c r="K1494" s="1786" t="s">
        <v>642</v>
      </c>
      <c r="L1494" s="1787" t="e">
        <v>#REF!</v>
      </c>
      <c r="M1494" s="1787">
        <v>1533.99</v>
      </c>
      <c r="N1494" s="1754"/>
      <c r="O1494" s="1788" t="s">
        <v>3251</v>
      </c>
      <c r="P1494" s="1721" t="s">
        <v>9611</v>
      </c>
    </row>
    <row r="1495" spans="1:16" ht="13.5" hidden="1" customHeight="1" outlineLevel="1" x14ac:dyDescent="0.2">
      <c r="A1495" s="459">
        <v>0</v>
      </c>
      <c r="B1495" s="459">
        <v>18</v>
      </c>
      <c r="C1495" s="459">
        <v>8</v>
      </c>
      <c r="D1495" s="460">
        <v>0</v>
      </c>
      <c r="E1495" s="460">
        <v>1</v>
      </c>
      <c r="G1495" s="1796"/>
      <c r="H1495" s="1771" t="s">
        <v>39</v>
      </c>
      <c r="I1495" s="1735" t="s">
        <v>8470</v>
      </c>
      <c r="J1495" s="1773" t="s">
        <v>5515</v>
      </c>
      <c r="K1495" s="1774"/>
      <c r="L1495" s="1775"/>
      <c r="M1495" s="1775"/>
      <c r="N1495" s="1739"/>
      <c r="O1495" s="1776"/>
      <c r="P1495" s="1719"/>
    </row>
    <row r="1496" spans="1:16" ht="13.5" hidden="1" customHeight="1" outlineLevel="2" x14ac:dyDescent="0.2">
      <c r="A1496" s="459">
        <v>0</v>
      </c>
      <c r="B1496" s="459">
        <v>18</v>
      </c>
      <c r="C1496" s="459">
        <v>8</v>
      </c>
      <c r="D1496" s="460">
        <v>1</v>
      </c>
      <c r="E1496" s="460">
        <v>0</v>
      </c>
      <c r="G1496" s="1797"/>
      <c r="H1496" s="1777" t="s">
        <v>1238</v>
      </c>
      <c r="I1496" s="1742" t="s">
        <v>8471</v>
      </c>
      <c r="J1496" s="1779" t="s">
        <v>28</v>
      </c>
      <c r="K1496" s="1780"/>
      <c r="L1496" s="1781"/>
      <c r="M1496" s="1781"/>
      <c r="N1496" s="1746">
        <v>1531.5160000000001</v>
      </c>
      <c r="O1496" s="1782">
        <v>9.1435592462418697E-2</v>
      </c>
      <c r="P1496" s="1720"/>
    </row>
    <row r="1497" spans="1:16" ht="13.5" hidden="1" customHeight="1" outlineLevel="3" x14ac:dyDescent="0.2">
      <c r="A1497" s="459">
        <v>0</v>
      </c>
      <c r="B1497" s="459">
        <v>18</v>
      </c>
      <c r="C1497" s="459">
        <v>8</v>
      </c>
      <c r="D1497" s="460">
        <v>1</v>
      </c>
      <c r="E1497" s="460">
        <v>1</v>
      </c>
      <c r="G1497" s="1798" t="s">
        <v>52</v>
      </c>
      <c r="H1497" s="1783" t="s">
        <v>1239</v>
      </c>
      <c r="I1497" s="1750" t="s">
        <v>8472</v>
      </c>
      <c r="J1497" s="1785" t="s">
        <v>791</v>
      </c>
      <c r="K1497" s="1786" t="s">
        <v>788</v>
      </c>
      <c r="L1497" s="1787">
        <v>65.900000000000006</v>
      </c>
      <c r="M1497" s="1787">
        <v>23.240000000000002</v>
      </c>
      <c r="N1497" s="1754">
        <v>1531.5160000000001</v>
      </c>
      <c r="O1497" s="1788" t="s">
        <v>3252</v>
      </c>
      <c r="P1497" s="1721" t="s">
        <v>9611</v>
      </c>
    </row>
    <row r="1498" spans="1:16" ht="13.5" hidden="1" customHeight="1" outlineLevel="2" x14ac:dyDescent="0.2">
      <c r="A1498" s="459">
        <v>0</v>
      </c>
      <c r="B1498" s="459">
        <v>18</v>
      </c>
      <c r="C1498" s="459">
        <v>8</v>
      </c>
      <c r="D1498" s="460">
        <v>2</v>
      </c>
      <c r="E1498" s="460">
        <v>0</v>
      </c>
      <c r="G1498" s="1797"/>
      <c r="H1498" s="1777" t="s">
        <v>1238</v>
      </c>
      <c r="I1498" s="1742" t="s">
        <v>8473</v>
      </c>
      <c r="J1498" s="1779" t="s">
        <v>29</v>
      </c>
      <c r="K1498" s="1780"/>
      <c r="L1498" s="1781"/>
      <c r="M1498" s="1781"/>
      <c r="N1498" s="1746">
        <v>112804.919969054</v>
      </c>
      <c r="O1498" s="1782"/>
      <c r="P1498" s="1720"/>
    </row>
    <row r="1499" spans="1:16" ht="13.5" hidden="1" customHeight="1" outlineLevel="3" x14ac:dyDescent="0.2">
      <c r="A1499" s="459">
        <v>0</v>
      </c>
      <c r="B1499" s="459">
        <v>18</v>
      </c>
      <c r="C1499" s="459">
        <v>8</v>
      </c>
      <c r="D1499" s="460">
        <v>2</v>
      </c>
      <c r="E1499" s="460">
        <v>1</v>
      </c>
      <c r="G1499" s="1798" t="s">
        <v>52</v>
      </c>
      <c r="H1499" s="1783" t="s">
        <v>1239</v>
      </c>
      <c r="I1499" s="1750" t="s">
        <v>8474</v>
      </c>
      <c r="J1499" s="1785" t="s">
        <v>3247</v>
      </c>
      <c r="K1499" s="1786" t="s">
        <v>642</v>
      </c>
      <c r="L1499" s="1787">
        <v>55.615000000000002</v>
      </c>
      <c r="M1499" s="1787">
        <v>1906.3139681515586</v>
      </c>
      <c r="N1499" s="1754">
        <v>106019.651338749</v>
      </c>
      <c r="O1499" s="1788" t="s">
        <v>3252</v>
      </c>
      <c r="P1499" s="1721" t="s">
        <v>9611</v>
      </c>
    </row>
    <row r="1500" spans="1:16" ht="13.5" hidden="1" customHeight="1" outlineLevel="3" x14ac:dyDescent="0.2">
      <c r="A1500" s="459">
        <v>0</v>
      </c>
      <c r="B1500" s="459">
        <v>18</v>
      </c>
      <c r="C1500" s="459">
        <v>8</v>
      </c>
      <c r="D1500" s="460">
        <v>2</v>
      </c>
      <c r="E1500" s="460">
        <v>2</v>
      </c>
      <c r="G1500" s="1798" t="s">
        <v>52</v>
      </c>
      <c r="H1500" s="1783" t="s">
        <v>1239</v>
      </c>
      <c r="I1500" s="1750" t="s">
        <v>8475</v>
      </c>
      <c r="J1500" s="1785" t="s">
        <v>3248</v>
      </c>
      <c r="K1500" s="1786" t="s">
        <v>642</v>
      </c>
      <c r="L1500" s="1787">
        <v>2.5600000000000005</v>
      </c>
      <c r="M1500" s="1787">
        <v>2650.4955587130289</v>
      </c>
      <c r="N1500" s="1754">
        <v>6785.2686303053597</v>
      </c>
      <c r="O1500" s="1788" t="s">
        <v>3252</v>
      </c>
      <c r="P1500" s="1721" t="s">
        <v>9611</v>
      </c>
    </row>
    <row r="1501" spans="1:16" ht="12.75" hidden="1" customHeight="1" outlineLevel="2" x14ac:dyDescent="0.2">
      <c r="A1501" s="459">
        <v>0</v>
      </c>
      <c r="B1501" s="459">
        <v>18</v>
      </c>
      <c r="C1501" s="459">
        <v>8</v>
      </c>
      <c r="D1501" s="460">
        <v>3</v>
      </c>
      <c r="E1501" s="460">
        <v>0</v>
      </c>
      <c r="G1501" s="1797"/>
      <c r="H1501" s="1777" t="s">
        <v>1238</v>
      </c>
      <c r="I1501" s="1742" t="s">
        <v>8476</v>
      </c>
      <c r="J1501" s="1779" t="s">
        <v>3259</v>
      </c>
      <c r="K1501" s="1780"/>
      <c r="L1501" s="1781"/>
      <c r="M1501" s="1781"/>
      <c r="N1501" s="1746"/>
      <c r="O1501" s="1782"/>
      <c r="P1501" s="1720"/>
    </row>
    <row r="1502" spans="1:16" ht="12.75" hidden="1" customHeight="1" outlineLevel="3" x14ac:dyDescent="0.2">
      <c r="A1502" s="459">
        <v>0</v>
      </c>
      <c r="B1502" s="459">
        <v>18</v>
      </c>
      <c r="C1502" s="459">
        <v>8</v>
      </c>
      <c r="D1502" s="460">
        <v>3</v>
      </c>
      <c r="E1502" s="460">
        <v>1</v>
      </c>
      <c r="G1502" s="1798" t="s">
        <v>52</v>
      </c>
      <c r="H1502" s="1783" t="s">
        <v>1239</v>
      </c>
      <c r="I1502" s="1750" t="s">
        <v>8477</v>
      </c>
      <c r="J1502" s="1785" t="s">
        <v>794</v>
      </c>
      <c r="K1502" s="1786" t="s">
        <v>642</v>
      </c>
      <c r="L1502" s="1787" t="e">
        <v>#REF!</v>
      </c>
      <c r="M1502" s="1787">
        <v>2122.5413895570964</v>
      </c>
      <c r="N1502" s="1754"/>
      <c r="O1502" s="1788" t="s">
        <v>3251</v>
      </c>
      <c r="P1502" s="1721" t="s">
        <v>9611</v>
      </c>
    </row>
    <row r="1503" spans="1:16" ht="13.5" hidden="1" customHeight="1" outlineLevel="1" x14ac:dyDescent="0.2">
      <c r="A1503" s="459">
        <v>0</v>
      </c>
      <c r="B1503" s="459">
        <v>18</v>
      </c>
      <c r="C1503" s="459">
        <v>9</v>
      </c>
      <c r="D1503" s="460">
        <v>0</v>
      </c>
      <c r="E1503" s="460">
        <v>1</v>
      </c>
      <c r="G1503" s="1796"/>
      <c r="H1503" s="1771" t="s">
        <v>39</v>
      </c>
      <c r="I1503" s="1735" t="s">
        <v>8478</v>
      </c>
      <c r="J1503" s="1773" t="s">
        <v>5516</v>
      </c>
      <c r="K1503" s="1774"/>
      <c r="L1503" s="1775"/>
      <c r="M1503" s="1775"/>
      <c r="N1503" s="1739"/>
      <c r="O1503" s="1776"/>
      <c r="P1503" s="1719"/>
    </row>
    <row r="1504" spans="1:16" ht="13.5" hidden="1" customHeight="1" outlineLevel="2" x14ac:dyDescent="0.2">
      <c r="A1504" s="459">
        <v>0</v>
      </c>
      <c r="B1504" s="459">
        <v>18</v>
      </c>
      <c r="C1504" s="459">
        <v>9</v>
      </c>
      <c r="D1504" s="460">
        <v>1</v>
      </c>
      <c r="E1504" s="460">
        <v>0</v>
      </c>
      <c r="G1504" s="1797"/>
      <c r="H1504" s="1777" t="s">
        <v>1238</v>
      </c>
      <c r="I1504" s="1742" t="s">
        <v>8479</v>
      </c>
      <c r="J1504" s="1779" t="s">
        <v>28</v>
      </c>
      <c r="K1504" s="1780"/>
      <c r="L1504" s="1781"/>
      <c r="M1504" s="1781"/>
      <c r="N1504" s="1746">
        <v>4080.944</v>
      </c>
      <c r="O1504" s="1782">
        <v>0.24364324789682401</v>
      </c>
      <c r="P1504" s="1720"/>
    </row>
    <row r="1505" spans="1:16" ht="13.5" hidden="1" customHeight="1" outlineLevel="3" x14ac:dyDescent="0.2">
      <c r="A1505" s="459">
        <v>0</v>
      </c>
      <c r="B1505" s="459">
        <v>18</v>
      </c>
      <c r="C1505" s="459">
        <v>9</v>
      </c>
      <c r="D1505" s="460">
        <v>1</v>
      </c>
      <c r="E1505" s="460">
        <v>1</v>
      </c>
      <c r="G1505" s="1798" t="s">
        <v>52</v>
      </c>
      <c r="H1505" s="1783" t="s">
        <v>1239</v>
      </c>
      <c r="I1505" s="1750" t="s">
        <v>8480</v>
      </c>
      <c r="J1505" s="1785" t="s">
        <v>791</v>
      </c>
      <c r="K1505" s="1786" t="s">
        <v>788</v>
      </c>
      <c r="L1505" s="1787">
        <v>175.59999999999997</v>
      </c>
      <c r="M1505" s="1787">
        <v>23.240000000000002</v>
      </c>
      <c r="N1505" s="1754">
        <v>4080.944</v>
      </c>
      <c r="O1505" s="1788" t="s">
        <v>3252</v>
      </c>
      <c r="P1505" s="1721" t="s">
        <v>9611</v>
      </c>
    </row>
    <row r="1506" spans="1:16" ht="13.5" hidden="1" customHeight="1" outlineLevel="2" x14ac:dyDescent="0.2">
      <c r="A1506" s="459">
        <v>0</v>
      </c>
      <c r="B1506" s="459">
        <v>18</v>
      </c>
      <c r="C1506" s="459">
        <v>9</v>
      </c>
      <c r="D1506" s="460">
        <v>2</v>
      </c>
      <c r="E1506" s="460">
        <v>0</v>
      </c>
      <c r="G1506" s="1797"/>
      <c r="H1506" s="1777" t="s">
        <v>1238</v>
      </c>
      <c r="I1506" s="1742" t="s">
        <v>8481</v>
      </c>
      <c r="J1506" s="1779" t="s">
        <v>29</v>
      </c>
      <c r="K1506" s="1780"/>
      <c r="L1506" s="1781"/>
      <c r="M1506" s="1781"/>
      <c r="N1506" s="1746">
        <v>180422.03830841501</v>
      </c>
      <c r="O1506" s="1782"/>
      <c r="P1506" s="1720"/>
    </row>
    <row r="1507" spans="1:16" ht="13.5" hidden="1" customHeight="1" outlineLevel="3" x14ac:dyDescent="0.2">
      <c r="A1507" s="459">
        <v>0</v>
      </c>
      <c r="B1507" s="459">
        <v>18</v>
      </c>
      <c r="C1507" s="459">
        <v>9</v>
      </c>
      <c r="D1507" s="460">
        <v>2</v>
      </c>
      <c r="E1507" s="460">
        <v>1</v>
      </c>
      <c r="G1507" s="1798" t="s">
        <v>52</v>
      </c>
      <c r="H1507" s="1783" t="s">
        <v>1239</v>
      </c>
      <c r="I1507" s="1750" t="s">
        <v>8482</v>
      </c>
      <c r="J1507" s="1785" t="s">
        <v>3247</v>
      </c>
      <c r="K1507" s="1786" t="s">
        <v>642</v>
      </c>
      <c r="L1507" s="1787">
        <v>16.41</v>
      </c>
      <c r="M1507" s="1787">
        <v>1906.3139681515586</v>
      </c>
      <c r="N1507" s="1754">
        <v>31282.612217367099</v>
      </c>
      <c r="O1507" s="1788" t="s">
        <v>3252</v>
      </c>
      <c r="P1507" s="1721" t="s">
        <v>9611</v>
      </c>
    </row>
    <row r="1508" spans="1:16" ht="13.5" hidden="1" customHeight="1" outlineLevel="3" x14ac:dyDescent="0.2">
      <c r="A1508" s="459">
        <v>0</v>
      </c>
      <c r="B1508" s="459">
        <v>18</v>
      </c>
      <c r="C1508" s="459">
        <v>9</v>
      </c>
      <c r="D1508" s="460">
        <v>2</v>
      </c>
      <c r="E1508" s="460">
        <v>2</v>
      </c>
      <c r="G1508" s="1798" t="s">
        <v>52</v>
      </c>
      <c r="H1508" s="1783" t="s">
        <v>1239</v>
      </c>
      <c r="I1508" s="1750" t="s">
        <v>8483</v>
      </c>
      <c r="J1508" s="1785" t="s">
        <v>3248</v>
      </c>
      <c r="K1508" s="1786" t="s">
        <v>642</v>
      </c>
      <c r="L1508" s="1787">
        <v>18.45</v>
      </c>
      <c r="M1508" s="1787">
        <v>2650.4955587130289</v>
      </c>
      <c r="N1508" s="1754">
        <v>48901.643058255402</v>
      </c>
      <c r="O1508" s="1788" t="s">
        <v>3252</v>
      </c>
      <c r="P1508" s="1721" t="s">
        <v>9611</v>
      </c>
    </row>
    <row r="1509" spans="1:16" ht="13.5" hidden="1" customHeight="1" outlineLevel="3" x14ac:dyDescent="0.2">
      <c r="A1509" s="459">
        <v>0</v>
      </c>
      <c r="B1509" s="459">
        <v>18</v>
      </c>
      <c r="C1509" s="459">
        <v>9</v>
      </c>
      <c r="D1509" s="460">
        <v>2</v>
      </c>
      <c r="E1509" s="460">
        <v>3</v>
      </c>
      <c r="G1509" s="1798" t="s">
        <v>52</v>
      </c>
      <c r="H1509" s="1783" t="s">
        <v>1239</v>
      </c>
      <c r="I1509" s="1750" t="s">
        <v>8484</v>
      </c>
      <c r="J1509" s="1785" t="s">
        <v>3249</v>
      </c>
      <c r="K1509" s="1786" t="s">
        <v>642</v>
      </c>
      <c r="L1509" s="1787">
        <v>34.880000000000003</v>
      </c>
      <c r="M1509" s="1787">
        <v>2873.7896511695099</v>
      </c>
      <c r="N1509" s="1754">
        <v>100237.783032793</v>
      </c>
      <c r="O1509" s="1788" t="s">
        <v>3252</v>
      </c>
      <c r="P1509" s="1721" t="s">
        <v>9611</v>
      </c>
    </row>
    <row r="1510" spans="1:16" ht="12.75" hidden="1" customHeight="1" outlineLevel="2" x14ac:dyDescent="0.2">
      <c r="A1510" s="459">
        <v>0</v>
      </c>
      <c r="B1510" s="459">
        <v>18</v>
      </c>
      <c r="C1510" s="459">
        <v>9</v>
      </c>
      <c r="D1510" s="460">
        <v>3</v>
      </c>
      <c r="E1510" s="460">
        <v>0</v>
      </c>
      <c r="G1510" s="1797"/>
      <c r="H1510" s="1777" t="s">
        <v>1238</v>
      </c>
      <c r="I1510" s="1742" t="s">
        <v>8485</v>
      </c>
      <c r="J1510" s="1779" t="s">
        <v>2819</v>
      </c>
      <c r="K1510" s="1780"/>
      <c r="L1510" s="1781"/>
      <c r="M1510" s="1781"/>
      <c r="N1510" s="1746"/>
      <c r="O1510" s="1782"/>
      <c r="P1510" s="1720"/>
    </row>
    <row r="1511" spans="1:16" ht="12.75" hidden="1" customHeight="1" outlineLevel="3" x14ac:dyDescent="0.2">
      <c r="A1511" s="459">
        <v>0</v>
      </c>
      <c r="B1511" s="459">
        <v>18</v>
      </c>
      <c r="C1511" s="459">
        <v>9</v>
      </c>
      <c r="D1511" s="460">
        <v>3</v>
      </c>
      <c r="E1511" s="460">
        <v>1</v>
      </c>
      <c r="G1511" s="1798" t="s">
        <v>52</v>
      </c>
      <c r="H1511" s="1783" t="s">
        <v>1239</v>
      </c>
      <c r="I1511" s="1750" t="s">
        <v>8486</v>
      </c>
      <c r="J1511" s="1785" t="s">
        <v>797</v>
      </c>
      <c r="K1511" s="1786" t="s">
        <v>642</v>
      </c>
      <c r="L1511" s="1787" t="e">
        <v>#REF!</v>
      </c>
      <c r="M1511" s="1787">
        <v>1403.9850000000001</v>
      </c>
      <c r="N1511" s="1754"/>
      <c r="O1511" s="1788" t="s">
        <v>3251</v>
      </c>
      <c r="P1511" s="1721" t="s">
        <v>9611</v>
      </c>
    </row>
    <row r="1512" spans="1:16" ht="12.75" hidden="1" customHeight="1" outlineLevel="2" x14ac:dyDescent="0.2">
      <c r="A1512" s="459">
        <v>0</v>
      </c>
      <c r="B1512" s="459">
        <v>18</v>
      </c>
      <c r="C1512" s="459">
        <v>9</v>
      </c>
      <c r="D1512" s="460">
        <v>4</v>
      </c>
      <c r="E1512" s="460">
        <v>0</v>
      </c>
      <c r="G1512" s="1797"/>
      <c r="H1512" s="1777" t="s">
        <v>1238</v>
      </c>
      <c r="I1512" s="1742" t="s">
        <v>8487</v>
      </c>
      <c r="J1512" s="1779" t="s">
        <v>3259</v>
      </c>
      <c r="K1512" s="1780"/>
      <c r="L1512" s="1781"/>
      <c r="M1512" s="1781"/>
      <c r="N1512" s="1746"/>
      <c r="O1512" s="1782"/>
      <c r="P1512" s="1720"/>
    </row>
    <row r="1513" spans="1:16" ht="12.75" hidden="1" customHeight="1" outlineLevel="3" x14ac:dyDescent="0.2">
      <c r="A1513" s="459">
        <v>0</v>
      </c>
      <c r="B1513" s="459">
        <v>18</v>
      </c>
      <c r="C1513" s="459">
        <v>9</v>
      </c>
      <c r="D1513" s="460">
        <v>4</v>
      </c>
      <c r="E1513" s="460">
        <v>1</v>
      </c>
      <c r="G1513" s="1798" t="s">
        <v>52</v>
      </c>
      <c r="H1513" s="1783" t="s">
        <v>1239</v>
      </c>
      <c r="I1513" s="1750" t="s">
        <v>8488</v>
      </c>
      <c r="J1513" s="1785" t="s">
        <v>794</v>
      </c>
      <c r="K1513" s="1786" t="s">
        <v>642</v>
      </c>
      <c r="L1513" s="1787" t="e">
        <v>#REF!</v>
      </c>
      <c r="M1513" s="1787">
        <v>2122.5413895570964</v>
      </c>
      <c r="N1513" s="1754"/>
      <c r="O1513" s="1788" t="s">
        <v>3251</v>
      </c>
      <c r="P1513" s="1721" t="s">
        <v>9611</v>
      </c>
    </row>
    <row r="1514" spans="1:16" ht="13.5" hidden="1" customHeight="1" outlineLevel="1" x14ac:dyDescent="0.2">
      <c r="A1514" s="459">
        <v>0</v>
      </c>
      <c r="B1514" s="459">
        <v>18</v>
      </c>
      <c r="C1514" s="459">
        <v>10</v>
      </c>
      <c r="D1514" s="460">
        <v>0</v>
      </c>
      <c r="E1514" s="460">
        <v>1</v>
      </c>
      <c r="G1514" s="1796"/>
      <c r="H1514" s="1771" t="s">
        <v>39</v>
      </c>
      <c r="I1514" s="1735" t="s">
        <v>8489</v>
      </c>
      <c r="J1514" s="1773" t="s">
        <v>5517</v>
      </c>
      <c r="K1514" s="1774"/>
      <c r="L1514" s="1775"/>
      <c r="M1514" s="1775"/>
      <c r="N1514" s="1739"/>
      <c r="O1514" s="1776"/>
      <c r="P1514" s="1719"/>
    </row>
    <row r="1515" spans="1:16" ht="13.5" hidden="1" customHeight="1" outlineLevel="2" x14ac:dyDescent="0.2">
      <c r="A1515" s="459">
        <v>0</v>
      </c>
      <c r="B1515" s="459">
        <v>18</v>
      </c>
      <c r="C1515" s="459">
        <v>10</v>
      </c>
      <c r="D1515" s="460">
        <v>1</v>
      </c>
      <c r="E1515" s="460">
        <v>0</v>
      </c>
      <c r="G1515" s="1797"/>
      <c r="H1515" s="1777" t="s">
        <v>1238</v>
      </c>
      <c r="I1515" s="1742" t="s">
        <v>8490</v>
      </c>
      <c r="J1515" s="1779" t="s">
        <v>28</v>
      </c>
      <c r="K1515" s="1780"/>
      <c r="L1515" s="1781"/>
      <c r="M1515" s="1781"/>
      <c r="N1515" s="1746">
        <v>32647.552</v>
      </c>
      <c r="O1515" s="1782">
        <v>1.9491459831745901</v>
      </c>
      <c r="P1515" s="1720"/>
    </row>
    <row r="1516" spans="1:16" ht="13.5" hidden="1" customHeight="1" outlineLevel="3" x14ac:dyDescent="0.2">
      <c r="A1516" s="459">
        <v>0</v>
      </c>
      <c r="B1516" s="459">
        <v>18</v>
      </c>
      <c r="C1516" s="459">
        <v>10</v>
      </c>
      <c r="D1516" s="460">
        <v>1</v>
      </c>
      <c r="E1516" s="460">
        <v>1</v>
      </c>
      <c r="G1516" s="1798" t="s">
        <v>52</v>
      </c>
      <c r="H1516" s="1783" t="s">
        <v>1239</v>
      </c>
      <c r="I1516" s="1750" t="s">
        <v>8491</v>
      </c>
      <c r="J1516" s="1785" t="s">
        <v>791</v>
      </c>
      <c r="K1516" s="1786" t="s">
        <v>788</v>
      </c>
      <c r="L1516" s="1787">
        <v>1404.7999999999997</v>
      </c>
      <c r="M1516" s="1787">
        <v>23.240000000000002</v>
      </c>
      <c r="N1516" s="1754">
        <v>32647.552</v>
      </c>
      <c r="O1516" s="1788" t="s">
        <v>3252</v>
      </c>
      <c r="P1516" s="1721" t="s">
        <v>9611</v>
      </c>
    </row>
    <row r="1517" spans="1:16" ht="13.5" hidden="1" customHeight="1" outlineLevel="2" x14ac:dyDescent="0.2">
      <c r="A1517" s="459">
        <v>0</v>
      </c>
      <c r="B1517" s="459">
        <v>18</v>
      </c>
      <c r="C1517" s="459">
        <v>10</v>
      </c>
      <c r="D1517" s="460">
        <v>2</v>
      </c>
      <c r="E1517" s="460">
        <v>0</v>
      </c>
      <c r="G1517" s="1797"/>
      <c r="H1517" s="1777" t="s">
        <v>1238</v>
      </c>
      <c r="I1517" s="1742" t="s">
        <v>8492</v>
      </c>
      <c r="J1517" s="1779" t="s">
        <v>29</v>
      </c>
      <c r="K1517" s="1780"/>
      <c r="L1517" s="1781"/>
      <c r="M1517" s="1781"/>
      <c r="N1517" s="1746">
        <v>1443376.3064673201</v>
      </c>
      <c r="O1517" s="1782"/>
      <c r="P1517" s="1720"/>
    </row>
    <row r="1518" spans="1:16" ht="13.5" hidden="1" customHeight="1" outlineLevel="3" x14ac:dyDescent="0.2">
      <c r="A1518" s="459">
        <v>0</v>
      </c>
      <c r="B1518" s="459">
        <v>18</v>
      </c>
      <c r="C1518" s="459">
        <v>10</v>
      </c>
      <c r="D1518" s="460">
        <v>2</v>
      </c>
      <c r="E1518" s="460">
        <v>1</v>
      </c>
      <c r="G1518" s="1798" t="s">
        <v>52</v>
      </c>
      <c r="H1518" s="1783" t="s">
        <v>1239</v>
      </c>
      <c r="I1518" s="1750" t="s">
        <v>8493</v>
      </c>
      <c r="J1518" s="1785" t="s">
        <v>3247</v>
      </c>
      <c r="K1518" s="1786" t="s">
        <v>642</v>
      </c>
      <c r="L1518" s="1787">
        <v>131.28</v>
      </c>
      <c r="M1518" s="1787">
        <v>1906.3139681515586</v>
      </c>
      <c r="N1518" s="1754">
        <v>250260.897738937</v>
      </c>
      <c r="O1518" s="1788" t="s">
        <v>3252</v>
      </c>
      <c r="P1518" s="1721" t="s">
        <v>9611</v>
      </c>
    </row>
    <row r="1519" spans="1:16" ht="13.5" hidden="1" customHeight="1" outlineLevel="3" x14ac:dyDescent="0.2">
      <c r="A1519" s="459">
        <v>0</v>
      </c>
      <c r="B1519" s="459">
        <v>18</v>
      </c>
      <c r="C1519" s="459">
        <v>10</v>
      </c>
      <c r="D1519" s="460">
        <v>2</v>
      </c>
      <c r="E1519" s="460">
        <v>2</v>
      </c>
      <c r="G1519" s="1798" t="s">
        <v>52</v>
      </c>
      <c r="H1519" s="1783" t="s">
        <v>1239</v>
      </c>
      <c r="I1519" s="1750" t="s">
        <v>8494</v>
      </c>
      <c r="J1519" s="1785" t="s">
        <v>3248</v>
      </c>
      <c r="K1519" s="1786" t="s">
        <v>642</v>
      </c>
      <c r="L1519" s="1787">
        <v>147.6</v>
      </c>
      <c r="M1519" s="1787">
        <v>2650.4955587130289</v>
      </c>
      <c r="N1519" s="1754">
        <v>391213.14446604298</v>
      </c>
      <c r="O1519" s="1788" t="s">
        <v>3252</v>
      </c>
      <c r="P1519" s="1721" t="s">
        <v>9611</v>
      </c>
    </row>
    <row r="1520" spans="1:16" ht="13.5" hidden="1" customHeight="1" outlineLevel="3" x14ac:dyDescent="0.2">
      <c r="A1520" s="459">
        <v>0</v>
      </c>
      <c r="B1520" s="459">
        <v>18</v>
      </c>
      <c r="C1520" s="459">
        <v>10</v>
      </c>
      <c r="D1520" s="460">
        <v>2</v>
      </c>
      <c r="E1520" s="460">
        <v>3</v>
      </c>
      <c r="G1520" s="1798" t="s">
        <v>52</v>
      </c>
      <c r="H1520" s="1783" t="s">
        <v>1239</v>
      </c>
      <c r="I1520" s="1750" t="s">
        <v>8495</v>
      </c>
      <c r="J1520" s="1785" t="s">
        <v>3249</v>
      </c>
      <c r="K1520" s="1786" t="s">
        <v>642</v>
      </c>
      <c r="L1520" s="1787">
        <v>279.04000000000002</v>
      </c>
      <c r="M1520" s="1787">
        <v>2873.7896511695099</v>
      </c>
      <c r="N1520" s="1754">
        <v>801902.26426234003</v>
      </c>
      <c r="O1520" s="1788" t="s">
        <v>3252</v>
      </c>
      <c r="P1520" s="1721" t="s">
        <v>9611</v>
      </c>
    </row>
    <row r="1521" spans="1:16" ht="12.75" hidden="1" customHeight="1" outlineLevel="2" x14ac:dyDescent="0.2">
      <c r="A1521" s="459">
        <v>0</v>
      </c>
      <c r="B1521" s="459">
        <v>18</v>
      </c>
      <c r="C1521" s="459">
        <v>10</v>
      </c>
      <c r="D1521" s="460">
        <v>3</v>
      </c>
      <c r="E1521" s="460">
        <v>0</v>
      </c>
      <c r="G1521" s="1797"/>
      <c r="H1521" s="1777" t="s">
        <v>1238</v>
      </c>
      <c r="I1521" s="1742" t="s">
        <v>8496</v>
      </c>
      <c r="J1521" s="1779" t="s">
        <v>2819</v>
      </c>
      <c r="K1521" s="1780"/>
      <c r="L1521" s="1781"/>
      <c r="M1521" s="1781"/>
      <c r="N1521" s="1746"/>
      <c r="O1521" s="1782"/>
      <c r="P1521" s="1720"/>
    </row>
    <row r="1522" spans="1:16" ht="12.75" hidden="1" customHeight="1" outlineLevel="3" x14ac:dyDescent="0.2">
      <c r="A1522" s="459">
        <v>0</v>
      </c>
      <c r="B1522" s="459">
        <v>18</v>
      </c>
      <c r="C1522" s="459">
        <v>10</v>
      </c>
      <c r="D1522" s="460">
        <v>3</v>
      </c>
      <c r="E1522" s="460">
        <v>1</v>
      </c>
      <c r="G1522" s="1798" t="s">
        <v>52</v>
      </c>
      <c r="H1522" s="1783" t="s">
        <v>1239</v>
      </c>
      <c r="I1522" s="1750" t="s">
        <v>8497</v>
      </c>
      <c r="J1522" s="1785" t="s">
        <v>797</v>
      </c>
      <c r="K1522" s="1786" t="s">
        <v>642</v>
      </c>
      <c r="L1522" s="1787" t="e">
        <v>#REF!</v>
      </c>
      <c r="M1522" s="1787">
        <v>1403.9850000000001</v>
      </c>
      <c r="N1522" s="1754"/>
      <c r="O1522" s="1788" t="s">
        <v>3251</v>
      </c>
      <c r="P1522" s="1721" t="s">
        <v>9611</v>
      </c>
    </row>
    <row r="1523" spans="1:16" ht="12.75" hidden="1" customHeight="1" outlineLevel="2" x14ac:dyDescent="0.2">
      <c r="A1523" s="459">
        <v>0</v>
      </c>
      <c r="B1523" s="459">
        <v>18</v>
      </c>
      <c r="C1523" s="459">
        <v>10</v>
      </c>
      <c r="D1523" s="460">
        <v>4</v>
      </c>
      <c r="E1523" s="460">
        <v>0</v>
      </c>
      <c r="G1523" s="1797"/>
      <c r="H1523" s="1777" t="s">
        <v>1238</v>
      </c>
      <c r="I1523" s="1742" t="s">
        <v>8498</v>
      </c>
      <c r="J1523" s="1779" t="s">
        <v>3259</v>
      </c>
      <c r="K1523" s="1780"/>
      <c r="L1523" s="1781"/>
      <c r="M1523" s="1781"/>
      <c r="N1523" s="1746"/>
      <c r="O1523" s="1782"/>
      <c r="P1523" s="1720"/>
    </row>
    <row r="1524" spans="1:16" ht="12.75" hidden="1" customHeight="1" outlineLevel="3" x14ac:dyDescent="0.2">
      <c r="A1524" s="459">
        <v>0</v>
      </c>
      <c r="B1524" s="459">
        <v>18</v>
      </c>
      <c r="C1524" s="459">
        <v>10</v>
      </c>
      <c r="D1524" s="460">
        <v>4</v>
      </c>
      <c r="E1524" s="460">
        <v>1</v>
      </c>
      <c r="G1524" s="1798" t="s">
        <v>52</v>
      </c>
      <c r="H1524" s="1783" t="s">
        <v>1239</v>
      </c>
      <c r="I1524" s="1750" t="s">
        <v>8499</v>
      </c>
      <c r="J1524" s="1785" t="s">
        <v>794</v>
      </c>
      <c r="K1524" s="1786" t="s">
        <v>642</v>
      </c>
      <c r="L1524" s="1787" t="e">
        <v>#REF!</v>
      </c>
      <c r="M1524" s="1787">
        <v>2122.5413895570964</v>
      </c>
      <c r="N1524" s="1754"/>
      <c r="O1524" s="1788" t="s">
        <v>3251</v>
      </c>
      <c r="P1524" s="1721" t="s">
        <v>9611</v>
      </c>
    </row>
    <row r="1525" spans="1:16" ht="13.5" hidden="1" customHeight="1" outlineLevel="1" x14ac:dyDescent="0.2">
      <c r="A1525" s="459">
        <v>0</v>
      </c>
      <c r="B1525" s="459">
        <v>18</v>
      </c>
      <c r="C1525" s="459">
        <v>11</v>
      </c>
      <c r="D1525" s="460">
        <v>0</v>
      </c>
      <c r="E1525" s="460">
        <v>1</v>
      </c>
      <c r="G1525" s="1796"/>
      <c r="H1525" s="1771" t="s">
        <v>39</v>
      </c>
      <c r="I1525" s="1735" t="s">
        <v>8500</v>
      </c>
      <c r="J1525" s="1773" t="s">
        <v>5518</v>
      </c>
      <c r="K1525" s="1774"/>
      <c r="L1525" s="1775"/>
      <c r="M1525" s="1775"/>
      <c r="N1525" s="1739"/>
      <c r="O1525" s="1776"/>
      <c r="P1525" s="1719"/>
    </row>
    <row r="1526" spans="1:16" ht="13.5" hidden="1" customHeight="1" outlineLevel="2" x14ac:dyDescent="0.2">
      <c r="A1526" s="459">
        <v>0</v>
      </c>
      <c r="B1526" s="459">
        <v>18</v>
      </c>
      <c r="C1526" s="459">
        <v>11</v>
      </c>
      <c r="D1526" s="460">
        <v>1</v>
      </c>
      <c r="E1526" s="460">
        <v>0</v>
      </c>
      <c r="G1526" s="1797"/>
      <c r="H1526" s="1777" t="s">
        <v>1238</v>
      </c>
      <c r="I1526" s="1742" t="s">
        <v>8501</v>
      </c>
      <c r="J1526" s="1779" t="s">
        <v>28</v>
      </c>
      <c r="K1526" s="1780"/>
      <c r="L1526" s="1781"/>
      <c r="M1526" s="1781"/>
      <c r="N1526" s="1746">
        <v>58746.072</v>
      </c>
      <c r="O1526" s="1782">
        <v>3.50729727809563</v>
      </c>
      <c r="P1526" s="1720"/>
    </row>
    <row r="1527" spans="1:16" ht="13.5" hidden="1" customHeight="1" outlineLevel="3" x14ac:dyDescent="0.2">
      <c r="A1527" s="459">
        <v>0</v>
      </c>
      <c r="B1527" s="459">
        <v>18</v>
      </c>
      <c r="C1527" s="459">
        <v>11</v>
      </c>
      <c r="D1527" s="460">
        <v>1</v>
      </c>
      <c r="E1527" s="460">
        <v>1</v>
      </c>
      <c r="G1527" s="1798" t="s">
        <v>52</v>
      </c>
      <c r="H1527" s="1783" t="s">
        <v>1239</v>
      </c>
      <c r="I1527" s="1750" t="s">
        <v>8502</v>
      </c>
      <c r="J1527" s="1785" t="s">
        <v>791</v>
      </c>
      <c r="K1527" s="1786" t="s">
        <v>788</v>
      </c>
      <c r="L1527" s="1787">
        <v>2527.7999999999993</v>
      </c>
      <c r="M1527" s="1787">
        <v>23.240000000000002</v>
      </c>
      <c r="N1527" s="1754">
        <v>58746.072</v>
      </c>
      <c r="O1527" s="1788" t="s">
        <v>3252</v>
      </c>
      <c r="P1527" s="1721" t="s">
        <v>9611</v>
      </c>
    </row>
    <row r="1528" spans="1:16" ht="13.5" hidden="1" customHeight="1" outlineLevel="2" x14ac:dyDescent="0.2">
      <c r="A1528" s="459">
        <v>0</v>
      </c>
      <c r="B1528" s="459">
        <v>18</v>
      </c>
      <c r="C1528" s="459">
        <v>11</v>
      </c>
      <c r="D1528" s="460">
        <v>2</v>
      </c>
      <c r="E1528" s="460">
        <v>0</v>
      </c>
      <c r="G1528" s="1797"/>
      <c r="H1528" s="1777" t="s">
        <v>1238</v>
      </c>
      <c r="I1528" s="1742" t="s">
        <v>8503</v>
      </c>
      <c r="J1528" s="1779" t="s">
        <v>29</v>
      </c>
      <c r="K1528" s="1780"/>
      <c r="L1528" s="1781"/>
      <c r="M1528" s="1781"/>
      <c r="N1528" s="1746">
        <v>2758088.76857745</v>
      </c>
      <c r="O1528" s="1782"/>
      <c r="P1528" s="1720"/>
    </row>
    <row r="1529" spans="1:16" ht="13.5" hidden="1" customHeight="1" outlineLevel="3" x14ac:dyDescent="0.2">
      <c r="A1529" s="459">
        <v>0</v>
      </c>
      <c r="B1529" s="459">
        <v>18</v>
      </c>
      <c r="C1529" s="459">
        <v>11</v>
      </c>
      <c r="D1529" s="460">
        <v>2</v>
      </c>
      <c r="E1529" s="460">
        <v>1</v>
      </c>
      <c r="G1529" s="1798" t="s">
        <v>52</v>
      </c>
      <c r="H1529" s="1783" t="s">
        <v>1239</v>
      </c>
      <c r="I1529" s="1750" t="s">
        <v>8504</v>
      </c>
      <c r="J1529" s="1785" t="s">
        <v>3247</v>
      </c>
      <c r="K1529" s="1786" t="s">
        <v>642</v>
      </c>
      <c r="L1529" s="1787">
        <v>217.8</v>
      </c>
      <c r="M1529" s="1787">
        <v>1906.3139681515586</v>
      </c>
      <c r="N1529" s="1754">
        <v>415195.18226340902</v>
      </c>
      <c r="O1529" s="1788" t="s">
        <v>3252</v>
      </c>
      <c r="P1529" s="1721" t="s">
        <v>9611</v>
      </c>
    </row>
    <row r="1530" spans="1:16" ht="13.5" hidden="1" customHeight="1" outlineLevel="3" x14ac:dyDescent="0.2">
      <c r="A1530" s="459">
        <v>0</v>
      </c>
      <c r="B1530" s="459">
        <v>18</v>
      </c>
      <c r="C1530" s="459">
        <v>11</v>
      </c>
      <c r="D1530" s="460">
        <v>2</v>
      </c>
      <c r="E1530" s="460">
        <v>2</v>
      </c>
      <c r="G1530" s="1798" t="s">
        <v>52</v>
      </c>
      <c r="H1530" s="1783" t="s">
        <v>1239</v>
      </c>
      <c r="I1530" s="1750" t="s">
        <v>8505</v>
      </c>
      <c r="J1530" s="1785" t="s">
        <v>3248</v>
      </c>
      <c r="K1530" s="1786" t="s">
        <v>642</v>
      </c>
      <c r="L1530" s="1787">
        <v>356.78500000000003</v>
      </c>
      <c r="M1530" s="1787">
        <v>2650.4955587130289</v>
      </c>
      <c r="N1530" s="1754">
        <v>945657.05791542795</v>
      </c>
      <c r="O1530" s="1788" t="s">
        <v>3252</v>
      </c>
      <c r="P1530" s="1721" t="s">
        <v>9611</v>
      </c>
    </row>
    <row r="1531" spans="1:16" ht="13.5" hidden="1" customHeight="1" outlineLevel="3" x14ac:dyDescent="0.2">
      <c r="A1531" s="459">
        <v>0</v>
      </c>
      <c r="B1531" s="459">
        <v>18</v>
      </c>
      <c r="C1531" s="459">
        <v>11</v>
      </c>
      <c r="D1531" s="460">
        <v>2</v>
      </c>
      <c r="E1531" s="460">
        <v>3</v>
      </c>
      <c r="G1531" s="1798" t="s">
        <v>52</v>
      </c>
      <c r="H1531" s="1783" t="s">
        <v>1239</v>
      </c>
      <c r="I1531" s="1750" t="s">
        <v>8506</v>
      </c>
      <c r="J1531" s="1785" t="s">
        <v>3249</v>
      </c>
      <c r="K1531" s="1786" t="s">
        <v>642</v>
      </c>
      <c r="L1531" s="1787">
        <v>486.20000000000005</v>
      </c>
      <c r="M1531" s="1787">
        <v>2873.7896511695099</v>
      </c>
      <c r="N1531" s="1754">
        <v>1397236.52839862</v>
      </c>
      <c r="O1531" s="1788" t="s">
        <v>3252</v>
      </c>
      <c r="P1531" s="1721" t="s">
        <v>9611</v>
      </c>
    </row>
    <row r="1532" spans="1:16" ht="12.75" hidden="1" customHeight="1" outlineLevel="2" x14ac:dyDescent="0.2">
      <c r="A1532" s="459">
        <v>0</v>
      </c>
      <c r="B1532" s="459">
        <v>18</v>
      </c>
      <c r="C1532" s="459">
        <v>11</v>
      </c>
      <c r="D1532" s="460">
        <v>3</v>
      </c>
      <c r="E1532" s="460">
        <v>0</v>
      </c>
      <c r="G1532" s="1797"/>
      <c r="H1532" s="1777" t="s">
        <v>1238</v>
      </c>
      <c r="I1532" s="1742" t="s">
        <v>8507</v>
      </c>
      <c r="J1532" s="1779" t="s">
        <v>2819</v>
      </c>
      <c r="K1532" s="1780"/>
      <c r="L1532" s="1781"/>
      <c r="M1532" s="1781"/>
      <c r="N1532" s="1746"/>
      <c r="O1532" s="1782"/>
      <c r="P1532" s="1720"/>
    </row>
    <row r="1533" spans="1:16" ht="12.75" hidden="1" customHeight="1" outlineLevel="3" x14ac:dyDescent="0.2">
      <c r="A1533" s="459">
        <v>0</v>
      </c>
      <c r="B1533" s="459">
        <v>18</v>
      </c>
      <c r="C1533" s="459">
        <v>11</v>
      </c>
      <c r="D1533" s="460">
        <v>3</v>
      </c>
      <c r="E1533" s="460">
        <v>1</v>
      </c>
      <c r="G1533" s="1798" t="s">
        <v>52</v>
      </c>
      <c r="H1533" s="1783" t="s">
        <v>1239</v>
      </c>
      <c r="I1533" s="1750" t="s">
        <v>8508</v>
      </c>
      <c r="J1533" s="1785" t="s">
        <v>797</v>
      </c>
      <c r="K1533" s="1786" t="s">
        <v>642</v>
      </c>
      <c r="L1533" s="1787" t="e">
        <v>#REF!</v>
      </c>
      <c r="M1533" s="1787">
        <v>1403.9850000000001</v>
      </c>
      <c r="N1533" s="1754"/>
      <c r="O1533" s="1788" t="s">
        <v>3251</v>
      </c>
      <c r="P1533" s="1721" t="s">
        <v>9611</v>
      </c>
    </row>
    <row r="1534" spans="1:16" ht="12.75" hidden="1" customHeight="1" outlineLevel="2" x14ac:dyDescent="0.2">
      <c r="A1534" s="459">
        <v>0</v>
      </c>
      <c r="B1534" s="459">
        <v>18</v>
      </c>
      <c r="C1534" s="459">
        <v>11</v>
      </c>
      <c r="D1534" s="460">
        <v>4</v>
      </c>
      <c r="E1534" s="460">
        <v>0</v>
      </c>
      <c r="G1534" s="1797"/>
      <c r="H1534" s="1777" t="s">
        <v>1238</v>
      </c>
      <c r="I1534" s="1742" t="s">
        <v>8509</v>
      </c>
      <c r="J1534" s="1779" t="s">
        <v>3259</v>
      </c>
      <c r="K1534" s="1780"/>
      <c r="L1534" s="1781"/>
      <c r="M1534" s="1781"/>
      <c r="N1534" s="1746"/>
      <c r="O1534" s="1782"/>
      <c r="P1534" s="1720"/>
    </row>
    <row r="1535" spans="1:16" ht="12.75" hidden="1" customHeight="1" outlineLevel="3" x14ac:dyDescent="0.2">
      <c r="A1535" s="459">
        <v>0</v>
      </c>
      <c r="B1535" s="459">
        <v>18</v>
      </c>
      <c r="C1535" s="459">
        <v>11</v>
      </c>
      <c r="D1535" s="460">
        <v>4</v>
      </c>
      <c r="E1535" s="460">
        <v>1</v>
      </c>
      <c r="G1535" s="1798" t="s">
        <v>52</v>
      </c>
      <c r="H1535" s="1783" t="s">
        <v>1239</v>
      </c>
      <c r="I1535" s="1750" t="s">
        <v>8510</v>
      </c>
      <c r="J1535" s="1785" t="s">
        <v>794</v>
      </c>
      <c r="K1535" s="1786" t="s">
        <v>642</v>
      </c>
      <c r="L1535" s="1787" t="e">
        <v>#REF!</v>
      </c>
      <c r="M1535" s="1787">
        <v>2122.5413895570964</v>
      </c>
      <c r="N1535" s="1754"/>
      <c r="O1535" s="1788" t="s">
        <v>3251</v>
      </c>
      <c r="P1535" s="1721" t="s">
        <v>9611</v>
      </c>
    </row>
    <row r="1536" spans="1:16" ht="13.5" hidden="1" customHeight="1" outlineLevel="1" x14ac:dyDescent="0.2">
      <c r="A1536" s="459">
        <v>0</v>
      </c>
      <c r="B1536" s="459">
        <v>18</v>
      </c>
      <c r="C1536" s="459">
        <v>12</v>
      </c>
      <c r="D1536" s="460">
        <v>0</v>
      </c>
      <c r="E1536" s="460">
        <v>1</v>
      </c>
      <c r="G1536" s="1796"/>
      <c r="H1536" s="1771" t="s">
        <v>39</v>
      </c>
      <c r="I1536" s="1735" t="s">
        <v>8511</v>
      </c>
      <c r="J1536" s="1773" t="s">
        <v>5519</v>
      </c>
      <c r="K1536" s="1774"/>
      <c r="L1536" s="1775"/>
      <c r="M1536" s="1775"/>
      <c r="N1536" s="1739"/>
      <c r="O1536" s="1776"/>
      <c r="P1536" s="1719"/>
    </row>
    <row r="1537" spans="1:16" ht="13.5" hidden="1" customHeight="1" outlineLevel="2" x14ac:dyDescent="0.2">
      <c r="A1537" s="459">
        <v>0</v>
      </c>
      <c r="B1537" s="459">
        <v>18</v>
      </c>
      <c r="C1537" s="459">
        <v>12</v>
      </c>
      <c r="D1537" s="460">
        <v>1</v>
      </c>
      <c r="E1537" s="460">
        <v>0</v>
      </c>
      <c r="G1537" s="1797"/>
      <c r="H1537" s="1777" t="s">
        <v>1238</v>
      </c>
      <c r="I1537" s="1742" t="s">
        <v>8512</v>
      </c>
      <c r="J1537" s="1779" t="s">
        <v>28</v>
      </c>
      <c r="K1537" s="1780"/>
      <c r="L1537" s="1781"/>
      <c r="M1537" s="1781"/>
      <c r="N1537" s="1746">
        <v>3160.64</v>
      </c>
      <c r="O1537" s="1782">
        <v>0.18869864301804201</v>
      </c>
      <c r="P1537" s="1720"/>
    </row>
    <row r="1538" spans="1:16" ht="13.5" hidden="1" customHeight="1" outlineLevel="3" x14ac:dyDescent="0.2">
      <c r="A1538" s="459">
        <v>0</v>
      </c>
      <c r="B1538" s="459">
        <v>18</v>
      </c>
      <c r="C1538" s="459">
        <v>12</v>
      </c>
      <c r="D1538" s="460">
        <v>1</v>
      </c>
      <c r="E1538" s="460">
        <v>1</v>
      </c>
      <c r="G1538" s="1798" t="s">
        <v>52</v>
      </c>
      <c r="H1538" s="1783" t="s">
        <v>1239</v>
      </c>
      <c r="I1538" s="1750" t="s">
        <v>8513</v>
      </c>
      <c r="J1538" s="1785" t="s">
        <v>791</v>
      </c>
      <c r="K1538" s="1786" t="s">
        <v>788</v>
      </c>
      <c r="L1538" s="1787">
        <v>136</v>
      </c>
      <c r="M1538" s="1787">
        <v>23.240000000000002</v>
      </c>
      <c r="N1538" s="1754">
        <v>3160.64</v>
      </c>
      <c r="O1538" s="1788" t="s">
        <v>3252</v>
      </c>
      <c r="P1538" s="1721" t="s">
        <v>9611</v>
      </c>
    </row>
    <row r="1539" spans="1:16" ht="13.5" hidden="1" customHeight="1" outlineLevel="2" x14ac:dyDescent="0.2">
      <c r="A1539" s="459">
        <v>0</v>
      </c>
      <c r="B1539" s="459">
        <v>18</v>
      </c>
      <c r="C1539" s="459">
        <v>12</v>
      </c>
      <c r="D1539" s="460">
        <v>2</v>
      </c>
      <c r="E1539" s="460">
        <v>0</v>
      </c>
      <c r="G1539" s="1797"/>
      <c r="H1539" s="1777" t="s">
        <v>1238</v>
      </c>
      <c r="I1539" s="1742" t="s">
        <v>8514</v>
      </c>
      <c r="J1539" s="1779" t="s">
        <v>29</v>
      </c>
      <c r="K1539" s="1780"/>
      <c r="L1539" s="1781"/>
      <c r="M1539" s="1781"/>
      <c r="N1539" s="1746">
        <v>142210.563665903</v>
      </c>
      <c r="O1539" s="1782"/>
      <c r="P1539" s="1720"/>
    </row>
    <row r="1540" spans="1:16" ht="13.5" hidden="1" customHeight="1" outlineLevel="3" x14ac:dyDescent="0.2">
      <c r="A1540" s="459">
        <v>0</v>
      </c>
      <c r="B1540" s="459">
        <v>18</v>
      </c>
      <c r="C1540" s="459">
        <v>12</v>
      </c>
      <c r="D1540" s="460">
        <v>2</v>
      </c>
      <c r="E1540" s="460">
        <v>1</v>
      </c>
      <c r="G1540" s="1798" t="s">
        <v>52</v>
      </c>
      <c r="H1540" s="1783" t="s">
        <v>1239</v>
      </c>
      <c r="I1540" s="1750" t="s">
        <v>8515</v>
      </c>
      <c r="J1540" s="1785" t="s">
        <v>3247</v>
      </c>
      <c r="K1540" s="1786" t="s">
        <v>642</v>
      </c>
      <c r="L1540" s="1787">
        <v>9.9</v>
      </c>
      <c r="M1540" s="1787">
        <v>1906.3139681515586</v>
      </c>
      <c r="N1540" s="1754">
        <v>18872.508284700401</v>
      </c>
      <c r="O1540" s="1788" t="s">
        <v>3252</v>
      </c>
      <c r="P1540" s="1721" t="s">
        <v>9611</v>
      </c>
    </row>
    <row r="1541" spans="1:16" ht="13.5" hidden="1" customHeight="1" outlineLevel="3" x14ac:dyDescent="0.2">
      <c r="A1541" s="459">
        <v>0</v>
      </c>
      <c r="B1541" s="459">
        <v>18</v>
      </c>
      <c r="C1541" s="459">
        <v>12</v>
      </c>
      <c r="D1541" s="460">
        <v>2</v>
      </c>
      <c r="E1541" s="460">
        <v>2</v>
      </c>
      <c r="G1541" s="1798" t="s">
        <v>52</v>
      </c>
      <c r="H1541" s="1783" t="s">
        <v>1239</v>
      </c>
      <c r="I1541" s="1750" t="s">
        <v>8516</v>
      </c>
      <c r="J1541" s="1785" t="s">
        <v>3248</v>
      </c>
      <c r="K1541" s="1786" t="s">
        <v>642</v>
      </c>
      <c r="L1541" s="1787">
        <v>14.115</v>
      </c>
      <c r="M1541" s="1787">
        <v>2650.4955587130289</v>
      </c>
      <c r="N1541" s="1754">
        <v>37411.744811234399</v>
      </c>
      <c r="O1541" s="1788" t="s">
        <v>3252</v>
      </c>
      <c r="P1541" s="1721" t="s">
        <v>9611</v>
      </c>
    </row>
    <row r="1542" spans="1:16" ht="13.5" hidden="1" customHeight="1" outlineLevel="3" x14ac:dyDescent="0.2">
      <c r="A1542" s="459">
        <v>0</v>
      </c>
      <c r="B1542" s="459">
        <v>18</v>
      </c>
      <c r="C1542" s="459">
        <v>12</v>
      </c>
      <c r="D1542" s="460">
        <v>2</v>
      </c>
      <c r="E1542" s="460">
        <v>3</v>
      </c>
      <c r="G1542" s="1798" t="s">
        <v>52</v>
      </c>
      <c r="H1542" s="1783" t="s">
        <v>1239</v>
      </c>
      <c r="I1542" s="1750" t="s">
        <v>8517</v>
      </c>
      <c r="J1542" s="1785" t="s">
        <v>3249</v>
      </c>
      <c r="K1542" s="1786" t="s">
        <v>642</v>
      </c>
      <c r="L1542" s="1787">
        <v>29.900000000000006</v>
      </c>
      <c r="M1542" s="1787">
        <v>2873.7896511695099</v>
      </c>
      <c r="N1542" s="1754">
        <v>85926.310569968395</v>
      </c>
      <c r="O1542" s="1788" t="s">
        <v>3252</v>
      </c>
      <c r="P1542" s="1721" t="s">
        <v>9611</v>
      </c>
    </row>
    <row r="1543" spans="1:16" ht="12.75" hidden="1" customHeight="1" outlineLevel="2" x14ac:dyDescent="0.2">
      <c r="A1543" s="459">
        <v>0</v>
      </c>
      <c r="B1543" s="459">
        <v>18</v>
      </c>
      <c r="C1543" s="459">
        <v>12</v>
      </c>
      <c r="D1543" s="460">
        <v>3</v>
      </c>
      <c r="E1543" s="460">
        <v>0</v>
      </c>
      <c r="G1543" s="1797"/>
      <c r="H1543" s="1777" t="s">
        <v>1238</v>
      </c>
      <c r="I1543" s="1742" t="s">
        <v>8518</v>
      </c>
      <c r="J1543" s="1779" t="s">
        <v>2819</v>
      </c>
      <c r="K1543" s="1780"/>
      <c r="L1543" s="1781"/>
      <c r="M1543" s="1781"/>
      <c r="N1543" s="1746"/>
      <c r="O1543" s="1782"/>
      <c r="P1543" s="1720"/>
    </row>
    <row r="1544" spans="1:16" ht="12.75" hidden="1" customHeight="1" outlineLevel="3" x14ac:dyDescent="0.2">
      <c r="A1544" s="459">
        <v>0</v>
      </c>
      <c r="B1544" s="459">
        <v>18</v>
      </c>
      <c r="C1544" s="459">
        <v>12</v>
      </c>
      <c r="D1544" s="460">
        <v>3</v>
      </c>
      <c r="E1544" s="460">
        <v>1</v>
      </c>
      <c r="G1544" s="1798" t="s">
        <v>52</v>
      </c>
      <c r="H1544" s="1783" t="s">
        <v>1239</v>
      </c>
      <c r="I1544" s="1750" t="s">
        <v>8519</v>
      </c>
      <c r="J1544" s="1785" t="s">
        <v>797</v>
      </c>
      <c r="K1544" s="1786" t="s">
        <v>642</v>
      </c>
      <c r="L1544" s="1787" t="e">
        <v>#REF!</v>
      </c>
      <c r="M1544" s="1787">
        <v>1403.9850000000001</v>
      </c>
      <c r="N1544" s="1754"/>
      <c r="O1544" s="1788" t="s">
        <v>3251</v>
      </c>
      <c r="P1544" s="1721" t="s">
        <v>9611</v>
      </c>
    </row>
    <row r="1545" spans="1:16" ht="12.75" hidden="1" customHeight="1" outlineLevel="2" x14ac:dyDescent="0.2">
      <c r="A1545" s="459">
        <v>0</v>
      </c>
      <c r="B1545" s="459">
        <v>18</v>
      </c>
      <c r="C1545" s="459">
        <v>12</v>
      </c>
      <c r="D1545" s="460">
        <v>4</v>
      </c>
      <c r="E1545" s="460">
        <v>0</v>
      </c>
      <c r="G1545" s="1797"/>
      <c r="H1545" s="1777" t="s">
        <v>1238</v>
      </c>
      <c r="I1545" s="1742" t="s">
        <v>8520</v>
      </c>
      <c r="J1545" s="1779" t="s">
        <v>3259</v>
      </c>
      <c r="K1545" s="1780"/>
      <c r="L1545" s="1781"/>
      <c r="M1545" s="1781"/>
      <c r="N1545" s="1746"/>
      <c r="O1545" s="1782"/>
      <c r="P1545" s="1720"/>
    </row>
    <row r="1546" spans="1:16" ht="12.75" hidden="1" customHeight="1" outlineLevel="3" x14ac:dyDescent="0.2">
      <c r="A1546" s="459">
        <v>0</v>
      </c>
      <c r="B1546" s="459">
        <v>18</v>
      </c>
      <c r="C1546" s="459">
        <v>12</v>
      </c>
      <c r="D1546" s="460">
        <v>4</v>
      </c>
      <c r="E1546" s="460">
        <v>1</v>
      </c>
      <c r="G1546" s="1798" t="s">
        <v>52</v>
      </c>
      <c r="H1546" s="1783" t="s">
        <v>1239</v>
      </c>
      <c r="I1546" s="1750" t="s">
        <v>8521</v>
      </c>
      <c r="J1546" s="1785" t="s">
        <v>794</v>
      </c>
      <c r="K1546" s="1786" t="s">
        <v>642</v>
      </c>
      <c r="L1546" s="1787" t="e">
        <v>#REF!</v>
      </c>
      <c r="M1546" s="1787">
        <v>2122.5413895570964</v>
      </c>
      <c r="N1546" s="1754"/>
      <c r="O1546" s="1788" t="s">
        <v>3251</v>
      </c>
      <c r="P1546" s="1721" t="s">
        <v>9611</v>
      </c>
    </row>
    <row r="1547" spans="1:16" ht="13.5" hidden="1" customHeight="1" outlineLevel="1" x14ac:dyDescent="0.2">
      <c r="A1547" s="459">
        <v>0</v>
      </c>
      <c r="B1547" s="459">
        <v>18</v>
      </c>
      <c r="C1547" s="459">
        <v>13</v>
      </c>
      <c r="D1547" s="460">
        <v>0</v>
      </c>
      <c r="E1547" s="460">
        <v>1</v>
      </c>
      <c r="G1547" s="1796"/>
      <c r="H1547" s="1771" t="s">
        <v>39</v>
      </c>
      <c r="I1547" s="1735" t="s">
        <v>8522</v>
      </c>
      <c r="J1547" s="1773" t="s">
        <v>5520</v>
      </c>
      <c r="K1547" s="1774"/>
      <c r="L1547" s="1775"/>
      <c r="M1547" s="1775"/>
      <c r="N1547" s="1739"/>
      <c r="O1547" s="1776"/>
      <c r="P1547" s="1719"/>
    </row>
    <row r="1548" spans="1:16" ht="13.5" hidden="1" customHeight="1" outlineLevel="2" x14ac:dyDescent="0.2">
      <c r="A1548" s="459">
        <v>0</v>
      </c>
      <c r="B1548" s="459">
        <v>18</v>
      </c>
      <c r="C1548" s="459">
        <v>13</v>
      </c>
      <c r="D1548" s="460">
        <v>1</v>
      </c>
      <c r="E1548" s="460">
        <v>0</v>
      </c>
      <c r="G1548" s="1797"/>
      <c r="H1548" s="1777" t="s">
        <v>1238</v>
      </c>
      <c r="I1548" s="1742" t="s">
        <v>8523</v>
      </c>
      <c r="J1548" s="1779" t="s">
        <v>28</v>
      </c>
      <c r="K1548" s="1780"/>
      <c r="L1548" s="1781"/>
      <c r="M1548" s="1781"/>
      <c r="N1548" s="1746">
        <v>1861.5239999999999</v>
      </c>
      <c r="O1548" s="1782">
        <v>0.11113795077753801</v>
      </c>
      <c r="P1548" s="1720"/>
    </row>
    <row r="1549" spans="1:16" ht="13.5" hidden="1" customHeight="1" outlineLevel="3" x14ac:dyDescent="0.2">
      <c r="A1549" s="459">
        <v>0</v>
      </c>
      <c r="B1549" s="459">
        <v>18</v>
      </c>
      <c r="C1549" s="459">
        <v>13</v>
      </c>
      <c r="D1549" s="460">
        <v>1</v>
      </c>
      <c r="E1549" s="460">
        <v>1</v>
      </c>
      <c r="G1549" s="1798" t="s">
        <v>52</v>
      </c>
      <c r="H1549" s="1783" t="s">
        <v>1239</v>
      </c>
      <c r="I1549" s="1750" t="s">
        <v>8524</v>
      </c>
      <c r="J1549" s="1785" t="s">
        <v>791</v>
      </c>
      <c r="K1549" s="1786" t="s">
        <v>788</v>
      </c>
      <c r="L1549" s="1787">
        <v>80.099999999999994</v>
      </c>
      <c r="M1549" s="1787">
        <v>23.240000000000002</v>
      </c>
      <c r="N1549" s="1754">
        <v>1861.5239999999999</v>
      </c>
      <c r="O1549" s="1788" t="s">
        <v>3252</v>
      </c>
      <c r="P1549" s="1721" t="s">
        <v>9611</v>
      </c>
    </row>
    <row r="1550" spans="1:16" ht="13.5" hidden="1" customHeight="1" outlineLevel="2" x14ac:dyDescent="0.2">
      <c r="A1550" s="459">
        <v>0</v>
      </c>
      <c r="B1550" s="459">
        <v>18</v>
      </c>
      <c r="C1550" s="459">
        <v>13</v>
      </c>
      <c r="D1550" s="460">
        <v>2</v>
      </c>
      <c r="E1550" s="460">
        <v>0</v>
      </c>
      <c r="G1550" s="1797"/>
      <c r="H1550" s="1777" t="s">
        <v>1238</v>
      </c>
      <c r="I1550" s="1742" t="s">
        <v>8525</v>
      </c>
      <c r="J1550" s="1779" t="s">
        <v>29</v>
      </c>
      <c r="K1550" s="1780"/>
      <c r="L1550" s="1781"/>
      <c r="M1550" s="1781"/>
      <c r="N1550" s="1746">
        <v>94528.5867973969</v>
      </c>
      <c r="O1550" s="1782"/>
      <c r="P1550" s="1720"/>
    </row>
    <row r="1551" spans="1:16" ht="13.5" hidden="1" customHeight="1" outlineLevel="3" x14ac:dyDescent="0.2">
      <c r="A1551" s="459">
        <v>0</v>
      </c>
      <c r="B1551" s="459">
        <v>18</v>
      </c>
      <c r="C1551" s="459">
        <v>13</v>
      </c>
      <c r="D1551" s="460">
        <v>2</v>
      </c>
      <c r="E1551" s="460">
        <v>1</v>
      </c>
      <c r="G1551" s="1798" t="s">
        <v>52</v>
      </c>
      <c r="H1551" s="1783" t="s">
        <v>1239</v>
      </c>
      <c r="I1551" s="1750" t="s">
        <v>8526</v>
      </c>
      <c r="J1551" s="1785" t="s">
        <v>3247</v>
      </c>
      <c r="K1551" s="1786" t="s">
        <v>642</v>
      </c>
      <c r="L1551" s="1787">
        <v>11.94</v>
      </c>
      <c r="M1551" s="1787">
        <v>1906.3139681515586</v>
      </c>
      <c r="N1551" s="1754">
        <v>22761.388779729601</v>
      </c>
      <c r="O1551" s="1788" t="s">
        <v>3252</v>
      </c>
      <c r="P1551" s="1721" t="s">
        <v>9611</v>
      </c>
    </row>
    <row r="1552" spans="1:16" ht="13.5" hidden="1" customHeight="1" outlineLevel="3" x14ac:dyDescent="0.2">
      <c r="A1552" s="459">
        <v>0</v>
      </c>
      <c r="B1552" s="459">
        <v>18</v>
      </c>
      <c r="C1552" s="459">
        <v>13</v>
      </c>
      <c r="D1552" s="460">
        <v>2</v>
      </c>
      <c r="E1552" s="460">
        <v>2</v>
      </c>
      <c r="G1552" s="1798" t="s">
        <v>52</v>
      </c>
      <c r="H1552" s="1783" t="s">
        <v>1239</v>
      </c>
      <c r="I1552" s="1750" t="s">
        <v>8527</v>
      </c>
      <c r="J1552" s="1785" t="s">
        <v>3248</v>
      </c>
      <c r="K1552" s="1786" t="s">
        <v>642</v>
      </c>
      <c r="L1552" s="1787">
        <v>10.965</v>
      </c>
      <c r="M1552" s="1787">
        <v>2650.4955587130289</v>
      </c>
      <c r="N1552" s="1754">
        <v>29062.6838012884</v>
      </c>
      <c r="O1552" s="1788" t="s">
        <v>3252</v>
      </c>
      <c r="P1552" s="1721" t="s">
        <v>9611</v>
      </c>
    </row>
    <row r="1553" spans="1:16" ht="13.5" hidden="1" customHeight="1" outlineLevel="3" x14ac:dyDescent="0.2">
      <c r="A1553" s="459">
        <v>0</v>
      </c>
      <c r="B1553" s="459">
        <v>18</v>
      </c>
      <c r="C1553" s="459">
        <v>13</v>
      </c>
      <c r="D1553" s="460">
        <v>2</v>
      </c>
      <c r="E1553" s="460">
        <v>3</v>
      </c>
      <c r="G1553" s="1798" t="s">
        <v>52</v>
      </c>
      <c r="H1553" s="1783" t="s">
        <v>1239</v>
      </c>
      <c r="I1553" s="1750" t="s">
        <v>8528</v>
      </c>
      <c r="J1553" s="1785" t="s">
        <v>3249</v>
      </c>
      <c r="K1553" s="1786" t="s">
        <v>642</v>
      </c>
      <c r="L1553" s="1787">
        <v>14.86</v>
      </c>
      <c r="M1553" s="1787">
        <v>2873.7896511695099</v>
      </c>
      <c r="N1553" s="1754">
        <v>42704.514216378899</v>
      </c>
      <c r="O1553" s="1788" t="s">
        <v>3252</v>
      </c>
      <c r="P1553" s="1721" t="s">
        <v>9611</v>
      </c>
    </row>
    <row r="1554" spans="1:16" ht="12.75" hidden="1" customHeight="1" outlineLevel="2" x14ac:dyDescent="0.2">
      <c r="A1554" s="459">
        <v>0</v>
      </c>
      <c r="B1554" s="459">
        <v>18</v>
      </c>
      <c r="C1554" s="459">
        <v>13</v>
      </c>
      <c r="D1554" s="460">
        <v>3</v>
      </c>
      <c r="E1554" s="460">
        <v>0</v>
      </c>
      <c r="G1554" s="1797"/>
      <c r="H1554" s="1777" t="s">
        <v>1238</v>
      </c>
      <c r="I1554" s="1742" t="s">
        <v>8529</v>
      </c>
      <c r="J1554" s="1779" t="s">
        <v>2819</v>
      </c>
      <c r="K1554" s="1780"/>
      <c r="L1554" s="1781"/>
      <c r="M1554" s="1781"/>
      <c r="N1554" s="1746"/>
      <c r="O1554" s="1782"/>
      <c r="P1554" s="1720"/>
    </row>
    <row r="1555" spans="1:16" ht="12.75" hidden="1" customHeight="1" outlineLevel="3" x14ac:dyDescent="0.2">
      <c r="A1555" s="459">
        <v>0</v>
      </c>
      <c r="B1555" s="459">
        <v>18</v>
      </c>
      <c r="C1555" s="459">
        <v>13</v>
      </c>
      <c r="D1555" s="460">
        <v>3</v>
      </c>
      <c r="E1555" s="460">
        <v>1</v>
      </c>
      <c r="G1555" s="1798" t="s">
        <v>52</v>
      </c>
      <c r="H1555" s="1783" t="s">
        <v>1239</v>
      </c>
      <c r="I1555" s="1750" t="s">
        <v>8530</v>
      </c>
      <c r="J1555" s="1785" t="s">
        <v>797</v>
      </c>
      <c r="K1555" s="1786" t="s">
        <v>642</v>
      </c>
      <c r="L1555" s="1787" t="e">
        <v>#REF!</v>
      </c>
      <c r="M1555" s="1787">
        <v>1403.9850000000001</v>
      </c>
      <c r="N1555" s="1754"/>
      <c r="O1555" s="1788" t="s">
        <v>3251</v>
      </c>
      <c r="P1555" s="1721" t="s">
        <v>9611</v>
      </c>
    </row>
    <row r="1556" spans="1:16" ht="12.75" hidden="1" customHeight="1" outlineLevel="2" x14ac:dyDescent="0.2">
      <c r="A1556" s="459">
        <v>0</v>
      </c>
      <c r="B1556" s="459">
        <v>18</v>
      </c>
      <c r="C1556" s="459">
        <v>13</v>
      </c>
      <c r="D1556" s="460">
        <v>4</v>
      </c>
      <c r="E1556" s="460">
        <v>0</v>
      </c>
      <c r="G1556" s="1797"/>
      <c r="H1556" s="1777" t="s">
        <v>1238</v>
      </c>
      <c r="I1556" s="1742" t="s">
        <v>8531</v>
      </c>
      <c r="J1556" s="1779" t="s">
        <v>3259</v>
      </c>
      <c r="K1556" s="1780"/>
      <c r="L1556" s="1781"/>
      <c r="M1556" s="1781"/>
      <c r="N1556" s="1746"/>
      <c r="O1556" s="1782"/>
      <c r="P1556" s="1720"/>
    </row>
    <row r="1557" spans="1:16" ht="12.75" hidden="1" customHeight="1" outlineLevel="3" x14ac:dyDescent="0.2">
      <c r="A1557" s="459">
        <v>0</v>
      </c>
      <c r="B1557" s="459">
        <v>18</v>
      </c>
      <c r="C1557" s="459">
        <v>13</v>
      </c>
      <c r="D1557" s="460">
        <v>4</v>
      </c>
      <c r="E1557" s="460">
        <v>1</v>
      </c>
      <c r="G1557" s="1798" t="s">
        <v>52</v>
      </c>
      <c r="H1557" s="1783" t="s">
        <v>1239</v>
      </c>
      <c r="I1557" s="1750" t="s">
        <v>8532</v>
      </c>
      <c r="J1557" s="1785" t="s">
        <v>794</v>
      </c>
      <c r="K1557" s="1786" t="s">
        <v>642</v>
      </c>
      <c r="L1557" s="1787" t="e">
        <v>#REF!</v>
      </c>
      <c r="M1557" s="1787">
        <v>2122.5413895570964</v>
      </c>
      <c r="N1557" s="1754"/>
      <c r="O1557" s="1788" t="s">
        <v>3251</v>
      </c>
      <c r="P1557" s="1721" t="s">
        <v>9611</v>
      </c>
    </row>
    <row r="1558" spans="1:16" ht="13.5" hidden="1" customHeight="1" outlineLevel="1" x14ac:dyDescent="0.2">
      <c r="A1558" s="459">
        <v>0</v>
      </c>
      <c r="B1558" s="459">
        <v>18</v>
      </c>
      <c r="C1558" s="459">
        <v>14</v>
      </c>
      <c r="D1558" s="460">
        <v>0</v>
      </c>
      <c r="E1558" s="460">
        <v>1</v>
      </c>
      <c r="G1558" s="1796"/>
      <c r="H1558" s="1771" t="s">
        <v>39</v>
      </c>
      <c r="I1558" s="1735" t="s">
        <v>8533</v>
      </c>
      <c r="J1558" s="1773" t="s">
        <v>5521</v>
      </c>
      <c r="K1558" s="1774"/>
      <c r="L1558" s="1775"/>
      <c r="M1558" s="1775"/>
      <c r="N1558" s="1739">
        <v>51022.711000224299</v>
      </c>
      <c r="O1558" s="1776">
        <v>3.0461920145426302</v>
      </c>
      <c r="P1558" s="1719"/>
    </row>
    <row r="1559" spans="1:16" ht="13.5" hidden="1" customHeight="1" outlineLevel="2" x14ac:dyDescent="0.2">
      <c r="A1559" s="459">
        <v>0</v>
      </c>
      <c r="B1559" s="459">
        <v>18</v>
      </c>
      <c r="C1559" s="459">
        <v>14</v>
      </c>
      <c r="D1559" s="460">
        <v>1</v>
      </c>
      <c r="E1559" s="460">
        <v>0</v>
      </c>
      <c r="G1559" s="1797"/>
      <c r="H1559" s="1777" t="s">
        <v>1238</v>
      </c>
      <c r="I1559" s="1742" t="s">
        <v>8534</v>
      </c>
      <c r="J1559" s="1779" t="s">
        <v>28</v>
      </c>
      <c r="K1559" s="1780"/>
      <c r="L1559" s="1781"/>
      <c r="M1559" s="1781"/>
      <c r="N1559" s="1746">
        <v>1519.896</v>
      </c>
      <c r="O1559" s="1782">
        <v>9.0741847451322896E-2</v>
      </c>
      <c r="P1559" s="1720"/>
    </row>
    <row r="1560" spans="1:16" ht="13.5" hidden="1" customHeight="1" outlineLevel="3" x14ac:dyDescent="0.2">
      <c r="A1560" s="459">
        <v>0</v>
      </c>
      <c r="B1560" s="459">
        <v>18</v>
      </c>
      <c r="C1560" s="459">
        <v>14</v>
      </c>
      <c r="D1560" s="460">
        <v>1</v>
      </c>
      <c r="E1560" s="460">
        <v>1</v>
      </c>
      <c r="G1560" s="1798" t="s">
        <v>52</v>
      </c>
      <c r="H1560" s="1783" t="s">
        <v>1239</v>
      </c>
      <c r="I1560" s="1750" t="s">
        <v>8535</v>
      </c>
      <c r="J1560" s="1785" t="s">
        <v>791</v>
      </c>
      <c r="K1560" s="1786" t="s">
        <v>788</v>
      </c>
      <c r="L1560" s="1787">
        <v>65.400000000000006</v>
      </c>
      <c r="M1560" s="1787">
        <v>23.240000000000002</v>
      </c>
      <c r="N1560" s="1754">
        <v>1519.896</v>
      </c>
      <c r="O1560" s="1788" t="s">
        <v>3252</v>
      </c>
      <c r="P1560" s="1721" t="s">
        <v>9611</v>
      </c>
    </row>
    <row r="1561" spans="1:16" ht="13.5" hidden="1" customHeight="1" outlineLevel="2" x14ac:dyDescent="0.2">
      <c r="A1561" s="459">
        <v>0</v>
      </c>
      <c r="B1561" s="459">
        <v>18</v>
      </c>
      <c r="C1561" s="459">
        <v>14</v>
      </c>
      <c r="D1561" s="460">
        <v>2</v>
      </c>
      <c r="E1561" s="460">
        <v>0</v>
      </c>
      <c r="G1561" s="1797"/>
      <c r="H1561" s="1777" t="s">
        <v>1238</v>
      </c>
      <c r="I1561" s="1742" t="s">
        <v>8536</v>
      </c>
      <c r="J1561" s="1779" t="s">
        <v>29</v>
      </c>
      <c r="K1561" s="1780"/>
      <c r="L1561" s="1781"/>
      <c r="M1561" s="1781"/>
      <c r="N1561" s="1746">
        <v>49502.815000224298</v>
      </c>
      <c r="O1561" s="1782"/>
      <c r="P1561" s="1720"/>
    </row>
    <row r="1562" spans="1:16" ht="13.5" hidden="1" customHeight="1" outlineLevel="3" x14ac:dyDescent="0.2">
      <c r="A1562" s="459">
        <v>0</v>
      </c>
      <c r="B1562" s="459">
        <v>18</v>
      </c>
      <c r="C1562" s="459">
        <v>14</v>
      </c>
      <c r="D1562" s="460">
        <v>2</v>
      </c>
      <c r="E1562" s="460">
        <v>1</v>
      </c>
      <c r="G1562" s="1798" t="s">
        <v>52</v>
      </c>
      <c r="H1562" s="1783" t="s">
        <v>1239</v>
      </c>
      <c r="I1562" s="1750" t="s">
        <v>8537</v>
      </c>
      <c r="J1562" s="1785" t="s">
        <v>3247</v>
      </c>
      <c r="K1562" s="1786" t="s">
        <v>642</v>
      </c>
      <c r="L1562" s="1787">
        <v>20.740000000000002</v>
      </c>
      <c r="M1562" s="1787">
        <v>1906.3139681515586</v>
      </c>
      <c r="N1562" s="1754">
        <v>39536.951699463301</v>
      </c>
      <c r="O1562" s="1788" t="s">
        <v>3252</v>
      </c>
      <c r="P1562" s="1721" t="s">
        <v>9611</v>
      </c>
    </row>
    <row r="1563" spans="1:16" ht="13.5" hidden="1" customHeight="1" outlineLevel="3" x14ac:dyDescent="0.2">
      <c r="A1563" s="459">
        <v>0</v>
      </c>
      <c r="B1563" s="459">
        <v>18</v>
      </c>
      <c r="C1563" s="459">
        <v>14</v>
      </c>
      <c r="D1563" s="460">
        <v>2</v>
      </c>
      <c r="E1563" s="460">
        <v>2</v>
      </c>
      <c r="G1563" s="1798" t="s">
        <v>52</v>
      </c>
      <c r="H1563" s="1783" t="s">
        <v>1239</v>
      </c>
      <c r="I1563" s="1750" t="s">
        <v>8538</v>
      </c>
      <c r="J1563" s="1785" t="s">
        <v>3248</v>
      </c>
      <c r="K1563" s="1786" t="s">
        <v>642</v>
      </c>
      <c r="L1563" s="1787">
        <v>3.7600000000000007</v>
      </c>
      <c r="M1563" s="1787">
        <v>2650.4955587130289</v>
      </c>
      <c r="N1563" s="1754">
        <v>9965.8633007609897</v>
      </c>
      <c r="O1563" s="1788" t="s">
        <v>3252</v>
      </c>
      <c r="P1563" s="1721" t="s">
        <v>9611</v>
      </c>
    </row>
    <row r="1564" spans="1:16" ht="13.5" hidden="1" customHeight="1" outlineLevel="1" x14ac:dyDescent="0.2">
      <c r="A1564" s="459">
        <v>0</v>
      </c>
      <c r="B1564" s="459">
        <v>18</v>
      </c>
      <c r="C1564" s="459">
        <v>15</v>
      </c>
      <c r="D1564" s="460">
        <v>0</v>
      </c>
      <c r="E1564" s="460">
        <v>2</v>
      </c>
      <c r="G1564" s="1796"/>
      <c r="H1564" s="1771" t="s">
        <v>39</v>
      </c>
      <c r="I1564" s="1735" t="s">
        <v>8539</v>
      </c>
      <c r="J1564" s="1773" t="s">
        <v>5522</v>
      </c>
      <c r="K1564" s="1774"/>
      <c r="L1564" s="1775"/>
      <c r="M1564" s="1775"/>
      <c r="N1564" s="1739">
        <v>23283.38</v>
      </c>
      <c r="O1564" s="1776">
        <v>1.39007992396268</v>
      </c>
      <c r="P1564" s="1719"/>
    </row>
    <row r="1565" spans="1:16" ht="12.75" hidden="1" customHeight="1" outlineLevel="2" x14ac:dyDescent="0.2">
      <c r="A1565" s="459">
        <v>0</v>
      </c>
      <c r="B1565" s="459">
        <v>18</v>
      </c>
      <c r="C1565" s="459">
        <v>15</v>
      </c>
      <c r="D1565" s="460">
        <v>1</v>
      </c>
      <c r="E1565" s="460">
        <v>0</v>
      </c>
      <c r="G1565" s="1797"/>
      <c r="H1565" s="1777" t="s">
        <v>1238</v>
      </c>
      <c r="I1565" s="1742" t="s">
        <v>8540</v>
      </c>
      <c r="J1565" s="1779" t="s">
        <v>2746</v>
      </c>
      <c r="K1565" s="1780"/>
      <c r="L1565" s="1781"/>
      <c r="M1565" s="1781"/>
      <c r="N1565" s="1746">
        <v>20883.38</v>
      </c>
      <c r="O1565" s="1782"/>
      <c r="P1565" s="1720"/>
    </row>
    <row r="1566" spans="1:16" ht="12.75" hidden="1" customHeight="1" outlineLevel="3" x14ac:dyDescent="0.2">
      <c r="A1566" s="459">
        <v>0</v>
      </c>
      <c r="B1566" s="459">
        <v>18</v>
      </c>
      <c r="C1566" s="459">
        <v>15</v>
      </c>
      <c r="D1566" s="460">
        <v>1</v>
      </c>
      <c r="E1566" s="460">
        <v>1</v>
      </c>
      <c r="G1566" s="1798" t="s">
        <v>52</v>
      </c>
      <c r="H1566" s="1783" t="s">
        <v>1239</v>
      </c>
      <c r="I1566" s="1750" t="s">
        <v>8541</v>
      </c>
      <c r="J1566" s="1785" t="s">
        <v>817</v>
      </c>
      <c r="K1566" s="1786" t="s">
        <v>534</v>
      </c>
      <c r="L1566" s="1787">
        <v>1</v>
      </c>
      <c r="M1566" s="1787">
        <v>2306.36</v>
      </c>
      <c r="N1566" s="1754">
        <v>2306.36</v>
      </c>
      <c r="O1566" s="1788" t="s">
        <v>3252</v>
      </c>
      <c r="P1566" s="1721" t="s">
        <v>9611</v>
      </c>
    </row>
    <row r="1567" spans="1:16" ht="13.5" hidden="1" customHeight="1" outlineLevel="3" x14ac:dyDescent="0.2">
      <c r="A1567" s="459">
        <v>0</v>
      </c>
      <c r="B1567" s="459">
        <v>18</v>
      </c>
      <c r="C1567" s="459">
        <v>15</v>
      </c>
      <c r="D1567" s="460">
        <v>1</v>
      </c>
      <c r="E1567" s="460">
        <v>2</v>
      </c>
      <c r="G1567" s="1798" t="s">
        <v>52</v>
      </c>
      <c r="H1567" s="1783" t="s">
        <v>1239</v>
      </c>
      <c r="I1567" s="1750" t="s">
        <v>8542</v>
      </c>
      <c r="J1567" s="1785" t="s">
        <v>819</v>
      </c>
      <c r="K1567" s="1786" t="s">
        <v>534</v>
      </c>
      <c r="L1567" s="1787">
        <v>7</v>
      </c>
      <c r="M1567" s="1787">
        <v>2653.86</v>
      </c>
      <c r="N1567" s="1754">
        <v>18577.02</v>
      </c>
      <c r="O1567" s="1788" t="s">
        <v>3252</v>
      </c>
      <c r="P1567" s="1721" t="s">
        <v>9611</v>
      </c>
    </row>
    <row r="1568" spans="1:16" ht="13.5" hidden="1" customHeight="1" outlineLevel="2" x14ac:dyDescent="0.2">
      <c r="A1568" s="459">
        <v>0</v>
      </c>
      <c r="B1568" s="459">
        <v>18</v>
      </c>
      <c r="C1568" s="459">
        <v>15</v>
      </c>
      <c r="D1568" s="460">
        <v>2</v>
      </c>
      <c r="E1568" s="460">
        <v>0</v>
      </c>
      <c r="G1568" s="1797"/>
      <c r="H1568" s="1777" t="s">
        <v>1238</v>
      </c>
      <c r="I1568" s="1742" t="s">
        <v>8543</v>
      </c>
      <c r="J1568" s="1779" t="s">
        <v>15</v>
      </c>
      <c r="K1568" s="1780"/>
      <c r="L1568" s="1781"/>
      <c r="M1568" s="1781"/>
      <c r="N1568" s="1746">
        <v>2400</v>
      </c>
      <c r="O1568" s="1782"/>
      <c r="P1568" s="1720"/>
    </row>
    <row r="1569" spans="1:16" ht="13.5" hidden="1" customHeight="1" outlineLevel="3" x14ac:dyDescent="0.2">
      <c r="A1569" s="459">
        <v>0</v>
      </c>
      <c r="B1569" s="459">
        <v>18</v>
      </c>
      <c r="C1569" s="459">
        <v>15</v>
      </c>
      <c r="D1569" s="460">
        <v>2</v>
      </c>
      <c r="E1569" s="460">
        <v>1</v>
      </c>
      <c r="G1569" s="1798" t="s">
        <v>52</v>
      </c>
      <c r="H1569" s="1783" t="s">
        <v>1239</v>
      </c>
      <c r="I1569" s="1750" t="s">
        <v>8544</v>
      </c>
      <c r="J1569" s="1785" t="s">
        <v>846</v>
      </c>
      <c r="K1569" s="1786" t="s">
        <v>534</v>
      </c>
      <c r="L1569" s="1787">
        <v>8</v>
      </c>
      <c r="M1569" s="1787">
        <v>300</v>
      </c>
      <c r="N1569" s="1754">
        <v>2400</v>
      </c>
      <c r="O1569" s="1788" t="s">
        <v>3252</v>
      </c>
      <c r="P1569" s="1721" t="s">
        <v>9611</v>
      </c>
    </row>
    <row r="1570" spans="1:16" ht="13.5" hidden="1" customHeight="1" outlineLevel="1" x14ac:dyDescent="0.2">
      <c r="A1570" s="459">
        <v>0</v>
      </c>
      <c r="B1570" s="459">
        <v>18</v>
      </c>
      <c r="C1570" s="459">
        <v>16</v>
      </c>
      <c r="D1570" s="460">
        <v>0</v>
      </c>
      <c r="E1570" s="460">
        <v>1</v>
      </c>
      <c r="G1570" s="1796"/>
      <c r="H1570" s="1771" t="s">
        <v>39</v>
      </c>
      <c r="I1570" s="1735" t="s">
        <v>8545</v>
      </c>
      <c r="J1570" s="1773" t="s">
        <v>5523</v>
      </c>
      <c r="K1570" s="1774"/>
      <c r="L1570" s="1775"/>
      <c r="M1570" s="1775"/>
      <c r="N1570" s="1739">
        <v>16680.66</v>
      </c>
      <c r="O1570" s="1776">
        <v>0.995879918828251</v>
      </c>
      <c r="P1570" s="1719"/>
    </row>
    <row r="1571" spans="1:16" ht="12.75" hidden="1" customHeight="1" outlineLevel="2" x14ac:dyDescent="0.2">
      <c r="A1571" s="459">
        <v>0</v>
      </c>
      <c r="B1571" s="459">
        <v>18</v>
      </c>
      <c r="C1571" s="459">
        <v>16</v>
      </c>
      <c r="D1571" s="460">
        <v>1</v>
      </c>
      <c r="E1571" s="460">
        <v>0</v>
      </c>
      <c r="G1571" s="1797"/>
      <c r="H1571" s="1777" t="s">
        <v>1238</v>
      </c>
      <c r="I1571" s="1742" t="s">
        <v>8546</v>
      </c>
      <c r="J1571" s="1779" t="s">
        <v>2746</v>
      </c>
      <c r="K1571" s="1780"/>
      <c r="L1571" s="1781"/>
      <c r="M1571" s="1781"/>
      <c r="N1571" s="1746">
        <v>14880.66</v>
      </c>
      <c r="O1571" s="1782"/>
      <c r="P1571" s="1720"/>
    </row>
    <row r="1572" spans="1:16" ht="12.75" hidden="1" customHeight="1" outlineLevel="3" x14ac:dyDescent="0.2">
      <c r="A1572" s="459">
        <v>0</v>
      </c>
      <c r="B1572" s="459">
        <v>18</v>
      </c>
      <c r="C1572" s="459">
        <v>16</v>
      </c>
      <c r="D1572" s="460">
        <v>1</v>
      </c>
      <c r="E1572" s="460">
        <v>1</v>
      </c>
      <c r="G1572" s="1798" t="s">
        <v>52</v>
      </c>
      <c r="H1572" s="1783" t="s">
        <v>1239</v>
      </c>
      <c r="I1572" s="1750" t="s">
        <v>8547</v>
      </c>
      <c r="J1572" s="1785" t="s">
        <v>817</v>
      </c>
      <c r="K1572" s="1786" t="s">
        <v>534</v>
      </c>
      <c r="L1572" s="1787">
        <v>3</v>
      </c>
      <c r="M1572" s="1787">
        <v>2306.36</v>
      </c>
      <c r="N1572" s="1754">
        <v>6919.08</v>
      </c>
      <c r="O1572" s="1788" t="s">
        <v>3252</v>
      </c>
      <c r="P1572" s="1721" t="s">
        <v>9611</v>
      </c>
    </row>
    <row r="1573" spans="1:16" ht="13.5" hidden="1" customHeight="1" outlineLevel="3" x14ac:dyDescent="0.2">
      <c r="A1573" s="459">
        <v>0</v>
      </c>
      <c r="B1573" s="459">
        <v>18</v>
      </c>
      <c r="C1573" s="459">
        <v>16</v>
      </c>
      <c r="D1573" s="460">
        <v>1</v>
      </c>
      <c r="E1573" s="460">
        <v>2</v>
      </c>
      <c r="G1573" s="1798" t="s">
        <v>52</v>
      </c>
      <c r="H1573" s="1783" t="s">
        <v>1239</v>
      </c>
      <c r="I1573" s="1750" t="s">
        <v>8548</v>
      </c>
      <c r="J1573" s="1785" t="s">
        <v>819</v>
      </c>
      <c r="K1573" s="1786" t="s">
        <v>534</v>
      </c>
      <c r="L1573" s="1787">
        <v>3</v>
      </c>
      <c r="M1573" s="1787">
        <v>2653.86</v>
      </c>
      <c r="N1573" s="1754">
        <v>7961.58</v>
      </c>
      <c r="O1573" s="1788" t="s">
        <v>3252</v>
      </c>
      <c r="P1573" s="1721" t="s">
        <v>9611</v>
      </c>
    </row>
    <row r="1574" spans="1:16" ht="13.5" hidden="1" customHeight="1" outlineLevel="2" x14ac:dyDescent="0.2">
      <c r="A1574" s="459">
        <v>0</v>
      </c>
      <c r="B1574" s="459">
        <v>18</v>
      </c>
      <c r="C1574" s="459">
        <v>16</v>
      </c>
      <c r="D1574" s="460">
        <v>2</v>
      </c>
      <c r="E1574" s="460">
        <v>0</v>
      </c>
      <c r="G1574" s="1797"/>
      <c r="H1574" s="1777" t="s">
        <v>1238</v>
      </c>
      <c r="I1574" s="1742" t="s">
        <v>8549</v>
      </c>
      <c r="J1574" s="1779" t="s">
        <v>15</v>
      </c>
      <c r="K1574" s="1780"/>
      <c r="L1574" s="1781"/>
      <c r="M1574" s="1781"/>
      <c r="N1574" s="1746">
        <v>1800</v>
      </c>
      <c r="O1574" s="1782"/>
      <c r="P1574" s="1720"/>
    </row>
    <row r="1575" spans="1:16" ht="13.5" hidden="1" customHeight="1" outlineLevel="3" x14ac:dyDescent="0.2">
      <c r="A1575" s="459">
        <v>0</v>
      </c>
      <c r="B1575" s="459">
        <v>18</v>
      </c>
      <c r="C1575" s="459">
        <v>16</v>
      </c>
      <c r="D1575" s="460">
        <v>2</v>
      </c>
      <c r="E1575" s="460">
        <v>1</v>
      </c>
      <c r="G1575" s="1798" t="s">
        <v>52</v>
      </c>
      <c r="H1575" s="1783" t="s">
        <v>1239</v>
      </c>
      <c r="I1575" s="1750" t="s">
        <v>8550</v>
      </c>
      <c r="J1575" s="1785" t="s">
        <v>846</v>
      </c>
      <c r="K1575" s="1786" t="s">
        <v>534</v>
      </c>
      <c r="L1575" s="1787">
        <v>6</v>
      </c>
      <c r="M1575" s="1787">
        <v>300</v>
      </c>
      <c r="N1575" s="1754">
        <v>1800</v>
      </c>
      <c r="O1575" s="1788" t="s">
        <v>3252</v>
      </c>
      <c r="P1575" s="1721" t="s">
        <v>9611</v>
      </c>
    </row>
    <row r="1576" spans="1:16" ht="13.5" hidden="1" customHeight="1" outlineLevel="1" x14ac:dyDescent="0.2">
      <c r="A1576" s="459">
        <v>0</v>
      </c>
      <c r="B1576" s="459">
        <v>18</v>
      </c>
      <c r="C1576" s="459">
        <v>17</v>
      </c>
      <c r="D1576" s="460">
        <v>0</v>
      </c>
      <c r="E1576" s="460">
        <v>1</v>
      </c>
      <c r="G1576" s="1796"/>
      <c r="H1576" s="1771" t="s">
        <v>39</v>
      </c>
      <c r="I1576" s="1735" t="s">
        <v>8551</v>
      </c>
      <c r="J1576" s="1773" t="s">
        <v>5524</v>
      </c>
      <c r="K1576" s="1774"/>
      <c r="L1576" s="1775"/>
      <c r="M1576" s="1775"/>
      <c r="N1576" s="1739">
        <v>20329.52</v>
      </c>
      <c r="O1576" s="1776">
        <v>1.21372659879269</v>
      </c>
      <c r="P1576" s="1719"/>
    </row>
    <row r="1577" spans="1:16" ht="12.75" hidden="1" customHeight="1" outlineLevel="2" x14ac:dyDescent="0.2">
      <c r="A1577" s="459">
        <v>0</v>
      </c>
      <c r="B1577" s="459">
        <v>18</v>
      </c>
      <c r="C1577" s="459">
        <v>17</v>
      </c>
      <c r="D1577" s="460">
        <v>1</v>
      </c>
      <c r="E1577" s="460">
        <v>0</v>
      </c>
      <c r="G1577" s="1797"/>
      <c r="H1577" s="1777" t="s">
        <v>1238</v>
      </c>
      <c r="I1577" s="1742" t="s">
        <v>8552</v>
      </c>
      <c r="J1577" s="1779" t="s">
        <v>2746</v>
      </c>
      <c r="K1577" s="1780"/>
      <c r="L1577" s="1781"/>
      <c r="M1577" s="1781"/>
      <c r="N1577" s="1746">
        <v>18229.52</v>
      </c>
      <c r="O1577" s="1782"/>
      <c r="P1577" s="1720"/>
    </row>
    <row r="1578" spans="1:16" ht="12.75" hidden="1" customHeight="1" outlineLevel="3" x14ac:dyDescent="0.2">
      <c r="A1578" s="459">
        <v>0</v>
      </c>
      <c r="B1578" s="459">
        <v>18</v>
      </c>
      <c r="C1578" s="459">
        <v>17</v>
      </c>
      <c r="D1578" s="460">
        <v>1</v>
      </c>
      <c r="E1578" s="460">
        <v>1</v>
      </c>
      <c r="G1578" s="1798" t="s">
        <v>52</v>
      </c>
      <c r="H1578" s="1783" t="s">
        <v>1239</v>
      </c>
      <c r="I1578" s="1750" t="s">
        <v>8553</v>
      </c>
      <c r="J1578" s="1785" t="s">
        <v>817</v>
      </c>
      <c r="K1578" s="1786" t="s">
        <v>534</v>
      </c>
      <c r="L1578" s="1787">
        <v>1</v>
      </c>
      <c r="M1578" s="1787">
        <v>2306.36</v>
      </c>
      <c r="N1578" s="1754">
        <v>2306.36</v>
      </c>
      <c r="O1578" s="1788" t="s">
        <v>3252</v>
      </c>
      <c r="P1578" s="1721" t="s">
        <v>9611</v>
      </c>
    </row>
    <row r="1579" spans="1:16" ht="13.5" hidden="1" customHeight="1" outlineLevel="3" x14ac:dyDescent="0.2">
      <c r="A1579" s="459">
        <v>0</v>
      </c>
      <c r="B1579" s="459">
        <v>18</v>
      </c>
      <c r="C1579" s="459">
        <v>17</v>
      </c>
      <c r="D1579" s="460">
        <v>1</v>
      </c>
      <c r="E1579" s="460">
        <v>2</v>
      </c>
      <c r="G1579" s="1798" t="s">
        <v>52</v>
      </c>
      <c r="H1579" s="1783" t="s">
        <v>1239</v>
      </c>
      <c r="I1579" s="1750" t="s">
        <v>8554</v>
      </c>
      <c r="J1579" s="1785" t="s">
        <v>819</v>
      </c>
      <c r="K1579" s="1786" t="s">
        <v>534</v>
      </c>
      <c r="L1579" s="1787">
        <v>6</v>
      </c>
      <c r="M1579" s="1787">
        <v>2653.86</v>
      </c>
      <c r="N1579" s="1754">
        <v>15923.16</v>
      </c>
      <c r="O1579" s="1788" t="s">
        <v>3252</v>
      </c>
      <c r="P1579" s="1721" t="s">
        <v>9611</v>
      </c>
    </row>
    <row r="1580" spans="1:16" ht="13.5" hidden="1" customHeight="1" outlineLevel="2" x14ac:dyDescent="0.2">
      <c r="A1580" s="459">
        <v>0</v>
      </c>
      <c r="B1580" s="459">
        <v>18</v>
      </c>
      <c r="C1580" s="459">
        <v>17</v>
      </c>
      <c r="D1580" s="460">
        <v>2</v>
      </c>
      <c r="E1580" s="460">
        <v>0</v>
      </c>
      <c r="G1580" s="1797"/>
      <c r="H1580" s="1777" t="s">
        <v>1238</v>
      </c>
      <c r="I1580" s="1742" t="s">
        <v>8555</v>
      </c>
      <c r="J1580" s="1779" t="s">
        <v>15</v>
      </c>
      <c r="K1580" s="1780"/>
      <c r="L1580" s="1781"/>
      <c r="M1580" s="1781"/>
      <c r="N1580" s="1746">
        <v>2100</v>
      </c>
      <c r="O1580" s="1782"/>
      <c r="P1580" s="1720"/>
    </row>
    <row r="1581" spans="1:16" ht="13.5" hidden="1" customHeight="1" outlineLevel="3" x14ac:dyDescent="0.2">
      <c r="A1581" s="459">
        <v>0</v>
      </c>
      <c r="B1581" s="459">
        <v>18</v>
      </c>
      <c r="C1581" s="459">
        <v>17</v>
      </c>
      <c r="D1581" s="460">
        <v>2</v>
      </c>
      <c r="E1581" s="460">
        <v>1</v>
      </c>
      <c r="G1581" s="1798" t="s">
        <v>52</v>
      </c>
      <c r="H1581" s="1783" t="s">
        <v>1239</v>
      </c>
      <c r="I1581" s="1750" t="s">
        <v>8556</v>
      </c>
      <c r="J1581" s="1785" t="s">
        <v>846</v>
      </c>
      <c r="K1581" s="1786" t="s">
        <v>534</v>
      </c>
      <c r="L1581" s="1787">
        <v>7</v>
      </c>
      <c r="M1581" s="1787">
        <v>300</v>
      </c>
      <c r="N1581" s="1754">
        <v>2100</v>
      </c>
      <c r="O1581" s="1788" t="s">
        <v>3252</v>
      </c>
      <c r="P1581" s="1721" t="s">
        <v>9611</v>
      </c>
    </row>
    <row r="1582" spans="1:16" ht="13.5" hidden="1" customHeight="1" outlineLevel="1" x14ac:dyDescent="0.2">
      <c r="A1582" s="459">
        <v>0</v>
      </c>
      <c r="B1582" s="459">
        <v>18</v>
      </c>
      <c r="C1582" s="459">
        <v>18</v>
      </c>
      <c r="D1582" s="460">
        <v>0</v>
      </c>
      <c r="E1582" s="460">
        <v>1</v>
      </c>
      <c r="G1582" s="1796"/>
      <c r="H1582" s="1771" t="s">
        <v>39</v>
      </c>
      <c r="I1582" s="1735" t="s">
        <v>8557</v>
      </c>
      <c r="J1582" s="1773" t="s">
        <v>5525</v>
      </c>
      <c r="K1582" s="1774"/>
      <c r="L1582" s="1775"/>
      <c r="M1582" s="1775"/>
      <c r="N1582" s="1739">
        <v>39767.32</v>
      </c>
      <c r="O1582" s="1776">
        <v>2.3742151337906998</v>
      </c>
      <c r="P1582" s="1719"/>
    </row>
    <row r="1583" spans="1:16" ht="12.75" hidden="1" customHeight="1" outlineLevel="2" x14ac:dyDescent="0.2">
      <c r="A1583" s="459">
        <v>0</v>
      </c>
      <c r="B1583" s="459">
        <v>18</v>
      </c>
      <c r="C1583" s="459">
        <v>18</v>
      </c>
      <c r="D1583" s="460">
        <v>1</v>
      </c>
      <c r="E1583" s="460">
        <v>0</v>
      </c>
      <c r="G1583" s="1797"/>
      <c r="H1583" s="1777" t="s">
        <v>1238</v>
      </c>
      <c r="I1583" s="1742" t="s">
        <v>8558</v>
      </c>
      <c r="J1583" s="1779" t="s">
        <v>2746</v>
      </c>
      <c r="K1583" s="1780"/>
      <c r="L1583" s="1781"/>
      <c r="M1583" s="1781"/>
      <c r="N1583" s="1746">
        <v>32984.04</v>
      </c>
      <c r="O1583" s="1782"/>
      <c r="P1583" s="1720"/>
    </row>
    <row r="1584" spans="1:16" ht="12.75" hidden="1" customHeight="1" outlineLevel="3" x14ac:dyDescent="0.2">
      <c r="A1584" s="459">
        <v>0</v>
      </c>
      <c r="B1584" s="459">
        <v>18</v>
      </c>
      <c r="C1584" s="459">
        <v>18</v>
      </c>
      <c r="D1584" s="460">
        <v>1</v>
      </c>
      <c r="E1584" s="460">
        <v>1</v>
      </c>
      <c r="G1584" s="1798" t="s">
        <v>52</v>
      </c>
      <c r="H1584" s="1783" t="s">
        <v>1239</v>
      </c>
      <c r="I1584" s="1750" t="s">
        <v>8559</v>
      </c>
      <c r="J1584" s="1785" t="s">
        <v>809</v>
      </c>
      <c r="K1584" s="1786" t="s">
        <v>534</v>
      </c>
      <c r="L1584" s="1787">
        <v>7</v>
      </c>
      <c r="M1584" s="1787">
        <v>2306.36</v>
      </c>
      <c r="N1584" s="1754">
        <v>16144.52</v>
      </c>
      <c r="O1584" s="1788" t="s">
        <v>3252</v>
      </c>
      <c r="P1584" s="1721" t="s">
        <v>9611</v>
      </c>
    </row>
    <row r="1585" spans="1:16" ht="12.75" hidden="1" customHeight="1" outlineLevel="3" x14ac:dyDescent="0.2">
      <c r="A1585" s="459">
        <v>0</v>
      </c>
      <c r="B1585" s="459">
        <v>18</v>
      </c>
      <c r="C1585" s="459">
        <v>18</v>
      </c>
      <c r="D1585" s="460">
        <v>1</v>
      </c>
      <c r="E1585" s="460">
        <v>2</v>
      </c>
      <c r="G1585" s="1798" t="s">
        <v>52</v>
      </c>
      <c r="H1585" s="1783" t="s">
        <v>1239</v>
      </c>
      <c r="I1585" s="1750" t="s">
        <v>8560</v>
      </c>
      <c r="J1585" s="1785" t="s">
        <v>817</v>
      </c>
      <c r="K1585" s="1786" t="s">
        <v>534</v>
      </c>
      <c r="L1585" s="1787">
        <v>5</v>
      </c>
      <c r="M1585" s="1787">
        <v>2306.36</v>
      </c>
      <c r="N1585" s="1754">
        <v>11531.8</v>
      </c>
      <c r="O1585" s="1788" t="s">
        <v>3252</v>
      </c>
      <c r="P1585" s="1721" t="s">
        <v>9611</v>
      </c>
    </row>
    <row r="1586" spans="1:16" ht="13.5" hidden="1" customHeight="1" outlineLevel="3" x14ac:dyDescent="0.2">
      <c r="A1586" s="459">
        <v>0</v>
      </c>
      <c r="B1586" s="459">
        <v>18</v>
      </c>
      <c r="C1586" s="459">
        <v>18</v>
      </c>
      <c r="D1586" s="460">
        <v>1</v>
      </c>
      <c r="E1586" s="460">
        <v>3</v>
      </c>
      <c r="G1586" s="1798" t="s">
        <v>52</v>
      </c>
      <c r="H1586" s="1783" t="s">
        <v>1239</v>
      </c>
      <c r="I1586" s="1750" t="s">
        <v>8561</v>
      </c>
      <c r="J1586" s="1785" t="s">
        <v>819</v>
      </c>
      <c r="K1586" s="1786" t="s">
        <v>534</v>
      </c>
      <c r="L1586" s="1787">
        <v>2</v>
      </c>
      <c r="M1586" s="1787">
        <v>2653.86</v>
      </c>
      <c r="N1586" s="1754">
        <v>5307.72</v>
      </c>
      <c r="O1586" s="1788" t="s">
        <v>3252</v>
      </c>
      <c r="P1586" s="1721" t="s">
        <v>9611</v>
      </c>
    </row>
    <row r="1587" spans="1:16" ht="13.5" hidden="1" customHeight="1" outlineLevel="2" x14ac:dyDescent="0.2">
      <c r="A1587" s="459">
        <v>0</v>
      </c>
      <c r="B1587" s="459">
        <v>18</v>
      </c>
      <c r="C1587" s="459">
        <v>18</v>
      </c>
      <c r="D1587" s="460">
        <v>2</v>
      </c>
      <c r="E1587" s="460">
        <v>0</v>
      </c>
      <c r="G1587" s="1797"/>
      <c r="H1587" s="1777" t="s">
        <v>1238</v>
      </c>
      <c r="I1587" s="1742" t="s">
        <v>8562</v>
      </c>
      <c r="J1587" s="1779" t="s">
        <v>2820</v>
      </c>
      <c r="K1587" s="1780"/>
      <c r="L1587" s="1781"/>
      <c r="M1587" s="1781"/>
      <c r="N1587" s="1746">
        <v>2583.2800000000002</v>
      </c>
      <c r="O1587" s="1782"/>
      <c r="P1587" s="1720"/>
    </row>
    <row r="1588" spans="1:16" ht="13.5" hidden="1" customHeight="1" outlineLevel="3" x14ac:dyDescent="0.2">
      <c r="A1588" s="459">
        <v>0</v>
      </c>
      <c r="B1588" s="459">
        <v>18</v>
      </c>
      <c r="C1588" s="459">
        <v>18</v>
      </c>
      <c r="D1588" s="460">
        <v>2</v>
      </c>
      <c r="E1588" s="460">
        <v>1</v>
      </c>
      <c r="G1588" s="1798" t="s">
        <v>52</v>
      </c>
      <c r="H1588" s="1783" t="s">
        <v>1239</v>
      </c>
      <c r="I1588" s="1750" t="s">
        <v>8563</v>
      </c>
      <c r="J1588" s="1785" t="s">
        <v>1266</v>
      </c>
      <c r="K1588" s="1786" t="s">
        <v>534</v>
      </c>
      <c r="L1588" s="1787">
        <v>2</v>
      </c>
      <c r="M1588" s="1787">
        <v>1291.6400000000001</v>
      </c>
      <c r="N1588" s="1754">
        <v>2583.2800000000002</v>
      </c>
      <c r="O1588" s="1788" t="s">
        <v>3258</v>
      </c>
      <c r="P1588" s="1721" t="s">
        <v>9611</v>
      </c>
    </row>
    <row r="1589" spans="1:16" ht="13.5" hidden="1" customHeight="1" outlineLevel="2" x14ac:dyDescent="0.2">
      <c r="A1589" s="459">
        <v>0</v>
      </c>
      <c r="B1589" s="459">
        <v>18</v>
      </c>
      <c r="C1589" s="459">
        <v>18</v>
      </c>
      <c r="D1589" s="460">
        <v>3</v>
      </c>
      <c r="E1589" s="460">
        <v>0</v>
      </c>
      <c r="G1589" s="1797"/>
      <c r="H1589" s="1777" t="s">
        <v>1238</v>
      </c>
      <c r="I1589" s="1742" t="s">
        <v>8564</v>
      </c>
      <c r="J1589" s="1779" t="s">
        <v>15</v>
      </c>
      <c r="K1589" s="1780"/>
      <c r="L1589" s="1781"/>
      <c r="M1589" s="1781"/>
      <c r="N1589" s="1746">
        <v>4200</v>
      </c>
      <c r="O1589" s="1782"/>
      <c r="P1589" s="1720"/>
    </row>
    <row r="1590" spans="1:16" ht="13.5" hidden="1" customHeight="1" outlineLevel="3" x14ac:dyDescent="0.2">
      <c r="A1590" s="459">
        <v>0</v>
      </c>
      <c r="B1590" s="459">
        <v>18</v>
      </c>
      <c r="C1590" s="459">
        <v>18</v>
      </c>
      <c r="D1590" s="460">
        <v>3</v>
      </c>
      <c r="E1590" s="460">
        <v>1</v>
      </c>
      <c r="G1590" s="1798" t="s">
        <v>52</v>
      </c>
      <c r="H1590" s="1783" t="s">
        <v>1239</v>
      </c>
      <c r="I1590" s="1750" t="s">
        <v>8565</v>
      </c>
      <c r="J1590" s="1785" t="s">
        <v>846</v>
      </c>
      <c r="K1590" s="1786" t="s">
        <v>534</v>
      </c>
      <c r="L1590" s="1787">
        <v>14</v>
      </c>
      <c r="M1590" s="1787">
        <v>300</v>
      </c>
      <c r="N1590" s="1754">
        <v>4200</v>
      </c>
      <c r="O1590" s="1788" t="s">
        <v>3252</v>
      </c>
      <c r="P1590" s="1721" t="s">
        <v>9611</v>
      </c>
    </row>
    <row r="1591" spans="1:16" ht="13.5" hidden="1" customHeight="1" outlineLevel="1" x14ac:dyDescent="0.2">
      <c r="A1591" s="459">
        <v>0</v>
      </c>
      <c r="B1591" s="459">
        <v>18</v>
      </c>
      <c r="C1591" s="459">
        <v>19</v>
      </c>
      <c r="D1591" s="460">
        <v>0</v>
      </c>
      <c r="E1591" s="460">
        <v>1</v>
      </c>
      <c r="G1591" s="1796"/>
      <c r="H1591" s="1771" t="s">
        <v>39</v>
      </c>
      <c r="I1591" s="1735" t="s">
        <v>8566</v>
      </c>
      <c r="J1591" s="1773" t="s">
        <v>5526</v>
      </c>
      <c r="K1591" s="1774"/>
      <c r="L1591" s="1775"/>
      <c r="M1591" s="1775"/>
      <c r="N1591" s="1739">
        <v>318138.56</v>
      </c>
      <c r="O1591" s="1776">
        <v>18.993721070325599</v>
      </c>
      <c r="P1591" s="1719"/>
    </row>
    <row r="1592" spans="1:16" ht="12.75" hidden="1" customHeight="1" outlineLevel="2" x14ac:dyDescent="0.2">
      <c r="A1592" s="459">
        <v>0</v>
      </c>
      <c r="B1592" s="459">
        <v>18</v>
      </c>
      <c r="C1592" s="459">
        <v>19</v>
      </c>
      <c r="D1592" s="460">
        <v>1</v>
      </c>
      <c r="E1592" s="460">
        <v>0</v>
      </c>
      <c r="G1592" s="1797"/>
      <c r="H1592" s="1777" t="s">
        <v>1238</v>
      </c>
      <c r="I1592" s="1742" t="s">
        <v>8567</v>
      </c>
      <c r="J1592" s="1779" t="s">
        <v>2746</v>
      </c>
      <c r="K1592" s="1780"/>
      <c r="L1592" s="1781"/>
      <c r="M1592" s="1781"/>
      <c r="N1592" s="1746">
        <v>263872.32</v>
      </c>
      <c r="O1592" s="1782"/>
      <c r="P1592" s="1720"/>
    </row>
    <row r="1593" spans="1:16" ht="12.75" hidden="1" customHeight="1" outlineLevel="3" x14ac:dyDescent="0.2">
      <c r="A1593" s="459">
        <v>0</v>
      </c>
      <c r="B1593" s="459">
        <v>18</v>
      </c>
      <c r="C1593" s="459">
        <v>19</v>
      </c>
      <c r="D1593" s="460">
        <v>1</v>
      </c>
      <c r="E1593" s="460">
        <v>1</v>
      </c>
      <c r="G1593" s="1798" t="s">
        <v>52</v>
      </c>
      <c r="H1593" s="1783" t="s">
        <v>1239</v>
      </c>
      <c r="I1593" s="1750" t="s">
        <v>8568</v>
      </c>
      <c r="J1593" s="1785" t="s">
        <v>809</v>
      </c>
      <c r="K1593" s="1786" t="s">
        <v>534</v>
      </c>
      <c r="L1593" s="1787">
        <v>56</v>
      </c>
      <c r="M1593" s="1787">
        <v>2306.36</v>
      </c>
      <c r="N1593" s="1754">
        <v>129156.16</v>
      </c>
      <c r="O1593" s="1788" t="s">
        <v>3252</v>
      </c>
      <c r="P1593" s="1721" t="s">
        <v>9611</v>
      </c>
    </row>
    <row r="1594" spans="1:16" ht="12.75" hidden="1" customHeight="1" outlineLevel="3" x14ac:dyDescent="0.2">
      <c r="A1594" s="459">
        <v>0</v>
      </c>
      <c r="B1594" s="459">
        <v>18</v>
      </c>
      <c r="C1594" s="459">
        <v>19</v>
      </c>
      <c r="D1594" s="460">
        <v>1</v>
      </c>
      <c r="E1594" s="460">
        <v>2</v>
      </c>
      <c r="G1594" s="1798" t="s">
        <v>52</v>
      </c>
      <c r="H1594" s="1783" t="s">
        <v>1239</v>
      </c>
      <c r="I1594" s="1750" t="s">
        <v>8569</v>
      </c>
      <c r="J1594" s="1785" t="s">
        <v>817</v>
      </c>
      <c r="K1594" s="1786" t="s">
        <v>534</v>
      </c>
      <c r="L1594" s="1787">
        <v>40</v>
      </c>
      <c r="M1594" s="1787">
        <v>2306.36</v>
      </c>
      <c r="N1594" s="1754">
        <v>92254.399999999994</v>
      </c>
      <c r="O1594" s="1788" t="s">
        <v>3252</v>
      </c>
      <c r="P1594" s="1721" t="s">
        <v>9611</v>
      </c>
    </row>
    <row r="1595" spans="1:16" ht="13.5" hidden="1" customHeight="1" outlineLevel="3" x14ac:dyDescent="0.2">
      <c r="A1595" s="459">
        <v>0</v>
      </c>
      <c r="B1595" s="459">
        <v>18</v>
      </c>
      <c r="C1595" s="459">
        <v>19</v>
      </c>
      <c r="D1595" s="460">
        <v>1</v>
      </c>
      <c r="E1595" s="460">
        <v>3</v>
      </c>
      <c r="G1595" s="1798" t="s">
        <v>52</v>
      </c>
      <c r="H1595" s="1783" t="s">
        <v>1239</v>
      </c>
      <c r="I1595" s="1750" t="s">
        <v>8570</v>
      </c>
      <c r="J1595" s="1785" t="s">
        <v>819</v>
      </c>
      <c r="K1595" s="1786" t="s">
        <v>534</v>
      </c>
      <c r="L1595" s="1787">
        <v>16</v>
      </c>
      <c r="M1595" s="1787">
        <v>2653.86</v>
      </c>
      <c r="N1595" s="1754">
        <v>42461.760000000002</v>
      </c>
      <c r="O1595" s="1788" t="s">
        <v>3252</v>
      </c>
      <c r="P1595" s="1721" t="s">
        <v>9611</v>
      </c>
    </row>
    <row r="1596" spans="1:16" ht="13.5" hidden="1" customHeight="1" outlineLevel="2" x14ac:dyDescent="0.2">
      <c r="A1596" s="459">
        <v>0</v>
      </c>
      <c r="B1596" s="459">
        <v>18</v>
      </c>
      <c r="C1596" s="459">
        <v>19</v>
      </c>
      <c r="D1596" s="460">
        <v>2</v>
      </c>
      <c r="E1596" s="460">
        <v>0</v>
      </c>
      <c r="G1596" s="1797"/>
      <c r="H1596" s="1777" t="s">
        <v>1238</v>
      </c>
      <c r="I1596" s="1742" t="s">
        <v>8571</v>
      </c>
      <c r="J1596" s="1779" t="s">
        <v>2820</v>
      </c>
      <c r="K1596" s="1780"/>
      <c r="L1596" s="1781"/>
      <c r="M1596" s="1781"/>
      <c r="N1596" s="1746">
        <v>20666.240000000002</v>
      </c>
      <c r="O1596" s="1782"/>
      <c r="P1596" s="1720"/>
    </row>
    <row r="1597" spans="1:16" ht="13.5" hidden="1" customHeight="1" outlineLevel="3" x14ac:dyDescent="0.2">
      <c r="A1597" s="459">
        <v>0</v>
      </c>
      <c r="B1597" s="459">
        <v>18</v>
      </c>
      <c r="C1597" s="459">
        <v>19</v>
      </c>
      <c r="D1597" s="460">
        <v>2</v>
      </c>
      <c r="E1597" s="460">
        <v>1</v>
      </c>
      <c r="G1597" s="1798" t="s">
        <v>52</v>
      </c>
      <c r="H1597" s="1783" t="s">
        <v>1239</v>
      </c>
      <c r="I1597" s="1750" t="s">
        <v>8572</v>
      </c>
      <c r="J1597" s="1785" t="s">
        <v>1266</v>
      </c>
      <c r="K1597" s="1786" t="s">
        <v>534</v>
      </c>
      <c r="L1597" s="1787">
        <v>16</v>
      </c>
      <c r="M1597" s="1787">
        <v>1291.6400000000001</v>
      </c>
      <c r="N1597" s="1754">
        <v>20666.240000000002</v>
      </c>
      <c r="O1597" s="1788" t="s">
        <v>3258</v>
      </c>
      <c r="P1597" s="1721" t="s">
        <v>9611</v>
      </c>
    </row>
    <row r="1598" spans="1:16" ht="13.5" hidden="1" customHeight="1" outlineLevel="2" x14ac:dyDescent="0.2">
      <c r="A1598" s="459">
        <v>0</v>
      </c>
      <c r="B1598" s="459">
        <v>18</v>
      </c>
      <c r="C1598" s="459">
        <v>19</v>
      </c>
      <c r="D1598" s="460">
        <v>3</v>
      </c>
      <c r="E1598" s="460">
        <v>0</v>
      </c>
      <c r="G1598" s="1797"/>
      <c r="H1598" s="1777" t="s">
        <v>1238</v>
      </c>
      <c r="I1598" s="1742" t="s">
        <v>8573</v>
      </c>
      <c r="J1598" s="1779" t="s">
        <v>15</v>
      </c>
      <c r="K1598" s="1780"/>
      <c r="L1598" s="1781"/>
      <c r="M1598" s="1781"/>
      <c r="N1598" s="1746">
        <v>33600</v>
      </c>
      <c r="O1598" s="1782"/>
      <c r="P1598" s="1720"/>
    </row>
    <row r="1599" spans="1:16" ht="13.5" hidden="1" customHeight="1" outlineLevel="3" x14ac:dyDescent="0.2">
      <c r="A1599" s="459">
        <v>0</v>
      </c>
      <c r="B1599" s="459">
        <v>18</v>
      </c>
      <c r="C1599" s="459">
        <v>19</v>
      </c>
      <c r="D1599" s="460">
        <v>3</v>
      </c>
      <c r="E1599" s="460">
        <v>1</v>
      </c>
      <c r="G1599" s="1798" t="s">
        <v>52</v>
      </c>
      <c r="H1599" s="1783" t="s">
        <v>1239</v>
      </c>
      <c r="I1599" s="1750" t="s">
        <v>8574</v>
      </c>
      <c r="J1599" s="1785" t="s">
        <v>846</v>
      </c>
      <c r="K1599" s="1786" t="s">
        <v>534</v>
      </c>
      <c r="L1599" s="1787">
        <v>112</v>
      </c>
      <c r="M1599" s="1787">
        <v>300</v>
      </c>
      <c r="N1599" s="1754">
        <v>33600</v>
      </c>
      <c r="O1599" s="1788" t="s">
        <v>3252</v>
      </c>
      <c r="P1599" s="1721" t="s">
        <v>9611</v>
      </c>
    </row>
    <row r="1600" spans="1:16" ht="13.5" hidden="1" customHeight="1" outlineLevel="1" x14ac:dyDescent="0.2">
      <c r="A1600" s="459">
        <v>0</v>
      </c>
      <c r="B1600" s="459">
        <v>18</v>
      </c>
      <c r="C1600" s="459">
        <v>20</v>
      </c>
      <c r="D1600" s="460">
        <v>0</v>
      </c>
      <c r="E1600" s="460">
        <v>1</v>
      </c>
      <c r="G1600" s="1796"/>
      <c r="H1600" s="1771" t="s">
        <v>39</v>
      </c>
      <c r="I1600" s="1735" t="s">
        <v>8575</v>
      </c>
      <c r="J1600" s="1773" t="s">
        <v>5527</v>
      </c>
      <c r="K1600" s="1774"/>
      <c r="L1600" s="1775"/>
      <c r="M1600" s="1775"/>
      <c r="N1600" s="1739">
        <v>724140.12</v>
      </c>
      <c r="O1600" s="1776">
        <v>43.233097726701502</v>
      </c>
      <c r="P1600" s="1719"/>
    </row>
    <row r="1601" spans="1:16" ht="12.75" hidden="1" customHeight="1" outlineLevel="2" x14ac:dyDescent="0.2">
      <c r="A1601" s="459">
        <v>0</v>
      </c>
      <c r="B1601" s="459">
        <v>18</v>
      </c>
      <c r="C1601" s="459">
        <v>20</v>
      </c>
      <c r="D1601" s="460">
        <v>1</v>
      </c>
      <c r="E1601" s="460">
        <v>0</v>
      </c>
      <c r="G1601" s="1797"/>
      <c r="H1601" s="1777" t="s">
        <v>1238</v>
      </c>
      <c r="I1601" s="1742" t="s">
        <v>8576</v>
      </c>
      <c r="J1601" s="1779" t="s">
        <v>2746</v>
      </c>
      <c r="K1601" s="1780"/>
      <c r="L1601" s="1781"/>
      <c r="M1601" s="1781"/>
      <c r="N1601" s="1746">
        <v>616524.04</v>
      </c>
      <c r="O1601" s="1782"/>
      <c r="P1601" s="1720"/>
    </row>
    <row r="1602" spans="1:16" ht="12.75" hidden="1" customHeight="1" outlineLevel="3" x14ac:dyDescent="0.2">
      <c r="A1602" s="459">
        <v>0</v>
      </c>
      <c r="B1602" s="459">
        <v>18</v>
      </c>
      <c r="C1602" s="459">
        <v>20</v>
      </c>
      <c r="D1602" s="460">
        <v>1</v>
      </c>
      <c r="E1602" s="460">
        <v>1</v>
      </c>
      <c r="G1602" s="1798" t="s">
        <v>52</v>
      </c>
      <c r="H1602" s="1783" t="s">
        <v>1239</v>
      </c>
      <c r="I1602" s="1750" t="s">
        <v>8577</v>
      </c>
      <c r="J1602" s="1785" t="s">
        <v>809</v>
      </c>
      <c r="K1602" s="1786" t="s">
        <v>534</v>
      </c>
      <c r="L1602" s="1787">
        <v>132</v>
      </c>
      <c r="M1602" s="1787">
        <v>2306.36</v>
      </c>
      <c r="N1602" s="1754">
        <v>304439.52</v>
      </c>
      <c r="O1602" s="1788" t="s">
        <v>3252</v>
      </c>
      <c r="P1602" s="1721" t="s">
        <v>9611</v>
      </c>
    </row>
    <row r="1603" spans="1:16" ht="12.75" hidden="1" customHeight="1" outlineLevel="3" x14ac:dyDescent="0.2">
      <c r="A1603" s="459">
        <v>0</v>
      </c>
      <c r="B1603" s="459">
        <v>18</v>
      </c>
      <c r="C1603" s="459">
        <v>20</v>
      </c>
      <c r="D1603" s="460">
        <v>1</v>
      </c>
      <c r="E1603" s="460">
        <v>2</v>
      </c>
      <c r="G1603" s="1798" t="s">
        <v>52</v>
      </c>
      <c r="H1603" s="1783" t="s">
        <v>1239</v>
      </c>
      <c r="I1603" s="1750" t="s">
        <v>8578</v>
      </c>
      <c r="J1603" s="1785" t="s">
        <v>817</v>
      </c>
      <c r="K1603" s="1786" t="s">
        <v>534</v>
      </c>
      <c r="L1603" s="1787">
        <v>110</v>
      </c>
      <c r="M1603" s="1787">
        <v>2306.36</v>
      </c>
      <c r="N1603" s="1754">
        <v>253699.6</v>
      </c>
      <c r="O1603" s="1788" t="s">
        <v>3252</v>
      </c>
      <c r="P1603" s="1721" t="s">
        <v>9611</v>
      </c>
    </row>
    <row r="1604" spans="1:16" ht="13.5" hidden="1" customHeight="1" outlineLevel="3" x14ac:dyDescent="0.2">
      <c r="A1604" s="459">
        <v>0</v>
      </c>
      <c r="B1604" s="459">
        <v>18</v>
      </c>
      <c r="C1604" s="459">
        <v>20</v>
      </c>
      <c r="D1604" s="460">
        <v>1</v>
      </c>
      <c r="E1604" s="460">
        <v>3</v>
      </c>
      <c r="G1604" s="1798" t="s">
        <v>52</v>
      </c>
      <c r="H1604" s="1783" t="s">
        <v>1239</v>
      </c>
      <c r="I1604" s="1750" t="s">
        <v>8579</v>
      </c>
      <c r="J1604" s="1785" t="s">
        <v>819</v>
      </c>
      <c r="K1604" s="1786" t="s">
        <v>534</v>
      </c>
      <c r="L1604" s="1787">
        <v>22</v>
      </c>
      <c r="M1604" s="1787">
        <v>2653.86</v>
      </c>
      <c r="N1604" s="1754">
        <v>58384.92</v>
      </c>
      <c r="O1604" s="1788" t="s">
        <v>3252</v>
      </c>
      <c r="P1604" s="1721" t="s">
        <v>9611</v>
      </c>
    </row>
    <row r="1605" spans="1:16" ht="13.5" hidden="1" customHeight="1" outlineLevel="2" x14ac:dyDescent="0.2">
      <c r="A1605" s="459">
        <v>0</v>
      </c>
      <c r="B1605" s="459">
        <v>18</v>
      </c>
      <c r="C1605" s="459">
        <v>20</v>
      </c>
      <c r="D1605" s="460">
        <v>2</v>
      </c>
      <c r="E1605" s="460">
        <v>0</v>
      </c>
      <c r="G1605" s="1797"/>
      <c r="H1605" s="1777" t="s">
        <v>1238</v>
      </c>
      <c r="I1605" s="1742" t="s">
        <v>8580</v>
      </c>
      <c r="J1605" s="1779" t="s">
        <v>2820</v>
      </c>
      <c r="K1605" s="1780"/>
      <c r="L1605" s="1781"/>
      <c r="M1605" s="1781"/>
      <c r="N1605" s="1746">
        <v>28416.080000000002</v>
      </c>
      <c r="O1605" s="1782"/>
      <c r="P1605" s="1720"/>
    </row>
    <row r="1606" spans="1:16" ht="13.5" hidden="1" customHeight="1" outlineLevel="3" x14ac:dyDescent="0.2">
      <c r="A1606" s="459">
        <v>0</v>
      </c>
      <c r="B1606" s="459">
        <v>18</v>
      </c>
      <c r="C1606" s="459">
        <v>20</v>
      </c>
      <c r="D1606" s="460">
        <v>2</v>
      </c>
      <c r="E1606" s="460">
        <v>1</v>
      </c>
      <c r="G1606" s="1798" t="s">
        <v>52</v>
      </c>
      <c r="H1606" s="1783" t="s">
        <v>1239</v>
      </c>
      <c r="I1606" s="1750" t="s">
        <v>8581</v>
      </c>
      <c r="J1606" s="1785" t="s">
        <v>1266</v>
      </c>
      <c r="K1606" s="1786" t="s">
        <v>534</v>
      </c>
      <c r="L1606" s="1787">
        <v>22</v>
      </c>
      <c r="M1606" s="1787">
        <v>1291.6400000000001</v>
      </c>
      <c r="N1606" s="1754">
        <v>28416.080000000002</v>
      </c>
      <c r="O1606" s="1788" t="s">
        <v>3258</v>
      </c>
      <c r="P1606" s="1721" t="s">
        <v>9611</v>
      </c>
    </row>
    <row r="1607" spans="1:16" ht="13.5" hidden="1" customHeight="1" outlineLevel="2" x14ac:dyDescent="0.2">
      <c r="A1607" s="459">
        <v>0</v>
      </c>
      <c r="B1607" s="459">
        <v>18</v>
      </c>
      <c r="C1607" s="459">
        <v>20</v>
      </c>
      <c r="D1607" s="460">
        <v>3</v>
      </c>
      <c r="E1607" s="460">
        <v>0</v>
      </c>
      <c r="G1607" s="1797"/>
      <c r="H1607" s="1777" t="s">
        <v>1238</v>
      </c>
      <c r="I1607" s="1742" t="s">
        <v>8582</v>
      </c>
      <c r="J1607" s="1779" t="s">
        <v>15</v>
      </c>
      <c r="K1607" s="1780"/>
      <c r="L1607" s="1781"/>
      <c r="M1607" s="1781"/>
      <c r="N1607" s="1746">
        <v>79200</v>
      </c>
      <c r="O1607" s="1782"/>
      <c r="P1607" s="1720"/>
    </row>
    <row r="1608" spans="1:16" ht="13.5" hidden="1" customHeight="1" outlineLevel="3" x14ac:dyDescent="0.2">
      <c r="A1608" s="459">
        <v>0</v>
      </c>
      <c r="B1608" s="459">
        <v>18</v>
      </c>
      <c r="C1608" s="459">
        <v>20</v>
      </c>
      <c r="D1608" s="460">
        <v>3</v>
      </c>
      <c r="E1608" s="460">
        <v>1</v>
      </c>
      <c r="G1608" s="1798" t="s">
        <v>52</v>
      </c>
      <c r="H1608" s="1783" t="s">
        <v>1239</v>
      </c>
      <c r="I1608" s="1750" t="s">
        <v>8583</v>
      </c>
      <c r="J1608" s="1785" t="s">
        <v>846</v>
      </c>
      <c r="K1608" s="1786" t="s">
        <v>534</v>
      </c>
      <c r="L1608" s="1787">
        <v>264</v>
      </c>
      <c r="M1608" s="1787">
        <v>300</v>
      </c>
      <c r="N1608" s="1754">
        <v>79200</v>
      </c>
      <c r="O1608" s="1788" t="s">
        <v>3252</v>
      </c>
      <c r="P1608" s="1721" t="s">
        <v>9611</v>
      </c>
    </row>
    <row r="1609" spans="1:16" ht="13.5" hidden="1" customHeight="1" outlineLevel="1" x14ac:dyDescent="0.2">
      <c r="A1609" s="459">
        <v>0</v>
      </c>
      <c r="B1609" s="459">
        <v>18</v>
      </c>
      <c r="C1609" s="459">
        <v>21</v>
      </c>
      <c r="D1609" s="460">
        <v>0</v>
      </c>
      <c r="E1609" s="460">
        <v>1</v>
      </c>
      <c r="G1609" s="1796"/>
      <c r="H1609" s="1771" t="s">
        <v>39</v>
      </c>
      <c r="I1609" s="1735" t="s">
        <v>8584</v>
      </c>
      <c r="J1609" s="1773" t="s">
        <v>5528</v>
      </c>
      <c r="K1609" s="1774"/>
      <c r="L1609" s="1775"/>
      <c r="M1609" s="1775"/>
      <c r="N1609" s="1739">
        <v>45947.26</v>
      </c>
      <c r="O1609" s="1776">
        <v>2.74317404462297</v>
      </c>
      <c r="P1609" s="1719"/>
    </row>
    <row r="1610" spans="1:16" ht="12.75" hidden="1" customHeight="1" outlineLevel="2" x14ac:dyDescent="0.2">
      <c r="A1610" s="459">
        <v>0</v>
      </c>
      <c r="B1610" s="459">
        <v>18</v>
      </c>
      <c r="C1610" s="459">
        <v>21</v>
      </c>
      <c r="D1610" s="460">
        <v>1</v>
      </c>
      <c r="E1610" s="460">
        <v>0</v>
      </c>
      <c r="G1610" s="1797"/>
      <c r="H1610" s="1777" t="s">
        <v>1238</v>
      </c>
      <c r="I1610" s="1742" t="s">
        <v>8585</v>
      </c>
      <c r="J1610" s="1779" t="s">
        <v>2746</v>
      </c>
      <c r="K1610" s="1780"/>
      <c r="L1610" s="1781"/>
      <c r="M1610" s="1781"/>
      <c r="N1610" s="1746">
        <v>39555.620000000003</v>
      </c>
      <c r="O1610" s="1782"/>
      <c r="P1610" s="1720"/>
    </row>
    <row r="1611" spans="1:16" ht="12.75" hidden="1" customHeight="1" outlineLevel="3" x14ac:dyDescent="0.2">
      <c r="A1611" s="459">
        <v>0</v>
      </c>
      <c r="B1611" s="459">
        <v>18</v>
      </c>
      <c r="C1611" s="459">
        <v>21</v>
      </c>
      <c r="D1611" s="460">
        <v>1</v>
      </c>
      <c r="E1611" s="460">
        <v>1</v>
      </c>
      <c r="G1611" s="1798" t="s">
        <v>52</v>
      </c>
      <c r="H1611" s="1783" t="s">
        <v>1239</v>
      </c>
      <c r="I1611" s="1750" t="s">
        <v>8586</v>
      </c>
      <c r="J1611" s="1785" t="s">
        <v>809</v>
      </c>
      <c r="K1611" s="1786" t="s">
        <v>534</v>
      </c>
      <c r="L1611" s="1787">
        <v>8</v>
      </c>
      <c r="M1611" s="1787">
        <v>2306.36</v>
      </c>
      <c r="N1611" s="1754">
        <v>18450.88</v>
      </c>
      <c r="O1611" s="1788" t="s">
        <v>3252</v>
      </c>
      <c r="P1611" s="1721" t="s">
        <v>9611</v>
      </c>
    </row>
    <row r="1612" spans="1:16" ht="12.75" hidden="1" customHeight="1" outlineLevel="3" x14ac:dyDescent="0.2">
      <c r="A1612" s="459">
        <v>0</v>
      </c>
      <c r="B1612" s="459">
        <v>18</v>
      </c>
      <c r="C1612" s="459">
        <v>21</v>
      </c>
      <c r="D1612" s="460">
        <v>1</v>
      </c>
      <c r="E1612" s="460">
        <v>2</v>
      </c>
      <c r="G1612" s="1798" t="s">
        <v>52</v>
      </c>
      <c r="H1612" s="1783" t="s">
        <v>1239</v>
      </c>
      <c r="I1612" s="1750" t="s">
        <v>8587</v>
      </c>
      <c r="J1612" s="1785" t="s">
        <v>817</v>
      </c>
      <c r="K1612" s="1786" t="s">
        <v>534</v>
      </c>
      <c r="L1612" s="1787">
        <v>8</v>
      </c>
      <c r="M1612" s="1787">
        <v>2306.36</v>
      </c>
      <c r="N1612" s="1754">
        <v>18450.88</v>
      </c>
      <c r="O1612" s="1788" t="s">
        <v>3252</v>
      </c>
      <c r="P1612" s="1721" t="s">
        <v>9611</v>
      </c>
    </row>
    <row r="1613" spans="1:16" ht="13.5" hidden="1" customHeight="1" outlineLevel="3" x14ac:dyDescent="0.2">
      <c r="A1613" s="459">
        <v>0</v>
      </c>
      <c r="B1613" s="459">
        <v>18</v>
      </c>
      <c r="C1613" s="459">
        <v>21</v>
      </c>
      <c r="D1613" s="460">
        <v>1</v>
      </c>
      <c r="E1613" s="460">
        <v>3</v>
      </c>
      <c r="G1613" s="1798" t="s">
        <v>52</v>
      </c>
      <c r="H1613" s="1783" t="s">
        <v>1239</v>
      </c>
      <c r="I1613" s="1750" t="s">
        <v>8588</v>
      </c>
      <c r="J1613" s="1785" t="s">
        <v>819</v>
      </c>
      <c r="K1613" s="1786" t="s">
        <v>534</v>
      </c>
      <c r="L1613" s="1787">
        <v>1</v>
      </c>
      <c r="M1613" s="1787">
        <v>2653.86</v>
      </c>
      <c r="N1613" s="1754">
        <v>2653.86</v>
      </c>
      <c r="O1613" s="1788" t="s">
        <v>3252</v>
      </c>
      <c r="P1613" s="1721" t="s">
        <v>9611</v>
      </c>
    </row>
    <row r="1614" spans="1:16" ht="13.5" hidden="1" customHeight="1" outlineLevel="2" x14ac:dyDescent="0.2">
      <c r="A1614" s="459">
        <v>0</v>
      </c>
      <c r="B1614" s="459">
        <v>18</v>
      </c>
      <c r="C1614" s="459">
        <v>21</v>
      </c>
      <c r="D1614" s="460">
        <v>2</v>
      </c>
      <c r="E1614" s="460">
        <v>0</v>
      </c>
      <c r="G1614" s="1797"/>
      <c r="H1614" s="1777" t="s">
        <v>1238</v>
      </c>
      <c r="I1614" s="1742" t="s">
        <v>8589</v>
      </c>
      <c r="J1614" s="1779" t="s">
        <v>2820</v>
      </c>
      <c r="K1614" s="1780"/>
      <c r="L1614" s="1781"/>
      <c r="M1614" s="1781"/>
      <c r="N1614" s="1746">
        <v>1291.6400000000001</v>
      </c>
      <c r="O1614" s="1782"/>
      <c r="P1614" s="1720"/>
    </row>
    <row r="1615" spans="1:16" ht="13.5" hidden="1" customHeight="1" outlineLevel="3" x14ac:dyDescent="0.2">
      <c r="A1615" s="459">
        <v>0</v>
      </c>
      <c r="B1615" s="459">
        <v>18</v>
      </c>
      <c r="C1615" s="459">
        <v>21</v>
      </c>
      <c r="D1615" s="460">
        <v>2</v>
      </c>
      <c r="E1615" s="460">
        <v>1</v>
      </c>
      <c r="G1615" s="1798" t="s">
        <v>52</v>
      </c>
      <c r="H1615" s="1783" t="s">
        <v>1239</v>
      </c>
      <c r="I1615" s="1750" t="s">
        <v>8590</v>
      </c>
      <c r="J1615" s="1785" t="s">
        <v>1266</v>
      </c>
      <c r="K1615" s="1786" t="s">
        <v>534</v>
      </c>
      <c r="L1615" s="1787">
        <v>1</v>
      </c>
      <c r="M1615" s="1787">
        <v>1291.6400000000001</v>
      </c>
      <c r="N1615" s="1754">
        <v>1291.6400000000001</v>
      </c>
      <c r="O1615" s="1788" t="s">
        <v>3258</v>
      </c>
      <c r="P1615" s="1721" t="s">
        <v>9611</v>
      </c>
    </row>
    <row r="1616" spans="1:16" ht="13.5" hidden="1" customHeight="1" outlineLevel="2" x14ac:dyDescent="0.2">
      <c r="A1616" s="459">
        <v>0</v>
      </c>
      <c r="B1616" s="459">
        <v>18</v>
      </c>
      <c r="C1616" s="459">
        <v>21</v>
      </c>
      <c r="D1616" s="460">
        <v>3</v>
      </c>
      <c r="E1616" s="460">
        <v>0</v>
      </c>
      <c r="G1616" s="1797"/>
      <c r="H1616" s="1777" t="s">
        <v>1238</v>
      </c>
      <c r="I1616" s="1742" t="s">
        <v>8591</v>
      </c>
      <c r="J1616" s="1779" t="s">
        <v>15</v>
      </c>
      <c r="K1616" s="1780"/>
      <c r="L1616" s="1781"/>
      <c r="M1616" s="1781"/>
      <c r="N1616" s="1746">
        <v>5100</v>
      </c>
      <c r="O1616" s="1782"/>
      <c r="P1616" s="1720"/>
    </row>
    <row r="1617" spans="1:16" ht="13.5" hidden="1" customHeight="1" outlineLevel="3" x14ac:dyDescent="0.2">
      <c r="A1617" s="459">
        <v>0</v>
      </c>
      <c r="B1617" s="459">
        <v>18</v>
      </c>
      <c r="C1617" s="459">
        <v>21</v>
      </c>
      <c r="D1617" s="460">
        <v>3</v>
      </c>
      <c r="E1617" s="460">
        <v>1</v>
      </c>
      <c r="G1617" s="1798" t="s">
        <v>52</v>
      </c>
      <c r="H1617" s="1783" t="s">
        <v>1239</v>
      </c>
      <c r="I1617" s="1750" t="s">
        <v>8592</v>
      </c>
      <c r="J1617" s="1785" t="s">
        <v>846</v>
      </c>
      <c r="K1617" s="1786" t="s">
        <v>534</v>
      </c>
      <c r="L1617" s="1787">
        <v>17</v>
      </c>
      <c r="M1617" s="1787">
        <v>300</v>
      </c>
      <c r="N1617" s="1754">
        <v>5100</v>
      </c>
      <c r="O1617" s="1788" t="s">
        <v>3252</v>
      </c>
      <c r="P1617" s="1721" t="s">
        <v>9611</v>
      </c>
    </row>
    <row r="1618" spans="1:16" ht="13.5" hidden="1" customHeight="1" outlineLevel="1" x14ac:dyDescent="0.2">
      <c r="A1618" s="459">
        <v>0</v>
      </c>
      <c r="B1618" s="459">
        <v>18</v>
      </c>
      <c r="C1618" s="459">
        <v>22</v>
      </c>
      <c r="D1618" s="460">
        <v>0</v>
      </c>
      <c r="E1618" s="460">
        <v>1</v>
      </c>
      <c r="G1618" s="1796"/>
      <c r="H1618" s="1771" t="s">
        <v>39</v>
      </c>
      <c r="I1618" s="1735" t="s">
        <v>8593</v>
      </c>
      <c r="J1618" s="1773" t="s">
        <v>5529</v>
      </c>
      <c r="K1618" s="1774"/>
      <c r="L1618" s="1775"/>
      <c r="M1618" s="1775"/>
      <c r="N1618" s="1739">
        <v>10772.94</v>
      </c>
      <c r="O1618" s="1776">
        <v>0.64317326848827505</v>
      </c>
      <c r="P1618" s="1719"/>
    </row>
    <row r="1619" spans="1:16" ht="12.75" hidden="1" customHeight="1" outlineLevel="2" x14ac:dyDescent="0.2">
      <c r="A1619" s="459">
        <v>0</v>
      </c>
      <c r="B1619" s="459">
        <v>18</v>
      </c>
      <c r="C1619" s="459">
        <v>22</v>
      </c>
      <c r="D1619" s="460">
        <v>1</v>
      </c>
      <c r="E1619" s="460">
        <v>0</v>
      </c>
      <c r="G1619" s="1797"/>
      <c r="H1619" s="1777" t="s">
        <v>1238</v>
      </c>
      <c r="I1619" s="1742" t="s">
        <v>8594</v>
      </c>
      <c r="J1619" s="1779" t="s">
        <v>2746</v>
      </c>
      <c r="K1619" s="1780"/>
      <c r="L1619" s="1781"/>
      <c r="M1619" s="1781"/>
      <c r="N1619" s="1746">
        <v>9572.94</v>
      </c>
      <c r="O1619" s="1782"/>
      <c r="P1619" s="1720"/>
    </row>
    <row r="1620" spans="1:16" ht="12.75" hidden="1" customHeight="1" outlineLevel="3" x14ac:dyDescent="0.2">
      <c r="A1620" s="459">
        <v>0</v>
      </c>
      <c r="B1620" s="459">
        <v>18</v>
      </c>
      <c r="C1620" s="459">
        <v>22</v>
      </c>
      <c r="D1620" s="460">
        <v>1</v>
      </c>
      <c r="E1620" s="460">
        <v>1</v>
      </c>
      <c r="G1620" s="1798" t="s">
        <v>52</v>
      </c>
      <c r="H1620" s="1783" t="s">
        <v>1239</v>
      </c>
      <c r="I1620" s="1750" t="s">
        <v>8595</v>
      </c>
      <c r="J1620" s="1785" t="s">
        <v>809</v>
      </c>
      <c r="K1620" s="1786" t="s">
        <v>534</v>
      </c>
      <c r="L1620" s="1787">
        <v>1</v>
      </c>
      <c r="M1620" s="1787">
        <v>2306.36</v>
      </c>
      <c r="N1620" s="1754">
        <v>2306.36</v>
      </c>
      <c r="O1620" s="1788" t="s">
        <v>3252</v>
      </c>
      <c r="P1620" s="1721" t="s">
        <v>9611</v>
      </c>
    </row>
    <row r="1621" spans="1:16" ht="12.75" hidden="1" customHeight="1" outlineLevel="3" x14ac:dyDescent="0.2">
      <c r="A1621" s="459">
        <v>0</v>
      </c>
      <c r="B1621" s="459">
        <v>18</v>
      </c>
      <c r="C1621" s="459">
        <v>22</v>
      </c>
      <c r="D1621" s="460">
        <v>1</v>
      </c>
      <c r="E1621" s="460">
        <v>2</v>
      </c>
      <c r="G1621" s="1798" t="s">
        <v>52</v>
      </c>
      <c r="H1621" s="1783" t="s">
        <v>1239</v>
      </c>
      <c r="I1621" s="1750" t="s">
        <v>8596</v>
      </c>
      <c r="J1621" s="1785" t="s">
        <v>817</v>
      </c>
      <c r="K1621" s="1786" t="s">
        <v>534</v>
      </c>
      <c r="L1621" s="1787">
        <v>2</v>
      </c>
      <c r="M1621" s="1787">
        <v>2306.36</v>
      </c>
      <c r="N1621" s="1754">
        <v>4612.72</v>
      </c>
      <c r="O1621" s="1788" t="s">
        <v>3252</v>
      </c>
      <c r="P1621" s="1721" t="s">
        <v>9611</v>
      </c>
    </row>
    <row r="1622" spans="1:16" ht="13.5" hidden="1" customHeight="1" outlineLevel="3" x14ac:dyDescent="0.2">
      <c r="A1622" s="459">
        <v>0</v>
      </c>
      <c r="B1622" s="459">
        <v>18</v>
      </c>
      <c r="C1622" s="459">
        <v>22</v>
      </c>
      <c r="D1622" s="460">
        <v>1</v>
      </c>
      <c r="E1622" s="460">
        <v>3</v>
      </c>
      <c r="G1622" s="1798" t="s">
        <v>52</v>
      </c>
      <c r="H1622" s="1783" t="s">
        <v>1239</v>
      </c>
      <c r="I1622" s="1750" t="s">
        <v>8597</v>
      </c>
      <c r="J1622" s="1785" t="s">
        <v>819</v>
      </c>
      <c r="K1622" s="1786" t="s">
        <v>534</v>
      </c>
      <c r="L1622" s="1787">
        <v>1</v>
      </c>
      <c r="M1622" s="1787">
        <v>2653.86</v>
      </c>
      <c r="N1622" s="1754">
        <v>2653.86</v>
      </c>
      <c r="O1622" s="1788" t="s">
        <v>3252</v>
      </c>
      <c r="P1622" s="1721" t="s">
        <v>9611</v>
      </c>
    </row>
    <row r="1623" spans="1:16" ht="13.5" hidden="1" customHeight="1" outlineLevel="2" x14ac:dyDescent="0.2">
      <c r="A1623" s="459">
        <v>0</v>
      </c>
      <c r="B1623" s="459">
        <v>18</v>
      </c>
      <c r="C1623" s="459">
        <v>22</v>
      </c>
      <c r="D1623" s="460">
        <v>2</v>
      </c>
      <c r="E1623" s="460">
        <v>0</v>
      </c>
      <c r="G1623" s="1797"/>
      <c r="H1623" s="1777" t="s">
        <v>1238</v>
      </c>
      <c r="I1623" s="1742" t="s">
        <v>8598</v>
      </c>
      <c r="J1623" s="1779" t="s">
        <v>15</v>
      </c>
      <c r="K1623" s="1780"/>
      <c r="L1623" s="1781"/>
      <c r="M1623" s="1781"/>
      <c r="N1623" s="1746">
        <v>1200</v>
      </c>
      <c r="O1623" s="1782"/>
      <c r="P1623" s="1720"/>
    </row>
    <row r="1624" spans="1:16" ht="13.5" hidden="1" customHeight="1" outlineLevel="3" x14ac:dyDescent="0.2">
      <c r="A1624" s="459">
        <v>0</v>
      </c>
      <c r="B1624" s="459">
        <v>18</v>
      </c>
      <c r="C1624" s="459">
        <v>22</v>
      </c>
      <c r="D1624" s="460">
        <v>2</v>
      </c>
      <c r="E1624" s="460">
        <v>1</v>
      </c>
      <c r="G1624" s="1798" t="s">
        <v>52</v>
      </c>
      <c r="H1624" s="1783" t="s">
        <v>1239</v>
      </c>
      <c r="I1624" s="1750" t="s">
        <v>8599</v>
      </c>
      <c r="J1624" s="1785" t="s">
        <v>846</v>
      </c>
      <c r="K1624" s="1786" t="s">
        <v>534</v>
      </c>
      <c r="L1624" s="1787">
        <v>4</v>
      </c>
      <c r="M1624" s="1787">
        <v>300</v>
      </c>
      <c r="N1624" s="1754">
        <v>1200</v>
      </c>
      <c r="O1624" s="1788" t="s">
        <v>3252</v>
      </c>
      <c r="P1624" s="1721" t="s">
        <v>9611</v>
      </c>
    </row>
    <row r="1625" spans="1:16" ht="13.5" hidden="1" customHeight="1" outlineLevel="1" x14ac:dyDescent="0.2">
      <c r="A1625" s="459">
        <v>0</v>
      </c>
      <c r="B1625" s="459">
        <v>18</v>
      </c>
      <c r="C1625" s="459">
        <v>23</v>
      </c>
      <c r="D1625" s="460">
        <v>0</v>
      </c>
      <c r="E1625" s="460">
        <v>1</v>
      </c>
      <c r="G1625" s="1796"/>
      <c r="H1625" s="1771" t="s">
        <v>39</v>
      </c>
      <c r="I1625" s="1735" t="s">
        <v>8600</v>
      </c>
      <c r="J1625" s="1773" t="s">
        <v>5530</v>
      </c>
      <c r="K1625" s="1774"/>
      <c r="L1625" s="1775"/>
      <c r="M1625" s="1775"/>
      <c r="N1625" s="1739"/>
      <c r="O1625" s="1776"/>
      <c r="P1625" s="1719"/>
    </row>
    <row r="1626" spans="1:16" ht="13.5" hidden="1" customHeight="1" outlineLevel="2" x14ac:dyDescent="0.2">
      <c r="A1626" s="459">
        <v>0</v>
      </c>
      <c r="B1626" s="459">
        <v>18</v>
      </c>
      <c r="C1626" s="459">
        <v>23</v>
      </c>
      <c r="D1626" s="460">
        <v>1</v>
      </c>
      <c r="E1626" s="460">
        <v>0</v>
      </c>
      <c r="G1626" s="1797"/>
      <c r="H1626" s="1777" t="s">
        <v>1238</v>
      </c>
      <c r="I1626" s="1742" t="s">
        <v>8601</v>
      </c>
      <c r="J1626" s="1779" t="s">
        <v>2747</v>
      </c>
      <c r="K1626" s="1780"/>
      <c r="L1626" s="1781"/>
      <c r="M1626" s="1781"/>
      <c r="N1626" s="1746">
        <v>6313.74</v>
      </c>
      <c r="O1626" s="1782"/>
      <c r="P1626" s="1720"/>
    </row>
    <row r="1627" spans="1:16" ht="13.5" hidden="1" customHeight="1" outlineLevel="3" x14ac:dyDescent="0.2">
      <c r="A1627" s="459">
        <v>0</v>
      </c>
      <c r="B1627" s="459">
        <v>18</v>
      </c>
      <c r="C1627" s="459">
        <v>23</v>
      </c>
      <c r="D1627" s="460">
        <v>1</v>
      </c>
      <c r="E1627" s="460">
        <v>1</v>
      </c>
      <c r="G1627" s="1798" t="s">
        <v>52</v>
      </c>
      <c r="H1627" s="1783" t="s">
        <v>1239</v>
      </c>
      <c r="I1627" s="1750" t="s">
        <v>8602</v>
      </c>
      <c r="J1627" s="1785" t="s">
        <v>3530</v>
      </c>
      <c r="K1627" s="1786" t="s">
        <v>788</v>
      </c>
      <c r="L1627" s="1787">
        <v>20.399999999999999</v>
      </c>
      <c r="M1627" s="1787">
        <v>66.849999999999994</v>
      </c>
      <c r="N1627" s="1754">
        <v>1363.74</v>
      </c>
      <c r="O1627" s="1788" t="s">
        <v>3252</v>
      </c>
      <c r="P1627" s="1721" t="s">
        <v>9611</v>
      </c>
    </row>
    <row r="1628" spans="1:16" ht="13.5" hidden="1" customHeight="1" outlineLevel="3" x14ac:dyDescent="0.2">
      <c r="A1628" s="459">
        <v>0</v>
      </c>
      <c r="B1628" s="459">
        <v>18</v>
      </c>
      <c r="C1628" s="459">
        <v>23</v>
      </c>
      <c r="D1628" s="460">
        <v>1</v>
      </c>
      <c r="E1628" s="460">
        <v>2</v>
      </c>
      <c r="G1628" s="1798" t="s">
        <v>52</v>
      </c>
      <c r="H1628" s="1783" t="s">
        <v>1239</v>
      </c>
      <c r="I1628" s="1750" t="s">
        <v>8603</v>
      </c>
      <c r="J1628" s="1785" t="s">
        <v>1960</v>
      </c>
      <c r="K1628" s="1786" t="s">
        <v>534</v>
      </c>
      <c r="L1628" s="1787">
        <v>4</v>
      </c>
      <c r="M1628" s="1787">
        <v>1237.5</v>
      </c>
      <c r="N1628" s="1754">
        <v>4950</v>
      </c>
      <c r="O1628" s="1788" t="s">
        <v>3252</v>
      </c>
      <c r="P1628" s="1721" t="s">
        <v>9611</v>
      </c>
    </row>
    <row r="1629" spans="1:16" ht="13.5" hidden="1" customHeight="1" outlineLevel="2" x14ac:dyDescent="0.2">
      <c r="A1629" s="459">
        <v>0</v>
      </c>
      <c r="B1629" s="459">
        <v>18</v>
      </c>
      <c r="C1629" s="459">
        <v>23</v>
      </c>
      <c r="D1629" s="460">
        <v>2</v>
      </c>
      <c r="E1629" s="460">
        <v>0</v>
      </c>
      <c r="G1629" s="1797"/>
      <c r="H1629" s="1777" t="s">
        <v>1238</v>
      </c>
      <c r="I1629" s="1742" t="s">
        <v>8604</v>
      </c>
      <c r="J1629" s="1779" t="s">
        <v>1953</v>
      </c>
      <c r="K1629" s="1780"/>
      <c r="L1629" s="1781"/>
      <c r="M1629" s="1781"/>
      <c r="N1629" s="1746"/>
      <c r="O1629" s="1782"/>
      <c r="P1629" s="1720"/>
    </row>
    <row r="1630" spans="1:16" ht="13.5" hidden="1" customHeight="1" outlineLevel="3" x14ac:dyDescent="0.2">
      <c r="A1630" s="459">
        <v>0</v>
      </c>
      <c r="B1630" s="459">
        <v>18</v>
      </c>
      <c r="C1630" s="459">
        <v>23</v>
      </c>
      <c r="D1630" s="460">
        <v>2</v>
      </c>
      <c r="E1630" s="460">
        <v>1</v>
      </c>
      <c r="G1630" s="1798" t="s">
        <v>52</v>
      </c>
      <c r="H1630" s="1783" t="s">
        <v>1239</v>
      </c>
      <c r="I1630" s="1750" t="s">
        <v>8605</v>
      </c>
      <c r="J1630" s="1785" t="s">
        <v>3254</v>
      </c>
      <c r="K1630" s="1786" t="s">
        <v>788</v>
      </c>
      <c r="L1630" s="1787" t="e">
        <v>#REF!</v>
      </c>
      <c r="M1630" s="1787">
        <v>820</v>
      </c>
      <c r="N1630" s="1754"/>
      <c r="O1630" s="1788" t="s">
        <v>3251</v>
      </c>
      <c r="P1630" s="1721" t="s">
        <v>9611</v>
      </c>
    </row>
    <row r="1631" spans="1:16" ht="13.5" hidden="1" customHeight="1" outlineLevel="3" x14ac:dyDescent="0.2">
      <c r="A1631" s="459">
        <v>0</v>
      </c>
      <c r="B1631" s="459">
        <v>18</v>
      </c>
      <c r="C1631" s="459">
        <v>23</v>
      </c>
      <c r="D1631" s="460">
        <v>2</v>
      </c>
      <c r="E1631" s="460">
        <v>2</v>
      </c>
      <c r="G1631" s="1798" t="s">
        <v>52</v>
      </c>
      <c r="H1631" s="1783" t="s">
        <v>1239</v>
      </c>
      <c r="I1631" s="1750" t="s">
        <v>8606</v>
      </c>
      <c r="J1631" s="1785" t="s">
        <v>3255</v>
      </c>
      <c r="K1631" s="1786" t="s">
        <v>788</v>
      </c>
      <c r="L1631" s="1787" t="e">
        <v>#REF!</v>
      </c>
      <c r="M1631" s="1787">
        <v>520</v>
      </c>
      <c r="N1631" s="1754"/>
      <c r="O1631" s="1788" t="s">
        <v>3251</v>
      </c>
      <c r="P1631" s="1721" t="s">
        <v>9611</v>
      </c>
    </row>
    <row r="1632" spans="1:16" ht="12.75" hidden="1" customHeight="1" outlineLevel="2" x14ac:dyDescent="0.2">
      <c r="A1632" s="459">
        <v>0</v>
      </c>
      <c r="B1632" s="459">
        <v>18</v>
      </c>
      <c r="C1632" s="459">
        <v>23</v>
      </c>
      <c r="D1632" s="460">
        <v>3</v>
      </c>
      <c r="E1632" s="460">
        <v>0</v>
      </c>
      <c r="G1632" s="1797"/>
      <c r="H1632" s="1777" t="s">
        <v>1238</v>
      </c>
      <c r="I1632" s="1742" t="s">
        <v>8607</v>
      </c>
      <c r="J1632" s="1779" t="s">
        <v>3257</v>
      </c>
      <c r="K1632" s="1780"/>
      <c r="L1632" s="1781"/>
      <c r="M1632" s="1781"/>
      <c r="N1632" s="1746"/>
      <c r="O1632" s="1782"/>
      <c r="P1632" s="1720"/>
    </row>
    <row r="1633" spans="1:16" ht="12.75" hidden="1" customHeight="1" outlineLevel="3" x14ac:dyDescent="0.2">
      <c r="A1633" s="459">
        <v>0</v>
      </c>
      <c r="B1633" s="459">
        <v>18</v>
      </c>
      <c r="C1633" s="459">
        <v>23</v>
      </c>
      <c r="D1633" s="460">
        <v>3</v>
      </c>
      <c r="E1633" s="460">
        <v>1</v>
      </c>
      <c r="G1633" s="1798" t="s">
        <v>52</v>
      </c>
      <c r="H1633" s="1783" t="s">
        <v>1239</v>
      </c>
      <c r="I1633" s="1750" t="s">
        <v>8608</v>
      </c>
      <c r="J1633" s="1785" t="s">
        <v>3256</v>
      </c>
      <c r="K1633" s="1786" t="s">
        <v>642</v>
      </c>
      <c r="L1633" s="1787" t="e">
        <v>#REF!</v>
      </c>
      <c r="M1633" s="1787">
        <v>1240</v>
      </c>
      <c r="N1633" s="1754"/>
      <c r="O1633" s="1788" t="s">
        <v>3251</v>
      </c>
      <c r="P1633" s="1721" t="s">
        <v>9611</v>
      </c>
    </row>
    <row r="1634" spans="1:16" ht="13.5" hidden="1" customHeight="1" outlineLevel="2" x14ac:dyDescent="0.2">
      <c r="A1634" s="459">
        <v>0</v>
      </c>
      <c r="B1634" s="459">
        <v>18</v>
      </c>
      <c r="C1634" s="459">
        <v>23</v>
      </c>
      <c r="D1634" s="460">
        <v>4</v>
      </c>
      <c r="E1634" s="460">
        <v>0</v>
      </c>
      <c r="G1634" s="1797"/>
      <c r="H1634" s="1777" t="s">
        <v>1238</v>
      </c>
      <c r="I1634" s="1742" t="s">
        <v>8609</v>
      </c>
      <c r="J1634" s="1779" t="s">
        <v>15</v>
      </c>
      <c r="K1634" s="1780"/>
      <c r="L1634" s="1781"/>
      <c r="M1634" s="1781"/>
      <c r="N1634" s="1746">
        <v>1200</v>
      </c>
      <c r="O1634" s="1782">
        <v>7.1643202522796004E-2</v>
      </c>
      <c r="P1634" s="1720"/>
    </row>
    <row r="1635" spans="1:16" ht="13.5" hidden="1" customHeight="1" outlineLevel="3" x14ac:dyDescent="0.2">
      <c r="A1635" s="459">
        <v>0</v>
      </c>
      <c r="B1635" s="459">
        <v>18</v>
      </c>
      <c r="C1635" s="459">
        <v>23</v>
      </c>
      <c r="D1635" s="460">
        <v>4</v>
      </c>
      <c r="E1635" s="460">
        <v>1</v>
      </c>
      <c r="G1635" s="1798" t="s">
        <v>52</v>
      </c>
      <c r="H1635" s="1783" t="s">
        <v>1239</v>
      </c>
      <c r="I1635" s="1750" t="s">
        <v>8610</v>
      </c>
      <c r="J1635" s="1785" t="s">
        <v>845</v>
      </c>
      <c r="K1635" s="1786" t="s">
        <v>534</v>
      </c>
      <c r="L1635" s="1787">
        <v>4</v>
      </c>
      <c r="M1635" s="1787">
        <v>300</v>
      </c>
      <c r="N1635" s="1754">
        <v>1200</v>
      </c>
      <c r="O1635" s="1788" t="s">
        <v>3252</v>
      </c>
      <c r="P1635" s="1721" t="s">
        <v>9611</v>
      </c>
    </row>
    <row r="1636" spans="1:16" ht="13.5" hidden="1" customHeight="1" outlineLevel="1" x14ac:dyDescent="0.2">
      <c r="A1636" s="459">
        <v>0</v>
      </c>
      <c r="B1636" s="459">
        <v>18</v>
      </c>
      <c r="C1636" s="459">
        <v>24</v>
      </c>
      <c r="D1636" s="460">
        <v>0</v>
      </c>
      <c r="E1636" s="460">
        <v>1</v>
      </c>
      <c r="G1636" s="1796"/>
      <c r="H1636" s="1771" t="s">
        <v>39</v>
      </c>
      <c r="I1636" s="1735" t="s">
        <v>8611</v>
      </c>
      <c r="J1636" s="1773" t="s">
        <v>5531</v>
      </c>
      <c r="K1636" s="1774"/>
      <c r="L1636" s="1775"/>
      <c r="M1636" s="1775"/>
      <c r="N1636" s="1739"/>
      <c r="O1636" s="1776"/>
      <c r="P1636" s="1719"/>
    </row>
    <row r="1637" spans="1:16" ht="13.5" hidden="1" customHeight="1" outlineLevel="2" x14ac:dyDescent="0.2">
      <c r="A1637" s="459">
        <v>0</v>
      </c>
      <c r="B1637" s="459">
        <v>18</v>
      </c>
      <c r="C1637" s="459">
        <v>24</v>
      </c>
      <c r="D1637" s="460">
        <v>1</v>
      </c>
      <c r="E1637" s="460">
        <v>0</v>
      </c>
      <c r="G1637" s="1797"/>
      <c r="H1637" s="1777" t="s">
        <v>1238</v>
      </c>
      <c r="I1637" s="1742" t="s">
        <v>8612</v>
      </c>
      <c r="J1637" s="1779" t="s">
        <v>2747</v>
      </c>
      <c r="K1637" s="1780"/>
      <c r="L1637" s="1781"/>
      <c r="M1637" s="1781"/>
      <c r="N1637" s="1746">
        <v>3156.87</v>
      </c>
      <c r="O1637" s="1782"/>
      <c r="P1637" s="1720"/>
    </row>
    <row r="1638" spans="1:16" ht="13.5" hidden="1" customHeight="1" outlineLevel="3" x14ac:dyDescent="0.2">
      <c r="A1638" s="459">
        <v>0</v>
      </c>
      <c r="B1638" s="459">
        <v>18</v>
      </c>
      <c r="C1638" s="459">
        <v>24</v>
      </c>
      <c r="D1638" s="460">
        <v>1</v>
      </c>
      <c r="E1638" s="460">
        <v>1</v>
      </c>
      <c r="G1638" s="1798" t="s">
        <v>52</v>
      </c>
      <c r="H1638" s="1783" t="s">
        <v>1239</v>
      </c>
      <c r="I1638" s="1750" t="s">
        <v>8613</v>
      </c>
      <c r="J1638" s="1785" t="s">
        <v>3530</v>
      </c>
      <c r="K1638" s="1786" t="s">
        <v>788</v>
      </c>
      <c r="L1638" s="1787">
        <v>10.199999999999999</v>
      </c>
      <c r="M1638" s="1787">
        <v>66.849999999999994</v>
      </c>
      <c r="N1638" s="1754">
        <v>681.87</v>
      </c>
      <c r="O1638" s="1788" t="s">
        <v>3252</v>
      </c>
      <c r="P1638" s="1721" t="s">
        <v>9611</v>
      </c>
    </row>
    <row r="1639" spans="1:16" ht="13.5" hidden="1" customHeight="1" outlineLevel="3" x14ac:dyDescent="0.2">
      <c r="A1639" s="459">
        <v>0</v>
      </c>
      <c r="B1639" s="459">
        <v>18</v>
      </c>
      <c r="C1639" s="459">
        <v>24</v>
      </c>
      <c r="D1639" s="460">
        <v>1</v>
      </c>
      <c r="E1639" s="460">
        <v>2</v>
      </c>
      <c r="G1639" s="1798" t="s">
        <v>52</v>
      </c>
      <c r="H1639" s="1783" t="s">
        <v>1239</v>
      </c>
      <c r="I1639" s="1750" t="s">
        <v>8614</v>
      </c>
      <c r="J1639" s="1785" t="s">
        <v>1960</v>
      </c>
      <c r="K1639" s="1786" t="s">
        <v>534</v>
      </c>
      <c r="L1639" s="1787">
        <v>2</v>
      </c>
      <c r="M1639" s="1787">
        <v>1237.5</v>
      </c>
      <c r="N1639" s="1754">
        <v>2475</v>
      </c>
      <c r="O1639" s="1788" t="s">
        <v>3252</v>
      </c>
      <c r="P1639" s="1721" t="s">
        <v>9611</v>
      </c>
    </row>
    <row r="1640" spans="1:16" ht="13.5" hidden="1" customHeight="1" outlineLevel="2" x14ac:dyDescent="0.2">
      <c r="A1640" s="459">
        <v>0</v>
      </c>
      <c r="B1640" s="459">
        <v>18</v>
      </c>
      <c r="C1640" s="459">
        <v>24</v>
      </c>
      <c r="D1640" s="460">
        <v>2</v>
      </c>
      <c r="E1640" s="460">
        <v>0</v>
      </c>
      <c r="G1640" s="1797"/>
      <c r="H1640" s="1777" t="s">
        <v>1238</v>
      </c>
      <c r="I1640" s="1742" t="s">
        <v>8615</v>
      </c>
      <c r="J1640" s="1779" t="s">
        <v>1953</v>
      </c>
      <c r="K1640" s="1780"/>
      <c r="L1640" s="1781"/>
      <c r="M1640" s="1781"/>
      <c r="N1640" s="1746"/>
      <c r="O1640" s="1782"/>
      <c r="P1640" s="1720"/>
    </row>
    <row r="1641" spans="1:16" ht="13.5" hidden="1" customHeight="1" outlineLevel="3" x14ac:dyDescent="0.2">
      <c r="A1641" s="459">
        <v>0</v>
      </c>
      <c r="B1641" s="459">
        <v>18</v>
      </c>
      <c r="C1641" s="459">
        <v>24</v>
      </c>
      <c r="D1641" s="460">
        <v>2</v>
      </c>
      <c r="E1641" s="460">
        <v>1</v>
      </c>
      <c r="G1641" s="1798" t="s">
        <v>52</v>
      </c>
      <c r="H1641" s="1783" t="s">
        <v>1239</v>
      </c>
      <c r="I1641" s="1750" t="s">
        <v>8616</v>
      </c>
      <c r="J1641" s="1785" t="s">
        <v>3254</v>
      </c>
      <c r="K1641" s="1786" t="s">
        <v>788</v>
      </c>
      <c r="L1641" s="1787" t="e">
        <v>#REF!</v>
      </c>
      <c r="M1641" s="1787">
        <v>820</v>
      </c>
      <c r="N1641" s="1754"/>
      <c r="O1641" s="1788" t="s">
        <v>3251</v>
      </c>
      <c r="P1641" s="1721" t="s">
        <v>9611</v>
      </c>
    </row>
    <row r="1642" spans="1:16" ht="13.5" hidden="1" customHeight="1" outlineLevel="3" x14ac:dyDescent="0.2">
      <c r="A1642" s="459">
        <v>0</v>
      </c>
      <c r="B1642" s="459">
        <v>18</v>
      </c>
      <c r="C1642" s="459">
        <v>24</v>
      </c>
      <c r="D1642" s="460">
        <v>2</v>
      </c>
      <c r="E1642" s="460">
        <v>2</v>
      </c>
      <c r="G1642" s="1798" t="s">
        <v>52</v>
      </c>
      <c r="H1642" s="1783" t="s">
        <v>1239</v>
      </c>
      <c r="I1642" s="1750" t="s">
        <v>8617</v>
      </c>
      <c r="J1642" s="1785" t="s">
        <v>3255</v>
      </c>
      <c r="K1642" s="1786" t="s">
        <v>788</v>
      </c>
      <c r="L1642" s="1787" t="e">
        <v>#REF!</v>
      </c>
      <c r="M1642" s="1787">
        <v>520</v>
      </c>
      <c r="N1642" s="1754"/>
      <c r="O1642" s="1788" t="s">
        <v>3251</v>
      </c>
      <c r="P1642" s="1721" t="s">
        <v>9611</v>
      </c>
    </row>
    <row r="1643" spans="1:16" ht="13.5" hidden="1" customHeight="1" outlineLevel="2" x14ac:dyDescent="0.2">
      <c r="A1643" s="459">
        <v>0</v>
      </c>
      <c r="B1643" s="459">
        <v>18</v>
      </c>
      <c r="C1643" s="459">
        <v>24</v>
      </c>
      <c r="D1643" s="460">
        <v>3</v>
      </c>
      <c r="E1643" s="460">
        <v>0</v>
      </c>
      <c r="G1643" s="1797"/>
      <c r="H1643" s="1777" t="s">
        <v>1238</v>
      </c>
      <c r="I1643" s="1742" t="s">
        <v>8618</v>
      </c>
      <c r="J1643" s="1779" t="s">
        <v>15</v>
      </c>
      <c r="K1643" s="1780"/>
      <c r="L1643" s="1781"/>
      <c r="M1643" s="1781"/>
      <c r="N1643" s="1746">
        <v>600</v>
      </c>
      <c r="O1643" s="1782">
        <v>3.5821601261398002E-2</v>
      </c>
      <c r="P1643" s="1720"/>
    </row>
    <row r="1644" spans="1:16" ht="13.5" hidden="1" customHeight="1" outlineLevel="3" x14ac:dyDescent="0.2">
      <c r="A1644" s="459">
        <v>0</v>
      </c>
      <c r="B1644" s="459">
        <v>18</v>
      </c>
      <c r="C1644" s="459">
        <v>24</v>
      </c>
      <c r="D1644" s="460">
        <v>3</v>
      </c>
      <c r="E1644" s="460">
        <v>1</v>
      </c>
      <c r="G1644" s="1798" t="s">
        <v>52</v>
      </c>
      <c r="H1644" s="1783" t="s">
        <v>1239</v>
      </c>
      <c r="I1644" s="1750" t="s">
        <v>8619</v>
      </c>
      <c r="J1644" s="1785" t="s">
        <v>845</v>
      </c>
      <c r="K1644" s="1786" t="s">
        <v>534</v>
      </c>
      <c r="L1644" s="1787">
        <v>2</v>
      </c>
      <c r="M1644" s="1787">
        <v>300</v>
      </c>
      <c r="N1644" s="1754">
        <v>600</v>
      </c>
      <c r="O1644" s="1788" t="s">
        <v>3252</v>
      </c>
      <c r="P1644" s="1721" t="s">
        <v>9611</v>
      </c>
    </row>
    <row r="1645" spans="1:16" ht="13.5" hidden="1" customHeight="1" outlineLevel="1" x14ac:dyDescent="0.2">
      <c r="A1645" s="459">
        <v>0</v>
      </c>
      <c r="B1645" s="459">
        <v>18</v>
      </c>
      <c r="C1645" s="459">
        <v>25</v>
      </c>
      <c r="D1645" s="460">
        <v>0</v>
      </c>
      <c r="E1645" s="460">
        <v>1</v>
      </c>
      <c r="G1645" s="1796"/>
      <c r="H1645" s="1771" t="s">
        <v>39</v>
      </c>
      <c r="I1645" s="1735" t="s">
        <v>8620</v>
      </c>
      <c r="J1645" s="1773" t="s">
        <v>5532</v>
      </c>
      <c r="K1645" s="1774"/>
      <c r="L1645" s="1775"/>
      <c r="M1645" s="1775"/>
      <c r="N1645" s="1739"/>
      <c r="O1645" s="1776"/>
      <c r="P1645" s="1719"/>
    </row>
    <row r="1646" spans="1:16" ht="13.5" hidden="1" customHeight="1" outlineLevel="2" x14ac:dyDescent="0.2">
      <c r="A1646" s="459">
        <v>0</v>
      </c>
      <c r="B1646" s="459">
        <v>18</v>
      </c>
      <c r="C1646" s="459">
        <v>25</v>
      </c>
      <c r="D1646" s="460">
        <v>1</v>
      </c>
      <c r="E1646" s="460">
        <v>0</v>
      </c>
      <c r="G1646" s="1797"/>
      <c r="H1646" s="1777" t="s">
        <v>1238</v>
      </c>
      <c r="I1646" s="1742" t="s">
        <v>8621</v>
      </c>
      <c r="J1646" s="1779" t="s">
        <v>2747</v>
      </c>
      <c r="K1646" s="1780"/>
      <c r="L1646" s="1781"/>
      <c r="M1646" s="1781"/>
      <c r="N1646" s="1746">
        <v>4735.3050000000003</v>
      </c>
      <c r="O1646" s="1782"/>
      <c r="P1646" s="1720"/>
    </row>
    <row r="1647" spans="1:16" ht="13.5" hidden="1" customHeight="1" outlineLevel="3" x14ac:dyDescent="0.2">
      <c r="A1647" s="459">
        <v>0</v>
      </c>
      <c r="B1647" s="459">
        <v>18</v>
      </c>
      <c r="C1647" s="459">
        <v>25</v>
      </c>
      <c r="D1647" s="460">
        <v>1</v>
      </c>
      <c r="E1647" s="460">
        <v>1</v>
      </c>
      <c r="G1647" s="1798" t="s">
        <v>52</v>
      </c>
      <c r="H1647" s="1783" t="s">
        <v>1239</v>
      </c>
      <c r="I1647" s="1750" t="s">
        <v>8622</v>
      </c>
      <c r="J1647" s="1785" t="s">
        <v>3530</v>
      </c>
      <c r="K1647" s="1786" t="s">
        <v>788</v>
      </c>
      <c r="L1647" s="1787">
        <v>15.299999999999999</v>
      </c>
      <c r="M1647" s="1787">
        <v>66.849999999999994</v>
      </c>
      <c r="N1647" s="1754">
        <v>1022.8049999999999</v>
      </c>
      <c r="O1647" s="1788" t="s">
        <v>3252</v>
      </c>
      <c r="P1647" s="1721" t="s">
        <v>9611</v>
      </c>
    </row>
    <row r="1648" spans="1:16" ht="13.5" hidden="1" customHeight="1" outlineLevel="3" x14ac:dyDescent="0.2">
      <c r="A1648" s="459">
        <v>0</v>
      </c>
      <c r="B1648" s="459">
        <v>18</v>
      </c>
      <c r="C1648" s="459">
        <v>25</v>
      </c>
      <c r="D1648" s="460">
        <v>1</v>
      </c>
      <c r="E1648" s="460">
        <v>2</v>
      </c>
      <c r="G1648" s="1798" t="s">
        <v>52</v>
      </c>
      <c r="H1648" s="1783" t="s">
        <v>1239</v>
      </c>
      <c r="I1648" s="1750" t="s">
        <v>8623</v>
      </c>
      <c r="J1648" s="1785" t="s">
        <v>1960</v>
      </c>
      <c r="K1648" s="1786" t="s">
        <v>534</v>
      </c>
      <c r="L1648" s="1787">
        <v>3</v>
      </c>
      <c r="M1648" s="1787">
        <v>1237.5</v>
      </c>
      <c r="N1648" s="1754">
        <v>3712.5</v>
      </c>
      <c r="O1648" s="1788" t="s">
        <v>3252</v>
      </c>
      <c r="P1648" s="1721" t="s">
        <v>9611</v>
      </c>
    </row>
    <row r="1649" spans="1:16" ht="13.5" hidden="1" customHeight="1" outlineLevel="2" x14ac:dyDescent="0.2">
      <c r="A1649" s="459">
        <v>0</v>
      </c>
      <c r="B1649" s="459">
        <v>18</v>
      </c>
      <c r="C1649" s="459">
        <v>25</v>
      </c>
      <c r="D1649" s="460">
        <v>2</v>
      </c>
      <c r="E1649" s="460">
        <v>0</v>
      </c>
      <c r="G1649" s="1797"/>
      <c r="H1649" s="1777" t="s">
        <v>1238</v>
      </c>
      <c r="I1649" s="1742" t="s">
        <v>8624</v>
      </c>
      <c r="J1649" s="1779" t="s">
        <v>1953</v>
      </c>
      <c r="K1649" s="1780"/>
      <c r="L1649" s="1781"/>
      <c r="M1649" s="1781"/>
      <c r="N1649" s="1746"/>
      <c r="O1649" s="1782"/>
      <c r="P1649" s="1720"/>
    </row>
    <row r="1650" spans="1:16" ht="13.5" hidden="1" customHeight="1" outlineLevel="3" x14ac:dyDescent="0.2">
      <c r="A1650" s="459">
        <v>0</v>
      </c>
      <c r="B1650" s="459">
        <v>18</v>
      </c>
      <c r="C1650" s="459">
        <v>25</v>
      </c>
      <c r="D1650" s="460">
        <v>2</v>
      </c>
      <c r="E1650" s="460">
        <v>1</v>
      </c>
      <c r="G1650" s="1798" t="s">
        <v>52</v>
      </c>
      <c r="H1650" s="1783" t="s">
        <v>1239</v>
      </c>
      <c r="I1650" s="1750" t="s">
        <v>8625</v>
      </c>
      <c r="J1650" s="1785" t="s">
        <v>3254</v>
      </c>
      <c r="K1650" s="1786" t="s">
        <v>788</v>
      </c>
      <c r="L1650" s="1787" t="e">
        <v>#REF!</v>
      </c>
      <c r="M1650" s="1787">
        <v>820</v>
      </c>
      <c r="N1650" s="1754"/>
      <c r="O1650" s="1788" t="s">
        <v>3251</v>
      </c>
      <c r="P1650" s="1721" t="s">
        <v>9611</v>
      </c>
    </row>
    <row r="1651" spans="1:16" ht="13.5" hidden="1" customHeight="1" outlineLevel="3" x14ac:dyDescent="0.2">
      <c r="A1651" s="459">
        <v>0</v>
      </c>
      <c r="B1651" s="459">
        <v>18</v>
      </c>
      <c r="C1651" s="459">
        <v>25</v>
      </c>
      <c r="D1651" s="460">
        <v>2</v>
      </c>
      <c r="E1651" s="460">
        <v>2</v>
      </c>
      <c r="G1651" s="1798" t="s">
        <v>52</v>
      </c>
      <c r="H1651" s="1783" t="s">
        <v>1239</v>
      </c>
      <c r="I1651" s="1750" t="s">
        <v>8626</v>
      </c>
      <c r="J1651" s="1785" t="s">
        <v>3255</v>
      </c>
      <c r="K1651" s="1786" t="s">
        <v>788</v>
      </c>
      <c r="L1651" s="1787" t="e">
        <v>#REF!</v>
      </c>
      <c r="M1651" s="1787">
        <v>520</v>
      </c>
      <c r="N1651" s="1754"/>
      <c r="O1651" s="1788" t="s">
        <v>3251</v>
      </c>
      <c r="P1651" s="1721" t="s">
        <v>9611</v>
      </c>
    </row>
    <row r="1652" spans="1:16" ht="13.5" hidden="1" customHeight="1" outlineLevel="2" x14ac:dyDescent="0.2">
      <c r="A1652" s="459">
        <v>0</v>
      </c>
      <c r="B1652" s="459">
        <v>18</v>
      </c>
      <c r="C1652" s="459">
        <v>25</v>
      </c>
      <c r="D1652" s="460">
        <v>3</v>
      </c>
      <c r="E1652" s="460">
        <v>0</v>
      </c>
      <c r="G1652" s="1797"/>
      <c r="H1652" s="1777" t="s">
        <v>1238</v>
      </c>
      <c r="I1652" s="1742" t="s">
        <v>8627</v>
      </c>
      <c r="J1652" s="1779" t="s">
        <v>15</v>
      </c>
      <c r="K1652" s="1780"/>
      <c r="L1652" s="1781"/>
      <c r="M1652" s="1781"/>
      <c r="N1652" s="1746">
        <v>900</v>
      </c>
      <c r="O1652" s="1782">
        <v>5.3732401892097E-2</v>
      </c>
      <c r="P1652" s="1720"/>
    </row>
    <row r="1653" spans="1:16" ht="13.5" hidden="1" customHeight="1" outlineLevel="3" x14ac:dyDescent="0.2">
      <c r="A1653" s="459">
        <v>0</v>
      </c>
      <c r="B1653" s="459">
        <v>18</v>
      </c>
      <c r="C1653" s="459">
        <v>25</v>
      </c>
      <c r="D1653" s="460">
        <v>3</v>
      </c>
      <c r="E1653" s="460">
        <v>1</v>
      </c>
      <c r="G1653" s="1798" t="s">
        <v>52</v>
      </c>
      <c r="H1653" s="1783" t="s">
        <v>1239</v>
      </c>
      <c r="I1653" s="1750" t="s">
        <v>8628</v>
      </c>
      <c r="J1653" s="1785" t="s">
        <v>845</v>
      </c>
      <c r="K1653" s="1786" t="s">
        <v>534</v>
      </c>
      <c r="L1653" s="1787">
        <v>3</v>
      </c>
      <c r="M1653" s="1787">
        <v>300</v>
      </c>
      <c r="N1653" s="1754">
        <v>900</v>
      </c>
      <c r="O1653" s="1788" t="s">
        <v>3252</v>
      </c>
      <c r="P1653" s="1721" t="s">
        <v>9611</v>
      </c>
    </row>
    <row r="1654" spans="1:16" ht="13.5" hidden="1" customHeight="1" outlineLevel="1" x14ac:dyDescent="0.2">
      <c r="A1654" s="459">
        <v>0</v>
      </c>
      <c r="B1654" s="459">
        <v>18</v>
      </c>
      <c r="C1654" s="459">
        <v>26</v>
      </c>
      <c r="D1654" s="460">
        <v>0</v>
      </c>
      <c r="E1654" s="460">
        <v>1</v>
      </c>
      <c r="G1654" s="1796"/>
      <c r="H1654" s="1771" t="s">
        <v>39</v>
      </c>
      <c r="I1654" s="1735" t="s">
        <v>8629</v>
      </c>
      <c r="J1654" s="1773" t="s">
        <v>5533</v>
      </c>
      <c r="K1654" s="1774"/>
      <c r="L1654" s="1775"/>
      <c r="M1654" s="1775"/>
      <c r="N1654" s="1739"/>
      <c r="O1654" s="1776"/>
      <c r="P1654" s="1719"/>
    </row>
    <row r="1655" spans="1:16" ht="13.5" hidden="1" customHeight="1" outlineLevel="2" x14ac:dyDescent="0.2">
      <c r="A1655" s="459">
        <v>0</v>
      </c>
      <c r="B1655" s="459">
        <v>18</v>
      </c>
      <c r="C1655" s="459">
        <v>26</v>
      </c>
      <c r="D1655" s="460">
        <v>1</v>
      </c>
      <c r="E1655" s="460">
        <v>0</v>
      </c>
      <c r="G1655" s="1797"/>
      <c r="H1655" s="1777" t="s">
        <v>1238</v>
      </c>
      <c r="I1655" s="1742" t="s">
        <v>8630</v>
      </c>
      <c r="J1655" s="1779" t="s">
        <v>2747</v>
      </c>
      <c r="K1655" s="1780"/>
      <c r="L1655" s="1781"/>
      <c r="M1655" s="1781"/>
      <c r="N1655" s="1746">
        <v>4735.3050000000003</v>
      </c>
      <c r="O1655" s="1782"/>
      <c r="P1655" s="1720"/>
    </row>
    <row r="1656" spans="1:16" ht="13.5" hidden="1" customHeight="1" outlineLevel="3" x14ac:dyDescent="0.2">
      <c r="A1656" s="459">
        <v>0</v>
      </c>
      <c r="B1656" s="459">
        <v>18</v>
      </c>
      <c r="C1656" s="459">
        <v>26</v>
      </c>
      <c r="D1656" s="460">
        <v>1</v>
      </c>
      <c r="E1656" s="460">
        <v>1</v>
      </c>
      <c r="G1656" s="1798" t="s">
        <v>52</v>
      </c>
      <c r="H1656" s="1783" t="s">
        <v>1239</v>
      </c>
      <c r="I1656" s="1750" t="s">
        <v>8631</v>
      </c>
      <c r="J1656" s="1785" t="s">
        <v>3530</v>
      </c>
      <c r="K1656" s="1786" t="s">
        <v>788</v>
      </c>
      <c r="L1656" s="1787">
        <v>15.299999999999999</v>
      </c>
      <c r="M1656" s="1787">
        <v>66.849999999999994</v>
      </c>
      <c r="N1656" s="1754">
        <v>1022.8049999999999</v>
      </c>
      <c r="O1656" s="1788" t="s">
        <v>3252</v>
      </c>
      <c r="P1656" s="1721" t="s">
        <v>9611</v>
      </c>
    </row>
    <row r="1657" spans="1:16" ht="13.5" hidden="1" customHeight="1" outlineLevel="3" x14ac:dyDescent="0.2">
      <c r="A1657" s="459">
        <v>0</v>
      </c>
      <c r="B1657" s="459">
        <v>18</v>
      </c>
      <c r="C1657" s="459">
        <v>26</v>
      </c>
      <c r="D1657" s="460">
        <v>1</v>
      </c>
      <c r="E1657" s="460">
        <v>2</v>
      </c>
      <c r="G1657" s="1798" t="s">
        <v>52</v>
      </c>
      <c r="H1657" s="1783" t="s">
        <v>1239</v>
      </c>
      <c r="I1657" s="1750" t="s">
        <v>8632</v>
      </c>
      <c r="J1657" s="1785" t="s">
        <v>1960</v>
      </c>
      <c r="K1657" s="1786" t="s">
        <v>534</v>
      </c>
      <c r="L1657" s="1787">
        <v>3</v>
      </c>
      <c r="M1657" s="1787">
        <v>1237.5</v>
      </c>
      <c r="N1657" s="1754">
        <v>3712.5</v>
      </c>
      <c r="O1657" s="1788" t="s">
        <v>3252</v>
      </c>
      <c r="P1657" s="1721" t="s">
        <v>9611</v>
      </c>
    </row>
    <row r="1658" spans="1:16" ht="13.5" hidden="1" customHeight="1" outlineLevel="2" x14ac:dyDescent="0.2">
      <c r="A1658" s="459">
        <v>0</v>
      </c>
      <c r="B1658" s="459">
        <v>18</v>
      </c>
      <c r="C1658" s="459">
        <v>26</v>
      </c>
      <c r="D1658" s="460">
        <v>2</v>
      </c>
      <c r="E1658" s="460">
        <v>0</v>
      </c>
      <c r="G1658" s="1797"/>
      <c r="H1658" s="1777" t="s">
        <v>1238</v>
      </c>
      <c r="I1658" s="1742" t="s">
        <v>8633</v>
      </c>
      <c r="J1658" s="1779" t="s">
        <v>1953</v>
      </c>
      <c r="K1658" s="1780"/>
      <c r="L1658" s="1781"/>
      <c r="M1658" s="1781"/>
      <c r="N1658" s="1746"/>
      <c r="O1658" s="1782"/>
      <c r="P1658" s="1720"/>
    </row>
    <row r="1659" spans="1:16" ht="13.5" hidden="1" customHeight="1" outlineLevel="3" x14ac:dyDescent="0.2">
      <c r="A1659" s="459">
        <v>0</v>
      </c>
      <c r="B1659" s="459">
        <v>18</v>
      </c>
      <c r="C1659" s="459">
        <v>26</v>
      </c>
      <c r="D1659" s="460">
        <v>2</v>
      </c>
      <c r="E1659" s="460">
        <v>1</v>
      </c>
      <c r="G1659" s="1798" t="s">
        <v>52</v>
      </c>
      <c r="H1659" s="1783" t="s">
        <v>1239</v>
      </c>
      <c r="I1659" s="1750" t="s">
        <v>8634</v>
      </c>
      <c r="J1659" s="1785" t="s">
        <v>3254</v>
      </c>
      <c r="K1659" s="1786" t="s">
        <v>788</v>
      </c>
      <c r="L1659" s="1787" t="e">
        <v>#REF!</v>
      </c>
      <c r="M1659" s="1787">
        <v>820</v>
      </c>
      <c r="N1659" s="1754"/>
      <c r="O1659" s="1788" t="s">
        <v>3251</v>
      </c>
      <c r="P1659" s="1721" t="s">
        <v>9611</v>
      </c>
    </row>
    <row r="1660" spans="1:16" ht="13.5" hidden="1" customHeight="1" outlineLevel="3" x14ac:dyDescent="0.2">
      <c r="A1660" s="459">
        <v>0</v>
      </c>
      <c r="B1660" s="459">
        <v>18</v>
      </c>
      <c r="C1660" s="459">
        <v>26</v>
      </c>
      <c r="D1660" s="460">
        <v>2</v>
      </c>
      <c r="E1660" s="460">
        <v>2</v>
      </c>
      <c r="G1660" s="1798" t="s">
        <v>52</v>
      </c>
      <c r="H1660" s="1783" t="s">
        <v>1239</v>
      </c>
      <c r="I1660" s="1750" t="s">
        <v>8635</v>
      </c>
      <c r="J1660" s="1785" t="s">
        <v>3255</v>
      </c>
      <c r="K1660" s="1786" t="s">
        <v>788</v>
      </c>
      <c r="L1660" s="1787" t="e">
        <v>#REF!</v>
      </c>
      <c r="M1660" s="1787">
        <v>520</v>
      </c>
      <c r="N1660" s="1754"/>
      <c r="O1660" s="1788" t="s">
        <v>3251</v>
      </c>
      <c r="P1660" s="1721" t="s">
        <v>9611</v>
      </c>
    </row>
    <row r="1661" spans="1:16" ht="13.5" hidden="1" customHeight="1" outlineLevel="2" x14ac:dyDescent="0.2">
      <c r="A1661" s="459">
        <v>0</v>
      </c>
      <c r="B1661" s="459">
        <v>18</v>
      </c>
      <c r="C1661" s="459">
        <v>26</v>
      </c>
      <c r="D1661" s="460">
        <v>3</v>
      </c>
      <c r="E1661" s="460">
        <v>0</v>
      </c>
      <c r="G1661" s="1797"/>
      <c r="H1661" s="1777" t="s">
        <v>1238</v>
      </c>
      <c r="I1661" s="1742" t="s">
        <v>8636</v>
      </c>
      <c r="J1661" s="1779" t="s">
        <v>15</v>
      </c>
      <c r="K1661" s="1780"/>
      <c r="L1661" s="1781"/>
      <c r="M1661" s="1781"/>
      <c r="N1661" s="1746">
        <v>900</v>
      </c>
      <c r="O1661" s="1782">
        <v>5.3732401892097E-2</v>
      </c>
      <c r="P1661" s="1720"/>
    </row>
    <row r="1662" spans="1:16" ht="13.5" hidden="1" customHeight="1" outlineLevel="3" x14ac:dyDescent="0.2">
      <c r="A1662" s="459">
        <v>0</v>
      </c>
      <c r="B1662" s="459">
        <v>18</v>
      </c>
      <c r="C1662" s="459">
        <v>26</v>
      </c>
      <c r="D1662" s="460">
        <v>3</v>
      </c>
      <c r="E1662" s="460">
        <v>1</v>
      </c>
      <c r="G1662" s="1798" t="s">
        <v>52</v>
      </c>
      <c r="H1662" s="1783" t="s">
        <v>1239</v>
      </c>
      <c r="I1662" s="1750" t="s">
        <v>8637</v>
      </c>
      <c r="J1662" s="1785" t="s">
        <v>845</v>
      </c>
      <c r="K1662" s="1786" t="s">
        <v>534</v>
      </c>
      <c r="L1662" s="1787">
        <v>3</v>
      </c>
      <c r="M1662" s="1787">
        <v>300</v>
      </c>
      <c r="N1662" s="1754">
        <v>900</v>
      </c>
      <c r="O1662" s="1788" t="s">
        <v>3252</v>
      </c>
      <c r="P1662" s="1721" t="s">
        <v>9611</v>
      </c>
    </row>
    <row r="1663" spans="1:16" ht="13.5" hidden="1" customHeight="1" outlineLevel="1" x14ac:dyDescent="0.2">
      <c r="A1663" s="459">
        <v>0</v>
      </c>
      <c r="B1663" s="459">
        <v>18</v>
      </c>
      <c r="C1663" s="459">
        <v>27</v>
      </c>
      <c r="D1663" s="460">
        <v>0</v>
      </c>
      <c r="E1663" s="460">
        <v>1</v>
      </c>
      <c r="G1663" s="1796"/>
      <c r="H1663" s="1771" t="s">
        <v>39</v>
      </c>
      <c r="I1663" s="1735" t="s">
        <v>8638</v>
      </c>
      <c r="J1663" s="1773" t="s">
        <v>5534</v>
      </c>
      <c r="K1663" s="1774"/>
      <c r="L1663" s="1775"/>
      <c r="M1663" s="1775"/>
      <c r="N1663" s="1739"/>
      <c r="O1663" s="1776"/>
      <c r="P1663" s="1719"/>
    </row>
    <row r="1664" spans="1:16" ht="13.5" hidden="1" customHeight="1" outlineLevel="2" x14ac:dyDescent="0.2">
      <c r="A1664" s="459">
        <v>0</v>
      </c>
      <c r="B1664" s="459">
        <v>18</v>
      </c>
      <c r="C1664" s="459">
        <v>27</v>
      </c>
      <c r="D1664" s="460">
        <v>1</v>
      </c>
      <c r="E1664" s="460">
        <v>0</v>
      </c>
      <c r="G1664" s="1797"/>
      <c r="H1664" s="1777" t="s">
        <v>1238</v>
      </c>
      <c r="I1664" s="1742" t="s">
        <v>8639</v>
      </c>
      <c r="J1664" s="1779" t="s">
        <v>2747</v>
      </c>
      <c r="K1664" s="1780"/>
      <c r="L1664" s="1781"/>
      <c r="M1664" s="1781"/>
      <c r="N1664" s="1746">
        <v>6313.74</v>
      </c>
      <c r="O1664" s="1782"/>
      <c r="P1664" s="1720"/>
    </row>
    <row r="1665" spans="1:16" ht="13.5" hidden="1" customHeight="1" outlineLevel="3" x14ac:dyDescent="0.2">
      <c r="A1665" s="459">
        <v>0</v>
      </c>
      <c r="B1665" s="459">
        <v>18</v>
      </c>
      <c r="C1665" s="459">
        <v>27</v>
      </c>
      <c r="D1665" s="460">
        <v>1</v>
      </c>
      <c r="E1665" s="460">
        <v>1</v>
      </c>
      <c r="G1665" s="1798" t="s">
        <v>52</v>
      </c>
      <c r="H1665" s="1783" t="s">
        <v>1239</v>
      </c>
      <c r="I1665" s="1750" t="s">
        <v>8640</v>
      </c>
      <c r="J1665" s="1785" t="s">
        <v>3530</v>
      </c>
      <c r="K1665" s="1786" t="s">
        <v>788</v>
      </c>
      <c r="L1665" s="1787">
        <v>20.399999999999999</v>
      </c>
      <c r="M1665" s="1787">
        <v>66.849999999999994</v>
      </c>
      <c r="N1665" s="1754">
        <v>1363.74</v>
      </c>
      <c r="O1665" s="1788" t="s">
        <v>3252</v>
      </c>
      <c r="P1665" s="1721" t="s">
        <v>9611</v>
      </c>
    </row>
    <row r="1666" spans="1:16" ht="13.5" hidden="1" customHeight="1" outlineLevel="3" x14ac:dyDescent="0.2">
      <c r="A1666" s="459">
        <v>0</v>
      </c>
      <c r="B1666" s="459">
        <v>18</v>
      </c>
      <c r="C1666" s="459">
        <v>27</v>
      </c>
      <c r="D1666" s="460">
        <v>1</v>
      </c>
      <c r="E1666" s="460">
        <v>2</v>
      </c>
      <c r="G1666" s="1798" t="s">
        <v>52</v>
      </c>
      <c r="H1666" s="1783" t="s">
        <v>1239</v>
      </c>
      <c r="I1666" s="1750" t="s">
        <v>8641</v>
      </c>
      <c r="J1666" s="1785" t="s">
        <v>1960</v>
      </c>
      <c r="K1666" s="1786" t="s">
        <v>534</v>
      </c>
      <c r="L1666" s="1787">
        <v>4</v>
      </c>
      <c r="M1666" s="1787">
        <v>1237.5</v>
      </c>
      <c r="N1666" s="1754">
        <v>4950</v>
      </c>
      <c r="O1666" s="1788" t="s">
        <v>3252</v>
      </c>
      <c r="P1666" s="1721" t="s">
        <v>9611</v>
      </c>
    </row>
    <row r="1667" spans="1:16" ht="13.5" hidden="1" customHeight="1" outlineLevel="2" x14ac:dyDescent="0.2">
      <c r="A1667" s="459">
        <v>0</v>
      </c>
      <c r="B1667" s="459">
        <v>18</v>
      </c>
      <c r="C1667" s="459">
        <v>27</v>
      </c>
      <c r="D1667" s="460">
        <v>2</v>
      </c>
      <c r="E1667" s="460">
        <v>0</v>
      </c>
      <c r="G1667" s="1797"/>
      <c r="H1667" s="1777" t="s">
        <v>1238</v>
      </c>
      <c r="I1667" s="1742" t="s">
        <v>8642</v>
      </c>
      <c r="J1667" s="1779" t="s">
        <v>1953</v>
      </c>
      <c r="K1667" s="1780"/>
      <c r="L1667" s="1781"/>
      <c r="M1667" s="1781"/>
      <c r="N1667" s="1746"/>
      <c r="O1667" s="1782"/>
      <c r="P1667" s="1720"/>
    </row>
    <row r="1668" spans="1:16" ht="13.5" hidden="1" customHeight="1" outlineLevel="3" x14ac:dyDescent="0.2">
      <c r="A1668" s="459">
        <v>0</v>
      </c>
      <c r="B1668" s="459">
        <v>18</v>
      </c>
      <c r="C1668" s="459">
        <v>27</v>
      </c>
      <c r="D1668" s="460">
        <v>2</v>
      </c>
      <c r="E1668" s="460">
        <v>1</v>
      </c>
      <c r="G1668" s="1798" t="s">
        <v>52</v>
      </c>
      <c r="H1668" s="1783" t="s">
        <v>1239</v>
      </c>
      <c r="I1668" s="1750" t="s">
        <v>8643</v>
      </c>
      <c r="J1668" s="1785" t="s">
        <v>3254</v>
      </c>
      <c r="K1668" s="1786" t="s">
        <v>788</v>
      </c>
      <c r="L1668" s="1787" t="e">
        <v>#REF!</v>
      </c>
      <c r="M1668" s="1787">
        <v>820</v>
      </c>
      <c r="N1668" s="1754"/>
      <c r="O1668" s="1788" t="s">
        <v>3251</v>
      </c>
      <c r="P1668" s="1721" t="s">
        <v>9611</v>
      </c>
    </row>
    <row r="1669" spans="1:16" ht="13.5" hidden="1" customHeight="1" outlineLevel="3" x14ac:dyDescent="0.2">
      <c r="A1669" s="459">
        <v>0</v>
      </c>
      <c r="B1669" s="459">
        <v>18</v>
      </c>
      <c r="C1669" s="459">
        <v>27</v>
      </c>
      <c r="D1669" s="460">
        <v>2</v>
      </c>
      <c r="E1669" s="460">
        <v>2</v>
      </c>
      <c r="G1669" s="1798" t="s">
        <v>52</v>
      </c>
      <c r="H1669" s="1783" t="s">
        <v>1239</v>
      </c>
      <c r="I1669" s="1750" t="s">
        <v>8644</v>
      </c>
      <c r="J1669" s="1785" t="s">
        <v>3255</v>
      </c>
      <c r="K1669" s="1786" t="s">
        <v>788</v>
      </c>
      <c r="L1669" s="1787" t="e">
        <v>#REF!</v>
      </c>
      <c r="M1669" s="1787">
        <v>520</v>
      </c>
      <c r="N1669" s="1754"/>
      <c r="O1669" s="1788" t="s">
        <v>3251</v>
      </c>
      <c r="P1669" s="1721" t="s">
        <v>9611</v>
      </c>
    </row>
    <row r="1670" spans="1:16" ht="13.5" hidden="1" customHeight="1" outlineLevel="2" x14ac:dyDescent="0.2">
      <c r="A1670" s="459">
        <v>0</v>
      </c>
      <c r="B1670" s="459">
        <v>18</v>
      </c>
      <c r="C1670" s="459">
        <v>27</v>
      </c>
      <c r="D1670" s="460">
        <v>3</v>
      </c>
      <c r="E1670" s="460">
        <v>0</v>
      </c>
      <c r="G1670" s="1797"/>
      <c r="H1670" s="1777" t="s">
        <v>1238</v>
      </c>
      <c r="I1670" s="1742" t="s">
        <v>8645</v>
      </c>
      <c r="J1670" s="1779" t="s">
        <v>15</v>
      </c>
      <c r="K1670" s="1780"/>
      <c r="L1670" s="1781"/>
      <c r="M1670" s="1781"/>
      <c r="N1670" s="1746">
        <v>1200</v>
      </c>
      <c r="O1670" s="1782">
        <v>7.1643202522796004E-2</v>
      </c>
      <c r="P1670" s="1720"/>
    </row>
    <row r="1671" spans="1:16" ht="13.5" hidden="1" customHeight="1" outlineLevel="3" x14ac:dyDescent="0.2">
      <c r="A1671" s="459">
        <v>0</v>
      </c>
      <c r="B1671" s="459">
        <v>18</v>
      </c>
      <c r="C1671" s="459">
        <v>27</v>
      </c>
      <c r="D1671" s="460">
        <v>3</v>
      </c>
      <c r="E1671" s="460">
        <v>1</v>
      </c>
      <c r="G1671" s="1798" t="s">
        <v>52</v>
      </c>
      <c r="H1671" s="1783" t="s">
        <v>1239</v>
      </c>
      <c r="I1671" s="1750" t="s">
        <v>8646</v>
      </c>
      <c r="J1671" s="1785" t="s">
        <v>845</v>
      </c>
      <c r="K1671" s="1786" t="s">
        <v>534</v>
      </c>
      <c r="L1671" s="1787">
        <v>4</v>
      </c>
      <c r="M1671" s="1787">
        <v>300</v>
      </c>
      <c r="N1671" s="1754">
        <v>1200</v>
      </c>
      <c r="O1671" s="1788" t="s">
        <v>3252</v>
      </c>
      <c r="P1671" s="1721" t="s">
        <v>9611</v>
      </c>
    </row>
    <row r="1672" spans="1:16" ht="13.5" hidden="1" customHeight="1" outlineLevel="1" x14ac:dyDescent="0.2">
      <c r="A1672" s="459">
        <v>0</v>
      </c>
      <c r="B1672" s="459">
        <v>18</v>
      </c>
      <c r="C1672" s="459">
        <v>28</v>
      </c>
      <c r="D1672" s="460">
        <v>0</v>
      </c>
      <c r="E1672" s="460">
        <v>1</v>
      </c>
      <c r="G1672" s="1796"/>
      <c r="H1672" s="1771" t="s">
        <v>39</v>
      </c>
      <c r="I1672" s="1735" t="s">
        <v>8647</v>
      </c>
      <c r="J1672" s="1773" t="s">
        <v>5535</v>
      </c>
      <c r="K1672" s="1774"/>
      <c r="L1672" s="1775"/>
      <c r="M1672" s="1775"/>
      <c r="N1672" s="1739"/>
      <c r="O1672" s="1776"/>
      <c r="P1672" s="1719"/>
    </row>
    <row r="1673" spans="1:16" ht="13.5" hidden="1" customHeight="1" outlineLevel="2" x14ac:dyDescent="0.2">
      <c r="A1673" s="459">
        <v>0</v>
      </c>
      <c r="B1673" s="459">
        <v>18</v>
      </c>
      <c r="C1673" s="459">
        <v>28</v>
      </c>
      <c r="D1673" s="460">
        <v>1</v>
      </c>
      <c r="E1673" s="460">
        <v>0</v>
      </c>
      <c r="G1673" s="1797"/>
      <c r="H1673" s="1777" t="s">
        <v>1238</v>
      </c>
      <c r="I1673" s="1742" t="s">
        <v>8648</v>
      </c>
      <c r="J1673" s="1779" t="s">
        <v>2747</v>
      </c>
      <c r="K1673" s="1780"/>
      <c r="L1673" s="1781"/>
      <c r="M1673" s="1781"/>
      <c r="N1673" s="1746">
        <v>6313.74</v>
      </c>
      <c r="O1673" s="1782"/>
      <c r="P1673" s="1720"/>
    </row>
    <row r="1674" spans="1:16" ht="13.5" hidden="1" customHeight="1" outlineLevel="3" x14ac:dyDescent="0.2">
      <c r="A1674" s="459">
        <v>0</v>
      </c>
      <c r="B1674" s="459">
        <v>18</v>
      </c>
      <c r="C1674" s="459">
        <v>28</v>
      </c>
      <c r="D1674" s="460">
        <v>1</v>
      </c>
      <c r="E1674" s="460">
        <v>1</v>
      </c>
      <c r="G1674" s="1798" t="s">
        <v>52</v>
      </c>
      <c r="H1674" s="1783" t="s">
        <v>1239</v>
      </c>
      <c r="I1674" s="1750" t="s">
        <v>8649</v>
      </c>
      <c r="J1674" s="1785" t="s">
        <v>3530</v>
      </c>
      <c r="K1674" s="1786" t="s">
        <v>788</v>
      </c>
      <c r="L1674" s="1787">
        <v>20.399999999999999</v>
      </c>
      <c r="M1674" s="1787">
        <v>66.849999999999994</v>
      </c>
      <c r="N1674" s="1754">
        <v>1363.74</v>
      </c>
      <c r="O1674" s="1788" t="s">
        <v>3252</v>
      </c>
      <c r="P1674" s="1721" t="s">
        <v>9611</v>
      </c>
    </row>
    <row r="1675" spans="1:16" ht="13.5" hidden="1" customHeight="1" outlineLevel="3" x14ac:dyDescent="0.2">
      <c r="A1675" s="459">
        <v>0</v>
      </c>
      <c r="B1675" s="459">
        <v>18</v>
      </c>
      <c r="C1675" s="459">
        <v>28</v>
      </c>
      <c r="D1675" s="460">
        <v>1</v>
      </c>
      <c r="E1675" s="460">
        <v>2</v>
      </c>
      <c r="G1675" s="1798" t="s">
        <v>52</v>
      </c>
      <c r="H1675" s="1783" t="s">
        <v>1239</v>
      </c>
      <c r="I1675" s="1750" t="s">
        <v>8650</v>
      </c>
      <c r="J1675" s="1785" t="s">
        <v>1960</v>
      </c>
      <c r="K1675" s="1786" t="s">
        <v>534</v>
      </c>
      <c r="L1675" s="1787">
        <v>4</v>
      </c>
      <c r="M1675" s="1787">
        <v>1237.5</v>
      </c>
      <c r="N1675" s="1754">
        <v>4950</v>
      </c>
      <c r="O1675" s="1788" t="s">
        <v>3252</v>
      </c>
      <c r="P1675" s="1721" t="s">
        <v>9611</v>
      </c>
    </row>
    <row r="1676" spans="1:16" ht="13.5" hidden="1" customHeight="1" outlineLevel="2" x14ac:dyDescent="0.2">
      <c r="A1676" s="459">
        <v>0</v>
      </c>
      <c r="B1676" s="459">
        <v>18</v>
      </c>
      <c r="C1676" s="459">
        <v>28</v>
      </c>
      <c r="D1676" s="460">
        <v>2</v>
      </c>
      <c r="E1676" s="460">
        <v>0</v>
      </c>
      <c r="G1676" s="1797"/>
      <c r="H1676" s="1777" t="s">
        <v>1238</v>
      </c>
      <c r="I1676" s="1742" t="s">
        <v>8651</v>
      </c>
      <c r="J1676" s="1779" t="s">
        <v>1953</v>
      </c>
      <c r="K1676" s="1780"/>
      <c r="L1676" s="1781"/>
      <c r="M1676" s="1781"/>
      <c r="N1676" s="1746"/>
      <c r="O1676" s="1782"/>
      <c r="P1676" s="1720"/>
    </row>
    <row r="1677" spans="1:16" ht="13.5" hidden="1" customHeight="1" outlineLevel="3" x14ac:dyDescent="0.2">
      <c r="A1677" s="459">
        <v>0</v>
      </c>
      <c r="B1677" s="459">
        <v>18</v>
      </c>
      <c r="C1677" s="459">
        <v>28</v>
      </c>
      <c r="D1677" s="460">
        <v>2</v>
      </c>
      <c r="E1677" s="460">
        <v>1</v>
      </c>
      <c r="G1677" s="1798" t="s">
        <v>52</v>
      </c>
      <c r="H1677" s="1783" t="s">
        <v>1239</v>
      </c>
      <c r="I1677" s="1750" t="s">
        <v>8652</v>
      </c>
      <c r="J1677" s="1785" t="s">
        <v>3254</v>
      </c>
      <c r="K1677" s="1786" t="s">
        <v>788</v>
      </c>
      <c r="L1677" s="1787" t="e">
        <v>#REF!</v>
      </c>
      <c r="M1677" s="1787">
        <v>820</v>
      </c>
      <c r="N1677" s="1754"/>
      <c r="O1677" s="1788" t="s">
        <v>3251</v>
      </c>
      <c r="P1677" s="1721" t="s">
        <v>9611</v>
      </c>
    </row>
    <row r="1678" spans="1:16" ht="13.5" hidden="1" customHeight="1" outlineLevel="3" x14ac:dyDescent="0.2">
      <c r="A1678" s="459">
        <v>0</v>
      </c>
      <c r="B1678" s="459">
        <v>18</v>
      </c>
      <c r="C1678" s="459">
        <v>28</v>
      </c>
      <c r="D1678" s="460">
        <v>2</v>
      </c>
      <c r="E1678" s="460">
        <v>2</v>
      </c>
      <c r="G1678" s="1798" t="s">
        <v>52</v>
      </c>
      <c r="H1678" s="1783" t="s">
        <v>1239</v>
      </c>
      <c r="I1678" s="1750" t="s">
        <v>8653</v>
      </c>
      <c r="J1678" s="1785" t="s">
        <v>3255</v>
      </c>
      <c r="K1678" s="1786" t="s">
        <v>788</v>
      </c>
      <c r="L1678" s="1787" t="e">
        <v>#REF!</v>
      </c>
      <c r="M1678" s="1787">
        <v>520</v>
      </c>
      <c r="N1678" s="1754"/>
      <c r="O1678" s="1788" t="s">
        <v>3251</v>
      </c>
      <c r="P1678" s="1721" t="s">
        <v>9611</v>
      </c>
    </row>
    <row r="1679" spans="1:16" ht="13.5" hidden="1" customHeight="1" outlineLevel="2" x14ac:dyDescent="0.2">
      <c r="A1679" s="459">
        <v>0</v>
      </c>
      <c r="B1679" s="459">
        <v>18</v>
      </c>
      <c r="C1679" s="459">
        <v>28</v>
      </c>
      <c r="D1679" s="460">
        <v>3</v>
      </c>
      <c r="E1679" s="460">
        <v>0</v>
      </c>
      <c r="G1679" s="1797"/>
      <c r="H1679" s="1777" t="s">
        <v>1238</v>
      </c>
      <c r="I1679" s="1742" t="s">
        <v>8654</v>
      </c>
      <c r="J1679" s="1779" t="s">
        <v>15</v>
      </c>
      <c r="K1679" s="1780"/>
      <c r="L1679" s="1781"/>
      <c r="M1679" s="1781"/>
      <c r="N1679" s="1746">
        <v>1200</v>
      </c>
      <c r="O1679" s="1782">
        <v>7.1643202522796004E-2</v>
      </c>
      <c r="P1679" s="1720"/>
    </row>
    <row r="1680" spans="1:16" ht="13.5" hidden="1" customHeight="1" outlineLevel="3" x14ac:dyDescent="0.2">
      <c r="A1680" s="459">
        <v>0</v>
      </c>
      <c r="B1680" s="459">
        <v>18</v>
      </c>
      <c r="C1680" s="459">
        <v>28</v>
      </c>
      <c r="D1680" s="460">
        <v>3</v>
      </c>
      <c r="E1680" s="460">
        <v>1</v>
      </c>
      <c r="G1680" s="1798" t="s">
        <v>52</v>
      </c>
      <c r="H1680" s="1783" t="s">
        <v>1239</v>
      </c>
      <c r="I1680" s="1750" t="s">
        <v>8655</v>
      </c>
      <c r="J1680" s="1785" t="s">
        <v>845</v>
      </c>
      <c r="K1680" s="1786" t="s">
        <v>534</v>
      </c>
      <c r="L1680" s="1787">
        <v>4</v>
      </c>
      <c r="M1680" s="1787">
        <v>300</v>
      </c>
      <c r="N1680" s="1754">
        <v>1200</v>
      </c>
      <c r="O1680" s="1788" t="s">
        <v>3252</v>
      </c>
      <c r="P1680" s="1721" t="s">
        <v>9611</v>
      </c>
    </row>
    <row r="1681" spans="1:16" ht="13.5" hidden="1" customHeight="1" outlineLevel="1" x14ac:dyDescent="0.2">
      <c r="A1681" s="459">
        <v>0</v>
      </c>
      <c r="B1681" s="459">
        <v>18</v>
      </c>
      <c r="C1681" s="459">
        <v>29</v>
      </c>
      <c r="D1681" s="460">
        <v>0</v>
      </c>
      <c r="E1681" s="460">
        <v>1</v>
      </c>
      <c r="G1681" s="1796"/>
      <c r="H1681" s="1771" t="s">
        <v>39</v>
      </c>
      <c r="I1681" s="1735" t="s">
        <v>8656</v>
      </c>
      <c r="J1681" s="1773" t="s">
        <v>5536</v>
      </c>
      <c r="K1681" s="1774"/>
      <c r="L1681" s="1775"/>
      <c r="M1681" s="1775"/>
      <c r="N1681" s="1739"/>
      <c r="O1681" s="1776"/>
      <c r="P1681" s="1719"/>
    </row>
    <row r="1682" spans="1:16" ht="13.5" hidden="1" customHeight="1" outlineLevel="2" x14ac:dyDescent="0.2">
      <c r="A1682" s="459">
        <v>0</v>
      </c>
      <c r="B1682" s="459">
        <v>18</v>
      </c>
      <c r="C1682" s="459">
        <v>29</v>
      </c>
      <c r="D1682" s="460">
        <v>1</v>
      </c>
      <c r="E1682" s="460">
        <v>0</v>
      </c>
      <c r="G1682" s="1797"/>
      <c r="H1682" s="1777" t="s">
        <v>1238</v>
      </c>
      <c r="I1682" s="1742" t="s">
        <v>8657</v>
      </c>
      <c r="J1682" s="1779" t="s">
        <v>2747</v>
      </c>
      <c r="K1682" s="1780"/>
      <c r="L1682" s="1781"/>
      <c r="M1682" s="1781"/>
      <c r="N1682" s="1746">
        <v>4735.3050000000003</v>
      </c>
      <c r="O1682" s="1782"/>
      <c r="P1682" s="1720"/>
    </row>
    <row r="1683" spans="1:16" ht="13.5" hidden="1" customHeight="1" outlineLevel="3" x14ac:dyDescent="0.2">
      <c r="A1683" s="459">
        <v>0</v>
      </c>
      <c r="B1683" s="459">
        <v>18</v>
      </c>
      <c r="C1683" s="459">
        <v>29</v>
      </c>
      <c r="D1683" s="460">
        <v>1</v>
      </c>
      <c r="E1683" s="460">
        <v>1</v>
      </c>
      <c r="G1683" s="1798" t="s">
        <v>52</v>
      </c>
      <c r="H1683" s="1783" t="s">
        <v>1239</v>
      </c>
      <c r="I1683" s="1750" t="s">
        <v>8658</v>
      </c>
      <c r="J1683" s="1785" t="s">
        <v>3530</v>
      </c>
      <c r="K1683" s="1786" t="s">
        <v>788</v>
      </c>
      <c r="L1683" s="1787">
        <v>15.299999999999999</v>
      </c>
      <c r="M1683" s="1787">
        <v>66.849999999999994</v>
      </c>
      <c r="N1683" s="1754">
        <v>1022.8049999999999</v>
      </c>
      <c r="O1683" s="1788" t="s">
        <v>3252</v>
      </c>
      <c r="P1683" s="1721" t="s">
        <v>9611</v>
      </c>
    </row>
    <row r="1684" spans="1:16" ht="13.5" hidden="1" customHeight="1" outlineLevel="3" x14ac:dyDescent="0.2">
      <c r="A1684" s="459">
        <v>0</v>
      </c>
      <c r="B1684" s="459">
        <v>18</v>
      </c>
      <c r="C1684" s="459">
        <v>29</v>
      </c>
      <c r="D1684" s="460">
        <v>1</v>
      </c>
      <c r="E1684" s="460">
        <v>2</v>
      </c>
      <c r="G1684" s="1798" t="s">
        <v>52</v>
      </c>
      <c r="H1684" s="1783" t="s">
        <v>1239</v>
      </c>
      <c r="I1684" s="1750" t="s">
        <v>8659</v>
      </c>
      <c r="J1684" s="1785" t="s">
        <v>1960</v>
      </c>
      <c r="K1684" s="1786" t="s">
        <v>534</v>
      </c>
      <c r="L1684" s="1787">
        <v>3</v>
      </c>
      <c r="M1684" s="1787">
        <v>1237.5</v>
      </c>
      <c r="N1684" s="1754">
        <v>3712.5</v>
      </c>
      <c r="O1684" s="1788" t="s">
        <v>3252</v>
      </c>
      <c r="P1684" s="1721" t="s">
        <v>9611</v>
      </c>
    </row>
    <row r="1685" spans="1:16" ht="13.5" hidden="1" customHeight="1" outlineLevel="2" x14ac:dyDescent="0.2">
      <c r="A1685" s="459">
        <v>0</v>
      </c>
      <c r="B1685" s="459">
        <v>18</v>
      </c>
      <c r="C1685" s="459">
        <v>29</v>
      </c>
      <c r="D1685" s="460">
        <v>2</v>
      </c>
      <c r="E1685" s="460">
        <v>0</v>
      </c>
      <c r="G1685" s="1797"/>
      <c r="H1685" s="1777" t="s">
        <v>1238</v>
      </c>
      <c r="I1685" s="1742" t="s">
        <v>8660</v>
      </c>
      <c r="J1685" s="1779" t="s">
        <v>1953</v>
      </c>
      <c r="K1685" s="1780"/>
      <c r="L1685" s="1781"/>
      <c r="M1685" s="1781"/>
      <c r="N1685" s="1746"/>
      <c r="O1685" s="1782"/>
      <c r="P1685" s="1720"/>
    </row>
    <row r="1686" spans="1:16" ht="13.5" hidden="1" customHeight="1" outlineLevel="3" x14ac:dyDescent="0.2">
      <c r="A1686" s="459">
        <v>0</v>
      </c>
      <c r="B1686" s="459">
        <v>18</v>
      </c>
      <c r="C1686" s="459">
        <v>29</v>
      </c>
      <c r="D1686" s="460">
        <v>2</v>
      </c>
      <c r="E1686" s="460">
        <v>1</v>
      </c>
      <c r="G1686" s="1798" t="s">
        <v>52</v>
      </c>
      <c r="H1686" s="1783" t="s">
        <v>1239</v>
      </c>
      <c r="I1686" s="1750" t="s">
        <v>8661</v>
      </c>
      <c r="J1686" s="1785" t="s">
        <v>3254</v>
      </c>
      <c r="K1686" s="1786" t="s">
        <v>788</v>
      </c>
      <c r="L1686" s="1787" t="e">
        <v>#REF!</v>
      </c>
      <c r="M1686" s="1787">
        <v>820</v>
      </c>
      <c r="N1686" s="1754"/>
      <c r="O1686" s="1788" t="s">
        <v>3251</v>
      </c>
      <c r="P1686" s="1721" t="s">
        <v>9611</v>
      </c>
    </row>
    <row r="1687" spans="1:16" ht="13.5" hidden="1" customHeight="1" outlineLevel="3" x14ac:dyDescent="0.2">
      <c r="A1687" s="459">
        <v>0</v>
      </c>
      <c r="B1687" s="459">
        <v>18</v>
      </c>
      <c r="C1687" s="459">
        <v>29</v>
      </c>
      <c r="D1687" s="460">
        <v>2</v>
      </c>
      <c r="E1687" s="460">
        <v>2</v>
      </c>
      <c r="G1687" s="1798" t="s">
        <v>52</v>
      </c>
      <c r="H1687" s="1783" t="s">
        <v>1239</v>
      </c>
      <c r="I1687" s="1750" t="s">
        <v>8662</v>
      </c>
      <c r="J1687" s="1785" t="s">
        <v>3255</v>
      </c>
      <c r="K1687" s="1786" t="s">
        <v>788</v>
      </c>
      <c r="L1687" s="1787" t="e">
        <v>#REF!</v>
      </c>
      <c r="M1687" s="1787">
        <v>520</v>
      </c>
      <c r="N1687" s="1754"/>
      <c r="O1687" s="1788" t="s">
        <v>3251</v>
      </c>
      <c r="P1687" s="1721" t="s">
        <v>9611</v>
      </c>
    </row>
    <row r="1688" spans="1:16" ht="12.75" hidden="1" customHeight="1" outlineLevel="2" x14ac:dyDescent="0.2">
      <c r="A1688" s="459">
        <v>0</v>
      </c>
      <c r="B1688" s="459">
        <v>18</v>
      </c>
      <c r="C1688" s="459">
        <v>29</v>
      </c>
      <c r="D1688" s="460">
        <v>3</v>
      </c>
      <c r="E1688" s="460">
        <v>0</v>
      </c>
      <c r="G1688" s="1797"/>
      <c r="H1688" s="1777" t="s">
        <v>1238</v>
      </c>
      <c r="I1688" s="1742" t="s">
        <v>8663</v>
      </c>
      <c r="J1688" s="1779" t="s">
        <v>3257</v>
      </c>
      <c r="K1688" s="1780"/>
      <c r="L1688" s="1781"/>
      <c r="M1688" s="1781"/>
      <c r="N1688" s="1746"/>
      <c r="O1688" s="1782"/>
      <c r="P1688" s="1720"/>
    </row>
    <row r="1689" spans="1:16" ht="12.75" hidden="1" customHeight="1" outlineLevel="3" x14ac:dyDescent="0.2">
      <c r="A1689" s="459">
        <v>0</v>
      </c>
      <c r="B1689" s="459">
        <v>18</v>
      </c>
      <c r="C1689" s="459">
        <v>29</v>
      </c>
      <c r="D1689" s="460">
        <v>3</v>
      </c>
      <c r="E1689" s="460">
        <v>1</v>
      </c>
      <c r="G1689" s="1798" t="s">
        <v>52</v>
      </c>
      <c r="H1689" s="1783" t="s">
        <v>1239</v>
      </c>
      <c r="I1689" s="1750" t="s">
        <v>8664</v>
      </c>
      <c r="J1689" s="1785" t="s">
        <v>3256</v>
      </c>
      <c r="K1689" s="1786" t="s">
        <v>642</v>
      </c>
      <c r="L1689" s="1787" t="e">
        <v>#REF!</v>
      </c>
      <c r="M1689" s="1787">
        <v>1240</v>
      </c>
      <c r="N1689" s="1754"/>
      <c r="O1689" s="1788" t="s">
        <v>3251</v>
      </c>
      <c r="P1689" s="1721" t="s">
        <v>9611</v>
      </c>
    </row>
    <row r="1690" spans="1:16" ht="13.5" hidden="1" customHeight="1" outlineLevel="2" x14ac:dyDescent="0.2">
      <c r="A1690" s="459">
        <v>0</v>
      </c>
      <c r="B1690" s="459">
        <v>18</v>
      </c>
      <c r="C1690" s="459">
        <v>29</v>
      </c>
      <c r="D1690" s="460">
        <v>4</v>
      </c>
      <c r="E1690" s="460">
        <v>0</v>
      </c>
      <c r="G1690" s="1797"/>
      <c r="H1690" s="1777" t="s">
        <v>1238</v>
      </c>
      <c r="I1690" s="1742" t="s">
        <v>8665</v>
      </c>
      <c r="J1690" s="1779" t="s">
        <v>15</v>
      </c>
      <c r="K1690" s="1780"/>
      <c r="L1690" s="1781"/>
      <c r="M1690" s="1781"/>
      <c r="N1690" s="1746">
        <v>900</v>
      </c>
      <c r="O1690" s="1782">
        <v>5.3732401892097E-2</v>
      </c>
      <c r="P1690" s="1720"/>
    </row>
    <row r="1691" spans="1:16" ht="13.5" hidden="1" customHeight="1" outlineLevel="3" x14ac:dyDescent="0.2">
      <c r="A1691" s="459">
        <v>0</v>
      </c>
      <c r="B1691" s="459">
        <v>18</v>
      </c>
      <c r="C1691" s="459">
        <v>29</v>
      </c>
      <c r="D1691" s="460">
        <v>4</v>
      </c>
      <c r="E1691" s="460">
        <v>1</v>
      </c>
      <c r="G1691" s="1798" t="s">
        <v>52</v>
      </c>
      <c r="H1691" s="1783" t="s">
        <v>1239</v>
      </c>
      <c r="I1691" s="1750" t="s">
        <v>8666</v>
      </c>
      <c r="J1691" s="1785" t="s">
        <v>845</v>
      </c>
      <c r="K1691" s="1786" t="s">
        <v>534</v>
      </c>
      <c r="L1691" s="1787">
        <v>3</v>
      </c>
      <c r="M1691" s="1787">
        <v>300</v>
      </c>
      <c r="N1691" s="1754">
        <v>900</v>
      </c>
      <c r="O1691" s="1788" t="s">
        <v>3252</v>
      </c>
      <c r="P1691" s="1721" t="s">
        <v>9611</v>
      </c>
    </row>
    <row r="1692" spans="1:16" ht="13.5" hidden="1" customHeight="1" outlineLevel="1" x14ac:dyDescent="0.2">
      <c r="A1692" s="459">
        <v>0</v>
      </c>
      <c r="B1692" s="459">
        <v>18</v>
      </c>
      <c r="C1692" s="459">
        <v>30</v>
      </c>
      <c r="D1692" s="460">
        <v>0</v>
      </c>
      <c r="E1692" s="460">
        <v>1</v>
      </c>
      <c r="G1692" s="1796"/>
      <c r="H1692" s="1771" t="s">
        <v>39</v>
      </c>
      <c r="I1692" s="1735" t="s">
        <v>8667</v>
      </c>
      <c r="J1692" s="1773" t="s">
        <v>5537</v>
      </c>
      <c r="K1692" s="1774"/>
      <c r="L1692" s="1775"/>
      <c r="M1692" s="1775"/>
      <c r="N1692" s="1739"/>
      <c r="O1692" s="1776"/>
      <c r="P1692" s="1719"/>
    </row>
    <row r="1693" spans="1:16" ht="13.5" hidden="1" customHeight="1" outlineLevel="2" x14ac:dyDescent="0.2">
      <c r="A1693" s="459">
        <v>0</v>
      </c>
      <c r="B1693" s="459">
        <v>18</v>
      </c>
      <c r="C1693" s="459">
        <v>30</v>
      </c>
      <c r="D1693" s="460">
        <v>1</v>
      </c>
      <c r="E1693" s="460">
        <v>0</v>
      </c>
      <c r="G1693" s="1797"/>
      <c r="H1693" s="1777" t="s">
        <v>1238</v>
      </c>
      <c r="I1693" s="1742" t="s">
        <v>8668</v>
      </c>
      <c r="J1693" s="1779" t="s">
        <v>2747</v>
      </c>
      <c r="K1693" s="1780"/>
      <c r="L1693" s="1781"/>
      <c r="M1693" s="1781"/>
      <c r="N1693" s="1746">
        <v>3156.87</v>
      </c>
      <c r="O1693" s="1782"/>
      <c r="P1693" s="1720"/>
    </row>
    <row r="1694" spans="1:16" ht="13.5" hidden="1" customHeight="1" outlineLevel="3" x14ac:dyDescent="0.2">
      <c r="A1694" s="459">
        <v>0</v>
      </c>
      <c r="B1694" s="459">
        <v>18</v>
      </c>
      <c r="C1694" s="459">
        <v>30</v>
      </c>
      <c r="D1694" s="460">
        <v>1</v>
      </c>
      <c r="E1694" s="460">
        <v>1</v>
      </c>
      <c r="G1694" s="1798" t="s">
        <v>52</v>
      </c>
      <c r="H1694" s="1783" t="s">
        <v>1239</v>
      </c>
      <c r="I1694" s="1750" t="s">
        <v>8669</v>
      </c>
      <c r="J1694" s="1785" t="s">
        <v>3530</v>
      </c>
      <c r="K1694" s="1786" t="s">
        <v>788</v>
      </c>
      <c r="L1694" s="1787">
        <v>10.199999999999999</v>
      </c>
      <c r="M1694" s="1787">
        <v>66.849999999999994</v>
      </c>
      <c r="N1694" s="1754">
        <v>681.87</v>
      </c>
      <c r="O1694" s="1788" t="s">
        <v>3252</v>
      </c>
      <c r="P1694" s="1721" t="s">
        <v>9611</v>
      </c>
    </row>
    <row r="1695" spans="1:16" ht="13.5" hidden="1" customHeight="1" outlineLevel="3" x14ac:dyDescent="0.2">
      <c r="A1695" s="459">
        <v>0</v>
      </c>
      <c r="B1695" s="459">
        <v>18</v>
      </c>
      <c r="C1695" s="459">
        <v>30</v>
      </c>
      <c r="D1695" s="460">
        <v>1</v>
      </c>
      <c r="E1695" s="460">
        <v>2</v>
      </c>
      <c r="G1695" s="1798" t="s">
        <v>52</v>
      </c>
      <c r="H1695" s="1783" t="s">
        <v>1239</v>
      </c>
      <c r="I1695" s="1750" t="s">
        <v>8670</v>
      </c>
      <c r="J1695" s="1785" t="s">
        <v>1960</v>
      </c>
      <c r="K1695" s="1786" t="s">
        <v>534</v>
      </c>
      <c r="L1695" s="1787">
        <v>2</v>
      </c>
      <c r="M1695" s="1787">
        <v>1237.5</v>
      </c>
      <c r="N1695" s="1754">
        <v>2475</v>
      </c>
      <c r="O1695" s="1788" t="s">
        <v>3252</v>
      </c>
      <c r="P1695" s="1721" t="s">
        <v>9611</v>
      </c>
    </row>
    <row r="1696" spans="1:16" ht="13.5" hidden="1" customHeight="1" outlineLevel="2" x14ac:dyDescent="0.2">
      <c r="A1696" s="459">
        <v>0</v>
      </c>
      <c r="B1696" s="459">
        <v>18</v>
      </c>
      <c r="C1696" s="459">
        <v>30</v>
      </c>
      <c r="D1696" s="460">
        <v>2</v>
      </c>
      <c r="E1696" s="460">
        <v>0</v>
      </c>
      <c r="G1696" s="1797"/>
      <c r="H1696" s="1777" t="s">
        <v>1238</v>
      </c>
      <c r="I1696" s="1742" t="s">
        <v>8671</v>
      </c>
      <c r="J1696" s="1779" t="s">
        <v>1953</v>
      </c>
      <c r="K1696" s="1780"/>
      <c r="L1696" s="1781"/>
      <c r="M1696" s="1781"/>
      <c r="N1696" s="1746"/>
      <c r="O1696" s="1782"/>
      <c r="P1696" s="1720"/>
    </row>
    <row r="1697" spans="1:16" ht="13.5" hidden="1" customHeight="1" outlineLevel="3" x14ac:dyDescent="0.2">
      <c r="A1697" s="459">
        <v>0</v>
      </c>
      <c r="B1697" s="459">
        <v>18</v>
      </c>
      <c r="C1697" s="459">
        <v>30</v>
      </c>
      <c r="D1697" s="460">
        <v>2</v>
      </c>
      <c r="E1697" s="460">
        <v>1</v>
      </c>
      <c r="G1697" s="1798" t="s">
        <v>52</v>
      </c>
      <c r="H1697" s="1783" t="s">
        <v>1239</v>
      </c>
      <c r="I1697" s="1750" t="s">
        <v>8672</v>
      </c>
      <c r="J1697" s="1785" t="s">
        <v>3254</v>
      </c>
      <c r="K1697" s="1786" t="s">
        <v>788</v>
      </c>
      <c r="L1697" s="1787" t="e">
        <v>#REF!</v>
      </c>
      <c r="M1697" s="1787">
        <v>820</v>
      </c>
      <c r="N1697" s="1754"/>
      <c r="O1697" s="1788" t="s">
        <v>3251</v>
      </c>
      <c r="P1697" s="1721" t="s">
        <v>9611</v>
      </c>
    </row>
    <row r="1698" spans="1:16" ht="13.5" hidden="1" customHeight="1" outlineLevel="3" x14ac:dyDescent="0.2">
      <c r="A1698" s="459">
        <v>0</v>
      </c>
      <c r="B1698" s="459">
        <v>18</v>
      </c>
      <c r="C1698" s="459">
        <v>30</v>
      </c>
      <c r="D1698" s="460">
        <v>2</v>
      </c>
      <c r="E1698" s="460">
        <v>2</v>
      </c>
      <c r="G1698" s="1798" t="s">
        <v>52</v>
      </c>
      <c r="H1698" s="1783" t="s">
        <v>1239</v>
      </c>
      <c r="I1698" s="1750" t="s">
        <v>8673</v>
      </c>
      <c r="J1698" s="1785" t="s">
        <v>3255</v>
      </c>
      <c r="K1698" s="1786" t="s">
        <v>788</v>
      </c>
      <c r="L1698" s="1787" t="e">
        <v>#REF!</v>
      </c>
      <c r="M1698" s="1787">
        <v>520</v>
      </c>
      <c r="N1698" s="1754"/>
      <c r="O1698" s="1788" t="s">
        <v>3251</v>
      </c>
      <c r="P1698" s="1721" t="s">
        <v>9611</v>
      </c>
    </row>
    <row r="1699" spans="1:16" ht="12.75" hidden="1" customHeight="1" outlineLevel="2" x14ac:dyDescent="0.2">
      <c r="A1699" s="459">
        <v>0</v>
      </c>
      <c r="B1699" s="459">
        <v>18</v>
      </c>
      <c r="C1699" s="459">
        <v>30</v>
      </c>
      <c r="D1699" s="460">
        <v>3</v>
      </c>
      <c r="E1699" s="460">
        <v>0</v>
      </c>
      <c r="G1699" s="1797"/>
      <c r="H1699" s="1777" t="s">
        <v>1238</v>
      </c>
      <c r="I1699" s="1742" t="s">
        <v>8674</v>
      </c>
      <c r="J1699" s="1779" t="s">
        <v>3257</v>
      </c>
      <c r="K1699" s="1780"/>
      <c r="L1699" s="1781"/>
      <c r="M1699" s="1781"/>
      <c r="N1699" s="1746"/>
      <c r="O1699" s="1782"/>
      <c r="P1699" s="1720"/>
    </row>
    <row r="1700" spans="1:16" ht="12.75" hidden="1" customHeight="1" outlineLevel="3" x14ac:dyDescent="0.2">
      <c r="A1700" s="459">
        <v>0</v>
      </c>
      <c r="B1700" s="459">
        <v>18</v>
      </c>
      <c r="C1700" s="459">
        <v>30</v>
      </c>
      <c r="D1700" s="460">
        <v>3</v>
      </c>
      <c r="E1700" s="460">
        <v>1</v>
      </c>
      <c r="G1700" s="1798" t="s">
        <v>52</v>
      </c>
      <c r="H1700" s="1783" t="s">
        <v>1239</v>
      </c>
      <c r="I1700" s="1750" t="s">
        <v>8675</v>
      </c>
      <c r="J1700" s="1785" t="s">
        <v>3256</v>
      </c>
      <c r="K1700" s="1786" t="s">
        <v>642</v>
      </c>
      <c r="L1700" s="1787" t="e">
        <v>#REF!</v>
      </c>
      <c r="M1700" s="1787">
        <v>1240</v>
      </c>
      <c r="N1700" s="1754"/>
      <c r="O1700" s="1788" t="s">
        <v>3251</v>
      </c>
      <c r="P1700" s="1721" t="s">
        <v>9611</v>
      </c>
    </row>
    <row r="1701" spans="1:16" ht="13.5" hidden="1" customHeight="1" outlineLevel="2" x14ac:dyDescent="0.2">
      <c r="A1701" s="459">
        <v>0</v>
      </c>
      <c r="B1701" s="459">
        <v>18</v>
      </c>
      <c r="C1701" s="459">
        <v>30</v>
      </c>
      <c r="D1701" s="460">
        <v>4</v>
      </c>
      <c r="E1701" s="460">
        <v>0</v>
      </c>
      <c r="G1701" s="1797"/>
      <c r="H1701" s="1777" t="s">
        <v>1238</v>
      </c>
      <c r="I1701" s="1742" t="s">
        <v>8676</v>
      </c>
      <c r="J1701" s="1779" t="s">
        <v>15</v>
      </c>
      <c r="K1701" s="1780"/>
      <c r="L1701" s="1781"/>
      <c r="M1701" s="1781"/>
      <c r="N1701" s="1746">
        <v>600</v>
      </c>
      <c r="O1701" s="1782">
        <v>3.5821601261398002E-2</v>
      </c>
      <c r="P1701" s="1720"/>
    </row>
    <row r="1702" spans="1:16" ht="13.5" hidden="1" customHeight="1" outlineLevel="3" x14ac:dyDescent="0.2">
      <c r="A1702" s="459">
        <v>0</v>
      </c>
      <c r="B1702" s="459">
        <v>18</v>
      </c>
      <c r="C1702" s="459">
        <v>30</v>
      </c>
      <c r="D1702" s="460">
        <v>4</v>
      </c>
      <c r="E1702" s="460">
        <v>1</v>
      </c>
      <c r="G1702" s="1798" t="s">
        <v>52</v>
      </c>
      <c r="H1702" s="1783" t="s">
        <v>1239</v>
      </c>
      <c r="I1702" s="1750" t="s">
        <v>8677</v>
      </c>
      <c r="J1702" s="1785" t="s">
        <v>845</v>
      </c>
      <c r="K1702" s="1786" t="s">
        <v>534</v>
      </c>
      <c r="L1702" s="1787">
        <v>2</v>
      </c>
      <c r="M1702" s="1787">
        <v>300</v>
      </c>
      <c r="N1702" s="1754">
        <v>600</v>
      </c>
      <c r="O1702" s="1788" t="s">
        <v>3252</v>
      </c>
      <c r="P1702" s="1721" t="s">
        <v>9611</v>
      </c>
    </row>
    <row r="1703" spans="1:16" ht="13.5" hidden="1" customHeight="1" outlineLevel="1" x14ac:dyDescent="0.2">
      <c r="A1703" s="459">
        <v>0</v>
      </c>
      <c r="B1703" s="459">
        <v>18</v>
      </c>
      <c r="C1703" s="459">
        <v>31</v>
      </c>
      <c r="D1703" s="460">
        <v>0</v>
      </c>
      <c r="E1703" s="460">
        <v>1</v>
      </c>
      <c r="G1703" s="1796"/>
      <c r="H1703" s="1771" t="s">
        <v>39</v>
      </c>
      <c r="I1703" s="1735" t="s">
        <v>8678</v>
      </c>
      <c r="J1703" s="1773" t="s">
        <v>5538</v>
      </c>
      <c r="K1703" s="1774"/>
      <c r="L1703" s="1775"/>
      <c r="M1703" s="1775"/>
      <c r="N1703" s="1739"/>
      <c r="O1703" s="1776"/>
      <c r="P1703" s="1719"/>
    </row>
    <row r="1704" spans="1:16" ht="13.5" hidden="1" customHeight="1" outlineLevel="2" x14ac:dyDescent="0.2">
      <c r="A1704" s="459">
        <v>0</v>
      </c>
      <c r="B1704" s="459">
        <v>18</v>
      </c>
      <c r="C1704" s="459">
        <v>31</v>
      </c>
      <c r="D1704" s="460">
        <v>1</v>
      </c>
      <c r="E1704" s="460">
        <v>0</v>
      </c>
      <c r="G1704" s="1797"/>
      <c r="H1704" s="1777" t="s">
        <v>1238</v>
      </c>
      <c r="I1704" s="1742" t="s">
        <v>8679</v>
      </c>
      <c r="J1704" s="1779" t="s">
        <v>2747</v>
      </c>
      <c r="K1704" s="1780"/>
      <c r="L1704" s="1781"/>
      <c r="M1704" s="1781"/>
      <c r="N1704" s="1746">
        <v>2868.5</v>
      </c>
      <c r="O1704" s="1782"/>
      <c r="P1704" s="1720"/>
    </row>
    <row r="1705" spans="1:16" ht="13.5" hidden="1" customHeight="1" outlineLevel="3" x14ac:dyDescent="0.2">
      <c r="A1705" s="459">
        <v>0</v>
      </c>
      <c r="B1705" s="459">
        <v>18</v>
      </c>
      <c r="C1705" s="459">
        <v>31</v>
      </c>
      <c r="D1705" s="460">
        <v>1</v>
      </c>
      <c r="E1705" s="460">
        <v>1</v>
      </c>
      <c r="G1705" s="1798" t="s">
        <v>52</v>
      </c>
      <c r="H1705" s="1783" t="s">
        <v>1239</v>
      </c>
      <c r="I1705" s="1750" t="s">
        <v>8680</v>
      </c>
      <c r="J1705" s="1785" t="s">
        <v>3530</v>
      </c>
      <c r="K1705" s="1786" t="s">
        <v>788</v>
      </c>
      <c r="L1705" s="1787">
        <v>10</v>
      </c>
      <c r="M1705" s="1787">
        <v>66.849999999999994</v>
      </c>
      <c r="N1705" s="1754">
        <v>668.5</v>
      </c>
      <c r="O1705" s="1788" t="s">
        <v>3252</v>
      </c>
      <c r="P1705" s="1721" t="s">
        <v>9611</v>
      </c>
    </row>
    <row r="1706" spans="1:16" ht="13.5" hidden="1" customHeight="1" outlineLevel="3" x14ac:dyDescent="0.2">
      <c r="A1706" s="459">
        <v>0</v>
      </c>
      <c r="B1706" s="459">
        <v>18</v>
      </c>
      <c r="C1706" s="459">
        <v>31</v>
      </c>
      <c r="D1706" s="460">
        <v>1</v>
      </c>
      <c r="E1706" s="460">
        <v>2</v>
      </c>
      <c r="G1706" s="1798" t="s">
        <v>52</v>
      </c>
      <c r="H1706" s="1783" t="s">
        <v>1239</v>
      </c>
      <c r="I1706" s="1750" t="s">
        <v>8681</v>
      </c>
      <c r="J1706" s="1785" t="s">
        <v>837</v>
      </c>
      <c r="K1706" s="1786" t="s">
        <v>534</v>
      </c>
      <c r="L1706" s="1787">
        <v>2</v>
      </c>
      <c r="M1706" s="1787">
        <v>1100</v>
      </c>
      <c r="N1706" s="1754">
        <v>2200</v>
      </c>
      <c r="O1706" s="1788" t="s">
        <v>3252</v>
      </c>
      <c r="P1706" s="1721" t="s">
        <v>9611</v>
      </c>
    </row>
    <row r="1707" spans="1:16" ht="13.5" hidden="1" customHeight="1" outlineLevel="2" x14ac:dyDescent="0.2">
      <c r="A1707" s="459">
        <v>0</v>
      </c>
      <c r="B1707" s="459">
        <v>18</v>
      </c>
      <c r="C1707" s="459">
        <v>31</v>
      </c>
      <c r="D1707" s="460">
        <v>2</v>
      </c>
      <c r="E1707" s="460">
        <v>0</v>
      </c>
      <c r="G1707" s="1797"/>
      <c r="H1707" s="1777" t="s">
        <v>1238</v>
      </c>
      <c r="I1707" s="1742" t="s">
        <v>8682</v>
      </c>
      <c r="J1707" s="1779" t="s">
        <v>1953</v>
      </c>
      <c r="K1707" s="1780"/>
      <c r="L1707" s="1781"/>
      <c r="M1707" s="1781"/>
      <c r="N1707" s="1746"/>
      <c r="O1707" s="1782"/>
      <c r="P1707" s="1720"/>
    </row>
    <row r="1708" spans="1:16" ht="13.5" hidden="1" customHeight="1" outlineLevel="3" x14ac:dyDescent="0.2">
      <c r="A1708" s="459">
        <v>0</v>
      </c>
      <c r="B1708" s="459">
        <v>18</v>
      </c>
      <c r="C1708" s="459">
        <v>31</v>
      </c>
      <c r="D1708" s="460">
        <v>2</v>
      </c>
      <c r="E1708" s="460">
        <v>1</v>
      </c>
      <c r="G1708" s="1798" t="s">
        <v>52</v>
      </c>
      <c r="H1708" s="1783" t="s">
        <v>1239</v>
      </c>
      <c r="I1708" s="1750" t="s">
        <v>8683</v>
      </c>
      <c r="J1708" s="1785" t="s">
        <v>3254</v>
      </c>
      <c r="K1708" s="1786" t="s">
        <v>788</v>
      </c>
      <c r="L1708" s="1787" t="e">
        <v>#REF!</v>
      </c>
      <c r="M1708" s="1787">
        <v>820</v>
      </c>
      <c r="N1708" s="1754"/>
      <c r="O1708" s="1788" t="s">
        <v>3251</v>
      </c>
      <c r="P1708" s="1721" t="s">
        <v>9611</v>
      </c>
    </row>
    <row r="1709" spans="1:16" ht="13.5" hidden="1" customHeight="1" outlineLevel="3" x14ac:dyDescent="0.2">
      <c r="A1709" s="459">
        <v>0</v>
      </c>
      <c r="B1709" s="459">
        <v>18</v>
      </c>
      <c r="C1709" s="459">
        <v>31</v>
      </c>
      <c r="D1709" s="460">
        <v>2</v>
      </c>
      <c r="E1709" s="460">
        <v>2</v>
      </c>
      <c r="G1709" s="1798" t="s">
        <v>52</v>
      </c>
      <c r="H1709" s="1783" t="s">
        <v>1239</v>
      </c>
      <c r="I1709" s="1750" t="s">
        <v>8684</v>
      </c>
      <c r="J1709" s="1785" t="s">
        <v>3255</v>
      </c>
      <c r="K1709" s="1786" t="s">
        <v>788</v>
      </c>
      <c r="L1709" s="1787" t="e">
        <v>#REF!</v>
      </c>
      <c r="M1709" s="1787">
        <v>520</v>
      </c>
      <c r="N1709" s="1754"/>
      <c r="O1709" s="1788" t="s">
        <v>3251</v>
      </c>
      <c r="P1709" s="1721" t="s">
        <v>9611</v>
      </c>
    </row>
    <row r="1710" spans="1:16" ht="13.5" hidden="1" customHeight="1" outlineLevel="2" x14ac:dyDescent="0.2">
      <c r="A1710" s="459">
        <v>0</v>
      </c>
      <c r="B1710" s="459">
        <v>18</v>
      </c>
      <c r="C1710" s="459">
        <v>31</v>
      </c>
      <c r="D1710" s="460">
        <v>3</v>
      </c>
      <c r="E1710" s="460">
        <v>0</v>
      </c>
      <c r="G1710" s="1797"/>
      <c r="H1710" s="1777" t="s">
        <v>1238</v>
      </c>
      <c r="I1710" s="1742" t="s">
        <v>8685</v>
      </c>
      <c r="J1710" s="1779" t="s">
        <v>15</v>
      </c>
      <c r="K1710" s="1780"/>
      <c r="L1710" s="1781"/>
      <c r="M1710" s="1781"/>
      <c r="N1710" s="1746">
        <v>600</v>
      </c>
      <c r="O1710" s="1782">
        <v>3.5821601261398002E-2</v>
      </c>
      <c r="P1710" s="1720"/>
    </row>
    <row r="1711" spans="1:16" ht="13.5" hidden="1" customHeight="1" outlineLevel="3" x14ac:dyDescent="0.2">
      <c r="A1711" s="459">
        <v>0</v>
      </c>
      <c r="B1711" s="459">
        <v>18</v>
      </c>
      <c r="C1711" s="459">
        <v>31</v>
      </c>
      <c r="D1711" s="460">
        <v>3</v>
      </c>
      <c r="E1711" s="460">
        <v>1</v>
      </c>
      <c r="G1711" s="1798" t="s">
        <v>52</v>
      </c>
      <c r="H1711" s="1783" t="s">
        <v>1239</v>
      </c>
      <c r="I1711" s="1750" t="s">
        <v>8686</v>
      </c>
      <c r="J1711" s="1785" t="s">
        <v>845</v>
      </c>
      <c r="K1711" s="1786" t="s">
        <v>534</v>
      </c>
      <c r="L1711" s="1787">
        <v>2</v>
      </c>
      <c r="M1711" s="1787">
        <v>300</v>
      </c>
      <c r="N1711" s="1754">
        <v>600</v>
      </c>
      <c r="O1711" s="1788" t="s">
        <v>3252</v>
      </c>
      <c r="P1711" s="1721" t="s">
        <v>9611</v>
      </c>
    </row>
    <row r="1712" spans="1:16" ht="13.5" hidden="1" customHeight="1" outlineLevel="1" x14ac:dyDescent="0.2">
      <c r="A1712" s="459">
        <v>0</v>
      </c>
      <c r="B1712" s="459">
        <v>18</v>
      </c>
      <c r="C1712" s="459">
        <v>32</v>
      </c>
      <c r="D1712" s="460">
        <v>0</v>
      </c>
      <c r="E1712" s="460">
        <v>1</v>
      </c>
      <c r="G1712" s="1796"/>
      <c r="H1712" s="1771" t="s">
        <v>39</v>
      </c>
      <c r="I1712" s="1735" t="s">
        <v>8687</v>
      </c>
      <c r="J1712" s="1773" t="s">
        <v>5539</v>
      </c>
      <c r="K1712" s="1774"/>
      <c r="L1712" s="1775"/>
      <c r="M1712" s="1775"/>
      <c r="N1712" s="1739"/>
      <c r="O1712" s="1776"/>
      <c r="P1712" s="1719"/>
    </row>
    <row r="1713" spans="1:16" ht="13.5" hidden="1" customHeight="1" outlineLevel="2" x14ac:dyDescent="0.2">
      <c r="A1713" s="459">
        <v>0</v>
      </c>
      <c r="B1713" s="459">
        <v>18</v>
      </c>
      <c r="C1713" s="459">
        <v>32</v>
      </c>
      <c r="D1713" s="460">
        <v>1</v>
      </c>
      <c r="E1713" s="460">
        <v>0</v>
      </c>
      <c r="G1713" s="1797"/>
      <c r="H1713" s="1777" t="s">
        <v>1238</v>
      </c>
      <c r="I1713" s="1742" t="s">
        <v>8688</v>
      </c>
      <c r="J1713" s="1779" t="s">
        <v>2747</v>
      </c>
      <c r="K1713" s="1780"/>
      <c r="L1713" s="1781"/>
      <c r="M1713" s="1781"/>
      <c r="N1713" s="1746">
        <v>22948</v>
      </c>
      <c r="O1713" s="1782"/>
      <c r="P1713" s="1720"/>
    </row>
    <row r="1714" spans="1:16" ht="13.5" hidden="1" customHeight="1" outlineLevel="3" x14ac:dyDescent="0.2">
      <c r="A1714" s="459">
        <v>0</v>
      </c>
      <c r="B1714" s="459">
        <v>18</v>
      </c>
      <c r="C1714" s="459">
        <v>32</v>
      </c>
      <c r="D1714" s="460">
        <v>1</v>
      </c>
      <c r="E1714" s="460">
        <v>1</v>
      </c>
      <c r="G1714" s="1798" t="s">
        <v>52</v>
      </c>
      <c r="H1714" s="1783" t="s">
        <v>1239</v>
      </c>
      <c r="I1714" s="1750" t="s">
        <v>8689</v>
      </c>
      <c r="J1714" s="1785" t="s">
        <v>3530</v>
      </c>
      <c r="K1714" s="1786" t="s">
        <v>788</v>
      </c>
      <c r="L1714" s="1787">
        <v>80</v>
      </c>
      <c r="M1714" s="1787">
        <v>66.849999999999994</v>
      </c>
      <c r="N1714" s="1754">
        <v>5348</v>
      </c>
      <c r="O1714" s="1788" t="s">
        <v>3252</v>
      </c>
      <c r="P1714" s="1721" t="s">
        <v>9611</v>
      </c>
    </row>
    <row r="1715" spans="1:16" ht="13.5" hidden="1" customHeight="1" outlineLevel="3" x14ac:dyDescent="0.2">
      <c r="A1715" s="459">
        <v>0</v>
      </c>
      <c r="B1715" s="459">
        <v>18</v>
      </c>
      <c r="C1715" s="459">
        <v>32</v>
      </c>
      <c r="D1715" s="460">
        <v>1</v>
      </c>
      <c r="E1715" s="460">
        <v>2</v>
      </c>
      <c r="G1715" s="1798" t="s">
        <v>52</v>
      </c>
      <c r="H1715" s="1783" t="s">
        <v>1239</v>
      </c>
      <c r="I1715" s="1750" t="s">
        <v>8690</v>
      </c>
      <c r="J1715" s="1785" t="s">
        <v>837</v>
      </c>
      <c r="K1715" s="1786" t="s">
        <v>534</v>
      </c>
      <c r="L1715" s="1787">
        <v>16</v>
      </c>
      <c r="M1715" s="1787">
        <v>1100</v>
      </c>
      <c r="N1715" s="1754">
        <v>17600</v>
      </c>
      <c r="O1715" s="1788" t="s">
        <v>3252</v>
      </c>
      <c r="P1715" s="1721" t="s">
        <v>9611</v>
      </c>
    </row>
    <row r="1716" spans="1:16" ht="13.5" hidden="1" customHeight="1" outlineLevel="2" x14ac:dyDescent="0.2">
      <c r="A1716" s="459">
        <v>0</v>
      </c>
      <c r="B1716" s="459">
        <v>18</v>
      </c>
      <c r="C1716" s="459">
        <v>32</v>
      </c>
      <c r="D1716" s="460">
        <v>2</v>
      </c>
      <c r="E1716" s="460">
        <v>0</v>
      </c>
      <c r="G1716" s="1797"/>
      <c r="H1716" s="1777" t="s">
        <v>1238</v>
      </c>
      <c r="I1716" s="1742" t="s">
        <v>8691</v>
      </c>
      <c r="J1716" s="1779" t="s">
        <v>1953</v>
      </c>
      <c r="K1716" s="1780"/>
      <c r="L1716" s="1781"/>
      <c r="M1716" s="1781"/>
      <c r="N1716" s="1746"/>
      <c r="O1716" s="1782"/>
      <c r="P1716" s="1720"/>
    </row>
    <row r="1717" spans="1:16" ht="13.5" hidden="1" customHeight="1" outlineLevel="3" x14ac:dyDescent="0.2">
      <c r="A1717" s="459">
        <v>0</v>
      </c>
      <c r="B1717" s="459">
        <v>18</v>
      </c>
      <c r="C1717" s="459">
        <v>32</v>
      </c>
      <c r="D1717" s="460">
        <v>2</v>
      </c>
      <c r="E1717" s="460">
        <v>1</v>
      </c>
      <c r="G1717" s="1798" t="s">
        <v>52</v>
      </c>
      <c r="H1717" s="1783" t="s">
        <v>1239</v>
      </c>
      <c r="I1717" s="1750" t="s">
        <v>8692</v>
      </c>
      <c r="J1717" s="1785" t="s">
        <v>3254</v>
      </c>
      <c r="K1717" s="1786" t="s">
        <v>788</v>
      </c>
      <c r="L1717" s="1787" t="e">
        <v>#REF!</v>
      </c>
      <c r="M1717" s="1787">
        <v>820</v>
      </c>
      <c r="N1717" s="1754"/>
      <c r="O1717" s="1788" t="s">
        <v>3251</v>
      </c>
      <c r="P1717" s="1721" t="s">
        <v>9611</v>
      </c>
    </row>
    <row r="1718" spans="1:16" ht="13.5" hidden="1" customHeight="1" outlineLevel="3" x14ac:dyDescent="0.2">
      <c r="A1718" s="459">
        <v>0</v>
      </c>
      <c r="B1718" s="459">
        <v>18</v>
      </c>
      <c r="C1718" s="459">
        <v>32</v>
      </c>
      <c r="D1718" s="460">
        <v>2</v>
      </c>
      <c r="E1718" s="460">
        <v>2</v>
      </c>
      <c r="G1718" s="1798" t="s">
        <v>52</v>
      </c>
      <c r="H1718" s="1783" t="s">
        <v>1239</v>
      </c>
      <c r="I1718" s="1750" t="s">
        <v>8693</v>
      </c>
      <c r="J1718" s="1785" t="s">
        <v>3255</v>
      </c>
      <c r="K1718" s="1786" t="s">
        <v>788</v>
      </c>
      <c r="L1718" s="1787" t="e">
        <v>#REF!</v>
      </c>
      <c r="M1718" s="1787">
        <v>520</v>
      </c>
      <c r="N1718" s="1754"/>
      <c r="O1718" s="1788" t="s">
        <v>3251</v>
      </c>
      <c r="P1718" s="1721" t="s">
        <v>9611</v>
      </c>
    </row>
    <row r="1719" spans="1:16" ht="13.5" hidden="1" customHeight="1" outlineLevel="2" x14ac:dyDescent="0.2">
      <c r="A1719" s="459">
        <v>0</v>
      </c>
      <c r="B1719" s="459">
        <v>18</v>
      </c>
      <c r="C1719" s="459">
        <v>32</v>
      </c>
      <c r="D1719" s="460">
        <v>3</v>
      </c>
      <c r="E1719" s="460">
        <v>0</v>
      </c>
      <c r="G1719" s="1797"/>
      <c r="H1719" s="1777" t="s">
        <v>1238</v>
      </c>
      <c r="I1719" s="1742" t="s">
        <v>8694</v>
      </c>
      <c r="J1719" s="1779" t="s">
        <v>15</v>
      </c>
      <c r="K1719" s="1780"/>
      <c r="L1719" s="1781"/>
      <c r="M1719" s="1781"/>
      <c r="N1719" s="1746">
        <v>4800</v>
      </c>
      <c r="O1719" s="1782">
        <v>0.28657281009118402</v>
      </c>
      <c r="P1719" s="1720"/>
    </row>
    <row r="1720" spans="1:16" ht="13.5" hidden="1" customHeight="1" outlineLevel="3" x14ac:dyDescent="0.2">
      <c r="A1720" s="459">
        <v>0</v>
      </c>
      <c r="B1720" s="459">
        <v>18</v>
      </c>
      <c r="C1720" s="459">
        <v>32</v>
      </c>
      <c r="D1720" s="460">
        <v>3</v>
      </c>
      <c r="E1720" s="460">
        <v>1</v>
      </c>
      <c r="G1720" s="1798" t="s">
        <v>52</v>
      </c>
      <c r="H1720" s="1783" t="s">
        <v>1239</v>
      </c>
      <c r="I1720" s="1750" t="s">
        <v>8695</v>
      </c>
      <c r="J1720" s="1785" t="s">
        <v>845</v>
      </c>
      <c r="K1720" s="1786" t="s">
        <v>534</v>
      </c>
      <c r="L1720" s="1787">
        <v>16</v>
      </c>
      <c r="M1720" s="1787">
        <v>300</v>
      </c>
      <c r="N1720" s="1754">
        <v>4800</v>
      </c>
      <c r="O1720" s="1788" t="s">
        <v>3252</v>
      </c>
      <c r="P1720" s="1721" t="s">
        <v>9611</v>
      </c>
    </row>
    <row r="1721" spans="1:16" ht="13.5" hidden="1" customHeight="1" outlineLevel="1" x14ac:dyDescent="0.2">
      <c r="A1721" s="459">
        <v>0</v>
      </c>
      <c r="B1721" s="459">
        <v>18</v>
      </c>
      <c r="C1721" s="459">
        <v>33</v>
      </c>
      <c r="D1721" s="460">
        <v>0</v>
      </c>
      <c r="E1721" s="460">
        <v>1</v>
      </c>
      <c r="G1721" s="1796"/>
      <c r="H1721" s="1771" t="s">
        <v>39</v>
      </c>
      <c r="I1721" s="1735" t="s">
        <v>8696</v>
      </c>
      <c r="J1721" s="1773" t="s">
        <v>5540</v>
      </c>
      <c r="K1721" s="1774"/>
      <c r="L1721" s="1775"/>
      <c r="M1721" s="1775"/>
      <c r="N1721" s="1739"/>
      <c r="O1721" s="1776"/>
      <c r="P1721" s="1719"/>
    </row>
    <row r="1722" spans="1:16" ht="13.5" hidden="1" customHeight="1" outlineLevel="2" x14ac:dyDescent="0.2">
      <c r="A1722" s="459">
        <v>0</v>
      </c>
      <c r="B1722" s="459">
        <v>18</v>
      </c>
      <c r="C1722" s="459">
        <v>33</v>
      </c>
      <c r="D1722" s="460">
        <v>1</v>
      </c>
      <c r="E1722" s="460">
        <v>0</v>
      </c>
      <c r="G1722" s="1797"/>
      <c r="H1722" s="1777" t="s">
        <v>1238</v>
      </c>
      <c r="I1722" s="1742" t="s">
        <v>8697</v>
      </c>
      <c r="J1722" s="1779" t="s">
        <v>2747</v>
      </c>
      <c r="K1722" s="1780"/>
      <c r="L1722" s="1781"/>
      <c r="M1722" s="1781"/>
      <c r="N1722" s="1746">
        <v>63107</v>
      </c>
      <c r="O1722" s="1782"/>
      <c r="P1722" s="1720"/>
    </row>
    <row r="1723" spans="1:16" ht="13.5" hidden="1" customHeight="1" outlineLevel="3" x14ac:dyDescent="0.2">
      <c r="A1723" s="459">
        <v>0</v>
      </c>
      <c r="B1723" s="459">
        <v>18</v>
      </c>
      <c r="C1723" s="459">
        <v>33</v>
      </c>
      <c r="D1723" s="460">
        <v>1</v>
      </c>
      <c r="E1723" s="460">
        <v>1</v>
      </c>
      <c r="G1723" s="1798" t="s">
        <v>52</v>
      </c>
      <c r="H1723" s="1783" t="s">
        <v>1239</v>
      </c>
      <c r="I1723" s="1750" t="s">
        <v>8698</v>
      </c>
      <c r="J1723" s="1785" t="s">
        <v>3530</v>
      </c>
      <c r="K1723" s="1786" t="s">
        <v>788</v>
      </c>
      <c r="L1723" s="1787">
        <v>220</v>
      </c>
      <c r="M1723" s="1787">
        <v>66.849999999999994</v>
      </c>
      <c r="N1723" s="1754">
        <v>14707</v>
      </c>
      <c r="O1723" s="1788" t="s">
        <v>3252</v>
      </c>
      <c r="P1723" s="1721" t="s">
        <v>9611</v>
      </c>
    </row>
    <row r="1724" spans="1:16" ht="13.5" hidden="1" customHeight="1" outlineLevel="3" x14ac:dyDescent="0.2">
      <c r="A1724" s="459">
        <v>0</v>
      </c>
      <c r="B1724" s="459">
        <v>18</v>
      </c>
      <c r="C1724" s="459">
        <v>33</v>
      </c>
      <c r="D1724" s="460">
        <v>1</v>
      </c>
      <c r="E1724" s="460">
        <v>2</v>
      </c>
      <c r="G1724" s="1798" t="s">
        <v>52</v>
      </c>
      <c r="H1724" s="1783" t="s">
        <v>1239</v>
      </c>
      <c r="I1724" s="1750" t="s">
        <v>8699</v>
      </c>
      <c r="J1724" s="1785" t="s">
        <v>837</v>
      </c>
      <c r="K1724" s="1786" t="s">
        <v>534</v>
      </c>
      <c r="L1724" s="1787">
        <v>44</v>
      </c>
      <c r="M1724" s="1787">
        <v>1100</v>
      </c>
      <c r="N1724" s="1754">
        <v>48400</v>
      </c>
      <c r="O1724" s="1788" t="s">
        <v>3252</v>
      </c>
      <c r="P1724" s="1721" t="s">
        <v>9611</v>
      </c>
    </row>
    <row r="1725" spans="1:16" ht="13.5" hidden="1" customHeight="1" outlineLevel="2" x14ac:dyDescent="0.2">
      <c r="A1725" s="459">
        <v>0</v>
      </c>
      <c r="B1725" s="459">
        <v>18</v>
      </c>
      <c r="C1725" s="459">
        <v>33</v>
      </c>
      <c r="D1725" s="460">
        <v>2</v>
      </c>
      <c r="E1725" s="460">
        <v>0</v>
      </c>
      <c r="G1725" s="1797"/>
      <c r="H1725" s="1777" t="s">
        <v>1238</v>
      </c>
      <c r="I1725" s="1742" t="s">
        <v>8700</v>
      </c>
      <c r="J1725" s="1779" t="s">
        <v>1953</v>
      </c>
      <c r="K1725" s="1780"/>
      <c r="L1725" s="1781"/>
      <c r="M1725" s="1781"/>
      <c r="N1725" s="1746"/>
      <c r="O1725" s="1782"/>
      <c r="P1725" s="1720"/>
    </row>
    <row r="1726" spans="1:16" ht="13.5" hidden="1" customHeight="1" outlineLevel="3" x14ac:dyDescent="0.2">
      <c r="A1726" s="459">
        <v>0</v>
      </c>
      <c r="B1726" s="459">
        <v>18</v>
      </c>
      <c r="C1726" s="459">
        <v>33</v>
      </c>
      <c r="D1726" s="460">
        <v>2</v>
      </c>
      <c r="E1726" s="460">
        <v>1</v>
      </c>
      <c r="G1726" s="1798" t="s">
        <v>52</v>
      </c>
      <c r="H1726" s="1783" t="s">
        <v>1239</v>
      </c>
      <c r="I1726" s="1750" t="s">
        <v>8701</v>
      </c>
      <c r="J1726" s="1785" t="s">
        <v>3254</v>
      </c>
      <c r="K1726" s="1786" t="s">
        <v>788</v>
      </c>
      <c r="L1726" s="1787" t="e">
        <v>#REF!</v>
      </c>
      <c r="M1726" s="1787">
        <v>820</v>
      </c>
      <c r="N1726" s="1754"/>
      <c r="O1726" s="1788" t="s">
        <v>3251</v>
      </c>
      <c r="P1726" s="1721" t="s">
        <v>9611</v>
      </c>
    </row>
    <row r="1727" spans="1:16" ht="13.5" hidden="1" customHeight="1" outlineLevel="3" x14ac:dyDescent="0.2">
      <c r="A1727" s="459">
        <v>0</v>
      </c>
      <c r="B1727" s="459">
        <v>18</v>
      </c>
      <c r="C1727" s="459">
        <v>33</v>
      </c>
      <c r="D1727" s="460">
        <v>2</v>
      </c>
      <c r="E1727" s="460">
        <v>2</v>
      </c>
      <c r="G1727" s="1798" t="s">
        <v>52</v>
      </c>
      <c r="H1727" s="1783" t="s">
        <v>1239</v>
      </c>
      <c r="I1727" s="1750" t="s">
        <v>8702</v>
      </c>
      <c r="J1727" s="1785" t="s">
        <v>3255</v>
      </c>
      <c r="K1727" s="1786" t="s">
        <v>788</v>
      </c>
      <c r="L1727" s="1787" t="e">
        <v>#REF!</v>
      </c>
      <c r="M1727" s="1787">
        <v>520</v>
      </c>
      <c r="N1727" s="1754"/>
      <c r="O1727" s="1788" t="s">
        <v>3251</v>
      </c>
      <c r="P1727" s="1721" t="s">
        <v>9611</v>
      </c>
    </row>
    <row r="1728" spans="1:16" ht="13.5" hidden="1" customHeight="1" outlineLevel="2" x14ac:dyDescent="0.2">
      <c r="A1728" s="459">
        <v>0</v>
      </c>
      <c r="B1728" s="459">
        <v>18</v>
      </c>
      <c r="C1728" s="459">
        <v>33</v>
      </c>
      <c r="D1728" s="460">
        <v>3</v>
      </c>
      <c r="E1728" s="460">
        <v>0</v>
      </c>
      <c r="G1728" s="1797"/>
      <c r="H1728" s="1777" t="s">
        <v>1238</v>
      </c>
      <c r="I1728" s="1742" t="s">
        <v>8703</v>
      </c>
      <c r="J1728" s="1779" t="s">
        <v>15</v>
      </c>
      <c r="K1728" s="1780"/>
      <c r="L1728" s="1781"/>
      <c r="M1728" s="1781"/>
      <c r="N1728" s="1746">
        <v>13200</v>
      </c>
      <c r="O1728" s="1782">
        <v>0.788075227750756</v>
      </c>
      <c r="P1728" s="1720"/>
    </row>
    <row r="1729" spans="1:16" ht="13.5" hidden="1" customHeight="1" outlineLevel="3" x14ac:dyDescent="0.2">
      <c r="A1729" s="459">
        <v>0</v>
      </c>
      <c r="B1729" s="459">
        <v>18</v>
      </c>
      <c r="C1729" s="459">
        <v>33</v>
      </c>
      <c r="D1729" s="460">
        <v>3</v>
      </c>
      <c r="E1729" s="460">
        <v>1</v>
      </c>
      <c r="G1729" s="1798" t="s">
        <v>52</v>
      </c>
      <c r="H1729" s="1783" t="s">
        <v>1239</v>
      </c>
      <c r="I1729" s="1750" t="s">
        <v>8704</v>
      </c>
      <c r="J1729" s="1785" t="s">
        <v>845</v>
      </c>
      <c r="K1729" s="1786" t="s">
        <v>534</v>
      </c>
      <c r="L1729" s="1787">
        <v>44</v>
      </c>
      <c r="M1729" s="1787">
        <v>300</v>
      </c>
      <c r="N1729" s="1754">
        <v>13200</v>
      </c>
      <c r="O1729" s="1788" t="s">
        <v>3252</v>
      </c>
      <c r="P1729" s="1721" t="s">
        <v>9611</v>
      </c>
    </row>
    <row r="1730" spans="1:16" ht="13.5" hidden="1" customHeight="1" outlineLevel="1" x14ac:dyDescent="0.2">
      <c r="A1730" s="459">
        <v>0</v>
      </c>
      <c r="B1730" s="459">
        <v>18</v>
      </c>
      <c r="C1730" s="459">
        <v>34</v>
      </c>
      <c r="D1730" s="460">
        <v>0</v>
      </c>
      <c r="E1730" s="460">
        <v>1</v>
      </c>
      <c r="G1730" s="1796"/>
      <c r="H1730" s="1771" t="s">
        <v>39</v>
      </c>
      <c r="I1730" s="1735" t="s">
        <v>8705</v>
      </c>
      <c r="J1730" s="1773" t="s">
        <v>5541</v>
      </c>
      <c r="K1730" s="1774"/>
      <c r="L1730" s="1775"/>
      <c r="M1730" s="1775"/>
      <c r="N1730" s="1739"/>
      <c r="O1730" s="1776"/>
      <c r="P1730" s="1719"/>
    </row>
    <row r="1731" spans="1:16" ht="13.5" hidden="1" customHeight="1" outlineLevel="2" x14ac:dyDescent="0.2">
      <c r="A1731" s="459">
        <v>0</v>
      </c>
      <c r="B1731" s="459">
        <v>18</v>
      </c>
      <c r="C1731" s="459">
        <v>34</v>
      </c>
      <c r="D1731" s="460">
        <v>1</v>
      </c>
      <c r="E1731" s="460">
        <v>0</v>
      </c>
      <c r="G1731" s="1797"/>
      <c r="H1731" s="1777" t="s">
        <v>1238</v>
      </c>
      <c r="I1731" s="1742" t="s">
        <v>8706</v>
      </c>
      <c r="J1731" s="1779" t="s">
        <v>2747</v>
      </c>
      <c r="K1731" s="1780"/>
      <c r="L1731" s="1781"/>
      <c r="M1731" s="1781"/>
      <c r="N1731" s="1746">
        <v>2868.5</v>
      </c>
      <c r="O1731" s="1782"/>
      <c r="P1731" s="1720"/>
    </row>
    <row r="1732" spans="1:16" ht="13.5" hidden="1" customHeight="1" outlineLevel="3" x14ac:dyDescent="0.2">
      <c r="A1732" s="459">
        <v>0</v>
      </c>
      <c r="B1732" s="459">
        <v>18</v>
      </c>
      <c r="C1732" s="459">
        <v>34</v>
      </c>
      <c r="D1732" s="460">
        <v>1</v>
      </c>
      <c r="E1732" s="460">
        <v>1</v>
      </c>
      <c r="G1732" s="1798" t="s">
        <v>52</v>
      </c>
      <c r="H1732" s="1783" t="s">
        <v>1239</v>
      </c>
      <c r="I1732" s="1750" t="s">
        <v>8707</v>
      </c>
      <c r="J1732" s="1785" t="s">
        <v>3530</v>
      </c>
      <c r="K1732" s="1786" t="s">
        <v>788</v>
      </c>
      <c r="L1732" s="1787">
        <v>10</v>
      </c>
      <c r="M1732" s="1787">
        <v>66.849999999999994</v>
      </c>
      <c r="N1732" s="1754">
        <v>668.5</v>
      </c>
      <c r="O1732" s="1788" t="s">
        <v>3252</v>
      </c>
      <c r="P1732" s="1721" t="s">
        <v>9611</v>
      </c>
    </row>
    <row r="1733" spans="1:16" ht="13.5" hidden="1" customHeight="1" outlineLevel="3" x14ac:dyDescent="0.2">
      <c r="A1733" s="459">
        <v>0</v>
      </c>
      <c r="B1733" s="459">
        <v>18</v>
      </c>
      <c r="C1733" s="459">
        <v>34</v>
      </c>
      <c r="D1733" s="460">
        <v>1</v>
      </c>
      <c r="E1733" s="460">
        <v>2</v>
      </c>
      <c r="G1733" s="1798" t="s">
        <v>52</v>
      </c>
      <c r="H1733" s="1783" t="s">
        <v>1239</v>
      </c>
      <c r="I1733" s="1750" t="s">
        <v>8708</v>
      </c>
      <c r="J1733" s="1785" t="s">
        <v>837</v>
      </c>
      <c r="K1733" s="1786" t="s">
        <v>534</v>
      </c>
      <c r="L1733" s="1787">
        <v>2</v>
      </c>
      <c r="M1733" s="1787">
        <v>1100</v>
      </c>
      <c r="N1733" s="1754">
        <v>2200</v>
      </c>
      <c r="O1733" s="1788" t="s">
        <v>3252</v>
      </c>
      <c r="P1733" s="1721" t="s">
        <v>9611</v>
      </c>
    </row>
    <row r="1734" spans="1:16" ht="13.5" hidden="1" customHeight="1" outlineLevel="2" x14ac:dyDescent="0.2">
      <c r="A1734" s="459">
        <v>0</v>
      </c>
      <c r="B1734" s="459">
        <v>18</v>
      </c>
      <c r="C1734" s="459">
        <v>34</v>
      </c>
      <c r="D1734" s="460">
        <v>2</v>
      </c>
      <c r="E1734" s="460">
        <v>0</v>
      </c>
      <c r="G1734" s="1797"/>
      <c r="H1734" s="1777" t="s">
        <v>1238</v>
      </c>
      <c r="I1734" s="1742" t="s">
        <v>8709</v>
      </c>
      <c r="J1734" s="1779" t="s">
        <v>1953</v>
      </c>
      <c r="K1734" s="1780"/>
      <c r="L1734" s="1781"/>
      <c r="M1734" s="1781"/>
      <c r="N1734" s="1746"/>
      <c r="O1734" s="1782"/>
      <c r="P1734" s="1720"/>
    </row>
    <row r="1735" spans="1:16" ht="13.5" hidden="1" customHeight="1" outlineLevel="3" x14ac:dyDescent="0.2">
      <c r="A1735" s="459">
        <v>0</v>
      </c>
      <c r="B1735" s="459">
        <v>18</v>
      </c>
      <c r="C1735" s="459">
        <v>34</v>
      </c>
      <c r="D1735" s="460">
        <v>2</v>
      </c>
      <c r="E1735" s="460">
        <v>1</v>
      </c>
      <c r="G1735" s="1798" t="s">
        <v>52</v>
      </c>
      <c r="H1735" s="1783" t="s">
        <v>1239</v>
      </c>
      <c r="I1735" s="1750" t="s">
        <v>8710</v>
      </c>
      <c r="J1735" s="1785" t="s">
        <v>3254</v>
      </c>
      <c r="K1735" s="1786" t="s">
        <v>788</v>
      </c>
      <c r="L1735" s="1787" t="e">
        <v>#REF!</v>
      </c>
      <c r="M1735" s="1787">
        <v>820</v>
      </c>
      <c r="N1735" s="1754"/>
      <c r="O1735" s="1788" t="s">
        <v>3251</v>
      </c>
      <c r="P1735" s="1721" t="s">
        <v>9611</v>
      </c>
    </row>
    <row r="1736" spans="1:16" ht="13.5" hidden="1" customHeight="1" outlineLevel="3" x14ac:dyDescent="0.2">
      <c r="A1736" s="459">
        <v>0</v>
      </c>
      <c r="B1736" s="459">
        <v>18</v>
      </c>
      <c r="C1736" s="459">
        <v>34</v>
      </c>
      <c r="D1736" s="460">
        <v>2</v>
      </c>
      <c r="E1736" s="460">
        <v>2</v>
      </c>
      <c r="G1736" s="1798" t="s">
        <v>52</v>
      </c>
      <c r="H1736" s="1783" t="s">
        <v>1239</v>
      </c>
      <c r="I1736" s="1750" t="s">
        <v>8711</v>
      </c>
      <c r="J1736" s="1785" t="s">
        <v>3255</v>
      </c>
      <c r="K1736" s="1786" t="s">
        <v>788</v>
      </c>
      <c r="L1736" s="1787" t="e">
        <v>#REF!</v>
      </c>
      <c r="M1736" s="1787">
        <v>520</v>
      </c>
      <c r="N1736" s="1754"/>
      <c r="O1736" s="1788" t="s">
        <v>3251</v>
      </c>
      <c r="P1736" s="1721" t="s">
        <v>9611</v>
      </c>
    </row>
    <row r="1737" spans="1:16" ht="13.5" hidden="1" customHeight="1" outlineLevel="2" x14ac:dyDescent="0.2">
      <c r="A1737" s="459">
        <v>0</v>
      </c>
      <c r="B1737" s="459">
        <v>18</v>
      </c>
      <c r="C1737" s="459">
        <v>34</v>
      </c>
      <c r="D1737" s="460">
        <v>3</v>
      </c>
      <c r="E1737" s="460">
        <v>0</v>
      </c>
      <c r="G1737" s="1797"/>
      <c r="H1737" s="1777" t="s">
        <v>1238</v>
      </c>
      <c r="I1737" s="1742" t="s">
        <v>8712</v>
      </c>
      <c r="J1737" s="1779" t="s">
        <v>15</v>
      </c>
      <c r="K1737" s="1780"/>
      <c r="L1737" s="1781"/>
      <c r="M1737" s="1781"/>
      <c r="N1737" s="1746">
        <v>600</v>
      </c>
      <c r="O1737" s="1782">
        <v>3.5821601261398002E-2</v>
      </c>
      <c r="P1737" s="1720"/>
    </row>
    <row r="1738" spans="1:16" ht="13.5" hidden="1" customHeight="1" outlineLevel="3" x14ac:dyDescent="0.2">
      <c r="A1738" s="459">
        <v>0</v>
      </c>
      <c r="B1738" s="459">
        <v>18</v>
      </c>
      <c r="C1738" s="459">
        <v>34</v>
      </c>
      <c r="D1738" s="460">
        <v>3</v>
      </c>
      <c r="E1738" s="460">
        <v>1</v>
      </c>
      <c r="G1738" s="1798" t="s">
        <v>52</v>
      </c>
      <c r="H1738" s="1783" t="s">
        <v>1239</v>
      </c>
      <c r="I1738" s="1750" t="s">
        <v>8713</v>
      </c>
      <c r="J1738" s="1785" t="s">
        <v>845</v>
      </c>
      <c r="K1738" s="1786" t="s">
        <v>534</v>
      </c>
      <c r="L1738" s="1787">
        <v>2</v>
      </c>
      <c r="M1738" s="1787">
        <v>300</v>
      </c>
      <c r="N1738" s="1754">
        <v>600</v>
      </c>
      <c r="O1738" s="1788" t="s">
        <v>3252</v>
      </c>
      <c r="P1738" s="1721" t="s">
        <v>9611</v>
      </c>
    </row>
    <row r="1739" spans="1:16" ht="13.5" hidden="1" customHeight="1" outlineLevel="1" x14ac:dyDescent="0.2">
      <c r="A1739" s="459">
        <v>0</v>
      </c>
      <c r="B1739" s="459">
        <v>18</v>
      </c>
      <c r="C1739" s="459">
        <v>35</v>
      </c>
      <c r="D1739" s="460">
        <v>0</v>
      </c>
      <c r="E1739" s="460">
        <v>1</v>
      </c>
      <c r="G1739" s="1796"/>
      <c r="H1739" s="1771" t="s">
        <v>39</v>
      </c>
      <c r="I1739" s="1735" t="s">
        <v>8714</v>
      </c>
      <c r="J1739" s="1773" t="s">
        <v>5542</v>
      </c>
      <c r="K1739" s="1774"/>
      <c r="L1739" s="1775"/>
      <c r="M1739" s="1775"/>
      <c r="N1739" s="1739"/>
      <c r="O1739" s="1776"/>
      <c r="P1739" s="1719"/>
    </row>
    <row r="1740" spans="1:16" ht="13.5" hidden="1" customHeight="1" outlineLevel="2" x14ac:dyDescent="0.2">
      <c r="A1740" s="459">
        <v>0</v>
      </c>
      <c r="B1740" s="459">
        <v>18</v>
      </c>
      <c r="C1740" s="459">
        <v>35</v>
      </c>
      <c r="D1740" s="460">
        <v>1</v>
      </c>
      <c r="E1740" s="460">
        <v>0</v>
      </c>
      <c r="G1740" s="1797"/>
      <c r="H1740" s="1777" t="s">
        <v>1238</v>
      </c>
      <c r="I1740" s="1742" t="s">
        <v>8715</v>
      </c>
      <c r="J1740" s="1779" t="s">
        <v>2747</v>
      </c>
      <c r="K1740" s="1780"/>
      <c r="L1740" s="1781"/>
      <c r="M1740" s="1781"/>
      <c r="N1740" s="1746">
        <v>2868.5</v>
      </c>
      <c r="O1740" s="1782"/>
      <c r="P1740" s="1720"/>
    </row>
    <row r="1741" spans="1:16" ht="13.5" hidden="1" customHeight="1" outlineLevel="3" x14ac:dyDescent="0.2">
      <c r="A1741" s="459">
        <v>0</v>
      </c>
      <c r="B1741" s="459">
        <v>18</v>
      </c>
      <c r="C1741" s="459">
        <v>35</v>
      </c>
      <c r="D1741" s="460">
        <v>1</v>
      </c>
      <c r="E1741" s="460">
        <v>1</v>
      </c>
      <c r="G1741" s="1798" t="s">
        <v>52</v>
      </c>
      <c r="H1741" s="1783" t="s">
        <v>1239</v>
      </c>
      <c r="I1741" s="1750" t="s">
        <v>8716</v>
      </c>
      <c r="J1741" s="1785" t="s">
        <v>3530</v>
      </c>
      <c r="K1741" s="1786" t="s">
        <v>788</v>
      </c>
      <c r="L1741" s="1787">
        <v>10</v>
      </c>
      <c r="M1741" s="1787">
        <v>66.849999999999994</v>
      </c>
      <c r="N1741" s="1754">
        <v>668.5</v>
      </c>
      <c r="O1741" s="1788" t="s">
        <v>3252</v>
      </c>
      <c r="P1741" s="1721" t="s">
        <v>9611</v>
      </c>
    </row>
    <row r="1742" spans="1:16" ht="13.5" hidden="1" customHeight="1" outlineLevel="3" x14ac:dyDescent="0.2">
      <c r="A1742" s="459">
        <v>0</v>
      </c>
      <c r="B1742" s="459">
        <v>18</v>
      </c>
      <c r="C1742" s="459">
        <v>35</v>
      </c>
      <c r="D1742" s="460">
        <v>1</v>
      </c>
      <c r="E1742" s="460">
        <v>2</v>
      </c>
      <c r="G1742" s="1798" t="s">
        <v>52</v>
      </c>
      <c r="H1742" s="1783" t="s">
        <v>1239</v>
      </c>
      <c r="I1742" s="1750" t="s">
        <v>8717</v>
      </c>
      <c r="J1742" s="1785" t="s">
        <v>837</v>
      </c>
      <c r="K1742" s="1786" t="s">
        <v>534</v>
      </c>
      <c r="L1742" s="1787">
        <v>2</v>
      </c>
      <c r="M1742" s="1787">
        <v>1100</v>
      </c>
      <c r="N1742" s="1754">
        <v>2200</v>
      </c>
      <c r="O1742" s="1788" t="s">
        <v>3252</v>
      </c>
      <c r="P1742" s="1721" t="s">
        <v>9611</v>
      </c>
    </row>
    <row r="1743" spans="1:16" ht="13.5" hidden="1" customHeight="1" outlineLevel="2" x14ac:dyDescent="0.2">
      <c r="A1743" s="459">
        <v>0</v>
      </c>
      <c r="B1743" s="459">
        <v>18</v>
      </c>
      <c r="C1743" s="459">
        <v>35</v>
      </c>
      <c r="D1743" s="460">
        <v>2</v>
      </c>
      <c r="E1743" s="460">
        <v>0</v>
      </c>
      <c r="G1743" s="1797"/>
      <c r="H1743" s="1777" t="s">
        <v>1238</v>
      </c>
      <c r="I1743" s="1742" t="s">
        <v>8718</v>
      </c>
      <c r="J1743" s="1779" t="s">
        <v>1953</v>
      </c>
      <c r="K1743" s="1780"/>
      <c r="L1743" s="1781"/>
      <c r="M1743" s="1781"/>
      <c r="N1743" s="1746"/>
      <c r="O1743" s="1782"/>
      <c r="P1743" s="1720"/>
    </row>
    <row r="1744" spans="1:16" ht="13.5" hidden="1" customHeight="1" outlineLevel="3" x14ac:dyDescent="0.2">
      <c r="A1744" s="459">
        <v>0</v>
      </c>
      <c r="B1744" s="459">
        <v>18</v>
      </c>
      <c r="C1744" s="459">
        <v>35</v>
      </c>
      <c r="D1744" s="460">
        <v>2</v>
      </c>
      <c r="E1744" s="460">
        <v>1</v>
      </c>
      <c r="G1744" s="1798" t="s">
        <v>52</v>
      </c>
      <c r="H1744" s="1783" t="s">
        <v>1239</v>
      </c>
      <c r="I1744" s="1750" t="s">
        <v>8719</v>
      </c>
      <c r="J1744" s="1785" t="s">
        <v>3254</v>
      </c>
      <c r="K1744" s="1786" t="s">
        <v>788</v>
      </c>
      <c r="L1744" s="1787" t="e">
        <v>#REF!</v>
      </c>
      <c r="M1744" s="1787">
        <v>820</v>
      </c>
      <c r="N1744" s="1754"/>
      <c r="O1744" s="1788" t="s">
        <v>3251</v>
      </c>
      <c r="P1744" s="1721" t="s">
        <v>9611</v>
      </c>
    </row>
    <row r="1745" spans="1:16" ht="13.5" hidden="1" customHeight="1" outlineLevel="3" x14ac:dyDescent="0.2">
      <c r="A1745" s="459">
        <v>0</v>
      </c>
      <c r="B1745" s="459">
        <v>18</v>
      </c>
      <c r="C1745" s="459">
        <v>35</v>
      </c>
      <c r="D1745" s="460">
        <v>2</v>
      </c>
      <c r="E1745" s="460">
        <v>2</v>
      </c>
      <c r="G1745" s="1798" t="s">
        <v>52</v>
      </c>
      <c r="H1745" s="1783" t="s">
        <v>1239</v>
      </c>
      <c r="I1745" s="1750" t="s">
        <v>8720</v>
      </c>
      <c r="J1745" s="1785" t="s">
        <v>3255</v>
      </c>
      <c r="K1745" s="1786" t="s">
        <v>788</v>
      </c>
      <c r="L1745" s="1787" t="e">
        <v>#REF!</v>
      </c>
      <c r="M1745" s="1787">
        <v>520</v>
      </c>
      <c r="N1745" s="1754"/>
      <c r="O1745" s="1788" t="s">
        <v>3251</v>
      </c>
      <c r="P1745" s="1721" t="s">
        <v>9611</v>
      </c>
    </row>
    <row r="1746" spans="1:16" ht="12.75" hidden="1" customHeight="1" outlineLevel="2" x14ac:dyDescent="0.2">
      <c r="A1746" s="459">
        <v>0</v>
      </c>
      <c r="B1746" s="459">
        <v>18</v>
      </c>
      <c r="C1746" s="459">
        <v>35</v>
      </c>
      <c r="D1746" s="460">
        <v>3</v>
      </c>
      <c r="E1746" s="460">
        <v>0</v>
      </c>
      <c r="G1746" s="1797"/>
      <c r="H1746" s="1777" t="s">
        <v>1238</v>
      </c>
      <c r="I1746" s="1742" t="s">
        <v>8721</v>
      </c>
      <c r="J1746" s="1779" t="s">
        <v>3257</v>
      </c>
      <c r="K1746" s="1780"/>
      <c r="L1746" s="1781"/>
      <c r="M1746" s="1781"/>
      <c r="N1746" s="1746"/>
      <c r="O1746" s="1782"/>
      <c r="P1746" s="1720"/>
    </row>
    <row r="1747" spans="1:16" ht="12.75" hidden="1" customHeight="1" outlineLevel="3" x14ac:dyDescent="0.2">
      <c r="A1747" s="459">
        <v>0</v>
      </c>
      <c r="B1747" s="459">
        <v>18</v>
      </c>
      <c r="C1747" s="459">
        <v>35</v>
      </c>
      <c r="D1747" s="460">
        <v>3</v>
      </c>
      <c r="E1747" s="460">
        <v>1</v>
      </c>
      <c r="G1747" s="1798" t="s">
        <v>52</v>
      </c>
      <c r="H1747" s="1783" t="s">
        <v>1239</v>
      </c>
      <c r="I1747" s="1750" t="s">
        <v>8722</v>
      </c>
      <c r="J1747" s="1785" t="s">
        <v>3256</v>
      </c>
      <c r="K1747" s="1786" t="s">
        <v>642</v>
      </c>
      <c r="L1747" s="1787" t="e">
        <v>#REF!</v>
      </c>
      <c r="M1747" s="1787">
        <v>1240</v>
      </c>
      <c r="N1747" s="1754"/>
      <c r="O1747" s="1788" t="s">
        <v>3251</v>
      </c>
      <c r="P1747" s="1721" t="s">
        <v>9611</v>
      </c>
    </row>
    <row r="1748" spans="1:16" ht="13.5" hidden="1" customHeight="1" outlineLevel="2" x14ac:dyDescent="0.2">
      <c r="A1748" s="459">
        <v>0</v>
      </c>
      <c r="B1748" s="459">
        <v>18</v>
      </c>
      <c r="C1748" s="459">
        <v>35</v>
      </c>
      <c r="D1748" s="460">
        <v>4</v>
      </c>
      <c r="E1748" s="460">
        <v>0</v>
      </c>
      <c r="G1748" s="1797"/>
      <c r="H1748" s="1777" t="s">
        <v>1238</v>
      </c>
      <c r="I1748" s="1742" t="s">
        <v>8723</v>
      </c>
      <c r="J1748" s="1779" t="s">
        <v>15</v>
      </c>
      <c r="K1748" s="1780"/>
      <c r="L1748" s="1781"/>
      <c r="M1748" s="1781"/>
      <c r="N1748" s="1746">
        <v>600</v>
      </c>
      <c r="O1748" s="1782">
        <v>3.5821601261398002E-2</v>
      </c>
      <c r="P1748" s="1720"/>
    </row>
    <row r="1749" spans="1:16" ht="13.5" hidden="1" customHeight="1" outlineLevel="3" x14ac:dyDescent="0.2">
      <c r="A1749" s="459">
        <v>0</v>
      </c>
      <c r="B1749" s="459">
        <v>18</v>
      </c>
      <c r="C1749" s="459">
        <v>35</v>
      </c>
      <c r="D1749" s="460">
        <v>4</v>
      </c>
      <c r="E1749" s="460">
        <v>1</v>
      </c>
      <c r="G1749" s="1798" t="s">
        <v>52</v>
      </c>
      <c r="H1749" s="1783" t="s">
        <v>1239</v>
      </c>
      <c r="I1749" s="1750" t="s">
        <v>8724</v>
      </c>
      <c r="J1749" s="1785" t="s">
        <v>845</v>
      </c>
      <c r="K1749" s="1786" t="s">
        <v>534</v>
      </c>
      <c r="L1749" s="1787">
        <v>2</v>
      </c>
      <c r="M1749" s="1787">
        <v>300</v>
      </c>
      <c r="N1749" s="1754">
        <v>600</v>
      </c>
      <c r="O1749" s="1788" t="s">
        <v>3252</v>
      </c>
      <c r="P1749" s="1721" t="s">
        <v>9611</v>
      </c>
    </row>
    <row r="1750" spans="1:16" ht="13.5" hidden="1" customHeight="1" outlineLevel="1" x14ac:dyDescent="0.2">
      <c r="A1750" s="459">
        <v>0</v>
      </c>
      <c r="B1750" s="459">
        <v>18</v>
      </c>
      <c r="C1750" s="459">
        <v>36</v>
      </c>
      <c r="D1750" s="460">
        <v>0</v>
      </c>
      <c r="E1750" s="460">
        <v>1</v>
      </c>
      <c r="G1750" s="1796"/>
      <c r="H1750" s="1771" t="s">
        <v>39</v>
      </c>
      <c r="I1750" s="1735" t="s">
        <v>8725</v>
      </c>
      <c r="J1750" s="1773" t="s">
        <v>5543</v>
      </c>
      <c r="K1750" s="1774"/>
      <c r="L1750" s="1775"/>
      <c r="M1750" s="1775"/>
      <c r="N1750" s="1739"/>
      <c r="O1750" s="1776"/>
      <c r="P1750" s="1719"/>
    </row>
    <row r="1751" spans="1:16" ht="13.5" hidden="1" customHeight="1" outlineLevel="2" x14ac:dyDescent="0.2">
      <c r="A1751" s="459">
        <v>0</v>
      </c>
      <c r="B1751" s="459">
        <v>18</v>
      </c>
      <c r="C1751" s="459">
        <v>36</v>
      </c>
      <c r="D1751" s="460">
        <v>1</v>
      </c>
      <c r="E1751" s="460">
        <v>0</v>
      </c>
      <c r="G1751" s="1797"/>
      <c r="H1751" s="1777" t="s">
        <v>1238</v>
      </c>
      <c r="I1751" s="1742" t="s">
        <v>8726</v>
      </c>
      <c r="J1751" s="1779" t="s">
        <v>2747</v>
      </c>
      <c r="K1751" s="1780"/>
      <c r="L1751" s="1781"/>
      <c r="M1751" s="1781"/>
      <c r="N1751" s="1746">
        <v>1434.25</v>
      </c>
      <c r="O1751" s="1782"/>
      <c r="P1751" s="1720"/>
    </row>
    <row r="1752" spans="1:16" ht="13.5" hidden="1" customHeight="1" outlineLevel="3" x14ac:dyDescent="0.2">
      <c r="A1752" s="459">
        <v>0</v>
      </c>
      <c r="B1752" s="459">
        <v>18</v>
      </c>
      <c r="C1752" s="459">
        <v>36</v>
      </c>
      <c r="D1752" s="460">
        <v>1</v>
      </c>
      <c r="E1752" s="460">
        <v>1</v>
      </c>
      <c r="G1752" s="1798" t="s">
        <v>52</v>
      </c>
      <c r="H1752" s="1783" t="s">
        <v>1239</v>
      </c>
      <c r="I1752" s="1750" t="s">
        <v>8727</v>
      </c>
      <c r="J1752" s="1785" t="s">
        <v>3530</v>
      </c>
      <c r="K1752" s="1786" t="s">
        <v>788</v>
      </c>
      <c r="L1752" s="1787">
        <v>5</v>
      </c>
      <c r="M1752" s="1787">
        <v>66.849999999999994</v>
      </c>
      <c r="N1752" s="1754">
        <v>334.25</v>
      </c>
      <c r="O1752" s="1788" t="s">
        <v>3252</v>
      </c>
      <c r="P1752" s="1721" t="s">
        <v>9611</v>
      </c>
    </row>
    <row r="1753" spans="1:16" ht="13.5" hidden="1" customHeight="1" outlineLevel="3" x14ac:dyDescent="0.2">
      <c r="A1753" s="459">
        <v>0</v>
      </c>
      <c r="B1753" s="459">
        <v>18</v>
      </c>
      <c r="C1753" s="459">
        <v>36</v>
      </c>
      <c r="D1753" s="460">
        <v>1</v>
      </c>
      <c r="E1753" s="460">
        <v>2</v>
      </c>
      <c r="G1753" s="1798" t="s">
        <v>52</v>
      </c>
      <c r="H1753" s="1783" t="s">
        <v>1239</v>
      </c>
      <c r="I1753" s="1750" t="s">
        <v>8728</v>
      </c>
      <c r="J1753" s="1785" t="s">
        <v>837</v>
      </c>
      <c r="K1753" s="1786" t="s">
        <v>534</v>
      </c>
      <c r="L1753" s="1787">
        <v>1</v>
      </c>
      <c r="M1753" s="1787">
        <v>1100</v>
      </c>
      <c r="N1753" s="1754">
        <v>1100</v>
      </c>
      <c r="O1753" s="1788" t="s">
        <v>3252</v>
      </c>
      <c r="P1753" s="1721" t="s">
        <v>9611</v>
      </c>
    </row>
    <row r="1754" spans="1:16" ht="12.75" hidden="1" customHeight="1" outlineLevel="2" x14ac:dyDescent="0.2">
      <c r="A1754" s="459">
        <v>0</v>
      </c>
      <c r="B1754" s="459">
        <v>18</v>
      </c>
      <c r="C1754" s="459">
        <v>36</v>
      </c>
      <c r="D1754" s="460">
        <v>2</v>
      </c>
      <c r="E1754" s="460">
        <v>0</v>
      </c>
      <c r="G1754" s="1797"/>
      <c r="H1754" s="1777" t="s">
        <v>1238</v>
      </c>
      <c r="I1754" s="1742" t="s">
        <v>8729</v>
      </c>
      <c r="J1754" s="1779" t="s">
        <v>3257</v>
      </c>
      <c r="K1754" s="1780"/>
      <c r="L1754" s="1781"/>
      <c r="M1754" s="1781"/>
      <c r="N1754" s="1746"/>
      <c r="O1754" s="1782"/>
      <c r="P1754" s="1720"/>
    </row>
    <row r="1755" spans="1:16" ht="12.75" hidden="1" customHeight="1" outlineLevel="3" x14ac:dyDescent="0.2">
      <c r="A1755" s="459">
        <v>0</v>
      </c>
      <c r="B1755" s="459">
        <v>18</v>
      </c>
      <c r="C1755" s="459">
        <v>36</v>
      </c>
      <c r="D1755" s="460">
        <v>2</v>
      </c>
      <c r="E1755" s="460">
        <v>1</v>
      </c>
      <c r="G1755" s="1798" t="s">
        <v>52</v>
      </c>
      <c r="H1755" s="1783" t="s">
        <v>1239</v>
      </c>
      <c r="I1755" s="1750" t="s">
        <v>8730</v>
      </c>
      <c r="J1755" s="1785" t="s">
        <v>3256</v>
      </c>
      <c r="K1755" s="1786" t="s">
        <v>642</v>
      </c>
      <c r="L1755" s="1787" t="e">
        <v>#REF!</v>
      </c>
      <c r="M1755" s="1787">
        <v>1240</v>
      </c>
      <c r="N1755" s="1754"/>
      <c r="O1755" s="1788" t="s">
        <v>3251</v>
      </c>
      <c r="P1755" s="1721" t="s">
        <v>9611</v>
      </c>
    </row>
    <row r="1756" spans="1:16" ht="12.75" hidden="1" customHeight="1" outlineLevel="2" x14ac:dyDescent="0.2">
      <c r="A1756" s="459">
        <v>0</v>
      </c>
      <c r="B1756" s="459">
        <v>18</v>
      </c>
      <c r="C1756" s="459">
        <v>36</v>
      </c>
      <c r="D1756" s="460">
        <v>3</v>
      </c>
      <c r="E1756" s="460">
        <v>0</v>
      </c>
      <c r="G1756" s="1797"/>
      <c r="H1756" s="1777" t="s">
        <v>1238</v>
      </c>
      <c r="I1756" s="1742" t="s">
        <v>8731</v>
      </c>
      <c r="J1756" s="1779" t="s">
        <v>30</v>
      </c>
      <c r="K1756" s="1780"/>
      <c r="L1756" s="1781"/>
      <c r="M1756" s="1781"/>
      <c r="N1756" s="1746">
        <v>2405</v>
      </c>
      <c r="O1756" s="1782"/>
      <c r="P1756" s="1720"/>
    </row>
    <row r="1757" spans="1:16" ht="12.75" hidden="1" customHeight="1" outlineLevel="3" x14ac:dyDescent="0.2">
      <c r="A1757" s="459">
        <v>0</v>
      </c>
      <c r="B1757" s="459">
        <v>18</v>
      </c>
      <c r="C1757" s="459">
        <v>36</v>
      </c>
      <c r="D1757" s="460">
        <v>3</v>
      </c>
      <c r="E1757" s="460">
        <v>1</v>
      </c>
      <c r="G1757" s="1798" t="s">
        <v>52</v>
      </c>
      <c r="H1757" s="1783" t="s">
        <v>1239</v>
      </c>
      <c r="I1757" s="1750" t="s">
        <v>8732</v>
      </c>
      <c r="J1757" s="1785" t="s">
        <v>843</v>
      </c>
      <c r="K1757" s="1786" t="s">
        <v>534</v>
      </c>
      <c r="L1757" s="1787">
        <v>1</v>
      </c>
      <c r="M1757" s="1787">
        <v>2405</v>
      </c>
      <c r="N1757" s="1754">
        <v>2405</v>
      </c>
      <c r="O1757" s="1788"/>
      <c r="P1757" s="1721" t="s">
        <v>9611</v>
      </c>
    </row>
    <row r="1758" spans="1:16" ht="13.5" hidden="1" customHeight="1" outlineLevel="2" x14ac:dyDescent="0.2">
      <c r="A1758" s="459">
        <v>0</v>
      </c>
      <c r="B1758" s="459">
        <v>18</v>
      </c>
      <c r="C1758" s="459">
        <v>36</v>
      </c>
      <c r="D1758" s="460">
        <v>4</v>
      </c>
      <c r="E1758" s="460">
        <v>0</v>
      </c>
      <c r="G1758" s="1797"/>
      <c r="H1758" s="1777" t="s">
        <v>1238</v>
      </c>
      <c r="I1758" s="1742" t="s">
        <v>8733</v>
      </c>
      <c r="J1758" s="1779" t="s">
        <v>15</v>
      </c>
      <c r="K1758" s="1780"/>
      <c r="L1758" s="1781"/>
      <c r="M1758" s="1781"/>
      <c r="N1758" s="1746">
        <v>300</v>
      </c>
      <c r="O1758" s="1782">
        <v>1.7910800630699001E-2</v>
      </c>
      <c r="P1758" s="1720"/>
    </row>
    <row r="1759" spans="1:16" ht="13.5" hidden="1" customHeight="1" outlineLevel="3" x14ac:dyDescent="0.2">
      <c r="A1759" s="459">
        <v>0</v>
      </c>
      <c r="B1759" s="459">
        <v>18</v>
      </c>
      <c r="C1759" s="459">
        <v>36</v>
      </c>
      <c r="D1759" s="460">
        <v>4</v>
      </c>
      <c r="E1759" s="460">
        <v>1</v>
      </c>
      <c r="G1759" s="1798" t="s">
        <v>52</v>
      </c>
      <c r="H1759" s="1783" t="s">
        <v>1239</v>
      </c>
      <c r="I1759" s="1750" t="s">
        <v>8734</v>
      </c>
      <c r="J1759" s="1785" t="s">
        <v>845</v>
      </c>
      <c r="K1759" s="1786" t="s">
        <v>534</v>
      </c>
      <c r="L1759" s="1787">
        <v>1</v>
      </c>
      <c r="M1759" s="1787">
        <v>300</v>
      </c>
      <c r="N1759" s="1754">
        <v>300</v>
      </c>
      <c r="O1759" s="1788" t="s">
        <v>3252</v>
      </c>
      <c r="P1759" s="1721" t="s">
        <v>9611</v>
      </c>
    </row>
    <row r="1760" spans="1:16" ht="13.9" customHeight="1" collapsed="1" x14ac:dyDescent="0.2">
      <c r="A1760" s="459">
        <v>0</v>
      </c>
      <c r="B1760" s="459">
        <v>19</v>
      </c>
      <c r="C1760" s="459">
        <v>0</v>
      </c>
      <c r="D1760" s="460">
        <v>4</v>
      </c>
      <c r="E1760" s="460">
        <v>1</v>
      </c>
      <c r="F1760" s="569"/>
      <c r="G1760" s="1794"/>
      <c r="H1760" s="1766" t="s">
        <v>1237</v>
      </c>
      <c r="I1760" s="1728" t="s">
        <v>8735</v>
      </c>
      <c r="J1760" s="1795" t="s">
        <v>53</v>
      </c>
      <c r="K1760" s="1768"/>
      <c r="L1760" s="1769"/>
      <c r="M1760" s="1769"/>
      <c r="N1760" s="1732">
        <v>500535.85</v>
      </c>
      <c r="O1760" s="1770">
        <v>29.8833260595582</v>
      </c>
      <c r="P1760" s="1724"/>
    </row>
    <row r="1761" spans="1:16" ht="13.9" hidden="1" customHeight="1" outlineLevel="1" x14ac:dyDescent="0.2">
      <c r="A1761" s="459">
        <v>0</v>
      </c>
      <c r="B1761" s="459">
        <v>19</v>
      </c>
      <c r="C1761" s="459">
        <v>1</v>
      </c>
      <c r="D1761" s="460">
        <v>0</v>
      </c>
      <c r="E1761" s="460">
        <v>1</v>
      </c>
      <c r="F1761" s="569"/>
      <c r="G1761" s="1796"/>
      <c r="H1761" s="1771" t="s">
        <v>39</v>
      </c>
      <c r="I1761" s="1735" t="s">
        <v>8736</v>
      </c>
      <c r="J1761" s="1773" t="s">
        <v>3077</v>
      </c>
      <c r="K1761" s="1774"/>
      <c r="L1761" s="1775"/>
      <c r="M1761" s="1775"/>
      <c r="N1761" s="1739">
        <v>110511.67</v>
      </c>
      <c r="O1761" s="1776"/>
      <c r="P1761" s="1725"/>
    </row>
    <row r="1762" spans="1:16" ht="15.75" hidden="1" customHeight="1" outlineLevel="2" x14ac:dyDescent="0.2">
      <c r="A1762" s="459">
        <v>0</v>
      </c>
      <c r="B1762" s="459">
        <v>19</v>
      </c>
      <c r="C1762" s="459">
        <v>1</v>
      </c>
      <c r="D1762" s="460">
        <v>1</v>
      </c>
      <c r="E1762" s="460">
        <v>0</v>
      </c>
      <c r="F1762" s="569"/>
      <c r="G1762" s="1797"/>
      <c r="H1762" s="1777" t="s">
        <v>1238</v>
      </c>
      <c r="I1762" s="1742" t="s">
        <v>8737</v>
      </c>
      <c r="J1762" s="1779" t="s">
        <v>32</v>
      </c>
      <c r="K1762" s="1780"/>
      <c r="L1762" s="1781"/>
      <c r="M1762" s="1781"/>
      <c r="N1762" s="1746">
        <v>14835.12</v>
      </c>
      <c r="O1762" s="1782"/>
      <c r="P1762" s="1720"/>
    </row>
    <row r="1763" spans="1:16" ht="13.9" hidden="1" customHeight="1" outlineLevel="3" x14ac:dyDescent="0.2">
      <c r="A1763" s="459">
        <v>0</v>
      </c>
      <c r="B1763" s="459">
        <v>19</v>
      </c>
      <c r="C1763" s="459">
        <v>1</v>
      </c>
      <c r="D1763" s="460">
        <v>1</v>
      </c>
      <c r="E1763" s="460">
        <v>1</v>
      </c>
      <c r="F1763" s="569"/>
      <c r="G1763" s="1798" t="s">
        <v>53</v>
      </c>
      <c r="H1763" s="1783" t="s">
        <v>1239</v>
      </c>
      <c r="I1763" s="1750" t="s">
        <v>8738</v>
      </c>
      <c r="J1763" s="1785" t="s">
        <v>1267</v>
      </c>
      <c r="K1763" s="1786" t="s">
        <v>1130</v>
      </c>
      <c r="L1763" s="1787">
        <v>1</v>
      </c>
      <c r="M1763" s="1787">
        <v>14835.119999999999</v>
      </c>
      <c r="N1763" s="1754">
        <v>14835.12</v>
      </c>
      <c r="O1763" s="1788"/>
      <c r="P1763" s="1721" t="s">
        <v>9611</v>
      </c>
    </row>
    <row r="1764" spans="1:16" ht="13.9" hidden="1" customHeight="1" outlineLevel="2" x14ac:dyDescent="0.2">
      <c r="A1764" s="459">
        <v>0</v>
      </c>
      <c r="B1764" s="459">
        <v>19</v>
      </c>
      <c r="C1764" s="459">
        <v>1</v>
      </c>
      <c r="D1764" s="460">
        <v>2</v>
      </c>
      <c r="E1764" s="460">
        <v>0</v>
      </c>
      <c r="F1764" s="569"/>
      <c r="G1764" s="1797"/>
      <c r="H1764" s="1777" t="s">
        <v>1238</v>
      </c>
      <c r="I1764" s="1742" t="s">
        <v>8739</v>
      </c>
      <c r="J1764" s="1779" t="s">
        <v>2821</v>
      </c>
      <c r="K1764" s="1780"/>
      <c r="L1764" s="1781"/>
      <c r="M1764" s="1781"/>
      <c r="N1764" s="1746">
        <v>67242.11</v>
      </c>
      <c r="O1764" s="1782"/>
      <c r="P1764" s="1720"/>
    </row>
    <row r="1765" spans="1:16" ht="13.9" hidden="1" customHeight="1" outlineLevel="3" x14ac:dyDescent="0.2">
      <c r="A1765" s="459">
        <v>0</v>
      </c>
      <c r="B1765" s="459">
        <v>19</v>
      </c>
      <c r="C1765" s="459">
        <v>1</v>
      </c>
      <c r="D1765" s="460">
        <v>2</v>
      </c>
      <c r="E1765" s="460">
        <v>1</v>
      </c>
      <c r="F1765" s="569"/>
      <c r="G1765" s="1798" t="s">
        <v>53</v>
      </c>
      <c r="H1765" s="1783" t="s">
        <v>1239</v>
      </c>
      <c r="I1765" s="1750" t="s">
        <v>8740</v>
      </c>
      <c r="J1765" s="1785" t="s">
        <v>1268</v>
      </c>
      <c r="K1765" s="1786" t="s">
        <v>1130</v>
      </c>
      <c r="L1765" s="1787">
        <v>1</v>
      </c>
      <c r="M1765" s="1787">
        <v>67242.11</v>
      </c>
      <c r="N1765" s="1754">
        <v>67242.11</v>
      </c>
      <c r="O1765" s="1788"/>
      <c r="P1765" s="1721" t="s">
        <v>9611</v>
      </c>
    </row>
    <row r="1766" spans="1:16" ht="13.9" hidden="1" customHeight="1" outlineLevel="2" x14ac:dyDescent="0.2">
      <c r="A1766" s="459">
        <v>0</v>
      </c>
      <c r="B1766" s="459">
        <v>19</v>
      </c>
      <c r="C1766" s="459">
        <v>1</v>
      </c>
      <c r="D1766" s="460">
        <v>3</v>
      </c>
      <c r="E1766" s="460">
        <v>0</v>
      </c>
      <c r="F1766" s="569"/>
      <c r="G1766" s="1797"/>
      <c r="H1766" s="1777" t="s">
        <v>1238</v>
      </c>
      <c r="I1766" s="1742" t="s">
        <v>8741</v>
      </c>
      <c r="J1766" s="1779" t="s">
        <v>2822</v>
      </c>
      <c r="K1766" s="1780"/>
      <c r="L1766" s="1781"/>
      <c r="M1766" s="1781"/>
      <c r="N1766" s="1746">
        <v>22157.8</v>
      </c>
      <c r="O1766" s="1782"/>
      <c r="P1766" s="1720"/>
    </row>
    <row r="1767" spans="1:16" ht="13.9" hidden="1" customHeight="1" outlineLevel="3" x14ac:dyDescent="0.2">
      <c r="A1767" s="459">
        <v>0</v>
      </c>
      <c r="B1767" s="459">
        <v>19</v>
      </c>
      <c r="C1767" s="459">
        <v>1</v>
      </c>
      <c r="D1767" s="460">
        <v>3</v>
      </c>
      <c r="E1767" s="460">
        <v>1</v>
      </c>
      <c r="F1767" s="569"/>
      <c r="G1767" s="1798" t="s">
        <v>53</v>
      </c>
      <c r="H1767" s="1783" t="s">
        <v>1239</v>
      </c>
      <c r="I1767" s="1750" t="s">
        <v>8742</v>
      </c>
      <c r="J1767" s="1785" t="s">
        <v>1269</v>
      </c>
      <c r="K1767" s="1786" t="s">
        <v>1130</v>
      </c>
      <c r="L1767" s="1787">
        <v>1</v>
      </c>
      <c r="M1767" s="1787">
        <v>22157.8</v>
      </c>
      <c r="N1767" s="1754">
        <v>22157.8</v>
      </c>
      <c r="O1767" s="1788"/>
      <c r="P1767" s="1721" t="s">
        <v>9611</v>
      </c>
    </row>
    <row r="1768" spans="1:16" ht="13.9" hidden="1" customHeight="1" outlineLevel="2" x14ac:dyDescent="0.2">
      <c r="A1768" s="459">
        <v>0</v>
      </c>
      <c r="B1768" s="459">
        <v>19</v>
      </c>
      <c r="C1768" s="459">
        <v>1</v>
      </c>
      <c r="D1768" s="460">
        <v>4</v>
      </c>
      <c r="E1768" s="460">
        <v>0</v>
      </c>
      <c r="F1768" s="569"/>
      <c r="G1768" s="1797"/>
      <c r="H1768" s="1777" t="s">
        <v>1238</v>
      </c>
      <c r="I1768" s="1742" t="s">
        <v>8743</v>
      </c>
      <c r="J1768" s="1779" t="s">
        <v>15</v>
      </c>
      <c r="K1768" s="1780"/>
      <c r="L1768" s="1781"/>
      <c r="M1768" s="1781"/>
      <c r="N1768" s="1746">
        <v>6276.64</v>
      </c>
      <c r="O1768" s="1782"/>
      <c r="P1768" s="1720"/>
    </row>
    <row r="1769" spans="1:16" ht="13.9" hidden="1" customHeight="1" outlineLevel="3" x14ac:dyDescent="0.2">
      <c r="A1769" s="459">
        <v>0</v>
      </c>
      <c r="B1769" s="459">
        <v>19</v>
      </c>
      <c r="C1769" s="459">
        <v>1</v>
      </c>
      <c r="D1769" s="460">
        <v>4</v>
      </c>
      <c r="E1769" s="460">
        <v>1</v>
      </c>
      <c r="F1769" s="569"/>
      <c r="G1769" s="1798" t="s">
        <v>53</v>
      </c>
      <c r="H1769" s="1783" t="s">
        <v>1239</v>
      </c>
      <c r="I1769" s="1750" t="s">
        <v>8744</v>
      </c>
      <c r="J1769" s="1785" t="s">
        <v>1270</v>
      </c>
      <c r="K1769" s="1786" t="s">
        <v>1130</v>
      </c>
      <c r="L1769" s="1787">
        <v>1</v>
      </c>
      <c r="M1769" s="1787">
        <v>6276.64</v>
      </c>
      <c r="N1769" s="1754">
        <v>6276.64</v>
      </c>
      <c r="O1769" s="1788"/>
      <c r="P1769" s="1721" t="s">
        <v>9611</v>
      </c>
    </row>
    <row r="1770" spans="1:16" ht="13.9" hidden="1" customHeight="1" outlineLevel="1" x14ac:dyDescent="0.2">
      <c r="A1770" s="459">
        <v>0</v>
      </c>
      <c r="B1770" s="459">
        <v>19</v>
      </c>
      <c r="C1770" s="459">
        <v>2</v>
      </c>
      <c r="D1770" s="460">
        <v>0</v>
      </c>
      <c r="E1770" s="460">
        <v>1</v>
      </c>
      <c r="F1770" s="569"/>
      <c r="G1770" s="1796"/>
      <c r="H1770" s="1771" t="s">
        <v>39</v>
      </c>
      <c r="I1770" s="1735" t="s">
        <v>8745</v>
      </c>
      <c r="J1770" s="1773" t="s">
        <v>3078</v>
      </c>
      <c r="K1770" s="1774"/>
      <c r="L1770" s="1775"/>
      <c r="M1770" s="1775"/>
      <c r="N1770" s="1739">
        <v>6937.22</v>
      </c>
      <c r="O1770" s="1776"/>
      <c r="P1770" s="1725"/>
    </row>
    <row r="1771" spans="1:16" ht="13.9" hidden="1" customHeight="1" outlineLevel="2" x14ac:dyDescent="0.2">
      <c r="A1771" s="459">
        <v>0</v>
      </c>
      <c r="B1771" s="459">
        <v>19</v>
      </c>
      <c r="C1771" s="459">
        <v>2</v>
      </c>
      <c r="D1771" s="460">
        <v>1</v>
      </c>
      <c r="E1771" s="460">
        <v>0</v>
      </c>
      <c r="F1771" s="569"/>
      <c r="G1771" s="1797"/>
      <c r="H1771" s="1777" t="s">
        <v>1238</v>
      </c>
      <c r="I1771" s="1742" t="s">
        <v>8746</v>
      </c>
      <c r="J1771" s="1779" t="s">
        <v>2821</v>
      </c>
      <c r="K1771" s="1780"/>
      <c r="L1771" s="1781"/>
      <c r="M1771" s="1781"/>
      <c r="N1771" s="1746">
        <v>528.02</v>
      </c>
      <c r="O1771" s="1782"/>
      <c r="P1771" s="1720"/>
    </row>
    <row r="1772" spans="1:16" ht="13.9" hidden="1" customHeight="1" outlineLevel="3" x14ac:dyDescent="0.2">
      <c r="A1772" s="459">
        <v>0</v>
      </c>
      <c r="B1772" s="459">
        <v>19</v>
      </c>
      <c r="C1772" s="459">
        <v>2</v>
      </c>
      <c r="D1772" s="460">
        <v>1</v>
      </c>
      <c r="E1772" s="460">
        <v>1</v>
      </c>
      <c r="F1772" s="569"/>
      <c r="G1772" s="1798" t="s">
        <v>53</v>
      </c>
      <c r="H1772" s="1783" t="s">
        <v>1239</v>
      </c>
      <c r="I1772" s="1750" t="s">
        <v>8747</v>
      </c>
      <c r="J1772" s="1785" t="s">
        <v>1268</v>
      </c>
      <c r="K1772" s="1786" t="s">
        <v>1130</v>
      </c>
      <c r="L1772" s="1787">
        <v>1</v>
      </c>
      <c r="M1772" s="1787">
        <v>528.02</v>
      </c>
      <c r="N1772" s="1754">
        <v>528.02</v>
      </c>
      <c r="O1772" s="1788"/>
      <c r="P1772" s="1721" t="s">
        <v>9611</v>
      </c>
    </row>
    <row r="1773" spans="1:16" ht="13.9" hidden="1" customHeight="1" outlineLevel="2" x14ac:dyDescent="0.2">
      <c r="A1773" s="459">
        <v>0</v>
      </c>
      <c r="B1773" s="459">
        <v>19</v>
      </c>
      <c r="C1773" s="459">
        <v>2</v>
      </c>
      <c r="D1773" s="460">
        <v>2</v>
      </c>
      <c r="E1773" s="460">
        <v>0</v>
      </c>
      <c r="F1773" s="569"/>
      <c r="G1773" s="1797"/>
      <c r="H1773" s="1777" t="s">
        <v>1238</v>
      </c>
      <c r="I1773" s="1742" t="s">
        <v>8748</v>
      </c>
      <c r="J1773" s="1779" t="s">
        <v>15</v>
      </c>
      <c r="K1773" s="1780"/>
      <c r="L1773" s="1781"/>
      <c r="M1773" s="1781"/>
      <c r="N1773" s="1746">
        <v>6409.2</v>
      </c>
      <c r="O1773" s="1782"/>
      <c r="P1773" s="1720"/>
    </row>
    <row r="1774" spans="1:16" ht="13.9" hidden="1" customHeight="1" outlineLevel="3" x14ac:dyDescent="0.2">
      <c r="A1774" s="459">
        <v>0</v>
      </c>
      <c r="B1774" s="459">
        <v>19</v>
      </c>
      <c r="C1774" s="459">
        <v>2</v>
      </c>
      <c r="D1774" s="460">
        <v>2</v>
      </c>
      <c r="E1774" s="460">
        <v>1</v>
      </c>
      <c r="F1774" s="569"/>
      <c r="G1774" s="1798" t="s">
        <v>53</v>
      </c>
      <c r="H1774" s="1783" t="s">
        <v>1239</v>
      </c>
      <c r="I1774" s="1750" t="s">
        <v>8749</v>
      </c>
      <c r="J1774" s="1785" t="s">
        <v>1270</v>
      </c>
      <c r="K1774" s="1786" t="s">
        <v>1130</v>
      </c>
      <c r="L1774" s="1787">
        <v>1</v>
      </c>
      <c r="M1774" s="1787">
        <v>6409.2</v>
      </c>
      <c r="N1774" s="1754">
        <v>6409.2</v>
      </c>
      <c r="O1774" s="1788"/>
      <c r="P1774" s="1721" t="s">
        <v>9611</v>
      </c>
    </row>
    <row r="1775" spans="1:16" ht="13.9" hidden="1" customHeight="1" outlineLevel="1" x14ac:dyDescent="0.2">
      <c r="A1775" s="459">
        <v>0</v>
      </c>
      <c r="B1775" s="459">
        <v>19</v>
      </c>
      <c r="C1775" s="459">
        <v>3</v>
      </c>
      <c r="D1775" s="460">
        <v>0</v>
      </c>
      <c r="E1775" s="460">
        <v>1</v>
      </c>
      <c r="F1775" s="569"/>
      <c r="G1775" s="1796"/>
      <c r="H1775" s="1771" t="s">
        <v>39</v>
      </c>
      <c r="I1775" s="1735" t="s">
        <v>8750</v>
      </c>
      <c r="J1775" s="1773" t="s">
        <v>3079</v>
      </c>
      <c r="K1775" s="1774"/>
      <c r="L1775" s="1775"/>
      <c r="M1775" s="1775"/>
      <c r="N1775" s="1739">
        <v>7556.02</v>
      </c>
      <c r="O1775" s="1776"/>
      <c r="P1775" s="1725"/>
    </row>
    <row r="1776" spans="1:16" ht="13.9" hidden="1" customHeight="1" outlineLevel="2" x14ac:dyDescent="0.2">
      <c r="A1776" s="459">
        <v>0</v>
      </c>
      <c r="B1776" s="459">
        <v>19</v>
      </c>
      <c r="C1776" s="459">
        <v>3</v>
      </c>
      <c r="D1776" s="460">
        <v>1</v>
      </c>
      <c r="E1776" s="460">
        <v>0</v>
      </c>
      <c r="F1776" s="569"/>
      <c r="G1776" s="1797"/>
      <c r="H1776" s="1777" t="s">
        <v>1238</v>
      </c>
      <c r="I1776" s="1742" t="s">
        <v>8751</v>
      </c>
      <c r="J1776" s="1779" t="s">
        <v>2821</v>
      </c>
      <c r="K1776" s="1780"/>
      <c r="L1776" s="1781"/>
      <c r="M1776" s="1781"/>
      <c r="N1776" s="1746">
        <v>528.02</v>
      </c>
      <c r="O1776" s="1782"/>
      <c r="P1776" s="1720"/>
    </row>
    <row r="1777" spans="1:16" ht="13.9" hidden="1" customHeight="1" outlineLevel="3" x14ac:dyDescent="0.2">
      <c r="A1777" s="459">
        <v>0</v>
      </c>
      <c r="B1777" s="459">
        <v>19</v>
      </c>
      <c r="C1777" s="459">
        <v>3</v>
      </c>
      <c r="D1777" s="460">
        <v>1</v>
      </c>
      <c r="E1777" s="460">
        <v>1</v>
      </c>
      <c r="F1777" s="569"/>
      <c r="G1777" s="1798" t="s">
        <v>53</v>
      </c>
      <c r="H1777" s="1783" t="s">
        <v>1239</v>
      </c>
      <c r="I1777" s="1750" t="s">
        <v>8752</v>
      </c>
      <c r="J1777" s="1785" t="s">
        <v>1268</v>
      </c>
      <c r="K1777" s="1786" t="s">
        <v>1130</v>
      </c>
      <c r="L1777" s="1787">
        <v>1</v>
      </c>
      <c r="M1777" s="1787">
        <v>528.02</v>
      </c>
      <c r="N1777" s="1754">
        <v>528.02</v>
      </c>
      <c r="O1777" s="1788"/>
      <c r="P1777" s="1721" t="s">
        <v>9611</v>
      </c>
    </row>
    <row r="1778" spans="1:16" ht="13.9" hidden="1" customHeight="1" outlineLevel="2" x14ac:dyDescent="0.2">
      <c r="A1778" s="459">
        <v>0</v>
      </c>
      <c r="B1778" s="459">
        <v>19</v>
      </c>
      <c r="C1778" s="459">
        <v>3</v>
      </c>
      <c r="D1778" s="460">
        <v>2</v>
      </c>
      <c r="E1778" s="460">
        <v>0</v>
      </c>
      <c r="F1778" s="569"/>
      <c r="G1778" s="1797"/>
      <c r="H1778" s="1777" t="s">
        <v>1238</v>
      </c>
      <c r="I1778" s="1742" t="s">
        <v>8753</v>
      </c>
      <c r="J1778" s="1779" t="s">
        <v>15</v>
      </c>
      <c r="K1778" s="1780"/>
      <c r="L1778" s="1781"/>
      <c r="M1778" s="1781"/>
      <c r="N1778" s="1746">
        <v>7028</v>
      </c>
      <c r="O1778" s="1782"/>
      <c r="P1778" s="1720"/>
    </row>
    <row r="1779" spans="1:16" ht="13.9" hidden="1" customHeight="1" outlineLevel="3" x14ac:dyDescent="0.2">
      <c r="A1779" s="459">
        <v>0</v>
      </c>
      <c r="B1779" s="459">
        <v>19</v>
      </c>
      <c r="C1779" s="459">
        <v>3</v>
      </c>
      <c r="D1779" s="460">
        <v>2</v>
      </c>
      <c r="E1779" s="460">
        <v>1</v>
      </c>
      <c r="F1779" s="569"/>
      <c r="G1779" s="1798" t="s">
        <v>53</v>
      </c>
      <c r="H1779" s="1783" t="s">
        <v>1239</v>
      </c>
      <c r="I1779" s="1750" t="s">
        <v>8754</v>
      </c>
      <c r="J1779" s="1785" t="s">
        <v>1270</v>
      </c>
      <c r="K1779" s="1786" t="s">
        <v>1130</v>
      </c>
      <c r="L1779" s="1787">
        <v>1</v>
      </c>
      <c r="M1779" s="1787">
        <v>7028</v>
      </c>
      <c r="N1779" s="1754">
        <v>7028</v>
      </c>
      <c r="O1779" s="1788"/>
      <c r="P1779" s="1721" t="s">
        <v>9611</v>
      </c>
    </row>
    <row r="1780" spans="1:16" ht="13.9" hidden="1" customHeight="1" outlineLevel="1" x14ac:dyDescent="0.2">
      <c r="A1780" s="459">
        <v>0</v>
      </c>
      <c r="B1780" s="459">
        <v>19</v>
      </c>
      <c r="C1780" s="459">
        <v>4</v>
      </c>
      <c r="D1780" s="460">
        <v>0</v>
      </c>
      <c r="E1780" s="460">
        <v>1</v>
      </c>
      <c r="F1780" s="569"/>
      <c r="G1780" s="1796"/>
      <c r="H1780" s="1771" t="s">
        <v>39</v>
      </c>
      <c r="I1780" s="1735" t="s">
        <v>8755</v>
      </c>
      <c r="J1780" s="1773" t="s">
        <v>3080</v>
      </c>
      <c r="K1780" s="1774"/>
      <c r="L1780" s="1775"/>
      <c r="M1780" s="1775"/>
      <c r="N1780" s="1739">
        <v>7556.02</v>
      </c>
      <c r="O1780" s="1776"/>
      <c r="P1780" s="1725"/>
    </row>
    <row r="1781" spans="1:16" ht="13.9" hidden="1" customHeight="1" outlineLevel="2" x14ac:dyDescent="0.2">
      <c r="A1781" s="459">
        <v>0</v>
      </c>
      <c r="B1781" s="459">
        <v>19</v>
      </c>
      <c r="C1781" s="459">
        <v>4</v>
      </c>
      <c r="D1781" s="460">
        <v>1</v>
      </c>
      <c r="E1781" s="460">
        <v>0</v>
      </c>
      <c r="F1781" s="569"/>
      <c r="G1781" s="1797"/>
      <c r="H1781" s="1777" t="s">
        <v>1238</v>
      </c>
      <c r="I1781" s="1742" t="s">
        <v>8756</v>
      </c>
      <c r="J1781" s="1779" t="s">
        <v>2821</v>
      </c>
      <c r="K1781" s="1780"/>
      <c r="L1781" s="1781"/>
      <c r="M1781" s="1781"/>
      <c r="N1781" s="1746">
        <v>528.02</v>
      </c>
      <c r="O1781" s="1782"/>
      <c r="P1781" s="1720"/>
    </row>
    <row r="1782" spans="1:16" ht="13.9" hidden="1" customHeight="1" outlineLevel="3" x14ac:dyDescent="0.2">
      <c r="A1782" s="459">
        <v>0</v>
      </c>
      <c r="B1782" s="459">
        <v>19</v>
      </c>
      <c r="C1782" s="459">
        <v>4</v>
      </c>
      <c r="D1782" s="460">
        <v>1</v>
      </c>
      <c r="E1782" s="460">
        <v>1</v>
      </c>
      <c r="F1782" s="569"/>
      <c r="G1782" s="1798" t="s">
        <v>53</v>
      </c>
      <c r="H1782" s="1783" t="s">
        <v>1239</v>
      </c>
      <c r="I1782" s="1750" t="s">
        <v>8757</v>
      </c>
      <c r="J1782" s="1785" t="s">
        <v>1268</v>
      </c>
      <c r="K1782" s="1786" t="s">
        <v>1130</v>
      </c>
      <c r="L1782" s="1787">
        <v>1</v>
      </c>
      <c r="M1782" s="1787">
        <v>528.02</v>
      </c>
      <c r="N1782" s="1754">
        <v>528.02</v>
      </c>
      <c r="O1782" s="1788"/>
      <c r="P1782" s="1721" t="s">
        <v>9611</v>
      </c>
    </row>
    <row r="1783" spans="1:16" ht="13.9" hidden="1" customHeight="1" outlineLevel="2" x14ac:dyDescent="0.2">
      <c r="A1783" s="459">
        <v>0</v>
      </c>
      <c r="B1783" s="459">
        <v>19</v>
      </c>
      <c r="C1783" s="459">
        <v>4</v>
      </c>
      <c r="D1783" s="460">
        <v>2</v>
      </c>
      <c r="E1783" s="460">
        <v>0</v>
      </c>
      <c r="F1783" s="569"/>
      <c r="G1783" s="1797"/>
      <c r="H1783" s="1777" t="s">
        <v>1238</v>
      </c>
      <c r="I1783" s="1742" t="s">
        <v>8758</v>
      </c>
      <c r="J1783" s="1779" t="s">
        <v>15</v>
      </c>
      <c r="K1783" s="1780"/>
      <c r="L1783" s="1781"/>
      <c r="M1783" s="1781"/>
      <c r="N1783" s="1746">
        <v>7028</v>
      </c>
      <c r="O1783" s="1782"/>
      <c r="P1783" s="1720"/>
    </row>
    <row r="1784" spans="1:16" ht="13.9" hidden="1" customHeight="1" outlineLevel="3" x14ac:dyDescent="0.2">
      <c r="A1784" s="459">
        <v>0</v>
      </c>
      <c r="B1784" s="459">
        <v>19</v>
      </c>
      <c r="C1784" s="459">
        <v>4</v>
      </c>
      <c r="D1784" s="460">
        <v>2</v>
      </c>
      <c r="E1784" s="460">
        <v>1</v>
      </c>
      <c r="F1784" s="569"/>
      <c r="G1784" s="1798" t="s">
        <v>53</v>
      </c>
      <c r="H1784" s="1783" t="s">
        <v>1239</v>
      </c>
      <c r="I1784" s="1750" t="s">
        <v>8759</v>
      </c>
      <c r="J1784" s="1785" t="s">
        <v>1270</v>
      </c>
      <c r="K1784" s="1786" t="s">
        <v>1130</v>
      </c>
      <c r="L1784" s="1787">
        <v>1</v>
      </c>
      <c r="M1784" s="1787">
        <v>7028</v>
      </c>
      <c r="N1784" s="1754">
        <v>7028</v>
      </c>
      <c r="O1784" s="1788"/>
      <c r="P1784" s="1721" t="s">
        <v>9611</v>
      </c>
    </row>
    <row r="1785" spans="1:16" ht="13.9" hidden="1" customHeight="1" outlineLevel="1" x14ac:dyDescent="0.2">
      <c r="A1785" s="459">
        <v>0</v>
      </c>
      <c r="B1785" s="459">
        <v>19</v>
      </c>
      <c r="C1785" s="459">
        <v>5</v>
      </c>
      <c r="D1785" s="460">
        <v>0</v>
      </c>
      <c r="E1785" s="460">
        <v>1</v>
      </c>
      <c r="F1785" s="569"/>
      <c r="G1785" s="1796"/>
      <c r="H1785" s="1771" t="s">
        <v>39</v>
      </c>
      <c r="I1785" s="1735" t="s">
        <v>8760</v>
      </c>
      <c r="J1785" s="1773" t="s">
        <v>3081</v>
      </c>
      <c r="K1785" s="1774"/>
      <c r="L1785" s="1775"/>
      <c r="M1785" s="1775"/>
      <c r="N1785" s="1739">
        <v>7556.02</v>
      </c>
      <c r="O1785" s="1776"/>
      <c r="P1785" s="1725"/>
    </row>
    <row r="1786" spans="1:16" ht="13.9" hidden="1" customHeight="1" outlineLevel="2" x14ac:dyDescent="0.2">
      <c r="A1786" s="459">
        <v>0</v>
      </c>
      <c r="B1786" s="459">
        <v>19</v>
      </c>
      <c r="C1786" s="459">
        <v>5</v>
      </c>
      <c r="D1786" s="460">
        <v>1</v>
      </c>
      <c r="E1786" s="460">
        <v>0</v>
      </c>
      <c r="F1786" s="569"/>
      <c r="G1786" s="1797"/>
      <c r="H1786" s="1777" t="s">
        <v>1238</v>
      </c>
      <c r="I1786" s="1742" t="s">
        <v>8761</v>
      </c>
      <c r="J1786" s="1779" t="s">
        <v>2821</v>
      </c>
      <c r="K1786" s="1780"/>
      <c r="L1786" s="1781"/>
      <c r="M1786" s="1781"/>
      <c r="N1786" s="1746">
        <v>528.02</v>
      </c>
      <c r="O1786" s="1782"/>
      <c r="P1786" s="1720"/>
    </row>
    <row r="1787" spans="1:16" ht="13.9" hidden="1" customHeight="1" outlineLevel="3" x14ac:dyDescent="0.2">
      <c r="A1787" s="459">
        <v>0</v>
      </c>
      <c r="B1787" s="459">
        <v>19</v>
      </c>
      <c r="C1787" s="459">
        <v>5</v>
      </c>
      <c r="D1787" s="460">
        <v>1</v>
      </c>
      <c r="E1787" s="460">
        <v>1</v>
      </c>
      <c r="F1787" s="569"/>
      <c r="G1787" s="1798" t="s">
        <v>53</v>
      </c>
      <c r="H1787" s="1783" t="s">
        <v>1239</v>
      </c>
      <c r="I1787" s="1750" t="s">
        <v>8762</v>
      </c>
      <c r="J1787" s="1785" t="s">
        <v>1268</v>
      </c>
      <c r="K1787" s="1786" t="s">
        <v>1130</v>
      </c>
      <c r="L1787" s="1787">
        <v>1</v>
      </c>
      <c r="M1787" s="1787">
        <v>528.02</v>
      </c>
      <c r="N1787" s="1754">
        <v>528.02</v>
      </c>
      <c r="O1787" s="1788"/>
      <c r="P1787" s="1721" t="s">
        <v>9611</v>
      </c>
    </row>
    <row r="1788" spans="1:16" ht="13.9" hidden="1" customHeight="1" outlineLevel="2" x14ac:dyDescent="0.2">
      <c r="A1788" s="459">
        <v>0</v>
      </c>
      <c r="B1788" s="459">
        <v>19</v>
      </c>
      <c r="C1788" s="459">
        <v>5</v>
      </c>
      <c r="D1788" s="460">
        <v>2</v>
      </c>
      <c r="E1788" s="460">
        <v>0</v>
      </c>
      <c r="F1788" s="569"/>
      <c r="G1788" s="1797"/>
      <c r="H1788" s="1777" t="s">
        <v>1238</v>
      </c>
      <c r="I1788" s="1742" t="s">
        <v>8763</v>
      </c>
      <c r="J1788" s="1779" t="s">
        <v>15</v>
      </c>
      <c r="K1788" s="1780"/>
      <c r="L1788" s="1781"/>
      <c r="M1788" s="1781"/>
      <c r="N1788" s="1746">
        <v>7028</v>
      </c>
      <c r="O1788" s="1782"/>
      <c r="P1788" s="1720"/>
    </row>
    <row r="1789" spans="1:16" ht="13.9" hidden="1" customHeight="1" outlineLevel="3" x14ac:dyDescent="0.2">
      <c r="A1789" s="459">
        <v>0</v>
      </c>
      <c r="B1789" s="459">
        <v>19</v>
      </c>
      <c r="C1789" s="459">
        <v>5</v>
      </c>
      <c r="D1789" s="460">
        <v>2</v>
      </c>
      <c r="E1789" s="460">
        <v>1</v>
      </c>
      <c r="F1789" s="569"/>
      <c r="G1789" s="1798" t="s">
        <v>53</v>
      </c>
      <c r="H1789" s="1783" t="s">
        <v>1239</v>
      </c>
      <c r="I1789" s="1750" t="s">
        <v>8764</v>
      </c>
      <c r="J1789" s="1785" t="s">
        <v>1270</v>
      </c>
      <c r="K1789" s="1786" t="s">
        <v>1130</v>
      </c>
      <c r="L1789" s="1787">
        <v>1</v>
      </c>
      <c r="M1789" s="1787">
        <v>7028</v>
      </c>
      <c r="N1789" s="1754">
        <v>7028</v>
      </c>
      <c r="O1789" s="1788"/>
      <c r="P1789" s="1721" t="s">
        <v>9611</v>
      </c>
    </row>
    <row r="1790" spans="1:16" ht="13.9" hidden="1" customHeight="1" outlineLevel="1" x14ac:dyDescent="0.2">
      <c r="A1790" s="459">
        <v>0</v>
      </c>
      <c r="B1790" s="459">
        <v>19</v>
      </c>
      <c r="C1790" s="459">
        <v>6</v>
      </c>
      <c r="D1790" s="460">
        <v>0</v>
      </c>
      <c r="E1790" s="460">
        <v>1</v>
      </c>
      <c r="F1790" s="569"/>
      <c r="G1790" s="1796"/>
      <c r="H1790" s="1771" t="s">
        <v>39</v>
      </c>
      <c r="I1790" s="1735" t="s">
        <v>8765</v>
      </c>
      <c r="J1790" s="1773" t="s">
        <v>3082</v>
      </c>
      <c r="K1790" s="1774"/>
      <c r="L1790" s="1775"/>
      <c r="M1790" s="1775"/>
      <c r="N1790" s="1739">
        <v>7667.62</v>
      </c>
      <c r="O1790" s="1776"/>
      <c r="P1790" s="1725"/>
    </row>
    <row r="1791" spans="1:16" ht="13.9" hidden="1" customHeight="1" outlineLevel="2" x14ac:dyDescent="0.2">
      <c r="A1791" s="459">
        <v>0</v>
      </c>
      <c r="B1791" s="459">
        <v>19</v>
      </c>
      <c r="C1791" s="459">
        <v>6</v>
      </c>
      <c r="D1791" s="460">
        <v>1</v>
      </c>
      <c r="E1791" s="460">
        <v>0</v>
      </c>
      <c r="F1791" s="569"/>
      <c r="G1791" s="1797"/>
      <c r="H1791" s="1777" t="s">
        <v>1238</v>
      </c>
      <c r="I1791" s="1742" t="s">
        <v>8766</v>
      </c>
      <c r="J1791" s="1779" t="s">
        <v>2821</v>
      </c>
      <c r="K1791" s="1780"/>
      <c r="L1791" s="1781"/>
      <c r="M1791" s="1781"/>
      <c r="N1791" s="1746">
        <v>528.02</v>
      </c>
      <c r="O1791" s="1782"/>
      <c r="P1791" s="1720"/>
    </row>
    <row r="1792" spans="1:16" ht="13.9" hidden="1" customHeight="1" outlineLevel="3" x14ac:dyDescent="0.2">
      <c r="A1792" s="459">
        <v>0</v>
      </c>
      <c r="B1792" s="459">
        <v>19</v>
      </c>
      <c r="C1792" s="459">
        <v>6</v>
      </c>
      <c r="D1792" s="460">
        <v>1</v>
      </c>
      <c r="E1792" s="460">
        <v>1</v>
      </c>
      <c r="F1792" s="569"/>
      <c r="G1792" s="1798" t="s">
        <v>53</v>
      </c>
      <c r="H1792" s="1783" t="s">
        <v>1239</v>
      </c>
      <c r="I1792" s="1750" t="s">
        <v>8767</v>
      </c>
      <c r="J1792" s="1785" t="s">
        <v>1268</v>
      </c>
      <c r="K1792" s="1786" t="s">
        <v>1130</v>
      </c>
      <c r="L1792" s="1787">
        <v>1</v>
      </c>
      <c r="M1792" s="1787">
        <v>528.02</v>
      </c>
      <c r="N1792" s="1754">
        <v>528.02</v>
      </c>
      <c r="O1792" s="1788"/>
      <c r="P1792" s="1721" t="s">
        <v>9611</v>
      </c>
    </row>
    <row r="1793" spans="1:16" ht="13.9" hidden="1" customHeight="1" outlineLevel="2" x14ac:dyDescent="0.2">
      <c r="A1793" s="459">
        <v>0</v>
      </c>
      <c r="B1793" s="459">
        <v>19</v>
      </c>
      <c r="C1793" s="459">
        <v>6</v>
      </c>
      <c r="D1793" s="460">
        <v>2</v>
      </c>
      <c r="E1793" s="460">
        <v>0</v>
      </c>
      <c r="F1793" s="569"/>
      <c r="G1793" s="1797"/>
      <c r="H1793" s="1777" t="s">
        <v>1238</v>
      </c>
      <c r="I1793" s="1742" t="s">
        <v>8768</v>
      </c>
      <c r="J1793" s="1779" t="s">
        <v>15</v>
      </c>
      <c r="K1793" s="1780"/>
      <c r="L1793" s="1781"/>
      <c r="M1793" s="1781"/>
      <c r="N1793" s="1746">
        <v>7139.6</v>
      </c>
      <c r="O1793" s="1782"/>
      <c r="P1793" s="1720"/>
    </row>
    <row r="1794" spans="1:16" ht="13.9" hidden="1" customHeight="1" outlineLevel="3" x14ac:dyDescent="0.2">
      <c r="A1794" s="459">
        <v>0</v>
      </c>
      <c r="B1794" s="459">
        <v>19</v>
      </c>
      <c r="C1794" s="459">
        <v>6</v>
      </c>
      <c r="D1794" s="460">
        <v>2</v>
      </c>
      <c r="E1794" s="460">
        <v>1</v>
      </c>
      <c r="F1794" s="569"/>
      <c r="G1794" s="1798" t="s">
        <v>53</v>
      </c>
      <c r="H1794" s="1783" t="s">
        <v>1239</v>
      </c>
      <c r="I1794" s="1750" t="s">
        <v>8769</v>
      </c>
      <c r="J1794" s="1785" t="s">
        <v>1270</v>
      </c>
      <c r="K1794" s="1786" t="s">
        <v>1130</v>
      </c>
      <c r="L1794" s="1787">
        <v>1</v>
      </c>
      <c r="M1794" s="1787">
        <v>7139.6</v>
      </c>
      <c r="N1794" s="1754">
        <v>7139.6</v>
      </c>
      <c r="O1794" s="1788"/>
      <c r="P1794" s="1721" t="s">
        <v>9611</v>
      </c>
    </row>
    <row r="1795" spans="1:16" ht="13.9" hidden="1" customHeight="1" outlineLevel="1" x14ac:dyDescent="0.2">
      <c r="A1795" s="459">
        <v>0</v>
      </c>
      <c r="B1795" s="459">
        <v>19</v>
      </c>
      <c r="C1795" s="459">
        <v>7</v>
      </c>
      <c r="D1795" s="460">
        <v>0</v>
      </c>
      <c r="E1795" s="460">
        <v>1</v>
      </c>
      <c r="F1795" s="569"/>
      <c r="G1795" s="1796"/>
      <c r="H1795" s="1771" t="s">
        <v>39</v>
      </c>
      <c r="I1795" s="1735" t="s">
        <v>8770</v>
      </c>
      <c r="J1795" s="1773" t="s">
        <v>3083</v>
      </c>
      <c r="K1795" s="1774"/>
      <c r="L1795" s="1775"/>
      <c r="M1795" s="1775"/>
      <c r="N1795" s="1739">
        <v>28431.88</v>
      </c>
      <c r="O1795" s="1776"/>
      <c r="P1795" s="1725"/>
    </row>
    <row r="1796" spans="1:16" ht="15.75" hidden="1" customHeight="1" outlineLevel="2" x14ac:dyDescent="0.2">
      <c r="A1796" s="459">
        <v>0</v>
      </c>
      <c r="B1796" s="459">
        <v>19</v>
      </c>
      <c r="C1796" s="459">
        <v>7</v>
      </c>
      <c r="D1796" s="460">
        <v>1</v>
      </c>
      <c r="E1796" s="460">
        <v>0</v>
      </c>
      <c r="F1796" s="569"/>
      <c r="G1796" s="1797"/>
      <c r="H1796" s="1777" t="s">
        <v>1238</v>
      </c>
      <c r="I1796" s="1742" t="s">
        <v>8771</v>
      </c>
      <c r="J1796" s="1779" t="s">
        <v>32</v>
      </c>
      <c r="K1796" s="1780"/>
      <c r="L1796" s="1781"/>
      <c r="M1796" s="1781"/>
      <c r="N1796" s="1746">
        <v>4387.07</v>
      </c>
      <c r="O1796" s="1782"/>
      <c r="P1796" s="1720"/>
    </row>
    <row r="1797" spans="1:16" ht="13.9" hidden="1" customHeight="1" outlineLevel="3" x14ac:dyDescent="0.2">
      <c r="A1797" s="459">
        <v>0</v>
      </c>
      <c r="B1797" s="459">
        <v>19</v>
      </c>
      <c r="C1797" s="459">
        <v>7</v>
      </c>
      <c r="D1797" s="460">
        <v>1</v>
      </c>
      <c r="E1797" s="460">
        <v>1</v>
      </c>
      <c r="F1797" s="569"/>
      <c r="G1797" s="1798" t="s">
        <v>53</v>
      </c>
      <c r="H1797" s="1783" t="s">
        <v>1239</v>
      </c>
      <c r="I1797" s="1750" t="s">
        <v>8772</v>
      </c>
      <c r="J1797" s="1785" t="s">
        <v>1267</v>
      </c>
      <c r="K1797" s="1786" t="s">
        <v>1130</v>
      </c>
      <c r="L1797" s="1787">
        <v>1</v>
      </c>
      <c r="M1797" s="1787">
        <v>4387.07</v>
      </c>
      <c r="N1797" s="1754">
        <v>4387.07</v>
      </c>
      <c r="O1797" s="1788"/>
      <c r="P1797" s="1721" t="s">
        <v>9611</v>
      </c>
    </row>
    <row r="1798" spans="1:16" ht="13.9" hidden="1" customHeight="1" outlineLevel="2" x14ac:dyDescent="0.2">
      <c r="A1798" s="459">
        <v>0</v>
      </c>
      <c r="B1798" s="459">
        <v>19</v>
      </c>
      <c r="C1798" s="459">
        <v>7</v>
      </c>
      <c r="D1798" s="460">
        <v>2</v>
      </c>
      <c r="E1798" s="460">
        <v>0</v>
      </c>
      <c r="F1798" s="569"/>
      <c r="G1798" s="1797"/>
      <c r="H1798" s="1777" t="s">
        <v>1238</v>
      </c>
      <c r="I1798" s="1742" t="s">
        <v>8773</v>
      </c>
      <c r="J1798" s="1779" t="s">
        <v>2821</v>
      </c>
      <c r="K1798" s="1780"/>
      <c r="L1798" s="1781"/>
      <c r="M1798" s="1781"/>
      <c r="N1798" s="1746">
        <v>16905.21</v>
      </c>
      <c r="O1798" s="1782"/>
      <c r="P1798" s="1720"/>
    </row>
    <row r="1799" spans="1:16" ht="13.9" hidden="1" customHeight="1" outlineLevel="3" x14ac:dyDescent="0.2">
      <c r="A1799" s="459">
        <v>0</v>
      </c>
      <c r="B1799" s="459">
        <v>19</v>
      </c>
      <c r="C1799" s="459">
        <v>7</v>
      </c>
      <c r="D1799" s="460">
        <v>2</v>
      </c>
      <c r="E1799" s="460">
        <v>1</v>
      </c>
      <c r="F1799" s="569"/>
      <c r="G1799" s="1798" t="s">
        <v>53</v>
      </c>
      <c r="H1799" s="1783" t="s">
        <v>1239</v>
      </c>
      <c r="I1799" s="1750" t="s">
        <v>8774</v>
      </c>
      <c r="J1799" s="1785" t="s">
        <v>1268</v>
      </c>
      <c r="K1799" s="1786" t="s">
        <v>1130</v>
      </c>
      <c r="L1799" s="1787">
        <v>1</v>
      </c>
      <c r="M1799" s="1787">
        <v>16905.21</v>
      </c>
      <c r="N1799" s="1754">
        <v>16905.21</v>
      </c>
      <c r="O1799" s="1788"/>
      <c r="P1799" s="1721" t="s">
        <v>9611</v>
      </c>
    </row>
    <row r="1800" spans="1:16" ht="13.9" hidden="1" customHeight="1" outlineLevel="2" x14ac:dyDescent="0.2">
      <c r="A1800" s="459">
        <v>0</v>
      </c>
      <c r="B1800" s="459">
        <v>19</v>
      </c>
      <c r="C1800" s="459">
        <v>7</v>
      </c>
      <c r="D1800" s="460">
        <v>3</v>
      </c>
      <c r="E1800" s="460">
        <v>0</v>
      </c>
      <c r="F1800" s="569"/>
      <c r="G1800" s="1797"/>
      <c r="H1800" s="1777" t="s">
        <v>1238</v>
      </c>
      <c r="I1800" s="1742" t="s">
        <v>8775</v>
      </c>
      <c r="J1800" s="1779" t="s">
        <v>15</v>
      </c>
      <c r="K1800" s="1780"/>
      <c r="L1800" s="1781"/>
      <c r="M1800" s="1781"/>
      <c r="N1800" s="1746">
        <v>7139.6</v>
      </c>
      <c r="O1800" s="1782"/>
      <c r="P1800" s="1720"/>
    </row>
    <row r="1801" spans="1:16" ht="13.9" hidden="1" customHeight="1" outlineLevel="3" x14ac:dyDescent="0.2">
      <c r="A1801" s="459">
        <v>0</v>
      </c>
      <c r="B1801" s="459">
        <v>19</v>
      </c>
      <c r="C1801" s="459">
        <v>7</v>
      </c>
      <c r="D1801" s="460">
        <v>3</v>
      </c>
      <c r="E1801" s="460">
        <v>1</v>
      </c>
      <c r="F1801" s="569"/>
      <c r="G1801" s="1798" t="s">
        <v>53</v>
      </c>
      <c r="H1801" s="1783" t="s">
        <v>1239</v>
      </c>
      <c r="I1801" s="1750" t="s">
        <v>8776</v>
      </c>
      <c r="J1801" s="1785" t="s">
        <v>1270</v>
      </c>
      <c r="K1801" s="1786" t="s">
        <v>1130</v>
      </c>
      <c r="L1801" s="1787">
        <v>1</v>
      </c>
      <c r="M1801" s="1787">
        <v>7139.6</v>
      </c>
      <c r="N1801" s="1754">
        <v>7139.6</v>
      </c>
      <c r="O1801" s="1788"/>
      <c r="P1801" s="1721" t="s">
        <v>9611</v>
      </c>
    </row>
    <row r="1802" spans="1:16" ht="13.9" hidden="1" customHeight="1" outlineLevel="1" x14ac:dyDescent="0.2">
      <c r="A1802" s="459">
        <v>0</v>
      </c>
      <c r="B1802" s="459">
        <v>19</v>
      </c>
      <c r="C1802" s="459">
        <v>8</v>
      </c>
      <c r="D1802" s="460">
        <v>0</v>
      </c>
      <c r="E1802" s="460">
        <v>1</v>
      </c>
      <c r="F1802" s="569"/>
      <c r="G1802" s="1796"/>
      <c r="H1802" s="1771" t="s">
        <v>39</v>
      </c>
      <c r="I1802" s="1735" t="s">
        <v>8777</v>
      </c>
      <c r="J1802" s="1773" t="s">
        <v>3084</v>
      </c>
      <c r="K1802" s="1774"/>
      <c r="L1802" s="1775"/>
      <c r="M1802" s="1775"/>
      <c r="N1802" s="1739">
        <v>38811.06</v>
      </c>
      <c r="O1802" s="1776"/>
      <c r="P1802" s="1725"/>
    </row>
    <row r="1803" spans="1:16" ht="15.75" hidden="1" customHeight="1" outlineLevel="2" x14ac:dyDescent="0.2">
      <c r="A1803" s="459">
        <v>0</v>
      </c>
      <c r="B1803" s="459">
        <v>19</v>
      </c>
      <c r="C1803" s="459">
        <v>8</v>
      </c>
      <c r="D1803" s="460">
        <v>1</v>
      </c>
      <c r="E1803" s="460">
        <v>0</v>
      </c>
      <c r="F1803" s="569"/>
      <c r="G1803" s="1797"/>
      <c r="H1803" s="1777" t="s">
        <v>1238</v>
      </c>
      <c r="I1803" s="1742" t="s">
        <v>8778</v>
      </c>
      <c r="J1803" s="1779" t="s">
        <v>32</v>
      </c>
      <c r="K1803" s="1780"/>
      <c r="L1803" s="1781"/>
      <c r="M1803" s="1781"/>
      <c r="N1803" s="1746">
        <v>5408.04</v>
      </c>
      <c r="O1803" s="1782"/>
      <c r="P1803" s="1720"/>
    </row>
    <row r="1804" spans="1:16" ht="13.9" hidden="1" customHeight="1" outlineLevel="3" x14ac:dyDescent="0.2">
      <c r="A1804" s="459">
        <v>0</v>
      </c>
      <c r="B1804" s="459">
        <v>19</v>
      </c>
      <c r="C1804" s="459">
        <v>8</v>
      </c>
      <c r="D1804" s="460">
        <v>1</v>
      </c>
      <c r="E1804" s="460">
        <v>1</v>
      </c>
      <c r="F1804" s="569"/>
      <c r="G1804" s="1798" t="s">
        <v>53</v>
      </c>
      <c r="H1804" s="1783" t="s">
        <v>1239</v>
      </c>
      <c r="I1804" s="1750" t="s">
        <v>8779</v>
      </c>
      <c r="J1804" s="1785" t="s">
        <v>1267</v>
      </c>
      <c r="K1804" s="1786" t="s">
        <v>1130</v>
      </c>
      <c r="L1804" s="1787">
        <v>1</v>
      </c>
      <c r="M1804" s="1787">
        <v>5408.04</v>
      </c>
      <c r="N1804" s="1754">
        <v>5408.04</v>
      </c>
      <c r="O1804" s="1788"/>
      <c r="P1804" s="1721" t="s">
        <v>9611</v>
      </c>
    </row>
    <row r="1805" spans="1:16" ht="13.9" hidden="1" customHeight="1" outlineLevel="2" x14ac:dyDescent="0.2">
      <c r="A1805" s="459">
        <v>0</v>
      </c>
      <c r="B1805" s="459">
        <v>19</v>
      </c>
      <c r="C1805" s="459">
        <v>8</v>
      </c>
      <c r="D1805" s="460">
        <v>2</v>
      </c>
      <c r="E1805" s="460">
        <v>0</v>
      </c>
      <c r="F1805" s="569"/>
      <c r="G1805" s="1797"/>
      <c r="H1805" s="1777" t="s">
        <v>1238</v>
      </c>
      <c r="I1805" s="1742" t="s">
        <v>8780</v>
      </c>
      <c r="J1805" s="1779" t="s">
        <v>2821</v>
      </c>
      <c r="K1805" s="1780"/>
      <c r="L1805" s="1781"/>
      <c r="M1805" s="1781"/>
      <c r="N1805" s="1746">
        <v>20630.86</v>
      </c>
      <c r="O1805" s="1782"/>
      <c r="P1805" s="1720"/>
    </row>
    <row r="1806" spans="1:16" ht="13.9" hidden="1" customHeight="1" outlineLevel="3" x14ac:dyDescent="0.2">
      <c r="A1806" s="459">
        <v>0</v>
      </c>
      <c r="B1806" s="459">
        <v>19</v>
      </c>
      <c r="C1806" s="459">
        <v>8</v>
      </c>
      <c r="D1806" s="460">
        <v>2</v>
      </c>
      <c r="E1806" s="460">
        <v>1</v>
      </c>
      <c r="F1806" s="569"/>
      <c r="G1806" s="1798" t="s">
        <v>53</v>
      </c>
      <c r="H1806" s="1783" t="s">
        <v>1239</v>
      </c>
      <c r="I1806" s="1750" t="s">
        <v>8781</v>
      </c>
      <c r="J1806" s="1785" t="s">
        <v>1268</v>
      </c>
      <c r="K1806" s="1786" t="s">
        <v>1130</v>
      </c>
      <c r="L1806" s="1787">
        <v>1</v>
      </c>
      <c r="M1806" s="1787">
        <v>20630.860000000004</v>
      </c>
      <c r="N1806" s="1754">
        <v>20630.86</v>
      </c>
      <c r="O1806" s="1788"/>
      <c r="P1806" s="1721" t="s">
        <v>9611</v>
      </c>
    </row>
    <row r="1807" spans="1:16" ht="13.9" hidden="1" customHeight="1" outlineLevel="2" x14ac:dyDescent="0.2">
      <c r="A1807" s="459">
        <v>0</v>
      </c>
      <c r="B1807" s="459">
        <v>19</v>
      </c>
      <c r="C1807" s="459">
        <v>8</v>
      </c>
      <c r="D1807" s="460">
        <v>3</v>
      </c>
      <c r="E1807" s="460">
        <v>0</v>
      </c>
      <c r="F1807" s="569"/>
      <c r="G1807" s="1797"/>
      <c r="H1807" s="1777" t="s">
        <v>1238</v>
      </c>
      <c r="I1807" s="1742" t="s">
        <v>8782</v>
      </c>
      <c r="J1807" s="1779" t="s">
        <v>2822</v>
      </c>
      <c r="K1807" s="1780"/>
      <c r="L1807" s="1781"/>
      <c r="M1807" s="1781"/>
      <c r="N1807" s="1746">
        <v>8778</v>
      </c>
      <c r="O1807" s="1782"/>
      <c r="P1807" s="1720"/>
    </row>
    <row r="1808" spans="1:16" ht="13.9" hidden="1" customHeight="1" outlineLevel="3" x14ac:dyDescent="0.2">
      <c r="A1808" s="459">
        <v>0</v>
      </c>
      <c r="B1808" s="459">
        <v>19</v>
      </c>
      <c r="C1808" s="459">
        <v>8</v>
      </c>
      <c r="D1808" s="460">
        <v>3</v>
      </c>
      <c r="E1808" s="460">
        <v>1</v>
      </c>
      <c r="F1808" s="569"/>
      <c r="G1808" s="1798" t="s">
        <v>53</v>
      </c>
      <c r="H1808" s="1783" t="s">
        <v>1239</v>
      </c>
      <c r="I1808" s="1750" t="s">
        <v>8783</v>
      </c>
      <c r="J1808" s="1785" t="s">
        <v>1269</v>
      </c>
      <c r="K1808" s="1786" t="s">
        <v>1130</v>
      </c>
      <c r="L1808" s="1787">
        <v>1</v>
      </c>
      <c r="M1808" s="1787">
        <v>8778</v>
      </c>
      <c r="N1808" s="1754">
        <v>8778</v>
      </c>
      <c r="O1808" s="1788"/>
      <c r="P1808" s="1721" t="s">
        <v>9611</v>
      </c>
    </row>
    <row r="1809" spans="1:16" ht="13.9" hidden="1" customHeight="1" outlineLevel="2" x14ac:dyDescent="0.2">
      <c r="A1809" s="459">
        <v>0</v>
      </c>
      <c r="B1809" s="459">
        <v>19</v>
      </c>
      <c r="C1809" s="459">
        <v>8</v>
      </c>
      <c r="D1809" s="460">
        <v>4</v>
      </c>
      <c r="E1809" s="460">
        <v>0</v>
      </c>
      <c r="F1809" s="569"/>
      <c r="G1809" s="1797"/>
      <c r="H1809" s="1777" t="s">
        <v>1238</v>
      </c>
      <c r="I1809" s="1742" t="s">
        <v>8784</v>
      </c>
      <c r="J1809" s="1779" t="s">
        <v>15</v>
      </c>
      <c r="K1809" s="1780"/>
      <c r="L1809" s="1781"/>
      <c r="M1809" s="1781"/>
      <c r="N1809" s="1746">
        <v>3994.16</v>
      </c>
      <c r="O1809" s="1782"/>
      <c r="P1809" s="1720"/>
    </row>
    <row r="1810" spans="1:16" ht="13.9" hidden="1" customHeight="1" outlineLevel="3" x14ac:dyDescent="0.2">
      <c r="A1810" s="459">
        <v>0</v>
      </c>
      <c r="B1810" s="459">
        <v>19</v>
      </c>
      <c r="C1810" s="459">
        <v>8</v>
      </c>
      <c r="D1810" s="460">
        <v>4</v>
      </c>
      <c r="E1810" s="460">
        <v>1</v>
      </c>
      <c r="F1810" s="569"/>
      <c r="G1810" s="1798" t="s">
        <v>53</v>
      </c>
      <c r="H1810" s="1783" t="s">
        <v>1239</v>
      </c>
      <c r="I1810" s="1750" t="s">
        <v>8785</v>
      </c>
      <c r="J1810" s="1785" t="s">
        <v>1270</v>
      </c>
      <c r="K1810" s="1786" t="s">
        <v>1130</v>
      </c>
      <c r="L1810" s="1787">
        <v>1</v>
      </c>
      <c r="M1810" s="1787">
        <v>3994.16</v>
      </c>
      <c r="N1810" s="1754">
        <v>3994.16</v>
      </c>
      <c r="O1810" s="1788"/>
      <c r="P1810" s="1721" t="s">
        <v>9611</v>
      </c>
    </row>
    <row r="1811" spans="1:16" ht="13.9" hidden="1" customHeight="1" outlineLevel="1" x14ac:dyDescent="0.2">
      <c r="A1811" s="459">
        <v>0</v>
      </c>
      <c r="B1811" s="459">
        <v>19</v>
      </c>
      <c r="C1811" s="459">
        <v>9</v>
      </c>
      <c r="D1811" s="460">
        <v>0</v>
      </c>
      <c r="E1811" s="460">
        <v>1</v>
      </c>
      <c r="F1811" s="569"/>
      <c r="G1811" s="1796"/>
      <c r="H1811" s="1771" t="s">
        <v>39</v>
      </c>
      <c r="I1811" s="1735" t="s">
        <v>8786</v>
      </c>
      <c r="J1811" s="1773" t="s">
        <v>3085</v>
      </c>
      <c r="K1811" s="1774"/>
      <c r="L1811" s="1775"/>
      <c r="M1811" s="1775"/>
      <c r="N1811" s="1739">
        <v>10604.46</v>
      </c>
      <c r="O1811" s="1776"/>
      <c r="P1811" s="1725"/>
    </row>
    <row r="1812" spans="1:16" ht="15.75" hidden="1" customHeight="1" outlineLevel="2" x14ac:dyDescent="0.2">
      <c r="A1812" s="459">
        <v>0</v>
      </c>
      <c r="B1812" s="459">
        <v>19</v>
      </c>
      <c r="C1812" s="459">
        <v>9</v>
      </c>
      <c r="D1812" s="460">
        <v>1</v>
      </c>
      <c r="E1812" s="460">
        <v>0</v>
      </c>
      <c r="F1812" s="569"/>
      <c r="G1812" s="1797"/>
      <c r="H1812" s="1777" t="s">
        <v>1238</v>
      </c>
      <c r="I1812" s="1742" t="s">
        <v>8787</v>
      </c>
      <c r="J1812" s="1779" t="s">
        <v>32</v>
      </c>
      <c r="K1812" s="1780"/>
      <c r="L1812" s="1781"/>
      <c r="M1812" s="1781"/>
      <c r="N1812" s="1746">
        <v>5974.08</v>
      </c>
      <c r="O1812" s="1782"/>
      <c r="P1812" s="1720"/>
    </row>
    <row r="1813" spans="1:16" ht="13.9" hidden="1" customHeight="1" outlineLevel="3" x14ac:dyDescent="0.2">
      <c r="A1813" s="459">
        <v>0</v>
      </c>
      <c r="B1813" s="459">
        <v>19</v>
      </c>
      <c r="C1813" s="459">
        <v>9</v>
      </c>
      <c r="D1813" s="460">
        <v>1</v>
      </c>
      <c r="E1813" s="460">
        <v>1</v>
      </c>
      <c r="F1813" s="569"/>
      <c r="G1813" s="1798" t="s">
        <v>53</v>
      </c>
      <c r="H1813" s="1783" t="s">
        <v>1239</v>
      </c>
      <c r="I1813" s="1750" t="s">
        <v>8788</v>
      </c>
      <c r="J1813" s="1785" t="s">
        <v>1267</v>
      </c>
      <c r="K1813" s="1786" t="s">
        <v>1130</v>
      </c>
      <c r="L1813" s="1787">
        <v>1</v>
      </c>
      <c r="M1813" s="1787">
        <v>5974.08</v>
      </c>
      <c r="N1813" s="1754">
        <v>5974.08</v>
      </c>
      <c r="O1813" s="1788"/>
      <c r="P1813" s="1721" t="s">
        <v>9611</v>
      </c>
    </row>
    <row r="1814" spans="1:16" ht="13.9" hidden="1" customHeight="1" outlineLevel="2" x14ac:dyDescent="0.2">
      <c r="A1814" s="459">
        <v>0</v>
      </c>
      <c r="B1814" s="459">
        <v>19</v>
      </c>
      <c r="C1814" s="459">
        <v>9</v>
      </c>
      <c r="D1814" s="460">
        <v>2</v>
      </c>
      <c r="E1814" s="460">
        <v>0</v>
      </c>
      <c r="F1814" s="569"/>
      <c r="G1814" s="1797"/>
      <c r="H1814" s="1777" t="s">
        <v>1238</v>
      </c>
      <c r="I1814" s="1742" t="s">
        <v>8789</v>
      </c>
      <c r="J1814" s="1779" t="s">
        <v>2821</v>
      </c>
      <c r="K1814" s="1780"/>
      <c r="L1814" s="1781"/>
      <c r="M1814" s="1781"/>
      <c r="N1814" s="1746">
        <v>1866.14</v>
      </c>
      <c r="O1814" s="1782"/>
      <c r="P1814" s="1720"/>
    </row>
    <row r="1815" spans="1:16" ht="13.9" hidden="1" customHeight="1" outlineLevel="3" x14ac:dyDescent="0.2">
      <c r="A1815" s="459">
        <v>0</v>
      </c>
      <c r="B1815" s="459">
        <v>19</v>
      </c>
      <c r="C1815" s="459">
        <v>9</v>
      </c>
      <c r="D1815" s="460">
        <v>2</v>
      </c>
      <c r="E1815" s="460">
        <v>1</v>
      </c>
      <c r="F1815" s="569"/>
      <c r="G1815" s="1798" t="s">
        <v>53</v>
      </c>
      <c r="H1815" s="1783" t="s">
        <v>1239</v>
      </c>
      <c r="I1815" s="1750" t="s">
        <v>8790</v>
      </c>
      <c r="J1815" s="1785" t="s">
        <v>1268</v>
      </c>
      <c r="K1815" s="1786" t="s">
        <v>1130</v>
      </c>
      <c r="L1815" s="1787">
        <v>1</v>
      </c>
      <c r="M1815" s="1787">
        <v>1866.1399999999999</v>
      </c>
      <c r="N1815" s="1754">
        <v>1866.14</v>
      </c>
      <c r="O1815" s="1788"/>
      <c r="P1815" s="1721" t="s">
        <v>9611</v>
      </c>
    </row>
    <row r="1816" spans="1:16" ht="13.9" hidden="1" customHeight="1" outlineLevel="2" x14ac:dyDescent="0.2">
      <c r="A1816" s="459">
        <v>0</v>
      </c>
      <c r="B1816" s="459">
        <v>19</v>
      </c>
      <c r="C1816" s="459">
        <v>9</v>
      </c>
      <c r="D1816" s="460">
        <v>3</v>
      </c>
      <c r="E1816" s="460">
        <v>0</v>
      </c>
      <c r="F1816" s="569"/>
      <c r="G1816" s="1797"/>
      <c r="H1816" s="1777" t="s">
        <v>1238</v>
      </c>
      <c r="I1816" s="1742" t="s">
        <v>8791</v>
      </c>
      <c r="J1816" s="1779" t="s">
        <v>15</v>
      </c>
      <c r="K1816" s="1780"/>
      <c r="L1816" s="1781"/>
      <c r="M1816" s="1781"/>
      <c r="N1816" s="1746">
        <v>2764.24</v>
      </c>
      <c r="O1816" s="1782"/>
      <c r="P1816" s="1720"/>
    </row>
    <row r="1817" spans="1:16" ht="13.9" hidden="1" customHeight="1" outlineLevel="3" x14ac:dyDescent="0.2">
      <c r="A1817" s="459">
        <v>0</v>
      </c>
      <c r="B1817" s="459">
        <v>19</v>
      </c>
      <c r="C1817" s="459">
        <v>9</v>
      </c>
      <c r="D1817" s="460">
        <v>3</v>
      </c>
      <c r="E1817" s="460">
        <v>1</v>
      </c>
      <c r="F1817" s="569"/>
      <c r="G1817" s="1798" t="s">
        <v>53</v>
      </c>
      <c r="H1817" s="1783" t="s">
        <v>1239</v>
      </c>
      <c r="I1817" s="1750" t="s">
        <v>8792</v>
      </c>
      <c r="J1817" s="1785" t="s">
        <v>1270</v>
      </c>
      <c r="K1817" s="1786" t="s">
        <v>1130</v>
      </c>
      <c r="L1817" s="1787">
        <v>1</v>
      </c>
      <c r="M1817" s="1787">
        <v>2764.24</v>
      </c>
      <c r="N1817" s="1754">
        <v>2764.24</v>
      </c>
      <c r="O1817" s="1788"/>
      <c r="P1817" s="1721" t="s">
        <v>9611</v>
      </c>
    </row>
    <row r="1818" spans="1:16" ht="13.9" hidden="1" customHeight="1" outlineLevel="1" x14ac:dyDescent="0.2">
      <c r="A1818" s="459">
        <v>0</v>
      </c>
      <c r="B1818" s="459">
        <v>19</v>
      </c>
      <c r="C1818" s="459">
        <v>10</v>
      </c>
      <c r="D1818" s="460">
        <v>0</v>
      </c>
      <c r="E1818" s="460">
        <v>1</v>
      </c>
      <c r="F1818" s="569"/>
      <c r="G1818" s="1796"/>
      <c r="H1818" s="1771" t="s">
        <v>39</v>
      </c>
      <c r="I1818" s="1735" t="s">
        <v>8793</v>
      </c>
      <c r="J1818" s="1773" t="s">
        <v>3086</v>
      </c>
      <c r="K1818" s="1774"/>
      <c r="L1818" s="1775"/>
      <c r="M1818" s="1775"/>
      <c r="N1818" s="1739">
        <v>82140</v>
      </c>
      <c r="O1818" s="1776"/>
      <c r="P1818" s="1725"/>
    </row>
    <row r="1819" spans="1:16" ht="15.75" hidden="1" customHeight="1" outlineLevel="2" x14ac:dyDescent="0.2">
      <c r="A1819" s="459">
        <v>0</v>
      </c>
      <c r="B1819" s="459">
        <v>19</v>
      </c>
      <c r="C1819" s="459">
        <v>10</v>
      </c>
      <c r="D1819" s="460">
        <v>1</v>
      </c>
      <c r="E1819" s="460">
        <v>0</v>
      </c>
      <c r="F1819" s="569"/>
      <c r="G1819" s="1797"/>
      <c r="H1819" s="1777" t="s">
        <v>1238</v>
      </c>
      <c r="I1819" s="1742" t="s">
        <v>8794</v>
      </c>
      <c r="J1819" s="1779" t="s">
        <v>32</v>
      </c>
      <c r="K1819" s="1780"/>
      <c r="L1819" s="1781"/>
      <c r="M1819" s="1781"/>
      <c r="N1819" s="1746">
        <v>47792.639999999999</v>
      </c>
      <c r="O1819" s="1782"/>
      <c r="P1819" s="1720"/>
    </row>
    <row r="1820" spans="1:16" ht="13.9" hidden="1" customHeight="1" outlineLevel="3" x14ac:dyDescent="0.2">
      <c r="A1820" s="459">
        <v>0</v>
      </c>
      <c r="B1820" s="459">
        <v>19</v>
      </c>
      <c r="C1820" s="459">
        <v>10</v>
      </c>
      <c r="D1820" s="460">
        <v>1</v>
      </c>
      <c r="E1820" s="460">
        <v>1</v>
      </c>
      <c r="F1820" s="569"/>
      <c r="G1820" s="1798" t="s">
        <v>53</v>
      </c>
      <c r="H1820" s="1783" t="s">
        <v>1239</v>
      </c>
      <c r="I1820" s="1750" t="s">
        <v>8795</v>
      </c>
      <c r="J1820" s="1785" t="s">
        <v>1267</v>
      </c>
      <c r="K1820" s="1786" t="s">
        <v>1130</v>
      </c>
      <c r="L1820" s="1787">
        <v>1</v>
      </c>
      <c r="M1820" s="1787">
        <v>47792.639999999999</v>
      </c>
      <c r="N1820" s="1754">
        <v>47792.639999999999</v>
      </c>
      <c r="O1820" s="1788"/>
      <c r="P1820" s="1721" t="s">
        <v>9611</v>
      </c>
    </row>
    <row r="1821" spans="1:16" ht="13.9" hidden="1" customHeight="1" outlineLevel="2" x14ac:dyDescent="0.2">
      <c r="A1821" s="459">
        <v>0</v>
      </c>
      <c r="B1821" s="459">
        <v>19</v>
      </c>
      <c r="C1821" s="459">
        <v>10</v>
      </c>
      <c r="D1821" s="460">
        <v>2</v>
      </c>
      <c r="E1821" s="460">
        <v>0</v>
      </c>
      <c r="F1821" s="569"/>
      <c r="G1821" s="1797"/>
      <c r="H1821" s="1777" t="s">
        <v>1238</v>
      </c>
      <c r="I1821" s="1742" t="s">
        <v>8796</v>
      </c>
      <c r="J1821" s="1779" t="s">
        <v>2821</v>
      </c>
      <c r="K1821" s="1780"/>
      <c r="L1821" s="1781"/>
      <c r="M1821" s="1781"/>
      <c r="N1821" s="1746">
        <v>14929.12</v>
      </c>
      <c r="O1821" s="1782"/>
      <c r="P1821" s="1720"/>
    </row>
    <row r="1822" spans="1:16" ht="13.9" hidden="1" customHeight="1" outlineLevel="3" x14ac:dyDescent="0.2">
      <c r="A1822" s="459">
        <v>0</v>
      </c>
      <c r="B1822" s="459">
        <v>19</v>
      </c>
      <c r="C1822" s="459">
        <v>10</v>
      </c>
      <c r="D1822" s="460">
        <v>2</v>
      </c>
      <c r="E1822" s="460">
        <v>1</v>
      </c>
      <c r="F1822" s="569"/>
      <c r="G1822" s="1798" t="s">
        <v>53</v>
      </c>
      <c r="H1822" s="1783" t="s">
        <v>1239</v>
      </c>
      <c r="I1822" s="1750" t="s">
        <v>8797</v>
      </c>
      <c r="J1822" s="1785" t="s">
        <v>1268</v>
      </c>
      <c r="K1822" s="1786" t="s">
        <v>1130</v>
      </c>
      <c r="L1822" s="1787">
        <v>1</v>
      </c>
      <c r="M1822" s="1787">
        <v>14929.119999999999</v>
      </c>
      <c r="N1822" s="1754">
        <v>14929.12</v>
      </c>
      <c r="O1822" s="1788"/>
      <c r="P1822" s="1721" t="s">
        <v>9611</v>
      </c>
    </row>
    <row r="1823" spans="1:16" ht="13.9" hidden="1" customHeight="1" outlineLevel="2" x14ac:dyDescent="0.2">
      <c r="A1823" s="459">
        <v>0</v>
      </c>
      <c r="B1823" s="459">
        <v>19</v>
      </c>
      <c r="C1823" s="459">
        <v>10</v>
      </c>
      <c r="D1823" s="460">
        <v>3</v>
      </c>
      <c r="E1823" s="460">
        <v>0</v>
      </c>
      <c r="F1823" s="569"/>
      <c r="G1823" s="1797"/>
      <c r="H1823" s="1777" t="s">
        <v>1238</v>
      </c>
      <c r="I1823" s="1742" t="s">
        <v>8798</v>
      </c>
      <c r="J1823" s="1779" t="s">
        <v>15</v>
      </c>
      <c r="K1823" s="1780"/>
      <c r="L1823" s="1781"/>
      <c r="M1823" s="1781"/>
      <c r="N1823" s="1746">
        <v>19418.240000000002</v>
      </c>
      <c r="O1823" s="1782"/>
      <c r="P1823" s="1720"/>
    </row>
    <row r="1824" spans="1:16" ht="13.9" hidden="1" customHeight="1" outlineLevel="3" x14ac:dyDescent="0.2">
      <c r="A1824" s="459">
        <v>0</v>
      </c>
      <c r="B1824" s="459">
        <v>19</v>
      </c>
      <c r="C1824" s="459">
        <v>10</v>
      </c>
      <c r="D1824" s="460">
        <v>3</v>
      </c>
      <c r="E1824" s="460">
        <v>1</v>
      </c>
      <c r="F1824" s="569"/>
      <c r="G1824" s="1798" t="s">
        <v>53</v>
      </c>
      <c r="H1824" s="1783" t="s">
        <v>1239</v>
      </c>
      <c r="I1824" s="1750" t="s">
        <v>8799</v>
      </c>
      <c r="J1824" s="1785" t="s">
        <v>1270</v>
      </c>
      <c r="K1824" s="1786" t="s">
        <v>1130</v>
      </c>
      <c r="L1824" s="1787">
        <v>1</v>
      </c>
      <c r="M1824" s="1787">
        <v>19418.240000000002</v>
      </c>
      <c r="N1824" s="1754">
        <v>19418.240000000002</v>
      </c>
      <c r="O1824" s="1788"/>
      <c r="P1824" s="1721" t="s">
        <v>9611</v>
      </c>
    </row>
    <row r="1825" spans="1:16" ht="13.9" hidden="1" customHeight="1" outlineLevel="1" x14ac:dyDescent="0.2">
      <c r="A1825" s="459">
        <v>0</v>
      </c>
      <c r="B1825" s="459">
        <v>19</v>
      </c>
      <c r="C1825" s="459">
        <v>11</v>
      </c>
      <c r="D1825" s="460">
        <v>0</v>
      </c>
      <c r="E1825" s="460">
        <v>1</v>
      </c>
      <c r="F1825" s="569"/>
      <c r="G1825" s="1796"/>
      <c r="H1825" s="1771" t="s">
        <v>39</v>
      </c>
      <c r="I1825" s="1735" t="s">
        <v>8800</v>
      </c>
      <c r="J1825" s="1773" t="s">
        <v>3087</v>
      </c>
      <c r="K1825" s="1774"/>
      <c r="L1825" s="1775"/>
      <c r="M1825" s="1775"/>
      <c r="N1825" s="1739">
        <v>179316.28</v>
      </c>
      <c r="O1825" s="1776"/>
      <c r="P1825" s="1725"/>
    </row>
    <row r="1826" spans="1:16" ht="15.75" hidden="1" customHeight="1" outlineLevel="2" x14ac:dyDescent="0.2">
      <c r="A1826" s="459">
        <v>0</v>
      </c>
      <c r="B1826" s="459">
        <v>19</v>
      </c>
      <c r="C1826" s="459">
        <v>11</v>
      </c>
      <c r="D1826" s="460">
        <v>1</v>
      </c>
      <c r="E1826" s="460">
        <v>0</v>
      </c>
      <c r="F1826" s="569"/>
      <c r="G1826" s="1797"/>
      <c r="H1826" s="1777" t="s">
        <v>1238</v>
      </c>
      <c r="I1826" s="1742" t="s">
        <v>8801</v>
      </c>
      <c r="J1826" s="1779" t="s">
        <v>32</v>
      </c>
      <c r="K1826" s="1780"/>
      <c r="L1826" s="1781"/>
      <c r="M1826" s="1781"/>
      <c r="N1826" s="1746">
        <v>93083.32</v>
      </c>
      <c r="O1826" s="1782"/>
      <c r="P1826" s="1720"/>
    </row>
    <row r="1827" spans="1:16" ht="13.9" hidden="1" customHeight="1" outlineLevel="3" x14ac:dyDescent="0.2">
      <c r="A1827" s="459">
        <v>0</v>
      </c>
      <c r="B1827" s="459">
        <v>19</v>
      </c>
      <c r="C1827" s="459">
        <v>11</v>
      </c>
      <c r="D1827" s="460">
        <v>1</v>
      </c>
      <c r="E1827" s="460">
        <v>1</v>
      </c>
      <c r="F1827" s="569"/>
      <c r="G1827" s="1798" t="s">
        <v>53</v>
      </c>
      <c r="H1827" s="1783" t="s">
        <v>1239</v>
      </c>
      <c r="I1827" s="1750" t="s">
        <v>8802</v>
      </c>
      <c r="J1827" s="1785" t="s">
        <v>1267</v>
      </c>
      <c r="K1827" s="1786" t="s">
        <v>1130</v>
      </c>
      <c r="L1827" s="1787">
        <v>1</v>
      </c>
      <c r="M1827" s="1787">
        <v>93083.319999999992</v>
      </c>
      <c r="N1827" s="1754">
        <v>93083.32</v>
      </c>
      <c r="O1827" s="1788"/>
      <c r="P1827" s="1721" t="s">
        <v>9611</v>
      </c>
    </row>
    <row r="1828" spans="1:16" ht="13.9" hidden="1" customHeight="1" outlineLevel="2" x14ac:dyDescent="0.2">
      <c r="A1828" s="459">
        <v>0</v>
      </c>
      <c r="B1828" s="459">
        <v>19</v>
      </c>
      <c r="C1828" s="459">
        <v>11</v>
      </c>
      <c r="D1828" s="460">
        <v>2</v>
      </c>
      <c r="E1828" s="460">
        <v>0</v>
      </c>
      <c r="F1828" s="569"/>
      <c r="G1828" s="1797"/>
      <c r="H1828" s="1777" t="s">
        <v>1238</v>
      </c>
      <c r="I1828" s="1742" t="s">
        <v>8803</v>
      </c>
      <c r="J1828" s="1779" t="s">
        <v>2821</v>
      </c>
      <c r="K1828" s="1780"/>
      <c r="L1828" s="1781"/>
      <c r="M1828" s="1781"/>
      <c r="N1828" s="1746">
        <v>32804.639999999999</v>
      </c>
      <c r="O1828" s="1782"/>
      <c r="P1828" s="1720"/>
    </row>
    <row r="1829" spans="1:16" ht="13.9" hidden="1" customHeight="1" outlineLevel="3" x14ac:dyDescent="0.2">
      <c r="A1829" s="459">
        <v>0</v>
      </c>
      <c r="B1829" s="459">
        <v>19</v>
      </c>
      <c r="C1829" s="459">
        <v>11</v>
      </c>
      <c r="D1829" s="460">
        <v>2</v>
      </c>
      <c r="E1829" s="460">
        <v>1</v>
      </c>
      <c r="F1829" s="569"/>
      <c r="G1829" s="1798" t="s">
        <v>53</v>
      </c>
      <c r="H1829" s="1783" t="s">
        <v>1239</v>
      </c>
      <c r="I1829" s="1750" t="s">
        <v>8804</v>
      </c>
      <c r="J1829" s="1785" t="s">
        <v>1268</v>
      </c>
      <c r="K1829" s="1786" t="s">
        <v>1130</v>
      </c>
      <c r="L1829" s="1787">
        <v>1</v>
      </c>
      <c r="M1829" s="1787">
        <v>32804.639999999999</v>
      </c>
      <c r="N1829" s="1754">
        <v>32804.639999999999</v>
      </c>
      <c r="O1829" s="1788"/>
      <c r="P1829" s="1721" t="s">
        <v>9611</v>
      </c>
    </row>
    <row r="1830" spans="1:16" ht="13.9" hidden="1" customHeight="1" outlineLevel="2" x14ac:dyDescent="0.2">
      <c r="A1830" s="459">
        <v>0</v>
      </c>
      <c r="B1830" s="459">
        <v>19</v>
      </c>
      <c r="C1830" s="459">
        <v>11</v>
      </c>
      <c r="D1830" s="460">
        <v>3</v>
      </c>
      <c r="E1830" s="460">
        <v>0</v>
      </c>
      <c r="F1830" s="569"/>
      <c r="G1830" s="1797"/>
      <c r="H1830" s="1777" t="s">
        <v>1238</v>
      </c>
      <c r="I1830" s="1742" t="s">
        <v>8805</v>
      </c>
      <c r="J1830" s="1779" t="s">
        <v>15</v>
      </c>
      <c r="K1830" s="1780"/>
      <c r="L1830" s="1781"/>
      <c r="M1830" s="1781"/>
      <c r="N1830" s="1746">
        <v>53428.32</v>
      </c>
      <c r="O1830" s="1782"/>
      <c r="P1830" s="1720"/>
    </row>
    <row r="1831" spans="1:16" ht="13.9" hidden="1" customHeight="1" outlineLevel="3" x14ac:dyDescent="0.2">
      <c r="A1831" s="459">
        <v>0</v>
      </c>
      <c r="B1831" s="459">
        <v>19</v>
      </c>
      <c r="C1831" s="459">
        <v>11</v>
      </c>
      <c r="D1831" s="460">
        <v>3</v>
      </c>
      <c r="E1831" s="460">
        <v>1</v>
      </c>
      <c r="F1831" s="569"/>
      <c r="G1831" s="1798" t="s">
        <v>53</v>
      </c>
      <c r="H1831" s="1783" t="s">
        <v>1239</v>
      </c>
      <c r="I1831" s="1750" t="s">
        <v>8806</v>
      </c>
      <c r="J1831" s="1785" t="s">
        <v>1270</v>
      </c>
      <c r="K1831" s="1786" t="s">
        <v>1130</v>
      </c>
      <c r="L1831" s="1787">
        <v>1</v>
      </c>
      <c r="M1831" s="1787">
        <v>53428.32</v>
      </c>
      <c r="N1831" s="1754">
        <v>53428.32</v>
      </c>
      <c r="O1831" s="1788"/>
      <c r="P1831" s="1721" t="s">
        <v>9611</v>
      </c>
    </row>
    <row r="1832" spans="1:16" ht="13.9" hidden="1" customHeight="1" outlineLevel="1" x14ac:dyDescent="0.2">
      <c r="A1832" s="459">
        <v>0</v>
      </c>
      <c r="B1832" s="459">
        <v>19</v>
      </c>
      <c r="C1832" s="459">
        <v>12</v>
      </c>
      <c r="D1832" s="460">
        <v>0</v>
      </c>
      <c r="E1832" s="460">
        <v>1</v>
      </c>
      <c r="F1832" s="569"/>
      <c r="G1832" s="1796"/>
      <c r="H1832" s="1771" t="s">
        <v>39</v>
      </c>
      <c r="I1832" s="1735" t="s">
        <v>8807</v>
      </c>
      <c r="J1832" s="1773" t="s">
        <v>3088</v>
      </c>
      <c r="K1832" s="1774"/>
      <c r="L1832" s="1775"/>
      <c r="M1832" s="1775"/>
      <c r="N1832" s="1739">
        <v>8437.39</v>
      </c>
      <c r="O1832" s="1776"/>
      <c r="P1832" s="1725"/>
    </row>
    <row r="1833" spans="1:16" ht="15.75" hidden="1" customHeight="1" outlineLevel="2" x14ac:dyDescent="0.2">
      <c r="A1833" s="459">
        <v>0</v>
      </c>
      <c r="B1833" s="459">
        <v>19</v>
      </c>
      <c r="C1833" s="459">
        <v>12</v>
      </c>
      <c r="D1833" s="460">
        <v>1</v>
      </c>
      <c r="E1833" s="460">
        <v>0</v>
      </c>
      <c r="F1833" s="569"/>
      <c r="G1833" s="1797"/>
      <c r="H1833" s="1777" t="s">
        <v>1238</v>
      </c>
      <c r="I1833" s="1742" t="s">
        <v>8808</v>
      </c>
      <c r="J1833" s="1779" t="s">
        <v>32</v>
      </c>
      <c r="K1833" s="1780"/>
      <c r="L1833" s="1781"/>
      <c r="M1833" s="1781"/>
      <c r="N1833" s="1746">
        <v>4354.07</v>
      </c>
      <c r="O1833" s="1782"/>
      <c r="P1833" s="1720"/>
    </row>
    <row r="1834" spans="1:16" ht="13.9" hidden="1" customHeight="1" outlineLevel="3" x14ac:dyDescent="0.2">
      <c r="A1834" s="459">
        <v>0</v>
      </c>
      <c r="B1834" s="459">
        <v>19</v>
      </c>
      <c r="C1834" s="459">
        <v>12</v>
      </c>
      <c r="D1834" s="460">
        <v>1</v>
      </c>
      <c r="E1834" s="460">
        <v>1</v>
      </c>
      <c r="F1834" s="569"/>
      <c r="G1834" s="1798" t="s">
        <v>53</v>
      </c>
      <c r="H1834" s="1783" t="s">
        <v>1239</v>
      </c>
      <c r="I1834" s="1750" t="s">
        <v>8809</v>
      </c>
      <c r="J1834" s="1785" t="s">
        <v>1267</v>
      </c>
      <c r="K1834" s="1786" t="s">
        <v>1130</v>
      </c>
      <c r="L1834" s="1787">
        <v>1</v>
      </c>
      <c r="M1834" s="1787">
        <v>4354.07</v>
      </c>
      <c r="N1834" s="1754">
        <v>4354.07</v>
      </c>
      <c r="O1834" s="1788"/>
      <c r="P1834" s="1721" t="s">
        <v>9611</v>
      </c>
    </row>
    <row r="1835" spans="1:16" ht="13.9" hidden="1" customHeight="1" outlineLevel="2" x14ac:dyDescent="0.2">
      <c r="A1835" s="459">
        <v>0</v>
      </c>
      <c r="B1835" s="459">
        <v>19</v>
      </c>
      <c r="C1835" s="459">
        <v>12</v>
      </c>
      <c r="D1835" s="460">
        <v>2</v>
      </c>
      <c r="E1835" s="460">
        <v>0</v>
      </c>
      <c r="F1835" s="569"/>
      <c r="G1835" s="1797"/>
      <c r="H1835" s="1777" t="s">
        <v>1238</v>
      </c>
      <c r="I1835" s="1742" t="s">
        <v>8810</v>
      </c>
      <c r="J1835" s="1779" t="s">
        <v>2821</v>
      </c>
      <c r="K1835" s="1780"/>
      <c r="L1835" s="1781"/>
      <c r="M1835" s="1781"/>
      <c r="N1835" s="1746">
        <v>1739.64</v>
      </c>
      <c r="O1835" s="1782"/>
      <c r="P1835" s="1720"/>
    </row>
    <row r="1836" spans="1:16" ht="13.9" hidden="1" customHeight="1" outlineLevel="3" x14ac:dyDescent="0.2">
      <c r="A1836" s="459">
        <v>0</v>
      </c>
      <c r="B1836" s="459">
        <v>19</v>
      </c>
      <c r="C1836" s="459">
        <v>12</v>
      </c>
      <c r="D1836" s="460">
        <v>2</v>
      </c>
      <c r="E1836" s="460">
        <v>1</v>
      </c>
      <c r="F1836" s="569"/>
      <c r="G1836" s="1798" t="s">
        <v>53</v>
      </c>
      <c r="H1836" s="1783" t="s">
        <v>1239</v>
      </c>
      <c r="I1836" s="1750" t="s">
        <v>8811</v>
      </c>
      <c r="J1836" s="1785" t="s">
        <v>1268</v>
      </c>
      <c r="K1836" s="1786" t="s">
        <v>1130</v>
      </c>
      <c r="L1836" s="1787">
        <v>1</v>
      </c>
      <c r="M1836" s="1787">
        <v>1739.6399999999999</v>
      </c>
      <c r="N1836" s="1754">
        <v>1739.64</v>
      </c>
      <c r="O1836" s="1788"/>
      <c r="P1836" s="1721" t="s">
        <v>9611</v>
      </c>
    </row>
    <row r="1837" spans="1:16" ht="13.9" hidden="1" customHeight="1" outlineLevel="2" x14ac:dyDescent="0.2">
      <c r="A1837" s="459">
        <v>0</v>
      </c>
      <c r="B1837" s="459">
        <v>19</v>
      </c>
      <c r="C1837" s="459">
        <v>12</v>
      </c>
      <c r="D1837" s="460">
        <v>3</v>
      </c>
      <c r="E1837" s="460">
        <v>0</v>
      </c>
      <c r="F1837" s="569"/>
      <c r="G1837" s="1797"/>
      <c r="H1837" s="1777" t="s">
        <v>1238</v>
      </c>
      <c r="I1837" s="1742" t="s">
        <v>8812</v>
      </c>
      <c r="J1837" s="1779" t="s">
        <v>15</v>
      </c>
      <c r="K1837" s="1780"/>
      <c r="L1837" s="1781"/>
      <c r="M1837" s="1781"/>
      <c r="N1837" s="1746">
        <v>2343.6799999999998</v>
      </c>
      <c r="O1837" s="1782"/>
      <c r="P1837" s="1720"/>
    </row>
    <row r="1838" spans="1:16" ht="13.9" hidden="1" customHeight="1" outlineLevel="3" x14ac:dyDescent="0.2">
      <c r="A1838" s="459">
        <v>0</v>
      </c>
      <c r="B1838" s="459">
        <v>19</v>
      </c>
      <c r="C1838" s="459">
        <v>12</v>
      </c>
      <c r="D1838" s="460">
        <v>3</v>
      </c>
      <c r="E1838" s="460">
        <v>1</v>
      </c>
      <c r="F1838" s="569"/>
      <c r="G1838" s="1798" t="s">
        <v>53</v>
      </c>
      <c r="H1838" s="1783" t="s">
        <v>1239</v>
      </c>
      <c r="I1838" s="1750" t="s">
        <v>8813</v>
      </c>
      <c r="J1838" s="1785" t="s">
        <v>1270</v>
      </c>
      <c r="K1838" s="1786" t="s">
        <v>1130</v>
      </c>
      <c r="L1838" s="1787">
        <v>1</v>
      </c>
      <c r="M1838" s="1787">
        <v>2343.6799999999998</v>
      </c>
      <c r="N1838" s="1754">
        <v>2343.6799999999998</v>
      </c>
      <c r="O1838" s="1788"/>
      <c r="P1838" s="1721" t="s">
        <v>9611</v>
      </c>
    </row>
    <row r="1839" spans="1:16" ht="13.9" hidden="1" customHeight="1" outlineLevel="1" x14ac:dyDescent="0.2">
      <c r="A1839" s="459">
        <v>0</v>
      </c>
      <c r="B1839" s="459">
        <v>19</v>
      </c>
      <c r="C1839" s="459">
        <v>13</v>
      </c>
      <c r="D1839" s="460">
        <v>0</v>
      </c>
      <c r="E1839" s="460">
        <v>1</v>
      </c>
      <c r="F1839" s="569"/>
      <c r="G1839" s="1796"/>
      <c r="H1839" s="1771" t="s">
        <v>39</v>
      </c>
      <c r="I1839" s="1735" t="s">
        <v>8814</v>
      </c>
      <c r="J1839" s="1773" t="s">
        <v>3089</v>
      </c>
      <c r="K1839" s="1774"/>
      <c r="L1839" s="1775"/>
      <c r="M1839" s="1775"/>
      <c r="N1839" s="1739">
        <v>3820.45</v>
      </c>
      <c r="O1839" s="1776"/>
      <c r="P1839" s="1725"/>
    </row>
    <row r="1840" spans="1:16" ht="15.75" hidden="1" customHeight="1" outlineLevel="2" x14ac:dyDescent="0.2">
      <c r="A1840" s="459">
        <v>0</v>
      </c>
      <c r="B1840" s="459">
        <v>19</v>
      </c>
      <c r="C1840" s="459">
        <v>13</v>
      </c>
      <c r="D1840" s="460">
        <v>1</v>
      </c>
      <c r="E1840" s="460">
        <v>0</v>
      </c>
      <c r="F1840" s="569"/>
      <c r="G1840" s="1797"/>
      <c r="H1840" s="1777" t="s">
        <v>1238</v>
      </c>
      <c r="I1840" s="1742" t="s">
        <v>8815</v>
      </c>
      <c r="J1840" s="1779" t="s">
        <v>32</v>
      </c>
      <c r="K1840" s="1780"/>
      <c r="L1840" s="1781"/>
      <c r="M1840" s="1781"/>
      <c r="N1840" s="1746">
        <v>1244.02</v>
      </c>
      <c r="O1840" s="1782"/>
      <c r="P1840" s="1720"/>
    </row>
    <row r="1841" spans="1:16" ht="13.9" hidden="1" customHeight="1" outlineLevel="3" x14ac:dyDescent="0.2">
      <c r="A1841" s="459">
        <v>0</v>
      </c>
      <c r="B1841" s="459">
        <v>19</v>
      </c>
      <c r="C1841" s="459">
        <v>13</v>
      </c>
      <c r="D1841" s="460">
        <v>1</v>
      </c>
      <c r="E1841" s="460">
        <v>1</v>
      </c>
      <c r="F1841" s="569"/>
      <c r="G1841" s="1798" t="s">
        <v>53</v>
      </c>
      <c r="H1841" s="1783" t="s">
        <v>1239</v>
      </c>
      <c r="I1841" s="1750" t="s">
        <v>8816</v>
      </c>
      <c r="J1841" s="1785" t="s">
        <v>1267</v>
      </c>
      <c r="K1841" s="1786" t="s">
        <v>1130</v>
      </c>
      <c r="L1841" s="1787">
        <v>1</v>
      </c>
      <c r="M1841" s="1787">
        <v>1244.02</v>
      </c>
      <c r="N1841" s="1754">
        <v>1244.02</v>
      </c>
      <c r="O1841" s="1788"/>
      <c r="P1841" s="1721" t="s">
        <v>9611</v>
      </c>
    </row>
    <row r="1842" spans="1:16" ht="13.9" hidden="1" customHeight="1" outlineLevel="2" x14ac:dyDescent="0.2">
      <c r="A1842" s="459">
        <v>0</v>
      </c>
      <c r="B1842" s="459">
        <v>19</v>
      </c>
      <c r="C1842" s="459">
        <v>13</v>
      </c>
      <c r="D1842" s="460">
        <v>2</v>
      </c>
      <c r="E1842" s="460">
        <v>0</v>
      </c>
      <c r="F1842" s="569"/>
      <c r="G1842" s="1797"/>
      <c r="H1842" s="1777" t="s">
        <v>1238</v>
      </c>
      <c r="I1842" s="1742" t="s">
        <v>8817</v>
      </c>
      <c r="J1842" s="1779" t="s">
        <v>2821</v>
      </c>
      <c r="K1842" s="1780"/>
      <c r="L1842" s="1781"/>
      <c r="M1842" s="1781"/>
      <c r="N1842" s="1746">
        <v>346.03</v>
      </c>
      <c r="O1842" s="1782"/>
      <c r="P1842" s="1720"/>
    </row>
    <row r="1843" spans="1:16" ht="13.9" hidden="1" customHeight="1" outlineLevel="3" x14ac:dyDescent="0.2">
      <c r="A1843" s="459">
        <v>0</v>
      </c>
      <c r="B1843" s="459">
        <v>19</v>
      </c>
      <c r="C1843" s="459">
        <v>13</v>
      </c>
      <c r="D1843" s="460">
        <v>2</v>
      </c>
      <c r="E1843" s="460">
        <v>1</v>
      </c>
      <c r="F1843" s="569"/>
      <c r="G1843" s="1798" t="s">
        <v>53</v>
      </c>
      <c r="H1843" s="1783" t="s">
        <v>1239</v>
      </c>
      <c r="I1843" s="1750" t="s">
        <v>8818</v>
      </c>
      <c r="J1843" s="1785" t="s">
        <v>1268</v>
      </c>
      <c r="K1843" s="1786" t="s">
        <v>1130</v>
      </c>
      <c r="L1843" s="1787">
        <v>1</v>
      </c>
      <c r="M1843" s="1787">
        <v>346.03</v>
      </c>
      <c r="N1843" s="1754">
        <v>346.03</v>
      </c>
      <c r="O1843" s="1788"/>
      <c r="P1843" s="1721" t="s">
        <v>9611</v>
      </c>
    </row>
    <row r="1844" spans="1:16" ht="13.9" hidden="1" customHeight="1" outlineLevel="2" x14ac:dyDescent="0.2">
      <c r="A1844" s="459">
        <v>0</v>
      </c>
      <c r="B1844" s="459">
        <v>19</v>
      </c>
      <c r="C1844" s="459">
        <v>13</v>
      </c>
      <c r="D1844" s="460">
        <v>3</v>
      </c>
      <c r="E1844" s="460">
        <v>0</v>
      </c>
      <c r="F1844" s="569"/>
      <c r="G1844" s="1797"/>
      <c r="H1844" s="1777" t="s">
        <v>1238</v>
      </c>
      <c r="I1844" s="1742" t="s">
        <v>8819</v>
      </c>
      <c r="J1844" s="1779" t="s">
        <v>15</v>
      </c>
      <c r="K1844" s="1780"/>
      <c r="L1844" s="1781"/>
      <c r="M1844" s="1781"/>
      <c r="N1844" s="1746">
        <v>2230.4</v>
      </c>
      <c r="O1844" s="1782"/>
      <c r="P1844" s="1720"/>
    </row>
    <row r="1845" spans="1:16" ht="13.9" hidden="1" customHeight="1" outlineLevel="3" x14ac:dyDescent="0.2">
      <c r="A1845" s="459">
        <v>0</v>
      </c>
      <c r="B1845" s="459">
        <v>19</v>
      </c>
      <c r="C1845" s="459">
        <v>13</v>
      </c>
      <c r="D1845" s="460">
        <v>3</v>
      </c>
      <c r="E1845" s="460">
        <v>1</v>
      </c>
      <c r="F1845" s="569"/>
      <c r="G1845" s="1798" t="s">
        <v>53</v>
      </c>
      <c r="H1845" s="1783" t="s">
        <v>1239</v>
      </c>
      <c r="I1845" s="1750" t="s">
        <v>8820</v>
      </c>
      <c r="J1845" s="1785" t="s">
        <v>1270</v>
      </c>
      <c r="K1845" s="1786" t="s">
        <v>1130</v>
      </c>
      <c r="L1845" s="1787">
        <v>1</v>
      </c>
      <c r="M1845" s="1787">
        <v>2230.4</v>
      </c>
      <c r="N1845" s="1754">
        <v>2230.4</v>
      </c>
      <c r="O1845" s="1788"/>
      <c r="P1845" s="1721" t="s">
        <v>9611</v>
      </c>
    </row>
    <row r="1846" spans="1:16" ht="13.9" hidden="1" customHeight="1" outlineLevel="1" x14ac:dyDescent="0.2">
      <c r="A1846" s="459">
        <v>0</v>
      </c>
      <c r="B1846" s="459">
        <v>19</v>
      </c>
      <c r="C1846" s="459">
        <v>14</v>
      </c>
      <c r="D1846" s="460">
        <v>0</v>
      </c>
      <c r="E1846" s="460">
        <v>1</v>
      </c>
      <c r="F1846" s="569"/>
      <c r="G1846" s="1796"/>
      <c r="H1846" s="1771" t="s">
        <v>39</v>
      </c>
      <c r="I1846" s="1735" t="s">
        <v>8821</v>
      </c>
      <c r="J1846" s="1773" t="s">
        <v>3090</v>
      </c>
      <c r="K1846" s="1774"/>
      <c r="L1846" s="1775"/>
      <c r="M1846" s="1775"/>
      <c r="N1846" s="1739">
        <v>1189.76</v>
      </c>
      <c r="O1846" s="1776"/>
      <c r="P1846" s="1725"/>
    </row>
    <row r="1847" spans="1:16" ht="13.9" hidden="1" customHeight="1" outlineLevel="2" x14ac:dyDescent="0.2">
      <c r="A1847" s="459">
        <v>0</v>
      </c>
      <c r="B1847" s="459">
        <v>19</v>
      </c>
      <c r="C1847" s="459">
        <v>14</v>
      </c>
      <c r="D1847" s="460">
        <v>1</v>
      </c>
      <c r="E1847" s="460">
        <v>0</v>
      </c>
      <c r="F1847" s="569"/>
      <c r="G1847" s="1797"/>
      <c r="H1847" s="1777" t="s">
        <v>1238</v>
      </c>
      <c r="I1847" s="1742" t="s">
        <v>8822</v>
      </c>
      <c r="J1847" s="1779" t="s">
        <v>2821</v>
      </c>
      <c r="K1847" s="1780"/>
      <c r="L1847" s="1781"/>
      <c r="M1847" s="1781"/>
      <c r="N1847" s="1746">
        <v>600</v>
      </c>
      <c r="O1847" s="1782"/>
      <c r="P1847" s="1720"/>
    </row>
    <row r="1848" spans="1:16" ht="13.9" hidden="1" customHeight="1" outlineLevel="3" x14ac:dyDescent="0.2">
      <c r="A1848" s="459">
        <v>0</v>
      </c>
      <c r="B1848" s="459">
        <v>19</v>
      </c>
      <c r="C1848" s="459">
        <v>14</v>
      </c>
      <c r="D1848" s="460">
        <v>1</v>
      </c>
      <c r="E1848" s="460">
        <v>1</v>
      </c>
      <c r="F1848" s="569"/>
      <c r="G1848" s="1798" t="s">
        <v>53</v>
      </c>
      <c r="H1848" s="1783" t="s">
        <v>1239</v>
      </c>
      <c r="I1848" s="1750" t="s">
        <v>8823</v>
      </c>
      <c r="J1848" s="1785" t="s">
        <v>1268</v>
      </c>
      <c r="K1848" s="1786" t="s">
        <v>1130</v>
      </c>
      <c r="L1848" s="1787">
        <v>1</v>
      </c>
      <c r="M1848" s="1787">
        <v>600</v>
      </c>
      <c r="N1848" s="1754">
        <v>600</v>
      </c>
      <c r="O1848" s="1788"/>
      <c r="P1848" s="1721" t="s">
        <v>9611</v>
      </c>
    </row>
    <row r="1849" spans="1:16" ht="13.9" hidden="1" customHeight="1" outlineLevel="2" x14ac:dyDescent="0.2">
      <c r="A1849" s="459">
        <v>0</v>
      </c>
      <c r="B1849" s="459">
        <v>19</v>
      </c>
      <c r="C1849" s="459">
        <v>14</v>
      </c>
      <c r="D1849" s="460">
        <v>2</v>
      </c>
      <c r="E1849" s="460">
        <v>0</v>
      </c>
      <c r="F1849" s="569"/>
      <c r="G1849" s="1797"/>
      <c r="H1849" s="1777" t="s">
        <v>1238</v>
      </c>
      <c r="I1849" s="1742" t="s">
        <v>8824</v>
      </c>
      <c r="J1849" s="1779" t="s">
        <v>15</v>
      </c>
      <c r="K1849" s="1780"/>
      <c r="L1849" s="1781"/>
      <c r="M1849" s="1781"/>
      <c r="N1849" s="1746">
        <v>589.76</v>
      </c>
      <c r="O1849" s="1782"/>
      <c r="P1849" s="1720"/>
    </row>
    <row r="1850" spans="1:16" ht="13.9" hidden="1" customHeight="1" outlineLevel="3" x14ac:dyDescent="0.2">
      <c r="A1850" s="459">
        <v>0</v>
      </c>
      <c r="B1850" s="459">
        <v>19</v>
      </c>
      <c r="C1850" s="459">
        <v>14</v>
      </c>
      <c r="D1850" s="460">
        <v>2</v>
      </c>
      <c r="E1850" s="460">
        <v>1</v>
      </c>
      <c r="F1850" s="569"/>
      <c r="G1850" s="1798" t="s">
        <v>53</v>
      </c>
      <c r="H1850" s="1783" t="s">
        <v>1239</v>
      </c>
      <c r="I1850" s="1750" t="s">
        <v>8825</v>
      </c>
      <c r="J1850" s="1785" t="s">
        <v>1270</v>
      </c>
      <c r="K1850" s="1786" t="s">
        <v>1130</v>
      </c>
      <c r="L1850" s="1787">
        <v>1</v>
      </c>
      <c r="M1850" s="1787">
        <v>589.76</v>
      </c>
      <c r="N1850" s="1754">
        <v>589.76</v>
      </c>
      <c r="O1850" s="1788"/>
      <c r="P1850" s="1721" t="s">
        <v>9611</v>
      </c>
    </row>
    <row r="1851" spans="1:16" ht="13.9" customHeight="1" collapsed="1" x14ac:dyDescent="0.2">
      <c r="A1851" s="459">
        <v>0</v>
      </c>
      <c r="B1851" s="459">
        <v>20</v>
      </c>
      <c r="C1851" s="459">
        <v>0</v>
      </c>
      <c r="D1851" s="460">
        <v>2</v>
      </c>
      <c r="E1851" s="460">
        <v>1</v>
      </c>
      <c r="F1851" s="569"/>
      <c r="G1851" s="1794"/>
      <c r="H1851" s="1766" t="s">
        <v>1237</v>
      </c>
      <c r="I1851" s="1728" t="s">
        <v>8826</v>
      </c>
      <c r="J1851" s="1795" t="s">
        <v>33</v>
      </c>
      <c r="K1851" s="1768"/>
      <c r="L1851" s="1769"/>
      <c r="M1851" s="1769"/>
      <c r="N1851" s="1732">
        <v>34721</v>
      </c>
      <c r="O1851" s="1770">
        <v>2.0729363623283299</v>
      </c>
      <c r="P1851" s="1724"/>
    </row>
    <row r="1852" spans="1:16" ht="13.9" hidden="1" customHeight="1" outlineLevel="1" x14ac:dyDescent="0.2">
      <c r="A1852" s="459">
        <v>0</v>
      </c>
      <c r="B1852" s="459">
        <v>20</v>
      </c>
      <c r="C1852" s="459">
        <v>1</v>
      </c>
      <c r="D1852" s="460">
        <v>0</v>
      </c>
      <c r="E1852" s="460">
        <v>1</v>
      </c>
      <c r="F1852" s="569"/>
      <c r="G1852" s="1796"/>
      <c r="H1852" s="1771" t="s">
        <v>39</v>
      </c>
      <c r="I1852" s="1735" t="s">
        <v>8827</v>
      </c>
      <c r="J1852" s="1773" t="s">
        <v>33</v>
      </c>
      <c r="K1852" s="1774"/>
      <c r="L1852" s="1775"/>
      <c r="M1852" s="1775"/>
      <c r="N1852" s="1739">
        <v>34721</v>
      </c>
      <c r="O1852" s="1776"/>
      <c r="P1852" s="1725"/>
    </row>
    <row r="1853" spans="1:16" ht="13.9" hidden="1" customHeight="1" outlineLevel="2" x14ac:dyDescent="0.2">
      <c r="A1853" s="459">
        <v>0</v>
      </c>
      <c r="B1853" s="459">
        <v>20</v>
      </c>
      <c r="C1853" s="459">
        <v>1</v>
      </c>
      <c r="D1853" s="460">
        <v>1</v>
      </c>
      <c r="E1853" s="460">
        <v>0</v>
      </c>
      <c r="F1853" s="569"/>
      <c r="G1853" s="1797"/>
      <c r="H1853" s="1777" t="s">
        <v>1238</v>
      </c>
      <c r="I1853" s="1742" t="s">
        <v>8828</v>
      </c>
      <c r="J1853" s="1779" t="s">
        <v>2823</v>
      </c>
      <c r="K1853" s="1780"/>
      <c r="L1853" s="1781"/>
      <c r="M1853" s="1781"/>
      <c r="N1853" s="1746">
        <v>34721</v>
      </c>
      <c r="O1853" s="1782"/>
      <c r="P1853" s="1720"/>
    </row>
    <row r="1854" spans="1:16" ht="13.9" hidden="1" customHeight="1" outlineLevel="3" x14ac:dyDescent="0.2">
      <c r="A1854" s="459">
        <v>0</v>
      </c>
      <c r="B1854" s="459">
        <v>20</v>
      </c>
      <c r="C1854" s="459">
        <v>1</v>
      </c>
      <c r="D1854" s="460">
        <v>1</v>
      </c>
      <c r="E1854" s="460">
        <v>1</v>
      </c>
      <c r="F1854" s="569"/>
      <c r="G1854" s="1798" t="s">
        <v>33</v>
      </c>
      <c r="H1854" s="1783" t="s">
        <v>1239</v>
      </c>
      <c r="I1854" s="1750" t="s">
        <v>8829</v>
      </c>
      <c r="J1854" s="1785" t="s">
        <v>1006</v>
      </c>
      <c r="K1854" s="1786" t="s">
        <v>3260</v>
      </c>
      <c r="L1854" s="1787">
        <v>1</v>
      </c>
      <c r="M1854" s="1787">
        <v>34721</v>
      </c>
      <c r="N1854" s="1754">
        <v>34721</v>
      </c>
      <c r="O1854" s="1788"/>
      <c r="P1854" s="1721" t="s">
        <v>9611</v>
      </c>
    </row>
    <row r="1855" spans="1:16" ht="13.9" customHeight="1" collapsed="1" x14ac:dyDescent="0.2">
      <c r="A1855" s="459">
        <v>0</v>
      </c>
      <c r="B1855" s="459">
        <v>22</v>
      </c>
      <c r="C1855" s="459">
        <v>0</v>
      </c>
      <c r="D1855" s="460">
        <v>4</v>
      </c>
      <c r="E1855" s="460">
        <v>5</v>
      </c>
      <c r="F1855" s="569"/>
      <c r="G1855" s="1794"/>
      <c r="H1855" s="1766" t="s">
        <v>1237</v>
      </c>
      <c r="I1855" s="1728" t="s">
        <v>8927</v>
      </c>
      <c r="J1855" s="1795" t="s">
        <v>31</v>
      </c>
      <c r="K1855" s="1768"/>
      <c r="L1855" s="1769"/>
      <c r="M1855" s="1769"/>
      <c r="N1855" s="1732"/>
      <c r="O1855" s="1770"/>
      <c r="P1855" s="1723"/>
    </row>
    <row r="1856" spans="1:16" ht="13.9" hidden="1" customHeight="1" outlineLevel="1" x14ac:dyDescent="0.2">
      <c r="A1856" s="459">
        <v>0</v>
      </c>
      <c r="B1856" s="459">
        <v>22</v>
      </c>
      <c r="C1856" s="459">
        <v>1</v>
      </c>
      <c r="D1856" s="460">
        <v>0</v>
      </c>
      <c r="E1856" s="460">
        <v>5</v>
      </c>
      <c r="F1856" s="130"/>
      <c r="G1856" s="1796"/>
      <c r="H1856" s="1771" t="s">
        <v>39</v>
      </c>
      <c r="I1856" s="1735" t="s">
        <v>8928</v>
      </c>
      <c r="J1856" s="1773" t="s">
        <v>34</v>
      </c>
      <c r="K1856" s="1774"/>
      <c r="L1856" s="1775"/>
      <c r="M1856" s="1775"/>
      <c r="N1856" s="1739"/>
      <c r="O1856" s="1776"/>
      <c r="P1856" s="1725"/>
    </row>
    <row r="1857" spans="1:16" ht="13.9" hidden="1" customHeight="1" outlineLevel="2" x14ac:dyDescent="0.2">
      <c r="A1857" s="459">
        <v>0</v>
      </c>
      <c r="B1857" s="459">
        <v>22</v>
      </c>
      <c r="C1857" s="459">
        <v>1</v>
      </c>
      <c r="D1857" s="460">
        <v>1</v>
      </c>
      <c r="E1857" s="460">
        <v>0</v>
      </c>
      <c r="F1857" s="130"/>
      <c r="G1857" s="1797"/>
      <c r="H1857" s="1777" t="s">
        <v>1238</v>
      </c>
      <c r="I1857" s="1742" t="s">
        <v>8929</v>
      </c>
      <c r="J1857" s="1779" t="s">
        <v>2531</v>
      </c>
      <c r="K1857" s="1780"/>
      <c r="L1857" s="1781"/>
      <c r="M1857" s="1781"/>
      <c r="N1857" s="1746"/>
      <c r="O1857" s="1782"/>
      <c r="P1857" s="1720"/>
    </row>
    <row r="1858" spans="1:16" ht="13.9" hidden="1" customHeight="1" outlineLevel="3" x14ac:dyDescent="0.2">
      <c r="A1858" s="459">
        <v>0</v>
      </c>
      <c r="B1858" s="459">
        <v>22</v>
      </c>
      <c r="C1858" s="459">
        <v>1</v>
      </c>
      <c r="D1858" s="460">
        <v>1</v>
      </c>
      <c r="E1858" s="460">
        <v>1</v>
      </c>
      <c r="F1858" s="130"/>
      <c r="G1858" s="1798" t="s">
        <v>54</v>
      </c>
      <c r="H1858" s="1783" t="s">
        <v>1239</v>
      </c>
      <c r="I1858" s="1750" t="s">
        <v>8930</v>
      </c>
      <c r="J1858" s="1785" t="s">
        <v>1866</v>
      </c>
      <c r="K1858" s="1786" t="s">
        <v>642</v>
      </c>
      <c r="L1858" s="1787" t="e">
        <v>#REF!</v>
      </c>
      <c r="M1858" s="1787">
        <v>77.366820666666669</v>
      </c>
      <c r="N1858" s="1754"/>
      <c r="O1858" s="1788" t="s">
        <v>2976</v>
      </c>
      <c r="P1858" s="1721" t="s">
        <v>9611</v>
      </c>
    </row>
    <row r="1859" spans="1:16" ht="13.9" hidden="1" customHeight="1" outlineLevel="3" x14ac:dyDescent="0.2">
      <c r="A1859" s="459">
        <v>0</v>
      </c>
      <c r="B1859" s="459">
        <v>22</v>
      </c>
      <c r="C1859" s="459">
        <v>1</v>
      </c>
      <c r="D1859" s="460">
        <v>1</v>
      </c>
      <c r="E1859" s="460">
        <v>2</v>
      </c>
      <c r="F1859" s="130"/>
      <c r="G1859" s="1798" t="s">
        <v>54</v>
      </c>
      <c r="H1859" s="1783" t="s">
        <v>1239</v>
      </c>
      <c r="I1859" s="1750" t="s">
        <v>8931</v>
      </c>
      <c r="J1859" s="1785" t="s">
        <v>741</v>
      </c>
      <c r="K1859" s="1786" t="s">
        <v>642</v>
      </c>
      <c r="L1859" s="1787" t="e">
        <v>#REF!</v>
      </c>
      <c r="M1859" s="1787">
        <v>25</v>
      </c>
      <c r="N1859" s="1754"/>
      <c r="O1859" s="1788"/>
      <c r="P1859" s="1721" t="s">
        <v>9611</v>
      </c>
    </row>
    <row r="1860" spans="1:16" ht="13.9" hidden="1" customHeight="1" outlineLevel="2" x14ac:dyDescent="0.2">
      <c r="A1860" s="459">
        <v>0</v>
      </c>
      <c r="B1860" s="459">
        <v>22</v>
      </c>
      <c r="C1860" s="459">
        <v>1</v>
      </c>
      <c r="D1860" s="460">
        <v>2</v>
      </c>
      <c r="E1860" s="460">
        <v>0</v>
      </c>
      <c r="F1860" s="130"/>
      <c r="G1860" s="1797"/>
      <c r="H1860" s="1777" t="s">
        <v>1238</v>
      </c>
      <c r="I1860" s="1742" t="s">
        <v>8932</v>
      </c>
      <c r="J1860" s="1779" t="s">
        <v>2532</v>
      </c>
      <c r="K1860" s="1780"/>
      <c r="L1860" s="1781"/>
      <c r="M1860" s="1781"/>
      <c r="N1860" s="1746">
        <v>167496.70000000001</v>
      </c>
      <c r="O1860" s="1782"/>
      <c r="P1860" s="1720"/>
    </row>
    <row r="1861" spans="1:16" ht="13.9" hidden="1" customHeight="1" outlineLevel="3" x14ac:dyDescent="0.2">
      <c r="A1861" s="459">
        <v>0</v>
      </c>
      <c r="B1861" s="459">
        <v>22</v>
      </c>
      <c r="C1861" s="459">
        <v>1</v>
      </c>
      <c r="D1861" s="460">
        <v>2</v>
      </c>
      <c r="E1861" s="460">
        <v>1</v>
      </c>
      <c r="F1861" s="130"/>
      <c r="G1861" s="1798" t="s">
        <v>54</v>
      </c>
      <c r="H1861" s="1783" t="s">
        <v>1239</v>
      </c>
      <c r="I1861" s="1750" t="s">
        <v>8933</v>
      </c>
      <c r="J1861" s="1785" t="s">
        <v>2532</v>
      </c>
      <c r="K1861" s="1786" t="s">
        <v>1130</v>
      </c>
      <c r="L1861" s="1787">
        <v>1</v>
      </c>
      <c r="M1861" s="1787">
        <v>167496.70000000001</v>
      </c>
      <c r="N1861" s="1754">
        <v>167496.70000000001</v>
      </c>
      <c r="O1861" s="1788"/>
      <c r="P1861" s="1721" t="s">
        <v>9611</v>
      </c>
    </row>
    <row r="1862" spans="1:16" ht="13.9" hidden="1" customHeight="1" outlineLevel="2" x14ac:dyDescent="0.2">
      <c r="A1862" s="459">
        <v>0</v>
      </c>
      <c r="B1862" s="459">
        <v>22</v>
      </c>
      <c r="C1862" s="459">
        <v>1</v>
      </c>
      <c r="D1862" s="460">
        <v>3</v>
      </c>
      <c r="E1862" s="460">
        <v>0</v>
      </c>
      <c r="F1862" s="130"/>
      <c r="G1862" s="1797"/>
      <c r="H1862" s="1777" t="s">
        <v>1238</v>
      </c>
      <c r="I1862" s="1742" t="s">
        <v>8934</v>
      </c>
      <c r="J1862" s="1779" t="s">
        <v>2533</v>
      </c>
      <c r="K1862" s="1780"/>
      <c r="L1862" s="1781"/>
      <c r="M1862" s="1781"/>
      <c r="N1862" s="1746">
        <v>167496.70000000001</v>
      </c>
      <c r="O1862" s="1782"/>
      <c r="P1862" s="1720"/>
    </row>
    <row r="1863" spans="1:16" ht="13.9" hidden="1" customHeight="1" outlineLevel="3" x14ac:dyDescent="0.2">
      <c r="A1863" s="459">
        <v>0</v>
      </c>
      <c r="B1863" s="459">
        <v>22</v>
      </c>
      <c r="C1863" s="459">
        <v>1</v>
      </c>
      <c r="D1863" s="460">
        <v>3</v>
      </c>
      <c r="E1863" s="460">
        <v>1</v>
      </c>
      <c r="F1863" s="130"/>
      <c r="G1863" s="1798" t="s">
        <v>54</v>
      </c>
      <c r="H1863" s="1783" t="s">
        <v>1239</v>
      </c>
      <c r="I1863" s="1750" t="s">
        <v>8935</v>
      </c>
      <c r="J1863" s="1785" t="s">
        <v>2533</v>
      </c>
      <c r="K1863" s="1786" t="s">
        <v>1130</v>
      </c>
      <c r="L1863" s="1787">
        <v>1</v>
      </c>
      <c r="M1863" s="1787">
        <v>167496.70000000001</v>
      </c>
      <c r="N1863" s="1754">
        <v>167496.70000000001</v>
      </c>
      <c r="O1863" s="1788"/>
      <c r="P1863" s="1721" t="s">
        <v>9611</v>
      </c>
    </row>
    <row r="1864" spans="1:16" ht="13.9" hidden="1" customHeight="1" outlineLevel="1" x14ac:dyDescent="0.2">
      <c r="A1864" s="459">
        <v>0</v>
      </c>
      <c r="B1864" s="459">
        <v>22</v>
      </c>
      <c r="C1864" s="459">
        <v>2</v>
      </c>
      <c r="D1864" s="460">
        <v>0</v>
      </c>
      <c r="E1864" s="460">
        <v>1</v>
      </c>
      <c r="F1864" s="130"/>
      <c r="G1864" s="1796"/>
      <c r="H1864" s="1771" t="s">
        <v>39</v>
      </c>
      <c r="I1864" s="1735" t="s">
        <v>8936</v>
      </c>
      <c r="J1864" s="1773" t="s">
        <v>54</v>
      </c>
      <c r="K1864" s="1774"/>
      <c r="L1864" s="1775"/>
      <c r="M1864" s="1775"/>
      <c r="N1864" s="1739">
        <v>5698605.0458000004</v>
      </c>
      <c r="O1864" s="1776"/>
      <c r="P1864" s="1725"/>
    </row>
    <row r="1865" spans="1:16" ht="13.9" hidden="1" customHeight="1" outlineLevel="2" x14ac:dyDescent="0.2">
      <c r="A1865" s="459">
        <v>0</v>
      </c>
      <c r="B1865" s="459">
        <v>22</v>
      </c>
      <c r="C1865" s="459">
        <v>2</v>
      </c>
      <c r="D1865" s="460">
        <v>1</v>
      </c>
      <c r="E1865" s="460">
        <v>0</v>
      </c>
      <c r="F1865" s="130"/>
      <c r="G1865" s="1797"/>
      <c r="H1865" s="1777" t="s">
        <v>1238</v>
      </c>
      <c r="I1865" s="1742" t="s">
        <v>8937</v>
      </c>
      <c r="J1865" s="1779" t="s">
        <v>35</v>
      </c>
      <c r="K1865" s="1780"/>
      <c r="L1865" s="1781"/>
      <c r="M1865" s="1781"/>
      <c r="N1865" s="1746">
        <v>586238.44999999995</v>
      </c>
      <c r="O1865" s="1782"/>
      <c r="P1865" s="1720"/>
    </row>
    <row r="1866" spans="1:16" ht="13.9" hidden="1" customHeight="1" outlineLevel="3" x14ac:dyDescent="0.2">
      <c r="A1866" s="459">
        <v>0</v>
      </c>
      <c r="B1866" s="459">
        <v>22</v>
      </c>
      <c r="C1866" s="459">
        <v>2</v>
      </c>
      <c r="D1866" s="460">
        <v>1</v>
      </c>
      <c r="E1866" s="460">
        <v>1</v>
      </c>
      <c r="F1866" s="130"/>
      <c r="G1866" s="1798" t="s">
        <v>54</v>
      </c>
      <c r="H1866" s="1783" t="s">
        <v>1239</v>
      </c>
      <c r="I1866" s="1750" t="s">
        <v>8938</v>
      </c>
      <c r="J1866" s="1785" t="s">
        <v>1271</v>
      </c>
      <c r="K1866" s="1786" t="s">
        <v>1130</v>
      </c>
      <c r="L1866" s="1787">
        <v>1</v>
      </c>
      <c r="M1866" s="1787">
        <v>586238.45000000007</v>
      </c>
      <c r="N1866" s="1754">
        <v>586238.44999999995</v>
      </c>
      <c r="O1866" s="1788"/>
      <c r="P1866" s="1721" t="s">
        <v>9611</v>
      </c>
    </row>
    <row r="1867" spans="1:16" ht="13.9" hidden="1" customHeight="1" outlineLevel="2" x14ac:dyDescent="0.2">
      <c r="A1867" s="459">
        <v>0</v>
      </c>
      <c r="B1867" s="459">
        <v>22</v>
      </c>
      <c r="C1867" s="459">
        <v>2</v>
      </c>
      <c r="D1867" s="460">
        <v>2</v>
      </c>
      <c r="E1867" s="460">
        <v>0</v>
      </c>
      <c r="F1867" s="130"/>
      <c r="G1867" s="1797"/>
      <c r="H1867" s="1777" t="s">
        <v>1238</v>
      </c>
      <c r="I1867" s="1742" t="s">
        <v>8939</v>
      </c>
      <c r="J1867" s="1779" t="s">
        <v>36</v>
      </c>
      <c r="K1867" s="1780"/>
      <c r="L1867" s="1781"/>
      <c r="M1867" s="1781"/>
      <c r="N1867" s="1746">
        <v>4563982.4000000004</v>
      </c>
      <c r="O1867" s="1782"/>
      <c r="P1867" s="1720"/>
    </row>
    <row r="1868" spans="1:16" ht="13.9" hidden="1" customHeight="1" outlineLevel="3" x14ac:dyDescent="0.2">
      <c r="A1868" s="459">
        <v>0</v>
      </c>
      <c r="B1868" s="459">
        <v>22</v>
      </c>
      <c r="C1868" s="459">
        <v>2</v>
      </c>
      <c r="D1868" s="460">
        <v>2</v>
      </c>
      <c r="E1868" s="460">
        <v>1</v>
      </c>
      <c r="F1868" s="130"/>
      <c r="G1868" s="1798" t="s">
        <v>54</v>
      </c>
      <c r="H1868" s="1783" t="s">
        <v>1239</v>
      </c>
      <c r="I1868" s="1750" t="s">
        <v>8940</v>
      </c>
      <c r="J1868" s="1785" t="s">
        <v>1272</v>
      </c>
      <c r="K1868" s="1786" t="s">
        <v>1130</v>
      </c>
      <c r="L1868" s="1787">
        <v>1</v>
      </c>
      <c r="M1868" s="1787">
        <v>4563982.4000000004</v>
      </c>
      <c r="N1868" s="1754">
        <v>4563982.4000000004</v>
      </c>
      <c r="O1868" s="1788"/>
      <c r="P1868" s="1721" t="s">
        <v>9611</v>
      </c>
    </row>
    <row r="1869" spans="1:16" ht="13.9" hidden="1" customHeight="1" outlineLevel="2" x14ac:dyDescent="0.2">
      <c r="A1869" s="459">
        <v>0</v>
      </c>
      <c r="B1869" s="459">
        <v>22</v>
      </c>
      <c r="C1869" s="459">
        <v>2</v>
      </c>
      <c r="D1869" s="460">
        <v>3</v>
      </c>
      <c r="E1869" s="460">
        <v>0</v>
      </c>
      <c r="F1869" s="130"/>
      <c r="G1869" s="1797"/>
      <c r="H1869" s="1777" t="s">
        <v>1238</v>
      </c>
      <c r="I1869" s="1742" t="s">
        <v>8941</v>
      </c>
      <c r="J1869" s="1779" t="s">
        <v>37</v>
      </c>
      <c r="K1869" s="1780"/>
      <c r="L1869" s="1781"/>
      <c r="M1869" s="1781"/>
      <c r="N1869" s="1746">
        <v>184246.37</v>
      </c>
      <c r="O1869" s="1782"/>
      <c r="P1869" s="1720"/>
    </row>
    <row r="1870" spans="1:16" ht="13.9" hidden="1" customHeight="1" outlineLevel="3" x14ac:dyDescent="0.2">
      <c r="A1870" s="459">
        <v>0</v>
      </c>
      <c r="B1870" s="459">
        <v>22</v>
      </c>
      <c r="C1870" s="459">
        <v>2</v>
      </c>
      <c r="D1870" s="460">
        <v>3</v>
      </c>
      <c r="E1870" s="460">
        <v>1</v>
      </c>
      <c r="F1870" s="130"/>
      <c r="G1870" s="1798" t="s">
        <v>54</v>
      </c>
      <c r="H1870" s="1783" t="s">
        <v>1239</v>
      </c>
      <c r="I1870" s="1750" t="s">
        <v>8942</v>
      </c>
      <c r="J1870" s="1785" t="s">
        <v>37</v>
      </c>
      <c r="K1870" s="1786" t="s">
        <v>1130</v>
      </c>
      <c r="L1870" s="1787">
        <v>1</v>
      </c>
      <c r="M1870" s="1787">
        <v>184246.37000000002</v>
      </c>
      <c r="N1870" s="1754">
        <v>184246.37</v>
      </c>
      <c r="O1870" s="1788"/>
      <c r="P1870" s="1721" t="s">
        <v>9611</v>
      </c>
    </row>
    <row r="1871" spans="1:16" ht="13.9" hidden="1" customHeight="1" outlineLevel="2" x14ac:dyDescent="0.2">
      <c r="A1871" s="459">
        <v>0</v>
      </c>
      <c r="B1871" s="459">
        <v>22</v>
      </c>
      <c r="C1871" s="459">
        <v>2</v>
      </c>
      <c r="D1871" s="460">
        <v>4</v>
      </c>
      <c r="E1871" s="460">
        <v>0</v>
      </c>
      <c r="F1871" s="130"/>
      <c r="G1871" s="1797"/>
      <c r="H1871" s="1777" t="s">
        <v>1238</v>
      </c>
      <c r="I1871" s="1742" t="s">
        <v>8943</v>
      </c>
      <c r="J1871" s="1779" t="s">
        <v>38</v>
      </c>
      <c r="K1871" s="1780"/>
      <c r="L1871" s="1781"/>
      <c r="M1871" s="1781"/>
      <c r="N1871" s="1746">
        <v>213390.79579999999</v>
      </c>
      <c r="O1871" s="1782"/>
      <c r="P1871" s="1720"/>
    </row>
    <row r="1872" spans="1:16" ht="13.9" hidden="1" customHeight="1" outlineLevel="3" x14ac:dyDescent="0.2">
      <c r="A1872" s="459">
        <v>0</v>
      </c>
      <c r="B1872" s="459">
        <v>22</v>
      </c>
      <c r="C1872" s="459">
        <v>2</v>
      </c>
      <c r="D1872" s="460">
        <v>4</v>
      </c>
      <c r="E1872" s="460">
        <v>1</v>
      </c>
      <c r="F1872" s="130"/>
      <c r="G1872" s="1798" t="s">
        <v>54</v>
      </c>
      <c r="H1872" s="1783" t="s">
        <v>1239</v>
      </c>
      <c r="I1872" s="1750" t="s">
        <v>8944</v>
      </c>
      <c r="J1872" s="1785" t="s">
        <v>1273</v>
      </c>
      <c r="K1872" s="1786" t="s">
        <v>1130</v>
      </c>
      <c r="L1872" s="1787">
        <v>1</v>
      </c>
      <c r="M1872" s="1787">
        <v>133997.36000000002</v>
      </c>
      <c r="N1872" s="1754">
        <v>133997.35999999999</v>
      </c>
      <c r="O1872" s="1761" t="s">
        <v>5457</v>
      </c>
      <c r="P1872" s="1721" t="s">
        <v>9611</v>
      </c>
    </row>
    <row r="1873" spans="1:16" ht="13.9" hidden="1" customHeight="1" outlineLevel="3" x14ac:dyDescent="0.2">
      <c r="A1873" s="459">
        <v>0</v>
      </c>
      <c r="B1873" s="459">
        <v>22</v>
      </c>
      <c r="C1873" s="459">
        <v>2</v>
      </c>
      <c r="D1873" s="460">
        <v>4</v>
      </c>
      <c r="E1873" s="460">
        <v>2</v>
      </c>
      <c r="F1873" s="130"/>
      <c r="G1873" s="1798" t="s">
        <v>54</v>
      </c>
      <c r="H1873" s="1783" t="s">
        <v>1239</v>
      </c>
      <c r="I1873" s="1750" t="s">
        <v>8945</v>
      </c>
      <c r="J1873" s="1785" t="s">
        <v>2826</v>
      </c>
      <c r="K1873" s="1786" t="s">
        <v>1130</v>
      </c>
      <c r="L1873" s="1787">
        <v>1</v>
      </c>
      <c r="M1873" s="1787">
        <v>45894.09580000001</v>
      </c>
      <c r="N1873" s="1754">
        <v>45894.095800000003</v>
      </c>
      <c r="O1873" s="1788"/>
      <c r="P1873" s="1721" t="s">
        <v>9611</v>
      </c>
    </row>
    <row r="1874" spans="1:16" ht="13.9" hidden="1" customHeight="1" outlineLevel="3" x14ac:dyDescent="0.2">
      <c r="A1874" s="459">
        <v>0</v>
      </c>
      <c r="B1874" s="459">
        <v>22</v>
      </c>
      <c r="C1874" s="459">
        <v>2</v>
      </c>
      <c r="D1874" s="460">
        <v>4</v>
      </c>
      <c r="E1874" s="460">
        <v>3</v>
      </c>
      <c r="F1874" s="130"/>
      <c r="G1874" s="1798" t="s">
        <v>54</v>
      </c>
      <c r="H1874" s="1783" t="s">
        <v>1239</v>
      </c>
      <c r="I1874" s="1750" t="s">
        <v>8946</v>
      </c>
      <c r="J1874" s="1785" t="s">
        <v>2827</v>
      </c>
      <c r="K1874" s="1786" t="s">
        <v>1130</v>
      </c>
      <c r="L1874" s="1787">
        <v>1</v>
      </c>
      <c r="M1874" s="1787">
        <v>33499.340000000004</v>
      </c>
      <c r="N1874" s="1754">
        <v>33499.339999999997</v>
      </c>
      <c r="O1874" s="1788"/>
      <c r="P1874" s="1721" t="s">
        <v>9611</v>
      </c>
    </row>
    <row r="1875" spans="1:16" ht="13.9" hidden="1" customHeight="1" outlineLevel="2" x14ac:dyDescent="0.2">
      <c r="A1875" s="459">
        <v>0</v>
      </c>
      <c r="B1875" s="459">
        <v>22</v>
      </c>
      <c r="C1875" s="459">
        <v>2</v>
      </c>
      <c r="D1875" s="460">
        <v>5</v>
      </c>
      <c r="E1875" s="460">
        <v>0</v>
      </c>
      <c r="F1875" s="130"/>
      <c r="G1875" s="1797"/>
      <c r="H1875" s="1777" t="s">
        <v>1238</v>
      </c>
      <c r="I1875" s="1742" t="s">
        <v>8947</v>
      </c>
      <c r="J1875" s="1779" t="s">
        <v>1274</v>
      </c>
      <c r="K1875" s="1780"/>
      <c r="L1875" s="1781"/>
      <c r="M1875" s="1781"/>
      <c r="N1875" s="1746">
        <v>150747.03</v>
      </c>
      <c r="O1875" s="1782"/>
      <c r="P1875" s="1720"/>
    </row>
    <row r="1876" spans="1:16" ht="13.9" hidden="1" customHeight="1" outlineLevel="3" x14ac:dyDescent="0.2">
      <c r="A1876" s="459">
        <v>0</v>
      </c>
      <c r="B1876" s="459">
        <v>22</v>
      </c>
      <c r="C1876" s="459">
        <v>2</v>
      </c>
      <c r="D1876" s="460">
        <v>5</v>
      </c>
      <c r="E1876" s="460">
        <v>1</v>
      </c>
      <c r="F1876" s="130"/>
      <c r="G1876" s="1798" t="s">
        <v>54</v>
      </c>
      <c r="H1876" s="1783" t="s">
        <v>1239</v>
      </c>
      <c r="I1876" s="1750" t="s">
        <v>8948</v>
      </c>
      <c r="J1876" s="1785" t="s">
        <v>1275</v>
      </c>
      <c r="K1876" s="1786" t="s">
        <v>1130</v>
      </c>
      <c r="L1876" s="1787">
        <v>1</v>
      </c>
      <c r="M1876" s="1787">
        <v>83748.350000000006</v>
      </c>
      <c r="N1876" s="1754">
        <v>83748.350000000006</v>
      </c>
      <c r="O1876" s="1788"/>
      <c r="P1876" s="1721" t="s">
        <v>9611</v>
      </c>
    </row>
    <row r="1877" spans="1:16" ht="11.25" hidden="1" customHeight="1" outlineLevel="3" x14ac:dyDescent="0.2">
      <c r="A1877" s="459">
        <v>0</v>
      </c>
      <c r="B1877" s="459">
        <v>22</v>
      </c>
      <c r="C1877" s="459">
        <v>2</v>
      </c>
      <c r="D1877" s="460">
        <v>5</v>
      </c>
      <c r="E1877" s="460">
        <v>2</v>
      </c>
      <c r="F1877" s="130"/>
      <c r="G1877" s="1798" t="s">
        <v>54</v>
      </c>
      <c r="H1877" s="1783" t="s">
        <v>1239</v>
      </c>
      <c r="I1877" s="1750" t="s">
        <v>8949</v>
      </c>
      <c r="J1877" s="1785" t="s">
        <v>1276</v>
      </c>
      <c r="K1877" s="1786" t="s">
        <v>1130</v>
      </c>
      <c r="L1877" s="1787">
        <v>1</v>
      </c>
      <c r="M1877" s="1787">
        <v>66998.680000000008</v>
      </c>
      <c r="N1877" s="1754">
        <v>66998.679999999993</v>
      </c>
      <c r="O1877" s="1788"/>
      <c r="P1877" s="1721" t="s">
        <v>9611</v>
      </c>
    </row>
    <row r="1878" spans="1:16" ht="13.9" customHeight="1" collapsed="1" x14ac:dyDescent="0.2">
      <c r="A1878" s="459">
        <v>0</v>
      </c>
      <c r="B1878" s="459">
        <v>23</v>
      </c>
      <c r="C1878" s="459">
        <v>0</v>
      </c>
      <c r="D1878" s="460">
        <v>5</v>
      </c>
      <c r="E1878" s="460">
        <v>2</v>
      </c>
      <c r="F1878" s="569"/>
      <c r="G1878" s="1794"/>
      <c r="H1878" s="1766" t="s">
        <v>1237</v>
      </c>
      <c r="I1878" s="1728" t="s">
        <v>8950</v>
      </c>
      <c r="J1878" s="1795" t="s">
        <v>3154</v>
      </c>
      <c r="K1878" s="1768"/>
      <c r="L1878" s="1769"/>
      <c r="M1878" s="1769"/>
      <c r="N1878" s="1732"/>
      <c r="O1878" s="1770"/>
      <c r="P1878" s="1723"/>
    </row>
    <row r="1879" spans="1:16" ht="13.9" hidden="1" customHeight="1" outlineLevel="1" x14ac:dyDescent="0.2">
      <c r="A1879" s="459">
        <v>0</v>
      </c>
      <c r="B1879" s="459">
        <v>23</v>
      </c>
      <c r="C1879" s="459">
        <v>1</v>
      </c>
      <c r="D1879" s="460">
        <v>0</v>
      </c>
      <c r="E1879" s="460">
        <v>2</v>
      </c>
      <c r="F1879" s="130"/>
      <c r="G1879" s="1796"/>
      <c r="H1879" s="1771" t="s">
        <v>39</v>
      </c>
      <c r="I1879" s="1735" t="s">
        <v>8951</v>
      </c>
      <c r="J1879" s="1773" t="s">
        <v>2534</v>
      </c>
      <c r="K1879" s="1774"/>
      <c r="L1879" s="1775"/>
      <c r="M1879" s="1775"/>
      <c r="N1879" s="1739"/>
      <c r="O1879" s="1776"/>
      <c r="P1879" s="1725"/>
    </row>
    <row r="1880" spans="1:16" ht="13.9" hidden="1" customHeight="1" outlineLevel="2" x14ac:dyDescent="0.2">
      <c r="A1880" s="459">
        <v>0</v>
      </c>
      <c r="B1880" s="459">
        <v>23</v>
      </c>
      <c r="C1880" s="459">
        <v>1</v>
      </c>
      <c r="D1880" s="460">
        <v>1</v>
      </c>
      <c r="E1880" s="460">
        <v>0</v>
      </c>
      <c r="F1880" s="130"/>
      <c r="G1880" s="1797"/>
      <c r="H1880" s="1777" t="s">
        <v>1238</v>
      </c>
      <c r="I1880" s="1742" t="s">
        <v>8952</v>
      </c>
      <c r="J1880" s="1779" t="s">
        <v>2534</v>
      </c>
      <c r="K1880" s="1780"/>
      <c r="L1880" s="1781"/>
      <c r="M1880" s="1781"/>
      <c r="N1880" s="1746"/>
      <c r="O1880" s="1782"/>
      <c r="P1880" s="1720"/>
    </row>
    <row r="1881" spans="1:16" ht="12.75" hidden="1" outlineLevel="3" x14ac:dyDescent="0.2">
      <c r="A1881" s="459">
        <v>0</v>
      </c>
      <c r="B1881" s="459">
        <v>23</v>
      </c>
      <c r="C1881" s="459">
        <v>1</v>
      </c>
      <c r="D1881" s="460">
        <v>1</v>
      </c>
      <c r="E1881" s="460">
        <v>1</v>
      </c>
      <c r="F1881" s="130"/>
      <c r="G1881" s="1798" t="s">
        <v>55</v>
      </c>
      <c r="H1881" s="1783" t="s">
        <v>1239</v>
      </c>
      <c r="I1881" s="1784" t="s">
        <v>8953</v>
      </c>
      <c r="J1881" s="1785" t="s">
        <v>2534</v>
      </c>
      <c r="K1881" s="1786" t="s">
        <v>1130</v>
      </c>
      <c r="L1881" s="1787">
        <v>1</v>
      </c>
      <c r="M1881" s="1787" t="e">
        <v>#REF!</v>
      </c>
      <c r="N1881" s="1754"/>
      <c r="O1881" s="1788"/>
      <c r="P1881" s="1721" t="s">
        <v>9611</v>
      </c>
    </row>
    <row r="1882" spans="1:16" ht="12.75" hidden="1" x14ac:dyDescent="0.2">
      <c r="A1882" s="459">
        <v>0</v>
      </c>
      <c r="B1882" s="459">
        <v>23</v>
      </c>
      <c r="C1882" s="459">
        <v>1</v>
      </c>
      <c r="D1882" s="460">
        <v>1</v>
      </c>
      <c r="E1882" s="460">
        <v>1</v>
      </c>
      <c r="G1882" s="59"/>
      <c r="H1882" s="59"/>
      <c r="I1882" s="59"/>
      <c r="J1882" s="62"/>
      <c r="K1882" s="60"/>
      <c r="L1882" s="58" t="e">
        <v>#REF!</v>
      </c>
      <c r="M1882" s="64" t="e">
        <v>#REF!</v>
      </c>
      <c r="N1882" s="61" t="s">
        <v>1237</v>
      </c>
      <c r="O1882" s="62"/>
      <c r="P1882" s="63"/>
    </row>
    <row r="1883" spans="1:16" ht="15" customHeight="1" x14ac:dyDescent="0.2">
      <c r="F1883"/>
    </row>
    <row r="1884" spans="1:16" ht="15" customHeight="1" x14ac:dyDescent="0.2">
      <c r="F1884"/>
    </row>
    <row r="1885" spans="1:16" ht="15" customHeight="1" x14ac:dyDescent="0.2">
      <c r="F1885"/>
    </row>
    <row r="1886" spans="1:16" ht="15" customHeight="1" x14ac:dyDescent="0.2">
      <c r="F1886"/>
    </row>
    <row r="1887" spans="1:16" ht="15" customHeight="1" x14ac:dyDescent="0.2">
      <c r="F1887"/>
    </row>
    <row r="1888" spans="1:16" ht="15" customHeight="1" x14ac:dyDescent="0.2">
      <c r="F1888"/>
    </row>
    <row r="1889" spans="6:6" ht="15" customHeight="1" x14ac:dyDescent="0.2">
      <c r="F1889"/>
    </row>
    <row r="1890" spans="6:6" ht="15" customHeight="1" x14ac:dyDescent="0.2">
      <c r="F1890"/>
    </row>
    <row r="1891" spans="6:6" ht="15" customHeight="1" x14ac:dyDescent="0.2">
      <c r="F1891"/>
    </row>
    <row r="1892" spans="6:6" ht="15" customHeight="1" x14ac:dyDescent="0.2">
      <c r="F1892"/>
    </row>
    <row r="1893" spans="6:6" ht="15" customHeight="1" x14ac:dyDescent="0.2">
      <c r="F1893"/>
    </row>
    <row r="1894" spans="6:6" ht="15" customHeight="1" x14ac:dyDescent="0.2">
      <c r="F1894"/>
    </row>
    <row r="1895" spans="6:6" ht="15" customHeight="1" x14ac:dyDescent="0.2">
      <c r="F1895"/>
    </row>
    <row r="1896" spans="6:6" ht="15" customHeight="1" x14ac:dyDescent="0.2">
      <c r="F1896"/>
    </row>
    <row r="1897" spans="6:6" ht="15" customHeight="1" x14ac:dyDescent="0.2">
      <c r="F1897"/>
    </row>
    <row r="1898" spans="6:6" ht="15" customHeight="1" x14ac:dyDescent="0.2">
      <c r="F1898"/>
    </row>
    <row r="1899" spans="6:6" ht="15" customHeight="1" x14ac:dyDescent="0.2">
      <c r="F1899"/>
    </row>
    <row r="1900" spans="6:6" ht="15" customHeight="1" x14ac:dyDescent="0.2">
      <c r="F1900"/>
    </row>
    <row r="1901" spans="6:6" ht="15" customHeight="1" x14ac:dyDescent="0.2">
      <c r="F1901"/>
    </row>
    <row r="1902" spans="6:6" ht="15" customHeight="1" x14ac:dyDescent="0.2">
      <c r="F1902"/>
    </row>
    <row r="1903" spans="6:6" ht="15" customHeight="1" x14ac:dyDescent="0.2">
      <c r="F1903"/>
    </row>
    <row r="1904" spans="6:6" ht="15" customHeight="1" x14ac:dyDescent="0.2">
      <c r="F1904"/>
    </row>
    <row r="1905" spans="6:6" ht="15" customHeight="1" x14ac:dyDescent="0.2">
      <c r="F1905"/>
    </row>
    <row r="1906" spans="6:6" ht="15" customHeight="1" x14ac:dyDescent="0.2">
      <c r="F1906"/>
    </row>
    <row r="1907" spans="6:6" ht="15" customHeight="1" x14ac:dyDescent="0.2">
      <c r="F1907"/>
    </row>
    <row r="1908" spans="6:6" ht="15" customHeight="1" x14ac:dyDescent="0.2">
      <c r="F1908"/>
    </row>
    <row r="1909" spans="6:6" ht="15" customHeight="1" x14ac:dyDescent="0.2">
      <c r="F1909"/>
    </row>
    <row r="1910" spans="6:6" ht="15" customHeight="1" x14ac:dyDescent="0.2">
      <c r="F1910"/>
    </row>
    <row r="1911" spans="6:6" ht="15" customHeight="1" x14ac:dyDescent="0.2">
      <c r="F1911"/>
    </row>
    <row r="1912" spans="6:6" ht="15" customHeight="1" x14ac:dyDescent="0.2">
      <c r="F1912"/>
    </row>
    <row r="1913" spans="6:6" ht="15" customHeight="1" x14ac:dyDescent="0.2">
      <c r="F1913"/>
    </row>
    <row r="1914" spans="6:6" ht="15" customHeight="1" x14ac:dyDescent="0.2">
      <c r="F1914"/>
    </row>
    <row r="1915" spans="6:6" ht="15" customHeight="1" x14ac:dyDescent="0.2">
      <c r="F1915"/>
    </row>
    <row r="1916" spans="6:6" ht="15" customHeight="1" x14ac:dyDescent="0.2">
      <c r="F1916"/>
    </row>
    <row r="1917" spans="6:6" ht="15" customHeight="1" x14ac:dyDescent="0.2">
      <c r="F1917"/>
    </row>
    <row r="1918" spans="6:6" ht="15" customHeight="1" x14ac:dyDescent="0.2">
      <c r="F1918"/>
    </row>
    <row r="1919" spans="6:6" ht="15" customHeight="1" x14ac:dyDescent="0.2">
      <c r="F1919"/>
    </row>
    <row r="1920" spans="6:6" ht="15" customHeight="1" x14ac:dyDescent="0.2">
      <c r="F1920"/>
    </row>
    <row r="1921" spans="6:6" ht="15" customHeight="1" x14ac:dyDescent="0.2">
      <c r="F1921"/>
    </row>
    <row r="1922" spans="6:6" ht="15" customHeight="1" x14ac:dyDescent="0.2">
      <c r="F1922"/>
    </row>
    <row r="1923" spans="6:6" ht="15" customHeight="1" x14ac:dyDescent="0.2">
      <c r="F1923"/>
    </row>
    <row r="1924" spans="6:6" ht="15" customHeight="1" x14ac:dyDescent="0.2">
      <c r="F1924"/>
    </row>
    <row r="1925" spans="6:6" ht="15" customHeight="1" x14ac:dyDescent="0.2">
      <c r="F1925"/>
    </row>
    <row r="1926" spans="6:6" ht="15" customHeight="1" x14ac:dyDescent="0.2">
      <c r="F1926"/>
    </row>
    <row r="1927" spans="6:6" ht="15" customHeight="1" x14ac:dyDescent="0.2">
      <c r="F1927"/>
    </row>
    <row r="1928" spans="6:6" ht="15" customHeight="1" x14ac:dyDescent="0.2">
      <c r="F1928"/>
    </row>
    <row r="1929" spans="6:6" ht="15" customHeight="1" x14ac:dyDescent="0.2">
      <c r="F1929"/>
    </row>
    <row r="1930" spans="6:6" ht="15" customHeight="1" x14ac:dyDescent="0.2">
      <c r="F1930"/>
    </row>
    <row r="1931" spans="6:6" ht="15" customHeight="1" x14ac:dyDescent="0.2">
      <c r="F1931"/>
    </row>
    <row r="1932" spans="6:6" ht="15" customHeight="1" x14ac:dyDescent="0.2">
      <c r="F1932"/>
    </row>
    <row r="1933" spans="6:6" ht="15" customHeight="1" x14ac:dyDescent="0.2">
      <c r="F1933"/>
    </row>
    <row r="1934" spans="6:6" ht="15" customHeight="1" x14ac:dyDescent="0.2">
      <c r="F1934"/>
    </row>
    <row r="1935" spans="6:6" ht="15" customHeight="1" x14ac:dyDescent="0.2">
      <c r="F1935"/>
    </row>
    <row r="1936" spans="6:6" ht="15" customHeight="1" x14ac:dyDescent="0.2">
      <c r="F1936"/>
    </row>
    <row r="1937" spans="6:6" ht="15" customHeight="1" x14ac:dyDescent="0.2">
      <c r="F1937"/>
    </row>
    <row r="1938" spans="6:6" ht="15" customHeight="1" x14ac:dyDescent="0.2">
      <c r="F1938"/>
    </row>
    <row r="1939" spans="6:6" ht="15" customHeight="1" x14ac:dyDescent="0.2">
      <c r="F1939"/>
    </row>
    <row r="1940" spans="6:6" ht="15" customHeight="1" x14ac:dyDescent="0.2">
      <c r="F1940"/>
    </row>
    <row r="1941" spans="6:6" ht="15" customHeight="1" x14ac:dyDescent="0.2">
      <c r="F1941"/>
    </row>
    <row r="1942" spans="6:6" ht="15" customHeight="1" x14ac:dyDescent="0.2">
      <c r="F1942"/>
    </row>
    <row r="1943" spans="6:6" ht="15" customHeight="1" x14ac:dyDescent="0.2">
      <c r="F1943"/>
    </row>
    <row r="1944" spans="6:6" ht="15" customHeight="1" x14ac:dyDescent="0.2">
      <c r="F1944"/>
    </row>
    <row r="1945" spans="6:6" ht="15" customHeight="1" x14ac:dyDescent="0.2">
      <c r="F1945"/>
    </row>
    <row r="1946" spans="6:6" ht="15" customHeight="1" x14ac:dyDescent="0.2">
      <c r="F1946"/>
    </row>
    <row r="1947" spans="6:6" ht="15" customHeight="1" x14ac:dyDescent="0.2">
      <c r="F1947"/>
    </row>
    <row r="1948" spans="6:6" ht="15" customHeight="1" x14ac:dyDescent="0.2">
      <c r="F1948"/>
    </row>
    <row r="1949" spans="6:6" ht="15" customHeight="1" x14ac:dyDescent="0.2">
      <c r="F1949"/>
    </row>
    <row r="1950" spans="6:6" ht="15" customHeight="1" x14ac:dyDescent="0.2">
      <c r="F1950"/>
    </row>
    <row r="1951" spans="6:6" ht="15" customHeight="1" x14ac:dyDescent="0.2">
      <c r="F1951"/>
    </row>
    <row r="1952" spans="6:6" ht="15" customHeight="1" x14ac:dyDescent="0.2">
      <c r="F1952"/>
    </row>
    <row r="1953" spans="6:6" ht="15" customHeight="1" x14ac:dyDescent="0.2">
      <c r="F1953"/>
    </row>
    <row r="1954" spans="6:6" ht="15" customHeight="1" x14ac:dyDescent="0.2">
      <c r="F1954"/>
    </row>
    <row r="1955" spans="6:6" ht="15" customHeight="1" x14ac:dyDescent="0.2">
      <c r="F1955"/>
    </row>
    <row r="1956" spans="6:6" ht="15" customHeight="1" x14ac:dyDescent="0.2">
      <c r="F1956"/>
    </row>
    <row r="1957" spans="6:6" ht="15" customHeight="1" x14ac:dyDescent="0.2">
      <c r="F1957"/>
    </row>
    <row r="1958" spans="6:6" ht="15" customHeight="1" x14ac:dyDescent="0.2">
      <c r="F1958"/>
    </row>
    <row r="1959" spans="6:6" ht="15" customHeight="1" x14ac:dyDescent="0.2">
      <c r="F1959"/>
    </row>
    <row r="1960" spans="6:6" ht="15" customHeight="1" x14ac:dyDescent="0.2">
      <c r="F1960"/>
    </row>
    <row r="1961" spans="6:6" ht="15" customHeight="1" x14ac:dyDescent="0.2">
      <c r="F1961"/>
    </row>
    <row r="1962" spans="6:6" ht="15" customHeight="1" x14ac:dyDescent="0.2">
      <c r="F1962"/>
    </row>
    <row r="1963" spans="6:6" ht="15" customHeight="1" x14ac:dyDescent="0.2">
      <c r="F1963"/>
    </row>
    <row r="1964" spans="6:6" ht="15" customHeight="1" x14ac:dyDescent="0.2">
      <c r="F1964"/>
    </row>
    <row r="1965" spans="6:6" ht="15" customHeight="1" x14ac:dyDescent="0.2">
      <c r="F1965"/>
    </row>
    <row r="1966" spans="6:6" ht="15" customHeight="1" x14ac:dyDescent="0.2">
      <c r="F1966"/>
    </row>
    <row r="1967" spans="6:6" ht="15" customHeight="1" x14ac:dyDescent="0.2">
      <c r="F1967"/>
    </row>
    <row r="1968" spans="6:6" ht="15" customHeight="1" x14ac:dyDescent="0.2">
      <c r="F1968"/>
    </row>
    <row r="1969" spans="6:6" ht="15" customHeight="1" x14ac:dyDescent="0.2">
      <c r="F1969"/>
    </row>
    <row r="1970" spans="6:6" ht="15" customHeight="1" x14ac:dyDescent="0.2">
      <c r="F1970"/>
    </row>
    <row r="1971" spans="6:6" ht="15" customHeight="1" x14ac:dyDescent="0.2">
      <c r="F1971"/>
    </row>
    <row r="1972" spans="6:6" ht="15" customHeight="1" x14ac:dyDescent="0.2">
      <c r="F1972"/>
    </row>
    <row r="1973" spans="6:6" ht="15" customHeight="1" x14ac:dyDescent="0.2">
      <c r="F1973"/>
    </row>
    <row r="1974" spans="6:6" ht="15" customHeight="1" x14ac:dyDescent="0.2">
      <c r="F1974"/>
    </row>
    <row r="1975" spans="6:6" ht="15" customHeight="1" x14ac:dyDescent="0.2">
      <c r="F1975"/>
    </row>
    <row r="1976" spans="6:6" ht="15" customHeight="1" x14ac:dyDescent="0.2">
      <c r="F1976"/>
    </row>
    <row r="1977" spans="6:6" ht="15" customHeight="1" x14ac:dyDescent="0.2">
      <c r="F1977"/>
    </row>
    <row r="1978" spans="6:6" ht="15" customHeight="1" x14ac:dyDescent="0.2">
      <c r="F1978"/>
    </row>
    <row r="1979" spans="6:6" ht="15" customHeight="1" x14ac:dyDescent="0.2">
      <c r="F1979"/>
    </row>
    <row r="1980" spans="6:6" ht="15" customHeight="1" x14ac:dyDescent="0.2">
      <c r="F1980"/>
    </row>
    <row r="1981" spans="6:6" ht="15" customHeight="1" x14ac:dyDescent="0.2">
      <c r="F1981"/>
    </row>
    <row r="1982" spans="6:6" ht="15" customHeight="1" x14ac:dyDescent="0.2">
      <c r="F1982"/>
    </row>
    <row r="1983" spans="6:6" ht="15" customHeight="1" x14ac:dyDescent="0.2">
      <c r="F1983"/>
    </row>
    <row r="1984" spans="6:6" ht="15" customHeight="1" x14ac:dyDescent="0.2">
      <c r="F1984"/>
    </row>
    <row r="1985" spans="6:6" ht="15" customHeight="1" x14ac:dyDescent="0.2">
      <c r="F1985"/>
    </row>
    <row r="1986" spans="6:6" ht="15" customHeight="1" x14ac:dyDescent="0.2">
      <c r="F1986"/>
    </row>
    <row r="1987" spans="6:6" ht="15" customHeight="1" x14ac:dyDescent="0.2">
      <c r="F1987"/>
    </row>
    <row r="1988" spans="6:6" ht="15" customHeight="1" x14ac:dyDescent="0.2">
      <c r="F1988"/>
    </row>
    <row r="1989" spans="6:6" ht="15" customHeight="1" x14ac:dyDescent="0.2">
      <c r="F1989"/>
    </row>
    <row r="1990" spans="6:6" ht="15" customHeight="1" x14ac:dyDescent="0.2">
      <c r="F1990"/>
    </row>
    <row r="1991" spans="6:6" ht="15" customHeight="1" x14ac:dyDescent="0.2">
      <c r="F1991"/>
    </row>
    <row r="1992" spans="6:6" ht="15" customHeight="1" x14ac:dyDescent="0.2">
      <c r="F1992"/>
    </row>
    <row r="1993" spans="6:6" ht="15" customHeight="1" x14ac:dyDescent="0.2">
      <c r="F1993"/>
    </row>
    <row r="1994" spans="6:6" ht="15" customHeight="1" x14ac:dyDescent="0.2">
      <c r="F1994"/>
    </row>
    <row r="1995" spans="6:6" ht="15" customHeight="1" x14ac:dyDescent="0.2">
      <c r="F1995"/>
    </row>
    <row r="1996" spans="6:6" ht="15" customHeight="1" x14ac:dyDescent="0.2">
      <c r="F1996"/>
    </row>
    <row r="1997" spans="6:6" ht="15" customHeight="1" x14ac:dyDescent="0.2">
      <c r="F1997"/>
    </row>
    <row r="1998" spans="6:6" ht="15" customHeight="1" x14ac:dyDescent="0.2">
      <c r="F1998"/>
    </row>
    <row r="1999" spans="6:6" ht="15" customHeight="1" x14ac:dyDescent="0.2">
      <c r="F1999"/>
    </row>
    <row r="2000" spans="6:6" ht="15" customHeight="1" x14ac:dyDescent="0.2">
      <c r="F2000"/>
    </row>
    <row r="2001" spans="6:6" ht="15" customHeight="1" x14ac:dyDescent="0.2">
      <c r="F2001"/>
    </row>
    <row r="2002" spans="6:6" ht="15" customHeight="1" x14ac:dyDescent="0.2">
      <c r="F2002"/>
    </row>
    <row r="2003" spans="6:6" ht="15" customHeight="1" x14ac:dyDescent="0.2">
      <c r="F2003"/>
    </row>
    <row r="2004" spans="6:6" ht="15" customHeight="1" x14ac:dyDescent="0.2">
      <c r="F2004"/>
    </row>
    <row r="2005" spans="6:6" ht="15" customHeight="1" x14ac:dyDescent="0.2">
      <c r="F2005"/>
    </row>
    <row r="2006" spans="6:6" ht="15" customHeight="1" x14ac:dyDescent="0.2">
      <c r="F2006"/>
    </row>
    <row r="2007" spans="6:6" ht="15" customHeight="1" x14ac:dyDescent="0.2">
      <c r="F2007"/>
    </row>
    <row r="2008" spans="6:6" ht="15" customHeight="1" x14ac:dyDescent="0.2">
      <c r="F2008"/>
    </row>
    <row r="2009" spans="6:6" ht="15" customHeight="1" x14ac:dyDescent="0.2">
      <c r="F2009"/>
    </row>
    <row r="2010" spans="6:6" ht="15" customHeight="1" x14ac:dyDescent="0.2">
      <c r="F2010"/>
    </row>
    <row r="2011" spans="6:6" ht="15" customHeight="1" x14ac:dyDescent="0.2">
      <c r="F2011"/>
    </row>
    <row r="2012" spans="6:6" ht="15" customHeight="1" x14ac:dyDescent="0.2">
      <c r="F2012"/>
    </row>
    <row r="2013" spans="6:6" ht="15" customHeight="1" x14ac:dyDescent="0.2">
      <c r="F2013"/>
    </row>
    <row r="2014" spans="6:6" ht="15" customHeight="1" x14ac:dyDescent="0.2">
      <c r="F2014"/>
    </row>
    <row r="2015" spans="6:6" ht="15" customHeight="1" x14ac:dyDescent="0.2">
      <c r="F2015"/>
    </row>
    <row r="2016" spans="6:6" ht="15" customHeight="1" x14ac:dyDescent="0.2">
      <c r="F2016"/>
    </row>
    <row r="2017" spans="6:6" ht="15" customHeight="1" x14ac:dyDescent="0.2">
      <c r="F2017"/>
    </row>
    <row r="2018" spans="6:6" ht="15" customHeight="1" x14ac:dyDescent="0.2">
      <c r="F2018"/>
    </row>
    <row r="2019" spans="6:6" ht="15" customHeight="1" x14ac:dyDescent="0.2">
      <c r="F2019"/>
    </row>
    <row r="2020" spans="6:6" ht="15" customHeight="1" x14ac:dyDescent="0.2">
      <c r="F2020"/>
    </row>
    <row r="2021" spans="6:6" ht="15" customHeight="1" x14ac:dyDescent="0.2">
      <c r="F2021"/>
    </row>
    <row r="2022" spans="6:6" ht="15" customHeight="1" x14ac:dyDescent="0.2">
      <c r="F2022"/>
    </row>
    <row r="2023" spans="6:6" ht="15" customHeight="1" x14ac:dyDescent="0.2">
      <c r="F2023"/>
    </row>
    <row r="2024" spans="6:6" ht="15" customHeight="1" x14ac:dyDescent="0.2">
      <c r="F2024"/>
    </row>
    <row r="2025" spans="6:6" ht="15" customHeight="1" x14ac:dyDescent="0.2">
      <c r="F2025"/>
    </row>
    <row r="2026" spans="6:6" ht="15" customHeight="1" x14ac:dyDescent="0.2">
      <c r="F2026"/>
    </row>
    <row r="2027" spans="6:6" ht="15" customHeight="1" x14ac:dyDescent="0.2">
      <c r="F2027"/>
    </row>
    <row r="2028" spans="6:6" ht="15" customHeight="1" x14ac:dyDescent="0.2">
      <c r="F2028"/>
    </row>
    <row r="2029" spans="6:6" ht="15" customHeight="1" x14ac:dyDescent="0.2">
      <c r="F2029"/>
    </row>
    <row r="2030" spans="6:6" ht="15" customHeight="1" x14ac:dyDescent="0.2">
      <c r="F2030"/>
    </row>
    <row r="2031" spans="6:6" ht="15" customHeight="1" x14ac:dyDescent="0.2">
      <c r="F2031"/>
    </row>
    <row r="2032" spans="6:6" ht="15" customHeight="1" x14ac:dyDescent="0.2">
      <c r="F2032"/>
    </row>
    <row r="2033" spans="6:6" ht="15" customHeight="1" x14ac:dyDescent="0.2">
      <c r="F2033"/>
    </row>
    <row r="2034" spans="6:6" ht="15" customHeight="1" x14ac:dyDescent="0.2">
      <c r="F2034"/>
    </row>
    <row r="2035" spans="6:6" ht="15" customHeight="1" x14ac:dyDescent="0.2">
      <c r="F2035"/>
    </row>
    <row r="2036" spans="6:6" ht="15" customHeight="1" x14ac:dyDescent="0.2">
      <c r="F2036"/>
    </row>
    <row r="2037" spans="6:6" ht="15" customHeight="1" x14ac:dyDescent="0.2">
      <c r="F2037"/>
    </row>
    <row r="2038" spans="6:6" ht="15" customHeight="1" x14ac:dyDescent="0.2">
      <c r="F2038"/>
    </row>
    <row r="2039" spans="6:6" ht="15" customHeight="1" x14ac:dyDescent="0.2">
      <c r="F2039"/>
    </row>
    <row r="2040" spans="6:6" ht="15" customHeight="1" x14ac:dyDescent="0.2">
      <c r="F2040"/>
    </row>
    <row r="2041" spans="6:6" ht="15" customHeight="1" x14ac:dyDescent="0.2">
      <c r="F2041"/>
    </row>
    <row r="2042" spans="6:6" ht="15" customHeight="1" x14ac:dyDescent="0.2">
      <c r="F2042"/>
    </row>
    <row r="2043" spans="6:6" ht="15" customHeight="1" x14ac:dyDescent="0.2">
      <c r="F2043"/>
    </row>
    <row r="2044" spans="6:6" ht="15" customHeight="1" x14ac:dyDescent="0.2">
      <c r="F2044"/>
    </row>
    <row r="2045" spans="6:6" ht="15" customHeight="1" x14ac:dyDescent="0.2">
      <c r="F2045"/>
    </row>
    <row r="2046" spans="6:6" ht="15" customHeight="1" x14ac:dyDescent="0.2">
      <c r="F2046"/>
    </row>
    <row r="2047" spans="6:6" ht="15" customHeight="1" x14ac:dyDescent="0.2">
      <c r="F2047"/>
    </row>
    <row r="2048" spans="6:6" ht="15" customHeight="1" x14ac:dyDescent="0.2">
      <c r="F2048"/>
    </row>
    <row r="2049" spans="6:6" ht="15" customHeight="1" x14ac:dyDescent="0.2">
      <c r="F2049"/>
    </row>
    <row r="2050" spans="6:6" ht="15" customHeight="1" x14ac:dyDescent="0.2">
      <c r="F2050"/>
    </row>
    <row r="2051" spans="6:6" ht="15" customHeight="1" x14ac:dyDescent="0.2">
      <c r="F2051"/>
    </row>
    <row r="2052" spans="6:6" ht="15" customHeight="1" x14ac:dyDescent="0.2">
      <c r="F2052"/>
    </row>
    <row r="2053" spans="6:6" ht="15" customHeight="1" x14ac:dyDescent="0.2">
      <c r="F2053"/>
    </row>
    <row r="2054" spans="6:6" ht="15" customHeight="1" x14ac:dyDescent="0.2">
      <c r="F2054"/>
    </row>
    <row r="2055" spans="6:6" ht="15" customHeight="1" x14ac:dyDescent="0.2">
      <c r="F2055"/>
    </row>
    <row r="2056" spans="6:6" ht="15" customHeight="1" x14ac:dyDescent="0.2">
      <c r="F2056"/>
    </row>
    <row r="2057" spans="6:6" ht="15" customHeight="1" x14ac:dyDescent="0.2">
      <c r="F2057"/>
    </row>
    <row r="2058" spans="6:6" ht="15" customHeight="1" x14ac:dyDescent="0.2">
      <c r="F2058"/>
    </row>
    <row r="2059" spans="6:6" ht="15" customHeight="1" x14ac:dyDescent="0.2">
      <c r="F2059"/>
    </row>
    <row r="2060" spans="6:6" ht="15" customHeight="1" x14ac:dyDescent="0.2">
      <c r="F2060"/>
    </row>
    <row r="2061" spans="6:6" ht="15" customHeight="1" x14ac:dyDescent="0.2">
      <c r="F2061"/>
    </row>
    <row r="2062" spans="6:6" ht="15" customHeight="1" x14ac:dyDescent="0.2">
      <c r="F2062"/>
    </row>
    <row r="2063" spans="6:6" ht="15" customHeight="1" x14ac:dyDescent="0.2">
      <c r="F2063"/>
    </row>
    <row r="2064" spans="6:6" ht="15" customHeight="1" x14ac:dyDescent="0.2">
      <c r="F2064"/>
    </row>
    <row r="2065" spans="6:6" ht="15" customHeight="1" x14ac:dyDescent="0.2">
      <c r="F2065"/>
    </row>
    <row r="2066" spans="6:6" ht="15" customHeight="1" x14ac:dyDescent="0.2">
      <c r="F2066"/>
    </row>
    <row r="2067" spans="6:6" ht="15" customHeight="1" x14ac:dyDescent="0.2">
      <c r="F2067"/>
    </row>
    <row r="2068" spans="6:6" ht="15" customHeight="1" x14ac:dyDescent="0.2">
      <c r="F2068"/>
    </row>
    <row r="2069" spans="6:6" ht="15" customHeight="1" x14ac:dyDescent="0.2">
      <c r="F2069"/>
    </row>
    <row r="2070" spans="6:6" ht="15" customHeight="1" x14ac:dyDescent="0.2">
      <c r="F2070"/>
    </row>
    <row r="2071" spans="6:6" ht="15" customHeight="1" x14ac:dyDescent="0.2">
      <c r="F2071"/>
    </row>
    <row r="2072" spans="6:6" ht="15" customHeight="1" x14ac:dyDescent="0.2">
      <c r="F2072"/>
    </row>
    <row r="2073" spans="6:6" ht="15" customHeight="1" x14ac:dyDescent="0.2">
      <c r="F2073"/>
    </row>
    <row r="2074" spans="6:6" ht="15" customHeight="1" x14ac:dyDescent="0.2">
      <c r="F2074"/>
    </row>
    <row r="2075" spans="6:6" ht="15" customHeight="1" x14ac:dyDescent="0.2">
      <c r="F2075"/>
    </row>
    <row r="2076" spans="6:6" ht="15" customHeight="1" x14ac:dyDescent="0.2">
      <c r="F2076"/>
    </row>
    <row r="2077" spans="6:6" ht="15" customHeight="1" x14ac:dyDescent="0.2">
      <c r="F2077"/>
    </row>
    <row r="2078" spans="6:6" ht="15" customHeight="1" x14ac:dyDescent="0.2">
      <c r="F2078"/>
    </row>
    <row r="2079" spans="6:6" ht="15" customHeight="1" x14ac:dyDescent="0.2">
      <c r="F2079"/>
    </row>
    <row r="2080" spans="6:6" ht="15" customHeight="1" x14ac:dyDescent="0.2">
      <c r="F2080"/>
    </row>
    <row r="2081" spans="6:6" ht="15" customHeight="1" x14ac:dyDescent="0.2">
      <c r="F2081"/>
    </row>
    <row r="2082" spans="6:6" ht="15" customHeight="1" x14ac:dyDescent="0.2">
      <c r="F2082"/>
    </row>
    <row r="2083" spans="6:6" ht="15" customHeight="1" x14ac:dyDescent="0.2">
      <c r="F2083"/>
    </row>
    <row r="2084" spans="6:6" ht="15" customHeight="1" x14ac:dyDescent="0.2">
      <c r="F2084"/>
    </row>
    <row r="2085" spans="6:6" ht="15" customHeight="1" x14ac:dyDescent="0.2">
      <c r="F2085"/>
    </row>
    <row r="2086" spans="6:6" ht="15" customHeight="1" x14ac:dyDescent="0.2">
      <c r="F2086"/>
    </row>
    <row r="2087" spans="6:6" ht="15" customHeight="1" x14ac:dyDescent="0.2">
      <c r="F2087"/>
    </row>
    <row r="2088" spans="6:6" ht="15" customHeight="1" x14ac:dyDescent="0.2">
      <c r="F2088"/>
    </row>
    <row r="2089" spans="6:6" ht="15" customHeight="1" x14ac:dyDescent="0.2">
      <c r="F2089"/>
    </row>
    <row r="2090" spans="6:6" ht="15" customHeight="1" x14ac:dyDescent="0.2">
      <c r="F2090"/>
    </row>
    <row r="2091" spans="6:6" ht="15" customHeight="1" x14ac:dyDescent="0.2">
      <c r="F2091"/>
    </row>
    <row r="2092" spans="6:6" ht="15" customHeight="1" x14ac:dyDescent="0.2">
      <c r="F2092"/>
    </row>
    <row r="2093" spans="6:6" ht="15" customHeight="1" x14ac:dyDescent="0.2">
      <c r="F2093"/>
    </row>
    <row r="2094" spans="6:6" ht="15" customHeight="1" x14ac:dyDescent="0.2">
      <c r="F2094"/>
    </row>
    <row r="2095" spans="6:6" ht="15" customHeight="1" x14ac:dyDescent="0.2">
      <c r="F2095"/>
    </row>
    <row r="2096" spans="6:6" ht="15" customHeight="1" x14ac:dyDescent="0.2">
      <c r="F2096"/>
    </row>
    <row r="2097" spans="6:6" ht="15" customHeight="1" x14ac:dyDescent="0.2">
      <c r="F2097"/>
    </row>
    <row r="2098" spans="6:6" ht="15" customHeight="1" x14ac:dyDescent="0.2">
      <c r="F2098"/>
    </row>
    <row r="2099" spans="6:6" ht="15" customHeight="1" x14ac:dyDescent="0.2">
      <c r="F2099"/>
    </row>
    <row r="2100" spans="6:6" ht="15" customHeight="1" x14ac:dyDescent="0.2">
      <c r="F2100"/>
    </row>
    <row r="2101" spans="6:6" ht="15" customHeight="1" x14ac:dyDescent="0.2">
      <c r="F2101"/>
    </row>
    <row r="2102" spans="6:6" ht="15" customHeight="1" x14ac:dyDescent="0.2">
      <c r="F2102"/>
    </row>
    <row r="2103" spans="6:6" ht="15" customHeight="1" x14ac:dyDescent="0.2">
      <c r="F2103"/>
    </row>
    <row r="2104" spans="6:6" ht="15" customHeight="1" x14ac:dyDescent="0.2">
      <c r="F2104"/>
    </row>
    <row r="2105" spans="6:6" ht="15" customHeight="1" x14ac:dyDescent="0.2">
      <c r="F2105"/>
    </row>
    <row r="2106" spans="6:6" ht="15" customHeight="1" x14ac:dyDescent="0.2">
      <c r="F2106"/>
    </row>
    <row r="2107" spans="6:6" ht="15" customHeight="1" x14ac:dyDescent="0.2">
      <c r="F2107"/>
    </row>
    <row r="2108" spans="6:6" ht="15" customHeight="1" x14ac:dyDescent="0.2">
      <c r="F2108"/>
    </row>
    <row r="2109" spans="6:6" ht="15" customHeight="1" x14ac:dyDescent="0.2">
      <c r="F2109"/>
    </row>
    <row r="2110" spans="6:6" ht="15" customHeight="1" x14ac:dyDescent="0.2">
      <c r="F2110"/>
    </row>
    <row r="2111" spans="6:6" ht="15" customHeight="1" x14ac:dyDescent="0.2">
      <c r="F2111"/>
    </row>
    <row r="2112" spans="6:6" ht="15" customHeight="1" x14ac:dyDescent="0.2">
      <c r="F2112"/>
    </row>
    <row r="2113" spans="6:6" ht="15" customHeight="1" x14ac:dyDescent="0.2">
      <c r="F2113"/>
    </row>
    <row r="2114" spans="6:6" ht="15" customHeight="1" x14ac:dyDescent="0.2">
      <c r="F2114"/>
    </row>
    <row r="2115" spans="6:6" ht="15" customHeight="1" x14ac:dyDescent="0.2">
      <c r="F2115"/>
    </row>
    <row r="2116" spans="6:6" ht="15" customHeight="1" x14ac:dyDescent="0.2">
      <c r="F2116"/>
    </row>
    <row r="2117" spans="6:6" ht="15" customHeight="1" x14ac:dyDescent="0.2">
      <c r="F2117"/>
    </row>
    <row r="2118" spans="6:6" ht="15" customHeight="1" x14ac:dyDescent="0.2">
      <c r="F2118"/>
    </row>
    <row r="2119" spans="6:6" ht="15" customHeight="1" x14ac:dyDescent="0.2">
      <c r="F2119"/>
    </row>
    <row r="2120" spans="6:6" ht="15" customHeight="1" x14ac:dyDescent="0.2">
      <c r="F2120"/>
    </row>
    <row r="2121" spans="6:6" ht="15" customHeight="1" x14ac:dyDescent="0.2">
      <c r="F2121"/>
    </row>
    <row r="2122" spans="6:6" ht="15" customHeight="1" x14ac:dyDescent="0.2">
      <c r="F2122"/>
    </row>
    <row r="2123" spans="6:6" ht="15" customHeight="1" x14ac:dyDescent="0.2">
      <c r="F2123"/>
    </row>
    <row r="2124" spans="6:6" ht="15" customHeight="1" x14ac:dyDescent="0.2">
      <c r="F2124"/>
    </row>
    <row r="2125" spans="6:6" ht="15" customHeight="1" x14ac:dyDescent="0.2">
      <c r="F2125"/>
    </row>
    <row r="2126" spans="6:6" ht="15" customHeight="1" x14ac:dyDescent="0.2">
      <c r="F2126"/>
    </row>
    <row r="2127" spans="6:6" ht="15" customHeight="1" x14ac:dyDescent="0.2">
      <c r="F2127"/>
    </row>
    <row r="2128" spans="6:6" ht="15" customHeight="1" x14ac:dyDescent="0.2">
      <c r="F2128"/>
    </row>
    <row r="2129" spans="6:6" ht="15" customHeight="1" x14ac:dyDescent="0.2">
      <c r="F2129"/>
    </row>
    <row r="2130" spans="6:6" ht="15" customHeight="1" x14ac:dyDescent="0.2">
      <c r="F2130"/>
    </row>
    <row r="2131" spans="6:6" ht="15" customHeight="1" x14ac:dyDescent="0.2">
      <c r="F2131"/>
    </row>
    <row r="2132" spans="6:6" ht="15" customHeight="1" x14ac:dyDescent="0.2">
      <c r="F2132"/>
    </row>
    <row r="2133" spans="6:6" ht="15" customHeight="1" x14ac:dyDescent="0.2">
      <c r="F2133"/>
    </row>
    <row r="2134" spans="6:6" ht="15" customHeight="1" x14ac:dyDescent="0.2">
      <c r="F2134"/>
    </row>
    <row r="2135" spans="6:6" ht="15" customHeight="1" x14ac:dyDescent="0.2">
      <c r="F2135"/>
    </row>
    <row r="2136" spans="6:6" ht="15" customHeight="1" x14ac:dyDescent="0.2">
      <c r="F2136"/>
    </row>
    <row r="2137" spans="6:6" ht="15" customHeight="1" x14ac:dyDescent="0.2">
      <c r="F2137"/>
    </row>
    <row r="2138" spans="6:6" ht="15" customHeight="1" x14ac:dyDescent="0.2">
      <c r="F2138"/>
    </row>
    <row r="2139" spans="6:6" ht="15" customHeight="1" x14ac:dyDescent="0.2">
      <c r="F2139"/>
    </row>
    <row r="2140" spans="6:6" ht="15" customHeight="1" x14ac:dyDescent="0.2">
      <c r="F2140"/>
    </row>
    <row r="2141" spans="6:6" ht="15" customHeight="1" x14ac:dyDescent="0.2">
      <c r="F2141"/>
    </row>
    <row r="2142" spans="6:6" ht="15" customHeight="1" x14ac:dyDescent="0.2">
      <c r="F2142"/>
    </row>
    <row r="2143" spans="6:6" ht="15" customHeight="1" x14ac:dyDescent="0.2">
      <c r="F2143"/>
    </row>
    <row r="2144" spans="6:6" ht="15" customHeight="1" x14ac:dyDescent="0.2">
      <c r="F2144"/>
    </row>
    <row r="2145" spans="6:6" ht="15" customHeight="1" x14ac:dyDescent="0.2">
      <c r="F2145"/>
    </row>
    <row r="2146" spans="6:6" ht="15" customHeight="1" x14ac:dyDescent="0.2">
      <c r="F2146"/>
    </row>
    <row r="2147" spans="6:6" ht="15" customHeight="1" x14ac:dyDescent="0.2">
      <c r="F2147"/>
    </row>
    <row r="2148" spans="6:6" ht="15" customHeight="1" x14ac:dyDescent="0.2">
      <c r="F2148"/>
    </row>
    <row r="2149" spans="6:6" ht="15" customHeight="1" x14ac:dyDescent="0.2">
      <c r="F2149"/>
    </row>
    <row r="2150" spans="6:6" ht="15" customHeight="1" x14ac:dyDescent="0.2">
      <c r="F2150"/>
    </row>
    <row r="2151" spans="6:6" ht="15" customHeight="1" x14ac:dyDescent="0.2">
      <c r="F2151"/>
    </row>
    <row r="2152" spans="6:6" ht="15" customHeight="1" x14ac:dyDescent="0.2">
      <c r="F2152"/>
    </row>
    <row r="2153" spans="6:6" ht="15" customHeight="1" x14ac:dyDescent="0.2">
      <c r="F2153"/>
    </row>
    <row r="2154" spans="6:6" ht="15" customHeight="1" x14ac:dyDescent="0.2">
      <c r="F2154"/>
    </row>
    <row r="2155" spans="6:6" ht="15" customHeight="1" x14ac:dyDescent="0.2">
      <c r="F2155"/>
    </row>
    <row r="2156" spans="6:6" ht="15" customHeight="1" x14ac:dyDescent="0.2">
      <c r="F2156"/>
    </row>
    <row r="2157" spans="6:6" ht="15" customHeight="1" x14ac:dyDescent="0.2">
      <c r="F2157"/>
    </row>
    <row r="2158" spans="6:6" ht="15" customHeight="1" x14ac:dyDescent="0.2">
      <c r="F2158"/>
    </row>
    <row r="2159" spans="6:6" ht="15" customHeight="1" x14ac:dyDescent="0.2">
      <c r="F2159"/>
    </row>
    <row r="2160" spans="6:6" ht="15" customHeight="1" x14ac:dyDescent="0.2">
      <c r="F2160"/>
    </row>
    <row r="2161" spans="6:6" ht="15" customHeight="1" x14ac:dyDescent="0.2">
      <c r="F2161"/>
    </row>
    <row r="2162" spans="6:6" ht="15" customHeight="1" x14ac:dyDescent="0.2">
      <c r="F2162"/>
    </row>
    <row r="2163" spans="6:6" ht="15" customHeight="1" x14ac:dyDescent="0.2">
      <c r="F2163"/>
    </row>
    <row r="2164" spans="6:6" ht="15" customHeight="1" x14ac:dyDescent="0.2">
      <c r="F2164"/>
    </row>
    <row r="2165" spans="6:6" ht="15" customHeight="1" x14ac:dyDescent="0.2">
      <c r="F2165"/>
    </row>
    <row r="2166" spans="6:6" ht="15" customHeight="1" x14ac:dyDescent="0.2">
      <c r="F2166"/>
    </row>
    <row r="2167" spans="6:6" ht="15" customHeight="1" x14ac:dyDescent="0.2">
      <c r="F2167"/>
    </row>
    <row r="2168" spans="6:6" ht="15" customHeight="1" x14ac:dyDescent="0.2">
      <c r="F2168"/>
    </row>
    <row r="2169" spans="6:6" ht="15" customHeight="1" x14ac:dyDescent="0.2">
      <c r="F2169"/>
    </row>
    <row r="2170" spans="6:6" ht="15" customHeight="1" x14ac:dyDescent="0.2">
      <c r="F2170"/>
    </row>
    <row r="2171" spans="6:6" ht="15" customHeight="1" x14ac:dyDescent="0.2">
      <c r="F2171"/>
    </row>
    <row r="2172" spans="6:6" ht="15" customHeight="1" x14ac:dyDescent="0.2">
      <c r="F2172"/>
    </row>
    <row r="2173" spans="6:6" ht="15" customHeight="1" x14ac:dyDescent="0.2">
      <c r="F2173"/>
    </row>
    <row r="2174" spans="6:6" ht="15" customHeight="1" x14ac:dyDescent="0.2">
      <c r="F2174"/>
    </row>
    <row r="2175" spans="6:6" ht="15" customHeight="1" x14ac:dyDescent="0.2">
      <c r="F2175"/>
    </row>
    <row r="2176" spans="6:6" ht="15" customHeight="1" x14ac:dyDescent="0.2">
      <c r="F2176"/>
    </row>
    <row r="2177" spans="6:6" ht="15" customHeight="1" x14ac:dyDescent="0.2">
      <c r="F2177"/>
    </row>
    <row r="2178" spans="6:6" ht="15" customHeight="1" x14ac:dyDescent="0.2">
      <c r="F2178"/>
    </row>
    <row r="2179" spans="6:6" ht="15" customHeight="1" x14ac:dyDescent="0.2">
      <c r="F2179"/>
    </row>
    <row r="2180" spans="6:6" ht="15" customHeight="1" x14ac:dyDescent="0.2">
      <c r="F2180"/>
    </row>
    <row r="2181" spans="6:6" ht="15" customHeight="1" x14ac:dyDescent="0.2">
      <c r="F2181"/>
    </row>
    <row r="2182" spans="6:6" ht="15" customHeight="1" x14ac:dyDescent="0.2">
      <c r="F2182"/>
    </row>
    <row r="2183" spans="6:6" ht="15" customHeight="1" x14ac:dyDescent="0.2">
      <c r="F2183"/>
    </row>
    <row r="2184" spans="6:6" ht="15" customHeight="1" x14ac:dyDescent="0.2">
      <c r="F2184"/>
    </row>
    <row r="2185" spans="6:6" ht="15" customHeight="1" x14ac:dyDescent="0.2">
      <c r="F2185"/>
    </row>
    <row r="2186" spans="6:6" ht="15" customHeight="1" x14ac:dyDescent="0.2">
      <c r="F2186"/>
    </row>
    <row r="2187" spans="6:6" ht="15" customHeight="1" x14ac:dyDescent="0.2">
      <c r="F2187"/>
    </row>
    <row r="2188" spans="6:6" ht="15" customHeight="1" x14ac:dyDescent="0.2">
      <c r="F2188"/>
    </row>
    <row r="2189" spans="6:6" ht="15" customHeight="1" x14ac:dyDescent="0.2">
      <c r="F2189"/>
    </row>
    <row r="2190" spans="6:6" ht="15" customHeight="1" x14ac:dyDescent="0.2">
      <c r="F2190"/>
    </row>
    <row r="2191" spans="6:6" ht="15" customHeight="1" x14ac:dyDescent="0.2">
      <c r="F2191"/>
    </row>
    <row r="2192" spans="6:6" ht="15" customHeight="1" x14ac:dyDescent="0.2">
      <c r="F2192"/>
    </row>
    <row r="2193" spans="6:6" ht="15" customHeight="1" x14ac:dyDescent="0.2">
      <c r="F2193"/>
    </row>
    <row r="2194" spans="6:6" ht="15" customHeight="1" x14ac:dyDescent="0.2">
      <c r="F2194"/>
    </row>
    <row r="2195" spans="6:6" ht="15" customHeight="1" x14ac:dyDescent="0.2">
      <c r="F2195"/>
    </row>
    <row r="2196" spans="6:6" ht="15" customHeight="1" x14ac:dyDescent="0.2">
      <c r="F2196"/>
    </row>
    <row r="2197" spans="6:6" ht="15" customHeight="1" x14ac:dyDescent="0.2">
      <c r="F2197"/>
    </row>
    <row r="2198" spans="6:6" ht="15" customHeight="1" x14ac:dyDescent="0.2">
      <c r="F2198"/>
    </row>
    <row r="2199" spans="6:6" ht="15" customHeight="1" x14ac:dyDescent="0.2">
      <c r="F2199"/>
    </row>
    <row r="2200" spans="6:6" ht="15" customHeight="1" x14ac:dyDescent="0.2">
      <c r="F2200"/>
    </row>
    <row r="2201" spans="6:6" ht="15" customHeight="1" x14ac:dyDescent="0.2">
      <c r="F2201"/>
    </row>
    <row r="2202" spans="6:6" ht="15" customHeight="1" x14ac:dyDescent="0.2">
      <c r="F2202"/>
    </row>
    <row r="2203" spans="6:6" ht="15" customHeight="1" x14ac:dyDescent="0.2">
      <c r="F2203"/>
    </row>
    <row r="2204" spans="6:6" ht="15" customHeight="1" x14ac:dyDescent="0.2">
      <c r="F2204"/>
    </row>
    <row r="2205" spans="6:6" ht="15" customHeight="1" x14ac:dyDescent="0.2">
      <c r="F2205"/>
    </row>
    <row r="2206" spans="6:6" ht="15" customHeight="1" x14ac:dyDescent="0.2">
      <c r="F2206"/>
    </row>
    <row r="2207" spans="6:6" ht="15" customHeight="1" x14ac:dyDescent="0.2">
      <c r="F2207"/>
    </row>
    <row r="2208" spans="6:6" ht="15" customHeight="1" x14ac:dyDescent="0.2">
      <c r="F2208"/>
    </row>
    <row r="2209" spans="6:6" ht="15" customHeight="1" x14ac:dyDescent="0.2">
      <c r="F2209"/>
    </row>
    <row r="2210" spans="6:6" ht="15" customHeight="1" x14ac:dyDescent="0.2">
      <c r="F2210"/>
    </row>
    <row r="2211" spans="6:6" ht="15" customHeight="1" x14ac:dyDescent="0.2">
      <c r="F2211"/>
    </row>
    <row r="2212" spans="6:6" ht="15" customHeight="1" x14ac:dyDescent="0.2">
      <c r="F2212"/>
    </row>
    <row r="2213" spans="6:6" ht="15" customHeight="1" x14ac:dyDescent="0.2">
      <c r="F2213"/>
    </row>
    <row r="2214" spans="6:6" ht="15" customHeight="1" x14ac:dyDescent="0.2">
      <c r="F2214"/>
    </row>
    <row r="2215" spans="6:6" ht="15" customHeight="1" x14ac:dyDescent="0.2">
      <c r="F2215"/>
    </row>
    <row r="2216" spans="6:6" ht="15" customHeight="1" x14ac:dyDescent="0.2">
      <c r="F2216"/>
    </row>
    <row r="2217" spans="6:6" ht="15" customHeight="1" x14ac:dyDescent="0.2">
      <c r="F2217"/>
    </row>
    <row r="2218" spans="6:6" ht="15" customHeight="1" x14ac:dyDescent="0.2">
      <c r="F2218"/>
    </row>
    <row r="2219" spans="6:6" ht="15" customHeight="1" x14ac:dyDescent="0.2">
      <c r="F2219"/>
    </row>
    <row r="2220" spans="6:6" ht="15" customHeight="1" x14ac:dyDescent="0.2">
      <c r="F2220"/>
    </row>
    <row r="2221" spans="6:6" ht="15" customHeight="1" x14ac:dyDescent="0.2">
      <c r="F2221"/>
    </row>
    <row r="2222" spans="6:6" ht="15" customHeight="1" x14ac:dyDescent="0.2">
      <c r="F2222"/>
    </row>
    <row r="2223" spans="6:6" ht="15" customHeight="1" x14ac:dyDescent="0.2">
      <c r="F2223"/>
    </row>
    <row r="2224" spans="6:6" ht="15" customHeight="1" x14ac:dyDescent="0.2">
      <c r="F2224"/>
    </row>
    <row r="2225" spans="6:6" ht="15" customHeight="1" x14ac:dyDescent="0.2">
      <c r="F2225"/>
    </row>
    <row r="2226" spans="6:6" ht="15" customHeight="1" x14ac:dyDescent="0.2">
      <c r="F2226"/>
    </row>
    <row r="2227" spans="6:6" ht="15" customHeight="1" x14ac:dyDescent="0.2">
      <c r="F2227"/>
    </row>
    <row r="2228" spans="6:6" ht="15" customHeight="1" x14ac:dyDescent="0.2">
      <c r="F2228"/>
    </row>
    <row r="2229" spans="6:6" ht="15" customHeight="1" x14ac:dyDescent="0.2">
      <c r="F2229"/>
    </row>
    <row r="2230" spans="6:6" ht="15" customHeight="1" x14ac:dyDescent="0.2">
      <c r="F2230"/>
    </row>
    <row r="2231" spans="6:6" ht="15" customHeight="1" x14ac:dyDescent="0.2">
      <c r="F2231"/>
    </row>
    <row r="2232" spans="6:6" ht="15" customHeight="1" x14ac:dyDescent="0.2">
      <c r="F2232"/>
    </row>
    <row r="2233" spans="6:6" ht="15" customHeight="1" x14ac:dyDescent="0.2">
      <c r="F2233"/>
    </row>
    <row r="2234" spans="6:6" ht="15" customHeight="1" x14ac:dyDescent="0.2">
      <c r="F2234"/>
    </row>
    <row r="2235" spans="6:6" ht="15" customHeight="1" x14ac:dyDescent="0.2">
      <c r="F2235"/>
    </row>
    <row r="2236" spans="6:6" ht="15" customHeight="1" x14ac:dyDescent="0.2">
      <c r="F2236"/>
    </row>
    <row r="2237" spans="6:6" ht="15" customHeight="1" x14ac:dyDescent="0.2">
      <c r="F2237"/>
    </row>
    <row r="2238" spans="6:6" ht="15" customHeight="1" x14ac:dyDescent="0.2">
      <c r="F2238"/>
    </row>
    <row r="2239" spans="6:6" ht="15" customHeight="1" x14ac:dyDescent="0.2">
      <c r="F2239"/>
    </row>
    <row r="2240" spans="6:6" ht="15" customHeight="1" x14ac:dyDescent="0.2">
      <c r="F2240"/>
    </row>
    <row r="2241" spans="6:6" ht="15" customHeight="1" x14ac:dyDescent="0.2">
      <c r="F2241"/>
    </row>
    <row r="2242" spans="6:6" ht="15" customHeight="1" x14ac:dyDescent="0.2">
      <c r="F2242"/>
    </row>
    <row r="2243" spans="6:6" ht="15" customHeight="1" x14ac:dyDescent="0.2">
      <c r="F2243"/>
    </row>
    <row r="2244" spans="6:6" ht="15" customHeight="1" x14ac:dyDescent="0.2">
      <c r="F2244"/>
    </row>
    <row r="2245" spans="6:6" ht="15" customHeight="1" x14ac:dyDescent="0.2">
      <c r="F2245"/>
    </row>
    <row r="2246" spans="6:6" ht="15" customHeight="1" x14ac:dyDescent="0.2">
      <c r="F2246"/>
    </row>
    <row r="2247" spans="6:6" ht="15" customHeight="1" x14ac:dyDescent="0.2">
      <c r="F2247"/>
    </row>
    <row r="2248" spans="6:6" ht="15" customHeight="1" x14ac:dyDescent="0.2">
      <c r="F2248"/>
    </row>
    <row r="2249" spans="6:6" ht="15" customHeight="1" x14ac:dyDescent="0.2">
      <c r="F2249"/>
    </row>
    <row r="2250" spans="6:6" ht="15" customHeight="1" x14ac:dyDescent="0.2">
      <c r="F2250"/>
    </row>
    <row r="2251" spans="6:6" ht="15" customHeight="1" x14ac:dyDescent="0.2">
      <c r="F2251"/>
    </row>
    <row r="2252" spans="6:6" ht="15" customHeight="1" x14ac:dyDescent="0.2">
      <c r="F2252"/>
    </row>
    <row r="2253" spans="6:6" ht="15" customHeight="1" x14ac:dyDescent="0.2">
      <c r="F2253"/>
    </row>
    <row r="2254" spans="6:6" ht="15" customHeight="1" x14ac:dyDescent="0.2">
      <c r="F2254"/>
    </row>
    <row r="2255" spans="6:6" ht="15" customHeight="1" x14ac:dyDescent="0.2">
      <c r="F2255"/>
    </row>
    <row r="2256" spans="6:6" ht="15" customHeight="1" x14ac:dyDescent="0.2">
      <c r="F2256"/>
    </row>
    <row r="2257" spans="6:6" ht="15" customHeight="1" x14ac:dyDescent="0.2">
      <c r="F2257"/>
    </row>
    <row r="2258" spans="6:6" ht="15" customHeight="1" x14ac:dyDescent="0.2">
      <c r="F2258"/>
    </row>
    <row r="2259" spans="6:6" ht="15" customHeight="1" x14ac:dyDescent="0.2">
      <c r="F2259"/>
    </row>
    <row r="2260" spans="6:6" ht="15" customHeight="1" x14ac:dyDescent="0.2">
      <c r="F2260"/>
    </row>
    <row r="2261" spans="6:6" ht="15" customHeight="1" x14ac:dyDescent="0.2">
      <c r="F2261"/>
    </row>
    <row r="2262" spans="6:6" ht="15" customHeight="1" x14ac:dyDescent="0.2">
      <c r="F2262"/>
    </row>
    <row r="2263" spans="6:6" ht="15" customHeight="1" x14ac:dyDescent="0.2">
      <c r="F2263"/>
    </row>
    <row r="2264" spans="6:6" ht="15" customHeight="1" x14ac:dyDescent="0.2">
      <c r="F2264"/>
    </row>
    <row r="2265" spans="6:6" ht="15" customHeight="1" x14ac:dyDescent="0.2">
      <c r="F2265"/>
    </row>
    <row r="2266" spans="6:6" ht="15" customHeight="1" x14ac:dyDescent="0.2">
      <c r="F2266"/>
    </row>
    <row r="2267" spans="6:6" ht="15" customHeight="1" x14ac:dyDescent="0.2">
      <c r="F2267"/>
    </row>
    <row r="2268" spans="6:6" ht="15" customHeight="1" x14ac:dyDescent="0.2">
      <c r="F2268"/>
    </row>
    <row r="2269" spans="6:6" ht="15" customHeight="1" x14ac:dyDescent="0.2">
      <c r="F2269"/>
    </row>
    <row r="2270" spans="6:6" ht="15" customHeight="1" x14ac:dyDescent="0.2">
      <c r="F2270"/>
    </row>
    <row r="2271" spans="6:6" ht="15" customHeight="1" x14ac:dyDescent="0.2">
      <c r="F2271"/>
    </row>
    <row r="2272" spans="6:6" ht="15" customHeight="1" x14ac:dyDescent="0.2">
      <c r="F2272"/>
    </row>
    <row r="2273" spans="6:6" ht="15" customHeight="1" x14ac:dyDescent="0.2">
      <c r="F2273"/>
    </row>
    <row r="2274" spans="6:6" ht="15" customHeight="1" x14ac:dyDescent="0.2">
      <c r="F2274"/>
    </row>
    <row r="2275" spans="6:6" ht="15" customHeight="1" x14ac:dyDescent="0.2">
      <c r="F2275"/>
    </row>
    <row r="2276" spans="6:6" ht="15" customHeight="1" x14ac:dyDescent="0.2">
      <c r="F2276"/>
    </row>
    <row r="2277" spans="6:6" ht="15" customHeight="1" x14ac:dyDescent="0.2">
      <c r="F2277"/>
    </row>
    <row r="2278" spans="6:6" ht="15" customHeight="1" x14ac:dyDescent="0.2">
      <c r="F2278"/>
    </row>
    <row r="2279" spans="6:6" ht="15" customHeight="1" x14ac:dyDescent="0.2">
      <c r="F2279"/>
    </row>
    <row r="2280" spans="6:6" ht="15" customHeight="1" x14ac:dyDescent="0.2">
      <c r="F2280"/>
    </row>
    <row r="2281" spans="6:6" ht="15" customHeight="1" x14ac:dyDescent="0.2">
      <c r="F2281"/>
    </row>
    <row r="2282" spans="6:6" ht="15" customHeight="1" x14ac:dyDescent="0.2">
      <c r="F2282"/>
    </row>
    <row r="2283" spans="6:6" ht="15" customHeight="1" x14ac:dyDescent="0.2">
      <c r="F2283"/>
    </row>
    <row r="2284" spans="6:6" ht="15" customHeight="1" x14ac:dyDescent="0.2">
      <c r="F2284"/>
    </row>
    <row r="2285" spans="6:6" ht="15" customHeight="1" x14ac:dyDescent="0.2">
      <c r="F2285"/>
    </row>
    <row r="2286" spans="6:6" ht="15" customHeight="1" x14ac:dyDescent="0.2">
      <c r="F2286"/>
    </row>
    <row r="2287" spans="6:6" ht="15" customHeight="1" x14ac:dyDescent="0.2">
      <c r="F2287"/>
    </row>
    <row r="2288" spans="6:6" ht="15" customHeight="1" x14ac:dyDescent="0.2">
      <c r="F2288"/>
    </row>
    <row r="2289" spans="6:6" ht="15" customHeight="1" x14ac:dyDescent="0.2">
      <c r="F2289"/>
    </row>
    <row r="2290" spans="6:6" ht="15" customHeight="1" x14ac:dyDescent="0.2">
      <c r="F2290"/>
    </row>
    <row r="2291" spans="6:6" ht="15" customHeight="1" x14ac:dyDescent="0.2">
      <c r="F2291"/>
    </row>
    <row r="2292" spans="6:6" ht="15" customHeight="1" x14ac:dyDescent="0.2">
      <c r="F2292"/>
    </row>
    <row r="2293" spans="6:6" ht="15" customHeight="1" x14ac:dyDescent="0.2">
      <c r="F2293"/>
    </row>
    <row r="2294" spans="6:6" ht="15" customHeight="1" x14ac:dyDescent="0.2">
      <c r="F2294"/>
    </row>
    <row r="2295" spans="6:6" ht="15" customHeight="1" x14ac:dyDescent="0.2">
      <c r="F2295"/>
    </row>
    <row r="2296" spans="6:6" ht="15" customHeight="1" x14ac:dyDescent="0.2">
      <c r="F2296"/>
    </row>
    <row r="2297" spans="6:6" ht="15" customHeight="1" x14ac:dyDescent="0.2">
      <c r="F2297"/>
    </row>
    <row r="2298" spans="6:6" ht="15" customHeight="1" x14ac:dyDescent="0.2">
      <c r="F2298"/>
    </row>
    <row r="2299" spans="6:6" ht="15" customHeight="1" x14ac:dyDescent="0.2">
      <c r="F2299"/>
    </row>
    <row r="2300" spans="6:6" ht="15" customHeight="1" x14ac:dyDescent="0.2">
      <c r="F2300"/>
    </row>
    <row r="2301" spans="6:6" ht="15" customHeight="1" x14ac:dyDescent="0.2">
      <c r="F2301"/>
    </row>
    <row r="2302" spans="6:6" ht="15" customHeight="1" x14ac:dyDescent="0.2">
      <c r="F2302"/>
    </row>
    <row r="2303" spans="6:6" ht="15" customHeight="1" x14ac:dyDescent="0.2">
      <c r="F2303"/>
    </row>
    <row r="2304" spans="6:6" ht="15" customHeight="1" x14ac:dyDescent="0.2">
      <c r="F2304"/>
    </row>
    <row r="2305" spans="6:6" ht="15" customHeight="1" x14ac:dyDescent="0.2">
      <c r="F2305"/>
    </row>
    <row r="2306" spans="6:6" ht="15" customHeight="1" x14ac:dyDescent="0.2">
      <c r="F2306"/>
    </row>
    <row r="2307" spans="6:6" ht="15" customHeight="1" x14ac:dyDescent="0.2">
      <c r="F2307"/>
    </row>
    <row r="2308" spans="6:6" ht="15" customHeight="1" x14ac:dyDescent="0.2">
      <c r="F2308"/>
    </row>
    <row r="2309" spans="6:6" ht="15" customHeight="1" x14ac:dyDescent="0.2">
      <c r="F2309"/>
    </row>
    <row r="2310" spans="6:6" ht="15" customHeight="1" x14ac:dyDescent="0.2">
      <c r="F2310"/>
    </row>
    <row r="2311" spans="6:6" ht="15" customHeight="1" x14ac:dyDescent="0.2">
      <c r="F2311"/>
    </row>
    <row r="2312" spans="6:6" ht="15" customHeight="1" x14ac:dyDescent="0.2">
      <c r="F2312"/>
    </row>
    <row r="2313" spans="6:6" ht="15" customHeight="1" x14ac:dyDescent="0.2">
      <c r="F2313"/>
    </row>
    <row r="2314" spans="6:6" ht="15" customHeight="1" x14ac:dyDescent="0.2">
      <c r="F2314"/>
    </row>
    <row r="2315" spans="6:6" ht="15" customHeight="1" x14ac:dyDescent="0.2">
      <c r="F2315"/>
    </row>
    <row r="2316" spans="6:6" ht="15" customHeight="1" x14ac:dyDescent="0.2">
      <c r="F2316"/>
    </row>
    <row r="2317" spans="6:6" ht="15" customHeight="1" x14ac:dyDescent="0.2">
      <c r="F2317"/>
    </row>
    <row r="2318" spans="6:6" ht="15" customHeight="1" x14ac:dyDescent="0.2">
      <c r="F2318"/>
    </row>
    <row r="2319" spans="6:6" ht="15" customHeight="1" x14ac:dyDescent="0.2">
      <c r="F2319"/>
    </row>
    <row r="2320" spans="6:6" ht="15" customHeight="1" x14ac:dyDescent="0.2">
      <c r="F2320"/>
    </row>
    <row r="2321" spans="6:6" ht="15" customHeight="1" x14ac:dyDescent="0.2">
      <c r="F2321"/>
    </row>
    <row r="2322" spans="6:6" ht="15" customHeight="1" x14ac:dyDescent="0.2">
      <c r="F2322"/>
    </row>
    <row r="2323" spans="6:6" ht="15" customHeight="1" x14ac:dyDescent="0.2">
      <c r="F2323"/>
    </row>
    <row r="2324" spans="6:6" ht="15" customHeight="1" x14ac:dyDescent="0.2">
      <c r="F2324"/>
    </row>
    <row r="2325" spans="6:6" ht="15" customHeight="1" x14ac:dyDescent="0.2">
      <c r="F2325"/>
    </row>
    <row r="2326" spans="6:6" ht="15" customHeight="1" x14ac:dyDescent="0.2">
      <c r="F2326"/>
    </row>
    <row r="2327" spans="6:6" ht="15" customHeight="1" x14ac:dyDescent="0.2">
      <c r="F2327"/>
    </row>
    <row r="2328" spans="6:6" ht="15" customHeight="1" x14ac:dyDescent="0.2">
      <c r="F2328"/>
    </row>
    <row r="2329" spans="6:6" ht="15" customHeight="1" x14ac:dyDescent="0.2">
      <c r="F2329"/>
    </row>
    <row r="2330" spans="6:6" ht="15" customHeight="1" x14ac:dyDescent="0.2">
      <c r="F2330"/>
    </row>
    <row r="2331" spans="6:6" ht="15" customHeight="1" x14ac:dyDescent="0.2">
      <c r="F2331"/>
    </row>
    <row r="2332" spans="6:6" ht="15" customHeight="1" x14ac:dyDescent="0.2">
      <c r="F2332"/>
    </row>
    <row r="2333" spans="6:6" ht="15" customHeight="1" x14ac:dyDescent="0.2">
      <c r="F2333"/>
    </row>
    <row r="2334" spans="6:6" ht="15" customHeight="1" x14ac:dyDescent="0.2">
      <c r="F2334"/>
    </row>
    <row r="2335" spans="6:6" ht="15" customHeight="1" x14ac:dyDescent="0.2">
      <c r="F2335"/>
    </row>
    <row r="2336" spans="6:6" ht="15" customHeight="1" x14ac:dyDescent="0.2">
      <c r="F2336"/>
    </row>
    <row r="2337" spans="6:6" ht="15" customHeight="1" x14ac:dyDescent="0.2">
      <c r="F2337"/>
    </row>
    <row r="2338" spans="6:6" ht="15" customHeight="1" x14ac:dyDescent="0.2">
      <c r="F2338"/>
    </row>
    <row r="2339" spans="6:6" ht="15" customHeight="1" x14ac:dyDescent="0.2">
      <c r="F2339"/>
    </row>
    <row r="2340" spans="6:6" ht="15" customHeight="1" x14ac:dyDescent="0.2">
      <c r="F2340"/>
    </row>
    <row r="2341" spans="6:6" ht="15" customHeight="1" x14ac:dyDescent="0.2">
      <c r="F2341"/>
    </row>
    <row r="2342" spans="6:6" ht="15" customHeight="1" x14ac:dyDescent="0.2">
      <c r="F2342"/>
    </row>
    <row r="2343" spans="6:6" ht="15" customHeight="1" x14ac:dyDescent="0.2">
      <c r="F2343"/>
    </row>
    <row r="2344" spans="6:6" ht="15" customHeight="1" x14ac:dyDescent="0.2">
      <c r="F2344"/>
    </row>
    <row r="2345" spans="6:6" ht="15" customHeight="1" x14ac:dyDescent="0.2">
      <c r="F2345"/>
    </row>
    <row r="2346" spans="6:6" ht="15" customHeight="1" x14ac:dyDescent="0.2">
      <c r="F2346"/>
    </row>
    <row r="2347" spans="6:6" ht="15" customHeight="1" x14ac:dyDescent="0.2">
      <c r="F2347"/>
    </row>
    <row r="2348" spans="6:6" ht="15" customHeight="1" x14ac:dyDescent="0.2">
      <c r="F2348"/>
    </row>
    <row r="2349" spans="6:6" ht="15" customHeight="1" x14ac:dyDescent="0.2">
      <c r="F2349"/>
    </row>
    <row r="2350" spans="6:6" ht="15" customHeight="1" x14ac:dyDescent="0.2">
      <c r="F2350"/>
    </row>
    <row r="2351" spans="6:6" ht="15" customHeight="1" x14ac:dyDescent="0.2">
      <c r="F2351"/>
    </row>
    <row r="2352" spans="6:6" ht="15" customHeight="1" x14ac:dyDescent="0.2">
      <c r="F2352"/>
    </row>
    <row r="2353" spans="6:6" ht="15" customHeight="1" x14ac:dyDescent="0.2">
      <c r="F2353"/>
    </row>
    <row r="2354" spans="6:6" ht="15" customHeight="1" x14ac:dyDescent="0.2">
      <c r="F2354"/>
    </row>
    <row r="2355" spans="6:6" ht="15" customHeight="1" x14ac:dyDescent="0.2">
      <c r="F2355"/>
    </row>
    <row r="2356" spans="6:6" ht="15" customHeight="1" x14ac:dyDescent="0.2">
      <c r="F2356"/>
    </row>
    <row r="2357" spans="6:6" ht="15" customHeight="1" x14ac:dyDescent="0.2">
      <c r="F2357"/>
    </row>
    <row r="2358" spans="6:6" ht="15" customHeight="1" x14ac:dyDescent="0.2">
      <c r="F2358"/>
    </row>
    <row r="2359" spans="6:6" ht="15" customHeight="1" x14ac:dyDescent="0.2">
      <c r="F2359"/>
    </row>
    <row r="2360" spans="6:6" ht="15" customHeight="1" x14ac:dyDescent="0.2">
      <c r="F2360"/>
    </row>
    <row r="2361" spans="6:6" ht="15" customHeight="1" x14ac:dyDescent="0.2">
      <c r="F2361"/>
    </row>
    <row r="2362" spans="6:6" ht="15" customHeight="1" x14ac:dyDescent="0.2">
      <c r="F2362"/>
    </row>
    <row r="2363" spans="6:6" ht="15" customHeight="1" x14ac:dyDescent="0.2">
      <c r="F2363"/>
    </row>
    <row r="2364" spans="6:6" ht="15" customHeight="1" x14ac:dyDescent="0.2">
      <c r="F2364"/>
    </row>
    <row r="2365" spans="6:6" ht="15" customHeight="1" x14ac:dyDescent="0.2">
      <c r="F2365"/>
    </row>
    <row r="2366" spans="6:6" ht="15" customHeight="1" x14ac:dyDescent="0.2">
      <c r="F2366"/>
    </row>
    <row r="2367" spans="6:6" ht="15" customHeight="1" x14ac:dyDescent="0.2">
      <c r="F2367"/>
    </row>
    <row r="2368" spans="6:6" ht="15" customHeight="1" x14ac:dyDescent="0.2">
      <c r="F2368"/>
    </row>
    <row r="2369" spans="6:6" ht="15" customHeight="1" x14ac:dyDescent="0.2">
      <c r="F2369"/>
    </row>
    <row r="2370" spans="6:6" ht="15" customHeight="1" x14ac:dyDescent="0.2">
      <c r="F2370"/>
    </row>
    <row r="2371" spans="6:6" ht="15" customHeight="1" x14ac:dyDescent="0.2">
      <c r="F2371"/>
    </row>
    <row r="2372" spans="6:6" ht="15" customHeight="1" x14ac:dyDescent="0.2">
      <c r="F2372"/>
    </row>
    <row r="2373" spans="6:6" ht="15" customHeight="1" x14ac:dyDescent="0.2">
      <c r="F2373"/>
    </row>
    <row r="2374" spans="6:6" ht="15" customHeight="1" x14ac:dyDescent="0.2">
      <c r="F2374"/>
    </row>
    <row r="2375" spans="6:6" ht="15" customHeight="1" x14ac:dyDescent="0.2">
      <c r="F2375"/>
    </row>
    <row r="2376" spans="6:6" ht="15" customHeight="1" x14ac:dyDescent="0.2">
      <c r="F2376"/>
    </row>
    <row r="2377" spans="6:6" ht="15" customHeight="1" x14ac:dyDescent="0.2">
      <c r="F2377"/>
    </row>
    <row r="2378" spans="6:6" ht="15" customHeight="1" x14ac:dyDescent="0.2">
      <c r="F2378"/>
    </row>
    <row r="2379" spans="6:6" ht="15" customHeight="1" x14ac:dyDescent="0.2">
      <c r="F2379"/>
    </row>
    <row r="2380" spans="6:6" ht="15" customHeight="1" x14ac:dyDescent="0.2">
      <c r="F2380"/>
    </row>
    <row r="2381" spans="6:6" ht="15" customHeight="1" x14ac:dyDescent="0.2">
      <c r="F2381"/>
    </row>
    <row r="2382" spans="6:6" ht="15" customHeight="1" x14ac:dyDescent="0.2">
      <c r="F2382"/>
    </row>
    <row r="2383" spans="6:6" ht="15" customHeight="1" x14ac:dyDescent="0.2">
      <c r="F2383"/>
    </row>
    <row r="2384" spans="6:6" ht="15" customHeight="1" x14ac:dyDescent="0.2">
      <c r="F2384"/>
    </row>
    <row r="2385" spans="6:6" ht="15" customHeight="1" x14ac:dyDescent="0.2">
      <c r="F2385"/>
    </row>
    <row r="2386" spans="6:6" ht="15" customHeight="1" x14ac:dyDescent="0.2">
      <c r="F2386"/>
    </row>
    <row r="2387" spans="6:6" ht="15" customHeight="1" x14ac:dyDescent="0.2">
      <c r="F2387"/>
    </row>
    <row r="2388" spans="6:6" ht="15" customHeight="1" x14ac:dyDescent="0.2">
      <c r="F2388"/>
    </row>
    <row r="2389" spans="6:6" ht="15" customHeight="1" x14ac:dyDescent="0.2">
      <c r="F2389"/>
    </row>
    <row r="2390" spans="6:6" ht="15" customHeight="1" x14ac:dyDescent="0.2">
      <c r="F2390"/>
    </row>
    <row r="2391" spans="6:6" ht="15" customHeight="1" x14ac:dyDescent="0.2">
      <c r="F2391"/>
    </row>
    <row r="2392" spans="6:6" ht="15" customHeight="1" x14ac:dyDescent="0.2">
      <c r="F2392"/>
    </row>
    <row r="2393" spans="6:6" ht="15" customHeight="1" x14ac:dyDescent="0.2">
      <c r="F2393"/>
    </row>
    <row r="2394" spans="6:6" ht="15" customHeight="1" x14ac:dyDescent="0.2">
      <c r="F2394"/>
    </row>
    <row r="2395" spans="6:6" ht="15" customHeight="1" x14ac:dyDescent="0.2">
      <c r="F2395"/>
    </row>
    <row r="2396" spans="6:6" ht="15" customHeight="1" x14ac:dyDescent="0.2">
      <c r="F2396"/>
    </row>
    <row r="2397" spans="6:6" ht="15" customHeight="1" x14ac:dyDescent="0.2">
      <c r="F2397"/>
    </row>
    <row r="2398" spans="6:6" ht="15" customHeight="1" x14ac:dyDescent="0.2">
      <c r="F2398"/>
    </row>
    <row r="2399" spans="6:6" ht="15" customHeight="1" x14ac:dyDescent="0.2">
      <c r="F2399"/>
    </row>
    <row r="2400" spans="6:6" ht="15" customHeight="1" x14ac:dyDescent="0.2">
      <c r="F2400"/>
    </row>
    <row r="2401" spans="6:6" ht="15" customHeight="1" x14ac:dyDescent="0.2">
      <c r="F2401"/>
    </row>
    <row r="2402" spans="6:6" ht="15" customHeight="1" x14ac:dyDescent="0.2">
      <c r="F2402"/>
    </row>
    <row r="2403" spans="6:6" ht="15" customHeight="1" x14ac:dyDescent="0.2">
      <c r="F2403"/>
    </row>
    <row r="2404" spans="6:6" ht="15" customHeight="1" x14ac:dyDescent="0.2">
      <c r="F2404"/>
    </row>
    <row r="2405" spans="6:6" ht="15" customHeight="1" x14ac:dyDescent="0.2">
      <c r="F2405"/>
    </row>
    <row r="2406" spans="6:6" ht="15" customHeight="1" x14ac:dyDescent="0.2">
      <c r="F2406"/>
    </row>
    <row r="2407" spans="6:6" ht="15" customHeight="1" x14ac:dyDescent="0.2">
      <c r="F2407"/>
    </row>
    <row r="2408" spans="6:6" ht="15" customHeight="1" x14ac:dyDescent="0.2">
      <c r="F2408"/>
    </row>
    <row r="2409" spans="6:6" ht="15" customHeight="1" x14ac:dyDescent="0.2">
      <c r="F2409"/>
    </row>
    <row r="2410" spans="6:6" ht="15" customHeight="1" x14ac:dyDescent="0.2">
      <c r="F2410"/>
    </row>
    <row r="2411" spans="6:6" ht="15" customHeight="1" x14ac:dyDescent="0.2">
      <c r="F2411"/>
    </row>
    <row r="2412" spans="6:6" ht="15" customHeight="1" x14ac:dyDescent="0.2">
      <c r="F2412"/>
    </row>
    <row r="2413" spans="6:6" ht="15" customHeight="1" x14ac:dyDescent="0.2">
      <c r="F2413"/>
    </row>
    <row r="2414" spans="6:6" ht="15" customHeight="1" x14ac:dyDescent="0.2">
      <c r="F2414"/>
    </row>
    <row r="2415" spans="6:6" ht="15" customHeight="1" x14ac:dyDescent="0.2">
      <c r="F2415"/>
    </row>
    <row r="2416" spans="6:6" ht="15" customHeight="1" x14ac:dyDescent="0.2">
      <c r="F2416"/>
    </row>
    <row r="2417" spans="6:6" ht="15" customHeight="1" x14ac:dyDescent="0.2">
      <c r="F2417"/>
    </row>
    <row r="2418" spans="6:6" ht="15" customHeight="1" x14ac:dyDescent="0.2">
      <c r="F2418"/>
    </row>
    <row r="2419" spans="6:6" ht="15" customHeight="1" x14ac:dyDescent="0.2">
      <c r="F2419"/>
    </row>
    <row r="2420" spans="6:6" ht="15" customHeight="1" x14ac:dyDescent="0.2">
      <c r="F2420"/>
    </row>
    <row r="2421" spans="6:6" ht="15" customHeight="1" x14ac:dyDescent="0.2">
      <c r="F2421"/>
    </row>
    <row r="2422" spans="6:6" ht="15" customHeight="1" x14ac:dyDescent="0.2">
      <c r="F2422"/>
    </row>
    <row r="2423" spans="6:6" ht="15" customHeight="1" x14ac:dyDescent="0.2">
      <c r="F2423"/>
    </row>
    <row r="2424" spans="6:6" ht="15" customHeight="1" x14ac:dyDescent="0.2">
      <c r="F2424"/>
    </row>
    <row r="2425" spans="6:6" ht="15" customHeight="1" x14ac:dyDescent="0.2">
      <c r="F2425"/>
    </row>
    <row r="2426" spans="6:6" ht="15" customHeight="1" x14ac:dyDescent="0.2">
      <c r="F2426"/>
    </row>
    <row r="2427" spans="6:6" ht="15" customHeight="1" x14ac:dyDescent="0.2">
      <c r="F2427"/>
    </row>
    <row r="2428" spans="6:6" ht="15" customHeight="1" x14ac:dyDescent="0.2">
      <c r="F2428"/>
    </row>
    <row r="2429" spans="6:6" ht="15" customHeight="1" x14ac:dyDescent="0.2">
      <c r="F2429"/>
    </row>
    <row r="2430" spans="6:6" ht="15" customHeight="1" x14ac:dyDescent="0.2">
      <c r="F2430"/>
    </row>
    <row r="2431" spans="6:6" ht="15" customHeight="1" x14ac:dyDescent="0.2">
      <c r="F2431"/>
    </row>
    <row r="2432" spans="6:6" ht="15" customHeight="1" x14ac:dyDescent="0.2">
      <c r="F2432"/>
    </row>
    <row r="2433" spans="6:6" ht="15" customHeight="1" x14ac:dyDescent="0.2">
      <c r="F2433"/>
    </row>
    <row r="2434" spans="6:6" ht="15" customHeight="1" x14ac:dyDescent="0.2">
      <c r="F2434"/>
    </row>
    <row r="2435" spans="6:6" ht="15" customHeight="1" x14ac:dyDescent="0.2">
      <c r="F2435"/>
    </row>
    <row r="2436" spans="6:6" ht="15" customHeight="1" x14ac:dyDescent="0.2">
      <c r="F2436"/>
    </row>
    <row r="2437" spans="6:6" ht="15" customHeight="1" x14ac:dyDescent="0.2">
      <c r="F2437"/>
    </row>
    <row r="2438" spans="6:6" ht="15" customHeight="1" x14ac:dyDescent="0.2">
      <c r="F2438"/>
    </row>
    <row r="2439" spans="6:6" ht="15" customHeight="1" x14ac:dyDescent="0.2">
      <c r="F2439"/>
    </row>
    <row r="2440" spans="6:6" ht="15" customHeight="1" x14ac:dyDescent="0.2">
      <c r="F2440"/>
    </row>
    <row r="2441" spans="6:6" ht="15" customHeight="1" x14ac:dyDescent="0.2">
      <c r="F2441"/>
    </row>
    <row r="2442" spans="6:6" ht="15" customHeight="1" x14ac:dyDescent="0.2">
      <c r="F2442"/>
    </row>
    <row r="2443" spans="6:6" ht="15" customHeight="1" x14ac:dyDescent="0.2">
      <c r="F2443"/>
    </row>
    <row r="2444" spans="6:6" ht="15" customHeight="1" x14ac:dyDescent="0.2">
      <c r="F2444"/>
    </row>
    <row r="2445" spans="6:6" ht="15" customHeight="1" x14ac:dyDescent="0.2">
      <c r="F2445"/>
    </row>
    <row r="2446" spans="6:6" ht="15" customHeight="1" x14ac:dyDescent="0.2">
      <c r="F2446"/>
    </row>
    <row r="2447" spans="6:6" ht="15" customHeight="1" x14ac:dyDescent="0.2">
      <c r="F2447"/>
    </row>
    <row r="2448" spans="6:6" ht="15" customHeight="1" x14ac:dyDescent="0.2">
      <c r="F2448"/>
    </row>
    <row r="2449" spans="6:6" ht="15" customHeight="1" x14ac:dyDescent="0.2">
      <c r="F2449"/>
    </row>
    <row r="2450" spans="6:6" ht="15" customHeight="1" x14ac:dyDescent="0.2">
      <c r="F2450"/>
    </row>
    <row r="2451" spans="6:6" ht="15" customHeight="1" x14ac:dyDescent="0.2">
      <c r="F2451"/>
    </row>
    <row r="2452" spans="6:6" ht="15" customHeight="1" x14ac:dyDescent="0.2">
      <c r="F2452"/>
    </row>
    <row r="2453" spans="6:6" ht="15" customHeight="1" x14ac:dyDescent="0.2">
      <c r="F2453"/>
    </row>
    <row r="2454" spans="6:6" ht="15" customHeight="1" x14ac:dyDescent="0.2">
      <c r="F2454"/>
    </row>
    <row r="2455" spans="6:6" ht="15" customHeight="1" x14ac:dyDescent="0.2">
      <c r="F2455"/>
    </row>
    <row r="2456" spans="6:6" ht="15" customHeight="1" x14ac:dyDescent="0.2">
      <c r="F2456"/>
    </row>
    <row r="2457" spans="6:6" ht="15" customHeight="1" x14ac:dyDescent="0.2">
      <c r="F2457"/>
    </row>
    <row r="2458" spans="6:6" ht="15" customHeight="1" x14ac:dyDescent="0.2">
      <c r="F2458"/>
    </row>
    <row r="2459" spans="6:6" ht="15" customHeight="1" x14ac:dyDescent="0.2">
      <c r="F2459"/>
    </row>
    <row r="2460" spans="6:6" ht="15" customHeight="1" x14ac:dyDescent="0.2">
      <c r="F2460"/>
    </row>
    <row r="2461" spans="6:6" ht="15" customHeight="1" x14ac:dyDescent="0.2">
      <c r="F2461"/>
    </row>
    <row r="2462" spans="6:6" ht="15" customHeight="1" x14ac:dyDescent="0.2">
      <c r="F2462"/>
    </row>
    <row r="2463" spans="6:6" ht="15" customHeight="1" x14ac:dyDescent="0.2">
      <c r="F2463"/>
    </row>
    <row r="2464" spans="6:6" ht="15" customHeight="1" x14ac:dyDescent="0.2">
      <c r="F2464"/>
    </row>
    <row r="2465" spans="6:6" ht="15" customHeight="1" x14ac:dyDescent="0.2">
      <c r="F2465"/>
    </row>
    <row r="2466" spans="6:6" ht="15" customHeight="1" x14ac:dyDescent="0.2">
      <c r="F2466"/>
    </row>
    <row r="2467" spans="6:6" ht="15" customHeight="1" x14ac:dyDescent="0.2">
      <c r="F2467"/>
    </row>
    <row r="2468" spans="6:6" ht="15" customHeight="1" x14ac:dyDescent="0.2">
      <c r="F2468"/>
    </row>
    <row r="2469" spans="6:6" ht="15" customHeight="1" x14ac:dyDescent="0.2">
      <c r="F2469"/>
    </row>
    <row r="2470" spans="6:6" ht="15" customHeight="1" x14ac:dyDescent="0.2">
      <c r="F2470"/>
    </row>
    <row r="2471" spans="6:6" ht="15" customHeight="1" x14ac:dyDescent="0.2">
      <c r="F2471"/>
    </row>
    <row r="2472" spans="6:6" ht="15" customHeight="1" x14ac:dyDescent="0.2">
      <c r="F2472"/>
    </row>
    <row r="2473" spans="6:6" ht="15" customHeight="1" x14ac:dyDescent="0.2">
      <c r="F2473"/>
    </row>
    <row r="2474" spans="6:6" ht="15" customHeight="1" x14ac:dyDescent="0.2">
      <c r="F2474"/>
    </row>
    <row r="2475" spans="6:6" ht="15" customHeight="1" x14ac:dyDescent="0.2">
      <c r="F2475"/>
    </row>
    <row r="2476" spans="6:6" ht="15" customHeight="1" x14ac:dyDescent="0.2">
      <c r="F2476"/>
    </row>
    <row r="2477" spans="6:6" ht="15" customHeight="1" x14ac:dyDescent="0.2">
      <c r="F2477"/>
    </row>
    <row r="2478" spans="6:6" ht="15" customHeight="1" x14ac:dyDescent="0.2">
      <c r="F2478"/>
    </row>
    <row r="2479" spans="6:6" ht="15" customHeight="1" x14ac:dyDescent="0.2">
      <c r="F2479"/>
    </row>
    <row r="2480" spans="6:6" ht="15" customHeight="1" x14ac:dyDescent="0.2">
      <c r="F2480"/>
    </row>
    <row r="2481" spans="6:6" ht="15" customHeight="1" x14ac:dyDescent="0.2">
      <c r="F2481"/>
    </row>
    <row r="2482" spans="6:6" ht="15" customHeight="1" x14ac:dyDescent="0.2">
      <c r="F2482"/>
    </row>
    <row r="2483" spans="6:6" ht="15" customHeight="1" x14ac:dyDescent="0.2">
      <c r="F2483"/>
    </row>
    <row r="2484" spans="6:6" ht="15" customHeight="1" x14ac:dyDescent="0.2">
      <c r="F2484"/>
    </row>
    <row r="2485" spans="6:6" ht="15" customHeight="1" x14ac:dyDescent="0.2">
      <c r="F2485"/>
    </row>
    <row r="2486" spans="6:6" ht="15" customHeight="1" x14ac:dyDescent="0.2">
      <c r="F2486"/>
    </row>
    <row r="2487" spans="6:6" ht="15" customHeight="1" x14ac:dyDescent="0.2">
      <c r="F2487"/>
    </row>
    <row r="2488" spans="6:6" ht="15" customHeight="1" x14ac:dyDescent="0.2">
      <c r="F2488"/>
    </row>
    <row r="2489" spans="6:6" ht="15" customHeight="1" x14ac:dyDescent="0.2">
      <c r="F2489"/>
    </row>
    <row r="2490" spans="6:6" ht="15" customHeight="1" x14ac:dyDescent="0.2">
      <c r="F2490"/>
    </row>
    <row r="2491" spans="6:6" ht="15" customHeight="1" x14ac:dyDescent="0.2">
      <c r="F2491"/>
    </row>
    <row r="2492" spans="6:6" ht="15" customHeight="1" x14ac:dyDescent="0.2">
      <c r="F2492"/>
    </row>
    <row r="2493" spans="6:6" ht="15" customHeight="1" x14ac:dyDescent="0.2">
      <c r="F2493"/>
    </row>
    <row r="2494" spans="6:6" ht="15" customHeight="1" x14ac:dyDescent="0.2">
      <c r="F2494"/>
    </row>
    <row r="2495" spans="6:6" ht="15" customHeight="1" x14ac:dyDescent="0.2">
      <c r="F2495"/>
    </row>
    <row r="2496" spans="6:6" ht="15" customHeight="1" x14ac:dyDescent="0.2">
      <c r="F2496"/>
    </row>
    <row r="2497" spans="6:6" ht="15" customHeight="1" x14ac:dyDescent="0.2">
      <c r="F2497"/>
    </row>
    <row r="2498" spans="6:6" ht="15" customHeight="1" x14ac:dyDescent="0.2">
      <c r="F2498"/>
    </row>
    <row r="2499" spans="6:6" ht="15" customHeight="1" x14ac:dyDescent="0.2">
      <c r="F2499"/>
    </row>
    <row r="2500" spans="6:6" ht="15" customHeight="1" x14ac:dyDescent="0.2">
      <c r="F2500"/>
    </row>
    <row r="2501" spans="6:6" ht="15" customHeight="1" x14ac:dyDescent="0.2">
      <c r="F2501"/>
    </row>
    <row r="2502" spans="6:6" ht="15" customHeight="1" x14ac:dyDescent="0.2">
      <c r="F2502"/>
    </row>
    <row r="2503" spans="6:6" ht="15" customHeight="1" x14ac:dyDescent="0.2">
      <c r="F2503"/>
    </row>
    <row r="2504" spans="6:6" ht="15" customHeight="1" x14ac:dyDescent="0.2">
      <c r="F2504"/>
    </row>
    <row r="2505" spans="6:6" ht="15" customHeight="1" x14ac:dyDescent="0.2">
      <c r="F2505"/>
    </row>
    <row r="2506" spans="6:6" ht="15" customHeight="1" x14ac:dyDescent="0.2">
      <c r="F2506"/>
    </row>
    <row r="2507" spans="6:6" ht="15" customHeight="1" x14ac:dyDescent="0.2">
      <c r="F2507"/>
    </row>
    <row r="2508" spans="6:6" ht="15" customHeight="1" x14ac:dyDescent="0.2">
      <c r="F2508"/>
    </row>
    <row r="2509" spans="6:6" ht="15" customHeight="1" x14ac:dyDescent="0.2">
      <c r="F2509"/>
    </row>
    <row r="2510" spans="6:6" ht="15" customHeight="1" x14ac:dyDescent="0.2">
      <c r="F2510"/>
    </row>
    <row r="2511" spans="6:6" ht="15" customHeight="1" x14ac:dyDescent="0.2">
      <c r="F2511"/>
    </row>
    <row r="2512" spans="6:6" ht="15" customHeight="1" x14ac:dyDescent="0.2">
      <c r="F2512"/>
    </row>
    <row r="2513" spans="6:6" ht="15" customHeight="1" x14ac:dyDescent="0.2">
      <c r="F2513"/>
    </row>
    <row r="2514" spans="6:6" ht="15" customHeight="1" x14ac:dyDescent="0.2">
      <c r="F2514"/>
    </row>
    <row r="2515" spans="6:6" ht="15" customHeight="1" x14ac:dyDescent="0.2">
      <c r="F2515"/>
    </row>
    <row r="2516" spans="6:6" ht="15" customHeight="1" x14ac:dyDescent="0.2">
      <c r="F2516"/>
    </row>
    <row r="2517" spans="6:6" ht="15" customHeight="1" x14ac:dyDescent="0.2">
      <c r="F2517"/>
    </row>
    <row r="2518" spans="6:6" ht="15" customHeight="1" x14ac:dyDescent="0.2">
      <c r="F2518"/>
    </row>
    <row r="2519" spans="6:6" ht="15" customHeight="1" x14ac:dyDescent="0.2">
      <c r="F2519"/>
    </row>
    <row r="2520" spans="6:6" ht="15" customHeight="1" x14ac:dyDescent="0.2">
      <c r="F2520"/>
    </row>
    <row r="2521" spans="6:6" ht="15" customHeight="1" x14ac:dyDescent="0.2">
      <c r="F2521"/>
    </row>
    <row r="2522" spans="6:6" ht="15" customHeight="1" x14ac:dyDescent="0.2">
      <c r="F2522"/>
    </row>
    <row r="2523" spans="6:6" ht="15" customHeight="1" x14ac:dyDescent="0.2">
      <c r="F2523"/>
    </row>
    <row r="2524" spans="6:6" ht="15" customHeight="1" x14ac:dyDescent="0.2">
      <c r="F2524"/>
    </row>
    <row r="2525" spans="6:6" ht="15" customHeight="1" x14ac:dyDescent="0.2">
      <c r="F2525"/>
    </row>
    <row r="2526" spans="6:6" ht="15" customHeight="1" x14ac:dyDescent="0.2">
      <c r="F2526"/>
    </row>
    <row r="2527" spans="6:6" ht="15" customHeight="1" x14ac:dyDescent="0.2">
      <c r="F2527"/>
    </row>
    <row r="2528" spans="6:6" ht="15" customHeight="1" x14ac:dyDescent="0.2">
      <c r="F2528"/>
    </row>
    <row r="2529" spans="6:6" ht="15" customHeight="1" x14ac:dyDescent="0.2">
      <c r="F2529"/>
    </row>
    <row r="2530" spans="6:6" ht="15" customHeight="1" x14ac:dyDescent="0.2">
      <c r="F2530"/>
    </row>
    <row r="2531" spans="6:6" ht="15" customHeight="1" x14ac:dyDescent="0.2">
      <c r="F2531"/>
    </row>
    <row r="2532" spans="6:6" ht="15" customHeight="1" x14ac:dyDescent="0.2">
      <c r="F2532"/>
    </row>
    <row r="2533" spans="6:6" ht="15" customHeight="1" x14ac:dyDescent="0.2">
      <c r="F2533"/>
    </row>
    <row r="2534" spans="6:6" ht="15" customHeight="1" x14ac:dyDescent="0.2">
      <c r="F2534"/>
    </row>
    <row r="2535" spans="6:6" ht="15" customHeight="1" x14ac:dyDescent="0.2">
      <c r="F2535"/>
    </row>
    <row r="2536" spans="6:6" ht="15" customHeight="1" x14ac:dyDescent="0.2">
      <c r="F2536"/>
    </row>
    <row r="2537" spans="6:6" ht="15" customHeight="1" x14ac:dyDescent="0.2">
      <c r="F2537"/>
    </row>
    <row r="2538" spans="6:6" ht="15" customHeight="1" x14ac:dyDescent="0.2">
      <c r="F2538"/>
    </row>
    <row r="2539" spans="6:6" ht="15" customHeight="1" x14ac:dyDescent="0.2">
      <c r="F2539"/>
    </row>
    <row r="2540" spans="6:6" ht="15" customHeight="1" x14ac:dyDescent="0.2">
      <c r="F2540"/>
    </row>
    <row r="2541" spans="6:6" ht="15" customHeight="1" x14ac:dyDescent="0.2">
      <c r="F2541"/>
    </row>
    <row r="2542" spans="6:6" ht="15" customHeight="1" x14ac:dyDescent="0.2">
      <c r="F2542"/>
    </row>
    <row r="2543" spans="6:6" ht="15" customHeight="1" x14ac:dyDescent="0.2">
      <c r="F2543"/>
    </row>
    <row r="2544" spans="6:6" ht="15" customHeight="1" x14ac:dyDescent="0.2">
      <c r="F2544"/>
    </row>
    <row r="2545" spans="6:6" ht="15" customHeight="1" x14ac:dyDescent="0.2">
      <c r="F2545"/>
    </row>
    <row r="2546" spans="6:6" ht="15" customHeight="1" x14ac:dyDescent="0.2">
      <c r="F2546"/>
    </row>
    <row r="2547" spans="6:6" ht="15" customHeight="1" x14ac:dyDescent="0.2">
      <c r="F2547"/>
    </row>
    <row r="2548" spans="6:6" ht="15" customHeight="1" x14ac:dyDescent="0.2">
      <c r="F2548"/>
    </row>
    <row r="2549" spans="6:6" ht="15" customHeight="1" x14ac:dyDescent="0.2">
      <c r="F2549"/>
    </row>
    <row r="2550" spans="6:6" ht="15" customHeight="1" x14ac:dyDescent="0.2">
      <c r="F2550"/>
    </row>
    <row r="2551" spans="6:6" ht="15" customHeight="1" x14ac:dyDescent="0.2">
      <c r="F2551"/>
    </row>
    <row r="2552" spans="6:6" ht="15" customHeight="1" x14ac:dyDescent="0.2">
      <c r="F2552"/>
    </row>
    <row r="2553" spans="6:6" ht="15" customHeight="1" x14ac:dyDescent="0.2">
      <c r="F2553"/>
    </row>
    <row r="2554" spans="6:6" ht="15" customHeight="1" x14ac:dyDescent="0.2">
      <c r="F2554"/>
    </row>
    <row r="2555" spans="6:6" ht="15" customHeight="1" x14ac:dyDescent="0.2">
      <c r="F2555"/>
    </row>
    <row r="2556" spans="6:6" ht="15" customHeight="1" x14ac:dyDescent="0.2">
      <c r="F2556"/>
    </row>
    <row r="2557" spans="6:6" ht="15" customHeight="1" x14ac:dyDescent="0.2">
      <c r="F2557"/>
    </row>
    <row r="2558" spans="6:6" ht="15" customHeight="1" x14ac:dyDescent="0.2">
      <c r="F2558"/>
    </row>
    <row r="2559" spans="6:6" ht="15" customHeight="1" x14ac:dyDescent="0.2">
      <c r="F2559"/>
    </row>
    <row r="2560" spans="6:6" ht="15" customHeight="1" x14ac:dyDescent="0.2">
      <c r="F2560"/>
    </row>
    <row r="2561" spans="6:6" ht="15" customHeight="1" x14ac:dyDescent="0.2">
      <c r="F2561"/>
    </row>
    <row r="2562" spans="6:6" ht="15" customHeight="1" x14ac:dyDescent="0.2">
      <c r="F2562"/>
    </row>
    <row r="2563" spans="6:6" ht="15" customHeight="1" x14ac:dyDescent="0.2">
      <c r="F2563"/>
    </row>
    <row r="2564" spans="6:6" ht="15" customHeight="1" x14ac:dyDescent="0.2">
      <c r="F2564"/>
    </row>
    <row r="2565" spans="6:6" ht="15" customHeight="1" x14ac:dyDescent="0.2">
      <c r="F2565"/>
    </row>
    <row r="2566" spans="6:6" ht="15" customHeight="1" x14ac:dyDescent="0.2">
      <c r="F2566"/>
    </row>
    <row r="2567" spans="6:6" ht="15" customHeight="1" x14ac:dyDescent="0.2">
      <c r="F2567"/>
    </row>
    <row r="2568" spans="6:6" ht="15" customHeight="1" x14ac:dyDescent="0.2">
      <c r="F2568"/>
    </row>
    <row r="2569" spans="6:6" ht="15" customHeight="1" x14ac:dyDescent="0.2">
      <c r="F2569"/>
    </row>
    <row r="2570" spans="6:6" ht="15" customHeight="1" x14ac:dyDescent="0.2">
      <c r="F2570"/>
    </row>
    <row r="2571" spans="6:6" ht="15" customHeight="1" x14ac:dyDescent="0.2">
      <c r="F2571"/>
    </row>
    <row r="2572" spans="6:6" ht="15" customHeight="1" x14ac:dyDescent="0.2">
      <c r="F2572"/>
    </row>
    <row r="2573" spans="6:6" ht="15" customHeight="1" x14ac:dyDescent="0.2">
      <c r="F2573"/>
    </row>
    <row r="2574" spans="6:6" ht="15" customHeight="1" x14ac:dyDescent="0.2">
      <c r="F2574"/>
    </row>
    <row r="2575" spans="6:6" ht="15" customHeight="1" x14ac:dyDescent="0.2">
      <c r="F2575"/>
    </row>
    <row r="2576" spans="6:6" ht="15" customHeight="1" x14ac:dyDescent="0.2">
      <c r="F2576"/>
    </row>
    <row r="2577" spans="6:6" ht="15" customHeight="1" x14ac:dyDescent="0.2">
      <c r="F2577"/>
    </row>
    <row r="2578" spans="6:6" ht="15" customHeight="1" x14ac:dyDescent="0.2">
      <c r="F2578"/>
    </row>
    <row r="2579" spans="6:6" ht="15" customHeight="1" x14ac:dyDescent="0.2">
      <c r="F2579"/>
    </row>
    <row r="2580" spans="6:6" ht="15" customHeight="1" x14ac:dyDescent="0.2">
      <c r="F2580"/>
    </row>
    <row r="2581" spans="6:6" ht="15" customHeight="1" x14ac:dyDescent="0.2">
      <c r="F2581"/>
    </row>
    <row r="2582" spans="6:6" ht="15" customHeight="1" x14ac:dyDescent="0.2">
      <c r="F2582"/>
    </row>
    <row r="2583" spans="6:6" ht="15" customHeight="1" x14ac:dyDescent="0.2">
      <c r="F2583"/>
    </row>
    <row r="2584" spans="6:6" ht="15" customHeight="1" x14ac:dyDescent="0.2">
      <c r="F2584"/>
    </row>
    <row r="2585" spans="6:6" ht="15" customHeight="1" x14ac:dyDescent="0.2">
      <c r="F2585"/>
    </row>
    <row r="2586" spans="6:6" ht="15" customHeight="1" x14ac:dyDescent="0.2">
      <c r="F2586"/>
    </row>
    <row r="2587" spans="6:6" ht="15" customHeight="1" x14ac:dyDescent="0.2">
      <c r="F2587"/>
    </row>
    <row r="2588" spans="6:6" ht="15" customHeight="1" x14ac:dyDescent="0.2">
      <c r="F2588"/>
    </row>
    <row r="2589" spans="6:6" ht="15" customHeight="1" x14ac:dyDescent="0.2">
      <c r="F2589"/>
    </row>
    <row r="2590" spans="6:6" ht="15" customHeight="1" x14ac:dyDescent="0.2">
      <c r="F2590"/>
    </row>
    <row r="2591" spans="6:6" ht="15" customHeight="1" x14ac:dyDescent="0.2">
      <c r="F2591"/>
    </row>
    <row r="2592" spans="6:6" ht="15" customHeight="1" x14ac:dyDescent="0.2">
      <c r="F2592"/>
    </row>
    <row r="2593" spans="6:6" ht="15" customHeight="1" x14ac:dyDescent="0.2">
      <c r="F2593"/>
    </row>
    <row r="2594" spans="6:6" ht="15" customHeight="1" x14ac:dyDescent="0.2">
      <c r="F2594"/>
    </row>
    <row r="2595" spans="6:6" ht="15" customHeight="1" x14ac:dyDescent="0.2">
      <c r="F2595"/>
    </row>
    <row r="2596" spans="6:6" ht="15" customHeight="1" x14ac:dyDescent="0.2">
      <c r="F2596"/>
    </row>
    <row r="2597" spans="6:6" ht="15" customHeight="1" x14ac:dyDescent="0.2">
      <c r="F2597"/>
    </row>
    <row r="2598" spans="6:6" ht="15" customHeight="1" x14ac:dyDescent="0.2">
      <c r="F2598"/>
    </row>
    <row r="2599" spans="6:6" ht="15" customHeight="1" x14ac:dyDescent="0.2">
      <c r="F2599"/>
    </row>
    <row r="2600" spans="6:6" ht="15" customHeight="1" x14ac:dyDescent="0.2">
      <c r="F2600"/>
    </row>
    <row r="2601" spans="6:6" ht="15" customHeight="1" x14ac:dyDescent="0.2">
      <c r="F2601"/>
    </row>
    <row r="2602" spans="6:6" ht="15" customHeight="1" x14ac:dyDescent="0.2">
      <c r="F2602"/>
    </row>
    <row r="2603" spans="6:6" ht="15" customHeight="1" x14ac:dyDescent="0.2">
      <c r="F2603"/>
    </row>
    <row r="2604" spans="6:6" ht="15" customHeight="1" x14ac:dyDescent="0.2">
      <c r="F2604"/>
    </row>
    <row r="2605" spans="6:6" ht="15" customHeight="1" x14ac:dyDescent="0.2">
      <c r="F2605"/>
    </row>
    <row r="2606" spans="6:6" ht="15" customHeight="1" x14ac:dyDescent="0.2">
      <c r="F2606"/>
    </row>
    <row r="2607" spans="6:6" ht="15" customHeight="1" x14ac:dyDescent="0.2">
      <c r="F2607"/>
    </row>
    <row r="2608" spans="6:6" ht="15" customHeight="1" x14ac:dyDescent="0.2">
      <c r="F2608"/>
    </row>
    <row r="2609" spans="6:6" ht="15" customHeight="1" x14ac:dyDescent="0.2">
      <c r="F2609"/>
    </row>
    <row r="2610" spans="6:6" ht="15" customHeight="1" x14ac:dyDescent="0.2">
      <c r="F2610"/>
    </row>
    <row r="2611" spans="6:6" ht="15" customHeight="1" x14ac:dyDescent="0.2">
      <c r="F2611"/>
    </row>
    <row r="2612" spans="6:6" ht="15" customHeight="1" x14ac:dyDescent="0.2">
      <c r="F2612"/>
    </row>
    <row r="2613" spans="6:6" ht="15" customHeight="1" x14ac:dyDescent="0.2">
      <c r="F2613"/>
    </row>
    <row r="2614" spans="6:6" ht="15" customHeight="1" x14ac:dyDescent="0.2">
      <c r="F2614"/>
    </row>
    <row r="2615" spans="6:6" ht="15" customHeight="1" x14ac:dyDescent="0.2">
      <c r="F2615"/>
    </row>
    <row r="2616" spans="6:6" ht="15" customHeight="1" x14ac:dyDescent="0.2">
      <c r="F2616"/>
    </row>
    <row r="2617" spans="6:6" ht="15" customHeight="1" x14ac:dyDescent="0.2">
      <c r="F2617"/>
    </row>
    <row r="2618" spans="6:6" ht="15" customHeight="1" x14ac:dyDescent="0.2">
      <c r="F2618"/>
    </row>
    <row r="2619" spans="6:6" ht="15" customHeight="1" x14ac:dyDescent="0.2">
      <c r="F2619"/>
    </row>
    <row r="2620" spans="6:6" ht="15" customHeight="1" x14ac:dyDescent="0.2">
      <c r="F2620"/>
    </row>
    <row r="2621" spans="6:6" ht="15" customHeight="1" x14ac:dyDescent="0.2">
      <c r="F2621"/>
    </row>
    <row r="2622" spans="6:6" ht="15" customHeight="1" x14ac:dyDescent="0.2">
      <c r="F2622"/>
    </row>
    <row r="2623" spans="6:6" ht="15" customHeight="1" x14ac:dyDescent="0.2">
      <c r="F2623"/>
    </row>
    <row r="2624" spans="6:6" ht="15" customHeight="1" x14ac:dyDescent="0.2">
      <c r="F2624"/>
    </row>
    <row r="2625" spans="6:6" ht="15" customHeight="1" x14ac:dyDescent="0.2">
      <c r="F2625"/>
    </row>
    <row r="2626" spans="6:6" ht="15" customHeight="1" x14ac:dyDescent="0.2">
      <c r="F2626"/>
    </row>
    <row r="2627" spans="6:6" ht="15" customHeight="1" x14ac:dyDescent="0.2">
      <c r="F2627"/>
    </row>
    <row r="2628" spans="6:6" ht="15" customHeight="1" x14ac:dyDescent="0.2">
      <c r="F2628"/>
    </row>
    <row r="2629" spans="6:6" ht="15" customHeight="1" x14ac:dyDescent="0.2">
      <c r="F2629"/>
    </row>
    <row r="2630" spans="6:6" ht="15" customHeight="1" x14ac:dyDescent="0.2">
      <c r="F2630"/>
    </row>
    <row r="2631" spans="6:6" ht="15" customHeight="1" x14ac:dyDescent="0.2">
      <c r="F2631"/>
    </row>
    <row r="2632" spans="6:6" ht="15" customHeight="1" x14ac:dyDescent="0.2">
      <c r="F2632"/>
    </row>
    <row r="2633" spans="6:6" ht="15" customHeight="1" x14ac:dyDescent="0.2">
      <c r="F2633"/>
    </row>
    <row r="2634" spans="6:6" ht="15" customHeight="1" x14ac:dyDescent="0.2">
      <c r="F2634"/>
    </row>
    <row r="2635" spans="6:6" ht="15" customHeight="1" x14ac:dyDescent="0.2">
      <c r="F2635"/>
    </row>
    <row r="2636" spans="6:6" ht="15" customHeight="1" x14ac:dyDescent="0.2">
      <c r="F2636"/>
    </row>
    <row r="2637" spans="6:6" ht="15" customHeight="1" x14ac:dyDescent="0.2">
      <c r="F2637"/>
    </row>
    <row r="2638" spans="6:6" ht="15" customHeight="1" x14ac:dyDescent="0.2">
      <c r="F2638"/>
    </row>
    <row r="2639" spans="6:6" ht="15" customHeight="1" x14ac:dyDescent="0.2">
      <c r="F2639"/>
    </row>
    <row r="2640" spans="6:6" ht="15" customHeight="1" x14ac:dyDescent="0.2">
      <c r="F2640"/>
    </row>
    <row r="2641" spans="6:6" ht="15" customHeight="1" x14ac:dyDescent="0.2">
      <c r="F2641"/>
    </row>
    <row r="2642" spans="6:6" ht="15" customHeight="1" x14ac:dyDescent="0.2">
      <c r="F2642"/>
    </row>
    <row r="2643" spans="6:6" ht="15" customHeight="1" x14ac:dyDescent="0.2">
      <c r="F2643"/>
    </row>
    <row r="2644" spans="6:6" ht="15" customHeight="1" x14ac:dyDescent="0.2">
      <c r="F2644"/>
    </row>
    <row r="2645" spans="6:6" ht="15" customHeight="1" x14ac:dyDescent="0.2">
      <c r="F2645"/>
    </row>
    <row r="2646" spans="6:6" ht="15" customHeight="1" x14ac:dyDescent="0.2">
      <c r="F2646"/>
    </row>
    <row r="2647" spans="6:6" ht="15" customHeight="1" x14ac:dyDescent="0.2">
      <c r="F2647"/>
    </row>
    <row r="2648" spans="6:6" ht="15" customHeight="1" x14ac:dyDescent="0.2">
      <c r="F2648"/>
    </row>
    <row r="2649" spans="6:6" ht="15" customHeight="1" x14ac:dyDescent="0.2">
      <c r="F2649"/>
    </row>
    <row r="2650" spans="6:6" ht="15" customHeight="1" x14ac:dyDescent="0.2">
      <c r="F2650"/>
    </row>
    <row r="2651" spans="6:6" ht="15" customHeight="1" x14ac:dyDescent="0.2">
      <c r="F2651"/>
    </row>
    <row r="2652" spans="6:6" ht="15" customHeight="1" x14ac:dyDescent="0.2">
      <c r="F2652"/>
    </row>
    <row r="2653" spans="6:6" ht="15" customHeight="1" x14ac:dyDescent="0.2">
      <c r="F2653"/>
    </row>
    <row r="2654" spans="6:6" ht="15" customHeight="1" x14ac:dyDescent="0.2">
      <c r="F2654"/>
    </row>
    <row r="2655" spans="6:6" ht="15" customHeight="1" x14ac:dyDescent="0.2">
      <c r="F2655"/>
    </row>
    <row r="2656" spans="6:6" ht="15" customHeight="1" x14ac:dyDescent="0.2">
      <c r="F2656"/>
    </row>
    <row r="2657" spans="6:6" ht="15" customHeight="1" x14ac:dyDescent="0.2">
      <c r="F2657"/>
    </row>
    <row r="2658" spans="6:6" ht="15" customHeight="1" x14ac:dyDescent="0.2">
      <c r="F2658"/>
    </row>
    <row r="2659" spans="6:6" ht="15" customHeight="1" x14ac:dyDescent="0.2">
      <c r="F2659"/>
    </row>
    <row r="2660" spans="6:6" ht="15" customHeight="1" x14ac:dyDescent="0.2">
      <c r="F2660"/>
    </row>
    <row r="2661" spans="6:6" ht="15" customHeight="1" x14ac:dyDescent="0.2">
      <c r="F2661"/>
    </row>
    <row r="2662" spans="6:6" ht="15" customHeight="1" x14ac:dyDescent="0.2">
      <c r="F2662"/>
    </row>
    <row r="2663" spans="6:6" ht="15" customHeight="1" x14ac:dyDescent="0.2">
      <c r="F2663"/>
    </row>
    <row r="2664" spans="6:6" ht="15" customHeight="1" x14ac:dyDescent="0.2">
      <c r="F2664"/>
    </row>
    <row r="2665" spans="6:6" ht="15" customHeight="1" x14ac:dyDescent="0.2">
      <c r="F2665"/>
    </row>
    <row r="2666" spans="6:6" ht="15" customHeight="1" x14ac:dyDescent="0.2">
      <c r="F2666"/>
    </row>
    <row r="2667" spans="6:6" ht="15" customHeight="1" x14ac:dyDescent="0.2">
      <c r="F2667"/>
    </row>
    <row r="2668" spans="6:6" ht="15" customHeight="1" x14ac:dyDescent="0.2">
      <c r="F2668"/>
    </row>
    <row r="2669" spans="6:6" ht="15" customHeight="1" x14ac:dyDescent="0.2">
      <c r="F2669"/>
    </row>
    <row r="2670" spans="6:6" ht="15" customHeight="1" x14ac:dyDescent="0.2">
      <c r="F2670"/>
    </row>
    <row r="2671" spans="6:6" ht="15" customHeight="1" x14ac:dyDescent="0.2">
      <c r="F2671"/>
    </row>
    <row r="2672" spans="6:6" ht="15" customHeight="1" x14ac:dyDescent="0.2">
      <c r="F2672"/>
    </row>
    <row r="2673" spans="6:6" ht="15" customHeight="1" x14ac:dyDescent="0.2">
      <c r="F2673"/>
    </row>
    <row r="2674" spans="6:6" ht="15" customHeight="1" x14ac:dyDescent="0.2">
      <c r="F2674"/>
    </row>
    <row r="2675" spans="6:6" ht="15" customHeight="1" x14ac:dyDescent="0.2">
      <c r="F2675"/>
    </row>
    <row r="2676" spans="6:6" ht="15" customHeight="1" x14ac:dyDescent="0.2">
      <c r="F2676"/>
    </row>
    <row r="2677" spans="6:6" ht="15" customHeight="1" x14ac:dyDescent="0.2">
      <c r="F2677"/>
    </row>
    <row r="2678" spans="6:6" ht="15" customHeight="1" x14ac:dyDescent="0.2">
      <c r="F2678"/>
    </row>
    <row r="2679" spans="6:6" ht="15" customHeight="1" x14ac:dyDescent="0.2">
      <c r="F2679"/>
    </row>
    <row r="2680" spans="6:6" ht="15" customHeight="1" x14ac:dyDescent="0.2">
      <c r="F2680"/>
    </row>
    <row r="2681" spans="6:6" ht="15" customHeight="1" x14ac:dyDescent="0.2">
      <c r="F2681"/>
    </row>
    <row r="2682" spans="6:6" ht="15" customHeight="1" x14ac:dyDescent="0.2">
      <c r="F2682"/>
    </row>
    <row r="2683" spans="6:6" ht="15" customHeight="1" x14ac:dyDescent="0.2">
      <c r="F2683"/>
    </row>
    <row r="2684" spans="6:6" ht="15" customHeight="1" x14ac:dyDescent="0.2">
      <c r="F2684"/>
    </row>
    <row r="2685" spans="6:6" ht="15" customHeight="1" x14ac:dyDescent="0.2">
      <c r="F2685"/>
    </row>
    <row r="2686" spans="6:6" ht="15" customHeight="1" x14ac:dyDescent="0.2">
      <c r="F2686"/>
    </row>
    <row r="2687" spans="6:6" ht="15" customHeight="1" x14ac:dyDescent="0.2">
      <c r="F2687"/>
    </row>
    <row r="2688" spans="6:6" ht="15" customHeight="1" x14ac:dyDescent="0.2">
      <c r="F2688"/>
    </row>
    <row r="2689" spans="6:6" ht="15" customHeight="1" x14ac:dyDescent="0.2">
      <c r="F2689"/>
    </row>
    <row r="2690" spans="6:6" ht="15" customHeight="1" x14ac:dyDescent="0.2">
      <c r="F2690"/>
    </row>
    <row r="2691" spans="6:6" ht="15" customHeight="1" x14ac:dyDescent="0.2">
      <c r="F2691"/>
    </row>
    <row r="2692" spans="6:6" ht="15" customHeight="1" x14ac:dyDescent="0.2">
      <c r="F2692"/>
    </row>
    <row r="2693" spans="6:6" ht="15" customHeight="1" x14ac:dyDescent="0.2">
      <c r="F2693"/>
    </row>
    <row r="2694" spans="6:6" ht="15" customHeight="1" x14ac:dyDescent="0.2">
      <c r="F2694"/>
    </row>
    <row r="2695" spans="6:6" ht="15" customHeight="1" x14ac:dyDescent="0.2">
      <c r="F2695"/>
    </row>
    <row r="2696" spans="6:6" ht="15" customHeight="1" x14ac:dyDescent="0.2">
      <c r="F2696"/>
    </row>
    <row r="2697" spans="6:6" ht="15" customHeight="1" x14ac:dyDescent="0.2">
      <c r="F2697"/>
    </row>
    <row r="2698" spans="6:6" ht="15" customHeight="1" x14ac:dyDescent="0.2">
      <c r="F2698"/>
    </row>
    <row r="2699" spans="6:6" ht="15" customHeight="1" x14ac:dyDescent="0.2">
      <c r="F2699"/>
    </row>
    <row r="2700" spans="6:6" ht="15" customHeight="1" x14ac:dyDescent="0.2">
      <c r="F2700"/>
    </row>
    <row r="2701" spans="6:6" ht="15" customHeight="1" x14ac:dyDescent="0.2">
      <c r="F2701"/>
    </row>
    <row r="2702" spans="6:6" ht="15" customHeight="1" x14ac:dyDescent="0.2">
      <c r="F2702"/>
    </row>
    <row r="2703" spans="6:6" ht="15" customHeight="1" x14ac:dyDescent="0.2">
      <c r="F2703"/>
    </row>
    <row r="2704" spans="6:6" ht="15" customHeight="1" x14ac:dyDescent="0.2">
      <c r="F2704"/>
    </row>
    <row r="2705" spans="6:6" ht="15" customHeight="1" x14ac:dyDescent="0.2">
      <c r="F2705"/>
    </row>
    <row r="2706" spans="6:6" ht="15" customHeight="1" x14ac:dyDescent="0.2">
      <c r="F2706"/>
    </row>
    <row r="2707" spans="6:6" ht="15" customHeight="1" x14ac:dyDescent="0.2">
      <c r="F2707"/>
    </row>
    <row r="2708" spans="6:6" ht="15" customHeight="1" x14ac:dyDescent="0.2">
      <c r="F2708"/>
    </row>
    <row r="2709" spans="6:6" ht="15" customHeight="1" x14ac:dyDescent="0.2">
      <c r="F2709"/>
    </row>
    <row r="2710" spans="6:6" ht="15" customHeight="1" x14ac:dyDescent="0.2">
      <c r="F2710"/>
    </row>
    <row r="2711" spans="6:6" ht="15" customHeight="1" x14ac:dyDescent="0.2">
      <c r="F2711"/>
    </row>
    <row r="2712" spans="6:6" ht="15" customHeight="1" x14ac:dyDescent="0.2">
      <c r="F2712"/>
    </row>
    <row r="2713" spans="6:6" ht="15" customHeight="1" x14ac:dyDescent="0.2">
      <c r="F2713"/>
    </row>
    <row r="2714" spans="6:6" ht="15" customHeight="1" x14ac:dyDescent="0.2">
      <c r="F2714"/>
    </row>
    <row r="2715" spans="6:6" ht="15" customHeight="1" x14ac:dyDescent="0.2">
      <c r="F2715"/>
    </row>
    <row r="2716" spans="6:6" ht="15" customHeight="1" x14ac:dyDescent="0.2">
      <c r="F2716"/>
    </row>
    <row r="2717" spans="6:6" ht="15" customHeight="1" x14ac:dyDescent="0.2">
      <c r="F2717"/>
    </row>
    <row r="2718" spans="6:6" ht="15" customHeight="1" x14ac:dyDescent="0.2">
      <c r="F2718"/>
    </row>
    <row r="2719" spans="6:6" ht="15" customHeight="1" x14ac:dyDescent="0.2">
      <c r="F2719"/>
    </row>
    <row r="2720" spans="6:6" ht="15" customHeight="1" x14ac:dyDescent="0.2">
      <c r="F2720"/>
    </row>
    <row r="2721" spans="6:6" ht="15" customHeight="1" x14ac:dyDescent="0.2">
      <c r="F2721"/>
    </row>
    <row r="2722" spans="6:6" ht="15" customHeight="1" x14ac:dyDescent="0.2">
      <c r="F2722"/>
    </row>
    <row r="2723" spans="6:6" ht="15" customHeight="1" x14ac:dyDescent="0.2">
      <c r="F2723"/>
    </row>
    <row r="2724" spans="6:6" ht="15" customHeight="1" x14ac:dyDescent="0.2">
      <c r="F2724"/>
    </row>
    <row r="2725" spans="6:6" ht="15" customHeight="1" x14ac:dyDescent="0.2">
      <c r="F2725"/>
    </row>
    <row r="2726" spans="6:6" ht="15" customHeight="1" x14ac:dyDescent="0.2">
      <c r="F2726"/>
    </row>
    <row r="2727" spans="6:6" ht="15" customHeight="1" x14ac:dyDescent="0.2">
      <c r="F2727"/>
    </row>
    <row r="2728" spans="6:6" ht="15" customHeight="1" x14ac:dyDescent="0.2">
      <c r="F2728"/>
    </row>
    <row r="2729" spans="6:6" ht="15" customHeight="1" x14ac:dyDescent="0.2">
      <c r="F2729"/>
    </row>
    <row r="2730" spans="6:6" ht="15" customHeight="1" x14ac:dyDescent="0.2">
      <c r="F2730"/>
    </row>
    <row r="2731" spans="6:6" ht="15" customHeight="1" x14ac:dyDescent="0.2">
      <c r="F2731"/>
    </row>
    <row r="2732" spans="6:6" ht="15" customHeight="1" x14ac:dyDescent="0.2">
      <c r="F2732"/>
    </row>
    <row r="2733" spans="6:6" ht="15" customHeight="1" x14ac:dyDescent="0.2">
      <c r="F2733"/>
    </row>
    <row r="2734" spans="6:6" ht="15" customHeight="1" x14ac:dyDescent="0.2">
      <c r="F2734"/>
    </row>
    <row r="2735" spans="6:6" ht="15" customHeight="1" x14ac:dyDescent="0.2">
      <c r="F2735"/>
    </row>
    <row r="2736" spans="6:6" ht="15" customHeight="1" x14ac:dyDescent="0.2">
      <c r="F2736"/>
    </row>
    <row r="2737" spans="6:6" ht="15" customHeight="1" x14ac:dyDescent="0.2">
      <c r="F2737"/>
    </row>
    <row r="2738" spans="6:6" ht="15" customHeight="1" x14ac:dyDescent="0.2">
      <c r="F2738"/>
    </row>
    <row r="2739" spans="6:6" ht="15" customHeight="1" x14ac:dyDescent="0.2">
      <c r="F2739"/>
    </row>
    <row r="2740" spans="6:6" ht="15" customHeight="1" x14ac:dyDescent="0.2">
      <c r="F2740"/>
    </row>
    <row r="2741" spans="6:6" ht="15" customHeight="1" x14ac:dyDescent="0.2">
      <c r="F2741"/>
    </row>
    <row r="2742" spans="6:6" ht="15" customHeight="1" x14ac:dyDescent="0.2">
      <c r="F2742"/>
    </row>
    <row r="2743" spans="6:6" ht="15" customHeight="1" x14ac:dyDescent="0.2">
      <c r="F2743"/>
    </row>
    <row r="2744" spans="6:6" ht="15" customHeight="1" x14ac:dyDescent="0.2">
      <c r="F2744"/>
    </row>
    <row r="2745" spans="6:6" ht="15" customHeight="1" x14ac:dyDescent="0.2">
      <c r="F2745"/>
    </row>
    <row r="2746" spans="6:6" ht="15" customHeight="1" x14ac:dyDescent="0.2">
      <c r="F2746"/>
    </row>
    <row r="2747" spans="6:6" ht="15" customHeight="1" x14ac:dyDescent="0.2">
      <c r="F2747"/>
    </row>
    <row r="2748" spans="6:6" ht="15" customHeight="1" x14ac:dyDescent="0.2">
      <c r="F2748"/>
    </row>
    <row r="2749" spans="6:6" ht="15" customHeight="1" x14ac:dyDescent="0.2">
      <c r="F2749"/>
    </row>
    <row r="2750" spans="6:6" ht="15" customHeight="1" x14ac:dyDescent="0.2">
      <c r="F2750"/>
    </row>
    <row r="2751" spans="6:6" ht="15" customHeight="1" x14ac:dyDescent="0.2">
      <c r="F2751"/>
    </row>
    <row r="2752" spans="6:6" ht="15" customHeight="1" x14ac:dyDescent="0.2">
      <c r="F2752"/>
    </row>
    <row r="2753" spans="6:6" ht="15" customHeight="1" x14ac:dyDescent="0.2">
      <c r="F2753"/>
    </row>
    <row r="2754" spans="6:6" ht="15" customHeight="1" x14ac:dyDescent="0.2">
      <c r="F2754"/>
    </row>
    <row r="2755" spans="6:6" ht="15" customHeight="1" x14ac:dyDescent="0.2">
      <c r="F2755"/>
    </row>
    <row r="2756" spans="6:6" ht="15" customHeight="1" x14ac:dyDescent="0.2">
      <c r="F2756"/>
    </row>
    <row r="2757" spans="6:6" ht="15" customHeight="1" x14ac:dyDescent="0.2">
      <c r="F2757"/>
    </row>
    <row r="2758" spans="6:6" ht="15" customHeight="1" x14ac:dyDescent="0.2">
      <c r="F2758"/>
    </row>
    <row r="2759" spans="6:6" ht="15" customHeight="1" x14ac:dyDescent="0.2">
      <c r="F2759"/>
    </row>
    <row r="2760" spans="6:6" ht="15" customHeight="1" x14ac:dyDescent="0.2">
      <c r="F2760"/>
    </row>
    <row r="2761" spans="6:6" ht="15" customHeight="1" x14ac:dyDescent="0.2">
      <c r="F2761"/>
    </row>
    <row r="2762" spans="6:6" ht="15" customHeight="1" x14ac:dyDescent="0.2">
      <c r="F2762"/>
    </row>
    <row r="2763" spans="6:6" ht="15" customHeight="1" x14ac:dyDescent="0.2">
      <c r="F2763"/>
    </row>
    <row r="2764" spans="6:6" ht="15" customHeight="1" x14ac:dyDescent="0.2">
      <c r="F2764"/>
    </row>
    <row r="2765" spans="6:6" ht="15" customHeight="1" x14ac:dyDescent="0.2">
      <c r="F2765"/>
    </row>
    <row r="2766" spans="6:6" ht="15" customHeight="1" x14ac:dyDescent="0.2">
      <c r="F2766"/>
    </row>
    <row r="2767" spans="6:6" ht="15" customHeight="1" x14ac:dyDescent="0.2">
      <c r="F2767"/>
    </row>
    <row r="2768" spans="6:6" ht="15" customHeight="1" x14ac:dyDescent="0.2">
      <c r="F2768"/>
    </row>
    <row r="2769" spans="6:6" ht="15" customHeight="1" x14ac:dyDescent="0.2">
      <c r="F2769"/>
    </row>
    <row r="2770" spans="6:6" ht="15" customHeight="1" x14ac:dyDescent="0.2">
      <c r="F2770"/>
    </row>
    <row r="2771" spans="6:6" ht="15" customHeight="1" x14ac:dyDescent="0.2">
      <c r="F2771"/>
    </row>
    <row r="2772" spans="6:6" ht="15" customHeight="1" x14ac:dyDescent="0.2">
      <c r="F2772"/>
    </row>
    <row r="2773" spans="6:6" ht="15" customHeight="1" x14ac:dyDescent="0.2">
      <c r="F2773"/>
    </row>
    <row r="2774" spans="6:6" ht="15" customHeight="1" x14ac:dyDescent="0.2">
      <c r="F2774"/>
    </row>
    <row r="2775" spans="6:6" ht="15" customHeight="1" x14ac:dyDescent="0.2">
      <c r="F2775"/>
    </row>
    <row r="2776" spans="6:6" ht="15" customHeight="1" x14ac:dyDescent="0.2">
      <c r="F2776"/>
    </row>
    <row r="2777" spans="6:6" ht="15" customHeight="1" x14ac:dyDescent="0.2">
      <c r="F2777"/>
    </row>
    <row r="2778" spans="6:6" ht="15" customHeight="1" x14ac:dyDescent="0.2">
      <c r="F2778"/>
    </row>
    <row r="2779" spans="6:6" ht="15" customHeight="1" x14ac:dyDescent="0.2">
      <c r="F2779"/>
    </row>
    <row r="2780" spans="6:6" ht="15" customHeight="1" x14ac:dyDescent="0.2">
      <c r="F2780"/>
    </row>
    <row r="2781" spans="6:6" ht="15" customHeight="1" x14ac:dyDescent="0.2">
      <c r="F2781"/>
    </row>
    <row r="2782" spans="6:6" ht="15" customHeight="1" x14ac:dyDescent="0.2">
      <c r="F2782"/>
    </row>
    <row r="2783" spans="6:6" ht="15" customHeight="1" x14ac:dyDescent="0.2">
      <c r="F2783"/>
    </row>
    <row r="2784" spans="6:6" ht="15" customHeight="1" x14ac:dyDescent="0.2">
      <c r="F2784"/>
    </row>
    <row r="2785" spans="6:6" ht="15" customHeight="1" x14ac:dyDescent="0.2">
      <c r="F2785"/>
    </row>
    <row r="2786" spans="6:6" ht="15" customHeight="1" x14ac:dyDescent="0.2">
      <c r="F2786"/>
    </row>
    <row r="2787" spans="6:6" ht="15" customHeight="1" x14ac:dyDescent="0.2">
      <c r="F2787"/>
    </row>
    <row r="2788" spans="6:6" ht="15" customHeight="1" x14ac:dyDescent="0.2">
      <c r="F2788"/>
    </row>
    <row r="2789" spans="6:6" ht="15" customHeight="1" x14ac:dyDescent="0.2">
      <c r="F2789"/>
    </row>
    <row r="2790" spans="6:6" ht="15" customHeight="1" x14ac:dyDescent="0.2">
      <c r="F2790"/>
    </row>
    <row r="2791" spans="6:6" ht="15" customHeight="1" x14ac:dyDescent="0.2">
      <c r="F2791"/>
    </row>
    <row r="2792" spans="6:6" ht="15" customHeight="1" x14ac:dyDescent="0.2">
      <c r="F2792"/>
    </row>
    <row r="2793" spans="6:6" ht="15" customHeight="1" x14ac:dyDescent="0.2">
      <c r="F2793"/>
    </row>
    <row r="2794" spans="6:6" ht="15" customHeight="1" x14ac:dyDescent="0.2">
      <c r="F2794"/>
    </row>
    <row r="2795" spans="6:6" ht="15" customHeight="1" x14ac:dyDescent="0.2">
      <c r="F2795"/>
    </row>
    <row r="2796" spans="6:6" ht="15" customHeight="1" x14ac:dyDescent="0.2">
      <c r="F2796"/>
    </row>
    <row r="2797" spans="6:6" ht="15" customHeight="1" x14ac:dyDescent="0.2">
      <c r="F2797"/>
    </row>
    <row r="2798" spans="6:6" ht="15" customHeight="1" x14ac:dyDescent="0.2">
      <c r="F2798"/>
    </row>
    <row r="2799" spans="6:6" ht="15" customHeight="1" x14ac:dyDescent="0.2">
      <c r="F2799"/>
    </row>
    <row r="2800" spans="6:6" ht="15" customHeight="1" x14ac:dyDescent="0.2">
      <c r="F2800"/>
    </row>
    <row r="2801" spans="6:6" ht="15" customHeight="1" x14ac:dyDescent="0.2">
      <c r="F2801"/>
    </row>
    <row r="2802" spans="6:6" ht="15" customHeight="1" x14ac:dyDescent="0.2">
      <c r="F2802"/>
    </row>
    <row r="2803" spans="6:6" ht="15" customHeight="1" x14ac:dyDescent="0.2">
      <c r="F2803"/>
    </row>
    <row r="2804" spans="6:6" ht="15" customHeight="1" x14ac:dyDescent="0.2">
      <c r="F2804"/>
    </row>
    <row r="2805" spans="6:6" ht="15" customHeight="1" x14ac:dyDescent="0.2">
      <c r="F2805"/>
    </row>
    <row r="2806" spans="6:6" ht="15" customHeight="1" x14ac:dyDescent="0.2">
      <c r="F2806"/>
    </row>
    <row r="2807" spans="6:6" ht="15" customHeight="1" x14ac:dyDescent="0.2">
      <c r="F2807"/>
    </row>
    <row r="2808" spans="6:6" ht="15" customHeight="1" x14ac:dyDescent="0.2">
      <c r="F2808"/>
    </row>
    <row r="2809" spans="6:6" ht="15" customHeight="1" x14ac:dyDescent="0.2">
      <c r="F2809"/>
    </row>
    <row r="2810" spans="6:6" ht="15" customHeight="1" x14ac:dyDescent="0.2">
      <c r="F2810"/>
    </row>
    <row r="2811" spans="6:6" ht="15" customHeight="1" x14ac:dyDescent="0.2">
      <c r="F2811"/>
    </row>
    <row r="2812" spans="6:6" ht="15" customHeight="1" x14ac:dyDescent="0.2">
      <c r="F2812"/>
    </row>
    <row r="2813" spans="6:6" ht="15" customHeight="1" x14ac:dyDescent="0.2">
      <c r="F2813"/>
    </row>
    <row r="2814" spans="6:6" ht="15" customHeight="1" x14ac:dyDescent="0.2">
      <c r="F2814"/>
    </row>
    <row r="2815" spans="6:6" ht="15" customHeight="1" x14ac:dyDescent="0.2">
      <c r="F2815"/>
    </row>
    <row r="2816" spans="6:6" ht="15" customHeight="1" x14ac:dyDescent="0.2">
      <c r="F2816"/>
    </row>
    <row r="2817" spans="6:6" ht="15" customHeight="1" x14ac:dyDescent="0.2">
      <c r="F2817"/>
    </row>
    <row r="2818" spans="6:6" ht="15" customHeight="1" x14ac:dyDescent="0.2">
      <c r="F2818"/>
    </row>
    <row r="2819" spans="6:6" ht="15" customHeight="1" x14ac:dyDescent="0.2">
      <c r="F2819"/>
    </row>
    <row r="2820" spans="6:6" ht="15" customHeight="1" x14ac:dyDescent="0.2">
      <c r="F2820"/>
    </row>
    <row r="2821" spans="6:6" ht="15" customHeight="1" x14ac:dyDescent="0.2">
      <c r="F2821"/>
    </row>
    <row r="2822" spans="6:6" ht="15" customHeight="1" x14ac:dyDescent="0.2">
      <c r="F2822"/>
    </row>
    <row r="2823" spans="6:6" ht="15" customHeight="1" x14ac:dyDescent="0.2">
      <c r="F2823"/>
    </row>
    <row r="2824" spans="6:6" ht="15" customHeight="1" x14ac:dyDescent="0.2">
      <c r="F2824"/>
    </row>
    <row r="2825" spans="6:6" ht="15" customHeight="1" x14ac:dyDescent="0.2">
      <c r="F2825"/>
    </row>
    <row r="2826" spans="6:6" ht="15" customHeight="1" x14ac:dyDescent="0.2">
      <c r="F2826"/>
    </row>
    <row r="2827" spans="6:6" ht="15" customHeight="1" x14ac:dyDescent="0.2">
      <c r="F2827"/>
    </row>
    <row r="2828" spans="6:6" ht="15" customHeight="1" x14ac:dyDescent="0.2">
      <c r="F2828"/>
    </row>
    <row r="2829" spans="6:6" ht="15" customHeight="1" x14ac:dyDescent="0.2">
      <c r="F2829"/>
    </row>
    <row r="2830" spans="6:6" ht="15" customHeight="1" x14ac:dyDescent="0.2">
      <c r="F2830"/>
    </row>
    <row r="2831" spans="6:6" ht="15" customHeight="1" x14ac:dyDescent="0.2">
      <c r="F2831"/>
    </row>
    <row r="2832" spans="6:6" ht="15" customHeight="1" x14ac:dyDescent="0.2">
      <c r="F2832"/>
    </row>
    <row r="2833" spans="6:6" ht="15" customHeight="1" x14ac:dyDescent="0.2">
      <c r="F2833"/>
    </row>
    <row r="2834" spans="6:6" ht="15" customHeight="1" x14ac:dyDescent="0.2">
      <c r="F2834"/>
    </row>
    <row r="2835" spans="6:6" ht="15" customHeight="1" x14ac:dyDescent="0.2">
      <c r="F2835"/>
    </row>
    <row r="2836" spans="6:6" ht="15" customHeight="1" x14ac:dyDescent="0.2">
      <c r="F2836"/>
    </row>
    <row r="2837" spans="6:6" ht="15" customHeight="1" x14ac:dyDescent="0.2">
      <c r="F2837"/>
    </row>
    <row r="2838" spans="6:6" ht="15" customHeight="1" x14ac:dyDescent="0.2">
      <c r="F2838"/>
    </row>
    <row r="2839" spans="6:6" ht="15" customHeight="1" x14ac:dyDescent="0.2">
      <c r="F2839"/>
    </row>
    <row r="2840" spans="6:6" ht="15" customHeight="1" x14ac:dyDescent="0.2">
      <c r="F2840"/>
    </row>
    <row r="2841" spans="6:6" ht="15" customHeight="1" x14ac:dyDescent="0.2">
      <c r="F2841"/>
    </row>
    <row r="2842" spans="6:6" ht="15" customHeight="1" x14ac:dyDescent="0.2">
      <c r="F2842"/>
    </row>
    <row r="2843" spans="6:6" ht="15" customHeight="1" x14ac:dyDescent="0.2">
      <c r="F2843"/>
    </row>
    <row r="2844" spans="6:6" ht="15" customHeight="1" x14ac:dyDescent="0.2">
      <c r="F2844"/>
    </row>
    <row r="2845" spans="6:6" ht="15" customHeight="1" x14ac:dyDescent="0.2">
      <c r="F2845"/>
    </row>
    <row r="2846" spans="6:6" ht="15" customHeight="1" x14ac:dyDescent="0.2">
      <c r="F2846"/>
    </row>
    <row r="2847" spans="6:6" ht="15" customHeight="1" x14ac:dyDescent="0.2">
      <c r="F2847"/>
    </row>
    <row r="2848" spans="6:6" ht="15" customHeight="1" x14ac:dyDescent="0.2">
      <c r="F2848"/>
    </row>
    <row r="2849" spans="6:6" ht="15" customHeight="1" x14ac:dyDescent="0.2">
      <c r="F2849"/>
    </row>
    <row r="2850" spans="6:6" ht="15" customHeight="1" x14ac:dyDescent="0.2">
      <c r="F2850"/>
    </row>
    <row r="2851" spans="6:6" ht="15" customHeight="1" x14ac:dyDescent="0.2">
      <c r="F2851"/>
    </row>
    <row r="2852" spans="6:6" ht="15" customHeight="1" x14ac:dyDescent="0.2">
      <c r="F2852"/>
    </row>
    <row r="2853" spans="6:6" ht="15" customHeight="1" x14ac:dyDescent="0.2">
      <c r="F2853"/>
    </row>
    <row r="2854" spans="6:6" ht="15" customHeight="1" x14ac:dyDescent="0.2">
      <c r="F2854"/>
    </row>
    <row r="2855" spans="6:6" ht="15" customHeight="1" x14ac:dyDescent="0.2">
      <c r="F2855"/>
    </row>
    <row r="2856" spans="6:6" ht="15" customHeight="1" x14ac:dyDescent="0.2">
      <c r="F2856"/>
    </row>
    <row r="2857" spans="6:6" ht="15" customHeight="1" x14ac:dyDescent="0.2">
      <c r="F2857"/>
    </row>
    <row r="2858" spans="6:6" ht="15" customHeight="1" x14ac:dyDescent="0.2">
      <c r="F2858"/>
    </row>
    <row r="2859" spans="6:6" ht="15" customHeight="1" x14ac:dyDescent="0.2">
      <c r="F2859"/>
    </row>
    <row r="2860" spans="6:6" ht="15" customHeight="1" x14ac:dyDescent="0.2">
      <c r="F2860"/>
    </row>
    <row r="2861" spans="6:6" ht="15" customHeight="1" x14ac:dyDescent="0.2">
      <c r="F2861"/>
    </row>
    <row r="2862" spans="6:6" ht="15" customHeight="1" x14ac:dyDescent="0.2">
      <c r="F2862"/>
    </row>
    <row r="2863" spans="6:6" ht="15" customHeight="1" x14ac:dyDescent="0.2">
      <c r="F2863"/>
    </row>
    <row r="2864" spans="6:6" ht="15" customHeight="1" x14ac:dyDescent="0.2">
      <c r="F2864"/>
    </row>
    <row r="2865" spans="6:6" ht="15" customHeight="1" x14ac:dyDescent="0.2">
      <c r="F2865"/>
    </row>
    <row r="2866" spans="6:6" ht="15" customHeight="1" x14ac:dyDescent="0.2">
      <c r="F2866"/>
    </row>
    <row r="2867" spans="6:6" ht="15" customHeight="1" x14ac:dyDescent="0.2">
      <c r="F2867"/>
    </row>
    <row r="2868" spans="6:6" ht="15" customHeight="1" x14ac:dyDescent="0.2">
      <c r="F2868"/>
    </row>
    <row r="2869" spans="6:6" ht="15" customHeight="1" x14ac:dyDescent="0.2">
      <c r="F2869"/>
    </row>
    <row r="2870" spans="6:6" ht="15" customHeight="1" x14ac:dyDescent="0.2">
      <c r="F2870"/>
    </row>
    <row r="2871" spans="6:6" ht="15" customHeight="1" x14ac:dyDescent="0.2">
      <c r="F2871"/>
    </row>
    <row r="2872" spans="6:6" ht="15" customHeight="1" x14ac:dyDescent="0.2">
      <c r="F2872"/>
    </row>
    <row r="2873" spans="6:6" ht="15" customHeight="1" x14ac:dyDescent="0.2">
      <c r="F2873"/>
    </row>
    <row r="2874" spans="6:6" ht="15" customHeight="1" x14ac:dyDescent="0.2">
      <c r="F2874"/>
    </row>
    <row r="2875" spans="6:6" ht="15" customHeight="1" x14ac:dyDescent="0.2">
      <c r="F2875"/>
    </row>
    <row r="2876" spans="6:6" ht="15" customHeight="1" x14ac:dyDescent="0.2">
      <c r="F2876"/>
    </row>
    <row r="2877" spans="6:6" ht="15" customHeight="1" x14ac:dyDescent="0.2">
      <c r="F2877"/>
    </row>
    <row r="2878" spans="6:6" ht="15" customHeight="1" x14ac:dyDescent="0.2">
      <c r="F2878"/>
    </row>
    <row r="2879" spans="6:6" ht="15" customHeight="1" x14ac:dyDescent="0.2">
      <c r="F2879"/>
    </row>
    <row r="2880" spans="6:6" ht="15" customHeight="1" x14ac:dyDescent="0.2">
      <c r="F2880"/>
    </row>
    <row r="2881" spans="6:6" ht="15" customHeight="1" x14ac:dyDescent="0.2">
      <c r="F2881"/>
    </row>
    <row r="2882" spans="6:6" ht="15" customHeight="1" x14ac:dyDescent="0.2">
      <c r="F2882"/>
    </row>
    <row r="2883" spans="6:6" ht="15" customHeight="1" x14ac:dyDescent="0.2">
      <c r="F2883"/>
    </row>
    <row r="2884" spans="6:6" ht="15" customHeight="1" x14ac:dyDescent="0.2">
      <c r="F2884"/>
    </row>
    <row r="2885" spans="6:6" ht="15" customHeight="1" x14ac:dyDescent="0.2">
      <c r="F2885"/>
    </row>
    <row r="2886" spans="6:6" ht="15" customHeight="1" x14ac:dyDescent="0.2">
      <c r="F2886"/>
    </row>
    <row r="2887" spans="6:6" ht="15" customHeight="1" x14ac:dyDescent="0.2">
      <c r="F2887"/>
    </row>
    <row r="2888" spans="6:6" ht="15" customHeight="1" x14ac:dyDescent="0.2">
      <c r="F2888"/>
    </row>
    <row r="2889" spans="6:6" ht="15" customHeight="1" x14ac:dyDescent="0.2">
      <c r="F2889"/>
    </row>
    <row r="2890" spans="6:6" ht="15" customHeight="1" x14ac:dyDescent="0.2">
      <c r="F2890"/>
    </row>
    <row r="2891" spans="6:6" ht="15" customHeight="1" x14ac:dyDescent="0.2">
      <c r="F2891"/>
    </row>
    <row r="2892" spans="6:6" ht="15" customHeight="1" x14ac:dyDescent="0.2">
      <c r="F2892"/>
    </row>
    <row r="2893" spans="6:6" ht="15" customHeight="1" x14ac:dyDescent="0.2">
      <c r="F2893"/>
    </row>
    <row r="2894" spans="6:6" ht="15" customHeight="1" x14ac:dyDescent="0.2">
      <c r="F2894"/>
    </row>
    <row r="2895" spans="6:6" ht="15" customHeight="1" x14ac:dyDescent="0.2">
      <c r="F2895"/>
    </row>
    <row r="2896" spans="6:6" ht="15" customHeight="1" x14ac:dyDescent="0.2">
      <c r="F2896"/>
    </row>
    <row r="2897" spans="6:6" ht="15" customHeight="1" x14ac:dyDescent="0.2">
      <c r="F2897"/>
    </row>
    <row r="2898" spans="6:6" ht="15" customHeight="1" x14ac:dyDescent="0.2">
      <c r="F2898"/>
    </row>
    <row r="2899" spans="6:6" ht="15" customHeight="1" x14ac:dyDescent="0.2">
      <c r="F2899"/>
    </row>
    <row r="2900" spans="6:6" ht="15" customHeight="1" x14ac:dyDescent="0.2">
      <c r="F2900"/>
    </row>
    <row r="2901" spans="6:6" ht="15" customHeight="1" x14ac:dyDescent="0.2">
      <c r="F2901"/>
    </row>
    <row r="2902" spans="6:6" ht="15" customHeight="1" x14ac:dyDescent="0.2">
      <c r="F2902"/>
    </row>
    <row r="2903" spans="6:6" ht="15" customHeight="1" x14ac:dyDescent="0.2">
      <c r="F2903"/>
    </row>
    <row r="2904" spans="6:6" ht="15" customHeight="1" x14ac:dyDescent="0.2">
      <c r="F2904"/>
    </row>
    <row r="2905" spans="6:6" ht="15" customHeight="1" x14ac:dyDescent="0.2">
      <c r="F2905"/>
    </row>
    <row r="2906" spans="6:6" ht="15" customHeight="1" x14ac:dyDescent="0.2">
      <c r="F2906"/>
    </row>
    <row r="2907" spans="6:6" ht="15" customHeight="1" x14ac:dyDescent="0.2">
      <c r="F2907"/>
    </row>
    <row r="2908" spans="6:6" ht="15" customHeight="1" x14ac:dyDescent="0.2">
      <c r="F2908"/>
    </row>
    <row r="2909" spans="6:6" ht="15" customHeight="1" x14ac:dyDescent="0.2">
      <c r="F2909"/>
    </row>
    <row r="2910" spans="6:6" ht="15" customHeight="1" x14ac:dyDescent="0.2">
      <c r="F2910"/>
    </row>
    <row r="2911" spans="6:6" ht="15" customHeight="1" x14ac:dyDescent="0.2">
      <c r="F2911"/>
    </row>
    <row r="2912" spans="6:6" ht="15" customHeight="1" x14ac:dyDescent="0.2">
      <c r="F2912"/>
    </row>
    <row r="2913" spans="6:6" ht="15" customHeight="1" x14ac:dyDescent="0.2">
      <c r="F2913"/>
    </row>
    <row r="2914" spans="6:6" ht="15" customHeight="1" x14ac:dyDescent="0.2">
      <c r="F2914"/>
    </row>
    <row r="2915" spans="6:6" ht="15" customHeight="1" x14ac:dyDescent="0.2">
      <c r="F2915"/>
    </row>
    <row r="2916" spans="6:6" ht="15" customHeight="1" x14ac:dyDescent="0.2">
      <c r="F2916"/>
    </row>
    <row r="2917" spans="6:6" ht="15" customHeight="1" x14ac:dyDescent="0.2">
      <c r="F2917"/>
    </row>
    <row r="2918" spans="6:6" ht="15" customHeight="1" x14ac:dyDescent="0.2">
      <c r="F2918"/>
    </row>
    <row r="2919" spans="6:6" ht="15" customHeight="1" x14ac:dyDescent="0.2">
      <c r="F2919"/>
    </row>
    <row r="2920" spans="6:6" ht="15" customHeight="1" x14ac:dyDescent="0.2">
      <c r="F2920"/>
    </row>
    <row r="2921" spans="6:6" ht="15" customHeight="1" x14ac:dyDescent="0.2">
      <c r="F2921"/>
    </row>
    <row r="2922" spans="6:6" ht="15" customHeight="1" x14ac:dyDescent="0.2">
      <c r="F2922"/>
    </row>
    <row r="2923" spans="6:6" ht="15" customHeight="1" x14ac:dyDescent="0.2">
      <c r="F2923"/>
    </row>
    <row r="2924" spans="6:6" ht="15" customHeight="1" x14ac:dyDescent="0.2">
      <c r="F2924"/>
    </row>
    <row r="2925" spans="6:6" ht="15" customHeight="1" x14ac:dyDescent="0.2">
      <c r="F2925"/>
    </row>
    <row r="2926" spans="6:6" ht="15" customHeight="1" x14ac:dyDescent="0.2">
      <c r="F2926"/>
    </row>
    <row r="2927" spans="6:6" ht="15" customHeight="1" x14ac:dyDescent="0.2">
      <c r="F2927"/>
    </row>
    <row r="2928" spans="6:6" ht="15" customHeight="1" x14ac:dyDescent="0.2">
      <c r="F2928"/>
    </row>
    <row r="2929" spans="6:6" ht="15" customHeight="1" x14ac:dyDescent="0.2">
      <c r="F2929"/>
    </row>
    <row r="2930" spans="6:6" ht="15" customHeight="1" x14ac:dyDescent="0.2">
      <c r="F2930"/>
    </row>
    <row r="2931" spans="6:6" ht="15" customHeight="1" x14ac:dyDescent="0.2">
      <c r="F2931"/>
    </row>
    <row r="2932" spans="6:6" ht="15" customHeight="1" x14ac:dyDescent="0.2">
      <c r="F2932"/>
    </row>
    <row r="2933" spans="6:6" ht="15" customHeight="1" x14ac:dyDescent="0.2">
      <c r="F2933"/>
    </row>
    <row r="2934" spans="6:6" ht="15" customHeight="1" x14ac:dyDescent="0.2">
      <c r="F2934"/>
    </row>
    <row r="2935" spans="6:6" ht="15" customHeight="1" x14ac:dyDescent="0.2">
      <c r="F2935"/>
    </row>
    <row r="2936" spans="6:6" ht="15" customHeight="1" x14ac:dyDescent="0.2">
      <c r="F2936"/>
    </row>
    <row r="2937" spans="6:6" ht="15" customHeight="1" x14ac:dyDescent="0.2">
      <c r="F2937"/>
    </row>
    <row r="2938" spans="6:6" ht="15" customHeight="1" x14ac:dyDescent="0.2">
      <c r="F2938"/>
    </row>
    <row r="2939" spans="6:6" ht="15" customHeight="1" x14ac:dyDescent="0.2">
      <c r="F2939"/>
    </row>
    <row r="2940" spans="6:6" ht="15" customHeight="1" x14ac:dyDescent="0.2">
      <c r="F2940"/>
    </row>
    <row r="2941" spans="6:6" ht="15" customHeight="1" x14ac:dyDescent="0.2">
      <c r="F2941"/>
    </row>
    <row r="2942" spans="6:6" ht="15" customHeight="1" x14ac:dyDescent="0.2">
      <c r="F2942"/>
    </row>
    <row r="2943" spans="6:6" ht="15" customHeight="1" x14ac:dyDescent="0.2">
      <c r="F2943"/>
    </row>
    <row r="2944" spans="6:6" ht="15" customHeight="1" x14ac:dyDescent="0.2">
      <c r="F2944"/>
    </row>
    <row r="2945" spans="6:6" ht="15" customHeight="1" x14ac:dyDescent="0.2">
      <c r="F2945"/>
    </row>
    <row r="2946" spans="6:6" ht="15" customHeight="1" x14ac:dyDescent="0.2">
      <c r="F2946"/>
    </row>
    <row r="2947" spans="6:6" ht="15" customHeight="1" x14ac:dyDescent="0.2">
      <c r="F2947"/>
    </row>
    <row r="2948" spans="6:6" ht="15" customHeight="1" x14ac:dyDescent="0.2">
      <c r="F2948"/>
    </row>
    <row r="2949" spans="6:6" ht="15" customHeight="1" x14ac:dyDescent="0.2">
      <c r="F2949"/>
    </row>
    <row r="2950" spans="6:6" ht="15" customHeight="1" x14ac:dyDescent="0.2">
      <c r="F2950"/>
    </row>
    <row r="2951" spans="6:6" ht="15" customHeight="1" x14ac:dyDescent="0.2">
      <c r="F2951"/>
    </row>
    <row r="2952" spans="6:6" ht="15" customHeight="1" x14ac:dyDescent="0.2">
      <c r="F2952"/>
    </row>
    <row r="2953" spans="6:6" ht="15" customHeight="1" x14ac:dyDescent="0.2">
      <c r="F2953"/>
    </row>
    <row r="2954" spans="6:6" ht="15" customHeight="1" x14ac:dyDescent="0.2">
      <c r="F2954"/>
    </row>
    <row r="2955" spans="6:6" ht="15" customHeight="1" x14ac:dyDescent="0.2">
      <c r="F2955"/>
    </row>
    <row r="2956" spans="6:6" ht="15" customHeight="1" x14ac:dyDescent="0.2">
      <c r="F2956"/>
    </row>
    <row r="2957" spans="6:6" ht="15" customHeight="1" x14ac:dyDescent="0.2">
      <c r="F2957"/>
    </row>
    <row r="2958" spans="6:6" ht="15" customHeight="1" x14ac:dyDescent="0.2">
      <c r="F2958"/>
    </row>
    <row r="2959" spans="6:6" ht="15" customHeight="1" x14ac:dyDescent="0.2">
      <c r="F2959"/>
    </row>
    <row r="2960" spans="6:6" ht="15" customHeight="1" x14ac:dyDescent="0.2">
      <c r="F2960"/>
    </row>
    <row r="2961" spans="6:6" ht="15" customHeight="1" x14ac:dyDescent="0.2">
      <c r="F2961"/>
    </row>
    <row r="2962" spans="6:6" ht="15" customHeight="1" x14ac:dyDescent="0.2">
      <c r="F2962"/>
    </row>
    <row r="2963" spans="6:6" ht="15" customHeight="1" x14ac:dyDescent="0.2">
      <c r="F2963"/>
    </row>
    <row r="2964" spans="6:6" ht="15" customHeight="1" x14ac:dyDescent="0.2">
      <c r="F2964"/>
    </row>
    <row r="2965" spans="6:6" ht="15" customHeight="1" x14ac:dyDescent="0.2">
      <c r="F2965"/>
    </row>
    <row r="2966" spans="6:6" ht="15" customHeight="1" x14ac:dyDescent="0.2">
      <c r="F2966"/>
    </row>
    <row r="2967" spans="6:6" ht="15" customHeight="1" x14ac:dyDescent="0.2">
      <c r="F2967"/>
    </row>
    <row r="2968" spans="6:6" ht="15" customHeight="1" x14ac:dyDescent="0.2">
      <c r="F2968"/>
    </row>
    <row r="2969" spans="6:6" ht="15" customHeight="1" x14ac:dyDescent="0.2">
      <c r="F2969"/>
    </row>
    <row r="2970" spans="6:6" ht="15" customHeight="1" x14ac:dyDescent="0.2">
      <c r="F2970"/>
    </row>
    <row r="2971" spans="6:6" ht="15" customHeight="1" x14ac:dyDescent="0.2">
      <c r="F2971"/>
    </row>
    <row r="2972" spans="6:6" ht="15" customHeight="1" x14ac:dyDescent="0.2">
      <c r="F2972"/>
    </row>
    <row r="2973" spans="6:6" ht="15" customHeight="1" x14ac:dyDescent="0.2">
      <c r="F2973"/>
    </row>
    <row r="2974" spans="6:6" ht="15" customHeight="1" x14ac:dyDescent="0.2">
      <c r="F2974"/>
    </row>
    <row r="2975" spans="6:6" ht="15" customHeight="1" x14ac:dyDescent="0.2">
      <c r="F2975"/>
    </row>
    <row r="2976" spans="6:6" ht="15" customHeight="1" x14ac:dyDescent="0.2">
      <c r="F2976"/>
    </row>
    <row r="2977" spans="6:6" ht="15" customHeight="1" x14ac:dyDescent="0.2">
      <c r="F2977"/>
    </row>
    <row r="2978" spans="6:6" ht="15" customHeight="1" x14ac:dyDescent="0.2">
      <c r="F2978"/>
    </row>
    <row r="2979" spans="6:6" ht="15" customHeight="1" x14ac:dyDescent="0.2">
      <c r="F2979"/>
    </row>
    <row r="2980" spans="6:6" ht="15" customHeight="1" x14ac:dyDescent="0.2">
      <c r="F2980"/>
    </row>
    <row r="2981" spans="6:6" ht="15" customHeight="1" x14ac:dyDescent="0.2">
      <c r="F2981"/>
    </row>
    <row r="2982" spans="6:6" ht="15" customHeight="1" x14ac:dyDescent="0.2">
      <c r="F2982"/>
    </row>
    <row r="2983" spans="6:6" ht="15" customHeight="1" x14ac:dyDescent="0.2">
      <c r="F2983"/>
    </row>
    <row r="2984" spans="6:6" ht="15" customHeight="1" x14ac:dyDescent="0.2">
      <c r="F2984"/>
    </row>
    <row r="2985" spans="6:6" ht="15" customHeight="1" x14ac:dyDescent="0.2">
      <c r="F2985"/>
    </row>
    <row r="2986" spans="6:6" ht="15" customHeight="1" x14ac:dyDescent="0.2">
      <c r="F2986"/>
    </row>
    <row r="2987" spans="6:6" ht="15" customHeight="1" x14ac:dyDescent="0.2">
      <c r="F2987"/>
    </row>
    <row r="2988" spans="6:6" ht="15" customHeight="1" x14ac:dyDescent="0.2">
      <c r="F2988"/>
    </row>
    <row r="2989" spans="6:6" ht="15" customHeight="1" x14ac:dyDescent="0.2">
      <c r="F2989"/>
    </row>
    <row r="2990" spans="6:6" ht="15" customHeight="1" x14ac:dyDescent="0.2">
      <c r="F2990"/>
    </row>
    <row r="2991" spans="6:6" ht="15" customHeight="1" x14ac:dyDescent="0.2">
      <c r="F2991"/>
    </row>
    <row r="2992" spans="6:6" ht="15" customHeight="1" x14ac:dyDescent="0.2">
      <c r="F2992"/>
    </row>
    <row r="2993" spans="6:6" ht="15" customHeight="1" x14ac:dyDescent="0.2">
      <c r="F2993"/>
    </row>
    <row r="2994" spans="6:6" ht="15" customHeight="1" x14ac:dyDescent="0.2">
      <c r="F2994"/>
    </row>
    <row r="2995" spans="6:6" ht="15" customHeight="1" x14ac:dyDescent="0.2">
      <c r="F2995"/>
    </row>
    <row r="2996" spans="6:6" ht="15" customHeight="1" x14ac:dyDescent="0.2">
      <c r="F2996"/>
    </row>
    <row r="2997" spans="6:6" ht="15" customHeight="1" x14ac:dyDescent="0.2">
      <c r="F2997"/>
    </row>
    <row r="2998" spans="6:6" ht="15" customHeight="1" x14ac:dyDescent="0.2">
      <c r="F2998"/>
    </row>
    <row r="2999" spans="6:6" ht="15" customHeight="1" x14ac:dyDescent="0.2">
      <c r="F2999"/>
    </row>
    <row r="3000" spans="6:6" ht="15" customHeight="1" x14ac:dyDescent="0.2">
      <c r="F3000"/>
    </row>
    <row r="3001" spans="6:6" ht="15" customHeight="1" x14ac:dyDescent="0.2">
      <c r="F3001"/>
    </row>
    <row r="3002" spans="6:6" ht="15" customHeight="1" x14ac:dyDescent="0.2">
      <c r="F3002"/>
    </row>
    <row r="3003" spans="6:6" ht="15" customHeight="1" x14ac:dyDescent="0.2">
      <c r="F3003"/>
    </row>
    <row r="3004" spans="6:6" ht="15" customHeight="1" x14ac:dyDescent="0.2">
      <c r="F3004"/>
    </row>
    <row r="3005" spans="6:6" ht="15" customHeight="1" x14ac:dyDescent="0.2">
      <c r="F3005"/>
    </row>
    <row r="3006" spans="6:6" ht="15" customHeight="1" x14ac:dyDescent="0.2">
      <c r="F3006"/>
    </row>
    <row r="3007" spans="6:6" ht="15" customHeight="1" x14ac:dyDescent="0.2">
      <c r="F3007"/>
    </row>
    <row r="3008" spans="6:6" ht="15" customHeight="1" x14ac:dyDescent="0.2">
      <c r="F3008"/>
    </row>
    <row r="3009" spans="6:6" ht="15" customHeight="1" x14ac:dyDescent="0.2">
      <c r="F3009"/>
    </row>
    <row r="3010" spans="6:6" ht="15" customHeight="1" x14ac:dyDescent="0.2">
      <c r="F3010"/>
    </row>
    <row r="3011" spans="6:6" ht="15" customHeight="1" x14ac:dyDescent="0.2">
      <c r="F3011"/>
    </row>
    <row r="3012" spans="6:6" ht="15" customHeight="1" x14ac:dyDescent="0.2">
      <c r="F3012"/>
    </row>
    <row r="3013" spans="6:6" ht="15" customHeight="1" x14ac:dyDescent="0.2">
      <c r="F3013"/>
    </row>
    <row r="3014" spans="6:6" ht="15" customHeight="1" x14ac:dyDescent="0.2">
      <c r="F3014"/>
    </row>
    <row r="3015" spans="6:6" ht="15" customHeight="1" x14ac:dyDescent="0.2">
      <c r="F3015"/>
    </row>
    <row r="3016" spans="6:6" ht="15" customHeight="1" x14ac:dyDescent="0.2">
      <c r="F3016"/>
    </row>
    <row r="3017" spans="6:6" ht="15" customHeight="1" x14ac:dyDescent="0.2">
      <c r="F3017"/>
    </row>
    <row r="3018" spans="6:6" ht="15" customHeight="1" x14ac:dyDescent="0.2">
      <c r="F3018"/>
    </row>
    <row r="3019" spans="6:6" ht="15" customHeight="1" x14ac:dyDescent="0.2">
      <c r="F3019"/>
    </row>
    <row r="3020" spans="6:6" ht="15" customHeight="1" x14ac:dyDescent="0.2">
      <c r="F3020"/>
    </row>
    <row r="3021" spans="6:6" ht="15" customHeight="1" x14ac:dyDescent="0.2">
      <c r="F3021"/>
    </row>
    <row r="3022" spans="6:6" ht="15" customHeight="1" x14ac:dyDescent="0.2">
      <c r="F3022"/>
    </row>
    <row r="3023" spans="6:6" ht="15" customHeight="1" x14ac:dyDescent="0.2">
      <c r="F3023"/>
    </row>
    <row r="3024" spans="6:6" ht="15" customHeight="1" x14ac:dyDescent="0.2">
      <c r="F3024"/>
    </row>
    <row r="3025" spans="6:6" ht="15" customHeight="1" x14ac:dyDescent="0.2">
      <c r="F3025"/>
    </row>
    <row r="3026" spans="6:6" ht="15" customHeight="1" x14ac:dyDescent="0.2">
      <c r="F3026"/>
    </row>
    <row r="3027" spans="6:6" ht="15" customHeight="1" x14ac:dyDescent="0.2">
      <c r="F3027"/>
    </row>
    <row r="3028" spans="6:6" ht="15" customHeight="1" x14ac:dyDescent="0.2">
      <c r="F3028"/>
    </row>
    <row r="3029" spans="6:6" ht="15" customHeight="1" x14ac:dyDescent="0.2">
      <c r="F3029"/>
    </row>
    <row r="3030" spans="6:6" ht="15" customHeight="1" x14ac:dyDescent="0.2">
      <c r="F3030"/>
    </row>
    <row r="3031" spans="6:6" ht="15" customHeight="1" x14ac:dyDescent="0.2">
      <c r="F3031"/>
    </row>
    <row r="3032" spans="6:6" ht="15" customHeight="1" x14ac:dyDescent="0.2">
      <c r="F3032"/>
    </row>
    <row r="3033" spans="6:6" ht="15" customHeight="1" x14ac:dyDescent="0.2">
      <c r="F3033"/>
    </row>
    <row r="3034" spans="6:6" ht="15" customHeight="1" x14ac:dyDescent="0.2">
      <c r="F3034"/>
    </row>
    <row r="3035" spans="6:6" ht="15" customHeight="1" x14ac:dyDescent="0.2">
      <c r="F3035"/>
    </row>
    <row r="3036" spans="6:6" ht="15" customHeight="1" x14ac:dyDescent="0.2">
      <c r="F3036"/>
    </row>
    <row r="3037" spans="6:6" ht="15" customHeight="1" x14ac:dyDescent="0.2">
      <c r="F3037"/>
    </row>
    <row r="3038" spans="6:6" ht="15" customHeight="1" x14ac:dyDescent="0.2">
      <c r="F3038"/>
    </row>
    <row r="3039" spans="6:6" ht="15" customHeight="1" x14ac:dyDescent="0.2">
      <c r="F3039"/>
    </row>
    <row r="3040" spans="6:6" ht="15" customHeight="1" x14ac:dyDescent="0.2">
      <c r="F3040"/>
    </row>
    <row r="3041" spans="6:6" ht="15" customHeight="1" x14ac:dyDescent="0.2">
      <c r="F3041"/>
    </row>
    <row r="3042" spans="6:6" ht="15" customHeight="1" x14ac:dyDescent="0.2">
      <c r="F3042"/>
    </row>
    <row r="3043" spans="6:6" ht="15" customHeight="1" x14ac:dyDescent="0.2">
      <c r="F3043"/>
    </row>
    <row r="3044" spans="6:6" ht="15" customHeight="1" x14ac:dyDescent="0.2">
      <c r="F3044"/>
    </row>
    <row r="3045" spans="6:6" ht="15" customHeight="1" x14ac:dyDescent="0.2">
      <c r="F3045"/>
    </row>
    <row r="3046" spans="6:6" ht="15" customHeight="1" x14ac:dyDescent="0.2">
      <c r="F3046"/>
    </row>
    <row r="3047" spans="6:6" ht="15" customHeight="1" x14ac:dyDescent="0.2">
      <c r="F3047"/>
    </row>
    <row r="3048" spans="6:6" ht="15" customHeight="1" x14ac:dyDescent="0.2">
      <c r="F3048"/>
    </row>
    <row r="3049" spans="6:6" ht="15" customHeight="1" x14ac:dyDescent="0.2">
      <c r="F3049"/>
    </row>
    <row r="3050" spans="6:6" ht="15" customHeight="1" x14ac:dyDescent="0.2">
      <c r="F3050"/>
    </row>
    <row r="3051" spans="6:6" ht="15" customHeight="1" x14ac:dyDescent="0.2">
      <c r="F3051"/>
    </row>
    <row r="3052" spans="6:6" ht="15" customHeight="1" x14ac:dyDescent="0.2">
      <c r="F3052"/>
    </row>
    <row r="3053" spans="6:6" ht="15" customHeight="1" x14ac:dyDescent="0.2">
      <c r="F3053"/>
    </row>
    <row r="3054" spans="6:6" ht="15" customHeight="1" x14ac:dyDescent="0.2">
      <c r="F3054"/>
    </row>
    <row r="3055" spans="6:6" ht="15" customHeight="1" x14ac:dyDescent="0.2">
      <c r="F3055"/>
    </row>
    <row r="3056" spans="6:6" ht="15" customHeight="1" x14ac:dyDescent="0.2">
      <c r="F3056"/>
    </row>
    <row r="3057" spans="6:6" ht="15" customHeight="1" x14ac:dyDescent="0.2">
      <c r="F3057"/>
    </row>
    <row r="3058" spans="6:6" ht="15" customHeight="1" x14ac:dyDescent="0.2">
      <c r="F3058"/>
    </row>
    <row r="3059" spans="6:6" ht="15" customHeight="1" x14ac:dyDescent="0.2">
      <c r="F3059"/>
    </row>
    <row r="3060" spans="6:6" ht="15" customHeight="1" x14ac:dyDescent="0.2">
      <c r="F3060"/>
    </row>
    <row r="3061" spans="6:6" ht="15" customHeight="1" x14ac:dyDescent="0.2">
      <c r="F3061"/>
    </row>
    <row r="3062" spans="6:6" ht="15" customHeight="1" x14ac:dyDescent="0.2">
      <c r="F3062"/>
    </row>
    <row r="3063" spans="6:6" ht="15" customHeight="1" x14ac:dyDescent="0.2">
      <c r="F3063"/>
    </row>
    <row r="3064" spans="6:6" ht="15" customHeight="1" x14ac:dyDescent="0.2">
      <c r="F3064"/>
    </row>
    <row r="3065" spans="6:6" ht="15" customHeight="1" x14ac:dyDescent="0.2">
      <c r="F3065"/>
    </row>
    <row r="3066" spans="6:6" ht="15" customHeight="1" x14ac:dyDescent="0.2">
      <c r="F3066"/>
    </row>
    <row r="3067" spans="6:6" ht="15" customHeight="1" x14ac:dyDescent="0.2">
      <c r="F3067"/>
    </row>
    <row r="3068" spans="6:6" ht="15" customHeight="1" x14ac:dyDescent="0.2">
      <c r="F3068"/>
    </row>
    <row r="3069" spans="6:6" ht="15" customHeight="1" x14ac:dyDescent="0.2">
      <c r="F3069"/>
    </row>
    <row r="3070" spans="6:6" ht="15" customHeight="1" x14ac:dyDescent="0.2">
      <c r="F3070"/>
    </row>
    <row r="3071" spans="6:6" ht="15" customHeight="1" x14ac:dyDescent="0.2">
      <c r="F3071"/>
    </row>
    <row r="3072" spans="6:6" ht="15" customHeight="1" x14ac:dyDescent="0.2">
      <c r="F3072"/>
    </row>
    <row r="3073" spans="6:6" ht="15" customHeight="1" x14ac:dyDescent="0.2">
      <c r="F3073"/>
    </row>
    <row r="3074" spans="6:6" ht="15" customHeight="1" x14ac:dyDescent="0.2">
      <c r="F3074"/>
    </row>
    <row r="3075" spans="6:6" ht="15" customHeight="1" x14ac:dyDescent="0.2">
      <c r="F3075"/>
    </row>
    <row r="3076" spans="6:6" ht="15" customHeight="1" x14ac:dyDescent="0.2">
      <c r="F3076"/>
    </row>
    <row r="3077" spans="6:6" ht="15" customHeight="1" x14ac:dyDescent="0.2">
      <c r="F3077"/>
    </row>
    <row r="3078" spans="6:6" ht="15" customHeight="1" x14ac:dyDescent="0.2">
      <c r="F3078"/>
    </row>
    <row r="3079" spans="6:6" ht="15" customHeight="1" x14ac:dyDescent="0.2">
      <c r="F3079"/>
    </row>
    <row r="3080" spans="6:6" ht="15" customHeight="1" x14ac:dyDescent="0.2">
      <c r="F3080"/>
    </row>
    <row r="3081" spans="6:6" ht="15" customHeight="1" x14ac:dyDescent="0.2">
      <c r="F3081"/>
    </row>
    <row r="3082" spans="6:6" ht="15" customHeight="1" x14ac:dyDescent="0.2">
      <c r="F3082"/>
    </row>
    <row r="3083" spans="6:6" ht="15" customHeight="1" x14ac:dyDescent="0.2">
      <c r="F3083"/>
    </row>
    <row r="3084" spans="6:6" ht="15" customHeight="1" x14ac:dyDescent="0.2">
      <c r="F3084"/>
    </row>
    <row r="3085" spans="6:6" ht="15" customHeight="1" x14ac:dyDescent="0.2">
      <c r="F3085"/>
    </row>
    <row r="3086" spans="6:6" ht="15" customHeight="1" x14ac:dyDescent="0.2">
      <c r="F3086"/>
    </row>
    <row r="3087" spans="6:6" ht="15" customHeight="1" x14ac:dyDescent="0.2">
      <c r="F3087"/>
    </row>
    <row r="3088" spans="6:6" ht="15" customHeight="1" x14ac:dyDescent="0.2">
      <c r="F3088"/>
    </row>
    <row r="3089" spans="6:6" ht="15" customHeight="1" x14ac:dyDescent="0.2">
      <c r="F3089"/>
    </row>
    <row r="3090" spans="6:6" ht="15" customHeight="1" x14ac:dyDescent="0.2">
      <c r="F3090"/>
    </row>
    <row r="3091" spans="6:6" ht="15" customHeight="1" x14ac:dyDescent="0.2">
      <c r="F3091"/>
    </row>
    <row r="3092" spans="6:6" ht="15" customHeight="1" x14ac:dyDescent="0.2">
      <c r="F3092"/>
    </row>
    <row r="3093" spans="6:6" ht="15" customHeight="1" x14ac:dyDescent="0.2">
      <c r="F3093"/>
    </row>
    <row r="3094" spans="6:6" ht="15" customHeight="1" x14ac:dyDescent="0.2">
      <c r="F3094"/>
    </row>
    <row r="3095" spans="6:6" ht="15" customHeight="1" x14ac:dyDescent="0.2">
      <c r="F3095"/>
    </row>
    <row r="3096" spans="6:6" ht="15" customHeight="1" x14ac:dyDescent="0.2">
      <c r="F3096"/>
    </row>
    <row r="3097" spans="6:6" ht="15" customHeight="1" x14ac:dyDescent="0.2">
      <c r="F3097"/>
    </row>
    <row r="3098" spans="6:6" ht="15" customHeight="1" x14ac:dyDescent="0.2">
      <c r="F3098"/>
    </row>
    <row r="3099" spans="6:6" ht="15" customHeight="1" x14ac:dyDescent="0.2">
      <c r="F3099"/>
    </row>
    <row r="3100" spans="6:6" ht="15" customHeight="1" x14ac:dyDescent="0.2">
      <c r="F3100"/>
    </row>
    <row r="3101" spans="6:6" ht="15" customHeight="1" x14ac:dyDescent="0.2">
      <c r="F3101"/>
    </row>
    <row r="3102" spans="6:6" ht="15" customHeight="1" x14ac:dyDescent="0.2">
      <c r="F3102"/>
    </row>
    <row r="3103" spans="6:6" ht="15" customHeight="1" x14ac:dyDescent="0.2">
      <c r="F3103"/>
    </row>
    <row r="3104" spans="6:6" ht="15" customHeight="1" x14ac:dyDescent="0.2">
      <c r="F3104"/>
    </row>
    <row r="3105" spans="6:6" ht="15" customHeight="1" x14ac:dyDescent="0.2">
      <c r="F3105"/>
    </row>
    <row r="3106" spans="6:6" ht="15" customHeight="1" x14ac:dyDescent="0.2">
      <c r="F3106"/>
    </row>
    <row r="3107" spans="6:6" ht="15" customHeight="1" x14ac:dyDescent="0.2">
      <c r="F3107"/>
    </row>
    <row r="3108" spans="6:6" ht="15" customHeight="1" x14ac:dyDescent="0.2">
      <c r="F3108"/>
    </row>
    <row r="3109" spans="6:6" ht="15" customHeight="1" x14ac:dyDescent="0.2">
      <c r="F3109"/>
    </row>
    <row r="3110" spans="6:6" ht="15" customHeight="1" x14ac:dyDescent="0.2">
      <c r="F3110"/>
    </row>
    <row r="3111" spans="6:6" ht="15" customHeight="1" x14ac:dyDescent="0.2">
      <c r="F3111"/>
    </row>
    <row r="3112" spans="6:6" ht="15" customHeight="1" x14ac:dyDescent="0.2">
      <c r="F3112"/>
    </row>
    <row r="3113" spans="6:6" ht="15" customHeight="1" x14ac:dyDescent="0.2">
      <c r="F3113"/>
    </row>
    <row r="3114" spans="6:6" ht="15" customHeight="1" x14ac:dyDescent="0.2">
      <c r="F3114"/>
    </row>
    <row r="3115" spans="6:6" ht="15" customHeight="1" x14ac:dyDescent="0.2">
      <c r="F3115"/>
    </row>
    <row r="3116" spans="6:6" ht="15" customHeight="1" x14ac:dyDescent="0.2">
      <c r="F3116"/>
    </row>
    <row r="3117" spans="6:6" ht="15" customHeight="1" x14ac:dyDescent="0.2">
      <c r="F3117"/>
    </row>
    <row r="3118" spans="6:6" ht="15" customHeight="1" x14ac:dyDescent="0.2">
      <c r="F3118"/>
    </row>
    <row r="3119" spans="6:6" ht="15" customHeight="1" x14ac:dyDescent="0.2">
      <c r="F3119"/>
    </row>
    <row r="3120" spans="6:6" ht="15" customHeight="1" x14ac:dyDescent="0.2">
      <c r="F3120"/>
    </row>
    <row r="3121" spans="6:6" ht="15" customHeight="1" x14ac:dyDescent="0.2">
      <c r="F3121"/>
    </row>
    <row r="3122" spans="6:6" ht="15" customHeight="1" x14ac:dyDescent="0.2">
      <c r="F3122"/>
    </row>
    <row r="3123" spans="6:6" ht="15" customHeight="1" x14ac:dyDescent="0.2">
      <c r="F3123"/>
    </row>
    <row r="3124" spans="6:6" ht="15" customHeight="1" x14ac:dyDescent="0.2">
      <c r="F3124"/>
    </row>
    <row r="3125" spans="6:6" ht="15" customHeight="1" x14ac:dyDescent="0.2">
      <c r="F3125"/>
    </row>
    <row r="3126" spans="6:6" ht="15" customHeight="1" x14ac:dyDescent="0.2">
      <c r="F3126"/>
    </row>
    <row r="3127" spans="6:6" ht="15" customHeight="1" x14ac:dyDescent="0.2">
      <c r="F3127"/>
    </row>
    <row r="3128" spans="6:6" ht="15" customHeight="1" x14ac:dyDescent="0.2">
      <c r="F3128"/>
    </row>
    <row r="3129" spans="6:6" ht="15" customHeight="1" x14ac:dyDescent="0.2">
      <c r="F3129"/>
    </row>
    <row r="3130" spans="6:6" ht="15" customHeight="1" x14ac:dyDescent="0.2">
      <c r="F3130"/>
    </row>
    <row r="3131" spans="6:6" ht="15" customHeight="1" x14ac:dyDescent="0.2">
      <c r="F3131"/>
    </row>
    <row r="3132" spans="6:6" ht="15" customHeight="1" x14ac:dyDescent="0.2">
      <c r="F3132"/>
    </row>
    <row r="3133" spans="6:6" ht="15" customHeight="1" x14ac:dyDescent="0.2">
      <c r="F3133"/>
    </row>
    <row r="3134" spans="6:6" ht="15" customHeight="1" x14ac:dyDescent="0.2">
      <c r="F3134"/>
    </row>
    <row r="3135" spans="6:6" ht="15" customHeight="1" x14ac:dyDescent="0.2">
      <c r="F3135"/>
    </row>
    <row r="3136" spans="6:6" ht="15" customHeight="1" x14ac:dyDescent="0.2">
      <c r="F3136"/>
    </row>
    <row r="3137" spans="6:6" ht="15" customHeight="1" x14ac:dyDescent="0.2">
      <c r="F3137"/>
    </row>
    <row r="3138" spans="6:6" ht="15" customHeight="1" x14ac:dyDescent="0.2">
      <c r="F3138"/>
    </row>
    <row r="3139" spans="6:6" ht="15" customHeight="1" x14ac:dyDescent="0.2">
      <c r="F3139"/>
    </row>
    <row r="3140" spans="6:6" ht="15" customHeight="1" x14ac:dyDescent="0.2">
      <c r="F3140"/>
    </row>
    <row r="3141" spans="6:6" ht="15" customHeight="1" x14ac:dyDescent="0.2">
      <c r="F3141"/>
    </row>
    <row r="3142" spans="6:6" ht="15" customHeight="1" x14ac:dyDescent="0.2">
      <c r="F3142"/>
    </row>
    <row r="3143" spans="6:6" ht="15" customHeight="1" x14ac:dyDescent="0.2">
      <c r="F3143"/>
    </row>
    <row r="3144" spans="6:6" ht="15" customHeight="1" x14ac:dyDescent="0.2">
      <c r="F3144"/>
    </row>
    <row r="3145" spans="6:6" ht="15" customHeight="1" x14ac:dyDescent="0.2">
      <c r="F3145"/>
    </row>
    <row r="3146" spans="6:6" ht="15" customHeight="1" x14ac:dyDescent="0.2">
      <c r="F3146"/>
    </row>
    <row r="3147" spans="6:6" ht="15" customHeight="1" x14ac:dyDescent="0.2">
      <c r="F3147"/>
    </row>
    <row r="3148" spans="6:6" ht="15" customHeight="1" x14ac:dyDescent="0.2">
      <c r="F3148"/>
    </row>
    <row r="3149" spans="6:6" ht="15" customHeight="1" x14ac:dyDescent="0.2">
      <c r="F3149"/>
    </row>
    <row r="3150" spans="6:6" ht="15" customHeight="1" x14ac:dyDescent="0.2">
      <c r="F3150"/>
    </row>
    <row r="3151" spans="6:6" ht="15" customHeight="1" x14ac:dyDescent="0.2">
      <c r="F3151"/>
    </row>
    <row r="3152" spans="6:6" ht="15" customHeight="1" x14ac:dyDescent="0.2">
      <c r="F3152"/>
    </row>
    <row r="3153" spans="6:6" ht="15" customHeight="1" x14ac:dyDescent="0.2">
      <c r="F3153"/>
    </row>
    <row r="3154" spans="6:6" ht="15" customHeight="1" x14ac:dyDescent="0.2">
      <c r="F3154"/>
    </row>
    <row r="3155" spans="6:6" ht="15" customHeight="1" x14ac:dyDescent="0.2">
      <c r="F3155"/>
    </row>
    <row r="3156" spans="6:6" ht="15" customHeight="1" x14ac:dyDescent="0.2">
      <c r="F3156"/>
    </row>
    <row r="3157" spans="6:6" ht="15" customHeight="1" x14ac:dyDescent="0.2">
      <c r="F3157"/>
    </row>
    <row r="3158" spans="6:6" ht="15" customHeight="1" x14ac:dyDescent="0.2">
      <c r="F3158"/>
    </row>
    <row r="3159" spans="6:6" ht="15" customHeight="1" x14ac:dyDescent="0.2">
      <c r="F3159"/>
    </row>
    <row r="3160" spans="6:6" ht="15" customHeight="1" x14ac:dyDescent="0.2">
      <c r="F3160"/>
    </row>
    <row r="3161" spans="6:6" ht="15" customHeight="1" x14ac:dyDescent="0.2">
      <c r="F3161"/>
    </row>
    <row r="3162" spans="6:6" ht="15" customHeight="1" x14ac:dyDescent="0.2">
      <c r="F3162"/>
    </row>
    <row r="3163" spans="6:6" ht="15" customHeight="1" x14ac:dyDescent="0.2">
      <c r="F3163"/>
    </row>
    <row r="3164" spans="6:6" ht="15" customHeight="1" x14ac:dyDescent="0.2">
      <c r="F3164"/>
    </row>
    <row r="3165" spans="6:6" ht="15" customHeight="1" x14ac:dyDescent="0.2">
      <c r="F3165"/>
    </row>
    <row r="3166" spans="6:6" ht="15" customHeight="1" x14ac:dyDescent="0.2">
      <c r="F3166"/>
    </row>
    <row r="3167" spans="6:6" ht="15" customHeight="1" x14ac:dyDescent="0.2">
      <c r="F3167"/>
    </row>
    <row r="3168" spans="6:6" ht="15" customHeight="1" x14ac:dyDescent="0.2">
      <c r="F3168"/>
    </row>
    <row r="3169" spans="6:6" ht="15" customHeight="1" x14ac:dyDescent="0.2">
      <c r="F3169"/>
    </row>
    <row r="3170" spans="6:6" ht="15" customHeight="1" x14ac:dyDescent="0.2">
      <c r="F3170"/>
    </row>
    <row r="3171" spans="6:6" ht="15" customHeight="1" x14ac:dyDescent="0.2">
      <c r="F3171"/>
    </row>
    <row r="3172" spans="6:6" ht="15" customHeight="1" x14ac:dyDescent="0.2">
      <c r="F3172"/>
    </row>
    <row r="3173" spans="6:6" ht="15" customHeight="1" x14ac:dyDescent="0.2">
      <c r="F3173"/>
    </row>
    <row r="3174" spans="6:6" ht="15" customHeight="1" x14ac:dyDescent="0.2">
      <c r="F3174"/>
    </row>
    <row r="3175" spans="6:6" ht="15" customHeight="1" x14ac:dyDescent="0.2">
      <c r="F3175"/>
    </row>
    <row r="3176" spans="6:6" ht="15" customHeight="1" x14ac:dyDescent="0.2">
      <c r="F3176"/>
    </row>
    <row r="3177" spans="6:6" ht="15" customHeight="1" x14ac:dyDescent="0.2">
      <c r="F3177"/>
    </row>
    <row r="3178" spans="6:6" ht="15" customHeight="1" x14ac:dyDescent="0.2">
      <c r="F3178"/>
    </row>
    <row r="3179" spans="6:6" ht="15" customHeight="1" x14ac:dyDescent="0.2">
      <c r="F3179"/>
    </row>
    <row r="3180" spans="6:6" ht="15" customHeight="1" x14ac:dyDescent="0.2">
      <c r="F3180"/>
    </row>
    <row r="3181" spans="6:6" ht="15" customHeight="1" x14ac:dyDescent="0.2">
      <c r="F3181"/>
    </row>
    <row r="3182" spans="6:6" ht="15" customHeight="1" x14ac:dyDescent="0.2">
      <c r="F3182"/>
    </row>
    <row r="3183" spans="6:6" ht="15" customHeight="1" x14ac:dyDescent="0.2">
      <c r="F3183"/>
    </row>
    <row r="3184" spans="6: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sheetData>
  <autoFilter ref="F7:P1882" xr:uid="{00000000-0001-0000-0700-000000000000}"/>
  <mergeCells count="1">
    <mergeCell ref="G6:P6"/>
  </mergeCells>
  <conditionalFormatting sqref="G29:G30">
    <cfRule type="expression" dxfId="6412" priority="10613">
      <formula>$H29="CÉLULA CONSTRUTIVA"</formula>
    </cfRule>
    <cfRule type="expression" dxfId="6411" priority="10614">
      <formula>$H29="SUBETAPA"</formula>
    </cfRule>
    <cfRule type="expression" dxfId="6410" priority="10615">
      <formula>$H29="ETAPA"</formula>
    </cfRule>
  </conditionalFormatting>
  <conditionalFormatting sqref="G32">
    <cfRule type="expression" dxfId="6409" priority="10611">
      <formula>$H32="SUBETAPA"</formula>
    </cfRule>
    <cfRule type="expression" dxfId="6408" priority="10612">
      <formula>$H32="ETAPA"</formula>
    </cfRule>
  </conditionalFormatting>
  <conditionalFormatting sqref="G35:G38">
    <cfRule type="expression" dxfId="6407" priority="10607">
      <formula>$H35="CÉLULA CONSTRUTIVA"</formula>
    </cfRule>
    <cfRule type="expression" dxfId="6406" priority="10608">
      <formula>$H35="SUBETAPA"</formula>
    </cfRule>
    <cfRule type="expression" dxfId="6405" priority="10609">
      <formula>$H35="ETAPA"</formula>
    </cfRule>
  </conditionalFormatting>
  <conditionalFormatting sqref="G40">
    <cfRule type="expression" dxfId="6404" priority="10605">
      <formula>$H40="SUBETAPA"</formula>
    </cfRule>
    <cfRule type="expression" dxfId="6403" priority="10606">
      <formula>$H40="ETAPA"</formula>
    </cfRule>
  </conditionalFormatting>
  <conditionalFormatting sqref="G42">
    <cfRule type="expression" dxfId="6402" priority="10603">
      <formula>$H42="SUBETAPA"</formula>
    </cfRule>
  </conditionalFormatting>
  <conditionalFormatting sqref="G42:G43">
    <cfRule type="expression" dxfId="6401" priority="10601">
      <formula>$H42="ETAPA"</formula>
    </cfRule>
  </conditionalFormatting>
  <conditionalFormatting sqref="G43">
    <cfRule type="expression" dxfId="6400" priority="10600">
      <formula>$H43="SUBETAPA"</formula>
    </cfRule>
  </conditionalFormatting>
  <conditionalFormatting sqref="G45:G48">
    <cfRule type="expression" dxfId="6399" priority="10596">
      <formula>$H45="CÉLULA CONSTRUTIVA"</formula>
    </cfRule>
    <cfRule type="expression" dxfId="6398" priority="10598">
      <formula>$H45="ETAPA"</formula>
    </cfRule>
    <cfRule type="expression" dxfId="6397" priority="10597">
      <formula>$H45="SUBETAPA"</formula>
    </cfRule>
  </conditionalFormatting>
  <conditionalFormatting sqref="G50">
    <cfRule type="expression" dxfId="6396" priority="10595">
      <formula>$H50="ETAPA"</formula>
    </cfRule>
    <cfRule type="expression" dxfId="6395" priority="10594">
      <formula>$H50="SUBETAPA"</formula>
    </cfRule>
  </conditionalFormatting>
  <conditionalFormatting sqref="G53">
    <cfRule type="expression" dxfId="6394" priority="10592">
      <formula>$H53="ETAPA"</formula>
    </cfRule>
  </conditionalFormatting>
  <conditionalFormatting sqref="G53:G54">
    <cfRule type="expression" dxfId="6393" priority="10588">
      <formula>$H53="SUBETAPA"</formula>
    </cfRule>
    <cfRule type="expression" dxfId="6392" priority="10587">
      <formula>$H53="CÉLULA CONSTRUTIVA"</formula>
    </cfRule>
  </conditionalFormatting>
  <conditionalFormatting sqref="G54">
    <cfRule type="expression" dxfId="6391" priority="10589">
      <formula>$H54="ETAPA"</formula>
    </cfRule>
  </conditionalFormatting>
  <conditionalFormatting sqref="G57">
    <cfRule type="expression" dxfId="6390" priority="10585">
      <formula>$H57="SUBETAPA"</formula>
    </cfRule>
    <cfRule type="expression" dxfId="6389" priority="10584">
      <formula>$H57="CÉLULA CONSTRUTIVA"</formula>
    </cfRule>
    <cfRule type="expression" dxfId="6388" priority="10586">
      <formula>$H57="ETAPA"</formula>
    </cfRule>
  </conditionalFormatting>
  <conditionalFormatting sqref="G80:G82 M95">
    <cfRule type="expression" dxfId="6387" priority="10583">
      <formula>$H80="ETAPA"</formula>
    </cfRule>
  </conditionalFormatting>
  <conditionalFormatting sqref="G706:G718">
    <cfRule type="expression" dxfId="6386" priority="10582">
      <formula>$H706="SUBETAPA"</formula>
    </cfRule>
  </conditionalFormatting>
  <conditionalFormatting sqref="G721:G733">
    <cfRule type="expression" dxfId="6385" priority="10580">
      <formula>$H721="SUBETAPA"</formula>
    </cfRule>
  </conditionalFormatting>
  <conditionalFormatting sqref="G736:G748">
    <cfRule type="expression" dxfId="6384" priority="10578">
      <formula>$H736="SUBETAPA"</formula>
    </cfRule>
  </conditionalFormatting>
  <conditionalFormatting sqref="G751:G763">
    <cfRule type="expression" dxfId="6383" priority="10576">
      <formula>$H751="SUBETAPA"</formula>
    </cfRule>
  </conditionalFormatting>
  <conditionalFormatting sqref="G766:G778">
    <cfRule type="expression" dxfId="6382" priority="10574">
      <formula>$H766="SUBETAPA"</formula>
    </cfRule>
  </conditionalFormatting>
  <conditionalFormatting sqref="G781:G793">
    <cfRule type="expression" dxfId="6381" priority="10572">
      <formula>$H781="SUBETAPA"</formula>
    </cfRule>
  </conditionalFormatting>
  <conditionalFormatting sqref="G796:G808">
    <cfRule type="expression" dxfId="6380" priority="10570">
      <formula>$H796="SUBETAPA"</formula>
    </cfRule>
  </conditionalFormatting>
  <conditionalFormatting sqref="G811:G823">
    <cfRule type="expression" dxfId="6379" priority="10568">
      <formula>$H811="SUBETAPA"</formula>
    </cfRule>
  </conditionalFormatting>
  <conditionalFormatting sqref="G826:G838">
    <cfRule type="expression" dxfId="6378" priority="10566">
      <formula>$H826="SUBETAPA"</formula>
    </cfRule>
  </conditionalFormatting>
  <conditionalFormatting sqref="G841:G853">
    <cfRule type="expression" dxfId="6377" priority="10564">
      <formula>$H841="SUBETAPA"</formula>
    </cfRule>
  </conditionalFormatting>
  <conditionalFormatting sqref="G856:G868">
    <cfRule type="expression" dxfId="6376" priority="10562">
      <formula>$H856="SUBETAPA"</formula>
    </cfRule>
  </conditionalFormatting>
  <conditionalFormatting sqref="G871:G883">
    <cfRule type="expression" dxfId="6375" priority="10560">
      <formula>$H871="SUBETAPA"</formula>
    </cfRule>
  </conditionalFormatting>
  <conditionalFormatting sqref="G886:G898">
    <cfRule type="expression" dxfId="6374" priority="10558">
      <formula>$H886="SUBETAPA"</formula>
    </cfRule>
  </conditionalFormatting>
  <conditionalFormatting sqref="G1002">
    <cfRule type="expression" dxfId="6373" priority="10555">
      <formula>$H1002="ETAPA"</formula>
    </cfRule>
  </conditionalFormatting>
  <conditionalFormatting sqref="G1002:G1003">
    <cfRule type="expression" dxfId="6372" priority="10551">
      <formula>$H1002="SUBETAPA"</formula>
    </cfRule>
  </conditionalFormatting>
  <conditionalFormatting sqref="G1003">
    <cfRule type="expression" dxfId="6371" priority="10552">
      <formula>$H1003="ETAPA"</formula>
    </cfRule>
  </conditionalFormatting>
  <conditionalFormatting sqref="G1005:G1009">
    <cfRule type="expression" dxfId="6370" priority="10549">
      <formula>$H1005="ETAPA"</formula>
    </cfRule>
    <cfRule type="expression" dxfId="6369" priority="10548">
      <formula>$H1005="SUBETAPA"</formula>
    </cfRule>
  </conditionalFormatting>
  <conditionalFormatting sqref="G1011">
    <cfRule type="expression" dxfId="6368" priority="10546">
      <formula>$H1011="ETAPA"</formula>
    </cfRule>
    <cfRule type="expression" dxfId="6367" priority="10547">
      <formula>$H1011="CÉLULA CONSTRUTIVA"</formula>
    </cfRule>
    <cfRule type="expression" dxfId="6366" priority="10545">
      <formula>$H1011="SUBETAPA"</formula>
    </cfRule>
  </conditionalFormatting>
  <conditionalFormatting sqref="G1027:G1036">
    <cfRule type="expression" dxfId="6365" priority="10544">
      <formula>$H1027="CÉLULA CONSTRUTIVA"</formula>
    </cfRule>
  </conditionalFormatting>
  <conditionalFormatting sqref="G1041:G1050">
    <cfRule type="expression" dxfId="6364" priority="10543">
      <formula>$H1041="CÉLULA CONSTRUTIVA"</formula>
    </cfRule>
  </conditionalFormatting>
  <conditionalFormatting sqref="G1055:G1064">
    <cfRule type="expression" dxfId="6363" priority="10542">
      <formula>$H1055="CÉLULA CONSTRUTIVA"</formula>
    </cfRule>
  </conditionalFormatting>
  <conditionalFormatting sqref="G1069:G1078">
    <cfRule type="expression" dxfId="6362" priority="10541">
      <formula>$H1069="CÉLULA CONSTRUTIVA"</formula>
    </cfRule>
  </conditionalFormatting>
  <conditionalFormatting sqref="G1083:G1092">
    <cfRule type="expression" dxfId="6361" priority="10540">
      <formula>$H1083="CÉLULA CONSTRUTIVA"</formula>
    </cfRule>
  </conditionalFormatting>
  <conditionalFormatting sqref="G1097:G1106">
    <cfRule type="expression" dxfId="6360" priority="10539">
      <formula>$H1097="CÉLULA CONSTRUTIVA"</formula>
    </cfRule>
  </conditionalFormatting>
  <conditionalFormatting sqref="G1130">
    <cfRule type="expression" dxfId="6359" priority="10538">
      <formula>$H1130="CÉLULA CONSTRUTIVA"</formula>
    </cfRule>
  </conditionalFormatting>
  <conditionalFormatting sqref="G1133">
    <cfRule type="expression" dxfId="6358" priority="10537">
      <formula>$H1133="CÉLULA CONSTRUTIVA"</formula>
    </cfRule>
  </conditionalFormatting>
  <conditionalFormatting sqref="G1136">
    <cfRule type="expression" dxfId="6357" priority="10536">
      <formula>$H1136="CÉLULA CONSTRUTIVA"</formula>
    </cfRule>
  </conditionalFormatting>
  <conditionalFormatting sqref="G1139">
    <cfRule type="expression" dxfId="6356" priority="10535">
      <formula>$H1139="CÉLULA CONSTRUTIVA"</formula>
    </cfRule>
  </conditionalFormatting>
  <conditionalFormatting sqref="G1142">
    <cfRule type="expression" dxfId="6355" priority="10534">
      <formula>$H1142="CÉLULA CONSTRUTIVA"</formula>
    </cfRule>
  </conditionalFormatting>
  <conditionalFormatting sqref="G1145">
    <cfRule type="expression" dxfId="6354" priority="10533">
      <formula>$H1145="CÉLULA CONSTRUTIVA"</formula>
    </cfRule>
  </conditionalFormatting>
  <conditionalFormatting sqref="G1148">
    <cfRule type="expression" dxfId="6353" priority="10532">
      <formula>$H1148="ETAPA"</formula>
    </cfRule>
  </conditionalFormatting>
  <conditionalFormatting sqref="G1150">
    <cfRule type="expression" dxfId="6352" priority="10530">
      <formula>$H1150="ETAPA"</formula>
    </cfRule>
  </conditionalFormatting>
  <conditionalFormatting sqref="G1152">
    <cfRule type="expression" dxfId="6351" priority="10528">
      <formula>$H1152="ETAPA"</formula>
    </cfRule>
  </conditionalFormatting>
  <conditionalFormatting sqref="G1155">
    <cfRule type="expression" dxfId="6350" priority="10526">
      <formula>$H1155="ETAPA"</formula>
    </cfRule>
  </conditionalFormatting>
  <conditionalFormatting sqref="G1157">
    <cfRule type="expression" dxfId="6349" priority="10524">
      <formula>$H1157="ETAPA"</formula>
    </cfRule>
  </conditionalFormatting>
  <conditionalFormatting sqref="G1159">
    <cfRule type="expression" dxfId="6348" priority="10522">
      <formula>$H1159="ETAPA"</formula>
    </cfRule>
  </conditionalFormatting>
  <conditionalFormatting sqref="G1164">
    <cfRule type="expression" dxfId="6347" priority="10520">
      <formula>$H1164="CÉLULA CONSTRUTIVA"</formula>
    </cfRule>
  </conditionalFormatting>
  <conditionalFormatting sqref="G1169">
    <cfRule type="expression" dxfId="6346" priority="10519">
      <formula>$H1169="CÉLULA CONSTRUTIVA"</formula>
    </cfRule>
  </conditionalFormatting>
  <conditionalFormatting sqref="G1174">
    <cfRule type="expression" dxfId="6345" priority="10518">
      <formula>$H1174="CÉLULA CONSTRUTIVA"</formula>
    </cfRule>
  </conditionalFormatting>
  <conditionalFormatting sqref="G1179">
    <cfRule type="expression" dxfId="6344" priority="10517">
      <formula>$H1179="CÉLULA CONSTRUTIVA"</formula>
    </cfRule>
  </conditionalFormatting>
  <conditionalFormatting sqref="G1182">
    <cfRule type="expression" dxfId="6343" priority="10516">
      <formula>$H1182="CÉLULA CONSTRUTIVA"</formula>
    </cfRule>
  </conditionalFormatting>
  <conditionalFormatting sqref="G1149:H1155 J1150:L1152">
    <cfRule type="expression" dxfId="6342" priority="9216">
      <formula>$H1149="CÉLULA CONSTRUTIVA"</formula>
    </cfRule>
  </conditionalFormatting>
  <conditionalFormatting sqref="G1156:H1162 J1157:L1159">
    <cfRule type="expression" dxfId="6341" priority="9207">
      <formula>$H1156="CÉLULA CONSTRUTIVA"</formula>
    </cfRule>
  </conditionalFormatting>
  <conditionalFormatting sqref="G1191:H1191 J1191:M1191">
    <cfRule type="expression" dxfId="6340" priority="9995">
      <formula>$H1191="SUBETAPA"</formula>
    </cfRule>
  </conditionalFormatting>
  <conditionalFormatting sqref="G1200:H1201 J1200:L1201">
    <cfRule type="expression" dxfId="6339" priority="9994">
      <formula>$H1200="CÉLULA CONSTRUTIVA"</formula>
    </cfRule>
    <cfRule type="expression" dxfId="6338" priority="9993">
      <formula>$H1200="SUBETAPA"</formula>
    </cfRule>
  </conditionalFormatting>
  <conditionalFormatting sqref="G1200:H1202 J1201:L1202 H1204 J1204:K1204 O1204 J1205 H1206 J1206:K1206 O1206">
    <cfRule type="expression" dxfId="6337" priority="9992">
      <formula>$H1200="ETAPA"</formula>
    </cfRule>
  </conditionalFormatting>
  <conditionalFormatting sqref="G1240:H1241">
    <cfRule type="expression" dxfId="6336" priority="9988">
      <formula>$H1240="SUBETAPA"</formula>
    </cfRule>
    <cfRule type="expression" dxfId="6335" priority="9989">
      <formula>$H1240="CÉLULA CONSTRUTIVA"</formula>
    </cfRule>
  </conditionalFormatting>
  <conditionalFormatting sqref="G1271:H1272">
    <cfRule type="expression" dxfId="6334" priority="9987">
      <formula>$H1271="CÉLULA CONSTRUTIVA"</formula>
    </cfRule>
    <cfRule type="expression" dxfId="6333" priority="9986">
      <formula>$H1271="SUBETAPA"</formula>
    </cfRule>
  </conditionalFormatting>
  <conditionalFormatting sqref="G1293:H1294 J1293:L1294 L1295:L1298">
    <cfRule type="expression" dxfId="6332" priority="9985">
      <formula>$H1293="CÉLULA CONSTRUTIVA"</formula>
    </cfRule>
  </conditionalFormatting>
  <conditionalFormatting sqref="G1315:H1316 J1315:L1316 L1317:L1320">
    <cfRule type="expression" dxfId="6331" priority="9983">
      <formula>$H1315="CÉLULA CONSTRUTIVA"</formula>
    </cfRule>
  </conditionalFormatting>
  <conditionalFormatting sqref="G1353:H1354 J1353:L1354 L1355:L1358">
    <cfRule type="expression" dxfId="6330" priority="9981">
      <formula>$H1353="CÉLULA CONSTRUTIVA"</formula>
    </cfRule>
  </conditionalFormatting>
  <conditionalFormatting sqref="G1374:H1375 J1374:L1375 L1376:L1379">
    <cfRule type="expression" dxfId="6329" priority="9979">
      <formula>$H1374="CÉLULA CONSTRUTIVA"</formula>
    </cfRule>
  </conditionalFormatting>
  <conditionalFormatting sqref="G1398:H1399 J1398:L1399 L1400:L1403">
    <cfRule type="expression" dxfId="6328" priority="9977">
      <formula>$H1398="CÉLULA CONSTRUTIVA"</formula>
    </cfRule>
  </conditionalFormatting>
  <conditionalFormatting sqref="G1416:H1417 J1416:L1417">
    <cfRule type="expression" dxfId="6327" priority="9975">
      <formula>$H1416="CÉLULA CONSTRUTIVA"</formula>
    </cfRule>
  </conditionalFormatting>
  <conditionalFormatting sqref="G1416:H1417">
    <cfRule type="expression" dxfId="6326" priority="9974">
      <formula>$H1416="SUBETAPA"</formula>
    </cfRule>
  </conditionalFormatting>
  <conditionalFormatting sqref="G1441:H1441 J1441:L1441">
    <cfRule type="expression" dxfId="6325" priority="9912">
      <formula>$H1441="SUBETAPA"</formula>
    </cfRule>
    <cfRule type="expression" dxfId="6324" priority="9911">
      <formula>$H1441="ETAPA"</formula>
    </cfRule>
  </conditionalFormatting>
  <conditionalFormatting sqref="G1525:H1526 J1525:K1526 H1528:H1531 G1536:H1537 J1536:K1537 H1539:H1542">
    <cfRule type="expression" dxfId="6323" priority="8622">
      <formula>$H1525="CÉLULA CONSTRUTIVA"</formula>
    </cfRule>
  </conditionalFormatting>
  <conditionalFormatting sqref="G1525:H1526 J1525:M1526 H1527:H1531 G1536:H1537 J1536:M1537 H1538:H1542 J1527:K1531 J1538:K1542">
    <cfRule type="expression" dxfId="6322" priority="8624">
      <formula>$H1525="ETAPA"</formula>
    </cfRule>
  </conditionalFormatting>
  <conditionalFormatting sqref="G1564:H1564 J1564:M1564">
    <cfRule type="expression" dxfId="6321" priority="9909">
      <formula>$H1564="SUBETAPA"</formula>
    </cfRule>
    <cfRule type="expression" dxfId="6320" priority="9910">
      <formula>$H1564="CÉLULA CONSTRUTIVA"</formula>
    </cfRule>
  </conditionalFormatting>
  <conditionalFormatting sqref="G1564:H1564">
    <cfRule type="expression" dxfId="6319" priority="9908">
      <formula>$H1564="ETAPA"</formula>
    </cfRule>
  </conditionalFormatting>
  <conditionalFormatting sqref="G1569:H1570 J1570:M1570">
    <cfRule type="expression" dxfId="6318" priority="9905">
      <formula>$H1569="CÉLULA CONSTRUTIVA"</formula>
    </cfRule>
  </conditionalFormatting>
  <conditionalFormatting sqref="G1569:H1570">
    <cfRule type="expression" dxfId="6317" priority="9903">
      <formula>$H1569="ETAPA"</formula>
    </cfRule>
  </conditionalFormatting>
  <conditionalFormatting sqref="G1570:H1570 J1570:M1570">
    <cfRule type="expression" dxfId="6316" priority="9904">
      <formula>$H1570="SUBETAPA"</formula>
    </cfRule>
  </conditionalFormatting>
  <conditionalFormatting sqref="G1575:H1576 J1576:M1576">
    <cfRule type="expression" dxfId="6315" priority="9900">
      <formula>$H1575="CÉLULA CONSTRUTIVA"</formula>
    </cfRule>
  </conditionalFormatting>
  <conditionalFormatting sqref="G1575:H1576">
    <cfRule type="expression" dxfId="6314" priority="9898">
      <formula>$H1575="ETAPA"</formula>
    </cfRule>
  </conditionalFormatting>
  <conditionalFormatting sqref="G1576:H1576 J1576:M1576">
    <cfRule type="expression" dxfId="6313" priority="9899">
      <formula>$H1576="SUBETAPA"</formula>
    </cfRule>
  </conditionalFormatting>
  <conditionalFormatting sqref="G1581:H1582">
    <cfRule type="expression" dxfId="6312" priority="9895">
      <formula>$H1581="CÉLULA CONSTRUTIVA"</formula>
    </cfRule>
    <cfRule type="expression" dxfId="6311" priority="9893">
      <formula>$H1581="ETAPA"</formula>
    </cfRule>
  </conditionalFormatting>
  <conditionalFormatting sqref="G1582:H1582">
    <cfRule type="expression" dxfId="6310" priority="9894">
      <formula>$H1582="SUBETAPA"</formula>
    </cfRule>
  </conditionalFormatting>
  <conditionalFormatting sqref="G1588:H1588 G1590:H1590 H1589 J1589:K1589 J1590:L1590 O1589">
    <cfRule type="expression" dxfId="6309" priority="9891">
      <formula>$H1588="SUBETAPA"</formula>
    </cfRule>
  </conditionalFormatting>
  <conditionalFormatting sqref="G1588:H1588 G1590:H1590">
    <cfRule type="expression" dxfId="6308" priority="9892">
      <formula>$H1588="ETAPA"</formula>
    </cfRule>
  </conditionalFormatting>
  <conditionalFormatting sqref="G1588:H1588">
    <cfRule type="expression" dxfId="6307" priority="9890">
      <formula>$H1588="CÉLULA CONSTRUTIVA"</formula>
    </cfRule>
  </conditionalFormatting>
  <conditionalFormatting sqref="G1590:H1591">
    <cfRule type="expression" dxfId="6306" priority="9888">
      <formula>$H1590="CÉLULA CONSTRUTIVA"</formula>
    </cfRule>
  </conditionalFormatting>
  <conditionalFormatting sqref="G1591:H1591">
    <cfRule type="expression" dxfId="6305" priority="9887">
      <formula>$H1591="SUBETAPA"</formula>
    </cfRule>
    <cfRule type="expression" dxfId="6304" priority="9886">
      <formula>$H1591="ETAPA"</formula>
    </cfRule>
  </conditionalFormatting>
  <conditionalFormatting sqref="G1597:H1597 G1599:H1599 H1598 J1598:K1598 J1599:L1599 O1598">
    <cfRule type="expression" dxfId="6303" priority="9884">
      <formula>$H1597="SUBETAPA"</formula>
    </cfRule>
  </conditionalFormatting>
  <conditionalFormatting sqref="G1597:H1597 G1599:H1599">
    <cfRule type="expression" dxfId="6302" priority="9885">
      <formula>$H1597="ETAPA"</formula>
    </cfRule>
  </conditionalFormatting>
  <conditionalFormatting sqref="G1597:H1597">
    <cfRule type="expression" dxfId="6301" priority="9883">
      <formula>$H1597="CÉLULA CONSTRUTIVA"</formula>
    </cfRule>
  </conditionalFormatting>
  <conditionalFormatting sqref="G1599:H1600">
    <cfRule type="expression" dxfId="6300" priority="9881">
      <formula>$H1599="CÉLULA CONSTRUTIVA"</formula>
    </cfRule>
  </conditionalFormatting>
  <conditionalFormatting sqref="G1600:H1600">
    <cfRule type="expression" dxfId="6299" priority="9880">
      <formula>$H1600="SUBETAPA"</formula>
    </cfRule>
    <cfRule type="expression" dxfId="6298" priority="9879">
      <formula>$H1600="ETAPA"</formula>
    </cfRule>
  </conditionalFormatting>
  <conditionalFormatting sqref="G1606:H1606 G1608:H1608">
    <cfRule type="expression" dxfId="6297" priority="9878">
      <formula>$H1606="ETAPA"</formula>
    </cfRule>
  </conditionalFormatting>
  <conditionalFormatting sqref="G1606:H1606 J1607:K1608 G1608:H1608 H1607 O1607">
    <cfRule type="expression" dxfId="6296" priority="9877">
      <formula>$H1606="SUBETAPA"</formula>
    </cfRule>
  </conditionalFormatting>
  <conditionalFormatting sqref="G1606:H1606">
    <cfRule type="expression" dxfId="6295" priority="9876">
      <formula>$H1606="CÉLULA CONSTRUTIVA"</formula>
    </cfRule>
  </conditionalFormatting>
  <conditionalFormatting sqref="G1608:H1609">
    <cfRule type="expression" dxfId="6294" priority="9874">
      <formula>$H1608="CÉLULA CONSTRUTIVA"</formula>
    </cfRule>
  </conditionalFormatting>
  <conditionalFormatting sqref="G1609:H1609">
    <cfRule type="expression" dxfId="6293" priority="9872">
      <formula>$H1609="ETAPA"</formula>
    </cfRule>
    <cfRule type="expression" dxfId="6292" priority="9873">
      <formula>$H1609="SUBETAPA"</formula>
    </cfRule>
  </conditionalFormatting>
  <conditionalFormatting sqref="G1615:H1615 G1617:H1617">
    <cfRule type="expression" dxfId="6291" priority="9871">
      <formula>$H1615="ETAPA"</formula>
    </cfRule>
  </conditionalFormatting>
  <conditionalFormatting sqref="G1615:H1615 J1616:K1617 G1617:H1617 H1616 O1616">
    <cfRule type="expression" dxfId="6290" priority="9870">
      <formula>$H1615="SUBETAPA"</formula>
    </cfRule>
  </conditionalFormatting>
  <conditionalFormatting sqref="G1615:H1615">
    <cfRule type="expression" dxfId="6289" priority="9869">
      <formula>$H1615="CÉLULA CONSTRUTIVA"</formula>
    </cfRule>
  </conditionalFormatting>
  <conditionalFormatting sqref="G1617:H1618">
    <cfRule type="expression" dxfId="6288" priority="9867">
      <formula>$H1617="CÉLULA CONSTRUTIVA"</formula>
    </cfRule>
  </conditionalFormatting>
  <conditionalFormatting sqref="G1618:H1618">
    <cfRule type="expression" dxfId="6287" priority="9866">
      <formula>$H1618="SUBETAPA"</formula>
    </cfRule>
    <cfRule type="expression" dxfId="6286" priority="9865">
      <formula>$H1618="ETAPA"</formula>
    </cfRule>
  </conditionalFormatting>
  <conditionalFormatting sqref="G1624:H1624 J1624:K1624">
    <cfRule type="expression" dxfId="6285" priority="9864">
      <formula>$H1624="CÉLULA CONSTRUTIVA"</formula>
    </cfRule>
  </conditionalFormatting>
  <conditionalFormatting sqref="G1624:H1624">
    <cfRule type="expression" dxfId="6284" priority="9863">
      <formula>$H1624="ETAPA"</formula>
    </cfRule>
  </conditionalFormatting>
  <conditionalFormatting sqref="G1634:H1634 J1634:L1634">
    <cfRule type="expression" dxfId="6283" priority="9861">
      <formula>$H1634="CÉLULA CONSTRUTIVA"</formula>
    </cfRule>
    <cfRule type="expression" dxfId="6282" priority="9860">
      <formula>$H1634="SUBETAPA"</formula>
    </cfRule>
    <cfRule type="expression" dxfId="6281" priority="9862">
      <formula>$H1634="ETAPA"</formula>
    </cfRule>
  </conditionalFormatting>
  <conditionalFormatting sqref="G1643:H1643 J1643:L1643">
    <cfRule type="expression" dxfId="6280" priority="9858">
      <formula>$H1643="CÉLULA CONSTRUTIVA"</formula>
    </cfRule>
    <cfRule type="expression" dxfId="6279" priority="9857">
      <formula>$H1643="SUBETAPA"</formula>
    </cfRule>
    <cfRule type="expression" dxfId="6278" priority="9859">
      <formula>$H1643="ETAPA"</formula>
    </cfRule>
  </conditionalFormatting>
  <conditionalFormatting sqref="G1652:H1652 J1652:L1652">
    <cfRule type="expression" dxfId="6277" priority="9856">
      <formula>$H1652="ETAPA"</formula>
    </cfRule>
    <cfRule type="expression" dxfId="6276" priority="9855">
      <formula>$H1652="CÉLULA CONSTRUTIVA"</formula>
    </cfRule>
    <cfRule type="expression" dxfId="6275" priority="9854">
      <formula>$H1652="SUBETAPA"</formula>
    </cfRule>
  </conditionalFormatting>
  <conditionalFormatting sqref="G1661:H1661 J1661:L1661">
    <cfRule type="expression" dxfId="6274" priority="9853">
      <formula>$H1661="ETAPA"</formula>
    </cfRule>
    <cfRule type="expression" dxfId="6273" priority="9851">
      <formula>$H1661="SUBETAPA"</formula>
    </cfRule>
    <cfRule type="expression" dxfId="6272" priority="9852">
      <formula>$H1661="CÉLULA CONSTRUTIVA"</formula>
    </cfRule>
  </conditionalFormatting>
  <conditionalFormatting sqref="G1670:H1670 J1670:L1670">
    <cfRule type="expression" dxfId="6271" priority="9848">
      <formula>$H1670="SUBETAPA"</formula>
    </cfRule>
    <cfRule type="expression" dxfId="6270" priority="9849">
      <formula>$H1670="CÉLULA CONSTRUTIVA"</formula>
    </cfRule>
    <cfRule type="expression" dxfId="6269" priority="9850">
      <formula>$H1670="ETAPA"</formula>
    </cfRule>
  </conditionalFormatting>
  <conditionalFormatting sqref="G1679:H1679 J1679:L1679">
    <cfRule type="expression" dxfId="6268" priority="9846">
      <formula>$H1679="CÉLULA CONSTRUTIVA"</formula>
    </cfRule>
    <cfRule type="expression" dxfId="6267" priority="9845">
      <formula>$H1679="SUBETAPA"</formula>
    </cfRule>
    <cfRule type="expression" dxfId="6266" priority="9847">
      <formula>$H1679="ETAPA"</formula>
    </cfRule>
  </conditionalFormatting>
  <conditionalFormatting sqref="G1690:H1690 J1690:L1690">
    <cfRule type="expression" dxfId="6265" priority="9843">
      <formula>$H1690="CÉLULA CONSTRUTIVA"</formula>
    </cfRule>
    <cfRule type="expression" dxfId="6264" priority="9842">
      <formula>$H1690="SUBETAPA"</formula>
    </cfRule>
    <cfRule type="expression" dxfId="6263" priority="9844">
      <formula>$H1690="ETAPA"</formula>
    </cfRule>
  </conditionalFormatting>
  <conditionalFormatting sqref="G1701:H1701 J1701:L1701">
    <cfRule type="expression" dxfId="6262" priority="9841">
      <formula>$H1701="ETAPA"</formula>
    </cfRule>
    <cfRule type="expression" dxfId="6261" priority="9840">
      <formula>$H1701="CÉLULA CONSTRUTIVA"</formula>
    </cfRule>
  </conditionalFormatting>
  <conditionalFormatting sqref="G1701:H1701">
    <cfRule type="expression" dxfId="6260" priority="9839">
      <formula>$H1701="SUBETAPA"</formula>
    </cfRule>
  </conditionalFormatting>
  <conditionalFormatting sqref="G1710:H1710 J1710:L1710">
    <cfRule type="expression" dxfId="6259" priority="9836">
      <formula>$H1710="SUBETAPA"</formula>
    </cfRule>
    <cfRule type="expression" dxfId="6258" priority="9838">
      <formula>$H1710="ETAPA"</formula>
    </cfRule>
    <cfRule type="expression" dxfId="6257" priority="9837">
      <formula>$H1710="CÉLULA CONSTRUTIVA"</formula>
    </cfRule>
  </conditionalFormatting>
  <conditionalFormatting sqref="G1719:H1719 J1719:L1719">
    <cfRule type="expression" dxfId="6256" priority="9835">
      <formula>$H1719="ETAPA"</formula>
    </cfRule>
    <cfRule type="expression" dxfId="6255" priority="9833">
      <formula>$H1719="SUBETAPA"</formula>
    </cfRule>
    <cfRule type="expression" dxfId="6254" priority="9834">
      <formula>$H1719="CÉLULA CONSTRUTIVA"</formula>
    </cfRule>
  </conditionalFormatting>
  <conditionalFormatting sqref="G1728:H1728 J1728:L1728">
    <cfRule type="expression" dxfId="6253" priority="9832">
      <formula>$H1728="ETAPA"</formula>
    </cfRule>
    <cfRule type="expression" dxfId="6252" priority="9830">
      <formula>$H1728="SUBETAPA"</formula>
    </cfRule>
    <cfRule type="expression" dxfId="6251" priority="9831">
      <formula>$H1728="CÉLULA CONSTRUTIVA"</formula>
    </cfRule>
  </conditionalFormatting>
  <conditionalFormatting sqref="G1737:H1737 J1737:L1737">
    <cfRule type="expression" dxfId="6250" priority="9828">
      <formula>$H1737="CÉLULA CONSTRUTIVA"</formula>
    </cfRule>
    <cfRule type="expression" dxfId="6249" priority="9829">
      <formula>$H1737="ETAPA"</formula>
    </cfRule>
    <cfRule type="expression" dxfId="6248" priority="9827">
      <formula>$H1737="SUBETAPA"</formula>
    </cfRule>
  </conditionalFormatting>
  <conditionalFormatting sqref="G1748:H1748 J1748:L1748">
    <cfRule type="expression" dxfId="6247" priority="9826">
      <formula>$H1748="ETAPA"</formula>
    </cfRule>
    <cfRule type="expression" dxfId="6246" priority="9825">
      <formula>$H1748="CÉLULA CONSTRUTIVA"</formula>
    </cfRule>
  </conditionalFormatting>
  <conditionalFormatting sqref="G1748:H1748">
    <cfRule type="expression" dxfId="6245" priority="9824">
      <formula>$H1748="SUBETAPA"</formula>
    </cfRule>
  </conditionalFormatting>
  <conditionalFormatting sqref="G1758:H1758 J1758:L1758">
    <cfRule type="expression" dxfId="6244" priority="9822">
      <formula>$H1758="CÉLULA CONSTRUTIVA"</formula>
    </cfRule>
    <cfRule type="expression" dxfId="6243" priority="9823">
      <formula>$H1758="ETAPA"</formula>
    </cfRule>
  </conditionalFormatting>
  <conditionalFormatting sqref="G1758:H1758">
    <cfRule type="expression" dxfId="6242" priority="9821">
      <formula>$H1758="SUBETAPA"</formula>
    </cfRule>
  </conditionalFormatting>
  <conditionalFormatting sqref="G1760:H1762 G1764:H1764 J1764:L1764 H1765 J1765:K1765 G1771:H1771 J1771:L1771 H1772 J1772:K1772 G1776:H1776 J1776:L1776 H1777 J1777:K1777 G1781:H1781 J1781:L1781 H1782 J1782:K1782 G1786:H1786 J1786:L1786 H1787 J1787:K1787 G1791:H1791 J1791:L1791 H1792 J1792:K1792 G1798:H1798 J1798:L1798 H1799 J1799:K1799 G1805:H1805 J1805:L1805 H1806 J1806:K1806 G1808:H1812 J1808:L1812 G1814:H1814 J1814:L1814 H1815 J1815:K1815 G1821:H1821 J1821:L1821 H1822 J1822:K1822 G1828:H1828 J1828:L1828 H1829 J1829:K1829 G1835:H1835 J1835:L1835 H1836 J1836:K1836 G1842:H1842 J1842:L1842 H1843 J1843:K1843 G1847:H1847 J1847:L1847 H1848 J1848:K1848 G1852:H1852 G1855:H1857 G1859:H1859 J1859:L1859 H1860 J1860:K1864 G1861 H1862 G1863 J1865:L1865 G1865:H1866 J1866:K1866 G1868:H1870 J1868:M1870 G1872:H1872 J1872:L1872 H1873 J1873:K1873 G1873:G1874 G1875:H1878 J1875:M1878 G1880:H1880 J1880:L1880 H1881 J1881:K1881 H1763 J1763:K1763 H1797 J1797:K1797 H1804 J1804:K1804 H1813 J1813:K1813 H1820 J1820:K1820 H1827 J1827:K1827 H1834 J1834:K1834 H1841 J1841:K1841 H1851 J1851:K1851 H1854 J1854:K1854 H1858 J1858:K1858 H1864 H1871 J1871:K1871 H1879 J1879:K1879 J1852:L1852 J1855:M1857">
    <cfRule type="expression" dxfId="6241" priority="9820">
      <formula>$H1760="ETAPA"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H1765 H1806 H1860 H1862 G1872:H1872 H1873 G1873:G1874 G1875:H1878">
    <cfRule type="expression" dxfId="6240" priority="9785">
      <formula>$H1760="CÉLULA CONSTRUTIVA"</formula>
    </cfRule>
  </conditionalFormatting>
  <conditionalFormatting sqref="G1760:H1762 J1760:K1762 G1764:H1764 J1764:K1765 G1767:H1771 J1771:K1772 H1772 G1773:H1776 J1776:K1777 H1777 G1778:H1781 J1781:K1782 H1782 G1783:H1786 J1786:K1787 H1787 G1788:H1791 J1791:K1792 H1792 G1798:H1798 J1798:K1799 H1799 G1805:H1805 J1805:K1806 G1808:H1812 J1808:K1812 G1814:H1814 J1814:K1815 H1815 G1821:H1821 J1821:K1822 H1822 G1828:H1828 J1828:K1829 H1829 G1835:H1835 J1835:K1836 H1836 G1842:H1842 J1842:K1843 H1843 G1844:H1847 J1847:K1848 H1848 G1852:H1853 G1855:H1857 G1859:H1859 J1859:K1863 G1861 G1863 G1865:H1866 J1865:K1866 G1868:H1870 J1868:K1870 J1872:K1873 J1875:K1878 G1880:H1880 J1880:K1881">
    <cfRule type="expression" dxfId="6239" priority="9784">
      <formula>$H1760="SUBETAPA"</formula>
    </cfRule>
  </conditionalFormatting>
  <conditionalFormatting sqref="G88:I88 G89:K89 G90:I90 G91:K92 G83:K83 G85:K87">
    <cfRule type="expression" dxfId="6238" priority="9629">
      <formula>$H83="SUBETAPA"</formula>
    </cfRule>
  </conditionalFormatting>
  <conditionalFormatting sqref="G88:I88 G89:K89 G90:I90 G91:K92 M95:N95 G80:G82 M94:O94">
    <cfRule type="expression" dxfId="6237" priority="9628">
      <formula>$H80="CÉLULA CONSTRUTIVA"</formula>
    </cfRule>
  </conditionalFormatting>
  <conditionalFormatting sqref="G157:I157">
    <cfRule type="expression" dxfId="6236" priority="9783">
      <formula>$H157="SUBETAPA"</formula>
    </cfRule>
  </conditionalFormatting>
  <conditionalFormatting sqref="G167:I167">
    <cfRule type="expression" dxfId="6235" priority="9781">
      <formula>$H167="SUBETAPA"</formula>
    </cfRule>
  </conditionalFormatting>
  <conditionalFormatting sqref="G303:I303 K303 N303:N304 G304:K304">
    <cfRule type="expression" dxfId="6234" priority="9779">
      <formula>$H303="ETAPA"</formula>
    </cfRule>
  </conditionalFormatting>
  <conditionalFormatting sqref="G317:I317 K317:L317 N317">
    <cfRule type="expression" dxfId="6233" priority="9777">
      <formula>$H317="ETAPA"</formula>
    </cfRule>
  </conditionalFormatting>
  <conditionalFormatting sqref="G321:I321 K321:L321 N321">
    <cfRule type="expression" dxfId="6232" priority="9774">
      <formula>$H321="ETAPA"</formula>
    </cfRule>
  </conditionalFormatting>
  <conditionalFormatting sqref="G325:I325 K325:L325 N325">
    <cfRule type="expression" dxfId="6231" priority="9771">
      <formula>$H325="ETAPA"</formula>
    </cfRule>
  </conditionalFormatting>
  <conditionalFormatting sqref="G331:I331 K331:L331 N331">
    <cfRule type="expression" dxfId="6230" priority="9768">
      <formula>$H331="ETAPA"</formula>
    </cfRule>
  </conditionalFormatting>
  <conditionalFormatting sqref="G335:I335 K335:L335 N335">
    <cfRule type="expression" dxfId="6229" priority="9765">
      <formula>$H335="ETAPA"</formula>
    </cfRule>
  </conditionalFormatting>
  <conditionalFormatting sqref="G339:I339 K339:L339 N339">
    <cfRule type="expression" dxfId="6228" priority="9762">
      <formula>$H339="ETAPA"</formula>
    </cfRule>
  </conditionalFormatting>
  <conditionalFormatting sqref="G343:I343 K343:L343 N343">
    <cfRule type="expression" dxfId="6227" priority="9759">
      <formula>$H343="ETAPA"</formula>
    </cfRule>
  </conditionalFormatting>
  <conditionalFormatting sqref="G20:J20">
    <cfRule type="expression" dxfId="6226" priority="8438">
      <formula>$H20="SUBETAPA"</formula>
    </cfRule>
  </conditionalFormatting>
  <conditionalFormatting sqref="G23:J23">
    <cfRule type="expression" dxfId="6225" priority="8424">
      <formula>$H23="ETAPA"</formula>
    </cfRule>
    <cfRule type="expression" dxfId="6224" priority="8425">
      <formula>$H23="SUBETAPA"</formula>
    </cfRule>
  </conditionalFormatting>
  <conditionalFormatting sqref="G65:J65 G571:G579 G582:G588 G591:G597 G600:G606 G609:G615 G618:G624 G627:G633 G636:G642 G645:G651 G654:G662 G665:G673 G676:G682 G685:G691 G694:G702">
    <cfRule type="expression" dxfId="6223" priority="9737">
      <formula>$H65="ETAPA"</formula>
    </cfRule>
    <cfRule type="expression" dxfId="6222" priority="9738">
      <formula>$H65="CÉLULA CONSTRUTIVA"</formula>
    </cfRule>
  </conditionalFormatting>
  <conditionalFormatting sqref="G145:J147">
    <cfRule type="expression" dxfId="6221" priority="9736">
      <formula>$H145="SUBETAPA"</formula>
    </cfRule>
    <cfRule type="expression" dxfId="6220" priority="9735">
      <formula>$H145="ETAPA"</formula>
    </cfRule>
  </conditionalFormatting>
  <conditionalFormatting sqref="G154:J156">
    <cfRule type="expression" dxfId="6219" priority="9733">
      <formula>$H154="SUBETAPA"</formula>
    </cfRule>
  </conditionalFormatting>
  <conditionalFormatting sqref="G157:J157">
    <cfRule type="expression" dxfId="6218" priority="7933">
      <formula>$H157="ETAPA"</formula>
    </cfRule>
  </conditionalFormatting>
  <conditionalFormatting sqref="G164:J166">
    <cfRule type="expression" dxfId="6217" priority="9730">
      <formula>$H164="SUBETAPA"</formula>
    </cfRule>
  </conditionalFormatting>
  <conditionalFormatting sqref="G167:J167">
    <cfRule type="expression" dxfId="6216" priority="7930">
      <formula>$H167="ETAPA"</formula>
    </cfRule>
  </conditionalFormatting>
  <conditionalFormatting sqref="G174:J176">
    <cfRule type="expression" dxfId="6215" priority="9727">
      <formula>$H174="SUBETAPA"</formula>
    </cfRule>
  </conditionalFormatting>
  <conditionalFormatting sqref="G179:J182 L177:M177">
    <cfRule type="expression" dxfId="6214" priority="9725">
      <formula>$H177="CÉLULA CONSTRUTIVA"</formula>
    </cfRule>
  </conditionalFormatting>
  <conditionalFormatting sqref="G179:J182">
    <cfRule type="expression" dxfId="6213" priority="9724">
      <formula>$H179="ETAPA"</formula>
    </cfRule>
    <cfRule type="expression" dxfId="6212" priority="6425">
      <formula>$H179="SUBETAPA"</formula>
    </cfRule>
  </conditionalFormatting>
  <conditionalFormatting sqref="G185:J185 N185">
    <cfRule type="expression" dxfId="6211" priority="9723">
      <formula>$H185="SUBETAPA"</formula>
    </cfRule>
  </conditionalFormatting>
  <conditionalFormatting sqref="G188:J191 L186:M186">
    <cfRule type="expression" dxfId="6210" priority="9721">
      <formula>$H186="CÉLULA CONSTRUTIVA"</formula>
    </cfRule>
  </conditionalFormatting>
  <conditionalFormatting sqref="G188:J191">
    <cfRule type="expression" dxfId="6209" priority="9720">
      <formula>$H188="ETAPA"</formula>
    </cfRule>
    <cfRule type="expression" dxfId="6208" priority="6403">
      <formula>$H188="SUBETAPA"</formula>
    </cfRule>
  </conditionalFormatting>
  <conditionalFormatting sqref="G194:J194 N194">
    <cfRule type="expression" dxfId="6207" priority="9719">
      <formula>$H194="SUBETAPA"</formula>
    </cfRule>
  </conditionalFormatting>
  <conditionalFormatting sqref="G197:J200 L195:M195">
    <cfRule type="expression" dxfId="6206" priority="9717">
      <formula>$H195="CÉLULA CONSTRUTIVA"</formula>
    </cfRule>
  </conditionalFormatting>
  <conditionalFormatting sqref="G197:J200">
    <cfRule type="expression" dxfId="6205" priority="6381">
      <formula>$H197="SUBETAPA"</formula>
    </cfRule>
    <cfRule type="expression" dxfId="6204" priority="9716">
      <formula>$H197="ETAPA"</formula>
    </cfRule>
  </conditionalFormatting>
  <conditionalFormatting sqref="G203:J203">
    <cfRule type="expression" dxfId="6203" priority="9715">
      <formula>$H203="SUBETAPA"</formula>
    </cfRule>
  </conditionalFormatting>
  <conditionalFormatting sqref="G206:J209 L204:M204">
    <cfRule type="expression" dxfId="6202" priority="9712">
      <formula>$H204="CÉLULA CONSTRUTIVA"</formula>
    </cfRule>
  </conditionalFormatting>
  <conditionalFormatting sqref="G206:J209">
    <cfRule type="expression" dxfId="6201" priority="9711">
      <formula>$H206="ETAPA"</formula>
    </cfRule>
  </conditionalFormatting>
  <conditionalFormatting sqref="G215:J218 L213:M213">
    <cfRule type="expression" dxfId="6200" priority="9708">
      <formula>$H213="CÉLULA CONSTRUTIVA"</formula>
    </cfRule>
  </conditionalFormatting>
  <conditionalFormatting sqref="G215:J218">
    <cfRule type="expression" dxfId="6199" priority="9707">
      <formula>$H215="ETAPA"</formula>
    </cfRule>
    <cfRule type="expression" dxfId="6198" priority="6338">
      <formula>$H215="SUBETAPA"</formula>
    </cfRule>
  </conditionalFormatting>
  <conditionalFormatting sqref="G221:J221">
    <cfRule type="expression" dxfId="6197" priority="9706">
      <formula>$H221="SUBETAPA"</formula>
    </cfRule>
  </conditionalFormatting>
  <conditionalFormatting sqref="G228:J230">
    <cfRule type="expression" dxfId="6196" priority="9703">
      <formula>$H228="SUBETAPA"</formula>
    </cfRule>
  </conditionalFormatting>
  <conditionalFormatting sqref="G237:J239">
    <cfRule type="expression" dxfId="6195" priority="9700">
      <formula>$H237="SUBETAPA"</formula>
    </cfRule>
  </conditionalFormatting>
  <conditionalFormatting sqref="G246:J248">
    <cfRule type="expression" dxfId="6194" priority="9697">
      <formula>$H246="SUBETAPA"</formula>
    </cfRule>
  </conditionalFormatting>
  <conditionalFormatting sqref="G255:J257">
    <cfRule type="expression" dxfId="6193" priority="9694">
      <formula>$H255="SUBETAPA"</formula>
    </cfRule>
  </conditionalFormatting>
  <conditionalFormatting sqref="G264:J266">
    <cfRule type="expression" dxfId="6192" priority="9691">
      <formula>$H264="SUBETAPA"</formula>
    </cfRule>
  </conditionalFormatting>
  <conditionalFormatting sqref="G349:J349 N349:N350 G350:I350">
    <cfRule type="expression" dxfId="6191" priority="9688">
      <formula>$H349="ETAPA"</formula>
    </cfRule>
  </conditionalFormatting>
  <conditionalFormatting sqref="G351:J351 N351:N352 G352:I352">
    <cfRule type="expression" dxfId="6190" priority="9685">
      <formula>$H351="ETAPA"</formula>
    </cfRule>
  </conditionalFormatting>
  <conditionalFormatting sqref="G353:J353 N353:N354 G354:I354">
    <cfRule type="expression" dxfId="6189" priority="9682">
      <formula>$H353="ETAPA"</formula>
    </cfRule>
  </conditionalFormatting>
  <conditionalFormatting sqref="G355:J355 N355:N356 G356:I356">
    <cfRule type="expression" dxfId="6188" priority="9679">
      <formula>$H355="ETAPA"</formula>
    </cfRule>
  </conditionalFormatting>
  <conditionalFormatting sqref="G357:J357 N357:N358 G358:I358">
    <cfRule type="expression" dxfId="6187" priority="9676">
      <formula>$H357="ETAPA"</formula>
    </cfRule>
  </conditionalFormatting>
  <conditionalFormatting sqref="G359:J359 N359:N360 G360:I360">
    <cfRule type="expression" dxfId="6186" priority="9673">
      <formula>$H359="ETAPA"</formula>
    </cfRule>
  </conditionalFormatting>
  <conditionalFormatting sqref="G359:J378">
    <cfRule type="expression" dxfId="6185" priority="7857">
      <formula>$H359="SUBETAPA"</formula>
    </cfRule>
  </conditionalFormatting>
  <conditionalFormatting sqref="G361:J361 N361:N362 G362:I362">
    <cfRule type="expression" dxfId="6184" priority="9670">
      <formula>$H361="ETAPA"</formula>
    </cfRule>
  </conditionalFormatting>
  <conditionalFormatting sqref="G363:J363 N363:N364 G364:I364">
    <cfRule type="expression" dxfId="6183" priority="9667">
      <formula>$H363="ETAPA"</formula>
    </cfRule>
  </conditionalFormatting>
  <conditionalFormatting sqref="G365:J365 N365:N366 G366:I366">
    <cfRule type="expression" dxfId="6182" priority="9664">
      <formula>$H365="ETAPA"</formula>
    </cfRule>
  </conditionalFormatting>
  <conditionalFormatting sqref="G367:J367 N367:N368 G368:I368">
    <cfRule type="expression" dxfId="6181" priority="9661">
      <formula>$H367="ETAPA"</formula>
    </cfRule>
  </conditionalFormatting>
  <conditionalFormatting sqref="G369:J369 N369:N370 G370:I370">
    <cfRule type="expression" dxfId="6180" priority="9658">
      <formula>$H369="ETAPA"</formula>
    </cfRule>
  </conditionalFormatting>
  <conditionalFormatting sqref="G371:J371 N371:N372 G372:I372">
    <cfRule type="expression" dxfId="6179" priority="9655">
      <formula>$H371="ETAPA"</formula>
    </cfRule>
  </conditionalFormatting>
  <conditionalFormatting sqref="G373:J373 N373:N374 G374:I374">
    <cfRule type="expression" dxfId="6178" priority="9652">
      <formula>$H373="ETAPA"</formula>
    </cfRule>
  </conditionalFormatting>
  <conditionalFormatting sqref="G375:J375 N375:N376 G376:I376">
    <cfRule type="expression" dxfId="6177" priority="9649">
      <formula>$H375="ETAPA"</formula>
    </cfRule>
  </conditionalFormatting>
  <conditionalFormatting sqref="G377:J377 N377:N378 G378:I378">
    <cfRule type="expression" dxfId="6176" priority="9646">
      <formula>$H377="ETAPA"</formula>
    </cfRule>
  </conditionalFormatting>
  <conditionalFormatting sqref="G568:J568">
    <cfRule type="expression" dxfId="6175" priority="9642">
      <formula>$H568="ETAPA"</formula>
    </cfRule>
    <cfRule type="expression" dxfId="6174" priority="9643">
      <formula>$H568="CÉLULA CONSTRUTIVA"</formula>
    </cfRule>
  </conditionalFormatting>
  <conditionalFormatting sqref="G31:K31 G32:I32 K32">
    <cfRule type="expression" dxfId="6173" priority="9639">
      <formula>$H31="CÉLULA CONSTRUTIVA"</formula>
    </cfRule>
  </conditionalFormatting>
  <conditionalFormatting sqref="G31:K31 H32:K32">
    <cfRule type="expression" dxfId="6172" priority="9640">
      <formula>$H31="ETAPA"</formula>
    </cfRule>
  </conditionalFormatting>
  <conditionalFormatting sqref="G34:K34">
    <cfRule type="expression" dxfId="6171" priority="9638">
      <formula>$H34="ETAPA"</formula>
    </cfRule>
  </conditionalFormatting>
  <conditionalFormatting sqref="G39:K39 G40:I40 K40">
    <cfRule type="expression" dxfId="6170" priority="9636">
      <formula>$H39="CÉLULA CONSTRUTIVA"</formula>
    </cfRule>
  </conditionalFormatting>
  <conditionalFormatting sqref="G39:K39 H40:I40 K40">
    <cfRule type="expression" dxfId="6169" priority="9637">
      <formula>$H39="ETAPA"</formula>
    </cfRule>
  </conditionalFormatting>
  <conditionalFormatting sqref="G44:K44">
    <cfRule type="expression" dxfId="6168" priority="9635">
      <formula>$H44="ETAPA"</formula>
    </cfRule>
  </conditionalFormatting>
  <conditionalFormatting sqref="G49:K49 G50:I50 K50">
    <cfRule type="expression" dxfId="6167" priority="9633">
      <formula>$H49="CÉLULA CONSTRUTIVA"</formula>
    </cfRule>
  </conditionalFormatting>
  <conditionalFormatting sqref="G49:K49 H50:K50">
    <cfRule type="expression" dxfId="6166" priority="9634">
      <formula>$H49="ETAPA"</formula>
    </cfRule>
  </conditionalFormatting>
  <conditionalFormatting sqref="G52:K52">
    <cfRule type="expression" dxfId="6165" priority="9632">
      <formula>$H52="CÉLULA CONSTRUTIVA"</formula>
    </cfRule>
  </conditionalFormatting>
  <conditionalFormatting sqref="G56:K56">
    <cfRule type="expression" dxfId="6164" priority="9631">
      <formula>$H56="CÉLULA CONSTRUTIVA"</formula>
    </cfRule>
  </conditionalFormatting>
  <conditionalFormatting sqref="G83:K87 N80:N93">
    <cfRule type="expression" dxfId="6163" priority="9627">
      <formula>$H80="CÉLULA CONSTRUTIVA"</formula>
    </cfRule>
  </conditionalFormatting>
  <conditionalFormatting sqref="G84:K84">
    <cfRule type="expression" dxfId="6162" priority="9626">
      <formula>$H84="SUBETAPA"</formula>
    </cfRule>
  </conditionalFormatting>
  <conditionalFormatting sqref="G97:K98">
    <cfRule type="expression" dxfId="6161" priority="9625">
      <formula>$H97="SUBETAPA"</formula>
    </cfRule>
  </conditionalFormatting>
  <conditionalFormatting sqref="G104:K104">
    <cfRule type="expression" dxfId="6160" priority="9624">
      <formula>$H104="SUBETAPA"</formula>
    </cfRule>
  </conditionalFormatting>
  <conditionalFormatting sqref="G106:K106">
    <cfRule type="expression" dxfId="6159" priority="9623">
      <formula>$H106="SUBETAPA"</formula>
    </cfRule>
  </conditionalFormatting>
  <conditionalFormatting sqref="G108:K108">
    <cfRule type="expression" dxfId="6158" priority="9622">
      <formula>$H108="SUBETAPA"</formula>
    </cfRule>
  </conditionalFormatting>
  <conditionalFormatting sqref="G110:K110">
    <cfRule type="expression" dxfId="6157" priority="9621">
      <formula>$H110="SUBETAPA"</formula>
    </cfRule>
  </conditionalFormatting>
  <conditionalFormatting sqref="G112:K112">
    <cfRule type="expression" dxfId="6156" priority="9620">
      <formula>$H112="SUBETAPA"</formula>
    </cfRule>
  </conditionalFormatting>
  <conditionalFormatting sqref="G114:K116">
    <cfRule type="expression" dxfId="6155" priority="9618">
      <formula>$H114="SUBETAPA"</formula>
    </cfRule>
  </conditionalFormatting>
  <conditionalFormatting sqref="G118:K118">
    <cfRule type="expression" dxfId="6154" priority="9617">
      <formula>$H118="SUBETAPA"</formula>
    </cfRule>
  </conditionalFormatting>
  <conditionalFormatting sqref="G120:K120">
    <cfRule type="expression" dxfId="6153" priority="9616">
      <formula>$H120="SUBETAPA"</formula>
    </cfRule>
  </conditionalFormatting>
  <conditionalFormatting sqref="G122:K122">
    <cfRule type="expression" dxfId="6152" priority="9615">
      <formula>$H122="SUBETAPA"</formula>
    </cfRule>
  </conditionalFormatting>
  <conditionalFormatting sqref="G125:K125">
    <cfRule type="expression" dxfId="6151" priority="9614">
      <formula>$H125="SUBETAPA"</formula>
    </cfRule>
  </conditionalFormatting>
  <conditionalFormatting sqref="G128:K128">
    <cfRule type="expression" dxfId="6150" priority="9613">
      <formula>$H128="SUBETAPA"</formula>
    </cfRule>
  </conditionalFormatting>
  <conditionalFormatting sqref="G131:K131">
    <cfRule type="expression" dxfId="6149" priority="9612">
      <formula>$H131="SUBETAPA"</formula>
    </cfRule>
  </conditionalFormatting>
  <conditionalFormatting sqref="G133:K133">
    <cfRule type="expression" dxfId="6148" priority="9611">
      <formula>$H133="SUBETAPA"</formula>
    </cfRule>
  </conditionalFormatting>
  <conditionalFormatting sqref="G136:K136">
    <cfRule type="expression" dxfId="6147" priority="9610">
      <formula>$H136="SUBETAPA"</formula>
    </cfRule>
  </conditionalFormatting>
  <conditionalFormatting sqref="G148:K149 G150:J153 K150:K156 L148:M148 N148:N153">
    <cfRule type="expression" dxfId="6146" priority="9734">
      <formula>$H148="CÉLULA CONSTRUTIVA"</formula>
    </cfRule>
  </conditionalFormatting>
  <conditionalFormatting sqref="G148:K149 G150:J153 K150:K156">
    <cfRule type="expression" dxfId="6145" priority="6497">
      <formula>$H148="SUBETAPA"</formula>
    </cfRule>
  </conditionalFormatting>
  <conditionalFormatting sqref="G149:K156">
    <cfRule type="expression" dxfId="6144" priority="9609">
      <formula>$H149="ETAPA"</formula>
    </cfRule>
  </conditionalFormatting>
  <conditionalFormatting sqref="G158:K159 G160:J163 K160:K166 L158:M158 N158:N163">
    <cfRule type="expression" dxfId="6143" priority="9731">
      <formula>$H158="CÉLULA CONSTRUTIVA"</formula>
    </cfRule>
  </conditionalFormatting>
  <conditionalFormatting sqref="G158:K159 G160:J163 K160:K166">
    <cfRule type="expression" dxfId="6142" priority="6472">
      <formula>$H158="SUBETAPA"</formula>
    </cfRule>
  </conditionalFormatting>
  <conditionalFormatting sqref="G159:K166">
    <cfRule type="expression" dxfId="6141" priority="9608">
      <formula>$H159="ETAPA"</formula>
    </cfRule>
  </conditionalFormatting>
  <conditionalFormatting sqref="G168:K169 G170:J173 K170:K176 L168:M168 N168:N173">
    <cfRule type="expression" dxfId="6140" priority="9728">
      <formula>$H168="CÉLULA CONSTRUTIVA"</formula>
    </cfRule>
  </conditionalFormatting>
  <conditionalFormatting sqref="G169:K176">
    <cfRule type="expression" dxfId="6139" priority="9607">
      <formula>$H169="ETAPA"</formula>
    </cfRule>
  </conditionalFormatting>
  <conditionalFormatting sqref="G178:K178 N178">
    <cfRule type="expression" dxfId="6138" priority="9606">
      <formula>$H178="SUBETAPA"</formula>
    </cfRule>
  </conditionalFormatting>
  <conditionalFormatting sqref="G178:K178">
    <cfRule type="expression" dxfId="6137" priority="9605">
      <formula>$H178="CÉLULA CONSTRUTIVA"</formula>
    </cfRule>
  </conditionalFormatting>
  <conditionalFormatting sqref="G185:K185">
    <cfRule type="expression" dxfId="6136" priority="6818">
      <formula>$H185="ETAPA"</formula>
    </cfRule>
  </conditionalFormatting>
  <conditionalFormatting sqref="G187:K187 N187">
    <cfRule type="expression" dxfId="6135" priority="9603">
      <formula>$H187="SUBETAPA"</formula>
    </cfRule>
  </conditionalFormatting>
  <conditionalFormatting sqref="G187:K187">
    <cfRule type="expression" dxfId="6134" priority="9602">
      <formula>$H187="CÉLULA CONSTRUTIVA"</formula>
    </cfRule>
  </conditionalFormatting>
  <conditionalFormatting sqref="G194:K194">
    <cfRule type="expression" dxfId="6133" priority="6815">
      <formula>$H194="ETAPA"</formula>
    </cfRule>
  </conditionalFormatting>
  <conditionalFormatting sqref="G196:K196 N196">
    <cfRule type="expression" dxfId="6132" priority="9600">
      <formula>$H196="SUBETAPA"</formula>
    </cfRule>
  </conditionalFormatting>
  <conditionalFormatting sqref="G196:K196">
    <cfRule type="expression" dxfId="6131" priority="9599">
      <formula>$H196="CÉLULA CONSTRUTIVA"</formula>
    </cfRule>
  </conditionalFormatting>
  <conditionalFormatting sqref="G203:K203">
    <cfRule type="expression" dxfId="6130" priority="6812">
      <formula>$H203="ETAPA"</formula>
    </cfRule>
  </conditionalFormatting>
  <conditionalFormatting sqref="G204:K205 M206:O211 G210:J211">
    <cfRule type="expression" dxfId="6129" priority="6808">
      <formula>$H204="CÉLULA CONSTRUTIVA"</formula>
    </cfRule>
  </conditionalFormatting>
  <conditionalFormatting sqref="G205:K205">
    <cfRule type="expression" dxfId="6128" priority="9597">
      <formula>$H205="SUBETAPA"</formula>
    </cfRule>
  </conditionalFormatting>
  <conditionalFormatting sqref="G212:K212">
    <cfRule type="expression" dxfId="6127" priority="6807">
      <formula>$H212="ETAPA"</formula>
    </cfRule>
  </conditionalFormatting>
  <conditionalFormatting sqref="G214:K214 N214">
    <cfRule type="expression" dxfId="6126" priority="9594">
      <formula>$H214="SUBETAPA"</formula>
    </cfRule>
  </conditionalFormatting>
  <conditionalFormatting sqref="G214:K214">
    <cfRule type="expression" dxfId="6125" priority="9593">
      <formula>$H214="CÉLULA CONSTRUTIVA"</formula>
    </cfRule>
  </conditionalFormatting>
  <conditionalFormatting sqref="G221:K221">
    <cfRule type="expression" dxfId="6124" priority="6804">
      <formula>$H221="ETAPA"</formula>
    </cfRule>
  </conditionalFormatting>
  <conditionalFormatting sqref="G222:K223 G224:J227 K224:K230 L222:M222 N222:N227">
    <cfRule type="expression" dxfId="6123" priority="9704">
      <formula>$H222="CÉLULA CONSTRUTIVA"</formula>
    </cfRule>
  </conditionalFormatting>
  <conditionalFormatting sqref="G222:K223 G224:J227 K224:K230">
    <cfRule type="expression" dxfId="6122" priority="6316">
      <formula>$H222="SUBETAPA"</formula>
    </cfRule>
  </conditionalFormatting>
  <conditionalFormatting sqref="G223:K230">
    <cfRule type="expression" dxfId="6121" priority="9591">
      <formula>$H223="ETAPA"</formula>
    </cfRule>
  </conditionalFormatting>
  <conditionalFormatting sqref="G231:K232 G233:J236 K233:K239 L231:M231 N231:N236">
    <cfRule type="expression" dxfId="6120" priority="9701">
      <formula>$H231="CÉLULA CONSTRUTIVA"</formula>
    </cfRule>
  </conditionalFormatting>
  <conditionalFormatting sqref="G231:K232 G233:J236 K233:K239">
    <cfRule type="expression" dxfId="6119" priority="6294">
      <formula>$H231="SUBETAPA"</formula>
    </cfRule>
  </conditionalFormatting>
  <conditionalFormatting sqref="G232:K239">
    <cfRule type="expression" dxfId="6118" priority="9590">
      <formula>$H232="ETAPA"</formula>
    </cfRule>
  </conditionalFormatting>
  <conditionalFormatting sqref="G240:K241 G242:J245 K242:K248 L240:M240 N240:N245">
    <cfRule type="expression" dxfId="6117" priority="9698">
      <formula>$H240="CÉLULA CONSTRUTIVA"</formula>
    </cfRule>
  </conditionalFormatting>
  <conditionalFormatting sqref="G240:K241 G242:J245 K242:K248">
    <cfRule type="expression" dxfId="6116" priority="6290">
      <formula>$H240="SUBETAPA"</formula>
    </cfRule>
  </conditionalFormatting>
  <conditionalFormatting sqref="G241:K248">
    <cfRule type="expression" dxfId="6115" priority="9589">
      <formula>$H241="ETAPA"</formula>
    </cfRule>
  </conditionalFormatting>
  <conditionalFormatting sqref="G249:K250 G251:J254 K251:K257 L249:M249 N249:N254">
    <cfRule type="expression" dxfId="6114" priority="9695">
      <formula>$H249="CÉLULA CONSTRUTIVA"</formula>
    </cfRule>
  </conditionalFormatting>
  <conditionalFormatting sqref="G249:K250 G251:J254 K251:K257">
    <cfRule type="expression" dxfId="6113" priority="6286">
      <formula>$H249="SUBETAPA"</formula>
    </cfRule>
  </conditionalFormatting>
  <conditionalFormatting sqref="G250:K257">
    <cfRule type="expression" dxfId="6112" priority="9588">
      <formula>$H250="ETAPA"</formula>
    </cfRule>
  </conditionalFormatting>
  <conditionalFormatting sqref="G258:K259 G260:J263 K260:K266 L258:M258 N258:N263">
    <cfRule type="expression" dxfId="6111" priority="9692">
      <formula>$H258="CÉLULA CONSTRUTIVA"</formula>
    </cfRule>
  </conditionalFormatting>
  <conditionalFormatting sqref="G258:K259 G260:J263 K260:K266">
    <cfRule type="expression" dxfId="6110" priority="6264">
      <formula>$H258="SUBETAPA"</formula>
    </cfRule>
  </conditionalFormatting>
  <conditionalFormatting sqref="G259:K266">
    <cfRule type="expression" dxfId="6109" priority="9587">
      <formula>$H259="ETAPA"</formula>
    </cfRule>
  </conditionalFormatting>
  <conditionalFormatting sqref="G267:K268 G269:J272 L267:M267 N267:N272">
    <cfRule type="expression" dxfId="6108" priority="9689">
      <formula>$H267="CÉLULA CONSTRUTIVA"</formula>
    </cfRule>
  </conditionalFormatting>
  <conditionalFormatting sqref="G268:K268 G269:J272">
    <cfRule type="expression" dxfId="6107" priority="9586">
      <formula>$H268="ETAPA"</formula>
    </cfRule>
  </conditionalFormatting>
  <conditionalFormatting sqref="G274:K275 L274:M274">
    <cfRule type="expression" dxfId="6106" priority="9585">
      <formula>$H274="CÉLULA CONSTRUTIVA"</formula>
    </cfRule>
  </conditionalFormatting>
  <conditionalFormatting sqref="G274:K275">
    <cfRule type="expression" dxfId="6105" priority="6226">
      <formula>$H274="SUBETAPA"</formula>
    </cfRule>
  </conditionalFormatting>
  <conditionalFormatting sqref="G275:K275">
    <cfRule type="expression" dxfId="6104" priority="9584">
      <formula>$H275="ETAPA"</formula>
    </cfRule>
  </conditionalFormatting>
  <conditionalFormatting sqref="G280:K280 N280">
    <cfRule type="expression" dxfId="6103" priority="9583">
      <formula>$H280="ETAPA"</formula>
    </cfRule>
    <cfRule type="expression" dxfId="6102" priority="9582">
      <formula>$H280="SUBETAPA"</formula>
    </cfRule>
  </conditionalFormatting>
  <conditionalFormatting sqref="G283:K284 N283:N284">
    <cfRule type="expression" dxfId="6101" priority="9581">
      <formula>$H283="ETAPA"</formula>
    </cfRule>
  </conditionalFormatting>
  <conditionalFormatting sqref="G283:K302">
    <cfRule type="expression" dxfId="6100" priority="9553">
      <formula>$H283="SUBETAPA"</formula>
    </cfRule>
  </conditionalFormatting>
  <conditionalFormatting sqref="G283:K303">
    <cfRule type="expression" dxfId="6099" priority="7925">
      <formula>$H283="CÉLULA CONSTRUTIVA"</formula>
    </cfRule>
  </conditionalFormatting>
  <conditionalFormatting sqref="G285:K286 N285:N286">
    <cfRule type="expression" dxfId="6098" priority="9578">
      <formula>$H285="ETAPA"</formula>
    </cfRule>
  </conditionalFormatting>
  <conditionalFormatting sqref="G287:K288 N287:N288">
    <cfRule type="expression" dxfId="6097" priority="9575">
      <formula>$H287="ETAPA"</formula>
    </cfRule>
  </conditionalFormatting>
  <conditionalFormatting sqref="G289:K290 N289:N290">
    <cfRule type="expression" dxfId="6096" priority="9572">
      <formula>$H289="ETAPA"</formula>
    </cfRule>
  </conditionalFormatting>
  <conditionalFormatting sqref="G291:K292 N291:N292">
    <cfRule type="expression" dxfId="6095" priority="9569">
      <formula>$H291="ETAPA"</formula>
    </cfRule>
  </conditionalFormatting>
  <conditionalFormatting sqref="G293:K294 N293:N294">
    <cfRule type="expression" dxfId="6094" priority="9566">
      <formula>$H293="ETAPA"</formula>
    </cfRule>
  </conditionalFormatting>
  <conditionalFormatting sqref="G295:K296 N295:N296">
    <cfRule type="expression" dxfId="6093" priority="9563">
      <formula>$H295="ETAPA"</formula>
    </cfRule>
  </conditionalFormatting>
  <conditionalFormatting sqref="G297:K298 N297:N298">
    <cfRule type="expression" dxfId="6092" priority="9560">
      <formula>$H297="ETAPA"</formula>
    </cfRule>
  </conditionalFormatting>
  <conditionalFormatting sqref="G299:K300 N299:N300">
    <cfRule type="expression" dxfId="6091" priority="9557">
      <formula>$H299="ETAPA"</formula>
    </cfRule>
  </conditionalFormatting>
  <conditionalFormatting sqref="G301:K302 N301:N302">
    <cfRule type="expression" dxfId="6090" priority="9554">
      <formula>$H301="ETAPA"</formula>
    </cfRule>
  </conditionalFormatting>
  <conditionalFormatting sqref="G304:K306 N283:N306">
    <cfRule type="expression" dxfId="6089" priority="9549">
      <formula>$H283="SUBETAPA"</formula>
    </cfRule>
  </conditionalFormatting>
  <conditionalFormatting sqref="G304:K307 G308:I308 K308">
    <cfRule type="expression" dxfId="6088" priority="9546">
      <formula>$H304="CÉLULA CONSTRUTIVA"</formula>
    </cfRule>
  </conditionalFormatting>
  <conditionalFormatting sqref="G305:K306 N305:N306">
    <cfRule type="expression" dxfId="6087" priority="9550">
      <formula>$H305="ETAPA"</formula>
    </cfRule>
  </conditionalFormatting>
  <conditionalFormatting sqref="G307:K307 G308:I308 K308">
    <cfRule type="expression" dxfId="6086" priority="9547">
      <formula>$H307="ETAPA"</formula>
    </cfRule>
  </conditionalFormatting>
  <conditionalFormatting sqref="G308:K308">
    <cfRule type="expression" dxfId="6085" priority="7923">
      <formula>$H308="SUBETAPA"</formula>
    </cfRule>
  </conditionalFormatting>
  <conditionalFormatting sqref="G309:K312 N309:N312">
    <cfRule type="expression" dxfId="6084" priority="9541">
      <formula>$H309="SUBETAPA"</formula>
    </cfRule>
  </conditionalFormatting>
  <conditionalFormatting sqref="G311:K312 N311:N312">
    <cfRule type="expression" dxfId="6083" priority="9542">
      <formula>$H311="ETAPA"</formula>
    </cfRule>
  </conditionalFormatting>
  <conditionalFormatting sqref="G347:K347">
    <cfRule type="expression" dxfId="6082" priority="9538">
      <formula>$H347="CÉLULA CONSTRUTIVA"</formula>
    </cfRule>
    <cfRule type="expression" dxfId="6081" priority="9539">
      <formula>$H347="ETAPA"</formula>
    </cfRule>
  </conditionalFormatting>
  <conditionalFormatting sqref="G569:K569 G570:J570 H571:K571 H576:K576 H577:J577">
    <cfRule type="expression" dxfId="6080" priority="9532">
      <formula>$H569="ETAPA"</formula>
    </cfRule>
    <cfRule type="expression" dxfId="6079" priority="9533">
      <formula>$H569="CÉLULA CONSTRUTIVA"</formula>
    </cfRule>
  </conditionalFormatting>
  <conditionalFormatting sqref="G580:K580 G581:J581 H582:K582">
    <cfRule type="expression" dxfId="6078" priority="9531">
      <formula>$H580="CÉLULA CONSTRUTIVA"</formula>
    </cfRule>
    <cfRule type="expression" dxfId="6077" priority="9530">
      <formula>$H580="ETAPA"</formula>
    </cfRule>
  </conditionalFormatting>
  <conditionalFormatting sqref="G589:K589 G590:J590 H591:K591">
    <cfRule type="expression" dxfId="6076" priority="9529">
      <formula>$H589="ETAPA"</formula>
    </cfRule>
  </conditionalFormatting>
  <conditionalFormatting sqref="G598:K598 G599:J599 H600:K600">
    <cfRule type="expression" dxfId="6075" priority="9527">
      <formula>$H598="ETAPA"</formula>
    </cfRule>
  </conditionalFormatting>
  <conditionalFormatting sqref="G607:K607 G608:J608 H609:K609">
    <cfRule type="expression" dxfId="6074" priority="9525">
      <formula>$H607="ETAPA"</formula>
    </cfRule>
  </conditionalFormatting>
  <conditionalFormatting sqref="G616:K616 G617:J617 H618:K618">
    <cfRule type="expression" dxfId="6073" priority="9523">
      <formula>$H616="ETAPA"</formula>
    </cfRule>
  </conditionalFormatting>
  <conditionalFormatting sqref="G625:K625 G626:J626 H627:K627">
    <cfRule type="expression" dxfId="6072" priority="9521">
      <formula>$H625="ETAPA"</formula>
    </cfRule>
  </conditionalFormatting>
  <conditionalFormatting sqref="G634:K634 G635:J635 H636:K636">
    <cfRule type="expression" dxfId="6071" priority="9519">
      <formula>$H634="ETAPA"</formula>
    </cfRule>
  </conditionalFormatting>
  <conditionalFormatting sqref="G643:K643 G644:J644 H645:K645">
    <cfRule type="expression" dxfId="6070" priority="9517">
      <formula>$H643="ETAPA"</formula>
    </cfRule>
  </conditionalFormatting>
  <conditionalFormatting sqref="G652:K652 G653:J653 H654:K654 H659:K659 H660:J660">
    <cfRule type="expression" dxfId="6069" priority="9515">
      <formula>$H652="ETAPA"</formula>
    </cfRule>
  </conditionalFormatting>
  <conditionalFormatting sqref="G663:K663 G664:J664 H665:K665 H670:K670 H671:J671">
    <cfRule type="expression" dxfId="6068" priority="9513">
      <formula>$H663="ETAPA"</formula>
    </cfRule>
  </conditionalFormatting>
  <conditionalFormatting sqref="G674:K674 G675:J675 H676:K676">
    <cfRule type="expression" dxfId="6067" priority="9511">
      <formula>$H674="ETAPA"</formula>
    </cfRule>
  </conditionalFormatting>
  <conditionalFormatting sqref="G683:K683 G684:J684 H685:K685">
    <cfRule type="expression" dxfId="6066" priority="9509">
      <formula>$H683="ETAPA"</formula>
    </cfRule>
  </conditionalFormatting>
  <conditionalFormatting sqref="G692:K692 G693:J693 H694:K694 H699:K699 H700:J700">
    <cfRule type="expression" dxfId="6065" priority="9507">
      <formula>$H692="ETAPA"</formula>
    </cfRule>
  </conditionalFormatting>
  <conditionalFormatting sqref="G999:K1001 G379:L379 G380:M382 G383:G398 K386:M386 K388:M388 L389 K390:M390 L391 K392:M392 H393:M395 K397:M397 O397 H918:L918 H950:L950 H957:L957 H964:L964 H971:L971 H978:L978 H990:L990 H1017:L1017 H1019:L1019 H1022:K1022 G1023:K1026 H1031:L1031 H1033:L1033 H1036:K1036 G1037:K1040 H1045:L1045 H1047:L1047 H1050:K1050 G1051:K1054 H1059:L1059 H1061:L1061 H1064:K1064 G1065:K1068 H1073:L1073 H1075:L1075 H1078:K1078 G1079:K1082 H1087:L1087 H1089:L1089 H1092:K1092 G1093:K1096 H1101:L1101 H1103:L1103 H1106:K1106 G1107:K1110 H1115:L1115 H1117:L1117 H1120:K1120 G1121:K1125 G1126:H1128 G1146:H1148 K1149:M1149 O1149:O1150 M1152 K1156:M1156 O1156:O1157 M1159 G1165:H1167 G1170:H1172 G1175:H1177 K384:M384 M708 M710 H711:M712 M723 H726:M727 M738 H741:M742 M753 H756:M757 M768 H771:M772 M783 H786:M787 M798 H801:M802 M813 H816:M817 M828 H831:M832 M843 H846:M847 M858 H861:M862 M873 H876:M877 M888 H891:M892 M903 H906:M907 H923:L923 H928:L928 H933:L933 H938:L938 H943:L943 H983:L983 H995:L995 J1126:K1128 J1146:K1148 J1153:K1155 J1160:K1162 J1165:K1167 J1170:K1172 J1175:K1177 H707:L710 H722:L725 H737:L740 H752:L755 H767:L770 H782:L785 H797:L800 H812:L815 H827:L830 H842:L845 H857:L860 H872:L875 H887:L890 H902:L905 H1002:L1003 O573 O575 O584 O586 O593 O595 O602 O604 O611 O613 O620 O622 O629 O631 O638 O640 O647 O649 O656 O658 O667 O669 O678 O680 O687 O689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O1004 H1006:M1010 O1011 O1116 O410 O423 O436 O449 O462 O475 O488 O501 O514 O527 O540 O553 O566 H706:M706 H721:M721 M725 H736:M736 M740 H751:M751 M755 H766:M766 M770 H781:M781 M785 H796:M796 M800 H811:M811 M815 H826:M826 M830 H841:M841 M845 H856:M856 M860 H871:M871 M875 H886:M886 M890 G899:M900 H901:M901 M905 K568:M568 L569 K570:M570 L571 L576 K577:M577 H578:M579 L580 K581:M581 L582 G589:L589 G590:M590 H591:L591 G598:L598 G599:M599 H600:L600 G607:L607 G608:M608 H609:L609 G616:L616 G617:M617 H618:L618 G625:L625 G626:M626 H627:L627 G634:L634 G635:M635 H636:L636 G643:L643 G644:M644 H645:L645 G652:L652 G653:M653 H654:L654 H659:L659 H660:M662 G663:L663 G664:M664 H665:L665 H670:L670 H671:M673 G674:L674 G675:M675 H676:L676 G683:L683 G684:M684 H685:L685 G692:L692 G693:M693 H694:L694 H699:L699 H700:M702 L914:L915 G1012:L1012 J1011 K1004:M1004 K1116:M1116 K1118:M1119 L917 L922 L927 L932 L937 L942 L947 L949 L954 L956 L961 L963 L968 L970 L975 L977 L982 L987 L989 L994 L1013:L1014 L1016 L1027:L1028 L1030 L1041:L1042 L1044 L1055:L1056 L1058 L1069:L1070 L1072:M1072 L1086 L1097:L1098 L1100 L1111:L1112 K1113:M1113 L1114 L1011:M1011 L1083:L1084 K1085:L1085 O1088 K1015:M1015 O1018 K1029:M1029 O1032 K1043:M1043 O1046 K1057:M1057 O1060 K1071:M1071 O1074 K1099:M1099 O1102 O1129 O1132 O1135:O1136 O1138:O1139 O1141:O1142 O1144:O1145 O1163 O1168:O1169 O1173 O1178 O1181 O382:O395 G1002:G1004 G1006:G1011">
    <cfRule type="expression" dxfId="6064" priority="9505">
      <formula>$H379="CÉLULA CONSTRUTIVA"</formula>
    </cfRule>
  </conditionalFormatting>
  <conditionalFormatting sqref="G999:K1001">
    <cfRule type="expression" dxfId="6063" priority="9504">
      <formula>$H999="ETAPA"</formula>
    </cfRule>
  </conditionalFormatting>
  <conditionalFormatting sqref="G1633:K1633">
    <cfRule type="expression" dxfId="6062" priority="6724">
      <formula>$H1633="CÉLULA CONSTRUTIVA"</formula>
    </cfRule>
  </conditionalFormatting>
  <conditionalFormatting sqref="G1689:K1689">
    <cfRule type="expression" dxfId="6061" priority="6721">
      <formula>$H1689="CÉLULA CONSTRUTIVA"</formula>
    </cfRule>
  </conditionalFormatting>
  <conditionalFormatting sqref="G1700:K1700">
    <cfRule type="expression" dxfId="6060" priority="6718">
      <formula>$H1700="CÉLULA CONSTRUTIVA"</formula>
    </cfRule>
  </conditionalFormatting>
  <conditionalFormatting sqref="G1882:K1882">
    <cfRule type="expression" dxfId="6059" priority="9355">
      <formula>$H1882="ETAPA"</formula>
    </cfRule>
  </conditionalFormatting>
  <conditionalFormatting sqref="G20:L20">
    <cfRule type="expression" dxfId="6058" priority="8437">
      <formula>$H20="ETAPA"</formula>
    </cfRule>
  </conditionalFormatting>
  <conditionalFormatting sqref="G21:L22 N21:N22">
    <cfRule type="expression" dxfId="6057" priority="9503">
      <formula>$H21="CÉLULA CONSTRUTIVA"</formula>
    </cfRule>
  </conditionalFormatting>
  <conditionalFormatting sqref="G21:L22">
    <cfRule type="expression" dxfId="6056" priority="9502">
      <formula>$H21="ETAPA"</formula>
    </cfRule>
  </conditionalFormatting>
  <conditionalFormatting sqref="G24:L24">
    <cfRule type="expression" dxfId="6055" priority="9500">
      <formula>$H24="CÉLULA CONSTRUTIVA"</formula>
    </cfRule>
  </conditionalFormatting>
  <conditionalFormatting sqref="G24:L25 N25">
    <cfRule type="expression" dxfId="6054" priority="9498">
      <formula>$H24="ETAPA"</formula>
    </cfRule>
  </conditionalFormatting>
  <conditionalFormatting sqref="G26:L27 N26:N27">
    <cfRule type="expression" dxfId="6053" priority="3491">
      <formula>$H26="CÉLULA CONSTRUTIVA"</formula>
    </cfRule>
  </conditionalFormatting>
  <conditionalFormatting sqref="G33:L33 N33 K35:K36 O36 K38 O38">
    <cfRule type="expression" dxfId="6052" priority="9496">
      <formula>$H33="ETAPA"</formula>
    </cfRule>
  </conditionalFormatting>
  <conditionalFormatting sqref="G34:L34">
    <cfRule type="expression" dxfId="6051" priority="9495">
      <formula>$H34="SUBETAPA"</formula>
    </cfRule>
  </conditionalFormatting>
  <conditionalFormatting sqref="G39:L39">
    <cfRule type="expression" dxfId="6050" priority="9494">
      <formula>$H39="SUBETAPA"</formula>
    </cfRule>
  </conditionalFormatting>
  <conditionalFormatting sqref="G41:L41 N41">
    <cfRule type="expression" dxfId="6049" priority="9493">
      <formula>$H41="ETAPA"</formula>
    </cfRule>
  </conditionalFormatting>
  <conditionalFormatting sqref="G42:L43 N42:N43">
    <cfRule type="expression" dxfId="6048" priority="3471">
      <formula>$H42="CÉLULA CONSTRUTIVA"</formula>
    </cfRule>
  </conditionalFormatting>
  <conditionalFormatting sqref="G44:L44 M44:M45">
    <cfRule type="expression" dxfId="6047" priority="9492">
      <formula>$H44="SUBETAPA"</formula>
    </cfRule>
  </conditionalFormatting>
  <conditionalFormatting sqref="G52:L52">
    <cfRule type="expression" dxfId="6046" priority="9491">
      <formula>$H52="SUBETAPA"</formula>
    </cfRule>
    <cfRule type="expression" dxfId="6045" priority="9490">
      <formula>$H52="ETAPA"</formula>
    </cfRule>
  </conditionalFormatting>
  <conditionalFormatting sqref="G56:L56">
    <cfRule type="expression" dxfId="6044" priority="9489">
      <formula>$H56="SUBETAPA"</formula>
    </cfRule>
    <cfRule type="expression" dxfId="6043" priority="9488">
      <formula>$H56="ETAPA"</formula>
    </cfRule>
  </conditionalFormatting>
  <conditionalFormatting sqref="G58:L58 N58">
    <cfRule type="expression" dxfId="6042" priority="9487">
      <formula>$H58="CÉLULA CONSTRUTIVA"</formula>
    </cfRule>
  </conditionalFormatting>
  <conditionalFormatting sqref="G58:L58">
    <cfRule type="expression" dxfId="6041" priority="9486">
      <formula>$H58="ETAPA"</formula>
    </cfRule>
  </conditionalFormatting>
  <conditionalFormatting sqref="G104:L104">
    <cfRule type="expression" dxfId="6040" priority="9485">
      <formula>$H104="CÉLULA CONSTRUTIVA"</formula>
    </cfRule>
  </conditionalFormatting>
  <conditionalFormatting sqref="G106:L106">
    <cfRule type="expression" dxfId="6039" priority="9484">
      <formula>$H106="CÉLULA CONSTRUTIVA"</formula>
    </cfRule>
  </conditionalFormatting>
  <conditionalFormatting sqref="G108:L108">
    <cfRule type="expression" dxfId="6038" priority="9483">
      <formula>$H108="CÉLULA CONSTRUTIVA"</formula>
    </cfRule>
  </conditionalFormatting>
  <conditionalFormatting sqref="G110:L110">
    <cfRule type="expression" dxfId="6037" priority="9482">
      <formula>$H110="CÉLULA CONSTRUTIVA"</formula>
    </cfRule>
  </conditionalFormatting>
  <conditionalFormatting sqref="G112:L112">
    <cfRule type="expression" dxfId="6036" priority="9481">
      <formula>$H112="CÉLULA CONSTRUTIVA"</formula>
    </cfRule>
  </conditionalFormatting>
  <conditionalFormatting sqref="G114:L114">
    <cfRule type="expression" dxfId="6035" priority="9480">
      <formula>$H114="CÉLULA CONSTRUTIVA"</formula>
    </cfRule>
  </conditionalFormatting>
  <conditionalFormatting sqref="G116:L116">
    <cfRule type="expression" dxfId="6034" priority="9479">
      <formula>$H116="CÉLULA CONSTRUTIVA"</formula>
    </cfRule>
  </conditionalFormatting>
  <conditionalFormatting sqref="G118:L118">
    <cfRule type="expression" dxfId="6033" priority="9478">
      <formula>$H118="CÉLULA CONSTRUTIVA"</formula>
    </cfRule>
  </conditionalFormatting>
  <conditionalFormatting sqref="G120:L120">
    <cfRule type="expression" dxfId="6032" priority="9477">
      <formula>$H120="CÉLULA CONSTRUTIVA"</formula>
    </cfRule>
  </conditionalFormatting>
  <conditionalFormatting sqref="G131:L131">
    <cfRule type="expression" dxfId="6031" priority="9476">
      <formula>$H131="CÉLULA CONSTRUTIVA"</formula>
    </cfRule>
  </conditionalFormatting>
  <conditionalFormatting sqref="G139:L139 N139">
    <cfRule type="expression" dxfId="6030" priority="9475">
      <formula>$H139="SUBETAPA"</formula>
    </cfRule>
  </conditionalFormatting>
  <conditionalFormatting sqref="G178:L178">
    <cfRule type="expression" dxfId="6029" priority="6424">
      <formula>$H178="ETAPA"</formula>
    </cfRule>
  </conditionalFormatting>
  <conditionalFormatting sqref="G187:L187">
    <cfRule type="expression" dxfId="6028" priority="6402">
      <formula>$H187="ETAPA"</formula>
    </cfRule>
  </conditionalFormatting>
  <conditionalFormatting sqref="G196:L196">
    <cfRule type="expression" dxfId="6027" priority="6380">
      <formula>$H196="ETAPA"</formula>
    </cfRule>
  </conditionalFormatting>
  <conditionalFormatting sqref="G205:L205">
    <cfRule type="expression" dxfId="6026" priority="6359">
      <formula>$H205="ETAPA"</formula>
    </cfRule>
  </conditionalFormatting>
  <conditionalFormatting sqref="G214:L214">
    <cfRule type="expression" dxfId="6025" priority="6337">
      <formula>$H214="ETAPA"</formula>
    </cfRule>
  </conditionalFormatting>
  <conditionalFormatting sqref="G313:L313 N313">
    <cfRule type="expression" dxfId="6024" priority="9473">
      <formula>$H313="SUBETAPA"</formula>
    </cfRule>
    <cfRule type="expression" dxfId="6023" priority="9474">
      <formula>$H313="ETAPA"</formula>
    </cfRule>
  </conditionalFormatting>
  <conditionalFormatting sqref="G315:L315 N315 J348:M348 J1213 J1220 J1227 J1252">
    <cfRule type="expression" dxfId="6022" priority="9470">
      <formula>$H315="CÉLULA CONSTRUTIVA"</formula>
    </cfRule>
    <cfRule type="expression" dxfId="6021" priority="9471">
      <formula>$H315="SUBETAPA"</formula>
    </cfRule>
  </conditionalFormatting>
  <conditionalFormatting sqref="G315:L315 N315 J348:M348 L349 K350:L350 L351 K352:L352 L353 K354:L354 L355 K356:L356 L357 K358:L358 J1213 J1220 J1227 J1252">
    <cfRule type="expression" dxfId="6020" priority="9472">
      <formula>$H315="ETAPA"</formula>
    </cfRule>
  </conditionalFormatting>
  <conditionalFormatting sqref="G317:L317">
    <cfRule type="expression" dxfId="6019" priority="7919">
      <formula>$H317="CÉLULA CONSTRUTIVA"</formula>
    </cfRule>
    <cfRule type="expression" dxfId="6018" priority="7920">
      <formula>$H317="SUBETAPA"</formula>
    </cfRule>
  </conditionalFormatting>
  <conditionalFormatting sqref="G319:L319 N319">
    <cfRule type="expression" dxfId="6017" priority="9467">
      <formula>$H319="CÉLULA CONSTRUTIVA"</formula>
    </cfRule>
    <cfRule type="expression" dxfId="6016" priority="9468">
      <formula>$H319="SUBETAPA"</formula>
    </cfRule>
    <cfRule type="expression" dxfId="6015" priority="9469">
      <formula>$H319="ETAPA"</formula>
    </cfRule>
  </conditionalFormatting>
  <conditionalFormatting sqref="G321:L321">
    <cfRule type="expression" dxfId="6014" priority="7916">
      <formula>$H321="CÉLULA CONSTRUTIVA"</formula>
    </cfRule>
    <cfRule type="expression" dxfId="6013" priority="7917">
      <formula>$H321="SUBETAPA"</formula>
    </cfRule>
  </conditionalFormatting>
  <conditionalFormatting sqref="G323:L323 N323">
    <cfRule type="expression" dxfId="6012" priority="9465">
      <formula>$H323="SUBETAPA"</formula>
    </cfRule>
    <cfRule type="expression" dxfId="6011" priority="9466">
      <formula>$H323="ETAPA"</formula>
    </cfRule>
  </conditionalFormatting>
  <conditionalFormatting sqref="G325:L325">
    <cfRule type="expression" dxfId="6010" priority="7913">
      <formula>$H325="CÉLULA CONSTRUTIVA"</formula>
    </cfRule>
    <cfRule type="expression" dxfId="6009" priority="7914">
      <formula>$H325="SUBETAPA"</formula>
    </cfRule>
  </conditionalFormatting>
  <conditionalFormatting sqref="G327:L327 N327">
    <cfRule type="expression" dxfId="6008" priority="9463">
      <formula>$H327="ETAPA"</formula>
    </cfRule>
  </conditionalFormatting>
  <conditionalFormatting sqref="G327:L329 N327:N329">
    <cfRule type="expression" dxfId="6007" priority="9456">
      <formula>$H327="SUBETAPA"</formula>
    </cfRule>
  </conditionalFormatting>
  <conditionalFormatting sqref="G328:L328 N328">
    <cfRule type="expression" dxfId="6006" priority="9460">
      <formula>$H328="ETAPA"</formula>
    </cfRule>
  </conditionalFormatting>
  <conditionalFormatting sqref="G329:L329 N329">
    <cfRule type="expression" dxfId="6005" priority="9457">
      <formula>$H329="ETAPA"</formula>
    </cfRule>
  </conditionalFormatting>
  <conditionalFormatting sqref="G331:L331">
    <cfRule type="expression" dxfId="6004" priority="7911">
      <formula>$H331="SUBETAPA"</formula>
    </cfRule>
  </conditionalFormatting>
  <conditionalFormatting sqref="G333:L333 N333">
    <cfRule type="expression" dxfId="6003" priority="9453">
      <formula>$H333="SUBETAPA"</formula>
    </cfRule>
    <cfRule type="expression" dxfId="6002" priority="9454">
      <formula>$H333="ETAPA"</formula>
    </cfRule>
  </conditionalFormatting>
  <conditionalFormatting sqref="G335:L335">
    <cfRule type="expression" dxfId="6001" priority="7908">
      <formula>$H335="SUBETAPA"</formula>
    </cfRule>
  </conditionalFormatting>
  <conditionalFormatting sqref="G337:L337 N337">
    <cfRule type="expression" dxfId="6000" priority="9451">
      <formula>$H337="ETAPA"</formula>
    </cfRule>
    <cfRule type="expression" dxfId="5999" priority="9450">
      <formula>$H337="SUBETAPA"</formula>
    </cfRule>
  </conditionalFormatting>
  <conditionalFormatting sqref="G339:L339">
    <cfRule type="expression" dxfId="5998" priority="7905">
      <formula>$H339="SUBETAPA"</formula>
    </cfRule>
  </conditionalFormatting>
  <conditionalFormatting sqref="G341:L341 N341">
    <cfRule type="expression" dxfId="5997" priority="9448">
      <formula>$H341="ETAPA"</formula>
    </cfRule>
    <cfRule type="expression" dxfId="5996" priority="9447">
      <formula>$H341="SUBETAPA"</formula>
    </cfRule>
  </conditionalFormatting>
  <conditionalFormatting sqref="G343:L343">
    <cfRule type="expression" dxfId="5995" priority="7902">
      <formula>$H343="SUBETAPA"</formula>
    </cfRule>
  </conditionalFormatting>
  <conditionalFormatting sqref="G345:L345 N345">
    <cfRule type="expression" dxfId="5994" priority="9445">
      <formula>$H345="ETAPA"</formula>
    </cfRule>
    <cfRule type="expression" dxfId="5993" priority="9444">
      <formula>$H345="SUBETAPA"</formula>
    </cfRule>
    <cfRule type="expression" dxfId="5992" priority="9443">
      <formula>$H345="CÉLULA CONSTRUTIVA"</formula>
    </cfRule>
  </conditionalFormatting>
  <conditionalFormatting sqref="G346:L346 N346">
    <cfRule type="expression" dxfId="5991" priority="9442">
      <formula>$H346="ETAPA"</formula>
    </cfRule>
  </conditionalFormatting>
  <conditionalFormatting sqref="G349:L358 K361 K363 K365 K367 K369 K371 K373 K375 K377">
    <cfRule type="expression" dxfId="5990" priority="6797">
      <formula>$H349="SUBETAPA"</formula>
    </cfRule>
  </conditionalFormatting>
  <conditionalFormatting sqref="G349:L378">
    <cfRule type="expression" dxfId="5989" priority="6160">
      <formula>$H349="CÉLULA CONSTRUTIVA"</formula>
    </cfRule>
  </conditionalFormatting>
  <conditionalFormatting sqref="G379:L381 H386:M386 H388:M388 H389:L389 H390:M390 H391:L391 H392:M392 G382:M382 G383:G398 H393:L394 H395:M395 K397:M397 O397">
    <cfRule type="expression" dxfId="5988" priority="9412">
      <formula>$H379="ETAPA"</formula>
    </cfRule>
  </conditionalFormatting>
  <conditionalFormatting sqref="G1125:L1125">
    <cfRule type="expression" dxfId="5987" priority="5874">
      <formula>$H1125="SUBETAPA"</formula>
    </cfRule>
  </conditionalFormatting>
  <conditionalFormatting sqref="G20:M20">
    <cfRule type="expression" dxfId="5986" priority="5307">
      <formula>$H20="CÉLULA CONSTRUTIVA"</formula>
    </cfRule>
  </conditionalFormatting>
  <conditionalFormatting sqref="G21:M21">
    <cfRule type="expression" dxfId="5985" priority="9411">
      <formula>$H21="SUBETAPA"</formula>
    </cfRule>
  </conditionalFormatting>
  <conditionalFormatting sqref="G122:M122">
    <cfRule type="expression" dxfId="5984" priority="9410">
      <formula>$H122="ETAPA"</formula>
    </cfRule>
  </conditionalFormatting>
  <conditionalFormatting sqref="G125:M125">
    <cfRule type="expression" dxfId="5983" priority="9409">
      <formula>$H125="ETAPA"</formula>
    </cfRule>
  </conditionalFormatting>
  <conditionalFormatting sqref="G128:M128">
    <cfRule type="expression" dxfId="5982" priority="9408">
      <formula>$H128="ETAPA"</formula>
    </cfRule>
  </conditionalFormatting>
  <conditionalFormatting sqref="G133:M133">
    <cfRule type="expression" dxfId="5981" priority="9407">
      <formula>$H133="ETAPA"</formula>
    </cfRule>
  </conditionalFormatting>
  <conditionalFormatting sqref="G136:M136">
    <cfRule type="expression" dxfId="5980" priority="9406">
      <formula>$H136="ETAPA"</formula>
    </cfRule>
  </conditionalFormatting>
  <conditionalFormatting sqref="G148:M148 N148:N153">
    <cfRule type="expression" dxfId="5979" priority="9405">
      <formula>$H148="ETAPA"</formula>
    </cfRule>
  </conditionalFormatting>
  <conditionalFormatting sqref="G158:M158 N158:N163">
    <cfRule type="expression" dxfId="5978" priority="9404">
      <formula>$H158="ETAPA"</formula>
    </cfRule>
  </conditionalFormatting>
  <conditionalFormatting sqref="G168:M168 N168:N173">
    <cfRule type="expression" dxfId="5977" priority="9403">
      <formula>$H168="ETAPA"</formula>
    </cfRule>
  </conditionalFormatting>
  <conditionalFormatting sqref="G222:M222 N222:N227">
    <cfRule type="expression" dxfId="5976" priority="9402">
      <formula>$H222="ETAPA"</formula>
    </cfRule>
  </conditionalFormatting>
  <conditionalFormatting sqref="G231:M231 N231:N236">
    <cfRule type="expression" dxfId="5975" priority="9401">
      <formula>$H231="ETAPA"</formula>
    </cfRule>
  </conditionalFormatting>
  <conditionalFormatting sqref="G240:M240 N240:N245">
    <cfRule type="expression" dxfId="5974" priority="9400">
      <formula>$H240="ETAPA"</formula>
    </cfRule>
  </conditionalFormatting>
  <conditionalFormatting sqref="G249:M249 N249:N254">
    <cfRule type="expression" dxfId="5973" priority="9399">
      <formula>$H249="ETAPA"</formula>
    </cfRule>
  </conditionalFormatting>
  <conditionalFormatting sqref="G258:M258 N258:N263">
    <cfRule type="expression" dxfId="5972" priority="9398">
      <formula>$H258="ETAPA"</formula>
    </cfRule>
  </conditionalFormatting>
  <conditionalFormatting sqref="G267:M267 N267:N272">
    <cfRule type="expression" dxfId="5971" priority="9397">
      <formula>$H267="ETAPA"</formula>
    </cfRule>
  </conditionalFormatting>
  <conditionalFormatting sqref="G303:M303">
    <cfRule type="expression" dxfId="5970" priority="7926">
      <formula>$H303="SUBETAPA"</formula>
    </cfRule>
  </conditionalFormatting>
  <conditionalFormatting sqref="G307:M307 N307:N308">
    <cfRule type="expression" dxfId="5969" priority="9396">
      <formula>$H307="SUBETAPA"</formula>
    </cfRule>
  </conditionalFormatting>
  <conditionalFormatting sqref="G347:M347">
    <cfRule type="expression" dxfId="5968" priority="9395">
      <formula>$H347="SUBETAPA"</formula>
    </cfRule>
  </conditionalFormatting>
  <conditionalFormatting sqref="G379:M382 H383:M383 G383:G398 J384:M384 H385:M385 K386:M386 H387:M387 K388:M388 M389 K390:M390 M391 K392:M392 H393:M396 K397:M397 O397 H398:M398">
    <cfRule type="expression" dxfId="5967" priority="8153">
      <formula>$H379="SUBETAPA"</formula>
    </cfRule>
  </conditionalFormatting>
  <conditionalFormatting sqref="G899:M913 J905">
    <cfRule type="expression" dxfId="5966" priority="8086">
      <formula>$H899="SUBETAPA"</formula>
    </cfRule>
  </conditionalFormatting>
  <conditionalFormatting sqref="G1708:M1709">
    <cfRule type="expression" dxfId="5965" priority="9353">
      <formula>$H1708="ETAPA"</formula>
    </cfRule>
  </conditionalFormatting>
  <conditionalFormatting sqref="G1717:M1718">
    <cfRule type="expression" dxfId="5964" priority="9352">
      <formula>$H1717="ETAPA"</formula>
    </cfRule>
  </conditionalFormatting>
  <conditionalFormatting sqref="G1726:M1727">
    <cfRule type="expression" dxfId="5963" priority="9351">
      <formula>$H1726="ETAPA"</formula>
    </cfRule>
  </conditionalFormatting>
  <conditionalFormatting sqref="G1735:M1736">
    <cfRule type="expression" dxfId="5962" priority="9350">
      <formula>$H1735="ETAPA"</formula>
    </cfRule>
  </conditionalFormatting>
  <conditionalFormatting sqref="G1744:M1745">
    <cfRule type="expression" dxfId="5961" priority="9349">
      <formula>$H1744="ETAPA"</formula>
    </cfRule>
  </conditionalFormatting>
  <conditionalFormatting sqref="G1744:M1747">
    <cfRule type="expression" dxfId="5960" priority="6715">
      <formula>$H1744="CÉLULA CONSTRUTIVA"</formula>
    </cfRule>
  </conditionalFormatting>
  <conditionalFormatting sqref="G25:N25">
    <cfRule type="expression" dxfId="5959" priority="9348">
      <formula>$H25="SUBETAPA"</formula>
    </cfRule>
    <cfRule type="expression" dxfId="5958" priority="9347">
      <formula>$H25="CÉLULA CONSTRUTIVA"</formula>
    </cfRule>
  </conditionalFormatting>
  <conditionalFormatting sqref="G41:N41">
    <cfRule type="expression" dxfId="5957" priority="9345">
      <formula>$H41="SUBETAPA"</formula>
    </cfRule>
  </conditionalFormatting>
  <conditionalFormatting sqref="G51:N51">
    <cfRule type="expression" dxfId="5956" priority="9344">
      <formula>$H51="ETAPA"</formula>
    </cfRule>
    <cfRule type="expression" dxfId="5955" priority="9343">
      <formula>$H51="SUBETAPA"</formula>
    </cfRule>
  </conditionalFormatting>
  <conditionalFormatting sqref="G55:N55">
    <cfRule type="expression" dxfId="5954" priority="9342">
      <formula>$H55="ETAPA"</formula>
    </cfRule>
    <cfRule type="expression" dxfId="5953" priority="9341">
      <formula>$H55="SUBETAPA"</formula>
    </cfRule>
  </conditionalFormatting>
  <conditionalFormatting sqref="G58:N58">
    <cfRule type="expression" dxfId="5952" priority="9340">
      <formula>$H58="SUBETAPA"</formula>
    </cfRule>
  </conditionalFormatting>
  <conditionalFormatting sqref="G97:N99">
    <cfRule type="expression" dxfId="5951" priority="9339">
      <formula>$H97="ETAPA"</formula>
    </cfRule>
  </conditionalFormatting>
  <conditionalFormatting sqref="G104:N104">
    <cfRule type="expression" dxfId="5950" priority="9338">
      <formula>$H104="ETAPA"</formula>
    </cfRule>
  </conditionalFormatting>
  <conditionalFormatting sqref="G106:N106">
    <cfRule type="expression" dxfId="5949" priority="9337">
      <formula>$H106="ETAPA"</formula>
    </cfRule>
  </conditionalFormatting>
  <conditionalFormatting sqref="G108:N108">
    <cfRule type="expression" dxfId="5948" priority="9336">
      <formula>$H108="ETAPA"</formula>
    </cfRule>
  </conditionalFormatting>
  <conditionalFormatting sqref="G110:N110">
    <cfRule type="expression" dxfId="5947" priority="9335">
      <formula>$H110="ETAPA"</formula>
    </cfRule>
  </conditionalFormatting>
  <conditionalFormatting sqref="G112:N112">
    <cfRule type="expression" dxfId="5946" priority="9334">
      <formula>$H112="ETAPA"</formula>
    </cfRule>
  </conditionalFormatting>
  <conditionalFormatting sqref="G114:N114">
    <cfRule type="expression" dxfId="5945" priority="9333">
      <formula>$H114="ETAPA"</formula>
    </cfRule>
  </conditionalFormatting>
  <conditionalFormatting sqref="G116:N116">
    <cfRule type="expression" dxfId="5944" priority="9332">
      <formula>$H116="ETAPA"</formula>
    </cfRule>
  </conditionalFormatting>
  <conditionalFormatting sqref="G118:N118">
    <cfRule type="expression" dxfId="5943" priority="9331">
      <formula>$H118="ETAPA"</formula>
    </cfRule>
  </conditionalFormatting>
  <conditionalFormatting sqref="G120:N120">
    <cfRule type="expression" dxfId="5942" priority="9330">
      <formula>$H120="ETAPA"</formula>
    </cfRule>
  </conditionalFormatting>
  <conditionalFormatting sqref="G131:N131">
    <cfRule type="expression" dxfId="5941" priority="9329">
      <formula>$H131="ETAPA"</formula>
    </cfRule>
  </conditionalFormatting>
  <conditionalFormatting sqref="G139:N139">
    <cfRule type="expression" dxfId="5940" priority="9328">
      <formula>$H139="ETAPA"</formula>
    </cfRule>
  </conditionalFormatting>
  <conditionalFormatting sqref="G177:N177">
    <cfRule type="expression" dxfId="5939" priority="9327">
      <formula>$H177="ETAPA"</formula>
    </cfRule>
  </conditionalFormatting>
  <conditionalFormatting sqref="G186:N186">
    <cfRule type="expression" dxfId="5938" priority="9326">
      <formula>$H186="ETAPA"</formula>
    </cfRule>
  </conditionalFormatting>
  <conditionalFormatting sqref="G195:N195">
    <cfRule type="expression" dxfId="5937" priority="9325">
      <formula>$H195="ETAPA"</formula>
    </cfRule>
  </conditionalFormatting>
  <conditionalFormatting sqref="G204:N204">
    <cfRule type="expression" dxfId="5936" priority="9324">
      <formula>$H204="ETAPA"</formula>
    </cfRule>
  </conditionalFormatting>
  <conditionalFormatting sqref="G213:N213">
    <cfRule type="expression" dxfId="5935" priority="9323">
      <formula>$H213="ETAPA"</formula>
    </cfRule>
  </conditionalFormatting>
  <conditionalFormatting sqref="G274:N274">
    <cfRule type="expression" dxfId="5934" priority="9322">
      <formula>$H274="ETAPA"</formula>
    </cfRule>
  </conditionalFormatting>
  <conditionalFormatting sqref="G323:N323">
    <cfRule type="expression" dxfId="5933" priority="5043">
      <formula>$H323="CÉLULA CONSTRUTIVA"</formula>
    </cfRule>
  </conditionalFormatting>
  <conditionalFormatting sqref="G331:N331 G333:N333 G335:N335 G337:N337 G339:N339 G341:N341 G343:N343">
    <cfRule type="expression" dxfId="5932" priority="5001">
      <formula>$H331="CÉLULA CONSTRUTIVA"</formula>
    </cfRule>
  </conditionalFormatting>
  <conditionalFormatting sqref="G346:N346">
    <cfRule type="expression" dxfId="5931" priority="9321">
      <formula>$H346="SUBETAPA"</formula>
    </cfRule>
  </conditionalFormatting>
  <conditionalFormatting sqref="G115:O115">
    <cfRule type="expression" dxfId="5930" priority="9320">
      <formula>$H115="ETAPA"</formula>
    </cfRule>
  </conditionalFormatting>
  <conditionalFormatting sqref="H26:H27">
    <cfRule type="expression" dxfId="5929" priority="9318">
      <formula>$H26="ETAPA"</formula>
    </cfRule>
    <cfRule type="expression" dxfId="5928" priority="9319">
      <formula>$H26="SUBETAPA"</formula>
    </cfRule>
  </conditionalFormatting>
  <conditionalFormatting sqref="H42:H43">
    <cfRule type="expression" dxfId="5927" priority="9315">
      <formula>$H42="ETAPA"</formula>
    </cfRule>
    <cfRule type="expression" dxfId="5926" priority="9316">
      <formula>$H42="SUBETAPA"</formula>
    </cfRule>
  </conditionalFormatting>
  <conditionalFormatting sqref="H80:H92">
    <cfRule type="expression" dxfId="5925" priority="9310">
      <formula>$H80="ETAPA"</formula>
    </cfRule>
    <cfRule type="expression" dxfId="5924" priority="9311">
      <formula>$H80="SUBETAPA"</formula>
    </cfRule>
    <cfRule type="expression" dxfId="5923" priority="9308">
      <formula>$H80="CÉLULA CONSTRUTIVA"</formula>
    </cfRule>
  </conditionalFormatting>
  <conditionalFormatting sqref="H914:H919 H947:H951 H954:H958 H961:H965 H968:H972 H975:H979">
    <cfRule type="expression" dxfId="5922" priority="9270">
      <formula>$H914="SUBETAPA"</formula>
    </cfRule>
  </conditionalFormatting>
  <conditionalFormatting sqref="H914:H921">
    <cfRule type="expression" dxfId="5921" priority="9305">
      <formula>$H914="ETAPA"</formula>
    </cfRule>
  </conditionalFormatting>
  <conditionalFormatting sqref="H914:H1001">
    <cfRule type="expression" dxfId="5920" priority="9260">
      <formula>$H914="CÉLULA CONSTRUTIVA"</formula>
    </cfRule>
  </conditionalFormatting>
  <conditionalFormatting sqref="H920:H921">
    <cfRule type="expression" dxfId="5919" priority="9306">
      <formula>$H920="SUBETAPA"</formula>
    </cfRule>
  </conditionalFormatting>
  <conditionalFormatting sqref="H922:H924 H927:H929 H932:H934 H937:H939 H942:H944 H982:H984 H994:H996">
    <cfRule type="expression" dxfId="5918" priority="10500">
      <formula>$H922="SUBETAPA"</formula>
    </cfRule>
  </conditionalFormatting>
  <conditionalFormatting sqref="H925:H926">
    <cfRule type="expression" dxfId="5917" priority="9303">
      <formula>$H925="SUBETAPA"</formula>
    </cfRule>
    <cfRule type="expression" dxfId="5916" priority="9302">
      <formula>$H925="ETAPA"</formula>
    </cfRule>
  </conditionalFormatting>
  <conditionalFormatting sqref="H930:H931">
    <cfRule type="expression" dxfId="5915" priority="9300">
      <formula>$H930="SUBETAPA"</formula>
    </cfRule>
    <cfRule type="expression" dxfId="5914" priority="9299">
      <formula>$H930="ETAPA"</formula>
    </cfRule>
  </conditionalFormatting>
  <conditionalFormatting sqref="H935:H936">
    <cfRule type="expression" dxfId="5913" priority="9297">
      <formula>$H935="SUBETAPA"</formula>
    </cfRule>
    <cfRule type="expression" dxfId="5912" priority="9296">
      <formula>$H935="ETAPA"</formula>
    </cfRule>
  </conditionalFormatting>
  <conditionalFormatting sqref="H940:H941">
    <cfRule type="expression" dxfId="5911" priority="9294">
      <formula>$H940="SUBETAPA"</formula>
    </cfRule>
    <cfRule type="expression" dxfId="5910" priority="9293">
      <formula>$H940="ETAPA"</formula>
    </cfRule>
  </conditionalFormatting>
  <conditionalFormatting sqref="H945:H946">
    <cfRule type="expression" dxfId="5909" priority="9291">
      <formula>$H945="SUBETAPA"</formula>
    </cfRule>
  </conditionalFormatting>
  <conditionalFormatting sqref="H945:H981">
    <cfRule type="expression" dxfId="5908" priority="9275">
      <formula>$H945="ETAPA"</formula>
    </cfRule>
  </conditionalFormatting>
  <conditionalFormatting sqref="H952:H953">
    <cfRule type="expression" dxfId="5907" priority="9288">
      <formula>$H952="SUBETAPA"</formula>
    </cfRule>
  </conditionalFormatting>
  <conditionalFormatting sqref="H959:H960">
    <cfRule type="expression" dxfId="5906" priority="9285">
      <formula>$H959="SUBETAPA"</formula>
    </cfRule>
  </conditionalFormatting>
  <conditionalFormatting sqref="H966:H967">
    <cfRule type="expression" dxfId="5905" priority="9282">
      <formula>$H966="SUBETAPA"</formula>
    </cfRule>
  </conditionalFormatting>
  <conditionalFormatting sqref="H973:H974">
    <cfRule type="expression" dxfId="5904" priority="9279">
      <formula>$H973="SUBETAPA"</formula>
    </cfRule>
  </conditionalFormatting>
  <conditionalFormatting sqref="H980:H981">
    <cfRule type="expression" dxfId="5903" priority="9276">
      <formula>$H980="SUBETAPA"</formula>
    </cfRule>
  </conditionalFormatting>
  <conditionalFormatting sqref="H985:H986">
    <cfRule type="expression" dxfId="5902" priority="9273">
      <formula>$H985="SUBETAPA"</formula>
    </cfRule>
  </conditionalFormatting>
  <conditionalFormatting sqref="H985:H991">
    <cfRule type="expression" dxfId="5901" priority="9272">
      <formula>$H985="ETAPA"</formula>
    </cfRule>
  </conditionalFormatting>
  <conditionalFormatting sqref="H987:H993">
    <cfRule type="expression" dxfId="5900" priority="9268">
      <formula>$H987="SUBETAPA"</formula>
    </cfRule>
  </conditionalFormatting>
  <conditionalFormatting sqref="H992:H993">
    <cfRule type="expression" dxfId="5899" priority="9267">
      <formula>$H992="ETAPA"</formula>
    </cfRule>
  </conditionalFormatting>
  <conditionalFormatting sqref="H997:H1001">
    <cfRule type="expression" dxfId="5898" priority="9261">
      <formula>$H997="ETAPA"</formula>
    </cfRule>
    <cfRule type="expression" dxfId="5897" priority="9262">
      <formula>$H997="SUBETAPA"</formula>
    </cfRule>
  </conditionalFormatting>
  <conditionalFormatting sqref="H1013:H1128 H1135:H1148 H1153:H1155 H1160:H1162 H1165:H1172">
    <cfRule type="expression" dxfId="5896" priority="9184">
      <formula>$H1013="CÉLULA CONSTRUTIVA"</formula>
    </cfRule>
  </conditionalFormatting>
  <conditionalFormatting sqref="H1013:H1128 H1145:H1148 H1151:H1155 H1158:H1162 H1165:H1167 H1169:H1172">
    <cfRule type="expression" dxfId="5895" priority="9185">
      <formula>$H1013="SUBETAPA"</formula>
    </cfRule>
  </conditionalFormatting>
  <conditionalFormatting sqref="H1013:H1129">
    <cfRule type="expression" dxfId="5894" priority="9251">
      <formula>$H1013="ETAPA"</formula>
    </cfRule>
  </conditionalFormatting>
  <conditionalFormatting sqref="H1129">
    <cfRule type="expression" dxfId="5893" priority="9252">
      <formula>$H1129="SUBETAPA"</formula>
    </cfRule>
  </conditionalFormatting>
  <conditionalFormatting sqref="H1129:H1131 J1130:L1130">
    <cfRule type="expression" dxfId="5892" priority="9248">
      <formula>$H1129="CÉLULA CONSTRUTIVA"</formula>
    </cfRule>
  </conditionalFormatting>
  <conditionalFormatting sqref="H1130 J1130:L1130">
    <cfRule type="expression" dxfId="5891" priority="9247">
      <formula>$H1130="ETAPA"</formula>
    </cfRule>
  </conditionalFormatting>
  <conditionalFormatting sqref="H1132">
    <cfRule type="expression" dxfId="5890" priority="9245">
      <formula>$H1132="ETAPA"</formula>
    </cfRule>
    <cfRule type="expression" dxfId="5889" priority="9246">
      <formula>$H1132="SUBETAPA"</formula>
    </cfRule>
  </conditionalFormatting>
  <conditionalFormatting sqref="H1132:H1134 J1133:L1133">
    <cfRule type="expression" dxfId="5888" priority="9242">
      <formula>$H1132="CÉLULA CONSTRUTIVA"</formula>
    </cfRule>
  </conditionalFormatting>
  <conditionalFormatting sqref="H1133 J1133:L1133">
    <cfRule type="expression" dxfId="5887" priority="9241">
      <formula>$H1133="ETAPA"</formula>
    </cfRule>
  </conditionalFormatting>
  <conditionalFormatting sqref="H1135">
    <cfRule type="expression" dxfId="5886" priority="9239">
      <formula>$H1135="ETAPA"</formula>
    </cfRule>
    <cfRule type="expression" dxfId="5885" priority="9240">
      <formula>$H1135="SUBETAPA"</formula>
    </cfRule>
  </conditionalFormatting>
  <conditionalFormatting sqref="H1136:H1138">
    <cfRule type="expression" dxfId="5884" priority="9235">
      <formula>$H1136="SUBETAPA"</formula>
    </cfRule>
  </conditionalFormatting>
  <conditionalFormatting sqref="H1138">
    <cfRule type="expression" dxfId="5883" priority="9234">
      <formula>$H1138="ETAPA"</formula>
    </cfRule>
  </conditionalFormatting>
  <conditionalFormatting sqref="H1139:H1141">
    <cfRule type="expression" dxfId="5882" priority="9230">
      <formula>$H1139="SUBETAPA"</formula>
    </cfRule>
  </conditionalFormatting>
  <conditionalFormatting sqref="H1141">
    <cfRule type="expression" dxfId="5881" priority="9229">
      <formula>$H1141="ETAPA"</formula>
    </cfRule>
  </conditionalFormatting>
  <conditionalFormatting sqref="H1142:H1144">
    <cfRule type="expression" dxfId="5880" priority="9225">
      <formula>$H1142="SUBETAPA"</formula>
    </cfRule>
  </conditionalFormatting>
  <conditionalFormatting sqref="H1144">
    <cfRule type="expression" dxfId="5879" priority="9224">
      <formula>$H1144="ETAPA"</formula>
    </cfRule>
  </conditionalFormatting>
  <conditionalFormatting sqref="H1146:H1149">
    <cfRule type="expression" dxfId="5878" priority="9219">
      <formula>$H1146="ETAPA"</formula>
    </cfRule>
  </conditionalFormatting>
  <conditionalFormatting sqref="H1149">
    <cfRule type="expression" dxfId="5877" priority="9220">
      <formula>$H1149="SUBETAPA"</formula>
    </cfRule>
  </conditionalFormatting>
  <conditionalFormatting sqref="H1150 J1150:L1150">
    <cfRule type="expression" dxfId="5876" priority="9217">
      <formula>$H1150="SUBETAPA"</formula>
    </cfRule>
  </conditionalFormatting>
  <conditionalFormatting sqref="H1151 J1151:L1151">
    <cfRule type="expression" dxfId="5875" priority="9215">
      <formula>$H1151="ETAPA"</formula>
    </cfRule>
  </conditionalFormatting>
  <conditionalFormatting sqref="H1156">
    <cfRule type="expression" dxfId="5874" priority="9211">
      <formula>$H1156="SUBETAPA"</formula>
    </cfRule>
    <cfRule type="expression" dxfId="5873" priority="9210">
      <formula>$H1156="ETAPA"</formula>
    </cfRule>
  </conditionalFormatting>
  <conditionalFormatting sqref="H1157 J1157:L1157">
    <cfRule type="expression" dxfId="5872" priority="9208">
      <formula>$H1157="SUBETAPA"</formula>
    </cfRule>
  </conditionalFormatting>
  <conditionalFormatting sqref="H1158 J1158:L1158">
    <cfRule type="expression" dxfId="5871" priority="9206">
      <formula>$H1158="ETAPA"</formula>
    </cfRule>
  </conditionalFormatting>
  <conditionalFormatting sqref="H1163">
    <cfRule type="expression" dxfId="5870" priority="9202">
      <formula>$H1163="SUBETAPA"</formula>
    </cfRule>
    <cfRule type="expression" dxfId="5869" priority="9201">
      <formula>$H1163="ETAPA"</formula>
    </cfRule>
  </conditionalFormatting>
  <conditionalFormatting sqref="H1164 J1164:L1164">
    <cfRule type="expression" dxfId="5868" priority="9199">
      <formula>$H1164="SUBETAPA"</formula>
    </cfRule>
  </conditionalFormatting>
  <conditionalFormatting sqref="H1164:H1168">
    <cfRule type="expression" dxfId="5867" priority="9195">
      <formula>$H1164="ETAPA"</formula>
    </cfRule>
  </conditionalFormatting>
  <conditionalFormatting sqref="H1168">
    <cfRule type="expression" dxfId="5866" priority="9196">
      <formula>$H1168="SUBETAPA"</formula>
    </cfRule>
  </conditionalFormatting>
  <conditionalFormatting sqref="H1170:H1173">
    <cfRule type="expression" dxfId="5865" priority="9190">
      <formula>$H1170="ETAPA"</formula>
    </cfRule>
  </conditionalFormatting>
  <conditionalFormatting sqref="H1173">
    <cfRule type="expression" dxfId="5864" priority="9191">
      <formula>$H1173="SUBETAPA"</formula>
    </cfRule>
  </conditionalFormatting>
  <conditionalFormatting sqref="H1173:H1174 J1174:L1174">
    <cfRule type="expression" dxfId="5863" priority="9187">
      <formula>$H1173="CÉLULA CONSTRUTIVA"</formula>
    </cfRule>
  </conditionalFormatting>
  <conditionalFormatting sqref="H1174 J1174:L1174">
    <cfRule type="expression" dxfId="5862" priority="9188">
      <formula>$H1174="SUBETAPA"</formula>
    </cfRule>
  </conditionalFormatting>
  <conditionalFormatting sqref="H1174:H1177 J1174:L1174">
    <cfRule type="expression" dxfId="5861" priority="9186">
      <formula>$H1174="ETAPA"</formula>
    </cfRule>
  </conditionalFormatting>
  <conditionalFormatting sqref="H1175:H1178">
    <cfRule type="expression" dxfId="5860" priority="9183">
      <formula>$H1175="SUBETAPA"</formula>
    </cfRule>
  </conditionalFormatting>
  <conditionalFormatting sqref="H1175:H1180 J1179:L1179">
    <cfRule type="expression" dxfId="5859" priority="9179">
      <formula>$H1175="CÉLULA CONSTRUTIVA"</formula>
    </cfRule>
  </conditionalFormatting>
  <conditionalFormatting sqref="H1178">
    <cfRule type="expression" dxfId="5858" priority="9182">
      <formula>$H1178="ETAPA"</formula>
    </cfRule>
  </conditionalFormatting>
  <conditionalFormatting sqref="H1179 J1179:L1179">
    <cfRule type="expression" dxfId="5857" priority="9178">
      <formula>$H1179="ETAPA"</formula>
    </cfRule>
  </conditionalFormatting>
  <conditionalFormatting sqref="H1181">
    <cfRule type="expression" dxfId="5856" priority="9177">
      <formula>$H1181="SUBETAPA"</formula>
    </cfRule>
    <cfRule type="expression" dxfId="5855" priority="9176">
      <formula>$H1181="ETAPA"</formula>
    </cfRule>
  </conditionalFormatting>
  <conditionalFormatting sqref="H1181:H1182 J1182:L1182">
    <cfRule type="expression" dxfId="5854" priority="9173">
      <formula>$H1181="CÉLULA CONSTRUTIVA"</formula>
    </cfRule>
  </conditionalFormatting>
  <conditionalFormatting sqref="H1182 J1182:L1182">
    <cfRule type="expression" dxfId="5853" priority="9174">
      <formula>$H1182="SUBETAPA"</formula>
    </cfRule>
    <cfRule type="expression" dxfId="5852" priority="9172">
      <formula>$H1182="ETAPA"</formula>
    </cfRule>
  </conditionalFormatting>
  <conditionalFormatting sqref="H1193:H1194">
    <cfRule type="expression" dxfId="5851" priority="9171">
      <formula>$H1193="SUBETAPA"</formula>
    </cfRule>
  </conditionalFormatting>
  <conditionalFormatting sqref="H1203 J1203:K1203 O1203 J1204:J1205">
    <cfRule type="expression" dxfId="5850" priority="9170">
      <formula>$H1203="ETAPA"</formula>
    </cfRule>
  </conditionalFormatting>
  <conditionalFormatting sqref="H1205 J1205:K1205 O1205">
    <cfRule type="expression" dxfId="5849" priority="9167">
      <formula>$H1205="ETAPA"</formula>
    </cfRule>
  </conditionalFormatting>
  <conditionalFormatting sqref="H1208:H1209">
    <cfRule type="expression" dxfId="5848" priority="9165">
      <formula>$H1208="ETAPA"</formula>
    </cfRule>
    <cfRule type="expression" dxfId="5847" priority="9164">
      <formula>$H1208="SUBETAPA"</formula>
    </cfRule>
  </conditionalFormatting>
  <conditionalFormatting sqref="H1213 K1213 O1213">
    <cfRule type="expression" dxfId="5846" priority="9163">
      <formula>$H1213="ETAPA"</formula>
    </cfRule>
  </conditionalFormatting>
  <conditionalFormatting sqref="H1213 K1213:L1213 O1213">
    <cfRule type="expression" dxfId="5845" priority="9162">
      <formula>$H1213="SUBETAPA"</formula>
    </cfRule>
  </conditionalFormatting>
  <conditionalFormatting sqref="H1215:H1216">
    <cfRule type="expression" dxfId="5844" priority="9161">
      <formula>$H1215="ETAPA"</formula>
    </cfRule>
    <cfRule type="expression" dxfId="5843" priority="9160">
      <formula>$H1215="SUBETAPA"</formula>
    </cfRule>
  </conditionalFormatting>
  <conditionalFormatting sqref="H1220">
    <cfRule type="expression" dxfId="5842" priority="9158">
      <formula>$H1220="SUBETAPA"</formula>
    </cfRule>
    <cfRule type="expression" dxfId="5841" priority="9159">
      <formula>$H1220="ETAPA"</formula>
    </cfRule>
  </conditionalFormatting>
  <conditionalFormatting sqref="H1222:H1223">
    <cfRule type="expression" dxfId="5840" priority="9157">
      <formula>$H1222="ETAPA"</formula>
    </cfRule>
    <cfRule type="expression" dxfId="5839" priority="9156">
      <formula>$H1222="SUBETAPA"</formula>
    </cfRule>
  </conditionalFormatting>
  <conditionalFormatting sqref="H1227">
    <cfRule type="expression" dxfId="5838" priority="9155">
      <formula>$H1227="ETAPA"</formula>
    </cfRule>
    <cfRule type="expression" dxfId="5837" priority="9154">
      <formula>$H1227="SUBETAPA"</formula>
    </cfRule>
  </conditionalFormatting>
  <conditionalFormatting sqref="H1232:H1233">
    <cfRule type="expression" dxfId="5836" priority="9152">
      <formula>$H1232="SUBETAPA"</formula>
    </cfRule>
    <cfRule type="expression" dxfId="5835" priority="9153">
      <formula>$H1232="ETAPA"</formula>
    </cfRule>
  </conditionalFormatting>
  <conditionalFormatting sqref="H1242">
    <cfRule type="expression" dxfId="5834" priority="9150">
      <formula>$H1242="SUBETAPA"</formula>
    </cfRule>
    <cfRule type="expression" dxfId="5833" priority="9151">
      <formula>$H1242="ETAPA"</formula>
    </cfRule>
  </conditionalFormatting>
  <conditionalFormatting sqref="H1242:H1245">
    <cfRule type="expression" dxfId="5832" priority="9149">
      <formula>$H1242="CÉLULA CONSTRUTIVA"</formula>
    </cfRule>
  </conditionalFormatting>
  <conditionalFormatting sqref="H1243 H1245">
    <cfRule type="expression" dxfId="5831" priority="9148">
      <formula>$H1243="ETAPA"</formula>
    </cfRule>
  </conditionalFormatting>
  <conditionalFormatting sqref="H1243:H1245">
    <cfRule type="expression" dxfId="5830" priority="9145">
      <formula>$H1243="SUBETAPA"</formula>
    </cfRule>
  </conditionalFormatting>
  <conditionalFormatting sqref="H1244">
    <cfRule type="expression" dxfId="5829" priority="9146">
      <formula>$H1244="ETAPA"</formula>
    </cfRule>
  </conditionalFormatting>
  <conditionalFormatting sqref="H1247:H1248">
    <cfRule type="expression" dxfId="5828" priority="9144">
      <formula>$H1247="ETAPA"</formula>
    </cfRule>
    <cfRule type="expression" dxfId="5827" priority="9143">
      <formula>$H1247="SUBETAPA"</formula>
    </cfRule>
  </conditionalFormatting>
  <conditionalFormatting sqref="H1252:H1253">
    <cfRule type="expression" dxfId="5826" priority="9142">
      <formula>$H1252="ETAPA"</formula>
    </cfRule>
    <cfRule type="expression" dxfId="5825" priority="9141">
      <formula>$H1252="SUBETAPA"</formula>
    </cfRule>
  </conditionalFormatting>
  <conditionalFormatting sqref="H1264:H1265">
    <cfRule type="expression" dxfId="5824" priority="9140">
      <formula>$H1264="ETAPA"</formula>
    </cfRule>
    <cfRule type="expression" dxfId="5823" priority="9139">
      <formula>$H1264="SUBETAPA"</formula>
    </cfRule>
  </conditionalFormatting>
  <conditionalFormatting sqref="H1273">
    <cfRule type="expression" dxfId="5822" priority="9138">
      <formula>$H1273="ETAPA"</formula>
    </cfRule>
    <cfRule type="expression" dxfId="5821" priority="9137">
      <formula>$H1273="SUBETAPA"</formula>
    </cfRule>
  </conditionalFormatting>
  <conditionalFormatting sqref="H1273:H1278">
    <cfRule type="expression" dxfId="5820" priority="9136">
      <formula>$H1273="CÉLULA CONSTRUTIVA"</formula>
    </cfRule>
  </conditionalFormatting>
  <conditionalFormatting sqref="H1274:H1278">
    <cfRule type="expression" dxfId="5819" priority="9134">
      <formula>$H1274="ETAPA"</formula>
    </cfRule>
    <cfRule type="expression" dxfId="5818" priority="9132">
      <formula>$H1274="SUBETAPA"</formula>
    </cfRule>
  </conditionalFormatting>
  <conditionalFormatting sqref="H1286:H1287">
    <cfRule type="expression" dxfId="5817" priority="9131">
      <formula>$H1286="ETAPA"</formula>
    </cfRule>
    <cfRule type="expression" dxfId="5816" priority="9130">
      <formula>$H1286="SUBETAPA"</formula>
    </cfRule>
  </conditionalFormatting>
  <conditionalFormatting sqref="H1295 K1295 O1295">
    <cfRule type="expression" dxfId="5815" priority="9129">
      <formula>$H1295="ETAPA"</formula>
    </cfRule>
  </conditionalFormatting>
  <conditionalFormatting sqref="H1295 K1295">
    <cfRule type="expression" dxfId="5814" priority="9128">
      <formula>$H1295="SUBETAPA"</formula>
    </cfRule>
  </conditionalFormatting>
  <conditionalFormatting sqref="H1296 K1296 O1296 H1298 J1298:K1298 O1298">
    <cfRule type="expression" dxfId="5813" priority="9126">
      <formula>$H1296="ETAPA"</formula>
    </cfRule>
  </conditionalFormatting>
  <conditionalFormatting sqref="H1297 K1297 O1297">
    <cfRule type="expression" dxfId="5812" priority="9124">
      <formula>$H1297="ETAPA"</formula>
    </cfRule>
  </conditionalFormatting>
  <conditionalFormatting sqref="H1304:H1305">
    <cfRule type="expression" dxfId="5811" priority="9122">
      <formula>$H1304="SUBETAPA"</formula>
    </cfRule>
  </conditionalFormatting>
  <conditionalFormatting sqref="H1310:H1311">
    <cfRule type="expression" dxfId="5810" priority="9121">
      <formula>$H1310="ETAPA"</formula>
    </cfRule>
    <cfRule type="expression" dxfId="5809" priority="9120">
      <formula>$H1310="SUBETAPA"</formula>
    </cfRule>
  </conditionalFormatting>
  <conditionalFormatting sqref="H1317 K1317 O1317">
    <cfRule type="expression" dxfId="5808" priority="9119">
      <formula>$H1317="ETAPA"</formula>
    </cfRule>
  </conditionalFormatting>
  <conditionalFormatting sqref="H1317 K1317">
    <cfRule type="expression" dxfId="5807" priority="9118">
      <formula>$H1317="SUBETAPA"</formula>
    </cfRule>
  </conditionalFormatting>
  <conditionalFormatting sqref="H1318 K1318 O1318 H1320 J1320:K1320 O1320">
    <cfRule type="expression" dxfId="5806" priority="9116">
      <formula>$H1318="ETAPA"</formula>
    </cfRule>
  </conditionalFormatting>
  <conditionalFormatting sqref="H1319 K1319 O1319">
    <cfRule type="expression" dxfId="5805" priority="9114">
      <formula>$H1319="ETAPA"</formula>
    </cfRule>
  </conditionalFormatting>
  <conditionalFormatting sqref="H1329:H1330">
    <cfRule type="expression" dxfId="5804" priority="9112">
      <formula>$H1329="ETAPA"</formula>
    </cfRule>
    <cfRule type="expression" dxfId="5803" priority="9111">
      <formula>$H1329="SUBETAPA"</formula>
    </cfRule>
  </conditionalFormatting>
  <conditionalFormatting sqref="H1335 K1335 O1335">
    <cfRule type="expression" dxfId="5802" priority="9110">
      <formula>$H1335="ETAPA"</formula>
    </cfRule>
  </conditionalFormatting>
  <conditionalFormatting sqref="H1336 K1336 O1336">
    <cfRule type="expression" dxfId="5801" priority="9108">
      <formula>$H1336="ETAPA"</formula>
    </cfRule>
  </conditionalFormatting>
  <conditionalFormatting sqref="H1337 J1337:K1337 O1337">
    <cfRule type="expression" dxfId="5800" priority="9106">
      <formula>$H1337="ETAPA"</formula>
    </cfRule>
  </conditionalFormatting>
  <conditionalFormatting sqref="H1348:H1349">
    <cfRule type="expression" dxfId="5799" priority="9104">
      <formula>$H1348="ETAPA"</formula>
    </cfRule>
    <cfRule type="expression" dxfId="5798" priority="9103">
      <formula>$H1348="SUBETAPA"</formula>
    </cfRule>
  </conditionalFormatting>
  <conditionalFormatting sqref="H1355 K1355 O1355">
    <cfRule type="expression" dxfId="5797" priority="9102">
      <formula>$H1355="ETAPA"</formula>
    </cfRule>
  </conditionalFormatting>
  <conditionalFormatting sqref="H1355 K1355">
    <cfRule type="expression" dxfId="5796" priority="9101">
      <formula>$H1355="SUBETAPA"</formula>
    </cfRule>
  </conditionalFormatting>
  <conditionalFormatting sqref="H1356 K1356 O1356 H1358 J1358:K1358 O1358">
    <cfRule type="expression" dxfId="5795" priority="9099">
      <formula>$H1356="ETAPA"</formula>
    </cfRule>
  </conditionalFormatting>
  <conditionalFormatting sqref="H1357 K1357 O1357">
    <cfRule type="expression" dxfId="5794" priority="9097">
      <formula>$H1357="ETAPA"</formula>
    </cfRule>
  </conditionalFormatting>
  <conditionalFormatting sqref="H1369:H1370">
    <cfRule type="expression" dxfId="5793" priority="9095">
      <formula>$H1369="ETAPA"</formula>
    </cfRule>
    <cfRule type="expression" dxfId="5792" priority="9094">
      <formula>$H1369="SUBETAPA"</formula>
    </cfRule>
  </conditionalFormatting>
  <conditionalFormatting sqref="H1376 K1376 O1376">
    <cfRule type="expression" dxfId="5791" priority="9093">
      <formula>$H1376="ETAPA"</formula>
    </cfRule>
  </conditionalFormatting>
  <conditionalFormatting sqref="H1376 K1376">
    <cfRule type="expression" dxfId="5790" priority="9092">
      <formula>$H1376="SUBETAPA"</formula>
    </cfRule>
  </conditionalFormatting>
  <conditionalFormatting sqref="H1377 K1377 O1377 H1379 J1379:K1379 O1379">
    <cfRule type="expression" dxfId="5789" priority="9090">
      <formula>$H1377="ETAPA"</formula>
    </cfRule>
  </conditionalFormatting>
  <conditionalFormatting sqref="H1378 K1378 O1378">
    <cfRule type="expression" dxfId="5788" priority="9088">
      <formula>$H1378="ETAPA"</formula>
    </cfRule>
  </conditionalFormatting>
  <conditionalFormatting sqref="H1385:H1386">
    <cfRule type="expression" dxfId="5787" priority="9086">
      <formula>$H1385="SUBETAPA"</formula>
    </cfRule>
  </conditionalFormatting>
  <conditionalFormatting sqref="H1393:H1394">
    <cfRule type="expression" dxfId="5786" priority="9085">
      <formula>$H1393="ETAPA"</formula>
    </cfRule>
    <cfRule type="expression" dxfId="5785" priority="9084">
      <formula>$H1393="SUBETAPA"</formula>
    </cfRule>
  </conditionalFormatting>
  <conditionalFormatting sqref="H1400 K1400 O1400">
    <cfRule type="expression" dxfId="5784" priority="9083">
      <formula>$H1400="ETAPA"</formula>
    </cfRule>
  </conditionalFormatting>
  <conditionalFormatting sqref="H1400 K1400">
    <cfRule type="expression" dxfId="5783" priority="9082">
      <formula>$H1400="SUBETAPA"</formula>
    </cfRule>
  </conditionalFormatting>
  <conditionalFormatting sqref="H1401 K1401 O1401 H1403 J1403:K1403 O1403">
    <cfRule type="expression" dxfId="5782" priority="9080">
      <formula>$H1401="ETAPA"</formula>
    </cfRule>
  </conditionalFormatting>
  <conditionalFormatting sqref="H1402 K1402 O1402">
    <cfRule type="expression" dxfId="5781" priority="9078">
      <formula>$H1402="ETAPA"</formula>
    </cfRule>
  </conditionalFormatting>
  <conditionalFormatting sqref="H1409:H1410">
    <cfRule type="expression" dxfId="5780" priority="9076">
      <formula>$H1409="SUBETAPA"</formula>
    </cfRule>
  </conditionalFormatting>
  <conditionalFormatting sqref="H1413:H1414">
    <cfRule type="expression" dxfId="5779" priority="9075">
      <formula>$H1413="ETAPA"</formula>
    </cfRule>
    <cfRule type="expression" dxfId="5778" priority="9074">
      <formula>$H1413="SUBETAPA"</formula>
    </cfRule>
  </conditionalFormatting>
  <conditionalFormatting sqref="H1418 K1418 O1418">
    <cfRule type="expression" dxfId="5777" priority="9073">
      <formula>$H1418="ETAPA"</formula>
    </cfRule>
  </conditionalFormatting>
  <conditionalFormatting sqref="H1419 K1419 O1419">
    <cfRule type="expression" dxfId="5776" priority="9071">
      <formula>$H1419="ETAPA"</formula>
    </cfRule>
  </conditionalFormatting>
  <conditionalFormatting sqref="H1420 K1420 O1420">
    <cfRule type="expression" dxfId="5775" priority="9069">
      <formula>$H1420="ETAPA"</formula>
    </cfRule>
  </conditionalFormatting>
  <conditionalFormatting sqref="H1430 K1430 O1430">
    <cfRule type="expression" dxfId="5774" priority="9067">
      <formula>$H1430="ETAPA"</formula>
    </cfRule>
  </conditionalFormatting>
  <conditionalFormatting sqref="H1431 K1431 O1431">
    <cfRule type="expression" dxfId="5773" priority="9065">
      <formula>$H1431="ETAPA"</formula>
    </cfRule>
  </conditionalFormatting>
  <conditionalFormatting sqref="H1432 K1432 O1432">
    <cfRule type="expression" dxfId="5772" priority="9063">
      <formula>$H1432="ETAPA"</formula>
    </cfRule>
  </conditionalFormatting>
  <conditionalFormatting sqref="H1435 J1435:L1435 L1436:L1440">
    <cfRule type="expression" dxfId="5771" priority="8666">
      <formula>$H1435="SUBETAPA"</formula>
    </cfRule>
  </conditionalFormatting>
  <conditionalFormatting sqref="H1435 J1435:M1435">
    <cfRule type="expression" dxfId="5770" priority="8665">
      <formula>$H1435="CÉLULA CONSTRUTIVA"</formula>
    </cfRule>
  </conditionalFormatting>
  <conditionalFormatting sqref="H1437:H1440 J1437:J1440">
    <cfRule type="expression" dxfId="5769" priority="8664">
      <formula>$H1437="SUBETAPA"</formula>
    </cfRule>
  </conditionalFormatting>
  <conditionalFormatting sqref="H1437:H1440">
    <cfRule type="expression" dxfId="5768" priority="8662">
      <formula>$H1437="CÉLULA CONSTRUTIVA"</formula>
    </cfRule>
    <cfRule type="expression" dxfId="5767" priority="8663">
      <formula>$H1437="ETAPA"</formula>
    </cfRule>
  </conditionalFormatting>
  <conditionalFormatting sqref="H1446 J1446:K1446">
    <cfRule type="expression" dxfId="5766" priority="8661">
      <formula>$H1446="CÉLULA CONSTRUTIVA"</formula>
    </cfRule>
    <cfRule type="expression" dxfId="5765" priority="8660">
      <formula>$H1446="SUBETAPA"</formula>
    </cfRule>
  </conditionalFormatting>
  <conditionalFormatting sqref="H1448:H1449 J1448:K1449 H1458 J1458:K1458 H1467 J1467:K1467 H1474 J1474:K1474 H1481:H1482 H1489:H1490 H1499:H1500 H1507:H1509 H1518:H1520 H1551:H1553 H1562:H1563 J1562:K1563">
    <cfRule type="expression" dxfId="5764" priority="10198">
      <formula>$H1448="ETAPA"</formula>
    </cfRule>
  </conditionalFormatting>
  <conditionalFormatting sqref="H1456 J1456:K1456">
    <cfRule type="expression" dxfId="5763" priority="8659">
      <formula>$H1456="CÉLULA CONSTRUTIVA"</formula>
    </cfRule>
    <cfRule type="expression" dxfId="5762" priority="8658">
      <formula>$H1456="SUBETAPA"</formula>
    </cfRule>
  </conditionalFormatting>
  <conditionalFormatting sqref="H1458:H1461 H1467:H1468 H1474:H1475 H1481:H1483 H1489:H1493 H1448:H1449 H1499:H1500 H1507:H1509 H1518:H1520 H1551:H1553 H1562:H1563">
    <cfRule type="expression" dxfId="5761" priority="10197">
      <formula>$H1448="CÉLULA CONSTRUTIVA"</formula>
    </cfRule>
  </conditionalFormatting>
  <conditionalFormatting sqref="H1459:H1462 J1462:M1462">
    <cfRule type="expression" dxfId="5760" priority="8657">
      <formula>$H1459="SUBETAPA"</formula>
    </cfRule>
  </conditionalFormatting>
  <conditionalFormatting sqref="H1462 J1462:M1462">
    <cfRule type="expression" dxfId="5759" priority="8656">
      <formula>$H1462="CÉLULA CONSTRUTIVA"</formula>
    </cfRule>
  </conditionalFormatting>
  <conditionalFormatting sqref="H1462">
    <cfRule type="expression" dxfId="5758" priority="8655">
      <formula>$H1462="ETAPA"</formula>
    </cfRule>
  </conditionalFormatting>
  <conditionalFormatting sqref="H1465 J1465:K1465">
    <cfRule type="expression" dxfId="5757" priority="8653">
      <formula>$H1465="SUBETAPA"</formula>
    </cfRule>
    <cfRule type="expression" dxfId="5756" priority="8654">
      <formula>$H1465="CÉLULA CONSTRUTIVA"</formula>
    </cfRule>
  </conditionalFormatting>
  <conditionalFormatting sqref="H1468:H1469 J1469:M1469">
    <cfRule type="expression" dxfId="5755" priority="8652">
      <formula>$H1468="SUBETAPA"</formula>
    </cfRule>
  </conditionalFormatting>
  <conditionalFormatting sqref="H1469 J1469:M1469">
    <cfRule type="expression" dxfId="5754" priority="8651">
      <formula>$H1469="CÉLULA CONSTRUTIVA"</formula>
    </cfRule>
  </conditionalFormatting>
  <conditionalFormatting sqref="H1469">
    <cfRule type="expression" dxfId="5753" priority="8650">
      <formula>$H1469="ETAPA"</formula>
    </cfRule>
  </conditionalFormatting>
  <conditionalFormatting sqref="H1472 J1472:K1472">
    <cfRule type="expression" dxfId="5752" priority="8649">
      <formula>$H1472="CÉLULA CONSTRUTIVA"</formula>
    </cfRule>
    <cfRule type="expression" dxfId="5751" priority="8648">
      <formula>$H1472="SUBETAPA"</formula>
    </cfRule>
  </conditionalFormatting>
  <conditionalFormatting sqref="H1475:H1476 J1476:M1476">
    <cfRule type="expression" dxfId="5750" priority="8647">
      <formula>$H1475="SUBETAPA"</formula>
    </cfRule>
  </conditionalFormatting>
  <conditionalFormatting sqref="H1476 J1476:M1476">
    <cfRule type="expression" dxfId="5749" priority="8646">
      <formula>$H1476="CÉLULA CONSTRUTIVA"</formula>
    </cfRule>
  </conditionalFormatting>
  <conditionalFormatting sqref="H1476">
    <cfRule type="expression" dxfId="5748" priority="8645">
      <formula>$H1476="ETAPA"</formula>
    </cfRule>
  </conditionalFormatting>
  <conditionalFormatting sqref="H1479 J1479:K1479 L1480">
    <cfRule type="expression" dxfId="5747" priority="8644">
      <formula>$H1479="CÉLULA CONSTRUTIVA"</formula>
    </cfRule>
  </conditionalFormatting>
  <conditionalFormatting sqref="H1479 J1479:K1479">
    <cfRule type="expression" dxfId="5746" priority="8643">
      <formula>$H1479="SUBETAPA"</formula>
    </cfRule>
  </conditionalFormatting>
  <conditionalFormatting sqref="H1483:H1484 J1484:M1484">
    <cfRule type="expression" dxfId="5745" priority="8642">
      <formula>$H1483="SUBETAPA"</formula>
    </cfRule>
  </conditionalFormatting>
  <conditionalFormatting sqref="H1484 J1484:M1484">
    <cfRule type="expression" dxfId="5744" priority="8641">
      <formula>$H1484="CÉLULA CONSTRUTIVA"</formula>
    </cfRule>
  </conditionalFormatting>
  <conditionalFormatting sqref="H1484">
    <cfRule type="expression" dxfId="5743" priority="8640">
      <formula>$H1484="ETAPA"</formula>
    </cfRule>
  </conditionalFormatting>
  <conditionalFormatting sqref="H1487 J1487:K1487 L1488">
    <cfRule type="expression" dxfId="5742" priority="8639">
      <formula>$H1487="CÉLULA CONSTRUTIVA"</formula>
    </cfRule>
  </conditionalFormatting>
  <conditionalFormatting sqref="H1487 J1487:K1487">
    <cfRule type="expression" dxfId="5741" priority="8638">
      <formula>$H1487="SUBETAPA"</formula>
    </cfRule>
  </conditionalFormatting>
  <conditionalFormatting sqref="H1491:H1494 J1494:M1494">
    <cfRule type="expression" dxfId="5740" priority="8637">
      <formula>$H1491="SUBETAPA"</formula>
    </cfRule>
  </conditionalFormatting>
  <conditionalFormatting sqref="H1494 J1494:M1494">
    <cfRule type="expression" dxfId="5739" priority="8636">
      <formula>$H1494="CÉLULA CONSTRUTIVA"</formula>
    </cfRule>
  </conditionalFormatting>
  <conditionalFormatting sqref="H1494">
    <cfRule type="expression" dxfId="5738" priority="8635">
      <formula>$H1494="ETAPA"</formula>
    </cfRule>
  </conditionalFormatting>
  <conditionalFormatting sqref="H1497 J1497:K1497 L1498">
    <cfRule type="expression" dxfId="5737" priority="8634">
      <formula>$H1497="CÉLULA CONSTRUTIVA"</formula>
    </cfRule>
  </conditionalFormatting>
  <conditionalFormatting sqref="H1497 J1497:K1497">
    <cfRule type="expression" dxfId="5736" priority="8633">
      <formula>$H1497="SUBETAPA"</formula>
    </cfRule>
  </conditionalFormatting>
  <conditionalFormatting sqref="H1505 J1505:K1505 L1506">
    <cfRule type="expression" dxfId="5735" priority="8632">
      <formula>$H1505="CÉLULA CONSTRUTIVA"</formula>
    </cfRule>
  </conditionalFormatting>
  <conditionalFormatting sqref="H1505 J1505:K1505">
    <cfRule type="expression" dxfId="5734" priority="8631">
      <formula>$H1505="SUBETAPA"</formula>
    </cfRule>
  </conditionalFormatting>
  <conditionalFormatting sqref="H1516 J1516:K1516 L1517">
    <cfRule type="expression" dxfId="5733" priority="8630">
      <formula>$H1516="CÉLULA CONSTRUTIVA"</formula>
    </cfRule>
  </conditionalFormatting>
  <conditionalFormatting sqref="H1516 J1516:K1516">
    <cfRule type="expression" dxfId="5732" priority="8629">
      <formula>$H1516="SUBETAPA"</formula>
    </cfRule>
  </conditionalFormatting>
  <conditionalFormatting sqref="H1527 J1527:K1527 L1528">
    <cfRule type="expression" dxfId="5731" priority="8628">
      <formula>$H1527="CÉLULA CONSTRUTIVA"</formula>
    </cfRule>
  </conditionalFormatting>
  <conditionalFormatting sqref="H1527 J1527:K1527">
    <cfRule type="expression" dxfId="5730" priority="8627">
      <formula>$H1527="SUBETAPA"</formula>
    </cfRule>
  </conditionalFormatting>
  <conditionalFormatting sqref="H1538 J1538:K1538 L1539">
    <cfRule type="expression" dxfId="5729" priority="8626">
      <formula>$H1538="CÉLULA CONSTRUTIVA"</formula>
    </cfRule>
  </conditionalFormatting>
  <conditionalFormatting sqref="H1538 J1538:K1538">
    <cfRule type="expression" dxfId="5728" priority="8625">
      <formula>$H1538="SUBETAPA"</formula>
    </cfRule>
  </conditionalFormatting>
  <conditionalFormatting sqref="H1549 J1549:K1549 L1550">
    <cfRule type="expression" dxfId="5727" priority="8621">
      <formula>$H1549="CÉLULA CONSTRUTIVA"</formula>
    </cfRule>
  </conditionalFormatting>
  <conditionalFormatting sqref="H1549 J1549:K1549">
    <cfRule type="expression" dxfId="5726" priority="8620">
      <formula>$H1549="SUBETAPA"</formula>
    </cfRule>
  </conditionalFormatting>
  <conditionalFormatting sqref="H1560 J1560:K1560 L1561">
    <cfRule type="expression" dxfId="5725" priority="5719">
      <formula>$H1560="SUBETAPA"</formula>
    </cfRule>
  </conditionalFormatting>
  <conditionalFormatting sqref="H1567 J1567:K1567 M1567:M1569">
    <cfRule type="expression" dxfId="5724" priority="8617">
      <formula>$H1567="ETAPA"</formula>
    </cfRule>
  </conditionalFormatting>
  <conditionalFormatting sqref="H1567:H1568 J1567:K1568 O1568 G1569:H1569 J1569:L1569">
    <cfRule type="expression" dxfId="5723" priority="8614">
      <formula>$H1567="SUBETAPA"</formula>
    </cfRule>
  </conditionalFormatting>
  <conditionalFormatting sqref="H1568 J1568:L1569">
    <cfRule type="expression" dxfId="5722" priority="8615">
      <formula>$H1568="CÉLULA CONSTRUTIVA"</formula>
    </cfRule>
  </conditionalFormatting>
  <conditionalFormatting sqref="H1568">
    <cfRule type="expression" dxfId="5721" priority="8613">
      <formula>$H1568="ETAPA"</formula>
    </cfRule>
  </conditionalFormatting>
  <conditionalFormatting sqref="H1573 J1573:K1573 M1573:M1575">
    <cfRule type="expression" dxfId="5720" priority="8611">
      <formula>$H1573="ETAPA"</formula>
    </cfRule>
  </conditionalFormatting>
  <conditionalFormatting sqref="H1573:H1574 J1573:K1574 O1574 G1575:H1575 J1575:L1575">
    <cfRule type="expression" dxfId="5719" priority="8608">
      <formula>$H1573="SUBETAPA"</formula>
    </cfRule>
  </conditionalFormatting>
  <conditionalFormatting sqref="H1574 J1574:L1575">
    <cfRule type="expression" dxfId="5718" priority="8609">
      <formula>$H1574="CÉLULA CONSTRUTIVA"</formula>
    </cfRule>
  </conditionalFormatting>
  <conditionalFormatting sqref="H1574">
    <cfRule type="expression" dxfId="5717" priority="8607">
      <formula>$H1574="ETAPA"</formula>
    </cfRule>
  </conditionalFormatting>
  <conditionalFormatting sqref="H1579 J1579:K1579 M1579:M1581">
    <cfRule type="expression" dxfId="5716" priority="8605">
      <formula>$H1579="ETAPA"</formula>
    </cfRule>
  </conditionalFormatting>
  <conditionalFormatting sqref="H1579:H1580 J1579:K1580 O1580 G1581:H1581 J1581:L1581">
    <cfRule type="expression" dxfId="5715" priority="8602">
      <formula>$H1579="SUBETAPA"</formula>
    </cfRule>
  </conditionalFormatting>
  <conditionalFormatting sqref="H1580 J1580:L1581">
    <cfRule type="expression" dxfId="5714" priority="8603">
      <formula>$H1580="CÉLULA CONSTRUTIVA"</formula>
    </cfRule>
  </conditionalFormatting>
  <conditionalFormatting sqref="H1580">
    <cfRule type="expression" dxfId="5713" priority="8601">
      <formula>$H1580="ETAPA"</formula>
    </cfRule>
  </conditionalFormatting>
  <conditionalFormatting sqref="H1583:H1585 J1584:K1585 M1584:M1585 J1582:M1583 O1583">
    <cfRule type="expression" dxfId="5712" priority="8599">
      <formula>$H1582="SUBETAPA"</formula>
    </cfRule>
  </conditionalFormatting>
  <conditionalFormatting sqref="H1584:H1586 J1584:M1586 M1587:M1590">
    <cfRule type="expression" dxfId="5711" priority="8598">
      <formula>$H1584="CÉLULA CONSTRUTIVA"</formula>
    </cfRule>
  </conditionalFormatting>
  <conditionalFormatting sqref="H1586 J1586:K1586 M1586">
    <cfRule type="expression" dxfId="5710" priority="8597">
      <formula>$H1586="ETAPA"</formula>
    </cfRule>
  </conditionalFormatting>
  <conditionalFormatting sqref="H1587 J1587:L1587 O1587">
    <cfRule type="expression" dxfId="5709" priority="8595">
      <formula>$H1587="ETAPA"</formula>
    </cfRule>
  </conditionalFormatting>
  <conditionalFormatting sqref="H1592:H1594 J1593:K1594 M1593:M1594 J1591:M1592 O1592">
    <cfRule type="expression" dxfId="5708" priority="8591">
      <formula>$H1591="SUBETAPA"</formula>
    </cfRule>
  </conditionalFormatting>
  <conditionalFormatting sqref="H1593:H1595 J1593:M1595 M1596:M1599">
    <cfRule type="expression" dxfId="5707" priority="8590">
      <formula>$H1593="CÉLULA CONSTRUTIVA"</formula>
    </cfRule>
  </conditionalFormatting>
  <conditionalFormatting sqref="H1595 J1595:K1595 M1595">
    <cfRule type="expression" dxfId="5706" priority="8589">
      <formula>$H1595="ETAPA"</formula>
    </cfRule>
  </conditionalFormatting>
  <conditionalFormatting sqref="H1596 J1596:L1596 O1596">
    <cfRule type="expression" dxfId="5705" priority="8587">
      <formula>$H1596="ETAPA"</formula>
    </cfRule>
  </conditionalFormatting>
  <conditionalFormatting sqref="H1601:H1603 J1602:K1603 M1602:M1603 J1600:M1601 O1601">
    <cfRule type="expression" dxfId="5704" priority="8583">
      <formula>$H1600="SUBETAPA"</formula>
    </cfRule>
  </conditionalFormatting>
  <conditionalFormatting sqref="H1602:H1604 J1602:M1604 M1605:M1608">
    <cfRule type="expression" dxfId="5703" priority="8582">
      <formula>$H1602="CÉLULA CONSTRUTIVA"</formula>
    </cfRule>
  </conditionalFormatting>
  <conditionalFormatting sqref="H1604 J1604:K1604 M1604">
    <cfRule type="expression" dxfId="5702" priority="8581">
      <formula>$H1604="ETAPA"</formula>
    </cfRule>
  </conditionalFormatting>
  <conditionalFormatting sqref="H1605 J1605:L1605 O1605">
    <cfRule type="expression" dxfId="5701" priority="8579">
      <formula>$H1605="ETAPA"</formula>
    </cfRule>
  </conditionalFormatting>
  <conditionalFormatting sqref="H1610:H1612 J1611:K1612 M1611:M1612 J1609:M1610 O1610">
    <cfRule type="expression" dxfId="5700" priority="8575">
      <formula>$H1609="SUBETAPA"</formula>
    </cfRule>
  </conditionalFormatting>
  <conditionalFormatting sqref="H1611:H1613 J1611:M1613 M1614:M1617">
    <cfRule type="expression" dxfId="5699" priority="8574">
      <formula>$H1611="CÉLULA CONSTRUTIVA"</formula>
    </cfRule>
  </conditionalFormatting>
  <conditionalFormatting sqref="H1613 J1613:K1613 M1613">
    <cfRule type="expression" dxfId="5698" priority="8573">
      <formula>$H1613="ETAPA"</formula>
    </cfRule>
  </conditionalFormatting>
  <conditionalFormatting sqref="H1614 J1614:L1614 O1614">
    <cfRule type="expression" dxfId="5697" priority="8571">
      <formula>$H1614="ETAPA"</formula>
    </cfRule>
  </conditionalFormatting>
  <conditionalFormatting sqref="H1619:H1621 J1620:K1621 M1620:M1621 J1618:M1619 O1619">
    <cfRule type="expression" dxfId="5696" priority="8567">
      <formula>$H1618="SUBETAPA"</formula>
    </cfRule>
  </conditionalFormatting>
  <conditionalFormatting sqref="H1620:H1622 J1620:M1622">
    <cfRule type="expression" dxfId="5695" priority="8566">
      <formula>$H1620="CÉLULA CONSTRUTIVA"</formula>
    </cfRule>
  </conditionalFormatting>
  <conditionalFormatting sqref="H1622 J1622:K1622 M1622:M1624">
    <cfRule type="expression" dxfId="5694" priority="8565">
      <formula>$H1622="ETAPA"</formula>
    </cfRule>
  </conditionalFormatting>
  <conditionalFormatting sqref="H1622:H1623 J1622:K1624 O1623 G1624:H1624">
    <cfRule type="expression" dxfId="5693" priority="8561">
      <formula>$H1622="SUBETAPA"</formula>
    </cfRule>
  </conditionalFormatting>
  <conditionalFormatting sqref="H1623 J1624:K1624">
    <cfRule type="expression" dxfId="5692" priority="8563">
      <formula>$H1623="ETAPA"</formula>
    </cfRule>
  </conditionalFormatting>
  <conditionalFormatting sqref="H1623 J1623:L1623">
    <cfRule type="expression" dxfId="5691" priority="8562">
      <formula>$H1623="CÉLULA CONSTRUTIVA"</formula>
    </cfRule>
  </conditionalFormatting>
  <conditionalFormatting sqref="H1632 J1632:K1632">
    <cfRule type="expression" dxfId="5690" priority="8559">
      <formula>$H1632="ETAPA"</formula>
    </cfRule>
  </conditionalFormatting>
  <conditionalFormatting sqref="H1632:H1633">
    <cfRule type="expression" dxfId="5689" priority="8556">
      <formula>$H1632="SUBETAPA"</formula>
    </cfRule>
  </conditionalFormatting>
  <conditionalFormatting sqref="H1633 J1633">
    <cfRule type="expression" dxfId="5688" priority="8557">
      <formula>$H1633="ETAPA"</formula>
    </cfRule>
  </conditionalFormatting>
  <conditionalFormatting sqref="H1635 J1635:K1635">
    <cfRule type="expression" dxfId="5687" priority="8555">
      <formula>$H1635="SUBETAPA"</formula>
    </cfRule>
    <cfRule type="expression" dxfId="5686" priority="8554">
      <formula>$H1635="CÉLULA CONSTRUTIVA"</formula>
    </cfRule>
  </conditionalFormatting>
  <conditionalFormatting sqref="H1635">
    <cfRule type="expression" dxfId="5685" priority="8553">
      <formula>$H1635="ETAPA"</formula>
    </cfRule>
  </conditionalFormatting>
  <conditionalFormatting sqref="H1644 J1644:K1644">
    <cfRule type="expression" dxfId="5684" priority="8551">
      <formula>$H1644="SUBETAPA"</formula>
    </cfRule>
    <cfRule type="expression" dxfId="5683" priority="8550">
      <formula>$H1644="CÉLULA CONSTRUTIVA"</formula>
    </cfRule>
  </conditionalFormatting>
  <conditionalFormatting sqref="H1644">
    <cfRule type="expression" dxfId="5682" priority="8549">
      <formula>$H1644="ETAPA"</formula>
    </cfRule>
  </conditionalFormatting>
  <conditionalFormatting sqref="H1653 J1653:K1653">
    <cfRule type="expression" dxfId="5681" priority="8547">
      <formula>$H1653="SUBETAPA"</formula>
    </cfRule>
    <cfRule type="expression" dxfId="5680" priority="8546">
      <formula>$H1653="CÉLULA CONSTRUTIVA"</formula>
    </cfRule>
  </conditionalFormatting>
  <conditionalFormatting sqref="H1653">
    <cfRule type="expression" dxfId="5679" priority="8545">
      <formula>$H1653="ETAPA"</formula>
    </cfRule>
  </conditionalFormatting>
  <conditionalFormatting sqref="H1662 J1662:K1662">
    <cfRule type="expression" dxfId="5678" priority="8542">
      <formula>$H1662="CÉLULA CONSTRUTIVA"</formula>
    </cfRule>
    <cfRule type="expression" dxfId="5677" priority="8543">
      <formula>$H1662="SUBETAPA"</formula>
    </cfRule>
  </conditionalFormatting>
  <conditionalFormatting sqref="H1662">
    <cfRule type="expression" dxfId="5676" priority="8541">
      <formula>$H1662="ETAPA"</formula>
    </cfRule>
  </conditionalFormatting>
  <conditionalFormatting sqref="H1671 J1671:K1671">
    <cfRule type="expression" dxfId="5675" priority="8539">
      <formula>$H1671="SUBETAPA"</formula>
    </cfRule>
    <cfRule type="expression" dxfId="5674" priority="8538">
      <formula>$H1671="CÉLULA CONSTRUTIVA"</formula>
    </cfRule>
  </conditionalFormatting>
  <conditionalFormatting sqref="H1671">
    <cfRule type="expression" dxfId="5673" priority="8537">
      <formula>$H1671="ETAPA"</formula>
    </cfRule>
  </conditionalFormatting>
  <conditionalFormatting sqref="H1680 J1680:K1680">
    <cfRule type="expression" dxfId="5672" priority="8535">
      <formula>$H1680="SUBETAPA"</formula>
    </cfRule>
    <cfRule type="expression" dxfId="5671" priority="8534">
      <formula>$H1680="CÉLULA CONSTRUTIVA"</formula>
    </cfRule>
  </conditionalFormatting>
  <conditionalFormatting sqref="H1680">
    <cfRule type="expression" dxfId="5670" priority="8533">
      <formula>$H1680="ETAPA"</formula>
    </cfRule>
  </conditionalFormatting>
  <conditionalFormatting sqref="H1688 J1688:K1688">
    <cfRule type="expression" dxfId="5669" priority="8531">
      <formula>$H1688="ETAPA"</formula>
    </cfRule>
  </conditionalFormatting>
  <conditionalFormatting sqref="H1688:H1689">
    <cfRule type="expression" dxfId="5668" priority="8528">
      <formula>$H1688="SUBETAPA"</formula>
    </cfRule>
  </conditionalFormatting>
  <conditionalFormatting sqref="H1689 J1689">
    <cfRule type="expression" dxfId="5667" priority="8529">
      <formula>$H1689="ETAPA"</formula>
    </cfRule>
  </conditionalFormatting>
  <conditionalFormatting sqref="H1691 J1691:K1691">
    <cfRule type="expression" dxfId="5666" priority="8527">
      <formula>$H1691="SUBETAPA"</formula>
    </cfRule>
    <cfRule type="expression" dxfId="5665" priority="8526">
      <formula>$H1691="CÉLULA CONSTRUTIVA"</formula>
    </cfRule>
  </conditionalFormatting>
  <conditionalFormatting sqref="H1691">
    <cfRule type="expression" dxfId="5664" priority="8525">
      <formula>$H1691="ETAPA"</formula>
    </cfRule>
  </conditionalFormatting>
  <conditionalFormatting sqref="H1699 J1699:K1699">
    <cfRule type="expression" dxfId="5663" priority="8523">
      <formula>$H1699="ETAPA"</formula>
    </cfRule>
  </conditionalFormatting>
  <conditionalFormatting sqref="H1699:H1700">
    <cfRule type="expression" dxfId="5662" priority="8520">
      <formula>$H1699="SUBETAPA"</formula>
    </cfRule>
  </conditionalFormatting>
  <conditionalFormatting sqref="H1700 J1700">
    <cfRule type="expression" dxfId="5661" priority="8521">
      <formula>$H1700="ETAPA"</formula>
    </cfRule>
  </conditionalFormatting>
  <conditionalFormatting sqref="H1702 J1702:L1702">
    <cfRule type="expression" dxfId="5660" priority="8518">
      <formula>$H1702="CÉLULA CONSTRUTIVA"</formula>
    </cfRule>
  </conditionalFormatting>
  <conditionalFormatting sqref="H1702">
    <cfRule type="expression" dxfId="5659" priority="8517">
      <formula>$H1702="ETAPA"</formula>
    </cfRule>
  </conditionalFormatting>
  <conditionalFormatting sqref="H1711 J1711:K1711">
    <cfRule type="expression" dxfId="5658" priority="8515">
      <formula>$H1711="SUBETAPA"</formula>
    </cfRule>
    <cfRule type="expression" dxfId="5657" priority="8514">
      <formula>$H1711="CÉLULA CONSTRUTIVA"</formula>
    </cfRule>
  </conditionalFormatting>
  <conditionalFormatting sqref="H1711">
    <cfRule type="expression" dxfId="5656" priority="8513">
      <formula>$H1711="ETAPA"</formula>
    </cfRule>
  </conditionalFormatting>
  <conditionalFormatting sqref="H1720 J1720:K1720">
    <cfRule type="expression" dxfId="5655" priority="8510">
      <formula>$H1720="CÉLULA CONSTRUTIVA"</formula>
    </cfRule>
    <cfRule type="expression" dxfId="5654" priority="8511">
      <formula>$H1720="SUBETAPA"</formula>
    </cfRule>
  </conditionalFormatting>
  <conditionalFormatting sqref="H1720">
    <cfRule type="expression" dxfId="5653" priority="8509">
      <formula>$H1720="ETAPA"</formula>
    </cfRule>
  </conditionalFormatting>
  <conditionalFormatting sqref="H1729 J1729:K1729">
    <cfRule type="expression" dxfId="5652" priority="8507">
      <formula>$H1729="SUBETAPA"</formula>
    </cfRule>
    <cfRule type="expression" dxfId="5651" priority="8506">
      <formula>$H1729="CÉLULA CONSTRUTIVA"</formula>
    </cfRule>
  </conditionalFormatting>
  <conditionalFormatting sqref="H1729">
    <cfRule type="expression" dxfId="5650" priority="8505">
      <formula>$H1729="ETAPA"</formula>
    </cfRule>
  </conditionalFormatting>
  <conditionalFormatting sqref="H1738 J1738:K1738">
    <cfRule type="expression" dxfId="5649" priority="8503">
      <formula>$H1738="SUBETAPA"</formula>
    </cfRule>
    <cfRule type="expression" dxfId="5648" priority="8502">
      <formula>$H1738="CÉLULA CONSTRUTIVA"</formula>
    </cfRule>
  </conditionalFormatting>
  <conditionalFormatting sqref="H1738">
    <cfRule type="expression" dxfId="5647" priority="8501">
      <formula>$H1738="ETAPA"</formula>
    </cfRule>
  </conditionalFormatting>
  <conditionalFormatting sqref="H1746 J1746:K1746">
    <cfRule type="expression" dxfId="5646" priority="8499">
      <formula>$H1746="ETAPA"</formula>
    </cfRule>
  </conditionalFormatting>
  <conditionalFormatting sqref="H1746:H1747">
    <cfRule type="expression" dxfId="5645" priority="8496">
      <formula>$H1746="SUBETAPA"</formula>
    </cfRule>
  </conditionalFormatting>
  <conditionalFormatting sqref="H1747 J1747">
    <cfRule type="expression" dxfId="5644" priority="8497">
      <formula>$H1747="ETAPA"</formula>
    </cfRule>
  </conditionalFormatting>
  <conditionalFormatting sqref="H1749 J1749:L1749">
    <cfRule type="expression" dxfId="5643" priority="8494">
      <formula>$H1749="CÉLULA CONSTRUTIVA"</formula>
    </cfRule>
  </conditionalFormatting>
  <conditionalFormatting sqref="H1749">
    <cfRule type="expression" dxfId="5642" priority="8493">
      <formula>$H1749="ETAPA"</formula>
    </cfRule>
  </conditionalFormatting>
  <conditionalFormatting sqref="H1754 J1754:K1754">
    <cfRule type="expression" dxfId="5641" priority="8491">
      <formula>$H1754="ETAPA"</formula>
    </cfRule>
  </conditionalFormatting>
  <conditionalFormatting sqref="H1754:H1757 J1756:K1757">
    <cfRule type="expression" dxfId="5640" priority="8485">
      <formula>$H1754="SUBETAPA"</formula>
    </cfRule>
  </conditionalFormatting>
  <conditionalFormatting sqref="H1755 J1755">
    <cfRule type="expression" dxfId="5639" priority="8489">
      <formula>$H1755="ETAPA"</formula>
    </cfRule>
  </conditionalFormatting>
  <conditionalFormatting sqref="H1756 J1756:K1756">
    <cfRule type="expression" dxfId="5638" priority="8487">
      <formula>$H1756="ETAPA"</formula>
    </cfRule>
  </conditionalFormatting>
  <conditionalFormatting sqref="H1757 J1757:K1757">
    <cfRule type="expression" dxfId="5637" priority="8484">
      <formula>$H1757="ETAPA"</formula>
    </cfRule>
  </conditionalFormatting>
  <conditionalFormatting sqref="H1759 J1759:L1759">
    <cfRule type="expression" dxfId="5636" priority="8482">
      <formula>$H1759="CÉLULA CONSTRUTIVA"</formula>
    </cfRule>
  </conditionalFormatting>
  <conditionalFormatting sqref="H1759">
    <cfRule type="expression" dxfId="5635" priority="8481">
      <formula>$H1759="ETAPA"</formula>
    </cfRule>
  </conditionalFormatting>
  <conditionalFormatting sqref="H1763 J1763:L1763 L1765:L1766">
    <cfRule type="expression" dxfId="5634" priority="8480">
      <formula>$H1763="SUBETAPA"</formula>
    </cfRule>
  </conditionalFormatting>
  <conditionalFormatting sqref="H1765:H1766 J1766">
    <cfRule type="expression" dxfId="5633" priority="8478">
      <formula>$H1765="SUBETAPA"</formula>
    </cfRule>
  </conditionalFormatting>
  <conditionalFormatting sqref="H1766 J1766:K1766">
    <cfRule type="expression" dxfId="5632" priority="8477">
      <formula>$H1766="ETAPA"</formula>
    </cfRule>
  </conditionalFormatting>
  <conditionalFormatting sqref="H1806:H1807 J1807">
    <cfRule type="expression" dxfId="5631" priority="8471">
      <formula>$H1806="SUBETAPA"</formula>
    </cfRule>
  </conditionalFormatting>
  <conditionalFormatting sqref="H1807 J1807:K1807">
    <cfRule type="expression" dxfId="5630" priority="8470">
      <formula>$H1807="ETAPA"</formula>
    </cfRule>
  </conditionalFormatting>
  <conditionalFormatting sqref="H1813 J1813:L1813">
    <cfRule type="expression" dxfId="5629" priority="8468">
      <formula>$H1813="SUBETAPA"</formula>
    </cfRule>
  </conditionalFormatting>
  <conditionalFormatting sqref="H1860:H1864 H1867 J1867 G1872:H1878 J1874">
    <cfRule type="expression" dxfId="5628" priority="8441">
      <formula>$H1860="SUBETAPA"</formula>
    </cfRule>
  </conditionalFormatting>
  <conditionalFormatting sqref="H1861 H1863:H1864 H1867 J1867:K1867 H1874 J1874:K1874">
    <cfRule type="expression" dxfId="5627" priority="8440">
      <formula>$H1861="CÉLULA CONSTRUTIVA"</formula>
    </cfRule>
  </conditionalFormatting>
  <conditionalFormatting sqref="H29:I30 G28:K28">
    <cfRule type="expression" dxfId="5626" priority="9641">
      <formula>$H28="ETAPA"</formula>
    </cfRule>
  </conditionalFormatting>
  <conditionalFormatting sqref="H29:I30 L29:L30 G31:L31">
    <cfRule type="expression" dxfId="5625" priority="9497">
      <formula>$H29="SUBETAPA"</formula>
    </cfRule>
  </conditionalFormatting>
  <conditionalFormatting sqref="H37:I37">
    <cfRule type="expression" dxfId="5624" priority="8434">
      <formula>$H37="ETAPA"</formula>
    </cfRule>
    <cfRule type="expression" dxfId="5623" priority="8435">
      <formula>$H37="CÉLULA CONSTRUTIVA"</formula>
    </cfRule>
  </conditionalFormatting>
  <conditionalFormatting sqref="H38:I38 N38:N39">
    <cfRule type="expression" dxfId="5622" priority="8432">
      <formula>$H38="ETAPA"</formula>
    </cfRule>
  </conditionalFormatting>
  <conditionalFormatting sqref="H38:I38">
    <cfRule type="expression" dxfId="5621" priority="8431">
      <formula>$H38="CÉLULA CONSTRUTIVA"</formula>
    </cfRule>
  </conditionalFormatting>
  <conditionalFormatting sqref="H45:I45 H48:I48 L45 G49:L49">
    <cfRule type="expression" dxfId="5620" priority="8430">
      <formula>$H45="SUBETAPA"</formula>
    </cfRule>
  </conditionalFormatting>
  <conditionalFormatting sqref="H45:I48">
    <cfRule type="expression" dxfId="5619" priority="8429">
      <formula>$H45="ETAPA"</formula>
    </cfRule>
  </conditionalFormatting>
  <conditionalFormatting sqref="H46:I47">
    <cfRule type="expression" dxfId="5618" priority="8426">
      <formula>$H46="CÉLULA CONSTRUTIVA"</formula>
    </cfRule>
  </conditionalFormatting>
  <conditionalFormatting sqref="H47:I47">
    <cfRule type="expression" dxfId="5617" priority="8427">
      <formula>$H47="SUBETAPA"</formula>
    </cfRule>
  </conditionalFormatting>
  <conditionalFormatting sqref="H1011:I1011">
    <cfRule type="expression" dxfId="5616" priority="8080">
      <formula>$H1011="CÉLULA CONSTRUTIVA"</formula>
    </cfRule>
  </conditionalFormatting>
  <conditionalFormatting sqref="H1881:I1881">
    <cfRule type="expression" dxfId="5615" priority="8079">
      <formula>$H1881="CÉLULA CONSTRUTIVA"</formula>
    </cfRule>
    <cfRule type="expression" dxfId="5614" priority="8078">
      <formula>$H1881="SUBETAPA"</formula>
    </cfRule>
  </conditionalFormatting>
  <conditionalFormatting sqref="H35:J36 J38">
    <cfRule type="expression" dxfId="5613" priority="7954">
      <formula>$H35="ETAPA"</formula>
    </cfRule>
  </conditionalFormatting>
  <conditionalFormatting sqref="H35:J37">
    <cfRule type="expression" dxfId="5612" priority="7957">
      <formula>$H35="SUBETAPA"</formula>
    </cfRule>
  </conditionalFormatting>
  <conditionalFormatting sqref="H384:J384">
    <cfRule type="expression" dxfId="5611" priority="8422">
      <formula>$H384="SUBETAPA"</formula>
    </cfRule>
  </conditionalFormatting>
  <conditionalFormatting sqref="H386:J386 H388:J388 H389:L389 H390:J390 H391:L391 H392:J392 H397:J397">
    <cfRule type="expression" dxfId="5610" priority="8420">
      <formula>$H386="SUBETAPA"</formula>
    </cfRule>
  </conditionalFormatting>
  <conditionalFormatting sqref="H595:J595">
    <cfRule type="expression" dxfId="5609" priority="8401">
      <formula>$H595="ETAPA"</formula>
    </cfRule>
  </conditionalFormatting>
  <conditionalFormatting sqref="H604:J604">
    <cfRule type="expression" dxfId="5608" priority="8399">
      <formula>$H604="ETAPA"</formula>
    </cfRule>
  </conditionalFormatting>
  <conditionalFormatting sqref="H613:J613">
    <cfRule type="expression" dxfId="5607" priority="8397">
      <formula>$H613="ETAPA"</formula>
    </cfRule>
  </conditionalFormatting>
  <conditionalFormatting sqref="H622:J622">
    <cfRule type="expression" dxfId="5606" priority="8395">
      <formula>$H622="ETAPA"</formula>
    </cfRule>
  </conditionalFormatting>
  <conditionalFormatting sqref="H631:J631">
    <cfRule type="expression" dxfId="5605" priority="8393">
      <formula>$H631="ETAPA"</formula>
    </cfRule>
  </conditionalFormatting>
  <conditionalFormatting sqref="H640:J640">
    <cfRule type="expression" dxfId="5604" priority="8391">
      <formula>$H640="ETAPA"</formula>
    </cfRule>
  </conditionalFormatting>
  <conditionalFormatting sqref="H649:J649">
    <cfRule type="expression" dxfId="5603" priority="8389">
      <formula>$H649="ETAPA"</formula>
    </cfRule>
  </conditionalFormatting>
  <conditionalFormatting sqref="H658:J658">
    <cfRule type="expression" dxfId="5602" priority="8387">
      <formula>$H658="ETAPA"</formula>
    </cfRule>
  </conditionalFormatting>
  <conditionalFormatting sqref="H669:J669">
    <cfRule type="expression" dxfId="5601" priority="8385">
      <formula>$H669="ETAPA"</formula>
    </cfRule>
  </conditionalFormatting>
  <conditionalFormatting sqref="H680:J680">
    <cfRule type="expression" dxfId="5600" priority="8383">
      <formula>$H680="ETAPA"</formula>
    </cfRule>
  </conditionalFormatting>
  <conditionalFormatting sqref="H689:J689">
    <cfRule type="expression" dxfId="5599" priority="8381">
      <formula>$H689="ETAPA"</formula>
    </cfRule>
  </conditionalFormatting>
  <conditionalFormatting sqref="H698:J698">
    <cfRule type="expression" dxfId="5598" priority="8379">
      <formula>$H698="ETAPA"</formula>
    </cfRule>
  </conditionalFormatting>
  <conditionalFormatting sqref="H1004:J1004">
    <cfRule type="expression" dxfId="5597" priority="8034">
      <formula>$H1004="ETAPA"</formula>
    </cfRule>
    <cfRule type="expression" dxfId="5596" priority="8033">
      <formula>$H1004="CÉLULA CONSTRUTIVA"</formula>
    </cfRule>
  </conditionalFormatting>
  <conditionalFormatting sqref="H1011:J1011">
    <cfRule type="expression" dxfId="5595" priority="8081">
      <formula>$H1011="ETAPA"</formula>
    </cfRule>
    <cfRule type="expression" dxfId="5594" priority="8082">
      <formula>$H1011="SUBETAPA"</formula>
    </cfRule>
  </conditionalFormatting>
  <conditionalFormatting sqref="H38:K38">
    <cfRule type="expression" dxfId="5593" priority="7959">
      <formula>$H38="SUBETAPA"</formula>
    </cfRule>
  </conditionalFormatting>
  <conditionalFormatting sqref="H389:K389 H390:J390 H391:K391 H392:J392">
    <cfRule type="expression" dxfId="5592" priority="8376">
      <formula>$H389="CÉLULA CONSTRUTIVA"</formula>
    </cfRule>
  </conditionalFormatting>
  <conditionalFormatting sqref="H574:K574 H575:J575">
    <cfRule type="expression" dxfId="5591" priority="8405">
      <formula>$H574="ETAPA"</formula>
    </cfRule>
  </conditionalFormatting>
  <conditionalFormatting sqref="H585:K585 H586:J586">
    <cfRule type="expression" dxfId="5590" priority="8403">
      <formula>$H585="ETAPA"</formula>
    </cfRule>
  </conditionalFormatting>
  <conditionalFormatting sqref="H713:K713 M708 M710:M711">
    <cfRule type="expression" dxfId="5589" priority="8348">
      <formula>$H708="ETAPA"</formula>
    </cfRule>
  </conditionalFormatting>
  <conditionalFormatting sqref="H715:K715 H716:J716 H717:K717 H718:J718">
    <cfRule type="expression" dxfId="5588" priority="8345">
      <formula>$H715="ETAPA"</formula>
    </cfRule>
  </conditionalFormatting>
  <conditionalFormatting sqref="H728:K728 M723 M726">
    <cfRule type="expression" dxfId="5587" priority="8344">
      <formula>$H723="ETAPA"</formula>
    </cfRule>
  </conditionalFormatting>
  <conditionalFormatting sqref="H730:K730 H731:J731 H732:K732 H733:J733">
    <cfRule type="expression" dxfId="5586" priority="8341">
      <formula>$H730="ETAPA"</formula>
    </cfRule>
  </conditionalFormatting>
  <conditionalFormatting sqref="H743:K743 M738 M741">
    <cfRule type="expression" dxfId="5585" priority="8340">
      <formula>$H738="ETAPA"</formula>
    </cfRule>
  </conditionalFormatting>
  <conditionalFormatting sqref="H745:K745 H746:J746 H747:K747 H748:J748">
    <cfRule type="expression" dxfId="5584" priority="8337">
      <formula>$H745="ETAPA"</formula>
    </cfRule>
  </conditionalFormatting>
  <conditionalFormatting sqref="H758:K758 M753 M756">
    <cfRule type="expression" dxfId="5583" priority="8336">
      <formula>$H753="ETAPA"</formula>
    </cfRule>
  </conditionalFormatting>
  <conditionalFormatting sqref="H760:K760 H761:J761 H762:K762 H763:J763">
    <cfRule type="expression" dxfId="5582" priority="8333">
      <formula>$H760="ETAPA"</formula>
    </cfRule>
  </conditionalFormatting>
  <conditionalFormatting sqref="H773:K773 M768 M771">
    <cfRule type="expression" dxfId="5581" priority="8332">
      <formula>$H768="ETAPA"</formula>
    </cfRule>
  </conditionalFormatting>
  <conditionalFormatting sqref="H775:K775 H776:J776 H777:K777 H778:J778">
    <cfRule type="expression" dxfId="5580" priority="8329">
      <formula>$H775="ETAPA"</formula>
    </cfRule>
  </conditionalFormatting>
  <conditionalFormatting sqref="H788:K788 M783 M786">
    <cfRule type="expression" dxfId="5579" priority="8328">
      <formula>$H783="ETAPA"</formula>
    </cfRule>
  </conditionalFormatting>
  <conditionalFormatting sqref="H790:K790 H791:J791 H792:K792 H793:J793">
    <cfRule type="expression" dxfId="5578" priority="8325">
      <formula>$H790="ETAPA"</formula>
    </cfRule>
  </conditionalFormatting>
  <conditionalFormatting sqref="H803:K803 M798 M801">
    <cfRule type="expression" dxfId="5577" priority="8324">
      <formula>$H798="ETAPA"</formula>
    </cfRule>
  </conditionalFormatting>
  <conditionalFormatting sqref="H805:K805 H806:J806 H807:K807 H808:J808">
    <cfRule type="expression" dxfId="5576" priority="8321">
      <formula>$H805="ETAPA"</formula>
    </cfRule>
  </conditionalFormatting>
  <conditionalFormatting sqref="H818:K818 M813 M816">
    <cfRule type="expression" dxfId="5575" priority="8320">
      <formula>$H813="ETAPA"</formula>
    </cfRule>
  </conditionalFormatting>
  <conditionalFormatting sqref="H820:K820 H821:J821 H822:K822 H823:J823">
    <cfRule type="expression" dxfId="5574" priority="8317">
      <formula>$H820="ETAPA"</formula>
    </cfRule>
  </conditionalFormatting>
  <conditionalFormatting sqref="H833:K833 M828 M831">
    <cfRule type="expression" dxfId="5573" priority="8316">
      <formula>$H828="ETAPA"</formula>
    </cfRule>
  </conditionalFormatting>
  <conditionalFormatting sqref="H835:K835 H836:J836 H837:K837 H838:J838">
    <cfRule type="expression" dxfId="5572" priority="8313">
      <formula>$H835="ETAPA"</formula>
    </cfRule>
  </conditionalFormatting>
  <conditionalFormatting sqref="H848:K848 M843 M846">
    <cfRule type="expression" dxfId="5571" priority="8312">
      <formula>$H843="ETAPA"</formula>
    </cfRule>
  </conditionalFormatting>
  <conditionalFormatting sqref="H850:K850 H851:J851 H852:K852 H853:J853">
    <cfRule type="expression" dxfId="5570" priority="8309">
      <formula>$H850="ETAPA"</formula>
    </cfRule>
  </conditionalFormatting>
  <conditionalFormatting sqref="H863:K863 M858 M861">
    <cfRule type="expression" dxfId="5569" priority="8308">
      <formula>$H858="ETAPA"</formula>
    </cfRule>
  </conditionalFormatting>
  <conditionalFormatting sqref="H865:K865 H866:J866 H867:K867 H868:J868">
    <cfRule type="expression" dxfId="5568" priority="8305">
      <formula>$H865="ETAPA"</formula>
    </cfRule>
  </conditionalFormatting>
  <conditionalFormatting sqref="H878:K878 M873 M876">
    <cfRule type="expression" dxfId="5567" priority="8304">
      <formula>$H873="ETAPA"</formula>
    </cfRule>
  </conditionalFormatting>
  <conditionalFormatting sqref="H880:K880 H881:J881 H882:K882 H883:J883">
    <cfRule type="expression" dxfId="5566" priority="8301">
      <formula>$H880="ETAPA"</formula>
    </cfRule>
  </conditionalFormatting>
  <conditionalFormatting sqref="H893:K893 M888 M891">
    <cfRule type="expression" dxfId="5565" priority="8300">
      <formula>$H888="ETAPA"</formula>
    </cfRule>
  </conditionalFormatting>
  <conditionalFormatting sqref="H895:K895 H896:J896 H897:K897 H898:J898">
    <cfRule type="expression" dxfId="5564" priority="8297">
      <formula>$H895="ETAPA"</formula>
    </cfRule>
  </conditionalFormatting>
  <conditionalFormatting sqref="H908:K908 M903 M906">
    <cfRule type="expression" dxfId="5563" priority="8296">
      <formula>$H903="ETAPA"</formula>
    </cfRule>
  </conditionalFormatting>
  <conditionalFormatting sqref="H910:K910 H911:J911 H912:K912 H913:J913">
    <cfRule type="expression" dxfId="5562" priority="8293">
      <formula>$H910="ETAPA"</formula>
    </cfRule>
  </conditionalFormatting>
  <conditionalFormatting sqref="H918:K918">
    <cfRule type="expression" dxfId="5561" priority="8292">
      <formula>$H918="ETAPA"</formula>
    </cfRule>
  </conditionalFormatting>
  <conditionalFormatting sqref="H920:K921 H925:K926 H930:K931 H935:K936 H940:K941 H945:K946 H952:K953 H959:K960 H966:K967 H973:K974 H980:K981 H985:K986 H992:K993 H997:K998 G1013:G1124 G1148:G1152 G1155:G1159">
    <cfRule type="expression" dxfId="5560" priority="8291">
      <formula>$H920="ETAPA"</formula>
    </cfRule>
  </conditionalFormatting>
  <conditionalFormatting sqref="H920:K921 H925:K926 H930:K931 H935:K936 H940:K941 H945:K946 H952:K953 H959:K960 H966:K967 H973:K974 H980:K981 H985:K986 H992:K993 H997:K998 G1013:G1124 G1202:H1202 G1148:G1152 G1155:G1159 J1204:K1204 J1205 H1206 J1206:K1206">
    <cfRule type="expression" dxfId="5559" priority="9991">
      <formula>$H920="SUBETAPA"</formula>
    </cfRule>
  </conditionalFormatting>
  <conditionalFormatting sqref="H920:K921 H925:K926 H930:K931 H935:K936 H940:K941 H945:K946 H952:K953 H959:K960 H966:K967 H973:K974 H980:K981 H985:K986 H992:K993 H997:K998 J1561:K1561 G1111:G1120 O570:O571 O581:O582 O590:O591 O599:O600 O608:O609 O617:O618 O626:O627 O635:O636 O644:O645 O653:O654 O664:O665 O675:O676 O684:O685 O693:O694 H572:M573 H583:M584 H592:M593 H601:M602 H610:M611 H619:M620 H628:M629 H637:M638 H646:M647 H655:M656 H666:M667 H677:M678 H686:M687 H695:M696 G706:G718 G721:G733 G736:G748 G751:G763 G766:G778 G781:G793 G796:G808 G811:G823 G826:G838 G841:G853 G856:G868 G871:G883 G886:G898 G1005:M1005 O1007:O1008 G1202:H1202">
    <cfRule type="expression" dxfId="5558" priority="9990">
      <formula>$H570="CÉLULA CONSTRUTIVA"</formula>
    </cfRule>
  </conditionalFormatting>
  <conditionalFormatting sqref="H923:K923">
    <cfRule type="expression" dxfId="5557" priority="8290">
      <formula>$H923="ETAPA"</formula>
    </cfRule>
  </conditionalFormatting>
  <conditionalFormatting sqref="H928:K928">
    <cfRule type="expression" dxfId="5556" priority="8289">
      <formula>$H928="ETAPA"</formula>
    </cfRule>
  </conditionalFormatting>
  <conditionalFormatting sqref="H933:K933">
    <cfRule type="expression" dxfId="5555" priority="8288">
      <formula>$H933="ETAPA"</formula>
    </cfRule>
  </conditionalFormatting>
  <conditionalFormatting sqref="H938:K938">
    <cfRule type="expression" dxfId="5554" priority="8287">
      <formula>$H938="ETAPA"</formula>
    </cfRule>
  </conditionalFormatting>
  <conditionalFormatting sqref="H943:K943">
    <cfRule type="expression" dxfId="5553" priority="8286">
      <formula>$H943="ETAPA"</formula>
    </cfRule>
  </conditionalFormatting>
  <conditionalFormatting sqref="H950:K950">
    <cfRule type="expression" dxfId="5552" priority="8285">
      <formula>$H950="ETAPA"</formula>
    </cfRule>
  </conditionalFormatting>
  <conditionalFormatting sqref="H957:K957">
    <cfRule type="expression" dxfId="5551" priority="8284">
      <formula>$H957="ETAPA"</formula>
    </cfRule>
  </conditionalFormatting>
  <conditionalFormatting sqref="H964:K964">
    <cfRule type="expression" dxfId="5550" priority="8283">
      <formula>$H964="ETAPA"</formula>
    </cfRule>
  </conditionalFormatting>
  <conditionalFormatting sqref="H971:K971">
    <cfRule type="expression" dxfId="5549" priority="8282">
      <formula>$H971="ETAPA"</formula>
    </cfRule>
  </conditionalFormatting>
  <conditionalFormatting sqref="H978:K978">
    <cfRule type="expression" dxfId="5548" priority="8281">
      <formula>$H978="ETAPA"</formula>
    </cfRule>
  </conditionalFormatting>
  <conditionalFormatting sqref="H983:K983">
    <cfRule type="expression" dxfId="5547" priority="8280">
      <formula>$H983="ETAPA"</formula>
    </cfRule>
  </conditionalFormatting>
  <conditionalFormatting sqref="H990:K990">
    <cfRule type="expression" dxfId="5546" priority="8279">
      <formula>$H990="ETAPA"</formula>
    </cfRule>
  </conditionalFormatting>
  <conditionalFormatting sqref="H995:K995">
    <cfRule type="expression" dxfId="5545" priority="8278">
      <formula>$H995="ETAPA"</formula>
    </cfRule>
  </conditionalFormatting>
  <conditionalFormatting sqref="H1017:K1017 H1022:K1026">
    <cfRule type="expression" dxfId="5544" priority="8277">
      <formula>$H1017="ETAPA"</formula>
    </cfRule>
  </conditionalFormatting>
  <conditionalFormatting sqref="H1019:K1019">
    <cfRule type="expression" dxfId="5543" priority="8276">
      <formula>$H1019="ETAPA"</formula>
    </cfRule>
  </conditionalFormatting>
  <conditionalFormatting sqref="H1031:K1031 H1036:K1040">
    <cfRule type="expression" dxfId="5542" priority="8275">
      <formula>$H1031="ETAPA"</formula>
    </cfRule>
  </conditionalFormatting>
  <conditionalFormatting sqref="H1033:K1033">
    <cfRule type="expression" dxfId="5541" priority="8274">
      <formula>$H1033="ETAPA"</formula>
    </cfRule>
  </conditionalFormatting>
  <conditionalFormatting sqref="H1045:K1045 H1050:K1054">
    <cfRule type="expression" dxfId="5540" priority="8273">
      <formula>$H1045="ETAPA"</formula>
    </cfRule>
  </conditionalFormatting>
  <conditionalFormatting sqref="H1047:K1047">
    <cfRule type="expression" dxfId="5539" priority="8272">
      <formula>$H1047="ETAPA"</formula>
    </cfRule>
  </conditionalFormatting>
  <conditionalFormatting sqref="H1059:K1059 H1064:K1068">
    <cfRule type="expression" dxfId="5538" priority="8271">
      <formula>$H1059="ETAPA"</formula>
    </cfRule>
  </conditionalFormatting>
  <conditionalFormatting sqref="H1061:K1061">
    <cfRule type="expression" dxfId="5537" priority="8270">
      <formula>$H1061="ETAPA"</formula>
    </cfRule>
  </conditionalFormatting>
  <conditionalFormatting sqref="H1073:K1073 H1078:K1082">
    <cfRule type="expression" dxfId="5536" priority="8269">
      <formula>$H1073="ETAPA"</formula>
    </cfRule>
  </conditionalFormatting>
  <conditionalFormatting sqref="H1075:K1075">
    <cfRule type="expression" dxfId="5535" priority="8268">
      <formula>$H1075="ETAPA"</formula>
    </cfRule>
  </conditionalFormatting>
  <conditionalFormatting sqref="H1087:K1087 H1092:K1096">
    <cfRule type="expression" dxfId="5534" priority="8267">
      <formula>$H1087="ETAPA"</formula>
    </cfRule>
  </conditionalFormatting>
  <conditionalFormatting sqref="H1089:K1089">
    <cfRule type="expression" dxfId="5533" priority="8266">
      <formula>$H1089="ETAPA"</formula>
    </cfRule>
  </conditionalFormatting>
  <conditionalFormatting sqref="H1101:K1101 H1106:K1110">
    <cfRule type="expression" dxfId="5532" priority="8265">
      <formula>$H1101="ETAPA"</formula>
    </cfRule>
  </conditionalFormatting>
  <conditionalFormatting sqref="H1103:K1103">
    <cfRule type="expression" dxfId="5531" priority="8264">
      <formula>$H1103="ETAPA"</formula>
    </cfRule>
  </conditionalFormatting>
  <conditionalFormatting sqref="H1115:K1115 H1120:K1124 G1125:K1125 G1126:H1127 J1126:K1128 H1128 G1146:H1147 J1146:K1148 H1148 G1153:H1154 J1153:K1155 H1155 G1160:H1161 J1160:K1162 H1162 G1165:H1166 J1165:K1167 H1167 G1170:H1171 J1170:K1172 H1172 G1175:H1176 J1175:K1177 H1177">
    <cfRule type="expression" dxfId="5530" priority="8263">
      <formula>$H1115="ETAPA"</formula>
    </cfRule>
  </conditionalFormatting>
  <conditionalFormatting sqref="H1117:K1117">
    <cfRule type="expression" dxfId="5529" priority="8262">
      <formula>$H1117="ETAPA"</formula>
    </cfRule>
  </conditionalFormatting>
  <conditionalFormatting sqref="H32:L32">
    <cfRule type="expression" dxfId="5528" priority="7961">
      <formula>$H32="SUBETAPA"</formula>
    </cfRule>
  </conditionalFormatting>
  <conditionalFormatting sqref="H40:L40">
    <cfRule type="expression" dxfId="5527" priority="7952">
      <formula>$H40="SUBETAPA"</formula>
    </cfRule>
  </conditionalFormatting>
  <conditionalFormatting sqref="H50:L50">
    <cfRule type="expression" dxfId="5526" priority="7944">
      <formula>$H50="SUBETAPA"</formula>
    </cfRule>
  </conditionalFormatting>
  <conditionalFormatting sqref="H383:L383 H384:J384">
    <cfRule type="expression" dxfId="5525" priority="8378">
      <formula>$H383="CÉLULA CONSTRUTIVA"</formula>
    </cfRule>
  </conditionalFormatting>
  <conditionalFormatting sqref="H383:L383">
    <cfRule type="expression" dxfId="5524" priority="8260">
      <formula>$H383="ETAPA"</formula>
    </cfRule>
  </conditionalFormatting>
  <conditionalFormatting sqref="H385:L385 H387:L387 H386:J386 H388:J388">
    <cfRule type="expression" dxfId="5523" priority="8377">
      <formula>$H385="CÉLULA CONSTRUTIVA"</formula>
    </cfRule>
  </conditionalFormatting>
  <conditionalFormatting sqref="H385:L385 H387:L387">
    <cfRule type="expression" dxfId="5522" priority="8259">
      <formula>$H385="ETAPA"</formula>
    </cfRule>
  </conditionalFormatting>
  <conditionalFormatting sqref="H396:L396 H398:L398 H397:J397">
    <cfRule type="expression" dxfId="5521" priority="8375">
      <formula>$H396="CÉLULA CONSTRUTIVA"</formula>
    </cfRule>
  </conditionalFormatting>
  <conditionalFormatting sqref="H396:L396 H398:L398">
    <cfRule type="expression" dxfId="5520" priority="8258">
      <formula>$H396="ETAPA"</formula>
    </cfRule>
  </conditionalFormatting>
  <conditionalFormatting sqref="H400:L400 H401:M401">
    <cfRule type="expression" dxfId="5519" priority="8419">
      <formula>$H400="CÉLULA CONSTRUTIVA"</formula>
    </cfRule>
  </conditionalFormatting>
  <conditionalFormatting sqref="H400:L400">
    <cfRule type="expression" dxfId="5518" priority="8257">
      <formula>$H400="ETAPA"</formula>
    </cfRule>
  </conditionalFormatting>
  <conditionalFormatting sqref="H402:L402 H403:M403 H404:L404 H405:M408">
    <cfRule type="expression" dxfId="5517" priority="8374">
      <formula>$H402="CÉLULA CONSTRUTIVA"</formula>
    </cfRule>
  </conditionalFormatting>
  <conditionalFormatting sqref="H411:L411 H409:L409 H410:M410">
    <cfRule type="expression" dxfId="5516" priority="8373">
      <formula>$H409="CÉLULA CONSTRUTIVA"</formula>
    </cfRule>
  </conditionalFormatting>
  <conditionalFormatting sqref="H411:L411">
    <cfRule type="expression" dxfId="5515" priority="8255">
      <formula>$H411="ETAPA"</formula>
    </cfRule>
  </conditionalFormatting>
  <conditionalFormatting sqref="H413:L413 H414:M414">
    <cfRule type="expression" dxfId="5514" priority="8418">
      <formula>$H413="CÉLULA CONSTRUTIVA"</formula>
    </cfRule>
  </conditionalFormatting>
  <conditionalFormatting sqref="H413:L413">
    <cfRule type="expression" dxfId="5513" priority="8254">
      <formula>$H413="ETAPA"</formula>
    </cfRule>
  </conditionalFormatting>
  <conditionalFormatting sqref="H415:L415 H416:M416 H417:L417 H418:M421">
    <cfRule type="expression" dxfId="5512" priority="8372">
      <formula>$H415="CÉLULA CONSTRUTIVA"</formula>
    </cfRule>
  </conditionalFormatting>
  <conditionalFormatting sqref="H424:L424 H422:L422 H423:M423">
    <cfRule type="expression" dxfId="5511" priority="8371">
      <formula>$H422="CÉLULA CONSTRUTIVA"</formula>
    </cfRule>
  </conditionalFormatting>
  <conditionalFormatting sqref="H424:L424">
    <cfRule type="expression" dxfId="5510" priority="8252">
      <formula>$H424="ETAPA"</formula>
    </cfRule>
  </conditionalFormatting>
  <conditionalFormatting sqref="H426:L426 H427:M427">
    <cfRule type="expression" dxfId="5509" priority="8417">
      <formula>$H426="CÉLULA CONSTRUTIVA"</formula>
    </cfRule>
  </conditionalFormatting>
  <conditionalFormatting sqref="H426:L426">
    <cfRule type="expression" dxfId="5508" priority="8251">
      <formula>$H426="ETAPA"</formula>
    </cfRule>
  </conditionalFormatting>
  <conditionalFormatting sqref="H428:L428 H429:M429 H430:L430 H431:M434">
    <cfRule type="expression" dxfId="5507" priority="8370">
      <formula>$H428="CÉLULA CONSTRUTIVA"</formula>
    </cfRule>
  </conditionalFormatting>
  <conditionalFormatting sqref="H437:L437 H435:L435 H436:M436">
    <cfRule type="expression" dxfId="5506" priority="8369">
      <formula>$H435="CÉLULA CONSTRUTIVA"</formula>
    </cfRule>
  </conditionalFormatting>
  <conditionalFormatting sqref="H437:L437">
    <cfRule type="expression" dxfId="5505" priority="8249">
      <formula>$H437="ETAPA"</formula>
    </cfRule>
  </conditionalFormatting>
  <conditionalFormatting sqref="H439:L439 H440:M440">
    <cfRule type="expression" dxfId="5504" priority="8416">
      <formula>$H439="CÉLULA CONSTRUTIVA"</formula>
    </cfRule>
  </conditionalFormatting>
  <conditionalFormatting sqref="H439:L439">
    <cfRule type="expression" dxfId="5503" priority="8248">
      <formula>$H439="ETAPA"</formula>
    </cfRule>
  </conditionalFormatting>
  <conditionalFormatting sqref="H441:L441 H442:M442 H443:L443 H444:M447">
    <cfRule type="expression" dxfId="5502" priority="8368">
      <formula>$H441="CÉLULA CONSTRUTIVA"</formula>
    </cfRule>
  </conditionalFormatting>
  <conditionalFormatting sqref="H450:L450 H448:L448 H449:M449">
    <cfRule type="expression" dxfId="5501" priority="8367">
      <formula>$H448="CÉLULA CONSTRUTIVA"</formula>
    </cfRule>
  </conditionalFormatting>
  <conditionalFormatting sqref="H450:L450">
    <cfRule type="expression" dxfId="5500" priority="8246">
      <formula>$H450="ETAPA"</formula>
    </cfRule>
  </conditionalFormatting>
  <conditionalFormatting sqref="H452:L452 H453:M453">
    <cfRule type="expression" dxfId="5499" priority="8415">
      <formula>$H452="CÉLULA CONSTRUTIVA"</formula>
    </cfRule>
  </conditionalFormatting>
  <conditionalFormatting sqref="H452:L452">
    <cfRule type="expression" dxfId="5498" priority="8245">
      <formula>$H452="ETAPA"</formula>
    </cfRule>
  </conditionalFormatting>
  <conditionalFormatting sqref="H454:L454 H455:M455 H456:L456 H457:M460">
    <cfRule type="expression" dxfId="5497" priority="8366">
      <formula>$H454="CÉLULA CONSTRUTIVA"</formula>
    </cfRule>
  </conditionalFormatting>
  <conditionalFormatting sqref="H463:L463 H461:L461 H462:M462">
    <cfRule type="expression" dxfId="5496" priority="8365">
      <formula>$H461="CÉLULA CONSTRUTIVA"</formula>
    </cfRule>
  </conditionalFormatting>
  <conditionalFormatting sqref="H463:L463">
    <cfRule type="expression" dxfId="5495" priority="8243">
      <formula>$H463="ETAPA"</formula>
    </cfRule>
  </conditionalFormatting>
  <conditionalFormatting sqref="H465:L465 H466:M466">
    <cfRule type="expression" dxfId="5494" priority="8414">
      <formula>$H465="CÉLULA CONSTRUTIVA"</formula>
    </cfRule>
  </conditionalFormatting>
  <conditionalFormatting sqref="H465:L465">
    <cfRule type="expression" dxfId="5493" priority="8242">
      <formula>$H465="ETAPA"</formula>
    </cfRule>
  </conditionalFormatting>
  <conditionalFormatting sqref="H467:L467 H468:M468 H469:L469 H470:M473">
    <cfRule type="expression" dxfId="5492" priority="8364">
      <formula>$H467="CÉLULA CONSTRUTIVA"</formula>
    </cfRule>
  </conditionalFormatting>
  <conditionalFormatting sqref="H476:L476 H474:L474 H475:M475">
    <cfRule type="expression" dxfId="5491" priority="8363">
      <formula>$H474="CÉLULA CONSTRUTIVA"</formula>
    </cfRule>
  </conditionalFormatting>
  <conditionalFormatting sqref="H476:L476">
    <cfRule type="expression" dxfId="5490" priority="8240">
      <formula>$H476="ETAPA"</formula>
    </cfRule>
  </conditionalFormatting>
  <conditionalFormatting sqref="H478:L478 H479:M479">
    <cfRule type="expression" dxfId="5489" priority="8413">
      <formula>$H478="CÉLULA CONSTRUTIVA"</formula>
    </cfRule>
  </conditionalFormatting>
  <conditionalFormatting sqref="H478:L478">
    <cfRule type="expression" dxfId="5488" priority="8239">
      <formula>$H478="ETAPA"</formula>
    </cfRule>
  </conditionalFormatting>
  <conditionalFormatting sqref="H480:L480 H481:M481 H482:L482 H483:M486">
    <cfRule type="expression" dxfId="5487" priority="8362">
      <formula>$H480="CÉLULA CONSTRUTIVA"</formula>
    </cfRule>
  </conditionalFormatting>
  <conditionalFormatting sqref="H489:L489 H487:L487 H488:M488">
    <cfRule type="expression" dxfId="5486" priority="8361">
      <formula>$H487="CÉLULA CONSTRUTIVA"</formula>
    </cfRule>
  </conditionalFormatting>
  <conditionalFormatting sqref="H489:L489">
    <cfRule type="expression" dxfId="5485" priority="8237">
      <formula>$H489="ETAPA"</formula>
    </cfRule>
  </conditionalFormatting>
  <conditionalFormatting sqref="H491:L491 H492:M492">
    <cfRule type="expression" dxfId="5484" priority="8412">
      <formula>$H491="CÉLULA CONSTRUTIVA"</formula>
    </cfRule>
  </conditionalFormatting>
  <conditionalFormatting sqref="H491:L491">
    <cfRule type="expression" dxfId="5483" priority="8236">
      <formula>$H491="ETAPA"</formula>
    </cfRule>
  </conditionalFormatting>
  <conditionalFormatting sqref="H493:L493 H494:M494 H495:L495 H496:M499">
    <cfRule type="expression" dxfId="5482" priority="8360">
      <formula>$H493="CÉLULA CONSTRUTIVA"</formula>
    </cfRule>
  </conditionalFormatting>
  <conditionalFormatting sqref="H502:L502 H500:L500 H501:M501">
    <cfRule type="expression" dxfId="5481" priority="8359">
      <formula>$H500="CÉLULA CONSTRUTIVA"</formula>
    </cfRule>
  </conditionalFormatting>
  <conditionalFormatting sqref="H502:L502">
    <cfRule type="expression" dxfId="5480" priority="8234">
      <formula>$H502="ETAPA"</formula>
    </cfRule>
  </conditionalFormatting>
  <conditionalFormatting sqref="H504:L504 H505:M505">
    <cfRule type="expression" dxfId="5479" priority="8411">
      <formula>$H504="CÉLULA CONSTRUTIVA"</formula>
    </cfRule>
  </conditionalFormatting>
  <conditionalFormatting sqref="H504:L504">
    <cfRule type="expression" dxfId="5478" priority="8233">
      <formula>$H504="ETAPA"</formula>
    </cfRule>
  </conditionalFormatting>
  <conditionalFormatting sqref="H506:L506 H507:M507 H508:L508 H509:M512">
    <cfRule type="expression" dxfId="5477" priority="8358">
      <formula>$H506="CÉLULA CONSTRUTIVA"</formula>
    </cfRule>
  </conditionalFormatting>
  <conditionalFormatting sqref="H515:L515 H513:L513 H514:M514">
    <cfRule type="expression" dxfId="5476" priority="8357">
      <formula>$H513="CÉLULA CONSTRUTIVA"</formula>
    </cfRule>
  </conditionalFormatting>
  <conditionalFormatting sqref="H515:L515">
    <cfRule type="expression" dxfId="5475" priority="8231">
      <formula>$H515="ETAPA"</formula>
    </cfRule>
  </conditionalFormatting>
  <conditionalFormatting sqref="H517:L517 H518:M518">
    <cfRule type="expression" dxfId="5474" priority="8410">
      <formula>$H517="CÉLULA CONSTRUTIVA"</formula>
    </cfRule>
  </conditionalFormatting>
  <conditionalFormatting sqref="H517:L517">
    <cfRule type="expression" dxfId="5473" priority="8230">
      <formula>$H517="ETAPA"</formula>
    </cfRule>
  </conditionalFormatting>
  <conditionalFormatting sqref="H519:L519 H520:M520 H521:L521 H522:M525">
    <cfRule type="expression" dxfId="5472" priority="8356">
      <formula>$H519="CÉLULA CONSTRUTIVA"</formula>
    </cfRule>
  </conditionalFormatting>
  <conditionalFormatting sqref="H528:L528 H526:L526 H527:M527">
    <cfRule type="expression" dxfId="5471" priority="8355">
      <formula>$H526="CÉLULA CONSTRUTIVA"</formula>
    </cfRule>
  </conditionalFormatting>
  <conditionalFormatting sqref="H528:L528">
    <cfRule type="expression" dxfId="5470" priority="8228">
      <formula>$H528="ETAPA"</formula>
    </cfRule>
  </conditionalFormatting>
  <conditionalFormatting sqref="H530:L530 H531:M531">
    <cfRule type="expression" dxfId="5469" priority="8409">
      <formula>$H530="CÉLULA CONSTRUTIVA"</formula>
    </cfRule>
  </conditionalFormatting>
  <conditionalFormatting sqref="H530:L530">
    <cfRule type="expression" dxfId="5468" priority="8227">
      <formula>$H530="ETAPA"</formula>
    </cfRule>
  </conditionalFormatting>
  <conditionalFormatting sqref="H532:L532 H533:M533 H534:L534 H535:M538">
    <cfRule type="expression" dxfId="5467" priority="8354">
      <formula>$H532="CÉLULA CONSTRUTIVA"</formula>
    </cfRule>
  </conditionalFormatting>
  <conditionalFormatting sqref="H541:L541 H539:L539 H540:M540">
    <cfRule type="expression" dxfId="5466" priority="8353">
      <formula>$H539="CÉLULA CONSTRUTIVA"</formula>
    </cfRule>
  </conditionalFormatting>
  <conditionalFormatting sqref="H541:L541">
    <cfRule type="expression" dxfId="5465" priority="8225">
      <formula>$H541="ETAPA"</formula>
    </cfRule>
  </conditionalFormatting>
  <conditionalFormatting sqref="H543:L543 H544:M544">
    <cfRule type="expression" dxfId="5464" priority="8408">
      <formula>$H543="CÉLULA CONSTRUTIVA"</formula>
    </cfRule>
  </conditionalFormatting>
  <conditionalFormatting sqref="H543:L543">
    <cfRule type="expression" dxfId="5463" priority="8224">
      <formula>$H543="ETAPA"</formula>
    </cfRule>
  </conditionalFormatting>
  <conditionalFormatting sqref="H545:L545 H546:M546 H547:L547 H548:M551">
    <cfRule type="expression" dxfId="5462" priority="8352">
      <formula>$H545="CÉLULA CONSTRUTIVA"</formula>
    </cfRule>
  </conditionalFormatting>
  <conditionalFormatting sqref="H554:L554 H552:L552 H553:M553">
    <cfRule type="expression" dxfId="5461" priority="8351">
      <formula>$H552="CÉLULA CONSTRUTIVA"</formula>
    </cfRule>
  </conditionalFormatting>
  <conditionalFormatting sqref="H554:L554">
    <cfRule type="expression" dxfId="5460" priority="8222">
      <formula>$H554="ETAPA"</formula>
    </cfRule>
  </conditionalFormatting>
  <conditionalFormatting sqref="H556:L556 H557:M557">
    <cfRule type="expression" dxfId="5459" priority="8407">
      <formula>$H556="CÉLULA CONSTRUTIVA"</formula>
    </cfRule>
  </conditionalFormatting>
  <conditionalFormatting sqref="H556:L556">
    <cfRule type="expression" dxfId="5458" priority="8221">
      <formula>$H556="ETAPA"</formula>
    </cfRule>
  </conditionalFormatting>
  <conditionalFormatting sqref="H558:L558 H559:M559 H560:L560 H561:M564">
    <cfRule type="expression" dxfId="5457" priority="8350">
      <formula>$H558="CÉLULA CONSTRUTIVA"</formula>
    </cfRule>
  </conditionalFormatting>
  <conditionalFormatting sqref="H567:L567 H565:L565 H566:M566">
    <cfRule type="expression" dxfId="5456" priority="8349">
      <formula>$H565="CÉLULA CONSTRUTIVA"</formula>
    </cfRule>
  </conditionalFormatting>
  <conditionalFormatting sqref="H567:L567">
    <cfRule type="expression" dxfId="5455" priority="8219">
      <formula>$H567="ETAPA"</formula>
    </cfRule>
  </conditionalFormatting>
  <conditionalFormatting sqref="H574:L574 H575:M575">
    <cfRule type="expression" dxfId="5454" priority="8406">
      <formula>$H574="CÉLULA CONSTRUTIVA"</formula>
    </cfRule>
  </conditionalFormatting>
  <conditionalFormatting sqref="H585:L585 H586:M588">
    <cfRule type="expression" dxfId="5453" priority="8404">
      <formula>$H585="CÉLULA CONSTRUTIVA"</formula>
    </cfRule>
  </conditionalFormatting>
  <conditionalFormatting sqref="H594:L594">
    <cfRule type="expression" dxfId="5452" priority="8218">
      <formula>$H594="ETAPA"</formula>
    </cfRule>
  </conditionalFormatting>
  <conditionalFormatting sqref="H603:L603">
    <cfRule type="expression" dxfId="5451" priority="8217">
      <formula>$H603="ETAPA"</formula>
    </cfRule>
  </conditionalFormatting>
  <conditionalFormatting sqref="H612:L612">
    <cfRule type="expression" dxfId="5450" priority="8216">
      <formula>$H612="ETAPA"</formula>
    </cfRule>
  </conditionalFormatting>
  <conditionalFormatting sqref="H621:L621">
    <cfRule type="expression" dxfId="5449" priority="8215">
      <formula>$H621="ETAPA"</formula>
    </cfRule>
  </conditionalFormatting>
  <conditionalFormatting sqref="H630:L630">
    <cfRule type="expression" dxfId="5448" priority="8214">
      <formula>$H630="ETAPA"</formula>
    </cfRule>
  </conditionalFormatting>
  <conditionalFormatting sqref="H639:L639">
    <cfRule type="expression" dxfId="5447" priority="8213">
      <formula>$H639="ETAPA"</formula>
    </cfRule>
  </conditionalFormatting>
  <conditionalFormatting sqref="H648:L648">
    <cfRule type="expression" dxfId="5446" priority="8212">
      <formula>$H648="ETAPA"</formula>
    </cfRule>
  </conditionalFormatting>
  <conditionalFormatting sqref="H657:L657">
    <cfRule type="expression" dxfId="5445" priority="8211">
      <formula>$H657="ETAPA"</formula>
    </cfRule>
  </conditionalFormatting>
  <conditionalFormatting sqref="H668:L668">
    <cfRule type="expression" dxfId="5444" priority="8210">
      <formula>$H668="ETAPA"</formula>
    </cfRule>
  </conditionalFormatting>
  <conditionalFormatting sqref="H679:L679">
    <cfRule type="expression" dxfId="5443" priority="8209">
      <formula>$H679="ETAPA"</formula>
    </cfRule>
  </conditionalFormatting>
  <conditionalFormatting sqref="H688:L688">
    <cfRule type="expression" dxfId="5442" priority="8208">
      <formula>$H688="ETAPA"</formula>
    </cfRule>
  </conditionalFormatting>
  <conditionalFormatting sqref="H697:L697">
    <cfRule type="expression" dxfId="5441" priority="8207">
      <formula>$H697="ETAPA"</formula>
    </cfRule>
  </conditionalFormatting>
  <conditionalFormatting sqref="H707:L707">
    <cfRule type="expression" dxfId="5440" priority="8206">
      <formula>$H707="ETAPA"</formula>
    </cfRule>
  </conditionalFormatting>
  <conditionalFormatting sqref="H715:L715 H716:M716 H717:L717 H718:M718">
    <cfRule type="expression" dxfId="5439" priority="8346">
      <formula>$H715="CÉLULA CONSTRUTIVA"</formula>
    </cfRule>
  </conditionalFormatting>
  <conditionalFormatting sqref="H722:L722">
    <cfRule type="expression" dxfId="5438" priority="8203">
      <formula>$H722="ETAPA"</formula>
    </cfRule>
  </conditionalFormatting>
  <conditionalFormatting sqref="H730:L730 H731:M731 H732:L732 H733:M733">
    <cfRule type="expression" dxfId="5437" priority="8342">
      <formula>$H730="CÉLULA CONSTRUTIVA"</formula>
    </cfRule>
  </conditionalFormatting>
  <conditionalFormatting sqref="H737:L737">
    <cfRule type="expression" dxfId="5436" priority="8200">
      <formula>$H737="ETAPA"</formula>
    </cfRule>
  </conditionalFormatting>
  <conditionalFormatting sqref="H745:L745 H746:M746 H747:L747 H748:M748">
    <cfRule type="expression" dxfId="5435" priority="8338">
      <formula>$H745="CÉLULA CONSTRUTIVA"</formula>
    </cfRule>
  </conditionalFormatting>
  <conditionalFormatting sqref="H752:L752">
    <cfRule type="expression" dxfId="5434" priority="8197">
      <formula>$H752="ETAPA"</formula>
    </cfRule>
  </conditionalFormatting>
  <conditionalFormatting sqref="H760:L760 H761:M761 H762:L762 H763:M763">
    <cfRule type="expression" dxfId="5433" priority="8334">
      <formula>$H760="CÉLULA CONSTRUTIVA"</formula>
    </cfRule>
  </conditionalFormatting>
  <conditionalFormatting sqref="H767:L767">
    <cfRule type="expression" dxfId="5432" priority="8194">
      <formula>$H767="ETAPA"</formula>
    </cfRule>
  </conditionalFormatting>
  <conditionalFormatting sqref="H775:L775 H776:M776 H777:L777 H778:M778">
    <cfRule type="expression" dxfId="5431" priority="8330">
      <formula>$H775="CÉLULA CONSTRUTIVA"</formula>
    </cfRule>
  </conditionalFormatting>
  <conditionalFormatting sqref="H782:L782">
    <cfRule type="expression" dxfId="5430" priority="8191">
      <formula>$H782="ETAPA"</formula>
    </cfRule>
  </conditionalFormatting>
  <conditionalFormatting sqref="H790:L790 H791:M791 H792:L792 H793:M793">
    <cfRule type="expression" dxfId="5429" priority="8326">
      <formula>$H790="CÉLULA CONSTRUTIVA"</formula>
    </cfRule>
  </conditionalFormatting>
  <conditionalFormatting sqref="H797:L797">
    <cfRule type="expression" dxfId="5428" priority="8188">
      <formula>$H797="ETAPA"</formula>
    </cfRule>
  </conditionalFormatting>
  <conditionalFormatting sqref="H805:L805 H806:M806 H807:L807 H808:M808">
    <cfRule type="expression" dxfId="5427" priority="8322">
      <formula>$H805="CÉLULA CONSTRUTIVA"</formula>
    </cfRule>
  </conditionalFormatting>
  <conditionalFormatting sqref="H812:L812">
    <cfRule type="expression" dxfId="5426" priority="8185">
      <formula>$H812="ETAPA"</formula>
    </cfRule>
  </conditionalFormatting>
  <conditionalFormatting sqref="H820:L820 H821:M821 H822:L822 H823:M823">
    <cfRule type="expression" dxfId="5425" priority="8318">
      <formula>$H820="CÉLULA CONSTRUTIVA"</formula>
    </cfRule>
  </conditionalFormatting>
  <conditionalFormatting sqref="H827:L827">
    <cfRule type="expression" dxfId="5424" priority="8182">
      <formula>$H827="ETAPA"</formula>
    </cfRule>
  </conditionalFormatting>
  <conditionalFormatting sqref="H835:L835 H836:M836 H837:L837 H838:M838">
    <cfRule type="expression" dxfId="5423" priority="8314">
      <formula>$H835="CÉLULA CONSTRUTIVA"</formula>
    </cfRule>
  </conditionalFormatting>
  <conditionalFormatting sqref="H842:L842">
    <cfRule type="expression" dxfId="5422" priority="8179">
      <formula>$H842="ETAPA"</formula>
    </cfRule>
  </conditionalFormatting>
  <conditionalFormatting sqref="H850:L850 H851:M851 H852:L852 H853:M853">
    <cfRule type="expression" dxfId="5421" priority="8310">
      <formula>$H850="CÉLULA CONSTRUTIVA"</formula>
    </cfRule>
  </conditionalFormatting>
  <conditionalFormatting sqref="H857:L857">
    <cfRule type="expression" dxfId="5420" priority="8176">
      <formula>$H857="ETAPA"</formula>
    </cfRule>
  </conditionalFormatting>
  <conditionalFormatting sqref="H865:L865 H866:M866 H867:L867 H868:M868">
    <cfRule type="expression" dxfId="5419" priority="8306">
      <formula>$H865="CÉLULA CONSTRUTIVA"</formula>
    </cfRule>
  </conditionalFormatting>
  <conditionalFormatting sqref="H872:L872">
    <cfRule type="expression" dxfId="5418" priority="8173">
      <formula>$H872="ETAPA"</formula>
    </cfRule>
  </conditionalFormatting>
  <conditionalFormatting sqref="H880:L880 H881:M881 H882:L882 H883:M883">
    <cfRule type="expression" dxfId="5417" priority="8302">
      <formula>$H880="CÉLULA CONSTRUTIVA"</formula>
    </cfRule>
  </conditionalFormatting>
  <conditionalFormatting sqref="H887:L887">
    <cfRule type="expression" dxfId="5416" priority="8170">
      <formula>$H887="ETAPA"</formula>
    </cfRule>
  </conditionalFormatting>
  <conditionalFormatting sqref="H895:L895 H896:M896 H897:L897 H898:M898">
    <cfRule type="expression" dxfId="5415" priority="8298">
      <formula>$H895="CÉLULA CONSTRUTIVA"</formula>
    </cfRule>
  </conditionalFormatting>
  <conditionalFormatting sqref="H902:L902">
    <cfRule type="expression" dxfId="5414" priority="8167">
      <formula>$H902="ETAPA"</formula>
    </cfRule>
  </conditionalFormatting>
  <conditionalFormatting sqref="H910:L910 H911:M911 H912:L912 H913:M913">
    <cfRule type="expression" dxfId="5413" priority="8294">
      <formula>$H910="CÉLULA CONSTRUTIVA"</formula>
    </cfRule>
  </conditionalFormatting>
  <conditionalFormatting sqref="H1002:L1002">
    <cfRule type="expression" dxfId="5412" priority="8164">
      <formula>$H1002="ETAPA"</formula>
    </cfRule>
  </conditionalFormatting>
  <conditionalFormatting sqref="H1019:L1019">
    <cfRule type="expression" dxfId="5411" priority="8161">
      <formula>$H1019="SUBETAPA"</formula>
    </cfRule>
  </conditionalFormatting>
  <conditionalFormatting sqref="H1033:L1033">
    <cfRule type="expression" dxfId="5410" priority="8160">
      <formula>$H1033="SUBETAPA"</formula>
    </cfRule>
  </conditionalFormatting>
  <conditionalFormatting sqref="H1047:L1047">
    <cfRule type="expression" dxfId="5409" priority="8159">
      <formula>$H1047="SUBETAPA"</formula>
    </cfRule>
  </conditionalFormatting>
  <conditionalFormatting sqref="H1061:L1061">
    <cfRule type="expression" dxfId="5408" priority="8158">
      <formula>$H1061="SUBETAPA"</formula>
    </cfRule>
  </conditionalFormatting>
  <conditionalFormatting sqref="H1075:L1075">
    <cfRule type="expression" dxfId="5407" priority="8157">
      <formula>$H1075="SUBETAPA"</formula>
    </cfRule>
  </conditionalFormatting>
  <conditionalFormatting sqref="H1089:L1089">
    <cfRule type="expression" dxfId="5406" priority="8156">
      <formula>$H1089="SUBETAPA"</formula>
    </cfRule>
  </conditionalFormatting>
  <conditionalFormatting sqref="H1103:L1103">
    <cfRule type="expression" dxfId="5405" priority="8155">
      <formula>$H1103="SUBETAPA"</formula>
    </cfRule>
  </conditionalFormatting>
  <conditionalFormatting sqref="H1117:L1117">
    <cfRule type="expression" dxfId="5404" priority="8154">
      <formula>$H1117="SUBETAPA"</formula>
    </cfRule>
  </conditionalFormatting>
  <conditionalFormatting sqref="H53:M53">
    <cfRule type="expression" dxfId="5403" priority="5242">
      <formula>$H53="ETAPA"</formula>
    </cfRule>
  </conditionalFormatting>
  <conditionalFormatting sqref="H384:M384">
    <cfRule type="expression" dxfId="5402" priority="8421">
      <formula>$H384="ETAPA"</formula>
    </cfRule>
  </conditionalFormatting>
  <conditionalFormatting sqref="H400:M408 O410 H410:M411 H409:L409">
    <cfRule type="expression" dxfId="5401" priority="8152">
      <formula>$H400="SUBETAPA"</formula>
    </cfRule>
  </conditionalFormatting>
  <conditionalFormatting sqref="H401:M401 H402:L402 H403:M403 H404:L404 H405:M405 H406:L407 K410:M410 O410">
    <cfRule type="expression" dxfId="5400" priority="8151">
      <formula>$H401="ETAPA"</formula>
    </cfRule>
  </conditionalFormatting>
  <conditionalFormatting sqref="H408:M409">
    <cfRule type="expression" dxfId="5399" priority="8150">
      <formula>$H408="ETAPA"</formula>
    </cfRule>
  </conditionalFormatting>
  <conditionalFormatting sqref="H413:M421 O423 H423:M424 H422:L422">
    <cfRule type="expression" dxfId="5398" priority="8149">
      <formula>$H413="SUBETAPA"</formula>
    </cfRule>
  </conditionalFormatting>
  <conditionalFormatting sqref="H414:M414 H415:L415 H416:M416 H417:L417 H418:M418 H419:L420 K423:M423 O423">
    <cfRule type="expression" dxfId="5397" priority="8148">
      <formula>$H414="ETAPA"</formula>
    </cfRule>
  </conditionalFormatting>
  <conditionalFormatting sqref="H421:M422">
    <cfRule type="expression" dxfId="5396" priority="8147">
      <formula>$H421="ETAPA"</formula>
    </cfRule>
  </conditionalFormatting>
  <conditionalFormatting sqref="H426:M434 O436 H436:M437 H435:L435">
    <cfRule type="expression" dxfId="5395" priority="8146">
      <formula>$H426="SUBETAPA"</formula>
    </cfRule>
  </conditionalFormatting>
  <conditionalFormatting sqref="H427:M427 H428:L428 H429:M429 H430:L430 H431:M431 H432:L433 K436:M436 O436">
    <cfRule type="expression" dxfId="5394" priority="8145">
      <formula>$H427="ETAPA"</formula>
    </cfRule>
  </conditionalFormatting>
  <conditionalFormatting sqref="H434:M435">
    <cfRule type="expression" dxfId="5393" priority="8144">
      <formula>$H434="ETAPA"</formula>
    </cfRule>
  </conditionalFormatting>
  <conditionalFormatting sqref="H439:M447 O449 H449:M450 H448:L448">
    <cfRule type="expression" dxfId="5392" priority="8143">
      <formula>$H439="SUBETAPA"</formula>
    </cfRule>
  </conditionalFormatting>
  <conditionalFormatting sqref="H440:M440 H441:L441 H442:M442 H443:L443 H444:M444 H445:L446 K449:M449 O449">
    <cfRule type="expression" dxfId="5391" priority="8142">
      <formula>$H440="ETAPA"</formula>
    </cfRule>
  </conditionalFormatting>
  <conditionalFormatting sqref="H447:M448">
    <cfRule type="expression" dxfId="5390" priority="8141">
      <formula>$H447="ETAPA"</formula>
    </cfRule>
  </conditionalFormatting>
  <conditionalFormatting sqref="H452:M460 O462 H462:M463 H461:L461">
    <cfRule type="expression" dxfId="5389" priority="8140">
      <formula>$H452="SUBETAPA"</formula>
    </cfRule>
  </conditionalFormatting>
  <conditionalFormatting sqref="H453:M453 H454:L454 H455:M455 H456:L456 H457:M457 H458:L459 K462:M462 O462">
    <cfRule type="expression" dxfId="5388" priority="8139">
      <formula>$H453="ETAPA"</formula>
    </cfRule>
  </conditionalFormatting>
  <conditionalFormatting sqref="H460:M461">
    <cfRule type="expression" dxfId="5387" priority="8138">
      <formula>$H460="ETAPA"</formula>
    </cfRule>
  </conditionalFormatting>
  <conditionalFormatting sqref="H465:M473 O475 H475:M476 H474:L474">
    <cfRule type="expression" dxfId="5386" priority="8137">
      <formula>$H465="SUBETAPA"</formula>
    </cfRule>
  </conditionalFormatting>
  <conditionalFormatting sqref="H466:M466 H467:L467 H468:M468 H469:L469 H470:M470 H471:L472 K475:M475 O475">
    <cfRule type="expression" dxfId="5385" priority="8136">
      <formula>$H466="ETAPA"</formula>
    </cfRule>
  </conditionalFormatting>
  <conditionalFormatting sqref="H473:M474">
    <cfRule type="expression" dxfId="5384" priority="8135">
      <formula>$H473="ETAPA"</formula>
    </cfRule>
  </conditionalFormatting>
  <conditionalFormatting sqref="H478:M486 O488 H488:M489 H487:L487">
    <cfRule type="expression" dxfId="5383" priority="8134">
      <formula>$H478="SUBETAPA"</formula>
    </cfRule>
  </conditionalFormatting>
  <conditionalFormatting sqref="H479:M479 H480:L480 H481:M481 H482:L482 H483:M483 H484:L485 K488:M488 O488">
    <cfRule type="expression" dxfId="5382" priority="8133">
      <formula>$H479="ETAPA"</formula>
    </cfRule>
  </conditionalFormatting>
  <conditionalFormatting sqref="H486:M487">
    <cfRule type="expression" dxfId="5381" priority="8132">
      <formula>$H486="ETAPA"</formula>
    </cfRule>
  </conditionalFormatting>
  <conditionalFormatting sqref="H491:M499 O501 H501:M502 H500:L500">
    <cfRule type="expression" dxfId="5380" priority="8131">
      <formula>$H491="SUBETAPA"</formula>
    </cfRule>
  </conditionalFormatting>
  <conditionalFormatting sqref="H492:M492 H493:L493 H494:M494 H495:L495 H496:M496 H497:L498 K501:M501 O501">
    <cfRule type="expression" dxfId="5379" priority="8130">
      <formula>$H492="ETAPA"</formula>
    </cfRule>
  </conditionalFormatting>
  <conditionalFormatting sqref="H499:M500">
    <cfRule type="expression" dxfId="5378" priority="8129">
      <formula>$H499="ETAPA"</formula>
    </cfRule>
  </conditionalFormatting>
  <conditionalFormatting sqref="H504:M512 O514 H514:M515 H513:L513">
    <cfRule type="expression" dxfId="5377" priority="8128">
      <formula>$H504="SUBETAPA"</formula>
    </cfRule>
  </conditionalFormatting>
  <conditionalFormatting sqref="H505:M505 H506:L506 H507:M507 H508:L508 H509:M509 H510:L511 K514:M514 O514">
    <cfRule type="expression" dxfId="5376" priority="8127">
      <formula>$H505="ETAPA"</formula>
    </cfRule>
  </conditionalFormatting>
  <conditionalFormatting sqref="H512:M513">
    <cfRule type="expression" dxfId="5375" priority="8126">
      <formula>$H512="ETAPA"</formula>
    </cfRule>
  </conditionalFormatting>
  <conditionalFormatting sqref="H517:M525 O527 H527:M528 H526:L526">
    <cfRule type="expression" dxfId="5374" priority="8125">
      <formula>$H517="SUBETAPA"</formula>
    </cfRule>
  </conditionalFormatting>
  <conditionalFormatting sqref="H518:M518 H519:L519 H520:M520 H521:L521 H522:M522 H523:L524 K527:M527 O527">
    <cfRule type="expression" dxfId="5373" priority="8124">
      <formula>$H518="ETAPA"</formula>
    </cfRule>
  </conditionalFormatting>
  <conditionalFormatting sqref="H525:M526">
    <cfRule type="expression" dxfId="5372" priority="8123">
      <formula>$H525="ETAPA"</formula>
    </cfRule>
  </conditionalFormatting>
  <conditionalFormatting sqref="H530:M538 O540 H540:M541 H539:L539">
    <cfRule type="expression" dxfId="5371" priority="8122">
      <formula>$H530="SUBETAPA"</formula>
    </cfRule>
  </conditionalFormatting>
  <conditionalFormatting sqref="H531:M531 H532:L532 H533:M533 H534:L534 H535:M535 H536:L537 K540:M540 O540">
    <cfRule type="expression" dxfId="5370" priority="8121">
      <formula>$H531="ETAPA"</formula>
    </cfRule>
  </conditionalFormatting>
  <conditionalFormatting sqref="H538:M539">
    <cfRule type="expression" dxfId="5369" priority="8120">
      <formula>$H538="ETAPA"</formula>
    </cfRule>
  </conditionalFormatting>
  <conditionalFormatting sqref="H543:M551 O553 H553:M554 H552:L552">
    <cfRule type="expression" dxfId="5368" priority="8119">
      <formula>$H543="SUBETAPA"</formula>
    </cfRule>
  </conditionalFormatting>
  <conditionalFormatting sqref="H544:M544 H545:L545 H546:M546 H547:L547 H548:M548 H549:L550 K553:M553 O553">
    <cfRule type="expression" dxfId="5367" priority="8118">
      <formula>$H544="ETAPA"</formula>
    </cfRule>
  </conditionalFormatting>
  <conditionalFormatting sqref="H551:M552">
    <cfRule type="expression" dxfId="5366" priority="8117">
      <formula>$H551="ETAPA"</formula>
    </cfRule>
  </conditionalFormatting>
  <conditionalFormatting sqref="H556:M564 O566 H566:M567 H565:L565">
    <cfRule type="expression" dxfId="5365" priority="8116">
      <formula>$H556="SUBETAPA"</formula>
    </cfRule>
  </conditionalFormatting>
  <conditionalFormatting sqref="H557:M557 H558:L558 H559:M559 H560:L560 H561:M561 H562:L563 K566:M566 O566">
    <cfRule type="expression" dxfId="5364" priority="8115">
      <formula>$H557="ETAPA"</formula>
    </cfRule>
  </conditionalFormatting>
  <conditionalFormatting sqref="H564:M565">
    <cfRule type="expression" dxfId="5363" priority="8114">
      <formula>$H564="ETAPA"</formula>
    </cfRule>
  </conditionalFormatting>
  <conditionalFormatting sqref="H595:M597 H594:L594">
    <cfRule type="expression" dxfId="5362" priority="8402">
      <formula>$H594="CÉLULA CONSTRUTIVA"</formula>
    </cfRule>
  </conditionalFormatting>
  <conditionalFormatting sqref="H604:M606 H603:L603">
    <cfRule type="expression" dxfId="5361" priority="8400">
      <formula>$H603="CÉLULA CONSTRUTIVA"</formula>
    </cfRule>
  </conditionalFormatting>
  <conditionalFormatting sqref="H613:M615 H612:L612">
    <cfRule type="expression" dxfId="5360" priority="8398">
      <formula>$H612="CÉLULA CONSTRUTIVA"</formula>
    </cfRule>
  </conditionalFormatting>
  <conditionalFormatting sqref="H622:M624 H621:L621">
    <cfRule type="expression" dxfId="5359" priority="8396">
      <formula>$H621="CÉLULA CONSTRUTIVA"</formula>
    </cfRule>
  </conditionalFormatting>
  <conditionalFormatting sqref="H631:M633 H630:L630">
    <cfRule type="expression" dxfId="5358" priority="8394">
      <formula>$H630="CÉLULA CONSTRUTIVA"</formula>
    </cfRule>
  </conditionalFormatting>
  <conditionalFormatting sqref="H640:M642 H639:L639">
    <cfRule type="expression" dxfId="5357" priority="8392">
      <formula>$H639="CÉLULA CONSTRUTIVA"</formula>
    </cfRule>
  </conditionalFormatting>
  <conditionalFormatting sqref="H649:M651 H648:L648">
    <cfRule type="expression" dxfId="5356" priority="8390">
      <formula>$H648="CÉLULA CONSTRUTIVA"</formula>
    </cfRule>
  </conditionalFormatting>
  <conditionalFormatting sqref="H658:M658 H657:L657">
    <cfRule type="expression" dxfId="5355" priority="8388">
      <formula>$H657="CÉLULA CONSTRUTIVA"</formula>
    </cfRule>
  </conditionalFormatting>
  <conditionalFormatting sqref="H669:M669 H668:L668">
    <cfRule type="expression" dxfId="5354" priority="8386">
      <formula>$H668="CÉLULA CONSTRUTIVA"</formula>
    </cfRule>
  </conditionalFormatting>
  <conditionalFormatting sqref="H680:M682 H679:L679">
    <cfRule type="expression" dxfId="5353" priority="8384">
      <formula>$H679="CÉLULA CONSTRUTIVA"</formula>
    </cfRule>
  </conditionalFormatting>
  <conditionalFormatting sqref="H689:M691 H688:L688">
    <cfRule type="expression" dxfId="5352" priority="8382">
      <formula>$H688="CÉLULA CONSTRUTIVA"</formula>
    </cfRule>
  </conditionalFormatting>
  <conditionalFormatting sqref="H698:M698 H697:L697">
    <cfRule type="expression" dxfId="5351" priority="8380">
      <formula>$H697="CÉLULA CONSTRUTIVA"</formula>
    </cfRule>
  </conditionalFormatting>
  <conditionalFormatting sqref="H706:M718 J710">
    <cfRule type="expression" dxfId="5350" priority="8112">
      <formula>$H706="SUBETAPA"</formula>
    </cfRule>
  </conditionalFormatting>
  <conditionalFormatting sqref="H713:M714">
    <cfRule type="expression" dxfId="5349" priority="8347">
      <formula>$H713="CÉLULA CONSTRUTIVA"</formula>
    </cfRule>
  </conditionalFormatting>
  <conditionalFormatting sqref="H721:M733 J725">
    <cfRule type="expression" dxfId="5348" priority="8110">
      <formula>$H721="SUBETAPA"</formula>
    </cfRule>
  </conditionalFormatting>
  <conditionalFormatting sqref="H728:M729">
    <cfRule type="expression" dxfId="5347" priority="8343">
      <formula>$H728="CÉLULA CONSTRUTIVA"</formula>
    </cfRule>
  </conditionalFormatting>
  <conditionalFormatting sqref="H736:M748 J740">
    <cfRule type="expression" dxfId="5346" priority="8108">
      <formula>$H736="SUBETAPA"</formula>
    </cfRule>
  </conditionalFormatting>
  <conditionalFormatting sqref="H743:M744">
    <cfRule type="expression" dxfId="5345" priority="8339">
      <formula>$H743="CÉLULA CONSTRUTIVA"</formula>
    </cfRule>
  </conditionalFormatting>
  <conditionalFormatting sqref="H751:M763 J755">
    <cfRule type="expression" dxfId="5344" priority="8106">
      <formula>$H751="SUBETAPA"</formula>
    </cfRule>
  </conditionalFormatting>
  <conditionalFormatting sqref="H758:M759">
    <cfRule type="expression" dxfId="5343" priority="8335">
      <formula>$H758="CÉLULA CONSTRUTIVA"</formula>
    </cfRule>
  </conditionalFormatting>
  <conditionalFormatting sqref="H766:M778 J770">
    <cfRule type="expression" dxfId="5342" priority="8104">
      <formula>$H766="SUBETAPA"</formula>
    </cfRule>
  </conditionalFormatting>
  <conditionalFormatting sqref="H773:M774">
    <cfRule type="expression" dxfId="5341" priority="8331">
      <formula>$H773="CÉLULA CONSTRUTIVA"</formula>
    </cfRule>
  </conditionalFormatting>
  <conditionalFormatting sqref="H781:M793 J785">
    <cfRule type="expression" dxfId="5340" priority="8102">
      <formula>$H781="SUBETAPA"</formula>
    </cfRule>
  </conditionalFormatting>
  <conditionalFormatting sqref="H788:M789">
    <cfRule type="expression" dxfId="5339" priority="8327">
      <formula>$H788="CÉLULA CONSTRUTIVA"</formula>
    </cfRule>
  </conditionalFormatting>
  <conditionalFormatting sqref="H796:M808 J800">
    <cfRule type="expression" dxfId="5338" priority="8100">
      <formula>$H796="SUBETAPA"</formula>
    </cfRule>
  </conditionalFormatting>
  <conditionalFormatting sqref="H803:M804">
    <cfRule type="expression" dxfId="5337" priority="8323">
      <formula>$H803="CÉLULA CONSTRUTIVA"</formula>
    </cfRule>
  </conditionalFormatting>
  <conditionalFormatting sqref="H811:M823 J815">
    <cfRule type="expression" dxfId="5336" priority="8098">
      <formula>$H811="SUBETAPA"</formula>
    </cfRule>
  </conditionalFormatting>
  <conditionalFormatting sqref="H818:M819">
    <cfRule type="expression" dxfId="5335" priority="8319">
      <formula>$H818="CÉLULA CONSTRUTIVA"</formula>
    </cfRule>
  </conditionalFormatting>
  <conditionalFormatting sqref="H826:M838 J830">
    <cfRule type="expression" dxfId="5334" priority="8096">
      <formula>$H826="SUBETAPA"</formula>
    </cfRule>
  </conditionalFormatting>
  <conditionalFormatting sqref="H833:M834">
    <cfRule type="expression" dxfId="5333" priority="8315">
      <formula>$H833="CÉLULA CONSTRUTIVA"</formula>
    </cfRule>
  </conditionalFormatting>
  <conditionalFormatting sqref="H841:M853 J845">
    <cfRule type="expression" dxfId="5332" priority="8094">
      <formula>$H841="SUBETAPA"</formula>
    </cfRule>
  </conditionalFormatting>
  <conditionalFormatting sqref="H848:M849">
    <cfRule type="expression" dxfId="5331" priority="8311">
      <formula>$H848="CÉLULA CONSTRUTIVA"</formula>
    </cfRule>
  </conditionalFormatting>
  <conditionalFormatting sqref="H856:M868 J860">
    <cfRule type="expression" dxfId="5330" priority="8092">
      <formula>$H856="SUBETAPA"</formula>
    </cfRule>
  </conditionalFormatting>
  <conditionalFormatting sqref="H863:M864">
    <cfRule type="expression" dxfId="5329" priority="8307">
      <formula>$H863="CÉLULA CONSTRUTIVA"</formula>
    </cfRule>
  </conditionalFormatting>
  <conditionalFormatting sqref="H871:M883 J875">
    <cfRule type="expression" dxfId="5328" priority="8090">
      <formula>$H871="SUBETAPA"</formula>
    </cfRule>
  </conditionalFormatting>
  <conditionalFormatting sqref="H878:M879">
    <cfRule type="expression" dxfId="5327" priority="8303">
      <formula>$H878="CÉLULA CONSTRUTIVA"</formula>
    </cfRule>
  </conditionalFormatting>
  <conditionalFormatting sqref="H886:M898 J890">
    <cfRule type="expression" dxfId="5326" priority="8088">
      <formula>$H886="SUBETAPA"</formula>
    </cfRule>
  </conditionalFormatting>
  <conditionalFormatting sqref="H893:M894">
    <cfRule type="expression" dxfId="5325" priority="8299">
      <formula>$H893="CÉLULA CONSTRUTIVA"</formula>
    </cfRule>
  </conditionalFormatting>
  <conditionalFormatting sqref="H908:M909">
    <cfRule type="expression" dxfId="5324" priority="8295">
      <formula>$H908="CÉLULA CONSTRUTIVA"</formula>
    </cfRule>
  </conditionalFormatting>
  <conditionalFormatting sqref="H1004:M1004">
    <cfRule type="expression" dxfId="5323" priority="8035">
      <formula>$H1004="SUBETAPA"</formula>
    </cfRule>
  </conditionalFormatting>
  <conditionalFormatting sqref="H1010:M1010 G1012:L1012 L914:M915 H1087:L1087 G568:M570 H571:M571 H574:M579 G580:M581 H582:M582 H585:M588 G589:M590 H591:M591 H594:M597 G598:M599 H600:M600 H603:M606 G607:M608 H609:M609 H612:M615 G616:M617 H618:M618 H621:M624 G625:M626 H627:M627 H630:M633 G634:M635 H636:M636 H639:M642 G643:M644 H645:M645 H648:M651 G652:M653 H654:M654 H657:M662 G663:M664 H665:M665 H668:M673 G674:M675 H676:M676 H679:M682 G683:M684 H685:M685 H688:M691 G692:M693 H694:M694 H697:M702 H918:L918 H950:L950 H957:L957 H964:L964 H971:L971 H978:L978 H990:L990 H1115:L1115 H1017:L1017 H1031:L1031 H1045:L1045 H1059:L1059 H1073:L1073 H1101:L1101 H923:L923 H928:L928 H933:L933 H938:L938 H943:L943 H983:L983 H995:L995 G999:K1001 H1022:K1026 H1036:K1040 H1050:K1054 H1064:K1068 H1078:K1082 H1092:K1096 H1106:K1110 H1120:K1124 G1126:H1127 J1126:K1128 H1128 G1146:H1147 J1146:K1148 H1148 O1149:O1150 G1153:H1154 J1153:K1155 H1155 O1156:O1157 G1160:H1161 J1160:K1162 H1162 G1165:H1166 J1165:K1167 H1167 G1170:H1171 J1170:K1172 H1172 G1175:H1176 J1175:K1177 H1177">
    <cfRule type="expression" dxfId="5322" priority="8085">
      <formula>$H568="SUBETAPA"</formula>
    </cfRule>
  </conditionalFormatting>
  <conditionalFormatting sqref="H1010:M1010 G1012:L1012">
    <cfRule type="expression" dxfId="5321" priority="8084">
      <formula>$H1010="ETAPA"</formula>
    </cfRule>
  </conditionalFormatting>
  <conditionalFormatting sqref="H1191:M1191">
    <cfRule type="expression" dxfId="5320" priority="8083">
      <formula>$H1191="ETAPA"</formula>
    </cfRule>
  </conditionalFormatting>
  <conditionalFormatting sqref="I919:J919">
    <cfRule type="expression" dxfId="5319" priority="8076">
      <formula>$H919="ETAPA"</formula>
    </cfRule>
    <cfRule type="expression" dxfId="5318" priority="8077">
      <formula>$H919="SUBETAPA"</formula>
    </cfRule>
  </conditionalFormatting>
  <conditionalFormatting sqref="I924:J924">
    <cfRule type="expression" dxfId="5317" priority="8074">
      <formula>$H924="SUBETAPA"</formula>
    </cfRule>
    <cfRule type="expression" dxfId="5316" priority="8073">
      <formula>$H924="ETAPA"</formula>
    </cfRule>
  </conditionalFormatting>
  <conditionalFormatting sqref="I929:J929">
    <cfRule type="expression" dxfId="5315" priority="8071">
      <formula>$H929="SUBETAPA"</formula>
    </cfRule>
    <cfRule type="expression" dxfId="5314" priority="8070">
      <formula>$H929="ETAPA"</formula>
    </cfRule>
  </conditionalFormatting>
  <conditionalFormatting sqref="I934:J934">
    <cfRule type="expression" dxfId="5313" priority="8068">
      <formula>$H934="SUBETAPA"</formula>
    </cfRule>
    <cfRule type="expression" dxfId="5312" priority="8067">
      <formula>$H934="ETAPA"</formula>
    </cfRule>
  </conditionalFormatting>
  <conditionalFormatting sqref="I939:J939">
    <cfRule type="expression" dxfId="5311" priority="8064">
      <formula>$H939="ETAPA"</formula>
    </cfRule>
    <cfRule type="expression" dxfId="5310" priority="8065">
      <formula>$H939="SUBETAPA"</formula>
    </cfRule>
  </conditionalFormatting>
  <conditionalFormatting sqref="I944:J944">
    <cfRule type="expression" dxfId="5309" priority="8062">
      <formula>$H944="SUBETAPA"</formula>
    </cfRule>
    <cfRule type="expression" dxfId="5308" priority="8061">
      <formula>$H944="ETAPA"</formula>
    </cfRule>
  </conditionalFormatting>
  <conditionalFormatting sqref="I951:J951">
    <cfRule type="expression" dxfId="5307" priority="8058">
      <formula>$H951="ETAPA"</formula>
    </cfRule>
    <cfRule type="expression" dxfId="5306" priority="8059">
      <formula>$H951="SUBETAPA"</formula>
    </cfRule>
  </conditionalFormatting>
  <conditionalFormatting sqref="I958:J958">
    <cfRule type="expression" dxfId="5305" priority="8055">
      <formula>$H958="ETAPA"</formula>
    </cfRule>
    <cfRule type="expression" dxfId="5304" priority="8056">
      <formula>$H958="SUBETAPA"</formula>
    </cfRule>
  </conditionalFormatting>
  <conditionalFormatting sqref="I965:J965">
    <cfRule type="expression" dxfId="5303" priority="8052">
      <formula>$H965="ETAPA"</formula>
    </cfRule>
    <cfRule type="expression" dxfId="5302" priority="8053">
      <formula>$H965="SUBETAPA"</formula>
    </cfRule>
  </conditionalFormatting>
  <conditionalFormatting sqref="I972:J972">
    <cfRule type="expression" dxfId="5301" priority="8049">
      <formula>$H972="ETAPA"</formula>
    </cfRule>
    <cfRule type="expression" dxfId="5300" priority="8050">
      <formula>$H972="SUBETAPA"</formula>
    </cfRule>
  </conditionalFormatting>
  <conditionalFormatting sqref="I979:J979">
    <cfRule type="expression" dxfId="5299" priority="8047">
      <formula>$H979="SUBETAPA"</formula>
    </cfRule>
    <cfRule type="expression" dxfId="5298" priority="8046">
      <formula>$H979="ETAPA"</formula>
    </cfRule>
  </conditionalFormatting>
  <conditionalFormatting sqref="I984:J984">
    <cfRule type="expression" dxfId="5297" priority="8043">
      <formula>$H984="ETAPA"</formula>
    </cfRule>
    <cfRule type="expression" dxfId="5296" priority="8044">
      <formula>$H984="SUBETAPA"</formula>
    </cfRule>
  </conditionalFormatting>
  <conditionalFormatting sqref="I991:J991">
    <cfRule type="expression" dxfId="5295" priority="8040">
      <formula>$H991="ETAPA"</formula>
    </cfRule>
    <cfRule type="expression" dxfId="5294" priority="8041">
      <formula>$H991="SUBETAPA"</formula>
    </cfRule>
  </conditionalFormatting>
  <conditionalFormatting sqref="I996:J996">
    <cfRule type="expression" dxfId="5293" priority="8038">
      <formula>$H996="SUBETAPA"</formula>
    </cfRule>
    <cfRule type="expression" dxfId="5292" priority="8037">
      <formula>$H996="ETAPA"</formula>
    </cfRule>
  </conditionalFormatting>
  <conditionalFormatting sqref="I1018:J1018">
    <cfRule type="expression" dxfId="5291" priority="8032">
      <formula>$H1018="SUBETAPA"</formula>
    </cfRule>
    <cfRule type="expression" dxfId="5290" priority="8031">
      <formula>$H1018="ETAPA"</formula>
    </cfRule>
  </conditionalFormatting>
  <conditionalFormatting sqref="I1020:J1021">
    <cfRule type="expression" dxfId="5289" priority="8029">
      <formula>$H1020="SUBETAPA"</formula>
    </cfRule>
    <cfRule type="expression" dxfId="5288" priority="8028">
      <formula>$H1020="ETAPA"</formula>
    </cfRule>
  </conditionalFormatting>
  <conditionalFormatting sqref="I1032:J1032">
    <cfRule type="expression" dxfId="5287" priority="8026">
      <formula>$H1032="SUBETAPA"</formula>
    </cfRule>
    <cfRule type="expression" dxfId="5286" priority="8025">
      <formula>$H1032="ETAPA"</formula>
    </cfRule>
  </conditionalFormatting>
  <conditionalFormatting sqref="I1034:J1035">
    <cfRule type="expression" dxfId="5285" priority="8023">
      <formula>$H1034="SUBETAPA"</formula>
    </cfRule>
    <cfRule type="expression" dxfId="5284" priority="8022">
      <formula>$H1034="ETAPA"</formula>
    </cfRule>
  </conditionalFormatting>
  <conditionalFormatting sqref="I1046:J1046">
    <cfRule type="expression" dxfId="5283" priority="8019">
      <formula>$H1046="ETAPA"</formula>
    </cfRule>
    <cfRule type="expression" dxfId="5282" priority="8020">
      <formula>$H1046="SUBETAPA"</formula>
    </cfRule>
  </conditionalFormatting>
  <conditionalFormatting sqref="I1048:J1049">
    <cfRule type="expression" dxfId="5281" priority="8016">
      <formula>$H1048="ETAPA"</formula>
    </cfRule>
    <cfRule type="expression" dxfId="5280" priority="8017">
      <formula>$H1048="SUBETAPA"</formula>
    </cfRule>
  </conditionalFormatting>
  <conditionalFormatting sqref="I1060:J1060">
    <cfRule type="expression" dxfId="5279" priority="8013">
      <formula>$H1060="ETAPA"</formula>
    </cfRule>
    <cfRule type="expression" dxfId="5278" priority="8014">
      <formula>$H1060="SUBETAPA"</formula>
    </cfRule>
  </conditionalFormatting>
  <conditionalFormatting sqref="I1062:J1063">
    <cfRule type="expression" dxfId="5277" priority="8010">
      <formula>$H1062="ETAPA"</formula>
    </cfRule>
    <cfRule type="expression" dxfId="5276" priority="8011">
      <formula>$H1062="SUBETAPA"</formula>
    </cfRule>
  </conditionalFormatting>
  <conditionalFormatting sqref="I1074:J1074">
    <cfRule type="expression" dxfId="5275" priority="8007">
      <formula>$H1074="ETAPA"</formula>
    </cfRule>
    <cfRule type="expression" dxfId="5274" priority="8008">
      <formula>$H1074="SUBETAPA"</formula>
    </cfRule>
  </conditionalFormatting>
  <conditionalFormatting sqref="I1076:J1077">
    <cfRule type="expression" dxfId="5273" priority="8004">
      <formula>$H1076="ETAPA"</formula>
    </cfRule>
    <cfRule type="expression" dxfId="5272" priority="8005">
      <formula>$H1076="SUBETAPA"</formula>
    </cfRule>
  </conditionalFormatting>
  <conditionalFormatting sqref="I1088:J1088">
    <cfRule type="expression" dxfId="5271" priority="8001">
      <formula>$H1088="ETAPA"</formula>
    </cfRule>
    <cfRule type="expression" dxfId="5270" priority="8002">
      <formula>$H1088="SUBETAPA"</formula>
    </cfRule>
  </conditionalFormatting>
  <conditionalFormatting sqref="I1090:J1091">
    <cfRule type="expression" dxfId="5269" priority="7999">
      <formula>$H1090="SUBETAPA"</formula>
    </cfRule>
    <cfRule type="expression" dxfId="5268" priority="7998">
      <formula>$H1090="ETAPA"</formula>
    </cfRule>
  </conditionalFormatting>
  <conditionalFormatting sqref="I1102:J1102">
    <cfRule type="expression" dxfId="5267" priority="7995">
      <formula>$H1102="ETAPA"</formula>
    </cfRule>
    <cfRule type="expression" dxfId="5266" priority="7996">
      <formula>$H1102="SUBETAPA"</formula>
    </cfRule>
  </conditionalFormatting>
  <conditionalFormatting sqref="I1104:J1105">
    <cfRule type="expression" dxfId="5265" priority="7992">
      <formula>$H1104="ETAPA"</formula>
    </cfRule>
    <cfRule type="expression" dxfId="5264" priority="7993">
      <formula>$H1104="SUBETAPA"</formula>
    </cfRule>
  </conditionalFormatting>
  <conditionalFormatting sqref="I1116:J1116">
    <cfRule type="expression" dxfId="5263" priority="7988">
      <formula>$H1116="CÉLULA CONSTRUTIVA"</formula>
    </cfRule>
    <cfRule type="expression" dxfId="5262" priority="7989">
      <formula>$H1116="ETAPA"</formula>
    </cfRule>
  </conditionalFormatting>
  <conditionalFormatting sqref="I1118:J1118">
    <cfRule type="expression" dxfId="5261" priority="7987">
      <formula>$H1118="SUBETAPA"</formula>
    </cfRule>
  </conditionalFormatting>
  <conditionalFormatting sqref="I1118:J1119">
    <cfRule type="expression" dxfId="5260" priority="7985">
      <formula>$H1118="CÉLULA CONSTRUTIVA"</formula>
    </cfRule>
    <cfRule type="expression" dxfId="5259" priority="7986">
      <formula>$H1118="ETAPA"</formula>
    </cfRule>
  </conditionalFormatting>
  <conditionalFormatting sqref="I26:K27 M26:M27">
    <cfRule type="expression" dxfId="5258" priority="7984">
      <formula>$H26="ETAPA"</formula>
    </cfRule>
  </conditionalFormatting>
  <conditionalFormatting sqref="I914:K915 I916:J916 I917:K917 I922:K922 I927:K927 I932:K932 I937:K937 I942:K942 I947:K947 I948:J948 I949:K949 I954:K954 I955:J955 I956:K956 I961:K961 I962:J962 I963:K963 I968:K968 I969:J969 I970:K970 I975:K975 I976:J976 I977:K977 I982:K982 I987:K987 I988:J988 I989:K989 I994:K994 M914:M915 M917:M922 M949:M954 M956:M961 M963:M968 M970:M975 M977:M982 M989:M994">
    <cfRule type="expression" dxfId="5257" priority="7982">
      <formula>$H914="ETAPA"</formula>
    </cfRule>
  </conditionalFormatting>
  <conditionalFormatting sqref="I914:K915 I916:J916 I917:L917 I922:L922 I927:L927 I932:L932 I937:L937 I942:L942 I947:L947 I948:J948 I949:L949 I954:L954 I955:J955 I956:L956 I961:L961 I962:J962 I963:L963 I968:L968 I969:J969 I970:L970 I975:L975 I976:J976 I977:L977 I982:L982 I987:L987 I988:J988 I989:L989 I994:L994">
    <cfRule type="expression" dxfId="5256" priority="7981">
      <formula>$H914="SUBETAPA"</formula>
    </cfRule>
  </conditionalFormatting>
  <conditionalFormatting sqref="I1016:K1016">
    <cfRule type="expression" dxfId="5255" priority="7978">
      <formula>$H1016="ETAPA"</formula>
    </cfRule>
  </conditionalFormatting>
  <conditionalFormatting sqref="I1030:K1030">
    <cfRule type="expression" dxfId="5254" priority="7976">
      <formula>$H1030="ETAPA"</formula>
    </cfRule>
  </conditionalFormatting>
  <conditionalFormatting sqref="I1044:K1044">
    <cfRule type="expression" dxfId="5253" priority="7974">
      <formula>$H1044="ETAPA"</formula>
    </cfRule>
  </conditionalFormatting>
  <conditionalFormatting sqref="I1058:K1058">
    <cfRule type="expression" dxfId="5252" priority="7972">
      <formula>$H1058="ETAPA"</formula>
    </cfRule>
  </conditionalFormatting>
  <conditionalFormatting sqref="I1072:K1072 M1073">
    <cfRule type="expression" dxfId="5251" priority="7970">
      <formula>$H1072="ETAPA"</formula>
    </cfRule>
  </conditionalFormatting>
  <conditionalFormatting sqref="I1086:K1086 M1087">
    <cfRule type="expression" dxfId="5250" priority="7968">
      <formula>$H1086="ETAPA"</formula>
    </cfRule>
  </conditionalFormatting>
  <conditionalFormatting sqref="I1100:K1100">
    <cfRule type="expression" dxfId="5249" priority="7966">
      <formula>$H1100="ETAPA"</formula>
    </cfRule>
  </conditionalFormatting>
  <conditionalFormatting sqref="I1114:K1114">
    <cfRule type="expression" dxfId="5248" priority="7964">
      <formula>$H1114="ETAPA"</formula>
    </cfRule>
  </conditionalFormatting>
  <conditionalFormatting sqref="I26:L27">
    <cfRule type="expression" dxfId="5247" priority="7963">
      <formula>$H26="SUBETAPA"</formula>
    </cfRule>
  </conditionalFormatting>
  <conditionalFormatting sqref="I919:L919">
    <cfRule type="expression" dxfId="5246" priority="8075">
      <formula>$H919="CÉLULA CONSTRUTIVA"</formula>
    </cfRule>
  </conditionalFormatting>
  <conditionalFormatting sqref="I924:L924">
    <cfRule type="expression" dxfId="5245" priority="8072">
      <formula>$H924="CÉLULA CONSTRUTIVA"</formula>
    </cfRule>
  </conditionalFormatting>
  <conditionalFormatting sqref="I929:L929">
    <cfRule type="expression" dxfId="5244" priority="8069">
      <formula>$H929="CÉLULA CONSTRUTIVA"</formula>
    </cfRule>
  </conditionalFormatting>
  <conditionalFormatting sqref="I934:L934">
    <cfRule type="expression" dxfId="5243" priority="8066">
      <formula>$H934="CÉLULA CONSTRUTIVA"</formula>
    </cfRule>
  </conditionalFormatting>
  <conditionalFormatting sqref="I939:L939">
    <cfRule type="expression" dxfId="5242" priority="8063">
      <formula>$H939="CÉLULA CONSTRUTIVA"</formula>
    </cfRule>
  </conditionalFormatting>
  <conditionalFormatting sqref="I944:L944">
    <cfRule type="expression" dxfId="5241" priority="8060">
      <formula>$H944="CÉLULA CONSTRUTIVA"</formula>
    </cfRule>
  </conditionalFormatting>
  <conditionalFormatting sqref="I951:L951">
    <cfRule type="expression" dxfId="5240" priority="8057">
      <formula>$H951="CÉLULA CONSTRUTIVA"</formula>
    </cfRule>
  </conditionalFormatting>
  <conditionalFormatting sqref="I958:L958">
    <cfRule type="expression" dxfId="5239" priority="8054">
      <formula>$H958="CÉLULA CONSTRUTIVA"</formula>
    </cfRule>
  </conditionalFormatting>
  <conditionalFormatting sqref="I965:L965">
    <cfRule type="expression" dxfId="5238" priority="8051">
      <formula>$H965="CÉLULA CONSTRUTIVA"</formula>
    </cfRule>
  </conditionalFormatting>
  <conditionalFormatting sqref="I972:L972">
    <cfRule type="expression" dxfId="5237" priority="8048">
      <formula>$H972="CÉLULA CONSTRUTIVA"</formula>
    </cfRule>
  </conditionalFormatting>
  <conditionalFormatting sqref="I979:L979">
    <cfRule type="expression" dxfId="5236" priority="8045">
      <formula>$H979="CÉLULA CONSTRUTIVA"</formula>
    </cfRule>
  </conditionalFormatting>
  <conditionalFormatting sqref="I984:L984">
    <cfRule type="expression" dxfId="5235" priority="8042">
      <formula>$H984="CÉLULA CONSTRUTIVA"</formula>
    </cfRule>
  </conditionalFormatting>
  <conditionalFormatting sqref="I991:L991">
    <cfRule type="expression" dxfId="5234" priority="8039">
      <formula>$H991="CÉLULA CONSTRUTIVA"</formula>
    </cfRule>
  </conditionalFormatting>
  <conditionalFormatting sqref="I996:L996">
    <cfRule type="expression" dxfId="5233" priority="8036">
      <formula>$H996="CÉLULA CONSTRUTIVA"</formula>
    </cfRule>
  </conditionalFormatting>
  <conditionalFormatting sqref="I1016:L1016 I1013:L1014">
    <cfRule type="expression" dxfId="5232" priority="7979">
      <formula>$H1013="SUBETAPA"</formula>
    </cfRule>
  </conditionalFormatting>
  <conditionalFormatting sqref="I1030:L1030 I1027:L1028">
    <cfRule type="expression" dxfId="5231" priority="7977">
      <formula>$H1027="SUBETAPA"</formula>
    </cfRule>
  </conditionalFormatting>
  <conditionalFormatting sqref="I1044:L1044 I1041:L1042">
    <cfRule type="expression" dxfId="5230" priority="7975">
      <formula>$H1041="SUBETAPA"</formula>
    </cfRule>
  </conditionalFormatting>
  <conditionalFormatting sqref="I1058:L1058 I1055:L1056">
    <cfRule type="expression" dxfId="5229" priority="7973">
      <formula>$H1055="SUBETAPA"</formula>
    </cfRule>
  </conditionalFormatting>
  <conditionalFormatting sqref="I1072:L1072 I1069:L1070">
    <cfRule type="expression" dxfId="5228" priority="7971">
      <formula>$H1069="SUBETAPA"</formula>
    </cfRule>
  </conditionalFormatting>
  <conditionalFormatting sqref="I1083:L1085 K1088:L1088 O1088 K1091:L1091">
    <cfRule type="expression" dxfId="5227" priority="6659">
      <formula>$H1083="SUBETAPA"</formula>
    </cfRule>
  </conditionalFormatting>
  <conditionalFormatting sqref="I1086:L1086">
    <cfRule type="expression" dxfId="5226" priority="7969">
      <formula>$H1086="SUBETAPA"</formula>
    </cfRule>
  </conditionalFormatting>
  <conditionalFormatting sqref="I1088:L1088">
    <cfRule type="expression" dxfId="5225" priority="8000">
      <formula>$H1088="CÉLULA CONSTRUTIVA"</formula>
    </cfRule>
  </conditionalFormatting>
  <conditionalFormatting sqref="I1090:L1091">
    <cfRule type="expression" dxfId="5224" priority="7997">
      <formula>$H1090="CÉLULA CONSTRUTIVA"</formula>
    </cfRule>
  </conditionalFormatting>
  <conditionalFormatting sqref="I1100:L1100 I1097:L1098">
    <cfRule type="expression" dxfId="5223" priority="7967">
      <formula>$H1097="SUBETAPA"</formula>
    </cfRule>
  </conditionalFormatting>
  <conditionalFormatting sqref="I1114:L1114 I1111:L1112 I1113:M1113">
    <cfRule type="expression" dxfId="5222" priority="7965">
      <formula>$H1111="SUBETAPA"</formula>
    </cfRule>
  </conditionalFormatting>
  <conditionalFormatting sqref="I948:M948 I955:M955 I962:M962 I969:M969 I976:M976 I988:M988 I916:M916 I914:K915 M914:M915 I917:K917 M917:M922 I922:K922 I927:K927 I932:K932 I937:K937 I942:K942 I947:K947 I949:K949 M949:M954 I954:K954 I956:K956 M956:M961 I961:K961 I963:K963 M963:M968 I968:K968 I970:K970 M970:M975 I975:K975 I977:K977 M977:M982 I982:K982 I987:K987 I989:K989 M989:M994 I994:K994">
    <cfRule type="expression" dxfId="5221" priority="7980">
      <formula>$H914="CÉLULA CONSTRUTIVA"</formula>
    </cfRule>
  </conditionalFormatting>
  <conditionalFormatting sqref="I1015:M1015 K1018:M1018 O1018 K1021:M1021">
    <cfRule type="expression" dxfId="5220" priority="6639">
      <formula>$H1015="SUBETAPA"</formula>
    </cfRule>
  </conditionalFormatting>
  <conditionalFormatting sqref="I1018:M1018">
    <cfRule type="expression" dxfId="5219" priority="8030">
      <formula>$H1018="CÉLULA CONSTRUTIVA"</formula>
    </cfRule>
  </conditionalFormatting>
  <conditionalFormatting sqref="I1020:M1021">
    <cfRule type="expression" dxfId="5218" priority="8027">
      <formula>$H1020="CÉLULA CONSTRUTIVA"</formula>
    </cfRule>
  </conditionalFormatting>
  <conditionalFormatting sqref="I1029:M1029 K1032:M1032 O1032 K1035:M1035">
    <cfRule type="expression" dxfId="5217" priority="6636">
      <formula>$H1029="SUBETAPA"</formula>
    </cfRule>
  </conditionalFormatting>
  <conditionalFormatting sqref="I1032:M1032">
    <cfRule type="expression" dxfId="5216" priority="8024">
      <formula>$H1032="CÉLULA CONSTRUTIVA"</formula>
    </cfRule>
  </conditionalFormatting>
  <conditionalFormatting sqref="I1034:M1035">
    <cfRule type="expression" dxfId="5215" priority="8021">
      <formula>$H1034="CÉLULA CONSTRUTIVA"</formula>
    </cfRule>
  </conditionalFormatting>
  <conditionalFormatting sqref="I1043:M1043 K1046:M1046 O1046 K1049:M1049">
    <cfRule type="expression" dxfId="5214" priority="6633">
      <formula>$H1043="SUBETAPA"</formula>
    </cfRule>
  </conditionalFormatting>
  <conditionalFormatting sqref="I1046:M1046">
    <cfRule type="expression" dxfId="5213" priority="8018">
      <formula>$H1046="CÉLULA CONSTRUTIVA"</formula>
    </cfRule>
  </conditionalFormatting>
  <conditionalFormatting sqref="I1048:M1049">
    <cfRule type="expression" dxfId="5212" priority="8015">
      <formula>$H1048="CÉLULA CONSTRUTIVA"</formula>
    </cfRule>
  </conditionalFormatting>
  <conditionalFormatting sqref="I1057:M1057 K1060:M1060 O1060 K1063:M1063">
    <cfRule type="expression" dxfId="5211" priority="6630">
      <formula>$H1057="SUBETAPA"</formula>
    </cfRule>
  </conditionalFormatting>
  <conditionalFormatting sqref="I1060:M1060">
    <cfRule type="expression" dxfId="5210" priority="8012">
      <formula>$H1060="CÉLULA CONSTRUTIVA"</formula>
    </cfRule>
  </conditionalFormatting>
  <conditionalFormatting sqref="I1062:M1063">
    <cfRule type="expression" dxfId="5209" priority="8009">
      <formula>$H1062="CÉLULA CONSTRUTIVA"</formula>
    </cfRule>
  </conditionalFormatting>
  <conditionalFormatting sqref="I1071:M1071 K1074:M1074 O1074 K1077:M1077">
    <cfRule type="expression" dxfId="5208" priority="6627">
      <formula>$H1071="SUBETAPA"</formula>
    </cfRule>
  </conditionalFormatting>
  <conditionalFormatting sqref="I1074:M1074">
    <cfRule type="expression" dxfId="5207" priority="8006">
      <formula>$H1074="CÉLULA CONSTRUTIVA"</formula>
    </cfRule>
  </conditionalFormatting>
  <conditionalFormatting sqref="I1076:M1077">
    <cfRule type="expression" dxfId="5206" priority="8003">
      <formula>$H1076="CÉLULA CONSTRUTIVA"</formula>
    </cfRule>
  </conditionalFormatting>
  <conditionalFormatting sqref="I1099:M1099 K1102:M1102 O1102 K1105:M1105">
    <cfRule type="expression" dxfId="5205" priority="6624">
      <formula>$H1099="SUBETAPA"</formula>
    </cfRule>
  </conditionalFormatting>
  <conditionalFormatting sqref="I1102:M1102">
    <cfRule type="expression" dxfId="5204" priority="7994">
      <formula>$H1102="CÉLULA CONSTRUTIVA"</formula>
    </cfRule>
  </conditionalFormatting>
  <conditionalFormatting sqref="I1104:M1105">
    <cfRule type="expression" dxfId="5203" priority="7991">
      <formula>$H1104="CÉLULA CONSTRUTIVA"</formula>
    </cfRule>
  </conditionalFormatting>
  <conditionalFormatting sqref="I1116:M1116 I1119:M1119">
    <cfRule type="expression" dxfId="5202" priority="7990">
      <formula>$H1116="SUBETAPA"</formula>
    </cfRule>
  </conditionalFormatting>
  <conditionalFormatting sqref="I42:N43">
    <cfRule type="expression" dxfId="5201" priority="7962">
      <formula>$H42="SUBETAPA"</formula>
    </cfRule>
  </conditionalFormatting>
  <conditionalFormatting sqref="J32">
    <cfRule type="expression" dxfId="5200" priority="7960">
      <formula>$H32="CÉLULA CONSTRUTIVA"</formula>
    </cfRule>
  </conditionalFormatting>
  <conditionalFormatting sqref="J35:J38">
    <cfRule type="expression" dxfId="5199" priority="7955">
      <formula>$H35="CÉLULA CONSTRUTIVA"</formula>
    </cfRule>
  </conditionalFormatting>
  <conditionalFormatting sqref="J37">
    <cfRule type="expression" dxfId="5198" priority="7956">
      <formula>$H37="ETAPA"</formula>
    </cfRule>
  </conditionalFormatting>
  <conditionalFormatting sqref="J40">
    <cfRule type="expression" dxfId="5197" priority="7951">
      <formula>$H40="CÉLULA CONSTRUTIVA"</formula>
    </cfRule>
    <cfRule type="expression" dxfId="5196" priority="7953">
      <formula>$H40="ETAPA"</formula>
    </cfRule>
  </conditionalFormatting>
  <conditionalFormatting sqref="J45:J46">
    <cfRule type="expression" dxfId="5195" priority="7946">
      <formula>$H45="ETAPA"</formula>
    </cfRule>
    <cfRule type="expression" dxfId="5194" priority="7947">
      <formula>$H45="SUBETAPA"</formula>
    </cfRule>
    <cfRule type="expression" dxfId="5193" priority="7945">
      <formula>$H45="CÉLULA CONSTRUTIVA"</formula>
    </cfRule>
  </conditionalFormatting>
  <conditionalFormatting sqref="J50">
    <cfRule type="expression" dxfId="5192" priority="7943">
      <formula>$H50="CÉLULA CONSTRUTIVA"</formula>
    </cfRule>
  </conditionalFormatting>
  <conditionalFormatting sqref="J61">
    <cfRule type="expression" dxfId="5191" priority="7942">
      <formula>$H61="ETAPA"</formula>
    </cfRule>
    <cfRule type="expression" dxfId="5190" priority="7941">
      <formula>$H61="SUBETAPA"</formula>
    </cfRule>
    <cfRule type="expression" dxfId="5189" priority="7940">
      <formula>$H61="CÉLULA CONSTRUTIVA"</formula>
    </cfRule>
  </conditionalFormatting>
  <conditionalFormatting sqref="J88">
    <cfRule type="expression" dxfId="5188" priority="7939">
      <formula>$H88="ETAPA"</formula>
    </cfRule>
  </conditionalFormatting>
  <conditionalFormatting sqref="J90">
    <cfRule type="expression" dxfId="5187" priority="7936">
      <formula>$H90="ETAPA"</formula>
    </cfRule>
  </conditionalFormatting>
  <conditionalFormatting sqref="J303">
    <cfRule type="expression" dxfId="5186" priority="7927">
      <formula>$H303="ETAPA"</formula>
    </cfRule>
  </conditionalFormatting>
  <conditionalFormatting sqref="J308">
    <cfRule type="expression" dxfId="5185" priority="7922">
      <formula>$H308="CÉLULA CONSTRUTIVA"</formula>
    </cfRule>
    <cfRule type="expression" dxfId="5184" priority="7924">
      <formula>$H308="ETAPA"</formula>
    </cfRule>
  </conditionalFormatting>
  <conditionalFormatting sqref="J317">
    <cfRule type="expression" dxfId="5183" priority="7921">
      <formula>$H317="ETAPA"</formula>
    </cfRule>
  </conditionalFormatting>
  <conditionalFormatting sqref="J321">
    <cfRule type="expression" dxfId="5182" priority="7918">
      <formula>$H321="ETAPA"</formula>
    </cfRule>
  </conditionalFormatting>
  <conditionalFormatting sqref="J325">
    <cfRule type="expression" dxfId="5181" priority="7915">
      <formula>$H325="ETAPA"</formula>
    </cfRule>
  </conditionalFormatting>
  <conditionalFormatting sqref="J331">
    <cfRule type="expression" dxfId="5180" priority="7912">
      <formula>$H331="ETAPA"</formula>
    </cfRule>
  </conditionalFormatting>
  <conditionalFormatting sqref="J335">
    <cfRule type="expression" dxfId="5179" priority="7909">
      <formula>$H335="ETAPA"</formula>
    </cfRule>
  </conditionalFormatting>
  <conditionalFormatting sqref="J339">
    <cfRule type="expression" dxfId="5178" priority="7906">
      <formula>$H339="ETAPA"</formula>
    </cfRule>
  </conditionalFormatting>
  <conditionalFormatting sqref="J343">
    <cfRule type="expression" dxfId="5177" priority="7903">
      <formula>$H343="ETAPA"</formula>
    </cfRule>
  </conditionalFormatting>
  <conditionalFormatting sqref="J350">
    <cfRule type="expression" dxfId="5176" priority="7900">
      <formula>$H350="ETAPA"</formula>
    </cfRule>
  </conditionalFormatting>
  <conditionalFormatting sqref="J352">
    <cfRule type="expression" dxfId="5175" priority="7897">
      <formula>$H352="ETAPA"</formula>
    </cfRule>
  </conditionalFormatting>
  <conditionalFormatting sqref="J354">
    <cfRule type="expression" dxfId="5174" priority="7894">
      <formula>$H354="ETAPA"</formula>
    </cfRule>
  </conditionalFormatting>
  <conditionalFormatting sqref="J356">
    <cfRule type="expression" dxfId="5173" priority="7891">
      <formula>$H356="ETAPA"</formula>
    </cfRule>
  </conditionalFormatting>
  <conditionalFormatting sqref="J358">
    <cfRule type="expression" dxfId="5172" priority="7888">
      <formula>$H358="ETAPA"</formula>
    </cfRule>
  </conditionalFormatting>
  <conditionalFormatting sqref="J360">
    <cfRule type="expression" dxfId="5171" priority="7885">
      <formula>$H360="ETAPA"</formula>
    </cfRule>
  </conditionalFormatting>
  <conditionalFormatting sqref="J362">
    <cfRule type="expression" dxfId="5170" priority="7882">
      <formula>$H362="ETAPA"</formula>
    </cfRule>
  </conditionalFormatting>
  <conditionalFormatting sqref="J364">
    <cfRule type="expression" dxfId="5169" priority="7879">
      <formula>$H364="ETAPA"</formula>
    </cfRule>
  </conditionalFormatting>
  <conditionalFormatting sqref="J366">
    <cfRule type="expression" dxfId="5168" priority="7876">
      <formula>$H366="ETAPA"</formula>
    </cfRule>
  </conditionalFormatting>
  <conditionalFormatting sqref="J368">
    <cfRule type="expression" dxfId="5167" priority="7873">
      <formula>$H368="ETAPA"</formula>
    </cfRule>
  </conditionalFormatting>
  <conditionalFormatting sqref="J370">
    <cfRule type="expression" dxfId="5166" priority="7870">
      <formula>$H370="ETAPA"</formula>
    </cfRule>
  </conditionalFormatting>
  <conditionalFormatting sqref="J372">
    <cfRule type="expression" dxfId="5165" priority="7867">
      <formula>$H372="ETAPA"</formula>
    </cfRule>
  </conditionalFormatting>
  <conditionalFormatting sqref="J374">
    <cfRule type="expression" dxfId="5164" priority="7864">
      <formula>$H374="ETAPA"</formula>
    </cfRule>
  </conditionalFormatting>
  <conditionalFormatting sqref="J376">
    <cfRule type="expression" dxfId="5163" priority="7861">
      <formula>$H376="ETAPA"</formula>
    </cfRule>
  </conditionalFormatting>
  <conditionalFormatting sqref="J378">
    <cfRule type="expression" dxfId="5162" priority="7858">
      <formula>$H378="ETAPA"</formula>
    </cfRule>
  </conditionalFormatting>
  <conditionalFormatting sqref="J710 H709:L709">
    <cfRule type="expression" dxfId="5161" priority="8205">
      <formula>$H709="ETAPA"</formula>
    </cfRule>
  </conditionalFormatting>
  <conditionalFormatting sqref="J725 H724:L724">
    <cfRule type="expression" dxfId="5160" priority="8202">
      <formula>$H724="ETAPA"</formula>
    </cfRule>
  </conditionalFormatting>
  <conditionalFormatting sqref="J740 H739:L739">
    <cfRule type="expression" dxfId="5159" priority="8199">
      <formula>$H739="ETAPA"</formula>
    </cfRule>
  </conditionalFormatting>
  <conditionalFormatting sqref="J755 H754:L754">
    <cfRule type="expression" dxfId="5158" priority="8196">
      <formula>$H754="ETAPA"</formula>
    </cfRule>
  </conditionalFormatting>
  <conditionalFormatting sqref="J770 H769:L769">
    <cfRule type="expression" dxfId="5157" priority="8193">
      <formula>$H769="ETAPA"</formula>
    </cfRule>
  </conditionalFormatting>
  <conditionalFormatting sqref="J785 H784:L784">
    <cfRule type="expression" dxfId="5156" priority="8190">
      <formula>$H784="ETAPA"</formula>
    </cfRule>
  </conditionalFormatting>
  <conditionalFormatting sqref="J800 H799:L799">
    <cfRule type="expression" dxfId="5155" priority="8187">
      <formula>$H799="ETAPA"</formula>
    </cfRule>
  </conditionalFormatting>
  <conditionalFormatting sqref="J815 H814:L814">
    <cfRule type="expression" dxfId="5154" priority="8184">
      <formula>$H814="ETAPA"</formula>
    </cfRule>
  </conditionalFormatting>
  <conditionalFormatting sqref="J830 H829:L829">
    <cfRule type="expression" dxfId="5153" priority="8181">
      <formula>$H829="ETAPA"</formula>
    </cfRule>
  </conditionalFormatting>
  <conditionalFormatting sqref="J845 H844:L844">
    <cfRule type="expression" dxfId="5152" priority="8178">
      <formula>$H844="ETAPA"</formula>
    </cfRule>
  </conditionalFormatting>
  <conditionalFormatting sqref="J860 H859:L859">
    <cfRule type="expression" dxfId="5151" priority="8175">
      <formula>$H859="ETAPA"</formula>
    </cfRule>
  </conditionalFormatting>
  <conditionalFormatting sqref="J875 H874:L874">
    <cfRule type="expression" dxfId="5150" priority="8172">
      <formula>$H874="ETAPA"</formula>
    </cfRule>
  </conditionalFormatting>
  <conditionalFormatting sqref="J890 H889:L889">
    <cfRule type="expression" dxfId="5149" priority="8169">
      <formula>$H889="ETAPA"</formula>
    </cfRule>
  </conditionalFormatting>
  <conditionalFormatting sqref="J905 H904:L904">
    <cfRule type="expression" dxfId="5148" priority="8166">
      <formula>$H904="ETAPA"</formula>
    </cfRule>
  </conditionalFormatting>
  <conditionalFormatting sqref="J1129">
    <cfRule type="expression" dxfId="5147" priority="7702">
      <formula>$H1129="ETAPA"</formula>
    </cfRule>
    <cfRule type="expression" dxfId="5146" priority="7703">
      <formula>$H1129="SUBETAPA"</formula>
    </cfRule>
  </conditionalFormatting>
  <conditionalFormatting sqref="J1132">
    <cfRule type="expression" dxfId="5145" priority="7700">
      <formula>$H1132="SUBETAPA"</formula>
    </cfRule>
    <cfRule type="expression" dxfId="5144" priority="7699">
      <formula>$H1132="ETAPA"</formula>
    </cfRule>
  </conditionalFormatting>
  <conditionalFormatting sqref="J1135">
    <cfRule type="expression" dxfId="5143" priority="7697">
      <formula>$H1135="SUBETAPA"</formula>
    </cfRule>
    <cfRule type="expression" dxfId="5142" priority="7696">
      <formula>$H1135="ETAPA"</formula>
    </cfRule>
  </conditionalFormatting>
  <conditionalFormatting sqref="J1138">
    <cfRule type="expression" dxfId="5141" priority="7694">
      <formula>$H1138="SUBETAPA"</formula>
    </cfRule>
    <cfRule type="expression" dxfId="5140" priority="7693">
      <formula>$H1138="ETAPA"</formula>
    </cfRule>
  </conditionalFormatting>
  <conditionalFormatting sqref="J1141">
    <cfRule type="expression" dxfId="5139" priority="7691">
      <formula>$H1141="SUBETAPA"</formula>
    </cfRule>
    <cfRule type="expression" dxfId="5138" priority="7690">
      <formula>$H1141="ETAPA"</formula>
    </cfRule>
  </conditionalFormatting>
  <conditionalFormatting sqref="J1144">
    <cfRule type="expression" dxfId="5137" priority="7688">
      <formula>$H1144="SUBETAPA"</formula>
    </cfRule>
    <cfRule type="expression" dxfId="5136" priority="7687">
      <formula>$H1144="ETAPA"</formula>
    </cfRule>
  </conditionalFormatting>
  <conditionalFormatting sqref="J1149">
    <cfRule type="expression" dxfId="5135" priority="7684">
      <formula>$H1149="ETAPA"</formula>
    </cfRule>
    <cfRule type="expression" dxfId="5134" priority="7683">
      <formula>$H1149="CÉLULA CONSTRUTIVA"</formula>
    </cfRule>
  </conditionalFormatting>
  <conditionalFormatting sqref="J1156">
    <cfRule type="expression" dxfId="5133" priority="7681">
      <formula>$H1156="ETAPA"</formula>
    </cfRule>
    <cfRule type="expression" dxfId="5132" priority="7680">
      <formula>$H1156="CÉLULA CONSTRUTIVA"</formula>
    </cfRule>
  </conditionalFormatting>
  <conditionalFormatting sqref="J1163">
    <cfRule type="expression" dxfId="5131" priority="7679">
      <formula>$H1163="SUBETAPA"</formula>
    </cfRule>
    <cfRule type="expression" dxfId="5130" priority="7678">
      <formula>$H1163="ETAPA"</formula>
    </cfRule>
  </conditionalFormatting>
  <conditionalFormatting sqref="J1168">
    <cfRule type="expression" dxfId="5129" priority="7675">
      <formula>$H1168="ETAPA"</formula>
    </cfRule>
    <cfRule type="expression" dxfId="5128" priority="7676">
      <formula>$H1168="SUBETAPA"</formula>
    </cfRule>
  </conditionalFormatting>
  <conditionalFormatting sqref="J1173">
    <cfRule type="expression" dxfId="5127" priority="7673">
      <formula>$H1173="SUBETAPA"</formula>
    </cfRule>
    <cfRule type="expression" dxfId="5126" priority="7672">
      <formula>$H1173="ETAPA"</formula>
    </cfRule>
  </conditionalFormatting>
  <conditionalFormatting sqref="J1178">
    <cfRule type="expression" dxfId="5125" priority="7670">
      <formula>$H1178="SUBETAPA"</formula>
    </cfRule>
    <cfRule type="expression" dxfId="5124" priority="7669">
      <formula>$H1178="ETAPA"</formula>
    </cfRule>
  </conditionalFormatting>
  <conditionalFormatting sqref="J1181">
    <cfRule type="expression" dxfId="5123" priority="7667">
      <formula>$H1181="SUBETAPA"</formula>
    </cfRule>
    <cfRule type="expression" dxfId="5122" priority="7666">
      <formula>$H1181="ETAPA"</formula>
    </cfRule>
  </conditionalFormatting>
  <conditionalFormatting sqref="J1193:J1194 J1199:K1199">
    <cfRule type="expression" dxfId="5121" priority="7664">
      <formula>$H1193="CÉLULA CONSTRUTIVA"</formula>
    </cfRule>
    <cfRule type="expression" dxfId="5120" priority="7663">
      <formula>$H1193="SUBETAPA"</formula>
    </cfRule>
  </conditionalFormatting>
  <conditionalFormatting sqref="J1194">
    <cfRule type="expression" dxfId="5119" priority="7662">
      <formula>$H1194="CÉLULA CONSTRUTIVA"</formula>
    </cfRule>
    <cfRule type="expression" dxfId="5118" priority="7661">
      <formula>$H1194="SUBETAPA"</formula>
    </cfRule>
  </conditionalFormatting>
  <conditionalFormatting sqref="J1208:J1209">
    <cfRule type="expression" dxfId="5117" priority="7660">
      <formula>$H1208="CÉLULA CONSTRUTIVA"</formula>
    </cfRule>
    <cfRule type="expression" dxfId="5116" priority="7659">
      <formula>$H1208="SUBETAPA"</formula>
    </cfRule>
  </conditionalFormatting>
  <conditionalFormatting sqref="J1209">
    <cfRule type="expression" dxfId="5115" priority="7658">
      <formula>$H1209="CÉLULA CONSTRUTIVA"</formula>
    </cfRule>
    <cfRule type="expression" dxfId="5114" priority="7657">
      <formula>$H1209="SUBETAPA"</formula>
    </cfRule>
  </conditionalFormatting>
  <conditionalFormatting sqref="J1215:J1216">
    <cfRule type="expression" dxfId="5113" priority="7654">
      <formula>$H1215="CÉLULA CONSTRUTIVA"</formula>
    </cfRule>
    <cfRule type="expression" dxfId="5112" priority="7653">
      <formula>$H1215="SUBETAPA"</formula>
    </cfRule>
  </conditionalFormatting>
  <conditionalFormatting sqref="J1216">
    <cfRule type="expression" dxfId="5111" priority="7652">
      <formula>$H1216="CÉLULA CONSTRUTIVA"</formula>
    </cfRule>
    <cfRule type="expression" dxfId="5110" priority="7651">
      <formula>$H1216="SUBETAPA"</formula>
    </cfRule>
  </conditionalFormatting>
  <conditionalFormatting sqref="J1222:J1223">
    <cfRule type="expression" dxfId="5109" priority="7648">
      <formula>$H1222="CÉLULA CONSTRUTIVA"</formula>
    </cfRule>
    <cfRule type="expression" dxfId="5108" priority="7647">
      <formula>$H1222="SUBETAPA"</formula>
    </cfRule>
  </conditionalFormatting>
  <conditionalFormatting sqref="J1223">
    <cfRule type="expression" dxfId="5107" priority="7646">
      <formula>$H1223="CÉLULA CONSTRUTIVA"</formula>
    </cfRule>
    <cfRule type="expression" dxfId="5106" priority="7645">
      <formula>$H1223="SUBETAPA"</formula>
    </cfRule>
  </conditionalFormatting>
  <conditionalFormatting sqref="J1232:J1233">
    <cfRule type="expression" dxfId="5105" priority="7641">
      <formula>$H1232="SUBETAPA"</formula>
    </cfRule>
    <cfRule type="expression" dxfId="5104" priority="7642">
      <formula>$H1232="CÉLULA CONSTRUTIVA"</formula>
    </cfRule>
  </conditionalFormatting>
  <conditionalFormatting sqref="J1233">
    <cfRule type="expression" dxfId="5103" priority="7639">
      <formula>$H1233="SUBETAPA"</formula>
    </cfRule>
    <cfRule type="expression" dxfId="5102" priority="7640">
      <formula>$H1233="CÉLULA CONSTRUTIVA"</formula>
    </cfRule>
  </conditionalFormatting>
  <conditionalFormatting sqref="J1242:J1244">
    <cfRule type="expression" dxfId="5101" priority="7637">
      <formula>$H1242="SUBETAPA"</formula>
    </cfRule>
    <cfRule type="expression" dxfId="5100" priority="7636">
      <formula>$H1242="CÉLULA CONSTRUTIVA"</formula>
    </cfRule>
    <cfRule type="expression" dxfId="5099" priority="7638">
      <formula>$H1242="ETAPA"</formula>
    </cfRule>
  </conditionalFormatting>
  <conditionalFormatting sqref="J1243:J1244">
    <cfRule type="expression" dxfId="5098" priority="7634">
      <formula>$H1243="SUBETAPA"</formula>
    </cfRule>
    <cfRule type="expression" dxfId="5097" priority="7635">
      <formula>$H1243="ETAPA"</formula>
    </cfRule>
  </conditionalFormatting>
  <conditionalFormatting sqref="J1244">
    <cfRule type="expression" dxfId="5096" priority="7633">
      <formula>$H1244="ETAPA"</formula>
    </cfRule>
    <cfRule type="expression" dxfId="5095" priority="7632">
      <formula>$H1244="SUBETAPA"</formula>
    </cfRule>
  </conditionalFormatting>
  <conditionalFormatting sqref="J1247:J1248">
    <cfRule type="expression" dxfId="5094" priority="7629">
      <formula>$H1247="CÉLULA CONSTRUTIVA"</formula>
    </cfRule>
    <cfRule type="expression" dxfId="5093" priority="7628">
      <formula>$H1247="SUBETAPA"</formula>
    </cfRule>
  </conditionalFormatting>
  <conditionalFormatting sqref="J1248">
    <cfRule type="expression" dxfId="5092" priority="7627">
      <formula>$H1248="CÉLULA CONSTRUTIVA"</formula>
    </cfRule>
    <cfRule type="expression" dxfId="5091" priority="7626">
      <formula>$H1248="SUBETAPA"</formula>
    </cfRule>
  </conditionalFormatting>
  <conditionalFormatting sqref="J1264:J1265">
    <cfRule type="expression" dxfId="5090" priority="7623">
      <formula>$H1264="CÉLULA CONSTRUTIVA"</formula>
    </cfRule>
    <cfRule type="expression" dxfId="5089" priority="7622">
      <formula>$H1264="SUBETAPA"</formula>
    </cfRule>
  </conditionalFormatting>
  <conditionalFormatting sqref="J1265">
    <cfRule type="expression" dxfId="5088" priority="7620">
      <formula>$H1265="SUBETAPA"</formula>
    </cfRule>
    <cfRule type="expression" dxfId="5087" priority="7621">
      <formula>$H1265="CÉLULA CONSTRUTIVA"</formula>
    </cfRule>
  </conditionalFormatting>
  <conditionalFormatting sqref="J1273:J1277 J1335:J1336">
    <cfRule type="expression" dxfId="5086" priority="7615">
      <formula>$H1273="CÉLULA CONSTRUTIVA"</formula>
    </cfRule>
    <cfRule type="expression" dxfId="5085" priority="7616">
      <formula>$H1273="SUBETAPA"</formula>
    </cfRule>
    <cfRule type="expression" dxfId="5084" priority="7617">
      <formula>$H1273="ETAPA"</formula>
    </cfRule>
    <cfRule type="expression" dxfId="5083" priority="7619">
      <formula>$H1273="ETAPA"</formula>
    </cfRule>
  </conditionalFormatting>
  <conditionalFormatting sqref="J1273:J1277 J1334:L1337">
    <cfRule type="expression" dxfId="5082" priority="7618">
      <formula>$H1273="SUBETAPA"</formula>
    </cfRule>
  </conditionalFormatting>
  <conditionalFormatting sqref="J1274:J1277">
    <cfRule type="expression" dxfId="5081" priority="7613">
      <formula>$H1274="SUBETAPA"</formula>
    </cfRule>
    <cfRule type="expression" dxfId="5080" priority="7614">
      <formula>$H1274="ETAPA"</formula>
    </cfRule>
  </conditionalFormatting>
  <conditionalFormatting sqref="J1286:J1287">
    <cfRule type="expression" dxfId="5079" priority="7611">
      <formula>$H1286="SUBETAPA"</formula>
    </cfRule>
    <cfRule type="expression" dxfId="5078" priority="7612">
      <formula>$H1286="CÉLULA CONSTRUTIVA"</formula>
    </cfRule>
  </conditionalFormatting>
  <conditionalFormatting sqref="J1287">
    <cfRule type="expression" dxfId="5077" priority="7609">
      <formula>$H1287="SUBETAPA"</formula>
    </cfRule>
    <cfRule type="expression" dxfId="5076" priority="7610">
      <formula>$H1287="CÉLULA CONSTRUTIVA"</formula>
    </cfRule>
  </conditionalFormatting>
  <conditionalFormatting sqref="J1295:J1297">
    <cfRule type="expression" dxfId="5075" priority="7608">
      <formula>$H1295="ETAPA"</formula>
    </cfRule>
    <cfRule type="expression" dxfId="5074" priority="7607">
      <formula>$H1295="SUBETAPA"</formula>
    </cfRule>
    <cfRule type="expression" dxfId="5073" priority="7605">
      <formula>$H1295="SUBETAPA"</formula>
    </cfRule>
    <cfRule type="expression" dxfId="5072" priority="7606">
      <formula>$H1295="ETAPA"</formula>
    </cfRule>
    <cfRule type="expression" dxfId="5071" priority="7604">
      <formula>$H1295="CÉLULA CONSTRUTIVA"</formula>
    </cfRule>
  </conditionalFormatting>
  <conditionalFormatting sqref="J1296:J1297">
    <cfRule type="expression" dxfId="5070" priority="7603">
      <formula>$H1296="ETAPA"</formula>
    </cfRule>
  </conditionalFormatting>
  <conditionalFormatting sqref="J1304">
    <cfRule type="expression" dxfId="5069" priority="7601">
      <formula>$H1304="CÉLULA CONSTRUTIVA"</formula>
    </cfRule>
    <cfRule type="expression" dxfId="5068" priority="7600">
      <formula>$H1304="SUBETAPA"</formula>
    </cfRule>
  </conditionalFormatting>
  <conditionalFormatting sqref="J1304:J1305">
    <cfRule type="expression" dxfId="5067" priority="7599">
      <formula>$H1304="CÉLULA CONSTRUTIVA"</formula>
    </cfRule>
    <cfRule type="expression" dxfId="5066" priority="7598">
      <formula>$H1304="SUBETAPA"</formula>
    </cfRule>
  </conditionalFormatting>
  <conditionalFormatting sqref="J1305">
    <cfRule type="expression" dxfId="5065" priority="7596">
      <formula>$H1305="SUBETAPA"</formula>
    </cfRule>
    <cfRule type="expression" dxfId="5064" priority="7597">
      <formula>$H1305="CÉLULA CONSTRUTIVA"</formula>
    </cfRule>
  </conditionalFormatting>
  <conditionalFormatting sqref="J1310:J1311">
    <cfRule type="expression" dxfId="5063" priority="7594">
      <formula>$H1310="SUBETAPA"</formula>
    </cfRule>
    <cfRule type="expression" dxfId="5062" priority="7595">
      <formula>$H1310="CÉLULA CONSTRUTIVA"</formula>
    </cfRule>
  </conditionalFormatting>
  <conditionalFormatting sqref="J1311">
    <cfRule type="expression" dxfId="5061" priority="7593">
      <formula>$H1311="CÉLULA CONSTRUTIVA"</formula>
    </cfRule>
    <cfRule type="expression" dxfId="5060" priority="7592">
      <formula>$H1311="SUBETAPA"</formula>
    </cfRule>
  </conditionalFormatting>
  <conditionalFormatting sqref="J1317:J1319">
    <cfRule type="expression" dxfId="5059" priority="7588">
      <formula>$H1317="SUBETAPA"</formula>
    </cfRule>
    <cfRule type="expression" dxfId="5058" priority="7589">
      <formula>$H1317="ETAPA"</formula>
    </cfRule>
    <cfRule type="expression" dxfId="5057" priority="7590">
      <formula>$H1317="SUBETAPA"</formula>
    </cfRule>
    <cfRule type="expression" dxfId="5056" priority="7591">
      <formula>$H1317="ETAPA"</formula>
    </cfRule>
    <cfRule type="expression" dxfId="5055" priority="7587">
      <formula>$H1317="CÉLULA CONSTRUTIVA"</formula>
    </cfRule>
  </conditionalFormatting>
  <conditionalFormatting sqref="J1318:J1319">
    <cfRule type="expression" dxfId="5054" priority="7586">
      <formula>$H1318="ETAPA"</formula>
    </cfRule>
  </conditionalFormatting>
  <conditionalFormatting sqref="J1325">
    <cfRule type="expression" dxfId="5053" priority="7584">
      <formula>$H1325="CÉLULA CONSTRUTIVA"</formula>
    </cfRule>
    <cfRule type="expression" dxfId="5052" priority="7583">
      <formula>$H1325="SUBETAPA"</formula>
    </cfRule>
  </conditionalFormatting>
  <conditionalFormatting sqref="J1329:J1330">
    <cfRule type="expression" dxfId="5051" priority="7582">
      <formula>$H1329="CÉLULA CONSTRUTIVA"</formula>
    </cfRule>
    <cfRule type="expression" dxfId="5050" priority="7581">
      <formula>$H1329="SUBETAPA"</formula>
    </cfRule>
  </conditionalFormatting>
  <conditionalFormatting sqref="J1330">
    <cfRule type="expression" dxfId="5049" priority="7580">
      <formula>$H1330="CÉLULA CONSTRUTIVA"</formula>
    </cfRule>
    <cfRule type="expression" dxfId="5048" priority="7579">
      <formula>$H1330="SUBETAPA"</formula>
    </cfRule>
  </conditionalFormatting>
  <conditionalFormatting sqref="J1343">
    <cfRule type="expression" dxfId="5047" priority="7578">
      <formula>$H1343="CÉLULA CONSTRUTIVA"</formula>
    </cfRule>
    <cfRule type="expression" dxfId="5046" priority="7577">
      <formula>$H1343="SUBETAPA"</formula>
    </cfRule>
  </conditionalFormatting>
  <conditionalFormatting sqref="J1348:J1349">
    <cfRule type="expression" dxfId="5045" priority="7576">
      <formula>$H1348="CÉLULA CONSTRUTIVA"</formula>
    </cfRule>
    <cfRule type="expression" dxfId="5044" priority="7575">
      <formula>$H1348="SUBETAPA"</formula>
    </cfRule>
  </conditionalFormatting>
  <conditionalFormatting sqref="J1349">
    <cfRule type="expression" dxfId="5043" priority="7574">
      <formula>$H1349="CÉLULA CONSTRUTIVA"</formula>
    </cfRule>
    <cfRule type="expression" dxfId="5042" priority="7573">
      <formula>$H1349="SUBETAPA"</formula>
    </cfRule>
  </conditionalFormatting>
  <conditionalFormatting sqref="J1355:J1357">
    <cfRule type="expression" dxfId="5041" priority="7569">
      <formula>$H1355="SUBETAPA"</formula>
    </cfRule>
    <cfRule type="expression" dxfId="5040" priority="7568">
      <formula>$H1355="CÉLULA CONSTRUTIVA"</formula>
    </cfRule>
    <cfRule type="expression" dxfId="5039" priority="7570">
      <formula>$H1355="ETAPA"</formula>
    </cfRule>
    <cfRule type="expression" dxfId="5038" priority="7571">
      <formula>$H1355="SUBETAPA"</formula>
    </cfRule>
    <cfRule type="expression" dxfId="5037" priority="7572">
      <formula>$H1355="ETAPA"</formula>
    </cfRule>
  </conditionalFormatting>
  <conditionalFormatting sqref="J1356:J1357">
    <cfRule type="expression" dxfId="5036" priority="7567">
      <formula>$H1356="ETAPA"</formula>
    </cfRule>
  </conditionalFormatting>
  <conditionalFormatting sqref="J1364">
    <cfRule type="expression" dxfId="5035" priority="7564">
      <formula>$H1364="SUBETAPA"</formula>
    </cfRule>
    <cfRule type="expression" dxfId="5034" priority="7565">
      <formula>$H1364="CÉLULA CONSTRUTIVA"</formula>
    </cfRule>
  </conditionalFormatting>
  <conditionalFormatting sqref="J1369:J1370">
    <cfRule type="expression" dxfId="5033" priority="7563">
      <formula>$H1369="CÉLULA CONSTRUTIVA"</formula>
    </cfRule>
    <cfRule type="expression" dxfId="5032" priority="7562">
      <formula>$H1369="SUBETAPA"</formula>
    </cfRule>
  </conditionalFormatting>
  <conditionalFormatting sqref="J1370">
    <cfRule type="expression" dxfId="5031" priority="7560">
      <formula>$H1370="SUBETAPA"</formula>
    </cfRule>
    <cfRule type="expression" dxfId="5030" priority="7561">
      <formula>$H1370="CÉLULA CONSTRUTIVA"</formula>
    </cfRule>
  </conditionalFormatting>
  <conditionalFormatting sqref="J1376:J1378">
    <cfRule type="expression" dxfId="5029" priority="7555">
      <formula>$H1376="CÉLULA CONSTRUTIVA"</formula>
    </cfRule>
    <cfRule type="expression" dxfId="5028" priority="7559">
      <formula>$H1376="ETAPA"</formula>
    </cfRule>
    <cfRule type="expression" dxfId="5027" priority="7558">
      <formula>$H1376="SUBETAPA"</formula>
    </cfRule>
    <cfRule type="expression" dxfId="5026" priority="7557">
      <formula>$H1376="ETAPA"</formula>
    </cfRule>
    <cfRule type="expression" dxfId="5025" priority="7556">
      <formula>$H1376="SUBETAPA"</formula>
    </cfRule>
  </conditionalFormatting>
  <conditionalFormatting sqref="J1377:J1378">
    <cfRule type="expression" dxfId="5024" priority="7554">
      <formula>$H1377="ETAPA"</formula>
    </cfRule>
  </conditionalFormatting>
  <conditionalFormatting sqref="J1385">
    <cfRule type="expression" dxfId="5023" priority="7552">
      <formula>$H1385="CÉLULA CONSTRUTIVA"</formula>
    </cfRule>
    <cfRule type="expression" dxfId="5022" priority="7551">
      <formula>$H1385="SUBETAPA"</formula>
    </cfRule>
  </conditionalFormatting>
  <conditionalFormatting sqref="J1385:J1386">
    <cfRule type="expression" dxfId="5021" priority="7549">
      <formula>$H1385="SUBETAPA"</formula>
    </cfRule>
    <cfRule type="expression" dxfId="5020" priority="7550">
      <formula>$H1385="CÉLULA CONSTRUTIVA"</formula>
    </cfRule>
  </conditionalFormatting>
  <conditionalFormatting sqref="J1386">
    <cfRule type="expression" dxfId="5019" priority="7548">
      <formula>$H1386="CÉLULA CONSTRUTIVA"</formula>
    </cfRule>
    <cfRule type="expression" dxfId="5018" priority="7547">
      <formula>$H1386="SUBETAPA"</formula>
    </cfRule>
  </conditionalFormatting>
  <conditionalFormatting sqref="J1393:J1394 O1388:O1389">
    <cfRule type="expression" dxfId="5017" priority="7545">
      <formula>$H1388="SUBETAPA"</formula>
    </cfRule>
  </conditionalFormatting>
  <conditionalFormatting sqref="J1394">
    <cfRule type="expression" dxfId="5016" priority="7544">
      <formula>$H1394="CÉLULA CONSTRUTIVA"</formula>
    </cfRule>
    <cfRule type="expression" dxfId="5015" priority="7543">
      <formula>$H1394="SUBETAPA"</formula>
    </cfRule>
  </conditionalFormatting>
  <conditionalFormatting sqref="J1400:J1402">
    <cfRule type="expression" dxfId="5014" priority="7542">
      <formula>$H1400="ETAPA"</formula>
    </cfRule>
    <cfRule type="expression" dxfId="5013" priority="7541">
      <formula>$H1400="SUBETAPA"</formula>
    </cfRule>
    <cfRule type="expression" dxfId="5012" priority="7540">
      <formula>$H1400="ETAPA"</formula>
    </cfRule>
    <cfRule type="expression" dxfId="5011" priority="7539">
      <formula>$H1400="SUBETAPA"</formula>
    </cfRule>
    <cfRule type="expression" dxfId="5010" priority="7538">
      <formula>$H1400="CÉLULA CONSTRUTIVA"</formula>
    </cfRule>
  </conditionalFormatting>
  <conditionalFormatting sqref="J1401:J1402">
    <cfRule type="expression" dxfId="5009" priority="7537">
      <formula>$H1401="ETAPA"</formula>
    </cfRule>
  </conditionalFormatting>
  <conditionalFormatting sqref="J1409">
    <cfRule type="expression" dxfId="5008" priority="7535">
      <formula>$H1409="CÉLULA CONSTRUTIVA"</formula>
    </cfRule>
    <cfRule type="expression" dxfId="5007" priority="7534">
      <formula>$H1409="SUBETAPA"</formula>
    </cfRule>
  </conditionalFormatting>
  <conditionalFormatting sqref="J1409:J1410">
    <cfRule type="expression" dxfId="5006" priority="7533">
      <formula>$H1409="CÉLULA CONSTRUTIVA"</formula>
    </cfRule>
    <cfRule type="expression" dxfId="5005" priority="7532">
      <formula>$H1409="SUBETAPA"</formula>
    </cfRule>
  </conditionalFormatting>
  <conditionalFormatting sqref="J1410">
    <cfRule type="expression" dxfId="5004" priority="7531">
      <formula>$H1410="CÉLULA CONSTRUTIVA"</formula>
    </cfRule>
    <cfRule type="expression" dxfId="5003" priority="7530">
      <formula>$H1410="SUBETAPA"</formula>
    </cfRule>
  </conditionalFormatting>
  <conditionalFormatting sqref="J1413:J1414">
    <cfRule type="expression" dxfId="5002" priority="7529">
      <formula>$H1413="CÉLULA CONSTRUTIVA"</formula>
    </cfRule>
    <cfRule type="expression" dxfId="5001" priority="7528">
      <formula>$H1413="SUBETAPA"</formula>
    </cfRule>
  </conditionalFormatting>
  <conditionalFormatting sqref="J1414">
    <cfRule type="expression" dxfId="5000" priority="7527">
      <formula>$H1414="CÉLULA CONSTRUTIVA"</formula>
    </cfRule>
    <cfRule type="expression" dxfId="4999" priority="7526">
      <formula>$H1414="SUBETAPA"</formula>
    </cfRule>
  </conditionalFormatting>
  <conditionalFormatting sqref="J1418:J1420">
    <cfRule type="expression" dxfId="4998" priority="7525">
      <formula>$H1418="ETAPA"</formula>
    </cfRule>
    <cfRule type="expression" dxfId="4997" priority="7522">
      <formula>$H1418="SUBETAPA"</formula>
    </cfRule>
    <cfRule type="expression" dxfId="4996" priority="7523">
      <formula>$H1418="ETAPA"</formula>
    </cfRule>
    <cfRule type="expression" dxfId="4995" priority="7521">
      <formula>$H1418="CÉLULA CONSTRUTIVA"</formula>
    </cfRule>
  </conditionalFormatting>
  <conditionalFormatting sqref="J1419:J1420">
    <cfRule type="expression" dxfId="4994" priority="7520">
      <formula>$H1419="ETAPA"</formula>
    </cfRule>
    <cfRule type="expression" dxfId="4993" priority="7519">
      <formula>$H1419="SUBETAPA"</formula>
    </cfRule>
  </conditionalFormatting>
  <conditionalFormatting sqref="J1430:J1432">
    <cfRule type="expression" dxfId="4992" priority="7514">
      <formula>$H1430="CÉLULA CONSTRUTIVA"</formula>
    </cfRule>
    <cfRule type="expression" dxfId="4991" priority="7515">
      <formula>$H1430="SUBETAPA"</formula>
    </cfRule>
    <cfRule type="expression" dxfId="4990" priority="7516">
      <formula>$H1430="ETAPA"</formula>
    </cfRule>
    <cfRule type="expression" dxfId="4989" priority="7518">
      <formula>$H1430="ETAPA"</formula>
    </cfRule>
  </conditionalFormatting>
  <conditionalFormatting sqref="J1431:J1432">
    <cfRule type="expression" dxfId="4988" priority="7512">
      <formula>$H1431="SUBETAPA"</formula>
    </cfRule>
    <cfRule type="expression" dxfId="4987" priority="7513">
      <formula>$H1431="ETAPA"</formula>
    </cfRule>
  </conditionalFormatting>
  <conditionalFormatting sqref="J1632">
    <cfRule type="expression" dxfId="4986" priority="7292">
      <formula>$H1632="ETAPA"</formula>
    </cfRule>
  </conditionalFormatting>
  <conditionalFormatting sqref="J1632:J1633">
    <cfRule type="expression" dxfId="4985" priority="7291">
      <formula>$H1632="SUBETAPA"</formula>
    </cfRule>
  </conditionalFormatting>
  <conditionalFormatting sqref="J1688">
    <cfRule type="expression" dxfId="4984" priority="7290">
      <formula>$H1688="ETAPA"</formula>
    </cfRule>
  </conditionalFormatting>
  <conditionalFormatting sqref="J1688:J1689">
    <cfRule type="expression" dxfId="4983" priority="7289">
      <formula>$H1688="SUBETAPA"</formula>
    </cfRule>
  </conditionalFormatting>
  <conditionalFormatting sqref="J1699">
    <cfRule type="expression" dxfId="4982" priority="7288">
      <formula>$H1699="ETAPA"</formula>
    </cfRule>
  </conditionalFormatting>
  <conditionalFormatting sqref="J1699:J1700">
    <cfRule type="expression" dxfId="4981" priority="7287">
      <formula>$H1699="SUBETAPA"</formula>
    </cfRule>
  </conditionalFormatting>
  <conditionalFormatting sqref="J1746">
    <cfRule type="expression" dxfId="4980" priority="7286">
      <formula>$H1746="ETAPA"</formula>
    </cfRule>
  </conditionalFormatting>
  <conditionalFormatting sqref="J1746:J1747">
    <cfRule type="expression" dxfId="4979" priority="7285">
      <formula>$H1746="SUBETAPA"</formula>
    </cfRule>
  </conditionalFormatting>
  <conditionalFormatting sqref="J1754">
    <cfRule type="expression" dxfId="4978" priority="7284">
      <formula>$H1754="ETAPA"</formula>
    </cfRule>
  </conditionalFormatting>
  <conditionalFormatting sqref="J1754:J1755">
    <cfRule type="expression" dxfId="4977" priority="7283">
      <formula>$H1754="SUBETAPA"</formula>
    </cfRule>
  </conditionalFormatting>
  <conditionalFormatting sqref="J1754:J1757">
    <cfRule type="expression" dxfId="4976" priority="7282">
      <formula>$H1754="ETAPA"</formula>
    </cfRule>
  </conditionalFormatting>
  <conditionalFormatting sqref="J12:K12">
    <cfRule type="expression" dxfId="4975" priority="7247">
      <formula>$H12="ETAPA"</formula>
    </cfRule>
    <cfRule type="expression" dxfId="4974" priority="7246">
      <formula>$H12="CÉLULA CONSTRUTIVA"</formula>
    </cfRule>
    <cfRule type="expression" dxfId="4973" priority="7245">
      <formula>$H12="SUBETAPA"</formula>
    </cfRule>
  </conditionalFormatting>
  <conditionalFormatting sqref="J13:K13">
    <cfRule type="expression" dxfId="4972" priority="7244">
      <formula>$H13="ETAPA"</formula>
    </cfRule>
    <cfRule type="expression" dxfId="4971" priority="7243">
      <formula>$H13="CÉLULA CONSTRUTIVA"</formula>
    </cfRule>
    <cfRule type="expression" dxfId="4970" priority="7242">
      <formula>$H13="SUBETAPA"</formula>
    </cfRule>
  </conditionalFormatting>
  <conditionalFormatting sqref="J14:K14">
    <cfRule type="expression" dxfId="4969" priority="7240">
      <formula>$H14="CÉLULA CONSTRUTIVA"</formula>
    </cfRule>
    <cfRule type="expression" dxfId="4968" priority="7241">
      <formula>$H14="ETAPA"</formula>
    </cfRule>
  </conditionalFormatting>
  <conditionalFormatting sqref="J15:K15">
    <cfRule type="expression" dxfId="4967" priority="7239">
      <formula>$H15="ETAPA"</formula>
    </cfRule>
    <cfRule type="expression" dxfId="4966" priority="7238">
      <formula>$H15="CÉLULA CONSTRUTIVA"</formula>
    </cfRule>
  </conditionalFormatting>
  <conditionalFormatting sqref="J17:K17">
    <cfRule type="expression" dxfId="4965" priority="7237">
      <formula>$H17="SUBETAPA"</formula>
    </cfRule>
  </conditionalFormatting>
  <conditionalFormatting sqref="J47:K47 N47:O47">
    <cfRule type="expression" dxfId="4964" priority="7236">
      <formula>$H47="ETAPA"</formula>
    </cfRule>
  </conditionalFormatting>
  <conditionalFormatting sqref="J47:K47">
    <cfRule type="expression" dxfId="4963" priority="7234">
      <formula>$H47="CÉLULA CONSTRUTIVA"</formula>
    </cfRule>
  </conditionalFormatting>
  <conditionalFormatting sqref="J88:K88">
    <cfRule type="expression" dxfId="4962" priority="7938">
      <formula>$H88="SUBETAPA"</formula>
    </cfRule>
    <cfRule type="expression" dxfId="4961" priority="7937">
      <formula>$H88="CÉLULA CONSTRUTIVA"</formula>
    </cfRule>
  </conditionalFormatting>
  <conditionalFormatting sqref="J90:K90">
    <cfRule type="expression" dxfId="4960" priority="7934">
      <formula>$H90="CÉLULA CONSTRUTIVA"</formula>
    </cfRule>
    <cfRule type="expression" dxfId="4959" priority="7935">
      <formula>$H90="SUBETAPA"</formula>
    </cfRule>
  </conditionalFormatting>
  <conditionalFormatting sqref="J157:K157">
    <cfRule type="expression" dxfId="4958" priority="6823">
      <formula>$H157="SUBETAPA"</formula>
    </cfRule>
  </conditionalFormatting>
  <conditionalFormatting sqref="J167:K167">
    <cfRule type="expression" dxfId="4957" priority="6820">
      <formula>$H167="SUBETAPA"</formula>
    </cfRule>
  </conditionalFormatting>
  <conditionalFormatting sqref="J1202:K1203 H1203:H1204 J1204:J1205">
    <cfRule type="expression" dxfId="4956" priority="9169">
      <formula>$H1202="SUBETAPA"</formula>
    </cfRule>
  </conditionalFormatting>
  <conditionalFormatting sqref="J1202:K1206 H1203:H1206">
    <cfRule type="expression" dxfId="4955" priority="9168">
      <formula>$H1202="CÉLULA CONSTRUTIVA"</formula>
    </cfRule>
  </conditionalFormatting>
  <conditionalFormatting sqref="J1212:K1212">
    <cfRule type="expression" dxfId="4954" priority="7209">
      <formula>$H1212="CÉLULA CONSTRUTIVA"</formula>
    </cfRule>
    <cfRule type="expression" dxfId="4953" priority="7208">
      <formula>$H1212="SUBETAPA"</formula>
    </cfRule>
  </conditionalFormatting>
  <conditionalFormatting sqref="J1219:K1219">
    <cfRule type="expression" dxfId="4952" priority="7207">
      <formula>$H1219="CÉLULA CONSTRUTIVA"</formula>
    </cfRule>
    <cfRule type="expression" dxfId="4951" priority="7206">
      <formula>$H1219="SUBETAPA"</formula>
    </cfRule>
  </conditionalFormatting>
  <conditionalFormatting sqref="J1226:K1226">
    <cfRule type="expression" dxfId="4950" priority="7204">
      <formula>$H1226="SUBETAPA"</formula>
    </cfRule>
    <cfRule type="expression" dxfId="4949" priority="7205">
      <formula>$H1226="CÉLULA CONSTRUTIVA"</formula>
    </cfRule>
  </conditionalFormatting>
  <conditionalFormatting sqref="J1239:K1241">
    <cfRule type="expression" dxfId="4948" priority="7200">
      <formula>$H1239="CÉLULA CONSTRUTIVA"</formula>
    </cfRule>
    <cfRule type="expression" dxfId="4947" priority="7199">
      <formula>$H1239="SUBETAPA"</formula>
    </cfRule>
  </conditionalFormatting>
  <conditionalFormatting sqref="J1240:K1240">
    <cfRule type="expression" dxfId="4946" priority="7201">
      <formula>$H1240="ETAPA"</formula>
    </cfRule>
  </conditionalFormatting>
  <conditionalFormatting sqref="J1251:K1251">
    <cfRule type="expression" dxfId="4945" priority="7196">
      <formula>$H1251="SUBETAPA"</formula>
    </cfRule>
    <cfRule type="expression" dxfId="4944" priority="7197">
      <formula>$H1251="CÉLULA CONSTRUTIVA"</formula>
    </cfRule>
  </conditionalFormatting>
  <conditionalFormatting sqref="J1253:K1253">
    <cfRule type="expression" dxfId="4943" priority="7195">
      <formula>$H1253="CÉLULA CONSTRUTIVA"</formula>
    </cfRule>
  </conditionalFormatting>
  <conditionalFormatting sqref="J1270:K1272">
    <cfRule type="expression" dxfId="4942" priority="7190">
      <formula>$H1270="SUBETAPA"</formula>
    </cfRule>
    <cfRule type="expression" dxfId="4941" priority="7191">
      <formula>$H1270="CÉLULA CONSTRUTIVA"</formula>
    </cfRule>
  </conditionalFormatting>
  <conditionalFormatting sqref="J1271:K1271">
    <cfRule type="expression" dxfId="4940" priority="7192">
      <formula>$H1271="ETAPA"</formula>
    </cfRule>
  </conditionalFormatting>
  <conditionalFormatting sqref="J1292:K1292">
    <cfRule type="expression" dxfId="4939" priority="7187">
      <formula>$H1292="SUBETAPA"</formula>
    </cfRule>
    <cfRule type="expression" dxfId="4938" priority="7188">
      <formula>$H1292="CÉLULA CONSTRUTIVA"</formula>
    </cfRule>
  </conditionalFormatting>
  <conditionalFormatting sqref="J1296:K1298">
    <cfRule type="expression" dxfId="4937" priority="7602">
      <formula>$H1296="SUBETAPA"</formula>
    </cfRule>
  </conditionalFormatting>
  <conditionalFormatting sqref="J1314:K1314">
    <cfRule type="expression" dxfId="4936" priority="7184">
      <formula>$H1314="SUBETAPA"</formula>
    </cfRule>
    <cfRule type="expression" dxfId="4935" priority="7185">
      <formula>$H1314="CÉLULA CONSTRUTIVA"</formula>
    </cfRule>
  </conditionalFormatting>
  <conditionalFormatting sqref="J1318:K1320">
    <cfRule type="expression" dxfId="4934" priority="7585">
      <formula>$H1318="SUBETAPA"</formula>
    </cfRule>
  </conditionalFormatting>
  <conditionalFormatting sqref="J1333:K1333">
    <cfRule type="expression" dxfId="4933" priority="7182">
      <formula>$H1333="CÉLULA CONSTRUTIVA"</formula>
    </cfRule>
    <cfRule type="expression" dxfId="4932" priority="7181">
      <formula>$H1333="SUBETAPA"</formula>
    </cfRule>
  </conditionalFormatting>
  <conditionalFormatting sqref="J1337:K1337">
    <cfRule type="expression" dxfId="4931" priority="7180">
      <formula>$H1337="CÉLULA CONSTRUTIVA"</formula>
    </cfRule>
  </conditionalFormatting>
  <conditionalFormatting sqref="J1352:K1352">
    <cfRule type="expression" dxfId="4930" priority="7179">
      <formula>$H1352="CÉLULA CONSTRUTIVA"</formula>
    </cfRule>
    <cfRule type="expression" dxfId="4929" priority="7178">
      <formula>$H1352="SUBETAPA"</formula>
    </cfRule>
  </conditionalFormatting>
  <conditionalFormatting sqref="J1356:K1358">
    <cfRule type="expression" dxfId="4928" priority="7566">
      <formula>$H1356="SUBETAPA"</formula>
    </cfRule>
  </conditionalFormatting>
  <conditionalFormatting sqref="J1373:K1373">
    <cfRule type="expression" dxfId="4927" priority="7175">
      <formula>$H1373="SUBETAPA"</formula>
    </cfRule>
    <cfRule type="expression" dxfId="4926" priority="7176">
      <formula>$H1373="CÉLULA CONSTRUTIVA"</formula>
    </cfRule>
  </conditionalFormatting>
  <conditionalFormatting sqref="J1377:K1379">
    <cfRule type="expression" dxfId="4925" priority="7553">
      <formula>$H1377="SUBETAPA"</formula>
    </cfRule>
  </conditionalFormatting>
  <conditionalFormatting sqref="J1397:K1397">
    <cfRule type="expression" dxfId="4924" priority="7172">
      <formula>$H1397="SUBETAPA"</formula>
    </cfRule>
    <cfRule type="expression" dxfId="4923" priority="7173">
      <formula>$H1397="CÉLULA CONSTRUTIVA"</formula>
    </cfRule>
  </conditionalFormatting>
  <conditionalFormatting sqref="J1401:K1403">
    <cfRule type="expression" dxfId="4922" priority="7536">
      <formula>$H1401="SUBETAPA"</formula>
    </cfRule>
  </conditionalFormatting>
  <conditionalFormatting sqref="J1415:K1415">
    <cfRule type="expression" dxfId="4921" priority="7169">
      <formula>$H1415="SUBETAPA"</formula>
    </cfRule>
    <cfRule type="expression" dxfId="4920" priority="7170">
      <formula>$H1415="CÉLULA CONSTRUTIVA"</formula>
    </cfRule>
  </conditionalFormatting>
  <conditionalFormatting sqref="J1428:K1428">
    <cfRule type="expression" dxfId="4919" priority="7167">
      <formula>$H1428="CÉLULA CONSTRUTIVA"</formula>
    </cfRule>
    <cfRule type="expression" dxfId="4918" priority="7166">
      <formula>$H1428="SUBETAPA"</formula>
    </cfRule>
  </conditionalFormatting>
  <conditionalFormatting sqref="J1435:K1440 J1446:K1447 J1456:K1457 J1465:K1466 J1472:K1473 J1479:K1482 J1487:K1490 J1497:K1500 J1505:K1509 J1516:K1520 J1549:K1553 H1560:H1561 J1560:K1561 J1444:M1445 J1454:M1455 J1462:M1464 J1469:M1471 J1476:M1478 J1484:M1486 J1494:M1496 J1503:M1504 J1514:M1515 J1547:M1548 J1558:M1559 H1435:H1436 G1444:H1445 H1446:H1447 G1454:H1455 H1456:H1457 G1463:H1464 H1465:H1466 G1470:H1471 H1472:H1473 G1477:H1478 H1479:H1480 G1485:H1486 H1487:H1488 G1495:H1496 H1497:H1498 G1503:H1504 H1505:H1506 G1514:H1515 H1516:H1517 G1547:H1548 H1549:H1550 G1558:H1559">
    <cfRule type="expression" dxfId="4917" priority="8619">
      <formula>$H1435="ETAPA"</formula>
    </cfRule>
  </conditionalFormatting>
  <conditionalFormatting sqref="J1436:K1436">
    <cfRule type="expression" dxfId="4916" priority="7045">
      <formula>$H1436="SUBETAPA"</formula>
    </cfRule>
  </conditionalFormatting>
  <conditionalFormatting sqref="J1480:K1482">
    <cfRule type="expression" dxfId="4915" priority="7036">
      <formula>$H1480="CÉLULA CONSTRUTIVA"</formula>
    </cfRule>
  </conditionalFormatting>
  <conditionalFormatting sqref="J1488:K1490">
    <cfRule type="expression" dxfId="4914" priority="7034">
      <formula>$H1488="CÉLULA CONSTRUTIVA"</formula>
    </cfRule>
  </conditionalFormatting>
  <conditionalFormatting sqref="J1498:K1500">
    <cfRule type="expression" dxfId="4913" priority="7032">
      <formula>$H1498="CÉLULA CONSTRUTIVA"</formula>
    </cfRule>
  </conditionalFormatting>
  <conditionalFormatting sqref="J1506:K1509">
    <cfRule type="expression" dxfId="4912" priority="7030">
      <formula>$H1506="CÉLULA CONSTRUTIVA"</formula>
    </cfRule>
  </conditionalFormatting>
  <conditionalFormatting sqref="J1517:K1520">
    <cfRule type="expression" dxfId="4911" priority="7028">
      <formula>$H1517="CÉLULA CONSTRUTIVA"</formula>
    </cfRule>
  </conditionalFormatting>
  <conditionalFormatting sqref="J1521:K1526 G1525:H1526 H1528 J1532:K1537 G1536:H1537 H1539">
    <cfRule type="expression" dxfId="4910" priority="8623">
      <formula>$H1521="SUBETAPA"</formula>
    </cfRule>
  </conditionalFormatting>
  <conditionalFormatting sqref="J1528:K1531">
    <cfRule type="expression" dxfId="4909" priority="7026">
      <formula>$H1528="CÉLULA CONSTRUTIVA"</formula>
    </cfRule>
  </conditionalFormatting>
  <conditionalFormatting sqref="J1539:K1542">
    <cfRule type="expression" dxfId="4908" priority="7024">
      <formula>$H1539="CÉLULA CONSTRUTIVA"</formula>
    </cfRule>
  </conditionalFormatting>
  <conditionalFormatting sqref="J1550:K1553">
    <cfRule type="expression" dxfId="4907" priority="7022">
      <formula>$H1550="CÉLULA CONSTRUTIVA"</formula>
    </cfRule>
  </conditionalFormatting>
  <conditionalFormatting sqref="J1586:K1586 M1586">
    <cfRule type="expression" dxfId="4906" priority="8596">
      <formula>$H1586="SUBETAPA"</formula>
    </cfRule>
  </conditionalFormatting>
  <conditionalFormatting sqref="J1595:K1595 M1595">
    <cfRule type="expression" dxfId="4905" priority="8588">
      <formula>$H1595="SUBETAPA"</formula>
    </cfRule>
  </conditionalFormatting>
  <conditionalFormatting sqref="J1604:K1604 M1604">
    <cfRule type="expression" dxfId="4904" priority="8580">
      <formula>$H1604="SUBETAPA"</formula>
    </cfRule>
  </conditionalFormatting>
  <conditionalFormatting sqref="J1613:K1613 M1613">
    <cfRule type="expression" dxfId="4903" priority="8572">
      <formula>$H1613="SUBETAPA"</formula>
    </cfRule>
  </conditionalFormatting>
  <conditionalFormatting sqref="J1626:K1626 H1626">
    <cfRule type="expression" dxfId="4902" priority="8560">
      <formula>$H1626="CÉLULA CONSTRUTIVA"</formula>
    </cfRule>
  </conditionalFormatting>
  <conditionalFormatting sqref="J1632:K1632">
    <cfRule type="expression" dxfId="4901" priority="8558">
      <formula>$H1632="SUBETAPA"</formula>
    </cfRule>
  </conditionalFormatting>
  <conditionalFormatting sqref="J1637:K1637 H1637">
    <cfRule type="expression" dxfId="4900" priority="8552">
      <formula>$H1637="CÉLULA CONSTRUTIVA"</formula>
    </cfRule>
  </conditionalFormatting>
  <conditionalFormatting sqref="J1646:K1646 H1646">
    <cfRule type="expression" dxfId="4899" priority="8548">
      <formula>$H1646="CÉLULA CONSTRUTIVA"</formula>
    </cfRule>
  </conditionalFormatting>
  <conditionalFormatting sqref="J1655:K1655 H1655">
    <cfRule type="expression" dxfId="4898" priority="8544">
      <formula>$H1655="CÉLULA CONSTRUTIVA"</formula>
    </cfRule>
  </conditionalFormatting>
  <conditionalFormatting sqref="J1664:K1664 H1664">
    <cfRule type="expression" dxfId="4897" priority="8540">
      <formula>$H1664="CÉLULA CONSTRUTIVA"</formula>
    </cfRule>
  </conditionalFormatting>
  <conditionalFormatting sqref="J1673:K1673 H1673">
    <cfRule type="expression" dxfId="4896" priority="8536">
      <formula>$H1673="CÉLULA CONSTRUTIVA"</formula>
    </cfRule>
  </conditionalFormatting>
  <conditionalFormatting sqref="J1682:K1682 H1682">
    <cfRule type="expression" dxfId="4895" priority="8532">
      <formula>$H1682="CÉLULA CONSTRUTIVA"</formula>
    </cfRule>
  </conditionalFormatting>
  <conditionalFormatting sqref="J1688:K1688">
    <cfRule type="expression" dxfId="4894" priority="8530">
      <formula>$H1688="SUBETAPA"</formula>
    </cfRule>
  </conditionalFormatting>
  <conditionalFormatting sqref="J1693:K1693 H1693">
    <cfRule type="expression" dxfId="4893" priority="8524">
      <formula>$H1693="CÉLULA CONSTRUTIVA"</formula>
    </cfRule>
  </conditionalFormatting>
  <conditionalFormatting sqref="J1699:K1699">
    <cfRule type="expression" dxfId="4892" priority="8522">
      <formula>$H1699="SUBETAPA"</formula>
    </cfRule>
  </conditionalFormatting>
  <conditionalFormatting sqref="J1704:K1704 H1704">
    <cfRule type="expression" dxfId="4891" priority="8516">
      <formula>$H1704="CÉLULA CONSTRUTIVA"</formula>
    </cfRule>
  </conditionalFormatting>
  <conditionalFormatting sqref="J1713:K1713 H1713">
    <cfRule type="expression" dxfId="4890" priority="8512">
      <formula>$H1713="CÉLULA CONSTRUTIVA"</formula>
    </cfRule>
  </conditionalFormatting>
  <conditionalFormatting sqref="J1722:K1722 H1722">
    <cfRule type="expression" dxfId="4889" priority="8508">
      <formula>$H1722="CÉLULA CONSTRUTIVA"</formula>
    </cfRule>
  </conditionalFormatting>
  <conditionalFormatting sqref="J1731:K1731 H1731">
    <cfRule type="expression" dxfId="4888" priority="8504">
      <formula>$H1731="CÉLULA CONSTRUTIVA"</formula>
    </cfRule>
  </conditionalFormatting>
  <conditionalFormatting sqref="J1740:K1740 H1740">
    <cfRule type="expression" dxfId="4887" priority="8500">
      <formula>$H1740="CÉLULA CONSTRUTIVA"</formula>
    </cfRule>
  </conditionalFormatting>
  <conditionalFormatting sqref="J1746:K1746">
    <cfRule type="expression" dxfId="4886" priority="8498">
      <formula>$H1746="SUBETAPA"</formula>
    </cfRule>
  </conditionalFormatting>
  <conditionalFormatting sqref="J1751:K1751 H1751">
    <cfRule type="expression" dxfId="4885" priority="8492">
      <formula>$H1751="CÉLULA CONSTRUTIVA"</formula>
    </cfRule>
  </conditionalFormatting>
  <conditionalFormatting sqref="J1754:K1754">
    <cfRule type="expression" dxfId="4884" priority="8490">
      <formula>$H1754="SUBETAPA"</formula>
    </cfRule>
  </conditionalFormatting>
  <conditionalFormatting sqref="J1766:K1766 H1766">
    <cfRule type="expression" dxfId="4883" priority="8476">
      <formula>$H1766="CÉLULA CONSTRUTIVA"</formula>
    </cfRule>
  </conditionalFormatting>
  <conditionalFormatting sqref="J1807:K1807 H1807">
    <cfRule type="expression" dxfId="4882" priority="8469">
      <formula>$H1807="CÉLULA CONSTRUTIVA"</formula>
    </cfRule>
  </conditionalFormatting>
  <conditionalFormatting sqref="J1852:K1852 J1855:K1857 J1325 J1343 J1364 O490 O503 O516 O529 O542 O555 O1190 L1220 L1227 G1237 L1252:L1253 O1306 G1334:H133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O1853">
    <cfRule type="expression" dxfId="4881" priority="10514">
      <formula>$H490="SUBETAPA"</formula>
    </cfRule>
  </conditionalFormatting>
  <conditionalFormatting sqref="J1867:K1867 J1874:K1874 H1861 H1863 H1867 H1874">
    <cfRule type="expression" dxfId="4880" priority="8439">
      <formula>$H1861="ETAPA"</formula>
    </cfRule>
  </conditionalFormatting>
  <conditionalFormatting sqref="J47:L47 N47:O47">
    <cfRule type="expression" dxfId="4879" priority="7235">
      <formula>$H47="SUBETAPA"</formula>
    </cfRule>
  </conditionalFormatting>
  <conditionalFormatting sqref="J1130:L1130 H1130:H1131">
    <cfRule type="expression" dxfId="4878" priority="9249">
      <formula>$H1130="SUBETAPA"</formula>
    </cfRule>
  </conditionalFormatting>
  <conditionalFormatting sqref="J1133:L1133 H1133:H1134">
    <cfRule type="expression" dxfId="4877" priority="9243">
      <formula>$H1133="SUBETAPA"</formula>
    </cfRule>
  </conditionalFormatting>
  <conditionalFormatting sqref="J1136:L1136">
    <cfRule type="expression" dxfId="4876" priority="9237">
      <formula>$H1136="SUBETAPA"</formula>
    </cfRule>
  </conditionalFormatting>
  <conditionalFormatting sqref="J1139:L1139">
    <cfRule type="expression" dxfId="4875" priority="9232">
      <formula>$H1139="SUBETAPA"</formula>
    </cfRule>
  </conditionalFormatting>
  <conditionalFormatting sqref="J1142:L1142">
    <cfRule type="expression" dxfId="4874" priority="9227">
      <formula>$H1142="SUBETAPA"</formula>
    </cfRule>
  </conditionalFormatting>
  <conditionalFormatting sqref="J1145:L1145">
    <cfRule type="expression" dxfId="4873" priority="9222">
      <formula>$H1145="SUBETAPA"</formula>
    </cfRule>
  </conditionalFormatting>
  <conditionalFormatting sqref="J1164:L1164 H1163:H1164">
    <cfRule type="expression" dxfId="4872" priority="9198">
      <formula>$H1163="CÉLULA CONSTRUTIVA"</formula>
    </cfRule>
  </conditionalFormatting>
  <conditionalFormatting sqref="J1164:L1164">
    <cfRule type="expression" dxfId="4871" priority="9197">
      <formula>$H1164="ETAPA"</formula>
    </cfRule>
  </conditionalFormatting>
  <conditionalFormatting sqref="J1169:L1169">
    <cfRule type="expression" dxfId="4870" priority="9193">
      <formula>$H1169="SUBETAPA"</formula>
    </cfRule>
  </conditionalFormatting>
  <conditionalFormatting sqref="J1179:L1179 H1179:H1180">
    <cfRule type="expression" dxfId="4869" priority="9180">
      <formula>$H1179="SUBETAPA"</formula>
    </cfRule>
  </conditionalFormatting>
  <conditionalFormatting sqref="J1187:L1187">
    <cfRule type="expression" dxfId="4868" priority="6994">
      <formula>$H1187="ETAPA"</formula>
    </cfRule>
  </conditionalFormatting>
  <conditionalFormatting sqref="J1200:L1200">
    <cfRule type="expression" dxfId="4867" priority="5790">
      <formula>$H1200="ETAPA"</formula>
    </cfRule>
  </conditionalFormatting>
  <conditionalFormatting sqref="J1293:L1293">
    <cfRule type="expression" dxfId="4866" priority="5776">
      <formula>$H1293="ETAPA"</formula>
    </cfRule>
  </conditionalFormatting>
  <conditionalFormatting sqref="J1293:L1294 G1293:H1294 L1295:L1298">
    <cfRule type="expression" dxfId="4865" priority="9984">
      <formula>$H1293="SUBETAPA"</formula>
    </cfRule>
  </conditionalFormatting>
  <conditionalFormatting sqref="J1315:L1315">
    <cfRule type="expression" dxfId="4864" priority="5774">
      <formula>$H1315="ETAPA"</formula>
    </cfRule>
  </conditionalFormatting>
  <conditionalFormatting sqref="J1315:L1316 G1315:H1316 L1317:L1320">
    <cfRule type="expression" dxfId="4863" priority="9982">
      <formula>$H1315="SUBETAPA"</formula>
    </cfRule>
  </conditionalFormatting>
  <conditionalFormatting sqref="J1333:L1334">
    <cfRule type="expression" dxfId="4862" priority="6993">
      <formula>$H1333="ETAPA"</formula>
    </cfRule>
  </conditionalFormatting>
  <conditionalFormatting sqref="J1353:L1353">
    <cfRule type="expression" dxfId="4861" priority="5772">
      <formula>$H1353="ETAPA"</formula>
    </cfRule>
  </conditionalFormatting>
  <conditionalFormatting sqref="J1353:L1354 G1353:H1354 L1355:L1358">
    <cfRule type="expression" dxfId="4860" priority="9980">
      <formula>$H1353="SUBETAPA"</formula>
    </cfRule>
  </conditionalFormatting>
  <conditionalFormatting sqref="J1374:L1374">
    <cfRule type="expression" dxfId="4859" priority="5770">
      <formula>$H1374="ETAPA"</formula>
    </cfRule>
  </conditionalFormatting>
  <conditionalFormatting sqref="J1374:L1375 G1374:H1375 L1376:L1379">
    <cfRule type="expression" dxfId="4858" priority="9978">
      <formula>$H1374="SUBETAPA"</formula>
    </cfRule>
  </conditionalFormatting>
  <conditionalFormatting sqref="J1398:L1398">
    <cfRule type="expression" dxfId="4857" priority="5766">
      <formula>$H1398="ETAPA"</formula>
    </cfRule>
  </conditionalFormatting>
  <conditionalFormatting sqref="J1398:L1399 G1398:H1399 L1400:L1403">
    <cfRule type="expression" dxfId="4856" priority="9976">
      <formula>$H1398="SUBETAPA"</formula>
    </cfRule>
  </conditionalFormatting>
  <conditionalFormatting sqref="J1416:L1416">
    <cfRule type="expression" dxfId="4855" priority="5764">
      <formula>$H1416="ETAPA"</formula>
    </cfRule>
  </conditionalFormatting>
  <conditionalFormatting sqref="J1416:L1420">
    <cfRule type="expression" dxfId="4854" priority="7524">
      <formula>$H1416="SUBETAPA"</formula>
    </cfRule>
  </conditionalFormatting>
  <conditionalFormatting sqref="J1428:L1429">
    <cfRule type="expression" dxfId="4853" priority="6992">
      <formula>$H1428="ETAPA"</formula>
    </cfRule>
  </conditionalFormatting>
  <conditionalFormatting sqref="J1429:L1432">
    <cfRule type="expression" dxfId="4852" priority="7517">
      <formula>$H1429="SUBETAPA"</formula>
    </cfRule>
  </conditionalFormatting>
  <conditionalFormatting sqref="J1436:L1441 G1441:H1441">
    <cfRule type="expression" dxfId="4851" priority="7046">
      <formula>$H1436="CÉLULA CONSTRUTIVA"</formula>
    </cfRule>
  </conditionalFormatting>
  <conditionalFormatting sqref="J1447:L1447">
    <cfRule type="expression" dxfId="4850" priority="7043">
      <formula>$H1447="SUBETAPA"</formula>
    </cfRule>
  </conditionalFormatting>
  <conditionalFormatting sqref="J1447:L1449">
    <cfRule type="expression" dxfId="4849" priority="7044">
      <formula>$H1447="CÉLULA CONSTRUTIVA"</formula>
    </cfRule>
  </conditionalFormatting>
  <conditionalFormatting sqref="J1457:L1457">
    <cfRule type="expression" dxfId="4848" priority="7041">
      <formula>$H1457="SUBETAPA"</formula>
    </cfRule>
  </conditionalFormatting>
  <conditionalFormatting sqref="J1457:L1458">
    <cfRule type="expression" dxfId="4847" priority="7042">
      <formula>$H1457="CÉLULA CONSTRUTIVA"</formula>
    </cfRule>
  </conditionalFormatting>
  <conditionalFormatting sqref="J1466:L1466">
    <cfRule type="expression" dxfId="4846" priority="7039">
      <formula>$H1466="SUBETAPA"</formula>
    </cfRule>
  </conditionalFormatting>
  <conditionalFormatting sqref="J1466:L1467">
    <cfRule type="expression" dxfId="4845" priority="7040">
      <formula>$H1466="CÉLULA CONSTRUTIVA"</formula>
    </cfRule>
  </conditionalFormatting>
  <conditionalFormatting sqref="J1473:L1473">
    <cfRule type="expression" dxfId="4844" priority="7037">
      <formula>$H1473="SUBETAPA"</formula>
    </cfRule>
  </conditionalFormatting>
  <conditionalFormatting sqref="J1473:L1474">
    <cfRule type="expression" dxfId="4843" priority="7038">
      <formula>$H1473="CÉLULA CONSTRUTIVA"</formula>
    </cfRule>
  </conditionalFormatting>
  <conditionalFormatting sqref="J1480:L1480">
    <cfRule type="expression" dxfId="4842" priority="7035">
      <formula>$H1480="SUBETAPA"</formula>
    </cfRule>
  </conditionalFormatting>
  <conditionalFormatting sqref="J1488:L1488">
    <cfRule type="expression" dxfId="4841" priority="7033">
      <formula>$H1488="SUBETAPA"</formula>
    </cfRule>
  </conditionalFormatting>
  <conditionalFormatting sqref="J1498:L1498">
    <cfRule type="expression" dxfId="4840" priority="7031">
      <formula>$H1498="SUBETAPA"</formula>
    </cfRule>
  </conditionalFormatting>
  <conditionalFormatting sqref="J1506:L1506">
    <cfRule type="expression" dxfId="4839" priority="7029">
      <formula>$H1506="SUBETAPA"</formula>
    </cfRule>
  </conditionalFormatting>
  <conditionalFormatting sqref="J1517:L1517">
    <cfRule type="expression" dxfId="4838" priority="7027">
      <formula>$H1517="SUBETAPA"</formula>
    </cfRule>
  </conditionalFormatting>
  <conditionalFormatting sqref="J1528:L1528">
    <cfRule type="expression" dxfId="4837" priority="7025">
      <formula>$H1528="SUBETAPA"</formula>
    </cfRule>
  </conditionalFormatting>
  <conditionalFormatting sqref="J1539:L1539">
    <cfRule type="expression" dxfId="4836" priority="7023">
      <formula>$H1539="SUBETAPA"</formula>
    </cfRule>
  </conditionalFormatting>
  <conditionalFormatting sqref="J1550:L1550">
    <cfRule type="expression" dxfId="4835" priority="7021">
      <formula>$H1550="SUBETAPA"</formula>
    </cfRule>
  </conditionalFormatting>
  <conditionalFormatting sqref="J1587:L1588 H1586:H1587">
    <cfRule type="expression" dxfId="4834" priority="8594">
      <formula>$H1586="SUBETAPA"</formula>
    </cfRule>
  </conditionalFormatting>
  <conditionalFormatting sqref="J1588:L1590 H1589">
    <cfRule type="expression" dxfId="4833" priority="8593">
      <formula>$H1588="CÉLULA CONSTRUTIVA"</formula>
    </cfRule>
    <cfRule type="expression" dxfId="4832" priority="6927">
      <formula>$H1588="ETAPA"</formula>
    </cfRule>
  </conditionalFormatting>
  <conditionalFormatting sqref="J1596:L1597 H1595:H1596">
    <cfRule type="expression" dxfId="4831" priority="8586">
      <formula>$H1595="SUBETAPA"</formula>
    </cfRule>
  </conditionalFormatting>
  <conditionalFormatting sqref="J1597:L1599 H1598">
    <cfRule type="expression" dxfId="4830" priority="6926">
      <formula>$H1597="ETAPA"</formula>
    </cfRule>
    <cfRule type="expression" dxfId="4829" priority="8585">
      <formula>$H1597="CÉLULA CONSTRUTIVA"</formula>
    </cfRule>
  </conditionalFormatting>
  <conditionalFormatting sqref="J1605:L1606 H1604:H1605">
    <cfRule type="expression" dxfId="4828" priority="8578">
      <formula>$H1604="SUBETAPA"</formula>
    </cfRule>
  </conditionalFormatting>
  <conditionalFormatting sqref="J1606:L1607 H1607">
    <cfRule type="expression" dxfId="4827" priority="6925">
      <formula>$H1606="ETAPA"</formula>
    </cfRule>
    <cfRule type="expression" dxfId="4826" priority="8577">
      <formula>$H1606="CÉLULA CONSTRUTIVA"</formula>
    </cfRule>
  </conditionalFormatting>
  <conditionalFormatting sqref="J1608:L1608">
    <cfRule type="expression" dxfId="4825" priority="5476">
      <formula>$H1608="ETAPA"</formula>
    </cfRule>
    <cfRule type="expression" dxfId="4824" priority="5477">
      <formula>$H1608="CÉLULA CONSTRUTIVA"</formula>
    </cfRule>
  </conditionalFormatting>
  <conditionalFormatting sqref="J1614:L1615 H1613:H1614">
    <cfRule type="expression" dxfId="4823" priority="8570">
      <formula>$H1613="SUBETAPA"</formula>
    </cfRule>
  </conditionalFormatting>
  <conditionalFormatting sqref="J1615:L1616 H1616">
    <cfRule type="expression" dxfId="4822" priority="6924">
      <formula>$H1615="ETAPA"</formula>
    </cfRule>
    <cfRule type="expression" dxfId="4821" priority="8569">
      <formula>$H1615="CÉLULA CONSTRUTIVA"</formula>
    </cfRule>
  </conditionalFormatting>
  <conditionalFormatting sqref="J1617:L1617">
    <cfRule type="expression" dxfId="4820" priority="5473">
      <formula>$H1617="CÉLULA CONSTRUTIVA"</formula>
    </cfRule>
    <cfRule type="expression" dxfId="4819" priority="5472">
      <formula>$H1617="ETAPA"</formula>
    </cfRule>
  </conditionalFormatting>
  <conditionalFormatting sqref="J1626:L1626">
    <cfRule type="expression" dxfId="4818" priority="6923">
      <formula>$H1626="ETAPA"</formula>
    </cfRule>
  </conditionalFormatting>
  <conditionalFormatting sqref="J1627:L1627">
    <cfRule type="expression" dxfId="4817" priority="5463">
      <formula>$H1627="ETAPA"</formula>
    </cfRule>
  </conditionalFormatting>
  <conditionalFormatting sqref="J1628:L1629 O1628:O1629 G1630:M1631">
    <cfRule type="expression" dxfId="4816" priority="6922">
      <formula>$H1628="ETAPA"</formula>
    </cfRule>
  </conditionalFormatting>
  <conditionalFormatting sqref="J1635:L1635">
    <cfRule type="expression" dxfId="4815" priority="5460">
      <formula>$H1635="ETAPA"</formula>
    </cfRule>
  </conditionalFormatting>
  <conditionalFormatting sqref="J1637:L1637">
    <cfRule type="expression" dxfId="4814" priority="6919">
      <formula>$H1637="ETAPA"</formula>
    </cfRule>
  </conditionalFormatting>
  <conditionalFormatting sqref="J1638:L1638">
    <cfRule type="expression" dxfId="4813" priority="5456">
      <formula>$H1638="ETAPA"</formula>
    </cfRule>
  </conditionalFormatting>
  <conditionalFormatting sqref="J1639:L1640 O1639:O1640 G1641:M1642">
    <cfRule type="expression" dxfId="4812" priority="6918">
      <formula>$H1639="ETAPA"</formula>
    </cfRule>
  </conditionalFormatting>
  <conditionalFormatting sqref="J1644:L1644">
    <cfRule type="expression" dxfId="4811" priority="5453">
      <formula>$H1644="ETAPA"</formula>
    </cfRule>
  </conditionalFormatting>
  <conditionalFormatting sqref="J1646:L1646">
    <cfRule type="expression" dxfId="4810" priority="6915">
      <formula>$H1646="ETAPA"</formula>
    </cfRule>
  </conditionalFormatting>
  <conditionalFormatting sqref="J1647:L1647">
    <cfRule type="expression" dxfId="4809" priority="5449">
      <formula>$H1647="ETAPA"</formula>
    </cfRule>
  </conditionalFormatting>
  <conditionalFormatting sqref="J1648:L1649 O1648:O1649 G1650:M1651">
    <cfRule type="expression" dxfId="4808" priority="6914">
      <formula>$H1648="ETAPA"</formula>
    </cfRule>
  </conditionalFormatting>
  <conditionalFormatting sqref="J1653:L1653">
    <cfRule type="expression" dxfId="4807" priority="5446">
      <formula>$H1653="ETAPA"</formula>
    </cfRule>
  </conditionalFormatting>
  <conditionalFormatting sqref="J1655:L1655">
    <cfRule type="expression" dxfId="4806" priority="6911">
      <formula>$H1655="ETAPA"</formula>
    </cfRule>
  </conditionalFormatting>
  <conditionalFormatting sqref="J1656:L1656">
    <cfRule type="expression" dxfId="4805" priority="5442">
      <formula>$H1656="ETAPA"</formula>
    </cfRule>
  </conditionalFormatting>
  <conditionalFormatting sqref="J1657:L1658 O1657:O1658 G1659:M1660">
    <cfRule type="expression" dxfId="4804" priority="6910">
      <formula>$H1657="ETAPA"</formula>
    </cfRule>
  </conditionalFormatting>
  <conditionalFormatting sqref="J1662:L1662">
    <cfRule type="expression" dxfId="4803" priority="5439">
      <formula>$H1662="ETAPA"</formula>
    </cfRule>
  </conditionalFormatting>
  <conditionalFormatting sqref="J1664:L1664">
    <cfRule type="expression" dxfId="4802" priority="6907">
      <formula>$H1664="ETAPA"</formula>
    </cfRule>
  </conditionalFormatting>
  <conditionalFormatting sqref="J1665:L1665">
    <cfRule type="expression" dxfId="4801" priority="5435">
      <formula>$H1665="ETAPA"</formula>
    </cfRule>
  </conditionalFormatting>
  <conditionalFormatting sqref="J1666:L1667 O1666:O1667 G1668:M1669">
    <cfRule type="expression" dxfId="4800" priority="6906">
      <formula>$H1666="ETAPA"</formula>
    </cfRule>
  </conditionalFormatting>
  <conditionalFormatting sqref="J1671:L1671">
    <cfRule type="expression" dxfId="4799" priority="5432">
      <formula>$H1671="ETAPA"</formula>
    </cfRule>
  </conditionalFormatting>
  <conditionalFormatting sqref="J1673:L1673">
    <cfRule type="expression" dxfId="4798" priority="6903">
      <formula>$H1673="ETAPA"</formula>
    </cfRule>
  </conditionalFormatting>
  <conditionalFormatting sqref="J1674:L1674">
    <cfRule type="expression" dxfId="4797" priority="5428">
      <formula>$H1674="ETAPA"</formula>
    </cfRule>
  </conditionalFormatting>
  <conditionalFormatting sqref="J1675:L1676 O1675:O1676 G1677:M1678">
    <cfRule type="expression" dxfId="4796" priority="6902">
      <formula>$H1675="ETAPA"</formula>
    </cfRule>
  </conditionalFormatting>
  <conditionalFormatting sqref="J1680:L1680">
    <cfRule type="expression" dxfId="4795" priority="5425">
      <formula>$H1680="ETAPA"</formula>
    </cfRule>
  </conditionalFormatting>
  <conditionalFormatting sqref="J1682:L1682">
    <cfRule type="expression" dxfId="4794" priority="6899">
      <formula>$H1682="ETAPA"</formula>
    </cfRule>
  </conditionalFormatting>
  <conditionalFormatting sqref="J1683:L1683">
    <cfRule type="expression" dxfId="4793" priority="5421">
      <formula>$H1683="ETAPA"</formula>
    </cfRule>
  </conditionalFormatting>
  <conditionalFormatting sqref="J1684:L1685 O1684:O1685 G1686:M1687">
    <cfRule type="expression" dxfId="4792" priority="6898">
      <formula>$H1684="ETAPA"</formula>
    </cfRule>
  </conditionalFormatting>
  <conditionalFormatting sqref="J1691:L1691">
    <cfRule type="expression" dxfId="4791" priority="5418">
      <formula>$H1691="ETAPA"</formula>
    </cfRule>
  </conditionalFormatting>
  <conditionalFormatting sqref="J1693:L1693">
    <cfRule type="expression" dxfId="4790" priority="6895">
      <formula>$H1693="ETAPA"</formula>
    </cfRule>
  </conditionalFormatting>
  <conditionalFormatting sqref="J1694:L1694">
    <cfRule type="expression" dxfId="4789" priority="5414">
      <formula>$H1694="ETAPA"</formula>
    </cfRule>
  </conditionalFormatting>
  <conditionalFormatting sqref="J1695:L1696 O1695:O1696 G1697:M1698">
    <cfRule type="expression" dxfId="4788" priority="6894">
      <formula>$H1695="ETAPA"</formula>
    </cfRule>
  </conditionalFormatting>
  <conditionalFormatting sqref="J1701:L1702 H1702">
    <cfRule type="expression" dxfId="4787" priority="8519">
      <formula>$H1701="SUBETAPA"</formula>
    </cfRule>
  </conditionalFormatting>
  <conditionalFormatting sqref="J1702:L1702">
    <cfRule type="expression" dxfId="4786" priority="6891">
      <formula>$H1702="ETAPA"</formula>
    </cfRule>
  </conditionalFormatting>
  <conditionalFormatting sqref="J1704:L1704">
    <cfRule type="expression" dxfId="4785" priority="6890">
      <formula>$H1704="ETAPA"</formula>
    </cfRule>
  </conditionalFormatting>
  <conditionalFormatting sqref="J1705:L1706">
    <cfRule type="expression" dxfId="4784" priority="5410">
      <formula>$H1705="ETAPA"</formula>
    </cfRule>
  </conditionalFormatting>
  <conditionalFormatting sqref="J1707:L1707">
    <cfRule type="expression" dxfId="4783" priority="6887">
      <formula>$H1707="CÉLULA CONSTRUTIVA"</formula>
    </cfRule>
  </conditionalFormatting>
  <conditionalFormatting sqref="J1711:L1711">
    <cfRule type="expression" dxfId="4782" priority="5407">
      <formula>$H1711="ETAPA"</formula>
    </cfRule>
  </conditionalFormatting>
  <conditionalFormatting sqref="J1713:L1713">
    <cfRule type="expression" dxfId="4781" priority="6886">
      <formula>$H1713="ETAPA"</formula>
    </cfRule>
  </conditionalFormatting>
  <conditionalFormatting sqref="J1714:L1715">
    <cfRule type="expression" dxfId="4780" priority="5403">
      <formula>$H1714="ETAPA"</formula>
    </cfRule>
  </conditionalFormatting>
  <conditionalFormatting sqref="J1716:L1716">
    <cfRule type="expression" dxfId="4779" priority="6883">
      <formula>$H1716="CÉLULA CONSTRUTIVA"</formula>
    </cfRule>
  </conditionalFormatting>
  <conditionalFormatting sqref="J1720:L1720">
    <cfRule type="expression" dxfId="4778" priority="5400">
      <formula>$H1720="ETAPA"</formula>
    </cfRule>
  </conditionalFormatting>
  <conditionalFormatting sqref="J1722:L1722">
    <cfRule type="expression" dxfId="4777" priority="6882">
      <formula>$H1722="ETAPA"</formula>
    </cfRule>
  </conditionalFormatting>
  <conditionalFormatting sqref="J1723:L1724">
    <cfRule type="expression" dxfId="4776" priority="5396">
      <formula>$H1723="ETAPA"</formula>
    </cfRule>
  </conditionalFormatting>
  <conditionalFormatting sqref="J1725:L1725">
    <cfRule type="expression" dxfId="4775" priority="6879">
      <formula>$H1725="CÉLULA CONSTRUTIVA"</formula>
    </cfRule>
  </conditionalFormatting>
  <conditionalFormatting sqref="J1729:L1729">
    <cfRule type="expression" dxfId="4774" priority="5393">
      <formula>$H1729="ETAPA"</formula>
    </cfRule>
  </conditionalFormatting>
  <conditionalFormatting sqref="J1731:L1731">
    <cfRule type="expression" dxfId="4773" priority="6878">
      <formula>$H1731="ETAPA"</formula>
    </cfRule>
  </conditionalFormatting>
  <conditionalFormatting sqref="J1732:L1733">
    <cfRule type="expression" dxfId="4772" priority="5389">
      <formula>$H1732="ETAPA"</formula>
    </cfRule>
  </conditionalFormatting>
  <conditionalFormatting sqref="J1734:L1734">
    <cfRule type="expression" dxfId="4771" priority="6875">
      <formula>$H1734="CÉLULA CONSTRUTIVA"</formula>
    </cfRule>
  </conditionalFormatting>
  <conditionalFormatting sqref="J1738:L1738">
    <cfRule type="expression" dxfId="4770" priority="5386">
      <formula>$H1738="ETAPA"</formula>
    </cfRule>
  </conditionalFormatting>
  <conditionalFormatting sqref="J1740:L1740">
    <cfRule type="expression" dxfId="4769" priority="6874">
      <formula>$H1740="ETAPA"</formula>
    </cfRule>
  </conditionalFormatting>
  <conditionalFormatting sqref="J1741:L1742">
    <cfRule type="expression" dxfId="4768" priority="5382">
      <formula>$H1741="ETAPA"</formula>
    </cfRule>
  </conditionalFormatting>
  <conditionalFormatting sqref="J1743:L1743">
    <cfRule type="expression" dxfId="4767" priority="6871">
      <formula>$H1743="CÉLULA CONSTRUTIVA"</formula>
    </cfRule>
  </conditionalFormatting>
  <conditionalFormatting sqref="J1748:L1749 H1749">
    <cfRule type="expression" dxfId="4766" priority="8495">
      <formula>$H1748="SUBETAPA"</formula>
    </cfRule>
  </conditionalFormatting>
  <conditionalFormatting sqref="J1749:L1749">
    <cfRule type="expression" dxfId="4765" priority="6870">
      <formula>$H1749="ETAPA"</formula>
    </cfRule>
  </conditionalFormatting>
  <conditionalFormatting sqref="J1751:L1751 L1754:L1757">
    <cfRule type="expression" dxfId="4764" priority="6869">
      <formula>$H1751="ETAPA"</formula>
    </cfRule>
  </conditionalFormatting>
  <conditionalFormatting sqref="J1752:L1753">
    <cfRule type="expression" dxfId="4763" priority="5376">
      <formula>$H1752="ETAPA"</formula>
    </cfRule>
  </conditionalFormatting>
  <conditionalFormatting sqref="J1758:L1759 H1759">
    <cfRule type="expression" dxfId="4762" priority="8483">
      <formula>$H1758="SUBETAPA"</formula>
    </cfRule>
  </conditionalFormatting>
  <conditionalFormatting sqref="J1759:L1759">
    <cfRule type="expression" dxfId="4761" priority="6867">
      <formula>$H1759="ETAPA"</formula>
    </cfRule>
  </conditionalFormatting>
  <conditionalFormatting sqref="J1763:L1763 L1765:L1766 H1763 O1763">
    <cfRule type="expression" dxfId="4760" priority="8479">
      <formula>$H1763="CÉLULA CONSTRUTIVA"</formula>
    </cfRule>
  </conditionalFormatting>
  <conditionalFormatting sqref="J1793:L1797 H1797">
    <cfRule type="expression" dxfId="4759" priority="8475">
      <formula>$H1793="SUBETAPA"</formula>
    </cfRule>
  </conditionalFormatting>
  <conditionalFormatting sqref="J1797:L1797 H1797 O1797">
    <cfRule type="expression" dxfId="4758" priority="8474">
      <formula>$H1797="CÉLULA CONSTRUTIVA"</formula>
    </cfRule>
  </conditionalFormatting>
  <conditionalFormatting sqref="J1800:L1804 H1804 L1806:L1807">
    <cfRule type="expression" dxfId="4757" priority="8473">
      <formula>$H1800="SUBETAPA"</formula>
    </cfRule>
  </conditionalFormatting>
  <conditionalFormatting sqref="J1804:L1804 L1806:L1807 H1804 O1804">
    <cfRule type="expression" dxfId="4756" priority="8472">
      <formula>$H1804="CÉLULA CONSTRUTIVA"</formula>
    </cfRule>
  </conditionalFormatting>
  <conditionalFormatting sqref="J1813:L1813 H1813 O1813">
    <cfRule type="expression" dxfId="4755" priority="8467">
      <formula>$H1813="CÉLULA CONSTRUTIVA"</formula>
    </cfRule>
  </conditionalFormatting>
  <conditionalFormatting sqref="J1816:L1820 H1820">
    <cfRule type="expression" dxfId="4754" priority="8466">
      <formula>$H1816="SUBETAPA"</formula>
    </cfRule>
  </conditionalFormatting>
  <conditionalFormatting sqref="J1820:L1820 H1820 O1820">
    <cfRule type="expression" dxfId="4753" priority="8465">
      <formula>$H1820="CÉLULA CONSTRUTIVA"</formula>
    </cfRule>
  </conditionalFormatting>
  <conditionalFormatting sqref="J1823:L1827 H1827">
    <cfRule type="expression" dxfId="4752" priority="8464">
      <formula>$H1823="SUBETAPA"</formula>
    </cfRule>
  </conditionalFormatting>
  <conditionalFormatting sqref="J1827:L1827 H1827 O1827">
    <cfRule type="expression" dxfId="4751" priority="8463">
      <formula>$H1827="CÉLULA CONSTRUTIVA"</formula>
    </cfRule>
  </conditionalFormatting>
  <conditionalFormatting sqref="J1830:L1834 H1834">
    <cfRule type="expression" dxfId="4750" priority="8462">
      <formula>$H1830="SUBETAPA"</formula>
    </cfRule>
  </conditionalFormatting>
  <conditionalFormatting sqref="J1834:L1834 H1834 O1834">
    <cfRule type="expression" dxfId="4749" priority="8461">
      <formula>$H1834="CÉLULA CONSTRUTIVA"</formula>
    </cfRule>
  </conditionalFormatting>
  <conditionalFormatting sqref="J1837:L1841 H1841 J1849:L1851 H1851 J1853:L1854 H1854 H1858 J1858:L1858 L1860:L1863 J1864:L1864 L1866:L1867 H1871 J1871:L1871 L1873:L1874 H1879 J1879:L1879 L1881">
    <cfRule type="expression" dxfId="4748" priority="8460">
      <formula>$H1837="SUBETAPA"</formula>
    </cfRule>
  </conditionalFormatting>
  <conditionalFormatting sqref="J1841:L1841 J1851:L1851 J1854:L1854 J1858:M1858 L1860:L1863 J1864:M1864 L1866:L1867 J1871:M1871 L1873:L1874 J1879:M1879 L1881 H1841 O1841 H1851 H1854 O1854 H1858 O1858 O1864 H1871 O1871 H1879 O1879">
    <cfRule type="expression" dxfId="4747" priority="8459">
      <formula>$H1841="CÉLULA CONSTRUTIVA"</formula>
    </cfRule>
  </conditionalFormatting>
  <conditionalFormatting sqref="J16:M16">
    <cfRule type="expression" dxfId="4746" priority="6866">
      <formula>$H16="SUBETAPA"</formula>
    </cfRule>
  </conditionalFormatting>
  <conditionalFormatting sqref="J17:M17">
    <cfRule type="expression" dxfId="4745" priority="6865">
      <formula>$H17="ETAPA"</formula>
    </cfRule>
    <cfRule type="expression" dxfId="4744" priority="6864">
      <formula>$H17="CÉLULA CONSTRUTIVA"</formula>
    </cfRule>
  </conditionalFormatting>
  <conditionalFormatting sqref="J1129:M1129">
    <cfRule type="expression" dxfId="4743" priority="7701">
      <formula>$H1129="CÉLULA CONSTRUTIVA"</formula>
    </cfRule>
  </conditionalFormatting>
  <conditionalFormatting sqref="J1132:M1132">
    <cfRule type="expression" dxfId="4742" priority="7698">
      <formula>$H1132="CÉLULA CONSTRUTIVA"</formula>
    </cfRule>
  </conditionalFormatting>
  <conditionalFormatting sqref="J1135:M1135">
    <cfRule type="expression" dxfId="4741" priority="7695">
      <formula>$H1135="CÉLULA CONSTRUTIVA"</formula>
    </cfRule>
  </conditionalFormatting>
  <conditionalFormatting sqref="J1136:M1136">
    <cfRule type="expression" dxfId="4740" priority="4506">
      <formula>$H1136="CÉLULA CONSTRUTIVA"</formula>
    </cfRule>
  </conditionalFormatting>
  <conditionalFormatting sqref="J1138:M1138">
    <cfRule type="expression" dxfId="4739" priority="7692">
      <formula>$H1138="CÉLULA CONSTRUTIVA"</formula>
    </cfRule>
  </conditionalFormatting>
  <conditionalFormatting sqref="J1139:M1139">
    <cfRule type="expression" dxfId="4738" priority="4503">
      <formula>$H1139="CÉLULA CONSTRUTIVA"</formula>
    </cfRule>
  </conditionalFormatting>
  <conditionalFormatting sqref="J1141:M1141">
    <cfRule type="expression" dxfId="4737" priority="7689">
      <formula>$H1141="CÉLULA CONSTRUTIVA"</formula>
    </cfRule>
  </conditionalFormatting>
  <conditionalFormatting sqref="J1142:M1142">
    <cfRule type="expression" dxfId="4736" priority="4500">
      <formula>$H1142="CÉLULA CONSTRUTIVA"</formula>
    </cfRule>
  </conditionalFormatting>
  <conditionalFormatting sqref="J1144:M1144">
    <cfRule type="expression" dxfId="4735" priority="7686">
      <formula>$H1144="CÉLULA CONSTRUTIVA"</formula>
    </cfRule>
  </conditionalFormatting>
  <conditionalFormatting sqref="J1145:M1145">
    <cfRule type="expression" dxfId="4734" priority="4497">
      <formula>$H1145="CÉLULA CONSTRUTIVA"</formula>
    </cfRule>
  </conditionalFormatting>
  <conditionalFormatting sqref="J1149:M1149">
    <cfRule type="expression" dxfId="4733" priority="7685">
      <formula>$H1149="SUBETAPA"</formula>
    </cfRule>
  </conditionalFormatting>
  <conditionalFormatting sqref="J1151:M1152">
    <cfRule type="expression" dxfId="4732" priority="9212">
      <formula>$H1151="SUBETAPA"</formula>
    </cfRule>
  </conditionalFormatting>
  <conditionalFormatting sqref="J1156:M1156">
    <cfRule type="expression" dxfId="4731" priority="7682">
      <formula>$H1156="SUBETAPA"</formula>
    </cfRule>
  </conditionalFormatting>
  <conditionalFormatting sqref="J1158:M1159">
    <cfRule type="expression" dxfId="4730" priority="9203">
      <formula>$H1158="SUBETAPA"</formula>
    </cfRule>
  </conditionalFormatting>
  <conditionalFormatting sqref="J1163:M1163">
    <cfRule type="expression" dxfId="4729" priority="7677">
      <formula>$H1163="CÉLULA CONSTRUTIVA"</formula>
    </cfRule>
  </conditionalFormatting>
  <conditionalFormatting sqref="J1168:M1168">
    <cfRule type="expression" dxfId="4728" priority="7674">
      <formula>$H1168="CÉLULA CONSTRUTIVA"</formula>
    </cfRule>
  </conditionalFormatting>
  <conditionalFormatting sqref="J1169:M1169">
    <cfRule type="expression" dxfId="4727" priority="4479">
      <formula>$H1169="CÉLULA CONSTRUTIVA"</formula>
    </cfRule>
  </conditionalFormatting>
  <conditionalFormatting sqref="J1173:M1173">
    <cfRule type="expression" dxfId="4726" priority="7671">
      <formula>$H1173="CÉLULA CONSTRUTIVA"</formula>
    </cfRule>
  </conditionalFormatting>
  <conditionalFormatting sqref="J1178:M1178">
    <cfRule type="expression" dxfId="4725" priority="7668">
      <formula>$H1178="CÉLULA CONSTRUTIVA"</formula>
    </cfRule>
  </conditionalFormatting>
  <conditionalFormatting sqref="J1181:M1181">
    <cfRule type="expression" dxfId="4724" priority="7665">
      <formula>$H1181="CÉLULA CONSTRUTIVA"</formula>
    </cfRule>
  </conditionalFormatting>
  <conditionalFormatting sqref="J1433:M1434 G1433:H1434">
    <cfRule type="expression" dxfId="4723" priority="10602">
      <formula>$H1433="ETAPA"</formula>
    </cfRule>
  </conditionalFormatting>
  <conditionalFormatting sqref="J1564:M1565 O1565">
    <cfRule type="expression" dxfId="4722" priority="6842">
      <formula>$H1564="ETAPA"</formula>
    </cfRule>
  </conditionalFormatting>
  <conditionalFormatting sqref="J1565:M1565 O1565 H1565">
    <cfRule type="expression" dxfId="4721" priority="8618">
      <formula>$H1565="CÉLULA CONSTRUTIVA"</formula>
    </cfRule>
  </conditionalFormatting>
  <conditionalFormatting sqref="J1565:M1565 O1565">
    <cfRule type="expression" dxfId="4720" priority="6841">
      <formula>$H1565="SUBETAPA"</formula>
    </cfRule>
  </conditionalFormatting>
  <conditionalFormatting sqref="J1570:M1571 O1571">
    <cfRule type="expression" dxfId="4719" priority="6840">
      <formula>$H1570="ETAPA"</formula>
    </cfRule>
  </conditionalFormatting>
  <conditionalFormatting sqref="J1571:M1571 O1571 H1571">
    <cfRule type="expression" dxfId="4718" priority="8612">
      <formula>$H1571="CÉLULA CONSTRUTIVA"</formula>
    </cfRule>
  </conditionalFormatting>
  <conditionalFormatting sqref="J1571:M1571 O1571">
    <cfRule type="expression" dxfId="4717" priority="6839">
      <formula>$H1571="SUBETAPA"</formula>
    </cfRule>
  </conditionalFormatting>
  <conditionalFormatting sqref="J1576:M1577 O1577">
    <cfRule type="expression" dxfId="4716" priority="6838">
      <formula>$H1576="ETAPA"</formula>
    </cfRule>
  </conditionalFormatting>
  <conditionalFormatting sqref="J1577:M1577 O1577 H1577">
    <cfRule type="expression" dxfId="4715" priority="8606">
      <formula>$H1577="CÉLULA CONSTRUTIVA"</formula>
    </cfRule>
  </conditionalFormatting>
  <conditionalFormatting sqref="J1577:M1577 O1577">
    <cfRule type="expression" dxfId="4714" priority="6837">
      <formula>$H1577="SUBETAPA"</formula>
    </cfRule>
  </conditionalFormatting>
  <conditionalFormatting sqref="J1582:M1583 H1583 O1583">
    <cfRule type="expression" dxfId="4713" priority="8600">
      <formula>$H1582="CÉLULA CONSTRUTIVA"</formula>
    </cfRule>
  </conditionalFormatting>
  <conditionalFormatting sqref="J1582:M1583 O1583 H1583:H1585 J1584:K1585 M1584:M1585">
    <cfRule type="expression" dxfId="4712" priority="6836">
      <formula>$H1582="ETAPA"</formula>
    </cfRule>
  </conditionalFormatting>
  <conditionalFormatting sqref="J1591:M1592 H1592 O1592">
    <cfRule type="expression" dxfId="4711" priority="8592">
      <formula>$H1591="CÉLULA CONSTRUTIVA"</formula>
    </cfRule>
  </conditionalFormatting>
  <conditionalFormatting sqref="J1591:M1592 O1592 H1592:H1594 J1593:K1594 M1593:M1594">
    <cfRule type="expression" dxfId="4710" priority="6835">
      <formula>$H1591="ETAPA"</formula>
    </cfRule>
  </conditionalFormatting>
  <conditionalFormatting sqref="J1600:M1601 H1601 O1601">
    <cfRule type="expression" dxfId="4709" priority="8584">
      <formula>$H1600="CÉLULA CONSTRUTIVA"</formula>
    </cfRule>
  </conditionalFormatting>
  <conditionalFormatting sqref="J1600:M1601 O1601 H1601:H1603 J1602:K1603 M1602:M1603">
    <cfRule type="expression" dxfId="4708" priority="6834">
      <formula>$H1600="ETAPA"</formula>
    </cfRule>
  </conditionalFormatting>
  <conditionalFormatting sqref="J1609:M1610 H1610 O1610">
    <cfRule type="expression" dxfId="4707" priority="8576">
      <formula>$H1609="CÉLULA CONSTRUTIVA"</formula>
    </cfRule>
  </conditionalFormatting>
  <conditionalFormatting sqref="J1609:M1610 O1610 H1610:H1612 J1611:K1612 M1611:M1612">
    <cfRule type="expression" dxfId="4706" priority="6833">
      <formula>$H1609="ETAPA"</formula>
    </cfRule>
  </conditionalFormatting>
  <conditionalFormatting sqref="J1618:M1619 H1619 O1619">
    <cfRule type="expression" dxfId="4705" priority="8568">
      <formula>$H1618="CÉLULA CONSTRUTIVA"</formula>
    </cfRule>
  </conditionalFormatting>
  <conditionalFormatting sqref="J1618:M1619 O1619 H1619:H1621 J1620:K1621 M1620:M1621">
    <cfRule type="expression" dxfId="4704" priority="6832">
      <formula>$H1618="ETAPA"</formula>
    </cfRule>
  </conditionalFormatting>
  <conditionalFormatting sqref="K23">
    <cfRule type="expression" dxfId="4703" priority="6830">
      <formula>$H23="SUBETAPA"</formula>
    </cfRule>
    <cfRule type="expression" dxfId="4702" priority="6831">
      <formula>$H23="ETAPA"</formula>
    </cfRule>
  </conditionalFormatting>
  <conditionalFormatting sqref="K35:K38 O36:O38">
    <cfRule type="expression" dxfId="4701" priority="6826">
      <formula>$H35="CÉLULA CONSTRUTIVA"</formula>
    </cfRule>
  </conditionalFormatting>
  <conditionalFormatting sqref="K37 N37:O37">
    <cfRule type="expression" dxfId="4700" priority="6828">
      <formula>$H37="ETAPA"</formula>
    </cfRule>
    <cfRule type="expression" dxfId="4699" priority="6827">
      <formula>$H37="SUBETAPA"</formula>
    </cfRule>
  </conditionalFormatting>
  <conditionalFormatting sqref="K46">
    <cfRule type="expression" dxfId="4698" priority="6825">
      <formula>$H46="ETAPA"</formula>
    </cfRule>
  </conditionalFormatting>
  <conditionalFormatting sqref="K157">
    <cfRule type="expression" dxfId="4697" priority="6824">
      <formula>$H157="ETAPA"</formula>
    </cfRule>
  </conditionalFormatting>
  <conditionalFormatting sqref="K167">
    <cfRule type="expression" dxfId="4696" priority="6821">
      <formula>$H167="ETAPA"</formula>
    </cfRule>
  </conditionalFormatting>
  <conditionalFormatting sqref="K185">
    <cfRule type="expression" dxfId="4695" priority="6817">
      <formula>$H185="SUBETAPA"</formula>
    </cfRule>
  </conditionalFormatting>
  <conditionalFormatting sqref="K194">
    <cfRule type="expression" dxfId="4694" priority="6814">
      <formula>$H194="SUBETAPA"</formula>
    </cfRule>
  </conditionalFormatting>
  <conditionalFormatting sqref="K203">
    <cfRule type="expression" dxfId="4693" priority="6811">
      <formula>$H203="SUBETAPA"</formula>
    </cfRule>
  </conditionalFormatting>
  <conditionalFormatting sqref="K206:K212">
    <cfRule type="expression" dxfId="4692" priority="6806">
      <formula>$H206="SUBETAPA"</formula>
    </cfRule>
    <cfRule type="expression" dxfId="4691" priority="6805">
      <formula>$H206="CÉLULA CONSTRUTIVA"</formula>
    </cfRule>
  </conditionalFormatting>
  <conditionalFormatting sqref="K221">
    <cfRule type="expression" dxfId="4690" priority="6803">
      <formula>$H221="SUBETAPA"</formula>
    </cfRule>
  </conditionalFormatting>
  <conditionalFormatting sqref="K349 K351 K353 K355 K357 K361 K363 K365 K367 K369 K371 K373 K375 K377">
    <cfRule type="expression" dxfId="4689" priority="6801">
      <formula>$H349="ETAPA"</formula>
    </cfRule>
  </conditionalFormatting>
  <conditionalFormatting sqref="K359">
    <cfRule type="expression" dxfId="4688" priority="6800">
      <formula>$H359="ETAPA"</formula>
    </cfRule>
    <cfRule type="expression" dxfId="4687" priority="6799">
      <formula>$H359="SUBETAPA"</formula>
    </cfRule>
  </conditionalFormatting>
  <conditionalFormatting sqref="K1011">
    <cfRule type="expression" dxfId="4686" priority="6791">
      <formula>$H1011="ETAPA"</formula>
    </cfRule>
    <cfRule type="expression" dxfId="4685" priority="6790">
      <formula>$H1011="CÉLULA CONSTRUTIVA"</formula>
    </cfRule>
  </conditionalFormatting>
  <conditionalFormatting sqref="K1242:K1244 J1245:K1245">
    <cfRule type="expression" dxfId="4684" priority="7198">
      <formula>$H1242="CÉLULA CONSTRUTIVA"</formula>
    </cfRule>
  </conditionalFormatting>
  <conditionalFormatting sqref="K1273:K1277 J1278:K1278">
    <cfRule type="expression" dxfId="4683" priority="7189">
      <formula>$H1273="CÉLULA CONSTRUTIVA"</formula>
    </cfRule>
  </conditionalFormatting>
  <conditionalFormatting sqref="K1295:K1297 H1295:H1298 J1298:K1298">
    <cfRule type="expression" dxfId="4682" priority="9127">
      <formula>$H1295="CÉLULA CONSTRUTIVA"</formula>
    </cfRule>
  </conditionalFormatting>
  <conditionalFormatting sqref="K1317:K1319 H1317:H1320 J1320:K1320">
    <cfRule type="expression" dxfId="4681" priority="9117">
      <formula>$H1317="CÉLULA CONSTRUTIVA"</formula>
    </cfRule>
  </conditionalFormatting>
  <conditionalFormatting sqref="K1355:K1357 H1355:H1358 J1358:K1358">
    <cfRule type="expression" dxfId="4680" priority="9100">
      <formula>$H1355="CÉLULA CONSTRUTIVA"</formula>
    </cfRule>
  </conditionalFormatting>
  <conditionalFormatting sqref="K1376:K1378 H1376:H1379 J1379:K1379">
    <cfRule type="expression" dxfId="4679" priority="9091">
      <formula>$H1376="CÉLULA CONSTRUTIVA"</formula>
    </cfRule>
  </conditionalFormatting>
  <conditionalFormatting sqref="K1400:K1402 H1400:H1403 J1403:K1403">
    <cfRule type="expression" dxfId="4678" priority="9081">
      <formula>$H1400="CÉLULA CONSTRUTIVA"</formula>
    </cfRule>
  </conditionalFormatting>
  <conditionalFormatting sqref="K1418:K1420">
    <cfRule type="expression" dxfId="4677" priority="6789">
      <formula>$H1418="CÉLULA CONSTRUTIVA"</formula>
    </cfRule>
  </conditionalFormatting>
  <conditionalFormatting sqref="K1430:K1432">
    <cfRule type="expression" dxfId="4676" priority="6788">
      <formula>$H1430="CÉLULA CONSTRUTIVA"</formula>
    </cfRule>
  </conditionalFormatting>
  <conditionalFormatting sqref="K1437:K1440">
    <cfRule type="expression" dxfId="4675" priority="6727">
      <formula>$H1437="SUBETAPA"</formula>
    </cfRule>
  </conditionalFormatting>
  <conditionalFormatting sqref="K1633">
    <cfRule type="expression" dxfId="4674" priority="6726">
      <formula>$H1633="ETAPA"</formula>
    </cfRule>
    <cfRule type="expression" dxfId="4673" priority="6725">
      <formula>$H1633="SUBETAPA"</formula>
    </cfRule>
  </conditionalFormatting>
  <conditionalFormatting sqref="K1689">
    <cfRule type="expression" dxfId="4672" priority="6722">
      <formula>$H1689="SUBETAPA"</formula>
    </cfRule>
    <cfRule type="expression" dxfId="4671" priority="6723">
      <formula>$H1689="ETAPA"</formula>
    </cfRule>
  </conditionalFormatting>
  <conditionalFormatting sqref="K1700">
    <cfRule type="expression" dxfId="4670" priority="6720">
      <formula>$H1700="ETAPA"</formula>
    </cfRule>
    <cfRule type="expression" dxfId="4669" priority="6719">
      <formula>$H1700="SUBETAPA"</formula>
    </cfRule>
  </conditionalFormatting>
  <conditionalFormatting sqref="K1747">
    <cfRule type="expression" dxfId="4668" priority="6717">
      <formula>$H1747="ETAPA"</formula>
    </cfRule>
    <cfRule type="expression" dxfId="4667" priority="6716">
      <formula>$H1747="SUBETAPA"</formula>
    </cfRule>
  </conditionalFormatting>
  <conditionalFormatting sqref="K1755">
    <cfRule type="expression" dxfId="4666" priority="6713">
      <formula>$H1755="SUBETAPA"</formula>
    </cfRule>
    <cfRule type="expression" dxfId="4665" priority="6714">
      <formula>$H1755="ETAPA"</formula>
    </cfRule>
  </conditionalFormatting>
  <conditionalFormatting sqref="K1766 O1766:O1770">
    <cfRule type="expression" dxfId="4664" priority="6711">
      <formula>$H1766="SUBETAPA"</formula>
    </cfRule>
  </conditionalFormatting>
  <conditionalFormatting sqref="K1807 O1807">
    <cfRule type="expression" dxfId="4663" priority="6710">
      <formula>$H1807="SUBETAPA"</formula>
    </cfRule>
  </conditionalFormatting>
  <conditionalFormatting sqref="K360:L360">
    <cfRule type="expression" dxfId="4662" priority="6698">
      <formula>$H360="SUBETAPA"</formula>
    </cfRule>
    <cfRule type="expression" dxfId="4661" priority="6699">
      <formula>$H360="ETAPA"</formula>
    </cfRule>
  </conditionalFormatting>
  <conditionalFormatting sqref="K362:L362">
    <cfRule type="expression" dxfId="4660" priority="6695">
      <formula>$H362="SUBETAPA"</formula>
    </cfRule>
    <cfRule type="expression" dxfId="4659" priority="6696">
      <formula>$H362="ETAPA"</formula>
    </cfRule>
  </conditionalFormatting>
  <conditionalFormatting sqref="K364:L364">
    <cfRule type="expression" dxfId="4658" priority="6692">
      <formula>$H364="SUBETAPA"</formula>
    </cfRule>
    <cfRule type="expression" dxfId="4657" priority="6693">
      <formula>$H364="ETAPA"</formula>
    </cfRule>
  </conditionalFormatting>
  <conditionalFormatting sqref="K366:L366">
    <cfRule type="expression" dxfId="4656" priority="6690">
      <formula>$H366="ETAPA"</formula>
    </cfRule>
    <cfRule type="expression" dxfId="4655" priority="6689">
      <formula>$H366="SUBETAPA"</formula>
    </cfRule>
  </conditionalFormatting>
  <conditionalFormatting sqref="K368:L368">
    <cfRule type="expression" dxfId="4654" priority="6687">
      <formula>$H368="ETAPA"</formula>
    </cfRule>
    <cfRule type="expression" dxfId="4653" priority="6686">
      <formula>$H368="SUBETAPA"</formula>
    </cfRule>
  </conditionalFormatting>
  <conditionalFormatting sqref="K370:L370">
    <cfRule type="expression" dxfId="4652" priority="6683">
      <formula>$H370="SUBETAPA"</formula>
    </cfRule>
    <cfRule type="expression" dxfId="4651" priority="6684">
      <formula>$H370="ETAPA"</formula>
    </cfRule>
  </conditionalFormatting>
  <conditionalFormatting sqref="K372:L372">
    <cfRule type="expression" dxfId="4650" priority="6680">
      <formula>$H372="SUBETAPA"</formula>
    </cfRule>
    <cfRule type="expression" dxfId="4649" priority="6681">
      <formula>$H372="ETAPA"</formula>
    </cfRule>
  </conditionalFormatting>
  <conditionalFormatting sqref="K374:L374">
    <cfRule type="expression" dxfId="4648" priority="6678">
      <formula>$H374="ETAPA"</formula>
    </cfRule>
    <cfRule type="expression" dxfId="4647" priority="6677">
      <formula>$H374="SUBETAPA"</formula>
    </cfRule>
  </conditionalFormatting>
  <conditionalFormatting sqref="K376:L376 K378:L378">
    <cfRule type="expression" dxfId="4646" priority="6675">
      <formula>$H376="ETAPA"</formula>
    </cfRule>
    <cfRule type="expression" dxfId="4645" priority="6674">
      <formula>$H376="SUBETAPA"</formula>
    </cfRule>
  </conditionalFormatting>
  <conditionalFormatting sqref="K924:L924">
    <cfRule type="expression" dxfId="4644" priority="6672">
      <formula>$H924="SUBETAPA"</formula>
    </cfRule>
  </conditionalFormatting>
  <conditionalFormatting sqref="K929:L929">
    <cfRule type="expression" dxfId="4643" priority="6671">
      <formula>$H929="SUBETAPA"</formula>
    </cfRule>
  </conditionalFormatting>
  <conditionalFormatting sqref="K934:L934">
    <cfRule type="expression" dxfId="4642" priority="6670">
      <formula>$H934="SUBETAPA"</formula>
    </cfRule>
  </conditionalFormatting>
  <conditionalFormatting sqref="K939:L939">
    <cfRule type="expression" dxfId="4641" priority="6669">
      <formula>$H939="SUBETAPA"</formula>
    </cfRule>
  </conditionalFormatting>
  <conditionalFormatting sqref="K944:L944">
    <cfRule type="expression" dxfId="4640" priority="6668">
      <formula>$H944="SUBETAPA"</formula>
    </cfRule>
  </conditionalFormatting>
  <conditionalFormatting sqref="K948:L948 K951:L951">
    <cfRule type="expression" dxfId="4639" priority="6667">
      <formula>$H948="SUBETAPA"</formula>
    </cfRule>
  </conditionalFormatting>
  <conditionalFormatting sqref="K955:L955 K958:L958">
    <cfRule type="expression" dxfId="4638" priority="6666">
      <formula>$H955="SUBETAPA"</formula>
    </cfRule>
  </conditionalFormatting>
  <conditionalFormatting sqref="K962:L962 K965:L965">
    <cfRule type="expression" dxfId="4637" priority="6665">
      <formula>$H962="SUBETAPA"</formula>
    </cfRule>
  </conditionalFormatting>
  <conditionalFormatting sqref="K969:L969 K972:L972">
    <cfRule type="expression" dxfId="4636" priority="6664">
      <formula>$H969="SUBETAPA"</formula>
    </cfRule>
  </conditionalFormatting>
  <conditionalFormatting sqref="K976:L976 K979:L979">
    <cfRule type="expression" dxfId="4635" priority="6663">
      <formula>$H976="SUBETAPA"</formula>
    </cfRule>
  </conditionalFormatting>
  <conditionalFormatting sqref="K984:L984">
    <cfRule type="expression" dxfId="4634" priority="6662">
      <formula>$H984="SUBETAPA"</formula>
    </cfRule>
  </conditionalFormatting>
  <conditionalFormatting sqref="K988:L988 K991:L991">
    <cfRule type="expression" dxfId="4633" priority="6661">
      <formula>$H988="SUBETAPA"</formula>
    </cfRule>
  </conditionalFormatting>
  <conditionalFormatting sqref="K996:L996">
    <cfRule type="expression" dxfId="4632" priority="6660">
      <formula>$H996="SUBETAPA"</formula>
    </cfRule>
  </conditionalFormatting>
  <conditionalFormatting sqref="K1090:L1090">
    <cfRule type="expression" dxfId="4631" priority="6657">
      <formula>$H1090="SUBETAPA"</formula>
    </cfRule>
  </conditionalFormatting>
  <conditionalFormatting sqref="K1090:L1091 I1083:M1084 I1085:L1085 L1086:L1087 K1088:L1088 O1088 L1089">
    <cfRule type="expression" dxfId="4630" priority="6658">
      <formula>$H1083="ETAPA"</formula>
    </cfRule>
  </conditionalFormatting>
  <conditionalFormatting sqref="K916:M916 K919:L919 K948:M948 K955:M955 K962:M962 K969:M969 K976:M976 K988:M988 K1118:M1119 K568:M568 L569 K570:M570 O570 L571 H572:M573 O573 K575:M575 O575 L576 K577:M577 H578:L579 L580 K581:M581 O581 L582 H583:M584 O584 K586:M586 O586 H587:L588 L589 K590:M590 O590 L591 H592:M593 O593 K595:M595 O595 H596:L597 L598 K599:M599 O599 L600 H601:M602 O602 K604:M604 O604 H605:L606 L607 K608:M608 O608 L609 H610:M611 O611 K613:M613 O613 H614:L615 L616 K617:M617 O617 L618 H619:M620 O620 K622:M622 O622 H623:L624 L625 K626:M626 O626 L627 H628:M629 O629 K631:M631 O631 H632:L633 L634 K635:M635 O635 L636 H637:M638 O638 K640:M640 O640 H641:L642 L643 K644:M644 O644 L645 H646:M647 O647 K649:M649 O649 H650:L651 L652 K653:M653 O653 L654 H655:M656 O656 K658:M658 O658 L659 K660:M660 H661:L662 L663 K664:M664 O664 L665 H666:M667 O667 K669:M669 O669 L670 K671:M671 H672:L673 L674 K675:M675 O675 L676 H677:M678 O678 K680:M680 O680 H681:L682 L683 K684:M684 O684 L685 H686:M687 O687 K689:M689 O689 H690:L691 L692 K693:M693 O693 L694 H695:M696 O696 K698:M698 O698 L699 K700:M700 H701:L702 G703:M703 G704:L705 H706:M706 O706 G706:G718 H708:L708 H710:L711 H712:M712 L713:M713 H714:M714 O714 L715 K716:M716 O716 L717 K718:M718 O718 G719:L720 H721:M721 O721 G721:G733 H723:L723 H725:L727 M727 L728:M728 H729:M729 O729 L730 K731:M731 O731 L732 K733:M733 O733 G734:L735 H736:M736 O736 G736:G748 H738:L738 H740:L742 M742 L743:M743 H744:M744 O744 L745 K746:M746 O746 L747 K748:M748 O748 G749:L750 H751:M751 O751 G751:G763 H753:L753 H755:L757 M757 L758:M758 H759:M759 O759 L760 K761:M761 O761 L762 K763:M763 O763 G764:L765 H766:M766 O766 G766:G778 H768:L768 H770:L772 M772 L773:M773 H774:M774 O774 L775 K776:M776 O776 L777 K778:M778 O778 G779:L780 H781:M781 O781 G781:G793 H783:L783 H785:L787 M787 L788:M788 H789:M789 O789 L790 K791:M791 O791 L792 K793:M793 O793 G794:L795 H796:M796 O796 G796:G808 H798:L798 H800:L802 M802 L803:M803 H804:M804 O804 L805 K806:M806 O806 L807 K808:M808 O808 G809:L810 H811:M811 O811 G811:G823 H813:L813 H815:L817 M817 L818:M818 H819:M819 O819 L820 K821:M821 O821 L822 K823:M823 O823 G824:L825 H826:M826 O826 G826:G838 H828:L828 H830:L832 M832 L833:M833 H834:M834 O834 L835 K836:M836 O836 L837 K838:M838 O838 G839:L840 H841:M841 O841 G841:G853 H843:L843 H845:L847 M847 L848:M848 H849:M849 O849 L850 K851:M851 O851 L852 K853:M853 O853 G854:L855 H856:M856 O856 G856:G868 H858:L858 H860:L862 M862 L863:M863 H864:M864 O864 L865 K866:M866 O866 L867 K868:M868 O868 G869:L870 H871:M871 O871 G871:G883 H873:L873 H875:L877 M877 L878:M878 H879:M879 O879 L880 K881:M881 O881 L882 K883:M883 O883 G884:L885 H886:M886 O886 G886:G898 H888:L888 H890:L892 M892 L893:M893 H894:M894 O894 L895 K896:M896 O896 L897 K898:M898 O898 G899:L900 H901:M901 O901 G901:G913 H903:L903 H905:L906 H907:M907 L908:M908 H909:M909 O909 L910 K911:M911 O911 L912 K913:M913 O913 L914:L915 L917:L918 K924:L924 K929:L929 K934:L934 K939:L939 K944:L944 L949:L950 K951:L951 L956:L957 K958:L958 L963:L964 K965:L965 L970:L971 K972:L972 L977:L978 K979:L979 K984:L984 L989:L990 K991:L991 K996:L996 H1003:L1003 K1004:M1004 O1004 H1009:J1009 L1009:M1009 L1011:M1011 O1011 I1111:M1113 L1114:M1115 K1116:M1116 O1116 L1117">
    <cfRule type="expression" dxfId="4629" priority="6641">
      <formula>$H568="ETAPA"</formula>
    </cfRule>
  </conditionalFormatting>
  <conditionalFormatting sqref="K916:M916 K919:L919 M948 M955 M962 M969 M976 M988">
    <cfRule type="expression" dxfId="4628" priority="6640">
      <formula>$H916="SUBETAPA"</formula>
    </cfRule>
  </conditionalFormatting>
  <conditionalFormatting sqref="K1011:M1011">
    <cfRule type="expression" dxfId="4627" priority="6792">
      <formula>$H1011="SUBETAPA"</formula>
    </cfRule>
  </conditionalFormatting>
  <conditionalFormatting sqref="K1020:M1020">
    <cfRule type="expression" dxfId="4626" priority="6637">
      <formula>$H1020="SUBETAPA"</formula>
    </cfRule>
  </conditionalFormatting>
  <conditionalFormatting sqref="K1020:M1021 I1013:M1015 L1016:M1017 K1018:M1018 O1018 L1019">
    <cfRule type="expression" dxfId="4625" priority="6638">
      <formula>$H1013="ETAPA"</formula>
    </cfRule>
  </conditionalFormatting>
  <conditionalFormatting sqref="K1034:M1034">
    <cfRule type="expression" dxfId="4624" priority="6634">
      <formula>$H1034="SUBETAPA"</formula>
    </cfRule>
  </conditionalFormatting>
  <conditionalFormatting sqref="K1034:M1035 I1027:M1029 L1030:M1031 K1032:M1032 O1032 L1033">
    <cfRule type="expression" dxfId="4623" priority="6635">
      <formula>$H1027="ETAPA"</formula>
    </cfRule>
  </conditionalFormatting>
  <conditionalFormatting sqref="K1048:M1048">
    <cfRule type="expression" dxfId="4622" priority="6631">
      <formula>$H1048="SUBETAPA"</formula>
    </cfRule>
  </conditionalFormatting>
  <conditionalFormatting sqref="K1048:M1049 I1041:M1043 L1044:M1045 K1046:M1046 O1046 L1047">
    <cfRule type="expression" dxfId="4621" priority="6632">
      <formula>$H1041="ETAPA"</formula>
    </cfRule>
  </conditionalFormatting>
  <conditionalFormatting sqref="K1062:M1062">
    <cfRule type="expression" dxfId="4620" priority="6628">
      <formula>$H1062="SUBETAPA"</formula>
    </cfRule>
  </conditionalFormatting>
  <conditionalFormatting sqref="K1062:M1063 I1055:M1057 L1058:M1059 K1060:M1060 O1060 L1061">
    <cfRule type="expression" dxfId="4619" priority="6629">
      <formula>$H1055="ETAPA"</formula>
    </cfRule>
  </conditionalFormatting>
  <conditionalFormatting sqref="K1076:M1076">
    <cfRule type="expression" dxfId="4618" priority="6625">
      <formula>$H1076="SUBETAPA"</formula>
    </cfRule>
  </conditionalFormatting>
  <conditionalFormatting sqref="K1076:M1077 I1069:M1071 L1072:L1073 K1074:M1074 O1074 L1075">
    <cfRule type="expression" dxfId="4617" priority="6626">
      <formula>$H1069="ETAPA"</formula>
    </cfRule>
  </conditionalFormatting>
  <conditionalFormatting sqref="K1104:M1104">
    <cfRule type="expression" dxfId="4616" priority="6622">
      <formula>$H1104="SUBETAPA"</formula>
    </cfRule>
  </conditionalFormatting>
  <conditionalFormatting sqref="K1104:M1105 I1097:M1099 L1100:M1101 K1102:M1102 O1102 L1103">
    <cfRule type="expression" dxfId="4615" priority="6623">
      <formula>$H1097="ETAPA"</formula>
    </cfRule>
  </conditionalFormatting>
  <conditionalFormatting sqref="K1118:M1118">
    <cfRule type="expression" dxfId="4614" priority="6621">
      <formula>$H1118="SUBETAPA"</formula>
    </cfRule>
  </conditionalFormatting>
  <conditionalFormatting sqref="K1129:M1129 O1129">
    <cfRule type="expression" dxfId="4613" priority="6620">
      <formula>$H1129="ETAPA"</formula>
    </cfRule>
    <cfRule type="expression" dxfId="4612" priority="6619">
      <formula>$H1129="SUBETAPA"</formula>
    </cfRule>
  </conditionalFormatting>
  <conditionalFormatting sqref="K1132:M1132 O1132">
    <cfRule type="expression" dxfId="4611" priority="6617">
      <formula>$H1132="SUBETAPA"</formula>
    </cfRule>
    <cfRule type="expression" dxfId="4610" priority="6618">
      <formula>$H1132="ETAPA"</formula>
    </cfRule>
  </conditionalFormatting>
  <conditionalFormatting sqref="K1135:M1135 O1135">
    <cfRule type="expression" dxfId="4609" priority="6616">
      <formula>$H1135="ETAPA"</formula>
    </cfRule>
  </conditionalFormatting>
  <conditionalFormatting sqref="K1135:M1135 O1135:O1136">
    <cfRule type="expression" dxfId="4608" priority="6615">
      <formula>$H1135="SUBETAPA"</formula>
    </cfRule>
  </conditionalFormatting>
  <conditionalFormatting sqref="K1138:M1138 O1138">
    <cfRule type="expression" dxfId="4607" priority="6614">
      <formula>$H1138="ETAPA"</formula>
    </cfRule>
  </conditionalFormatting>
  <conditionalFormatting sqref="K1138:M1138 O1138:O1139">
    <cfRule type="expression" dxfId="4606" priority="6613">
      <formula>$H1138="SUBETAPA"</formula>
    </cfRule>
  </conditionalFormatting>
  <conditionalFormatting sqref="K1141:M1141 O1141">
    <cfRule type="expression" dxfId="4605" priority="6612">
      <formula>$H1141="ETAPA"</formula>
    </cfRule>
  </conditionalFormatting>
  <conditionalFormatting sqref="K1141:M1141 O1141:O1142">
    <cfRule type="expression" dxfId="4604" priority="6611">
      <formula>$H1141="SUBETAPA"</formula>
    </cfRule>
  </conditionalFormatting>
  <conditionalFormatting sqref="K1144:M1144 O1144">
    <cfRule type="expression" dxfId="4603" priority="6610">
      <formula>$H1144="ETAPA"</formula>
    </cfRule>
  </conditionalFormatting>
  <conditionalFormatting sqref="K1144:M1144 O1144:O1145">
    <cfRule type="expression" dxfId="4602" priority="6609">
      <formula>$H1144="SUBETAPA"</formula>
    </cfRule>
  </conditionalFormatting>
  <conditionalFormatting sqref="K1149:M1149 O1149 J1152:L1152 H1152:H1155">
    <cfRule type="expression" dxfId="4601" priority="9213">
      <formula>$H1149="ETAPA"</formula>
    </cfRule>
  </conditionalFormatting>
  <conditionalFormatting sqref="K1156:M1156 O1156 J1159:L1159 H1159:H1162">
    <cfRule type="expression" dxfId="4600" priority="9204">
      <formula>$H1156="ETAPA"</formula>
    </cfRule>
  </conditionalFormatting>
  <conditionalFormatting sqref="K1163:M1163 O1163">
    <cfRule type="expression" dxfId="4599" priority="6608">
      <formula>$H1163="ETAPA"</formula>
    </cfRule>
    <cfRule type="expression" dxfId="4598" priority="6607">
      <formula>$H1163="SUBETAPA"</formula>
    </cfRule>
  </conditionalFormatting>
  <conditionalFormatting sqref="K1168:M1168 O1168">
    <cfRule type="expression" dxfId="4597" priority="6606">
      <formula>$H1168="ETAPA"</formula>
    </cfRule>
  </conditionalFormatting>
  <conditionalFormatting sqref="K1168:M1168 O1168:O1169">
    <cfRule type="expression" dxfId="4596" priority="6605">
      <formula>$H1168="SUBETAPA"</formula>
    </cfRule>
  </conditionalFormatting>
  <conditionalFormatting sqref="K1173:M1173 O1173">
    <cfRule type="expression" dxfId="4595" priority="6603">
      <formula>$H1173="SUBETAPA"</formula>
    </cfRule>
    <cfRule type="expression" dxfId="4594" priority="6604">
      <formula>$H1173="ETAPA"</formula>
    </cfRule>
  </conditionalFormatting>
  <conditionalFormatting sqref="K1178:M1178 O1178">
    <cfRule type="expression" dxfId="4593" priority="6602">
      <formula>$H1178="ETAPA"</formula>
    </cfRule>
    <cfRule type="expression" dxfId="4592" priority="6601">
      <formula>$H1178="SUBETAPA"</formula>
    </cfRule>
  </conditionalFormatting>
  <conditionalFormatting sqref="K1181:M1181 O1181">
    <cfRule type="expression" dxfId="4591" priority="6600">
      <formula>$H1181="ETAPA"</formula>
    </cfRule>
    <cfRule type="expression" dxfId="4590" priority="6599">
      <formula>$H1181="SUBETAPA"</formula>
    </cfRule>
  </conditionalFormatting>
  <conditionalFormatting sqref="L22:L23">
    <cfRule type="expression" dxfId="4589" priority="6597">
      <formula>$H22="SUBETAPA"</formula>
    </cfRule>
  </conditionalFormatting>
  <conditionalFormatting sqref="L34:L36 G33:N33">
    <cfRule type="expression" dxfId="4588" priority="6829">
      <formula>$H33="CÉLULA CONSTRUTIVA"</formula>
    </cfRule>
  </conditionalFormatting>
  <conditionalFormatting sqref="L34:L38">
    <cfRule type="expression" dxfId="4587" priority="6591">
      <formula>$H34="ETAPA"</formula>
    </cfRule>
  </conditionalFormatting>
  <conditionalFormatting sqref="L37:L38">
    <cfRule type="expression" dxfId="4586" priority="6592">
      <formula>$H37="SUBETAPA"</formula>
    </cfRule>
  </conditionalFormatting>
  <conditionalFormatting sqref="L44:L45 G41:N41">
    <cfRule type="expression" dxfId="4585" priority="6589">
      <formula>$H41="CÉLULA CONSTRUTIVA"</formula>
    </cfRule>
  </conditionalFormatting>
  <conditionalFormatting sqref="L44:L46">
    <cfRule type="expression" dxfId="4584" priority="6586">
      <formula>$H44="ETAPA"</formula>
    </cfRule>
  </conditionalFormatting>
  <conditionalFormatting sqref="L46 H46:I46">
    <cfRule type="expression" dxfId="4583" priority="6587">
      <formula>$H46="SUBETAPA"</formula>
    </cfRule>
  </conditionalFormatting>
  <conditionalFormatting sqref="L46:L47">
    <cfRule type="expression" dxfId="4582" priority="6584">
      <formula>$H46="CÉLULA CONSTRUTIVA"</formula>
    </cfRule>
  </conditionalFormatting>
  <conditionalFormatting sqref="L47:L48">
    <cfRule type="expression" dxfId="4581" priority="6583">
      <formula>$H47="ETAPA"</formula>
    </cfRule>
  </conditionalFormatting>
  <conditionalFormatting sqref="L65">
    <cfRule type="expression" dxfId="4580" priority="6579">
      <formula>$H65="ETAPA"</formula>
    </cfRule>
    <cfRule type="expression" dxfId="4579" priority="6580">
      <formula>$H65="SUBETAPA"</formula>
    </cfRule>
  </conditionalFormatting>
  <conditionalFormatting sqref="L73">
    <cfRule type="expression" dxfId="4578" priority="6577">
      <formula>$H73="ETAPA"</formula>
    </cfRule>
  </conditionalFormatting>
  <conditionalFormatting sqref="L73:L76">
    <cfRule type="expression" dxfId="4577" priority="6566">
      <formula>$H73="CÉLULA CONSTRUTIVA"</formula>
    </cfRule>
    <cfRule type="expression" dxfId="4576" priority="6567">
      <formula>$H73="SUBETAPA"</formula>
    </cfRule>
  </conditionalFormatting>
  <conditionalFormatting sqref="L74">
    <cfRule type="expression" dxfId="4575" priority="6574">
      <formula>$H74="ETAPA"</formula>
    </cfRule>
  </conditionalFormatting>
  <conditionalFormatting sqref="L75">
    <cfRule type="expression" dxfId="4574" priority="6571">
      <formula>$H75="ETAPA"</formula>
    </cfRule>
  </conditionalFormatting>
  <conditionalFormatting sqref="L76">
    <cfRule type="expression" dxfId="4573" priority="6568">
      <formula>$H76="ETAPA"</formula>
    </cfRule>
  </conditionalFormatting>
  <conditionalFormatting sqref="L80:L92">
    <cfRule type="expression" dxfId="4572" priority="6542">
      <formula>$H80="CÉLULA CONSTRUTIVA"</formula>
    </cfRule>
  </conditionalFormatting>
  <conditionalFormatting sqref="L84:L85">
    <cfRule type="expression" dxfId="4571" priority="6565">
      <formula>$H84="ETAPA"</formula>
    </cfRule>
  </conditionalFormatting>
  <conditionalFormatting sqref="L84:L92">
    <cfRule type="expression" dxfId="4570" priority="6543">
      <formula>$H84="SUBETAPA"</formula>
    </cfRule>
  </conditionalFormatting>
  <conditionalFormatting sqref="L86">
    <cfRule type="expression" dxfId="4569" priority="6562">
      <formula>$H86="ETAPA"</formula>
    </cfRule>
  </conditionalFormatting>
  <conditionalFormatting sqref="L87">
    <cfRule type="expression" dxfId="4568" priority="6559">
      <formula>$H87="ETAPA"</formula>
    </cfRule>
  </conditionalFormatting>
  <conditionalFormatting sqref="L88">
    <cfRule type="expression" dxfId="4567" priority="6556">
      <formula>$H88="ETAPA"</formula>
    </cfRule>
  </conditionalFormatting>
  <conditionalFormatting sqref="L89">
    <cfRule type="expression" dxfId="4566" priority="6553">
      <formula>$H89="ETAPA"</formula>
    </cfRule>
  </conditionalFormatting>
  <conditionalFormatting sqref="L90">
    <cfRule type="expression" dxfId="4565" priority="6550">
      <formula>$H90="ETAPA"</formula>
    </cfRule>
  </conditionalFormatting>
  <conditionalFormatting sqref="L91">
    <cfRule type="expression" dxfId="4564" priority="6547">
      <formula>$H91="ETAPA"</formula>
    </cfRule>
  </conditionalFormatting>
  <conditionalFormatting sqref="L92">
    <cfRule type="expression" dxfId="4563" priority="6544">
      <formula>$H92="ETAPA"</formula>
    </cfRule>
  </conditionalFormatting>
  <conditionalFormatting sqref="L97:L99 N97:N99 G99:K99 M99">
    <cfRule type="expression" dxfId="4562" priority="6541">
      <formula>$H97="SUBETAPA"</formula>
    </cfRule>
  </conditionalFormatting>
  <conditionalFormatting sqref="L104">
    <cfRule type="expression" dxfId="4561" priority="6540">
      <formula>$H104="SUBETAPA"</formula>
    </cfRule>
  </conditionalFormatting>
  <conditionalFormatting sqref="L106">
    <cfRule type="expression" dxfId="4560" priority="6539">
      <formula>$H106="SUBETAPA"</formula>
    </cfRule>
  </conditionalFormatting>
  <conditionalFormatting sqref="L108">
    <cfRule type="expression" dxfId="4559" priority="6538">
      <formula>$H108="SUBETAPA"</formula>
    </cfRule>
  </conditionalFormatting>
  <conditionalFormatting sqref="L110">
    <cfRule type="expression" dxfId="4558" priority="6537">
      <formula>$H110="SUBETAPA"</formula>
    </cfRule>
  </conditionalFormatting>
  <conditionalFormatting sqref="L112">
    <cfRule type="expression" dxfId="4557" priority="6536">
      <formula>$H112="SUBETAPA"</formula>
    </cfRule>
  </conditionalFormatting>
  <conditionalFormatting sqref="L114">
    <cfRule type="expression" dxfId="4556" priority="6535">
      <formula>$H114="SUBETAPA"</formula>
    </cfRule>
  </conditionalFormatting>
  <conditionalFormatting sqref="L116">
    <cfRule type="expression" dxfId="4555" priority="6534">
      <formula>$H116="SUBETAPA"</formula>
    </cfRule>
  </conditionalFormatting>
  <conditionalFormatting sqref="L118">
    <cfRule type="expression" dxfId="4554" priority="6533">
      <formula>$H118="SUBETAPA"</formula>
    </cfRule>
  </conditionalFormatting>
  <conditionalFormatting sqref="L120">
    <cfRule type="expression" dxfId="4553" priority="6532">
      <formula>$H120="SUBETAPA"</formula>
    </cfRule>
  </conditionalFormatting>
  <conditionalFormatting sqref="L122:L123">
    <cfRule type="expression" dxfId="4552" priority="6530">
      <formula>$H122="SUBETAPA"</formula>
    </cfRule>
  </conditionalFormatting>
  <conditionalFormatting sqref="L123">
    <cfRule type="expression" dxfId="4551" priority="6529">
      <formula>$H123="CÉLULA CONSTRUTIVA"</formula>
    </cfRule>
  </conditionalFormatting>
  <conditionalFormatting sqref="L125:L126">
    <cfRule type="expression" dxfId="4550" priority="6527">
      <formula>$H125="SUBETAPA"</formula>
    </cfRule>
  </conditionalFormatting>
  <conditionalFormatting sqref="L126">
    <cfRule type="expression" dxfId="4549" priority="6526">
      <formula>$H126="CÉLULA CONSTRUTIVA"</formula>
    </cfRule>
  </conditionalFormatting>
  <conditionalFormatting sqref="L128:L129">
    <cfRule type="expression" dxfId="4548" priority="6524">
      <formula>$H128="SUBETAPA"</formula>
    </cfRule>
  </conditionalFormatting>
  <conditionalFormatting sqref="L129">
    <cfRule type="expression" dxfId="4547" priority="6523">
      <formula>$H129="CÉLULA CONSTRUTIVA"</formula>
    </cfRule>
  </conditionalFormatting>
  <conditionalFormatting sqref="L131">
    <cfRule type="expression" dxfId="4546" priority="6522">
      <formula>$H131="SUBETAPA"</formula>
    </cfRule>
  </conditionalFormatting>
  <conditionalFormatting sqref="L133:L134">
    <cfRule type="expression" dxfId="4545" priority="6520">
      <formula>$H133="SUBETAPA"</formula>
    </cfRule>
  </conditionalFormatting>
  <conditionalFormatting sqref="L134">
    <cfRule type="expression" dxfId="4544" priority="6519">
      <formula>$H134="CÉLULA CONSTRUTIVA"</formula>
    </cfRule>
  </conditionalFormatting>
  <conditionalFormatting sqref="L136:L137">
    <cfRule type="expression" dxfId="4543" priority="6517">
      <formula>$H136="SUBETAPA"</formula>
    </cfRule>
  </conditionalFormatting>
  <conditionalFormatting sqref="L137">
    <cfRule type="expression" dxfId="4542" priority="6516">
      <formula>$H137="CÉLULA CONSTRUTIVA"</formula>
    </cfRule>
  </conditionalFormatting>
  <conditionalFormatting sqref="L142">
    <cfRule type="expression" dxfId="4541" priority="6515">
      <formula>$H142="ETAPA"</formula>
    </cfRule>
  </conditionalFormatting>
  <conditionalFormatting sqref="L142:L147">
    <cfRule type="expression" dxfId="4540" priority="6499">
      <formula>$H142="SUBETAPA"</formula>
    </cfRule>
    <cfRule type="expression" dxfId="4539" priority="6498">
      <formula>$H142="CÉLULA CONSTRUTIVA"</formula>
    </cfRule>
  </conditionalFormatting>
  <conditionalFormatting sqref="L143">
    <cfRule type="expression" dxfId="4538" priority="6512">
      <formula>$H143="ETAPA"</formula>
    </cfRule>
  </conditionalFormatting>
  <conditionalFormatting sqref="L144">
    <cfRule type="expression" dxfId="4537" priority="6509">
      <formula>$H144="ETAPA"</formula>
    </cfRule>
  </conditionalFormatting>
  <conditionalFormatting sqref="L145">
    <cfRule type="expression" dxfId="4536" priority="6506">
      <formula>$H145="ETAPA"</formula>
    </cfRule>
  </conditionalFormatting>
  <conditionalFormatting sqref="L146">
    <cfRule type="expression" dxfId="4535" priority="6503">
      <formula>$H146="ETAPA"</formula>
    </cfRule>
  </conditionalFormatting>
  <conditionalFormatting sqref="L147">
    <cfRule type="expression" dxfId="4534" priority="6500">
      <formula>$H147="ETAPA"</formula>
    </cfRule>
  </conditionalFormatting>
  <conditionalFormatting sqref="L148:L157">
    <cfRule type="expression" dxfId="4533" priority="6474">
      <formula>$H148="SUBETAPA"</formula>
    </cfRule>
  </conditionalFormatting>
  <conditionalFormatting sqref="L149:L150">
    <cfRule type="expression" dxfId="4532" priority="6496">
      <formula>$H149="ETAPA"</formula>
    </cfRule>
  </conditionalFormatting>
  <conditionalFormatting sqref="L151">
    <cfRule type="expression" dxfId="4531" priority="6493">
      <formula>$H151="ETAPA"</formula>
    </cfRule>
  </conditionalFormatting>
  <conditionalFormatting sqref="L152">
    <cfRule type="expression" dxfId="4530" priority="6490">
      <formula>$H152="ETAPA"</formula>
    </cfRule>
  </conditionalFormatting>
  <conditionalFormatting sqref="L153">
    <cfRule type="expression" dxfId="4529" priority="6487">
      <formula>$H153="ETAPA"</formula>
    </cfRule>
  </conditionalFormatting>
  <conditionalFormatting sqref="L154">
    <cfRule type="expression" dxfId="4528" priority="6484">
      <formula>$H154="ETAPA"</formula>
    </cfRule>
  </conditionalFormatting>
  <conditionalFormatting sqref="L155">
    <cfRule type="expression" dxfId="4527" priority="6481">
      <formula>$H155="ETAPA"</formula>
    </cfRule>
  </conditionalFormatting>
  <conditionalFormatting sqref="L156">
    <cfRule type="expression" dxfId="4526" priority="6478">
      <formula>$H156="ETAPA"</formula>
    </cfRule>
  </conditionalFormatting>
  <conditionalFormatting sqref="L157">
    <cfRule type="expression" dxfId="4525" priority="6475">
      <formula>$H157="ETAPA"</formula>
    </cfRule>
  </conditionalFormatting>
  <conditionalFormatting sqref="L158:L167">
    <cfRule type="expression" dxfId="4524" priority="6449">
      <formula>$H158="SUBETAPA"</formula>
    </cfRule>
  </conditionalFormatting>
  <conditionalFormatting sqref="L159:L160">
    <cfRule type="expression" dxfId="4523" priority="6471">
      <formula>$H159="ETAPA"</formula>
    </cfRule>
  </conditionalFormatting>
  <conditionalFormatting sqref="L161">
    <cfRule type="expression" dxfId="4522" priority="6468">
      <formula>$H161="ETAPA"</formula>
    </cfRule>
  </conditionalFormatting>
  <conditionalFormatting sqref="L162">
    <cfRule type="expression" dxfId="4521" priority="6465">
      <formula>$H162="ETAPA"</formula>
    </cfRule>
  </conditionalFormatting>
  <conditionalFormatting sqref="L163">
    <cfRule type="expression" dxfId="4520" priority="6462">
      <formula>$H163="ETAPA"</formula>
    </cfRule>
  </conditionalFormatting>
  <conditionalFormatting sqref="L164">
    <cfRule type="expression" dxfId="4519" priority="6459">
      <formula>$H164="ETAPA"</formula>
    </cfRule>
  </conditionalFormatting>
  <conditionalFormatting sqref="L165">
    <cfRule type="expression" dxfId="4518" priority="6456">
      <formula>$H165="ETAPA"</formula>
    </cfRule>
  </conditionalFormatting>
  <conditionalFormatting sqref="L166">
    <cfRule type="expression" dxfId="4517" priority="6453">
      <formula>$H166="ETAPA"</formula>
    </cfRule>
  </conditionalFormatting>
  <conditionalFormatting sqref="L167">
    <cfRule type="expression" dxfId="4516" priority="6450">
      <formula>$H167="ETAPA"</formula>
    </cfRule>
  </conditionalFormatting>
  <conditionalFormatting sqref="L168:L176">
    <cfRule type="expression" dxfId="4515" priority="6427">
      <formula>$H168="SUBETAPA"</formula>
    </cfRule>
  </conditionalFormatting>
  <conditionalFormatting sqref="L169:L170">
    <cfRule type="expression" dxfId="4514" priority="6446">
      <formula>$H169="ETAPA"</formula>
    </cfRule>
  </conditionalFormatting>
  <conditionalFormatting sqref="L171">
    <cfRule type="expression" dxfId="4513" priority="6443">
      <formula>$H171="ETAPA"</formula>
    </cfRule>
  </conditionalFormatting>
  <conditionalFormatting sqref="L172">
    <cfRule type="expression" dxfId="4512" priority="6440">
      <formula>$H172="ETAPA"</formula>
    </cfRule>
  </conditionalFormatting>
  <conditionalFormatting sqref="L173">
    <cfRule type="expression" dxfId="4511" priority="6437">
      <formula>$H173="ETAPA"</formula>
    </cfRule>
  </conditionalFormatting>
  <conditionalFormatting sqref="L174">
    <cfRule type="expression" dxfId="4510" priority="6434">
      <formula>$H174="ETAPA"</formula>
    </cfRule>
  </conditionalFormatting>
  <conditionalFormatting sqref="L175">
    <cfRule type="expression" dxfId="4509" priority="6431">
      <formula>$H175="ETAPA"</formula>
    </cfRule>
  </conditionalFormatting>
  <conditionalFormatting sqref="L176">
    <cfRule type="expression" dxfId="4508" priority="6428">
      <formula>$H176="ETAPA"</formula>
    </cfRule>
  </conditionalFormatting>
  <conditionalFormatting sqref="L177:L178">
    <cfRule type="expression" dxfId="4507" priority="6423">
      <formula>$H177="SUBETAPA"</formula>
    </cfRule>
  </conditionalFormatting>
  <conditionalFormatting sqref="L180">
    <cfRule type="expression" dxfId="4506" priority="6421">
      <formula>$H180="ETAPA"</formula>
    </cfRule>
  </conditionalFormatting>
  <conditionalFormatting sqref="L180:L185">
    <cfRule type="expression" dxfId="4505" priority="6404">
      <formula>$H180="CÉLULA CONSTRUTIVA"</formula>
    </cfRule>
    <cfRule type="expression" dxfId="4504" priority="6405">
      <formula>$H180="SUBETAPA"</formula>
    </cfRule>
  </conditionalFormatting>
  <conditionalFormatting sqref="L181">
    <cfRule type="expression" dxfId="4503" priority="6418">
      <formula>$H181="ETAPA"</formula>
    </cfRule>
  </conditionalFormatting>
  <conditionalFormatting sqref="L182">
    <cfRule type="expression" dxfId="4502" priority="6415">
      <formula>$H182="ETAPA"</formula>
    </cfRule>
  </conditionalFormatting>
  <conditionalFormatting sqref="L183">
    <cfRule type="expression" dxfId="4501" priority="6412">
      <formula>$H183="ETAPA"</formula>
    </cfRule>
  </conditionalFormatting>
  <conditionalFormatting sqref="L184">
    <cfRule type="expression" dxfId="4500" priority="6409">
      <formula>$H184="ETAPA"</formula>
    </cfRule>
  </conditionalFormatting>
  <conditionalFormatting sqref="L185">
    <cfRule type="expression" dxfId="4499" priority="6406">
      <formula>$H185="ETAPA"</formula>
    </cfRule>
  </conditionalFormatting>
  <conditionalFormatting sqref="L186:L187">
    <cfRule type="expression" dxfId="4498" priority="6401">
      <formula>$H186="SUBETAPA"</formula>
    </cfRule>
  </conditionalFormatting>
  <conditionalFormatting sqref="L189">
    <cfRule type="expression" dxfId="4497" priority="6399">
      <formula>$H189="ETAPA"</formula>
    </cfRule>
  </conditionalFormatting>
  <conditionalFormatting sqref="L189:L194">
    <cfRule type="expression" dxfId="4496" priority="6382">
      <formula>$H189="CÉLULA CONSTRUTIVA"</formula>
    </cfRule>
    <cfRule type="expression" dxfId="4495" priority="6383">
      <formula>$H189="SUBETAPA"</formula>
    </cfRule>
  </conditionalFormatting>
  <conditionalFormatting sqref="L190">
    <cfRule type="expression" dxfId="4494" priority="6396">
      <formula>$H190="ETAPA"</formula>
    </cfRule>
  </conditionalFormatting>
  <conditionalFormatting sqref="L191">
    <cfRule type="expression" dxfId="4493" priority="6393">
      <formula>$H191="ETAPA"</formula>
    </cfRule>
  </conditionalFormatting>
  <conditionalFormatting sqref="L192">
    <cfRule type="expression" dxfId="4492" priority="6390">
      <formula>$H192="ETAPA"</formula>
    </cfRule>
  </conditionalFormatting>
  <conditionalFormatting sqref="L193">
    <cfRule type="expression" dxfId="4491" priority="6387">
      <formula>$H193="ETAPA"</formula>
    </cfRule>
  </conditionalFormatting>
  <conditionalFormatting sqref="L194">
    <cfRule type="expression" dxfId="4490" priority="6384">
      <formula>$H194="ETAPA"</formula>
    </cfRule>
  </conditionalFormatting>
  <conditionalFormatting sqref="L195:L196">
    <cfRule type="expression" dxfId="4489" priority="6379">
      <formula>$H195="SUBETAPA"</formula>
    </cfRule>
  </conditionalFormatting>
  <conditionalFormatting sqref="L198">
    <cfRule type="expression" dxfId="4488" priority="6377">
      <formula>$H198="ETAPA"</formula>
    </cfRule>
  </conditionalFormatting>
  <conditionalFormatting sqref="L198:L203">
    <cfRule type="expression" dxfId="4487" priority="6360">
      <formula>$H198="CÉLULA CONSTRUTIVA"</formula>
    </cfRule>
    <cfRule type="expression" dxfId="4486" priority="6361">
      <formula>$H198="SUBETAPA"</formula>
    </cfRule>
  </conditionalFormatting>
  <conditionalFormatting sqref="L199">
    <cfRule type="expression" dxfId="4485" priority="6374">
      <formula>$H199="ETAPA"</formula>
    </cfRule>
  </conditionalFormatting>
  <conditionalFormatting sqref="L200">
    <cfRule type="expression" dxfId="4484" priority="6371">
      <formula>$H200="ETAPA"</formula>
    </cfRule>
  </conditionalFormatting>
  <conditionalFormatting sqref="L201">
    <cfRule type="expression" dxfId="4483" priority="6368">
      <formula>$H201="ETAPA"</formula>
    </cfRule>
  </conditionalFormatting>
  <conditionalFormatting sqref="L202">
    <cfRule type="expression" dxfId="4482" priority="6365">
      <formula>$H202="ETAPA"</formula>
    </cfRule>
  </conditionalFormatting>
  <conditionalFormatting sqref="L203">
    <cfRule type="expression" dxfId="4481" priority="6362">
      <formula>$H203="ETAPA"</formula>
    </cfRule>
  </conditionalFormatting>
  <conditionalFormatting sqref="L204 G206:J209">
    <cfRule type="expression" dxfId="4480" priority="9713">
      <formula>$H204="SUBETAPA"</formula>
    </cfRule>
  </conditionalFormatting>
  <conditionalFormatting sqref="L205:L212">
    <cfRule type="expression" dxfId="4479" priority="6340">
      <formula>$H205="SUBETAPA"</formula>
    </cfRule>
    <cfRule type="expression" dxfId="4478" priority="6339">
      <formula>$H205="CÉLULA CONSTRUTIVA"</formula>
    </cfRule>
  </conditionalFormatting>
  <conditionalFormatting sqref="L207">
    <cfRule type="expression" dxfId="4477" priority="6356">
      <formula>$H207="ETAPA"</formula>
    </cfRule>
  </conditionalFormatting>
  <conditionalFormatting sqref="L208">
    <cfRule type="expression" dxfId="4476" priority="6353">
      <formula>$H208="ETAPA"</formula>
    </cfRule>
  </conditionalFormatting>
  <conditionalFormatting sqref="L209">
    <cfRule type="expression" dxfId="4475" priority="6350">
      <formula>$H209="ETAPA"</formula>
    </cfRule>
  </conditionalFormatting>
  <conditionalFormatting sqref="L210">
    <cfRule type="expression" dxfId="4474" priority="6347">
      <formula>$H210="ETAPA"</formula>
    </cfRule>
  </conditionalFormatting>
  <conditionalFormatting sqref="L211">
    <cfRule type="expression" dxfId="4473" priority="6344">
      <formula>$H211="ETAPA"</formula>
    </cfRule>
  </conditionalFormatting>
  <conditionalFormatting sqref="L212">
    <cfRule type="expression" dxfId="4472" priority="6341">
      <formula>$H212="ETAPA"</formula>
    </cfRule>
  </conditionalFormatting>
  <conditionalFormatting sqref="L213:L214">
    <cfRule type="expression" dxfId="4471" priority="6336">
      <formula>$H213="SUBETAPA"</formula>
    </cfRule>
  </conditionalFormatting>
  <conditionalFormatting sqref="L216">
    <cfRule type="expression" dxfId="4470" priority="6334">
      <formula>$H216="ETAPA"</formula>
    </cfRule>
  </conditionalFormatting>
  <conditionalFormatting sqref="L216:L221">
    <cfRule type="expression" dxfId="4469" priority="6318">
      <formula>$H216="SUBETAPA"</formula>
    </cfRule>
    <cfRule type="expression" dxfId="4468" priority="6317">
      <formula>$H216="CÉLULA CONSTRUTIVA"</formula>
    </cfRule>
  </conditionalFormatting>
  <conditionalFormatting sqref="L217">
    <cfRule type="expression" dxfId="4467" priority="6331">
      <formula>$H217="ETAPA"</formula>
    </cfRule>
  </conditionalFormatting>
  <conditionalFormatting sqref="L218">
    <cfRule type="expression" dxfId="4466" priority="6328">
      <formula>$H218="ETAPA"</formula>
    </cfRule>
  </conditionalFormatting>
  <conditionalFormatting sqref="L219">
    <cfRule type="expression" dxfId="4465" priority="6325">
      <formula>$H219="ETAPA"</formula>
    </cfRule>
  </conditionalFormatting>
  <conditionalFormatting sqref="L220">
    <cfRule type="expression" dxfId="4464" priority="6322">
      <formula>$H220="ETAPA"</formula>
    </cfRule>
  </conditionalFormatting>
  <conditionalFormatting sqref="L221">
    <cfRule type="expression" dxfId="4463" priority="6319">
      <formula>$H221="ETAPA"</formula>
    </cfRule>
  </conditionalFormatting>
  <conditionalFormatting sqref="L222:L224">
    <cfRule type="expression" dxfId="4462" priority="6314">
      <formula>$H222="SUBETAPA"</formula>
    </cfRule>
  </conditionalFormatting>
  <conditionalFormatting sqref="L223:L224">
    <cfRule type="expression" dxfId="4461" priority="6315">
      <formula>$H223="ETAPA"</formula>
    </cfRule>
  </conditionalFormatting>
  <conditionalFormatting sqref="L225">
    <cfRule type="expression" dxfId="4460" priority="6312">
      <formula>$H225="ETAPA"</formula>
    </cfRule>
    <cfRule type="expression" dxfId="4459" priority="6311">
      <formula>$H225="SUBETAPA"</formula>
    </cfRule>
  </conditionalFormatting>
  <conditionalFormatting sqref="L226">
    <cfRule type="expression" dxfId="4458" priority="6308">
      <formula>$H226="SUBETAPA"</formula>
    </cfRule>
    <cfRule type="expression" dxfId="4457" priority="6309">
      <formula>$H226="ETAPA"</formula>
    </cfRule>
  </conditionalFormatting>
  <conditionalFormatting sqref="L227">
    <cfRule type="expression" dxfId="4456" priority="6305">
      <formula>$H227="SUBETAPA"</formula>
    </cfRule>
    <cfRule type="expression" dxfId="4455" priority="6306">
      <formula>$H227="ETAPA"</formula>
    </cfRule>
  </conditionalFormatting>
  <conditionalFormatting sqref="L228">
    <cfRule type="expression" dxfId="4454" priority="6303">
      <formula>$H228="ETAPA"</formula>
    </cfRule>
    <cfRule type="expression" dxfId="4453" priority="6302">
      <formula>$H228="SUBETAPA"</formula>
    </cfRule>
  </conditionalFormatting>
  <conditionalFormatting sqref="L229">
    <cfRule type="expression" dxfId="4452" priority="6299">
      <formula>$H229="SUBETAPA"</formula>
    </cfRule>
    <cfRule type="expression" dxfId="4451" priority="6300">
      <formula>$H229="ETAPA"</formula>
    </cfRule>
  </conditionalFormatting>
  <conditionalFormatting sqref="L230">
    <cfRule type="expression" dxfId="4450" priority="6296">
      <formula>$H230="SUBETAPA"</formula>
    </cfRule>
    <cfRule type="expression" dxfId="4449" priority="6297">
      <formula>$H230="ETAPA"</formula>
    </cfRule>
  </conditionalFormatting>
  <conditionalFormatting sqref="L231:L239">
    <cfRule type="expression" dxfId="4448" priority="6292">
      <formula>$H231="SUBETAPA"</formula>
    </cfRule>
  </conditionalFormatting>
  <conditionalFormatting sqref="L232:L239">
    <cfRule type="expression" dxfId="4447" priority="6293">
      <formula>$H232="ETAPA"</formula>
    </cfRule>
  </conditionalFormatting>
  <conditionalFormatting sqref="L240:L248">
    <cfRule type="expression" dxfId="4446" priority="6288">
      <formula>$H240="SUBETAPA"</formula>
    </cfRule>
  </conditionalFormatting>
  <conditionalFormatting sqref="L241:L248">
    <cfRule type="expression" dxfId="4445" priority="6289">
      <formula>$H241="ETAPA"</formula>
    </cfRule>
  </conditionalFormatting>
  <conditionalFormatting sqref="L249:L251">
    <cfRule type="expression" dxfId="4444" priority="6284">
      <formula>$H249="SUBETAPA"</formula>
    </cfRule>
  </conditionalFormatting>
  <conditionalFormatting sqref="L250:L251">
    <cfRule type="expression" dxfId="4443" priority="6285">
      <formula>$H250="ETAPA"</formula>
    </cfRule>
  </conditionalFormatting>
  <conditionalFormatting sqref="L252">
    <cfRule type="expression" dxfId="4442" priority="6281">
      <formula>$H252="SUBETAPA"</formula>
    </cfRule>
    <cfRule type="expression" dxfId="4441" priority="6282">
      <formula>$H252="ETAPA"</formula>
    </cfRule>
  </conditionalFormatting>
  <conditionalFormatting sqref="L253">
    <cfRule type="expression" dxfId="4440" priority="6278">
      <formula>$H253="SUBETAPA"</formula>
    </cfRule>
    <cfRule type="expression" dxfId="4439" priority="6279">
      <formula>$H253="ETAPA"</formula>
    </cfRule>
  </conditionalFormatting>
  <conditionalFormatting sqref="L254">
    <cfRule type="expression" dxfId="4438" priority="6275">
      <formula>$H254="SUBETAPA"</formula>
    </cfRule>
    <cfRule type="expression" dxfId="4437" priority="6276">
      <formula>$H254="ETAPA"</formula>
    </cfRule>
  </conditionalFormatting>
  <conditionalFormatting sqref="L255">
    <cfRule type="expression" dxfId="4436" priority="6273">
      <formula>$H255="ETAPA"</formula>
    </cfRule>
    <cfRule type="expression" dxfId="4435" priority="6272">
      <formula>$H255="SUBETAPA"</formula>
    </cfRule>
  </conditionalFormatting>
  <conditionalFormatting sqref="L256">
    <cfRule type="expression" dxfId="4434" priority="6269">
      <formula>$H256="SUBETAPA"</formula>
    </cfRule>
    <cfRule type="expression" dxfId="4433" priority="6270">
      <formula>$H256="ETAPA"</formula>
    </cfRule>
  </conditionalFormatting>
  <conditionalFormatting sqref="L257">
    <cfRule type="expression" dxfId="4432" priority="6267">
      <formula>$H257="ETAPA"</formula>
    </cfRule>
    <cfRule type="expression" dxfId="4431" priority="6266">
      <formula>$H257="SUBETAPA"</formula>
    </cfRule>
  </conditionalFormatting>
  <conditionalFormatting sqref="L258:L260">
    <cfRule type="expression" dxfId="4430" priority="6262">
      <formula>$H258="SUBETAPA"</formula>
    </cfRule>
  </conditionalFormatting>
  <conditionalFormatting sqref="L259:L260">
    <cfRule type="expression" dxfId="4429" priority="6263">
      <formula>$H259="ETAPA"</formula>
    </cfRule>
  </conditionalFormatting>
  <conditionalFormatting sqref="L261">
    <cfRule type="expression" dxfId="4428" priority="6260">
      <formula>$H261="ETAPA"</formula>
    </cfRule>
    <cfRule type="expression" dxfId="4427" priority="6259">
      <formula>$H261="SUBETAPA"</formula>
    </cfRule>
  </conditionalFormatting>
  <conditionalFormatting sqref="L262">
    <cfRule type="expression" dxfId="4426" priority="6257">
      <formula>$H262="ETAPA"</formula>
    </cfRule>
    <cfRule type="expression" dxfId="4425" priority="6256">
      <formula>$H262="SUBETAPA"</formula>
    </cfRule>
  </conditionalFormatting>
  <conditionalFormatting sqref="L263">
    <cfRule type="expression" dxfId="4424" priority="6254">
      <formula>$H263="ETAPA"</formula>
    </cfRule>
    <cfRule type="expression" dxfId="4423" priority="6253">
      <formula>$H263="SUBETAPA"</formula>
    </cfRule>
  </conditionalFormatting>
  <conditionalFormatting sqref="L264">
    <cfRule type="expression" dxfId="4422" priority="6250">
      <formula>$H264="SUBETAPA"</formula>
    </cfRule>
    <cfRule type="expression" dxfId="4421" priority="6251">
      <formula>$H264="ETAPA"</formula>
    </cfRule>
  </conditionalFormatting>
  <conditionalFormatting sqref="L265">
    <cfRule type="expression" dxfId="4420" priority="6247">
      <formula>$H265="SUBETAPA"</formula>
    </cfRule>
    <cfRule type="expression" dxfId="4419" priority="6248">
      <formula>$H265="ETAPA"</formula>
    </cfRule>
  </conditionalFormatting>
  <conditionalFormatting sqref="L266">
    <cfRule type="expression" dxfId="4418" priority="6244">
      <formula>$H266="SUBETAPA"</formula>
    </cfRule>
    <cfRule type="expression" dxfId="4417" priority="6245">
      <formula>$H266="ETAPA"</formula>
    </cfRule>
  </conditionalFormatting>
  <conditionalFormatting sqref="L267:L269">
    <cfRule type="expression" dxfId="4416" priority="6240">
      <formula>$H267="SUBETAPA"</formula>
    </cfRule>
  </conditionalFormatting>
  <conditionalFormatting sqref="L268:L269">
    <cfRule type="expression" dxfId="4415" priority="6241">
      <formula>$H268="ETAPA"</formula>
    </cfRule>
  </conditionalFormatting>
  <conditionalFormatting sqref="L268:L273">
    <cfRule type="expression" dxfId="4414" priority="6227">
      <formula>$H268="CÉLULA CONSTRUTIVA"</formula>
    </cfRule>
  </conditionalFormatting>
  <conditionalFormatting sqref="L270">
    <cfRule type="expression" dxfId="4413" priority="6238">
      <formula>$H270="ETAPA"</formula>
    </cfRule>
    <cfRule type="expression" dxfId="4412" priority="6237">
      <formula>$H270="SUBETAPA"</formula>
    </cfRule>
  </conditionalFormatting>
  <conditionalFormatting sqref="L271">
    <cfRule type="expression" dxfId="4411" priority="6235">
      <formula>$H271="ETAPA"</formula>
    </cfRule>
    <cfRule type="expression" dxfId="4410" priority="6234">
      <formula>$H271="SUBETAPA"</formula>
    </cfRule>
  </conditionalFormatting>
  <conditionalFormatting sqref="L272">
    <cfRule type="expression" dxfId="4409" priority="6232">
      <formula>$H272="ETAPA"</formula>
    </cfRule>
    <cfRule type="expression" dxfId="4408" priority="6231">
      <formula>$H272="SUBETAPA"</formula>
    </cfRule>
  </conditionalFormatting>
  <conditionalFormatting sqref="L273">
    <cfRule type="expression" dxfId="4407" priority="6229">
      <formula>$H273="ETAPA"</formula>
    </cfRule>
    <cfRule type="expression" dxfId="4406" priority="6228">
      <formula>$H273="SUBETAPA"</formula>
    </cfRule>
  </conditionalFormatting>
  <conditionalFormatting sqref="L274:L276">
    <cfRule type="expression" dxfId="4405" priority="6224">
      <formula>$H274="SUBETAPA"</formula>
    </cfRule>
  </conditionalFormatting>
  <conditionalFormatting sqref="L275:L276">
    <cfRule type="expression" dxfId="4404" priority="6225">
      <formula>$H275="ETAPA"</formula>
    </cfRule>
  </conditionalFormatting>
  <conditionalFormatting sqref="L275:L279">
    <cfRule type="expression" dxfId="4403" priority="6214">
      <formula>$H275="CÉLULA CONSTRUTIVA"</formula>
    </cfRule>
  </conditionalFormatting>
  <conditionalFormatting sqref="L277">
    <cfRule type="expression" dxfId="4402" priority="6222">
      <formula>$H277="ETAPA"</formula>
    </cfRule>
    <cfRule type="expression" dxfId="4401" priority="6221">
      <formula>$H277="SUBETAPA"</formula>
    </cfRule>
  </conditionalFormatting>
  <conditionalFormatting sqref="L278">
    <cfRule type="expression" dxfId="4400" priority="6218">
      <formula>$H278="SUBETAPA"</formula>
    </cfRule>
    <cfRule type="expression" dxfId="4399" priority="6219">
      <formula>$H278="ETAPA"</formula>
    </cfRule>
  </conditionalFormatting>
  <conditionalFormatting sqref="L279">
    <cfRule type="expression" dxfId="4398" priority="6216">
      <formula>$H279="ETAPA"</formula>
    </cfRule>
    <cfRule type="expression" dxfId="4397" priority="6215">
      <formula>$H279="SUBETAPA"</formula>
    </cfRule>
  </conditionalFormatting>
  <conditionalFormatting sqref="L282">
    <cfRule type="expression" dxfId="4396" priority="6213">
      <formula>$H282="ETAPA"</formula>
    </cfRule>
    <cfRule type="expression" dxfId="4395" priority="6212">
      <formula>$H282="SUBETAPA"</formula>
    </cfRule>
  </conditionalFormatting>
  <conditionalFormatting sqref="L284">
    <cfRule type="expression" dxfId="4394" priority="6210">
      <formula>$H284="ETAPA"</formula>
    </cfRule>
    <cfRule type="expression" dxfId="4393" priority="6209">
      <formula>$H284="SUBETAPA"</formula>
    </cfRule>
  </conditionalFormatting>
  <conditionalFormatting sqref="L286">
    <cfRule type="expression" dxfId="4392" priority="6207">
      <formula>$H286="ETAPA"</formula>
    </cfRule>
    <cfRule type="expression" dxfId="4391" priority="6206">
      <formula>$H286="SUBETAPA"</formula>
    </cfRule>
  </conditionalFormatting>
  <conditionalFormatting sqref="L288">
    <cfRule type="expression" dxfId="4390" priority="6204">
      <formula>$H288="ETAPA"</formula>
    </cfRule>
    <cfRule type="expression" dxfId="4389" priority="6203">
      <formula>$H288="SUBETAPA"</formula>
    </cfRule>
  </conditionalFormatting>
  <conditionalFormatting sqref="L290">
    <cfRule type="expression" dxfId="4388" priority="6201">
      <formula>$H290="ETAPA"</formula>
    </cfRule>
    <cfRule type="expression" dxfId="4387" priority="6200">
      <formula>$H290="SUBETAPA"</formula>
    </cfRule>
  </conditionalFormatting>
  <conditionalFormatting sqref="L292">
    <cfRule type="expression" dxfId="4386" priority="6198">
      <formula>$H292="ETAPA"</formula>
    </cfRule>
    <cfRule type="expression" dxfId="4385" priority="6197">
      <formula>$H292="SUBETAPA"</formula>
    </cfRule>
  </conditionalFormatting>
  <conditionalFormatting sqref="L294">
    <cfRule type="expression" dxfId="4384" priority="6195">
      <formula>$H294="ETAPA"</formula>
    </cfRule>
    <cfRule type="expression" dxfId="4383" priority="6194">
      <formula>$H294="SUBETAPA"</formula>
    </cfRule>
  </conditionalFormatting>
  <conditionalFormatting sqref="L296">
    <cfRule type="expression" dxfId="4382" priority="6192">
      <formula>$H296="ETAPA"</formula>
    </cfRule>
    <cfRule type="expression" dxfId="4381" priority="6191">
      <formula>$H296="SUBETAPA"</formula>
    </cfRule>
  </conditionalFormatting>
  <conditionalFormatting sqref="L298">
    <cfRule type="expression" dxfId="4380" priority="6188">
      <formula>$H298="SUBETAPA"</formula>
    </cfRule>
    <cfRule type="expression" dxfId="4379" priority="6189">
      <formula>$H298="ETAPA"</formula>
    </cfRule>
  </conditionalFormatting>
  <conditionalFormatting sqref="L300">
    <cfRule type="expression" dxfId="4378" priority="6186">
      <formula>$H300="ETAPA"</formula>
    </cfRule>
    <cfRule type="expression" dxfId="4377" priority="6185">
      <formula>$H300="SUBETAPA"</formula>
    </cfRule>
  </conditionalFormatting>
  <conditionalFormatting sqref="L302">
    <cfRule type="expression" dxfId="4376" priority="6182">
      <formula>$H302="SUBETAPA"</formula>
    </cfRule>
    <cfRule type="expression" dxfId="4375" priority="6183">
      <formula>$H302="ETAPA"</formula>
    </cfRule>
  </conditionalFormatting>
  <conditionalFormatting sqref="L304">
    <cfRule type="expression" dxfId="4374" priority="6179">
      <formula>$H304="SUBETAPA"</formula>
    </cfRule>
    <cfRule type="expression" dxfId="4373" priority="6180">
      <formula>$H304="ETAPA"</formula>
    </cfRule>
  </conditionalFormatting>
  <conditionalFormatting sqref="L306">
    <cfRule type="expression" dxfId="4372" priority="6177">
      <formula>$H306="ETAPA"</formula>
    </cfRule>
    <cfRule type="expression" dxfId="4371" priority="6176">
      <formula>$H306="SUBETAPA"</formula>
    </cfRule>
  </conditionalFormatting>
  <conditionalFormatting sqref="L308">
    <cfRule type="expression" dxfId="4370" priority="6174">
      <formula>$H308="ETAPA"</formula>
    </cfRule>
    <cfRule type="expression" dxfId="4369" priority="6173">
      <formula>$H308="SUBETAPA"</formula>
    </cfRule>
  </conditionalFormatting>
  <conditionalFormatting sqref="L310">
    <cfRule type="expression" dxfId="4368" priority="6171">
      <formula>$H310="ETAPA"</formula>
    </cfRule>
    <cfRule type="expression" dxfId="4367" priority="6170">
      <formula>$H310="SUBETAPA"</formula>
    </cfRule>
  </conditionalFormatting>
  <conditionalFormatting sqref="L312">
    <cfRule type="expression" dxfId="4366" priority="6168">
      <formula>$H312="ETAPA"</formula>
    </cfRule>
    <cfRule type="expression" dxfId="4365" priority="6167">
      <formula>$H312="SUBETAPA"</formula>
    </cfRule>
    <cfRule type="expression" dxfId="4364" priority="6166">
      <formula>$H312="CÉLULA CONSTRUTIVA"</formula>
    </cfRule>
  </conditionalFormatting>
  <conditionalFormatting sqref="L359">
    <cfRule type="expression" dxfId="4363" priority="6165">
      <formula>$H359="ETAPA"</formula>
    </cfRule>
    <cfRule type="expression" dxfId="4362" priority="6164">
      <formula>$H359="SUBETAPA"</formula>
    </cfRule>
  </conditionalFormatting>
  <conditionalFormatting sqref="L361 L363 L365 L367 L369 L371 L373 L375 L377">
    <cfRule type="expression" dxfId="4361" priority="6162">
      <formula>$H361="ETAPA"</formula>
    </cfRule>
    <cfRule type="expression" dxfId="4360" priority="6161">
      <formula>$H361="SUBETAPA"</formula>
    </cfRule>
  </conditionalFormatting>
  <conditionalFormatting sqref="L574">
    <cfRule type="expression" dxfId="4359" priority="6066">
      <formula>$H574="ETAPA"</formula>
    </cfRule>
  </conditionalFormatting>
  <conditionalFormatting sqref="L585">
    <cfRule type="expression" dxfId="4358" priority="6065">
      <formula>$H585="ETAPA"</formula>
    </cfRule>
  </conditionalFormatting>
  <conditionalFormatting sqref="L920">
    <cfRule type="expression" dxfId="4357" priority="6063">
      <formula>$H920="SUBETAPA"</formula>
    </cfRule>
    <cfRule type="expression" dxfId="4356" priority="6064">
      <formula>$H920="ETAPA"</formula>
    </cfRule>
  </conditionalFormatting>
  <conditionalFormatting sqref="L920:L921">
    <cfRule type="expression" dxfId="4355" priority="6059">
      <formula>$H920="CÉLULA CONSTRUTIVA"</formula>
    </cfRule>
  </conditionalFormatting>
  <conditionalFormatting sqref="L921">
    <cfRule type="expression" dxfId="4354" priority="6060">
      <formula>$H921="SUBETAPA"</formula>
    </cfRule>
  </conditionalFormatting>
  <conditionalFormatting sqref="L921:L922">
    <cfRule type="expression" dxfId="4353" priority="6061">
      <formula>$H921="ETAPA"</formula>
    </cfRule>
  </conditionalFormatting>
  <conditionalFormatting sqref="L925">
    <cfRule type="expression" dxfId="4352" priority="6057">
      <formula>$H925="SUBETAPA"</formula>
    </cfRule>
    <cfRule type="expression" dxfId="4351" priority="6058">
      <formula>$H925="ETAPA"</formula>
    </cfRule>
  </conditionalFormatting>
  <conditionalFormatting sqref="L925:L926">
    <cfRule type="expression" dxfId="4350" priority="6053">
      <formula>$H925="CÉLULA CONSTRUTIVA"</formula>
    </cfRule>
  </conditionalFormatting>
  <conditionalFormatting sqref="L926">
    <cfRule type="expression" dxfId="4349" priority="6054">
      <formula>$H926="SUBETAPA"</formula>
    </cfRule>
  </conditionalFormatting>
  <conditionalFormatting sqref="L926:L927">
    <cfRule type="expression" dxfId="4348" priority="6055">
      <formula>$H926="ETAPA"</formula>
    </cfRule>
  </conditionalFormatting>
  <conditionalFormatting sqref="L930">
    <cfRule type="expression" dxfId="4347" priority="6052">
      <formula>$H930="ETAPA"</formula>
    </cfRule>
    <cfRule type="expression" dxfId="4346" priority="6051">
      <formula>$H930="SUBETAPA"</formula>
    </cfRule>
  </conditionalFormatting>
  <conditionalFormatting sqref="L930:L931">
    <cfRule type="expression" dxfId="4345" priority="6047">
      <formula>$H930="CÉLULA CONSTRUTIVA"</formula>
    </cfRule>
  </conditionalFormatting>
  <conditionalFormatting sqref="L931">
    <cfRule type="expression" dxfId="4344" priority="6048">
      <formula>$H931="SUBETAPA"</formula>
    </cfRule>
  </conditionalFormatting>
  <conditionalFormatting sqref="L931:L932">
    <cfRule type="expression" dxfId="4343" priority="6049">
      <formula>$H931="ETAPA"</formula>
    </cfRule>
  </conditionalFormatting>
  <conditionalFormatting sqref="L935">
    <cfRule type="expression" dxfId="4342" priority="6046">
      <formula>$H935="ETAPA"</formula>
    </cfRule>
    <cfRule type="expression" dxfId="4341" priority="6045">
      <formula>$H935="SUBETAPA"</formula>
    </cfRule>
  </conditionalFormatting>
  <conditionalFormatting sqref="L935:L936">
    <cfRule type="expression" dxfId="4340" priority="6041">
      <formula>$H935="CÉLULA CONSTRUTIVA"</formula>
    </cfRule>
  </conditionalFormatting>
  <conditionalFormatting sqref="L936">
    <cfRule type="expression" dxfId="4339" priority="6042">
      <formula>$H936="SUBETAPA"</formula>
    </cfRule>
  </conditionalFormatting>
  <conditionalFormatting sqref="L936:L937">
    <cfRule type="expression" dxfId="4338" priority="6043">
      <formula>$H936="ETAPA"</formula>
    </cfRule>
  </conditionalFormatting>
  <conditionalFormatting sqref="L940">
    <cfRule type="expression" dxfId="4337" priority="6039">
      <formula>$H940="SUBETAPA"</formula>
    </cfRule>
    <cfRule type="expression" dxfId="4336" priority="6040">
      <formula>$H940="ETAPA"</formula>
    </cfRule>
  </conditionalFormatting>
  <conditionalFormatting sqref="L940:L941">
    <cfRule type="expression" dxfId="4335" priority="6035">
      <formula>$H940="CÉLULA CONSTRUTIVA"</formula>
    </cfRule>
  </conditionalFormatting>
  <conditionalFormatting sqref="L941">
    <cfRule type="expression" dxfId="4334" priority="6036">
      <formula>$H941="SUBETAPA"</formula>
    </cfRule>
  </conditionalFormatting>
  <conditionalFormatting sqref="L941:L942">
    <cfRule type="expression" dxfId="4333" priority="6037">
      <formula>$H941="ETAPA"</formula>
    </cfRule>
  </conditionalFormatting>
  <conditionalFormatting sqref="L945">
    <cfRule type="expression" dxfId="4332" priority="6033">
      <formula>$H945="SUBETAPA"</formula>
    </cfRule>
    <cfRule type="expression" dxfId="4331" priority="6034">
      <formula>$H945="ETAPA"</formula>
    </cfRule>
  </conditionalFormatting>
  <conditionalFormatting sqref="L945:L946">
    <cfRule type="expression" dxfId="4330" priority="6029">
      <formula>$H945="CÉLULA CONSTRUTIVA"</formula>
    </cfRule>
  </conditionalFormatting>
  <conditionalFormatting sqref="L946">
    <cfRule type="expression" dxfId="4329" priority="6030">
      <formula>$H946="SUBETAPA"</formula>
    </cfRule>
  </conditionalFormatting>
  <conditionalFormatting sqref="L946:L947">
    <cfRule type="expression" dxfId="4328" priority="6031">
      <formula>$H946="ETAPA"</formula>
    </cfRule>
  </conditionalFormatting>
  <conditionalFormatting sqref="L952">
    <cfRule type="expression" dxfId="4327" priority="6028">
      <formula>$H952="ETAPA"</formula>
    </cfRule>
    <cfRule type="expression" dxfId="4326" priority="6027">
      <formula>$H952="SUBETAPA"</formula>
    </cfRule>
  </conditionalFormatting>
  <conditionalFormatting sqref="L952:L953">
    <cfRule type="expression" dxfId="4325" priority="6023">
      <formula>$H952="CÉLULA CONSTRUTIVA"</formula>
    </cfRule>
  </conditionalFormatting>
  <conditionalFormatting sqref="L953">
    <cfRule type="expression" dxfId="4324" priority="6024">
      <formula>$H953="SUBETAPA"</formula>
    </cfRule>
  </conditionalFormatting>
  <conditionalFormatting sqref="L953:L954">
    <cfRule type="expression" dxfId="4323" priority="6025">
      <formula>$H953="ETAPA"</formula>
    </cfRule>
  </conditionalFormatting>
  <conditionalFormatting sqref="L959">
    <cfRule type="expression" dxfId="4322" priority="6022">
      <formula>$H959="ETAPA"</formula>
    </cfRule>
    <cfRule type="expression" dxfId="4321" priority="6021">
      <formula>$H959="SUBETAPA"</formula>
    </cfRule>
  </conditionalFormatting>
  <conditionalFormatting sqref="L959:L960">
    <cfRule type="expression" dxfId="4320" priority="6017">
      <formula>$H959="CÉLULA CONSTRUTIVA"</formula>
    </cfRule>
  </conditionalFormatting>
  <conditionalFormatting sqref="L960">
    <cfRule type="expression" dxfId="4319" priority="6018">
      <formula>$H960="SUBETAPA"</formula>
    </cfRule>
  </conditionalFormatting>
  <conditionalFormatting sqref="L960:L961">
    <cfRule type="expression" dxfId="4318" priority="6019">
      <formula>$H960="ETAPA"</formula>
    </cfRule>
  </conditionalFormatting>
  <conditionalFormatting sqref="L966">
    <cfRule type="expression" dxfId="4317" priority="6016">
      <formula>$H966="ETAPA"</formula>
    </cfRule>
    <cfRule type="expression" dxfId="4316" priority="6015">
      <formula>$H966="SUBETAPA"</formula>
    </cfRule>
  </conditionalFormatting>
  <conditionalFormatting sqref="L966:L967">
    <cfRule type="expression" dxfId="4315" priority="6011">
      <formula>$H966="CÉLULA CONSTRUTIVA"</formula>
    </cfRule>
  </conditionalFormatting>
  <conditionalFormatting sqref="L967">
    <cfRule type="expression" dxfId="4314" priority="6012">
      <formula>$H967="SUBETAPA"</formula>
    </cfRule>
  </conditionalFormatting>
  <conditionalFormatting sqref="L967:L968">
    <cfRule type="expression" dxfId="4313" priority="6013">
      <formula>$H967="ETAPA"</formula>
    </cfRule>
  </conditionalFormatting>
  <conditionalFormatting sqref="L973">
    <cfRule type="expression" dxfId="4312" priority="6010">
      <formula>$H973="ETAPA"</formula>
    </cfRule>
    <cfRule type="expression" dxfId="4311" priority="6009">
      <formula>$H973="SUBETAPA"</formula>
    </cfRule>
  </conditionalFormatting>
  <conditionalFormatting sqref="L973:L974">
    <cfRule type="expression" dxfId="4310" priority="6005">
      <formula>$H973="CÉLULA CONSTRUTIVA"</formula>
    </cfRule>
  </conditionalFormatting>
  <conditionalFormatting sqref="L974">
    <cfRule type="expression" dxfId="4309" priority="6006">
      <formula>$H974="SUBETAPA"</formula>
    </cfRule>
  </conditionalFormatting>
  <conditionalFormatting sqref="L974:L975">
    <cfRule type="expression" dxfId="4308" priority="6007">
      <formula>$H974="ETAPA"</formula>
    </cfRule>
  </conditionalFormatting>
  <conditionalFormatting sqref="L980">
    <cfRule type="expression" dxfId="4307" priority="6004">
      <formula>$H980="ETAPA"</formula>
    </cfRule>
    <cfRule type="expression" dxfId="4306" priority="6003">
      <formula>$H980="SUBETAPA"</formula>
    </cfRule>
  </conditionalFormatting>
  <conditionalFormatting sqref="L980:L981">
    <cfRule type="expression" dxfId="4305" priority="5999">
      <formula>$H980="CÉLULA CONSTRUTIVA"</formula>
    </cfRule>
  </conditionalFormatting>
  <conditionalFormatting sqref="L981">
    <cfRule type="expression" dxfId="4304" priority="6000">
      <formula>$H981="SUBETAPA"</formula>
    </cfRule>
  </conditionalFormatting>
  <conditionalFormatting sqref="L981:L982">
    <cfRule type="expression" dxfId="4303" priority="6001">
      <formula>$H981="ETAPA"</formula>
    </cfRule>
  </conditionalFormatting>
  <conditionalFormatting sqref="L985">
    <cfRule type="expression" dxfId="4302" priority="5998">
      <formula>$H985="ETAPA"</formula>
    </cfRule>
    <cfRule type="expression" dxfId="4301" priority="5997">
      <formula>$H985="SUBETAPA"</formula>
    </cfRule>
  </conditionalFormatting>
  <conditionalFormatting sqref="L985:L986">
    <cfRule type="expression" dxfId="4300" priority="5993">
      <formula>$H985="CÉLULA CONSTRUTIVA"</formula>
    </cfRule>
  </conditionalFormatting>
  <conditionalFormatting sqref="L986">
    <cfRule type="expression" dxfId="4299" priority="5994">
      <formula>$H986="SUBETAPA"</formula>
    </cfRule>
  </conditionalFormatting>
  <conditionalFormatting sqref="L986:L987">
    <cfRule type="expression" dxfId="4298" priority="5995">
      <formula>$H986="ETAPA"</formula>
    </cfRule>
  </conditionalFormatting>
  <conditionalFormatting sqref="L992">
    <cfRule type="expression" dxfId="4297" priority="5991">
      <formula>$H992="SUBETAPA"</formula>
    </cfRule>
    <cfRule type="expression" dxfId="4296" priority="5992">
      <formula>$H992="ETAPA"</formula>
    </cfRule>
  </conditionalFormatting>
  <conditionalFormatting sqref="L992:L993">
    <cfRule type="expression" dxfId="4295" priority="5987">
      <formula>$H992="CÉLULA CONSTRUTIVA"</formula>
    </cfRule>
  </conditionalFormatting>
  <conditionalFormatting sqref="L993">
    <cfRule type="expression" dxfId="4294" priority="5988">
      <formula>$H993="SUBETAPA"</formula>
    </cfRule>
  </conditionalFormatting>
  <conditionalFormatting sqref="L993:L994">
    <cfRule type="expression" dxfId="4293" priority="5989">
      <formula>$H993="ETAPA"</formula>
    </cfRule>
  </conditionalFormatting>
  <conditionalFormatting sqref="L997">
    <cfRule type="expression" dxfId="4292" priority="5985">
      <formula>$H997="SUBETAPA"</formula>
    </cfRule>
    <cfRule type="expression" dxfId="4291" priority="5986">
      <formula>$H997="ETAPA"</formula>
    </cfRule>
  </conditionalFormatting>
  <conditionalFormatting sqref="L997:L1001">
    <cfRule type="expression" dxfId="4290" priority="5972">
      <formula>$H997="CÉLULA CONSTRUTIVA"</formula>
    </cfRule>
  </conditionalFormatting>
  <conditionalFormatting sqref="L998">
    <cfRule type="expression" dxfId="4289" priority="5983">
      <formula>$H998="ETAPA"</formula>
    </cfRule>
    <cfRule type="expression" dxfId="4288" priority="5982">
      <formula>$H998="SUBETAPA"</formula>
    </cfRule>
  </conditionalFormatting>
  <conditionalFormatting sqref="L999">
    <cfRule type="expression" dxfId="4287" priority="5980">
      <formula>$H999="ETAPA"</formula>
    </cfRule>
    <cfRule type="expression" dxfId="4286" priority="5979">
      <formula>$H999="SUBETAPA"</formula>
    </cfRule>
  </conditionalFormatting>
  <conditionalFormatting sqref="L1000">
    <cfRule type="expression" dxfId="4285" priority="5976">
      <formula>$H1000="SUBETAPA"</formula>
    </cfRule>
    <cfRule type="expression" dxfId="4284" priority="5977">
      <formula>$H1000="ETAPA"</formula>
    </cfRule>
  </conditionalFormatting>
  <conditionalFormatting sqref="L1001">
    <cfRule type="expression" dxfId="4283" priority="5973">
      <formula>$H1001="SUBETAPA"</formula>
    </cfRule>
    <cfRule type="expression" dxfId="4282" priority="5974">
      <formula>$H1001="ETAPA"</formula>
    </cfRule>
  </conditionalFormatting>
  <conditionalFormatting sqref="L1022">
    <cfRule type="expression" dxfId="4281" priority="5971">
      <formula>$H1022="SUBETAPA"</formula>
    </cfRule>
    <cfRule type="expression" dxfId="4280" priority="5970">
      <formula>$H1022="CÉLULA CONSTRUTIVA"</formula>
    </cfRule>
  </conditionalFormatting>
  <conditionalFormatting sqref="L1022:L1024">
    <cfRule type="expression" dxfId="4279" priority="5968">
      <formula>$H1022="ETAPA"</formula>
    </cfRule>
  </conditionalFormatting>
  <conditionalFormatting sqref="L1023:L1024">
    <cfRule type="expression" dxfId="4278" priority="5967">
      <formula>$H1023="SUBETAPA"</formula>
    </cfRule>
  </conditionalFormatting>
  <conditionalFormatting sqref="L1023:L1026">
    <cfRule type="expression" dxfId="4277" priority="5960">
      <formula>$H1023="CÉLULA CONSTRUTIVA"</formula>
    </cfRule>
  </conditionalFormatting>
  <conditionalFormatting sqref="L1025">
    <cfRule type="expression" dxfId="4276" priority="5964">
      <formula>$H1025="SUBETAPA"</formula>
    </cfRule>
    <cfRule type="expression" dxfId="4275" priority="5965">
      <formula>$H1025="ETAPA"</formula>
    </cfRule>
  </conditionalFormatting>
  <conditionalFormatting sqref="L1026">
    <cfRule type="expression" dxfId="4274" priority="5962">
      <formula>$H1026="ETAPA"</formula>
    </cfRule>
    <cfRule type="expression" dxfId="4273" priority="5961">
      <formula>$H1026="SUBETAPA"</formula>
    </cfRule>
  </conditionalFormatting>
  <conditionalFormatting sqref="L1036">
    <cfRule type="expression" dxfId="4272" priority="5959">
      <formula>$H1036="SUBETAPA"</formula>
    </cfRule>
    <cfRule type="expression" dxfId="4271" priority="5958">
      <formula>$H1036="CÉLULA CONSTRUTIVA"</formula>
    </cfRule>
  </conditionalFormatting>
  <conditionalFormatting sqref="L1036:L1038">
    <cfRule type="expression" dxfId="4270" priority="5956">
      <formula>$H1036="ETAPA"</formula>
    </cfRule>
  </conditionalFormatting>
  <conditionalFormatting sqref="L1037:L1038">
    <cfRule type="expression" dxfId="4269" priority="5955">
      <formula>$H1037="SUBETAPA"</formula>
    </cfRule>
  </conditionalFormatting>
  <conditionalFormatting sqref="L1037:L1040">
    <cfRule type="expression" dxfId="4268" priority="5948">
      <formula>$H1037="CÉLULA CONSTRUTIVA"</formula>
    </cfRule>
  </conditionalFormatting>
  <conditionalFormatting sqref="L1039">
    <cfRule type="expression" dxfId="4267" priority="5952">
      <formula>$H1039="SUBETAPA"</formula>
    </cfRule>
    <cfRule type="expression" dxfId="4266" priority="5953">
      <formula>$H1039="ETAPA"</formula>
    </cfRule>
  </conditionalFormatting>
  <conditionalFormatting sqref="L1040">
    <cfRule type="expression" dxfId="4265" priority="5949">
      <formula>$H1040="SUBETAPA"</formula>
    </cfRule>
    <cfRule type="expression" dxfId="4264" priority="5950">
      <formula>$H1040="ETAPA"</formula>
    </cfRule>
  </conditionalFormatting>
  <conditionalFormatting sqref="L1050">
    <cfRule type="expression" dxfId="4263" priority="5946">
      <formula>$H1050="CÉLULA CONSTRUTIVA"</formula>
    </cfRule>
    <cfRule type="expression" dxfId="4262" priority="5947">
      <formula>$H1050="SUBETAPA"</formula>
    </cfRule>
  </conditionalFormatting>
  <conditionalFormatting sqref="L1050:L1052">
    <cfRule type="expression" dxfId="4261" priority="5944">
      <formula>$H1050="ETAPA"</formula>
    </cfRule>
  </conditionalFormatting>
  <conditionalFormatting sqref="L1051:L1052">
    <cfRule type="expression" dxfId="4260" priority="5943">
      <formula>$H1051="SUBETAPA"</formula>
    </cfRule>
  </conditionalFormatting>
  <conditionalFormatting sqref="L1051:L1054">
    <cfRule type="expression" dxfId="4259" priority="5936">
      <formula>$H1051="CÉLULA CONSTRUTIVA"</formula>
    </cfRule>
  </conditionalFormatting>
  <conditionalFormatting sqref="L1053">
    <cfRule type="expression" dxfId="4258" priority="5940">
      <formula>$H1053="SUBETAPA"</formula>
    </cfRule>
    <cfRule type="expression" dxfId="4257" priority="5941">
      <formula>$H1053="ETAPA"</formula>
    </cfRule>
  </conditionalFormatting>
  <conditionalFormatting sqref="L1054">
    <cfRule type="expression" dxfId="4256" priority="5937">
      <formula>$H1054="SUBETAPA"</formula>
    </cfRule>
    <cfRule type="expression" dxfId="4255" priority="5938">
      <formula>$H1054="ETAPA"</formula>
    </cfRule>
  </conditionalFormatting>
  <conditionalFormatting sqref="L1064">
    <cfRule type="expression" dxfId="4254" priority="5935">
      <formula>$H1064="SUBETAPA"</formula>
    </cfRule>
    <cfRule type="expression" dxfId="4253" priority="5934">
      <formula>$H1064="CÉLULA CONSTRUTIVA"</formula>
    </cfRule>
  </conditionalFormatting>
  <conditionalFormatting sqref="L1064:L1066">
    <cfRule type="expression" dxfId="4252" priority="5932">
      <formula>$H1064="ETAPA"</formula>
    </cfRule>
  </conditionalFormatting>
  <conditionalFormatting sqref="L1065:L1066">
    <cfRule type="expression" dxfId="4251" priority="5931">
      <formula>$H1065="SUBETAPA"</formula>
    </cfRule>
  </conditionalFormatting>
  <conditionalFormatting sqref="L1065:L1068">
    <cfRule type="expression" dxfId="4250" priority="5924">
      <formula>$H1065="CÉLULA CONSTRUTIVA"</formula>
    </cfRule>
  </conditionalFormatting>
  <conditionalFormatting sqref="L1067">
    <cfRule type="expression" dxfId="4249" priority="5928">
      <formula>$H1067="SUBETAPA"</formula>
    </cfRule>
    <cfRule type="expression" dxfId="4248" priority="5929">
      <formula>$H1067="ETAPA"</formula>
    </cfRule>
  </conditionalFormatting>
  <conditionalFormatting sqref="L1068">
    <cfRule type="expression" dxfId="4247" priority="5925">
      <formula>$H1068="SUBETAPA"</formula>
    </cfRule>
    <cfRule type="expression" dxfId="4246" priority="5926">
      <formula>$H1068="ETAPA"</formula>
    </cfRule>
  </conditionalFormatting>
  <conditionalFormatting sqref="L1078">
    <cfRule type="expression" dxfId="4245" priority="5922">
      <formula>$H1078="CÉLULA CONSTRUTIVA"</formula>
    </cfRule>
    <cfRule type="expression" dxfId="4244" priority="5923">
      <formula>$H1078="SUBETAPA"</formula>
    </cfRule>
  </conditionalFormatting>
  <conditionalFormatting sqref="L1078:L1080">
    <cfRule type="expression" dxfId="4243" priority="5920">
      <formula>$H1078="ETAPA"</formula>
    </cfRule>
  </conditionalFormatting>
  <conditionalFormatting sqref="L1079:L1080">
    <cfRule type="expression" dxfId="4242" priority="5919">
      <formula>$H1079="SUBETAPA"</formula>
    </cfRule>
  </conditionalFormatting>
  <conditionalFormatting sqref="L1079:L1082">
    <cfRule type="expression" dxfId="4241" priority="5912">
      <formula>$H1079="CÉLULA CONSTRUTIVA"</formula>
    </cfRule>
  </conditionalFormatting>
  <conditionalFormatting sqref="L1081">
    <cfRule type="expression" dxfId="4240" priority="5917">
      <formula>$H1081="ETAPA"</formula>
    </cfRule>
    <cfRule type="expression" dxfId="4239" priority="5916">
      <formula>$H1081="SUBETAPA"</formula>
    </cfRule>
  </conditionalFormatting>
  <conditionalFormatting sqref="L1082">
    <cfRule type="expression" dxfId="4238" priority="5914">
      <formula>$H1082="ETAPA"</formula>
    </cfRule>
    <cfRule type="expression" dxfId="4237" priority="5913">
      <formula>$H1082="SUBETAPA"</formula>
    </cfRule>
  </conditionalFormatting>
  <conditionalFormatting sqref="L1092">
    <cfRule type="expression" dxfId="4236" priority="5911">
      <formula>$H1092="SUBETAPA"</formula>
    </cfRule>
    <cfRule type="expression" dxfId="4235" priority="5910">
      <formula>$H1092="CÉLULA CONSTRUTIVA"</formula>
    </cfRule>
  </conditionalFormatting>
  <conditionalFormatting sqref="L1092:L1094">
    <cfRule type="expression" dxfId="4234" priority="5908">
      <formula>$H1092="ETAPA"</formula>
    </cfRule>
  </conditionalFormatting>
  <conditionalFormatting sqref="L1093:L1094">
    <cfRule type="expression" dxfId="4233" priority="5907">
      <formula>$H1093="SUBETAPA"</formula>
    </cfRule>
  </conditionalFormatting>
  <conditionalFormatting sqref="L1093:L1096">
    <cfRule type="expression" dxfId="4232" priority="5900">
      <formula>$H1093="CÉLULA CONSTRUTIVA"</formula>
    </cfRule>
  </conditionalFormatting>
  <conditionalFormatting sqref="L1095">
    <cfRule type="expression" dxfId="4231" priority="5905">
      <formula>$H1095="ETAPA"</formula>
    </cfRule>
    <cfRule type="expression" dxfId="4230" priority="5904">
      <formula>$H1095="SUBETAPA"</formula>
    </cfRule>
  </conditionalFormatting>
  <conditionalFormatting sqref="L1096">
    <cfRule type="expression" dxfId="4229" priority="5902">
      <formula>$H1096="ETAPA"</formula>
    </cfRule>
    <cfRule type="expression" dxfId="4228" priority="5901">
      <formula>$H1096="SUBETAPA"</formula>
    </cfRule>
  </conditionalFormatting>
  <conditionalFormatting sqref="L1106">
    <cfRule type="expression" dxfId="4227" priority="5899">
      <formula>$H1106="SUBETAPA"</formula>
    </cfRule>
    <cfRule type="expression" dxfId="4226" priority="5898">
      <formula>$H1106="CÉLULA CONSTRUTIVA"</formula>
    </cfRule>
  </conditionalFormatting>
  <conditionalFormatting sqref="L1106:L1108">
    <cfRule type="expression" dxfId="4225" priority="5896">
      <formula>$H1106="ETAPA"</formula>
    </cfRule>
  </conditionalFormatting>
  <conditionalFormatting sqref="L1107:L1108">
    <cfRule type="expression" dxfId="4224" priority="5895">
      <formula>$H1107="SUBETAPA"</formula>
    </cfRule>
  </conditionalFormatting>
  <conditionalFormatting sqref="L1107:L1110">
    <cfRule type="expression" dxfId="4223" priority="5888">
      <formula>$H1107="CÉLULA CONSTRUTIVA"</formula>
    </cfRule>
  </conditionalFormatting>
  <conditionalFormatting sqref="L1109">
    <cfRule type="expression" dxfId="4222" priority="5892">
      <formula>$H1109="SUBETAPA"</formula>
    </cfRule>
    <cfRule type="expression" dxfId="4221" priority="5893">
      <formula>$H1109="ETAPA"</formula>
    </cfRule>
  </conditionalFormatting>
  <conditionalFormatting sqref="L1110">
    <cfRule type="expression" dxfId="4220" priority="5890">
      <formula>$H1110="ETAPA"</formula>
    </cfRule>
    <cfRule type="expression" dxfId="4219" priority="5889">
      <formula>$H1110="SUBETAPA"</formula>
    </cfRule>
  </conditionalFormatting>
  <conditionalFormatting sqref="L1120">
    <cfRule type="expression" dxfId="4218" priority="5887">
      <formula>$H1120="ETAPA"</formula>
    </cfRule>
    <cfRule type="expression" dxfId="4217" priority="5886">
      <formula>$H1120="SUBETAPA"</formula>
    </cfRule>
  </conditionalFormatting>
  <conditionalFormatting sqref="L1121:L1122">
    <cfRule type="expression" dxfId="4216" priority="5884">
      <formula>$H1121="ETAPA"</formula>
    </cfRule>
    <cfRule type="expression" dxfId="4215" priority="5883">
      <formula>$H1121="SUBETAPA"</formula>
    </cfRule>
  </conditionalFormatting>
  <conditionalFormatting sqref="L1123">
    <cfRule type="expression" dxfId="4214" priority="5880">
      <formula>$H1123="SUBETAPA"</formula>
    </cfRule>
    <cfRule type="expression" dxfId="4213" priority="5881">
      <formula>$H1123="ETAPA"</formula>
    </cfRule>
  </conditionalFormatting>
  <conditionalFormatting sqref="L1124">
    <cfRule type="expression" dxfId="4212" priority="5878">
      <formula>$H1124="ETAPA"</formula>
    </cfRule>
    <cfRule type="expression" dxfId="4211" priority="5877">
      <formula>$H1124="SUBETAPA"</formula>
    </cfRule>
  </conditionalFormatting>
  <conditionalFormatting sqref="L1125">
    <cfRule type="expression" dxfId="4210" priority="5875">
      <formula>$H1125="ETAPA"</formula>
    </cfRule>
  </conditionalFormatting>
  <conditionalFormatting sqref="L1126">
    <cfRule type="expression" dxfId="4209" priority="5872">
      <formula>$H1126="ETAPA"</formula>
    </cfRule>
    <cfRule type="expression" dxfId="4208" priority="5871">
      <formula>$H1126="SUBETAPA"</formula>
    </cfRule>
  </conditionalFormatting>
  <conditionalFormatting sqref="L1127">
    <cfRule type="expression" dxfId="4207" priority="5869">
      <formula>$H1127="ETAPA"</formula>
    </cfRule>
    <cfRule type="expression" dxfId="4206" priority="5868">
      <formula>$H1127="SUBETAPA"</formula>
    </cfRule>
  </conditionalFormatting>
  <conditionalFormatting sqref="L1128">
    <cfRule type="expression" dxfId="4205" priority="5866">
      <formula>$H1128="ETAPA"</formula>
    </cfRule>
    <cfRule type="expression" dxfId="4204" priority="5865">
      <formula>$H1128="SUBETAPA"</formula>
    </cfRule>
  </conditionalFormatting>
  <conditionalFormatting sqref="L1131">
    <cfRule type="expression" dxfId="4203" priority="5861">
      <formula>$H1131="CÉLULA CONSTRUTIVA"</formula>
    </cfRule>
    <cfRule type="expression" dxfId="4202" priority="5863">
      <formula>$H1131="ETAPA"</formula>
    </cfRule>
  </conditionalFormatting>
  <conditionalFormatting sqref="L1134">
    <cfRule type="expression" dxfId="4201" priority="5858">
      <formula>$H1134="CÉLULA CONSTRUTIVA"</formula>
    </cfRule>
    <cfRule type="expression" dxfId="4200" priority="5860">
      <formula>$H1134="ETAPA"</formula>
    </cfRule>
  </conditionalFormatting>
  <conditionalFormatting sqref="L1137">
    <cfRule type="expression" dxfId="4199" priority="5857">
      <formula>$H1137="ETAPA"</formula>
    </cfRule>
    <cfRule type="expression" dxfId="4198" priority="5855">
      <formula>$H1137="CÉLULA CONSTRUTIVA"</formula>
    </cfRule>
  </conditionalFormatting>
  <conditionalFormatting sqref="L1140">
    <cfRule type="expression" dxfId="4197" priority="5852">
      <formula>$H1140="CÉLULA CONSTRUTIVA"</formula>
    </cfRule>
    <cfRule type="expression" dxfId="4196" priority="5854">
      <formula>$H1140="ETAPA"</formula>
    </cfRule>
  </conditionalFormatting>
  <conditionalFormatting sqref="L1143">
    <cfRule type="expression" dxfId="4195" priority="5851">
      <formula>$H1143="ETAPA"</formula>
    </cfRule>
    <cfRule type="expression" dxfId="4194" priority="5849">
      <formula>$H1143="CÉLULA CONSTRUTIVA"</formula>
    </cfRule>
  </conditionalFormatting>
  <conditionalFormatting sqref="L1146">
    <cfRule type="expression" dxfId="4193" priority="5848">
      <formula>$H1146="ETAPA"</formula>
    </cfRule>
    <cfRule type="expression" dxfId="4192" priority="5847">
      <formula>$H1146="SUBETAPA"</formula>
    </cfRule>
  </conditionalFormatting>
  <conditionalFormatting sqref="L1147">
    <cfRule type="expression" dxfId="4191" priority="5845">
      <formula>$H1147="ETAPA"</formula>
    </cfRule>
    <cfRule type="expression" dxfId="4190" priority="5844">
      <formula>$H1147="SUBETAPA"</formula>
    </cfRule>
  </conditionalFormatting>
  <conditionalFormatting sqref="L1148">
    <cfRule type="expression" dxfId="4189" priority="5842">
      <formula>$H1148="ETAPA"</formula>
    </cfRule>
    <cfRule type="expression" dxfId="4188" priority="5841">
      <formula>$H1148="SUBETAPA"</formula>
    </cfRule>
  </conditionalFormatting>
  <conditionalFormatting sqref="L1153">
    <cfRule type="expression" dxfId="4187" priority="5839">
      <formula>$H1153="ETAPA"</formula>
    </cfRule>
    <cfRule type="expression" dxfId="4186" priority="5838">
      <formula>$H1153="SUBETAPA"</formula>
    </cfRule>
  </conditionalFormatting>
  <conditionalFormatting sqref="L1154">
    <cfRule type="expression" dxfId="4185" priority="5835">
      <formula>$H1154="SUBETAPA"</formula>
    </cfRule>
    <cfRule type="expression" dxfId="4184" priority="5836">
      <formula>$H1154="ETAPA"</formula>
    </cfRule>
  </conditionalFormatting>
  <conditionalFormatting sqref="L1155">
    <cfRule type="expression" dxfId="4183" priority="5832">
      <formula>$H1155="SUBETAPA"</formula>
    </cfRule>
    <cfRule type="expression" dxfId="4182" priority="5833">
      <formula>$H1155="ETAPA"</formula>
    </cfRule>
  </conditionalFormatting>
  <conditionalFormatting sqref="L1160">
    <cfRule type="expression" dxfId="4181" priority="5829">
      <formula>$H1160="SUBETAPA"</formula>
    </cfRule>
    <cfRule type="expression" dxfId="4180" priority="5830">
      <formula>$H1160="ETAPA"</formula>
    </cfRule>
  </conditionalFormatting>
  <conditionalFormatting sqref="L1161">
    <cfRule type="expression" dxfId="4179" priority="5826">
      <formula>$H1161="SUBETAPA"</formula>
    </cfRule>
    <cfRule type="expression" dxfId="4178" priority="5827">
      <formula>$H1161="ETAPA"</formula>
    </cfRule>
  </conditionalFormatting>
  <conditionalFormatting sqref="L1162">
    <cfRule type="expression" dxfId="4177" priority="5824">
      <formula>$H1162="ETAPA"</formula>
    </cfRule>
    <cfRule type="expression" dxfId="4176" priority="5823">
      <formula>$H1162="SUBETAPA"</formula>
    </cfRule>
  </conditionalFormatting>
  <conditionalFormatting sqref="L1165">
    <cfRule type="expression" dxfId="4175" priority="5821">
      <formula>$H1165="ETAPA"</formula>
    </cfRule>
    <cfRule type="expression" dxfId="4174" priority="5820">
      <formula>$H1165="SUBETAPA"</formula>
    </cfRule>
  </conditionalFormatting>
  <conditionalFormatting sqref="L1166">
    <cfRule type="expression" dxfId="4173" priority="5817">
      <formula>$H1166="SUBETAPA"</formula>
    </cfRule>
    <cfRule type="expression" dxfId="4172" priority="5818">
      <formula>$H1166="ETAPA"</formula>
    </cfRule>
  </conditionalFormatting>
  <conditionalFormatting sqref="L1167">
    <cfRule type="expression" dxfId="4171" priority="5815">
      <formula>$H1167="ETAPA"</formula>
    </cfRule>
    <cfRule type="expression" dxfId="4170" priority="5814">
      <formula>$H1167="SUBETAPA"</formula>
    </cfRule>
  </conditionalFormatting>
  <conditionalFormatting sqref="L1170">
    <cfRule type="expression" dxfId="4169" priority="5811">
      <formula>$H1170="SUBETAPA"</formula>
    </cfRule>
    <cfRule type="expression" dxfId="4168" priority="5812">
      <formula>$H1170="ETAPA"</formula>
    </cfRule>
  </conditionalFormatting>
  <conditionalFormatting sqref="L1171">
    <cfRule type="expression" dxfId="4167" priority="5809">
      <formula>$H1171="ETAPA"</formula>
    </cfRule>
    <cfRule type="expression" dxfId="4166" priority="5808">
      <formula>$H1171="SUBETAPA"</formula>
    </cfRule>
  </conditionalFormatting>
  <conditionalFormatting sqref="L1172">
    <cfRule type="expression" dxfId="4165" priority="5806">
      <formula>$H1172="ETAPA"</formula>
    </cfRule>
    <cfRule type="expression" dxfId="4164" priority="5805">
      <formula>$H1172="SUBETAPA"</formula>
    </cfRule>
  </conditionalFormatting>
  <conditionalFormatting sqref="L1175">
    <cfRule type="expression" dxfId="4163" priority="5803">
      <formula>$H1175="ETAPA"</formula>
    </cfRule>
    <cfRule type="expression" dxfId="4162" priority="5802">
      <formula>$H1175="SUBETAPA"</formula>
    </cfRule>
  </conditionalFormatting>
  <conditionalFormatting sqref="L1176">
    <cfRule type="expression" dxfId="4161" priority="5800">
      <formula>$H1176="ETAPA"</formula>
    </cfRule>
    <cfRule type="expression" dxfId="4160" priority="5799">
      <formula>$H1176="SUBETAPA"</formula>
    </cfRule>
  </conditionalFormatting>
  <conditionalFormatting sqref="L1177">
    <cfRule type="expression" dxfId="4159" priority="5797">
      <formula>$H1177="ETAPA"</formula>
    </cfRule>
    <cfRule type="expression" dxfId="4158" priority="5796">
      <formula>$H1177="SUBETAPA"</formula>
    </cfRule>
  </conditionalFormatting>
  <conditionalFormatting sqref="L1180">
    <cfRule type="expression" dxfId="4157" priority="5794">
      <formula>$H1180="ETAPA"</formula>
    </cfRule>
    <cfRule type="expression" dxfId="4156" priority="5792">
      <formula>$H1180="CÉLULA CONSTRUTIVA"</formula>
    </cfRule>
  </conditionalFormatting>
  <conditionalFormatting sqref="L1187">
    <cfRule type="expression" dxfId="4155" priority="5791">
      <formula>$H1187="CÉLULA CONSTRUTIVA"</formula>
    </cfRule>
  </conditionalFormatting>
  <conditionalFormatting sqref="L1202:L1206">
    <cfRule type="expression" dxfId="4154" priority="5789">
      <formula>$H1202="CÉLULA CONSTRUTIVA"</formula>
    </cfRule>
    <cfRule type="expression" dxfId="4153" priority="5788">
      <formula>$H1202="SUBETAPA"</formula>
    </cfRule>
  </conditionalFormatting>
  <conditionalFormatting sqref="L1231">
    <cfRule type="expression" dxfId="4152" priority="5787">
      <formula>$H1231="CÉLULA CONSTRUTIVA"</formula>
    </cfRule>
  </conditionalFormatting>
  <conditionalFormatting sqref="L1240">
    <cfRule type="expression" dxfId="4151" priority="5786">
      <formula>$H1240="ETAPA"</formula>
    </cfRule>
  </conditionalFormatting>
  <conditionalFormatting sqref="L1240:L1245">
    <cfRule type="expression" dxfId="4150" priority="5785">
      <formula>$H1240="CÉLULA CONSTRUTIVA"</formula>
    </cfRule>
    <cfRule type="expression" dxfId="4149" priority="5784">
      <formula>$H1240="SUBETAPA"</formula>
    </cfRule>
  </conditionalFormatting>
  <conditionalFormatting sqref="L1257:L1258">
    <cfRule type="expression" dxfId="4148" priority="5781">
      <formula>$H1257="CÉLULA CONSTRUTIVA"</formula>
    </cfRule>
  </conditionalFormatting>
  <conditionalFormatting sqref="L1258">
    <cfRule type="expression" dxfId="4147" priority="5782">
      <formula>$H1258="ETAPA"</formula>
    </cfRule>
  </conditionalFormatting>
  <conditionalFormatting sqref="L1271">
    <cfRule type="expression" dxfId="4146" priority="5780">
      <formula>$H1271="ETAPA"</formula>
    </cfRule>
  </conditionalFormatting>
  <conditionalFormatting sqref="L1271:L1278">
    <cfRule type="expression" dxfId="4145" priority="5779">
      <formula>$H1271="CÉLULA CONSTRUTIVA"</formula>
    </cfRule>
    <cfRule type="expression" dxfId="4144" priority="5778">
      <formula>$H1271="SUBETAPA"</formula>
    </cfRule>
  </conditionalFormatting>
  <conditionalFormatting sqref="L1282">
    <cfRule type="expression" dxfId="4143" priority="5777">
      <formula>$H1282="CÉLULA CONSTRUTIVA"</formula>
    </cfRule>
  </conditionalFormatting>
  <conditionalFormatting sqref="L1302">
    <cfRule type="expression" dxfId="4142" priority="5775">
      <formula>$H1302="CÉLULA CONSTRUTIVA"</formula>
    </cfRule>
  </conditionalFormatting>
  <conditionalFormatting sqref="L1341">
    <cfRule type="expression" dxfId="4141" priority="5773">
      <formula>$H1341="CÉLULA CONSTRUTIVA"</formula>
    </cfRule>
  </conditionalFormatting>
  <conditionalFormatting sqref="L1362">
    <cfRule type="expression" dxfId="4140" priority="5771">
      <formula>$H1362="CÉLULA CONSTRUTIVA"</formula>
    </cfRule>
  </conditionalFormatting>
  <conditionalFormatting sqref="L1383">
    <cfRule type="expression" dxfId="4139" priority="5769">
      <formula>$H1383="CÉLULA CONSTRUTIVA"</formula>
    </cfRule>
  </conditionalFormatting>
  <conditionalFormatting sqref="L1387">
    <cfRule type="expression" dxfId="4138" priority="5768">
      <formula>$H1387="ETAPA"</formula>
    </cfRule>
    <cfRule type="expression" dxfId="4137" priority="5767">
      <formula>$H1387="CÉLULA CONSTRUTIVA"</formula>
    </cfRule>
  </conditionalFormatting>
  <conditionalFormatting sqref="L1407">
    <cfRule type="expression" dxfId="4136" priority="5765">
      <formula>$H1407="CÉLULA CONSTRUTIVA"</formula>
    </cfRule>
  </conditionalFormatting>
  <conditionalFormatting sqref="L1435:L1440">
    <cfRule type="expression" dxfId="4135" priority="5561">
      <formula>$H1435="ETAPA"</formula>
    </cfRule>
  </conditionalFormatting>
  <conditionalFormatting sqref="L1446">
    <cfRule type="expression" dxfId="4134" priority="5559">
      <formula>$H1446="SUBETAPA"</formula>
    </cfRule>
    <cfRule type="expression" dxfId="4133" priority="5560">
      <formula>$H1446="ETAPA"</formula>
    </cfRule>
  </conditionalFormatting>
  <conditionalFormatting sqref="L1447">
    <cfRule type="expression" dxfId="4132" priority="5557">
      <formula>$H1447="ETAPA"</formula>
    </cfRule>
  </conditionalFormatting>
  <conditionalFormatting sqref="L1448:L1449 L1458 L1467 L1474 L1482 L1490 L1500 L1508:L1509 L1519:L1520 L1530:L1531 L1541:L1542 L1552:L1553 L1562:L1563">
    <cfRule type="expression" dxfId="4131" priority="10304">
      <formula>$H1448="ETAPA"</formula>
    </cfRule>
  </conditionalFormatting>
  <conditionalFormatting sqref="L1456">
    <cfRule type="expression" dxfId="4130" priority="5556">
      <formula>$H1456="ETAPA"</formula>
    </cfRule>
    <cfRule type="expression" dxfId="4129" priority="5555">
      <formula>$H1456="SUBETAPA"</formula>
    </cfRule>
  </conditionalFormatting>
  <conditionalFormatting sqref="L1457">
    <cfRule type="expression" dxfId="4128" priority="5553">
      <formula>$H1457="ETAPA"</formula>
    </cfRule>
  </conditionalFormatting>
  <conditionalFormatting sqref="L1465">
    <cfRule type="expression" dxfId="4127" priority="5551">
      <formula>$H1465="SUBETAPA"</formula>
    </cfRule>
    <cfRule type="expression" dxfId="4126" priority="5552">
      <formula>$H1465="ETAPA"</formula>
    </cfRule>
  </conditionalFormatting>
  <conditionalFormatting sqref="L1466">
    <cfRule type="expression" dxfId="4125" priority="5549">
      <formula>$H1466="ETAPA"</formula>
    </cfRule>
  </conditionalFormatting>
  <conditionalFormatting sqref="L1472">
    <cfRule type="expression" dxfId="4124" priority="5547">
      <formula>$H1472="SUBETAPA"</formula>
    </cfRule>
    <cfRule type="expression" dxfId="4123" priority="5548">
      <formula>$H1472="ETAPA"</formula>
    </cfRule>
  </conditionalFormatting>
  <conditionalFormatting sqref="L1473">
    <cfRule type="expression" dxfId="4122" priority="5545">
      <formula>$H1473="ETAPA"</formula>
    </cfRule>
  </conditionalFormatting>
  <conditionalFormatting sqref="L1479">
    <cfRule type="expression" dxfId="4121" priority="5543">
      <formula>$H1479="SUBETAPA"</formula>
    </cfRule>
    <cfRule type="expression" dxfId="4120" priority="5544">
      <formula>$H1479="ETAPA"</formula>
    </cfRule>
  </conditionalFormatting>
  <conditionalFormatting sqref="L1480:L1481">
    <cfRule type="expression" dxfId="4119" priority="5540">
      <formula>$H1480="ETAPA"</formula>
    </cfRule>
  </conditionalFormatting>
  <conditionalFormatting sqref="L1481">
    <cfRule type="expression" dxfId="4118" priority="5539">
      <formula>$H1481="SUBETAPA"</formula>
    </cfRule>
  </conditionalFormatting>
  <conditionalFormatting sqref="L1482 L1490 L1500 L1508:L1509 L1519:L1520 L1530:L1531 L1541:L1542 L1552:L1553 L1448:L1449 L1458 L1467 L1474 L1562:L1563">
    <cfRule type="expression" dxfId="4117" priority="10303">
      <formula>$H1448="SUBETAPA"</formula>
    </cfRule>
  </conditionalFormatting>
  <conditionalFormatting sqref="L1487">
    <cfRule type="expression" dxfId="4116" priority="5537">
      <formula>$H1487="ETAPA"</formula>
    </cfRule>
    <cfRule type="expression" dxfId="4115" priority="5536">
      <formula>$H1487="SUBETAPA"</formula>
    </cfRule>
  </conditionalFormatting>
  <conditionalFormatting sqref="L1488:L1489">
    <cfRule type="expression" dxfId="4114" priority="5533">
      <formula>$H1488="ETAPA"</formula>
    </cfRule>
  </conditionalFormatting>
  <conditionalFormatting sqref="L1489">
    <cfRule type="expression" dxfId="4113" priority="5532">
      <formula>$H1489="SUBETAPA"</formula>
    </cfRule>
  </conditionalFormatting>
  <conditionalFormatting sqref="L1497">
    <cfRule type="expression" dxfId="4112" priority="5530">
      <formula>$H1497="ETAPA"</formula>
    </cfRule>
    <cfRule type="expression" dxfId="4111" priority="5529">
      <formula>$H1497="SUBETAPA"</formula>
    </cfRule>
  </conditionalFormatting>
  <conditionalFormatting sqref="L1498:L1499">
    <cfRule type="expression" dxfId="4110" priority="5526">
      <formula>$H1498="ETAPA"</formula>
    </cfRule>
  </conditionalFormatting>
  <conditionalFormatting sqref="L1499">
    <cfRule type="expression" dxfId="4109" priority="5525">
      <formula>$H1499="SUBETAPA"</formula>
    </cfRule>
  </conditionalFormatting>
  <conditionalFormatting sqref="L1505">
    <cfRule type="expression" dxfId="4108" priority="5522">
      <formula>$H1505="SUBETAPA"</formula>
    </cfRule>
    <cfRule type="expression" dxfId="4107" priority="5523">
      <formula>$H1505="ETAPA"</formula>
    </cfRule>
  </conditionalFormatting>
  <conditionalFormatting sqref="L1506:L1507">
    <cfRule type="expression" dxfId="4106" priority="5519">
      <formula>$H1506="ETAPA"</formula>
    </cfRule>
  </conditionalFormatting>
  <conditionalFormatting sqref="L1507">
    <cfRule type="expression" dxfId="4105" priority="5518">
      <formula>$H1507="SUBETAPA"</formula>
    </cfRule>
  </conditionalFormatting>
  <conditionalFormatting sqref="L1516">
    <cfRule type="expression" dxfId="4104" priority="5516">
      <formula>$H1516="ETAPA"</formula>
    </cfRule>
    <cfRule type="expression" dxfId="4103" priority="5515">
      <formula>$H1516="SUBETAPA"</formula>
    </cfRule>
  </conditionalFormatting>
  <conditionalFormatting sqref="L1517:L1518">
    <cfRule type="expression" dxfId="4102" priority="5512">
      <formula>$H1517="ETAPA"</formula>
    </cfRule>
  </conditionalFormatting>
  <conditionalFormatting sqref="L1518">
    <cfRule type="expression" dxfId="4101" priority="5511">
      <formula>$H1518="SUBETAPA"</formula>
    </cfRule>
  </conditionalFormatting>
  <conditionalFormatting sqref="L1527">
    <cfRule type="expression" dxfId="4100" priority="5509">
      <formula>$H1527="ETAPA"</formula>
    </cfRule>
    <cfRule type="expression" dxfId="4099" priority="5508">
      <formula>$H1527="SUBETAPA"</formula>
    </cfRule>
  </conditionalFormatting>
  <conditionalFormatting sqref="L1528:L1529">
    <cfRule type="expression" dxfId="4098" priority="5505">
      <formula>$H1528="ETAPA"</formula>
    </cfRule>
  </conditionalFormatting>
  <conditionalFormatting sqref="L1529">
    <cfRule type="expression" dxfId="4097" priority="5504">
      <formula>$H1529="SUBETAPA"</formula>
    </cfRule>
  </conditionalFormatting>
  <conditionalFormatting sqref="L1538">
    <cfRule type="expression" dxfId="4096" priority="5502">
      <formula>$H1538="ETAPA"</formula>
    </cfRule>
    <cfRule type="expression" dxfId="4095" priority="5501">
      <formula>$H1538="SUBETAPA"</formula>
    </cfRule>
  </conditionalFormatting>
  <conditionalFormatting sqref="L1539:L1540">
    <cfRule type="expression" dxfId="4094" priority="5498">
      <formula>$H1539="ETAPA"</formula>
    </cfRule>
  </conditionalFormatting>
  <conditionalFormatting sqref="L1540">
    <cfRule type="expression" dxfId="4093" priority="5497">
      <formula>$H1540="SUBETAPA"</formula>
    </cfRule>
  </conditionalFormatting>
  <conditionalFormatting sqref="L1549">
    <cfRule type="expression" dxfId="4092" priority="5495">
      <formula>$H1549="ETAPA"</formula>
    </cfRule>
    <cfRule type="expression" dxfId="4091" priority="5494">
      <formula>$H1549="SUBETAPA"</formula>
    </cfRule>
  </conditionalFormatting>
  <conditionalFormatting sqref="L1550:L1551">
    <cfRule type="expression" dxfId="4090" priority="5491">
      <formula>$H1550="ETAPA"</formula>
    </cfRule>
  </conditionalFormatting>
  <conditionalFormatting sqref="L1551">
    <cfRule type="expression" dxfId="4089" priority="5490">
      <formula>$H1551="SUBETAPA"</formula>
    </cfRule>
  </conditionalFormatting>
  <conditionalFormatting sqref="L1560">
    <cfRule type="expression" dxfId="4088" priority="5488">
      <formula>$H1560="ETAPA"</formula>
    </cfRule>
    <cfRule type="expression" dxfId="4087" priority="5487">
      <formula>$H1560="SUBETAPA"</formula>
    </cfRule>
  </conditionalFormatting>
  <conditionalFormatting sqref="L1560:L1561">
    <cfRule type="expression" dxfId="4086" priority="5486">
      <formula>$H1560="CÉLULA CONSTRUTIVA"</formula>
    </cfRule>
  </conditionalFormatting>
  <conditionalFormatting sqref="L1568">
    <cfRule type="expression" dxfId="4085" priority="5485">
      <formula>$H1568="SUBETAPA"</formula>
    </cfRule>
  </conditionalFormatting>
  <conditionalFormatting sqref="L1574">
    <cfRule type="expression" dxfId="4084" priority="5484">
      <formula>$H1574="SUBETAPA"</formula>
    </cfRule>
  </conditionalFormatting>
  <conditionalFormatting sqref="L1580">
    <cfRule type="expression" dxfId="4083" priority="5483">
      <formula>$H1580="SUBETAPA"</formula>
    </cfRule>
  </conditionalFormatting>
  <conditionalFormatting sqref="L1589">
    <cfRule type="expression" dxfId="4082" priority="5482">
      <formula>$H1589="SUBETAPA"</formula>
    </cfRule>
  </conditionalFormatting>
  <conditionalFormatting sqref="L1598">
    <cfRule type="expression" dxfId="4081" priority="5481">
      <formula>$H1598="SUBETAPA"</formula>
    </cfRule>
  </conditionalFormatting>
  <conditionalFormatting sqref="L1602:L1604 M1605:M1608">
    <cfRule type="expression" dxfId="4080" priority="5480">
      <formula>$H1602="SUBETAPA"</formula>
    </cfRule>
    <cfRule type="expression" dxfId="4079" priority="5479">
      <formula>$H1602="ETAPA"</formula>
    </cfRule>
  </conditionalFormatting>
  <conditionalFormatting sqref="L1607">
    <cfRule type="expression" dxfId="4078" priority="5478">
      <formula>$H1607="SUBETAPA"</formula>
    </cfRule>
  </conditionalFormatting>
  <conditionalFormatting sqref="L1608">
    <cfRule type="expression" dxfId="4077" priority="5475">
      <formula>$H1608="SUBETAPA"</formula>
    </cfRule>
  </conditionalFormatting>
  <conditionalFormatting sqref="L1616">
    <cfRule type="expression" dxfId="4076" priority="5474">
      <formula>$H1616="SUBETAPA"</formula>
    </cfRule>
  </conditionalFormatting>
  <conditionalFormatting sqref="L1617">
    <cfRule type="expression" dxfId="4075" priority="5471">
      <formula>$H1617="SUBETAPA"</formula>
    </cfRule>
  </conditionalFormatting>
  <conditionalFormatting sqref="L1620:L1622">
    <cfRule type="expression" dxfId="4074" priority="5470">
      <formula>$H1620="SUBETAPA"</formula>
    </cfRule>
    <cfRule type="expression" dxfId="4073" priority="5469">
      <formula>$H1620="ETAPA"</formula>
    </cfRule>
  </conditionalFormatting>
  <conditionalFormatting sqref="L1623">
    <cfRule type="expression" dxfId="4072" priority="5468">
      <formula>$H1623="SUBETAPA"</formula>
    </cfRule>
  </conditionalFormatting>
  <conditionalFormatting sqref="L1624">
    <cfRule type="expression" dxfId="4071" priority="5465">
      <formula>$H1624="SUBETAPA"</formula>
    </cfRule>
    <cfRule type="expression" dxfId="4070" priority="5467">
      <formula>$H1624="CÉLULA CONSTRUTIVA"</formula>
    </cfRule>
    <cfRule type="expression" dxfId="4069" priority="5466">
      <formula>$H1624="ETAPA"</formula>
    </cfRule>
  </conditionalFormatting>
  <conditionalFormatting sqref="L1625">
    <cfRule type="expression" dxfId="4068" priority="5464">
      <formula>$H1625="ETAPA"</formula>
    </cfRule>
  </conditionalFormatting>
  <conditionalFormatting sqref="L1626 O1628:O1629 J1629:L1629 G1630:M1631 L1632:M1633">
    <cfRule type="expression" dxfId="4067" priority="6920">
      <formula>$H1626="SUBETAPA"</formula>
    </cfRule>
  </conditionalFormatting>
  <conditionalFormatting sqref="L1626 O1628:O1629 J1629:L1629 G1630:M1632 L1633:M1633">
    <cfRule type="expression" dxfId="4066" priority="6921">
      <formula>$H1626="CÉLULA CONSTRUTIVA"</formula>
    </cfRule>
  </conditionalFormatting>
  <conditionalFormatting sqref="L1627">
    <cfRule type="expression" dxfId="4065" priority="5462">
      <formula>$H1627="SUBETAPA"</formula>
    </cfRule>
    <cfRule type="expression" dxfId="4064" priority="5461">
      <formula>$H1627="CÉLULA CONSTRUTIVA"</formula>
    </cfRule>
  </conditionalFormatting>
  <conditionalFormatting sqref="L1635">
    <cfRule type="expression" dxfId="4063" priority="5459">
      <formula>$H1635="SUBETAPA"</formula>
    </cfRule>
    <cfRule type="expression" dxfId="4062" priority="5458">
      <formula>$H1635="CÉLULA CONSTRUTIVA"</formula>
    </cfRule>
  </conditionalFormatting>
  <conditionalFormatting sqref="L1636">
    <cfRule type="expression" dxfId="4061" priority="5457">
      <formula>$H1636="ETAPA"</formula>
    </cfRule>
  </conditionalFormatting>
  <conditionalFormatting sqref="L1637 O1639:O1640 J1640:L1640 G1641:M1642">
    <cfRule type="expression" dxfId="4060" priority="6917">
      <formula>$H1637="SUBETAPA"</formula>
    </cfRule>
  </conditionalFormatting>
  <conditionalFormatting sqref="L1637:L1638">
    <cfRule type="expression" dxfId="4059" priority="5454">
      <formula>$H1637="CÉLULA CONSTRUTIVA"</formula>
    </cfRule>
  </conditionalFormatting>
  <conditionalFormatting sqref="L1638">
    <cfRule type="expression" dxfId="4058" priority="5455">
      <formula>$H1638="SUBETAPA"</formula>
    </cfRule>
  </conditionalFormatting>
  <conditionalFormatting sqref="L1644">
    <cfRule type="expression" dxfId="4057" priority="5452">
      <formula>$H1644="SUBETAPA"</formula>
    </cfRule>
    <cfRule type="expression" dxfId="4056" priority="5451">
      <formula>$H1644="CÉLULA CONSTRUTIVA"</formula>
    </cfRule>
  </conditionalFormatting>
  <conditionalFormatting sqref="L1645">
    <cfRule type="expression" dxfId="4055" priority="5450">
      <formula>$H1645="ETAPA"</formula>
    </cfRule>
  </conditionalFormatting>
  <conditionalFormatting sqref="L1646 O1648:O1649 J1649:L1649 G1650:M1651">
    <cfRule type="expression" dxfId="4054" priority="6913">
      <formula>$H1646="SUBETAPA"</formula>
    </cfRule>
  </conditionalFormatting>
  <conditionalFormatting sqref="L1646:L1647">
    <cfRule type="expression" dxfId="4053" priority="5447">
      <formula>$H1646="CÉLULA CONSTRUTIVA"</formula>
    </cfRule>
  </conditionalFormatting>
  <conditionalFormatting sqref="L1647">
    <cfRule type="expression" dxfId="4052" priority="5448">
      <formula>$H1647="SUBETAPA"</formula>
    </cfRule>
  </conditionalFormatting>
  <conditionalFormatting sqref="L1653">
    <cfRule type="expression" dxfId="4051" priority="5445">
      <formula>$H1653="SUBETAPA"</formula>
    </cfRule>
    <cfRule type="expression" dxfId="4050" priority="5444">
      <formula>$H1653="CÉLULA CONSTRUTIVA"</formula>
    </cfRule>
  </conditionalFormatting>
  <conditionalFormatting sqref="L1654">
    <cfRule type="expression" dxfId="4049" priority="5443">
      <formula>$H1654="ETAPA"</formula>
    </cfRule>
  </conditionalFormatting>
  <conditionalFormatting sqref="L1655 O1657:O1658 J1658:L1658 G1659:M1660">
    <cfRule type="expression" dxfId="4048" priority="6909">
      <formula>$H1655="SUBETAPA"</formula>
    </cfRule>
  </conditionalFormatting>
  <conditionalFormatting sqref="L1655:L1656">
    <cfRule type="expression" dxfId="4047" priority="5440">
      <formula>$H1655="CÉLULA CONSTRUTIVA"</formula>
    </cfRule>
  </conditionalFormatting>
  <conditionalFormatting sqref="L1656">
    <cfRule type="expression" dxfId="4046" priority="5441">
      <formula>$H1656="SUBETAPA"</formula>
    </cfRule>
  </conditionalFormatting>
  <conditionalFormatting sqref="L1662">
    <cfRule type="expression" dxfId="4045" priority="5438">
      <formula>$H1662="SUBETAPA"</formula>
    </cfRule>
    <cfRule type="expression" dxfId="4044" priority="5437">
      <formula>$H1662="CÉLULA CONSTRUTIVA"</formula>
    </cfRule>
  </conditionalFormatting>
  <conditionalFormatting sqref="L1663">
    <cfRule type="expression" dxfId="4043" priority="5436">
      <formula>$H1663="ETAPA"</formula>
    </cfRule>
  </conditionalFormatting>
  <conditionalFormatting sqref="L1664 O1666:O1667 J1667:L1667 G1668:M1669">
    <cfRule type="expression" dxfId="4042" priority="6905">
      <formula>$H1664="SUBETAPA"</formula>
    </cfRule>
  </conditionalFormatting>
  <conditionalFormatting sqref="L1664:L1665">
    <cfRule type="expression" dxfId="4041" priority="5433">
      <formula>$H1664="CÉLULA CONSTRUTIVA"</formula>
    </cfRule>
  </conditionalFormatting>
  <conditionalFormatting sqref="L1665">
    <cfRule type="expression" dxfId="4040" priority="5434">
      <formula>$H1665="SUBETAPA"</formula>
    </cfRule>
  </conditionalFormatting>
  <conditionalFormatting sqref="L1671">
    <cfRule type="expression" dxfId="4039" priority="5430">
      <formula>$H1671="CÉLULA CONSTRUTIVA"</formula>
    </cfRule>
    <cfRule type="expression" dxfId="4038" priority="5431">
      <formula>$H1671="SUBETAPA"</formula>
    </cfRule>
  </conditionalFormatting>
  <conditionalFormatting sqref="L1672">
    <cfRule type="expression" dxfId="4037" priority="5429">
      <formula>$H1672="ETAPA"</formula>
    </cfRule>
  </conditionalFormatting>
  <conditionalFormatting sqref="L1673 O1675:O1676 J1676:L1676 G1677:M1678">
    <cfRule type="expression" dxfId="4036" priority="6901">
      <formula>$H1673="SUBETAPA"</formula>
    </cfRule>
  </conditionalFormatting>
  <conditionalFormatting sqref="L1673:L1674">
    <cfRule type="expression" dxfId="4035" priority="5426">
      <formula>$H1673="CÉLULA CONSTRUTIVA"</formula>
    </cfRule>
  </conditionalFormatting>
  <conditionalFormatting sqref="L1674">
    <cfRule type="expression" dxfId="4034" priority="5427">
      <formula>$H1674="SUBETAPA"</formula>
    </cfRule>
  </conditionalFormatting>
  <conditionalFormatting sqref="L1680">
    <cfRule type="expression" dxfId="4033" priority="5424">
      <formula>$H1680="SUBETAPA"</formula>
    </cfRule>
    <cfRule type="expression" dxfId="4032" priority="5423">
      <formula>$H1680="CÉLULA CONSTRUTIVA"</formula>
    </cfRule>
  </conditionalFormatting>
  <conditionalFormatting sqref="L1681">
    <cfRule type="expression" dxfId="4031" priority="5422">
      <formula>$H1681="ETAPA"</formula>
    </cfRule>
  </conditionalFormatting>
  <conditionalFormatting sqref="L1682 O1684:O1685 J1685:L1685 G1686:M1687 L1688:M1689">
    <cfRule type="expression" dxfId="4030" priority="6896">
      <formula>$H1682="SUBETAPA"</formula>
    </cfRule>
  </conditionalFormatting>
  <conditionalFormatting sqref="L1682 O1684:O1685 J1685:L1685 G1686:M1688 L1689:M1689">
    <cfRule type="expression" dxfId="4029" priority="6897">
      <formula>$H1682="CÉLULA CONSTRUTIVA"</formula>
    </cfRule>
  </conditionalFormatting>
  <conditionalFormatting sqref="L1683">
    <cfRule type="expression" dxfId="4028" priority="5419">
      <formula>$H1683="CÉLULA CONSTRUTIVA"</formula>
    </cfRule>
    <cfRule type="expression" dxfId="4027" priority="5420">
      <formula>$H1683="SUBETAPA"</formula>
    </cfRule>
  </conditionalFormatting>
  <conditionalFormatting sqref="L1691">
    <cfRule type="expression" dxfId="4026" priority="5417">
      <formula>$H1691="SUBETAPA"</formula>
    </cfRule>
    <cfRule type="expression" dxfId="4025" priority="5416">
      <formula>$H1691="CÉLULA CONSTRUTIVA"</formula>
    </cfRule>
  </conditionalFormatting>
  <conditionalFormatting sqref="L1692">
    <cfRule type="expression" dxfId="4024" priority="5415">
      <formula>$H1692="ETAPA"</formula>
    </cfRule>
  </conditionalFormatting>
  <conditionalFormatting sqref="L1693 O1695:O1696 J1696:L1696 G1697:M1698 L1699:M1700">
    <cfRule type="expression" dxfId="4023" priority="6892">
      <formula>$H1693="SUBETAPA"</formula>
    </cfRule>
  </conditionalFormatting>
  <conditionalFormatting sqref="L1693 O1695:O1696 J1696:L1696 G1697:M1699 L1700:M1700">
    <cfRule type="expression" dxfId="4022" priority="6893">
      <formula>$H1693="CÉLULA CONSTRUTIVA"</formula>
    </cfRule>
  </conditionalFormatting>
  <conditionalFormatting sqref="L1694">
    <cfRule type="expression" dxfId="4021" priority="5412">
      <formula>$H1694="CÉLULA CONSTRUTIVA"</formula>
    </cfRule>
    <cfRule type="expression" dxfId="4020" priority="5413">
      <formula>$H1694="SUBETAPA"</formula>
    </cfRule>
  </conditionalFormatting>
  <conditionalFormatting sqref="L1703">
    <cfRule type="expression" dxfId="4019" priority="5411">
      <formula>$H1703="ETAPA"</formula>
    </cfRule>
  </conditionalFormatting>
  <conditionalFormatting sqref="L1704 J1707:L1707 G1708:M1709">
    <cfRule type="expression" dxfId="4018" priority="6888">
      <formula>$H1704="SUBETAPA"</formula>
    </cfRule>
  </conditionalFormatting>
  <conditionalFormatting sqref="L1704:L1705">
    <cfRule type="expression" dxfId="4017" priority="5408">
      <formula>$H1704="CÉLULA CONSTRUTIVA"</formula>
    </cfRule>
  </conditionalFormatting>
  <conditionalFormatting sqref="L1705">
    <cfRule type="expression" dxfId="4016" priority="5409">
      <formula>$H1705="SUBETAPA"</formula>
    </cfRule>
  </conditionalFormatting>
  <conditionalFormatting sqref="L1711">
    <cfRule type="expression" dxfId="4015" priority="5405">
      <formula>$H1711="CÉLULA CONSTRUTIVA"</formula>
    </cfRule>
    <cfRule type="expression" dxfId="4014" priority="5406">
      <formula>$H1711="SUBETAPA"</formula>
    </cfRule>
  </conditionalFormatting>
  <conditionalFormatting sqref="L1712">
    <cfRule type="expression" dxfId="4013" priority="5404">
      <formula>$H1712="ETAPA"</formula>
    </cfRule>
  </conditionalFormatting>
  <conditionalFormatting sqref="L1713 J1716:L1716 G1717:M1718">
    <cfRule type="expression" dxfId="4012" priority="6884">
      <formula>$H1713="SUBETAPA"</formula>
    </cfRule>
  </conditionalFormatting>
  <conditionalFormatting sqref="L1713:L1714">
    <cfRule type="expression" dxfId="4011" priority="5401">
      <formula>$H1713="CÉLULA CONSTRUTIVA"</formula>
    </cfRule>
  </conditionalFormatting>
  <conditionalFormatting sqref="L1714">
    <cfRule type="expression" dxfId="4010" priority="5402">
      <formula>$H1714="SUBETAPA"</formula>
    </cfRule>
  </conditionalFormatting>
  <conditionalFormatting sqref="L1720">
    <cfRule type="expression" dxfId="4009" priority="5398">
      <formula>$H1720="CÉLULA CONSTRUTIVA"</formula>
    </cfRule>
    <cfRule type="expression" dxfId="4008" priority="5399">
      <formula>$H1720="SUBETAPA"</formula>
    </cfRule>
  </conditionalFormatting>
  <conditionalFormatting sqref="L1721">
    <cfRule type="expression" dxfId="4007" priority="5397">
      <formula>$H1721="ETAPA"</formula>
    </cfRule>
  </conditionalFormatting>
  <conditionalFormatting sqref="L1722 J1725:L1725 G1726:M1727">
    <cfRule type="expression" dxfId="4006" priority="6880">
      <formula>$H1722="SUBETAPA"</formula>
    </cfRule>
  </conditionalFormatting>
  <conditionalFormatting sqref="L1722:L1723">
    <cfRule type="expression" dxfId="4005" priority="5394">
      <formula>$H1722="CÉLULA CONSTRUTIVA"</formula>
    </cfRule>
  </conditionalFormatting>
  <conditionalFormatting sqref="L1723">
    <cfRule type="expression" dxfId="4004" priority="5395">
      <formula>$H1723="SUBETAPA"</formula>
    </cfRule>
  </conditionalFormatting>
  <conditionalFormatting sqref="L1729">
    <cfRule type="expression" dxfId="4003" priority="5391">
      <formula>$H1729="CÉLULA CONSTRUTIVA"</formula>
    </cfRule>
    <cfRule type="expression" dxfId="4002" priority="5392">
      <formula>$H1729="SUBETAPA"</formula>
    </cfRule>
  </conditionalFormatting>
  <conditionalFormatting sqref="L1730">
    <cfRule type="expression" dxfId="4001" priority="5390">
      <formula>$H1730="ETAPA"</formula>
    </cfRule>
  </conditionalFormatting>
  <conditionalFormatting sqref="L1731 J1734:L1734 G1735:M1736">
    <cfRule type="expression" dxfId="4000" priority="6876">
      <formula>$H1731="SUBETAPA"</formula>
    </cfRule>
  </conditionalFormatting>
  <conditionalFormatting sqref="L1731:L1732">
    <cfRule type="expression" dxfId="3999" priority="5387">
      <formula>$H1731="CÉLULA CONSTRUTIVA"</formula>
    </cfRule>
  </conditionalFormatting>
  <conditionalFormatting sqref="L1732">
    <cfRule type="expression" dxfId="3998" priority="5388">
      <formula>$H1732="SUBETAPA"</formula>
    </cfRule>
  </conditionalFormatting>
  <conditionalFormatting sqref="L1738">
    <cfRule type="expression" dxfId="3997" priority="5384">
      <formula>$H1738="CÉLULA CONSTRUTIVA"</formula>
    </cfRule>
    <cfRule type="expression" dxfId="3996" priority="5385">
      <formula>$H1738="SUBETAPA"</formula>
    </cfRule>
  </conditionalFormatting>
  <conditionalFormatting sqref="L1739">
    <cfRule type="expression" dxfId="3995" priority="5383">
      <formula>$H1739="ETAPA"</formula>
    </cfRule>
  </conditionalFormatting>
  <conditionalFormatting sqref="L1740 J1743:L1743 G1744:M1745 L1746:M1747">
    <cfRule type="expression" dxfId="3994" priority="6872">
      <formula>$H1740="SUBETAPA"</formula>
    </cfRule>
  </conditionalFormatting>
  <conditionalFormatting sqref="L1740:L1741">
    <cfRule type="expression" dxfId="3993" priority="5380">
      <formula>$H1740="CÉLULA CONSTRUTIVA"</formula>
    </cfRule>
  </conditionalFormatting>
  <conditionalFormatting sqref="L1741">
    <cfRule type="expression" dxfId="3992" priority="5381">
      <formula>$H1741="SUBETAPA"</formula>
    </cfRule>
  </conditionalFormatting>
  <conditionalFormatting sqref="L1750">
    <cfRule type="expression" dxfId="3991" priority="5379">
      <formula>$H1750="ETAPA"</formula>
    </cfRule>
  </conditionalFormatting>
  <conditionalFormatting sqref="L1751 G1755:M1755 J1756:L1757 H1756:H1757">
    <cfRule type="expression" dxfId="3990" priority="5378">
      <formula>$H1751="CÉLULA CONSTRUTIVA"</formula>
    </cfRule>
  </conditionalFormatting>
  <conditionalFormatting sqref="L1751 M1756:M1759 L1756:L1757 L1754:M1755">
    <cfRule type="expression" dxfId="3989" priority="5377">
      <formula>$H1751="SUBETAPA"</formula>
    </cfRule>
  </conditionalFormatting>
  <conditionalFormatting sqref="L1752">
    <cfRule type="expression" dxfId="3988" priority="5375">
      <formula>$H1752="SUBETAPA"</formula>
    </cfRule>
    <cfRule type="expression" dxfId="3987" priority="5374">
      <formula>$H1752="CÉLULA CONSTRUTIVA"</formula>
    </cfRule>
  </conditionalFormatting>
  <conditionalFormatting sqref="L1760:L1762 L1764 L1771 L1776 L1781 L1786 L1791 L1798 L1805 L1808:L1812 L1814 L1821 L1828 L1835 L1842 L1847 L1852 L1855:M1857 L1859:M1859 L1865:M1865 L1868:M1870 L1872:M1872 L1875:M1878 L1880:M1880">
    <cfRule type="expression" dxfId="3986" priority="5328">
      <formula>$H1760="CÉLULA CONSTRUTIVA"</formula>
    </cfRule>
  </conditionalFormatting>
  <conditionalFormatting sqref="L1763 L1765:L1766">
    <cfRule type="expression" dxfId="3985" priority="5373">
      <formula>$H1763="ETAPA"</formula>
    </cfRule>
  </conditionalFormatting>
  <conditionalFormatting sqref="L1797">
    <cfRule type="expression" dxfId="3984" priority="5372">
      <formula>$H1797="ETAPA"</formula>
    </cfRule>
  </conditionalFormatting>
  <conditionalFormatting sqref="L1804 L1806:L1807">
    <cfRule type="expression" dxfId="3983" priority="5371">
      <formula>$H1804="ETAPA"</formula>
    </cfRule>
  </conditionalFormatting>
  <conditionalFormatting sqref="L1813">
    <cfRule type="expression" dxfId="3982" priority="5370">
      <formula>$H1813="ETAPA"</formula>
    </cfRule>
  </conditionalFormatting>
  <conditionalFormatting sqref="L1820">
    <cfRule type="expression" dxfId="3981" priority="5369">
      <formula>$H1820="ETAPA"</formula>
    </cfRule>
  </conditionalFormatting>
  <conditionalFormatting sqref="L1827">
    <cfRule type="expression" dxfId="3980" priority="5368">
      <formula>$H1827="ETAPA"</formula>
    </cfRule>
  </conditionalFormatting>
  <conditionalFormatting sqref="L1834">
    <cfRule type="expression" dxfId="3979" priority="5367">
      <formula>$H1834="ETAPA"</formula>
    </cfRule>
  </conditionalFormatting>
  <conditionalFormatting sqref="L1841 L1851 L1854 L1858 L1860:L1864 L1866:L1867 L1871 L1873:L1874 L1879 L1881">
    <cfRule type="expression" dxfId="3978" priority="5366">
      <formula>$H1841="ETAPA"</formula>
    </cfRule>
  </conditionalFormatting>
  <conditionalFormatting sqref="L1882">
    <cfRule type="expression" dxfId="3977" priority="5362">
      <formula>$H1882="CÉLULA CONSTRUTIVA"</formula>
    </cfRule>
    <cfRule type="expression" dxfId="3976" priority="5361">
      <formula>$H1882="SUBETAPA"</formula>
    </cfRule>
  </conditionalFormatting>
  <conditionalFormatting sqref="L17:M17">
    <cfRule type="expression" dxfId="3975" priority="5360">
      <formula>$H17="SUBETAPA"</formula>
    </cfRule>
  </conditionalFormatting>
  <conditionalFormatting sqref="L37:M38">
    <cfRule type="expression" dxfId="3974" priority="5272">
      <formula>$H37="CÉLULA CONSTRUTIVA"</formula>
    </cfRule>
  </conditionalFormatting>
  <conditionalFormatting sqref="L52:M52">
    <cfRule type="expression" dxfId="3973" priority="5244">
      <formula>$H52="CÉLULA CONSTRUTIVA"</formula>
    </cfRule>
  </conditionalFormatting>
  <conditionalFormatting sqref="L56:M56">
    <cfRule type="expression" dxfId="3972" priority="5232">
      <formula>$H56="CÉLULA CONSTRUTIVA"</formula>
    </cfRule>
  </conditionalFormatting>
  <conditionalFormatting sqref="L80:M83">
    <cfRule type="expression" dxfId="3971" priority="5359">
      <formula>$H80="SUBETAPA"</formula>
    </cfRule>
  </conditionalFormatting>
  <conditionalFormatting sqref="L123:M123">
    <cfRule type="expression" dxfId="3970" priority="5358">
      <formula>$H123="ETAPA"</formula>
    </cfRule>
  </conditionalFormatting>
  <conditionalFormatting sqref="L126:M126">
    <cfRule type="expression" dxfId="3969" priority="5357">
      <formula>$H126="ETAPA"</formula>
    </cfRule>
  </conditionalFormatting>
  <conditionalFormatting sqref="L129:M129">
    <cfRule type="expression" dxfId="3968" priority="5356">
      <formula>$H129="ETAPA"</formula>
    </cfRule>
  </conditionalFormatting>
  <conditionalFormatting sqref="L134:M134">
    <cfRule type="expression" dxfId="3967" priority="5355">
      <formula>$H134="ETAPA"</formula>
    </cfRule>
  </conditionalFormatting>
  <conditionalFormatting sqref="L137:M137">
    <cfRule type="expression" dxfId="3966" priority="5354">
      <formula>$H137="ETAPA"</formula>
    </cfRule>
  </conditionalFormatting>
  <conditionalFormatting sqref="L149:M157">
    <cfRule type="expression" dxfId="3965" priority="5180">
      <formula>$H149="CÉLULA CONSTRUTIVA"</formula>
    </cfRule>
  </conditionalFormatting>
  <conditionalFormatting sqref="L159:M167">
    <cfRule type="expression" dxfId="3964" priority="5173">
      <formula>$H159="CÉLULA CONSTRUTIVA"</formula>
    </cfRule>
  </conditionalFormatting>
  <conditionalFormatting sqref="L169:M176">
    <cfRule type="expression" dxfId="3963" priority="5169">
      <formula>$H169="CÉLULA CONSTRUTIVA"</formula>
    </cfRule>
  </conditionalFormatting>
  <conditionalFormatting sqref="L223:M230">
    <cfRule type="expression" dxfId="3962" priority="5134">
      <formula>$H223="CÉLULA CONSTRUTIVA"</formula>
    </cfRule>
  </conditionalFormatting>
  <conditionalFormatting sqref="L232:M239">
    <cfRule type="expression" dxfId="3961" priority="5130">
      <formula>$H232="CÉLULA CONSTRUTIVA"</formula>
    </cfRule>
  </conditionalFormatting>
  <conditionalFormatting sqref="L241:M248">
    <cfRule type="expression" dxfId="3960" priority="5126">
      <formula>$H241="CÉLULA CONSTRUTIVA"</formula>
    </cfRule>
  </conditionalFormatting>
  <conditionalFormatting sqref="L250:M257">
    <cfRule type="expression" dxfId="3959" priority="5122">
      <formula>$H250="CÉLULA CONSTRUTIVA"</formula>
    </cfRule>
  </conditionalFormatting>
  <conditionalFormatting sqref="L259:M266">
    <cfRule type="expression" dxfId="3958" priority="5118">
      <formula>$H259="CÉLULA CONSTRUTIVA"</formula>
    </cfRule>
  </conditionalFormatting>
  <conditionalFormatting sqref="L280:M280">
    <cfRule type="expression" dxfId="3957" priority="5353">
      <formula>$H280="CÉLULA CONSTRUTIVA"</formula>
    </cfRule>
  </conditionalFormatting>
  <conditionalFormatting sqref="L280:M281">
    <cfRule type="expression" dxfId="3956" priority="5352">
      <formula>$H280="SUBETAPA"</formula>
    </cfRule>
  </conditionalFormatting>
  <conditionalFormatting sqref="L283:M283">
    <cfRule type="expression" dxfId="3955" priority="5350">
      <formula>$H283="CÉLULA CONSTRUTIVA"</formula>
    </cfRule>
  </conditionalFormatting>
  <conditionalFormatting sqref="L285:M285">
    <cfRule type="expression" dxfId="3954" priority="5349">
      <formula>$H285="CÉLULA CONSTRUTIVA"</formula>
    </cfRule>
  </conditionalFormatting>
  <conditionalFormatting sqref="L287:M287">
    <cfRule type="expression" dxfId="3953" priority="5348">
      <formula>$H287="CÉLULA CONSTRUTIVA"</formula>
    </cfRule>
  </conditionalFormatting>
  <conditionalFormatting sqref="L289:M289">
    <cfRule type="expression" dxfId="3952" priority="5347">
      <formula>$H289="CÉLULA CONSTRUTIVA"</formula>
    </cfRule>
  </conditionalFormatting>
  <conditionalFormatting sqref="L291:M291">
    <cfRule type="expression" dxfId="3951" priority="5346">
      <formula>$H291="CÉLULA CONSTRUTIVA"</formula>
    </cfRule>
  </conditionalFormatting>
  <conditionalFormatting sqref="L293:M293">
    <cfRule type="expression" dxfId="3950" priority="5345">
      <formula>$H293="CÉLULA CONSTRUTIVA"</formula>
    </cfRule>
  </conditionalFormatting>
  <conditionalFormatting sqref="L295:M295 N296">
    <cfRule type="expression" dxfId="3949" priority="5343">
      <formula>$H295="SUBETAPA"</formula>
    </cfRule>
    <cfRule type="expression" dxfId="3948" priority="5344">
      <formula>$H295="CÉLULA CONSTRUTIVA"</formula>
    </cfRule>
  </conditionalFormatting>
  <conditionalFormatting sqref="L296:M296">
    <cfRule type="expression" dxfId="3947" priority="5093">
      <formula>$H296="CÉLULA CONSTRUTIVA"</formula>
    </cfRule>
  </conditionalFormatting>
  <conditionalFormatting sqref="L297:M297">
    <cfRule type="expression" dxfId="3946" priority="5342">
      <formula>$H297="CÉLULA CONSTRUTIVA"</formula>
    </cfRule>
  </conditionalFormatting>
  <conditionalFormatting sqref="L299:M299">
    <cfRule type="expression" dxfId="3945" priority="5341">
      <formula>$H299="CÉLULA CONSTRUTIVA"</formula>
    </cfRule>
  </conditionalFormatting>
  <conditionalFormatting sqref="L301:M301">
    <cfRule type="expression" dxfId="3944" priority="5340">
      <formula>$H301="CÉLULA CONSTRUTIVA"</formula>
    </cfRule>
  </conditionalFormatting>
  <conditionalFormatting sqref="L303:M303">
    <cfRule type="expression" dxfId="3943" priority="5339">
      <formula>$H303="CÉLULA CONSTRUTIVA"</formula>
    </cfRule>
  </conditionalFormatting>
  <conditionalFormatting sqref="L305:M305">
    <cfRule type="expression" dxfId="3942" priority="5338">
      <formula>$H305="CÉLULA CONSTRUTIVA"</formula>
    </cfRule>
  </conditionalFormatting>
  <conditionalFormatting sqref="L307:M307">
    <cfRule type="expression" dxfId="3941" priority="5337">
      <formula>$H307="CÉLULA CONSTRUTIVA"</formula>
    </cfRule>
  </conditionalFormatting>
  <conditionalFormatting sqref="L309:M309">
    <cfRule type="expression" dxfId="3940" priority="5336">
      <formula>$H309="CÉLULA CONSTRUTIVA"</formula>
    </cfRule>
  </conditionalFormatting>
  <conditionalFormatting sqref="L311:M311 N312:O312">
    <cfRule type="expression" dxfId="3939" priority="5335">
      <formula>$H311="CÉLULA CONSTRUTIVA"</formula>
    </cfRule>
  </conditionalFormatting>
  <conditionalFormatting sqref="L347:M347">
    <cfRule type="expression" dxfId="3938" priority="5334">
      <formula>$H347="CÉLULA CONSTRUTIVA"</formula>
    </cfRule>
  </conditionalFormatting>
  <conditionalFormatting sqref="L1120:M1128 L1146:M1148 L1153:M1155 L1160:M1162 L1165:M1167 L1170:M1172 L1175:M1177">
    <cfRule type="expression" dxfId="3937" priority="4474">
      <formula>$H1120="CÉLULA CONSTRUTIVA"</formula>
    </cfRule>
  </conditionalFormatting>
  <conditionalFormatting sqref="L1131:M1131">
    <cfRule type="expression" dxfId="3936" priority="5862">
      <formula>$H1131="SUBETAPA"</formula>
    </cfRule>
  </conditionalFormatting>
  <conditionalFormatting sqref="L1134:M1134">
    <cfRule type="expression" dxfId="3935" priority="5859">
      <formula>$H1134="SUBETAPA"</formula>
    </cfRule>
  </conditionalFormatting>
  <conditionalFormatting sqref="L1137:M1137">
    <cfRule type="expression" dxfId="3934" priority="5856">
      <formula>$H1137="SUBETAPA"</formula>
    </cfRule>
  </conditionalFormatting>
  <conditionalFormatting sqref="L1140:M1140">
    <cfRule type="expression" dxfId="3933" priority="5853">
      <formula>$H1140="SUBETAPA"</formula>
    </cfRule>
  </conditionalFormatting>
  <conditionalFormatting sqref="L1143:M1143">
    <cfRule type="expression" dxfId="3932" priority="5850">
      <formula>$H1143="SUBETAPA"</formula>
    </cfRule>
  </conditionalFormatting>
  <conditionalFormatting sqref="L1180:M1180">
    <cfRule type="expression" dxfId="3931" priority="5793">
      <formula>$H1180="SUBETAPA"</formula>
    </cfRule>
  </conditionalFormatting>
  <conditionalFormatting sqref="L1444:M1446 L1454:M1456 L1463:M1465 L1470:M1472 L1477:M1479 L1485:M1487 L1495:M1497 L1503:M1505 L1514:M1516 L1547:M1549 L1558:M1559">
    <cfRule type="expression" dxfId="3930" priority="5330">
      <formula>$H1444="CÉLULA CONSTRUTIVA"</formula>
    </cfRule>
  </conditionalFormatting>
  <conditionalFormatting sqref="L1525:M1527 L1536:M1538">
    <cfRule type="expression" dxfId="3929" priority="5332">
      <formula>$H1525="CÉLULA CONSTRUTIVA"</formula>
    </cfRule>
  </conditionalFormatting>
  <conditionalFormatting sqref="L1536:M1537 L1525:M1526">
    <cfRule type="expression" dxfId="3928" priority="5331">
      <formula>$H1525="SUBETAPA"</formula>
    </cfRule>
  </conditionalFormatting>
  <conditionalFormatting sqref="L1558:M1559 L1547:M1548 L1514:M1515 L1503:M1504 L1495:M1496 L1485:M1486 L1477:M1478 L1470:M1471 L1463:M1464 L1454:M1455 L1444:M1445">
    <cfRule type="expression" dxfId="3927" priority="5329">
      <formula>$H1444="SUBETAPA"</formula>
    </cfRule>
  </conditionalFormatting>
  <conditionalFormatting sqref="L1855:M1857 L1868:M1870 L1842 L1852 L1859 L1865 L1872 L1880 L1760:L1762 L1764 L1847 L1805 L1835 L1828 L1821 L1808:L1812 L1814 L1798 L1771 L1791 L1786 L1781 L1776 L1875:M1878">
    <cfRule type="expression" dxfId="3926" priority="5327">
      <formula>$H1760="SUBETAPA"</formula>
    </cfRule>
  </conditionalFormatting>
  <conditionalFormatting sqref="L48:N48 N45:O45">
    <cfRule type="expression" dxfId="3925" priority="5326">
      <formula>$H45="SUBETAPA"</formula>
    </cfRule>
  </conditionalFormatting>
  <conditionalFormatting sqref="L62:N62">
    <cfRule type="expression" dxfId="3924" priority="5325">
      <formula>$H62="ETAPA"</formula>
    </cfRule>
  </conditionalFormatting>
  <conditionalFormatting sqref="L65:N65">
    <cfRule type="expression" dxfId="3923" priority="3445">
      <formula>$H65="CÉLULA CONSTRUTIVA"</formula>
    </cfRule>
  </conditionalFormatting>
  <conditionalFormatting sqref="L178:N178">
    <cfRule type="expression" dxfId="3922" priority="5166">
      <formula>$H178="CÉLULA CONSTRUTIVA"</formula>
    </cfRule>
  </conditionalFormatting>
  <conditionalFormatting sqref="L187:N187">
    <cfRule type="expression" dxfId="3921" priority="5160">
      <formula>$H187="CÉLULA CONSTRUTIVA"</formula>
    </cfRule>
  </conditionalFormatting>
  <conditionalFormatting sqref="L196:N196">
    <cfRule type="expression" dxfId="3920" priority="5154">
      <formula>$H196="CÉLULA CONSTRUTIVA"</formula>
    </cfRule>
  </conditionalFormatting>
  <conditionalFormatting sqref="L214:N214">
    <cfRule type="expression" dxfId="3919" priority="5141">
      <formula>$H214="CÉLULA CONSTRUTIVA"</formula>
    </cfRule>
  </conditionalFormatting>
  <conditionalFormatting sqref="L283:N283">
    <cfRule type="expression" dxfId="3918" priority="5324">
      <formula>$H283="ETAPA"</formula>
    </cfRule>
  </conditionalFormatting>
  <conditionalFormatting sqref="L284:N284">
    <cfRule type="expression" dxfId="3917" priority="5111">
      <formula>$H284="CÉLULA CONSTRUTIVA"</formula>
    </cfRule>
  </conditionalFormatting>
  <conditionalFormatting sqref="L285:N285">
    <cfRule type="expression" dxfId="3916" priority="5323">
      <formula>$H285="ETAPA"</formula>
    </cfRule>
  </conditionalFormatting>
  <conditionalFormatting sqref="L286:N286">
    <cfRule type="expression" dxfId="3915" priority="5108">
      <formula>$H286="CÉLULA CONSTRUTIVA"</formula>
    </cfRule>
  </conditionalFormatting>
  <conditionalFormatting sqref="L287:N287">
    <cfRule type="expression" dxfId="3914" priority="5322">
      <formula>$H287="ETAPA"</formula>
    </cfRule>
  </conditionalFormatting>
  <conditionalFormatting sqref="L288:N288">
    <cfRule type="expression" dxfId="3913" priority="5105">
      <formula>$H288="CÉLULA CONSTRUTIVA"</formula>
    </cfRule>
  </conditionalFormatting>
  <conditionalFormatting sqref="L289:N289">
    <cfRule type="expression" dxfId="3912" priority="5321">
      <formula>$H289="ETAPA"</formula>
    </cfRule>
  </conditionalFormatting>
  <conditionalFormatting sqref="L290:N290">
    <cfRule type="expression" dxfId="3911" priority="5102">
      <formula>$H290="CÉLULA CONSTRUTIVA"</formula>
    </cfRule>
  </conditionalFormatting>
  <conditionalFormatting sqref="L291:N291">
    <cfRule type="expression" dxfId="3910" priority="5320">
      <formula>$H291="ETAPA"</formula>
    </cfRule>
  </conditionalFormatting>
  <conditionalFormatting sqref="L292:N292">
    <cfRule type="expression" dxfId="3909" priority="5099">
      <formula>$H292="CÉLULA CONSTRUTIVA"</formula>
    </cfRule>
  </conditionalFormatting>
  <conditionalFormatting sqref="L293:N293">
    <cfRule type="expression" dxfId="3908" priority="5319">
      <formula>$H293="ETAPA"</formula>
    </cfRule>
  </conditionalFormatting>
  <conditionalFormatting sqref="L294:N294">
    <cfRule type="expression" dxfId="3907" priority="5096">
      <formula>$H294="CÉLULA CONSTRUTIVA"</formula>
    </cfRule>
  </conditionalFormatting>
  <conditionalFormatting sqref="L295:N295">
    <cfRule type="expression" dxfId="3906" priority="5318">
      <formula>$H295="ETAPA"</formula>
    </cfRule>
  </conditionalFormatting>
  <conditionalFormatting sqref="L297:N297">
    <cfRule type="expression" dxfId="3905" priority="5317">
      <formula>$H297="ETAPA"</formula>
    </cfRule>
  </conditionalFormatting>
  <conditionalFormatting sqref="L298:N298">
    <cfRule type="expression" dxfId="3904" priority="5090">
      <formula>$H298="CÉLULA CONSTRUTIVA"</formula>
    </cfRule>
  </conditionalFormatting>
  <conditionalFormatting sqref="L299:N299">
    <cfRule type="expression" dxfId="3903" priority="5316">
      <formula>$H299="ETAPA"</formula>
    </cfRule>
  </conditionalFormatting>
  <conditionalFormatting sqref="L300:N300">
    <cfRule type="expression" dxfId="3902" priority="5087">
      <formula>$H300="CÉLULA CONSTRUTIVA"</formula>
    </cfRule>
  </conditionalFormatting>
  <conditionalFormatting sqref="L301:N301">
    <cfRule type="expression" dxfId="3901" priority="5315">
      <formula>$H301="ETAPA"</formula>
    </cfRule>
  </conditionalFormatting>
  <conditionalFormatting sqref="L302:N302">
    <cfRule type="expression" dxfId="3900" priority="5084">
      <formula>$H302="CÉLULA CONSTRUTIVA"</formula>
    </cfRule>
  </conditionalFormatting>
  <conditionalFormatting sqref="L303:N303">
    <cfRule type="expression" dxfId="3899" priority="5314">
      <formula>$H303="ETAPA"</formula>
    </cfRule>
  </conditionalFormatting>
  <conditionalFormatting sqref="L304:N304">
    <cfRule type="expression" dxfId="3898" priority="5081">
      <formula>$H304="CÉLULA CONSTRUTIVA"</formula>
    </cfRule>
  </conditionalFormatting>
  <conditionalFormatting sqref="L305:N305">
    <cfRule type="expression" dxfId="3897" priority="5313">
      <formula>$H305="ETAPA"</formula>
    </cfRule>
  </conditionalFormatting>
  <conditionalFormatting sqref="L306:N306">
    <cfRule type="expression" dxfId="3896" priority="5078">
      <formula>$H306="CÉLULA CONSTRUTIVA"</formula>
    </cfRule>
  </conditionalFormatting>
  <conditionalFormatting sqref="L307:N307">
    <cfRule type="expression" dxfId="3895" priority="5312">
      <formula>$H307="ETAPA"</formula>
    </cfRule>
  </conditionalFormatting>
  <conditionalFormatting sqref="L308:N308">
    <cfRule type="expression" dxfId="3894" priority="5075">
      <formula>$H308="CÉLULA CONSTRUTIVA"</formula>
    </cfRule>
  </conditionalFormatting>
  <conditionalFormatting sqref="L309:N309">
    <cfRule type="expression" dxfId="3893" priority="5311">
      <formula>$H309="ETAPA"</formula>
    </cfRule>
  </conditionalFormatting>
  <conditionalFormatting sqref="L310:N310">
    <cfRule type="expression" dxfId="3892" priority="5072">
      <formula>$H310="CÉLULA CONSTRUTIVA"</formula>
    </cfRule>
  </conditionalFormatting>
  <conditionalFormatting sqref="L311:N311">
    <cfRule type="expression" dxfId="3891" priority="5310">
      <formula>$H311="ETAPA"</formula>
    </cfRule>
  </conditionalFormatting>
  <conditionalFormatting sqref="L347:N347">
    <cfRule type="expression" dxfId="3890" priority="5309">
      <formula>$H347="ETAPA"</formula>
    </cfRule>
  </conditionalFormatting>
  <conditionalFormatting sqref="M20">
    <cfRule type="expression" dxfId="3889" priority="5308">
      <formula>$H20="ETAPA"</formula>
    </cfRule>
    <cfRule type="expression" dxfId="3888" priority="5306">
      <formula>$H20="SUBETAPA"</formula>
    </cfRule>
  </conditionalFormatting>
  <conditionalFormatting sqref="M21:M22">
    <cfRule type="expression" dxfId="3887" priority="5303">
      <formula>$H21="CÉLULA CONSTRUTIVA"</formula>
    </cfRule>
  </conditionalFormatting>
  <conditionalFormatting sqref="M22">
    <cfRule type="expression" dxfId="3886" priority="5302">
      <formula>$H22="SUBETAPA"</formula>
    </cfRule>
    <cfRule type="expression" dxfId="3885" priority="5301">
      <formula>$H22="ETAPA"</formula>
    </cfRule>
    <cfRule type="expression" dxfId="3884" priority="5300">
      <formula>$H22="CÉLULA CONSTRUTIVA"</formula>
    </cfRule>
    <cfRule type="expression" dxfId="3883" priority="5299">
      <formula>$H22="ETAPA"</formula>
    </cfRule>
  </conditionalFormatting>
  <conditionalFormatting sqref="M22:M23">
    <cfRule type="expression" dxfId="3882" priority="5304">
      <formula>$H22="ETAPA"</formula>
    </cfRule>
    <cfRule type="expression" dxfId="3881" priority="5297">
      <formula>$H22="CÉLULA CONSTRUTIVA"</formula>
    </cfRule>
  </conditionalFormatting>
  <conditionalFormatting sqref="M23">
    <cfRule type="expression" dxfId="3880" priority="5296">
      <formula>$H23="SUBETAPA"</formula>
    </cfRule>
  </conditionalFormatting>
  <conditionalFormatting sqref="M26:M30">
    <cfRule type="expression" dxfId="3879" priority="5292">
      <formula>$H26="CÉLULA CONSTRUTIVA"</formula>
    </cfRule>
  </conditionalFormatting>
  <conditionalFormatting sqref="M28:M30">
    <cfRule type="expression" dxfId="3878" priority="5293">
      <formula>$H28="ETAPA"</formula>
    </cfRule>
  </conditionalFormatting>
  <conditionalFormatting sqref="M29">
    <cfRule type="expression" dxfId="3877" priority="5291">
      <formula>$H29="ETAPA"</formula>
    </cfRule>
  </conditionalFormatting>
  <conditionalFormatting sqref="M29:M30">
    <cfRule type="expression" dxfId="3876" priority="5288">
      <formula>$H29="CÉLULA CONSTRUTIVA"</formula>
    </cfRule>
  </conditionalFormatting>
  <conditionalFormatting sqref="M30">
    <cfRule type="expression" dxfId="3875" priority="5289">
      <formula>$H30="ETAPA"</formula>
    </cfRule>
  </conditionalFormatting>
  <conditionalFormatting sqref="M32">
    <cfRule type="expression" dxfId="3874" priority="5287">
      <formula>$H32="ETAPA"</formula>
    </cfRule>
  </conditionalFormatting>
  <conditionalFormatting sqref="M33:M36">
    <cfRule type="expression" dxfId="3873" priority="5285">
      <formula>$H33="ETAPA"</formula>
    </cfRule>
  </conditionalFormatting>
  <conditionalFormatting sqref="M34:M36">
    <cfRule type="expression" dxfId="3872" priority="5284">
      <formula>$H34="CÉLULA CONSTRUTIVA"</formula>
    </cfRule>
  </conditionalFormatting>
  <conditionalFormatting sqref="M35">
    <cfRule type="expression" dxfId="3871" priority="5283">
      <formula>$H35="ETAPA"</formula>
    </cfRule>
  </conditionalFormatting>
  <conditionalFormatting sqref="M35:M37">
    <cfRule type="expression" dxfId="3870" priority="5277">
      <formula>$H35="CÉLULA CONSTRUTIVA"</formula>
    </cfRule>
  </conditionalFormatting>
  <conditionalFormatting sqref="M36">
    <cfRule type="expression" dxfId="3869" priority="5281">
      <formula>$H36="ETAPA"</formula>
    </cfRule>
  </conditionalFormatting>
  <conditionalFormatting sqref="M37">
    <cfRule type="expression" dxfId="3868" priority="5279">
      <formula>$H37="SUBETAPA"</formula>
    </cfRule>
    <cfRule type="expression" dxfId="3867" priority="5276">
      <formula>$H37="ETAPA"</formula>
    </cfRule>
    <cfRule type="expression" dxfId="3866" priority="5278">
      <formula>$H37="ETAPA"</formula>
    </cfRule>
  </conditionalFormatting>
  <conditionalFormatting sqref="M38">
    <cfRule type="expression" dxfId="3865" priority="5274">
      <formula>$H38="SUBETAPA"</formula>
    </cfRule>
    <cfRule type="expression" dxfId="3864" priority="5273">
      <formula>$H38="ETAPA"</formula>
    </cfRule>
    <cfRule type="expression" dxfId="3863" priority="5271">
      <formula>$H38="ETAPA"</formula>
    </cfRule>
    <cfRule type="expression" dxfId="3862" priority="5270">
      <formula>$H38="CÉLULA CONSTRUTIVA"</formula>
    </cfRule>
  </conditionalFormatting>
  <conditionalFormatting sqref="M40">
    <cfRule type="expression" dxfId="3861" priority="5266">
      <formula>$H40="ETAPA"</formula>
    </cfRule>
    <cfRule type="expression" dxfId="3860" priority="5265">
      <formula>$H40="CÉLULA CONSTRUTIVA"</formula>
    </cfRule>
    <cfRule type="expression" dxfId="3859" priority="5269">
      <formula>$H40="SUBETAPA"</formula>
    </cfRule>
    <cfRule type="expression" dxfId="3858" priority="5268">
      <formula>$H40="ETAPA"</formula>
    </cfRule>
  </conditionalFormatting>
  <conditionalFormatting sqref="M42:M45">
    <cfRule type="expression" dxfId="3857" priority="5262">
      <formula>$H42="CÉLULA CONSTRUTIVA"</formula>
    </cfRule>
  </conditionalFormatting>
  <conditionalFormatting sqref="M44:M45 M48">
    <cfRule type="expression" dxfId="3856" priority="5263">
      <formula>$H44="ETAPA"</formula>
    </cfRule>
  </conditionalFormatting>
  <conditionalFormatting sqref="M45">
    <cfRule type="expression" dxfId="3855" priority="5261">
      <formula>$H45="ETAPA"</formula>
    </cfRule>
  </conditionalFormatting>
  <conditionalFormatting sqref="M45:M46">
    <cfRule type="expression" dxfId="3854" priority="5257">
      <formula>$H45="CÉLULA CONSTRUTIVA"</formula>
    </cfRule>
  </conditionalFormatting>
  <conditionalFormatting sqref="M46">
    <cfRule type="expression" dxfId="3853" priority="5259">
      <formula>$H46="SUBETAPA"</formula>
    </cfRule>
    <cfRule type="expression" dxfId="3852" priority="5256">
      <formula>$H46="ETAPA"</formula>
    </cfRule>
  </conditionalFormatting>
  <conditionalFormatting sqref="M46:M48">
    <cfRule type="expression" dxfId="3851" priority="5252">
      <formula>$H46="CÉLULA CONSTRUTIVA"</formula>
    </cfRule>
  </conditionalFormatting>
  <conditionalFormatting sqref="M47">
    <cfRule type="expression" dxfId="3850" priority="5254">
      <formula>$H47="SUBETAPA"</formula>
    </cfRule>
    <cfRule type="expression" dxfId="3849" priority="5253">
      <formula>$H47="ETAPA"</formula>
    </cfRule>
    <cfRule type="expression" dxfId="3848" priority="5251">
      <formula>$H47="ETAPA"</formula>
    </cfRule>
  </conditionalFormatting>
  <conditionalFormatting sqref="M48">
    <cfRule type="expression" dxfId="3847" priority="5249">
      <formula>$H48="ETAPA"</formula>
    </cfRule>
    <cfRule type="expression" dxfId="3846" priority="5248">
      <formula>$H48="CÉLULA CONSTRUTIVA"</formula>
    </cfRule>
  </conditionalFormatting>
  <conditionalFormatting sqref="M50">
    <cfRule type="expression" dxfId="3845" priority="5247">
      <formula>$H50="ETAPA"</formula>
    </cfRule>
  </conditionalFormatting>
  <conditionalFormatting sqref="M52">
    <cfRule type="expression" dxfId="3844" priority="5245">
      <formula>$H52="ETAPA"</formula>
    </cfRule>
  </conditionalFormatting>
  <conditionalFormatting sqref="M53">
    <cfRule type="expression" dxfId="3843" priority="5243">
      <formula>$H53="SUBETAPA"</formula>
    </cfRule>
    <cfRule type="expression" dxfId="3842" priority="5241">
      <formula>$H53="CÉLULA CONSTRUTIVA"</formula>
    </cfRule>
    <cfRule type="expression" dxfId="3841" priority="5240">
      <formula>$H53="ETAPA"</formula>
    </cfRule>
  </conditionalFormatting>
  <conditionalFormatting sqref="M53:M54">
    <cfRule type="expression" dxfId="3840" priority="5236">
      <formula>$H53="CÉLULA CONSTRUTIVA"</formula>
    </cfRule>
  </conditionalFormatting>
  <conditionalFormatting sqref="M54">
    <cfRule type="expression" dxfId="3839" priority="5235">
      <formula>$H54="ETAPA"</formula>
    </cfRule>
    <cfRule type="expression" dxfId="3838" priority="5238">
      <formula>$H54="SUBETAPA"</formula>
    </cfRule>
    <cfRule type="expression" dxfId="3837" priority="5234">
      <formula>$H54="CÉLULA CONSTRUTIVA"</formula>
    </cfRule>
  </conditionalFormatting>
  <conditionalFormatting sqref="M56">
    <cfRule type="expression" dxfId="3836" priority="5233">
      <formula>$H56="ETAPA"</formula>
    </cfRule>
  </conditionalFormatting>
  <conditionalFormatting sqref="M57">
    <cfRule type="expression" dxfId="3835" priority="5229">
      <formula>$H57="SUBETAPA"</formula>
    </cfRule>
    <cfRule type="expression" dxfId="3834" priority="5230">
      <formula>$H57="CÉLULA CONSTRUTIVA"</formula>
    </cfRule>
  </conditionalFormatting>
  <conditionalFormatting sqref="M58">
    <cfRule type="expression" dxfId="3833" priority="5228">
      <formula>$H58="CÉLULA CONSTRUTIVA"</formula>
    </cfRule>
  </conditionalFormatting>
  <conditionalFormatting sqref="M64">
    <cfRule type="expression" dxfId="3832" priority="5227">
      <formula>$H64="ETAPA"</formula>
    </cfRule>
  </conditionalFormatting>
  <conditionalFormatting sqref="M64:M65">
    <cfRule type="expression" dxfId="3831" priority="5223">
      <formula>$H64="CÉLULA CONSTRUTIVA"</formula>
    </cfRule>
  </conditionalFormatting>
  <conditionalFormatting sqref="M65">
    <cfRule type="expression" dxfId="3830" priority="5225">
      <formula>$H65="SUBETAPA"</formula>
    </cfRule>
    <cfRule type="expression" dxfId="3829" priority="5224">
      <formula>$H65="ETAPA"</formula>
    </cfRule>
    <cfRule type="expression" dxfId="3828" priority="5222">
      <formula>$H65="ETAPA"</formula>
    </cfRule>
  </conditionalFormatting>
  <conditionalFormatting sqref="M66:M68">
    <cfRule type="expression" dxfId="3827" priority="5220">
      <formula>$H66="ETAPA"</formula>
    </cfRule>
    <cfRule type="expression" dxfId="3826" priority="5219">
      <formula>$H66="CÉLULA CONSTRUTIVA"</formula>
    </cfRule>
  </conditionalFormatting>
  <conditionalFormatting sqref="M67">
    <cfRule type="expression" dxfId="3825" priority="5218">
      <formula>$H67="ETAPA"</formula>
    </cfRule>
    <cfRule type="expression" dxfId="3824" priority="5217">
      <formula>$H67="CÉLULA CONSTRUTIVA"</formula>
    </cfRule>
  </conditionalFormatting>
  <conditionalFormatting sqref="M77">
    <cfRule type="expression" dxfId="3823" priority="5216">
      <formula>$H77="CÉLULA CONSTRUTIVA"</formula>
    </cfRule>
  </conditionalFormatting>
  <conditionalFormatting sqref="M80:M83 I80:K82">
    <cfRule type="expression" dxfId="3822" priority="7983">
      <formula>$H80="ETAPA"</formula>
    </cfRule>
  </conditionalFormatting>
  <conditionalFormatting sqref="M84">
    <cfRule type="expression" dxfId="3821" priority="5215">
      <formula>$H84="ETAPA"</formula>
    </cfRule>
  </conditionalFormatting>
  <conditionalFormatting sqref="M84:M93">
    <cfRule type="expression" dxfId="3820" priority="5211">
      <formula>$H84="CÉLULA CONSTRUTIVA"</formula>
    </cfRule>
  </conditionalFormatting>
  <conditionalFormatting sqref="M85:M93">
    <cfRule type="expression" dxfId="3819" priority="5213">
      <formula>$H85="ETAPA"</formula>
    </cfRule>
  </conditionalFormatting>
  <conditionalFormatting sqref="M96:M98">
    <cfRule type="expression" dxfId="3818" priority="5209">
      <formula>$H96="CÉLULA CONSTRUTIVA"</formula>
    </cfRule>
  </conditionalFormatting>
  <conditionalFormatting sqref="M97:M98">
    <cfRule type="expression" dxfId="3817" priority="5208">
      <formula>$H97="SUBETAPA"</formula>
    </cfRule>
  </conditionalFormatting>
  <conditionalFormatting sqref="M100:M101">
    <cfRule type="expression" dxfId="3816" priority="5210">
      <formula>$H100="CÉLULA CONSTRUTIVA"</formula>
    </cfRule>
  </conditionalFormatting>
  <conditionalFormatting sqref="M104">
    <cfRule type="expression" dxfId="3815" priority="5207">
      <formula>$H104="CÉLULA CONSTRUTIVA"</formula>
    </cfRule>
  </conditionalFormatting>
  <conditionalFormatting sqref="M106">
    <cfRule type="expression" dxfId="3814" priority="5206">
      <formula>$H106="CÉLULA CONSTRUTIVA"</formula>
    </cfRule>
  </conditionalFormatting>
  <conditionalFormatting sqref="M108">
    <cfRule type="expression" dxfId="3813" priority="5205">
      <formula>$H108="CÉLULA CONSTRUTIVA"</formula>
    </cfRule>
  </conditionalFormatting>
  <conditionalFormatting sqref="M110">
    <cfRule type="expression" dxfId="3812" priority="5204">
      <formula>$H110="CÉLULA CONSTRUTIVA"</formula>
    </cfRule>
  </conditionalFormatting>
  <conditionalFormatting sqref="M112">
    <cfRule type="expression" dxfId="3811" priority="5203">
      <formula>$H112="CÉLULA CONSTRUTIVA"</formula>
    </cfRule>
  </conditionalFormatting>
  <conditionalFormatting sqref="M114">
    <cfRule type="expression" dxfId="3810" priority="5201">
      <formula>$H114="SUBETAPA"</formula>
    </cfRule>
    <cfRule type="expression" dxfId="3809" priority="5202">
      <formula>$H114="CÉLULA CONSTRUTIVA"</formula>
    </cfRule>
  </conditionalFormatting>
  <conditionalFormatting sqref="M116">
    <cfRule type="expression" dxfId="3808" priority="5200">
      <formula>$H116="CÉLULA CONSTRUTIVA"</formula>
    </cfRule>
  </conditionalFormatting>
  <conditionalFormatting sqref="M118">
    <cfRule type="expression" dxfId="3807" priority="5199">
      <formula>$H118="CÉLULA CONSTRUTIVA"</formula>
    </cfRule>
  </conditionalFormatting>
  <conditionalFormatting sqref="M120">
    <cfRule type="expression" dxfId="3806" priority="5198">
      <formula>$H120="CÉLULA CONSTRUTIVA"</formula>
    </cfRule>
  </conditionalFormatting>
  <conditionalFormatting sqref="M122">
    <cfRule type="expression" dxfId="3805" priority="5196">
      <formula>$H122="SUBETAPA"</formula>
    </cfRule>
    <cfRule type="expression" dxfId="3804" priority="5197">
      <formula>$H122="CÉLULA CONSTRUTIVA"</formula>
    </cfRule>
  </conditionalFormatting>
  <conditionalFormatting sqref="M125">
    <cfRule type="expression" dxfId="3803" priority="5194">
      <formula>$H125="SUBETAPA"</formula>
    </cfRule>
    <cfRule type="expression" dxfId="3802" priority="5195">
      <formula>$H125="CÉLULA CONSTRUTIVA"</formula>
    </cfRule>
  </conditionalFormatting>
  <conditionalFormatting sqref="M128">
    <cfRule type="expression" dxfId="3801" priority="5192">
      <formula>$H128="SUBETAPA"</formula>
    </cfRule>
    <cfRule type="expression" dxfId="3800" priority="5193">
      <formula>$H128="CÉLULA CONSTRUTIVA"</formula>
    </cfRule>
  </conditionalFormatting>
  <conditionalFormatting sqref="M131">
    <cfRule type="expression" dxfId="3799" priority="5191">
      <formula>$H131="CÉLULA CONSTRUTIVA"</formula>
    </cfRule>
  </conditionalFormatting>
  <conditionalFormatting sqref="M133">
    <cfRule type="expression" dxfId="3798" priority="5189">
      <formula>$H133="SUBETAPA"</formula>
    </cfRule>
    <cfRule type="expression" dxfId="3797" priority="5190">
      <formula>$H133="CÉLULA CONSTRUTIVA"</formula>
    </cfRule>
  </conditionalFormatting>
  <conditionalFormatting sqref="M136">
    <cfRule type="expression" dxfId="3796" priority="5188">
      <formula>$H136="CÉLULA CONSTRUTIVA"</formula>
    </cfRule>
    <cfRule type="expression" dxfId="3795" priority="5187">
      <formula>$H136="SUBETAPA"</formula>
    </cfRule>
  </conditionalFormatting>
  <conditionalFormatting sqref="M148">
    <cfRule type="expression" dxfId="3794" priority="5186">
      <formula>$H148="SUBETAPA"</formula>
    </cfRule>
  </conditionalFormatting>
  <conditionalFormatting sqref="M149:M156">
    <cfRule type="expression" dxfId="3793" priority="5184">
      <formula>$H149="SUBETAPA"</formula>
    </cfRule>
    <cfRule type="expression" dxfId="3792" priority="5185">
      <formula>$H149="ETAPA"</formula>
    </cfRule>
  </conditionalFormatting>
  <conditionalFormatting sqref="M157">
    <cfRule type="expression" dxfId="3791" priority="5181">
      <formula>$H157="SUBETAPA"</formula>
    </cfRule>
    <cfRule type="expression" dxfId="3790" priority="5182">
      <formula>$H157="ETAPA"</formula>
    </cfRule>
  </conditionalFormatting>
  <conditionalFormatting sqref="M158">
    <cfRule type="expression" dxfId="3789" priority="5179">
      <formula>$H158="SUBETAPA"</formula>
    </cfRule>
  </conditionalFormatting>
  <conditionalFormatting sqref="M159:M166">
    <cfRule type="expression" dxfId="3788" priority="5177">
      <formula>$H159="SUBETAPA"</formula>
    </cfRule>
    <cfRule type="expression" dxfId="3787" priority="5178">
      <formula>$H159="ETAPA"</formula>
    </cfRule>
  </conditionalFormatting>
  <conditionalFormatting sqref="M167">
    <cfRule type="expression" dxfId="3786" priority="5175">
      <formula>$H167="ETAPA"</formula>
    </cfRule>
    <cfRule type="expression" dxfId="3785" priority="5174">
      <formula>$H167="SUBETAPA"</formula>
    </cfRule>
  </conditionalFormatting>
  <conditionalFormatting sqref="M168">
    <cfRule type="expression" dxfId="3784" priority="5172">
      <formula>$H168="SUBETAPA"</formula>
    </cfRule>
  </conditionalFormatting>
  <conditionalFormatting sqref="M169:M176">
    <cfRule type="expression" dxfId="3783" priority="5171">
      <formula>$H169="ETAPA"</formula>
    </cfRule>
    <cfRule type="expression" dxfId="3782" priority="5170">
      <formula>$H169="SUBETAPA"</formula>
    </cfRule>
  </conditionalFormatting>
  <conditionalFormatting sqref="M178">
    <cfRule type="expression" dxfId="3781" priority="5168">
      <formula>$H178="ETAPA"</formula>
    </cfRule>
    <cfRule type="expression" dxfId="3780" priority="5167">
      <formula>$H178="SUBETAPA"</formula>
    </cfRule>
  </conditionalFormatting>
  <conditionalFormatting sqref="M185">
    <cfRule type="expression" dxfId="3779" priority="5165">
      <formula>$H185="ETAPA"</formula>
    </cfRule>
    <cfRule type="expression" dxfId="3778" priority="5164">
      <formula>$H185="SUBETAPA"</formula>
    </cfRule>
  </conditionalFormatting>
  <conditionalFormatting sqref="M187">
    <cfRule type="expression" dxfId="3777" priority="5162">
      <formula>$H187="ETAPA"</formula>
    </cfRule>
    <cfRule type="expression" dxfId="3776" priority="5161">
      <formula>$H187="SUBETAPA"</formula>
    </cfRule>
  </conditionalFormatting>
  <conditionalFormatting sqref="M194">
    <cfRule type="expression" dxfId="3775" priority="5159">
      <formula>$H194="ETAPA"</formula>
    </cfRule>
    <cfRule type="expression" dxfId="3774" priority="5158">
      <formula>$H194="SUBETAPA"</formula>
    </cfRule>
  </conditionalFormatting>
  <conditionalFormatting sqref="M196">
    <cfRule type="expression" dxfId="3773" priority="5156">
      <formula>$H196="ETAPA"</formula>
    </cfRule>
    <cfRule type="expression" dxfId="3772" priority="5155">
      <formula>$H196="SUBETAPA"</formula>
    </cfRule>
  </conditionalFormatting>
  <conditionalFormatting sqref="M203">
    <cfRule type="expression" dxfId="3771" priority="5153">
      <formula>$H203="ETAPA"</formula>
    </cfRule>
    <cfRule type="expression" dxfId="3770" priority="5152">
      <formula>$H203="SUBETAPA"</formula>
    </cfRule>
    <cfRule type="expression" dxfId="3769" priority="5151">
      <formula>$H203="CÉLULA CONSTRUTIVA"</formula>
    </cfRule>
  </conditionalFormatting>
  <conditionalFormatting sqref="M204">
    <cfRule type="expression" dxfId="3768" priority="5150">
      <formula>$H204="SUBETAPA"</formula>
    </cfRule>
  </conditionalFormatting>
  <conditionalFormatting sqref="M205">
    <cfRule type="expression" dxfId="3767" priority="5148">
      <formula>$H205="SUBETAPA"</formula>
    </cfRule>
    <cfRule type="expression" dxfId="3766" priority="5147">
      <formula>$H205="CÉLULA CONSTRUTIVA"</formula>
    </cfRule>
    <cfRule type="expression" dxfId="3765" priority="5149">
      <formula>$H205="ETAPA"</formula>
    </cfRule>
  </conditionalFormatting>
  <conditionalFormatting sqref="M212">
    <cfRule type="expression" dxfId="3764" priority="5146">
      <formula>$H212="ETAPA"</formula>
    </cfRule>
    <cfRule type="expression" dxfId="3763" priority="5145">
      <formula>$H212="SUBETAPA"</formula>
    </cfRule>
  </conditionalFormatting>
  <conditionalFormatting sqref="M214">
    <cfRule type="expression" dxfId="3762" priority="5142">
      <formula>$H214="SUBETAPA"</formula>
    </cfRule>
    <cfRule type="expression" dxfId="3761" priority="5143">
      <formula>$H214="ETAPA"</formula>
    </cfRule>
  </conditionalFormatting>
  <conditionalFormatting sqref="M221">
    <cfRule type="expression" dxfId="3760" priority="5139">
      <formula>$H221="SUBETAPA"</formula>
    </cfRule>
    <cfRule type="expression" dxfId="3759" priority="5140">
      <formula>$H221="ETAPA"</formula>
    </cfRule>
  </conditionalFormatting>
  <conditionalFormatting sqref="M222">
    <cfRule type="expression" dxfId="3758" priority="5137">
      <formula>$H222="SUBETAPA"</formula>
    </cfRule>
  </conditionalFormatting>
  <conditionalFormatting sqref="M223:M230">
    <cfRule type="expression" dxfId="3757" priority="5135">
      <formula>$H223="SUBETAPA"</formula>
    </cfRule>
    <cfRule type="expression" dxfId="3756" priority="5136">
      <formula>$H223="ETAPA"</formula>
    </cfRule>
  </conditionalFormatting>
  <conditionalFormatting sqref="M231">
    <cfRule type="expression" dxfId="3755" priority="5133">
      <formula>$H231="SUBETAPA"</formula>
    </cfRule>
  </conditionalFormatting>
  <conditionalFormatting sqref="M232:M239">
    <cfRule type="expression" dxfId="3754" priority="5131">
      <formula>$H232="SUBETAPA"</formula>
    </cfRule>
    <cfRule type="expression" dxfId="3753" priority="5132">
      <formula>$H232="ETAPA"</formula>
    </cfRule>
  </conditionalFormatting>
  <conditionalFormatting sqref="M240">
    <cfRule type="expression" dxfId="3752" priority="5129">
      <formula>$H240="SUBETAPA"</formula>
    </cfRule>
  </conditionalFormatting>
  <conditionalFormatting sqref="M241:M248">
    <cfRule type="expression" dxfId="3751" priority="5127">
      <formula>$H241="SUBETAPA"</formula>
    </cfRule>
    <cfRule type="expression" dxfId="3750" priority="5128">
      <formula>$H241="ETAPA"</formula>
    </cfRule>
  </conditionalFormatting>
  <conditionalFormatting sqref="M249">
    <cfRule type="expression" dxfId="3749" priority="5125">
      <formula>$H249="SUBETAPA"</formula>
    </cfRule>
  </conditionalFormatting>
  <conditionalFormatting sqref="M250:M257">
    <cfRule type="expression" dxfId="3748" priority="5123">
      <formula>$H250="SUBETAPA"</formula>
    </cfRule>
    <cfRule type="expression" dxfId="3747" priority="5124">
      <formula>$H250="ETAPA"</formula>
    </cfRule>
  </conditionalFormatting>
  <conditionalFormatting sqref="M258">
    <cfRule type="expression" dxfId="3746" priority="5121">
      <formula>$H258="SUBETAPA"</formula>
    </cfRule>
  </conditionalFormatting>
  <conditionalFormatting sqref="M259:M266">
    <cfRule type="expression" dxfId="3745" priority="5119">
      <formula>$H259="SUBETAPA"</formula>
    </cfRule>
    <cfRule type="expression" dxfId="3744" priority="5120">
      <formula>$H259="ETAPA"</formula>
    </cfRule>
  </conditionalFormatting>
  <conditionalFormatting sqref="M267">
    <cfRule type="expression" dxfId="3743" priority="5117">
      <formula>$H267="SUBETAPA"</formula>
    </cfRule>
  </conditionalFormatting>
  <conditionalFormatting sqref="M282">
    <cfRule type="expression" dxfId="3742" priority="5116">
      <formula>$H282="ETAPA"</formula>
    </cfRule>
    <cfRule type="expression" dxfId="3741" priority="5115">
      <formula>$H282="SUBETAPA"</formula>
    </cfRule>
  </conditionalFormatting>
  <conditionalFormatting sqref="M284">
    <cfRule type="expression" dxfId="3740" priority="5112">
      <formula>$H284="SUBETAPA"</formula>
    </cfRule>
    <cfRule type="expression" dxfId="3739" priority="5113">
      <formula>$H284="ETAPA"</formula>
    </cfRule>
  </conditionalFormatting>
  <conditionalFormatting sqref="M286">
    <cfRule type="expression" dxfId="3738" priority="5109">
      <formula>$H286="SUBETAPA"</formula>
    </cfRule>
    <cfRule type="expression" dxfId="3737" priority="5110">
      <formula>$H286="ETAPA"</formula>
    </cfRule>
  </conditionalFormatting>
  <conditionalFormatting sqref="M288">
    <cfRule type="expression" dxfId="3736" priority="5107">
      <formula>$H288="ETAPA"</formula>
    </cfRule>
    <cfRule type="expression" dxfId="3735" priority="5106">
      <formula>$H288="SUBETAPA"</formula>
    </cfRule>
  </conditionalFormatting>
  <conditionalFormatting sqref="M290">
    <cfRule type="expression" dxfId="3734" priority="5103">
      <formula>$H290="SUBETAPA"</formula>
    </cfRule>
    <cfRule type="expression" dxfId="3733" priority="5104">
      <formula>$H290="ETAPA"</formula>
    </cfRule>
  </conditionalFormatting>
  <conditionalFormatting sqref="M292">
    <cfRule type="expression" dxfId="3732" priority="5100">
      <formula>$H292="SUBETAPA"</formula>
    </cfRule>
    <cfRule type="expression" dxfId="3731" priority="5101">
      <formula>$H292="ETAPA"</formula>
    </cfRule>
  </conditionalFormatting>
  <conditionalFormatting sqref="M294">
    <cfRule type="expression" dxfId="3730" priority="5097">
      <formula>$H294="SUBETAPA"</formula>
    </cfRule>
    <cfRule type="expression" dxfId="3729" priority="5098">
      <formula>$H294="ETAPA"</formula>
    </cfRule>
  </conditionalFormatting>
  <conditionalFormatting sqref="M296">
    <cfRule type="expression" dxfId="3728" priority="5095">
      <formula>$H296="ETAPA"</formula>
    </cfRule>
    <cfRule type="expression" dxfId="3727" priority="5094">
      <formula>$H296="SUBETAPA"</formula>
    </cfRule>
  </conditionalFormatting>
  <conditionalFormatting sqref="M298">
    <cfRule type="expression" dxfId="3726" priority="5092">
      <formula>$H298="ETAPA"</formula>
    </cfRule>
    <cfRule type="expression" dxfId="3725" priority="5091">
      <formula>$H298="SUBETAPA"</formula>
    </cfRule>
  </conditionalFormatting>
  <conditionalFormatting sqref="M300">
    <cfRule type="expression" dxfId="3724" priority="5089">
      <formula>$H300="ETAPA"</formula>
    </cfRule>
    <cfRule type="expression" dxfId="3723" priority="5088">
      <formula>$H300="SUBETAPA"</formula>
    </cfRule>
  </conditionalFormatting>
  <conditionalFormatting sqref="M302">
    <cfRule type="expression" dxfId="3722" priority="5086">
      <formula>$H302="ETAPA"</formula>
    </cfRule>
    <cfRule type="expression" dxfId="3721" priority="5085">
      <formula>$H302="SUBETAPA"</formula>
    </cfRule>
  </conditionalFormatting>
  <conditionalFormatting sqref="M304">
    <cfRule type="expression" dxfId="3720" priority="5082">
      <formula>$H304="SUBETAPA"</formula>
    </cfRule>
    <cfRule type="expression" dxfId="3719" priority="5083">
      <formula>$H304="ETAPA"</formula>
    </cfRule>
  </conditionalFormatting>
  <conditionalFormatting sqref="M306">
    <cfRule type="expression" dxfId="3718" priority="5080">
      <formula>$H306="ETAPA"</formula>
    </cfRule>
    <cfRule type="expression" dxfId="3717" priority="5079">
      <formula>$H306="SUBETAPA"</formula>
    </cfRule>
  </conditionalFormatting>
  <conditionalFormatting sqref="M308">
    <cfRule type="expression" dxfId="3716" priority="5077">
      <formula>$H308="ETAPA"</formula>
    </cfRule>
    <cfRule type="expression" dxfId="3715" priority="5076">
      <formula>$H308="SUBETAPA"</formula>
    </cfRule>
  </conditionalFormatting>
  <conditionalFormatting sqref="M310">
    <cfRule type="expression" dxfId="3714" priority="5073">
      <formula>$H310="SUBETAPA"</formula>
    </cfRule>
    <cfRule type="expression" dxfId="3713" priority="5074">
      <formula>$H310="ETAPA"</formula>
    </cfRule>
  </conditionalFormatting>
  <conditionalFormatting sqref="M312">
    <cfRule type="expression" dxfId="3712" priority="5071">
      <formula>$H312="ETAPA"</formula>
    </cfRule>
    <cfRule type="expression" dxfId="3711" priority="5070">
      <formula>$H312="SUBETAPA"</formula>
    </cfRule>
  </conditionalFormatting>
  <conditionalFormatting sqref="M312:M313">
    <cfRule type="expression" dxfId="3710" priority="5068">
      <formula>$H312="CÉLULA CONSTRUTIVA"</formula>
    </cfRule>
  </conditionalFormatting>
  <conditionalFormatting sqref="M313:M314">
    <cfRule type="expression" dxfId="3709" priority="5067">
      <formula>$H313="SUBETAPA"</formula>
    </cfRule>
  </conditionalFormatting>
  <conditionalFormatting sqref="M314:M316">
    <cfRule type="expression" dxfId="3708" priority="5062">
      <formula>$H314="CÉLULA CONSTRUTIVA"</formula>
    </cfRule>
  </conditionalFormatting>
  <conditionalFormatting sqref="M315">
    <cfRule type="expression" dxfId="3707" priority="5064">
      <formula>$H315="SUBETAPA"</formula>
    </cfRule>
    <cfRule type="expression" dxfId="3706" priority="5065">
      <formula>$H315="ETAPA"</formula>
    </cfRule>
  </conditionalFormatting>
  <conditionalFormatting sqref="M316">
    <cfRule type="expression" dxfId="3705" priority="5061">
      <formula>$H316="SUBETAPA"</formula>
    </cfRule>
  </conditionalFormatting>
  <conditionalFormatting sqref="M317">
    <cfRule type="expression" dxfId="3704" priority="5060">
      <formula>$H317="ETAPA"</formula>
    </cfRule>
    <cfRule type="expression" dxfId="3703" priority="5059">
      <formula>$H317="SUBETAPA"</formula>
    </cfRule>
  </conditionalFormatting>
  <conditionalFormatting sqref="M317:M318">
    <cfRule type="expression" dxfId="3702" priority="5057">
      <formula>$H317="CÉLULA CONSTRUTIVA"</formula>
    </cfRule>
  </conditionalFormatting>
  <conditionalFormatting sqref="M318">
    <cfRule type="expression" dxfId="3701" priority="5056">
      <formula>$H318="SUBETAPA"</formula>
    </cfRule>
  </conditionalFormatting>
  <conditionalFormatting sqref="M319">
    <cfRule type="expression" dxfId="3700" priority="5055">
      <formula>$H319="ETAPA"</formula>
    </cfRule>
    <cfRule type="expression" dxfId="3699" priority="5054">
      <formula>$H319="SUBETAPA"</formula>
    </cfRule>
  </conditionalFormatting>
  <conditionalFormatting sqref="M319:M320">
    <cfRule type="expression" dxfId="3698" priority="5052">
      <formula>$H319="CÉLULA CONSTRUTIVA"</formula>
    </cfRule>
  </conditionalFormatting>
  <conditionalFormatting sqref="M320">
    <cfRule type="expression" dxfId="3697" priority="5051">
      <formula>$H320="SUBETAPA"</formula>
    </cfRule>
  </conditionalFormatting>
  <conditionalFormatting sqref="M321">
    <cfRule type="expression" dxfId="3696" priority="5049">
      <formula>$H321="SUBETAPA"</formula>
    </cfRule>
    <cfRule type="expression" dxfId="3695" priority="5050">
      <formula>$H321="ETAPA"</formula>
    </cfRule>
  </conditionalFormatting>
  <conditionalFormatting sqref="M321:M322">
    <cfRule type="expression" dxfId="3694" priority="5047">
      <formula>$H321="CÉLULA CONSTRUTIVA"</formula>
    </cfRule>
  </conditionalFormatting>
  <conditionalFormatting sqref="M322">
    <cfRule type="expression" dxfId="3693" priority="5046">
      <formula>$H322="SUBETAPA"</formula>
    </cfRule>
  </conditionalFormatting>
  <conditionalFormatting sqref="M323">
    <cfRule type="expression" dxfId="3692" priority="5044">
      <formula>$H323="SUBETAPA"</formula>
    </cfRule>
    <cfRule type="expression" dxfId="3691" priority="5045">
      <formula>$H323="ETAPA"</formula>
    </cfRule>
  </conditionalFormatting>
  <conditionalFormatting sqref="M324">
    <cfRule type="expression" dxfId="3690" priority="5041">
      <formula>$H324="SUBETAPA"</formula>
    </cfRule>
    <cfRule type="expression" dxfId="3689" priority="5042">
      <formula>$H324="ETAPA"</formula>
    </cfRule>
  </conditionalFormatting>
  <conditionalFormatting sqref="M324:M326">
    <cfRule type="expression" dxfId="3688" priority="5036">
      <formula>$H324="CÉLULA CONSTRUTIVA"</formula>
    </cfRule>
  </conditionalFormatting>
  <conditionalFormatting sqref="M325">
    <cfRule type="expression" dxfId="3687" priority="5039">
      <formula>$H325="ETAPA"</formula>
    </cfRule>
    <cfRule type="expression" dxfId="3686" priority="5038">
      <formula>$H325="SUBETAPA"</formula>
    </cfRule>
  </conditionalFormatting>
  <conditionalFormatting sqref="M326">
    <cfRule type="expression" dxfId="3685" priority="5035">
      <formula>$H326="SUBETAPA"</formula>
    </cfRule>
  </conditionalFormatting>
  <conditionalFormatting sqref="M327">
    <cfRule type="expression" dxfId="3684" priority="5034">
      <formula>$H327="ETAPA"</formula>
    </cfRule>
    <cfRule type="expression" dxfId="3683" priority="5033">
      <formula>$H327="SUBETAPA"</formula>
    </cfRule>
  </conditionalFormatting>
  <conditionalFormatting sqref="M327:M328">
    <cfRule type="expression" dxfId="3682" priority="5031">
      <formula>$H327="CÉLULA CONSTRUTIVA"</formula>
    </cfRule>
  </conditionalFormatting>
  <conditionalFormatting sqref="M328">
    <cfRule type="expression" dxfId="3681" priority="5030">
      <formula>$H328="SUBETAPA"</formula>
    </cfRule>
  </conditionalFormatting>
  <conditionalFormatting sqref="M329">
    <cfRule type="expression" dxfId="3680" priority="5028">
      <formula>$H329="SUBETAPA"</formula>
    </cfRule>
    <cfRule type="expression" dxfId="3679" priority="5029">
      <formula>$H329="ETAPA"</formula>
    </cfRule>
  </conditionalFormatting>
  <conditionalFormatting sqref="M329:M330">
    <cfRule type="expression" dxfId="3678" priority="5025">
      <formula>$H329="CÉLULA CONSTRUTIVA"</formula>
    </cfRule>
  </conditionalFormatting>
  <conditionalFormatting sqref="M330">
    <cfRule type="expression" dxfId="3677" priority="5024">
      <formula>$H330="SUBETAPA"</formula>
    </cfRule>
    <cfRule type="expression" dxfId="3676" priority="5026">
      <formula>$H330="ETAPA"</formula>
    </cfRule>
  </conditionalFormatting>
  <conditionalFormatting sqref="M331 M345 M333 M335 M337 M339 M341 M343">
    <cfRule type="expression" dxfId="3675" priority="5023">
      <formula>$H331="ETAPA"</formula>
    </cfRule>
  </conditionalFormatting>
  <conditionalFormatting sqref="M332">
    <cfRule type="expression" dxfId="3674" priority="5020">
      <formula>$H332="SUBETAPA"</formula>
    </cfRule>
    <cfRule type="expression" dxfId="3673" priority="5021">
      <formula>$H332="CÉLULA CONSTRUTIVA"</formula>
    </cfRule>
    <cfRule type="expression" dxfId="3672" priority="5022">
      <formula>$H332="ETAPA"</formula>
    </cfRule>
  </conditionalFormatting>
  <conditionalFormatting sqref="M334">
    <cfRule type="expression" dxfId="3671" priority="5018">
      <formula>$H334="CÉLULA CONSTRUTIVA"</formula>
    </cfRule>
    <cfRule type="expression" dxfId="3670" priority="5019">
      <formula>$H334="ETAPA"</formula>
    </cfRule>
    <cfRule type="expression" dxfId="3669" priority="5017">
      <formula>$H334="SUBETAPA"</formula>
    </cfRule>
  </conditionalFormatting>
  <conditionalFormatting sqref="M336">
    <cfRule type="expression" dxfId="3668" priority="5015">
      <formula>$H336="CÉLULA CONSTRUTIVA"</formula>
    </cfRule>
    <cfRule type="expression" dxfId="3667" priority="5016">
      <formula>$H336="ETAPA"</formula>
    </cfRule>
    <cfRule type="expression" dxfId="3666" priority="5014">
      <formula>$H336="SUBETAPA"</formula>
    </cfRule>
  </conditionalFormatting>
  <conditionalFormatting sqref="M338">
    <cfRule type="expression" dxfId="3665" priority="5013">
      <formula>$H338="ETAPA"</formula>
    </cfRule>
    <cfRule type="expression" dxfId="3664" priority="5012">
      <formula>$H338="CÉLULA CONSTRUTIVA"</formula>
    </cfRule>
    <cfRule type="expression" dxfId="3663" priority="5011">
      <formula>$H338="SUBETAPA"</formula>
    </cfRule>
  </conditionalFormatting>
  <conditionalFormatting sqref="M340">
    <cfRule type="expression" dxfId="3662" priority="5010">
      <formula>$H340="CÉLULA CONSTRUTIVA"</formula>
    </cfRule>
    <cfRule type="expression" dxfId="3661" priority="5009">
      <formula>$H340="SUBETAPA"</formula>
    </cfRule>
  </conditionalFormatting>
  <conditionalFormatting sqref="M342">
    <cfRule type="expression" dxfId="3660" priority="5006">
      <formula>$H342="SUBETAPA"</formula>
    </cfRule>
    <cfRule type="expression" dxfId="3659" priority="5007">
      <formula>$H342="CÉLULA CONSTRUTIVA"</formula>
    </cfRule>
    <cfRule type="expression" dxfId="3658" priority="5008">
      <formula>$H342="ETAPA"</formula>
    </cfRule>
  </conditionalFormatting>
  <conditionalFormatting sqref="M344">
    <cfRule type="expression" dxfId="3657" priority="5005">
      <formula>$H344="ETAPA"</formula>
    </cfRule>
    <cfRule type="expression" dxfId="3656" priority="5003">
      <formula>$H344="SUBETAPA"</formula>
    </cfRule>
    <cfRule type="expression" dxfId="3655" priority="5004">
      <formula>$H344="CÉLULA CONSTRUTIVA"</formula>
    </cfRule>
  </conditionalFormatting>
  <conditionalFormatting sqref="M345 M331 M333 M335 M337 M339 M341 M343">
    <cfRule type="expression" dxfId="3654" priority="5002">
      <formula>$H331="SUBETAPA"</formula>
    </cfRule>
  </conditionalFormatting>
  <conditionalFormatting sqref="M345:M346">
    <cfRule type="expression" dxfId="3653" priority="5000">
      <formula>$H345="CÉLULA CONSTRUTIVA"</formula>
    </cfRule>
  </conditionalFormatting>
  <conditionalFormatting sqref="M349">
    <cfRule type="expression" dxfId="3652" priority="4999">
      <formula>$H349="CÉLULA CONSTRUTIVA"</formula>
    </cfRule>
  </conditionalFormatting>
  <conditionalFormatting sqref="M349:M350">
    <cfRule type="expression" dxfId="3651" priority="4998">
      <formula>$H349="SUBETAPA"</formula>
    </cfRule>
  </conditionalFormatting>
  <conditionalFormatting sqref="M350">
    <cfRule type="expression" dxfId="3650" priority="4997">
      <formula>$H350="ETAPA"</formula>
    </cfRule>
  </conditionalFormatting>
  <conditionalFormatting sqref="M350:M351 N352:O352">
    <cfRule type="expression" dxfId="3649" priority="4995">
      <formula>$H350="CÉLULA CONSTRUTIVA"</formula>
    </cfRule>
  </conditionalFormatting>
  <conditionalFormatting sqref="M351:M352">
    <cfRule type="expression" dxfId="3648" priority="4994">
      <formula>$H351="SUBETAPA"</formula>
    </cfRule>
  </conditionalFormatting>
  <conditionalFormatting sqref="M352">
    <cfRule type="expression" dxfId="3647" priority="4993">
      <formula>$H352="ETAPA"</formula>
    </cfRule>
  </conditionalFormatting>
  <conditionalFormatting sqref="M352:M353">
    <cfRule type="expression" dxfId="3646" priority="4991">
      <formula>$H352="CÉLULA CONSTRUTIVA"</formula>
    </cfRule>
  </conditionalFormatting>
  <conditionalFormatting sqref="M353:M354">
    <cfRule type="expression" dxfId="3645" priority="4990">
      <formula>$H353="SUBETAPA"</formula>
    </cfRule>
  </conditionalFormatting>
  <conditionalFormatting sqref="M354">
    <cfRule type="expression" dxfId="3644" priority="4989">
      <formula>$H354="ETAPA"</formula>
    </cfRule>
  </conditionalFormatting>
  <conditionalFormatting sqref="M354:M355">
    <cfRule type="expression" dxfId="3643" priority="4987">
      <formula>$H354="CÉLULA CONSTRUTIVA"</formula>
    </cfRule>
  </conditionalFormatting>
  <conditionalFormatting sqref="M355:M356">
    <cfRule type="expression" dxfId="3642" priority="4986">
      <formula>$H355="SUBETAPA"</formula>
    </cfRule>
  </conditionalFormatting>
  <conditionalFormatting sqref="M356">
    <cfRule type="expression" dxfId="3641" priority="4985">
      <formula>$H356="ETAPA"</formula>
    </cfRule>
  </conditionalFormatting>
  <conditionalFormatting sqref="M356:M357">
    <cfRule type="expression" dxfId="3640" priority="4983">
      <formula>$H356="CÉLULA CONSTRUTIVA"</formula>
    </cfRule>
  </conditionalFormatting>
  <conditionalFormatting sqref="M357:M358">
    <cfRule type="expression" dxfId="3639" priority="4982">
      <formula>$H357="SUBETAPA"</formula>
    </cfRule>
  </conditionalFormatting>
  <conditionalFormatting sqref="M358">
    <cfRule type="expression" dxfId="3638" priority="4981">
      <formula>$H358="ETAPA"</formula>
    </cfRule>
  </conditionalFormatting>
  <conditionalFormatting sqref="M359 N360">
    <cfRule type="expression" dxfId="3637" priority="4978">
      <formula>$H359="SUBETAPA"</formula>
    </cfRule>
  </conditionalFormatting>
  <conditionalFormatting sqref="M360">
    <cfRule type="expression" dxfId="3636" priority="4976">
      <formula>$H360="SUBETAPA"</formula>
    </cfRule>
    <cfRule type="expression" dxfId="3635" priority="4977">
      <formula>$H360="ETAPA"</formula>
    </cfRule>
  </conditionalFormatting>
  <conditionalFormatting sqref="M360:M361 N362">
    <cfRule type="expression" dxfId="3634" priority="4974">
      <formula>$H360="CÉLULA CONSTRUTIVA"</formula>
    </cfRule>
  </conditionalFormatting>
  <conditionalFormatting sqref="M361:M362">
    <cfRule type="expression" dxfId="3633" priority="4973">
      <formula>$H361="SUBETAPA"</formula>
    </cfRule>
  </conditionalFormatting>
  <conditionalFormatting sqref="M362">
    <cfRule type="expression" dxfId="3632" priority="4972">
      <formula>$H362="ETAPA"</formula>
    </cfRule>
  </conditionalFormatting>
  <conditionalFormatting sqref="M362:M363 N364">
    <cfRule type="expression" dxfId="3631" priority="4970">
      <formula>$H362="CÉLULA CONSTRUTIVA"</formula>
    </cfRule>
  </conditionalFormatting>
  <conditionalFormatting sqref="M363:M364">
    <cfRule type="expression" dxfId="3630" priority="4969">
      <formula>$H363="SUBETAPA"</formula>
    </cfRule>
  </conditionalFormatting>
  <conditionalFormatting sqref="M364">
    <cfRule type="expression" dxfId="3629" priority="4968">
      <formula>$H364="ETAPA"</formula>
    </cfRule>
  </conditionalFormatting>
  <conditionalFormatting sqref="M364:M365 N366">
    <cfRule type="expression" dxfId="3628" priority="4966">
      <formula>$H364="CÉLULA CONSTRUTIVA"</formula>
    </cfRule>
  </conditionalFormatting>
  <conditionalFormatting sqref="M365:M366">
    <cfRule type="expression" dxfId="3627" priority="4965">
      <formula>$H365="SUBETAPA"</formula>
    </cfRule>
  </conditionalFormatting>
  <conditionalFormatting sqref="M366">
    <cfRule type="expression" dxfId="3626" priority="4964">
      <formula>$H366="ETAPA"</formula>
    </cfRule>
  </conditionalFormatting>
  <conditionalFormatting sqref="M366:M367 N368">
    <cfRule type="expression" dxfId="3625" priority="4962">
      <formula>$H366="CÉLULA CONSTRUTIVA"</formula>
    </cfRule>
  </conditionalFormatting>
  <conditionalFormatting sqref="M367:M368">
    <cfRule type="expression" dxfId="3624" priority="4961">
      <formula>$H367="SUBETAPA"</formula>
    </cfRule>
  </conditionalFormatting>
  <conditionalFormatting sqref="M368">
    <cfRule type="expression" dxfId="3623" priority="4960">
      <formula>$H368="ETAPA"</formula>
    </cfRule>
  </conditionalFormatting>
  <conditionalFormatting sqref="M368:M369 N370">
    <cfRule type="expression" dxfId="3622" priority="4958">
      <formula>$H368="CÉLULA CONSTRUTIVA"</formula>
    </cfRule>
  </conditionalFormatting>
  <conditionalFormatting sqref="M369:M370">
    <cfRule type="expression" dxfId="3621" priority="4957">
      <formula>$H369="SUBETAPA"</formula>
    </cfRule>
  </conditionalFormatting>
  <conditionalFormatting sqref="M370">
    <cfRule type="expression" dxfId="3620" priority="4956">
      <formula>$H370="ETAPA"</formula>
    </cfRule>
  </conditionalFormatting>
  <conditionalFormatting sqref="M370:M373 N374">
    <cfRule type="expression" dxfId="3619" priority="4950">
      <formula>$H370="CÉLULA CONSTRUTIVA"</formula>
    </cfRule>
  </conditionalFormatting>
  <conditionalFormatting sqref="M372">
    <cfRule type="expression" dxfId="3618" priority="4952">
      <formula>$H372="SUBETAPA"</formula>
    </cfRule>
    <cfRule type="expression" dxfId="3617" priority="4953">
      <formula>$H372="ETAPA"</formula>
    </cfRule>
  </conditionalFormatting>
  <conditionalFormatting sqref="M373 N374">
    <cfRule type="expression" dxfId="3616" priority="4949">
      <formula>$H373="SUBETAPA"</formula>
    </cfRule>
  </conditionalFormatting>
  <conditionalFormatting sqref="M374">
    <cfRule type="expression" dxfId="3615" priority="4947">
      <formula>$H374="SUBETAPA"</formula>
    </cfRule>
    <cfRule type="expression" dxfId="3614" priority="4948">
      <formula>$H374="ETAPA"</formula>
    </cfRule>
  </conditionalFormatting>
  <conditionalFormatting sqref="M374:M375 N376">
    <cfRule type="expression" dxfId="3613" priority="4945">
      <formula>$H374="CÉLULA CONSTRUTIVA"</formula>
    </cfRule>
  </conditionalFormatting>
  <conditionalFormatting sqref="M375 N376">
    <cfRule type="expression" dxfId="3612" priority="4944">
      <formula>$H375="SUBETAPA"</formula>
    </cfRule>
  </conditionalFormatting>
  <conditionalFormatting sqref="M376">
    <cfRule type="expression" dxfId="3611" priority="4943">
      <formula>$H376="ETAPA"</formula>
    </cfRule>
    <cfRule type="expression" dxfId="3610" priority="4942">
      <formula>$H376="SUBETAPA"</formula>
    </cfRule>
  </conditionalFormatting>
  <conditionalFormatting sqref="M376:M377 N378">
    <cfRule type="expression" dxfId="3609" priority="4940">
      <formula>$H376="CÉLULA CONSTRUTIVA"</formula>
    </cfRule>
  </conditionalFormatting>
  <conditionalFormatting sqref="M377 N378">
    <cfRule type="expression" dxfId="3608" priority="4939">
      <formula>$H377="SUBETAPA"</formula>
    </cfRule>
  </conditionalFormatting>
  <conditionalFormatting sqref="M378">
    <cfRule type="expression" dxfId="3607" priority="4938">
      <formula>$H378="ETAPA"</formula>
    </cfRule>
    <cfRule type="expression" dxfId="3606" priority="4937">
      <formula>$H378="SUBETAPA"</formula>
    </cfRule>
  </conditionalFormatting>
  <conditionalFormatting sqref="M378:M379">
    <cfRule type="expression" dxfId="3605" priority="4934">
      <formula>$H378="CÉLULA CONSTRUTIVA"</formula>
    </cfRule>
  </conditionalFormatting>
  <conditionalFormatting sqref="M379">
    <cfRule type="expression" dxfId="3604" priority="4935">
      <formula>$H379="ETAPA"</formula>
    </cfRule>
  </conditionalFormatting>
  <conditionalFormatting sqref="M380:M381">
    <cfRule type="expression" dxfId="3603" priority="4933">
      <formula>$H380="ETAPA"</formula>
    </cfRule>
  </conditionalFormatting>
  <conditionalFormatting sqref="M383">
    <cfRule type="expression" dxfId="3602" priority="4932">
      <formula>$H383="ETAPA"</formula>
    </cfRule>
    <cfRule type="expression" dxfId="3601" priority="4931">
      <formula>$H383="CÉLULA CONSTRUTIVA"</formula>
    </cfRule>
  </conditionalFormatting>
  <conditionalFormatting sqref="M385 M387">
    <cfRule type="expression" dxfId="3600" priority="4929">
      <formula>$H385="CÉLULA CONSTRUTIVA"</formula>
    </cfRule>
    <cfRule type="expression" dxfId="3599" priority="4930">
      <formula>$H385="ETAPA"</formula>
    </cfRule>
  </conditionalFormatting>
  <conditionalFormatting sqref="M389 M391">
    <cfRule type="expression" dxfId="3598" priority="4927">
      <formula>$H389="CÉLULA CONSTRUTIVA"</formula>
    </cfRule>
    <cfRule type="expression" dxfId="3597" priority="4928">
      <formula>$H389="ETAPA"</formula>
    </cfRule>
  </conditionalFormatting>
  <conditionalFormatting sqref="M393:M394 H397:J397">
    <cfRule type="expression" dxfId="3596" priority="4926">
      <formula>$H393="ETAPA"</formula>
    </cfRule>
  </conditionalFormatting>
  <conditionalFormatting sqref="M396 M398">
    <cfRule type="expression" dxfId="3595" priority="4924">
      <formula>$H396="CÉLULA CONSTRUTIVA"</formula>
    </cfRule>
    <cfRule type="expression" dxfId="3594" priority="4925">
      <formula>$H396="ETAPA"</formula>
    </cfRule>
  </conditionalFormatting>
  <conditionalFormatting sqref="M400">
    <cfRule type="expression" dxfId="3593" priority="4923">
      <formula>$H400="ETAPA"</formula>
    </cfRule>
    <cfRule type="expression" dxfId="3592" priority="4922">
      <formula>$H400="CÉLULA CONSTRUTIVA"</formula>
    </cfRule>
  </conditionalFormatting>
  <conditionalFormatting sqref="M402 M404">
    <cfRule type="expression" dxfId="3591" priority="4920">
      <formula>$H402="CÉLULA CONSTRUTIVA"</formula>
    </cfRule>
    <cfRule type="expression" dxfId="3590" priority="4921">
      <formula>$H402="ETAPA"</formula>
    </cfRule>
  </conditionalFormatting>
  <conditionalFormatting sqref="M406:M407 H410:J410">
    <cfRule type="expression" dxfId="3589" priority="4919">
      <formula>$H406="ETAPA"</formula>
    </cfRule>
  </conditionalFormatting>
  <conditionalFormatting sqref="M409">
    <cfRule type="expression" dxfId="3588" priority="4917">
      <formula>$H409="CÉLULA CONSTRUTIVA"</formula>
    </cfRule>
    <cfRule type="expression" dxfId="3587" priority="4918">
      <formula>$H409="SUBETAPA"</formula>
    </cfRule>
  </conditionalFormatting>
  <conditionalFormatting sqref="M411">
    <cfRule type="expression" dxfId="3586" priority="4915">
      <formula>$H411="CÉLULA CONSTRUTIVA"</formula>
    </cfRule>
    <cfRule type="expression" dxfId="3585" priority="4916">
      <formula>$H411="ETAPA"</formula>
    </cfRule>
  </conditionalFormatting>
  <conditionalFormatting sqref="M413">
    <cfRule type="expression" dxfId="3584" priority="4913">
      <formula>$H413="CÉLULA CONSTRUTIVA"</formula>
    </cfRule>
    <cfRule type="expression" dxfId="3583" priority="4914">
      <formula>$H413="ETAPA"</formula>
    </cfRule>
  </conditionalFormatting>
  <conditionalFormatting sqref="M415 M417">
    <cfRule type="expression" dxfId="3582" priority="4911">
      <formula>$H415="CÉLULA CONSTRUTIVA"</formula>
    </cfRule>
    <cfRule type="expression" dxfId="3581" priority="4912">
      <formula>$H415="ETAPA"</formula>
    </cfRule>
  </conditionalFormatting>
  <conditionalFormatting sqref="M419:M420 H423:J423">
    <cfRule type="expression" dxfId="3580" priority="4910">
      <formula>$H419="ETAPA"</formula>
    </cfRule>
  </conditionalFormatting>
  <conditionalFormatting sqref="M422">
    <cfRule type="expression" dxfId="3579" priority="4908">
      <formula>$H422="CÉLULA CONSTRUTIVA"</formula>
    </cfRule>
    <cfRule type="expression" dxfId="3578" priority="4909">
      <formula>$H422="SUBETAPA"</formula>
    </cfRule>
  </conditionalFormatting>
  <conditionalFormatting sqref="M424">
    <cfRule type="expression" dxfId="3577" priority="4907">
      <formula>$H424="ETAPA"</formula>
    </cfRule>
    <cfRule type="expression" dxfId="3576" priority="4906">
      <formula>$H424="CÉLULA CONSTRUTIVA"</formula>
    </cfRule>
  </conditionalFormatting>
  <conditionalFormatting sqref="M426">
    <cfRule type="expression" dxfId="3575" priority="4904">
      <formula>$H426="CÉLULA CONSTRUTIVA"</formula>
    </cfRule>
    <cfRule type="expression" dxfId="3574" priority="4905">
      <formula>$H426="ETAPA"</formula>
    </cfRule>
  </conditionalFormatting>
  <conditionalFormatting sqref="M428 M430">
    <cfRule type="expression" dxfId="3573" priority="4903">
      <formula>$H428="ETAPA"</formula>
    </cfRule>
    <cfRule type="expression" dxfId="3572" priority="4902">
      <formula>$H428="CÉLULA CONSTRUTIVA"</formula>
    </cfRule>
  </conditionalFormatting>
  <conditionalFormatting sqref="M432:M433 H436:J436">
    <cfRule type="expression" dxfId="3571" priority="4901">
      <formula>$H432="ETAPA"</formula>
    </cfRule>
  </conditionalFormatting>
  <conditionalFormatting sqref="M435">
    <cfRule type="expression" dxfId="3570" priority="4900">
      <formula>$H435="SUBETAPA"</formula>
    </cfRule>
    <cfRule type="expression" dxfId="3569" priority="4899">
      <formula>$H435="CÉLULA CONSTRUTIVA"</formula>
    </cfRule>
  </conditionalFormatting>
  <conditionalFormatting sqref="M437">
    <cfRule type="expression" dxfId="3568" priority="4897">
      <formula>$H437="CÉLULA CONSTRUTIVA"</formula>
    </cfRule>
    <cfRule type="expression" dxfId="3567" priority="4898">
      <formula>$H437="ETAPA"</formula>
    </cfRule>
  </conditionalFormatting>
  <conditionalFormatting sqref="M439">
    <cfRule type="expression" dxfId="3566" priority="4896">
      <formula>$H439="ETAPA"</formula>
    </cfRule>
    <cfRule type="expression" dxfId="3565" priority="4895">
      <formula>$H439="CÉLULA CONSTRUTIVA"</formula>
    </cfRule>
  </conditionalFormatting>
  <conditionalFormatting sqref="M441 M443">
    <cfRule type="expression" dxfId="3564" priority="4894">
      <formula>$H441="ETAPA"</formula>
    </cfRule>
    <cfRule type="expression" dxfId="3563" priority="4893">
      <formula>$H441="CÉLULA CONSTRUTIVA"</formula>
    </cfRule>
  </conditionalFormatting>
  <conditionalFormatting sqref="M445:M446 H449:J449">
    <cfRule type="expression" dxfId="3562" priority="4892">
      <formula>$H445="ETAPA"</formula>
    </cfRule>
  </conditionalFormatting>
  <conditionalFormatting sqref="M448">
    <cfRule type="expression" dxfId="3561" priority="4890">
      <formula>$H448="CÉLULA CONSTRUTIVA"</formula>
    </cfRule>
    <cfRule type="expression" dxfId="3560" priority="4891">
      <formula>$H448="SUBETAPA"</formula>
    </cfRule>
  </conditionalFormatting>
  <conditionalFormatting sqref="M450">
    <cfRule type="expression" dxfId="3559" priority="4889">
      <formula>$H450="ETAPA"</formula>
    </cfRule>
    <cfRule type="expression" dxfId="3558" priority="4888">
      <formula>$H450="CÉLULA CONSTRUTIVA"</formula>
    </cfRule>
  </conditionalFormatting>
  <conditionalFormatting sqref="M452">
    <cfRule type="expression" dxfId="3557" priority="4887">
      <formula>$H452="ETAPA"</formula>
    </cfRule>
    <cfRule type="expression" dxfId="3556" priority="4886">
      <formula>$H452="CÉLULA CONSTRUTIVA"</formula>
    </cfRule>
  </conditionalFormatting>
  <conditionalFormatting sqref="M454 M456">
    <cfRule type="expression" dxfId="3555" priority="4885">
      <formula>$H454="ETAPA"</formula>
    </cfRule>
    <cfRule type="expression" dxfId="3554" priority="4884">
      <formula>$H454="CÉLULA CONSTRUTIVA"</formula>
    </cfRule>
  </conditionalFormatting>
  <conditionalFormatting sqref="M458:M459 H462:J462">
    <cfRule type="expression" dxfId="3553" priority="4883">
      <formula>$H458="ETAPA"</formula>
    </cfRule>
  </conditionalFormatting>
  <conditionalFormatting sqref="M461">
    <cfRule type="expression" dxfId="3552" priority="4881">
      <formula>$H461="CÉLULA CONSTRUTIVA"</formula>
    </cfRule>
    <cfRule type="expression" dxfId="3551" priority="4882">
      <formula>$H461="SUBETAPA"</formula>
    </cfRule>
  </conditionalFormatting>
  <conditionalFormatting sqref="M463">
    <cfRule type="expression" dxfId="3550" priority="4880">
      <formula>$H463="ETAPA"</formula>
    </cfRule>
    <cfRule type="expression" dxfId="3549" priority="4879">
      <formula>$H463="CÉLULA CONSTRUTIVA"</formula>
    </cfRule>
  </conditionalFormatting>
  <conditionalFormatting sqref="M465">
    <cfRule type="expression" dxfId="3548" priority="4878">
      <formula>$H465="ETAPA"</formula>
    </cfRule>
    <cfRule type="expression" dxfId="3547" priority="4877">
      <formula>$H465="CÉLULA CONSTRUTIVA"</formula>
    </cfRule>
  </conditionalFormatting>
  <conditionalFormatting sqref="M467 M469">
    <cfRule type="expression" dxfId="3546" priority="4876">
      <formula>$H467="ETAPA"</formula>
    </cfRule>
    <cfRule type="expression" dxfId="3545" priority="4875">
      <formula>$H467="CÉLULA CONSTRUTIVA"</formula>
    </cfRule>
  </conditionalFormatting>
  <conditionalFormatting sqref="M471:M472 H475:J475">
    <cfRule type="expression" dxfId="3544" priority="4874">
      <formula>$H471="ETAPA"</formula>
    </cfRule>
  </conditionalFormatting>
  <conditionalFormatting sqref="M474">
    <cfRule type="expression" dxfId="3543" priority="4872">
      <formula>$H474="CÉLULA CONSTRUTIVA"</formula>
    </cfRule>
    <cfRule type="expression" dxfId="3542" priority="4873">
      <formula>$H474="SUBETAPA"</formula>
    </cfRule>
  </conditionalFormatting>
  <conditionalFormatting sqref="M476">
    <cfRule type="expression" dxfId="3541" priority="4871">
      <formula>$H476="ETAPA"</formula>
    </cfRule>
    <cfRule type="expression" dxfId="3540" priority="4870">
      <formula>$H476="CÉLULA CONSTRUTIVA"</formula>
    </cfRule>
  </conditionalFormatting>
  <conditionalFormatting sqref="M478">
    <cfRule type="expression" dxfId="3539" priority="4869">
      <formula>$H478="ETAPA"</formula>
    </cfRule>
    <cfRule type="expression" dxfId="3538" priority="4868">
      <formula>$H478="CÉLULA CONSTRUTIVA"</formula>
    </cfRule>
  </conditionalFormatting>
  <conditionalFormatting sqref="M480 M482">
    <cfRule type="expression" dxfId="3537" priority="4867">
      <formula>$H480="ETAPA"</formula>
    </cfRule>
    <cfRule type="expression" dxfId="3536" priority="4866">
      <formula>$H480="CÉLULA CONSTRUTIVA"</formula>
    </cfRule>
  </conditionalFormatting>
  <conditionalFormatting sqref="M484:M485 H488:J488">
    <cfRule type="expression" dxfId="3535" priority="4865">
      <formula>$H484="ETAPA"</formula>
    </cfRule>
  </conditionalFormatting>
  <conditionalFormatting sqref="M487">
    <cfRule type="expression" dxfId="3534" priority="4864">
      <formula>$H487="SUBETAPA"</formula>
    </cfRule>
    <cfRule type="expression" dxfId="3533" priority="4863">
      <formula>$H487="CÉLULA CONSTRUTIVA"</formula>
    </cfRule>
  </conditionalFormatting>
  <conditionalFormatting sqref="M489">
    <cfRule type="expression" dxfId="3532" priority="4862">
      <formula>$H489="ETAPA"</formula>
    </cfRule>
    <cfRule type="expression" dxfId="3531" priority="4861">
      <formula>$H489="CÉLULA CONSTRUTIVA"</formula>
    </cfRule>
  </conditionalFormatting>
  <conditionalFormatting sqref="M491">
    <cfRule type="expression" dxfId="3530" priority="4860">
      <formula>$H491="ETAPA"</formula>
    </cfRule>
    <cfRule type="expression" dxfId="3529" priority="4859">
      <formula>$H491="CÉLULA CONSTRUTIVA"</formula>
    </cfRule>
  </conditionalFormatting>
  <conditionalFormatting sqref="M493 M495">
    <cfRule type="expression" dxfId="3528" priority="4858">
      <formula>$H493="ETAPA"</formula>
    </cfRule>
    <cfRule type="expression" dxfId="3527" priority="4857">
      <formula>$H493="CÉLULA CONSTRUTIVA"</formula>
    </cfRule>
  </conditionalFormatting>
  <conditionalFormatting sqref="M497:M498 H501:J501">
    <cfRule type="expression" dxfId="3526" priority="4856">
      <formula>$H497="ETAPA"</formula>
    </cfRule>
  </conditionalFormatting>
  <conditionalFormatting sqref="M500">
    <cfRule type="expression" dxfId="3525" priority="4855">
      <formula>$H500="SUBETAPA"</formula>
    </cfRule>
    <cfRule type="expression" dxfId="3524" priority="4854">
      <formula>$H500="CÉLULA CONSTRUTIVA"</formula>
    </cfRule>
  </conditionalFormatting>
  <conditionalFormatting sqref="M502">
    <cfRule type="expression" dxfId="3523" priority="4853">
      <formula>$H502="ETAPA"</formula>
    </cfRule>
    <cfRule type="expression" dxfId="3522" priority="4852">
      <formula>$H502="CÉLULA CONSTRUTIVA"</formula>
    </cfRule>
  </conditionalFormatting>
  <conditionalFormatting sqref="M504">
    <cfRule type="expression" dxfId="3521" priority="4851">
      <formula>$H504="ETAPA"</formula>
    </cfRule>
    <cfRule type="expression" dxfId="3520" priority="4850">
      <formula>$H504="CÉLULA CONSTRUTIVA"</formula>
    </cfRule>
  </conditionalFormatting>
  <conditionalFormatting sqref="M506 M508">
    <cfRule type="expression" dxfId="3519" priority="4849">
      <formula>$H506="ETAPA"</formula>
    </cfRule>
    <cfRule type="expression" dxfId="3518" priority="4848">
      <formula>$H506="CÉLULA CONSTRUTIVA"</formula>
    </cfRule>
  </conditionalFormatting>
  <conditionalFormatting sqref="M510:M511 H514:J514">
    <cfRule type="expression" dxfId="3517" priority="4847">
      <formula>$H510="ETAPA"</formula>
    </cfRule>
  </conditionalFormatting>
  <conditionalFormatting sqref="M513">
    <cfRule type="expression" dxfId="3516" priority="4846">
      <formula>$H513="SUBETAPA"</formula>
    </cfRule>
    <cfRule type="expression" dxfId="3515" priority="4845">
      <formula>$H513="CÉLULA CONSTRUTIVA"</formula>
    </cfRule>
  </conditionalFormatting>
  <conditionalFormatting sqref="M515">
    <cfRule type="expression" dxfId="3514" priority="4844">
      <formula>$H515="ETAPA"</formula>
    </cfRule>
    <cfRule type="expression" dxfId="3513" priority="4843">
      <formula>$H515="CÉLULA CONSTRUTIVA"</formula>
    </cfRule>
  </conditionalFormatting>
  <conditionalFormatting sqref="M517">
    <cfRule type="expression" dxfId="3512" priority="4842">
      <formula>$H517="ETAPA"</formula>
    </cfRule>
    <cfRule type="expression" dxfId="3511" priority="4841">
      <formula>$H517="CÉLULA CONSTRUTIVA"</formula>
    </cfRule>
  </conditionalFormatting>
  <conditionalFormatting sqref="M519 M521">
    <cfRule type="expression" dxfId="3510" priority="4840">
      <formula>$H519="ETAPA"</formula>
    </cfRule>
    <cfRule type="expression" dxfId="3509" priority="4839">
      <formula>$H519="CÉLULA CONSTRUTIVA"</formula>
    </cfRule>
  </conditionalFormatting>
  <conditionalFormatting sqref="M523:M524 H527:J527">
    <cfRule type="expression" dxfId="3508" priority="4838">
      <formula>$H523="ETAPA"</formula>
    </cfRule>
  </conditionalFormatting>
  <conditionalFormatting sqref="M526">
    <cfRule type="expression" dxfId="3507" priority="4837">
      <formula>$H526="SUBETAPA"</formula>
    </cfRule>
    <cfRule type="expression" dxfId="3506" priority="4836">
      <formula>$H526="CÉLULA CONSTRUTIVA"</formula>
    </cfRule>
  </conditionalFormatting>
  <conditionalFormatting sqref="M528">
    <cfRule type="expression" dxfId="3505" priority="4835">
      <formula>$H528="ETAPA"</formula>
    </cfRule>
    <cfRule type="expression" dxfId="3504" priority="4834">
      <formula>$H528="CÉLULA CONSTRUTIVA"</formula>
    </cfRule>
  </conditionalFormatting>
  <conditionalFormatting sqref="M530">
    <cfRule type="expression" dxfId="3503" priority="4833">
      <formula>$H530="ETAPA"</formula>
    </cfRule>
    <cfRule type="expression" dxfId="3502" priority="4832">
      <formula>$H530="CÉLULA CONSTRUTIVA"</formula>
    </cfRule>
  </conditionalFormatting>
  <conditionalFormatting sqref="M532 M534">
    <cfRule type="expression" dxfId="3501" priority="4831">
      <formula>$H532="ETAPA"</formula>
    </cfRule>
    <cfRule type="expression" dxfId="3500" priority="4830">
      <formula>$H532="CÉLULA CONSTRUTIVA"</formula>
    </cfRule>
  </conditionalFormatting>
  <conditionalFormatting sqref="M536:M537 H540:J540">
    <cfRule type="expression" dxfId="3499" priority="4829">
      <formula>$H536="ETAPA"</formula>
    </cfRule>
  </conditionalFormatting>
  <conditionalFormatting sqref="M539">
    <cfRule type="expression" dxfId="3498" priority="4828">
      <formula>$H539="SUBETAPA"</formula>
    </cfRule>
    <cfRule type="expression" dxfId="3497" priority="4827">
      <formula>$H539="CÉLULA CONSTRUTIVA"</formula>
    </cfRule>
  </conditionalFormatting>
  <conditionalFormatting sqref="M541">
    <cfRule type="expression" dxfId="3496" priority="4826">
      <formula>$H541="ETAPA"</formula>
    </cfRule>
    <cfRule type="expression" dxfId="3495" priority="4825">
      <formula>$H541="CÉLULA CONSTRUTIVA"</formula>
    </cfRule>
  </conditionalFormatting>
  <conditionalFormatting sqref="M543">
    <cfRule type="expression" dxfId="3494" priority="4824">
      <formula>$H543="ETAPA"</formula>
    </cfRule>
    <cfRule type="expression" dxfId="3493" priority="4823">
      <formula>$H543="CÉLULA CONSTRUTIVA"</formula>
    </cfRule>
  </conditionalFormatting>
  <conditionalFormatting sqref="M545 M547">
    <cfRule type="expression" dxfId="3492" priority="4822">
      <formula>$H545="ETAPA"</formula>
    </cfRule>
    <cfRule type="expression" dxfId="3491" priority="4821">
      <formula>$H545="CÉLULA CONSTRUTIVA"</formula>
    </cfRule>
  </conditionalFormatting>
  <conditionalFormatting sqref="M549:M550 H553:J553">
    <cfRule type="expression" dxfId="3490" priority="4820">
      <formula>$H549="ETAPA"</formula>
    </cfRule>
  </conditionalFormatting>
  <conditionalFormatting sqref="M552">
    <cfRule type="expression" dxfId="3489" priority="4819">
      <formula>$H552="SUBETAPA"</formula>
    </cfRule>
    <cfRule type="expression" dxfId="3488" priority="4818">
      <formula>$H552="CÉLULA CONSTRUTIVA"</formula>
    </cfRule>
  </conditionalFormatting>
  <conditionalFormatting sqref="M554">
    <cfRule type="expression" dxfId="3487" priority="4817">
      <formula>$H554="ETAPA"</formula>
    </cfRule>
    <cfRule type="expression" dxfId="3486" priority="4816">
      <formula>$H554="CÉLULA CONSTRUTIVA"</formula>
    </cfRule>
  </conditionalFormatting>
  <conditionalFormatting sqref="M556">
    <cfRule type="expression" dxfId="3485" priority="4815">
      <formula>$H556="ETAPA"</formula>
    </cfRule>
    <cfRule type="expression" dxfId="3484" priority="4814">
      <formula>$H556="CÉLULA CONSTRUTIVA"</formula>
    </cfRule>
  </conditionalFormatting>
  <conditionalFormatting sqref="M558 M560">
    <cfRule type="expression" dxfId="3483" priority="4813">
      <formula>$H558="ETAPA"</formula>
    </cfRule>
    <cfRule type="expression" dxfId="3482" priority="4812">
      <formula>$H558="CÉLULA CONSTRUTIVA"</formula>
    </cfRule>
  </conditionalFormatting>
  <conditionalFormatting sqref="M562:M563 H566:J566">
    <cfRule type="expression" dxfId="3481" priority="4811">
      <formula>$H562="ETAPA"</formula>
    </cfRule>
  </conditionalFormatting>
  <conditionalFormatting sqref="M565">
    <cfRule type="expression" dxfId="3480" priority="4810">
      <formula>$H565="SUBETAPA"</formula>
    </cfRule>
    <cfRule type="expression" dxfId="3479" priority="4809">
      <formula>$H565="CÉLULA CONSTRUTIVA"</formula>
    </cfRule>
  </conditionalFormatting>
  <conditionalFormatting sqref="M567">
    <cfRule type="expression" dxfId="3478" priority="4808">
      <formula>$H567="ETAPA"</formula>
    </cfRule>
    <cfRule type="expression" dxfId="3477" priority="4807">
      <formula>$H567="CÉLULA CONSTRUTIVA"</formula>
    </cfRule>
  </conditionalFormatting>
  <conditionalFormatting sqref="M569 M571">
    <cfRule type="expression" dxfId="3476" priority="4806">
      <formula>$H569="ETAPA"</formula>
    </cfRule>
    <cfRule type="expression" dxfId="3475" priority="4805">
      <formula>$H569="CÉLULA CONSTRUTIVA"</formula>
    </cfRule>
  </conditionalFormatting>
  <conditionalFormatting sqref="M574">
    <cfRule type="expression" dxfId="3474" priority="4804">
      <formula>$H574="ETAPA"</formula>
    </cfRule>
    <cfRule type="expression" dxfId="3473" priority="4803">
      <formula>$H574="CÉLULA CONSTRUTIVA"</formula>
    </cfRule>
  </conditionalFormatting>
  <conditionalFormatting sqref="M576">
    <cfRule type="expression" dxfId="3472" priority="4802">
      <formula>$H576="ETAPA"</formula>
    </cfRule>
    <cfRule type="expression" dxfId="3471" priority="4801">
      <formula>$H576="CÉLULA CONSTRUTIVA"</formula>
    </cfRule>
  </conditionalFormatting>
  <conditionalFormatting sqref="M578:M579">
    <cfRule type="expression" dxfId="3470" priority="4800">
      <formula>$H578="ETAPA"</formula>
    </cfRule>
  </conditionalFormatting>
  <conditionalFormatting sqref="M580 M582">
    <cfRule type="expression" dxfId="3469" priority="4799">
      <formula>$H580="ETAPA"</formula>
    </cfRule>
    <cfRule type="expression" dxfId="3468" priority="4798">
      <formula>$H580="CÉLULA CONSTRUTIVA"</formula>
    </cfRule>
  </conditionalFormatting>
  <conditionalFormatting sqref="M585">
    <cfRule type="expression" dxfId="3467" priority="4797">
      <formula>$H585="ETAPA"</formula>
    </cfRule>
    <cfRule type="expression" dxfId="3466" priority="4796">
      <formula>$H585="CÉLULA CONSTRUTIVA"</formula>
    </cfRule>
  </conditionalFormatting>
  <conditionalFormatting sqref="M587:M588">
    <cfRule type="expression" dxfId="3465" priority="4795">
      <formula>$H587="ETAPA"</formula>
    </cfRule>
  </conditionalFormatting>
  <conditionalFormatting sqref="M589 M591">
    <cfRule type="expression" dxfId="3464" priority="4794">
      <formula>$H589="ETAPA"</formula>
    </cfRule>
    <cfRule type="expression" dxfId="3463" priority="4793">
      <formula>$H589="CÉLULA CONSTRUTIVA"</formula>
    </cfRule>
  </conditionalFormatting>
  <conditionalFormatting sqref="M594">
    <cfRule type="expression" dxfId="3462" priority="4792">
      <formula>$H594="ETAPA"</formula>
    </cfRule>
    <cfRule type="expression" dxfId="3461" priority="4791">
      <formula>$H594="CÉLULA CONSTRUTIVA"</formula>
    </cfRule>
  </conditionalFormatting>
  <conditionalFormatting sqref="M596">
    <cfRule type="expression" dxfId="3460" priority="4790">
      <formula>$H596="ETAPA"</formula>
    </cfRule>
  </conditionalFormatting>
  <conditionalFormatting sqref="M597">
    <cfRule type="expression" dxfId="3459" priority="4789">
      <formula>$H597="ETAPA"</formula>
    </cfRule>
  </conditionalFormatting>
  <conditionalFormatting sqref="M598 M600">
    <cfRule type="expression" dxfId="3458" priority="4788">
      <formula>$H598="ETAPA"</formula>
    </cfRule>
    <cfRule type="expression" dxfId="3457" priority="4787">
      <formula>$H598="CÉLULA CONSTRUTIVA"</formula>
    </cfRule>
  </conditionalFormatting>
  <conditionalFormatting sqref="M603">
    <cfRule type="expression" dxfId="3456" priority="4786">
      <formula>$H603="ETAPA"</formula>
    </cfRule>
    <cfRule type="expression" dxfId="3455" priority="4785">
      <formula>$H603="CÉLULA CONSTRUTIVA"</formula>
    </cfRule>
  </conditionalFormatting>
  <conditionalFormatting sqref="M605">
    <cfRule type="expression" dxfId="3454" priority="4784">
      <formula>$H605="ETAPA"</formula>
    </cfRule>
  </conditionalFormatting>
  <conditionalFormatting sqref="M606">
    <cfRule type="expression" dxfId="3453" priority="4783">
      <formula>$H606="ETAPA"</formula>
    </cfRule>
  </conditionalFormatting>
  <conditionalFormatting sqref="M607 M609">
    <cfRule type="expression" dxfId="3452" priority="4782">
      <formula>$H607="ETAPA"</formula>
    </cfRule>
    <cfRule type="expression" dxfId="3451" priority="4781">
      <formula>$H607="CÉLULA CONSTRUTIVA"</formula>
    </cfRule>
  </conditionalFormatting>
  <conditionalFormatting sqref="M612">
    <cfRule type="expression" dxfId="3450" priority="4780">
      <formula>$H612="ETAPA"</formula>
    </cfRule>
    <cfRule type="expression" dxfId="3449" priority="4779">
      <formula>$H612="CÉLULA CONSTRUTIVA"</formula>
    </cfRule>
  </conditionalFormatting>
  <conditionalFormatting sqref="M614">
    <cfRule type="expression" dxfId="3448" priority="4778">
      <formula>$H614="ETAPA"</formula>
    </cfRule>
  </conditionalFormatting>
  <conditionalFormatting sqref="M615">
    <cfRule type="expression" dxfId="3447" priority="4777">
      <formula>$H615="ETAPA"</formula>
    </cfRule>
  </conditionalFormatting>
  <conditionalFormatting sqref="M616 M618">
    <cfRule type="expression" dxfId="3446" priority="4776">
      <formula>$H616="ETAPA"</formula>
    </cfRule>
    <cfRule type="expression" dxfId="3445" priority="4775">
      <formula>$H616="CÉLULA CONSTRUTIVA"</formula>
    </cfRule>
  </conditionalFormatting>
  <conditionalFormatting sqref="M621">
    <cfRule type="expression" dxfId="3444" priority="4774">
      <formula>$H621="ETAPA"</formula>
    </cfRule>
    <cfRule type="expression" dxfId="3443" priority="4773">
      <formula>$H621="CÉLULA CONSTRUTIVA"</formula>
    </cfRule>
  </conditionalFormatting>
  <conditionalFormatting sqref="M623">
    <cfRule type="expression" dxfId="3442" priority="4772">
      <formula>$H623="ETAPA"</formula>
    </cfRule>
  </conditionalFormatting>
  <conditionalFormatting sqref="M624">
    <cfRule type="expression" dxfId="3441" priority="4771">
      <formula>$H624="ETAPA"</formula>
    </cfRule>
  </conditionalFormatting>
  <conditionalFormatting sqref="M625 M627">
    <cfRule type="expression" dxfId="3440" priority="4770">
      <formula>$H625="ETAPA"</formula>
    </cfRule>
    <cfRule type="expression" dxfId="3439" priority="4769">
      <formula>$H625="CÉLULA CONSTRUTIVA"</formula>
    </cfRule>
  </conditionalFormatting>
  <conditionalFormatting sqref="M630">
    <cfRule type="expression" dxfId="3438" priority="4768">
      <formula>$H630="ETAPA"</formula>
    </cfRule>
    <cfRule type="expression" dxfId="3437" priority="4767">
      <formula>$H630="CÉLULA CONSTRUTIVA"</formula>
    </cfRule>
  </conditionalFormatting>
  <conditionalFormatting sqref="M632">
    <cfRule type="expression" dxfId="3436" priority="4766">
      <formula>$H632="ETAPA"</formula>
    </cfRule>
  </conditionalFormatting>
  <conditionalFormatting sqref="M633">
    <cfRule type="expression" dxfId="3435" priority="4765">
      <formula>$H633="ETAPA"</formula>
    </cfRule>
  </conditionalFormatting>
  <conditionalFormatting sqref="M634 M636">
    <cfRule type="expression" dxfId="3434" priority="4764">
      <formula>$H634="ETAPA"</formula>
    </cfRule>
    <cfRule type="expression" dxfId="3433" priority="4763">
      <formula>$H634="CÉLULA CONSTRUTIVA"</formula>
    </cfRule>
  </conditionalFormatting>
  <conditionalFormatting sqref="M639">
    <cfRule type="expression" dxfId="3432" priority="4762">
      <formula>$H639="ETAPA"</formula>
    </cfRule>
    <cfRule type="expression" dxfId="3431" priority="4761">
      <formula>$H639="CÉLULA CONSTRUTIVA"</formula>
    </cfRule>
  </conditionalFormatting>
  <conditionalFormatting sqref="M641">
    <cfRule type="expression" dxfId="3430" priority="4760">
      <formula>$H641="ETAPA"</formula>
    </cfRule>
  </conditionalFormatting>
  <conditionalFormatting sqref="M642">
    <cfRule type="expression" dxfId="3429" priority="4759">
      <formula>$H642="ETAPA"</formula>
    </cfRule>
  </conditionalFormatting>
  <conditionalFormatting sqref="M643 M645">
    <cfRule type="expression" dxfId="3428" priority="4758">
      <formula>$H643="ETAPA"</formula>
    </cfRule>
    <cfRule type="expression" dxfId="3427" priority="4757">
      <formula>$H643="CÉLULA CONSTRUTIVA"</formula>
    </cfRule>
  </conditionalFormatting>
  <conditionalFormatting sqref="M648">
    <cfRule type="expression" dxfId="3426" priority="4756">
      <formula>$H648="ETAPA"</formula>
    </cfRule>
    <cfRule type="expression" dxfId="3425" priority="4755">
      <formula>$H648="CÉLULA CONSTRUTIVA"</formula>
    </cfRule>
  </conditionalFormatting>
  <conditionalFormatting sqref="M650">
    <cfRule type="expression" dxfId="3424" priority="4754">
      <formula>$H650="ETAPA"</formula>
    </cfRule>
  </conditionalFormatting>
  <conditionalFormatting sqref="M651">
    <cfRule type="expression" dxfId="3423" priority="4753">
      <formula>$H651="ETAPA"</formula>
    </cfRule>
  </conditionalFormatting>
  <conditionalFormatting sqref="M652 M654">
    <cfRule type="expression" dxfId="3422" priority="4752">
      <formula>$H652="ETAPA"</formula>
    </cfRule>
    <cfRule type="expression" dxfId="3421" priority="4751">
      <formula>$H652="CÉLULA CONSTRUTIVA"</formula>
    </cfRule>
  </conditionalFormatting>
  <conditionalFormatting sqref="M657">
    <cfRule type="expression" dxfId="3420" priority="4750">
      <formula>$H657="ETAPA"</formula>
    </cfRule>
    <cfRule type="expression" dxfId="3419" priority="4749">
      <formula>$H657="CÉLULA CONSTRUTIVA"</formula>
    </cfRule>
  </conditionalFormatting>
  <conditionalFormatting sqref="M659">
    <cfRule type="expression" dxfId="3418" priority="4748">
      <formula>$H659="ETAPA"</formula>
    </cfRule>
    <cfRule type="expression" dxfId="3417" priority="4747">
      <formula>$H659="CÉLULA CONSTRUTIVA"</formula>
    </cfRule>
  </conditionalFormatting>
  <conditionalFormatting sqref="M661">
    <cfRule type="expression" dxfId="3416" priority="4746">
      <formula>$H661="ETAPA"</formula>
    </cfRule>
  </conditionalFormatting>
  <conditionalFormatting sqref="M662">
    <cfRule type="expression" dxfId="3415" priority="4745">
      <formula>$H662="ETAPA"</formula>
    </cfRule>
  </conditionalFormatting>
  <conditionalFormatting sqref="M663 M665">
    <cfRule type="expression" dxfId="3414" priority="4744">
      <formula>$H663="ETAPA"</formula>
    </cfRule>
    <cfRule type="expression" dxfId="3413" priority="4743">
      <formula>$H663="CÉLULA CONSTRUTIVA"</formula>
    </cfRule>
  </conditionalFormatting>
  <conditionalFormatting sqref="M668">
    <cfRule type="expression" dxfId="3412" priority="4742">
      <formula>$H668="ETAPA"</formula>
    </cfRule>
    <cfRule type="expression" dxfId="3411" priority="4741">
      <formula>$H668="CÉLULA CONSTRUTIVA"</formula>
    </cfRule>
  </conditionalFormatting>
  <conditionalFormatting sqref="M670">
    <cfRule type="expression" dxfId="3410" priority="4740">
      <formula>$H670="ETAPA"</formula>
    </cfRule>
    <cfRule type="expression" dxfId="3409" priority="4739">
      <formula>$H670="CÉLULA CONSTRUTIVA"</formula>
    </cfRule>
  </conditionalFormatting>
  <conditionalFormatting sqref="M672">
    <cfRule type="expression" dxfId="3408" priority="4738">
      <formula>$H672="ETAPA"</formula>
    </cfRule>
  </conditionalFormatting>
  <conditionalFormatting sqref="M673">
    <cfRule type="expression" dxfId="3407" priority="4737">
      <formula>$H673="ETAPA"</formula>
    </cfRule>
  </conditionalFormatting>
  <conditionalFormatting sqref="M674 M676">
    <cfRule type="expression" dxfId="3406" priority="4736">
      <formula>$H674="ETAPA"</formula>
    </cfRule>
    <cfRule type="expression" dxfId="3405" priority="4735">
      <formula>$H674="CÉLULA CONSTRUTIVA"</formula>
    </cfRule>
  </conditionalFormatting>
  <conditionalFormatting sqref="M679">
    <cfRule type="expression" dxfId="3404" priority="4734">
      <formula>$H679="ETAPA"</formula>
    </cfRule>
    <cfRule type="expression" dxfId="3403" priority="4733">
      <formula>$H679="CÉLULA CONSTRUTIVA"</formula>
    </cfRule>
  </conditionalFormatting>
  <conditionalFormatting sqref="M681">
    <cfRule type="expression" dxfId="3402" priority="4732">
      <formula>$H681="ETAPA"</formula>
    </cfRule>
  </conditionalFormatting>
  <conditionalFormatting sqref="M682">
    <cfRule type="expression" dxfId="3401" priority="4731">
      <formula>$H682="ETAPA"</formula>
    </cfRule>
  </conditionalFormatting>
  <conditionalFormatting sqref="M683 M685">
    <cfRule type="expression" dxfId="3400" priority="4730">
      <formula>$H683="ETAPA"</formula>
    </cfRule>
    <cfRule type="expression" dxfId="3399" priority="4729">
      <formula>$H683="CÉLULA CONSTRUTIVA"</formula>
    </cfRule>
  </conditionalFormatting>
  <conditionalFormatting sqref="M688">
    <cfRule type="expression" dxfId="3398" priority="4728">
      <formula>$H688="ETAPA"</formula>
    </cfRule>
    <cfRule type="expression" dxfId="3397" priority="4727">
      <formula>$H688="CÉLULA CONSTRUTIVA"</formula>
    </cfRule>
  </conditionalFormatting>
  <conditionalFormatting sqref="M690">
    <cfRule type="expression" dxfId="3396" priority="4726">
      <formula>$H690="ETAPA"</formula>
    </cfRule>
  </conditionalFormatting>
  <conditionalFormatting sqref="M691">
    <cfRule type="expression" dxfId="3395" priority="4725">
      <formula>$H691="ETAPA"</formula>
    </cfRule>
  </conditionalFormatting>
  <conditionalFormatting sqref="M692 M694">
    <cfRule type="expression" dxfId="3394" priority="4724">
      <formula>$H692="ETAPA"</formula>
    </cfRule>
    <cfRule type="expression" dxfId="3393" priority="4723">
      <formula>$H692="CÉLULA CONSTRUTIVA"</formula>
    </cfRule>
  </conditionalFormatting>
  <conditionalFormatting sqref="M697">
    <cfRule type="expression" dxfId="3392" priority="4721">
      <formula>$H697="CÉLULA CONSTRUTIVA"</formula>
    </cfRule>
    <cfRule type="expression" dxfId="3391" priority="4722">
      <formula>$H697="ETAPA"</formula>
    </cfRule>
  </conditionalFormatting>
  <conditionalFormatting sqref="M699">
    <cfRule type="expression" dxfId="3390" priority="4720">
      <formula>$H699="ETAPA"</formula>
    </cfRule>
    <cfRule type="expression" dxfId="3389" priority="4719">
      <formula>$H699="CÉLULA CONSTRUTIVA"</formula>
    </cfRule>
  </conditionalFormatting>
  <conditionalFormatting sqref="M701">
    <cfRule type="expression" dxfId="3388" priority="4718">
      <formula>$H701="ETAPA"</formula>
    </cfRule>
  </conditionalFormatting>
  <conditionalFormatting sqref="M702">
    <cfRule type="expression" dxfId="3387" priority="4717">
      <formula>$H702="ETAPA"</formula>
    </cfRule>
  </conditionalFormatting>
  <conditionalFormatting sqref="M704:M705">
    <cfRule type="expression" dxfId="3386" priority="4716">
      <formula>$H704="ETAPA"</formula>
    </cfRule>
  </conditionalFormatting>
  <conditionalFormatting sqref="M707">
    <cfRule type="expression" dxfId="3385" priority="4715">
      <formula>$H707="ETAPA"</formula>
    </cfRule>
    <cfRule type="expression" dxfId="3384" priority="4714">
      <formula>$H707="CÉLULA CONSTRUTIVA"</formula>
    </cfRule>
  </conditionalFormatting>
  <conditionalFormatting sqref="M709">
    <cfRule type="expression" dxfId="3383" priority="4713">
      <formula>$H709="ETAPA"</formula>
    </cfRule>
    <cfRule type="expression" dxfId="3382" priority="4712">
      <formula>$H709="CÉLULA CONSTRUTIVA"</formula>
    </cfRule>
  </conditionalFormatting>
  <conditionalFormatting sqref="M715 M717">
    <cfRule type="expression" dxfId="3381" priority="4711">
      <formula>$H715="ETAPA"</formula>
    </cfRule>
    <cfRule type="expression" dxfId="3380" priority="4710">
      <formula>$H715="CÉLULA CONSTRUTIVA"</formula>
    </cfRule>
  </conditionalFormatting>
  <conditionalFormatting sqref="M719:M720">
    <cfRule type="expression" dxfId="3379" priority="4709">
      <formula>$H719="ETAPA"</formula>
    </cfRule>
  </conditionalFormatting>
  <conditionalFormatting sqref="M722">
    <cfRule type="expression" dxfId="3378" priority="4708">
      <formula>$H722="ETAPA"</formula>
    </cfRule>
    <cfRule type="expression" dxfId="3377" priority="4707">
      <formula>$H722="CÉLULA CONSTRUTIVA"</formula>
    </cfRule>
  </conditionalFormatting>
  <conditionalFormatting sqref="M724">
    <cfRule type="expression" dxfId="3376" priority="4706">
      <formula>$H724="ETAPA"</formula>
    </cfRule>
    <cfRule type="expression" dxfId="3375" priority="4705">
      <formula>$H724="CÉLULA CONSTRUTIVA"</formula>
    </cfRule>
  </conditionalFormatting>
  <conditionalFormatting sqref="M725">
    <cfRule type="expression" dxfId="3374" priority="4704">
      <formula>$H725="ETAPA"</formula>
    </cfRule>
  </conditionalFormatting>
  <conditionalFormatting sqref="M730 M732">
    <cfRule type="expression" dxfId="3373" priority="4703">
      <formula>$H730="ETAPA"</formula>
    </cfRule>
    <cfRule type="expression" dxfId="3372" priority="4702">
      <formula>$H730="CÉLULA CONSTRUTIVA"</formula>
    </cfRule>
  </conditionalFormatting>
  <conditionalFormatting sqref="M734:M735">
    <cfRule type="expression" dxfId="3371" priority="4701">
      <formula>$H734="ETAPA"</formula>
    </cfRule>
  </conditionalFormatting>
  <conditionalFormatting sqref="M737">
    <cfRule type="expression" dxfId="3370" priority="4700">
      <formula>$H737="ETAPA"</formula>
    </cfRule>
    <cfRule type="expression" dxfId="3369" priority="4699">
      <formula>$H737="CÉLULA CONSTRUTIVA"</formula>
    </cfRule>
  </conditionalFormatting>
  <conditionalFormatting sqref="M739">
    <cfRule type="expression" dxfId="3368" priority="4698">
      <formula>$H739="ETAPA"</formula>
    </cfRule>
    <cfRule type="expression" dxfId="3367" priority="4697">
      <formula>$H739="CÉLULA CONSTRUTIVA"</formula>
    </cfRule>
  </conditionalFormatting>
  <conditionalFormatting sqref="M740">
    <cfRule type="expression" dxfId="3366" priority="4696">
      <formula>$H740="ETAPA"</formula>
    </cfRule>
  </conditionalFormatting>
  <conditionalFormatting sqref="M745 M747">
    <cfRule type="expression" dxfId="3365" priority="4695">
      <formula>$H745="ETAPA"</formula>
    </cfRule>
    <cfRule type="expression" dxfId="3364" priority="4694">
      <formula>$H745="CÉLULA CONSTRUTIVA"</formula>
    </cfRule>
  </conditionalFormatting>
  <conditionalFormatting sqref="M749:M750">
    <cfRule type="expression" dxfId="3363" priority="4693">
      <formula>$H749="ETAPA"</formula>
    </cfRule>
  </conditionalFormatting>
  <conditionalFormatting sqref="M752">
    <cfRule type="expression" dxfId="3362" priority="4691">
      <formula>$H752="CÉLULA CONSTRUTIVA"</formula>
    </cfRule>
    <cfRule type="expression" dxfId="3361" priority="4692">
      <formula>$H752="ETAPA"</formula>
    </cfRule>
  </conditionalFormatting>
  <conditionalFormatting sqref="M754">
    <cfRule type="expression" dxfId="3360" priority="4689">
      <formula>$H754="CÉLULA CONSTRUTIVA"</formula>
    </cfRule>
    <cfRule type="expression" dxfId="3359" priority="4690">
      <formula>$H754="ETAPA"</formula>
    </cfRule>
  </conditionalFormatting>
  <conditionalFormatting sqref="M755">
    <cfRule type="expression" dxfId="3358" priority="4688">
      <formula>$H755="ETAPA"</formula>
    </cfRule>
  </conditionalFormatting>
  <conditionalFormatting sqref="M760 M762">
    <cfRule type="expression" dxfId="3357" priority="4686">
      <formula>$H760="CÉLULA CONSTRUTIVA"</formula>
    </cfRule>
    <cfRule type="expression" dxfId="3356" priority="4687">
      <formula>$H760="ETAPA"</formula>
    </cfRule>
  </conditionalFormatting>
  <conditionalFormatting sqref="M764:M765">
    <cfRule type="expression" dxfId="3355" priority="4685">
      <formula>$H764="ETAPA"</formula>
    </cfRule>
  </conditionalFormatting>
  <conditionalFormatting sqref="M767">
    <cfRule type="expression" dxfId="3354" priority="4684">
      <formula>$H767="ETAPA"</formula>
    </cfRule>
    <cfRule type="expression" dxfId="3353" priority="4683">
      <formula>$H767="CÉLULA CONSTRUTIVA"</formula>
    </cfRule>
  </conditionalFormatting>
  <conditionalFormatting sqref="M769">
    <cfRule type="expression" dxfId="3352" priority="4681">
      <formula>$H769="CÉLULA CONSTRUTIVA"</formula>
    </cfRule>
    <cfRule type="expression" dxfId="3351" priority="4682">
      <formula>$H769="ETAPA"</formula>
    </cfRule>
  </conditionalFormatting>
  <conditionalFormatting sqref="M770">
    <cfRule type="expression" dxfId="3350" priority="4680">
      <formula>$H770="ETAPA"</formula>
    </cfRule>
  </conditionalFormatting>
  <conditionalFormatting sqref="M775 M777">
    <cfRule type="expression" dxfId="3349" priority="4678">
      <formula>$H775="CÉLULA CONSTRUTIVA"</formula>
    </cfRule>
    <cfRule type="expression" dxfId="3348" priority="4679">
      <formula>$H775="ETAPA"</formula>
    </cfRule>
  </conditionalFormatting>
  <conditionalFormatting sqref="M779:M780">
    <cfRule type="expression" dxfId="3347" priority="4677">
      <formula>$H779="ETAPA"</formula>
    </cfRule>
  </conditionalFormatting>
  <conditionalFormatting sqref="M782">
    <cfRule type="expression" dxfId="3346" priority="4675">
      <formula>$H782="CÉLULA CONSTRUTIVA"</formula>
    </cfRule>
    <cfRule type="expression" dxfId="3345" priority="4676">
      <formula>$H782="ETAPA"</formula>
    </cfRule>
  </conditionalFormatting>
  <conditionalFormatting sqref="M784">
    <cfRule type="expression" dxfId="3344" priority="4673">
      <formula>$H784="CÉLULA CONSTRUTIVA"</formula>
    </cfRule>
    <cfRule type="expression" dxfId="3343" priority="4674">
      <formula>$H784="ETAPA"</formula>
    </cfRule>
  </conditionalFormatting>
  <conditionalFormatting sqref="M785">
    <cfRule type="expression" dxfId="3342" priority="4672">
      <formula>$H785="ETAPA"</formula>
    </cfRule>
  </conditionalFormatting>
  <conditionalFormatting sqref="M790 M792">
    <cfRule type="expression" dxfId="3341" priority="4670">
      <formula>$H790="CÉLULA CONSTRUTIVA"</formula>
    </cfRule>
    <cfRule type="expression" dxfId="3340" priority="4671">
      <formula>$H790="ETAPA"</formula>
    </cfRule>
  </conditionalFormatting>
  <conditionalFormatting sqref="M794:M795">
    <cfRule type="expression" dxfId="3339" priority="4669">
      <formula>$H794="ETAPA"</formula>
    </cfRule>
  </conditionalFormatting>
  <conditionalFormatting sqref="M797">
    <cfRule type="expression" dxfId="3338" priority="4667">
      <formula>$H797="CÉLULA CONSTRUTIVA"</formula>
    </cfRule>
    <cfRule type="expression" dxfId="3337" priority="4668">
      <formula>$H797="ETAPA"</formula>
    </cfRule>
  </conditionalFormatting>
  <conditionalFormatting sqref="M799">
    <cfRule type="expression" dxfId="3336" priority="4665">
      <formula>$H799="CÉLULA CONSTRUTIVA"</formula>
    </cfRule>
    <cfRule type="expression" dxfId="3335" priority="4666">
      <formula>$H799="ETAPA"</formula>
    </cfRule>
  </conditionalFormatting>
  <conditionalFormatting sqref="M800">
    <cfRule type="expression" dxfId="3334" priority="4664">
      <formula>$H800="ETAPA"</formula>
    </cfRule>
  </conditionalFormatting>
  <conditionalFormatting sqref="M805 M807">
    <cfRule type="expression" dxfId="3333" priority="4662">
      <formula>$H805="CÉLULA CONSTRUTIVA"</formula>
    </cfRule>
    <cfRule type="expression" dxfId="3332" priority="4663">
      <formula>$H805="ETAPA"</formula>
    </cfRule>
  </conditionalFormatting>
  <conditionalFormatting sqref="M809:M810">
    <cfRule type="expression" dxfId="3331" priority="4661">
      <formula>$H809="ETAPA"</formula>
    </cfRule>
  </conditionalFormatting>
  <conditionalFormatting sqref="M812">
    <cfRule type="expression" dxfId="3330" priority="4660">
      <formula>$H812="ETAPA"</formula>
    </cfRule>
    <cfRule type="expression" dxfId="3329" priority="4659">
      <formula>$H812="CÉLULA CONSTRUTIVA"</formula>
    </cfRule>
  </conditionalFormatting>
  <conditionalFormatting sqref="M814">
    <cfRule type="expression" dxfId="3328" priority="4657">
      <formula>$H814="CÉLULA CONSTRUTIVA"</formula>
    </cfRule>
    <cfRule type="expression" dxfId="3327" priority="4658">
      <formula>$H814="ETAPA"</formula>
    </cfRule>
  </conditionalFormatting>
  <conditionalFormatting sqref="M815">
    <cfRule type="expression" dxfId="3326" priority="4656">
      <formula>$H815="ETAPA"</formula>
    </cfRule>
  </conditionalFormatting>
  <conditionalFormatting sqref="M820 M822">
    <cfRule type="expression" dxfId="3325" priority="4655">
      <formula>$H820="ETAPA"</formula>
    </cfRule>
    <cfRule type="expression" dxfId="3324" priority="4654">
      <formula>$H820="CÉLULA CONSTRUTIVA"</formula>
    </cfRule>
  </conditionalFormatting>
  <conditionalFormatting sqref="M824:M825">
    <cfRule type="expression" dxfId="3323" priority="4653">
      <formula>$H824="ETAPA"</formula>
    </cfRule>
  </conditionalFormatting>
  <conditionalFormatting sqref="M827">
    <cfRule type="expression" dxfId="3322" priority="4652">
      <formula>$H827="ETAPA"</formula>
    </cfRule>
    <cfRule type="expression" dxfId="3321" priority="4651">
      <formula>$H827="CÉLULA CONSTRUTIVA"</formula>
    </cfRule>
  </conditionalFormatting>
  <conditionalFormatting sqref="M829">
    <cfRule type="expression" dxfId="3320" priority="4650">
      <formula>$H829="ETAPA"</formula>
    </cfRule>
    <cfRule type="expression" dxfId="3319" priority="4649">
      <formula>$H829="CÉLULA CONSTRUTIVA"</formula>
    </cfRule>
  </conditionalFormatting>
  <conditionalFormatting sqref="M830">
    <cfRule type="expression" dxfId="3318" priority="4648">
      <formula>$H830="ETAPA"</formula>
    </cfRule>
  </conditionalFormatting>
  <conditionalFormatting sqref="M835 M837">
    <cfRule type="expression" dxfId="3317" priority="4647">
      <formula>$H835="ETAPA"</formula>
    </cfRule>
    <cfRule type="expression" dxfId="3316" priority="4646">
      <formula>$H835="CÉLULA CONSTRUTIVA"</formula>
    </cfRule>
  </conditionalFormatting>
  <conditionalFormatting sqref="M839:M840">
    <cfRule type="expression" dxfId="3315" priority="4645">
      <formula>$H839="ETAPA"</formula>
    </cfRule>
  </conditionalFormatting>
  <conditionalFormatting sqref="M842">
    <cfRule type="expression" dxfId="3314" priority="4643">
      <formula>$H842="CÉLULA CONSTRUTIVA"</formula>
    </cfRule>
    <cfRule type="expression" dxfId="3313" priority="4644">
      <formula>$H842="ETAPA"</formula>
    </cfRule>
  </conditionalFormatting>
  <conditionalFormatting sqref="M844">
    <cfRule type="expression" dxfId="3312" priority="4642">
      <formula>$H844="ETAPA"</formula>
    </cfRule>
    <cfRule type="expression" dxfId="3311" priority="4641">
      <formula>$H844="CÉLULA CONSTRUTIVA"</formula>
    </cfRule>
  </conditionalFormatting>
  <conditionalFormatting sqref="M845">
    <cfRule type="expression" dxfId="3310" priority="4640">
      <formula>$H845="ETAPA"</formula>
    </cfRule>
  </conditionalFormatting>
  <conditionalFormatting sqref="M850 M852">
    <cfRule type="expression" dxfId="3309" priority="4639">
      <formula>$H850="ETAPA"</formula>
    </cfRule>
    <cfRule type="expression" dxfId="3308" priority="4638">
      <formula>$H850="CÉLULA CONSTRUTIVA"</formula>
    </cfRule>
  </conditionalFormatting>
  <conditionalFormatting sqref="M854:M855">
    <cfRule type="expression" dxfId="3307" priority="4637">
      <formula>$H854="ETAPA"</formula>
    </cfRule>
  </conditionalFormatting>
  <conditionalFormatting sqref="M857">
    <cfRule type="expression" dxfId="3306" priority="4636">
      <formula>$H857="ETAPA"</formula>
    </cfRule>
    <cfRule type="expression" dxfId="3305" priority="4635">
      <formula>$H857="CÉLULA CONSTRUTIVA"</formula>
    </cfRule>
  </conditionalFormatting>
  <conditionalFormatting sqref="M859">
    <cfRule type="expression" dxfId="3304" priority="4634">
      <formula>$H859="ETAPA"</formula>
    </cfRule>
    <cfRule type="expression" dxfId="3303" priority="4633">
      <formula>$H859="CÉLULA CONSTRUTIVA"</formula>
    </cfRule>
  </conditionalFormatting>
  <conditionalFormatting sqref="M860">
    <cfRule type="expression" dxfId="3302" priority="4632">
      <formula>$H860="ETAPA"</formula>
    </cfRule>
  </conditionalFormatting>
  <conditionalFormatting sqref="M865 M867">
    <cfRule type="expression" dxfId="3301" priority="4631">
      <formula>$H865="ETAPA"</formula>
    </cfRule>
    <cfRule type="expression" dxfId="3300" priority="4630">
      <formula>$H865="CÉLULA CONSTRUTIVA"</formula>
    </cfRule>
  </conditionalFormatting>
  <conditionalFormatting sqref="M869:M870">
    <cfRule type="expression" dxfId="3299" priority="4629">
      <formula>$H869="ETAPA"</formula>
    </cfRule>
  </conditionalFormatting>
  <conditionalFormatting sqref="M872">
    <cfRule type="expression" dxfId="3298" priority="4628">
      <formula>$H872="ETAPA"</formula>
    </cfRule>
    <cfRule type="expression" dxfId="3297" priority="4627">
      <formula>$H872="CÉLULA CONSTRUTIVA"</formula>
    </cfRule>
  </conditionalFormatting>
  <conditionalFormatting sqref="M874">
    <cfRule type="expression" dxfId="3296" priority="4626">
      <formula>$H874="ETAPA"</formula>
    </cfRule>
    <cfRule type="expression" dxfId="3295" priority="4625">
      <formula>$H874="CÉLULA CONSTRUTIVA"</formula>
    </cfRule>
  </conditionalFormatting>
  <conditionalFormatting sqref="M875">
    <cfRule type="expression" dxfId="3294" priority="4624">
      <formula>$H875="ETAPA"</formula>
    </cfRule>
  </conditionalFormatting>
  <conditionalFormatting sqref="M880 M882">
    <cfRule type="expression" dxfId="3293" priority="4622">
      <formula>$H880="CÉLULA CONSTRUTIVA"</formula>
    </cfRule>
    <cfRule type="expression" dxfId="3292" priority="4623">
      <formula>$H880="ETAPA"</formula>
    </cfRule>
  </conditionalFormatting>
  <conditionalFormatting sqref="M884:M885">
    <cfRule type="expression" dxfId="3291" priority="4621">
      <formula>$H884="ETAPA"</formula>
    </cfRule>
  </conditionalFormatting>
  <conditionalFormatting sqref="M887">
    <cfRule type="expression" dxfId="3290" priority="4620">
      <formula>$H887="ETAPA"</formula>
    </cfRule>
    <cfRule type="expression" dxfId="3289" priority="4619">
      <formula>$H887="CÉLULA CONSTRUTIVA"</formula>
    </cfRule>
  </conditionalFormatting>
  <conditionalFormatting sqref="M889">
    <cfRule type="expression" dxfId="3288" priority="4618">
      <formula>$H889="ETAPA"</formula>
    </cfRule>
    <cfRule type="expression" dxfId="3287" priority="4617">
      <formula>$H889="CÉLULA CONSTRUTIVA"</formula>
    </cfRule>
  </conditionalFormatting>
  <conditionalFormatting sqref="M890">
    <cfRule type="expression" dxfId="3286" priority="4616">
      <formula>$H890="ETAPA"</formula>
    </cfRule>
  </conditionalFormatting>
  <conditionalFormatting sqref="M895 M897">
    <cfRule type="expression" dxfId="3285" priority="4615">
      <formula>$H895="ETAPA"</formula>
    </cfRule>
    <cfRule type="expression" dxfId="3284" priority="4614">
      <formula>$H895="CÉLULA CONSTRUTIVA"</formula>
    </cfRule>
  </conditionalFormatting>
  <conditionalFormatting sqref="M899:M900">
    <cfRule type="expression" dxfId="3283" priority="4613">
      <formula>$H899="ETAPA"</formula>
    </cfRule>
  </conditionalFormatting>
  <conditionalFormatting sqref="M902">
    <cfRule type="expression" dxfId="3282" priority="4611">
      <formula>$H902="CÉLULA CONSTRUTIVA"</formula>
    </cfRule>
    <cfRule type="expression" dxfId="3281" priority="4612">
      <formula>$H902="ETAPA"</formula>
    </cfRule>
  </conditionalFormatting>
  <conditionalFormatting sqref="M904">
    <cfRule type="expression" dxfId="3280" priority="4610">
      <formula>$H904="ETAPA"</formula>
    </cfRule>
    <cfRule type="expression" dxfId="3279" priority="4609">
      <formula>$H904="CÉLULA CONSTRUTIVA"</formula>
    </cfRule>
  </conditionalFormatting>
  <conditionalFormatting sqref="M905">
    <cfRule type="expression" dxfId="3278" priority="4608">
      <formula>$H905="ETAPA"</formula>
    </cfRule>
  </conditionalFormatting>
  <conditionalFormatting sqref="M910 M912">
    <cfRule type="expression" dxfId="3277" priority="4607">
      <formula>$H910="ETAPA"</formula>
    </cfRule>
    <cfRule type="expression" dxfId="3276" priority="4606">
      <formula>$H910="CÉLULA CONSTRUTIVA"</formula>
    </cfRule>
  </conditionalFormatting>
  <conditionalFormatting sqref="M917:M922 M949:M954 M956:M961 M963:M968 M970:M975 M977:M982 M989:M994">
    <cfRule type="expression" dxfId="3275" priority="9354">
      <formula>$H917="SUBETAPA"</formula>
    </cfRule>
  </conditionalFormatting>
  <conditionalFormatting sqref="M999:M1001">
    <cfRule type="expression" dxfId="3274" priority="33">
      <formula>$H999="CÉLULA CONSTRUTIVA"</formula>
    </cfRule>
    <cfRule type="expression" dxfId="3273" priority="32">
      <formula>$H999="SUBETAPA"</formula>
    </cfRule>
  </conditionalFormatting>
  <conditionalFormatting sqref="M999:M1003">
    <cfRule type="expression" dxfId="3272" priority="4605">
      <formula>$H999="ETAPA"</formula>
    </cfRule>
  </conditionalFormatting>
  <conditionalFormatting sqref="M1002:M1003">
    <cfRule type="expression" dxfId="3271" priority="4604">
      <formula>$H1002="CÉLULA CONSTRUTIVA"</formula>
    </cfRule>
    <cfRule type="expression" dxfId="3270" priority="4603">
      <formula>$H1002="SUBETAPA"</formula>
    </cfRule>
  </conditionalFormatting>
  <conditionalFormatting sqref="M1012">
    <cfRule type="expression" dxfId="3269" priority="4602">
      <formula>$H1012="ETAPA"</formula>
    </cfRule>
    <cfRule type="expression" dxfId="3268" priority="4601">
      <formula>$H1012="CÉLULA CONSTRUTIVA"</formula>
    </cfRule>
    <cfRule type="expression" dxfId="3267" priority="4600">
      <formula>$H1012="SUBETAPA"</formula>
    </cfRule>
  </conditionalFormatting>
  <conditionalFormatting sqref="M1013:M1014 M1016:M1017 I1013:K1014 I1015:J1015 I1016:K1016">
    <cfRule type="expression" dxfId="3266" priority="4599">
      <formula>$H1013="CÉLULA CONSTRUTIVA"</formula>
    </cfRule>
  </conditionalFormatting>
  <conditionalFormatting sqref="M1013:M1014 M1016:M1017">
    <cfRule type="expression" dxfId="3265" priority="4598">
      <formula>$H1013="SUBETAPA"</formula>
    </cfRule>
  </conditionalFormatting>
  <conditionalFormatting sqref="M1019">
    <cfRule type="expression" dxfId="3264" priority="4596">
      <formula>$H1019="CÉLULA CONSTRUTIVA"</formula>
    </cfRule>
    <cfRule type="expression" dxfId="3263" priority="4597">
      <formula>$H1019="ETAPA"</formula>
    </cfRule>
    <cfRule type="expression" dxfId="3262" priority="4595">
      <formula>$H1019="SUBETAPA"</formula>
    </cfRule>
  </conditionalFormatting>
  <conditionalFormatting sqref="M1022:M1026">
    <cfRule type="expression" dxfId="3261" priority="4593">
      <formula>$H1022="CÉLULA CONSTRUTIVA"</formula>
    </cfRule>
    <cfRule type="expression" dxfId="3260" priority="4592">
      <formula>$H1022="SUBETAPA"</formula>
    </cfRule>
    <cfRule type="expression" dxfId="3259" priority="4594">
      <formula>$H1022="ETAPA"</formula>
    </cfRule>
  </conditionalFormatting>
  <conditionalFormatting sqref="M1027:M1028 M1030:M1031 I1027:K1028 I1029:J1029 I1030:K1030">
    <cfRule type="expression" dxfId="3258" priority="4591">
      <formula>$H1027="CÉLULA CONSTRUTIVA"</formula>
    </cfRule>
  </conditionalFormatting>
  <conditionalFormatting sqref="M1027:M1028 M1030:M1031">
    <cfRule type="expression" dxfId="3257" priority="4590">
      <formula>$H1027="SUBETAPA"</formula>
    </cfRule>
  </conditionalFormatting>
  <conditionalFormatting sqref="M1033">
    <cfRule type="expression" dxfId="3256" priority="4587">
      <formula>$H1033="SUBETAPA"</formula>
    </cfRule>
    <cfRule type="expression" dxfId="3255" priority="4588">
      <formula>$H1033="CÉLULA CONSTRUTIVA"</formula>
    </cfRule>
    <cfRule type="expression" dxfId="3254" priority="4589">
      <formula>$H1033="ETAPA"</formula>
    </cfRule>
  </conditionalFormatting>
  <conditionalFormatting sqref="M1036:M1040">
    <cfRule type="expression" dxfId="3253" priority="4585">
      <formula>$H1036="CÉLULA CONSTRUTIVA"</formula>
    </cfRule>
    <cfRule type="expression" dxfId="3252" priority="4586">
      <formula>$H1036="ETAPA"</formula>
    </cfRule>
    <cfRule type="expression" dxfId="3251" priority="4584">
      <formula>$H1036="SUBETAPA"</formula>
    </cfRule>
  </conditionalFormatting>
  <conditionalFormatting sqref="M1041:M1042 M1044:M1045 I1041:K1042 I1043:J1043 I1044:K1044">
    <cfRule type="expression" dxfId="3250" priority="4583">
      <formula>$H1041="CÉLULA CONSTRUTIVA"</formula>
    </cfRule>
  </conditionalFormatting>
  <conditionalFormatting sqref="M1041:M1042 M1044:M1045">
    <cfRule type="expression" dxfId="3249" priority="4582">
      <formula>$H1041="SUBETAPA"</formula>
    </cfRule>
  </conditionalFormatting>
  <conditionalFormatting sqref="M1047">
    <cfRule type="expression" dxfId="3248" priority="4581">
      <formula>$H1047="ETAPA"</formula>
    </cfRule>
    <cfRule type="expression" dxfId="3247" priority="4580">
      <formula>$H1047="CÉLULA CONSTRUTIVA"</formula>
    </cfRule>
    <cfRule type="expression" dxfId="3246" priority="4579">
      <formula>$H1047="SUBETAPA"</formula>
    </cfRule>
  </conditionalFormatting>
  <conditionalFormatting sqref="M1050:M1054">
    <cfRule type="expression" dxfId="3245" priority="4578">
      <formula>$H1050="ETAPA"</formula>
    </cfRule>
    <cfRule type="expression" dxfId="3244" priority="4576">
      <formula>$H1050="SUBETAPA"</formula>
    </cfRule>
    <cfRule type="expression" dxfId="3243" priority="4577">
      <formula>$H1050="CÉLULA CONSTRUTIVA"</formula>
    </cfRule>
  </conditionalFormatting>
  <conditionalFormatting sqref="M1055:M1056 M1058:M1059 I1055:K1056 I1057:J1057 I1058:K1058">
    <cfRule type="expression" dxfId="3242" priority="4575">
      <formula>$H1055="CÉLULA CONSTRUTIVA"</formula>
    </cfRule>
  </conditionalFormatting>
  <conditionalFormatting sqref="M1055:M1056 M1058:M1059">
    <cfRule type="expression" dxfId="3241" priority="4574">
      <formula>$H1055="SUBETAPA"</formula>
    </cfRule>
  </conditionalFormatting>
  <conditionalFormatting sqref="M1061">
    <cfRule type="expression" dxfId="3240" priority="4571">
      <formula>$H1061="SUBETAPA"</formula>
    </cfRule>
    <cfRule type="expression" dxfId="3239" priority="4572">
      <formula>$H1061="CÉLULA CONSTRUTIVA"</formula>
    </cfRule>
    <cfRule type="expression" dxfId="3238" priority="4573">
      <formula>$H1061="ETAPA"</formula>
    </cfRule>
  </conditionalFormatting>
  <conditionalFormatting sqref="M1064:M1068">
    <cfRule type="expression" dxfId="3237" priority="4568">
      <formula>$H1064="SUBETAPA"</formula>
    </cfRule>
    <cfRule type="expression" dxfId="3236" priority="4569">
      <formula>$H1064="CÉLULA CONSTRUTIVA"</formula>
    </cfRule>
    <cfRule type="expression" dxfId="3235" priority="4570">
      <formula>$H1064="ETAPA"</formula>
    </cfRule>
  </conditionalFormatting>
  <conditionalFormatting sqref="M1069:M1070 M1073 I1069:K1070 I1071:J1071 I1072:K1072">
    <cfRule type="expression" dxfId="3234" priority="4567">
      <formula>$H1069="CÉLULA CONSTRUTIVA"</formula>
    </cfRule>
  </conditionalFormatting>
  <conditionalFormatting sqref="M1069:M1070 M1073">
    <cfRule type="expression" dxfId="3233" priority="4566">
      <formula>$H1069="SUBETAPA"</formula>
    </cfRule>
  </conditionalFormatting>
  <conditionalFormatting sqref="M1072">
    <cfRule type="expression" dxfId="3232" priority="4564">
      <formula>$H1072="ETAPA"</formula>
    </cfRule>
    <cfRule type="expression" dxfId="3231" priority="4565">
      <formula>$H1072="SUBETAPA"</formula>
    </cfRule>
  </conditionalFormatting>
  <conditionalFormatting sqref="M1075">
    <cfRule type="expression" dxfId="3230" priority="4563">
      <formula>$H1075="ETAPA"</formula>
    </cfRule>
    <cfRule type="expression" dxfId="3229" priority="4561">
      <formula>$H1075="SUBETAPA"</formula>
    </cfRule>
    <cfRule type="expression" dxfId="3228" priority="4562">
      <formula>$H1075="CÉLULA CONSTRUTIVA"</formula>
    </cfRule>
  </conditionalFormatting>
  <conditionalFormatting sqref="M1076">
    <cfRule type="expression" dxfId="3227" priority="4560">
      <formula>$H1076="SUBETAPA"</formula>
    </cfRule>
  </conditionalFormatting>
  <conditionalFormatting sqref="M1078:M1081">
    <cfRule type="expression" dxfId="3226" priority="4558">
      <formula>$H1078="CÉLULA CONSTRUTIVA"</formula>
    </cfRule>
    <cfRule type="expression" dxfId="3225" priority="4559">
      <formula>$H1078="ETAPA"</formula>
    </cfRule>
    <cfRule type="expression" dxfId="3224" priority="4557">
      <formula>$H1078="SUBETAPA"</formula>
    </cfRule>
  </conditionalFormatting>
  <conditionalFormatting sqref="M1082">
    <cfRule type="expression" dxfId="3223" priority="4555">
      <formula>$H1082="SUBETAPA"</formula>
    </cfRule>
    <cfRule type="expression" dxfId="3222" priority="4554">
      <formula>$H1082="ETAPA"</formula>
    </cfRule>
    <cfRule type="expression" dxfId="3221" priority="4556">
      <formula>$H1082="CÉLULA CONSTRUTIVA"</formula>
    </cfRule>
  </conditionalFormatting>
  <conditionalFormatting sqref="M1083:M1084 M1087 I1083:K1084 I1085:J1085 I1086:K1086">
    <cfRule type="expression" dxfId="3220" priority="4553">
      <formula>$H1083="CÉLULA CONSTRUTIVA"</formula>
    </cfRule>
  </conditionalFormatting>
  <conditionalFormatting sqref="M1083:M1084 M1087">
    <cfRule type="expression" dxfId="3219" priority="4552">
      <formula>$H1083="SUBETAPA"</formula>
    </cfRule>
  </conditionalFormatting>
  <conditionalFormatting sqref="M1085">
    <cfRule type="expression" dxfId="3218" priority="4551">
      <formula>$H1085="CÉLULA CONSTRUTIVA"</formula>
    </cfRule>
    <cfRule type="expression" dxfId="3217" priority="4549">
      <formula>$H1085="ETAPA"</formula>
    </cfRule>
    <cfRule type="expression" dxfId="3216" priority="4550">
      <formula>$H1085="SUBETAPA"</formula>
    </cfRule>
  </conditionalFormatting>
  <conditionalFormatting sqref="M1086">
    <cfRule type="expression" dxfId="3215" priority="4546">
      <formula>$H1086="ETAPA"</formula>
    </cfRule>
    <cfRule type="expression" dxfId="3214" priority="4547">
      <formula>$H1086="SUBETAPA"</formula>
    </cfRule>
    <cfRule type="expression" dxfId="3213" priority="4548">
      <formula>$H1086="CÉLULA CONSTRUTIVA"</formula>
    </cfRule>
  </conditionalFormatting>
  <conditionalFormatting sqref="M1088">
    <cfRule type="expression" dxfId="3212" priority="4543">
      <formula>$H1088="ETAPA"</formula>
    </cfRule>
    <cfRule type="expression" dxfId="3211" priority="4544">
      <formula>$H1088="SUBETAPA"</formula>
    </cfRule>
    <cfRule type="expression" dxfId="3210" priority="4545">
      <formula>$H1088="CÉLULA CONSTRUTIVA"</formula>
    </cfRule>
  </conditionalFormatting>
  <conditionalFormatting sqref="M1089">
    <cfRule type="expression" dxfId="3209" priority="4541">
      <formula>$H1089="CÉLULA CONSTRUTIVA"</formula>
    </cfRule>
    <cfRule type="expression" dxfId="3208" priority="4542">
      <formula>$H1089="ETAPA"</formula>
    </cfRule>
    <cfRule type="expression" dxfId="3207" priority="4540">
      <formula>$H1089="SUBETAPA"</formula>
    </cfRule>
  </conditionalFormatting>
  <conditionalFormatting sqref="M1090">
    <cfRule type="expression" dxfId="3206" priority="4538">
      <formula>$H1090="SUBETAPA"</formula>
    </cfRule>
    <cfRule type="expression" dxfId="3205" priority="4537">
      <formula>$H1090="ETAPA"</formula>
    </cfRule>
    <cfRule type="expression" dxfId="3204" priority="4539">
      <formula>$H1090="CÉLULA CONSTRUTIVA"</formula>
    </cfRule>
  </conditionalFormatting>
  <conditionalFormatting sqref="M1091">
    <cfRule type="expression" dxfId="3203" priority="4536">
      <formula>$H1091="CÉLULA CONSTRUTIVA"</formula>
    </cfRule>
    <cfRule type="expression" dxfId="3202" priority="4535">
      <formula>$H1091="SUBETAPA"</formula>
    </cfRule>
    <cfRule type="expression" dxfId="3201" priority="4534">
      <formula>$H1091="ETAPA"</formula>
    </cfRule>
  </conditionalFormatting>
  <conditionalFormatting sqref="M1092:M1095">
    <cfRule type="expression" dxfId="3200" priority="4533">
      <formula>$H1092="ETAPA"</formula>
    </cfRule>
    <cfRule type="expression" dxfId="3199" priority="4532">
      <formula>$H1092="CÉLULA CONSTRUTIVA"</formula>
    </cfRule>
    <cfRule type="expression" dxfId="3198" priority="4531">
      <formula>$H1092="SUBETAPA"</formula>
    </cfRule>
  </conditionalFormatting>
  <conditionalFormatting sqref="M1096">
    <cfRule type="expression" dxfId="3197" priority="4530">
      <formula>$H1096="CÉLULA CONSTRUTIVA"</formula>
    </cfRule>
    <cfRule type="expression" dxfId="3196" priority="4528">
      <formula>$H1096="ETAPA"</formula>
    </cfRule>
    <cfRule type="expression" dxfId="3195" priority="4529">
      <formula>$H1096="SUBETAPA"</formula>
    </cfRule>
  </conditionalFormatting>
  <conditionalFormatting sqref="M1097:M1098 M1100:M1101 I1097:K1098 I1099:J1099 I1100:K1100">
    <cfRule type="expression" dxfId="3194" priority="4527">
      <formula>$H1097="CÉLULA CONSTRUTIVA"</formula>
    </cfRule>
  </conditionalFormatting>
  <conditionalFormatting sqref="M1097:M1098 M1100:M1101">
    <cfRule type="expression" dxfId="3193" priority="4526">
      <formula>$H1097="SUBETAPA"</formula>
    </cfRule>
  </conditionalFormatting>
  <conditionalFormatting sqref="M1103">
    <cfRule type="expression" dxfId="3192" priority="4523">
      <formula>$H1103="SUBETAPA"</formula>
    </cfRule>
    <cfRule type="expression" dxfId="3191" priority="4525">
      <formula>$H1103="ETAPA"</formula>
    </cfRule>
    <cfRule type="expression" dxfId="3190" priority="4524">
      <formula>$H1103="CÉLULA CONSTRUTIVA"</formula>
    </cfRule>
  </conditionalFormatting>
  <conditionalFormatting sqref="M1106:M1110">
    <cfRule type="expression" dxfId="3189" priority="4521">
      <formula>$H1106="CÉLULA CONSTRUTIVA"</formula>
    </cfRule>
    <cfRule type="expression" dxfId="3188" priority="4522">
      <formula>$H1106="ETAPA"</formula>
    </cfRule>
    <cfRule type="expression" dxfId="3187" priority="4520">
      <formula>$H1106="SUBETAPA"</formula>
    </cfRule>
  </conditionalFormatting>
  <conditionalFormatting sqref="M1111:M1112 M1114:M1115 I1111:K1112 I1113:J1113 I1114:K1114">
    <cfRule type="expression" dxfId="3186" priority="4519">
      <formula>$H1111="CÉLULA CONSTRUTIVA"</formula>
    </cfRule>
  </conditionalFormatting>
  <conditionalFormatting sqref="M1111:M1112 M1114:M1115">
    <cfRule type="expression" dxfId="3185" priority="4518">
      <formula>$H1111="SUBETAPA"</formula>
    </cfRule>
  </conditionalFormatting>
  <conditionalFormatting sqref="M1117">
    <cfRule type="expression" dxfId="3184" priority="4517">
      <formula>$H1117="ETAPA"</formula>
    </cfRule>
    <cfRule type="expression" dxfId="3183" priority="4516">
      <formula>$H1117="CÉLULA CONSTRUTIVA"</formula>
    </cfRule>
    <cfRule type="expression" dxfId="3182" priority="4515">
      <formula>$H1117="SUBETAPA"</formula>
    </cfRule>
  </conditionalFormatting>
  <conditionalFormatting sqref="M1120:M1128 M1146:M1148 M1153:M1155 M1160:M1162 M1165:M1167 M1170:M1172 M1175:M1177">
    <cfRule type="expression" dxfId="3181" priority="4514">
      <formula>$H1120="ETAPA"</formula>
    </cfRule>
  </conditionalFormatting>
  <conditionalFormatting sqref="M1130">
    <cfRule type="expression" dxfId="3180" priority="4513">
      <formula>$H1130="ETAPA"</formula>
    </cfRule>
    <cfRule type="expression" dxfId="3179" priority="4512">
      <formula>$H1130="CÉLULA CONSTRUTIVA"</formula>
    </cfRule>
    <cfRule type="expression" dxfId="3178" priority="4511">
      <formula>$H1130="SUBETAPA"</formula>
    </cfRule>
  </conditionalFormatting>
  <conditionalFormatting sqref="M1133">
    <cfRule type="expression" dxfId="3177" priority="4508">
      <formula>$H1133="SUBETAPA"</formula>
    </cfRule>
    <cfRule type="expression" dxfId="3176" priority="4509">
      <formula>$H1133="CÉLULA CONSTRUTIVA"</formula>
    </cfRule>
    <cfRule type="expression" dxfId="3175" priority="4510">
      <formula>$H1133="ETAPA"</formula>
    </cfRule>
  </conditionalFormatting>
  <conditionalFormatting sqref="M1136">
    <cfRule type="expression" dxfId="3174" priority="4505">
      <formula>$H1136="SUBETAPA"</formula>
    </cfRule>
    <cfRule type="expression" dxfId="3173" priority="4507">
      <formula>$H1136="ETAPA"</formula>
    </cfRule>
  </conditionalFormatting>
  <conditionalFormatting sqref="M1139">
    <cfRule type="expression" dxfId="3172" priority="4502">
      <formula>$H1139="SUBETAPA"</formula>
    </cfRule>
    <cfRule type="expression" dxfId="3171" priority="4504">
      <formula>$H1139="ETAPA"</formula>
    </cfRule>
  </conditionalFormatting>
  <conditionalFormatting sqref="M1142">
    <cfRule type="expression" dxfId="3170" priority="4499">
      <formula>$H1142="SUBETAPA"</formula>
    </cfRule>
    <cfRule type="expression" dxfId="3169" priority="4501">
      <formula>$H1142="ETAPA"</formula>
    </cfRule>
  </conditionalFormatting>
  <conditionalFormatting sqref="M1145">
    <cfRule type="expression" dxfId="3168" priority="4496">
      <formula>$H1145="SUBETAPA"</formula>
    </cfRule>
    <cfRule type="expression" dxfId="3167" priority="4498">
      <formula>$H1145="ETAPA"</formula>
    </cfRule>
  </conditionalFormatting>
  <conditionalFormatting sqref="M1150">
    <cfRule type="expression" dxfId="3166" priority="4493">
      <formula>$H1150="SUBETAPA"</formula>
    </cfRule>
    <cfRule type="expression" dxfId="3165" priority="4494">
      <formula>$H1150="CÉLULA CONSTRUTIVA"</formula>
    </cfRule>
    <cfRule type="expression" dxfId="3164" priority="4495">
      <formula>$H1150="ETAPA"</formula>
    </cfRule>
  </conditionalFormatting>
  <conditionalFormatting sqref="M1151">
    <cfRule type="expression" dxfId="3163" priority="4491">
      <formula>$H1151="CÉLULA CONSTRUTIVA"</formula>
    </cfRule>
    <cfRule type="expression" dxfId="3162" priority="4492">
      <formula>$H1151="ETAPA"</formula>
    </cfRule>
  </conditionalFormatting>
  <conditionalFormatting sqref="M1152">
    <cfRule type="expression" dxfId="3161" priority="4490">
      <formula>$H1152="ETAPA"</formula>
    </cfRule>
  </conditionalFormatting>
  <conditionalFormatting sqref="M1157">
    <cfRule type="expression" dxfId="3160" priority="4488">
      <formula>$H1157="CÉLULA CONSTRUTIVA"</formula>
    </cfRule>
    <cfRule type="expression" dxfId="3159" priority="4487">
      <formula>$H1157="SUBETAPA"</formula>
    </cfRule>
    <cfRule type="expression" dxfId="3158" priority="4489">
      <formula>$H1157="ETAPA"</formula>
    </cfRule>
  </conditionalFormatting>
  <conditionalFormatting sqref="M1158">
    <cfRule type="expression" dxfId="3157" priority="4486">
      <formula>$H1158="ETAPA"</formula>
    </cfRule>
    <cfRule type="expression" dxfId="3156" priority="4485">
      <formula>$H1158="CÉLULA CONSTRUTIVA"</formula>
    </cfRule>
  </conditionalFormatting>
  <conditionalFormatting sqref="M1159">
    <cfRule type="expression" dxfId="3155" priority="4484">
      <formula>$H1159="ETAPA"</formula>
    </cfRule>
  </conditionalFormatting>
  <conditionalFormatting sqref="M1164">
    <cfRule type="expression" dxfId="3154" priority="4483">
      <formula>$H1164="ETAPA"</formula>
    </cfRule>
    <cfRule type="expression" dxfId="3153" priority="4482">
      <formula>$H1164="CÉLULA CONSTRUTIVA"</formula>
    </cfRule>
    <cfRule type="expression" dxfId="3152" priority="4481">
      <formula>$H1164="SUBETAPA"</formula>
    </cfRule>
  </conditionalFormatting>
  <conditionalFormatting sqref="M1169">
    <cfRule type="expression" dxfId="3151" priority="4480">
      <formula>$H1169="ETAPA"</formula>
    </cfRule>
    <cfRule type="expression" dxfId="3150" priority="4478">
      <formula>$H1169="SUBETAPA"</formula>
    </cfRule>
  </conditionalFormatting>
  <conditionalFormatting sqref="M1174">
    <cfRule type="expression" dxfId="3149" priority="4477">
      <formula>$H1174="ETAPA"</formula>
    </cfRule>
    <cfRule type="expression" dxfId="3148" priority="4476">
      <formula>$H1174="CÉLULA CONSTRUTIVA"</formula>
    </cfRule>
    <cfRule type="expression" dxfId="3147" priority="4475">
      <formula>$H1174="SUBETAPA"</formula>
    </cfRule>
  </conditionalFormatting>
  <conditionalFormatting sqref="M1175:M1177 M1170:M1172 M1165:M1167 M1160:M1162 M1153:M1155 M1146:M1148 M1120:M1128">
    <cfRule type="expression" dxfId="3146" priority="4473">
      <formula>$H1120="SUBETAPA"</formula>
    </cfRule>
  </conditionalFormatting>
  <conditionalFormatting sqref="M1179">
    <cfRule type="expression" dxfId="3145" priority="4472">
      <formula>$H1179="ETAPA"</formula>
    </cfRule>
    <cfRule type="expression" dxfId="3144" priority="4471">
      <formula>$H1179="CÉLULA CONSTRUTIVA"</formula>
    </cfRule>
    <cfRule type="expression" dxfId="3143" priority="4470">
      <formula>$H1179="SUBETAPA"</formula>
    </cfRule>
  </conditionalFormatting>
  <conditionalFormatting sqref="M1182">
    <cfRule type="expression" dxfId="3142" priority="4469">
      <formula>$H1182="ETAPA"</formula>
    </cfRule>
    <cfRule type="expression" dxfId="3141" priority="4467">
      <formula>$H1182="SUBETAPA"</formula>
    </cfRule>
    <cfRule type="expression" dxfId="3140" priority="4468">
      <formula>$H1182="CÉLULA CONSTRUTIVA"</formula>
    </cfRule>
  </conditionalFormatting>
  <conditionalFormatting sqref="M1435">
    <cfRule type="expression" dxfId="3139" priority="3773">
      <formula>$H1435="CÉLULA CONSTRUTIVA"</formula>
    </cfRule>
    <cfRule type="expression" dxfId="3138" priority="3772">
      <formula>$H1435="ETAPA"</formula>
    </cfRule>
    <cfRule type="expression" dxfId="3137" priority="3774">
      <formula>$H1435="ETAPA"</formula>
    </cfRule>
    <cfRule type="expression" dxfId="3136" priority="3775">
      <formula>$H1435="SUBETAPA"</formula>
    </cfRule>
  </conditionalFormatting>
  <conditionalFormatting sqref="M1435:M1441">
    <cfRule type="expression" dxfId="3135" priority="3770">
      <formula>$H1435="ETAPA"</formula>
    </cfRule>
    <cfRule type="expression" dxfId="3134" priority="3771">
      <formula>$H1435="CÉLULA CONSTRUTIVA"</formula>
    </cfRule>
  </conditionalFormatting>
  <conditionalFormatting sqref="M1436 O1436">
    <cfRule type="expression" dxfId="3133" priority="3769">
      <formula>$H1436="CÉLULA CONSTRUTIVA"</formula>
    </cfRule>
  </conditionalFormatting>
  <conditionalFormatting sqref="M1436">
    <cfRule type="expression" dxfId="3132" priority="3765">
      <formula>$H1436="ETAPA"</formula>
    </cfRule>
    <cfRule type="expression" dxfId="3131" priority="3767">
      <formula>$H1436="CÉLULA CONSTRUTIVA"</formula>
    </cfRule>
    <cfRule type="expression" dxfId="3130" priority="3768">
      <formula>$H1436="ETAPA"</formula>
    </cfRule>
    <cfRule type="expression" dxfId="3129" priority="3766">
      <formula>$H1436="SUBETAPA"</formula>
    </cfRule>
  </conditionalFormatting>
  <conditionalFormatting sqref="M1437:M1441">
    <cfRule type="expression" dxfId="3128" priority="3764">
      <formula>$H1437="ETAPA"</formula>
    </cfRule>
    <cfRule type="expression" dxfId="3127" priority="3763">
      <formula>$H1437="ETAPA"</formula>
    </cfRule>
    <cfRule type="expression" dxfId="3126" priority="3762">
      <formula>$H1437="CÉLULA CONSTRUTIVA"</formula>
    </cfRule>
    <cfRule type="expression" dxfId="3125" priority="3761">
      <formula>$H1437="SUBETAPA"</formula>
    </cfRule>
    <cfRule type="expression" dxfId="3124" priority="3760">
      <formula>$H1437="CÉLULA CONSTRUTIVA"</formula>
    </cfRule>
  </conditionalFormatting>
  <conditionalFormatting sqref="M1446">
    <cfRule type="expression" dxfId="3123" priority="3758">
      <formula>$H1446="ETAPA"</formula>
    </cfRule>
    <cfRule type="expression" dxfId="3122" priority="3757">
      <formula>$H1446="CÉLULA CONSTRUTIVA"</formula>
    </cfRule>
    <cfRule type="expression" dxfId="3121" priority="3756">
      <formula>$H1446="ETAPA"</formula>
    </cfRule>
    <cfRule type="expression" dxfId="3120" priority="3759">
      <formula>$H1446="SUBETAPA"</formula>
    </cfRule>
  </conditionalFormatting>
  <conditionalFormatting sqref="M1446:M1447 O1447">
    <cfRule type="expression" dxfId="3119" priority="3753">
      <formula>$H1446="CÉLULA CONSTRUTIVA"</formula>
    </cfRule>
  </conditionalFormatting>
  <conditionalFormatting sqref="M1446:M1447">
    <cfRule type="expression" dxfId="3118" priority="3755">
      <formula>$H1446="ETAPA"</formula>
    </cfRule>
  </conditionalFormatting>
  <conditionalFormatting sqref="M1447">
    <cfRule type="expression" dxfId="3117" priority="3752">
      <formula>$H1447="ETAPA"</formula>
    </cfRule>
    <cfRule type="expression" dxfId="3116" priority="3750">
      <formula>$H1447="SUBETAPA"</formula>
    </cfRule>
    <cfRule type="expression" dxfId="3115" priority="3749">
      <formula>$H1447="ETAPA"</formula>
    </cfRule>
    <cfRule type="expression" dxfId="3114" priority="3751">
      <formula>$H1447="CÉLULA CONSTRUTIVA"</formula>
    </cfRule>
  </conditionalFormatting>
  <conditionalFormatting sqref="M1448:M1449 M1458 M1467 M1474 L1481:M1482 L1489:M1490 L1499:M1500 L1507:M1509 L1518:M1520 L1529:M1531 L1540:M1542 L1551:M1553 J1562:M1563">
    <cfRule type="expression" dxfId="3113" priority="3617">
      <formula>$H1448="CÉLULA CONSTRUTIVA"</formula>
    </cfRule>
  </conditionalFormatting>
  <conditionalFormatting sqref="M1448:M1449 M1458 M1467 M1474 M1481:M1482 M1489:M1490 M1499:M1500 M1507:M1509 M1518:M1520 M1529:M1531 M1540:M1542 M1551:M1553 M1562:M1563">
    <cfRule type="expression" dxfId="3112" priority="3613">
      <formula>$H1448="CÉLULA CONSTRUTIVA"</formula>
    </cfRule>
    <cfRule type="expression" dxfId="3111" priority="3611">
      <formula>$H1448="CÉLULA CONSTRUTIVA"</formula>
    </cfRule>
  </conditionalFormatting>
  <conditionalFormatting sqref="M1456">
    <cfRule type="expression" dxfId="3110" priority="3745">
      <formula>$H1456="ETAPA"</formula>
    </cfRule>
    <cfRule type="expression" dxfId="3109" priority="3748">
      <formula>$H1456="SUBETAPA"</formula>
    </cfRule>
    <cfRule type="expression" dxfId="3108" priority="3747">
      <formula>$H1456="ETAPA"</formula>
    </cfRule>
    <cfRule type="expression" dxfId="3107" priority="3746">
      <formula>$H1456="CÉLULA CONSTRUTIVA"</formula>
    </cfRule>
  </conditionalFormatting>
  <conditionalFormatting sqref="M1456:M1457 O1457">
    <cfRule type="expression" dxfId="3106" priority="3742">
      <formula>$H1456="CÉLULA CONSTRUTIVA"</formula>
    </cfRule>
  </conditionalFormatting>
  <conditionalFormatting sqref="M1456:M1457">
    <cfRule type="expression" dxfId="3105" priority="3744">
      <formula>$H1456="ETAPA"</formula>
    </cfRule>
  </conditionalFormatting>
  <conditionalFormatting sqref="M1457">
    <cfRule type="expression" dxfId="3104" priority="3741">
      <formula>$H1457="ETAPA"</formula>
    </cfRule>
    <cfRule type="expression" dxfId="3103" priority="3740">
      <formula>$H1457="CÉLULA CONSTRUTIVA"</formula>
    </cfRule>
    <cfRule type="expression" dxfId="3102" priority="3739">
      <formula>$H1457="SUBETAPA"</formula>
    </cfRule>
    <cfRule type="expression" dxfId="3101" priority="3738">
      <formula>$H1457="ETAPA"</formula>
    </cfRule>
  </conditionalFormatting>
  <conditionalFormatting sqref="M1465">
    <cfRule type="expression" dxfId="3100" priority="3737">
      <formula>$H1465="SUBETAPA"</formula>
    </cfRule>
    <cfRule type="expression" dxfId="3099" priority="3736">
      <formula>$H1465="ETAPA"</formula>
    </cfRule>
    <cfRule type="expression" dxfId="3098" priority="3735">
      <formula>$H1465="CÉLULA CONSTRUTIVA"</formula>
    </cfRule>
    <cfRule type="expression" dxfId="3097" priority="3734">
      <formula>$H1465="ETAPA"</formula>
    </cfRule>
  </conditionalFormatting>
  <conditionalFormatting sqref="M1465:M1466 O1466">
    <cfRule type="expression" dxfId="3096" priority="3731">
      <formula>$H1465="CÉLULA CONSTRUTIVA"</formula>
    </cfRule>
  </conditionalFormatting>
  <conditionalFormatting sqref="M1465:M1466">
    <cfRule type="expression" dxfId="3095" priority="3733">
      <formula>$H1465="ETAPA"</formula>
    </cfRule>
  </conditionalFormatting>
  <conditionalFormatting sqref="M1466">
    <cfRule type="expression" dxfId="3094" priority="3730">
      <formula>$H1466="ETAPA"</formula>
    </cfRule>
    <cfRule type="expression" dxfId="3093" priority="3729">
      <formula>$H1466="CÉLULA CONSTRUTIVA"</formula>
    </cfRule>
    <cfRule type="expression" dxfId="3092" priority="3728">
      <formula>$H1466="SUBETAPA"</formula>
    </cfRule>
    <cfRule type="expression" dxfId="3091" priority="3727">
      <formula>$H1466="ETAPA"</formula>
    </cfRule>
  </conditionalFormatting>
  <conditionalFormatting sqref="M1472">
    <cfRule type="expression" dxfId="3090" priority="3726">
      <formula>$H1472="SUBETAPA"</formula>
    </cfRule>
    <cfRule type="expression" dxfId="3089" priority="3725">
      <formula>$H1472="ETAPA"</formula>
    </cfRule>
    <cfRule type="expression" dxfId="3088" priority="3724">
      <formula>$H1472="CÉLULA CONSTRUTIVA"</formula>
    </cfRule>
    <cfRule type="expression" dxfId="3087" priority="3723">
      <formula>$H1472="ETAPA"</formula>
    </cfRule>
  </conditionalFormatting>
  <conditionalFormatting sqref="M1472:M1473 O1473">
    <cfRule type="expression" dxfId="3086" priority="3720">
      <formula>$H1472="CÉLULA CONSTRUTIVA"</formula>
    </cfRule>
  </conditionalFormatting>
  <conditionalFormatting sqref="M1472:M1473">
    <cfRule type="expression" dxfId="3085" priority="3722">
      <formula>$H1472="ETAPA"</formula>
    </cfRule>
  </conditionalFormatting>
  <conditionalFormatting sqref="M1473">
    <cfRule type="expression" dxfId="3084" priority="3717">
      <formula>$H1473="SUBETAPA"</formula>
    </cfRule>
    <cfRule type="expression" dxfId="3083" priority="3716">
      <formula>$H1473="ETAPA"</formula>
    </cfRule>
    <cfRule type="expression" dxfId="3082" priority="3719">
      <formula>$H1473="ETAPA"</formula>
    </cfRule>
    <cfRule type="expression" dxfId="3081" priority="3718">
      <formula>$H1473="CÉLULA CONSTRUTIVA"</formula>
    </cfRule>
  </conditionalFormatting>
  <conditionalFormatting sqref="M1479">
    <cfRule type="expression" dxfId="3080" priority="3715">
      <formula>$H1479="SUBETAPA"</formula>
    </cfRule>
    <cfRule type="expression" dxfId="3079" priority="3714">
      <formula>$H1479="ETAPA"</formula>
    </cfRule>
    <cfRule type="expression" dxfId="3078" priority="3713">
      <formula>$H1479="CÉLULA CONSTRUTIVA"</formula>
    </cfRule>
    <cfRule type="expression" dxfId="3077" priority="3712">
      <formula>$H1479="ETAPA"</formula>
    </cfRule>
  </conditionalFormatting>
  <conditionalFormatting sqref="M1479:M1480 O1480">
    <cfRule type="expression" dxfId="3076" priority="3709">
      <formula>$H1479="CÉLULA CONSTRUTIVA"</formula>
    </cfRule>
  </conditionalFormatting>
  <conditionalFormatting sqref="M1479:M1480">
    <cfRule type="expression" dxfId="3075" priority="3711">
      <formula>$H1479="ETAPA"</formula>
    </cfRule>
  </conditionalFormatting>
  <conditionalFormatting sqref="M1480">
    <cfRule type="expression" dxfId="3074" priority="3707">
      <formula>$H1480="CÉLULA CONSTRUTIVA"</formula>
    </cfRule>
    <cfRule type="expression" dxfId="3073" priority="3708">
      <formula>$H1480="ETAPA"</formula>
    </cfRule>
    <cfRule type="expression" dxfId="3072" priority="3705">
      <formula>$H1480="ETAPA"</formula>
    </cfRule>
    <cfRule type="expression" dxfId="3071" priority="3706">
      <formula>$H1480="SUBETAPA"</formula>
    </cfRule>
  </conditionalFormatting>
  <conditionalFormatting sqref="M1487">
    <cfRule type="expression" dxfId="3070" priority="3704">
      <formula>$H1487="SUBETAPA"</formula>
    </cfRule>
    <cfRule type="expression" dxfId="3069" priority="3703">
      <formula>$H1487="ETAPA"</formula>
    </cfRule>
    <cfRule type="expression" dxfId="3068" priority="3702">
      <formula>$H1487="CÉLULA CONSTRUTIVA"</formula>
    </cfRule>
    <cfRule type="expression" dxfId="3067" priority="3701">
      <formula>$H1487="ETAPA"</formula>
    </cfRule>
  </conditionalFormatting>
  <conditionalFormatting sqref="M1487:M1488 O1488">
    <cfRule type="expression" dxfId="3066" priority="3698">
      <formula>$H1487="CÉLULA CONSTRUTIVA"</formula>
    </cfRule>
  </conditionalFormatting>
  <conditionalFormatting sqref="M1487:M1488">
    <cfRule type="expression" dxfId="3065" priority="3700">
      <formula>$H1487="ETAPA"</formula>
    </cfRule>
  </conditionalFormatting>
  <conditionalFormatting sqref="M1488">
    <cfRule type="expression" dxfId="3064" priority="3697">
      <formula>$H1488="ETAPA"</formula>
    </cfRule>
    <cfRule type="expression" dxfId="3063" priority="3696">
      <formula>$H1488="CÉLULA CONSTRUTIVA"</formula>
    </cfRule>
    <cfRule type="expression" dxfId="3062" priority="3695">
      <formula>$H1488="SUBETAPA"</formula>
    </cfRule>
    <cfRule type="expression" dxfId="3061" priority="3694">
      <formula>$H1488="ETAPA"</formula>
    </cfRule>
  </conditionalFormatting>
  <conditionalFormatting sqref="M1497">
    <cfRule type="expression" dxfId="3060" priority="3693">
      <formula>$H1497="SUBETAPA"</formula>
    </cfRule>
    <cfRule type="expression" dxfId="3059" priority="3692">
      <formula>$H1497="ETAPA"</formula>
    </cfRule>
    <cfRule type="expression" dxfId="3058" priority="3691">
      <formula>$H1497="CÉLULA CONSTRUTIVA"</formula>
    </cfRule>
    <cfRule type="expression" dxfId="3057" priority="3690">
      <formula>$H1497="ETAPA"</formula>
    </cfRule>
  </conditionalFormatting>
  <conditionalFormatting sqref="M1497:M1498 O1498">
    <cfRule type="expression" dxfId="3056" priority="3687">
      <formula>$H1497="CÉLULA CONSTRUTIVA"</formula>
    </cfRule>
  </conditionalFormatting>
  <conditionalFormatting sqref="M1497:M1498">
    <cfRule type="expression" dxfId="3055" priority="3689">
      <formula>$H1497="ETAPA"</formula>
    </cfRule>
  </conditionalFormatting>
  <conditionalFormatting sqref="M1498">
    <cfRule type="expression" dxfId="3054" priority="3686">
      <formula>$H1498="ETAPA"</formula>
    </cfRule>
    <cfRule type="expression" dxfId="3053" priority="3685">
      <formula>$H1498="CÉLULA CONSTRUTIVA"</formula>
    </cfRule>
    <cfRule type="expression" dxfId="3052" priority="3684">
      <formula>$H1498="SUBETAPA"</formula>
    </cfRule>
    <cfRule type="expression" dxfId="3051" priority="3683">
      <formula>$H1498="ETAPA"</formula>
    </cfRule>
  </conditionalFormatting>
  <conditionalFormatting sqref="M1505">
    <cfRule type="expression" dxfId="3050" priority="3681">
      <formula>$H1505="ETAPA"</formula>
    </cfRule>
    <cfRule type="expression" dxfId="3049" priority="3679">
      <formula>$H1505="ETAPA"</formula>
    </cfRule>
    <cfRule type="expression" dxfId="3048" priority="3680">
      <formula>$H1505="CÉLULA CONSTRUTIVA"</formula>
    </cfRule>
    <cfRule type="expression" dxfId="3047" priority="3682">
      <formula>$H1505="SUBETAPA"</formula>
    </cfRule>
  </conditionalFormatting>
  <conditionalFormatting sqref="M1505:M1506 O1506">
    <cfRule type="expression" dxfId="3046" priority="3676">
      <formula>$H1505="CÉLULA CONSTRUTIVA"</formula>
    </cfRule>
  </conditionalFormatting>
  <conditionalFormatting sqref="M1505:M1506">
    <cfRule type="expression" dxfId="3045" priority="3678">
      <formula>$H1505="ETAPA"</formula>
    </cfRule>
  </conditionalFormatting>
  <conditionalFormatting sqref="M1506">
    <cfRule type="expression" dxfId="3044" priority="3675">
      <formula>$H1506="ETAPA"</formula>
    </cfRule>
    <cfRule type="expression" dxfId="3043" priority="3674">
      <formula>$H1506="CÉLULA CONSTRUTIVA"</formula>
    </cfRule>
    <cfRule type="expression" dxfId="3042" priority="3673">
      <formula>$H1506="SUBETAPA"</formula>
    </cfRule>
    <cfRule type="expression" dxfId="3041" priority="3672">
      <formula>$H1506="ETAPA"</formula>
    </cfRule>
  </conditionalFormatting>
  <conditionalFormatting sqref="M1516">
    <cfRule type="expression" dxfId="3040" priority="3671">
      <formula>$H1516="SUBETAPA"</formula>
    </cfRule>
    <cfRule type="expression" dxfId="3039" priority="3670">
      <formula>$H1516="ETAPA"</formula>
    </cfRule>
    <cfRule type="expression" dxfId="3038" priority="3669">
      <formula>$H1516="CÉLULA CONSTRUTIVA"</formula>
    </cfRule>
    <cfRule type="expression" dxfId="3037" priority="3668">
      <formula>$H1516="ETAPA"</formula>
    </cfRule>
  </conditionalFormatting>
  <conditionalFormatting sqref="M1516:M1517 O1517">
    <cfRule type="expression" dxfId="3036" priority="3665">
      <formula>$H1516="CÉLULA CONSTRUTIVA"</formula>
    </cfRule>
  </conditionalFormatting>
  <conditionalFormatting sqref="M1516:M1517">
    <cfRule type="expression" dxfId="3035" priority="3667">
      <formula>$H1516="ETAPA"</formula>
    </cfRule>
  </conditionalFormatting>
  <conditionalFormatting sqref="M1517">
    <cfRule type="expression" dxfId="3034" priority="3664">
      <formula>$H1517="ETAPA"</formula>
    </cfRule>
    <cfRule type="expression" dxfId="3033" priority="3663">
      <formula>$H1517="CÉLULA CONSTRUTIVA"</formula>
    </cfRule>
    <cfRule type="expression" dxfId="3032" priority="3662">
      <formula>$H1517="SUBETAPA"</formula>
    </cfRule>
    <cfRule type="expression" dxfId="3031" priority="3661">
      <formula>$H1517="ETAPA"</formula>
    </cfRule>
  </conditionalFormatting>
  <conditionalFormatting sqref="M1527">
    <cfRule type="expression" dxfId="3030" priority="3657">
      <formula>$H1527="ETAPA"</formula>
    </cfRule>
    <cfRule type="expression" dxfId="3029" priority="3660">
      <formula>$H1527="SUBETAPA"</formula>
    </cfRule>
    <cfRule type="expression" dxfId="3028" priority="3659">
      <formula>$H1527="ETAPA"</formula>
    </cfRule>
    <cfRule type="expression" dxfId="3027" priority="3658">
      <formula>$H1527="CÉLULA CONSTRUTIVA"</formula>
    </cfRule>
  </conditionalFormatting>
  <conditionalFormatting sqref="M1527:M1528 O1528">
    <cfRule type="expression" dxfId="3026" priority="3654">
      <formula>$H1527="CÉLULA CONSTRUTIVA"</formula>
    </cfRule>
  </conditionalFormatting>
  <conditionalFormatting sqref="M1527:M1528">
    <cfRule type="expression" dxfId="3025" priority="3656">
      <formula>$H1527="ETAPA"</formula>
    </cfRule>
  </conditionalFormatting>
  <conditionalFormatting sqref="M1528">
    <cfRule type="expression" dxfId="3024" priority="3650">
      <formula>$H1528="ETAPA"</formula>
    </cfRule>
    <cfRule type="expression" dxfId="3023" priority="3651">
      <formula>$H1528="SUBETAPA"</formula>
    </cfRule>
    <cfRule type="expression" dxfId="3022" priority="3652">
      <formula>$H1528="CÉLULA CONSTRUTIVA"</formula>
    </cfRule>
    <cfRule type="expression" dxfId="3021" priority="3653">
      <formula>$H1528="ETAPA"</formula>
    </cfRule>
  </conditionalFormatting>
  <conditionalFormatting sqref="M1538">
    <cfRule type="expression" dxfId="3020" priority="3648">
      <formula>$H1538="ETAPA"</formula>
    </cfRule>
    <cfRule type="expression" dxfId="3019" priority="3649">
      <formula>$H1538="SUBETAPA"</formula>
    </cfRule>
    <cfRule type="expression" dxfId="3018" priority="3646">
      <formula>$H1538="ETAPA"</formula>
    </cfRule>
    <cfRule type="expression" dxfId="3017" priority="3647">
      <formula>$H1538="CÉLULA CONSTRUTIVA"</formula>
    </cfRule>
  </conditionalFormatting>
  <conditionalFormatting sqref="M1538:M1539 O1539">
    <cfRule type="expression" dxfId="3016" priority="3643">
      <formula>$H1538="CÉLULA CONSTRUTIVA"</formula>
    </cfRule>
  </conditionalFormatting>
  <conditionalFormatting sqref="M1538:M1539">
    <cfRule type="expression" dxfId="3015" priority="3645">
      <formula>$H1538="ETAPA"</formula>
    </cfRule>
  </conditionalFormatting>
  <conditionalFormatting sqref="M1539">
    <cfRule type="expression" dxfId="3014" priority="3639">
      <formula>$H1539="ETAPA"</formula>
    </cfRule>
    <cfRule type="expression" dxfId="3013" priority="3640">
      <formula>$H1539="SUBETAPA"</formula>
    </cfRule>
    <cfRule type="expression" dxfId="3012" priority="3641">
      <formula>$H1539="CÉLULA CONSTRUTIVA"</formula>
    </cfRule>
    <cfRule type="expression" dxfId="3011" priority="3642">
      <formula>$H1539="ETAPA"</formula>
    </cfRule>
  </conditionalFormatting>
  <conditionalFormatting sqref="M1549">
    <cfRule type="expression" dxfId="3010" priority="3636">
      <formula>$H1549="CÉLULA CONSTRUTIVA"</formula>
    </cfRule>
    <cfRule type="expression" dxfId="3009" priority="3637">
      <formula>$H1549="ETAPA"</formula>
    </cfRule>
    <cfRule type="expression" dxfId="3008" priority="3638">
      <formula>$H1549="SUBETAPA"</formula>
    </cfRule>
    <cfRule type="expression" dxfId="3007" priority="3635">
      <formula>$H1549="ETAPA"</formula>
    </cfRule>
  </conditionalFormatting>
  <conditionalFormatting sqref="M1549:M1550 O1550">
    <cfRule type="expression" dxfId="3006" priority="3632">
      <formula>$H1549="CÉLULA CONSTRUTIVA"</formula>
    </cfRule>
  </conditionalFormatting>
  <conditionalFormatting sqref="M1549:M1550">
    <cfRule type="expression" dxfId="3005" priority="3634">
      <formula>$H1549="ETAPA"</formula>
    </cfRule>
  </conditionalFormatting>
  <conditionalFormatting sqref="M1550">
    <cfRule type="expression" dxfId="3004" priority="3631">
      <formula>$H1550="ETAPA"</formula>
    </cfRule>
    <cfRule type="expression" dxfId="3003" priority="3630">
      <formula>$H1550="CÉLULA CONSTRUTIVA"</formula>
    </cfRule>
    <cfRule type="expression" dxfId="3002" priority="3629">
      <formula>$H1550="SUBETAPA"</formula>
    </cfRule>
    <cfRule type="expression" dxfId="3001" priority="3628">
      <formula>$H1550="ETAPA"</formula>
    </cfRule>
  </conditionalFormatting>
  <conditionalFormatting sqref="M1560 H1560 J1560:K1560">
    <cfRule type="expression" dxfId="3000" priority="5718">
      <formula>$H1560="CÉLULA CONSTRUTIVA"</formula>
    </cfRule>
  </conditionalFormatting>
  <conditionalFormatting sqref="M1560 L1561:M1561">
    <cfRule type="expression" dxfId="2999" priority="4464">
      <formula>$H1560="ETAPA"</formula>
    </cfRule>
  </conditionalFormatting>
  <conditionalFormatting sqref="M1560">
    <cfRule type="expression" dxfId="2998" priority="3627">
      <formula>$H1560="SUBETAPA"</formula>
    </cfRule>
    <cfRule type="expression" dxfId="2997" priority="3626">
      <formula>$H1560="ETAPA"</formula>
    </cfRule>
    <cfRule type="expression" dxfId="2996" priority="3625">
      <formula>$H1560="CÉLULA CONSTRUTIVA"</formula>
    </cfRule>
    <cfRule type="expression" dxfId="2995" priority="3624">
      <formula>$H1560="ETAPA"</formula>
    </cfRule>
  </conditionalFormatting>
  <conditionalFormatting sqref="M1560:M1561 O1561">
    <cfRule type="expression" dxfId="2994" priority="3622">
      <formula>$H1560="CÉLULA CONSTRUTIVA"</formula>
    </cfRule>
  </conditionalFormatting>
  <conditionalFormatting sqref="M1561">
    <cfRule type="expression" dxfId="2993" priority="3621">
      <formula>$H1561="ETAPA"</formula>
    </cfRule>
    <cfRule type="expression" dxfId="2992" priority="3618">
      <formula>$H1561="ETAPA"</formula>
    </cfRule>
    <cfRule type="expression" dxfId="2991" priority="3619">
      <formula>$H1561="SUBETAPA"</formula>
    </cfRule>
    <cfRule type="expression" dxfId="2990" priority="3620">
      <formula>$H1561="CÉLULA CONSTRUTIVA"</formula>
    </cfRule>
  </conditionalFormatting>
  <conditionalFormatting sqref="M1562:M1563 M1529:M1531 M1448:M1449 M1551:M1553 M1540:M1542 M1518:M1520 M1507:M1509 M1499:M1500 M1489:M1490 M1481:M1482 M1474 M1467 M1458">
    <cfRule type="expression" dxfId="2989" priority="3616">
      <formula>$H1448="ETAPA"</formula>
    </cfRule>
    <cfRule type="expression" dxfId="2988" priority="3615">
      <formula>$H1448="ETAPA"</formula>
    </cfRule>
    <cfRule type="expression" dxfId="2987" priority="3614">
      <formula>$H1448="ETAPA"</formula>
    </cfRule>
    <cfRule type="expression" dxfId="2986" priority="3612">
      <formula>$H1448="SUBETAPA"</formula>
    </cfRule>
  </conditionalFormatting>
  <conditionalFormatting sqref="M1567">
    <cfRule type="expression" dxfId="2985" priority="8616">
      <formula>$H1567="SUBETAPA"</formula>
    </cfRule>
  </conditionalFormatting>
  <conditionalFormatting sqref="M1573">
    <cfRule type="expression" dxfId="2984" priority="8610">
      <formula>$H1573="SUBETAPA"</formula>
    </cfRule>
  </conditionalFormatting>
  <conditionalFormatting sqref="M1579">
    <cfRule type="expression" dxfId="2983" priority="8604">
      <formula>$H1579="SUBETAPA"</formula>
    </cfRule>
  </conditionalFormatting>
  <conditionalFormatting sqref="M1587:M1590 L1584:L1586">
    <cfRule type="expression" dxfId="2982" priority="3609">
      <formula>$H1584="ETAPA"</formula>
    </cfRule>
    <cfRule type="expression" dxfId="2981" priority="3610">
      <formula>$H1584="SUBETAPA"</formula>
    </cfRule>
  </conditionalFormatting>
  <conditionalFormatting sqref="M1596:M1599 L1593:L1595">
    <cfRule type="expression" dxfId="2980" priority="3607">
      <formula>$H1593="ETAPA"</formula>
    </cfRule>
    <cfRule type="expression" dxfId="2979" priority="3608">
      <formula>$H1593="SUBETAPA"</formula>
    </cfRule>
  </conditionalFormatting>
  <conditionalFormatting sqref="M1614:M1617 L1611:L1613">
    <cfRule type="expression" dxfId="2978" priority="3606">
      <formula>$H1611="SUBETAPA"</formula>
    </cfRule>
    <cfRule type="expression" dxfId="2977" priority="3605">
      <formula>$H1611="ETAPA"</formula>
    </cfRule>
  </conditionalFormatting>
  <conditionalFormatting sqref="M1622">
    <cfRule type="expression" dxfId="2976" priority="8564">
      <formula>$H1622="SUBETAPA"</formula>
    </cfRule>
  </conditionalFormatting>
  <conditionalFormatting sqref="M1858:M1859 M1864:M1865 M1871:M1872 M1879:M1880">
    <cfRule type="expression" dxfId="2975" priority="3601">
      <formula>$H1858="CÉLULA CONSTRUTIVA"</formula>
    </cfRule>
    <cfRule type="expression" dxfId="2974" priority="3600">
      <formula>$H1858="ETAPA"</formula>
    </cfRule>
    <cfRule type="expression" dxfId="2973" priority="3604">
      <formula>$H1858="CÉLULA CONSTRUTIVA"</formula>
    </cfRule>
    <cfRule type="expression" dxfId="2972" priority="3603">
      <formula>$H1858="SUBETAPA"</formula>
    </cfRule>
    <cfRule type="expression" dxfId="2971" priority="3602">
      <formula>$H1858="ETAPA"</formula>
    </cfRule>
  </conditionalFormatting>
  <conditionalFormatting sqref="M1858:M1860 M1864:M1866 M1871:M1873 M1879:M1881">
    <cfRule type="expression" dxfId="2970" priority="3599">
      <formula>$H1858="ETAPA"</formula>
    </cfRule>
  </conditionalFormatting>
  <conditionalFormatting sqref="M1860 M1866 M1873 M1881">
    <cfRule type="expression" dxfId="2969" priority="3595">
      <formula>$H1860="ETAPA"</formula>
    </cfRule>
    <cfRule type="expression" dxfId="2968" priority="3598">
      <formula>$H1860="ETAPA"</formula>
    </cfRule>
    <cfRule type="expression" dxfId="2967" priority="3597">
      <formula>$H1860="CÉLULA CONSTRUTIVA"</formula>
    </cfRule>
    <cfRule type="expression" dxfId="2966" priority="3596">
      <formula>$H1860="SUBETAPA"</formula>
    </cfRule>
  </conditionalFormatting>
  <conditionalFormatting sqref="M1860:M1861 M1863 M1866:M1867 M1873:M1874">
    <cfRule type="expression" dxfId="2965" priority="3590">
      <formula>$H1860="CÉLULA CONSTRUTIVA"</formula>
    </cfRule>
  </conditionalFormatting>
  <conditionalFormatting sqref="M1861 M1863 M1867 M1874">
    <cfRule type="expression" dxfId="2964" priority="3592">
      <formula>$H1861="ETAPA"</formula>
    </cfRule>
    <cfRule type="expression" dxfId="2963" priority="3591">
      <formula>$H1861="ETAPA"</formula>
    </cfRule>
    <cfRule type="expression" dxfId="2962" priority="3593">
      <formula>$H1861="ETAPA"</formula>
    </cfRule>
  </conditionalFormatting>
  <conditionalFormatting sqref="M1861 M1867 M1874 M1863">
    <cfRule type="expression" dxfId="2961" priority="3589">
      <formula>$H1861="SUBETAPA"</formula>
    </cfRule>
  </conditionalFormatting>
  <conditionalFormatting sqref="M1861 M1867 M1874 O1874 O1867 O1861 O1863 M1863">
    <cfRule type="expression" dxfId="2960" priority="35">
      <formula>$H1861="CÉLULA CONSTRUTIVA"</formula>
    </cfRule>
  </conditionalFormatting>
  <conditionalFormatting sqref="M1861:M1863 O1862">
    <cfRule type="expression" dxfId="2959" priority="3587">
      <formula>$H1861="CÉLULA CONSTRUTIVA"</formula>
    </cfRule>
  </conditionalFormatting>
  <conditionalFormatting sqref="M1862">
    <cfRule type="expression" dxfId="2958" priority="3583">
      <formula>$H1862="ETAPA"</formula>
    </cfRule>
    <cfRule type="expression" dxfId="2957" priority="3582">
      <formula>$H1862="CÉLULA CONSTRUTIVA"</formula>
    </cfRule>
    <cfRule type="expression" dxfId="2956" priority="3581">
      <formula>$H1862="ETAPA"</formula>
    </cfRule>
    <cfRule type="expression" dxfId="2955" priority="3585">
      <formula>$H1862="CÉLULA CONSTRUTIVA"</formula>
    </cfRule>
    <cfRule type="expression" dxfId="2954" priority="3584">
      <formula>$H1862="SUBETAPA"</formula>
    </cfRule>
    <cfRule type="expression" dxfId="2953" priority="3586">
      <formula>$H1862="ETAPA"</formula>
    </cfRule>
  </conditionalFormatting>
  <conditionalFormatting sqref="M1867 M1874">
    <cfRule type="expression" dxfId="2952" priority="3588">
      <formula>$H1867="CÉLULA CONSTRUTIVA"</formula>
    </cfRule>
  </conditionalFormatting>
  <conditionalFormatting sqref="M1881">
    <cfRule type="expression" dxfId="2951" priority="3594">
      <formula>$H1881="CÉLULA CONSTRUTIVA"</formula>
    </cfRule>
  </conditionalFormatting>
  <conditionalFormatting sqref="M21:N21">
    <cfRule type="expression" dxfId="2950" priority="3580">
      <formula>$H21="ETAPA"</formula>
    </cfRule>
  </conditionalFormatting>
  <conditionalFormatting sqref="M24:N24">
    <cfRule type="expression" dxfId="2949" priority="3579">
      <formula>$H24="ETAPA"</formula>
    </cfRule>
    <cfRule type="expression" dxfId="2948" priority="5295">
      <formula>$H24="CÉLULA CONSTRUTIVA"</formula>
    </cfRule>
  </conditionalFormatting>
  <conditionalFormatting sqref="M25:N25">
    <cfRule type="expression" dxfId="2947" priority="3578">
      <formula>$H25="ETAPA"</formula>
    </cfRule>
  </conditionalFormatting>
  <conditionalFormatting sqref="M41:N41">
    <cfRule type="expression" dxfId="2946" priority="3577">
      <formula>$H41="ETAPA"</formula>
    </cfRule>
  </conditionalFormatting>
  <conditionalFormatting sqref="M52:N52">
    <cfRule type="expression" dxfId="2945" priority="3576">
      <formula>$H52="SUBETAPA"</formula>
    </cfRule>
  </conditionalFormatting>
  <conditionalFormatting sqref="M56:N56">
    <cfRule type="expression" dxfId="2944" priority="3575">
      <formula>$H56="SUBETAPA"</formula>
    </cfRule>
  </conditionalFormatting>
  <conditionalFormatting sqref="M58:N58">
    <cfRule type="expression" dxfId="2943" priority="3574">
      <formula>$H58="ETAPA"</formula>
    </cfRule>
  </conditionalFormatting>
  <conditionalFormatting sqref="M77:N77">
    <cfRule type="expression" dxfId="2942" priority="3573">
      <formula>$H77="SUBETAPA"</formula>
    </cfRule>
  </conditionalFormatting>
  <conditionalFormatting sqref="M84:N84">
    <cfRule type="expression" dxfId="2941" priority="3572">
      <formula>$H84="SUBETAPA"</formula>
    </cfRule>
  </conditionalFormatting>
  <conditionalFormatting sqref="M85:N93">
    <cfRule type="expression" dxfId="2940" priority="3571">
      <formula>$H85="SUBETAPA"</formula>
    </cfRule>
  </conditionalFormatting>
  <conditionalFormatting sqref="M96:N96 M100:M101">
    <cfRule type="expression" dxfId="2939" priority="3570">
      <formula>$H96="SUBETAPA"</formula>
    </cfRule>
  </conditionalFormatting>
  <conditionalFormatting sqref="M104:N104">
    <cfRule type="expression" dxfId="2938" priority="3569">
      <formula>$H104="SUBETAPA"</formula>
    </cfRule>
  </conditionalFormatting>
  <conditionalFormatting sqref="M106:N106">
    <cfRule type="expression" dxfId="2937" priority="3568">
      <formula>$H106="SUBETAPA"</formula>
    </cfRule>
  </conditionalFormatting>
  <conditionalFormatting sqref="M108:N108">
    <cfRule type="expression" dxfId="2936" priority="3567">
      <formula>$H108="SUBETAPA"</formula>
    </cfRule>
  </conditionalFormatting>
  <conditionalFormatting sqref="M110:N110">
    <cfRule type="expression" dxfId="2935" priority="3566">
      <formula>$H110="SUBETAPA"</formula>
    </cfRule>
  </conditionalFormatting>
  <conditionalFormatting sqref="M112:N112">
    <cfRule type="expression" dxfId="2934" priority="3565">
      <formula>$H112="SUBETAPA"</formula>
    </cfRule>
  </conditionalFormatting>
  <conditionalFormatting sqref="M116:N116">
    <cfRule type="expression" dxfId="2933" priority="3564">
      <formula>$H116="SUBETAPA"</formula>
    </cfRule>
  </conditionalFormatting>
  <conditionalFormatting sqref="M118:N118">
    <cfRule type="expression" dxfId="2932" priority="3563">
      <formula>$H118="SUBETAPA"</formula>
    </cfRule>
  </conditionalFormatting>
  <conditionalFormatting sqref="M120:N120">
    <cfRule type="expression" dxfId="2931" priority="3562">
      <formula>$H120="SUBETAPA"</formula>
    </cfRule>
  </conditionalFormatting>
  <conditionalFormatting sqref="M131:N131">
    <cfRule type="expression" dxfId="2930" priority="3561">
      <formula>$H131="SUBETAPA"</formula>
    </cfRule>
  </conditionalFormatting>
  <conditionalFormatting sqref="M139:N139">
    <cfRule type="expression" dxfId="2929" priority="3560">
      <formula>$H139="SUBETAPA"</formula>
    </cfRule>
  </conditionalFormatting>
  <conditionalFormatting sqref="M140:N140">
    <cfRule type="expression" dxfId="2928" priority="3559">
      <formula>$H140="SUBETAPA"</formula>
    </cfRule>
  </conditionalFormatting>
  <conditionalFormatting sqref="M177:N177">
    <cfRule type="expression" dxfId="2927" priority="3558">
      <formula>$H177="SUBETAPA"</formula>
    </cfRule>
  </conditionalFormatting>
  <conditionalFormatting sqref="M185:N185 G185:K185">
    <cfRule type="expression" dxfId="2926" priority="3352">
      <formula>$H185="CÉLULA CONSTRUTIVA"</formula>
    </cfRule>
  </conditionalFormatting>
  <conditionalFormatting sqref="M186:N186">
    <cfRule type="expression" dxfId="2925" priority="3557">
      <formula>$H186="SUBETAPA"</formula>
    </cfRule>
  </conditionalFormatting>
  <conditionalFormatting sqref="M194:N194 G194:K194">
    <cfRule type="expression" dxfId="2924" priority="3346">
      <formula>$H194="CÉLULA CONSTRUTIVA"</formula>
    </cfRule>
  </conditionalFormatting>
  <conditionalFormatting sqref="M195:N195">
    <cfRule type="expression" dxfId="2923" priority="3556">
      <formula>$H195="SUBETAPA"</formula>
    </cfRule>
  </conditionalFormatting>
  <conditionalFormatting sqref="M212:N212 G212:J212">
    <cfRule type="expression" dxfId="2922" priority="3332">
      <formula>$H212="CÉLULA CONSTRUTIVA"</formula>
    </cfRule>
  </conditionalFormatting>
  <conditionalFormatting sqref="M213:N213">
    <cfRule type="expression" dxfId="2921" priority="3555">
      <formula>$H213="SUBETAPA"</formula>
    </cfRule>
  </conditionalFormatting>
  <conditionalFormatting sqref="M221:N221 G221:K221">
    <cfRule type="expression" dxfId="2920" priority="3326">
      <formula>$H221="CÉLULA CONSTRUTIVA"</formula>
    </cfRule>
  </conditionalFormatting>
  <conditionalFormatting sqref="M274:N274">
    <cfRule type="expression" dxfId="2919" priority="3554">
      <formula>$H274="SUBETAPA"</formula>
    </cfRule>
  </conditionalFormatting>
  <conditionalFormatting sqref="M314:N314">
    <cfRule type="expression" dxfId="2918" priority="3553">
      <formula>$H314="ETAPA"</formula>
    </cfRule>
  </conditionalFormatting>
  <conditionalFormatting sqref="M316:N316">
    <cfRule type="expression" dxfId="2917" priority="3552">
      <formula>$H316="ETAPA"</formula>
    </cfRule>
  </conditionalFormatting>
  <conditionalFormatting sqref="M318:N318">
    <cfRule type="expression" dxfId="2916" priority="3551">
      <formula>$H318="ETAPA"</formula>
    </cfRule>
  </conditionalFormatting>
  <conditionalFormatting sqref="M320:N320">
    <cfRule type="expression" dxfId="2915" priority="3550">
      <formula>$H320="ETAPA"</formula>
    </cfRule>
  </conditionalFormatting>
  <conditionalFormatting sqref="M322:N322">
    <cfRule type="expression" dxfId="2914" priority="3549">
      <formula>$H322="ETAPA"</formula>
    </cfRule>
  </conditionalFormatting>
  <conditionalFormatting sqref="M326:N326">
    <cfRule type="expression" dxfId="2913" priority="3548">
      <formula>$H326="ETAPA"</formula>
    </cfRule>
  </conditionalFormatting>
  <conditionalFormatting sqref="M328:N328">
    <cfRule type="expression" dxfId="2912" priority="3547">
      <formula>$H328="ETAPA"</formula>
    </cfRule>
  </conditionalFormatting>
  <conditionalFormatting sqref="M340:N340">
    <cfRule type="expression" dxfId="2911" priority="3546">
      <formula>$H340="ETAPA"</formula>
    </cfRule>
  </conditionalFormatting>
  <conditionalFormatting sqref="M349:N349">
    <cfRule type="expression" dxfId="2910" priority="3545">
      <formula>$H349="ETAPA"</formula>
    </cfRule>
  </conditionalFormatting>
  <conditionalFormatting sqref="M351:N351">
    <cfRule type="expression" dxfId="2909" priority="3544">
      <formula>$H351="ETAPA"</formula>
    </cfRule>
  </conditionalFormatting>
  <conditionalFormatting sqref="M353:N353">
    <cfRule type="expression" dxfId="2908" priority="3543">
      <formula>$H353="ETAPA"</formula>
    </cfRule>
  </conditionalFormatting>
  <conditionalFormatting sqref="M355:N355">
    <cfRule type="expression" dxfId="2907" priority="3542">
      <formula>$H355="ETAPA"</formula>
    </cfRule>
  </conditionalFormatting>
  <conditionalFormatting sqref="M357:N357">
    <cfRule type="expression" dxfId="2906" priority="3541">
      <formula>$H357="ETAPA"</formula>
    </cfRule>
  </conditionalFormatting>
  <conditionalFormatting sqref="M359:N359">
    <cfRule type="expression" dxfId="2905" priority="3540">
      <formula>$H359="ETAPA"</formula>
    </cfRule>
  </conditionalFormatting>
  <conditionalFormatting sqref="M361:N361">
    <cfRule type="expression" dxfId="2904" priority="3539">
      <formula>$H361="ETAPA"</formula>
    </cfRule>
  </conditionalFormatting>
  <conditionalFormatting sqref="M363:N363">
    <cfRule type="expression" dxfId="2903" priority="3538">
      <formula>$H363="ETAPA"</formula>
    </cfRule>
  </conditionalFormatting>
  <conditionalFormatting sqref="M365:N365">
    <cfRule type="expression" dxfId="2902" priority="3537">
      <formula>$H365="ETAPA"</formula>
    </cfRule>
  </conditionalFormatting>
  <conditionalFormatting sqref="M367:N367">
    <cfRule type="expression" dxfId="2901" priority="3536">
      <formula>$H367="ETAPA"</formula>
    </cfRule>
  </conditionalFormatting>
  <conditionalFormatting sqref="M369:N369">
    <cfRule type="expression" dxfId="2900" priority="3535">
      <formula>$H369="ETAPA"</formula>
    </cfRule>
  </conditionalFormatting>
  <conditionalFormatting sqref="M371:N371">
    <cfRule type="expression" dxfId="2899" priority="3534">
      <formula>$H371="ETAPA"</formula>
    </cfRule>
  </conditionalFormatting>
  <conditionalFormatting sqref="M373:N373">
    <cfRule type="expression" dxfId="2898" priority="3533">
      <formula>$H373="ETAPA"</formula>
    </cfRule>
  </conditionalFormatting>
  <conditionalFormatting sqref="M375:N375">
    <cfRule type="expression" dxfId="2897" priority="3532">
      <formula>$H375="ETAPA"</formula>
    </cfRule>
  </conditionalFormatting>
  <conditionalFormatting sqref="M377:N377">
    <cfRule type="expression" dxfId="2896" priority="3531">
      <formula>$H377="ETAPA"</formula>
    </cfRule>
  </conditionalFormatting>
  <conditionalFormatting sqref="M32:O32">
    <cfRule type="expression" dxfId="2895" priority="5286">
      <formula>$H32="CÉLULA CONSTRUTIVA"</formula>
    </cfRule>
  </conditionalFormatting>
  <conditionalFormatting sqref="M40:O40">
    <cfRule type="expression" dxfId="2894" priority="5267">
      <formula>$H40="CÉLULA CONSTRUTIVA"</formula>
    </cfRule>
  </conditionalFormatting>
  <conditionalFormatting sqref="M46:O46">
    <cfRule type="expression" dxfId="2893" priority="5258">
      <formula>$H46="ETAPA"</formula>
    </cfRule>
  </conditionalFormatting>
  <conditionalFormatting sqref="M47:O47">
    <cfRule type="expression" dxfId="2892" priority="5250">
      <formula>$H47="CÉLULA CONSTRUTIVA"</formula>
    </cfRule>
  </conditionalFormatting>
  <conditionalFormatting sqref="M50:O50">
    <cfRule type="expression" dxfId="2891" priority="5246">
      <formula>$H50="CÉLULA CONSTRUTIVA"</formula>
    </cfRule>
  </conditionalFormatting>
  <conditionalFormatting sqref="M54:O54">
    <cfRule type="expression" dxfId="2890" priority="5237">
      <formula>$H54="ETAPA"</formula>
    </cfRule>
  </conditionalFormatting>
  <conditionalFormatting sqref="M57:O57">
    <cfRule type="expression" dxfId="2889" priority="5231">
      <formula>$H57="ETAPA"</formula>
    </cfRule>
  </conditionalFormatting>
  <conditionalFormatting sqref="N8">
    <cfRule type="expression" dxfId="2888" priority="3529">
      <formula>$H8="CÉLULA CONSTRUTIVA"</formula>
    </cfRule>
    <cfRule type="expression" dxfId="2887" priority="3528">
      <formula>$H8="SUBETAPA"</formula>
    </cfRule>
  </conditionalFormatting>
  <conditionalFormatting sqref="N8:N10 M59:N60 N69:N70 N100:N101">
    <cfRule type="expression" dxfId="2886" priority="3527">
      <formula>$H8="ETAPA"</formula>
    </cfRule>
  </conditionalFormatting>
  <conditionalFormatting sqref="N9 N59 N69 N100">
    <cfRule type="expression" dxfId="2885" priority="3526">
      <formula>$H9="CÉLULA CONSTRUTIVA"</formula>
    </cfRule>
    <cfRule type="expression" dxfId="2884" priority="3525">
      <formula>$H9="SUBETAPA"</formula>
    </cfRule>
  </conditionalFormatting>
  <conditionalFormatting sqref="N10 N60 N63 N66 N70 N72 N79 N101 L281:N282 N77">
    <cfRule type="expression" dxfId="2883" priority="3524">
      <formula>$H10="CÉLULA CONSTRUTIVA"</formula>
    </cfRule>
  </conditionalFormatting>
  <conditionalFormatting sqref="N10 N60 N70 N101 M79:N79 N281 N63 N65:N66 N72">
    <cfRule type="expression" dxfId="2882" priority="3523">
      <formula>$H10="SUBETAPA"</formula>
    </cfRule>
  </conditionalFormatting>
  <conditionalFormatting sqref="N12">
    <cfRule type="expression" dxfId="2881" priority="3522">
      <formula>$H12="CÉLULA CONSTRUTIVA"</formula>
    </cfRule>
    <cfRule type="expression" dxfId="2880" priority="3521">
      <formula>$H12="SUBETAPA"</formula>
    </cfRule>
  </conditionalFormatting>
  <conditionalFormatting sqref="N12:N13">
    <cfRule type="expression" dxfId="2879" priority="3520">
      <formula>$H12="ETAPA"</formula>
    </cfRule>
  </conditionalFormatting>
  <conditionalFormatting sqref="N13">
    <cfRule type="expression" dxfId="2878" priority="3518">
      <formula>$H13="SUBETAPA"</formula>
    </cfRule>
    <cfRule type="expression" dxfId="2877" priority="3519">
      <formula>$H13="CÉLULA CONSTRUTIVA"</formula>
    </cfRule>
  </conditionalFormatting>
  <conditionalFormatting sqref="N16">
    <cfRule type="expression" dxfId="2876" priority="3516">
      <formula>$H16="SUBETAPA"</formula>
    </cfRule>
    <cfRule type="expression" dxfId="2875" priority="3517">
      <formula>$H16="CÉLULA CONSTRUTIVA"</formula>
    </cfRule>
    <cfRule type="expression" dxfId="2874" priority="3515">
      <formula>$H16="ETAPA"</formula>
    </cfRule>
  </conditionalFormatting>
  <conditionalFormatting sqref="N20">
    <cfRule type="expression" dxfId="2873" priority="3511">
      <formula>$H20="ETAPA"</formula>
    </cfRule>
    <cfRule type="expression" dxfId="2872" priority="3512">
      <formula>$H20="SUBETAPA"</formula>
    </cfRule>
    <cfRule type="expression" dxfId="2871" priority="3513">
      <formula>$H20="CÉLULA CONSTRUTIVA"</formula>
    </cfRule>
    <cfRule type="expression" dxfId="2870" priority="3514">
      <formula>$H20="ETAPA"</formula>
    </cfRule>
    <cfRule type="expression" dxfId="2869" priority="3510">
      <formula>$H20="SUBETAPA"</formula>
    </cfRule>
  </conditionalFormatting>
  <conditionalFormatting sqref="N20:N21">
    <cfRule type="expression" dxfId="2868" priority="3508">
      <formula>$H20="CÉLULA CONSTRUTIVA"</formula>
    </cfRule>
  </conditionalFormatting>
  <conditionalFormatting sqref="N21">
    <cfRule type="expression" dxfId="2867" priority="3507">
      <formula>$H21="SUBETAPA"</formula>
    </cfRule>
  </conditionalFormatting>
  <conditionalFormatting sqref="N21:N22 G22:L22">
    <cfRule type="expression" dxfId="2866" priority="9501">
      <formula>$H21="SUBETAPA"</formula>
    </cfRule>
  </conditionalFormatting>
  <conditionalFormatting sqref="N21:N22">
    <cfRule type="expression" dxfId="2865" priority="3506">
      <formula>$H21="ETAPA"</formula>
    </cfRule>
  </conditionalFormatting>
  <conditionalFormatting sqref="N22">
    <cfRule type="expression" dxfId="2864" priority="3505">
      <formula>$H22="SUBETAPA"</formula>
    </cfRule>
  </conditionalFormatting>
  <conditionalFormatting sqref="N23 G23:L23">
    <cfRule type="expression" dxfId="2863" priority="3503">
      <formula>$H23="CÉLULA CONSTRUTIVA"</formula>
    </cfRule>
  </conditionalFormatting>
  <conditionalFormatting sqref="N23 L22:L23">
    <cfRule type="expression" dxfId="2862" priority="3504">
      <formula>$H22="ETAPA"</formula>
    </cfRule>
  </conditionalFormatting>
  <conditionalFormatting sqref="N23">
    <cfRule type="expression" dxfId="2861" priority="3500">
      <formula>$H23="SUBETAPA"</formula>
    </cfRule>
    <cfRule type="expression" dxfId="2860" priority="3502">
      <formula>$H23="ETAPA"</formula>
    </cfRule>
    <cfRule type="expression" dxfId="2859" priority="3501">
      <formula>$H23="CÉLULA CONSTRUTIVA"</formula>
    </cfRule>
    <cfRule type="expression" dxfId="2858" priority="3499">
      <formula>$H23="SUBETAPA"</formula>
    </cfRule>
  </conditionalFormatting>
  <conditionalFormatting sqref="N24">
    <cfRule type="expression" dxfId="2857" priority="3498">
      <formula>$H24="CÉLULA CONSTRUTIVA"</formula>
    </cfRule>
    <cfRule type="expression" dxfId="2856" priority="3497">
      <formula>$H24="ETAPA"</formula>
    </cfRule>
    <cfRule type="expression" dxfId="2855" priority="3496">
      <formula>$H24="SUBETAPA"</formula>
    </cfRule>
  </conditionalFormatting>
  <conditionalFormatting sqref="N25">
    <cfRule type="expression" dxfId="2854" priority="3495">
      <formula>$H25="CÉLULA CONSTRUTIVA"</formula>
    </cfRule>
    <cfRule type="expression" dxfId="2853" priority="3494">
      <formula>$H25="SUBETAPA"</formula>
    </cfRule>
  </conditionalFormatting>
  <conditionalFormatting sqref="N26">
    <cfRule type="expression" dxfId="2852" priority="3493">
      <formula>$H26="CÉLULA CONSTRUTIVA"</formula>
    </cfRule>
    <cfRule type="expression" dxfId="2851" priority="3492">
      <formula>$H26="SUBETAPA"</formula>
    </cfRule>
  </conditionalFormatting>
  <conditionalFormatting sqref="N26:N27 L26:L30">
    <cfRule type="expression" dxfId="2850" priority="3490">
      <formula>$H26="ETAPA"</formula>
    </cfRule>
  </conditionalFormatting>
  <conditionalFormatting sqref="N28 N30:N31">
    <cfRule type="expression" dxfId="2849" priority="3489">
      <formula>$H28="SUBETAPA"</formula>
    </cfRule>
  </conditionalFormatting>
  <conditionalFormatting sqref="N28 N31">
    <cfRule type="expression" dxfId="2848" priority="3488">
      <formula>$H28="CÉLULA CONSTRUTIVA"</formula>
    </cfRule>
  </conditionalFormatting>
  <conditionalFormatting sqref="N33">
    <cfRule type="expression" dxfId="2847" priority="3487">
      <formula>$H33="CÉLULA CONSTRUTIVA"</formula>
    </cfRule>
    <cfRule type="expression" dxfId="2846" priority="3486">
      <formula>$H33="SUBETAPA"</formula>
    </cfRule>
  </conditionalFormatting>
  <conditionalFormatting sqref="N33:N34">
    <cfRule type="expression" dxfId="2845" priority="3485">
      <formula>$H33="ETAPA"</formula>
    </cfRule>
  </conditionalFormatting>
  <conditionalFormatting sqref="N34 N38:N39">
    <cfRule type="expression" dxfId="2844" priority="3484">
      <formula>$H34="SUBETAPA"</formula>
    </cfRule>
  </conditionalFormatting>
  <conditionalFormatting sqref="N34">
    <cfRule type="expression" dxfId="2843" priority="3483">
      <formula>$H34="CÉLULA CONSTRUTIVA"</formula>
    </cfRule>
  </conditionalFormatting>
  <conditionalFormatting sqref="N34:N36">
    <cfRule type="expression" dxfId="2842" priority="3482">
      <formula>$H34="ETAPA"</formula>
    </cfRule>
  </conditionalFormatting>
  <conditionalFormatting sqref="N34:N37">
    <cfRule type="expression" dxfId="2841" priority="3478">
      <formula>$H34="CÉLULA CONSTRUTIVA"</formula>
    </cfRule>
  </conditionalFormatting>
  <conditionalFormatting sqref="N37">
    <cfRule type="expression" dxfId="2840" priority="3477">
      <formula>$H37="SUBETAPA"</formula>
    </cfRule>
    <cfRule type="expression" dxfId="2839" priority="3480">
      <formula>$H37="ETAPA"</formula>
    </cfRule>
  </conditionalFormatting>
  <conditionalFormatting sqref="N38:N39">
    <cfRule type="expression" dxfId="2838" priority="3476">
      <formula>$H38="CÉLULA CONSTRUTIVA"</formula>
    </cfRule>
  </conditionalFormatting>
  <conditionalFormatting sqref="N41">
    <cfRule type="expression" dxfId="2837" priority="3475">
      <formula>$H41="CÉLULA CONSTRUTIVA"</formula>
    </cfRule>
    <cfRule type="expression" dxfId="2836" priority="3474">
      <formula>$H41="SUBETAPA"</formula>
    </cfRule>
  </conditionalFormatting>
  <conditionalFormatting sqref="N42">
    <cfRule type="expression" dxfId="2835" priority="3472">
      <formula>$H42="SUBETAPA"</formula>
    </cfRule>
    <cfRule type="expression" dxfId="2834" priority="3473">
      <formula>$H42="CÉLULA CONSTRUTIVA"</formula>
    </cfRule>
  </conditionalFormatting>
  <conditionalFormatting sqref="N42:N43 L42:L43">
    <cfRule type="expression" dxfId="2833" priority="3470">
      <formula>$H42="ETAPA"</formula>
    </cfRule>
  </conditionalFormatting>
  <conditionalFormatting sqref="N44 N49">
    <cfRule type="expression" dxfId="2832" priority="3469">
      <formula>$H44="CÉLULA CONSTRUTIVA"</formula>
    </cfRule>
    <cfRule type="expression" dxfId="2831" priority="3468">
      <formula>$H44="SUBETAPA"</formula>
    </cfRule>
  </conditionalFormatting>
  <conditionalFormatting sqref="N46">
    <cfRule type="expression" dxfId="2830" priority="3465">
      <formula>$H46="SUBETAPA"</formula>
    </cfRule>
    <cfRule type="expression" dxfId="2829" priority="3466">
      <formula>$H46="CÉLULA CONSTRUTIVA"</formula>
    </cfRule>
    <cfRule type="expression" dxfId="2828" priority="3467">
      <formula>$H46="ETAPA"</formula>
    </cfRule>
  </conditionalFormatting>
  <conditionalFormatting sqref="N47">
    <cfRule type="expression" dxfId="2827" priority="3464">
      <formula>$H47="ETAPA"</formula>
    </cfRule>
    <cfRule type="expression" dxfId="2826" priority="3463">
      <formula>$H47="CÉLULA CONSTRUTIVA"</formula>
    </cfRule>
    <cfRule type="expression" dxfId="2825" priority="3462">
      <formula>$H47="SUBETAPA"</formula>
    </cfRule>
  </conditionalFormatting>
  <conditionalFormatting sqref="N51 N54">
    <cfRule type="expression" dxfId="2824" priority="3461">
      <formula>$H51="SUBETAPA"</formula>
    </cfRule>
  </conditionalFormatting>
  <conditionalFormatting sqref="N51:N52">
    <cfRule type="expression" dxfId="2823" priority="3458">
      <formula>$H51="CÉLULA CONSTRUTIVA"</formula>
    </cfRule>
  </conditionalFormatting>
  <conditionalFormatting sqref="N52">
    <cfRule type="expression" dxfId="2822" priority="3459">
      <formula>$H52="ETAPA"</formula>
    </cfRule>
    <cfRule type="expression" dxfId="2821" priority="3457">
      <formula>$H52="ETAPA"</formula>
    </cfRule>
    <cfRule type="expression" dxfId="2820" priority="3456">
      <formula>$H52="CÉLULA CONSTRUTIVA"</formula>
    </cfRule>
  </conditionalFormatting>
  <conditionalFormatting sqref="N53">
    <cfRule type="expression" dxfId="2819" priority="3455">
      <formula>$H53="SUBETAPA"</formula>
    </cfRule>
  </conditionalFormatting>
  <conditionalFormatting sqref="N55 N57">
    <cfRule type="expression" dxfId="2818" priority="3454">
      <formula>$H55="SUBETAPA"</formula>
    </cfRule>
  </conditionalFormatting>
  <conditionalFormatting sqref="N55:N56">
    <cfRule type="expression" dxfId="2817" priority="3451">
      <formula>$H55="CÉLULA CONSTRUTIVA"</formula>
    </cfRule>
  </conditionalFormatting>
  <conditionalFormatting sqref="N56">
    <cfRule type="expression" dxfId="2816" priority="3452">
      <formula>$H56="ETAPA"</formula>
    </cfRule>
    <cfRule type="expression" dxfId="2815" priority="3450">
      <formula>$H56="ETAPA"</formula>
    </cfRule>
    <cfRule type="expression" dxfId="2814" priority="3449">
      <formula>$H56="CÉLULA CONSTRUTIVA"</formula>
    </cfRule>
  </conditionalFormatting>
  <conditionalFormatting sqref="N58">
    <cfRule type="expression" dxfId="2813" priority="3448">
      <formula>$H58="CÉLULA CONSTRUTIVA"</formula>
    </cfRule>
    <cfRule type="expression" dxfId="2812" priority="3447">
      <formula>$H58="ETAPA"</formula>
    </cfRule>
    <cfRule type="expression" dxfId="2811" priority="3446">
      <formula>$H58="SUBETAPA"</formula>
    </cfRule>
  </conditionalFormatting>
  <conditionalFormatting sqref="N62 G62:K62">
    <cfRule type="expression" dxfId="2810" priority="9630">
      <formula>$H62="CÉLULA CONSTRUTIVA"</formula>
    </cfRule>
  </conditionalFormatting>
  <conditionalFormatting sqref="N68">
    <cfRule type="expression" dxfId="2809" priority="3442">
      <formula>$H68="SUBETAPA"</formula>
    </cfRule>
    <cfRule type="expression" dxfId="2808" priority="3444">
      <formula>$H68="ETAPA"</formula>
    </cfRule>
    <cfRule type="expression" dxfId="2807" priority="3443">
      <formula>$H68="CÉLULA CONSTRUTIVA"</formula>
    </cfRule>
  </conditionalFormatting>
  <conditionalFormatting sqref="N80">
    <cfRule type="expression" dxfId="2806" priority="3440">
      <formula>$H80="SUBETAPA"</formula>
    </cfRule>
  </conditionalFormatting>
  <conditionalFormatting sqref="N80:N81">
    <cfRule type="expression" dxfId="2805" priority="3439">
      <formula>$H80="ETAPA"</formula>
    </cfRule>
  </conditionalFormatting>
  <conditionalFormatting sqref="N81 M95:N95 N83">
    <cfRule type="expression" dxfId="2804" priority="3438">
      <formula>$H81="SUBETAPA"</formula>
    </cfRule>
  </conditionalFormatting>
  <conditionalFormatting sqref="N81">
    <cfRule type="expression" dxfId="2803" priority="3437">
      <formula>$H81="CÉLULA CONSTRUTIVA"</formula>
    </cfRule>
  </conditionalFormatting>
  <conditionalFormatting sqref="N83:N84">
    <cfRule type="expression" dxfId="2802" priority="3435">
      <formula>$H83="CÉLULA CONSTRUTIVA"</formula>
    </cfRule>
  </conditionalFormatting>
  <conditionalFormatting sqref="N84 G84:K84">
    <cfRule type="expression" dxfId="2801" priority="3436">
      <formula>$H84="ETAPA"</formula>
    </cfRule>
  </conditionalFormatting>
  <conditionalFormatting sqref="N84">
    <cfRule type="expression" dxfId="2800" priority="3434">
      <formula>$H84="ETAPA"</formula>
    </cfRule>
    <cfRule type="expression" dxfId="2799" priority="3433">
      <formula>$H84="SUBETAPA"</formula>
    </cfRule>
  </conditionalFormatting>
  <conditionalFormatting sqref="N85:N86">
    <cfRule type="expression" dxfId="2798" priority="3432">
      <formula>$H85="CÉLULA CONSTRUTIVA"</formula>
    </cfRule>
  </conditionalFormatting>
  <conditionalFormatting sqref="N85:N91 G83:K83 G85:K87 G91:K92 G90:I90 K90 G89:K89 G88:I88 K88">
    <cfRule type="expression" dxfId="2797" priority="3431">
      <formula>$H83="ETAPA"</formula>
    </cfRule>
  </conditionalFormatting>
  <conditionalFormatting sqref="N87:N93">
    <cfRule type="expression" dxfId="2796" priority="3430">
      <formula>$H87="CÉLULA CONSTRUTIVA"</formula>
    </cfRule>
  </conditionalFormatting>
  <conditionalFormatting sqref="N92">
    <cfRule type="expression" dxfId="2795" priority="3429">
      <formula>$H92="ETAPA"</formula>
    </cfRule>
  </conditionalFormatting>
  <conditionalFormatting sqref="N95:N97">
    <cfRule type="expression" dxfId="2794" priority="3426">
      <formula>$H95="CÉLULA CONSTRUTIVA"</formula>
    </cfRule>
  </conditionalFormatting>
  <conditionalFormatting sqref="N96">
    <cfRule type="expression" dxfId="2793" priority="3428">
      <formula>$H96="ETAPA"</formula>
    </cfRule>
  </conditionalFormatting>
  <conditionalFormatting sqref="N97">
    <cfRule type="expression" dxfId="2792" priority="3425">
      <formula>$H97="SUBETAPA"</formula>
    </cfRule>
  </conditionalFormatting>
  <conditionalFormatting sqref="N97:N98">
    <cfRule type="expression" dxfId="2791" priority="3424">
      <formula>$H97="ETAPA"</formula>
    </cfRule>
  </conditionalFormatting>
  <conditionalFormatting sqref="N98">
    <cfRule type="expression" dxfId="2790" priority="3423">
      <formula>$H98="CÉLULA CONSTRUTIVA"</formula>
    </cfRule>
    <cfRule type="expression" dxfId="2789" priority="3422">
      <formula>$H98="SUBETAPA"</formula>
    </cfRule>
  </conditionalFormatting>
  <conditionalFormatting sqref="N104">
    <cfRule type="expression" dxfId="2788" priority="3421">
      <formula>$H104="CÉLULA CONSTRUTIVA"</formula>
    </cfRule>
  </conditionalFormatting>
  <conditionalFormatting sqref="N106">
    <cfRule type="expression" dxfId="2787" priority="3420">
      <formula>$H106="CÉLULA CONSTRUTIVA"</formula>
    </cfRule>
  </conditionalFormatting>
  <conditionalFormatting sqref="N108">
    <cfRule type="expression" dxfId="2786" priority="3419">
      <formula>$H108="CÉLULA CONSTRUTIVA"</formula>
    </cfRule>
  </conditionalFormatting>
  <conditionalFormatting sqref="N110">
    <cfRule type="expression" dxfId="2785" priority="3418">
      <formula>$H110="CÉLULA CONSTRUTIVA"</formula>
    </cfRule>
  </conditionalFormatting>
  <conditionalFormatting sqref="N112">
    <cfRule type="expression" dxfId="2784" priority="3417">
      <formula>$H112="CÉLULA CONSTRUTIVA"</formula>
    </cfRule>
  </conditionalFormatting>
  <conditionalFormatting sqref="N114">
    <cfRule type="expression" dxfId="2783" priority="3416">
      <formula>$H114="CÉLULA CONSTRUTIVA"</formula>
    </cfRule>
    <cfRule type="expression" dxfId="2782" priority="3415">
      <formula>$H114="SUBETAPA"</formula>
    </cfRule>
  </conditionalFormatting>
  <conditionalFormatting sqref="N116">
    <cfRule type="expression" dxfId="2781" priority="3414">
      <formula>$H116="CÉLULA CONSTRUTIVA"</formula>
    </cfRule>
  </conditionalFormatting>
  <conditionalFormatting sqref="N118">
    <cfRule type="expression" dxfId="2780" priority="3413">
      <formula>$H118="CÉLULA CONSTRUTIVA"</formula>
    </cfRule>
  </conditionalFormatting>
  <conditionalFormatting sqref="N120">
    <cfRule type="expression" dxfId="2779" priority="3412">
      <formula>$H120="CÉLULA CONSTRUTIVA"</formula>
    </cfRule>
  </conditionalFormatting>
  <conditionalFormatting sqref="N122">
    <cfRule type="expression" dxfId="2778" priority="3411">
      <formula>$H122="CÉLULA CONSTRUTIVA"</formula>
    </cfRule>
  </conditionalFormatting>
  <conditionalFormatting sqref="N122:N123 G123:K123">
    <cfRule type="expression" dxfId="2777" priority="3410">
      <formula>$H122="ETAPA"</formula>
    </cfRule>
  </conditionalFormatting>
  <conditionalFormatting sqref="N122:N123 G122:L122 G123:K123">
    <cfRule type="expression" dxfId="2776" priority="3409">
      <formula>$H122="CÉLULA CONSTRUTIVA"</formula>
    </cfRule>
  </conditionalFormatting>
  <conditionalFormatting sqref="N122:N123">
    <cfRule type="expression" dxfId="2775" priority="3408">
      <formula>$H122="SUBETAPA"</formula>
    </cfRule>
    <cfRule type="expression" dxfId="2774" priority="6531">
      <formula>$H122="SUBETAPA"</formula>
    </cfRule>
  </conditionalFormatting>
  <conditionalFormatting sqref="N123">
    <cfRule type="expression" dxfId="2773" priority="3406">
      <formula>$H123="CÉLULA CONSTRUTIVA"</formula>
    </cfRule>
    <cfRule type="expression" dxfId="2772" priority="3407">
      <formula>$H123="ETAPA"</formula>
    </cfRule>
  </conditionalFormatting>
  <conditionalFormatting sqref="N125">
    <cfRule type="expression" dxfId="2771" priority="3405">
      <formula>$H125="CÉLULA CONSTRUTIVA"</formula>
    </cfRule>
  </conditionalFormatting>
  <conditionalFormatting sqref="N125:N126 G126:K126">
    <cfRule type="expression" dxfId="2770" priority="3404">
      <formula>$H125="ETAPA"</formula>
    </cfRule>
  </conditionalFormatting>
  <conditionalFormatting sqref="N125:N126 G125:L125 G126:K126">
    <cfRule type="expression" dxfId="2769" priority="3403">
      <formula>$H125="CÉLULA CONSTRUTIVA"</formula>
    </cfRule>
  </conditionalFormatting>
  <conditionalFormatting sqref="N125:N126">
    <cfRule type="expression" dxfId="2768" priority="6528">
      <formula>$H125="SUBETAPA"</formula>
    </cfRule>
    <cfRule type="expression" dxfId="2767" priority="3402">
      <formula>$H125="SUBETAPA"</formula>
    </cfRule>
  </conditionalFormatting>
  <conditionalFormatting sqref="N126">
    <cfRule type="expression" dxfId="2766" priority="3401">
      <formula>$H126="ETAPA"</formula>
    </cfRule>
    <cfRule type="expression" dxfId="2765" priority="3400">
      <formula>$H126="CÉLULA CONSTRUTIVA"</formula>
    </cfRule>
  </conditionalFormatting>
  <conditionalFormatting sqref="N128">
    <cfRule type="expression" dxfId="2764" priority="3399">
      <formula>$H128="CÉLULA CONSTRUTIVA"</formula>
    </cfRule>
  </conditionalFormatting>
  <conditionalFormatting sqref="N128:N129 G129:K129">
    <cfRule type="expression" dxfId="2763" priority="3398">
      <formula>$H128="ETAPA"</formula>
    </cfRule>
  </conditionalFormatting>
  <conditionalFormatting sqref="N128:N129 G128:L128 G129:K129">
    <cfRule type="expression" dxfId="2762" priority="3397">
      <formula>$H128="CÉLULA CONSTRUTIVA"</formula>
    </cfRule>
  </conditionalFormatting>
  <conditionalFormatting sqref="N128:N129">
    <cfRule type="expression" dxfId="2761" priority="6525">
      <formula>$H128="SUBETAPA"</formula>
    </cfRule>
    <cfRule type="expression" dxfId="2760" priority="3396">
      <formula>$H128="SUBETAPA"</formula>
    </cfRule>
  </conditionalFormatting>
  <conditionalFormatting sqref="N129">
    <cfRule type="expression" dxfId="2759" priority="3395">
      <formula>$H129="ETAPA"</formula>
    </cfRule>
    <cfRule type="expression" dxfId="2758" priority="3394">
      <formula>$H129="CÉLULA CONSTRUTIVA"</formula>
    </cfRule>
  </conditionalFormatting>
  <conditionalFormatting sqref="N131">
    <cfRule type="expression" dxfId="2757" priority="3393">
      <formula>$H131="CÉLULA CONSTRUTIVA"</formula>
    </cfRule>
  </conditionalFormatting>
  <conditionalFormatting sqref="N133">
    <cfRule type="expression" dxfId="2756" priority="3392">
      <formula>$H133="CÉLULA CONSTRUTIVA"</formula>
    </cfRule>
  </conditionalFormatting>
  <conditionalFormatting sqref="N133:N134 G134:K134">
    <cfRule type="expression" dxfId="2755" priority="3391">
      <formula>$H133="ETAPA"</formula>
    </cfRule>
  </conditionalFormatting>
  <conditionalFormatting sqref="N133:N134 G133:L133 G134:K134">
    <cfRule type="expression" dxfId="2754" priority="3390">
      <formula>$H133="CÉLULA CONSTRUTIVA"</formula>
    </cfRule>
  </conditionalFormatting>
  <conditionalFormatting sqref="N133:N134">
    <cfRule type="expression" dxfId="2753" priority="6521">
      <formula>$H133="SUBETAPA"</formula>
    </cfRule>
    <cfRule type="expression" dxfId="2752" priority="3389">
      <formula>$H133="SUBETAPA"</formula>
    </cfRule>
  </conditionalFormatting>
  <conditionalFormatting sqref="N134">
    <cfRule type="expression" dxfId="2751" priority="3387">
      <formula>$H134="CÉLULA CONSTRUTIVA"</formula>
    </cfRule>
    <cfRule type="expression" dxfId="2750" priority="3388">
      <formula>$H134="ETAPA"</formula>
    </cfRule>
  </conditionalFormatting>
  <conditionalFormatting sqref="N136">
    <cfRule type="expression" dxfId="2749" priority="3386">
      <formula>$H136="CÉLULA CONSTRUTIVA"</formula>
    </cfRule>
  </conditionalFormatting>
  <conditionalFormatting sqref="N136:N137 G137:K137">
    <cfRule type="expression" dxfId="2748" priority="3385">
      <formula>$H136="ETAPA"</formula>
    </cfRule>
  </conditionalFormatting>
  <conditionalFormatting sqref="N136:N137 G136:L136 G137:K137">
    <cfRule type="expression" dxfId="2747" priority="3384">
      <formula>$H136="CÉLULA CONSTRUTIVA"</formula>
    </cfRule>
  </conditionalFormatting>
  <conditionalFormatting sqref="N136:N137">
    <cfRule type="expression" dxfId="2746" priority="3383">
      <formula>$H136="SUBETAPA"</formula>
    </cfRule>
    <cfRule type="expression" dxfId="2745" priority="6518">
      <formula>$H136="SUBETAPA"</formula>
    </cfRule>
  </conditionalFormatting>
  <conditionalFormatting sqref="N137">
    <cfRule type="expression" dxfId="2744" priority="3382">
      <formula>$H137="ETAPA"</formula>
    </cfRule>
    <cfRule type="expression" dxfId="2743" priority="3381">
      <formula>$H137="CÉLULA CONSTRUTIVA"</formula>
    </cfRule>
  </conditionalFormatting>
  <conditionalFormatting sqref="N139:N140">
    <cfRule type="expression" dxfId="2742" priority="3380">
      <formula>$H139="CÉLULA CONSTRUTIVA"</formula>
    </cfRule>
  </conditionalFormatting>
  <conditionalFormatting sqref="N145:N147 G145:J147">
    <cfRule type="expression" dxfId="2741" priority="3379">
      <formula>$H145="CÉLULA CONSTRUTIVA"</formula>
    </cfRule>
  </conditionalFormatting>
  <conditionalFormatting sqref="N145:N147">
    <cfRule type="expression" dxfId="2740" priority="3377">
      <formula>$H145="ETAPA"</formula>
    </cfRule>
    <cfRule type="expression" dxfId="2739" priority="3378">
      <formula>$H145="SUBETAPA"</formula>
    </cfRule>
  </conditionalFormatting>
  <conditionalFormatting sqref="N145:N176 G168:K169 G170:J173 K170:K176">
    <cfRule type="expression" dxfId="2738" priority="6447">
      <formula>$H145="SUBETAPA"</formula>
    </cfRule>
  </conditionalFormatting>
  <conditionalFormatting sqref="N148">
    <cfRule type="expression" dxfId="2737" priority="3376">
      <formula>$H148="CÉLULA CONSTRUTIVA"</formula>
    </cfRule>
  </conditionalFormatting>
  <conditionalFormatting sqref="N148:N153">
    <cfRule type="expression" dxfId="2736" priority="3375">
      <formula>$H148="SUBETAPA"</formula>
    </cfRule>
  </conditionalFormatting>
  <conditionalFormatting sqref="N154:N156 G154:J156">
    <cfRule type="expression" dxfId="2735" priority="3374">
      <formula>$H154="CÉLULA CONSTRUTIVA"</formula>
    </cfRule>
  </conditionalFormatting>
  <conditionalFormatting sqref="N154:N156">
    <cfRule type="expression" dxfId="2734" priority="3373">
      <formula>$H154="SUBETAPA"</formula>
    </cfRule>
    <cfRule type="expression" dxfId="2733" priority="3372">
      <formula>$H154="ETAPA"</formula>
    </cfRule>
  </conditionalFormatting>
  <conditionalFormatting sqref="N157 G157:K157">
    <cfRule type="expression" dxfId="2732" priority="3371">
      <formula>$H157="CÉLULA CONSTRUTIVA"</formula>
    </cfRule>
  </conditionalFormatting>
  <conditionalFormatting sqref="N157">
    <cfRule type="expression" dxfId="2731" priority="3370">
      <formula>$H157="SUBETAPA"</formula>
    </cfRule>
    <cfRule type="expression" dxfId="2730" priority="3369">
      <formula>$H157="ETAPA"</formula>
    </cfRule>
  </conditionalFormatting>
  <conditionalFormatting sqref="N158">
    <cfRule type="expression" dxfId="2729" priority="3368">
      <formula>$H158="CÉLULA CONSTRUTIVA"</formula>
    </cfRule>
  </conditionalFormatting>
  <conditionalFormatting sqref="N158:N163">
    <cfRule type="expression" dxfId="2728" priority="3367">
      <formula>$H158="SUBETAPA"</formula>
    </cfRule>
  </conditionalFormatting>
  <conditionalFormatting sqref="N164:N166 G164:J166">
    <cfRule type="expression" dxfId="2727" priority="3366">
      <formula>$H164="CÉLULA CONSTRUTIVA"</formula>
    </cfRule>
  </conditionalFormatting>
  <conditionalFormatting sqref="N164:N166">
    <cfRule type="expression" dxfId="2726" priority="3365">
      <formula>$H164="SUBETAPA"</formula>
    </cfRule>
    <cfRule type="expression" dxfId="2725" priority="3364">
      <formula>$H164="ETAPA"</formula>
    </cfRule>
  </conditionalFormatting>
  <conditionalFormatting sqref="N167 G167:K167">
    <cfRule type="expression" dxfId="2724" priority="3363">
      <formula>$H167="CÉLULA CONSTRUTIVA"</formula>
    </cfRule>
  </conditionalFormatting>
  <conditionalFormatting sqref="N167">
    <cfRule type="expression" dxfId="2723" priority="3362">
      <formula>$H167="SUBETAPA"</formula>
    </cfRule>
    <cfRule type="expression" dxfId="2722" priority="3361">
      <formula>$H167="ETAPA"</formula>
    </cfRule>
  </conditionalFormatting>
  <conditionalFormatting sqref="N168">
    <cfRule type="expression" dxfId="2721" priority="3360">
      <formula>$H168="CÉLULA CONSTRUTIVA"</formula>
    </cfRule>
  </conditionalFormatting>
  <conditionalFormatting sqref="N168:N173">
    <cfRule type="expression" dxfId="2720" priority="3359">
      <formula>$H168="SUBETAPA"</formula>
    </cfRule>
  </conditionalFormatting>
  <conditionalFormatting sqref="N174:N176 G174:J176">
    <cfRule type="expression" dxfId="2719" priority="3358">
      <formula>$H174="CÉLULA CONSTRUTIVA"</formula>
    </cfRule>
  </conditionalFormatting>
  <conditionalFormatting sqref="N174:N176">
    <cfRule type="expression" dxfId="2718" priority="3357">
      <formula>$H174="SUBETAPA"</formula>
    </cfRule>
    <cfRule type="expression" dxfId="2717" priority="3356">
      <formula>$H174="ETAPA"</formula>
    </cfRule>
  </conditionalFormatting>
  <conditionalFormatting sqref="N177">
    <cfRule type="expression" dxfId="2716" priority="3355">
      <formula>$H177="CÉLULA CONSTRUTIVA"</formula>
    </cfRule>
  </conditionalFormatting>
  <conditionalFormatting sqref="N178">
    <cfRule type="expression" dxfId="2715" priority="3354">
      <formula>$H178="SUBETAPA"</formula>
    </cfRule>
    <cfRule type="expression" dxfId="2714" priority="3353">
      <formula>$H178="ETAPA"</formula>
    </cfRule>
  </conditionalFormatting>
  <conditionalFormatting sqref="N185">
    <cfRule type="expression" dxfId="2713" priority="3350">
      <formula>$H185="ETAPA"</formula>
    </cfRule>
    <cfRule type="expression" dxfId="2712" priority="3351">
      <formula>$H185="SUBETAPA"</formula>
    </cfRule>
  </conditionalFormatting>
  <conditionalFormatting sqref="N186">
    <cfRule type="expression" dxfId="2711" priority="3349">
      <formula>$H186="CÉLULA CONSTRUTIVA"</formula>
    </cfRule>
  </conditionalFormatting>
  <conditionalFormatting sqref="N187">
    <cfRule type="expression" dxfId="2710" priority="3348">
      <formula>$H187="SUBETAPA"</formula>
    </cfRule>
    <cfRule type="expression" dxfId="2709" priority="3347">
      <formula>$H187="ETAPA"</formula>
    </cfRule>
  </conditionalFormatting>
  <conditionalFormatting sqref="N194">
    <cfRule type="expression" dxfId="2708" priority="3345">
      <formula>$H194="SUBETAPA"</formula>
    </cfRule>
    <cfRule type="expression" dxfId="2707" priority="3344">
      <formula>$H194="ETAPA"</formula>
    </cfRule>
  </conditionalFormatting>
  <conditionalFormatting sqref="N195">
    <cfRule type="expression" dxfId="2706" priority="3343">
      <formula>$H195="CÉLULA CONSTRUTIVA"</formula>
    </cfRule>
  </conditionalFormatting>
  <conditionalFormatting sqref="N196">
    <cfRule type="expression" dxfId="2705" priority="3342">
      <formula>$H196="SUBETAPA"</formula>
    </cfRule>
    <cfRule type="expression" dxfId="2704" priority="3341">
      <formula>$H196="ETAPA"</formula>
    </cfRule>
  </conditionalFormatting>
  <conditionalFormatting sqref="N203">
    <cfRule type="expression" dxfId="2703" priority="3338">
      <formula>$H203="ETAPA"</formula>
    </cfRule>
    <cfRule type="expression" dxfId="2702" priority="3339">
      <formula>$H203="SUBETAPA"</formula>
    </cfRule>
  </conditionalFormatting>
  <conditionalFormatting sqref="N203:N205 G203:K203">
    <cfRule type="expression" dxfId="2701" priority="3340">
      <formula>$H203="CÉLULA CONSTRUTIVA"</formula>
    </cfRule>
  </conditionalFormatting>
  <conditionalFormatting sqref="N203:N205 G204:K204 M206:O211 G210:J212">
    <cfRule type="expression" dxfId="2700" priority="6809">
      <formula>$H203="SUBETAPA"</formula>
    </cfRule>
  </conditionalFormatting>
  <conditionalFormatting sqref="N204 L206 K206:K211 G210:J211 M206:O211">
    <cfRule type="expression" dxfId="2699" priority="3337">
      <formula>$H204="ETAPA"</formula>
    </cfRule>
  </conditionalFormatting>
  <conditionalFormatting sqref="N204">
    <cfRule type="expression" dxfId="2698" priority="3336">
      <formula>$H204="CÉLULA CONSTRUTIVA"</formula>
    </cfRule>
    <cfRule type="expression" dxfId="2697" priority="3335">
      <formula>$H204="SUBETAPA"</formula>
    </cfRule>
  </conditionalFormatting>
  <conditionalFormatting sqref="N205">
    <cfRule type="expression" dxfId="2696" priority="3334">
      <formula>$H205="SUBETAPA"</formula>
    </cfRule>
    <cfRule type="expression" dxfId="2695" priority="3333">
      <formula>$H205="ETAPA"</formula>
    </cfRule>
  </conditionalFormatting>
  <conditionalFormatting sqref="N212">
    <cfRule type="expression" dxfId="2694" priority="9710">
      <formula>$H212="SUBETAPA"</formula>
    </cfRule>
    <cfRule type="expression" dxfId="2693" priority="3331">
      <formula>$H212="SUBETAPA"</formula>
    </cfRule>
    <cfRule type="expression" dxfId="2692" priority="3330">
      <formula>$H212="ETAPA"</formula>
    </cfRule>
  </conditionalFormatting>
  <conditionalFormatting sqref="N213">
    <cfRule type="expression" dxfId="2691" priority="3329">
      <formula>$H213="CÉLULA CONSTRUTIVA"</formula>
    </cfRule>
  </conditionalFormatting>
  <conditionalFormatting sqref="N214">
    <cfRule type="expression" dxfId="2690" priority="3328">
      <formula>$H214="SUBETAPA"</formula>
    </cfRule>
    <cfRule type="expression" dxfId="2689" priority="3327">
      <formula>$H214="ETAPA"</formula>
    </cfRule>
  </conditionalFormatting>
  <conditionalFormatting sqref="N221">
    <cfRule type="expression" dxfId="2688" priority="3325">
      <formula>$H221="SUBETAPA"</formula>
    </cfRule>
    <cfRule type="expression" dxfId="2687" priority="3324">
      <formula>$H221="ETAPA"</formula>
    </cfRule>
  </conditionalFormatting>
  <conditionalFormatting sqref="N221:N272 G267:K268 G269:J272">
    <cfRule type="expression" dxfId="2686" priority="6242">
      <formula>$H221="SUBETAPA"</formula>
    </cfRule>
  </conditionalFormatting>
  <conditionalFormatting sqref="N222">
    <cfRule type="expression" dxfId="2685" priority="3323">
      <formula>$H222="CÉLULA CONSTRUTIVA"</formula>
    </cfRule>
  </conditionalFormatting>
  <conditionalFormatting sqref="N222:N227">
    <cfRule type="expression" dxfId="2684" priority="3322">
      <formula>$H222="SUBETAPA"</formula>
    </cfRule>
  </conditionalFormatting>
  <conditionalFormatting sqref="N228:N230 G228:J230">
    <cfRule type="expression" dxfId="2683" priority="3321">
      <formula>$H228="CÉLULA CONSTRUTIVA"</formula>
    </cfRule>
  </conditionalFormatting>
  <conditionalFormatting sqref="N228:N230">
    <cfRule type="expression" dxfId="2682" priority="3320">
      <formula>$H228="SUBETAPA"</formula>
    </cfRule>
    <cfRule type="expression" dxfId="2681" priority="3319">
      <formula>$H228="ETAPA"</formula>
    </cfRule>
  </conditionalFormatting>
  <conditionalFormatting sqref="N231">
    <cfRule type="expression" dxfId="2680" priority="3318">
      <formula>$H231="CÉLULA CONSTRUTIVA"</formula>
    </cfRule>
  </conditionalFormatting>
  <conditionalFormatting sqref="N231:N236">
    <cfRule type="expression" dxfId="2679" priority="3317">
      <formula>$H231="SUBETAPA"</formula>
    </cfRule>
  </conditionalFormatting>
  <conditionalFormatting sqref="N237:N239 G237:J239">
    <cfRule type="expression" dxfId="2678" priority="3316">
      <formula>$H237="CÉLULA CONSTRUTIVA"</formula>
    </cfRule>
  </conditionalFormatting>
  <conditionalFormatting sqref="N237:N239">
    <cfRule type="expression" dxfId="2677" priority="3315">
      <formula>$H237="SUBETAPA"</formula>
    </cfRule>
    <cfRule type="expression" dxfId="2676" priority="3314">
      <formula>$H237="ETAPA"</formula>
    </cfRule>
  </conditionalFormatting>
  <conditionalFormatting sqref="N240">
    <cfRule type="expression" dxfId="2675" priority="3313">
      <formula>$H240="CÉLULA CONSTRUTIVA"</formula>
    </cfRule>
  </conditionalFormatting>
  <conditionalFormatting sqref="N240:N245">
    <cfRule type="expression" dxfId="2674" priority="3312">
      <formula>$H240="SUBETAPA"</formula>
    </cfRule>
  </conditionalFormatting>
  <conditionalFormatting sqref="N246:N248 G246:J248">
    <cfRule type="expression" dxfId="2673" priority="3311">
      <formula>$H246="CÉLULA CONSTRUTIVA"</formula>
    </cfRule>
  </conditionalFormatting>
  <conditionalFormatting sqref="N246:N248">
    <cfRule type="expression" dxfId="2672" priority="3309">
      <formula>$H246="ETAPA"</formula>
    </cfRule>
    <cfRule type="expression" dxfId="2671" priority="3310">
      <formula>$H246="SUBETAPA"</formula>
    </cfRule>
  </conditionalFormatting>
  <conditionalFormatting sqref="N249">
    <cfRule type="expression" dxfId="2670" priority="3308">
      <formula>$H249="CÉLULA CONSTRUTIVA"</formula>
    </cfRule>
  </conditionalFormatting>
  <conditionalFormatting sqref="N249:N254">
    <cfRule type="expression" dxfId="2669" priority="3307">
      <formula>$H249="SUBETAPA"</formula>
    </cfRule>
  </conditionalFormatting>
  <conditionalFormatting sqref="N255:N257 G255:J257">
    <cfRule type="expression" dxfId="2668" priority="3306">
      <formula>$H255="CÉLULA CONSTRUTIVA"</formula>
    </cfRule>
  </conditionalFormatting>
  <conditionalFormatting sqref="N255:N257">
    <cfRule type="expression" dxfId="2667" priority="3305">
      <formula>$H255="SUBETAPA"</formula>
    </cfRule>
    <cfRule type="expression" dxfId="2666" priority="3304">
      <formula>$H255="ETAPA"</formula>
    </cfRule>
  </conditionalFormatting>
  <conditionalFormatting sqref="N258">
    <cfRule type="expression" dxfId="2665" priority="3303">
      <formula>$H258="CÉLULA CONSTRUTIVA"</formula>
    </cfRule>
  </conditionalFormatting>
  <conditionalFormatting sqref="N258:N263">
    <cfRule type="expression" dxfId="2664" priority="3302">
      <formula>$H258="SUBETAPA"</formula>
    </cfRule>
  </conditionalFormatting>
  <conditionalFormatting sqref="N264:N266 G264:J266">
    <cfRule type="expression" dxfId="2663" priority="3301">
      <formula>$H264="CÉLULA CONSTRUTIVA"</formula>
    </cfRule>
  </conditionalFormatting>
  <conditionalFormatting sqref="N264:N266">
    <cfRule type="expression" dxfId="2662" priority="3300">
      <formula>$H264="SUBETAPA"</formula>
    </cfRule>
    <cfRule type="expression" dxfId="2661" priority="3299">
      <formula>$H264="ETAPA"</formula>
    </cfRule>
  </conditionalFormatting>
  <conditionalFormatting sqref="N267">
    <cfRule type="expression" dxfId="2660" priority="3298">
      <formula>$H267="CÉLULA CONSTRUTIVA"</formula>
    </cfRule>
  </conditionalFormatting>
  <conditionalFormatting sqref="N267:N272">
    <cfRule type="expression" dxfId="2659" priority="3297">
      <formula>$H267="SUBETAPA"</formula>
    </cfRule>
  </conditionalFormatting>
  <conditionalFormatting sqref="N274">
    <cfRule type="expression" dxfId="2658" priority="3296">
      <formula>$H274="CÉLULA CONSTRUTIVA"</formula>
    </cfRule>
  </conditionalFormatting>
  <conditionalFormatting sqref="N280">
    <cfRule type="expression" dxfId="2657" priority="3294">
      <formula>$H280="SUBETAPA"</formula>
    </cfRule>
    <cfRule type="expression" dxfId="2656" priority="3295">
      <formula>$H280="CÉLULA CONSTRUTIVA"</formula>
    </cfRule>
  </conditionalFormatting>
  <conditionalFormatting sqref="N282 G141:J144 K141:K147">
    <cfRule type="expression" dxfId="2655" priority="3293">
      <formula>$H141="ETAPA"</formula>
    </cfRule>
  </conditionalFormatting>
  <conditionalFormatting sqref="N282">
    <cfRule type="expression" dxfId="2654" priority="3292">
      <formula>$H282="SUBETAPA"</formula>
    </cfRule>
  </conditionalFormatting>
  <conditionalFormatting sqref="N283">
    <cfRule type="expression" dxfId="2653" priority="3291">
      <formula>$H283="CÉLULA CONSTRUTIVA"</formula>
    </cfRule>
    <cfRule type="expression" dxfId="2652" priority="3290">
      <formula>$H283="SUBETAPA"</formula>
    </cfRule>
  </conditionalFormatting>
  <conditionalFormatting sqref="N283:N312 G309:K312">
    <cfRule type="expression" dxfId="2651" priority="9540">
      <formula>$H283="CÉLULA CONSTRUTIVA"</formula>
    </cfRule>
  </conditionalFormatting>
  <conditionalFormatting sqref="N284 L283:M283">
    <cfRule type="expression" dxfId="2650" priority="3289">
      <formula>$H283="SUBETAPA"</formula>
    </cfRule>
  </conditionalFormatting>
  <conditionalFormatting sqref="N284">
    <cfRule type="expression" dxfId="2649" priority="3288">
      <formula>$H284="ETAPA"</formula>
    </cfRule>
  </conditionalFormatting>
  <conditionalFormatting sqref="N285">
    <cfRule type="expression" dxfId="2648" priority="3287">
      <formula>$H285="CÉLULA CONSTRUTIVA"</formula>
    </cfRule>
    <cfRule type="expression" dxfId="2647" priority="3286">
      <formula>$H285="SUBETAPA"</formula>
    </cfRule>
  </conditionalFormatting>
  <conditionalFormatting sqref="N286 L285:M285">
    <cfRule type="expression" dxfId="2646" priority="3285">
      <formula>$H285="SUBETAPA"</formula>
    </cfRule>
  </conditionalFormatting>
  <conditionalFormatting sqref="N286">
    <cfRule type="expression" dxfId="2645" priority="3284">
      <formula>$H286="ETAPA"</formula>
    </cfRule>
  </conditionalFormatting>
  <conditionalFormatting sqref="N287">
    <cfRule type="expression" dxfId="2644" priority="3283">
      <formula>$H287="CÉLULA CONSTRUTIVA"</formula>
    </cfRule>
    <cfRule type="expression" dxfId="2643" priority="3282">
      <formula>$H287="SUBETAPA"</formula>
    </cfRule>
  </conditionalFormatting>
  <conditionalFormatting sqref="N288 L287:M287">
    <cfRule type="expression" dxfId="2642" priority="3281">
      <formula>$H287="SUBETAPA"</formula>
    </cfRule>
  </conditionalFormatting>
  <conditionalFormatting sqref="N288">
    <cfRule type="expression" dxfId="2641" priority="3280">
      <formula>$H288="ETAPA"</formula>
    </cfRule>
  </conditionalFormatting>
  <conditionalFormatting sqref="N289">
    <cfRule type="expression" dxfId="2640" priority="3279">
      <formula>$H289="CÉLULA CONSTRUTIVA"</formula>
    </cfRule>
    <cfRule type="expression" dxfId="2639" priority="3278">
      <formula>$H289="SUBETAPA"</formula>
    </cfRule>
  </conditionalFormatting>
  <conditionalFormatting sqref="N290 L289:M289">
    <cfRule type="expression" dxfId="2638" priority="3277">
      <formula>$H289="SUBETAPA"</formula>
    </cfRule>
  </conditionalFormatting>
  <conditionalFormatting sqref="N290">
    <cfRule type="expression" dxfId="2637" priority="3276">
      <formula>$H290="ETAPA"</formula>
    </cfRule>
  </conditionalFormatting>
  <conditionalFormatting sqref="N291">
    <cfRule type="expression" dxfId="2636" priority="3274">
      <formula>$H291="SUBETAPA"</formula>
    </cfRule>
    <cfRule type="expression" dxfId="2635" priority="3275">
      <formula>$H291="CÉLULA CONSTRUTIVA"</formula>
    </cfRule>
  </conditionalFormatting>
  <conditionalFormatting sqref="N292 L291:M291">
    <cfRule type="expression" dxfId="2634" priority="3273">
      <formula>$H291="SUBETAPA"</formula>
    </cfRule>
  </conditionalFormatting>
  <conditionalFormatting sqref="N292">
    <cfRule type="expression" dxfId="2633" priority="3272">
      <formula>$H292="ETAPA"</formula>
    </cfRule>
  </conditionalFormatting>
  <conditionalFormatting sqref="N293">
    <cfRule type="expression" dxfId="2632" priority="3271">
      <formula>$H293="CÉLULA CONSTRUTIVA"</formula>
    </cfRule>
    <cfRule type="expression" dxfId="2631" priority="3270">
      <formula>$H293="SUBETAPA"</formula>
    </cfRule>
  </conditionalFormatting>
  <conditionalFormatting sqref="N294 L293:M293">
    <cfRule type="expression" dxfId="2630" priority="3269">
      <formula>$H293="SUBETAPA"</formula>
    </cfRule>
  </conditionalFormatting>
  <conditionalFormatting sqref="N294">
    <cfRule type="expression" dxfId="2629" priority="3268">
      <formula>$H294="ETAPA"</formula>
    </cfRule>
  </conditionalFormatting>
  <conditionalFormatting sqref="N295">
    <cfRule type="expression" dxfId="2628" priority="3267">
      <formula>$H295="CÉLULA CONSTRUTIVA"</formula>
    </cfRule>
    <cfRule type="expression" dxfId="2627" priority="3266">
      <formula>$H295="SUBETAPA"</formula>
    </cfRule>
  </conditionalFormatting>
  <conditionalFormatting sqref="N296">
    <cfRule type="expression" dxfId="2626" priority="3265">
      <formula>$H296="ETAPA"</formula>
    </cfRule>
  </conditionalFormatting>
  <conditionalFormatting sqref="N297">
    <cfRule type="expression" dxfId="2625" priority="3264">
      <formula>$H297="CÉLULA CONSTRUTIVA"</formula>
    </cfRule>
    <cfRule type="expression" dxfId="2624" priority="3263">
      <formula>$H297="SUBETAPA"</formula>
    </cfRule>
  </conditionalFormatting>
  <conditionalFormatting sqref="N298 L297:M297">
    <cfRule type="expression" dxfId="2623" priority="3262">
      <formula>$H297="SUBETAPA"</formula>
    </cfRule>
  </conditionalFormatting>
  <conditionalFormatting sqref="N298">
    <cfRule type="expression" dxfId="2622" priority="3261">
      <formula>$H298="ETAPA"</formula>
    </cfRule>
  </conditionalFormatting>
  <conditionalFormatting sqref="N299">
    <cfRule type="expression" dxfId="2621" priority="3260">
      <formula>$H299="CÉLULA CONSTRUTIVA"</formula>
    </cfRule>
    <cfRule type="expression" dxfId="2620" priority="3259">
      <formula>$H299="SUBETAPA"</formula>
    </cfRule>
  </conditionalFormatting>
  <conditionalFormatting sqref="N300 L299:M299">
    <cfRule type="expression" dxfId="2619" priority="3258">
      <formula>$H299="SUBETAPA"</formula>
    </cfRule>
  </conditionalFormatting>
  <conditionalFormatting sqref="N300">
    <cfRule type="expression" dxfId="2618" priority="3257">
      <formula>$H300="ETAPA"</formula>
    </cfRule>
  </conditionalFormatting>
  <conditionalFormatting sqref="N301">
    <cfRule type="expression" dxfId="2617" priority="3256">
      <formula>$H301="CÉLULA CONSTRUTIVA"</formula>
    </cfRule>
    <cfRule type="expression" dxfId="2616" priority="3255">
      <formula>$H301="SUBETAPA"</formula>
    </cfRule>
  </conditionalFormatting>
  <conditionalFormatting sqref="N302 L301:M301">
    <cfRule type="expression" dxfId="2615" priority="3254">
      <formula>$H301="SUBETAPA"</formula>
    </cfRule>
  </conditionalFormatting>
  <conditionalFormatting sqref="N302">
    <cfRule type="expression" dxfId="2614" priority="3253">
      <formula>$H302="ETAPA"</formula>
    </cfRule>
  </conditionalFormatting>
  <conditionalFormatting sqref="N303">
    <cfRule type="expression" dxfId="2613" priority="3252">
      <formula>$H303="CÉLULA CONSTRUTIVA"</formula>
    </cfRule>
    <cfRule type="expression" dxfId="2612" priority="3251">
      <formula>$H303="SUBETAPA"</formula>
    </cfRule>
  </conditionalFormatting>
  <conditionalFormatting sqref="N304">
    <cfRule type="expression" dxfId="2611" priority="3250">
      <formula>$H304="ETAPA"</formula>
    </cfRule>
    <cfRule type="expression" dxfId="2610" priority="3249">
      <formula>$H304="SUBETAPA"</formula>
    </cfRule>
  </conditionalFormatting>
  <conditionalFormatting sqref="N305">
    <cfRule type="expression" dxfId="2609" priority="3248">
      <formula>$H305="CÉLULA CONSTRUTIVA"</formula>
    </cfRule>
    <cfRule type="expression" dxfId="2608" priority="3247">
      <formula>$H305="SUBETAPA"</formula>
    </cfRule>
  </conditionalFormatting>
  <conditionalFormatting sqref="N306 L305:M305">
    <cfRule type="expression" dxfId="2607" priority="3246">
      <formula>$H305="SUBETAPA"</formula>
    </cfRule>
  </conditionalFormatting>
  <conditionalFormatting sqref="N306">
    <cfRule type="expression" dxfId="2606" priority="3245">
      <formula>$H306="ETAPA"</formula>
    </cfRule>
  </conditionalFormatting>
  <conditionalFormatting sqref="N307">
    <cfRule type="expression" dxfId="2605" priority="3243">
      <formula>$H307="SUBETAPA"</formula>
    </cfRule>
    <cfRule type="expression" dxfId="2604" priority="3244">
      <formula>$H307="CÉLULA CONSTRUTIVA"</formula>
    </cfRule>
  </conditionalFormatting>
  <conditionalFormatting sqref="N307:N310 G309:K310">
    <cfRule type="expression" dxfId="2603" priority="9545">
      <formula>$H307="ETAPA"</formula>
    </cfRule>
  </conditionalFormatting>
  <conditionalFormatting sqref="N308">
    <cfRule type="expression" dxfId="2602" priority="3241">
      <formula>$H308="SUBETAPA"</formula>
    </cfRule>
    <cfRule type="expression" dxfId="2601" priority="3242">
      <formula>$H308="ETAPA"</formula>
    </cfRule>
  </conditionalFormatting>
  <conditionalFormatting sqref="N309">
    <cfRule type="expression" dxfId="2600" priority="3240">
      <formula>$H309="CÉLULA CONSTRUTIVA"</formula>
    </cfRule>
    <cfRule type="expression" dxfId="2599" priority="3239">
      <formula>$H309="SUBETAPA"</formula>
    </cfRule>
  </conditionalFormatting>
  <conditionalFormatting sqref="N310 L309:M309">
    <cfRule type="expression" dxfId="2598" priority="3238">
      <formula>$H309="SUBETAPA"</formula>
    </cfRule>
  </conditionalFormatting>
  <conditionalFormatting sqref="N310">
    <cfRule type="expression" dxfId="2597" priority="3237">
      <formula>$H310="ETAPA"</formula>
    </cfRule>
  </conditionalFormatting>
  <conditionalFormatting sqref="N311">
    <cfRule type="expression" dxfId="2596" priority="3236">
      <formula>$H311="CÉLULA CONSTRUTIVA"</formula>
    </cfRule>
    <cfRule type="expression" dxfId="2595" priority="3235">
      <formula>$H311="SUBETAPA"</formula>
    </cfRule>
  </conditionalFormatting>
  <conditionalFormatting sqref="N313">
    <cfRule type="expression" dxfId="2594" priority="3234">
      <formula>$H313="CÉLULA CONSTRUTIVA"</formula>
    </cfRule>
    <cfRule type="expression" dxfId="2593" priority="3233">
      <formula>$H313="SUBETAPA"</formula>
    </cfRule>
  </conditionalFormatting>
  <conditionalFormatting sqref="N314">
    <cfRule type="expression" dxfId="2592" priority="3232">
      <formula>$H314="CÉLULA CONSTRUTIVA"</formula>
    </cfRule>
    <cfRule type="expression" dxfId="2591" priority="3231">
      <formula>$H314="SUBETAPA"</formula>
    </cfRule>
  </conditionalFormatting>
  <conditionalFormatting sqref="N315">
    <cfRule type="expression" dxfId="2590" priority="3230">
      <formula>$H315="ETAPA"</formula>
    </cfRule>
    <cfRule type="expression" dxfId="2589" priority="3229">
      <formula>$H315="CÉLULA CONSTRUTIVA"</formula>
    </cfRule>
    <cfRule type="expression" dxfId="2588" priority="3228">
      <formula>$H315="SUBETAPA"</formula>
    </cfRule>
  </conditionalFormatting>
  <conditionalFormatting sqref="N316">
    <cfRule type="expression" dxfId="2587" priority="3227">
      <formula>$H316="CÉLULA CONSTRUTIVA"</formula>
    </cfRule>
    <cfRule type="expression" dxfId="2586" priority="3226">
      <formula>$H316="SUBETAPA"</formula>
    </cfRule>
  </conditionalFormatting>
  <conditionalFormatting sqref="N317">
    <cfRule type="expression" dxfId="2585" priority="9775">
      <formula>$H317="CÉLULA CONSTRUTIVA"</formula>
    </cfRule>
    <cfRule type="expression" dxfId="2584" priority="9776">
      <formula>$H317="SUBETAPA"</formula>
    </cfRule>
    <cfRule type="expression" dxfId="2583" priority="3224">
      <formula>$H317="CÉLULA CONSTRUTIVA"</formula>
    </cfRule>
    <cfRule type="expression" dxfId="2582" priority="3223">
      <formula>$H317="SUBETAPA"</formula>
    </cfRule>
    <cfRule type="expression" dxfId="2581" priority="3225">
      <formula>$H317="ETAPA"</formula>
    </cfRule>
  </conditionalFormatting>
  <conditionalFormatting sqref="N318">
    <cfRule type="expression" dxfId="2580" priority="3222">
      <formula>$H318="CÉLULA CONSTRUTIVA"</formula>
    </cfRule>
    <cfRule type="expression" dxfId="2579" priority="3221">
      <formula>$H318="SUBETAPA"</formula>
    </cfRule>
  </conditionalFormatting>
  <conditionalFormatting sqref="N319">
    <cfRule type="expression" dxfId="2578" priority="3219">
      <formula>$H319="CÉLULA CONSTRUTIVA"</formula>
    </cfRule>
    <cfRule type="expression" dxfId="2577" priority="3218">
      <formula>$H319="SUBETAPA"</formula>
    </cfRule>
    <cfRule type="expression" dxfId="2576" priority="3220">
      <formula>$H319="ETAPA"</formula>
    </cfRule>
  </conditionalFormatting>
  <conditionalFormatting sqref="N320">
    <cfRule type="expression" dxfId="2575" priority="3217">
      <formula>$H320="CÉLULA CONSTRUTIVA"</formula>
    </cfRule>
    <cfRule type="expression" dxfId="2574" priority="3216">
      <formula>$H320="SUBETAPA"</formula>
    </cfRule>
  </conditionalFormatting>
  <conditionalFormatting sqref="N321">
    <cfRule type="expression" dxfId="2573" priority="9773">
      <formula>$H321="SUBETAPA"</formula>
    </cfRule>
    <cfRule type="expression" dxfId="2572" priority="9772">
      <formula>$H321="CÉLULA CONSTRUTIVA"</formula>
    </cfRule>
    <cfRule type="expression" dxfId="2571" priority="3215">
      <formula>$H321="ETAPA"</formula>
    </cfRule>
    <cfRule type="expression" dxfId="2570" priority="3214">
      <formula>$H321="CÉLULA CONSTRUTIVA"</formula>
    </cfRule>
    <cfRule type="expression" dxfId="2569" priority="3213">
      <formula>$H321="SUBETAPA"</formula>
    </cfRule>
  </conditionalFormatting>
  <conditionalFormatting sqref="N322">
    <cfRule type="expression" dxfId="2568" priority="3212">
      <formula>$H322="CÉLULA CONSTRUTIVA"</formula>
    </cfRule>
    <cfRule type="expression" dxfId="2567" priority="3211">
      <formula>$H322="SUBETAPA"</formula>
    </cfRule>
  </conditionalFormatting>
  <conditionalFormatting sqref="N323">
    <cfRule type="expression" dxfId="2566" priority="3210">
      <formula>$H323="ETAPA"</formula>
    </cfRule>
    <cfRule type="expression" dxfId="2565" priority="3209">
      <formula>$H323="CÉLULA CONSTRUTIVA"</formula>
    </cfRule>
    <cfRule type="expression" dxfId="2564" priority="3208">
      <formula>$H323="SUBETAPA"</formula>
    </cfRule>
  </conditionalFormatting>
  <conditionalFormatting sqref="N324">
    <cfRule type="expression" dxfId="2563" priority="3207">
      <formula>$H324="CÉLULA CONSTRUTIVA"</formula>
    </cfRule>
    <cfRule type="expression" dxfId="2562" priority="3206">
      <formula>$H324="SUBETAPA"</formula>
    </cfRule>
    <cfRule type="expression" dxfId="2561" priority="3205">
      <formula>$H324="ETAPA"</formula>
    </cfRule>
  </conditionalFormatting>
  <conditionalFormatting sqref="N325">
    <cfRule type="expression" dxfId="2560" priority="9769">
      <formula>$H325="CÉLULA CONSTRUTIVA"</formula>
    </cfRule>
    <cfRule type="expression" dxfId="2559" priority="9770">
      <formula>$H325="SUBETAPA"</formula>
    </cfRule>
    <cfRule type="expression" dxfId="2558" priority="3204">
      <formula>$H325="ETAPA"</formula>
    </cfRule>
    <cfRule type="expression" dxfId="2557" priority="3203">
      <formula>$H325="CÉLULA CONSTRUTIVA"</formula>
    </cfRule>
    <cfRule type="expression" dxfId="2556" priority="3202">
      <formula>$H325="SUBETAPA"</formula>
    </cfRule>
  </conditionalFormatting>
  <conditionalFormatting sqref="N326">
    <cfRule type="expression" dxfId="2555" priority="3201">
      <formula>$H326="CÉLULA CONSTRUTIVA"</formula>
    </cfRule>
    <cfRule type="expression" dxfId="2554" priority="3200">
      <formula>$H326="SUBETAPA"</formula>
    </cfRule>
  </conditionalFormatting>
  <conditionalFormatting sqref="N327">
    <cfRule type="expression" dxfId="2553" priority="3199">
      <formula>$H327="ETAPA"</formula>
    </cfRule>
    <cfRule type="expression" dxfId="2552" priority="3197">
      <formula>$H327="SUBETAPA"</formula>
    </cfRule>
    <cfRule type="expression" dxfId="2551" priority="3198">
      <formula>$H327="CÉLULA CONSTRUTIVA"</formula>
    </cfRule>
  </conditionalFormatting>
  <conditionalFormatting sqref="N327:N329 G327:L329">
    <cfRule type="expression" dxfId="2550" priority="9455">
      <formula>$H327="CÉLULA CONSTRUTIVA"</formula>
    </cfRule>
  </conditionalFormatting>
  <conditionalFormatting sqref="N328">
    <cfRule type="expression" dxfId="2549" priority="3195">
      <formula>$H328="SUBETAPA"</formula>
    </cfRule>
    <cfRule type="expression" dxfId="2548" priority="3196">
      <formula>$H328="CÉLULA CONSTRUTIVA"</formula>
    </cfRule>
  </conditionalFormatting>
  <conditionalFormatting sqref="N329">
    <cfRule type="expression" dxfId="2547" priority="3194">
      <formula>$H329="ETAPA"</formula>
    </cfRule>
    <cfRule type="expression" dxfId="2546" priority="3193">
      <formula>$H329="CÉLULA CONSTRUTIVA"</formula>
    </cfRule>
    <cfRule type="expression" dxfId="2545" priority="3192">
      <formula>$H329="SUBETAPA"</formula>
    </cfRule>
  </conditionalFormatting>
  <conditionalFormatting sqref="N330">
    <cfRule type="expression" dxfId="2544" priority="3191">
      <formula>$H330="CÉLULA CONSTRUTIVA"</formula>
    </cfRule>
    <cfRule type="expression" dxfId="2543" priority="3190">
      <formula>$H330="SUBETAPA"</formula>
    </cfRule>
    <cfRule type="expression" dxfId="2542" priority="3189">
      <formula>$H330="ETAPA"</formula>
    </cfRule>
  </conditionalFormatting>
  <conditionalFormatting sqref="N331">
    <cfRule type="expression" dxfId="2541" priority="3187">
      <formula>$H331="CÉLULA CONSTRUTIVA"</formula>
    </cfRule>
    <cfRule type="expression" dxfId="2540" priority="3188">
      <formula>$H331="ETAPA"</formula>
    </cfRule>
    <cfRule type="expression" dxfId="2539" priority="3186">
      <formula>$H331="SUBETAPA"</formula>
    </cfRule>
    <cfRule type="expression" dxfId="2538" priority="9767">
      <formula>$H331="SUBETAPA"</formula>
    </cfRule>
  </conditionalFormatting>
  <conditionalFormatting sqref="N332">
    <cfRule type="expression" dxfId="2537" priority="3184">
      <formula>$H332="SUBETAPA"</formula>
    </cfRule>
    <cfRule type="expression" dxfId="2536" priority="3185">
      <formula>$H332="CÉLULA CONSTRUTIVA"</formula>
    </cfRule>
    <cfRule type="expression" dxfId="2535" priority="3183">
      <formula>$H332="ETAPA"</formula>
    </cfRule>
  </conditionalFormatting>
  <conditionalFormatting sqref="N333">
    <cfRule type="expression" dxfId="2534" priority="3182">
      <formula>$H333="ETAPA"</formula>
    </cfRule>
    <cfRule type="expression" dxfId="2533" priority="3180">
      <formula>$H333="SUBETAPA"</formula>
    </cfRule>
    <cfRule type="expression" dxfId="2532" priority="3181">
      <formula>$H333="CÉLULA CONSTRUTIVA"</formula>
    </cfRule>
  </conditionalFormatting>
  <conditionalFormatting sqref="N334">
    <cfRule type="expression" dxfId="2531" priority="3179">
      <formula>$H334="CÉLULA CONSTRUTIVA"</formula>
    </cfRule>
    <cfRule type="expression" dxfId="2530" priority="3178">
      <formula>$H334="SUBETAPA"</formula>
    </cfRule>
    <cfRule type="expression" dxfId="2529" priority="3177">
      <formula>$H334="ETAPA"</formula>
    </cfRule>
  </conditionalFormatting>
  <conditionalFormatting sqref="N335">
    <cfRule type="expression" dxfId="2528" priority="3176">
      <formula>$H335="ETAPA"</formula>
    </cfRule>
    <cfRule type="expression" dxfId="2527" priority="3175">
      <formula>$H335="CÉLULA CONSTRUTIVA"</formula>
    </cfRule>
    <cfRule type="expression" dxfId="2526" priority="3174">
      <formula>$H335="SUBETAPA"</formula>
    </cfRule>
    <cfRule type="expression" dxfId="2525" priority="9764">
      <formula>$H335="SUBETAPA"</formula>
    </cfRule>
  </conditionalFormatting>
  <conditionalFormatting sqref="N336">
    <cfRule type="expression" dxfId="2524" priority="3171">
      <formula>$H336="ETAPA"</formula>
    </cfRule>
    <cfRule type="expression" dxfId="2523" priority="3173">
      <formula>$H336="CÉLULA CONSTRUTIVA"</formula>
    </cfRule>
    <cfRule type="expression" dxfId="2522" priority="3172">
      <formula>$H336="SUBETAPA"</formula>
    </cfRule>
  </conditionalFormatting>
  <conditionalFormatting sqref="N337">
    <cfRule type="expression" dxfId="2521" priority="3169">
      <formula>$H337="CÉLULA CONSTRUTIVA"</formula>
    </cfRule>
    <cfRule type="expression" dxfId="2520" priority="3170">
      <formula>$H337="ETAPA"</formula>
    </cfRule>
    <cfRule type="expression" dxfId="2519" priority="3168">
      <formula>$H337="SUBETAPA"</formula>
    </cfRule>
  </conditionalFormatting>
  <conditionalFormatting sqref="N338">
    <cfRule type="expression" dxfId="2518" priority="3166">
      <formula>$H338="SUBETAPA"</formula>
    </cfRule>
    <cfRule type="expression" dxfId="2517" priority="3167">
      <formula>$H338="CÉLULA CONSTRUTIVA"</formula>
    </cfRule>
    <cfRule type="expression" dxfId="2516" priority="3165">
      <formula>$H338="ETAPA"</formula>
    </cfRule>
  </conditionalFormatting>
  <conditionalFormatting sqref="N339">
    <cfRule type="expression" dxfId="2515" priority="3162">
      <formula>$H339="SUBETAPA"</formula>
    </cfRule>
    <cfRule type="expression" dxfId="2514" priority="3163">
      <formula>$H339="CÉLULA CONSTRUTIVA"</formula>
    </cfRule>
    <cfRule type="expression" dxfId="2513" priority="3164">
      <formula>$H339="ETAPA"</formula>
    </cfRule>
    <cfRule type="expression" dxfId="2512" priority="9761">
      <formula>$H339="SUBETAPA"</formula>
    </cfRule>
  </conditionalFormatting>
  <conditionalFormatting sqref="N340">
    <cfRule type="expression" dxfId="2511" priority="3161">
      <formula>$H340="CÉLULA CONSTRUTIVA"</formula>
    </cfRule>
    <cfRule type="expression" dxfId="2510" priority="3160">
      <formula>$H340="SUBETAPA"</formula>
    </cfRule>
  </conditionalFormatting>
  <conditionalFormatting sqref="N341">
    <cfRule type="expression" dxfId="2509" priority="3157">
      <formula>$H341="SUBETAPA"</formula>
    </cfRule>
    <cfRule type="expression" dxfId="2508" priority="3159">
      <formula>$H341="ETAPA"</formula>
    </cfRule>
    <cfRule type="expression" dxfId="2507" priority="3158">
      <formula>$H341="CÉLULA CONSTRUTIVA"</formula>
    </cfRule>
  </conditionalFormatting>
  <conditionalFormatting sqref="N342">
    <cfRule type="expression" dxfId="2506" priority="3156">
      <formula>$H342="CÉLULA CONSTRUTIVA"</formula>
    </cfRule>
    <cfRule type="expression" dxfId="2505" priority="3154">
      <formula>$H342="ETAPA"</formula>
    </cfRule>
    <cfRule type="expression" dxfId="2504" priority="3155">
      <formula>$H342="SUBETAPA"</formula>
    </cfRule>
  </conditionalFormatting>
  <conditionalFormatting sqref="N343">
    <cfRule type="expression" dxfId="2503" priority="3151">
      <formula>$H343="SUBETAPA"</formula>
    </cfRule>
    <cfRule type="expression" dxfId="2502" priority="3152">
      <formula>$H343="CÉLULA CONSTRUTIVA"</formula>
    </cfRule>
    <cfRule type="expression" dxfId="2501" priority="3153">
      <formula>$H343="ETAPA"</formula>
    </cfRule>
    <cfRule type="expression" dxfId="2500" priority="9758">
      <formula>$H343="SUBETAPA"</formula>
    </cfRule>
  </conditionalFormatting>
  <conditionalFormatting sqref="N344">
    <cfRule type="expression" dxfId="2499" priority="3150">
      <formula>$H344="CÉLULA CONSTRUTIVA"</formula>
    </cfRule>
    <cfRule type="expression" dxfId="2498" priority="3149">
      <formula>$H344="SUBETAPA"</formula>
    </cfRule>
  </conditionalFormatting>
  <conditionalFormatting sqref="N346">
    <cfRule type="expression" dxfId="2497" priority="3148">
      <formula>$H346="CÉLULA CONSTRUTIVA"</formula>
    </cfRule>
    <cfRule type="expression" dxfId="2496" priority="3147">
      <formula>$H346="SUBETAPA"</formula>
    </cfRule>
  </conditionalFormatting>
  <conditionalFormatting sqref="N347">
    <cfRule type="expression" dxfId="2495" priority="3146">
      <formula>$H347="CÉLULA CONSTRUTIVA"</formula>
    </cfRule>
    <cfRule type="expression" dxfId="2494" priority="3145">
      <formula>$H347="SUBETAPA"</formula>
    </cfRule>
  </conditionalFormatting>
  <conditionalFormatting sqref="N348 O400:O408 O413:O421 O426:O434 O439:O447 O452:O460 O465:O473 O478:O486 O491:O499 O504:O512 O517:O525 O543:O551 O530:O538 J1336 J1252 J1227 J1220 J1213">
    <cfRule type="expression" dxfId="2493" priority="3144">
      <formula>$H348="ETAPA"</formula>
    </cfRule>
    <cfRule type="expression" dxfId="2492" priority="3143">
      <formula>$H348="SUBETAPA"</formula>
    </cfRule>
  </conditionalFormatting>
  <conditionalFormatting sqref="N349">
    <cfRule type="expression" dxfId="2491" priority="3142">
      <formula>$H349="CÉLULA CONSTRUTIVA"</formula>
    </cfRule>
    <cfRule type="expression" dxfId="2490" priority="3141">
      <formula>$H349="SUBETAPA"</formula>
    </cfRule>
  </conditionalFormatting>
  <conditionalFormatting sqref="N349:N378 M358:M359">
    <cfRule type="expression" dxfId="2489" priority="4979">
      <formula>$H349="CÉLULA CONSTRUTIVA"</formula>
    </cfRule>
  </conditionalFormatting>
  <conditionalFormatting sqref="N349:N1881">
    <cfRule type="expression" dxfId="2488" priority="9645">
      <formula>$H349="SUBETAPA"</formula>
    </cfRule>
  </conditionalFormatting>
  <conditionalFormatting sqref="N350">
    <cfRule type="expression" dxfId="2487" priority="3140">
      <formula>$H350="ETAPA"</formula>
    </cfRule>
    <cfRule type="expression" dxfId="2486" priority="3139">
      <formula>$H350="SUBETAPA"</formula>
    </cfRule>
  </conditionalFormatting>
  <conditionalFormatting sqref="N351">
    <cfRule type="expression" dxfId="2485" priority="3138">
      <formula>$H351="CÉLULA CONSTRUTIVA"</formula>
    </cfRule>
    <cfRule type="expression" dxfId="2484" priority="3137">
      <formula>$H351="SUBETAPA"</formula>
    </cfRule>
  </conditionalFormatting>
  <conditionalFormatting sqref="N353">
    <cfRule type="expression" dxfId="2483" priority="3136">
      <formula>$H353="CÉLULA CONSTRUTIVA"</formula>
    </cfRule>
    <cfRule type="expression" dxfId="2482" priority="3135">
      <formula>$H353="SUBETAPA"</formula>
    </cfRule>
  </conditionalFormatting>
  <conditionalFormatting sqref="N354">
    <cfRule type="expression" dxfId="2481" priority="3134">
      <formula>$H354="ETAPA"</formula>
    </cfRule>
    <cfRule type="expression" dxfId="2480" priority="3133">
      <formula>$H354="SUBETAPA"</formula>
    </cfRule>
  </conditionalFormatting>
  <conditionalFormatting sqref="N355">
    <cfRule type="expression" dxfId="2479" priority="3132">
      <formula>$H355="CÉLULA CONSTRUTIVA"</formula>
    </cfRule>
    <cfRule type="expression" dxfId="2478" priority="3131">
      <formula>$H355="SUBETAPA"</formula>
    </cfRule>
  </conditionalFormatting>
  <conditionalFormatting sqref="N356">
    <cfRule type="expression" dxfId="2477" priority="3130">
      <formula>$H356="ETAPA"</formula>
    </cfRule>
    <cfRule type="expression" dxfId="2476" priority="3129">
      <formula>$H356="SUBETAPA"</formula>
    </cfRule>
  </conditionalFormatting>
  <conditionalFormatting sqref="N357">
    <cfRule type="expression" dxfId="2475" priority="3128">
      <formula>$H357="CÉLULA CONSTRUTIVA"</formula>
    </cfRule>
    <cfRule type="expression" dxfId="2474" priority="3127">
      <formula>$H357="SUBETAPA"</formula>
    </cfRule>
  </conditionalFormatting>
  <conditionalFormatting sqref="N358">
    <cfRule type="expression" dxfId="2473" priority="3126">
      <formula>$H358="ETAPA"</formula>
    </cfRule>
    <cfRule type="expression" dxfId="2472" priority="3125">
      <formula>$H358="SUBETAPA"</formula>
    </cfRule>
  </conditionalFormatting>
  <conditionalFormatting sqref="N359">
    <cfRule type="expression" dxfId="2471" priority="3124">
      <formula>$H359="CÉLULA CONSTRUTIVA"</formula>
    </cfRule>
    <cfRule type="expression" dxfId="2470" priority="3123">
      <formula>$H359="SUBETAPA"</formula>
    </cfRule>
  </conditionalFormatting>
  <conditionalFormatting sqref="N360">
    <cfRule type="expression" dxfId="2469" priority="3122">
      <formula>$H360="ETAPA"</formula>
    </cfRule>
  </conditionalFormatting>
  <conditionalFormatting sqref="N361">
    <cfRule type="expression" dxfId="2468" priority="3121">
      <formula>$H361="CÉLULA CONSTRUTIVA"</formula>
    </cfRule>
    <cfRule type="expression" dxfId="2467" priority="3120">
      <formula>$H361="SUBETAPA"</formula>
    </cfRule>
  </conditionalFormatting>
  <conditionalFormatting sqref="N362">
    <cfRule type="expression" dxfId="2466" priority="3118">
      <formula>$H362="SUBETAPA"</formula>
    </cfRule>
    <cfRule type="expression" dxfId="2465" priority="3119">
      <formula>$H362="ETAPA"</formula>
    </cfRule>
  </conditionalFormatting>
  <conditionalFormatting sqref="N363">
    <cfRule type="expression" dxfId="2464" priority="3117">
      <formula>$H363="CÉLULA CONSTRUTIVA"</formula>
    </cfRule>
    <cfRule type="expression" dxfId="2463" priority="3116">
      <formula>$H363="SUBETAPA"</formula>
    </cfRule>
  </conditionalFormatting>
  <conditionalFormatting sqref="N364">
    <cfRule type="expression" dxfId="2462" priority="3115">
      <formula>$H364="ETAPA"</formula>
    </cfRule>
    <cfRule type="expression" dxfId="2461" priority="3114">
      <formula>$H364="SUBETAPA"</formula>
    </cfRule>
  </conditionalFormatting>
  <conditionalFormatting sqref="N365">
    <cfRule type="expression" dxfId="2460" priority="3113">
      <formula>$H365="CÉLULA CONSTRUTIVA"</formula>
    </cfRule>
    <cfRule type="expression" dxfId="2459" priority="3112">
      <formula>$H365="SUBETAPA"</formula>
    </cfRule>
  </conditionalFormatting>
  <conditionalFormatting sqref="N366">
    <cfRule type="expression" dxfId="2458" priority="3111">
      <formula>$H366="ETAPA"</formula>
    </cfRule>
    <cfRule type="expression" dxfId="2457" priority="3110">
      <formula>$H366="SUBETAPA"</formula>
    </cfRule>
  </conditionalFormatting>
  <conditionalFormatting sqref="N367">
    <cfRule type="expression" dxfId="2456" priority="3109">
      <formula>$H367="CÉLULA CONSTRUTIVA"</formula>
    </cfRule>
    <cfRule type="expression" dxfId="2455" priority="3108">
      <formula>$H367="SUBETAPA"</formula>
    </cfRule>
  </conditionalFormatting>
  <conditionalFormatting sqref="N368">
    <cfRule type="expression" dxfId="2454" priority="3107">
      <formula>$H368="ETAPA"</formula>
    </cfRule>
    <cfRule type="expression" dxfId="2453" priority="3106">
      <formula>$H368="SUBETAPA"</formula>
    </cfRule>
  </conditionalFormatting>
  <conditionalFormatting sqref="N369">
    <cfRule type="expression" dxfId="2452" priority="3104">
      <formula>$H369="SUBETAPA"</formula>
    </cfRule>
    <cfRule type="expression" dxfId="2451" priority="3105">
      <formula>$H369="CÉLULA CONSTRUTIVA"</formula>
    </cfRule>
  </conditionalFormatting>
  <conditionalFormatting sqref="N370">
    <cfRule type="expression" dxfId="2450" priority="3103">
      <formula>$H370="ETAPA"</formula>
    </cfRule>
    <cfRule type="expression" dxfId="2449" priority="3102">
      <formula>$H370="SUBETAPA"</formula>
    </cfRule>
  </conditionalFormatting>
  <conditionalFormatting sqref="N371">
    <cfRule type="expression" dxfId="2448" priority="3101">
      <formula>$H371="CÉLULA CONSTRUTIVA"</formula>
    </cfRule>
    <cfRule type="expression" dxfId="2447" priority="3100">
      <formula>$H371="SUBETAPA"</formula>
    </cfRule>
  </conditionalFormatting>
  <conditionalFormatting sqref="N372 M371">
    <cfRule type="expression" dxfId="2446" priority="3099">
      <formula>$H371="SUBETAPA"</formula>
    </cfRule>
  </conditionalFormatting>
  <conditionalFormatting sqref="N372">
    <cfRule type="expression" dxfId="2445" priority="4954">
      <formula>$H372="CÉLULA CONSTRUTIVA"</formula>
    </cfRule>
    <cfRule type="expression" dxfId="2444" priority="3098">
      <formula>$H372="ETAPA"</formula>
    </cfRule>
  </conditionalFormatting>
  <conditionalFormatting sqref="N373">
    <cfRule type="expression" dxfId="2443" priority="3097">
      <formula>$H373="CÉLULA CONSTRUTIVA"</formula>
    </cfRule>
    <cfRule type="expression" dxfId="2442" priority="3096">
      <formula>$H373="SUBETAPA"</formula>
    </cfRule>
  </conditionalFormatting>
  <conditionalFormatting sqref="N374">
    <cfRule type="expression" dxfId="2441" priority="3095">
      <formula>$H374="ETAPA"</formula>
    </cfRule>
  </conditionalFormatting>
  <conditionalFormatting sqref="N375">
    <cfRule type="expression" dxfId="2440" priority="3094">
      <formula>$H375="CÉLULA CONSTRUTIVA"</formula>
    </cfRule>
    <cfRule type="expression" dxfId="2439" priority="3093">
      <formula>$H375="SUBETAPA"</formula>
    </cfRule>
  </conditionalFormatting>
  <conditionalFormatting sqref="N376">
    <cfRule type="expression" dxfId="2438" priority="3092">
      <formula>$H376="ETAPA"</formula>
    </cfRule>
  </conditionalFormatting>
  <conditionalFormatting sqref="N377">
    <cfRule type="expression" dxfId="2437" priority="3091">
      <formula>$H377="CÉLULA CONSTRUTIVA"</formula>
    </cfRule>
    <cfRule type="expression" dxfId="2436" priority="3090">
      <formula>$H377="SUBETAPA"</formula>
    </cfRule>
  </conditionalFormatting>
  <conditionalFormatting sqref="N378">
    <cfRule type="expression" dxfId="2435" priority="3089">
      <formula>$H378="ETAPA"</formula>
    </cfRule>
  </conditionalFormatting>
  <conditionalFormatting sqref="N379:N1881">
    <cfRule type="expression" dxfId="2434" priority="10405">
      <formula>$H379="CÉLULA CONSTRUTIVA"</formula>
    </cfRule>
    <cfRule type="expression" dxfId="2433" priority="10403">
      <formula>$H379="CÉLULA CONSTRUTIVA"</formula>
    </cfRule>
    <cfRule type="expression" dxfId="2432" priority="10404">
      <formula>$H379="SUBETAPA"</formula>
    </cfRule>
  </conditionalFormatting>
  <conditionalFormatting sqref="N27:O27">
    <cfRule type="expression" dxfId="2431" priority="3088">
      <formula>$H27="ETAPA"</formula>
    </cfRule>
    <cfRule type="expression" dxfId="2430" priority="3087">
      <formula>$H27="CÉLULA CONSTRUTIVA"</formula>
    </cfRule>
    <cfRule type="expression" dxfId="2429" priority="3086">
      <formula>$H27="SUBETAPA"</formula>
    </cfRule>
  </conditionalFormatting>
  <conditionalFormatting sqref="N29:O29 N30 N32:O32">
    <cfRule type="expression" dxfId="2428" priority="3085">
      <formula>$H29="ETAPA"</formula>
    </cfRule>
  </conditionalFormatting>
  <conditionalFormatting sqref="N29:O29 N30">
    <cfRule type="expression" dxfId="2427" priority="3084">
      <formula>$H29="CÉLULA CONSTRUTIVA"</formula>
    </cfRule>
  </conditionalFormatting>
  <conditionalFormatting sqref="N29:O29">
    <cfRule type="expression" dxfId="2426" priority="3083">
      <formula>$H29="SUBETAPA"</formula>
    </cfRule>
  </conditionalFormatting>
  <conditionalFormatting sqref="N32:O32">
    <cfRule type="expression" dxfId="2425" priority="3082">
      <formula>$H32="SUBETAPA"</formula>
    </cfRule>
  </conditionalFormatting>
  <conditionalFormatting sqref="N35:O35 N36">
    <cfRule type="expression" dxfId="2424" priority="3081">
      <formula>$H35="CÉLULA CONSTRUTIVA"</formula>
    </cfRule>
  </conditionalFormatting>
  <conditionalFormatting sqref="N35:O35">
    <cfRule type="expression" dxfId="2423" priority="3080">
      <formula>$H35="SUBETAPA"</formula>
    </cfRule>
  </conditionalFormatting>
  <conditionalFormatting sqref="N38:O38 G33:N33 K35:L36 O36 M34:N36">
    <cfRule type="expression" dxfId="2422" priority="9346">
      <formula>$H33="SUBETAPA"</formula>
    </cfRule>
  </conditionalFormatting>
  <conditionalFormatting sqref="N40:O40">
    <cfRule type="expression" dxfId="2421" priority="3079">
      <formula>$H40="SUBETAPA"</formula>
    </cfRule>
  </conditionalFormatting>
  <conditionalFormatting sqref="N43:O43">
    <cfRule type="expression" dxfId="2420" priority="3078">
      <formula>$H43="ETAPA"</formula>
    </cfRule>
    <cfRule type="expression" dxfId="2419" priority="3077">
      <formula>$H43="CÉLULA CONSTRUTIVA"</formula>
    </cfRule>
    <cfRule type="expression" dxfId="2418" priority="3076">
      <formula>$H43="SUBETAPA"</formula>
    </cfRule>
  </conditionalFormatting>
  <conditionalFormatting sqref="N45:O45 N48 N50:O50">
    <cfRule type="expression" dxfId="2417" priority="3075">
      <formula>$H45="ETAPA"</formula>
    </cfRule>
  </conditionalFormatting>
  <conditionalFormatting sqref="N45:O45 N48">
    <cfRule type="expression" dxfId="2416" priority="3074">
      <formula>$H45="CÉLULA CONSTRUTIVA"</formula>
    </cfRule>
  </conditionalFormatting>
  <conditionalFormatting sqref="N46:O46 K46">
    <cfRule type="expression" dxfId="2415" priority="3073">
      <formula>$H46="SUBETAPA"</formula>
    </cfRule>
    <cfRule type="expression" dxfId="2414" priority="3072">
      <formula>$H46="CÉLULA CONSTRUTIVA"</formula>
    </cfRule>
  </conditionalFormatting>
  <conditionalFormatting sqref="N50:O50">
    <cfRule type="expression" dxfId="2413" priority="3071">
      <formula>$H50="SUBETAPA"</formula>
    </cfRule>
  </conditionalFormatting>
  <conditionalFormatting sqref="N53:O53 H53:L53">
    <cfRule type="expression" dxfId="2412" priority="3070">
      <formula>$H53="SUBETAPA"</formula>
    </cfRule>
    <cfRule type="expression" dxfId="2411" priority="3069">
      <formula>$H53="CÉLULA CONSTRUTIVA"</formula>
    </cfRule>
  </conditionalFormatting>
  <conditionalFormatting sqref="N53:O53">
    <cfRule type="expression" dxfId="2410" priority="3068">
      <formula>$H53="ETAPA"</formula>
    </cfRule>
  </conditionalFormatting>
  <conditionalFormatting sqref="N64:O64">
    <cfRule type="expression" dxfId="2409" priority="3066">
      <formula>$H64="SUBETAPA"</formula>
    </cfRule>
    <cfRule type="expression" dxfId="2408" priority="3067">
      <formula>$H64="CÉLULA CONSTRUTIVA"</formula>
    </cfRule>
  </conditionalFormatting>
  <conditionalFormatting sqref="N67:O67">
    <cfRule type="expression" dxfId="2407" priority="3065">
      <formula>$H67="SUBETAPA"</formula>
    </cfRule>
  </conditionalFormatting>
  <conditionalFormatting sqref="N71:O71">
    <cfRule type="expression" dxfId="2406" priority="3064">
      <formula>$H71="ETAPA"</formula>
    </cfRule>
    <cfRule type="expression" dxfId="2405" priority="3063">
      <formula>$H71="CÉLULA CONSTRUTIVA"</formula>
    </cfRule>
    <cfRule type="expression" dxfId="2404" priority="3062">
      <formula>$H71="SUBETAPA"</formula>
    </cfRule>
  </conditionalFormatting>
  <conditionalFormatting sqref="N80:O80">
    <cfRule type="expression" dxfId="2403" priority="3441">
      <formula>$H80="CÉLULA CONSTRUTIVA"</formula>
    </cfRule>
  </conditionalFormatting>
  <conditionalFormatting sqref="N82:O82">
    <cfRule type="expression" dxfId="2402" priority="3061">
      <formula>$H82="ETAPA"</formula>
    </cfRule>
    <cfRule type="expression" dxfId="2401" priority="3059">
      <formula>$H82="SUBETAPA"</formula>
    </cfRule>
    <cfRule type="expression" dxfId="2400" priority="3060">
      <formula>$H82="CÉLULA CONSTRUTIVA"</formula>
    </cfRule>
  </conditionalFormatting>
  <conditionalFormatting sqref="N99:O99">
    <cfRule type="expression" dxfId="2399" priority="3056">
      <formula>$H99="SUBETAPA"</formula>
    </cfRule>
    <cfRule type="expression" dxfId="2398" priority="3058">
      <formula>$H99="ETAPA"</formula>
    </cfRule>
    <cfRule type="expression" dxfId="2397" priority="3057">
      <formula>$H99="CÉLULA CONSTRUTIVA"</formula>
    </cfRule>
  </conditionalFormatting>
  <conditionalFormatting sqref="N102:O102">
    <cfRule type="expression" dxfId="2396" priority="3055">
      <formula>$H102="ETAPA"</formula>
    </cfRule>
    <cfRule type="expression" dxfId="2395" priority="3054">
      <formula>$H102="CÉLULA CONSTRUTIVA"</formula>
    </cfRule>
    <cfRule type="expression" dxfId="2394" priority="3053">
      <formula>$H102="SUBETAPA"</formula>
    </cfRule>
  </conditionalFormatting>
  <conditionalFormatting sqref="N115:O115 G115:L115">
    <cfRule type="expression" dxfId="2393" priority="3052">
      <formula>$H115="CÉLULA CONSTRUTIVA"</formula>
    </cfRule>
  </conditionalFormatting>
  <conditionalFormatting sqref="N115:O115 L115">
    <cfRule type="expression" dxfId="2392" priority="3051">
      <formula>$H115="SUBETAPA"</formula>
    </cfRule>
  </conditionalFormatting>
  <conditionalFormatting sqref="N312:O312 L311:M311">
    <cfRule type="expression" dxfId="2391" priority="3050">
      <formula>$H311="SUBETAPA"</formula>
    </cfRule>
  </conditionalFormatting>
  <conditionalFormatting sqref="N312:O312">
    <cfRule type="expression" dxfId="2390" priority="3049">
      <formula>$H312="ETAPA"</formula>
    </cfRule>
  </conditionalFormatting>
  <conditionalFormatting sqref="N344:O344">
    <cfRule type="expression" dxfId="2389" priority="3048">
      <formula>$H344="ETAPA"</formula>
    </cfRule>
  </conditionalFormatting>
  <conditionalFormatting sqref="N345:O345">
    <cfRule type="expression" dxfId="2388" priority="3047">
      <formula>$H345="ETAPA"</formula>
    </cfRule>
    <cfRule type="expression" dxfId="2387" priority="3046">
      <formula>$H345="CÉLULA CONSTRUTIVA"</formula>
    </cfRule>
    <cfRule type="expression" dxfId="2386" priority="3045">
      <formula>$H345="SUBETAPA"</formula>
    </cfRule>
  </conditionalFormatting>
  <conditionalFormatting sqref="N352:O352">
    <cfRule type="expression" dxfId="2385" priority="3044">
      <formula>$H352="ETAPA"</formula>
    </cfRule>
    <cfRule type="expression" dxfId="2384" priority="3043">
      <formula>$H352="SUBETAPA"</formula>
    </cfRule>
  </conditionalFormatting>
  <conditionalFormatting sqref="O8:O10 O59:O60 O63 O66 O68 O70 O72 O77 O79 O96 O140 O281 O100:O101">
    <cfRule type="expression" dxfId="2383" priority="3042">
      <formula>$H8="CÉLULA CONSTRUTIVA"</formula>
    </cfRule>
  </conditionalFormatting>
  <conditionalFormatting sqref="O12:O13">
    <cfRule type="expression" dxfId="2382" priority="3041">
      <formula>$H12="CÉLULA CONSTRUTIVA"</formula>
    </cfRule>
    <cfRule type="expression" dxfId="2381" priority="3040">
      <formula>$H12="SUBETAPA"</formula>
    </cfRule>
  </conditionalFormatting>
  <conditionalFormatting sqref="O14:O15 O17 O915:O998 O20">
    <cfRule type="expression" dxfId="2380" priority="3038">
      <formula>$H14="SUBETAPA"</formula>
    </cfRule>
    <cfRule type="expression" dxfId="2379" priority="3037">
      <formula>$H14="ETAPA"</formula>
    </cfRule>
    <cfRule type="expression" dxfId="2378" priority="3036">
      <formula>$H14="SUBETAPA"</formula>
    </cfRule>
    <cfRule type="expression" dxfId="2377" priority="3035">
      <formula>$H14="ETAPA"</formula>
    </cfRule>
    <cfRule type="expression" dxfId="2376" priority="3034">
      <formula>$H14="SUBETAPA"</formula>
    </cfRule>
    <cfRule type="expression" dxfId="2375" priority="3033">
      <formula>$H14="ETAPA"</formula>
    </cfRule>
    <cfRule type="expression" dxfId="2374" priority="3039">
      <formula>$H14="CÉLULA CONSTRUTIVA"</formula>
    </cfRule>
  </conditionalFormatting>
  <conditionalFormatting sqref="O16">
    <cfRule type="expression" dxfId="2373" priority="3032">
      <formula>$H16="CÉLULA CONSTRUTIVA"</formula>
    </cfRule>
    <cfRule type="expression" dxfId="2372" priority="3031">
      <formula>$H16="SUBETAPA"</formula>
    </cfRule>
  </conditionalFormatting>
  <conditionalFormatting sqref="O18:O19">
    <cfRule type="expression" dxfId="2371" priority="3030">
      <formula>$H18="ETAPA"</formula>
    </cfRule>
    <cfRule type="expression" dxfId="2370" priority="3029">
      <formula>$H18="CÉLULA CONSTRUTIVA"</formula>
    </cfRule>
    <cfRule type="expression" dxfId="2369" priority="3028">
      <formula>$H18="SUBETAPA"</formula>
    </cfRule>
  </conditionalFormatting>
  <conditionalFormatting sqref="O21:O22">
    <cfRule type="expression" dxfId="2368" priority="3027">
      <formula>$H21="ETAPA"</formula>
    </cfRule>
    <cfRule type="expression" dxfId="2367" priority="3025">
      <formula>$H21="SUBETAPA"</formula>
    </cfRule>
    <cfRule type="expression" dxfId="2366" priority="3026">
      <formula>$H21="CÉLULA CONSTRUTIVA"</formula>
    </cfRule>
  </conditionalFormatting>
  <conditionalFormatting sqref="O23">
    <cfRule type="expression" dxfId="2365" priority="3021">
      <formula>$H23="SUBETAPA"</formula>
    </cfRule>
    <cfRule type="expression" dxfId="2364" priority="3024">
      <formula>$H23="CÉLULA CONSTRUTIVA"</formula>
    </cfRule>
    <cfRule type="expression" dxfId="2363" priority="3023">
      <formula>$H23="SUBETAPA"</formula>
    </cfRule>
    <cfRule type="expression" dxfId="2362" priority="3022">
      <formula>$H23="ETAPA"</formula>
    </cfRule>
    <cfRule type="expression" dxfId="2361" priority="3020">
      <formula>$H23="ETAPA"</formula>
    </cfRule>
    <cfRule type="expression" dxfId="2360" priority="3019">
      <formula>$H23="SUBETAPA"</formula>
    </cfRule>
    <cfRule type="expression" dxfId="2359" priority="3018">
      <formula>$H23="ETAPA"</formula>
    </cfRule>
  </conditionalFormatting>
  <conditionalFormatting sqref="O24:O26">
    <cfRule type="expression" dxfId="2358" priority="3017">
      <formula>$H24="SUBETAPA"</formula>
    </cfRule>
  </conditionalFormatting>
  <conditionalFormatting sqref="O25 O28 O31">
    <cfRule type="expression" dxfId="2357" priority="3016">
      <formula>$H25="CÉLULA CONSTRUTIVA"</formula>
    </cfRule>
  </conditionalFormatting>
  <conditionalFormatting sqref="O26">
    <cfRule type="expression" dxfId="2356" priority="3015">
      <formula>$H26="ETAPA"</formula>
    </cfRule>
    <cfRule type="expression" dxfId="2355" priority="3014">
      <formula>$H26="CÉLULA CONSTRUTIVA"</formula>
    </cfRule>
  </conditionalFormatting>
  <conditionalFormatting sqref="O28 O31">
    <cfRule type="expression" dxfId="2354" priority="3013">
      <formula>$H28="SUBETAPA"</formula>
    </cfRule>
  </conditionalFormatting>
  <conditionalFormatting sqref="O33:O34 O39">
    <cfRule type="expression" dxfId="2353" priority="3012">
      <formula>$H33="ETAPA"</formula>
    </cfRule>
    <cfRule type="expression" dxfId="2352" priority="3011">
      <formula>$H33="CÉLULA CONSTRUTIVA"</formula>
    </cfRule>
    <cfRule type="expression" dxfId="2351" priority="3010">
      <formula>$H33="SUBETAPA"</formula>
    </cfRule>
  </conditionalFormatting>
  <conditionalFormatting sqref="O41 N44:O44 N49:O49">
    <cfRule type="expression" dxfId="2350" priority="3009">
      <formula>$H41="ETAPA"</formula>
    </cfRule>
  </conditionalFormatting>
  <conditionalFormatting sqref="O41 O44 O49">
    <cfRule type="expression" dxfId="2349" priority="3008">
      <formula>$H41="CÉLULA CONSTRUTIVA"</formula>
    </cfRule>
  </conditionalFormatting>
  <conditionalFormatting sqref="O41:O42">
    <cfRule type="expression" dxfId="2348" priority="3007">
      <formula>$H41="SUBETAPA"</formula>
    </cfRule>
  </conditionalFormatting>
  <conditionalFormatting sqref="O42">
    <cfRule type="expression" dxfId="2347" priority="3005">
      <formula>$H42="CÉLULA CONSTRUTIVA"</formula>
    </cfRule>
    <cfRule type="expression" dxfId="2346" priority="3006">
      <formula>$H42="ETAPA"</formula>
    </cfRule>
  </conditionalFormatting>
  <conditionalFormatting sqref="O44 O49">
    <cfRule type="expression" dxfId="2345" priority="3004">
      <formula>$H44="SUBETAPA"</formula>
    </cfRule>
  </conditionalFormatting>
  <conditionalFormatting sqref="O51">
    <cfRule type="expression" dxfId="2344" priority="3002">
      <formula>$H51="CÉLULA CONSTRUTIVA"</formula>
    </cfRule>
    <cfRule type="expression" dxfId="2343" priority="3003">
      <formula>$H51="ETAPA"</formula>
    </cfRule>
  </conditionalFormatting>
  <conditionalFormatting sqref="O51:O52">
    <cfRule type="expression" dxfId="2342" priority="3001">
      <formula>$H51="SUBETAPA"</formula>
    </cfRule>
  </conditionalFormatting>
  <conditionalFormatting sqref="O52">
    <cfRule type="expression" dxfId="2341" priority="2999">
      <formula>$H52="CÉLULA CONSTRUTIVA"</formula>
    </cfRule>
    <cfRule type="expression" dxfId="2340" priority="3000">
      <formula>$H52="ETAPA"</formula>
    </cfRule>
  </conditionalFormatting>
  <conditionalFormatting sqref="O55">
    <cfRule type="expression" dxfId="2339" priority="2997">
      <formula>$H55="CÉLULA CONSTRUTIVA"</formula>
    </cfRule>
    <cfRule type="expression" dxfId="2338" priority="2998">
      <formula>$H55="ETAPA"</formula>
    </cfRule>
  </conditionalFormatting>
  <conditionalFormatting sqref="O55:O56">
    <cfRule type="expression" dxfId="2337" priority="2996">
      <formula>$H55="SUBETAPA"</formula>
    </cfRule>
  </conditionalFormatting>
  <conditionalFormatting sqref="O56">
    <cfRule type="expression" dxfId="2336" priority="2994">
      <formula>$H56="CÉLULA CONSTRUTIVA"</formula>
    </cfRule>
    <cfRule type="expression" dxfId="2335" priority="2995">
      <formula>$H56="ETAPA"</formula>
    </cfRule>
  </conditionalFormatting>
  <conditionalFormatting sqref="O58">
    <cfRule type="expression" dxfId="2334" priority="2992">
      <formula>$H58="CÉLULA CONSTRUTIVA"</formula>
    </cfRule>
    <cfRule type="expression" dxfId="2333" priority="2993">
      <formula>$H58="ETAPA"</formula>
    </cfRule>
  </conditionalFormatting>
  <conditionalFormatting sqref="O58:O60">
    <cfRule type="expression" dxfId="2332" priority="2991">
      <formula>$H58="SUBETAPA"</formula>
    </cfRule>
  </conditionalFormatting>
  <conditionalFormatting sqref="O61:O62">
    <cfRule type="expression" dxfId="2331" priority="2986">
      <formula>$H61="ETAPA"</formula>
    </cfRule>
    <cfRule type="expression" dxfId="2330" priority="2990">
      <formula>$H61="CÉLULA CONSTRUTIVA"</formula>
    </cfRule>
    <cfRule type="expression" dxfId="2329" priority="2984">
      <formula>$H61="ETAPA"</formula>
    </cfRule>
    <cfRule type="expression" dxfId="2328" priority="2989">
      <formula>$H61="SUBETAPA"</formula>
    </cfRule>
    <cfRule type="expression" dxfId="2327" priority="2988">
      <formula>$H61="ETAPA"</formula>
    </cfRule>
    <cfRule type="expression" dxfId="2326" priority="2987">
      <formula>$H61="SUBETAPA"</formula>
    </cfRule>
    <cfRule type="expression" dxfId="2325" priority="2985">
      <formula>$H61="SUBETAPA"</formula>
    </cfRule>
  </conditionalFormatting>
  <conditionalFormatting sqref="O80 G80:G82 N80:N83 N85:N93 G93:L94 M94:O94">
    <cfRule type="expression" dxfId="2324" priority="2983">
      <formula>$H80="SUBETAPA"</formula>
    </cfRule>
  </conditionalFormatting>
  <conditionalFormatting sqref="O80 N80:N83 N85:N93 M94:O94 L80:L83">
    <cfRule type="expression" dxfId="2323" priority="2982">
      <formula>$H80="ETAPA"</formula>
    </cfRule>
  </conditionalFormatting>
  <conditionalFormatting sqref="O81 O83 O93 O95">
    <cfRule type="expression" dxfId="2322" priority="2980">
      <formula>$H81="CÉLULA CONSTRUTIVA"</formula>
    </cfRule>
    <cfRule type="expression" dxfId="2321" priority="2981">
      <formula>$H81="ETAPA"</formula>
    </cfRule>
  </conditionalFormatting>
  <conditionalFormatting sqref="O81 O83 O95">
    <cfRule type="expression" dxfId="2320" priority="2979">
      <formula>$H81="SUBETAPA"</formula>
    </cfRule>
  </conditionalFormatting>
  <conditionalFormatting sqref="O84:O92">
    <cfRule type="expression" dxfId="2319" priority="2977">
      <formula>$H84="CÉLULA CONSTRUTIVA"</formula>
    </cfRule>
    <cfRule type="expression" dxfId="2318" priority="2978">
      <formula>$H84="ETAPA"</formula>
    </cfRule>
  </conditionalFormatting>
  <conditionalFormatting sqref="O84:O93">
    <cfRule type="expression" dxfId="2317" priority="2976">
      <formula>$H84="SUBETAPA"</formula>
    </cfRule>
  </conditionalFormatting>
  <conditionalFormatting sqref="O96:O98">
    <cfRule type="expression" dxfId="2316" priority="2975">
      <formula>$H96="SUBETAPA"</formula>
    </cfRule>
  </conditionalFormatting>
  <conditionalFormatting sqref="O97:O98">
    <cfRule type="expression" dxfId="2315" priority="2974">
      <formula>$H97="ETAPA"</formula>
    </cfRule>
    <cfRule type="expression" dxfId="2314" priority="2973">
      <formula>$H97="CÉLULA CONSTRUTIVA"</formula>
    </cfRule>
  </conditionalFormatting>
  <conditionalFormatting sqref="O104">
    <cfRule type="expression" dxfId="2313" priority="2970">
      <formula>$H104="SUBETAPA"</formula>
    </cfRule>
    <cfRule type="expression" dxfId="2312" priority="2971">
      <formula>$H104="CÉLULA CONSTRUTIVA"</formula>
    </cfRule>
    <cfRule type="expression" dxfId="2311" priority="2972">
      <formula>$H104="ETAPA"</formula>
    </cfRule>
  </conditionalFormatting>
  <conditionalFormatting sqref="O106">
    <cfRule type="expression" dxfId="2310" priority="2969">
      <formula>$H106="ETAPA"</formula>
    </cfRule>
    <cfRule type="expression" dxfId="2309" priority="2967">
      <formula>$H106="SUBETAPA"</formula>
    </cfRule>
    <cfRule type="expression" dxfId="2308" priority="2968">
      <formula>$H106="CÉLULA CONSTRUTIVA"</formula>
    </cfRule>
  </conditionalFormatting>
  <conditionalFormatting sqref="O108">
    <cfRule type="expression" dxfId="2307" priority="2964">
      <formula>$H108="SUBETAPA"</formula>
    </cfRule>
    <cfRule type="expression" dxfId="2306" priority="2965">
      <formula>$H108="CÉLULA CONSTRUTIVA"</formula>
    </cfRule>
    <cfRule type="expression" dxfId="2305" priority="2966">
      <formula>$H108="ETAPA"</formula>
    </cfRule>
  </conditionalFormatting>
  <conditionalFormatting sqref="O110">
    <cfRule type="expression" dxfId="2304" priority="2963">
      <formula>$H110="ETAPA"</formula>
    </cfRule>
    <cfRule type="expression" dxfId="2303" priority="2962">
      <formula>$H110="CÉLULA CONSTRUTIVA"</formula>
    </cfRule>
    <cfRule type="expression" dxfId="2302" priority="2961">
      <formula>$H110="SUBETAPA"</formula>
    </cfRule>
  </conditionalFormatting>
  <conditionalFormatting sqref="O112">
    <cfRule type="expression" dxfId="2301" priority="2960">
      <formula>$H112="ETAPA"</formula>
    </cfRule>
    <cfRule type="expression" dxfId="2300" priority="2959">
      <formula>$H112="CÉLULA CONSTRUTIVA"</formula>
    </cfRule>
    <cfRule type="expression" dxfId="2299" priority="2958">
      <formula>$H112="SUBETAPA"</formula>
    </cfRule>
  </conditionalFormatting>
  <conditionalFormatting sqref="O114">
    <cfRule type="expression" dxfId="2298" priority="2957">
      <formula>$H114="ETAPA"</formula>
    </cfRule>
    <cfRule type="expression" dxfId="2297" priority="2956">
      <formula>$H114="CÉLULA CONSTRUTIVA"</formula>
    </cfRule>
    <cfRule type="expression" dxfId="2296" priority="2955">
      <formula>$H114="SUBETAPA"</formula>
    </cfRule>
  </conditionalFormatting>
  <conditionalFormatting sqref="O116">
    <cfRule type="expression" dxfId="2295" priority="2954">
      <formula>$H116="ETAPA"</formula>
    </cfRule>
    <cfRule type="expression" dxfId="2294" priority="2953">
      <formula>$H116="CÉLULA CONSTRUTIVA"</formula>
    </cfRule>
    <cfRule type="expression" dxfId="2293" priority="2952">
      <formula>$H116="SUBETAPA"</formula>
    </cfRule>
  </conditionalFormatting>
  <conditionalFormatting sqref="O118">
    <cfRule type="expression" dxfId="2292" priority="2951">
      <formula>$H118="ETAPA"</formula>
    </cfRule>
    <cfRule type="expression" dxfId="2291" priority="2950">
      <formula>$H118="CÉLULA CONSTRUTIVA"</formula>
    </cfRule>
    <cfRule type="expression" dxfId="2290" priority="2949">
      <formula>$H118="SUBETAPA"</formula>
    </cfRule>
  </conditionalFormatting>
  <conditionalFormatting sqref="O120">
    <cfRule type="expression" dxfId="2289" priority="2946">
      <formula>$H120="SUBETAPA"</formula>
    </cfRule>
    <cfRule type="expression" dxfId="2288" priority="2947">
      <formula>$H120="CÉLULA CONSTRUTIVA"</formula>
    </cfRule>
    <cfRule type="expression" dxfId="2287" priority="2948">
      <formula>$H120="ETAPA"</formula>
    </cfRule>
  </conditionalFormatting>
  <conditionalFormatting sqref="O122">
    <cfRule type="expression" dxfId="2286" priority="2944">
      <formula>$H122="CÉLULA CONSTRUTIVA"</formula>
    </cfRule>
    <cfRule type="expression" dxfId="2285" priority="2943">
      <formula>$H122="SUBETAPA"</formula>
    </cfRule>
    <cfRule type="expression" dxfId="2284" priority="2945">
      <formula>$H122="ETAPA"</formula>
    </cfRule>
  </conditionalFormatting>
  <conditionalFormatting sqref="O123 O126">
    <cfRule type="expression" dxfId="2283" priority="2942">
      <formula>$H123="ETAPA"</formula>
    </cfRule>
  </conditionalFormatting>
  <conditionalFormatting sqref="O125">
    <cfRule type="expression" dxfId="2282" priority="2941">
      <formula>$H125="ETAPA"</formula>
    </cfRule>
    <cfRule type="expression" dxfId="2281" priority="2940">
      <formula>$H125="CÉLULA CONSTRUTIVA"</formula>
    </cfRule>
    <cfRule type="expression" dxfId="2280" priority="2939">
      <formula>$H125="SUBETAPA"</formula>
    </cfRule>
  </conditionalFormatting>
  <conditionalFormatting sqref="O126 O123">
    <cfRule type="expression" dxfId="2279" priority="2937">
      <formula>$H123="SUBETAPA"</formula>
    </cfRule>
    <cfRule type="expression" dxfId="2278" priority="2938">
      <formula>$H123="CÉLULA CONSTRUTIVA"</formula>
    </cfRule>
  </conditionalFormatting>
  <conditionalFormatting sqref="O128">
    <cfRule type="expression" dxfId="2277" priority="2936">
      <formula>$H128="ETAPA"</formula>
    </cfRule>
    <cfRule type="expression" dxfId="2276" priority="2935">
      <formula>$H128="CÉLULA CONSTRUTIVA"</formula>
    </cfRule>
    <cfRule type="expression" dxfId="2275" priority="2934">
      <formula>$H128="SUBETAPA"</formula>
    </cfRule>
  </conditionalFormatting>
  <conditionalFormatting sqref="O129">
    <cfRule type="expression" dxfId="2274" priority="2933">
      <formula>$H129="ETAPA"</formula>
    </cfRule>
    <cfRule type="expression" dxfId="2273" priority="2932">
      <formula>$H129="CÉLULA CONSTRUTIVA"</formula>
    </cfRule>
    <cfRule type="expression" dxfId="2272" priority="2931">
      <formula>$H129="SUBETAPA"</formula>
    </cfRule>
  </conditionalFormatting>
  <conditionalFormatting sqref="O131">
    <cfRule type="expression" dxfId="2271" priority="2928">
      <formula>$H131="SUBETAPA"</formula>
    </cfRule>
    <cfRule type="expression" dxfId="2270" priority="2930">
      <formula>$H131="ETAPA"</formula>
    </cfRule>
    <cfRule type="expression" dxfId="2269" priority="2929">
      <formula>$H131="CÉLULA CONSTRUTIVA"</formula>
    </cfRule>
  </conditionalFormatting>
  <conditionalFormatting sqref="O133">
    <cfRule type="expression" dxfId="2268" priority="2927">
      <formula>$H133="ETAPA"</formula>
    </cfRule>
    <cfRule type="expression" dxfId="2267" priority="2925">
      <formula>$H133="SUBETAPA"</formula>
    </cfRule>
    <cfRule type="expression" dxfId="2266" priority="2926">
      <formula>$H133="CÉLULA CONSTRUTIVA"</formula>
    </cfRule>
  </conditionalFormatting>
  <conditionalFormatting sqref="O134">
    <cfRule type="expression" dxfId="2265" priority="2923">
      <formula>$H134="CÉLULA CONSTRUTIVA"</formula>
    </cfRule>
    <cfRule type="expression" dxfId="2264" priority="2924">
      <formula>$H134="ETAPA"</formula>
    </cfRule>
    <cfRule type="expression" dxfId="2263" priority="2922">
      <formula>$H134="SUBETAPA"</formula>
    </cfRule>
  </conditionalFormatting>
  <conditionalFormatting sqref="O136">
    <cfRule type="expression" dxfId="2262" priority="2919">
      <formula>$H136="SUBETAPA"</formula>
    </cfRule>
    <cfRule type="expression" dxfId="2261" priority="2920">
      <formula>$H136="CÉLULA CONSTRUTIVA"</formula>
    </cfRule>
    <cfRule type="expression" dxfId="2260" priority="2921">
      <formula>$H136="ETAPA"</formula>
    </cfRule>
  </conditionalFormatting>
  <conditionalFormatting sqref="O137">
    <cfRule type="expression" dxfId="2259" priority="2917">
      <formula>$H137="CÉLULA CONSTRUTIVA"</formula>
    </cfRule>
    <cfRule type="expression" dxfId="2258" priority="2918">
      <formula>$H137="ETAPA"</formula>
    </cfRule>
    <cfRule type="expression" dxfId="2257" priority="2916">
      <formula>$H137="SUBETAPA"</formula>
    </cfRule>
  </conditionalFormatting>
  <conditionalFormatting sqref="O139">
    <cfRule type="expression" dxfId="2256" priority="2914">
      <formula>$H139="CÉLULA CONSTRUTIVA"</formula>
    </cfRule>
    <cfRule type="expression" dxfId="2255" priority="2915">
      <formula>$H139="ETAPA"</formula>
    </cfRule>
  </conditionalFormatting>
  <conditionalFormatting sqref="O141:O147">
    <cfRule type="expression" dxfId="2254" priority="2913">
      <formula>$H141="ETAPA"</formula>
    </cfRule>
    <cfRule type="expression" dxfId="2253" priority="2912">
      <formula>$H141="CÉLULA CONSTRUTIVA"</formula>
    </cfRule>
  </conditionalFormatting>
  <conditionalFormatting sqref="O148">
    <cfRule type="expression" dxfId="2252" priority="2911">
      <formula>$H148="ETAPA"</formula>
    </cfRule>
    <cfRule type="expression" dxfId="2251" priority="2910">
      <formula>$H148="CÉLULA CONSTRUTIVA"</formula>
    </cfRule>
  </conditionalFormatting>
  <conditionalFormatting sqref="O149">
    <cfRule type="expression" dxfId="2250" priority="2908">
      <formula>$H149="CÉLULA CONSTRUTIVA"</formula>
    </cfRule>
    <cfRule type="expression" dxfId="2249" priority="2909">
      <formula>$H149="ETAPA"</formula>
    </cfRule>
  </conditionalFormatting>
  <conditionalFormatting sqref="O150:O156">
    <cfRule type="expression" dxfId="2248" priority="2906">
      <formula>$H150="CÉLULA CONSTRUTIVA"</formula>
    </cfRule>
    <cfRule type="expression" dxfId="2247" priority="2907">
      <formula>$H150="ETAPA"</formula>
    </cfRule>
  </conditionalFormatting>
  <conditionalFormatting sqref="O157">
    <cfRule type="expression" dxfId="2246" priority="2904">
      <formula>$H157="CÉLULA CONSTRUTIVA"</formula>
    </cfRule>
    <cfRule type="expression" dxfId="2245" priority="2905">
      <formula>$H157="ETAPA"</formula>
    </cfRule>
  </conditionalFormatting>
  <conditionalFormatting sqref="O158">
    <cfRule type="expression" dxfId="2244" priority="2902">
      <formula>$H158="CÉLULA CONSTRUTIVA"</formula>
    </cfRule>
    <cfRule type="expression" dxfId="2243" priority="2903">
      <formula>$H158="ETAPA"</formula>
    </cfRule>
  </conditionalFormatting>
  <conditionalFormatting sqref="O159">
    <cfRule type="expression" dxfId="2242" priority="2900">
      <formula>$H159="CÉLULA CONSTRUTIVA"</formula>
    </cfRule>
    <cfRule type="expression" dxfId="2241" priority="2901">
      <formula>$H159="ETAPA"</formula>
    </cfRule>
  </conditionalFormatting>
  <conditionalFormatting sqref="O160:O166">
    <cfRule type="expression" dxfId="2240" priority="2898">
      <formula>$H160="CÉLULA CONSTRUTIVA"</formula>
    </cfRule>
    <cfRule type="expression" dxfId="2239" priority="2899">
      <formula>$H160="ETAPA"</formula>
    </cfRule>
  </conditionalFormatting>
  <conditionalFormatting sqref="O167">
    <cfRule type="expression" dxfId="2238" priority="2897">
      <formula>$H167="ETAPA"</formula>
    </cfRule>
    <cfRule type="expression" dxfId="2237" priority="2896">
      <formula>$H167="CÉLULA CONSTRUTIVA"</formula>
    </cfRule>
  </conditionalFormatting>
  <conditionalFormatting sqref="O168">
    <cfRule type="expression" dxfId="2236" priority="2894">
      <formula>$H168="CÉLULA CONSTRUTIVA"</formula>
    </cfRule>
    <cfRule type="expression" dxfId="2235" priority="2895">
      <formula>$H168="ETAPA"</formula>
    </cfRule>
  </conditionalFormatting>
  <conditionalFormatting sqref="O169">
    <cfRule type="expression" dxfId="2234" priority="2893">
      <formula>$H169="ETAPA"</formula>
    </cfRule>
    <cfRule type="expression" dxfId="2233" priority="2892">
      <formula>$H169="CÉLULA CONSTRUTIVA"</formula>
    </cfRule>
  </conditionalFormatting>
  <conditionalFormatting sqref="O170:O176">
    <cfRule type="expression" dxfId="2232" priority="2891">
      <formula>$H170="ETAPA"</formula>
    </cfRule>
    <cfRule type="expression" dxfId="2231" priority="2890">
      <formula>$H170="CÉLULA CONSTRUTIVA"</formula>
    </cfRule>
  </conditionalFormatting>
  <conditionalFormatting sqref="O177">
    <cfRule type="expression" dxfId="2230" priority="2889">
      <formula>$H177="ETAPA"</formula>
    </cfRule>
    <cfRule type="expression" dxfId="2229" priority="2888">
      <formula>$H177="CÉLULA CONSTRUTIVA"</formula>
    </cfRule>
  </conditionalFormatting>
  <conditionalFormatting sqref="O178">
    <cfRule type="expression" dxfId="2228" priority="2887">
      <formula>$H178="ETAPA"</formula>
    </cfRule>
    <cfRule type="expression" dxfId="2227" priority="2886">
      <formula>$H178="CÉLULA CONSTRUTIVA"</formula>
    </cfRule>
  </conditionalFormatting>
  <conditionalFormatting sqref="O185">
    <cfRule type="expression" dxfId="2226" priority="2884">
      <formula>$H185="CÉLULA CONSTRUTIVA"</formula>
    </cfRule>
    <cfRule type="expression" dxfId="2225" priority="2883">
      <formula>$H185="SUBETAPA"</formula>
    </cfRule>
    <cfRule type="expression" dxfId="2224" priority="2885">
      <formula>$H185="ETAPA"</formula>
    </cfRule>
  </conditionalFormatting>
  <conditionalFormatting sqref="O186">
    <cfRule type="expression" dxfId="2223" priority="2882">
      <formula>$H186="ETAPA"</formula>
    </cfRule>
    <cfRule type="expression" dxfId="2222" priority="2880">
      <formula>$H186="SUBETAPA"</formula>
    </cfRule>
    <cfRule type="expression" dxfId="2221" priority="2881">
      <formula>$H186="CÉLULA CONSTRUTIVA"</formula>
    </cfRule>
  </conditionalFormatting>
  <conditionalFormatting sqref="O187">
    <cfRule type="expression" dxfId="2220" priority="2879">
      <formula>$H187="SUBETAPA"</formula>
    </cfRule>
    <cfRule type="expression" dxfId="2219" priority="2877">
      <formula>$H187="CÉLULA CONSTRUTIVA"</formula>
    </cfRule>
    <cfRule type="expression" dxfId="2218" priority="2878">
      <formula>$H187="ETAPA"</formula>
    </cfRule>
  </conditionalFormatting>
  <conditionalFormatting sqref="O194">
    <cfRule type="expression" dxfId="2217" priority="2876">
      <formula>$H194="ETAPA"</formula>
    </cfRule>
    <cfRule type="expression" dxfId="2216" priority="2875">
      <formula>$H194="CÉLULA CONSTRUTIVA"</formula>
    </cfRule>
    <cfRule type="expression" dxfId="2215" priority="2874">
      <formula>$H194="SUBETAPA"</formula>
    </cfRule>
  </conditionalFormatting>
  <conditionalFormatting sqref="O195">
    <cfRule type="expression" dxfId="2214" priority="2873">
      <formula>$H195="ETAPA"</formula>
    </cfRule>
    <cfRule type="expression" dxfId="2213" priority="2872">
      <formula>$H195="CÉLULA CONSTRUTIVA"</formula>
    </cfRule>
    <cfRule type="expression" dxfId="2212" priority="2871">
      <formula>$H195="SUBETAPA"</formula>
    </cfRule>
  </conditionalFormatting>
  <conditionalFormatting sqref="O196">
    <cfRule type="expression" dxfId="2211" priority="2870">
      <formula>$H196="SUBETAPA"</formula>
    </cfRule>
    <cfRule type="expression" dxfId="2210" priority="2869">
      <formula>$H196="ETAPA"</formula>
    </cfRule>
    <cfRule type="expression" dxfId="2209" priority="2868">
      <formula>$H196="CÉLULA CONSTRUTIVA"</formula>
    </cfRule>
  </conditionalFormatting>
  <conditionalFormatting sqref="O203">
    <cfRule type="expression" dxfId="2208" priority="2865">
      <formula>$H203="SUBETAPA"</formula>
    </cfRule>
    <cfRule type="expression" dxfId="2207" priority="2867">
      <formula>$H203="ETAPA"</formula>
    </cfRule>
    <cfRule type="expression" dxfId="2206" priority="2866">
      <formula>$H203="CÉLULA CONSTRUTIVA"</formula>
    </cfRule>
  </conditionalFormatting>
  <conditionalFormatting sqref="O204">
    <cfRule type="expression" dxfId="2205" priority="2862">
      <formula>$H204="SUBETAPA"</formula>
    </cfRule>
    <cfRule type="expression" dxfId="2204" priority="2863">
      <formula>$H204="CÉLULA CONSTRUTIVA"</formula>
    </cfRule>
    <cfRule type="expression" dxfId="2203" priority="2864">
      <formula>$H204="ETAPA"</formula>
    </cfRule>
  </conditionalFormatting>
  <conditionalFormatting sqref="O205">
    <cfRule type="expression" dxfId="2202" priority="2860">
      <formula>$H205="ETAPA"</formula>
    </cfRule>
    <cfRule type="expression" dxfId="2201" priority="2859">
      <formula>$H205="CÉLULA CONSTRUTIVA"</formula>
    </cfRule>
    <cfRule type="expression" dxfId="2200" priority="2861">
      <formula>$H205="SUBETAPA"</formula>
    </cfRule>
  </conditionalFormatting>
  <conditionalFormatting sqref="O212">
    <cfRule type="expression" dxfId="2199" priority="2856">
      <formula>$H212="SUBETAPA"</formula>
    </cfRule>
    <cfRule type="expression" dxfId="2198" priority="2857">
      <formula>$H212="CÉLULA CONSTRUTIVA"</formula>
    </cfRule>
    <cfRule type="expression" dxfId="2197" priority="2858">
      <formula>$H212="ETAPA"</formula>
    </cfRule>
  </conditionalFormatting>
  <conditionalFormatting sqref="O213">
    <cfRule type="expression" dxfId="2196" priority="2853">
      <formula>$H213="SUBETAPA"</formula>
    </cfRule>
    <cfRule type="expression" dxfId="2195" priority="2854">
      <formula>$H213="CÉLULA CONSTRUTIVA"</formula>
    </cfRule>
    <cfRule type="expression" dxfId="2194" priority="2855">
      <formula>$H213="ETAPA"</formula>
    </cfRule>
  </conditionalFormatting>
  <conditionalFormatting sqref="O214">
    <cfRule type="expression" dxfId="2193" priority="2852">
      <formula>$H214="SUBETAPA"</formula>
    </cfRule>
    <cfRule type="expression" dxfId="2192" priority="2850">
      <formula>$H214="CÉLULA CONSTRUTIVA"</formula>
    </cfRule>
    <cfRule type="expression" dxfId="2191" priority="2851">
      <formula>$H214="ETAPA"</formula>
    </cfRule>
  </conditionalFormatting>
  <conditionalFormatting sqref="O221">
    <cfRule type="expression" dxfId="2190" priority="2849">
      <formula>$H221="ETAPA"</formula>
    </cfRule>
    <cfRule type="expression" dxfId="2189" priority="2848">
      <formula>$H221="CÉLULA CONSTRUTIVA"</formula>
    </cfRule>
    <cfRule type="expression" dxfId="2188" priority="2847">
      <formula>$H221="SUBETAPA"</formula>
    </cfRule>
  </conditionalFormatting>
  <conditionalFormatting sqref="O222">
    <cfRule type="expression" dxfId="2187" priority="2845">
      <formula>$H222="CÉLULA CONSTRUTIVA"</formula>
    </cfRule>
    <cfRule type="expression" dxfId="2186" priority="2846">
      <formula>$H222="ETAPA"</formula>
    </cfRule>
  </conditionalFormatting>
  <conditionalFormatting sqref="O222:O268">
    <cfRule type="expression" dxfId="2185" priority="2844">
      <formula>$H222="SUBETAPA"</formula>
    </cfRule>
  </conditionalFormatting>
  <conditionalFormatting sqref="O223">
    <cfRule type="expression" dxfId="2184" priority="2843">
      <formula>$H223="ETAPA"</formula>
    </cfRule>
    <cfRule type="expression" dxfId="2183" priority="2842">
      <formula>$H223="CÉLULA CONSTRUTIVA"</formula>
    </cfRule>
  </conditionalFormatting>
  <conditionalFormatting sqref="O224:O230">
    <cfRule type="expression" dxfId="2182" priority="2840">
      <formula>$H224="CÉLULA CONSTRUTIVA"</formula>
    </cfRule>
    <cfRule type="expression" dxfId="2181" priority="2841">
      <formula>$H224="ETAPA"</formula>
    </cfRule>
  </conditionalFormatting>
  <conditionalFormatting sqref="O231">
    <cfRule type="expression" dxfId="2180" priority="2839">
      <formula>$H231="ETAPA"</formula>
    </cfRule>
    <cfRule type="expression" dxfId="2179" priority="2838">
      <formula>$H231="CÉLULA CONSTRUTIVA"</formula>
    </cfRule>
  </conditionalFormatting>
  <conditionalFormatting sqref="O232">
    <cfRule type="expression" dxfId="2178" priority="2836">
      <formula>$H232="CÉLULA CONSTRUTIVA"</formula>
    </cfRule>
    <cfRule type="expression" dxfId="2177" priority="2837">
      <formula>$H232="ETAPA"</formula>
    </cfRule>
  </conditionalFormatting>
  <conditionalFormatting sqref="O233:O239">
    <cfRule type="expression" dxfId="2176" priority="2834">
      <formula>$H233="CÉLULA CONSTRUTIVA"</formula>
    </cfRule>
    <cfRule type="expression" dxfId="2175" priority="2835">
      <formula>$H233="ETAPA"</formula>
    </cfRule>
  </conditionalFormatting>
  <conditionalFormatting sqref="O240">
    <cfRule type="expression" dxfId="2174" priority="2833">
      <formula>$H240="ETAPA"</formula>
    </cfRule>
    <cfRule type="expression" dxfId="2173" priority="2832">
      <formula>$H240="CÉLULA CONSTRUTIVA"</formula>
    </cfRule>
  </conditionalFormatting>
  <conditionalFormatting sqref="O241">
    <cfRule type="expression" dxfId="2172" priority="2830">
      <formula>$H241="CÉLULA CONSTRUTIVA"</formula>
    </cfRule>
    <cfRule type="expression" dxfId="2171" priority="2831">
      <formula>$H241="ETAPA"</formula>
    </cfRule>
  </conditionalFormatting>
  <conditionalFormatting sqref="O242:O248">
    <cfRule type="expression" dxfId="2170" priority="2829">
      <formula>$H242="ETAPA"</formula>
    </cfRule>
    <cfRule type="expression" dxfId="2169" priority="2828">
      <formula>$H242="CÉLULA CONSTRUTIVA"</formula>
    </cfRule>
  </conditionalFormatting>
  <conditionalFormatting sqref="O249">
    <cfRule type="expression" dxfId="2168" priority="2827">
      <formula>$H249="ETAPA"</formula>
    </cfRule>
    <cfRule type="expression" dxfId="2167" priority="2826">
      <formula>$H249="CÉLULA CONSTRUTIVA"</formula>
    </cfRule>
  </conditionalFormatting>
  <conditionalFormatting sqref="O250">
    <cfRule type="expression" dxfId="2166" priority="2824">
      <formula>$H250="CÉLULA CONSTRUTIVA"</formula>
    </cfRule>
    <cfRule type="expression" dxfId="2165" priority="2825">
      <formula>$H250="ETAPA"</formula>
    </cfRule>
  </conditionalFormatting>
  <conditionalFormatting sqref="O251:O257">
    <cfRule type="expression" dxfId="2164" priority="2823">
      <formula>$H251="ETAPA"</formula>
    </cfRule>
    <cfRule type="expression" dxfId="2163" priority="2822">
      <formula>$H251="CÉLULA CONSTRUTIVA"</formula>
    </cfRule>
  </conditionalFormatting>
  <conditionalFormatting sqref="O258">
    <cfRule type="expression" dxfId="2162" priority="2821">
      <formula>$H258="ETAPA"</formula>
    </cfRule>
    <cfRule type="expression" dxfId="2161" priority="2820">
      <formula>$H258="CÉLULA CONSTRUTIVA"</formula>
    </cfRule>
  </conditionalFormatting>
  <conditionalFormatting sqref="O259">
    <cfRule type="expression" dxfId="2160" priority="2818">
      <formula>$H259="CÉLULA CONSTRUTIVA"</formula>
    </cfRule>
    <cfRule type="expression" dxfId="2159" priority="2819">
      <formula>$H259="ETAPA"</formula>
    </cfRule>
  </conditionalFormatting>
  <conditionalFormatting sqref="O260:O266">
    <cfRule type="expression" dxfId="2158" priority="2816">
      <formula>$H260="CÉLULA CONSTRUTIVA"</formula>
    </cfRule>
    <cfRule type="expression" dxfId="2157" priority="2817">
      <formula>$H260="ETAPA"</formula>
    </cfRule>
  </conditionalFormatting>
  <conditionalFormatting sqref="O267">
    <cfRule type="expression" dxfId="2156" priority="2815">
      <formula>$H267="ETAPA"</formula>
    </cfRule>
    <cfRule type="expression" dxfId="2155" priority="2814">
      <formula>$H267="CÉLULA CONSTRUTIVA"</formula>
    </cfRule>
  </conditionalFormatting>
  <conditionalFormatting sqref="O268">
    <cfRule type="expression" dxfId="2154" priority="2812">
      <formula>$H268="CÉLULA CONSTRUTIVA"</formula>
    </cfRule>
    <cfRule type="expression" dxfId="2153" priority="2813">
      <formula>$H268="ETAPA"</formula>
    </cfRule>
  </conditionalFormatting>
  <conditionalFormatting sqref="O274">
    <cfRule type="expression" dxfId="2152" priority="2810">
      <formula>$H274="CÉLULA CONSTRUTIVA"</formula>
    </cfRule>
    <cfRule type="expression" dxfId="2151" priority="2811">
      <formula>$H274="ETAPA"</formula>
    </cfRule>
  </conditionalFormatting>
  <conditionalFormatting sqref="O274:O275">
    <cfRule type="expression" dxfId="2150" priority="2809">
      <formula>$H274="SUBETAPA"</formula>
    </cfRule>
  </conditionalFormatting>
  <conditionalFormatting sqref="O275">
    <cfRule type="expression" dxfId="2149" priority="2807">
      <formula>$H275="CÉLULA CONSTRUTIVA"</formula>
    </cfRule>
    <cfRule type="expression" dxfId="2148" priority="2808">
      <formula>$H275="ETAPA"</formula>
    </cfRule>
  </conditionalFormatting>
  <conditionalFormatting sqref="O280">
    <cfRule type="expression" dxfId="2147" priority="2805">
      <formula>$H280="CÉLULA CONSTRUTIVA"</formula>
    </cfRule>
    <cfRule type="expression" dxfId="2146" priority="2806">
      <formula>$H280="ETAPA"</formula>
    </cfRule>
  </conditionalFormatting>
  <conditionalFormatting sqref="O280:O281">
    <cfRule type="expression" dxfId="2145" priority="2804">
      <formula>$H280="SUBETAPA"</formula>
    </cfRule>
  </conditionalFormatting>
  <conditionalFormatting sqref="O282">
    <cfRule type="expression" dxfId="2144" priority="2801">
      <formula>$H282="ETAPA"</formula>
    </cfRule>
    <cfRule type="expression" dxfId="2143" priority="2803">
      <formula>$H282="CÉLULA CONSTRUTIVA"</formula>
    </cfRule>
    <cfRule type="expression" dxfId="2142" priority="2802">
      <formula>$H282="SUBETAPA"</formula>
    </cfRule>
    <cfRule type="expression" dxfId="2141" priority="2797">
      <formula>$H282="ETAPA"</formula>
    </cfRule>
    <cfRule type="expression" dxfId="2140" priority="2798">
      <formula>$H282="SUBETAPA"</formula>
    </cfRule>
    <cfRule type="expression" dxfId="2139" priority="2799">
      <formula>$H282="ETAPA"</formula>
    </cfRule>
    <cfRule type="expression" dxfId="2138" priority="2800">
      <formula>$H282="SUBETAPA"</formula>
    </cfRule>
  </conditionalFormatting>
  <conditionalFormatting sqref="O283">
    <cfRule type="expression" dxfId="2137" priority="2795">
      <formula>$H283="CÉLULA CONSTRUTIVA"</formula>
    </cfRule>
    <cfRule type="expression" dxfId="2136" priority="2794">
      <formula>$H283="SUBETAPA"</formula>
    </cfRule>
    <cfRule type="expression" dxfId="2135" priority="2796">
      <formula>$H283="ETAPA"</formula>
    </cfRule>
  </conditionalFormatting>
  <conditionalFormatting sqref="O284">
    <cfRule type="expression" dxfId="2134" priority="2788">
      <formula>$H284="SUBETAPA"</formula>
    </cfRule>
    <cfRule type="expression" dxfId="2133" priority="2789">
      <formula>$H284="ETAPA"</formula>
    </cfRule>
    <cfRule type="expression" dxfId="2132" priority="2793">
      <formula>$H284="CÉLULA CONSTRUTIVA"</formula>
    </cfRule>
    <cfRule type="expression" dxfId="2131" priority="2792">
      <formula>$H284="SUBETAPA"</formula>
    </cfRule>
    <cfRule type="expression" dxfId="2130" priority="2791">
      <formula>$H284="ETAPA"</formula>
    </cfRule>
    <cfRule type="expression" dxfId="2129" priority="2790">
      <formula>$H284="SUBETAPA"</formula>
    </cfRule>
    <cfRule type="expression" dxfId="2128" priority="2787">
      <formula>$H284="ETAPA"</formula>
    </cfRule>
  </conditionalFormatting>
  <conditionalFormatting sqref="O285">
    <cfRule type="expression" dxfId="2127" priority="2785">
      <formula>$H285="CÉLULA CONSTRUTIVA"</formula>
    </cfRule>
    <cfRule type="expression" dxfId="2126" priority="2784">
      <formula>$H285="SUBETAPA"</formula>
    </cfRule>
    <cfRule type="expression" dxfId="2125" priority="2786">
      <formula>$H285="ETAPA"</formula>
    </cfRule>
  </conditionalFormatting>
  <conditionalFormatting sqref="O286">
    <cfRule type="expression" dxfId="2124" priority="2780">
      <formula>$H286="SUBETAPA"</formula>
    </cfRule>
    <cfRule type="expression" dxfId="2123" priority="2779">
      <formula>$H286="ETAPA"</formula>
    </cfRule>
    <cfRule type="expression" dxfId="2122" priority="2783">
      <formula>$H286="CÉLULA CONSTRUTIVA"</formula>
    </cfRule>
    <cfRule type="expression" dxfId="2121" priority="2782">
      <formula>$H286="SUBETAPA"</formula>
    </cfRule>
    <cfRule type="expression" dxfId="2120" priority="2781">
      <formula>$H286="ETAPA"</formula>
    </cfRule>
    <cfRule type="expression" dxfId="2119" priority="2777">
      <formula>$H286="ETAPA"</formula>
    </cfRule>
    <cfRule type="expression" dxfId="2118" priority="2778">
      <formula>$H286="SUBETAPA"</formula>
    </cfRule>
  </conditionalFormatting>
  <conditionalFormatting sqref="O287">
    <cfRule type="expression" dxfId="2117" priority="2775">
      <formula>$H287="CÉLULA CONSTRUTIVA"</formula>
    </cfRule>
    <cfRule type="expression" dxfId="2116" priority="2774">
      <formula>$H287="SUBETAPA"</formula>
    </cfRule>
    <cfRule type="expression" dxfId="2115" priority="2776">
      <formula>$H287="ETAPA"</formula>
    </cfRule>
  </conditionalFormatting>
  <conditionalFormatting sqref="O288">
    <cfRule type="expression" dxfId="2114" priority="2768">
      <formula>$H288="SUBETAPA"</formula>
    </cfRule>
    <cfRule type="expression" dxfId="2113" priority="2769">
      <formula>$H288="ETAPA"</formula>
    </cfRule>
    <cfRule type="expression" dxfId="2112" priority="2770">
      <formula>$H288="SUBETAPA"</formula>
    </cfRule>
    <cfRule type="expression" dxfId="2111" priority="2772">
      <formula>$H288="SUBETAPA"</formula>
    </cfRule>
    <cfRule type="expression" dxfId="2110" priority="2773">
      <formula>$H288="CÉLULA CONSTRUTIVA"</formula>
    </cfRule>
    <cfRule type="expression" dxfId="2109" priority="2771">
      <formula>$H288="ETAPA"</formula>
    </cfRule>
    <cfRule type="expression" dxfId="2108" priority="2767">
      <formula>$H288="ETAPA"</formula>
    </cfRule>
  </conditionalFormatting>
  <conditionalFormatting sqref="O289">
    <cfRule type="expression" dxfId="2107" priority="2764">
      <formula>$H289="SUBETAPA"</formula>
    </cfRule>
    <cfRule type="expression" dxfId="2106" priority="2765">
      <formula>$H289="CÉLULA CONSTRUTIVA"</formula>
    </cfRule>
    <cfRule type="expression" dxfId="2105" priority="2766">
      <formula>$H289="ETAPA"</formula>
    </cfRule>
  </conditionalFormatting>
  <conditionalFormatting sqref="O290">
    <cfRule type="expression" dxfId="2104" priority="2763">
      <formula>$H290="CÉLULA CONSTRUTIVA"</formula>
    </cfRule>
    <cfRule type="expression" dxfId="2103" priority="2761">
      <formula>$H290="ETAPA"</formula>
    </cfRule>
    <cfRule type="expression" dxfId="2102" priority="2760">
      <formula>$H290="SUBETAPA"</formula>
    </cfRule>
    <cfRule type="expression" dxfId="2101" priority="2759">
      <formula>$H290="ETAPA"</formula>
    </cfRule>
    <cfRule type="expression" dxfId="2100" priority="2758">
      <formula>$H290="SUBETAPA"</formula>
    </cfRule>
    <cfRule type="expression" dxfId="2099" priority="2757">
      <formula>$H290="ETAPA"</formula>
    </cfRule>
    <cfRule type="expression" dxfId="2098" priority="2762">
      <formula>$H290="SUBETAPA"</formula>
    </cfRule>
  </conditionalFormatting>
  <conditionalFormatting sqref="O291">
    <cfRule type="expression" dxfId="2097" priority="2756">
      <formula>$H291="ETAPA"</formula>
    </cfRule>
    <cfRule type="expression" dxfId="2096" priority="2754">
      <formula>$H291="SUBETAPA"</formula>
    </cfRule>
    <cfRule type="expression" dxfId="2095" priority="2755">
      <formula>$H291="CÉLULA CONSTRUTIVA"</formula>
    </cfRule>
  </conditionalFormatting>
  <conditionalFormatting sqref="O292">
    <cfRule type="expression" dxfId="2094" priority="2753">
      <formula>$H292="CÉLULA CONSTRUTIVA"</formula>
    </cfRule>
    <cfRule type="expression" dxfId="2093" priority="2752">
      <formula>$H292="SUBETAPA"</formula>
    </cfRule>
    <cfRule type="expression" dxfId="2092" priority="2747">
      <formula>$H292="ETAPA"</formula>
    </cfRule>
    <cfRule type="expression" dxfId="2091" priority="2748">
      <formula>$H292="SUBETAPA"</formula>
    </cfRule>
    <cfRule type="expression" dxfId="2090" priority="2749">
      <formula>$H292="ETAPA"</formula>
    </cfRule>
    <cfRule type="expression" dxfId="2089" priority="2750">
      <formula>$H292="SUBETAPA"</formula>
    </cfRule>
    <cfRule type="expression" dxfId="2088" priority="2751">
      <formula>$H292="ETAPA"</formula>
    </cfRule>
  </conditionalFormatting>
  <conditionalFormatting sqref="O293">
    <cfRule type="expression" dxfId="2087" priority="2745">
      <formula>$H293="CÉLULA CONSTRUTIVA"</formula>
    </cfRule>
    <cfRule type="expression" dxfId="2086" priority="2744">
      <formula>$H293="SUBETAPA"</formula>
    </cfRule>
    <cfRule type="expression" dxfId="2085" priority="2746">
      <formula>$H293="ETAPA"</formula>
    </cfRule>
  </conditionalFormatting>
  <conditionalFormatting sqref="O294">
    <cfRule type="expression" dxfId="2084" priority="2740">
      <formula>$H294="SUBETAPA"</formula>
    </cfRule>
    <cfRule type="expression" dxfId="2083" priority="2739">
      <formula>$H294="ETAPA"</formula>
    </cfRule>
    <cfRule type="expression" dxfId="2082" priority="2738">
      <formula>$H294="SUBETAPA"</formula>
    </cfRule>
    <cfRule type="expression" dxfId="2081" priority="2737">
      <formula>$H294="ETAPA"</formula>
    </cfRule>
    <cfRule type="expression" dxfId="2080" priority="2743">
      <formula>$H294="CÉLULA CONSTRUTIVA"</formula>
    </cfRule>
    <cfRule type="expression" dxfId="2079" priority="2742">
      <formula>$H294="SUBETAPA"</formula>
    </cfRule>
    <cfRule type="expression" dxfId="2078" priority="2741">
      <formula>$H294="ETAPA"</formula>
    </cfRule>
  </conditionalFormatting>
  <conditionalFormatting sqref="O295">
    <cfRule type="expression" dxfId="2077" priority="2735">
      <formula>$H295="CÉLULA CONSTRUTIVA"</formula>
    </cfRule>
    <cfRule type="expression" dxfId="2076" priority="2734">
      <formula>$H295="SUBETAPA"</formula>
    </cfRule>
    <cfRule type="expression" dxfId="2075" priority="2736">
      <formula>$H295="ETAPA"</formula>
    </cfRule>
  </conditionalFormatting>
  <conditionalFormatting sqref="O296">
    <cfRule type="expression" dxfId="2074" priority="2731">
      <formula>$H296="ETAPA"</formula>
    </cfRule>
    <cfRule type="expression" dxfId="2073" priority="2732">
      <formula>$H296="SUBETAPA"</formula>
    </cfRule>
    <cfRule type="expression" dxfId="2072" priority="2733">
      <formula>$H296="CÉLULA CONSTRUTIVA"</formula>
    </cfRule>
    <cfRule type="expression" dxfId="2071" priority="2727">
      <formula>$H296="ETAPA"</formula>
    </cfRule>
    <cfRule type="expression" dxfId="2070" priority="2728">
      <formula>$H296="SUBETAPA"</formula>
    </cfRule>
    <cfRule type="expression" dxfId="2069" priority="2729">
      <formula>$H296="ETAPA"</formula>
    </cfRule>
    <cfRule type="expression" dxfId="2068" priority="2730">
      <formula>$H296="SUBETAPA"</formula>
    </cfRule>
  </conditionalFormatting>
  <conditionalFormatting sqref="O297">
    <cfRule type="expression" dxfId="2067" priority="2724">
      <formula>$H297="SUBETAPA"</formula>
    </cfRule>
    <cfRule type="expression" dxfId="2066" priority="2726">
      <formula>$H297="ETAPA"</formula>
    </cfRule>
    <cfRule type="expression" dxfId="2065" priority="2725">
      <formula>$H297="CÉLULA CONSTRUTIVA"</formula>
    </cfRule>
  </conditionalFormatting>
  <conditionalFormatting sqref="O298">
    <cfRule type="expression" dxfId="2064" priority="2722">
      <formula>$H298="SUBETAPA"</formula>
    </cfRule>
    <cfRule type="expression" dxfId="2063" priority="2723">
      <formula>$H298="CÉLULA CONSTRUTIVA"</formula>
    </cfRule>
    <cfRule type="expression" dxfId="2062" priority="2721">
      <formula>$H298="ETAPA"</formula>
    </cfRule>
    <cfRule type="expression" dxfId="2061" priority="2720">
      <formula>$H298="SUBETAPA"</formula>
    </cfRule>
    <cfRule type="expression" dxfId="2060" priority="2719">
      <formula>$H298="ETAPA"</formula>
    </cfRule>
    <cfRule type="expression" dxfId="2059" priority="2718">
      <formula>$H298="SUBETAPA"</formula>
    </cfRule>
    <cfRule type="expression" dxfId="2058" priority="2717">
      <formula>$H298="ETAPA"</formula>
    </cfRule>
  </conditionalFormatting>
  <conditionalFormatting sqref="O299">
    <cfRule type="expression" dxfId="2057" priority="2716">
      <formula>$H299="ETAPA"</formula>
    </cfRule>
    <cfRule type="expression" dxfId="2056" priority="2715">
      <formula>$H299="CÉLULA CONSTRUTIVA"</formula>
    </cfRule>
    <cfRule type="expression" dxfId="2055" priority="2714">
      <formula>$H299="SUBETAPA"</formula>
    </cfRule>
  </conditionalFormatting>
  <conditionalFormatting sqref="O300">
    <cfRule type="expression" dxfId="2054" priority="2709">
      <formula>$H300="ETAPA"</formula>
    </cfRule>
    <cfRule type="expression" dxfId="2053" priority="2707">
      <formula>$H300="ETAPA"</formula>
    </cfRule>
    <cfRule type="expression" dxfId="2052" priority="2708">
      <formula>$H300="SUBETAPA"</formula>
    </cfRule>
    <cfRule type="expression" dxfId="2051" priority="2713">
      <formula>$H300="CÉLULA CONSTRUTIVA"</formula>
    </cfRule>
    <cfRule type="expression" dxfId="2050" priority="2712">
      <formula>$H300="SUBETAPA"</formula>
    </cfRule>
    <cfRule type="expression" dxfId="2049" priority="2711">
      <formula>$H300="ETAPA"</formula>
    </cfRule>
    <cfRule type="expression" dxfId="2048" priority="2710">
      <formula>$H300="SUBETAPA"</formula>
    </cfRule>
  </conditionalFormatting>
  <conditionalFormatting sqref="O301">
    <cfRule type="expression" dxfId="2047" priority="2704">
      <formula>$H301="SUBETAPA"</formula>
    </cfRule>
    <cfRule type="expression" dxfId="2046" priority="2705">
      <formula>$H301="CÉLULA CONSTRUTIVA"</formula>
    </cfRule>
    <cfRule type="expression" dxfId="2045" priority="2706">
      <formula>$H301="ETAPA"</formula>
    </cfRule>
  </conditionalFormatting>
  <conditionalFormatting sqref="O303">
    <cfRule type="expression" dxfId="2044" priority="2701">
      <formula>$H303="SUBETAPA"</formula>
    </cfRule>
    <cfRule type="expression" dxfId="2043" priority="2703">
      <formula>$H303="ETAPA"</formula>
    </cfRule>
    <cfRule type="expression" dxfId="2042" priority="2702">
      <formula>$H303="CÉLULA CONSTRUTIVA"</formula>
    </cfRule>
  </conditionalFormatting>
  <conditionalFormatting sqref="O304 O302">
    <cfRule type="expression" dxfId="2041" priority="2696">
      <formula>$H302="ETAPA"</formula>
    </cfRule>
    <cfRule type="expression" dxfId="2040" priority="2697">
      <formula>$H302="SUBETAPA"</formula>
    </cfRule>
    <cfRule type="expression" dxfId="2039" priority="2698">
      <formula>$H302="ETAPA"</formula>
    </cfRule>
    <cfRule type="expression" dxfId="2038" priority="2699">
      <formula>$H302="SUBETAPA"</formula>
    </cfRule>
    <cfRule type="expression" dxfId="2037" priority="2700">
      <formula>$H302="CÉLULA CONSTRUTIVA"</formula>
    </cfRule>
    <cfRule type="expression" dxfId="2036" priority="2695">
      <formula>$H302="SUBETAPA"</formula>
    </cfRule>
    <cfRule type="expression" dxfId="2035" priority="2694">
      <formula>$H302="ETAPA"</formula>
    </cfRule>
  </conditionalFormatting>
  <conditionalFormatting sqref="O305">
    <cfRule type="expression" dxfId="2034" priority="2693">
      <formula>$H305="ETAPA"</formula>
    </cfRule>
    <cfRule type="expression" dxfId="2033" priority="2692">
      <formula>$H305="CÉLULA CONSTRUTIVA"</formula>
    </cfRule>
    <cfRule type="expression" dxfId="2032" priority="2691">
      <formula>$H305="SUBETAPA"</formula>
    </cfRule>
  </conditionalFormatting>
  <conditionalFormatting sqref="O306">
    <cfRule type="expression" dxfId="2031" priority="2684">
      <formula>$H306="ETAPA"</formula>
    </cfRule>
    <cfRule type="expression" dxfId="2030" priority="2685">
      <formula>$H306="SUBETAPA"</formula>
    </cfRule>
    <cfRule type="expression" dxfId="2029" priority="2686">
      <formula>$H306="ETAPA"</formula>
    </cfRule>
    <cfRule type="expression" dxfId="2028" priority="2687">
      <formula>$H306="SUBETAPA"</formula>
    </cfRule>
    <cfRule type="expression" dxfId="2027" priority="2690">
      <formula>$H306="CÉLULA CONSTRUTIVA"</formula>
    </cfRule>
    <cfRule type="expression" dxfId="2026" priority="2689">
      <formula>$H306="SUBETAPA"</formula>
    </cfRule>
    <cfRule type="expression" dxfId="2025" priority="2688">
      <formula>$H306="ETAPA"</formula>
    </cfRule>
  </conditionalFormatting>
  <conditionalFormatting sqref="O307">
    <cfRule type="expression" dxfId="2024" priority="2681">
      <formula>$H307="SUBETAPA"</formula>
    </cfRule>
    <cfRule type="expression" dxfId="2023" priority="2682">
      <formula>$H307="CÉLULA CONSTRUTIVA"</formula>
    </cfRule>
    <cfRule type="expression" dxfId="2022" priority="2683">
      <formula>$H307="ETAPA"</formula>
    </cfRule>
  </conditionalFormatting>
  <conditionalFormatting sqref="O308">
    <cfRule type="expression" dxfId="2021" priority="2679">
      <formula>$H308="SUBETAPA"</formula>
    </cfRule>
    <cfRule type="expression" dxfId="2020" priority="2680">
      <formula>$H308="CÉLULA CONSTRUTIVA"</formula>
    </cfRule>
    <cfRule type="expression" dxfId="2019" priority="2674">
      <formula>$H308="ETAPA"</formula>
    </cfRule>
    <cfRule type="expression" dxfId="2018" priority="2675">
      <formula>$H308="SUBETAPA"</formula>
    </cfRule>
    <cfRule type="expression" dxfId="2017" priority="2676">
      <formula>$H308="ETAPA"</formula>
    </cfRule>
    <cfRule type="expression" dxfId="2016" priority="2677">
      <formula>$H308="SUBETAPA"</formula>
    </cfRule>
    <cfRule type="expression" dxfId="2015" priority="2678">
      <formula>$H308="ETAPA"</formula>
    </cfRule>
  </conditionalFormatting>
  <conditionalFormatting sqref="O309">
    <cfRule type="expression" dxfId="2014" priority="2672">
      <formula>$H309="CÉLULA CONSTRUTIVA"</formula>
    </cfRule>
    <cfRule type="expression" dxfId="2013" priority="2671">
      <formula>$H309="SUBETAPA"</formula>
    </cfRule>
    <cfRule type="expression" dxfId="2012" priority="2673">
      <formula>$H309="ETAPA"</formula>
    </cfRule>
  </conditionalFormatting>
  <conditionalFormatting sqref="O310">
    <cfRule type="expression" dxfId="2011" priority="2666">
      <formula>$H310="ETAPA"</formula>
    </cfRule>
    <cfRule type="expression" dxfId="2010" priority="2668">
      <formula>$H310="ETAPA"</formula>
    </cfRule>
    <cfRule type="expression" dxfId="2009" priority="2667">
      <formula>$H310="SUBETAPA"</formula>
    </cfRule>
    <cfRule type="expression" dxfId="2008" priority="2665">
      <formula>$H310="SUBETAPA"</formula>
    </cfRule>
    <cfRule type="expression" dxfId="2007" priority="2664">
      <formula>$H310="ETAPA"</formula>
    </cfRule>
    <cfRule type="expression" dxfId="2006" priority="2670">
      <formula>$H310="CÉLULA CONSTRUTIVA"</formula>
    </cfRule>
    <cfRule type="expression" dxfId="2005" priority="2669">
      <formula>$H310="SUBETAPA"</formula>
    </cfRule>
  </conditionalFormatting>
  <conditionalFormatting sqref="O311">
    <cfRule type="expression" dxfId="2004" priority="2661">
      <formula>$H311="SUBETAPA"</formula>
    </cfRule>
    <cfRule type="expression" dxfId="2003" priority="2662">
      <formula>$H311="CÉLULA CONSTRUTIVA"</formula>
    </cfRule>
    <cfRule type="expression" dxfId="2002" priority="2663">
      <formula>$H311="ETAPA"</formula>
    </cfRule>
  </conditionalFormatting>
  <conditionalFormatting sqref="O313">
    <cfRule type="expression" dxfId="2001" priority="2659">
      <formula>$H313="CÉLULA CONSTRUTIVA"</formula>
    </cfRule>
    <cfRule type="expression" dxfId="2000" priority="2660">
      <formula>$H313="ETAPA"</formula>
    </cfRule>
  </conditionalFormatting>
  <conditionalFormatting sqref="O313:O314">
    <cfRule type="expression" dxfId="1999" priority="2658">
      <formula>$H313="SUBETAPA"</formula>
    </cfRule>
  </conditionalFormatting>
  <conditionalFormatting sqref="O314">
    <cfRule type="expression" dxfId="1998" priority="2657">
      <formula>$H314="ETAPA"</formula>
    </cfRule>
    <cfRule type="expression" dxfId="1997" priority="2656">
      <formula>$H314="CÉLULA CONSTRUTIVA"</formula>
    </cfRule>
  </conditionalFormatting>
  <conditionalFormatting sqref="O315">
    <cfRule type="expression" dxfId="1996" priority="2655">
      <formula>$H315="CÉLULA CONSTRUTIVA"</formula>
    </cfRule>
    <cfRule type="expression" dxfId="1995" priority="2654">
      <formula>$H315="SUBETAPA"</formula>
    </cfRule>
    <cfRule type="expression" dxfId="1994" priority="2653">
      <formula>$H315="ETAPA"</formula>
    </cfRule>
    <cfRule type="expression" dxfId="1993" priority="2652">
      <formula>$H315="SUBETAPA"</formula>
    </cfRule>
    <cfRule type="expression" dxfId="1992" priority="2651">
      <formula>$H315="ETAPA"</formula>
    </cfRule>
    <cfRule type="expression" dxfId="1991" priority="2650">
      <formula>$H315="SUBETAPA"</formula>
    </cfRule>
    <cfRule type="expression" dxfId="1990" priority="2649">
      <formula>$H315="ETAPA"</formula>
    </cfRule>
  </conditionalFormatting>
  <conditionalFormatting sqref="O316">
    <cfRule type="expression" dxfId="1989" priority="2647">
      <formula>$H316="CÉLULA CONSTRUTIVA"</formula>
    </cfRule>
    <cfRule type="expression" dxfId="1988" priority="2648">
      <formula>$H316="ETAPA"</formula>
    </cfRule>
    <cfRule type="expression" dxfId="1987" priority="2646">
      <formula>$H316="SUBETAPA"</formula>
    </cfRule>
  </conditionalFormatting>
  <conditionalFormatting sqref="O317">
    <cfRule type="expression" dxfId="1986" priority="2642">
      <formula>$H317="SUBETAPA"</formula>
    </cfRule>
    <cfRule type="expression" dxfId="1985" priority="2643">
      <formula>$H317="ETAPA"</formula>
    </cfRule>
    <cfRule type="expression" dxfId="1984" priority="2644">
      <formula>$H317="SUBETAPA"</formula>
    </cfRule>
    <cfRule type="expression" dxfId="1983" priority="2645">
      <formula>$H317="CÉLULA CONSTRUTIVA"</formula>
    </cfRule>
    <cfRule type="expression" dxfId="1982" priority="2639">
      <formula>$H317="ETAPA"</formula>
    </cfRule>
    <cfRule type="expression" dxfId="1981" priority="2640">
      <formula>$H317="SUBETAPA"</formula>
    </cfRule>
    <cfRule type="expression" dxfId="1980" priority="2641">
      <formula>$H317="ETAPA"</formula>
    </cfRule>
  </conditionalFormatting>
  <conditionalFormatting sqref="O318">
    <cfRule type="expression" dxfId="1979" priority="2637">
      <formula>$H318="CÉLULA CONSTRUTIVA"</formula>
    </cfRule>
    <cfRule type="expression" dxfId="1978" priority="2636">
      <formula>$H318="SUBETAPA"</formula>
    </cfRule>
    <cfRule type="expression" dxfId="1977" priority="2638">
      <formula>$H318="ETAPA"</formula>
    </cfRule>
  </conditionalFormatting>
  <conditionalFormatting sqref="O319">
    <cfRule type="expression" dxfId="1976" priority="2635">
      <formula>$H319="CÉLULA CONSTRUTIVA"</formula>
    </cfRule>
    <cfRule type="expression" dxfId="1975" priority="2634">
      <formula>$H319="SUBETAPA"</formula>
    </cfRule>
    <cfRule type="expression" dxfId="1974" priority="2633">
      <formula>$H319="ETAPA"</formula>
    </cfRule>
    <cfRule type="expression" dxfId="1973" priority="2632">
      <formula>$H319="SUBETAPA"</formula>
    </cfRule>
    <cfRule type="expression" dxfId="1972" priority="2631">
      <formula>$H319="ETAPA"</formula>
    </cfRule>
    <cfRule type="expression" dxfId="1971" priority="2630">
      <formula>$H319="SUBETAPA"</formula>
    </cfRule>
    <cfRule type="expression" dxfId="1970" priority="2629">
      <formula>$H319="ETAPA"</formula>
    </cfRule>
  </conditionalFormatting>
  <conditionalFormatting sqref="O320">
    <cfRule type="expression" dxfId="1969" priority="2628">
      <formula>$H320="ETAPA"</formula>
    </cfRule>
    <cfRule type="expression" dxfId="1968" priority="2627">
      <formula>$H320="CÉLULA CONSTRUTIVA"</formula>
    </cfRule>
    <cfRule type="expression" dxfId="1967" priority="2626">
      <formula>$H320="SUBETAPA"</formula>
    </cfRule>
  </conditionalFormatting>
  <conditionalFormatting sqref="O321">
    <cfRule type="expression" dxfId="1966" priority="2623">
      <formula>$H321="ETAPA"</formula>
    </cfRule>
    <cfRule type="expression" dxfId="1965" priority="2625">
      <formula>$H321="CÉLULA CONSTRUTIVA"</formula>
    </cfRule>
    <cfRule type="expression" dxfId="1964" priority="2624">
      <formula>$H321="SUBETAPA"</formula>
    </cfRule>
    <cfRule type="expression" dxfId="1963" priority="2622">
      <formula>$H321="SUBETAPA"</formula>
    </cfRule>
    <cfRule type="expression" dxfId="1962" priority="2621">
      <formula>$H321="ETAPA"</formula>
    </cfRule>
    <cfRule type="expression" dxfId="1961" priority="2620">
      <formula>$H321="SUBETAPA"</formula>
    </cfRule>
    <cfRule type="expression" dxfId="1960" priority="2619">
      <formula>$H321="ETAPA"</formula>
    </cfRule>
  </conditionalFormatting>
  <conditionalFormatting sqref="O322">
    <cfRule type="expression" dxfId="1959" priority="2618">
      <formula>$H322="ETAPA"</formula>
    </cfRule>
    <cfRule type="expression" dxfId="1958" priority="2617">
      <formula>$H322="CÉLULA CONSTRUTIVA"</formula>
    </cfRule>
    <cfRule type="expression" dxfId="1957" priority="2616">
      <formula>$H322="SUBETAPA"</formula>
    </cfRule>
  </conditionalFormatting>
  <conditionalFormatting sqref="O323">
    <cfRule type="expression" dxfId="1956" priority="2609">
      <formula>$H323="ETAPA"</formula>
    </cfRule>
    <cfRule type="expression" dxfId="1955" priority="2612">
      <formula>$H323="SUBETAPA"</formula>
    </cfRule>
    <cfRule type="expression" dxfId="1954" priority="2610">
      <formula>$H323="SUBETAPA"</formula>
    </cfRule>
    <cfRule type="expression" dxfId="1953" priority="2611">
      <formula>$H323="ETAPA"</formula>
    </cfRule>
    <cfRule type="expression" dxfId="1952" priority="2613">
      <formula>$H323="ETAPA"</formula>
    </cfRule>
    <cfRule type="expression" dxfId="1951" priority="2615">
      <formula>$H323="CÉLULA CONSTRUTIVA"</formula>
    </cfRule>
    <cfRule type="expression" dxfId="1950" priority="2614">
      <formula>$H323="SUBETAPA"</formula>
    </cfRule>
  </conditionalFormatting>
  <conditionalFormatting sqref="O324">
    <cfRule type="expression" dxfId="1949" priority="2608">
      <formula>$H324="ETAPA"</formula>
    </cfRule>
    <cfRule type="expression" dxfId="1948" priority="2607">
      <formula>$H324="CÉLULA CONSTRUTIVA"</formula>
    </cfRule>
    <cfRule type="expression" dxfId="1947" priority="2606">
      <formula>$H324="SUBETAPA"</formula>
    </cfRule>
  </conditionalFormatting>
  <conditionalFormatting sqref="O325">
    <cfRule type="expression" dxfId="1946" priority="2603">
      <formula>$H325="ETAPA"</formula>
    </cfRule>
    <cfRule type="expression" dxfId="1945" priority="2602">
      <formula>$H325="SUBETAPA"</formula>
    </cfRule>
    <cfRule type="expression" dxfId="1944" priority="2601">
      <formula>$H325="ETAPA"</formula>
    </cfRule>
    <cfRule type="expression" dxfId="1943" priority="2599">
      <formula>$H325="ETAPA"</formula>
    </cfRule>
    <cfRule type="expression" dxfId="1942" priority="2605">
      <formula>$H325="CÉLULA CONSTRUTIVA"</formula>
    </cfRule>
    <cfRule type="expression" dxfId="1941" priority="2600">
      <formula>$H325="SUBETAPA"</formula>
    </cfRule>
    <cfRule type="expression" dxfId="1940" priority="2604">
      <formula>$H325="SUBETAPA"</formula>
    </cfRule>
  </conditionalFormatting>
  <conditionalFormatting sqref="O326">
    <cfRule type="expression" dxfId="1939" priority="2597">
      <formula>$H326="CÉLULA CONSTRUTIVA"</formula>
    </cfRule>
    <cfRule type="expression" dxfId="1938" priority="2598">
      <formula>$H326="ETAPA"</formula>
    </cfRule>
    <cfRule type="expression" dxfId="1937" priority="2596">
      <formula>$H326="SUBETAPA"</formula>
    </cfRule>
  </conditionalFormatting>
  <conditionalFormatting sqref="O327">
    <cfRule type="expression" dxfId="1936" priority="2589">
      <formula>$H327="ETAPA"</formula>
    </cfRule>
    <cfRule type="expression" dxfId="1935" priority="2590">
      <formula>$H327="SUBETAPA"</formula>
    </cfRule>
    <cfRule type="expression" dxfId="1934" priority="2591">
      <formula>$H327="ETAPA"</formula>
    </cfRule>
    <cfRule type="expression" dxfId="1933" priority="2592">
      <formula>$H327="SUBETAPA"</formula>
    </cfRule>
    <cfRule type="expression" dxfId="1932" priority="2595">
      <formula>$H327="CÉLULA CONSTRUTIVA"</formula>
    </cfRule>
    <cfRule type="expression" dxfId="1931" priority="2594">
      <formula>$H327="SUBETAPA"</formula>
    </cfRule>
    <cfRule type="expression" dxfId="1930" priority="2593">
      <formula>$H327="ETAPA"</formula>
    </cfRule>
  </conditionalFormatting>
  <conditionalFormatting sqref="O328">
    <cfRule type="expression" dxfId="1929" priority="2586">
      <formula>$H328="SUBETAPA"</formula>
    </cfRule>
    <cfRule type="expression" dxfId="1928" priority="2587">
      <formula>$H328="CÉLULA CONSTRUTIVA"</formula>
    </cfRule>
    <cfRule type="expression" dxfId="1927" priority="2588">
      <formula>$H328="ETAPA"</formula>
    </cfRule>
  </conditionalFormatting>
  <conditionalFormatting sqref="O329">
    <cfRule type="expression" dxfId="1926" priority="2584">
      <formula>$H329="SUBETAPA"</formula>
    </cfRule>
    <cfRule type="expression" dxfId="1925" priority="2585">
      <formula>$H329="CÉLULA CONSTRUTIVA"</formula>
    </cfRule>
    <cfRule type="expression" dxfId="1924" priority="2579">
      <formula>$H329="ETAPA"</formula>
    </cfRule>
    <cfRule type="expression" dxfId="1923" priority="2580">
      <formula>$H329="SUBETAPA"</formula>
    </cfRule>
    <cfRule type="expression" dxfId="1922" priority="2581">
      <formula>$H329="ETAPA"</formula>
    </cfRule>
    <cfRule type="expression" dxfId="1921" priority="2582">
      <formula>$H329="SUBETAPA"</formula>
    </cfRule>
    <cfRule type="expression" dxfId="1920" priority="2583">
      <formula>$H329="ETAPA"</formula>
    </cfRule>
  </conditionalFormatting>
  <conditionalFormatting sqref="O330">
    <cfRule type="expression" dxfId="1919" priority="2577">
      <formula>$H330="CÉLULA CONSTRUTIVA"</formula>
    </cfRule>
    <cfRule type="expression" dxfId="1918" priority="2576">
      <formula>$H330="SUBETAPA"</formula>
    </cfRule>
    <cfRule type="expression" dxfId="1917" priority="2578">
      <formula>$H330="ETAPA"</formula>
    </cfRule>
  </conditionalFormatting>
  <conditionalFormatting sqref="O331">
    <cfRule type="expression" dxfId="1916" priority="2575">
      <formula>$H331="CÉLULA CONSTRUTIVA"</formula>
    </cfRule>
    <cfRule type="expression" dxfId="1915" priority="2574">
      <formula>$H331="SUBETAPA"</formula>
    </cfRule>
    <cfRule type="expression" dxfId="1914" priority="2573">
      <formula>$H331="ETAPA"</formula>
    </cfRule>
    <cfRule type="expression" dxfId="1913" priority="2572">
      <formula>$H331="SUBETAPA"</formula>
    </cfRule>
    <cfRule type="expression" dxfId="1912" priority="2571">
      <formula>$H331="ETAPA"</formula>
    </cfRule>
    <cfRule type="expression" dxfId="1911" priority="2569">
      <formula>$H331="ETAPA"</formula>
    </cfRule>
    <cfRule type="expression" dxfId="1910" priority="2570">
      <formula>$H331="SUBETAPA"</formula>
    </cfRule>
  </conditionalFormatting>
  <conditionalFormatting sqref="O332">
    <cfRule type="expression" dxfId="1909" priority="2568">
      <formula>$H332="ETAPA"</formula>
    </cfRule>
    <cfRule type="expression" dxfId="1908" priority="2567">
      <formula>$H332="CÉLULA CONSTRUTIVA"</formula>
    </cfRule>
    <cfRule type="expression" dxfId="1907" priority="2566">
      <formula>$H332="SUBETAPA"</formula>
    </cfRule>
  </conditionalFormatting>
  <conditionalFormatting sqref="O333">
    <cfRule type="expression" dxfId="1906" priority="2565">
      <formula>$H333="CÉLULA CONSTRUTIVA"</formula>
    </cfRule>
    <cfRule type="expression" dxfId="1905" priority="2564">
      <formula>$H333="SUBETAPA"</formula>
    </cfRule>
    <cfRule type="expression" dxfId="1904" priority="2560">
      <formula>$H333="SUBETAPA"</formula>
    </cfRule>
    <cfRule type="expression" dxfId="1903" priority="2561">
      <formula>$H333="ETAPA"</formula>
    </cfRule>
    <cfRule type="expression" dxfId="1902" priority="2562">
      <formula>$H333="SUBETAPA"</formula>
    </cfRule>
    <cfRule type="expression" dxfId="1901" priority="2563">
      <formula>$H333="ETAPA"</formula>
    </cfRule>
    <cfRule type="expression" dxfId="1900" priority="2559">
      <formula>$H333="ETAPA"</formula>
    </cfRule>
  </conditionalFormatting>
  <conditionalFormatting sqref="O334">
    <cfRule type="expression" dxfId="1899" priority="2556">
      <formula>$H334="SUBETAPA"</formula>
    </cfRule>
    <cfRule type="expression" dxfId="1898" priority="2557">
      <formula>$H334="CÉLULA CONSTRUTIVA"</formula>
    </cfRule>
    <cfRule type="expression" dxfId="1897" priority="2558">
      <formula>$H334="ETAPA"</formula>
    </cfRule>
  </conditionalFormatting>
  <conditionalFormatting sqref="O336">
    <cfRule type="expression" dxfId="1896" priority="2553">
      <formula>$H336="SUBETAPA"</formula>
    </cfRule>
    <cfRule type="expression" dxfId="1895" priority="2554">
      <formula>$H336="CÉLULA CONSTRUTIVA"</formula>
    </cfRule>
    <cfRule type="expression" dxfId="1894" priority="2555">
      <formula>$H336="ETAPA"</formula>
    </cfRule>
  </conditionalFormatting>
  <conditionalFormatting sqref="O337 O335">
    <cfRule type="expression" dxfId="1893" priority="2547">
      <formula>$H335="SUBETAPA"</formula>
    </cfRule>
    <cfRule type="expression" dxfId="1892" priority="2548">
      <formula>$H335="ETAPA"</formula>
    </cfRule>
    <cfRule type="expression" dxfId="1891" priority="2549">
      <formula>$H335="SUBETAPA"</formula>
    </cfRule>
    <cfRule type="expression" dxfId="1890" priority="2552">
      <formula>$H335="CÉLULA CONSTRUTIVA"</formula>
    </cfRule>
    <cfRule type="expression" dxfId="1889" priority="2546">
      <formula>$H335="ETAPA"</formula>
    </cfRule>
    <cfRule type="expression" dxfId="1888" priority="2550">
      <formula>$H335="ETAPA"</formula>
    </cfRule>
    <cfRule type="expression" dxfId="1887" priority="2551">
      <formula>$H335="SUBETAPA"</formula>
    </cfRule>
  </conditionalFormatting>
  <conditionalFormatting sqref="O338">
    <cfRule type="expression" dxfId="1886" priority="2545">
      <formula>$H338="ETAPA"</formula>
    </cfRule>
    <cfRule type="expression" dxfId="1885" priority="2544">
      <formula>$H338="CÉLULA CONSTRUTIVA"</formula>
    </cfRule>
    <cfRule type="expression" dxfId="1884" priority="2543">
      <formula>$H338="SUBETAPA"</formula>
    </cfRule>
  </conditionalFormatting>
  <conditionalFormatting sqref="O339">
    <cfRule type="expression" dxfId="1883" priority="2542">
      <formula>$H339="CÉLULA CONSTRUTIVA"</formula>
    </cfRule>
    <cfRule type="expression" dxfId="1882" priority="2541">
      <formula>$H339="SUBETAPA"</formula>
    </cfRule>
    <cfRule type="expression" dxfId="1881" priority="2540">
      <formula>$H339="ETAPA"</formula>
    </cfRule>
    <cfRule type="expression" dxfId="1880" priority="2539">
      <formula>$H339="SUBETAPA"</formula>
    </cfRule>
    <cfRule type="expression" dxfId="1879" priority="2538">
      <formula>$H339="ETAPA"</formula>
    </cfRule>
    <cfRule type="expression" dxfId="1878" priority="2537">
      <formula>$H339="SUBETAPA"</formula>
    </cfRule>
    <cfRule type="expression" dxfId="1877" priority="2536">
      <formula>$H339="ETAPA"</formula>
    </cfRule>
  </conditionalFormatting>
  <conditionalFormatting sqref="O340">
    <cfRule type="expression" dxfId="1876" priority="2534">
      <formula>$H340="CÉLULA CONSTRUTIVA"</formula>
    </cfRule>
    <cfRule type="expression" dxfId="1875" priority="2533">
      <formula>$H340="SUBETAPA"</formula>
    </cfRule>
    <cfRule type="expression" dxfId="1874" priority="2535">
      <formula>$H340="ETAPA"</formula>
    </cfRule>
  </conditionalFormatting>
  <conditionalFormatting sqref="O341">
    <cfRule type="expression" dxfId="1873" priority="2531">
      <formula>$H341="SUBETAPA"</formula>
    </cfRule>
    <cfRule type="expression" dxfId="1872" priority="2530">
      <formula>$H341="ETAPA"</formula>
    </cfRule>
    <cfRule type="expression" dxfId="1871" priority="2529">
      <formula>$H341="SUBETAPA"</formula>
    </cfRule>
    <cfRule type="expression" dxfId="1870" priority="2528">
      <formula>$H341="ETAPA"</formula>
    </cfRule>
    <cfRule type="expression" dxfId="1869" priority="2527">
      <formula>$H341="SUBETAPA"</formula>
    </cfRule>
    <cfRule type="expression" dxfId="1868" priority="2526">
      <formula>$H341="ETAPA"</formula>
    </cfRule>
    <cfRule type="expression" dxfId="1867" priority="2532">
      <formula>$H341="CÉLULA CONSTRUTIVA"</formula>
    </cfRule>
  </conditionalFormatting>
  <conditionalFormatting sqref="O342">
    <cfRule type="expression" dxfId="1866" priority="2525">
      <formula>$H342="ETAPA"</formula>
    </cfRule>
    <cfRule type="expression" dxfId="1865" priority="2524">
      <formula>$H342="CÉLULA CONSTRUTIVA"</formula>
    </cfRule>
    <cfRule type="expression" dxfId="1864" priority="2523">
      <formula>$H342="SUBETAPA"</formula>
    </cfRule>
  </conditionalFormatting>
  <conditionalFormatting sqref="O343">
    <cfRule type="expression" dxfId="1863" priority="2516">
      <formula>$H343="ETAPA"</formula>
    </cfRule>
    <cfRule type="expression" dxfId="1862" priority="2522">
      <formula>$H343="CÉLULA CONSTRUTIVA"</formula>
    </cfRule>
    <cfRule type="expression" dxfId="1861" priority="2521">
      <formula>$H343="SUBETAPA"</formula>
    </cfRule>
    <cfRule type="expression" dxfId="1860" priority="2520">
      <formula>$H343="ETAPA"</formula>
    </cfRule>
    <cfRule type="expression" dxfId="1859" priority="2519">
      <formula>$H343="SUBETAPA"</formula>
    </cfRule>
    <cfRule type="expression" dxfId="1858" priority="2518">
      <formula>$H343="ETAPA"</formula>
    </cfRule>
    <cfRule type="expression" dxfId="1857" priority="2517">
      <formula>$H343="SUBETAPA"</formula>
    </cfRule>
  </conditionalFormatting>
  <conditionalFormatting sqref="O344">
    <cfRule type="expression" dxfId="1856" priority="2514">
      <formula>$H344="SUBETAPA"</formula>
    </cfRule>
    <cfRule type="expression" dxfId="1855" priority="2515">
      <formula>$H344="CÉLULA CONSTRUTIVA"</formula>
    </cfRule>
  </conditionalFormatting>
  <conditionalFormatting sqref="O346">
    <cfRule type="expression" dxfId="1854" priority="2512">
      <formula>$H346="CÉLULA CONSTRUTIVA"</formula>
    </cfRule>
    <cfRule type="expression" dxfId="1853" priority="2513">
      <formula>$H346="ETAPA"</formula>
    </cfRule>
  </conditionalFormatting>
  <conditionalFormatting sqref="O346:O347">
    <cfRule type="expression" dxfId="1852" priority="2511">
      <formula>$H346="SUBETAPA"</formula>
    </cfRule>
  </conditionalFormatting>
  <conditionalFormatting sqref="O347">
    <cfRule type="expression" dxfId="1851" priority="2509">
      <formula>$H347="CÉLULA CONSTRUTIVA"</formula>
    </cfRule>
    <cfRule type="expression" dxfId="1850" priority="2510">
      <formula>$H347="ETAPA"</formula>
    </cfRule>
  </conditionalFormatting>
  <conditionalFormatting sqref="O348">
    <cfRule type="expression" dxfId="1849" priority="2508">
      <formula>$H348="CÉLULA CONSTRUTIVA"</formula>
    </cfRule>
    <cfRule type="expression" dxfId="1848" priority="2507">
      <formula>$H348="SUBETAPA"</formula>
    </cfRule>
    <cfRule type="expression" dxfId="1847" priority="2506">
      <formula>$H348="ETAPA"</formula>
    </cfRule>
    <cfRule type="expression" dxfId="1846" priority="2505">
      <formula>$H348="SUBETAPA"</formula>
    </cfRule>
    <cfRule type="expression" dxfId="1845" priority="2504">
      <formula>$H348="ETAPA"</formula>
    </cfRule>
    <cfRule type="expression" dxfId="1844" priority="2503">
      <formula>$H348="SUBETAPA"</formula>
    </cfRule>
    <cfRule type="expression" dxfId="1843" priority="2502">
      <formula>$H348="ETAPA"</formula>
    </cfRule>
  </conditionalFormatting>
  <conditionalFormatting sqref="O349">
    <cfRule type="expression" dxfId="1842" priority="2499">
      <formula>$H349="SUBETAPA"</formula>
    </cfRule>
    <cfRule type="expression" dxfId="1841" priority="2501">
      <formula>$H349="ETAPA"</formula>
    </cfRule>
    <cfRule type="expression" dxfId="1840" priority="2500">
      <formula>$H349="CÉLULA CONSTRUTIVA"</formula>
    </cfRule>
  </conditionalFormatting>
  <conditionalFormatting sqref="O350">
    <cfRule type="expression" dxfId="1839" priority="2492">
      <formula>$H350="ETAPA"</formula>
    </cfRule>
    <cfRule type="expression" dxfId="1838" priority="2493">
      <formula>$H350="SUBETAPA"</formula>
    </cfRule>
    <cfRule type="expression" dxfId="1837" priority="2494">
      <formula>$H350="ETAPA"</formula>
    </cfRule>
    <cfRule type="expression" dxfId="1836" priority="2495">
      <formula>$H350="SUBETAPA"</formula>
    </cfRule>
    <cfRule type="expression" dxfId="1835" priority="2496">
      <formula>$H350="ETAPA"</formula>
    </cfRule>
    <cfRule type="expression" dxfId="1834" priority="2498">
      <formula>$H350="CÉLULA CONSTRUTIVA"</formula>
    </cfRule>
    <cfRule type="expression" dxfId="1833" priority="2497">
      <formula>$H350="SUBETAPA"</formula>
    </cfRule>
  </conditionalFormatting>
  <conditionalFormatting sqref="O351">
    <cfRule type="expression" dxfId="1832" priority="2490">
      <formula>$H351="CÉLULA CONSTRUTIVA"</formula>
    </cfRule>
    <cfRule type="expression" dxfId="1831" priority="2489">
      <formula>$H351="SUBETAPA"</formula>
    </cfRule>
    <cfRule type="expression" dxfId="1830" priority="2491">
      <formula>$H351="ETAPA"</formula>
    </cfRule>
  </conditionalFormatting>
  <conditionalFormatting sqref="O353">
    <cfRule type="expression" dxfId="1829" priority="2486">
      <formula>$H353="SUBETAPA"</formula>
    </cfRule>
    <cfRule type="expression" dxfId="1828" priority="2488">
      <formula>$H353="ETAPA"</formula>
    </cfRule>
    <cfRule type="expression" dxfId="1827" priority="2487">
      <formula>$H353="CÉLULA CONSTRUTIVA"</formula>
    </cfRule>
  </conditionalFormatting>
  <conditionalFormatting sqref="O354">
    <cfRule type="expression" dxfId="1826" priority="2484">
      <formula>$H354="CÉLULA CONSTRUTIVA"</formula>
    </cfRule>
    <cfRule type="expression" dxfId="1825" priority="2483">
      <formula>$H354="SUBETAPA"</formula>
    </cfRule>
    <cfRule type="expression" dxfId="1824" priority="2485">
      <formula>$H354="ETAPA"</formula>
    </cfRule>
  </conditionalFormatting>
  <conditionalFormatting sqref="O355">
    <cfRule type="expression" dxfId="1823" priority="2481">
      <formula>$H355="CÉLULA CONSTRUTIVA"</formula>
    </cfRule>
    <cfRule type="expression" dxfId="1822" priority="2480">
      <formula>$H355="SUBETAPA"</formula>
    </cfRule>
    <cfRule type="expression" dxfId="1821" priority="2482">
      <formula>$H355="ETAPA"</formula>
    </cfRule>
  </conditionalFormatting>
  <conditionalFormatting sqref="O356">
    <cfRule type="expression" dxfId="1820" priority="2478">
      <formula>$H356="CÉLULA CONSTRUTIVA"</formula>
    </cfRule>
    <cfRule type="expression" dxfId="1819" priority="2477">
      <formula>$H356="SUBETAPA"</formula>
    </cfRule>
    <cfRule type="expression" dxfId="1818" priority="2479">
      <formula>$H356="ETAPA"</formula>
    </cfRule>
  </conditionalFormatting>
  <conditionalFormatting sqref="O357">
    <cfRule type="expression" dxfId="1817" priority="2475">
      <formula>$H357="CÉLULA CONSTRUTIVA"</formula>
    </cfRule>
    <cfRule type="expression" dxfId="1816" priority="2474">
      <formula>$H357="SUBETAPA"</formula>
    </cfRule>
    <cfRule type="expression" dxfId="1815" priority="2476">
      <formula>$H357="ETAPA"</formula>
    </cfRule>
  </conditionalFormatting>
  <conditionalFormatting sqref="O358">
    <cfRule type="expression" dxfId="1814" priority="2473">
      <formula>$H358="ETAPA"</formula>
    </cfRule>
    <cfRule type="expression" dxfId="1813" priority="2472">
      <formula>$H358="CÉLULA CONSTRUTIVA"</formula>
    </cfRule>
    <cfRule type="expression" dxfId="1812" priority="2471">
      <formula>$H358="SUBETAPA"</formula>
    </cfRule>
  </conditionalFormatting>
  <conditionalFormatting sqref="O359">
    <cfRule type="expression" dxfId="1811" priority="2470">
      <formula>$H359="ETAPA"</formula>
    </cfRule>
    <cfRule type="expression" dxfId="1810" priority="2469">
      <formula>$H359="CÉLULA CONSTRUTIVA"</formula>
    </cfRule>
    <cfRule type="expression" dxfId="1809" priority="2468">
      <formula>$H359="SUBETAPA"</formula>
    </cfRule>
  </conditionalFormatting>
  <conditionalFormatting sqref="O360">
    <cfRule type="expression" dxfId="1808" priority="2465">
      <formula>$H360="SUBETAPA"</formula>
    </cfRule>
    <cfRule type="expression" dxfId="1807" priority="2466">
      <formula>$H360="CÉLULA CONSTRUTIVA"</formula>
    </cfRule>
    <cfRule type="expression" dxfId="1806" priority="2467">
      <formula>$H360="ETAPA"</formula>
    </cfRule>
  </conditionalFormatting>
  <conditionalFormatting sqref="O361">
    <cfRule type="expression" dxfId="1805" priority="2462">
      <formula>$H361="SUBETAPA"</formula>
    </cfRule>
    <cfRule type="expression" dxfId="1804" priority="2463">
      <formula>$H361="CÉLULA CONSTRUTIVA"</formula>
    </cfRule>
    <cfRule type="expression" dxfId="1803" priority="2464">
      <formula>$H361="ETAPA"</formula>
    </cfRule>
  </conditionalFormatting>
  <conditionalFormatting sqref="O362">
    <cfRule type="expression" dxfId="1802" priority="2459">
      <formula>$H362="SUBETAPA"</formula>
    </cfRule>
    <cfRule type="expression" dxfId="1801" priority="2461">
      <formula>$H362="ETAPA"</formula>
    </cfRule>
    <cfRule type="expression" dxfId="1800" priority="2460">
      <formula>$H362="CÉLULA CONSTRUTIVA"</formula>
    </cfRule>
  </conditionalFormatting>
  <conditionalFormatting sqref="O363">
    <cfRule type="expression" dxfId="1799" priority="2458">
      <formula>$H363="ETAPA"</formula>
    </cfRule>
    <cfRule type="expression" dxfId="1798" priority="2457">
      <formula>$H363="CÉLULA CONSTRUTIVA"</formula>
    </cfRule>
    <cfRule type="expression" dxfId="1797" priority="2456">
      <formula>$H363="SUBETAPA"</formula>
    </cfRule>
  </conditionalFormatting>
  <conditionalFormatting sqref="O364">
    <cfRule type="expression" dxfId="1796" priority="2455">
      <formula>$H364="ETAPA"</formula>
    </cfRule>
    <cfRule type="expression" dxfId="1795" priority="2454">
      <formula>$H364="CÉLULA CONSTRUTIVA"</formula>
    </cfRule>
    <cfRule type="expression" dxfId="1794" priority="2453">
      <formula>$H364="SUBETAPA"</formula>
    </cfRule>
  </conditionalFormatting>
  <conditionalFormatting sqref="O365">
    <cfRule type="expression" dxfId="1793" priority="2452">
      <formula>$H365="ETAPA"</formula>
    </cfRule>
    <cfRule type="expression" dxfId="1792" priority="2451">
      <formula>$H365="CÉLULA CONSTRUTIVA"</formula>
    </cfRule>
    <cfRule type="expression" dxfId="1791" priority="2450">
      <formula>$H365="SUBETAPA"</formula>
    </cfRule>
  </conditionalFormatting>
  <conditionalFormatting sqref="O366">
    <cfRule type="expression" dxfId="1790" priority="2449">
      <formula>$H366="ETAPA"</formula>
    </cfRule>
    <cfRule type="expression" dxfId="1789" priority="2448">
      <formula>$H366="CÉLULA CONSTRUTIVA"</formula>
    </cfRule>
    <cfRule type="expression" dxfId="1788" priority="2447">
      <formula>$H366="SUBETAPA"</formula>
    </cfRule>
  </conditionalFormatting>
  <conditionalFormatting sqref="O367">
    <cfRule type="expression" dxfId="1787" priority="2446">
      <formula>$H367="ETAPA"</formula>
    </cfRule>
    <cfRule type="expression" dxfId="1786" priority="2445">
      <formula>$H367="CÉLULA CONSTRUTIVA"</formula>
    </cfRule>
    <cfRule type="expression" dxfId="1785" priority="2444">
      <formula>$H367="SUBETAPA"</formula>
    </cfRule>
  </conditionalFormatting>
  <conditionalFormatting sqref="O368">
    <cfRule type="expression" dxfId="1784" priority="2443">
      <formula>$H368="ETAPA"</formula>
    </cfRule>
    <cfRule type="expression" dxfId="1783" priority="2442">
      <formula>$H368="CÉLULA CONSTRUTIVA"</formula>
    </cfRule>
    <cfRule type="expression" dxfId="1782" priority="2441">
      <formula>$H368="SUBETAPA"</formula>
    </cfRule>
  </conditionalFormatting>
  <conditionalFormatting sqref="O369">
    <cfRule type="expression" dxfId="1781" priority="2438">
      <formula>$H369="SUBETAPA"</formula>
    </cfRule>
    <cfRule type="expression" dxfId="1780" priority="2439">
      <formula>$H369="CÉLULA CONSTRUTIVA"</formula>
    </cfRule>
    <cfRule type="expression" dxfId="1779" priority="2440">
      <formula>$H369="ETAPA"</formula>
    </cfRule>
  </conditionalFormatting>
  <conditionalFormatting sqref="O370">
    <cfRule type="expression" dxfId="1778" priority="2437">
      <formula>$H370="ETAPA"</formula>
    </cfRule>
    <cfRule type="expression" dxfId="1777" priority="2435">
      <formula>$H370="SUBETAPA"</formula>
    </cfRule>
    <cfRule type="expression" dxfId="1776" priority="2436">
      <formula>$H370="CÉLULA CONSTRUTIVA"</formula>
    </cfRule>
  </conditionalFormatting>
  <conditionalFormatting sqref="O371">
    <cfRule type="expression" dxfId="1775" priority="2434">
      <formula>$H371="ETAPA"</formula>
    </cfRule>
    <cfRule type="expression" dxfId="1774" priority="2433">
      <formula>$H371="CÉLULA CONSTRUTIVA"</formula>
    </cfRule>
    <cfRule type="expression" dxfId="1773" priority="2432">
      <formula>$H371="SUBETAPA"</formula>
    </cfRule>
  </conditionalFormatting>
  <conditionalFormatting sqref="O372">
    <cfRule type="expression" dxfId="1772" priority="2429">
      <formula>$H372="SUBETAPA"</formula>
    </cfRule>
    <cfRule type="expression" dxfId="1771" priority="2431">
      <formula>$H372="ETAPA"</formula>
    </cfRule>
    <cfRule type="expression" dxfId="1770" priority="2430">
      <formula>$H372="CÉLULA CONSTRUTIVA"</formula>
    </cfRule>
  </conditionalFormatting>
  <conditionalFormatting sqref="O373">
    <cfRule type="expression" dxfId="1769" priority="2428">
      <formula>$H373="ETAPA"</formula>
    </cfRule>
    <cfRule type="expression" dxfId="1768" priority="2427">
      <formula>$H373="CÉLULA CONSTRUTIVA"</formula>
    </cfRule>
    <cfRule type="expression" dxfId="1767" priority="2426">
      <formula>$H373="SUBETAPA"</formula>
    </cfRule>
  </conditionalFormatting>
  <conditionalFormatting sqref="O374">
    <cfRule type="expression" dxfId="1766" priority="2423">
      <formula>$H374="SUBETAPA"</formula>
    </cfRule>
    <cfRule type="expression" dxfId="1765" priority="2425">
      <formula>$H374="ETAPA"</formula>
    </cfRule>
    <cfRule type="expression" dxfId="1764" priority="2424">
      <formula>$H374="CÉLULA CONSTRUTIVA"</formula>
    </cfRule>
  </conditionalFormatting>
  <conditionalFormatting sqref="O375">
    <cfRule type="expression" dxfId="1763" priority="2422">
      <formula>$H375="ETAPA"</formula>
    </cfRule>
    <cfRule type="expression" dxfId="1762" priority="2420">
      <formula>$H375="SUBETAPA"</formula>
    </cfRule>
    <cfRule type="expression" dxfId="1761" priority="2421">
      <formula>$H375="CÉLULA CONSTRUTIVA"</formula>
    </cfRule>
  </conditionalFormatting>
  <conditionalFormatting sqref="O376">
    <cfRule type="expression" dxfId="1760" priority="2417">
      <formula>$H376="SUBETAPA"</formula>
    </cfRule>
    <cfRule type="expression" dxfId="1759" priority="2418">
      <formula>$H376="CÉLULA CONSTRUTIVA"</formula>
    </cfRule>
    <cfRule type="expression" dxfId="1758" priority="2419">
      <formula>$H376="ETAPA"</formula>
    </cfRule>
  </conditionalFormatting>
  <conditionalFormatting sqref="O377">
    <cfRule type="expression" dxfId="1757" priority="2414">
      <formula>$H377="SUBETAPA"</formula>
    </cfRule>
    <cfRule type="expression" dxfId="1756" priority="2415">
      <formula>$H377="CÉLULA CONSTRUTIVA"</formula>
    </cfRule>
    <cfRule type="expression" dxfId="1755" priority="2416">
      <formula>$H377="ETAPA"</formula>
    </cfRule>
  </conditionalFormatting>
  <conditionalFormatting sqref="O378">
    <cfRule type="expression" dxfId="1754" priority="2412">
      <formula>$H378="CÉLULA CONSTRUTIVA"</formula>
    </cfRule>
    <cfRule type="expression" dxfId="1753" priority="2413">
      <formula>$H378="ETAPA"</formula>
    </cfRule>
    <cfRule type="expression" dxfId="1752" priority="2411">
      <formula>$H378="SUBETAPA"</formula>
    </cfRule>
  </conditionalFormatting>
  <conditionalFormatting sqref="O379">
    <cfRule type="expression" dxfId="1751" priority="2343">
      <formula>$H379="ETAPA"</formula>
    </cfRule>
    <cfRule type="expression" dxfId="1750" priority="2342">
      <formula>$H379="CÉLULA CONSTRUTIVA"</formula>
    </cfRule>
    <cfRule type="expression" dxfId="1749" priority="2344">
      <formula>$H379="SUBETAPA"</formula>
    </cfRule>
  </conditionalFormatting>
  <conditionalFormatting sqref="O380:O381 O1002:O1003 O1010">
    <cfRule type="expression" dxfId="1748" priority="2341">
      <formula>$H380="ETAPA"</formula>
    </cfRule>
  </conditionalFormatting>
  <conditionalFormatting sqref="O382:O395">
    <cfRule type="expression" dxfId="1747" priority="2339">
      <formula>$H382="SUBETAPA"</formula>
    </cfRule>
    <cfRule type="expression" dxfId="1746" priority="2340">
      <formula>$H382="ETAPA"</formula>
    </cfRule>
  </conditionalFormatting>
  <conditionalFormatting sqref="O396">
    <cfRule type="expression" dxfId="1745" priority="2336">
      <formula>$H396="SUBETAPA"</formula>
    </cfRule>
    <cfRule type="expression" dxfId="1744" priority="2337">
      <formula>$H396="CÉLULA CONSTRUTIVA"</formula>
    </cfRule>
    <cfRule type="expression" dxfId="1743" priority="2338">
      <formula>$H396="ETAPA"</formula>
    </cfRule>
  </conditionalFormatting>
  <conditionalFormatting sqref="O398">
    <cfRule type="expression" dxfId="1742" priority="2335">
      <formula>$H398="ETAPA"</formula>
    </cfRule>
    <cfRule type="expression" dxfId="1741" priority="2334">
      <formula>$H398="CÉLULA CONSTRUTIVA"</formula>
    </cfRule>
    <cfRule type="expression" dxfId="1740" priority="2333">
      <formula>$H398="SUBETAPA"</formula>
    </cfRule>
  </conditionalFormatting>
  <conditionalFormatting sqref="O399 O412 O425 O438 O451 O464 O477 O1180 O1143 O1140 O1137 O1134 O1131 O1271:O1272 O1240:O1241">
    <cfRule type="expression" dxfId="1739" priority="31">
      <formula>$H399="ETAPA"</formula>
    </cfRule>
    <cfRule type="expression" dxfId="1738" priority="30">
      <formula>$H399="CÉLULA CONSTRUTIVA"</formula>
    </cfRule>
    <cfRule type="expression" dxfId="1737" priority="29">
      <formula>$H399="SUBETAPA"</formula>
    </cfRule>
  </conditionalFormatting>
  <conditionalFormatting sqref="O409">
    <cfRule type="expression" dxfId="1736" priority="2332">
      <formula>$H409="ETAPA"</formula>
    </cfRule>
    <cfRule type="expression" dxfId="1735" priority="2331">
      <formula>$H409="CÉLULA CONSTRUTIVA"</formula>
    </cfRule>
    <cfRule type="expression" dxfId="1734" priority="2330">
      <formula>$H409="SUBETAPA"</formula>
    </cfRule>
  </conditionalFormatting>
  <conditionalFormatting sqref="O411">
    <cfRule type="expression" dxfId="1733" priority="2329">
      <formula>$H411="ETAPA"</formula>
    </cfRule>
    <cfRule type="expression" dxfId="1732" priority="2328">
      <formula>$H411="CÉLULA CONSTRUTIVA"</formula>
    </cfRule>
    <cfRule type="expression" dxfId="1731" priority="2327">
      <formula>$H411="SUBETAPA"</formula>
    </cfRule>
  </conditionalFormatting>
  <conditionalFormatting sqref="O422">
    <cfRule type="expression" dxfId="1730" priority="2325">
      <formula>$H422="CÉLULA CONSTRUTIVA"</formula>
    </cfRule>
    <cfRule type="expression" dxfId="1729" priority="2326">
      <formula>$H422="ETAPA"</formula>
    </cfRule>
    <cfRule type="expression" dxfId="1728" priority="2324">
      <formula>$H422="SUBETAPA"</formula>
    </cfRule>
  </conditionalFormatting>
  <conditionalFormatting sqref="O424">
    <cfRule type="expression" dxfId="1727" priority="2323">
      <formula>$H424="ETAPA"</formula>
    </cfRule>
    <cfRule type="expression" dxfId="1726" priority="2322">
      <formula>$H424="CÉLULA CONSTRUTIVA"</formula>
    </cfRule>
    <cfRule type="expression" dxfId="1725" priority="2321">
      <formula>$H424="SUBETAPA"</formula>
    </cfRule>
  </conditionalFormatting>
  <conditionalFormatting sqref="O435">
    <cfRule type="expression" dxfId="1724" priority="2318">
      <formula>$H435="SUBETAPA"</formula>
    </cfRule>
    <cfRule type="expression" dxfId="1723" priority="2320">
      <formula>$H435="ETAPA"</formula>
    </cfRule>
    <cfRule type="expression" dxfId="1722" priority="2319">
      <formula>$H435="CÉLULA CONSTRUTIVA"</formula>
    </cfRule>
  </conditionalFormatting>
  <conditionalFormatting sqref="O437">
    <cfRule type="expression" dxfId="1721" priority="2317">
      <formula>$H437="ETAPA"</formula>
    </cfRule>
    <cfRule type="expression" dxfId="1720" priority="2316">
      <formula>$H437="CÉLULA CONSTRUTIVA"</formula>
    </cfRule>
    <cfRule type="expression" dxfId="1719" priority="2315">
      <formula>$H437="SUBETAPA"</formula>
    </cfRule>
  </conditionalFormatting>
  <conditionalFormatting sqref="O448">
    <cfRule type="expression" dxfId="1718" priority="2313">
      <formula>$H448="CÉLULA CONSTRUTIVA"</formula>
    </cfRule>
    <cfRule type="expression" dxfId="1717" priority="2314">
      <formula>$H448="ETAPA"</formula>
    </cfRule>
    <cfRule type="expression" dxfId="1716" priority="2312">
      <formula>$H448="SUBETAPA"</formula>
    </cfRule>
  </conditionalFormatting>
  <conditionalFormatting sqref="O450">
    <cfRule type="expression" dxfId="1715" priority="2311">
      <formula>$H450="ETAPA"</formula>
    </cfRule>
    <cfRule type="expression" dxfId="1714" priority="2310">
      <formula>$H450="CÉLULA CONSTRUTIVA"</formula>
    </cfRule>
    <cfRule type="expression" dxfId="1713" priority="2309">
      <formula>$H450="SUBETAPA"</formula>
    </cfRule>
  </conditionalFormatting>
  <conditionalFormatting sqref="O461">
    <cfRule type="expression" dxfId="1712" priority="2308">
      <formula>$H461="ETAPA"</formula>
    </cfRule>
    <cfRule type="expression" dxfId="1711" priority="2307">
      <formula>$H461="CÉLULA CONSTRUTIVA"</formula>
    </cfRule>
    <cfRule type="expression" dxfId="1710" priority="2306">
      <formula>$H461="SUBETAPA"</formula>
    </cfRule>
  </conditionalFormatting>
  <conditionalFormatting sqref="O463">
    <cfRule type="expression" dxfId="1709" priority="2303">
      <formula>$H463="SUBETAPA"</formula>
    </cfRule>
    <cfRule type="expression" dxfId="1708" priority="2305">
      <formula>$H463="ETAPA"</formula>
    </cfRule>
    <cfRule type="expression" dxfId="1707" priority="2304">
      <formula>$H463="CÉLULA CONSTRUTIVA"</formula>
    </cfRule>
  </conditionalFormatting>
  <conditionalFormatting sqref="O474">
    <cfRule type="expression" dxfId="1706" priority="2300">
      <formula>$H474="SUBETAPA"</formula>
    </cfRule>
    <cfRule type="expression" dxfId="1705" priority="2301">
      <formula>$H474="CÉLULA CONSTRUTIVA"</formula>
    </cfRule>
    <cfRule type="expression" dxfId="1704" priority="2302">
      <formula>$H474="ETAPA"</formula>
    </cfRule>
  </conditionalFormatting>
  <conditionalFormatting sqref="O476">
    <cfRule type="expression" dxfId="1703" priority="2299">
      <formula>$H476="ETAPA"</formula>
    </cfRule>
    <cfRule type="expression" dxfId="1702" priority="2298">
      <formula>$H476="CÉLULA CONSTRUTIVA"</formula>
    </cfRule>
    <cfRule type="expression" dxfId="1701" priority="2297">
      <formula>$H476="SUBETAPA"</formula>
    </cfRule>
  </conditionalFormatting>
  <conditionalFormatting sqref="O487">
    <cfRule type="expression" dxfId="1700" priority="2296">
      <formula>$H487="ETAPA"</formula>
    </cfRule>
    <cfRule type="expression" dxfId="1699" priority="2295">
      <formula>$H487="CÉLULA CONSTRUTIVA"</formula>
    </cfRule>
    <cfRule type="expression" dxfId="1698" priority="2294">
      <formula>$H487="SUBETAPA"</formula>
    </cfRule>
  </conditionalFormatting>
  <conditionalFormatting sqref="O489">
    <cfRule type="expression" dxfId="1697" priority="2293">
      <formula>$H489="ETAPA"</formula>
    </cfRule>
    <cfRule type="expression" dxfId="1696" priority="2292">
      <formula>$H489="CÉLULA CONSTRUTIVA"</formula>
    </cfRule>
    <cfRule type="expression" dxfId="1695" priority="2291">
      <formula>$H489="SUBETAPA"</formula>
    </cfRule>
  </conditionalFormatting>
  <conditionalFormatting sqref="O490 O503 O516 O529 O542 O555 O1190 L1220 L1227 G1237 L1252:L1253 O1306 J1325 G1334:H1334 J1343 J1364 G1429:H1429 L1433:M1434 H1442:H1443 J1442:K1443 M1442:M1443 H1450:H1453 J1450:K1453 M1450:M1453 J1459:K1461 M1459:M1461 J1468:K1468 M1468 J1475:K1475 M1475 J1483:K1483 M1483 J1491:K1493 M1491:M1493 H1501:H1502 J1501:K1502 M1501:M1502 H1510:H1513 J1510:K1513 M1510:M1513 H1521:H1524 M1521:M1524 H1532:H1535 M1532:M1535 H1543:H1546 J1543:K1546 M1543:M1546 H1554:H1557 J1554:K1557 M1554:M1557 J1767:L1770 J1773:L1775 O1773:O1775 J1778:L1780 O1778:O1780 J1783:L1785 O1783:O1785 J1788:L1790 O1788:O1790 G1793:H1796 O1793:O1796 G1800:H1803 O1800:O1803 G1816:H1819 O1816:O1819 G1823:H1826 O1823:O1826 G1830:H1833 O1830:O1833 G1837:H1840 O1837:O1840 J1844:L1846 O1844:O1846 G1849:H1850 O1849:O1850 J1852:K1852 O1853 J1855:K1857 O1283 O1326 O1344 O1365 O1411 L1213 O1293:O1294 O1315:O1316 O1334 O1353:O1354 O1374:O1375 O1398:O1399 O1416:O1417 O1429 J1521:K1524 J1532:K1535 J1793:L1796 J1800:L1803 J1816:L1819 J1823:L1826 J1830:L1833 J1837:L1840 J1849:L1850 J1853:L1853 J1334:L1334 L1335:L1337 L1418:L1420 J1429:L1429 L1430:L1432 O1767:O1770 M1131 M1134 M1137 M1140 M1143 M1180">
    <cfRule type="expression" dxfId="1694" priority="10515">
      <formula>$H490="CÉLULA CONSTRUTIVA"</formula>
    </cfRule>
  </conditionalFormatting>
  <conditionalFormatting sqref="O500">
    <cfRule type="expression" dxfId="1693" priority="2289">
      <formula>$H500="CÉLULA CONSTRUTIVA"</formula>
    </cfRule>
    <cfRule type="expression" dxfId="1692" priority="2288">
      <formula>$H500="SUBETAPA"</formula>
    </cfRule>
    <cfRule type="expression" dxfId="1691" priority="2290">
      <formula>$H500="ETAPA"</formula>
    </cfRule>
  </conditionalFormatting>
  <conditionalFormatting sqref="O502">
    <cfRule type="expression" dxfId="1690" priority="2285">
      <formula>$H502="SUBETAPA"</formula>
    </cfRule>
    <cfRule type="expression" dxfId="1689" priority="2286">
      <formula>$H502="CÉLULA CONSTRUTIVA"</formula>
    </cfRule>
    <cfRule type="expression" dxfId="1688" priority="2287">
      <formula>$H502="ETAPA"</formula>
    </cfRule>
  </conditionalFormatting>
  <conditionalFormatting sqref="O513">
    <cfRule type="expression" dxfId="1687" priority="2284">
      <formula>$H513="ETAPA"</formula>
    </cfRule>
    <cfRule type="expression" dxfId="1686" priority="2282">
      <formula>$H513="SUBETAPA"</formula>
    </cfRule>
    <cfRule type="expression" dxfId="1685" priority="2283">
      <formula>$H513="CÉLULA CONSTRUTIVA"</formula>
    </cfRule>
  </conditionalFormatting>
  <conditionalFormatting sqref="O515">
    <cfRule type="expression" dxfId="1684" priority="2279">
      <formula>$H515="SUBETAPA"</formula>
    </cfRule>
    <cfRule type="expression" dxfId="1683" priority="2281">
      <formula>$H515="ETAPA"</formula>
    </cfRule>
    <cfRule type="expression" dxfId="1682" priority="2280">
      <formula>$H515="CÉLULA CONSTRUTIVA"</formula>
    </cfRule>
  </conditionalFormatting>
  <conditionalFormatting sqref="O526">
    <cfRule type="expression" dxfId="1681" priority="2276">
      <formula>$H526="SUBETAPA"</formula>
    </cfRule>
    <cfRule type="expression" dxfId="1680" priority="2277">
      <formula>$H526="CÉLULA CONSTRUTIVA"</formula>
    </cfRule>
    <cfRule type="expression" dxfId="1679" priority="2278">
      <formula>$H526="ETAPA"</formula>
    </cfRule>
  </conditionalFormatting>
  <conditionalFormatting sqref="O528">
    <cfRule type="expression" dxfId="1678" priority="2275">
      <formula>$H528="ETAPA"</formula>
    </cfRule>
    <cfRule type="expression" dxfId="1677" priority="2274">
      <formula>$H528="CÉLULA CONSTRUTIVA"</formula>
    </cfRule>
    <cfRule type="expression" dxfId="1676" priority="2273">
      <formula>$H528="SUBETAPA"</formula>
    </cfRule>
  </conditionalFormatting>
  <conditionalFormatting sqref="O539">
    <cfRule type="expression" dxfId="1675" priority="2270">
      <formula>$H539="SUBETAPA"</formula>
    </cfRule>
    <cfRule type="expression" dxfId="1674" priority="2272">
      <formula>$H539="ETAPA"</formula>
    </cfRule>
    <cfRule type="expression" dxfId="1673" priority="2271">
      <formula>$H539="CÉLULA CONSTRUTIVA"</formula>
    </cfRule>
  </conditionalFormatting>
  <conditionalFormatting sqref="O541">
    <cfRule type="expression" dxfId="1672" priority="2269">
      <formula>$H541="ETAPA"</formula>
    </cfRule>
    <cfRule type="expression" dxfId="1671" priority="2268">
      <formula>$H541="CÉLULA CONSTRUTIVA"</formula>
    </cfRule>
    <cfRule type="expression" dxfId="1670" priority="2267">
      <formula>$H541="SUBETAPA"</formula>
    </cfRule>
  </conditionalFormatting>
  <conditionalFormatting sqref="O552">
    <cfRule type="expression" dxfId="1669" priority="2264">
      <formula>$H552="SUBETAPA"</formula>
    </cfRule>
    <cfRule type="expression" dxfId="1668" priority="2266">
      <formula>$H552="ETAPA"</formula>
    </cfRule>
    <cfRule type="expression" dxfId="1667" priority="2265">
      <formula>$H552="CÉLULA CONSTRUTIVA"</formula>
    </cfRule>
  </conditionalFormatting>
  <conditionalFormatting sqref="O554">
    <cfRule type="expression" dxfId="1666" priority="2262">
      <formula>$H554="CÉLULA CONSTRUTIVA"</formula>
    </cfRule>
    <cfRule type="expression" dxfId="1665" priority="2261">
      <formula>$H554="SUBETAPA"</formula>
    </cfRule>
    <cfRule type="expression" dxfId="1664" priority="2263">
      <formula>$H554="ETAPA"</formula>
    </cfRule>
  </conditionalFormatting>
  <conditionalFormatting sqref="O565">
    <cfRule type="expression" dxfId="1663" priority="2259">
      <formula>$H565="CÉLULA CONSTRUTIVA"</formula>
    </cfRule>
    <cfRule type="expression" dxfId="1662" priority="2260">
      <formula>$H565="ETAPA"</formula>
    </cfRule>
    <cfRule type="expression" dxfId="1661" priority="2258">
      <formula>$H565="SUBETAPA"</formula>
    </cfRule>
  </conditionalFormatting>
  <conditionalFormatting sqref="O567">
    <cfRule type="expression" dxfId="1660" priority="2255">
      <formula>$H567="SUBETAPA"</formula>
    </cfRule>
    <cfRule type="expression" dxfId="1659" priority="2256">
      <formula>$H567="CÉLULA CONSTRUTIVA"</formula>
    </cfRule>
    <cfRule type="expression" dxfId="1658" priority="2257">
      <formula>$H567="ETAPA"</formula>
    </cfRule>
  </conditionalFormatting>
  <conditionalFormatting sqref="O568">
    <cfRule type="expression" dxfId="1657" priority="2252">
      <formula>$H568="CÉLULA CONSTRUTIVA"</formula>
    </cfRule>
    <cfRule type="expression" dxfId="1656" priority="2254">
      <formula>$H568="SUBETAPA"</formula>
    </cfRule>
    <cfRule type="expression" dxfId="1655" priority="2253">
      <formula>$H568="ETAPA"</formula>
    </cfRule>
  </conditionalFormatting>
  <conditionalFormatting sqref="O569">
    <cfRule type="expression" dxfId="1654" priority="2250">
      <formula>$H569="CÉLULA CONSTRUTIVA"</formula>
    </cfRule>
    <cfRule type="expression" dxfId="1653" priority="2249">
      <formula>$H569="SUBETAPA"</formula>
    </cfRule>
    <cfRule type="expression" dxfId="1652" priority="2251">
      <formula>$H569="ETAPA"</formula>
    </cfRule>
  </conditionalFormatting>
  <conditionalFormatting sqref="O570 O573 O575 O581 O584 O586 O590 O593 O595 O599 O602 O604 O608 O611 O613 O617 O620 O622 O626 O629 O631 O635 O638 O640 O644 O647 O649 O653 O656 O658 O664 O667 O669 O675 O678 O680 O684 O687 O689 O693 O696 O698 G703:M705 O706 O714 O716 O718 G719:M720 O721 O729 O731 O733 G734:M735 O736 O744 O746 O748 G749:M750 O751 O759 O761 O763 G764:M765 O766 O774 O776 O778 G779:M780 O781 O789 O791 O793 G794:M795 O796 O804 O806 O808 G809:M810 O811 O819 O821 O823 G824:M825 O826 O834 O836 O838 G839:M840 O841 O849 O851 O853 G854:M855 O856 O864 O866 O868 G869:M870 O871 O879 O881 O883 G884:M885 O886 O894 O896 O898 O901 O909 O911 O913 H1002:L1003 O1004 H1009:J1009 L1009:M1009 O1011 O1116">
    <cfRule type="expression" dxfId="1651" priority="8162">
      <formula>$H570="SUBETAPA"</formula>
    </cfRule>
  </conditionalFormatting>
  <conditionalFormatting sqref="O571">
    <cfRule type="expression" dxfId="1650" priority="2248">
      <formula>$H571="ETAPA"</formula>
    </cfRule>
    <cfRule type="expression" dxfId="1649" priority="2247">
      <formula>$H571="SUBETAPA"</formula>
    </cfRule>
  </conditionalFormatting>
  <conditionalFormatting sqref="O573">
    <cfRule type="expression" dxfId="1648" priority="2245">
      <formula>$H573="SUBETAPA"</formula>
    </cfRule>
    <cfRule type="expression" dxfId="1647" priority="2246">
      <formula>$H573="ETAPA"</formula>
    </cfRule>
  </conditionalFormatting>
  <conditionalFormatting sqref="O574">
    <cfRule type="expression" dxfId="1646" priority="2244">
      <formula>$H574="ETAPA"</formula>
    </cfRule>
    <cfRule type="expression" dxfId="1645" priority="2243">
      <formula>$H574="CÉLULA CONSTRUTIVA"</formula>
    </cfRule>
    <cfRule type="expression" dxfId="1644" priority="2242">
      <formula>$H574="SUBETAPA"</formula>
    </cfRule>
  </conditionalFormatting>
  <conditionalFormatting sqref="O575">
    <cfRule type="expression" dxfId="1643" priority="2241">
      <formula>$H575="ETAPA"</formula>
    </cfRule>
    <cfRule type="expression" dxfId="1642" priority="2240">
      <formula>$H575="SUBETAPA"</formula>
    </cfRule>
  </conditionalFormatting>
  <conditionalFormatting sqref="O576 O572">
    <cfRule type="expression" dxfId="1641" priority="2239">
      <formula>$H572="ETAPA"</formula>
    </cfRule>
    <cfRule type="expression" dxfId="1640" priority="2238">
      <formula>$H572="CÉLULA CONSTRUTIVA"</formula>
    </cfRule>
    <cfRule type="expression" dxfId="1639" priority="2237">
      <formula>$H572="SUBETAPA"</formula>
    </cfRule>
  </conditionalFormatting>
  <conditionalFormatting sqref="O577">
    <cfRule type="expression" dxfId="1638" priority="2235">
      <formula>$H577="ETAPA"</formula>
    </cfRule>
    <cfRule type="expression" dxfId="1637" priority="2234">
      <formula>$H577="SUBETAPA"</formula>
    </cfRule>
    <cfRule type="expression" dxfId="1636" priority="2236">
      <formula>$H577="CÉLULA CONSTRUTIVA"</formula>
    </cfRule>
  </conditionalFormatting>
  <conditionalFormatting sqref="O578">
    <cfRule type="expression" dxfId="1635" priority="2233">
      <formula>$H578="ETAPA"</formula>
    </cfRule>
    <cfRule type="expression" dxfId="1634" priority="2232">
      <formula>$H578="CÉLULA CONSTRUTIVA"</formula>
    </cfRule>
    <cfRule type="expression" dxfId="1633" priority="2231">
      <formula>$H578="SUBETAPA"</formula>
    </cfRule>
  </conditionalFormatting>
  <conditionalFormatting sqref="O579">
    <cfRule type="expression" dxfId="1632" priority="2225">
      <formula>$H579="SUBETAPA"</formula>
    </cfRule>
    <cfRule type="expression" dxfId="1631" priority="2224">
      <formula>$H579="ETAPA"</formula>
    </cfRule>
    <cfRule type="expression" dxfId="1630" priority="2228">
      <formula>$H579="ETAPA"</formula>
    </cfRule>
    <cfRule type="expression" dxfId="1629" priority="2230">
      <formula>$H579="CÉLULA CONSTRUTIVA"</formula>
    </cfRule>
    <cfRule type="expression" dxfId="1628" priority="2229">
      <formula>$H579="SUBETAPA"</formula>
    </cfRule>
    <cfRule type="expression" dxfId="1627" priority="2227">
      <formula>$H579="SUBETAPA"</formula>
    </cfRule>
    <cfRule type="expression" dxfId="1626" priority="2226">
      <formula>$H579="ETAPA"</formula>
    </cfRule>
  </conditionalFormatting>
  <conditionalFormatting sqref="O580">
    <cfRule type="expression" dxfId="1625" priority="2221">
      <formula>$H580="SUBETAPA"</formula>
    </cfRule>
    <cfRule type="expression" dxfId="1624" priority="2222">
      <formula>$H580="CÉLULA CONSTRUTIVA"</formula>
    </cfRule>
    <cfRule type="expression" dxfId="1623" priority="2223">
      <formula>$H580="ETAPA"</formula>
    </cfRule>
  </conditionalFormatting>
  <conditionalFormatting sqref="O582">
    <cfRule type="expression" dxfId="1622" priority="2219">
      <formula>$H582="SUBETAPA"</formula>
    </cfRule>
    <cfRule type="expression" dxfId="1621" priority="2220">
      <formula>$H582="ETAPA"</formula>
    </cfRule>
  </conditionalFormatting>
  <conditionalFormatting sqref="O583">
    <cfRule type="expression" dxfId="1620" priority="2216">
      <formula>$H583="SUBETAPA"</formula>
    </cfRule>
    <cfRule type="expression" dxfId="1619" priority="2217">
      <formula>$H583="CÉLULA CONSTRUTIVA"</formula>
    </cfRule>
    <cfRule type="expression" dxfId="1618" priority="2218">
      <formula>$H583="ETAPA"</formula>
    </cfRule>
  </conditionalFormatting>
  <conditionalFormatting sqref="O584">
    <cfRule type="expression" dxfId="1617" priority="2214">
      <formula>$H584="SUBETAPA"</formula>
    </cfRule>
    <cfRule type="expression" dxfId="1616" priority="2215">
      <formula>$H584="ETAPA"</formula>
    </cfRule>
  </conditionalFormatting>
  <conditionalFormatting sqref="O585">
    <cfRule type="expression" dxfId="1615" priority="2212">
      <formula>$H585="CÉLULA CONSTRUTIVA"</formula>
    </cfRule>
    <cfRule type="expression" dxfId="1614" priority="2213">
      <formula>$H585="ETAPA"</formula>
    </cfRule>
    <cfRule type="expression" dxfId="1613" priority="2211">
      <formula>$H585="SUBETAPA"</formula>
    </cfRule>
  </conditionalFormatting>
  <conditionalFormatting sqref="O586">
    <cfRule type="expression" dxfId="1612" priority="2210">
      <formula>$H586="ETAPA"</formula>
    </cfRule>
    <cfRule type="expression" dxfId="1611" priority="2209">
      <formula>$H586="SUBETAPA"</formula>
    </cfRule>
  </conditionalFormatting>
  <conditionalFormatting sqref="O587">
    <cfRule type="expression" dxfId="1610" priority="2206">
      <formula>$H587="SUBETAPA"</formula>
    </cfRule>
    <cfRule type="expression" dxfId="1609" priority="2207">
      <formula>$H587="CÉLULA CONSTRUTIVA"</formula>
    </cfRule>
    <cfRule type="expression" dxfId="1608" priority="2208">
      <formula>$H587="ETAPA"</formula>
    </cfRule>
  </conditionalFormatting>
  <conditionalFormatting sqref="O588">
    <cfRule type="expression" dxfId="1607" priority="2201">
      <formula>$H588="ETAPA"</formula>
    </cfRule>
    <cfRule type="expression" dxfId="1606" priority="2199">
      <formula>$H588="ETAPA"</formula>
    </cfRule>
    <cfRule type="expression" dxfId="1605" priority="2205">
      <formula>$H588="CÉLULA CONSTRUTIVA"</formula>
    </cfRule>
    <cfRule type="expression" dxfId="1604" priority="2204">
      <formula>$H588="SUBETAPA"</formula>
    </cfRule>
    <cfRule type="expression" dxfId="1603" priority="2203">
      <formula>$H588="ETAPA"</formula>
    </cfRule>
    <cfRule type="expression" dxfId="1602" priority="2202">
      <formula>$H588="SUBETAPA"</formula>
    </cfRule>
    <cfRule type="expression" dxfId="1601" priority="2200">
      <formula>$H588="SUBETAPA"</formula>
    </cfRule>
  </conditionalFormatting>
  <conditionalFormatting sqref="O589">
    <cfRule type="expression" dxfId="1600" priority="2198">
      <formula>$H589="ETAPA"</formula>
    </cfRule>
    <cfRule type="expression" dxfId="1599" priority="2196">
      <formula>$H589="SUBETAPA"</formula>
    </cfRule>
    <cfRule type="expression" dxfId="1598" priority="2197">
      <formula>$H589="CÉLULA CONSTRUTIVA"</formula>
    </cfRule>
  </conditionalFormatting>
  <conditionalFormatting sqref="O591">
    <cfRule type="expression" dxfId="1597" priority="2194">
      <formula>$H591="SUBETAPA"</formula>
    </cfRule>
    <cfRule type="expression" dxfId="1596" priority="2195">
      <formula>$H591="ETAPA"</formula>
    </cfRule>
  </conditionalFormatting>
  <conditionalFormatting sqref="O592">
    <cfRule type="expression" dxfId="1595" priority="2192">
      <formula>$H592="CÉLULA CONSTRUTIVA"</formula>
    </cfRule>
    <cfRule type="expression" dxfId="1594" priority="2191">
      <formula>$H592="SUBETAPA"</formula>
    </cfRule>
    <cfRule type="expression" dxfId="1593" priority="2193">
      <formula>$H592="ETAPA"</formula>
    </cfRule>
  </conditionalFormatting>
  <conditionalFormatting sqref="O593">
    <cfRule type="expression" dxfId="1592" priority="2190">
      <formula>$H593="ETAPA"</formula>
    </cfRule>
    <cfRule type="expression" dxfId="1591" priority="2189">
      <formula>$H593="SUBETAPA"</formula>
    </cfRule>
  </conditionalFormatting>
  <conditionalFormatting sqref="O594">
    <cfRule type="expression" dxfId="1590" priority="2188">
      <formula>$H594="ETAPA"</formula>
    </cfRule>
    <cfRule type="expression" dxfId="1589" priority="2187">
      <formula>$H594="CÉLULA CONSTRUTIVA"</formula>
    </cfRule>
    <cfRule type="expression" dxfId="1588" priority="2186">
      <formula>$H594="SUBETAPA"</formula>
    </cfRule>
  </conditionalFormatting>
  <conditionalFormatting sqref="O595">
    <cfRule type="expression" dxfId="1587" priority="2184">
      <formula>$H595="SUBETAPA"</formula>
    </cfRule>
    <cfRule type="expression" dxfId="1586" priority="2185">
      <formula>$H595="ETAPA"</formula>
    </cfRule>
  </conditionalFormatting>
  <conditionalFormatting sqref="O596">
    <cfRule type="expression" dxfId="1585" priority="2183">
      <formula>$H596="ETAPA"</formula>
    </cfRule>
    <cfRule type="expression" dxfId="1584" priority="2182">
      <formula>$H596="CÉLULA CONSTRUTIVA"</formula>
    </cfRule>
    <cfRule type="expression" dxfId="1583" priority="2181">
      <formula>$H596="SUBETAPA"</formula>
    </cfRule>
  </conditionalFormatting>
  <conditionalFormatting sqref="O597">
    <cfRule type="expression" dxfId="1582" priority="2177">
      <formula>$H597="SUBETAPA"</formula>
    </cfRule>
    <cfRule type="expression" dxfId="1581" priority="2180">
      <formula>$H597="CÉLULA CONSTRUTIVA"</formula>
    </cfRule>
    <cfRule type="expression" dxfId="1580" priority="2175">
      <formula>$H597="SUBETAPA"</formula>
    </cfRule>
    <cfRule type="expression" dxfId="1579" priority="2174">
      <formula>$H597="ETAPA"</formula>
    </cfRule>
    <cfRule type="expression" dxfId="1578" priority="2179">
      <formula>$H597="SUBETAPA"</formula>
    </cfRule>
    <cfRule type="expression" dxfId="1577" priority="2178">
      <formula>$H597="ETAPA"</formula>
    </cfRule>
    <cfRule type="expression" dxfId="1576" priority="2176">
      <formula>$H597="ETAPA"</formula>
    </cfRule>
  </conditionalFormatting>
  <conditionalFormatting sqref="O598">
    <cfRule type="expression" dxfId="1575" priority="2172">
      <formula>$H598="CÉLULA CONSTRUTIVA"</formula>
    </cfRule>
    <cfRule type="expression" dxfId="1574" priority="2173">
      <formula>$H598="ETAPA"</formula>
    </cfRule>
    <cfRule type="expression" dxfId="1573" priority="2171">
      <formula>$H598="SUBETAPA"</formula>
    </cfRule>
  </conditionalFormatting>
  <conditionalFormatting sqref="O600">
    <cfRule type="expression" dxfId="1572" priority="2169">
      <formula>$H600="SUBETAPA"</formula>
    </cfRule>
    <cfRule type="expression" dxfId="1571" priority="2170">
      <formula>$H600="ETAPA"</formula>
    </cfRule>
  </conditionalFormatting>
  <conditionalFormatting sqref="O601">
    <cfRule type="expression" dxfId="1570" priority="2168">
      <formula>$H601="ETAPA"</formula>
    </cfRule>
    <cfRule type="expression" dxfId="1569" priority="2167">
      <formula>$H601="CÉLULA CONSTRUTIVA"</formula>
    </cfRule>
    <cfRule type="expression" dxfId="1568" priority="2166">
      <formula>$H601="SUBETAPA"</formula>
    </cfRule>
  </conditionalFormatting>
  <conditionalFormatting sqref="O602">
    <cfRule type="expression" dxfId="1567" priority="2165">
      <formula>$H602="ETAPA"</formula>
    </cfRule>
    <cfRule type="expression" dxfId="1566" priority="2164">
      <formula>$H602="SUBETAPA"</formula>
    </cfRule>
  </conditionalFormatting>
  <conditionalFormatting sqref="O603">
    <cfRule type="expression" dxfId="1565" priority="2161">
      <formula>$H603="SUBETAPA"</formula>
    </cfRule>
    <cfRule type="expression" dxfId="1564" priority="2162">
      <formula>$H603="CÉLULA CONSTRUTIVA"</formula>
    </cfRule>
    <cfRule type="expression" dxfId="1563" priority="2163">
      <formula>$H603="ETAPA"</formula>
    </cfRule>
  </conditionalFormatting>
  <conditionalFormatting sqref="O604">
    <cfRule type="expression" dxfId="1562" priority="2159">
      <formula>$H604="SUBETAPA"</formula>
    </cfRule>
    <cfRule type="expression" dxfId="1561" priority="2160">
      <formula>$H604="ETAPA"</formula>
    </cfRule>
  </conditionalFormatting>
  <conditionalFormatting sqref="O605">
    <cfRule type="expression" dxfId="1560" priority="2157">
      <formula>$H605="CÉLULA CONSTRUTIVA"</formula>
    </cfRule>
    <cfRule type="expression" dxfId="1559" priority="2158">
      <formula>$H605="ETAPA"</formula>
    </cfRule>
    <cfRule type="expression" dxfId="1558" priority="2156">
      <formula>$H605="SUBETAPA"</formula>
    </cfRule>
  </conditionalFormatting>
  <conditionalFormatting sqref="O606">
    <cfRule type="expression" dxfId="1557" priority="2149">
      <formula>$H606="ETAPA"</formula>
    </cfRule>
    <cfRule type="expression" dxfId="1556" priority="2150">
      <formula>$H606="SUBETAPA"</formula>
    </cfRule>
    <cfRule type="expression" dxfId="1555" priority="2151">
      <formula>$H606="ETAPA"</formula>
    </cfRule>
    <cfRule type="expression" dxfId="1554" priority="2152">
      <formula>$H606="SUBETAPA"</formula>
    </cfRule>
    <cfRule type="expression" dxfId="1553" priority="2153">
      <formula>$H606="ETAPA"</formula>
    </cfRule>
    <cfRule type="expression" dxfId="1552" priority="2154">
      <formula>$H606="SUBETAPA"</formula>
    </cfRule>
    <cfRule type="expression" dxfId="1551" priority="2155">
      <formula>$H606="CÉLULA CONSTRUTIVA"</formula>
    </cfRule>
  </conditionalFormatting>
  <conditionalFormatting sqref="O607">
    <cfRule type="expression" dxfId="1550" priority="2147">
      <formula>$H607="CÉLULA CONSTRUTIVA"</formula>
    </cfRule>
    <cfRule type="expression" dxfId="1549" priority="2146">
      <formula>$H607="SUBETAPA"</formula>
    </cfRule>
    <cfRule type="expression" dxfId="1548" priority="2148">
      <formula>$H607="ETAPA"</formula>
    </cfRule>
  </conditionalFormatting>
  <conditionalFormatting sqref="O609">
    <cfRule type="expression" dxfId="1547" priority="2145">
      <formula>$H609="ETAPA"</formula>
    </cfRule>
    <cfRule type="expression" dxfId="1546" priority="2144">
      <formula>$H609="SUBETAPA"</formula>
    </cfRule>
  </conditionalFormatting>
  <conditionalFormatting sqref="O610">
    <cfRule type="expression" dxfId="1545" priority="2143">
      <formula>$H610="ETAPA"</formula>
    </cfRule>
    <cfRule type="expression" dxfId="1544" priority="2142">
      <formula>$H610="CÉLULA CONSTRUTIVA"</formula>
    </cfRule>
    <cfRule type="expression" dxfId="1543" priority="2141">
      <formula>$H610="SUBETAPA"</formula>
    </cfRule>
  </conditionalFormatting>
  <conditionalFormatting sqref="O611">
    <cfRule type="expression" dxfId="1542" priority="2140">
      <formula>$H611="ETAPA"</formula>
    </cfRule>
    <cfRule type="expression" dxfId="1541" priority="2139">
      <formula>$H611="SUBETAPA"</formula>
    </cfRule>
  </conditionalFormatting>
  <conditionalFormatting sqref="O612">
    <cfRule type="expression" dxfId="1540" priority="2136">
      <formula>$H612="SUBETAPA"</formula>
    </cfRule>
    <cfRule type="expression" dxfId="1539" priority="2137">
      <formula>$H612="CÉLULA CONSTRUTIVA"</formula>
    </cfRule>
    <cfRule type="expression" dxfId="1538" priority="2138">
      <formula>$H612="ETAPA"</formula>
    </cfRule>
  </conditionalFormatting>
  <conditionalFormatting sqref="O613">
    <cfRule type="expression" dxfId="1537" priority="2134">
      <formula>$H613="SUBETAPA"</formula>
    </cfRule>
    <cfRule type="expression" dxfId="1536" priority="2135">
      <formula>$H613="ETAPA"</formula>
    </cfRule>
  </conditionalFormatting>
  <conditionalFormatting sqref="O614">
    <cfRule type="expression" dxfId="1535" priority="2133">
      <formula>$H614="ETAPA"</formula>
    </cfRule>
    <cfRule type="expression" dxfId="1534" priority="2131">
      <formula>$H614="SUBETAPA"</formula>
    </cfRule>
    <cfRule type="expression" dxfId="1533" priority="2132">
      <formula>$H614="CÉLULA CONSTRUTIVA"</formula>
    </cfRule>
  </conditionalFormatting>
  <conditionalFormatting sqref="O615">
    <cfRule type="expression" dxfId="1532" priority="2130">
      <formula>$H615="CÉLULA CONSTRUTIVA"</formula>
    </cfRule>
    <cfRule type="expression" dxfId="1531" priority="2127">
      <formula>$H615="SUBETAPA"</formula>
    </cfRule>
    <cfRule type="expression" dxfId="1530" priority="2126">
      <formula>$H615="ETAPA"</formula>
    </cfRule>
    <cfRule type="expression" dxfId="1529" priority="2125">
      <formula>$H615="SUBETAPA"</formula>
    </cfRule>
    <cfRule type="expression" dxfId="1528" priority="2124">
      <formula>$H615="ETAPA"</formula>
    </cfRule>
    <cfRule type="expression" dxfId="1527" priority="2129">
      <formula>$H615="SUBETAPA"</formula>
    </cfRule>
    <cfRule type="expression" dxfId="1526" priority="2128">
      <formula>$H615="ETAPA"</formula>
    </cfRule>
  </conditionalFormatting>
  <conditionalFormatting sqref="O616">
    <cfRule type="expression" dxfId="1525" priority="2123">
      <formula>$H616="ETAPA"</formula>
    </cfRule>
    <cfRule type="expression" dxfId="1524" priority="2121">
      <formula>$H616="SUBETAPA"</formula>
    </cfRule>
    <cfRule type="expression" dxfId="1523" priority="2122">
      <formula>$H616="CÉLULA CONSTRUTIVA"</formula>
    </cfRule>
  </conditionalFormatting>
  <conditionalFormatting sqref="O618">
    <cfRule type="expression" dxfId="1522" priority="2119">
      <formula>$H618="SUBETAPA"</formula>
    </cfRule>
    <cfRule type="expression" dxfId="1521" priority="2120">
      <formula>$H618="ETAPA"</formula>
    </cfRule>
  </conditionalFormatting>
  <conditionalFormatting sqref="O619">
    <cfRule type="expression" dxfId="1520" priority="2118">
      <formula>$H619="ETAPA"</formula>
    </cfRule>
    <cfRule type="expression" dxfId="1519" priority="2117">
      <formula>$H619="CÉLULA CONSTRUTIVA"</formula>
    </cfRule>
    <cfRule type="expression" dxfId="1518" priority="2116">
      <formula>$H619="SUBETAPA"</formula>
    </cfRule>
  </conditionalFormatting>
  <conditionalFormatting sqref="O620">
    <cfRule type="expression" dxfId="1517" priority="2115">
      <formula>$H620="ETAPA"</formula>
    </cfRule>
    <cfRule type="expression" dxfId="1516" priority="2114">
      <formula>$H620="SUBETAPA"</formula>
    </cfRule>
  </conditionalFormatting>
  <conditionalFormatting sqref="O621">
    <cfRule type="expression" dxfId="1515" priority="2113">
      <formula>$H621="ETAPA"</formula>
    </cfRule>
    <cfRule type="expression" dxfId="1514" priority="2112">
      <formula>$H621="CÉLULA CONSTRUTIVA"</formula>
    </cfRule>
    <cfRule type="expression" dxfId="1513" priority="2111">
      <formula>$H621="SUBETAPA"</formula>
    </cfRule>
  </conditionalFormatting>
  <conditionalFormatting sqref="O622">
    <cfRule type="expression" dxfId="1512" priority="2110">
      <formula>$H622="ETAPA"</formula>
    </cfRule>
    <cfRule type="expression" dxfId="1511" priority="2109">
      <formula>$H622="SUBETAPA"</formula>
    </cfRule>
  </conditionalFormatting>
  <conditionalFormatting sqref="O623">
    <cfRule type="expression" dxfId="1510" priority="2108">
      <formula>$H623="ETAPA"</formula>
    </cfRule>
    <cfRule type="expression" dxfId="1509" priority="2107">
      <formula>$H623="CÉLULA CONSTRUTIVA"</formula>
    </cfRule>
    <cfRule type="expression" dxfId="1508" priority="2106">
      <formula>$H623="SUBETAPA"</formula>
    </cfRule>
  </conditionalFormatting>
  <conditionalFormatting sqref="O624">
    <cfRule type="expression" dxfId="1507" priority="2102">
      <formula>$H624="SUBETAPA"</formula>
    </cfRule>
    <cfRule type="expression" dxfId="1506" priority="2103">
      <formula>$H624="ETAPA"</formula>
    </cfRule>
    <cfRule type="expression" dxfId="1505" priority="2104">
      <formula>$H624="SUBETAPA"</formula>
    </cfRule>
    <cfRule type="expression" dxfId="1504" priority="2105">
      <formula>$H624="CÉLULA CONSTRUTIVA"</formula>
    </cfRule>
    <cfRule type="expression" dxfId="1503" priority="2099">
      <formula>$H624="ETAPA"</formula>
    </cfRule>
    <cfRule type="expression" dxfId="1502" priority="2100">
      <formula>$H624="SUBETAPA"</formula>
    </cfRule>
    <cfRule type="expression" dxfId="1501" priority="2101">
      <formula>$H624="ETAPA"</formula>
    </cfRule>
  </conditionalFormatting>
  <conditionalFormatting sqref="O625">
    <cfRule type="expression" dxfId="1500" priority="2097">
      <formula>$H625="CÉLULA CONSTRUTIVA"</formula>
    </cfRule>
    <cfRule type="expression" dxfId="1499" priority="2098">
      <formula>$H625="ETAPA"</formula>
    </cfRule>
    <cfRule type="expression" dxfId="1498" priority="2096">
      <formula>$H625="SUBETAPA"</formula>
    </cfRule>
  </conditionalFormatting>
  <conditionalFormatting sqref="O627">
    <cfRule type="expression" dxfId="1497" priority="2094">
      <formula>$H627="SUBETAPA"</formula>
    </cfRule>
    <cfRule type="expression" dxfId="1496" priority="2095">
      <formula>$H627="ETAPA"</formula>
    </cfRule>
  </conditionalFormatting>
  <conditionalFormatting sqref="O628">
    <cfRule type="expression" dxfId="1495" priority="2091">
      <formula>$H628="SUBETAPA"</formula>
    </cfRule>
    <cfRule type="expression" dxfId="1494" priority="2092">
      <formula>$H628="CÉLULA CONSTRUTIVA"</formula>
    </cfRule>
    <cfRule type="expression" dxfId="1493" priority="2093">
      <formula>$H628="ETAPA"</formula>
    </cfRule>
  </conditionalFormatting>
  <conditionalFormatting sqref="O629">
    <cfRule type="expression" dxfId="1492" priority="2089">
      <formula>$H629="SUBETAPA"</formula>
    </cfRule>
    <cfRule type="expression" dxfId="1491" priority="2090">
      <formula>$H629="ETAPA"</formula>
    </cfRule>
  </conditionalFormatting>
  <conditionalFormatting sqref="O630">
    <cfRule type="expression" dxfId="1490" priority="2086">
      <formula>$H630="SUBETAPA"</formula>
    </cfRule>
    <cfRule type="expression" dxfId="1489" priority="2087">
      <formula>$H630="CÉLULA CONSTRUTIVA"</formula>
    </cfRule>
    <cfRule type="expression" dxfId="1488" priority="2088">
      <formula>$H630="ETAPA"</formula>
    </cfRule>
  </conditionalFormatting>
  <conditionalFormatting sqref="O631">
    <cfRule type="expression" dxfId="1487" priority="2085">
      <formula>$H631="ETAPA"</formula>
    </cfRule>
    <cfRule type="expression" dxfId="1486" priority="2084">
      <formula>$H631="SUBETAPA"</formula>
    </cfRule>
  </conditionalFormatting>
  <conditionalFormatting sqref="O632">
    <cfRule type="expression" dxfId="1485" priority="2083">
      <formula>$H632="ETAPA"</formula>
    </cfRule>
    <cfRule type="expression" dxfId="1484" priority="2082">
      <formula>$H632="CÉLULA CONSTRUTIVA"</formula>
    </cfRule>
    <cfRule type="expression" dxfId="1483" priority="2081">
      <formula>$H632="SUBETAPA"</formula>
    </cfRule>
  </conditionalFormatting>
  <conditionalFormatting sqref="O633">
    <cfRule type="expression" dxfId="1482" priority="2075">
      <formula>$H633="SUBETAPA"</formula>
    </cfRule>
    <cfRule type="expression" dxfId="1481" priority="2077">
      <formula>$H633="SUBETAPA"</formula>
    </cfRule>
    <cfRule type="expression" dxfId="1480" priority="2076">
      <formula>$H633="ETAPA"</formula>
    </cfRule>
    <cfRule type="expression" dxfId="1479" priority="2080">
      <formula>$H633="CÉLULA CONSTRUTIVA"</formula>
    </cfRule>
    <cfRule type="expression" dxfId="1478" priority="2074">
      <formula>$H633="ETAPA"</formula>
    </cfRule>
    <cfRule type="expression" dxfId="1477" priority="2079">
      <formula>$H633="SUBETAPA"</formula>
    </cfRule>
    <cfRule type="expression" dxfId="1476" priority="2078">
      <formula>$H633="ETAPA"</formula>
    </cfRule>
  </conditionalFormatting>
  <conditionalFormatting sqref="O634">
    <cfRule type="expression" dxfId="1475" priority="2073">
      <formula>$H634="ETAPA"</formula>
    </cfRule>
    <cfRule type="expression" dxfId="1474" priority="2071">
      <formula>$H634="SUBETAPA"</formula>
    </cfRule>
    <cfRule type="expression" dxfId="1473" priority="2072">
      <formula>$H634="CÉLULA CONSTRUTIVA"</formula>
    </cfRule>
  </conditionalFormatting>
  <conditionalFormatting sqref="O636">
    <cfRule type="expression" dxfId="1472" priority="2069">
      <formula>$H636="SUBETAPA"</formula>
    </cfRule>
    <cfRule type="expression" dxfId="1471" priority="2070">
      <formula>$H636="ETAPA"</formula>
    </cfRule>
  </conditionalFormatting>
  <conditionalFormatting sqref="O637">
    <cfRule type="expression" dxfId="1470" priority="2067">
      <formula>$H637="CÉLULA CONSTRUTIVA"</formula>
    </cfRule>
    <cfRule type="expression" dxfId="1469" priority="2068">
      <formula>$H637="ETAPA"</formula>
    </cfRule>
    <cfRule type="expression" dxfId="1468" priority="2066">
      <formula>$H637="SUBETAPA"</formula>
    </cfRule>
  </conditionalFormatting>
  <conditionalFormatting sqref="O638">
    <cfRule type="expression" dxfId="1467" priority="2064">
      <formula>$H638="SUBETAPA"</formula>
    </cfRule>
    <cfRule type="expression" dxfId="1466" priority="2065">
      <formula>$H638="ETAPA"</formula>
    </cfRule>
  </conditionalFormatting>
  <conditionalFormatting sqref="O639">
    <cfRule type="expression" dxfId="1465" priority="2061">
      <formula>$H639="SUBETAPA"</formula>
    </cfRule>
    <cfRule type="expression" dxfId="1464" priority="2062">
      <formula>$H639="CÉLULA CONSTRUTIVA"</formula>
    </cfRule>
    <cfRule type="expression" dxfId="1463" priority="2063">
      <formula>$H639="ETAPA"</formula>
    </cfRule>
  </conditionalFormatting>
  <conditionalFormatting sqref="O640">
    <cfRule type="expression" dxfId="1462" priority="2059">
      <formula>$H640="SUBETAPA"</formula>
    </cfRule>
    <cfRule type="expression" dxfId="1461" priority="2060">
      <formula>$H640="ETAPA"</formula>
    </cfRule>
  </conditionalFormatting>
  <conditionalFormatting sqref="O641">
    <cfRule type="expression" dxfId="1460" priority="2056">
      <formula>$H641="SUBETAPA"</formula>
    </cfRule>
    <cfRule type="expression" dxfId="1459" priority="2057">
      <formula>$H641="CÉLULA CONSTRUTIVA"</formula>
    </cfRule>
    <cfRule type="expression" dxfId="1458" priority="2058">
      <formula>$H641="ETAPA"</formula>
    </cfRule>
  </conditionalFormatting>
  <conditionalFormatting sqref="O642">
    <cfRule type="expression" dxfId="1457" priority="2052">
      <formula>$H642="SUBETAPA"</formula>
    </cfRule>
    <cfRule type="expression" dxfId="1456" priority="2051">
      <formula>$H642="ETAPA"</formula>
    </cfRule>
    <cfRule type="expression" dxfId="1455" priority="2050">
      <formula>$H642="SUBETAPA"</formula>
    </cfRule>
    <cfRule type="expression" dxfId="1454" priority="2049">
      <formula>$H642="ETAPA"</formula>
    </cfRule>
    <cfRule type="expression" dxfId="1453" priority="2054">
      <formula>$H642="SUBETAPA"</formula>
    </cfRule>
    <cfRule type="expression" dxfId="1452" priority="2055">
      <formula>$H642="CÉLULA CONSTRUTIVA"</formula>
    </cfRule>
    <cfRule type="expression" dxfId="1451" priority="2053">
      <formula>$H642="ETAPA"</formula>
    </cfRule>
  </conditionalFormatting>
  <conditionalFormatting sqref="O643">
    <cfRule type="expression" dxfId="1450" priority="2048">
      <formula>$H643="ETAPA"</formula>
    </cfRule>
    <cfRule type="expression" dxfId="1449" priority="2047">
      <formula>$H643="CÉLULA CONSTRUTIVA"</formula>
    </cfRule>
    <cfRule type="expression" dxfId="1448" priority="2046">
      <formula>$H643="SUBETAPA"</formula>
    </cfRule>
  </conditionalFormatting>
  <conditionalFormatting sqref="O645">
    <cfRule type="expression" dxfId="1447" priority="2044">
      <formula>$H645="SUBETAPA"</formula>
    </cfRule>
    <cfRule type="expression" dxfId="1446" priority="2045">
      <formula>$H645="ETAPA"</formula>
    </cfRule>
  </conditionalFormatting>
  <conditionalFormatting sqref="O646">
    <cfRule type="expression" dxfId="1445" priority="2041">
      <formula>$H646="SUBETAPA"</formula>
    </cfRule>
    <cfRule type="expression" dxfId="1444" priority="2042">
      <formula>$H646="CÉLULA CONSTRUTIVA"</formula>
    </cfRule>
    <cfRule type="expression" dxfId="1443" priority="2043">
      <formula>$H646="ETAPA"</formula>
    </cfRule>
  </conditionalFormatting>
  <conditionalFormatting sqref="O647">
    <cfRule type="expression" dxfId="1442" priority="2039">
      <formula>$H647="SUBETAPA"</formula>
    </cfRule>
    <cfRule type="expression" dxfId="1441" priority="2040">
      <formula>$H647="ETAPA"</formula>
    </cfRule>
  </conditionalFormatting>
  <conditionalFormatting sqref="O648">
    <cfRule type="expression" dxfId="1440" priority="2038">
      <formula>$H648="ETAPA"</formula>
    </cfRule>
    <cfRule type="expression" dxfId="1439" priority="2037">
      <formula>$H648="CÉLULA CONSTRUTIVA"</formula>
    </cfRule>
    <cfRule type="expression" dxfId="1438" priority="2036">
      <formula>$H648="SUBETAPA"</formula>
    </cfRule>
  </conditionalFormatting>
  <conditionalFormatting sqref="O649">
    <cfRule type="expression" dxfId="1437" priority="2035">
      <formula>$H649="ETAPA"</formula>
    </cfRule>
    <cfRule type="expression" dxfId="1436" priority="2034">
      <formula>$H649="SUBETAPA"</formula>
    </cfRule>
  </conditionalFormatting>
  <conditionalFormatting sqref="O650">
    <cfRule type="expression" dxfId="1435" priority="2033">
      <formula>$H650="ETAPA"</formula>
    </cfRule>
    <cfRule type="expression" dxfId="1434" priority="2032">
      <formula>$H650="CÉLULA CONSTRUTIVA"</formula>
    </cfRule>
    <cfRule type="expression" dxfId="1433" priority="2031">
      <formula>$H650="SUBETAPA"</formula>
    </cfRule>
  </conditionalFormatting>
  <conditionalFormatting sqref="O651">
    <cfRule type="expression" dxfId="1432" priority="2030">
      <formula>$H651="CÉLULA CONSTRUTIVA"</formula>
    </cfRule>
    <cfRule type="expression" dxfId="1431" priority="2029">
      <formula>$H651="SUBETAPA"</formula>
    </cfRule>
    <cfRule type="expression" dxfId="1430" priority="2028">
      <formula>$H651="ETAPA"</formula>
    </cfRule>
    <cfRule type="expression" dxfId="1429" priority="2027">
      <formula>$H651="SUBETAPA"</formula>
    </cfRule>
    <cfRule type="expression" dxfId="1428" priority="2026">
      <formula>$H651="ETAPA"</formula>
    </cfRule>
    <cfRule type="expression" dxfId="1427" priority="2025">
      <formula>$H651="SUBETAPA"</formula>
    </cfRule>
    <cfRule type="expression" dxfId="1426" priority="2024">
      <formula>$H651="ETAPA"</formula>
    </cfRule>
  </conditionalFormatting>
  <conditionalFormatting sqref="O652">
    <cfRule type="expression" dxfId="1425" priority="2023">
      <formula>$H652="ETAPA"</formula>
    </cfRule>
    <cfRule type="expression" dxfId="1424" priority="2022">
      <formula>$H652="CÉLULA CONSTRUTIVA"</formula>
    </cfRule>
    <cfRule type="expression" dxfId="1423" priority="2021">
      <formula>$H652="SUBETAPA"</formula>
    </cfRule>
  </conditionalFormatting>
  <conditionalFormatting sqref="O654">
    <cfRule type="expression" dxfId="1422" priority="2019">
      <formula>$H654="SUBETAPA"</formula>
    </cfRule>
    <cfRule type="expression" dxfId="1421" priority="2020">
      <formula>$H654="ETAPA"</formula>
    </cfRule>
  </conditionalFormatting>
  <conditionalFormatting sqref="O655 O659">
    <cfRule type="expression" dxfId="1420" priority="2018">
      <formula>$H655="ETAPA"</formula>
    </cfRule>
  </conditionalFormatting>
  <conditionalFormatting sqref="O656">
    <cfRule type="expression" dxfId="1419" priority="2016">
      <formula>$H656="SUBETAPA"</formula>
    </cfRule>
    <cfRule type="expression" dxfId="1418" priority="2017">
      <formula>$H656="ETAPA"</formula>
    </cfRule>
  </conditionalFormatting>
  <conditionalFormatting sqref="O657">
    <cfRule type="expression" dxfId="1417" priority="2015">
      <formula>$H657="ETAPA"</formula>
    </cfRule>
    <cfRule type="expression" dxfId="1416" priority="2014">
      <formula>$H657="CÉLULA CONSTRUTIVA"</formula>
    </cfRule>
    <cfRule type="expression" dxfId="1415" priority="2013">
      <formula>$H657="SUBETAPA"</formula>
    </cfRule>
  </conditionalFormatting>
  <conditionalFormatting sqref="O658">
    <cfRule type="expression" dxfId="1414" priority="2011">
      <formula>$H658="SUBETAPA"</formula>
    </cfRule>
    <cfRule type="expression" dxfId="1413" priority="2012">
      <formula>$H658="ETAPA"</formula>
    </cfRule>
  </conditionalFormatting>
  <conditionalFormatting sqref="O659 O655">
    <cfRule type="expression" dxfId="1412" priority="2010">
      <formula>$H655="CÉLULA CONSTRUTIVA"</formula>
    </cfRule>
    <cfRule type="expression" dxfId="1411" priority="2009">
      <formula>$H655="SUBETAPA"</formula>
    </cfRule>
  </conditionalFormatting>
  <conditionalFormatting sqref="O660">
    <cfRule type="expression" dxfId="1410" priority="2007">
      <formula>$H660="ETAPA"</formula>
    </cfRule>
    <cfRule type="expression" dxfId="1409" priority="2008">
      <formula>$H660="CÉLULA CONSTRUTIVA"</formula>
    </cfRule>
    <cfRule type="expression" dxfId="1408" priority="2006">
      <formula>$H660="SUBETAPA"</formula>
    </cfRule>
  </conditionalFormatting>
  <conditionalFormatting sqref="O661">
    <cfRule type="expression" dxfId="1407" priority="2003">
      <formula>$H661="SUBETAPA"</formula>
    </cfRule>
    <cfRule type="expression" dxfId="1406" priority="2004">
      <formula>$H661="CÉLULA CONSTRUTIVA"</formula>
    </cfRule>
    <cfRule type="expression" dxfId="1405" priority="2005">
      <formula>$H661="ETAPA"</formula>
    </cfRule>
  </conditionalFormatting>
  <conditionalFormatting sqref="O662">
    <cfRule type="expression" dxfId="1404" priority="1998">
      <formula>$H662="ETAPA"</formula>
    </cfRule>
    <cfRule type="expression" dxfId="1403" priority="1997">
      <formula>$H662="SUBETAPA"</formula>
    </cfRule>
    <cfRule type="expression" dxfId="1402" priority="1996">
      <formula>$H662="ETAPA"</formula>
    </cfRule>
    <cfRule type="expression" dxfId="1401" priority="2000">
      <formula>$H662="ETAPA"</formula>
    </cfRule>
    <cfRule type="expression" dxfId="1400" priority="2001">
      <formula>$H662="SUBETAPA"</formula>
    </cfRule>
    <cfRule type="expression" dxfId="1399" priority="2002">
      <formula>$H662="CÉLULA CONSTRUTIVA"</formula>
    </cfRule>
    <cfRule type="expression" dxfId="1398" priority="1999">
      <formula>$H662="SUBETAPA"</formula>
    </cfRule>
  </conditionalFormatting>
  <conditionalFormatting sqref="O663">
    <cfRule type="expression" dxfId="1397" priority="1995">
      <formula>$H663="ETAPA"</formula>
    </cfRule>
    <cfRule type="expression" dxfId="1396" priority="1994">
      <formula>$H663="CÉLULA CONSTRUTIVA"</formula>
    </cfRule>
    <cfRule type="expression" dxfId="1395" priority="1993">
      <formula>$H663="SUBETAPA"</formula>
    </cfRule>
  </conditionalFormatting>
  <conditionalFormatting sqref="O665">
    <cfRule type="expression" dxfId="1394" priority="1991">
      <formula>$H665="SUBETAPA"</formula>
    </cfRule>
    <cfRule type="expression" dxfId="1393" priority="1992">
      <formula>$H665="ETAPA"</formula>
    </cfRule>
  </conditionalFormatting>
  <conditionalFormatting sqref="O666 O670">
    <cfRule type="expression" dxfId="1392" priority="1990">
      <formula>$H666="ETAPA"</formula>
    </cfRule>
  </conditionalFormatting>
  <conditionalFormatting sqref="O667">
    <cfRule type="expression" dxfId="1391" priority="1988">
      <formula>$H667="SUBETAPA"</formula>
    </cfRule>
    <cfRule type="expression" dxfId="1390" priority="1989">
      <formula>$H667="ETAPA"</formula>
    </cfRule>
  </conditionalFormatting>
  <conditionalFormatting sqref="O668">
    <cfRule type="expression" dxfId="1389" priority="1985">
      <formula>$H668="SUBETAPA"</formula>
    </cfRule>
    <cfRule type="expression" dxfId="1388" priority="1986">
      <formula>$H668="CÉLULA CONSTRUTIVA"</formula>
    </cfRule>
    <cfRule type="expression" dxfId="1387" priority="1987">
      <formula>$H668="ETAPA"</formula>
    </cfRule>
  </conditionalFormatting>
  <conditionalFormatting sqref="O669">
    <cfRule type="expression" dxfId="1386" priority="1984">
      <formula>$H669="ETAPA"</formula>
    </cfRule>
    <cfRule type="expression" dxfId="1385" priority="1983">
      <formula>$H669="SUBETAPA"</formula>
    </cfRule>
  </conditionalFormatting>
  <conditionalFormatting sqref="O670 O666">
    <cfRule type="expression" dxfId="1384" priority="1981">
      <formula>$H666="SUBETAPA"</formula>
    </cfRule>
    <cfRule type="expression" dxfId="1383" priority="1982">
      <formula>$H666="CÉLULA CONSTRUTIVA"</formula>
    </cfRule>
  </conditionalFormatting>
  <conditionalFormatting sqref="O671">
    <cfRule type="expression" dxfId="1382" priority="1978">
      <formula>$H671="SUBETAPA"</formula>
    </cfRule>
    <cfRule type="expression" dxfId="1381" priority="1980">
      <formula>$H671="CÉLULA CONSTRUTIVA"</formula>
    </cfRule>
    <cfRule type="expression" dxfId="1380" priority="1979">
      <formula>$H671="ETAPA"</formula>
    </cfRule>
  </conditionalFormatting>
  <conditionalFormatting sqref="O672">
    <cfRule type="expression" dxfId="1379" priority="1977">
      <formula>$H672="ETAPA"</formula>
    </cfRule>
    <cfRule type="expression" dxfId="1378" priority="1976">
      <formula>$H672="CÉLULA CONSTRUTIVA"</formula>
    </cfRule>
    <cfRule type="expression" dxfId="1377" priority="1975">
      <formula>$H672="SUBETAPA"</formula>
    </cfRule>
  </conditionalFormatting>
  <conditionalFormatting sqref="O673">
    <cfRule type="expression" dxfId="1376" priority="1968">
      <formula>$H673="ETAPA"</formula>
    </cfRule>
    <cfRule type="expression" dxfId="1375" priority="1974">
      <formula>$H673="CÉLULA CONSTRUTIVA"</formula>
    </cfRule>
    <cfRule type="expression" dxfId="1374" priority="1973">
      <formula>$H673="SUBETAPA"</formula>
    </cfRule>
    <cfRule type="expression" dxfId="1373" priority="1972">
      <formula>$H673="ETAPA"</formula>
    </cfRule>
    <cfRule type="expression" dxfId="1372" priority="1971">
      <formula>$H673="SUBETAPA"</formula>
    </cfRule>
    <cfRule type="expression" dxfId="1371" priority="1970">
      <formula>$H673="ETAPA"</formula>
    </cfRule>
    <cfRule type="expression" dxfId="1370" priority="1969">
      <formula>$H673="SUBETAPA"</formula>
    </cfRule>
  </conditionalFormatting>
  <conditionalFormatting sqref="O674">
    <cfRule type="expression" dxfId="1369" priority="1967">
      <formula>$H674="ETAPA"</formula>
    </cfRule>
    <cfRule type="expression" dxfId="1368" priority="1966">
      <formula>$H674="CÉLULA CONSTRUTIVA"</formula>
    </cfRule>
    <cfRule type="expression" dxfId="1367" priority="1965">
      <formula>$H674="SUBETAPA"</formula>
    </cfRule>
  </conditionalFormatting>
  <conditionalFormatting sqref="O676">
    <cfRule type="expression" dxfId="1366" priority="1963">
      <formula>$H676="SUBETAPA"</formula>
    </cfRule>
    <cfRule type="expression" dxfId="1365" priority="1964">
      <formula>$H676="ETAPA"</formula>
    </cfRule>
  </conditionalFormatting>
  <conditionalFormatting sqref="O677">
    <cfRule type="expression" dxfId="1364" priority="1960">
      <formula>$H677="SUBETAPA"</formula>
    </cfRule>
    <cfRule type="expression" dxfId="1363" priority="1961">
      <formula>$H677="CÉLULA CONSTRUTIVA"</formula>
    </cfRule>
    <cfRule type="expression" dxfId="1362" priority="1962">
      <formula>$H677="ETAPA"</formula>
    </cfRule>
  </conditionalFormatting>
  <conditionalFormatting sqref="O678">
    <cfRule type="expression" dxfId="1361" priority="1958">
      <formula>$H678="SUBETAPA"</formula>
    </cfRule>
    <cfRule type="expression" dxfId="1360" priority="1959">
      <formula>$H678="ETAPA"</formula>
    </cfRule>
  </conditionalFormatting>
  <conditionalFormatting sqref="O679">
    <cfRule type="expression" dxfId="1359" priority="1957">
      <formula>$H679="ETAPA"</formula>
    </cfRule>
    <cfRule type="expression" dxfId="1358" priority="1956">
      <formula>$H679="CÉLULA CONSTRUTIVA"</formula>
    </cfRule>
    <cfRule type="expression" dxfId="1357" priority="1955">
      <formula>$H679="SUBETAPA"</formula>
    </cfRule>
  </conditionalFormatting>
  <conditionalFormatting sqref="O680">
    <cfRule type="expression" dxfId="1356" priority="1954">
      <formula>$H680="ETAPA"</formula>
    </cfRule>
    <cfRule type="expression" dxfId="1355" priority="1953">
      <formula>$H680="SUBETAPA"</formula>
    </cfRule>
  </conditionalFormatting>
  <conditionalFormatting sqref="O681">
    <cfRule type="expression" dxfId="1354" priority="1950">
      <formula>$H681="SUBETAPA"</formula>
    </cfRule>
    <cfRule type="expression" dxfId="1353" priority="1951">
      <formula>$H681="CÉLULA CONSTRUTIVA"</formula>
    </cfRule>
    <cfRule type="expression" dxfId="1352" priority="1952">
      <formula>$H681="ETAPA"</formula>
    </cfRule>
  </conditionalFormatting>
  <conditionalFormatting sqref="O682">
    <cfRule type="expression" dxfId="1351" priority="1947">
      <formula>$H682="ETAPA"</formula>
    </cfRule>
    <cfRule type="expression" dxfId="1350" priority="1946">
      <formula>$H682="SUBETAPA"</formula>
    </cfRule>
    <cfRule type="expression" dxfId="1349" priority="1948">
      <formula>$H682="SUBETAPA"</formula>
    </cfRule>
    <cfRule type="expression" dxfId="1348" priority="1949">
      <formula>$H682="CÉLULA CONSTRUTIVA"</formula>
    </cfRule>
    <cfRule type="expression" dxfId="1347" priority="1945">
      <formula>$H682="ETAPA"</formula>
    </cfRule>
    <cfRule type="expression" dxfId="1346" priority="1944">
      <formula>$H682="SUBETAPA"</formula>
    </cfRule>
    <cfRule type="expression" dxfId="1345" priority="1943">
      <formula>$H682="ETAPA"</formula>
    </cfRule>
  </conditionalFormatting>
  <conditionalFormatting sqref="O683">
    <cfRule type="expression" dxfId="1344" priority="1940">
      <formula>$H683="SUBETAPA"</formula>
    </cfRule>
    <cfRule type="expression" dxfId="1343" priority="1942">
      <formula>$H683="ETAPA"</formula>
    </cfRule>
    <cfRule type="expression" dxfId="1342" priority="1941">
      <formula>$H683="CÉLULA CONSTRUTIVA"</formula>
    </cfRule>
  </conditionalFormatting>
  <conditionalFormatting sqref="O685">
    <cfRule type="expression" dxfId="1341" priority="1938">
      <formula>$H685="SUBETAPA"</formula>
    </cfRule>
    <cfRule type="expression" dxfId="1340" priority="1939">
      <formula>$H685="ETAPA"</formula>
    </cfRule>
  </conditionalFormatting>
  <conditionalFormatting sqref="O686">
    <cfRule type="expression" dxfId="1339" priority="1936">
      <formula>$H686="CÉLULA CONSTRUTIVA"</formula>
    </cfRule>
    <cfRule type="expression" dxfId="1338" priority="1937">
      <formula>$H686="ETAPA"</formula>
    </cfRule>
    <cfRule type="expression" dxfId="1337" priority="1935">
      <formula>$H686="SUBETAPA"</formula>
    </cfRule>
  </conditionalFormatting>
  <conditionalFormatting sqref="O687">
    <cfRule type="expression" dxfId="1336" priority="1934">
      <formula>$H687="ETAPA"</formula>
    </cfRule>
    <cfRule type="expression" dxfId="1335" priority="1933">
      <formula>$H687="SUBETAPA"</formula>
    </cfRule>
  </conditionalFormatting>
  <conditionalFormatting sqref="O688">
    <cfRule type="expression" dxfId="1334" priority="1930">
      <formula>$H688="SUBETAPA"</formula>
    </cfRule>
    <cfRule type="expression" dxfId="1333" priority="1931">
      <formula>$H688="CÉLULA CONSTRUTIVA"</formula>
    </cfRule>
    <cfRule type="expression" dxfId="1332" priority="1932">
      <formula>$H688="ETAPA"</formula>
    </cfRule>
  </conditionalFormatting>
  <conditionalFormatting sqref="O689">
    <cfRule type="expression" dxfId="1331" priority="1928">
      <formula>$H689="SUBETAPA"</formula>
    </cfRule>
    <cfRule type="expression" dxfId="1330" priority="1929">
      <formula>$H689="ETAPA"</formula>
    </cfRule>
  </conditionalFormatting>
  <conditionalFormatting sqref="O690">
    <cfRule type="expression" dxfId="1329" priority="1925">
      <formula>$H690="SUBETAPA"</formula>
    </cfRule>
    <cfRule type="expression" dxfId="1328" priority="1926">
      <formula>$H690="CÉLULA CONSTRUTIVA"</formula>
    </cfRule>
    <cfRule type="expression" dxfId="1327" priority="1927">
      <formula>$H690="ETAPA"</formula>
    </cfRule>
  </conditionalFormatting>
  <conditionalFormatting sqref="O691">
    <cfRule type="expression" dxfId="1326" priority="1918">
      <formula>$H691="ETAPA"</formula>
    </cfRule>
    <cfRule type="expression" dxfId="1325" priority="1920">
      <formula>$H691="ETAPA"</formula>
    </cfRule>
    <cfRule type="expression" dxfId="1324" priority="1921">
      <formula>$H691="SUBETAPA"</formula>
    </cfRule>
    <cfRule type="expression" dxfId="1323" priority="1922">
      <formula>$H691="ETAPA"</formula>
    </cfRule>
    <cfRule type="expression" dxfId="1322" priority="1923">
      <formula>$H691="SUBETAPA"</formula>
    </cfRule>
    <cfRule type="expression" dxfId="1321" priority="1924">
      <formula>$H691="CÉLULA CONSTRUTIVA"</formula>
    </cfRule>
    <cfRule type="expression" dxfId="1320" priority="1919">
      <formula>$H691="SUBETAPA"</formula>
    </cfRule>
  </conditionalFormatting>
  <conditionalFormatting sqref="O692">
    <cfRule type="expression" dxfId="1319" priority="1915">
      <formula>$H692="SUBETAPA"</formula>
    </cfRule>
    <cfRule type="expression" dxfId="1318" priority="1916">
      <formula>$H692="CÉLULA CONSTRUTIVA"</formula>
    </cfRule>
    <cfRule type="expression" dxfId="1317" priority="1917">
      <formula>$H692="ETAPA"</formula>
    </cfRule>
  </conditionalFormatting>
  <conditionalFormatting sqref="O694">
    <cfRule type="expression" dxfId="1316" priority="1914">
      <formula>$H694="ETAPA"</formula>
    </cfRule>
    <cfRule type="expression" dxfId="1315" priority="1913">
      <formula>$H694="SUBETAPA"</formula>
    </cfRule>
  </conditionalFormatting>
  <conditionalFormatting sqref="O695 O699">
    <cfRule type="expression" dxfId="1314" priority="1912">
      <formula>$H695="ETAPA"</formula>
    </cfRule>
  </conditionalFormatting>
  <conditionalFormatting sqref="O696">
    <cfRule type="expression" dxfId="1313" priority="1911">
      <formula>$H696="ETAPA"</formula>
    </cfRule>
    <cfRule type="expression" dxfId="1312" priority="1910">
      <formula>$H696="SUBETAPA"</formula>
    </cfRule>
  </conditionalFormatting>
  <conditionalFormatting sqref="O697">
    <cfRule type="expression" dxfId="1311" priority="1909">
      <formula>$H697="ETAPA"</formula>
    </cfRule>
    <cfRule type="expression" dxfId="1310" priority="1908">
      <formula>$H697="CÉLULA CONSTRUTIVA"</formula>
    </cfRule>
    <cfRule type="expression" dxfId="1309" priority="1907">
      <formula>$H697="SUBETAPA"</formula>
    </cfRule>
  </conditionalFormatting>
  <conditionalFormatting sqref="O698">
    <cfRule type="expression" dxfId="1308" priority="1905">
      <formula>$H698="SUBETAPA"</formula>
    </cfRule>
    <cfRule type="expression" dxfId="1307" priority="1906">
      <formula>$H698="ETAPA"</formula>
    </cfRule>
  </conditionalFormatting>
  <conditionalFormatting sqref="O699 O695">
    <cfRule type="expression" dxfId="1306" priority="1904">
      <formula>$H695="CÉLULA CONSTRUTIVA"</formula>
    </cfRule>
    <cfRule type="expression" dxfId="1305" priority="1903">
      <formula>$H695="SUBETAPA"</formula>
    </cfRule>
  </conditionalFormatting>
  <conditionalFormatting sqref="O700">
    <cfRule type="expression" dxfId="1304" priority="1900">
      <formula>$H700="SUBETAPA"</formula>
    </cfRule>
    <cfRule type="expression" dxfId="1303" priority="1902">
      <formula>$H700="CÉLULA CONSTRUTIVA"</formula>
    </cfRule>
    <cfRule type="expression" dxfId="1302" priority="1901">
      <formula>$H700="ETAPA"</formula>
    </cfRule>
  </conditionalFormatting>
  <conditionalFormatting sqref="O701">
    <cfRule type="expression" dxfId="1301" priority="1897">
      <formula>$H701="SUBETAPA"</formula>
    </cfRule>
    <cfRule type="expression" dxfId="1300" priority="1898">
      <formula>$H701="CÉLULA CONSTRUTIVA"</formula>
    </cfRule>
    <cfRule type="expression" dxfId="1299" priority="1899">
      <formula>$H701="ETAPA"</formula>
    </cfRule>
  </conditionalFormatting>
  <conditionalFormatting sqref="O702">
    <cfRule type="expression" dxfId="1298" priority="1890">
      <formula>$H702="ETAPA"</formula>
    </cfRule>
    <cfRule type="expression" dxfId="1297" priority="1893">
      <formula>$H702="SUBETAPA"</formula>
    </cfRule>
    <cfRule type="expression" dxfId="1296" priority="1891">
      <formula>$H702="SUBETAPA"</formula>
    </cfRule>
    <cfRule type="expression" dxfId="1295" priority="1892">
      <formula>$H702="ETAPA"</formula>
    </cfRule>
    <cfRule type="expression" dxfId="1294" priority="1894">
      <formula>$H702="ETAPA"</formula>
    </cfRule>
    <cfRule type="expression" dxfId="1293" priority="1895">
      <formula>$H702="SUBETAPA"</formula>
    </cfRule>
    <cfRule type="expression" dxfId="1292" priority="1896">
      <formula>$H702="CÉLULA CONSTRUTIVA"</formula>
    </cfRule>
  </conditionalFormatting>
  <conditionalFormatting sqref="O703">
    <cfRule type="expression" dxfId="1291" priority="1889">
      <formula>$H703="SUBETAPA"</formula>
    </cfRule>
    <cfRule type="expression" dxfId="1290" priority="1887">
      <formula>$H703="CÉLULA CONSTRUTIVA"</formula>
    </cfRule>
    <cfRule type="expression" dxfId="1289" priority="1888">
      <formula>$H703="ETAPA"</formula>
    </cfRule>
  </conditionalFormatting>
  <conditionalFormatting sqref="O704:O705">
    <cfRule type="expression" dxfId="1288" priority="1886">
      <formula>$H704="ETAPA"</formula>
    </cfRule>
    <cfRule type="expression" dxfId="1287" priority="1885">
      <formula>$H704="CÉLULA CONSTRUTIVA"</formula>
    </cfRule>
    <cfRule type="expression" dxfId="1286" priority="1884">
      <formula>$H704="SUBETAPA"</formula>
    </cfRule>
  </conditionalFormatting>
  <conditionalFormatting sqref="O715 O717 O707:O713">
    <cfRule type="expression" dxfId="1285" priority="1881">
      <formula>$H707="SUBETAPA"</formula>
    </cfRule>
    <cfRule type="expression" dxfId="1284" priority="1882">
      <formula>$H707="CÉLULA CONSTRUTIVA"</formula>
    </cfRule>
    <cfRule type="expression" dxfId="1283" priority="1883">
      <formula>$H707="ETAPA"</formula>
    </cfRule>
  </conditionalFormatting>
  <conditionalFormatting sqref="O719:O720">
    <cfRule type="expression" dxfId="1282" priority="1878">
      <formula>$H719="SUBETAPA"</formula>
    </cfRule>
    <cfRule type="expression" dxfId="1281" priority="1879">
      <formula>$H719="CÉLULA CONSTRUTIVA"</formula>
    </cfRule>
    <cfRule type="expression" dxfId="1280" priority="1880">
      <formula>$H719="ETAPA"</formula>
    </cfRule>
  </conditionalFormatting>
  <conditionalFormatting sqref="O724:O725">
    <cfRule type="expression" dxfId="1279" priority="1875">
      <formula>$H724="SUBETAPA"</formula>
    </cfRule>
    <cfRule type="expression" dxfId="1278" priority="1876">
      <formula>$H724="CÉLULA CONSTRUTIVA"</formula>
    </cfRule>
    <cfRule type="expression" dxfId="1277" priority="1877">
      <formula>$H724="ETAPA"</formula>
    </cfRule>
  </conditionalFormatting>
  <conditionalFormatting sqref="O727">
    <cfRule type="expression" dxfId="1276" priority="1872">
      <formula>$H727="SUBETAPA"</formula>
    </cfRule>
    <cfRule type="expression" dxfId="1275" priority="1873">
      <formula>$H727="CÉLULA CONSTRUTIVA"</formula>
    </cfRule>
    <cfRule type="expression" dxfId="1274" priority="1874">
      <formula>$H727="ETAPA"</formula>
    </cfRule>
  </conditionalFormatting>
  <conditionalFormatting sqref="O728 O730 O732 O722:O723 O726">
    <cfRule type="expression" dxfId="1273" priority="1870">
      <formula>$H722="CÉLULA CONSTRUTIVA"</formula>
    </cfRule>
    <cfRule type="expression" dxfId="1272" priority="1871">
      <formula>$H722="ETAPA"</formula>
    </cfRule>
    <cfRule type="expression" dxfId="1271" priority="1869">
      <formula>$H722="SUBETAPA"</formula>
    </cfRule>
  </conditionalFormatting>
  <conditionalFormatting sqref="O734:O735">
    <cfRule type="expression" dxfId="1270" priority="1868">
      <formula>$H734="ETAPA"</formula>
    </cfRule>
    <cfRule type="expression" dxfId="1269" priority="1867">
      <formula>$H734="CÉLULA CONSTRUTIVA"</formula>
    </cfRule>
    <cfRule type="expression" dxfId="1268" priority="1866">
      <formula>$H734="SUBETAPA"</formula>
    </cfRule>
  </conditionalFormatting>
  <conditionalFormatting sqref="O739:O740">
    <cfRule type="expression" dxfId="1267" priority="1863">
      <formula>$H739="SUBETAPA"</formula>
    </cfRule>
    <cfRule type="expression" dxfId="1266" priority="1864">
      <formula>$H739="CÉLULA CONSTRUTIVA"</formula>
    </cfRule>
    <cfRule type="expression" dxfId="1265" priority="1865">
      <formula>$H739="ETAPA"</formula>
    </cfRule>
  </conditionalFormatting>
  <conditionalFormatting sqref="O742">
    <cfRule type="expression" dxfId="1264" priority="1860">
      <formula>$H742="SUBETAPA"</formula>
    </cfRule>
    <cfRule type="expression" dxfId="1263" priority="1862">
      <formula>$H742="ETAPA"</formula>
    </cfRule>
    <cfRule type="expression" dxfId="1262" priority="1861">
      <formula>$H742="CÉLULA CONSTRUTIVA"</formula>
    </cfRule>
  </conditionalFormatting>
  <conditionalFormatting sqref="O745 O747 O737:O738 O743 O741">
    <cfRule type="expression" dxfId="1261" priority="1857">
      <formula>$H737="SUBETAPA"</formula>
    </cfRule>
    <cfRule type="expression" dxfId="1260" priority="1858">
      <formula>$H737="CÉLULA CONSTRUTIVA"</formula>
    </cfRule>
    <cfRule type="expression" dxfId="1259" priority="1859">
      <formula>$H737="ETAPA"</formula>
    </cfRule>
  </conditionalFormatting>
  <conditionalFormatting sqref="O749:O750">
    <cfRule type="expression" dxfId="1258" priority="1854">
      <formula>$H749="SUBETAPA"</formula>
    </cfRule>
    <cfRule type="expression" dxfId="1257" priority="1855">
      <formula>$H749="CÉLULA CONSTRUTIVA"</formula>
    </cfRule>
    <cfRule type="expression" dxfId="1256" priority="1856">
      <formula>$H749="ETAPA"</formula>
    </cfRule>
  </conditionalFormatting>
  <conditionalFormatting sqref="O754:O755">
    <cfRule type="expression" dxfId="1255" priority="1851">
      <formula>$H754="SUBETAPA"</formula>
    </cfRule>
    <cfRule type="expression" dxfId="1254" priority="1852">
      <formula>$H754="CÉLULA CONSTRUTIVA"</formula>
    </cfRule>
    <cfRule type="expression" dxfId="1253" priority="1853">
      <formula>$H754="ETAPA"</formula>
    </cfRule>
  </conditionalFormatting>
  <conditionalFormatting sqref="O757">
    <cfRule type="expression" dxfId="1252" priority="1849">
      <formula>$H757="CÉLULA CONSTRUTIVA"</formula>
    </cfRule>
    <cfRule type="expression" dxfId="1251" priority="1850">
      <formula>$H757="ETAPA"</formula>
    </cfRule>
    <cfRule type="expression" dxfId="1250" priority="1848">
      <formula>$H757="SUBETAPA"</formula>
    </cfRule>
  </conditionalFormatting>
  <conditionalFormatting sqref="O758 O760 O762 O752:O753 O756">
    <cfRule type="expression" dxfId="1249" priority="1847">
      <formula>$H752="ETAPA"</formula>
    </cfRule>
    <cfRule type="expression" dxfId="1248" priority="1846">
      <formula>$H752="CÉLULA CONSTRUTIVA"</formula>
    </cfRule>
    <cfRule type="expression" dxfId="1247" priority="1845">
      <formula>$H752="SUBETAPA"</formula>
    </cfRule>
  </conditionalFormatting>
  <conditionalFormatting sqref="O764:O765">
    <cfRule type="expression" dxfId="1246" priority="1844">
      <formula>$H764="ETAPA"</formula>
    </cfRule>
    <cfRule type="expression" dxfId="1245" priority="1843">
      <formula>$H764="CÉLULA CONSTRUTIVA"</formula>
    </cfRule>
    <cfRule type="expression" dxfId="1244" priority="1842">
      <formula>$H764="SUBETAPA"</formula>
    </cfRule>
  </conditionalFormatting>
  <conditionalFormatting sqref="O769:O770">
    <cfRule type="expression" dxfId="1243" priority="1841">
      <formula>$H769="ETAPA"</formula>
    </cfRule>
    <cfRule type="expression" dxfId="1242" priority="1840">
      <formula>$H769="CÉLULA CONSTRUTIVA"</formula>
    </cfRule>
    <cfRule type="expression" dxfId="1241" priority="1839">
      <formula>$H769="SUBETAPA"</formula>
    </cfRule>
  </conditionalFormatting>
  <conditionalFormatting sqref="O772">
    <cfRule type="expression" dxfId="1240" priority="1836">
      <formula>$H772="SUBETAPA"</formula>
    </cfRule>
    <cfRule type="expression" dxfId="1239" priority="1838">
      <formula>$H772="ETAPA"</formula>
    </cfRule>
    <cfRule type="expression" dxfId="1238" priority="1837">
      <formula>$H772="CÉLULA CONSTRUTIVA"</formula>
    </cfRule>
  </conditionalFormatting>
  <conditionalFormatting sqref="O775 O777 O767:O768 O773 O771">
    <cfRule type="expression" dxfId="1237" priority="1835">
      <formula>$H767="ETAPA"</formula>
    </cfRule>
    <cfRule type="expression" dxfId="1236" priority="1834">
      <formula>$H767="CÉLULA CONSTRUTIVA"</formula>
    </cfRule>
    <cfRule type="expression" dxfId="1235" priority="1833">
      <formula>$H767="SUBETAPA"</formula>
    </cfRule>
  </conditionalFormatting>
  <conditionalFormatting sqref="O779:O780">
    <cfRule type="expression" dxfId="1234" priority="1832">
      <formula>$H779="ETAPA"</formula>
    </cfRule>
    <cfRule type="expression" dxfId="1233" priority="1831">
      <formula>$H779="CÉLULA CONSTRUTIVA"</formula>
    </cfRule>
    <cfRule type="expression" dxfId="1232" priority="1830">
      <formula>$H779="SUBETAPA"</formula>
    </cfRule>
  </conditionalFormatting>
  <conditionalFormatting sqref="O784:O785">
    <cfRule type="expression" dxfId="1231" priority="1829">
      <formula>$H784="ETAPA"</formula>
    </cfRule>
    <cfRule type="expression" dxfId="1230" priority="1828">
      <formula>$H784="CÉLULA CONSTRUTIVA"</formula>
    </cfRule>
    <cfRule type="expression" dxfId="1229" priority="1827">
      <formula>$H784="SUBETAPA"</formula>
    </cfRule>
  </conditionalFormatting>
  <conditionalFormatting sqref="O787">
    <cfRule type="expression" dxfId="1228" priority="1826">
      <formula>$H787="ETAPA"</formula>
    </cfRule>
    <cfRule type="expression" dxfId="1227" priority="1825">
      <formula>$H787="CÉLULA CONSTRUTIVA"</formula>
    </cfRule>
    <cfRule type="expression" dxfId="1226" priority="1824">
      <formula>$H787="SUBETAPA"</formula>
    </cfRule>
  </conditionalFormatting>
  <conditionalFormatting sqref="O788 O790 O792 O782:O783 O786">
    <cfRule type="expression" dxfId="1225" priority="1823">
      <formula>$H782="ETAPA"</formula>
    </cfRule>
    <cfRule type="expression" dxfId="1224" priority="1822">
      <formula>$H782="CÉLULA CONSTRUTIVA"</formula>
    </cfRule>
    <cfRule type="expression" dxfId="1223" priority="1821">
      <formula>$H782="SUBETAPA"</formula>
    </cfRule>
  </conditionalFormatting>
  <conditionalFormatting sqref="O794:O795">
    <cfRule type="expression" dxfId="1222" priority="1819">
      <formula>$H794="CÉLULA CONSTRUTIVA"</formula>
    </cfRule>
    <cfRule type="expression" dxfId="1221" priority="1818">
      <formula>$H794="SUBETAPA"</formula>
    </cfRule>
    <cfRule type="expression" dxfId="1220" priority="1820">
      <formula>$H794="ETAPA"</formula>
    </cfRule>
  </conditionalFormatting>
  <conditionalFormatting sqref="O799:O800">
    <cfRule type="expression" dxfId="1219" priority="1817">
      <formula>$H799="ETAPA"</formula>
    </cfRule>
    <cfRule type="expression" dxfId="1218" priority="1816">
      <formula>$H799="CÉLULA CONSTRUTIVA"</formula>
    </cfRule>
    <cfRule type="expression" dxfId="1217" priority="1815">
      <formula>$H799="SUBETAPA"</formula>
    </cfRule>
  </conditionalFormatting>
  <conditionalFormatting sqref="O802">
    <cfRule type="expression" dxfId="1216" priority="1814">
      <formula>$H802="ETAPA"</formula>
    </cfRule>
    <cfRule type="expression" dxfId="1215" priority="1812">
      <formula>$H802="SUBETAPA"</formula>
    </cfRule>
    <cfRule type="expression" dxfId="1214" priority="1813">
      <formula>$H802="CÉLULA CONSTRUTIVA"</formula>
    </cfRule>
  </conditionalFormatting>
  <conditionalFormatting sqref="O805 O807 O797:O798 O803 O801">
    <cfRule type="expression" dxfId="1213" priority="1809">
      <formula>$H797="SUBETAPA"</formula>
    </cfRule>
    <cfRule type="expression" dxfId="1212" priority="1811">
      <formula>$H797="ETAPA"</formula>
    </cfRule>
    <cfRule type="expression" dxfId="1211" priority="1810">
      <formula>$H797="CÉLULA CONSTRUTIVA"</formula>
    </cfRule>
  </conditionalFormatting>
  <conditionalFormatting sqref="O809:O810">
    <cfRule type="expression" dxfId="1210" priority="1807">
      <formula>$H809="CÉLULA CONSTRUTIVA"</formula>
    </cfRule>
    <cfRule type="expression" dxfId="1209" priority="1808">
      <formula>$H809="ETAPA"</formula>
    </cfRule>
    <cfRule type="expression" dxfId="1208" priority="1806">
      <formula>$H809="SUBETAPA"</formula>
    </cfRule>
  </conditionalFormatting>
  <conditionalFormatting sqref="O814:O815">
    <cfRule type="expression" dxfId="1207" priority="1805">
      <formula>$H814="ETAPA"</formula>
    </cfRule>
    <cfRule type="expression" dxfId="1206" priority="1803">
      <formula>$H814="SUBETAPA"</formula>
    </cfRule>
    <cfRule type="expression" dxfId="1205" priority="1804">
      <formula>$H814="CÉLULA CONSTRUTIVA"</formula>
    </cfRule>
  </conditionalFormatting>
  <conditionalFormatting sqref="O817">
    <cfRule type="expression" dxfId="1204" priority="1800">
      <formula>$H817="SUBETAPA"</formula>
    </cfRule>
    <cfRule type="expression" dxfId="1203" priority="1801">
      <formula>$H817="CÉLULA CONSTRUTIVA"</formula>
    </cfRule>
    <cfRule type="expression" dxfId="1202" priority="1802">
      <formula>$H817="ETAPA"</formula>
    </cfRule>
  </conditionalFormatting>
  <conditionalFormatting sqref="O820 O822 O812:O813 O818 O816">
    <cfRule type="expression" dxfId="1201" priority="1797">
      <formula>$H812="SUBETAPA"</formula>
    </cfRule>
    <cfRule type="expression" dxfId="1200" priority="1798">
      <formula>$H812="CÉLULA CONSTRUTIVA"</formula>
    </cfRule>
    <cfRule type="expression" dxfId="1199" priority="1799">
      <formula>$H812="ETAPA"</formula>
    </cfRule>
  </conditionalFormatting>
  <conditionalFormatting sqref="O824:O825">
    <cfRule type="expression" dxfId="1198" priority="1794">
      <formula>$H824="SUBETAPA"</formula>
    </cfRule>
    <cfRule type="expression" dxfId="1197" priority="1796">
      <formula>$H824="ETAPA"</formula>
    </cfRule>
    <cfRule type="expression" dxfId="1196" priority="1795">
      <formula>$H824="CÉLULA CONSTRUTIVA"</formula>
    </cfRule>
  </conditionalFormatting>
  <conditionalFormatting sqref="O829:O830">
    <cfRule type="expression" dxfId="1195" priority="1793">
      <formula>$H829="ETAPA"</formula>
    </cfRule>
    <cfRule type="expression" dxfId="1194" priority="1791">
      <formula>$H829="SUBETAPA"</formula>
    </cfRule>
    <cfRule type="expression" dxfId="1193" priority="1792">
      <formula>$H829="CÉLULA CONSTRUTIVA"</formula>
    </cfRule>
  </conditionalFormatting>
  <conditionalFormatting sqref="O832">
    <cfRule type="expression" dxfId="1192" priority="1789">
      <formula>$H832="CÉLULA CONSTRUTIVA"</formula>
    </cfRule>
    <cfRule type="expression" dxfId="1191" priority="1788">
      <formula>$H832="SUBETAPA"</formula>
    </cfRule>
    <cfRule type="expression" dxfId="1190" priority="1790">
      <formula>$H832="ETAPA"</formula>
    </cfRule>
  </conditionalFormatting>
  <conditionalFormatting sqref="O833 O835 O837 O827:O828 O831">
    <cfRule type="expression" dxfId="1189" priority="1787">
      <formula>$H827="ETAPA"</formula>
    </cfRule>
    <cfRule type="expression" dxfId="1188" priority="1786">
      <formula>$H827="CÉLULA CONSTRUTIVA"</formula>
    </cfRule>
    <cfRule type="expression" dxfId="1187" priority="1785">
      <formula>$H827="SUBETAPA"</formula>
    </cfRule>
  </conditionalFormatting>
  <conditionalFormatting sqref="O839:O840">
    <cfRule type="expression" dxfId="1186" priority="1782">
      <formula>$H839="SUBETAPA"</formula>
    </cfRule>
    <cfRule type="expression" dxfId="1185" priority="1784">
      <formula>$H839="ETAPA"</formula>
    </cfRule>
    <cfRule type="expression" dxfId="1184" priority="1783">
      <formula>$H839="CÉLULA CONSTRUTIVA"</formula>
    </cfRule>
  </conditionalFormatting>
  <conditionalFormatting sqref="O844:O845">
    <cfRule type="expression" dxfId="1183" priority="1779">
      <formula>$H844="SUBETAPA"</formula>
    </cfRule>
    <cfRule type="expression" dxfId="1182" priority="1780">
      <formula>$H844="CÉLULA CONSTRUTIVA"</formula>
    </cfRule>
    <cfRule type="expression" dxfId="1181" priority="1781">
      <formula>$H844="ETAPA"</formula>
    </cfRule>
  </conditionalFormatting>
  <conditionalFormatting sqref="O847">
    <cfRule type="expression" dxfId="1180" priority="1776">
      <formula>$H847="SUBETAPA"</formula>
    </cfRule>
    <cfRule type="expression" dxfId="1179" priority="1777">
      <formula>$H847="CÉLULA CONSTRUTIVA"</formula>
    </cfRule>
    <cfRule type="expression" dxfId="1178" priority="1778">
      <formula>$H847="ETAPA"</formula>
    </cfRule>
  </conditionalFormatting>
  <conditionalFormatting sqref="O850 O852 O842:O843 O848 O846">
    <cfRule type="expression" dxfId="1177" priority="1773">
      <formula>$H842="SUBETAPA"</formula>
    </cfRule>
    <cfRule type="expression" dxfId="1176" priority="1774">
      <formula>$H842="CÉLULA CONSTRUTIVA"</formula>
    </cfRule>
    <cfRule type="expression" dxfId="1175" priority="1775">
      <formula>$H842="ETAPA"</formula>
    </cfRule>
  </conditionalFormatting>
  <conditionalFormatting sqref="O854:O855">
    <cfRule type="expression" dxfId="1174" priority="1770">
      <formula>$H854="SUBETAPA"</formula>
    </cfRule>
    <cfRule type="expression" dxfId="1173" priority="1771">
      <formula>$H854="CÉLULA CONSTRUTIVA"</formula>
    </cfRule>
    <cfRule type="expression" dxfId="1172" priority="1772">
      <formula>$H854="ETAPA"</formula>
    </cfRule>
  </conditionalFormatting>
  <conditionalFormatting sqref="O859:O860">
    <cfRule type="expression" dxfId="1171" priority="1768">
      <formula>$H859="CÉLULA CONSTRUTIVA"</formula>
    </cfRule>
    <cfRule type="expression" dxfId="1170" priority="1769">
      <formula>$H859="ETAPA"</formula>
    </cfRule>
    <cfRule type="expression" dxfId="1169" priority="1767">
      <formula>$H859="SUBETAPA"</formula>
    </cfRule>
  </conditionalFormatting>
  <conditionalFormatting sqref="O862">
    <cfRule type="expression" dxfId="1168" priority="1764">
      <formula>$H862="SUBETAPA"</formula>
    </cfRule>
    <cfRule type="expression" dxfId="1167" priority="1765">
      <formula>$H862="CÉLULA CONSTRUTIVA"</formula>
    </cfRule>
    <cfRule type="expression" dxfId="1166" priority="1766">
      <formula>$H862="ETAPA"</formula>
    </cfRule>
  </conditionalFormatting>
  <conditionalFormatting sqref="O863 O865 O867 O857:O858 O861">
    <cfRule type="expression" dxfId="1165" priority="1761">
      <formula>$H857="SUBETAPA"</formula>
    </cfRule>
    <cfRule type="expression" dxfId="1164" priority="1762">
      <formula>$H857="CÉLULA CONSTRUTIVA"</formula>
    </cfRule>
    <cfRule type="expression" dxfId="1163" priority="1763">
      <formula>$H857="ETAPA"</formula>
    </cfRule>
  </conditionalFormatting>
  <conditionalFormatting sqref="O869:O870">
    <cfRule type="expression" dxfId="1162" priority="1758">
      <formula>$H869="SUBETAPA"</formula>
    </cfRule>
    <cfRule type="expression" dxfId="1161" priority="1760">
      <formula>$H869="ETAPA"</formula>
    </cfRule>
    <cfRule type="expression" dxfId="1160" priority="1759">
      <formula>$H869="CÉLULA CONSTRUTIVA"</formula>
    </cfRule>
  </conditionalFormatting>
  <conditionalFormatting sqref="O874:O875">
    <cfRule type="expression" dxfId="1159" priority="1757">
      <formula>$H874="ETAPA"</formula>
    </cfRule>
    <cfRule type="expression" dxfId="1158" priority="1756">
      <formula>$H874="CÉLULA CONSTRUTIVA"</formula>
    </cfRule>
    <cfRule type="expression" dxfId="1157" priority="1755">
      <formula>$H874="SUBETAPA"</formula>
    </cfRule>
  </conditionalFormatting>
  <conditionalFormatting sqref="O877">
    <cfRule type="expression" dxfId="1156" priority="1754">
      <formula>$H877="ETAPA"</formula>
    </cfRule>
    <cfRule type="expression" dxfId="1155" priority="1753">
      <formula>$H877="CÉLULA CONSTRUTIVA"</formula>
    </cfRule>
    <cfRule type="expression" dxfId="1154" priority="1752">
      <formula>$H877="SUBETAPA"</formula>
    </cfRule>
  </conditionalFormatting>
  <conditionalFormatting sqref="O880 O882 O872:O873 O878 O876">
    <cfRule type="expression" dxfId="1153" priority="1749">
      <formula>$H872="SUBETAPA"</formula>
    </cfRule>
    <cfRule type="expression" dxfId="1152" priority="1750">
      <formula>$H872="CÉLULA CONSTRUTIVA"</formula>
    </cfRule>
    <cfRule type="expression" dxfId="1151" priority="1751">
      <formula>$H872="ETAPA"</formula>
    </cfRule>
  </conditionalFormatting>
  <conditionalFormatting sqref="O884:O885">
    <cfRule type="expression" dxfId="1150" priority="1746">
      <formula>$H884="SUBETAPA"</formula>
    </cfRule>
    <cfRule type="expression" dxfId="1149" priority="1748">
      <formula>$H884="ETAPA"</formula>
    </cfRule>
    <cfRule type="expression" dxfId="1148" priority="1747">
      <formula>$H884="CÉLULA CONSTRUTIVA"</formula>
    </cfRule>
  </conditionalFormatting>
  <conditionalFormatting sqref="O889:O890">
    <cfRule type="expression" dxfId="1147" priority="1743">
      <formula>$H889="SUBETAPA"</formula>
    </cfRule>
    <cfRule type="expression" dxfId="1146" priority="1744">
      <formula>$H889="CÉLULA CONSTRUTIVA"</formula>
    </cfRule>
    <cfRule type="expression" dxfId="1145" priority="1745">
      <formula>$H889="ETAPA"</formula>
    </cfRule>
  </conditionalFormatting>
  <conditionalFormatting sqref="O892">
    <cfRule type="expression" dxfId="1144" priority="1741">
      <formula>$H892="CÉLULA CONSTRUTIVA"</formula>
    </cfRule>
    <cfRule type="expression" dxfId="1143" priority="1740">
      <formula>$H892="SUBETAPA"</formula>
    </cfRule>
    <cfRule type="expression" dxfId="1142" priority="1742">
      <formula>$H892="ETAPA"</formula>
    </cfRule>
  </conditionalFormatting>
  <conditionalFormatting sqref="O893 O895 O897 O887:O888 O891">
    <cfRule type="expression" dxfId="1141" priority="1737">
      <formula>$H887="SUBETAPA"</formula>
    </cfRule>
    <cfRule type="expression" dxfId="1140" priority="1738">
      <formula>$H887="CÉLULA CONSTRUTIVA"</formula>
    </cfRule>
    <cfRule type="expression" dxfId="1139" priority="1739">
      <formula>$H887="ETAPA"</formula>
    </cfRule>
  </conditionalFormatting>
  <conditionalFormatting sqref="O899:O900">
    <cfRule type="expression" dxfId="1138" priority="1734">
      <formula>$H899="SUBETAPA"</formula>
    </cfRule>
    <cfRule type="expression" dxfId="1137" priority="1735">
      <formula>$H899="CÉLULA CONSTRUTIVA"</formula>
    </cfRule>
    <cfRule type="expression" dxfId="1136" priority="1736">
      <formula>$H899="ETAPA"</formula>
    </cfRule>
  </conditionalFormatting>
  <conditionalFormatting sqref="O904:O905">
    <cfRule type="expression" dxfId="1135" priority="1731">
      <formula>$H904="SUBETAPA"</formula>
    </cfRule>
    <cfRule type="expression" dxfId="1134" priority="1732">
      <formula>$H904="CÉLULA CONSTRUTIVA"</formula>
    </cfRule>
    <cfRule type="expression" dxfId="1133" priority="1733">
      <formula>$H904="ETAPA"</formula>
    </cfRule>
  </conditionalFormatting>
  <conditionalFormatting sqref="O907">
    <cfRule type="expression" dxfId="1132" priority="1728">
      <formula>$H907="SUBETAPA"</formula>
    </cfRule>
    <cfRule type="expression" dxfId="1131" priority="1729">
      <formula>$H907="CÉLULA CONSTRUTIVA"</formula>
    </cfRule>
    <cfRule type="expression" dxfId="1130" priority="1730">
      <formula>$H907="ETAPA"</formula>
    </cfRule>
  </conditionalFormatting>
  <conditionalFormatting sqref="O910 O912 O902:O903 O908 O906">
    <cfRule type="expression" dxfId="1129" priority="1725">
      <formula>$H902="SUBETAPA"</formula>
    </cfRule>
    <cfRule type="expression" dxfId="1128" priority="1726">
      <formula>$H902="CÉLULA CONSTRUTIVA"</formula>
    </cfRule>
    <cfRule type="expression" dxfId="1127" priority="1727">
      <formula>$H902="ETAPA"</formula>
    </cfRule>
  </conditionalFormatting>
  <conditionalFormatting sqref="O914">
    <cfRule type="expression" dxfId="1126" priority="1724">
      <formula>$H914="SUBETAPA"</formula>
    </cfRule>
    <cfRule type="expression" dxfId="1125" priority="1722">
      <formula>$H914="CÉLULA CONSTRUTIVA"</formula>
    </cfRule>
    <cfRule type="expression" dxfId="1124" priority="1723">
      <formula>$H914="ETAPA"</formula>
    </cfRule>
  </conditionalFormatting>
  <conditionalFormatting sqref="O999">
    <cfRule type="expression" dxfId="1123" priority="1721">
      <formula>$H999="SUBETAPA"</formula>
    </cfRule>
    <cfRule type="expression" dxfId="1122" priority="1720">
      <formula>$H999="ETAPA"</formula>
    </cfRule>
    <cfRule type="expression" dxfId="1121" priority="1719">
      <formula>$H999="CÉLULA CONSTRUTIVA"</formula>
    </cfRule>
  </conditionalFormatting>
  <conditionalFormatting sqref="O1000:O1001">
    <cfRule type="expression" dxfId="1120" priority="1716">
      <formula>$H1000="SUBETAPA"</formula>
    </cfRule>
    <cfRule type="expression" dxfId="1119" priority="1718">
      <formula>$H1000="ETAPA"</formula>
    </cfRule>
    <cfRule type="expression" dxfId="1118" priority="1717">
      <formula>$H1000="CÉLULA CONSTRUTIVA"</formula>
    </cfRule>
  </conditionalFormatting>
  <conditionalFormatting sqref="O1005:O1006">
    <cfRule type="expression" dxfId="1117" priority="1711">
      <formula>$H1005="ETAPA"</formula>
    </cfRule>
    <cfRule type="expression" dxfId="1116" priority="1712">
      <formula>$H1005="SUBETAPA"</formula>
    </cfRule>
    <cfRule type="expression" dxfId="1115" priority="1713">
      <formula>$H1005="ETAPA"</formula>
    </cfRule>
    <cfRule type="expression" dxfId="1114" priority="1714">
      <formula>$H1005="SUBETAPA"</formula>
    </cfRule>
    <cfRule type="expression" dxfId="1113" priority="1715">
      <formula>$H1005="CÉLULA CONSTRUTIVA"</formula>
    </cfRule>
    <cfRule type="expression" dxfId="1112" priority="1710">
      <formula>$H1005="SUBETAPA"</formula>
    </cfRule>
    <cfRule type="expression" dxfId="1111" priority="1709">
      <formula>$H1005="ETAPA"</formula>
    </cfRule>
  </conditionalFormatting>
  <conditionalFormatting sqref="O1009">
    <cfRule type="expression" dxfId="1110" priority="1707">
      <formula>$H1009="SUBETAPA"</formula>
    </cfRule>
    <cfRule type="expression" dxfId="1109" priority="1703">
      <formula>$H1009="SUBETAPA"</formula>
    </cfRule>
    <cfRule type="expression" dxfId="1108" priority="1706">
      <formula>$H1009="ETAPA"</formula>
    </cfRule>
    <cfRule type="expression" dxfId="1107" priority="1705">
      <formula>$H1009="SUBETAPA"</formula>
    </cfRule>
    <cfRule type="expression" dxfId="1106" priority="1704">
      <formula>$H1009="ETAPA"</formula>
    </cfRule>
    <cfRule type="expression" dxfId="1105" priority="1702">
      <formula>$H1009="ETAPA"</formula>
    </cfRule>
    <cfRule type="expression" dxfId="1104" priority="1708">
      <formula>$H1009="CÉLULA CONSTRUTIVA"</formula>
    </cfRule>
  </conditionalFormatting>
  <conditionalFormatting sqref="O1010 O380:O381 O1002:O1003">
    <cfRule type="expression" dxfId="1103" priority="1700">
      <formula>$H380="SUBETAPA"</formula>
    </cfRule>
    <cfRule type="expression" dxfId="1102" priority="1701">
      <formula>$H380="CÉLULA CONSTRUTIVA"</formula>
    </cfRule>
  </conditionalFormatting>
  <conditionalFormatting sqref="O1012">
    <cfRule type="expression" dxfId="1101" priority="1697">
      <formula>$H1012="CÉLULA CONSTRUTIVA"</formula>
    </cfRule>
    <cfRule type="expression" dxfId="1100" priority="1698">
      <formula>$H1012="ETAPA"</formula>
    </cfRule>
    <cfRule type="expression" dxfId="1099" priority="1699">
      <formula>$H1012="SUBETAPA"</formula>
    </cfRule>
  </conditionalFormatting>
  <conditionalFormatting sqref="O1013:O1014 O1017">
    <cfRule type="expression" dxfId="1098" priority="1696">
      <formula>$H1013="ETAPA"</formula>
    </cfRule>
  </conditionalFormatting>
  <conditionalFormatting sqref="O1015:O1016">
    <cfRule type="expression" dxfId="1097" priority="1691">
      <formula>$H1015="ETAPA"</formula>
    </cfRule>
    <cfRule type="expression" dxfId="1096" priority="1690">
      <formula>$H1015="SUBETAPA"</formula>
    </cfRule>
    <cfRule type="expression" dxfId="1095" priority="1695">
      <formula>$H1015="CÉLULA CONSTRUTIVA"</formula>
    </cfRule>
    <cfRule type="expression" dxfId="1094" priority="1689">
      <formula>$H1015="ETAPA"</formula>
    </cfRule>
    <cfRule type="expression" dxfId="1093" priority="1692">
      <formula>$H1015="SUBETAPA"</formula>
    </cfRule>
    <cfRule type="expression" dxfId="1092" priority="1693">
      <formula>$H1015="ETAPA"</formula>
    </cfRule>
    <cfRule type="expression" dxfId="1091" priority="1694">
      <formula>$H1015="SUBETAPA"</formula>
    </cfRule>
  </conditionalFormatting>
  <conditionalFormatting sqref="O1017 O1013:O1014">
    <cfRule type="expression" dxfId="1090" priority="1687">
      <formula>$H1013="SUBETAPA"</formula>
    </cfRule>
    <cfRule type="expression" dxfId="1089" priority="1688">
      <formula>$H1013="CÉLULA CONSTRUTIVA"</formula>
    </cfRule>
  </conditionalFormatting>
  <conditionalFormatting sqref="O1019">
    <cfRule type="expression" dxfId="1088" priority="1685">
      <formula>$H1019="CÉLULA CONSTRUTIVA"</formula>
    </cfRule>
    <cfRule type="expression" dxfId="1087" priority="1684">
      <formula>$H1019="SUBETAPA"</formula>
    </cfRule>
    <cfRule type="expression" dxfId="1086" priority="1686">
      <formula>$H1019="ETAPA"</formula>
    </cfRule>
  </conditionalFormatting>
  <conditionalFormatting sqref="O1020">
    <cfRule type="expression" dxfId="1085" priority="1681">
      <formula>$H1020="ETAPA"</formula>
    </cfRule>
    <cfRule type="expression" dxfId="1084" priority="1682">
      <formula>$H1020="SUBETAPA"</formula>
    </cfRule>
    <cfRule type="expression" dxfId="1083" priority="1683">
      <formula>$H1020="CÉLULA CONSTRUTIVA"</formula>
    </cfRule>
  </conditionalFormatting>
  <conditionalFormatting sqref="O1021">
    <cfRule type="expression" dxfId="1082" priority="1680">
      <formula>$H1021="CÉLULA CONSTRUTIVA"</formula>
    </cfRule>
    <cfRule type="expression" dxfId="1081" priority="1679">
      <formula>$H1021="SUBETAPA"</formula>
    </cfRule>
    <cfRule type="expression" dxfId="1080" priority="1678">
      <formula>$H1021="ETAPA"</formula>
    </cfRule>
    <cfRule type="expression" dxfId="1079" priority="1677">
      <formula>$H1021="SUBETAPA"</formula>
    </cfRule>
    <cfRule type="expression" dxfId="1078" priority="1676">
      <formula>$H1021="ETAPA"</formula>
    </cfRule>
    <cfRule type="expression" dxfId="1077" priority="1675">
      <formula>$H1021="SUBETAPA"</formula>
    </cfRule>
    <cfRule type="expression" dxfId="1076" priority="1674">
      <formula>$H1021="ETAPA"</formula>
    </cfRule>
  </conditionalFormatting>
  <conditionalFormatting sqref="O1022:O1026">
    <cfRule type="expression" dxfId="1075" priority="1671">
      <formula>$H1022="SUBETAPA"</formula>
    </cfRule>
    <cfRule type="expression" dxfId="1074" priority="1672">
      <formula>$H1022="CÉLULA CONSTRUTIVA"</formula>
    </cfRule>
    <cfRule type="expression" dxfId="1073" priority="1673">
      <formula>$H1022="ETAPA"</formula>
    </cfRule>
  </conditionalFormatting>
  <conditionalFormatting sqref="O1027:O1028 O1031">
    <cfRule type="expression" dxfId="1072" priority="1670">
      <formula>$H1027="ETAPA"</formula>
    </cfRule>
  </conditionalFormatting>
  <conditionalFormatting sqref="O1029:O1030">
    <cfRule type="expression" dxfId="1071" priority="1667">
      <formula>$H1029="ETAPA"</formula>
    </cfRule>
    <cfRule type="expression" dxfId="1070" priority="1666">
      <formula>$H1029="SUBETAPA"</formula>
    </cfRule>
    <cfRule type="expression" dxfId="1069" priority="1665">
      <formula>$H1029="ETAPA"</formula>
    </cfRule>
    <cfRule type="expression" dxfId="1068" priority="1664">
      <formula>$H1029="SUBETAPA"</formula>
    </cfRule>
    <cfRule type="expression" dxfId="1067" priority="1668">
      <formula>$H1029="SUBETAPA"</formula>
    </cfRule>
    <cfRule type="expression" dxfId="1066" priority="1663">
      <formula>$H1029="ETAPA"</formula>
    </cfRule>
    <cfRule type="expression" dxfId="1065" priority="1669">
      <formula>$H1029="CÉLULA CONSTRUTIVA"</formula>
    </cfRule>
  </conditionalFormatting>
  <conditionalFormatting sqref="O1031 O1027:O1028">
    <cfRule type="expression" dxfId="1064" priority="1662">
      <formula>$H1027="CÉLULA CONSTRUTIVA"</formula>
    </cfRule>
    <cfRule type="expression" dxfId="1063" priority="1661">
      <formula>$H1027="SUBETAPA"</formula>
    </cfRule>
  </conditionalFormatting>
  <conditionalFormatting sqref="O1033">
    <cfRule type="expression" dxfId="1062" priority="1659">
      <formula>$H1033="CÉLULA CONSTRUTIVA"</formula>
    </cfRule>
    <cfRule type="expression" dxfId="1061" priority="1660">
      <formula>$H1033="ETAPA"</formula>
    </cfRule>
    <cfRule type="expression" dxfId="1060" priority="1658">
      <formula>$H1033="SUBETAPA"</formula>
    </cfRule>
  </conditionalFormatting>
  <conditionalFormatting sqref="O1034">
    <cfRule type="expression" dxfId="1059" priority="1655">
      <formula>$H1034="ETAPA"</formula>
    </cfRule>
    <cfRule type="expression" dxfId="1058" priority="1656">
      <formula>$H1034="SUBETAPA"</formula>
    </cfRule>
    <cfRule type="expression" dxfId="1057" priority="1657">
      <formula>$H1034="CÉLULA CONSTRUTIVA"</formula>
    </cfRule>
  </conditionalFormatting>
  <conditionalFormatting sqref="O1035">
    <cfRule type="expression" dxfId="1056" priority="1652">
      <formula>$H1035="ETAPA"</formula>
    </cfRule>
    <cfRule type="expression" dxfId="1055" priority="1653">
      <formula>$H1035="SUBETAPA"</formula>
    </cfRule>
    <cfRule type="expression" dxfId="1054" priority="1651">
      <formula>$H1035="SUBETAPA"</formula>
    </cfRule>
    <cfRule type="expression" dxfId="1053" priority="1654">
      <formula>$H1035="CÉLULA CONSTRUTIVA"</formula>
    </cfRule>
    <cfRule type="expression" dxfId="1052" priority="1648">
      <formula>$H1035="ETAPA"</formula>
    </cfRule>
    <cfRule type="expression" dxfId="1051" priority="1649">
      <formula>$H1035="SUBETAPA"</formula>
    </cfRule>
    <cfRule type="expression" dxfId="1050" priority="1650">
      <formula>$H1035="ETAPA"</formula>
    </cfRule>
  </conditionalFormatting>
  <conditionalFormatting sqref="O1036:O1040">
    <cfRule type="expression" dxfId="1049" priority="1645">
      <formula>$H1036="SUBETAPA"</formula>
    </cfRule>
    <cfRule type="expression" dxfId="1048" priority="1646">
      <formula>$H1036="CÉLULA CONSTRUTIVA"</formula>
    </cfRule>
    <cfRule type="expression" dxfId="1047" priority="1647">
      <formula>$H1036="ETAPA"</formula>
    </cfRule>
  </conditionalFormatting>
  <conditionalFormatting sqref="O1041:O1042 O1045">
    <cfRule type="expression" dxfId="1046" priority="1644">
      <formula>$H1041="ETAPA"</formula>
    </cfRule>
  </conditionalFormatting>
  <conditionalFormatting sqref="O1043:O1044">
    <cfRule type="expression" dxfId="1045" priority="1638">
      <formula>$H1043="SUBETAPA"</formula>
    </cfRule>
    <cfRule type="expression" dxfId="1044" priority="1641">
      <formula>$H1043="ETAPA"</formula>
    </cfRule>
    <cfRule type="expression" dxfId="1043" priority="1642">
      <formula>$H1043="SUBETAPA"</formula>
    </cfRule>
    <cfRule type="expression" dxfId="1042" priority="1643">
      <formula>$H1043="CÉLULA CONSTRUTIVA"</formula>
    </cfRule>
    <cfRule type="expression" dxfId="1041" priority="1640">
      <formula>$H1043="SUBETAPA"</formula>
    </cfRule>
    <cfRule type="expression" dxfId="1040" priority="1639">
      <formula>$H1043="ETAPA"</formula>
    </cfRule>
    <cfRule type="expression" dxfId="1039" priority="1637">
      <formula>$H1043="ETAPA"</formula>
    </cfRule>
  </conditionalFormatting>
  <conditionalFormatting sqref="O1045 O1041:O1042">
    <cfRule type="expression" dxfId="1038" priority="1636">
      <formula>$H1041="CÉLULA CONSTRUTIVA"</formula>
    </cfRule>
    <cfRule type="expression" dxfId="1037" priority="1635">
      <formula>$H1041="SUBETAPA"</formula>
    </cfRule>
  </conditionalFormatting>
  <conditionalFormatting sqref="O1047">
    <cfRule type="expression" dxfId="1036" priority="1632">
      <formula>$H1047="SUBETAPA"</formula>
    </cfRule>
    <cfRule type="expression" dxfId="1035" priority="1634">
      <formula>$H1047="ETAPA"</formula>
    </cfRule>
    <cfRule type="expression" dxfId="1034" priority="1633">
      <formula>$H1047="CÉLULA CONSTRUTIVA"</formula>
    </cfRule>
  </conditionalFormatting>
  <conditionalFormatting sqref="O1048">
    <cfRule type="expression" dxfId="1033" priority="1631">
      <formula>$H1048="CÉLULA CONSTRUTIVA"</formula>
    </cfRule>
    <cfRule type="expression" dxfId="1032" priority="1629">
      <formula>$H1048="ETAPA"</formula>
    </cfRule>
    <cfRule type="expression" dxfId="1031" priority="1630">
      <formula>$H1048="SUBETAPA"</formula>
    </cfRule>
  </conditionalFormatting>
  <conditionalFormatting sqref="O1049">
    <cfRule type="expression" dxfId="1030" priority="1627">
      <formula>$H1049="SUBETAPA"</formula>
    </cfRule>
    <cfRule type="expression" dxfId="1029" priority="1625">
      <formula>$H1049="SUBETAPA"</formula>
    </cfRule>
    <cfRule type="expression" dxfId="1028" priority="1624">
      <formula>$H1049="ETAPA"</formula>
    </cfRule>
    <cfRule type="expression" dxfId="1027" priority="1623">
      <formula>$H1049="SUBETAPA"</formula>
    </cfRule>
    <cfRule type="expression" dxfId="1026" priority="1622">
      <formula>$H1049="ETAPA"</formula>
    </cfRule>
    <cfRule type="expression" dxfId="1025" priority="1626">
      <formula>$H1049="ETAPA"</formula>
    </cfRule>
    <cfRule type="expression" dxfId="1024" priority="1628">
      <formula>$H1049="CÉLULA CONSTRUTIVA"</formula>
    </cfRule>
  </conditionalFormatting>
  <conditionalFormatting sqref="O1050:O1054">
    <cfRule type="expression" dxfId="1023" priority="1619">
      <formula>$H1050="SUBETAPA"</formula>
    </cfRule>
    <cfRule type="expression" dxfId="1022" priority="1620">
      <formula>$H1050="CÉLULA CONSTRUTIVA"</formula>
    </cfRule>
    <cfRule type="expression" dxfId="1021" priority="1621">
      <formula>$H1050="ETAPA"</formula>
    </cfRule>
  </conditionalFormatting>
  <conditionalFormatting sqref="O1055:O1056 O1059">
    <cfRule type="expression" dxfId="1020" priority="1618">
      <formula>$H1055="ETAPA"</formula>
    </cfRule>
  </conditionalFormatting>
  <conditionalFormatting sqref="O1057:O1058">
    <cfRule type="expression" dxfId="1019" priority="1616">
      <formula>$H1057="SUBETAPA"</formula>
    </cfRule>
    <cfRule type="expression" dxfId="1018" priority="1617">
      <formula>$H1057="CÉLULA CONSTRUTIVA"</formula>
    </cfRule>
    <cfRule type="expression" dxfId="1017" priority="1614">
      <formula>$H1057="SUBETAPA"</formula>
    </cfRule>
    <cfRule type="expression" dxfId="1016" priority="1612">
      <formula>$H1057="SUBETAPA"</formula>
    </cfRule>
    <cfRule type="expression" dxfId="1015" priority="1613">
      <formula>$H1057="ETAPA"</formula>
    </cfRule>
    <cfRule type="expression" dxfId="1014" priority="1611">
      <formula>$H1057="ETAPA"</formula>
    </cfRule>
    <cfRule type="expression" dxfId="1013" priority="1615">
      <formula>$H1057="ETAPA"</formula>
    </cfRule>
  </conditionalFormatting>
  <conditionalFormatting sqref="O1059 O1055:O1056">
    <cfRule type="expression" dxfId="1012" priority="1610">
      <formula>$H1055="CÉLULA CONSTRUTIVA"</formula>
    </cfRule>
    <cfRule type="expression" dxfId="1011" priority="1609">
      <formula>$H1055="SUBETAPA"</formula>
    </cfRule>
  </conditionalFormatting>
  <conditionalFormatting sqref="O1061">
    <cfRule type="expression" dxfId="1010" priority="1606">
      <formula>$H1061="SUBETAPA"</formula>
    </cfRule>
    <cfRule type="expression" dxfId="1009" priority="1607">
      <formula>$H1061="CÉLULA CONSTRUTIVA"</formula>
    </cfRule>
    <cfRule type="expression" dxfId="1008" priority="1608">
      <formula>$H1061="ETAPA"</formula>
    </cfRule>
  </conditionalFormatting>
  <conditionalFormatting sqref="O1062">
    <cfRule type="expression" dxfId="1007" priority="1605">
      <formula>$H1062="CÉLULA CONSTRUTIVA"</formula>
    </cfRule>
    <cfRule type="expression" dxfId="1006" priority="1604">
      <formula>$H1062="SUBETAPA"</formula>
    </cfRule>
    <cfRule type="expression" dxfId="1005" priority="1603">
      <formula>$H1062="ETAPA"</formula>
    </cfRule>
  </conditionalFormatting>
  <conditionalFormatting sqref="O1063">
    <cfRule type="expression" dxfId="1004" priority="1596">
      <formula>$H1063="ETAPA"</formula>
    </cfRule>
    <cfRule type="expression" dxfId="1003" priority="1600">
      <formula>$H1063="ETAPA"</formula>
    </cfRule>
    <cfRule type="expression" dxfId="1002" priority="1602">
      <formula>$H1063="CÉLULA CONSTRUTIVA"</formula>
    </cfRule>
    <cfRule type="expression" dxfId="1001" priority="1601">
      <formula>$H1063="SUBETAPA"</formula>
    </cfRule>
    <cfRule type="expression" dxfId="1000" priority="1599">
      <formula>$H1063="SUBETAPA"</formula>
    </cfRule>
    <cfRule type="expression" dxfId="999" priority="1598">
      <formula>$H1063="ETAPA"</formula>
    </cfRule>
    <cfRule type="expression" dxfId="998" priority="1597">
      <formula>$H1063="SUBETAPA"</formula>
    </cfRule>
  </conditionalFormatting>
  <conditionalFormatting sqref="O1064:O1068">
    <cfRule type="expression" dxfId="997" priority="1595">
      <formula>$H1064="ETAPA"</formula>
    </cfRule>
    <cfRule type="expression" dxfId="996" priority="1594">
      <formula>$H1064="CÉLULA CONSTRUTIVA"</formula>
    </cfRule>
    <cfRule type="expression" dxfId="995" priority="1593">
      <formula>$H1064="SUBETAPA"</formula>
    </cfRule>
  </conditionalFormatting>
  <conditionalFormatting sqref="O1069:O1070 O1073">
    <cfRule type="expression" dxfId="994" priority="1592">
      <formula>$H1069="ETAPA"</formula>
    </cfRule>
  </conditionalFormatting>
  <conditionalFormatting sqref="O1071:O1072">
    <cfRule type="expression" dxfId="993" priority="1587">
      <formula>$H1071="ETAPA"</formula>
    </cfRule>
    <cfRule type="expression" dxfId="992" priority="1585">
      <formula>$H1071="ETAPA"</formula>
    </cfRule>
    <cfRule type="expression" dxfId="991" priority="1586">
      <formula>$H1071="SUBETAPA"</formula>
    </cfRule>
    <cfRule type="expression" dxfId="990" priority="1591">
      <formula>$H1071="CÉLULA CONSTRUTIVA"</formula>
    </cfRule>
    <cfRule type="expression" dxfId="989" priority="1590">
      <formula>$H1071="SUBETAPA"</formula>
    </cfRule>
    <cfRule type="expression" dxfId="988" priority="1589">
      <formula>$H1071="ETAPA"</formula>
    </cfRule>
    <cfRule type="expression" dxfId="987" priority="1588">
      <formula>$H1071="SUBETAPA"</formula>
    </cfRule>
  </conditionalFormatting>
  <conditionalFormatting sqref="O1073 O1069:O1070">
    <cfRule type="expression" dxfId="986" priority="1584">
      <formula>$H1069="CÉLULA CONSTRUTIVA"</formula>
    </cfRule>
    <cfRule type="expression" dxfId="985" priority="1583">
      <formula>$H1069="SUBETAPA"</formula>
    </cfRule>
  </conditionalFormatting>
  <conditionalFormatting sqref="O1075">
    <cfRule type="expression" dxfId="984" priority="1580">
      <formula>$H1075="SUBETAPA"</formula>
    </cfRule>
    <cfRule type="expression" dxfId="983" priority="1581">
      <formula>$H1075="CÉLULA CONSTRUTIVA"</formula>
    </cfRule>
    <cfRule type="expression" dxfId="982" priority="1582">
      <formula>$H1075="ETAPA"</formula>
    </cfRule>
  </conditionalFormatting>
  <conditionalFormatting sqref="O1076">
    <cfRule type="expression" dxfId="981" priority="1577">
      <formula>$H1076="ETAPA"</formula>
    </cfRule>
    <cfRule type="expression" dxfId="980" priority="1578">
      <formula>$H1076="SUBETAPA"</formula>
    </cfRule>
    <cfRule type="expression" dxfId="979" priority="1579">
      <formula>$H1076="CÉLULA CONSTRUTIVA"</formula>
    </cfRule>
  </conditionalFormatting>
  <conditionalFormatting sqref="O1077">
    <cfRule type="expression" dxfId="978" priority="1575">
      <formula>$H1077="SUBETAPA"</formula>
    </cfRule>
    <cfRule type="expression" dxfId="977" priority="1576">
      <formula>$H1077="CÉLULA CONSTRUTIVA"</formula>
    </cfRule>
    <cfRule type="expression" dxfId="976" priority="1574">
      <formula>$H1077="ETAPA"</formula>
    </cfRule>
    <cfRule type="expression" dxfId="975" priority="1572">
      <formula>$H1077="ETAPA"</formula>
    </cfRule>
    <cfRule type="expression" dxfId="974" priority="1571">
      <formula>$H1077="SUBETAPA"</formula>
    </cfRule>
    <cfRule type="expression" dxfId="973" priority="1570">
      <formula>$H1077="ETAPA"</formula>
    </cfRule>
    <cfRule type="expression" dxfId="972" priority="1573">
      <formula>$H1077="SUBETAPA"</formula>
    </cfRule>
  </conditionalFormatting>
  <conditionalFormatting sqref="O1078:O1082">
    <cfRule type="expression" dxfId="971" priority="1568">
      <formula>$H1078="CÉLULA CONSTRUTIVA"</formula>
    </cfRule>
    <cfRule type="expression" dxfId="970" priority="1567">
      <formula>$H1078="SUBETAPA"</formula>
    </cfRule>
    <cfRule type="expression" dxfId="969" priority="1569">
      <formula>$H1078="ETAPA"</formula>
    </cfRule>
  </conditionalFormatting>
  <conditionalFormatting sqref="O1083:O1084 O1087">
    <cfRule type="expression" dxfId="968" priority="1566">
      <formula>$H1083="ETAPA"</formula>
    </cfRule>
  </conditionalFormatting>
  <conditionalFormatting sqref="O1085:O1086">
    <cfRule type="expression" dxfId="967" priority="1560">
      <formula>$H1085="SUBETAPA"</formula>
    </cfRule>
    <cfRule type="expression" dxfId="966" priority="1565">
      <formula>$H1085="CÉLULA CONSTRUTIVA"</formula>
    </cfRule>
    <cfRule type="expression" dxfId="965" priority="1563">
      <formula>$H1085="ETAPA"</formula>
    </cfRule>
    <cfRule type="expression" dxfId="964" priority="1561">
      <formula>$H1085="ETAPA"</formula>
    </cfRule>
    <cfRule type="expression" dxfId="963" priority="1562">
      <formula>$H1085="SUBETAPA"</formula>
    </cfRule>
    <cfRule type="expression" dxfId="962" priority="1559">
      <formula>$H1085="ETAPA"</formula>
    </cfRule>
    <cfRule type="expression" dxfId="961" priority="1564">
      <formula>$H1085="SUBETAPA"</formula>
    </cfRule>
  </conditionalFormatting>
  <conditionalFormatting sqref="O1087 O1083:O1084">
    <cfRule type="expression" dxfId="960" priority="1558">
      <formula>$H1083="CÉLULA CONSTRUTIVA"</formula>
    </cfRule>
    <cfRule type="expression" dxfId="959" priority="1557">
      <formula>$H1083="SUBETAPA"</formula>
    </cfRule>
  </conditionalFormatting>
  <conditionalFormatting sqref="O1089">
    <cfRule type="expression" dxfId="958" priority="1555">
      <formula>$H1089="CÉLULA CONSTRUTIVA"</formula>
    </cfRule>
    <cfRule type="expression" dxfId="957" priority="1554">
      <formula>$H1089="SUBETAPA"</formula>
    </cfRule>
    <cfRule type="expression" dxfId="956" priority="1556">
      <formula>$H1089="ETAPA"</formula>
    </cfRule>
  </conditionalFormatting>
  <conditionalFormatting sqref="O1090">
    <cfRule type="expression" dxfId="955" priority="1553">
      <formula>$H1090="CÉLULA CONSTRUTIVA"</formula>
    </cfRule>
    <cfRule type="expression" dxfId="954" priority="1552">
      <formula>$H1090="SUBETAPA"</formula>
    </cfRule>
    <cfRule type="expression" dxfId="953" priority="1551">
      <formula>$H1090="ETAPA"</formula>
    </cfRule>
  </conditionalFormatting>
  <conditionalFormatting sqref="O1091">
    <cfRule type="expression" dxfId="952" priority="1550">
      <formula>$H1091="CÉLULA CONSTRUTIVA"</formula>
    </cfRule>
    <cfRule type="expression" dxfId="951" priority="1549">
      <formula>$H1091="SUBETAPA"</formula>
    </cfRule>
    <cfRule type="expression" dxfId="950" priority="1548">
      <formula>$H1091="ETAPA"</formula>
    </cfRule>
    <cfRule type="expression" dxfId="949" priority="1547">
      <formula>$H1091="SUBETAPA"</formula>
    </cfRule>
    <cfRule type="expression" dxfId="948" priority="1545">
      <formula>$H1091="SUBETAPA"</formula>
    </cfRule>
    <cfRule type="expression" dxfId="947" priority="1546">
      <formula>$H1091="ETAPA"</formula>
    </cfRule>
    <cfRule type="expression" dxfId="946" priority="1544">
      <formula>$H1091="ETAPA"</formula>
    </cfRule>
  </conditionalFormatting>
  <conditionalFormatting sqref="O1092:O1096">
    <cfRule type="expression" dxfId="945" priority="1543">
      <formula>$H1092="ETAPA"</formula>
    </cfRule>
    <cfRule type="expression" dxfId="944" priority="1542">
      <formula>$H1092="CÉLULA CONSTRUTIVA"</formula>
    </cfRule>
    <cfRule type="expression" dxfId="943" priority="1541">
      <formula>$H1092="SUBETAPA"</formula>
    </cfRule>
  </conditionalFormatting>
  <conditionalFormatting sqref="O1097:O1098 O1101">
    <cfRule type="expression" dxfId="942" priority="1540">
      <formula>$H1097="ETAPA"</formula>
    </cfRule>
  </conditionalFormatting>
  <conditionalFormatting sqref="O1099:O1100">
    <cfRule type="expression" dxfId="941" priority="1539">
      <formula>$H1099="CÉLULA CONSTRUTIVA"</formula>
    </cfRule>
    <cfRule type="expression" dxfId="940" priority="1538">
      <formula>$H1099="SUBETAPA"</formula>
    </cfRule>
    <cfRule type="expression" dxfId="939" priority="1537">
      <formula>$H1099="ETAPA"</formula>
    </cfRule>
    <cfRule type="expression" dxfId="938" priority="1536">
      <formula>$H1099="SUBETAPA"</formula>
    </cfRule>
    <cfRule type="expression" dxfId="937" priority="1535">
      <formula>$H1099="ETAPA"</formula>
    </cfRule>
    <cfRule type="expression" dxfId="936" priority="1534">
      <formula>$H1099="SUBETAPA"</formula>
    </cfRule>
    <cfRule type="expression" dxfId="935" priority="1533">
      <formula>$H1099="ETAPA"</formula>
    </cfRule>
  </conditionalFormatting>
  <conditionalFormatting sqref="O1101 O1097:O1098">
    <cfRule type="expression" dxfId="934" priority="1532">
      <formula>$H1097="CÉLULA CONSTRUTIVA"</formula>
    </cfRule>
    <cfRule type="expression" dxfId="933" priority="1531">
      <formula>$H1097="SUBETAPA"</formula>
    </cfRule>
  </conditionalFormatting>
  <conditionalFormatting sqref="O1103">
    <cfRule type="expression" dxfId="932" priority="1530">
      <formula>$H1103="ETAPA"</formula>
    </cfRule>
    <cfRule type="expression" dxfId="931" priority="1529">
      <formula>$H1103="CÉLULA CONSTRUTIVA"</formula>
    </cfRule>
    <cfRule type="expression" dxfId="930" priority="1528">
      <formula>$H1103="SUBETAPA"</formula>
    </cfRule>
  </conditionalFormatting>
  <conditionalFormatting sqref="O1104">
    <cfRule type="expression" dxfId="929" priority="1527">
      <formula>$H1104="CÉLULA CONSTRUTIVA"</formula>
    </cfRule>
    <cfRule type="expression" dxfId="928" priority="1526">
      <formula>$H1104="SUBETAPA"</formula>
    </cfRule>
    <cfRule type="expression" dxfId="927" priority="1525">
      <formula>$H1104="ETAPA"</formula>
    </cfRule>
  </conditionalFormatting>
  <conditionalFormatting sqref="O1105">
    <cfRule type="expression" dxfId="926" priority="1524">
      <formula>$H1105="CÉLULA CONSTRUTIVA"</formula>
    </cfRule>
    <cfRule type="expression" dxfId="925" priority="1523">
      <formula>$H1105="SUBETAPA"</formula>
    </cfRule>
    <cfRule type="expression" dxfId="924" priority="1522">
      <formula>$H1105="ETAPA"</formula>
    </cfRule>
    <cfRule type="expression" dxfId="923" priority="1521">
      <formula>$H1105="SUBETAPA"</formula>
    </cfRule>
    <cfRule type="expression" dxfId="922" priority="1520">
      <formula>$H1105="ETAPA"</formula>
    </cfRule>
    <cfRule type="expression" dxfId="921" priority="1519">
      <formula>$H1105="SUBETAPA"</formula>
    </cfRule>
    <cfRule type="expression" dxfId="920" priority="1518">
      <formula>$H1105="ETAPA"</formula>
    </cfRule>
  </conditionalFormatting>
  <conditionalFormatting sqref="O1106:O1110">
    <cfRule type="expression" dxfId="919" priority="1515">
      <formula>$H1106="SUBETAPA"</formula>
    </cfRule>
    <cfRule type="expression" dxfId="918" priority="1517">
      <formula>$H1106="ETAPA"</formula>
    </cfRule>
    <cfRule type="expression" dxfId="917" priority="1516">
      <formula>$H1106="CÉLULA CONSTRUTIVA"</formula>
    </cfRule>
  </conditionalFormatting>
  <conditionalFormatting sqref="O1111:O1112 O1115">
    <cfRule type="expression" dxfId="916" priority="1514">
      <formula>$H1111="ETAPA"</formula>
    </cfRule>
  </conditionalFormatting>
  <conditionalFormatting sqref="O1113:O1114">
    <cfRule type="expression" dxfId="915" priority="1511">
      <formula>$H1113="ETAPA"</formula>
    </cfRule>
    <cfRule type="expression" dxfId="914" priority="1508">
      <formula>$H1113="SUBETAPA"</formula>
    </cfRule>
    <cfRule type="expression" dxfId="913" priority="1510">
      <formula>$H1113="SUBETAPA"</formula>
    </cfRule>
    <cfRule type="expression" dxfId="912" priority="1509">
      <formula>$H1113="ETAPA"</formula>
    </cfRule>
    <cfRule type="expression" dxfId="911" priority="1507">
      <formula>$H1113="ETAPA"</formula>
    </cfRule>
    <cfRule type="expression" dxfId="910" priority="1512">
      <formula>$H1113="SUBETAPA"</formula>
    </cfRule>
    <cfRule type="expression" dxfId="909" priority="1513">
      <formula>$H1113="CÉLULA CONSTRUTIVA"</formula>
    </cfRule>
  </conditionalFormatting>
  <conditionalFormatting sqref="O1115 O1111:O1112">
    <cfRule type="expression" dxfId="908" priority="1506">
      <formula>$H1111="CÉLULA CONSTRUTIVA"</formula>
    </cfRule>
    <cfRule type="expression" dxfId="907" priority="1505">
      <formula>$H1111="SUBETAPA"</formula>
    </cfRule>
  </conditionalFormatting>
  <conditionalFormatting sqref="O1117">
    <cfRule type="expression" dxfId="906" priority="1502">
      <formula>$H1117="SUBETAPA"</formula>
    </cfRule>
    <cfRule type="expression" dxfId="905" priority="1504">
      <formula>$H1117="ETAPA"</formula>
    </cfRule>
    <cfRule type="expression" dxfId="904" priority="1503">
      <formula>$H1117="CÉLULA CONSTRUTIVA"</formula>
    </cfRule>
  </conditionalFormatting>
  <conditionalFormatting sqref="O1118">
    <cfRule type="expression" dxfId="903" priority="1501">
      <formula>$H1118="CÉLULA CONSTRUTIVA"</formula>
    </cfRule>
    <cfRule type="expression" dxfId="902" priority="1500">
      <formula>$H1118="SUBETAPA"</formula>
    </cfRule>
    <cfRule type="expression" dxfId="901" priority="1499">
      <formula>$H1118="ETAPA"</formula>
    </cfRule>
  </conditionalFormatting>
  <conditionalFormatting sqref="O1119">
    <cfRule type="expression" dxfId="900" priority="1498">
      <formula>$H1119="CÉLULA CONSTRUTIVA"</formula>
    </cfRule>
    <cfRule type="expression" dxfId="899" priority="1497">
      <formula>$H1119="SUBETAPA"</formula>
    </cfRule>
    <cfRule type="expression" dxfId="898" priority="1496">
      <formula>$H1119="ETAPA"</formula>
    </cfRule>
    <cfRule type="expression" dxfId="897" priority="1494">
      <formula>$H1119="ETAPA"</formula>
    </cfRule>
    <cfRule type="expression" dxfId="896" priority="1493">
      <formula>$H1119="SUBETAPA"</formula>
    </cfRule>
    <cfRule type="expression" dxfId="895" priority="1495">
      <formula>$H1119="SUBETAPA"</formula>
    </cfRule>
    <cfRule type="expression" dxfId="894" priority="1492">
      <formula>$H1119="ETAPA"</formula>
    </cfRule>
  </conditionalFormatting>
  <conditionalFormatting sqref="O1120:O1124">
    <cfRule type="expression" dxfId="893" priority="1491">
      <formula>$H1120="ETAPA"</formula>
    </cfRule>
    <cfRule type="expression" dxfId="892" priority="1490">
      <formula>$H1120="CÉLULA CONSTRUTIVA"</formula>
    </cfRule>
    <cfRule type="expression" dxfId="891" priority="1489">
      <formula>$H1120="SUBETAPA"</formula>
    </cfRule>
  </conditionalFormatting>
  <conditionalFormatting sqref="O1125">
    <cfRule type="expression" dxfId="890" priority="1486">
      <formula>$H1125="CÉLULA CONSTRUTIVA"</formula>
    </cfRule>
    <cfRule type="expression" dxfId="889" priority="1487">
      <formula>$H1125="ETAPA"</formula>
    </cfRule>
    <cfRule type="expression" dxfId="888" priority="1488">
      <formula>$H1125="SUBETAPA"</formula>
    </cfRule>
  </conditionalFormatting>
  <conditionalFormatting sqref="O1126:O1128">
    <cfRule type="expression" dxfId="887" priority="1485">
      <formula>$H1126="ETAPA"</formula>
    </cfRule>
    <cfRule type="expression" dxfId="886" priority="1484">
      <formula>$H1126="CÉLULA CONSTRUTIVA"</formula>
    </cfRule>
    <cfRule type="expression" dxfId="885" priority="1483">
      <formula>$H1126="SUBETAPA"</formula>
    </cfRule>
  </conditionalFormatting>
  <conditionalFormatting sqref="O1130">
    <cfRule type="expression" dxfId="884" priority="1480">
      <formula>$H1130="ETAPA"</formula>
    </cfRule>
    <cfRule type="expression" dxfId="883" priority="1481">
      <formula>$H1130="SUBETAPA"</formula>
    </cfRule>
    <cfRule type="expression" dxfId="882" priority="1478">
      <formula>$H1130="ETAPA"</formula>
    </cfRule>
    <cfRule type="expression" dxfId="881" priority="1477">
      <formula>$H1130="SUBETAPA"</formula>
    </cfRule>
    <cfRule type="expression" dxfId="880" priority="1476">
      <formula>$H1130="ETAPA"</formula>
    </cfRule>
    <cfRule type="expression" dxfId="879" priority="1482">
      <formula>$H1130="CÉLULA CONSTRUTIVA"</formula>
    </cfRule>
    <cfRule type="expression" dxfId="878" priority="1479">
      <formula>$H1130="SUBETAPA"</formula>
    </cfRule>
  </conditionalFormatting>
  <conditionalFormatting sqref="O1133">
    <cfRule type="expression" dxfId="877" priority="1474">
      <formula>$H1133="SUBETAPA"</formula>
    </cfRule>
    <cfRule type="expression" dxfId="876" priority="1473">
      <formula>$H1133="ETAPA"</formula>
    </cfRule>
    <cfRule type="expression" dxfId="875" priority="1472">
      <formula>$H1133="SUBETAPA"</formula>
    </cfRule>
    <cfRule type="expression" dxfId="874" priority="1471">
      <formula>$H1133="ETAPA"</formula>
    </cfRule>
    <cfRule type="expression" dxfId="873" priority="1470">
      <formula>$H1133="SUBETAPA"</formula>
    </cfRule>
    <cfRule type="expression" dxfId="872" priority="1469">
      <formula>$H1133="ETAPA"</formula>
    </cfRule>
    <cfRule type="expression" dxfId="871" priority="1475">
      <formula>$H1133="CÉLULA CONSTRUTIVA"</formula>
    </cfRule>
  </conditionalFormatting>
  <conditionalFormatting sqref="O1136 H1136 J1136:L1136">
    <cfRule type="expression" dxfId="870" priority="1468">
      <formula>$H1136="ETAPA"</formula>
    </cfRule>
  </conditionalFormatting>
  <conditionalFormatting sqref="O1139 H1139 J1139:L1139">
    <cfRule type="expression" dxfId="869" priority="1467">
      <formula>$H1139="ETAPA"</formula>
    </cfRule>
  </conditionalFormatting>
  <conditionalFormatting sqref="O1142 H1142 J1142:L1142">
    <cfRule type="expression" dxfId="868" priority="1466">
      <formula>$H1142="ETAPA"</formula>
    </cfRule>
  </conditionalFormatting>
  <conditionalFormatting sqref="O1145 H1145 J1145:L1145">
    <cfRule type="expression" dxfId="867" priority="1465">
      <formula>$H1145="ETAPA"</formula>
    </cfRule>
  </conditionalFormatting>
  <conditionalFormatting sqref="O1146:O1148">
    <cfRule type="expression" dxfId="866" priority="1464">
      <formula>$H1146="ETAPA"</formula>
    </cfRule>
    <cfRule type="expression" dxfId="865" priority="1463">
      <formula>$H1146="CÉLULA CONSTRUTIVA"</formula>
    </cfRule>
    <cfRule type="expression" dxfId="864" priority="1462">
      <formula>$H1146="SUBETAPA"</formula>
    </cfRule>
  </conditionalFormatting>
  <conditionalFormatting sqref="O1150 H1150 J1150:L1150">
    <cfRule type="expression" dxfId="863" priority="1461">
      <formula>$H1150="ETAPA"</formula>
    </cfRule>
  </conditionalFormatting>
  <conditionalFormatting sqref="O1151:O1152">
    <cfRule type="expression" dxfId="862" priority="1458">
      <formula>$H1151="SUBETAPA"</formula>
    </cfRule>
    <cfRule type="expression" dxfId="861" priority="1460">
      <formula>$H1151="ETAPA"</formula>
    </cfRule>
    <cfRule type="expression" dxfId="860" priority="1459">
      <formula>$H1151="CÉLULA CONSTRUTIVA"</formula>
    </cfRule>
  </conditionalFormatting>
  <conditionalFormatting sqref="O1153:O1155">
    <cfRule type="expression" dxfId="859" priority="1456">
      <formula>$H1153="CÉLULA CONSTRUTIVA"</formula>
    </cfRule>
    <cfRule type="expression" dxfId="858" priority="1455">
      <formula>$H1153="SUBETAPA"</formula>
    </cfRule>
    <cfRule type="expression" dxfId="857" priority="1457">
      <formula>$H1153="ETAPA"</formula>
    </cfRule>
  </conditionalFormatting>
  <conditionalFormatting sqref="O1157 H1157 J1157:L1157">
    <cfRule type="expression" dxfId="856" priority="1454">
      <formula>$H1157="ETAPA"</formula>
    </cfRule>
  </conditionalFormatting>
  <conditionalFormatting sqref="O1158:O1159">
    <cfRule type="expression" dxfId="855" priority="1453">
      <formula>$H1158="ETAPA"</formula>
    </cfRule>
    <cfRule type="expression" dxfId="854" priority="1452">
      <formula>$H1158="CÉLULA CONSTRUTIVA"</formula>
    </cfRule>
    <cfRule type="expression" dxfId="853" priority="1451">
      <formula>$H1158="SUBETAPA"</formula>
    </cfRule>
  </conditionalFormatting>
  <conditionalFormatting sqref="O1160:O1162">
    <cfRule type="expression" dxfId="852" priority="1450">
      <formula>$H1160="ETAPA"</formula>
    </cfRule>
    <cfRule type="expression" dxfId="851" priority="1449">
      <formula>$H1160="CÉLULA CONSTRUTIVA"</formula>
    </cfRule>
    <cfRule type="expression" dxfId="850" priority="1448">
      <formula>$H1160="SUBETAPA"</formula>
    </cfRule>
  </conditionalFormatting>
  <conditionalFormatting sqref="O1164">
    <cfRule type="expression" dxfId="849" priority="1441">
      <formula>$H1164="ETAPA"</formula>
    </cfRule>
    <cfRule type="expression" dxfId="848" priority="1442">
      <formula>$H1164="SUBETAPA"</formula>
    </cfRule>
    <cfRule type="expression" dxfId="847" priority="1443">
      <formula>$H1164="ETAPA"</formula>
    </cfRule>
    <cfRule type="expression" dxfId="846" priority="1444">
      <formula>$H1164="SUBETAPA"</formula>
    </cfRule>
    <cfRule type="expression" dxfId="845" priority="1445">
      <formula>$H1164="ETAPA"</formula>
    </cfRule>
    <cfRule type="expression" dxfId="844" priority="1446">
      <formula>$H1164="SUBETAPA"</formula>
    </cfRule>
    <cfRule type="expression" dxfId="843" priority="1447">
      <formula>$H1164="CÉLULA CONSTRUTIVA"</formula>
    </cfRule>
  </conditionalFormatting>
  <conditionalFormatting sqref="O1165:O1166">
    <cfRule type="expression" dxfId="842" priority="1438">
      <formula>$H1165="SUBETAPA"</formula>
    </cfRule>
    <cfRule type="expression" dxfId="841" priority="1440">
      <formula>$H1165="ETAPA"</formula>
    </cfRule>
    <cfRule type="expression" dxfId="840" priority="1439">
      <formula>$H1165="CÉLULA CONSTRUTIVA"</formula>
    </cfRule>
  </conditionalFormatting>
  <conditionalFormatting sqref="O1167">
    <cfRule type="expression" dxfId="839" priority="1435">
      <formula>$H1167="ETAPA"</formula>
    </cfRule>
    <cfRule type="expression" dxfId="838" priority="1432">
      <formula>$H1167="SUBETAPA"</formula>
    </cfRule>
    <cfRule type="expression" dxfId="837" priority="1431">
      <formula>$H1167="ETAPA"</formula>
    </cfRule>
    <cfRule type="expression" dxfId="836" priority="1437">
      <formula>$H1167="CÉLULA CONSTRUTIVA"</formula>
    </cfRule>
    <cfRule type="expression" dxfId="835" priority="1436">
      <formula>$H1167="SUBETAPA"</formula>
    </cfRule>
    <cfRule type="expression" dxfId="834" priority="1434">
      <formula>$H1167="SUBETAPA"</formula>
    </cfRule>
    <cfRule type="expression" dxfId="833" priority="1433">
      <formula>$H1167="ETAPA"</formula>
    </cfRule>
  </conditionalFormatting>
  <conditionalFormatting sqref="O1169 H1169 J1169:L1169">
    <cfRule type="expression" dxfId="832" priority="1430">
      <formula>$H1169="ETAPA"</formula>
    </cfRule>
  </conditionalFormatting>
  <conditionalFormatting sqref="O1170:O1172">
    <cfRule type="expression" dxfId="831" priority="1429">
      <formula>$H1170="ETAPA"</formula>
    </cfRule>
    <cfRule type="expression" dxfId="830" priority="1427">
      <formula>$H1170="SUBETAPA"</formula>
    </cfRule>
    <cfRule type="expression" dxfId="829" priority="1428">
      <formula>$H1170="CÉLULA CONSTRUTIVA"</formula>
    </cfRule>
  </conditionalFormatting>
  <conditionalFormatting sqref="O1174">
    <cfRule type="expression" dxfId="828" priority="1420">
      <formula>$H1174="ETAPA"</formula>
    </cfRule>
    <cfRule type="expression" dxfId="827" priority="1421">
      <formula>$H1174="SUBETAPA"</formula>
    </cfRule>
    <cfRule type="expression" dxfId="826" priority="1422">
      <formula>$H1174="ETAPA"</formula>
    </cfRule>
    <cfRule type="expression" dxfId="825" priority="1423">
      <formula>$H1174="SUBETAPA"</formula>
    </cfRule>
    <cfRule type="expression" dxfId="824" priority="1424">
      <formula>$H1174="ETAPA"</formula>
    </cfRule>
    <cfRule type="expression" dxfId="823" priority="1425">
      <formula>$H1174="SUBETAPA"</formula>
    </cfRule>
    <cfRule type="expression" dxfId="822" priority="1426">
      <formula>$H1174="CÉLULA CONSTRUTIVA"</formula>
    </cfRule>
  </conditionalFormatting>
  <conditionalFormatting sqref="O1175:O1177">
    <cfRule type="expression" dxfId="821" priority="1418">
      <formula>$H1175="CÉLULA CONSTRUTIVA"</formula>
    </cfRule>
    <cfRule type="expression" dxfId="820" priority="1419">
      <formula>$H1175="ETAPA"</formula>
    </cfRule>
    <cfRule type="expression" dxfId="819" priority="1417">
      <formula>$H1175="SUBETAPA"</formula>
    </cfRule>
  </conditionalFormatting>
  <conditionalFormatting sqref="O1179">
    <cfRule type="expression" dxfId="818" priority="1410">
      <formula>$H1179="ETAPA"</formula>
    </cfRule>
    <cfRule type="expression" dxfId="817" priority="1411">
      <formula>$H1179="SUBETAPA"</formula>
    </cfRule>
    <cfRule type="expression" dxfId="816" priority="1412">
      <formula>$H1179="ETAPA"</formula>
    </cfRule>
    <cfRule type="expression" dxfId="815" priority="1413">
      <formula>$H1179="SUBETAPA"</formula>
    </cfRule>
    <cfRule type="expression" dxfId="814" priority="1414">
      <formula>$H1179="ETAPA"</formula>
    </cfRule>
    <cfRule type="expression" dxfId="813" priority="1416">
      <formula>$H1179="CÉLULA CONSTRUTIVA"</formula>
    </cfRule>
    <cfRule type="expression" dxfId="812" priority="1415">
      <formula>$H1179="SUBETAPA"</formula>
    </cfRule>
  </conditionalFormatting>
  <conditionalFormatting sqref="O1182">
    <cfRule type="expression" dxfId="811" priority="1408">
      <formula>$H1182="SUBETAPA"</formula>
    </cfRule>
    <cfRule type="expression" dxfId="810" priority="1409">
      <formula>$H1182="CÉLULA CONSTRUTIVA"</formula>
    </cfRule>
    <cfRule type="expression" dxfId="809" priority="1403">
      <formula>$H1182="ETAPA"</formula>
    </cfRule>
    <cfRule type="expression" dxfId="808" priority="1404">
      <formula>$H1182="SUBETAPA"</formula>
    </cfRule>
    <cfRule type="expression" dxfId="807" priority="1405">
      <formula>$H1182="ETAPA"</formula>
    </cfRule>
    <cfRule type="expression" dxfId="806" priority="1406">
      <formula>$H1182="SUBETAPA"</formula>
    </cfRule>
    <cfRule type="expression" dxfId="805" priority="1407">
      <formula>$H1182="ETAPA"</formula>
    </cfRule>
  </conditionalFormatting>
  <conditionalFormatting sqref="O1183">
    <cfRule type="expression" dxfId="804" priority="1400">
      <formula>$H1183="CÉLULA CONSTRUTIVA"</formula>
    </cfRule>
    <cfRule type="expression" dxfId="803" priority="1401">
      <formula>$H1183="ETAPA"</formula>
    </cfRule>
    <cfRule type="expression" dxfId="802" priority="1402">
      <formula>$H1183="SUBETAPA"</formula>
    </cfRule>
  </conditionalFormatting>
  <conditionalFormatting sqref="O1188:O1189">
    <cfRule type="expression" dxfId="801" priority="1398">
      <formula>$H1188="SUBETAPA"</formula>
    </cfRule>
    <cfRule type="expression" dxfId="800" priority="1399">
      <formula>$H1188="CÉLULA CONSTRUTIVA"</formula>
    </cfRule>
  </conditionalFormatting>
  <conditionalFormatting sqref="O1191">
    <cfRule type="expression" dxfId="799" priority="1396">
      <formula>$H1191="ETAPA"</formula>
    </cfRule>
    <cfRule type="expression" dxfId="798" priority="1397">
      <formula>$H1191="SUBETAPA"</formula>
    </cfRule>
  </conditionalFormatting>
  <conditionalFormatting sqref="O1197:O1202">
    <cfRule type="expression" dxfId="797" priority="1395">
      <formula>$H1197="ETAPA"</formula>
    </cfRule>
  </conditionalFormatting>
  <conditionalFormatting sqref="O1200:O1202">
    <cfRule type="expression" dxfId="796" priority="1393">
      <formula>$H1200="SUBETAPA"</formula>
    </cfRule>
    <cfRule type="expression" dxfId="795" priority="1394">
      <formula>$H1200="CÉLULA CONSTRUTIVA"</formula>
    </cfRule>
  </conditionalFormatting>
  <conditionalFormatting sqref="O1203:O1206 H1205 J1205:K1205">
    <cfRule type="expression" dxfId="794" priority="9166">
      <formula>$H1203="SUBETAPA"</formula>
    </cfRule>
  </conditionalFormatting>
  <conditionalFormatting sqref="O1203:O1206">
    <cfRule type="expression" dxfId="793" priority="1392">
      <formula>$H1203="CÉLULA CONSTRUTIVA"</formula>
    </cfRule>
  </conditionalFormatting>
  <conditionalFormatting sqref="O1208:O1209 O1215 O1222 O1232 O1247 O1283:O1287 O1324:O1330 O1342:O1344 O1363:O1365 O1411:O1414 L1566:L1567 L1572:L1573 L1578:L1579 M1568:M1569 M1574:M1575 M1580:M1581 M1623:M1624">
    <cfRule type="expression" dxfId="792" priority="10510">
      <formula>$H1208="SUBETAPA"</formula>
    </cfRule>
  </conditionalFormatting>
  <conditionalFormatting sqref="O1208:O1209 O1215 O1222 O1232 O1247 O1284:O1287 O1324:O1325 O1327:O1330 O1342:O1343 O1363:O1364 O1412:O1414 L1566:L1567 L1572:L1573 L1578:L1579">
    <cfRule type="expression" dxfId="791" priority="10509">
      <formula>$H1208="ETAPA"</formula>
    </cfRule>
  </conditionalFormatting>
  <conditionalFormatting sqref="O1216">
    <cfRule type="expression" dxfId="790" priority="1390">
      <formula>$H1216="ETAPA"</formula>
    </cfRule>
    <cfRule type="expression" dxfId="789" priority="1391">
      <formula>$H1216="SUBETAPA"</formula>
    </cfRule>
  </conditionalFormatting>
  <conditionalFormatting sqref="O1220 K1220">
    <cfRule type="expression" dxfId="788" priority="1388">
      <formula>$H1220="SUBETAPA"</formula>
    </cfRule>
    <cfRule type="expression" dxfId="787" priority="1389">
      <formula>$H1220="ETAPA"</formula>
    </cfRule>
  </conditionalFormatting>
  <conditionalFormatting sqref="O1223">
    <cfRule type="expression" dxfId="786" priority="1386">
      <formula>$H1223="ETAPA"</formula>
    </cfRule>
    <cfRule type="expression" dxfId="785" priority="1387">
      <formula>$H1223="SUBETAPA"</formula>
    </cfRule>
  </conditionalFormatting>
  <conditionalFormatting sqref="O1227 K1227">
    <cfRule type="expression" dxfId="784" priority="1384">
      <formula>$H1227="SUBETAPA"</formula>
    </cfRule>
    <cfRule type="expression" dxfId="783" priority="1385">
      <formula>$H1227="ETAPA"</formula>
    </cfRule>
  </conditionalFormatting>
  <conditionalFormatting sqref="O1233">
    <cfRule type="expression" dxfId="782" priority="1383">
      <formula>$H1233="SUBETAPA"</formula>
    </cfRule>
    <cfRule type="expression" dxfId="781" priority="1382">
      <formula>$H1233="ETAPA"</formula>
    </cfRule>
  </conditionalFormatting>
  <conditionalFormatting sqref="O1242 K1242">
    <cfRule type="expression" dxfId="780" priority="1380">
      <formula>$H1242="SUBETAPA"</formula>
    </cfRule>
    <cfRule type="expression" dxfId="779" priority="1381">
      <formula>$H1242="ETAPA"</formula>
    </cfRule>
  </conditionalFormatting>
  <conditionalFormatting sqref="O1242:O1245">
    <cfRule type="expression" dxfId="778" priority="1379">
      <formula>$H1242="CÉLULA CONSTRUTIVA"</formula>
    </cfRule>
  </conditionalFormatting>
  <conditionalFormatting sqref="O1243 O1245 J1245:K1245 K1243">
    <cfRule type="expression" dxfId="777" priority="1377">
      <formula>$H1243="SUBETAPA"</formula>
    </cfRule>
    <cfRule type="expression" dxfId="776" priority="1378">
      <formula>$H1243="ETAPA"</formula>
    </cfRule>
  </conditionalFormatting>
  <conditionalFormatting sqref="O1244 K1244">
    <cfRule type="expression" dxfId="775" priority="1375">
      <formula>$H1244="SUBETAPA"</formula>
    </cfRule>
    <cfRule type="expression" dxfId="774" priority="1376">
      <formula>$H1244="ETAPA"</formula>
    </cfRule>
  </conditionalFormatting>
  <conditionalFormatting sqref="O1248">
    <cfRule type="expression" dxfId="773" priority="1373">
      <formula>$H1248="ETAPA"</formula>
    </cfRule>
    <cfRule type="expression" dxfId="772" priority="1374">
      <formula>$H1248="SUBETAPA"</formula>
    </cfRule>
  </conditionalFormatting>
  <conditionalFormatting sqref="O1252:O1253 J1253:K1253 K1252">
    <cfRule type="expression" dxfId="771" priority="1371">
      <formula>$H1252="SUBETAPA"</formula>
    </cfRule>
    <cfRule type="expression" dxfId="770" priority="1372">
      <formula>$H1252="ETAPA"</formula>
    </cfRule>
  </conditionalFormatting>
  <conditionalFormatting sqref="O1259">
    <cfRule type="expression" dxfId="769" priority="1370">
      <formula>$H1259="CÉLULA CONSTRUTIVA"</formula>
    </cfRule>
    <cfRule type="expression" dxfId="768" priority="1369">
      <formula>$H1259="SUBETAPA"</formula>
    </cfRule>
  </conditionalFormatting>
  <conditionalFormatting sqref="O1260">
    <cfRule type="expression" dxfId="767" priority="7624">
      <formula>$H1260="SUBETAPA"</formula>
    </cfRule>
    <cfRule type="expression" dxfId="766" priority="7625">
      <formula>$H1260="CÉLULA CONSTRUTIVA"</formula>
    </cfRule>
  </conditionalFormatting>
  <conditionalFormatting sqref="O1261:O1264">
    <cfRule type="expression" dxfId="765" priority="1367">
      <formula>$H1261="ETAPA"</formula>
    </cfRule>
    <cfRule type="expression" dxfId="764" priority="1368">
      <formula>$H1261="SUBETAPA"</formula>
    </cfRule>
  </conditionalFormatting>
  <conditionalFormatting sqref="O1265">
    <cfRule type="expression" dxfId="763" priority="1365">
      <formula>$H1265="ETAPA"</formula>
    </cfRule>
    <cfRule type="expression" dxfId="762" priority="1366">
      <formula>$H1265="SUBETAPA"</formula>
    </cfRule>
  </conditionalFormatting>
  <conditionalFormatting sqref="O1273 K1273">
    <cfRule type="expression" dxfId="761" priority="1364">
      <formula>$H1273="ETAPA"</formula>
    </cfRule>
    <cfRule type="expression" dxfId="760" priority="1363">
      <formula>$H1273="SUBETAPA"</formula>
    </cfRule>
  </conditionalFormatting>
  <conditionalFormatting sqref="O1273:O1278">
    <cfRule type="expression" dxfId="759" priority="1362">
      <formula>$H1273="CÉLULA CONSTRUTIVA"</formula>
    </cfRule>
  </conditionalFormatting>
  <conditionalFormatting sqref="O1276:O1277 K1276:K1277">
    <cfRule type="expression" dxfId="758" priority="1361">
      <formula>$H1276="ETAPA"</formula>
    </cfRule>
    <cfRule type="expression" dxfId="757" priority="1360">
      <formula>$H1276="SUBETAPA"</formula>
    </cfRule>
  </conditionalFormatting>
  <conditionalFormatting sqref="O1278 J1278:K1278 O1274:O1275 K1274:K1275">
    <cfRule type="expression" dxfId="756" priority="1359">
      <formula>$H1274="ETAPA"</formula>
    </cfRule>
    <cfRule type="expression" dxfId="755" priority="1358">
      <formula>$H1274="SUBETAPA"</formula>
    </cfRule>
  </conditionalFormatting>
  <conditionalFormatting sqref="O1293:O1298 H1296:H1298">
    <cfRule type="expression" dxfId="754" priority="9123">
      <formula>$H1293="SUBETAPA"</formula>
    </cfRule>
  </conditionalFormatting>
  <conditionalFormatting sqref="O1295:O1298">
    <cfRule type="expression" dxfId="753" priority="1357">
      <formula>$H1295="CÉLULA CONSTRUTIVA"</formula>
    </cfRule>
  </conditionalFormatting>
  <conditionalFormatting sqref="O1303:O1305">
    <cfRule type="expression" dxfId="752" priority="1356">
      <formula>$H1303="SUBETAPA"</formula>
    </cfRule>
    <cfRule type="expression" dxfId="751" priority="1355">
      <formula>$H1303="ETAPA"</formula>
    </cfRule>
  </conditionalFormatting>
  <conditionalFormatting sqref="O1307:O1311">
    <cfRule type="expression" dxfId="750" priority="1354">
      <formula>$H1307="SUBETAPA"</formula>
    </cfRule>
    <cfRule type="expression" dxfId="749" priority="1353">
      <formula>$H1307="ETAPA"</formula>
    </cfRule>
  </conditionalFormatting>
  <conditionalFormatting sqref="O1315:O1320 H1318:H1320">
    <cfRule type="expression" dxfId="748" priority="9113">
      <formula>$H1315="SUBETAPA"</formula>
    </cfRule>
  </conditionalFormatting>
  <conditionalFormatting sqref="O1317:O1320">
    <cfRule type="expression" dxfId="747" priority="1352">
      <formula>$H1317="CÉLULA CONSTRUTIVA"</formula>
    </cfRule>
  </conditionalFormatting>
  <conditionalFormatting sqref="O1334:O1337 H1335:H1337">
    <cfRule type="expression" dxfId="746" priority="9105">
      <formula>$H1334="SUBETAPA"</formula>
    </cfRule>
  </conditionalFormatting>
  <conditionalFormatting sqref="O1345:O1349">
    <cfRule type="expression" dxfId="745" priority="1350">
      <formula>$H1345="ETAPA"</formula>
    </cfRule>
    <cfRule type="expression" dxfId="744" priority="1351">
      <formula>$H1345="SUBETAPA"</formula>
    </cfRule>
  </conditionalFormatting>
  <conditionalFormatting sqref="O1353:O1358 H1356:H1358">
    <cfRule type="expression" dxfId="743" priority="9096">
      <formula>$H1353="SUBETAPA"</formula>
    </cfRule>
  </conditionalFormatting>
  <conditionalFormatting sqref="O1355:O1358">
    <cfRule type="expression" dxfId="742" priority="1349">
      <formula>$H1355="CÉLULA CONSTRUTIVA"</formula>
    </cfRule>
  </conditionalFormatting>
  <conditionalFormatting sqref="O1366:O1370">
    <cfRule type="expression" dxfId="741" priority="1348">
      <formula>$H1366="SUBETAPA"</formula>
    </cfRule>
    <cfRule type="expression" dxfId="740" priority="1347">
      <formula>$H1366="ETAPA"</formula>
    </cfRule>
  </conditionalFormatting>
  <conditionalFormatting sqref="O1374:O1379 H1377:H1379">
    <cfRule type="expression" dxfId="739" priority="9087">
      <formula>$H1374="SUBETAPA"</formula>
    </cfRule>
  </conditionalFormatting>
  <conditionalFormatting sqref="O1376:O1379">
    <cfRule type="expression" dxfId="738" priority="1346">
      <formula>$H1376="CÉLULA CONSTRUTIVA"</formula>
    </cfRule>
  </conditionalFormatting>
  <conditionalFormatting sqref="O1384:O1386">
    <cfRule type="expression" dxfId="737" priority="1345">
      <formula>$H1384="SUBETAPA"</formula>
    </cfRule>
    <cfRule type="expression" dxfId="736" priority="1344">
      <formula>$H1384="ETAPA"</formula>
    </cfRule>
  </conditionalFormatting>
  <conditionalFormatting sqref="O1388:O1389 J1393:J1394">
    <cfRule type="expression" dxfId="735" priority="7546">
      <formula>$H1388="CÉLULA CONSTRUTIVA"</formula>
    </cfRule>
  </conditionalFormatting>
  <conditionalFormatting sqref="O1390:O1394">
    <cfRule type="expression" dxfId="734" priority="1343">
      <formula>$H1390="SUBETAPA"</formula>
    </cfRule>
    <cfRule type="expression" dxfId="733" priority="1342">
      <formula>$H1390="ETAPA"</formula>
    </cfRule>
  </conditionalFormatting>
  <conditionalFormatting sqref="O1398:O1403 H1401:H1403">
    <cfRule type="expression" dxfId="732" priority="9077">
      <formula>$H1398="SUBETAPA"</formula>
    </cfRule>
  </conditionalFormatting>
  <conditionalFormatting sqref="O1400:O1403">
    <cfRule type="expression" dxfId="731" priority="1341">
      <formula>$H1400="CÉLULA CONSTRUTIVA"</formula>
    </cfRule>
  </conditionalFormatting>
  <conditionalFormatting sqref="O1408:O1410">
    <cfRule type="expression" dxfId="730" priority="1340">
      <formula>$H1408="SUBETAPA"</formula>
    </cfRule>
    <cfRule type="expression" dxfId="729" priority="1339">
      <formula>$H1408="ETAPA"</formula>
    </cfRule>
  </conditionalFormatting>
  <conditionalFormatting sqref="O1416:O1420 H1418:H1420">
    <cfRule type="expression" dxfId="728" priority="9068">
      <formula>$H1416="SUBETAPA"</formula>
    </cfRule>
  </conditionalFormatting>
  <conditionalFormatting sqref="O1429:O1432 H1430:H1432">
    <cfRule type="expression" dxfId="727" priority="9062">
      <formula>$H1429="SUBETAPA"</formula>
    </cfRule>
  </conditionalFormatting>
  <conditionalFormatting sqref="O1433:O1434">
    <cfRule type="expression" dxfId="726" priority="790">
      <formula>$H1433="SUBETAPA"</formula>
    </cfRule>
    <cfRule type="expression" dxfId="725" priority="789">
      <formula>$H1433="ETAPA"</formula>
    </cfRule>
  </conditionalFormatting>
  <conditionalFormatting sqref="O1435">
    <cfRule type="expression" dxfId="724" priority="788">
      <formula>$H1435="ETAPA"</formula>
    </cfRule>
    <cfRule type="expression" dxfId="723" priority="787">
      <formula>$H1435="CÉLULA CONSTRUTIVA"</formula>
    </cfRule>
    <cfRule type="expression" dxfId="722" priority="786">
      <formula>$H1435="SUBETAPA"</formula>
    </cfRule>
  </conditionalFormatting>
  <conditionalFormatting sqref="O1436">
    <cfRule type="expression" dxfId="721" priority="785">
      <formula>$H1436="SUBETAPA"</formula>
    </cfRule>
  </conditionalFormatting>
  <conditionalFormatting sqref="O1437">
    <cfRule type="expression" dxfId="720" priority="784">
      <formula>$H1437="ETAPA"</formula>
    </cfRule>
    <cfRule type="expression" dxfId="719" priority="783">
      <formula>$H1437="CÉLULA CONSTRUTIVA"</formula>
    </cfRule>
    <cfRule type="expression" dxfId="718" priority="782">
      <formula>$H1437="SUBETAPA"</formula>
    </cfRule>
  </conditionalFormatting>
  <conditionalFormatting sqref="O1438">
    <cfRule type="expression" dxfId="717" priority="781">
      <formula>$H1438="ETAPA"</formula>
    </cfRule>
    <cfRule type="expression" dxfId="716" priority="780">
      <formula>$H1438="CÉLULA CONSTRUTIVA"</formula>
    </cfRule>
    <cfRule type="expression" dxfId="715" priority="779">
      <formula>$H1438="SUBETAPA"</formula>
    </cfRule>
  </conditionalFormatting>
  <conditionalFormatting sqref="O1439">
    <cfRule type="expression" dxfId="714" priority="778">
      <formula>$H1439="ETAPA"</formula>
    </cfRule>
    <cfRule type="expression" dxfId="713" priority="777">
      <formula>$H1439="CÉLULA CONSTRUTIVA"</formula>
    </cfRule>
    <cfRule type="expression" dxfId="712" priority="776">
      <formula>$H1439="SUBETAPA"</formula>
    </cfRule>
  </conditionalFormatting>
  <conditionalFormatting sqref="O1440">
    <cfRule type="expression" dxfId="711" priority="775">
      <formula>$H1440="ETAPA"</formula>
    </cfRule>
    <cfRule type="expression" dxfId="710" priority="774">
      <formula>$H1440="CÉLULA CONSTRUTIVA"</formula>
    </cfRule>
    <cfRule type="expression" dxfId="709" priority="773">
      <formula>$H1440="SUBETAPA"</formula>
    </cfRule>
  </conditionalFormatting>
  <conditionalFormatting sqref="O1441">
    <cfRule type="expression" dxfId="708" priority="772">
      <formula>$H1441="ETAPA"</formula>
    </cfRule>
    <cfRule type="expression" dxfId="707" priority="771">
      <formula>$H1441="CÉLULA CONSTRUTIVA"</formula>
    </cfRule>
    <cfRule type="expression" dxfId="706" priority="770">
      <formula>$H1441="SUBETAPA"</formula>
    </cfRule>
  </conditionalFormatting>
  <conditionalFormatting sqref="O1442 O1436">
    <cfRule type="expression" dxfId="705" priority="769">
      <formula>$H1436="ETAPA"</formula>
    </cfRule>
  </conditionalFormatting>
  <conditionalFormatting sqref="O1442">
    <cfRule type="expression" dxfId="704" priority="768">
      <formula>$H1442="CÉLULA CONSTRUTIVA"</formula>
    </cfRule>
    <cfRule type="expression" dxfId="703" priority="767">
      <formula>$H1442="SUBETAPA"</formula>
    </cfRule>
  </conditionalFormatting>
  <conditionalFormatting sqref="O1443">
    <cfRule type="expression" dxfId="702" priority="764">
      <formula>$H1443="SUBETAPA"</formula>
    </cfRule>
    <cfRule type="expression" dxfId="701" priority="765">
      <formula>$H1443="CÉLULA CONSTRUTIVA"</formula>
    </cfRule>
    <cfRule type="expression" dxfId="700" priority="766">
      <formula>$H1443="ETAPA"</formula>
    </cfRule>
  </conditionalFormatting>
  <conditionalFormatting sqref="O1444:O1445">
    <cfRule type="expression" dxfId="699" priority="762">
      <formula>$H1444="ETAPA"</formula>
    </cfRule>
    <cfRule type="expression" dxfId="698" priority="763">
      <formula>$H1444="SUBETAPA"</formula>
    </cfRule>
  </conditionalFormatting>
  <conditionalFormatting sqref="O1446">
    <cfRule type="expression" dxfId="697" priority="760">
      <formula>$H1446="CÉLULA CONSTRUTIVA"</formula>
    </cfRule>
    <cfRule type="expression" dxfId="696" priority="761">
      <formula>$H1446="ETAPA"</formula>
    </cfRule>
    <cfRule type="expression" dxfId="695" priority="759">
      <formula>$H1446="SUBETAPA"</formula>
    </cfRule>
  </conditionalFormatting>
  <conditionalFormatting sqref="O1447">
    <cfRule type="expression" dxfId="694" priority="758">
      <formula>$H1447="SUBETAPA"</formula>
    </cfRule>
  </conditionalFormatting>
  <conditionalFormatting sqref="O1448">
    <cfRule type="expression" dxfId="693" priority="756">
      <formula>$H1448="CÉLULA CONSTRUTIVA"</formula>
    </cfRule>
    <cfRule type="expression" dxfId="692" priority="757">
      <formula>$H1448="ETAPA"</formula>
    </cfRule>
    <cfRule type="expression" dxfId="691" priority="755">
      <formula>$H1448="SUBETAPA"</formula>
    </cfRule>
  </conditionalFormatting>
  <conditionalFormatting sqref="O1449">
    <cfRule type="expression" dxfId="690" priority="754">
      <formula>$H1449="ETAPA"</formula>
    </cfRule>
    <cfRule type="expression" dxfId="689" priority="753">
      <formula>$H1449="CÉLULA CONSTRUTIVA"</formula>
    </cfRule>
    <cfRule type="expression" dxfId="688" priority="752">
      <formula>$H1449="SUBETAPA"</formula>
    </cfRule>
  </conditionalFormatting>
  <conditionalFormatting sqref="O1450 O1452 O1447">
    <cfRule type="expression" dxfId="687" priority="751">
      <formula>$H1447="ETAPA"</formula>
    </cfRule>
  </conditionalFormatting>
  <conditionalFormatting sqref="O1450 O1452">
    <cfRule type="expression" dxfId="686" priority="750">
      <formula>$H1450="CÉLULA CONSTRUTIVA"</formula>
    </cfRule>
    <cfRule type="expression" dxfId="685" priority="749">
      <formula>$H1450="SUBETAPA"</formula>
    </cfRule>
  </conditionalFormatting>
  <conditionalFormatting sqref="O1451 O1453">
    <cfRule type="expression" dxfId="684" priority="748">
      <formula>$H1451="ETAPA"</formula>
    </cfRule>
    <cfRule type="expression" dxfId="683" priority="747">
      <formula>$H1451="CÉLULA CONSTRUTIVA"</formula>
    </cfRule>
    <cfRule type="expression" dxfId="682" priority="746">
      <formula>$H1451="SUBETAPA"</formula>
    </cfRule>
  </conditionalFormatting>
  <conditionalFormatting sqref="O1454:O1455">
    <cfRule type="expression" dxfId="681" priority="745">
      <formula>$H1454="SUBETAPA"</formula>
    </cfRule>
    <cfRule type="expression" dxfId="680" priority="744">
      <formula>$H1454="ETAPA"</formula>
    </cfRule>
  </conditionalFormatting>
  <conditionalFormatting sqref="O1456">
    <cfRule type="expression" dxfId="679" priority="743">
      <formula>$H1456="ETAPA"</formula>
    </cfRule>
    <cfRule type="expression" dxfId="678" priority="742">
      <formula>$H1456="CÉLULA CONSTRUTIVA"</formula>
    </cfRule>
    <cfRule type="expression" dxfId="677" priority="741">
      <formula>$H1456="SUBETAPA"</formula>
    </cfRule>
  </conditionalFormatting>
  <conditionalFormatting sqref="O1457">
    <cfRule type="expression" dxfId="676" priority="740">
      <formula>$H1457="SUBETAPA"</formula>
    </cfRule>
  </conditionalFormatting>
  <conditionalFormatting sqref="O1458">
    <cfRule type="expression" dxfId="675" priority="739">
      <formula>$H1458="ETAPA"</formula>
    </cfRule>
    <cfRule type="expression" dxfId="674" priority="738">
      <formula>$H1458="CÉLULA CONSTRUTIVA"</formula>
    </cfRule>
    <cfRule type="expression" dxfId="673" priority="737">
      <formula>$H1458="SUBETAPA"</formula>
    </cfRule>
  </conditionalFormatting>
  <conditionalFormatting sqref="O1459 O1461 O1457">
    <cfRule type="expression" dxfId="672" priority="736">
      <formula>$H1457="ETAPA"</formula>
    </cfRule>
  </conditionalFormatting>
  <conditionalFormatting sqref="O1460">
    <cfRule type="expression" dxfId="671" priority="733">
      <formula>$H1460="SUBETAPA"</formula>
    </cfRule>
    <cfRule type="expression" dxfId="670" priority="735">
      <formula>$H1460="ETAPA"</formula>
    </cfRule>
    <cfRule type="expression" dxfId="669" priority="734">
      <formula>$H1460="CÉLULA CONSTRUTIVA"</formula>
    </cfRule>
  </conditionalFormatting>
  <conditionalFormatting sqref="O1461 O1459">
    <cfRule type="expression" dxfId="668" priority="732">
      <formula>$H1459="CÉLULA CONSTRUTIVA"</formula>
    </cfRule>
    <cfRule type="expression" dxfId="667" priority="731">
      <formula>$H1459="SUBETAPA"</formula>
    </cfRule>
  </conditionalFormatting>
  <conditionalFormatting sqref="O1462">
    <cfRule type="expression" dxfId="666" priority="728">
      <formula>$H1462="SUBETAPA"</formula>
    </cfRule>
    <cfRule type="expression" dxfId="665" priority="730">
      <formula>$H1462="ETAPA"</formula>
    </cfRule>
    <cfRule type="expression" dxfId="664" priority="729">
      <formula>$H1462="CÉLULA CONSTRUTIVA"</formula>
    </cfRule>
  </conditionalFormatting>
  <conditionalFormatting sqref="O1463:O1464">
    <cfRule type="expression" dxfId="663" priority="726">
      <formula>$H1463="ETAPA"</formula>
    </cfRule>
    <cfRule type="expression" dxfId="662" priority="727">
      <formula>$H1463="SUBETAPA"</formula>
    </cfRule>
  </conditionalFormatting>
  <conditionalFormatting sqref="O1465">
    <cfRule type="expression" dxfId="661" priority="725">
      <formula>$H1465="ETAPA"</formula>
    </cfRule>
    <cfRule type="expression" dxfId="660" priority="724">
      <formula>$H1465="CÉLULA CONSTRUTIVA"</formula>
    </cfRule>
    <cfRule type="expression" dxfId="659" priority="723">
      <formula>$H1465="SUBETAPA"</formula>
    </cfRule>
  </conditionalFormatting>
  <conditionalFormatting sqref="O1466">
    <cfRule type="expression" dxfId="658" priority="722">
      <formula>$H1466="SUBETAPA"</formula>
    </cfRule>
  </conditionalFormatting>
  <conditionalFormatting sqref="O1467">
    <cfRule type="expression" dxfId="657" priority="721">
      <formula>$H1467="ETAPA"</formula>
    </cfRule>
    <cfRule type="expression" dxfId="656" priority="719">
      <formula>$H1467="SUBETAPA"</formula>
    </cfRule>
    <cfRule type="expression" dxfId="655" priority="720">
      <formula>$H1467="CÉLULA CONSTRUTIVA"</formula>
    </cfRule>
  </conditionalFormatting>
  <conditionalFormatting sqref="O1468 O1466">
    <cfRule type="expression" dxfId="654" priority="718">
      <formula>$H1466="ETAPA"</formula>
    </cfRule>
  </conditionalFormatting>
  <conditionalFormatting sqref="O1468">
    <cfRule type="expression" dxfId="653" priority="716">
      <formula>$H1468="SUBETAPA"</formula>
    </cfRule>
    <cfRule type="expression" dxfId="652" priority="717">
      <formula>$H1468="CÉLULA CONSTRUTIVA"</formula>
    </cfRule>
  </conditionalFormatting>
  <conditionalFormatting sqref="O1469">
    <cfRule type="expression" dxfId="651" priority="713">
      <formula>$H1469="SUBETAPA"</formula>
    </cfRule>
    <cfRule type="expression" dxfId="650" priority="715">
      <formula>$H1469="ETAPA"</formula>
    </cfRule>
    <cfRule type="expression" dxfId="649" priority="714">
      <formula>$H1469="CÉLULA CONSTRUTIVA"</formula>
    </cfRule>
  </conditionalFormatting>
  <conditionalFormatting sqref="O1470:O1471">
    <cfRule type="expression" dxfId="648" priority="711">
      <formula>$H1470="ETAPA"</formula>
    </cfRule>
    <cfRule type="expression" dxfId="647" priority="712">
      <formula>$H1470="SUBETAPA"</formula>
    </cfRule>
  </conditionalFormatting>
  <conditionalFormatting sqref="O1472">
    <cfRule type="expression" dxfId="646" priority="708">
      <formula>$H1472="SUBETAPA"</formula>
    </cfRule>
    <cfRule type="expression" dxfId="645" priority="709">
      <formula>$H1472="CÉLULA CONSTRUTIVA"</formula>
    </cfRule>
    <cfRule type="expression" dxfId="644" priority="710">
      <formula>$H1472="ETAPA"</formula>
    </cfRule>
  </conditionalFormatting>
  <conditionalFormatting sqref="O1473">
    <cfRule type="expression" dxfId="643" priority="707">
      <formula>$H1473="SUBETAPA"</formula>
    </cfRule>
  </conditionalFormatting>
  <conditionalFormatting sqref="O1474">
    <cfRule type="expression" dxfId="642" priority="704">
      <formula>$H1474="SUBETAPA"</formula>
    </cfRule>
    <cfRule type="expression" dxfId="641" priority="705">
      <formula>$H1474="CÉLULA CONSTRUTIVA"</formula>
    </cfRule>
    <cfRule type="expression" dxfId="640" priority="706">
      <formula>$H1474="ETAPA"</formula>
    </cfRule>
  </conditionalFormatting>
  <conditionalFormatting sqref="O1475 O1473">
    <cfRule type="expression" dxfId="639" priority="703">
      <formula>$H1473="ETAPA"</formula>
    </cfRule>
  </conditionalFormatting>
  <conditionalFormatting sqref="O1475">
    <cfRule type="expression" dxfId="638" priority="701">
      <formula>$H1475="SUBETAPA"</formula>
    </cfRule>
    <cfRule type="expression" dxfId="637" priority="702">
      <formula>$H1475="CÉLULA CONSTRUTIVA"</formula>
    </cfRule>
  </conditionalFormatting>
  <conditionalFormatting sqref="O1476">
    <cfRule type="expression" dxfId="636" priority="700">
      <formula>$H1476="ETAPA"</formula>
    </cfRule>
    <cfRule type="expression" dxfId="635" priority="699">
      <formula>$H1476="CÉLULA CONSTRUTIVA"</formula>
    </cfRule>
    <cfRule type="expression" dxfId="634" priority="698">
      <formula>$H1476="SUBETAPA"</formula>
    </cfRule>
  </conditionalFormatting>
  <conditionalFormatting sqref="O1477:O1478">
    <cfRule type="expression" dxfId="633" priority="696">
      <formula>$H1477="ETAPA"</formula>
    </cfRule>
    <cfRule type="expression" dxfId="632" priority="697">
      <formula>$H1477="SUBETAPA"</formula>
    </cfRule>
  </conditionalFormatting>
  <conditionalFormatting sqref="O1479">
    <cfRule type="expression" dxfId="631" priority="695">
      <formula>$H1479="ETAPA"</formula>
    </cfRule>
    <cfRule type="expression" dxfId="630" priority="694">
      <formula>$H1479="CÉLULA CONSTRUTIVA"</formula>
    </cfRule>
    <cfRule type="expression" dxfId="629" priority="693">
      <formula>$H1479="SUBETAPA"</formula>
    </cfRule>
  </conditionalFormatting>
  <conditionalFormatting sqref="O1480">
    <cfRule type="expression" dxfId="628" priority="692">
      <formula>$H1480="SUBETAPA"</formula>
    </cfRule>
  </conditionalFormatting>
  <conditionalFormatting sqref="O1481">
    <cfRule type="expression" dxfId="627" priority="691">
      <formula>$H1481="ETAPA"</formula>
    </cfRule>
    <cfRule type="expression" dxfId="626" priority="690">
      <formula>$H1481="CÉLULA CONSTRUTIVA"</formula>
    </cfRule>
    <cfRule type="expression" dxfId="625" priority="689">
      <formula>$H1481="SUBETAPA"</formula>
    </cfRule>
  </conditionalFormatting>
  <conditionalFormatting sqref="O1482">
    <cfRule type="expression" dxfId="624" priority="686">
      <formula>$H1482="SUBETAPA"</formula>
    </cfRule>
    <cfRule type="expression" dxfId="623" priority="688">
      <formula>$H1482="ETAPA"</formula>
    </cfRule>
    <cfRule type="expression" dxfId="622" priority="687">
      <formula>$H1482="CÉLULA CONSTRUTIVA"</formula>
    </cfRule>
  </conditionalFormatting>
  <conditionalFormatting sqref="O1483 O1480">
    <cfRule type="expression" dxfId="621" priority="685">
      <formula>$H1480="ETAPA"</formula>
    </cfRule>
  </conditionalFormatting>
  <conditionalFormatting sqref="O1483">
    <cfRule type="expression" dxfId="620" priority="684">
      <formula>$H1483="CÉLULA CONSTRUTIVA"</formula>
    </cfRule>
    <cfRule type="expression" dxfId="619" priority="683">
      <formula>$H1483="SUBETAPA"</formula>
    </cfRule>
  </conditionalFormatting>
  <conditionalFormatting sqref="O1484">
    <cfRule type="expression" dxfId="618" priority="682">
      <formula>$H1484="ETAPA"</formula>
    </cfRule>
    <cfRule type="expression" dxfId="617" priority="681">
      <formula>$H1484="CÉLULA CONSTRUTIVA"</formula>
    </cfRule>
    <cfRule type="expression" dxfId="616" priority="680">
      <formula>$H1484="SUBETAPA"</formula>
    </cfRule>
  </conditionalFormatting>
  <conditionalFormatting sqref="O1485:O1486">
    <cfRule type="expression" dxfId="615" priority="679">
      <formula>$H1485="SUBETAPA"</formula>
    </cfRule>
    <cfRule type="expression" dxfId="614" priority="678">
      <formula>$H1485="ETAPA"</formula>
    </cfRule>
  </conditionalFormatting>
  <conditionalFormatting sqref="O1487">
    <cfRule type="expression" dxfId="613" priority="677">
      <formula>$H1487="ETAPA"</formula>
    </cfRule>
    <cfRule type="expression" dxfId="612" priority="676">
      <formula>$H1487="CÉLULA CONSTRUTIVA"</formula>
    </cfRule>
    <cfRule type="expression" dxfId="611" priority="675">
      <formula>$H1487="SUBETAPA"</formula>
    </cfRule>
  </conditionalFormatting>
  <conditionalFormatting sqref="O1488">
    <cfRule type="expression" dxfId="610" priority="674">
      <formula>$H1488="SUBETAPA"</formula>
    </cfRule>
  </conditionalFormatting>
  <conditionalFormatting sqref="O1489">
    <cfRule type="expression" dxfId="609" priority="673">
      <formula>$H1489="ETAPA"</formula>
    </cfRule>
    <cfRule type="expression" dxfId="608" priority="672">
      <formula>$H1489="CÉLULA CONSTRUTIVA"</formula>
    </cfRule>
    <cfRule type="expression" dxfId="607" priority="671">
      <formula>$H1489="SUBETAPA"</formula>
    </cfRule>
  </conditionalFormatting>
  <conditionalFormatting sqref="O1490">
    <cfRule type="expression" dxfId="606" priority="670">
      <formula>$H1490="ETAPA"</formula>
    </cfRule>
    <cfRule type="expression" dxfId="605" priority="668">
      <formula>$H1490="SUBETAPA"</formula>
    </cfRule>
    <cfRule type="expression" dxfId="604" priority="669">
      <formula>$H1490="CÉLULA CONSTRUTIVA"</formula>
    </cfRule>
  </conditionalFormatting>
  <conditionalFormatting sqref="O1491 O1493 O1488">
    <cfRule type="expression" dxfId="603" priority="667">
      <formula>$H1488="ETAPA"</formula>
    </cfRule>
  </conditionalFormatting>
  <conditionalFormatting sqref="O1491 O1493">
    <cfRule type="expression" dxfId="602" priority="666">
      <formula>$H1491="CÉLULA CONSTRUTIVA"</formula>
    </cfRule>
    <cfRule type="expression" dxfId="601" priority="665">
      <formula>$H1491="SUBETAPA"</formula>
    </cfRule>
  </conditionalFormatting>
  <conditionalFormatting sqref="O1492">
    <cfRule type="expression" dxfId="600" priority="664">
      <formula>$H1492="ETAPA"</formula>
    </cfRule>
    <cfRule type="expression" dxfId="599" priority="663">
      <formula>$H1492="CÉLULA CONSTRUTIVA"</formula>
    </cfRule>
    <cfRule type="expression" dxfId="598" priority="662">
      <formula>$H1492="SUBETAPA"</formula>
    </cfRule>
  </conditionalFormatting>
  <conditionalFormatting sqref="O1494">
    <cfRule type="expression" dxfId="597" priority="661">
      <formula>$H1494="ETAPA"</formula>
    </cfRule>
    <cfRule type="expression" dxfId="596" priority="660">
      <formula>$H1494="CÉLULA CONSTRUTIVA"</formula>
    </cfRule>
    <cfRule type="expression" dxfId="595" priority="659">
      <formula>$H1494="SUBETAPA"</formula>
    </cfRule>
  </conditionalFormatting>
  <conditionalFormatting sqref="O1495:O1496">
    <cfRule type="expression" dxfId="594" priority="657">
      <formula>$H1495="ETAPA"</formula>
    </cfRule>
    <cfRule type="expression" dxfId="593" priority="658">
      <formula>$H1495="SUBETAPA"</formula>
    </cfRule>
  </conditionalFormatting>
  <conditionalFormatting sqref="O1497">
    <cfRule type="expression" dxfId="592" priority="655">
      <formula>$H1497="CÉLULA CONSTRUTIVA"</formula>
    </cfRule>
    <cfRule type="expression" dxfId="591" priority="654">
      <formula>$H1497="SUBETAPA"</formula>
    </cfRule>
    <cfRule type="expression" dxfId="590" priority="656">
      <formula>$H1497="ETAPA"</formula>
    </cfRule>
  </conditionalFormatting>
  <conditionalFormatting sqref="O1498">
    <cfRule type="expression" dxfId="589" priority="653">
      <formula>$H1498="SUBETAPA"</formula>
    </cfRule>
  </conditionalFormatting>
  <conditionalFormatting sqref="O1499">
    <cfRule type="expression" dxfId="588" priority="650">
      <formula>$H1499="SUBETAPA"</formula>
    </cfRule>
    <cfRule type="expression" dxfId="587" priority="651">
      <formula>$H1499="CÉLULA CONSTRUTIVA"</formula>
    </cfRule>
    <cfRule type="expression" dxfId="586" priority="652">
      <formula>$H1499="ETAPA"</formula>
    </cfRule>
  </conditionalFormatting>
  <conditionalFormatting sqref="O1500">
    <cfRule type="expression" dxfId="585" priority="647">
      <formula>$H1500="SUBETAPA"</formula>
    </cfRule>
    <cfRule type="expression" dxfId="584" priority="648">
      <formula>$H1500="CÉLULA CONSTRUTIVA"</formula>
    </cfRule>
    <cfRule type="expression" dxfId="583" priority="649">
      <formula>$H1500="ETAPA"</formula>
    </cfRule>
  </conditionalFormatting>
  <conditionalFormatting sqref="O1501 O1498">
    <cfRule type="expression" dxfId="582" priority="646">
      <formula>$H1498="ETAPA"</formula>
    </cfRule>
  </conditionalFormatting>
  <conditionalFormatting sqref="O1501">
    <cfRule type="expression" dxfId="581" priority="644">
      <formula>$H1501="SUBETAPA"</formula>
    </cfRule>
    <cfRule type="expression" dxfId="580" priority="645">
      <formula>$H1501="CÉLULA CONSTRUTIVA"</formula>
    </cfRule>
  </conditionalFormatting>
  <conditionalFormatting sqref="O1502">
    <cfRule type="expression" dxfId="579" priority="642">
      <formula>$H1502="CÉLULA CONSTRUTIVA"</formula>
    </cfRule>
    <cfRule type="expression" dxfId="578" priority="643">
      <formula>$H1502="ETAPA"</formula>
    </cfRule>
    <cfRule type="expression" dxfId="577" priority="641">
      <formula>$H1502="SUBETAPA"</formula>
    </cfRule>
  </conditionalFormatting>
  <conditionalFormatting sqref="O1503:O1504">
    <cfRule type="expression" dxfId="576" priority="639">
      <formula>$H1503="ETAPA"</formula>
    </cfRule>
    <cfRule type="expression" dxfId="575" priority="640">
      <formula>$H1503="SUBETAPA"</formula>
    </cfRule>
  </conditionalFormatting>
  <conditionalFormatting sqref="O1505">
    <cfRule type="expression" dxfId="574" priority="637">
      <formula>$H1505="CÉLULA CONSTRUTIVA"</formula>
    </cfRule>
    <cfRule type="expression" dxfId="573" priority="636">
      <formula>$H1505="SUBETAPA"</formula>
    </cfRule>
    <cfRule type="expression" dxfId="572" priority="638">
      <formula>$H1505="ETAPA"</formula>
    </cfRule>
  </conditionalFormatting>
  <conditionalFormatting sqref="O1506">
    <cfRule type="expression" dxfId="571" priority="635">
      <formula>$H1506="SUBETAPA"</formula>
    </cfRule>
  </conditionalFormatting>
  <conditionalFormatting sqref="O1507">
    <cfRule type="expression" dxfId="570" priority="634">
      <formula>$H1507="ETAPA"</formula>
    </cfRule>
    <cfRule type="expression" dxfId="569" priority="632">
      <formula>$H1507="SUBETAPA"</formula>
    </cfRule>
    <cfRule type="expression" dxfId="568" priority="633">
      <formula>$H1507="CÉLULA CONSTRUTIVA"</formula>
    </cfRule>
  </conditionalFormatting>
  <conditionalFormatting sqref="O1508">
    <cfRule type="expression" dxfId="567" priority="629">
      <formula>$H1508="SUBETAPA"</formula>
    </cfRule>
    <cfRule type="expression" dxfId="566" priority="630">
      <formula>$H1508="CÉLULA CONSTRUTIVA"</formula>
    </cfRule>
    <cfRule type="expression" dxfId="565" priority="631">
      <formula>$H1508="ETAPA"</formula>
    </cfRule>
  </conditionalFormatting>
  <conditionalFormatting sqref="O1509">
    <cfRule type="expression" dxfId="564" priority="626">
      <formula>$H1509="SUBETAPA"</formula>
    </cfRule>
    <cfRule type="expression" dxfId="563" priority="627">
      <formula>$H1509="CÉLULA CONSTRUTIVA"</formula>
    </cfRule>
    <cfRule type="expression" dxfId="562" priority="628">
      <formula>$H1509="ETAPA"</formula>
    </cfRule>
  </conditionalFormatting>
  <conditionalFormatting sqref="O1510 O1512 O1506">
    <cfRule type="expression" dxfId="561" priority="625">
      <formula>$H1506="ETAPA"</formula>
    </cfRule>
  </conditionalFormatting>
  <conditionalFormatting sqref="O1510 O1512">
    <cfRule type="expression" dxfId="560" priority="624">
      <formula>$H1510="CÉLULA CONSTRUTIVA"</formula>
    </cfRule>
    <cfRule type="expression" dxfId="559" priority="623">
      <formula>$H1510="SUBETAPA"</formula>
    </cfRule>
  </conditionalFormatting>
  <conditionalFormatting sqref="O1511 O1513">
    <cfRule type="expression" dxfId="558" priority="621">
      <formula>$H1511="CÉLULA CONSTRUTIVA"</formula>
    </cfRule>
    <cfRule type="expression" dxfId="557" priority="620">
      <formula>$H1511="SUBETAPA"</formula>
    </cfRule>
    <cfRule type="expression" dxfId="556" priority="622">
      <formula>$H1511="ETAPA"</formula>
    </cfRule>
  </conditionalFormatting>
  <conditionalFormatting sqref="O1514:O1515">
    <cfRule type="expression" dxfId="555" priority="619">
      <formula>$H1514="SUBETAPA"</formula>
    </cfRule>
    <cfRule type="expression" dxfId="554" priority="618">
      <formula>$H1514="ETAPA"</formula>
    </cfRule>
  </conditionalFormatting>
  <conditionalFormatting sqref="O1516">
    <cfRule type="expression" dxfId="553" priority="615">
      <formula>$H1516="SUBETAPA"</formula>
    </cfRule>
    <cfRule type="expression" dxfId="552" priority="617">
      <formula>$H1516="ETAPA"</formula>
    </cfRule>
    <cfRule type="expression" dxfId="551" priority="616">
      <formula>$H1516="CÉLULA CONSTRUTIVA"</formula>
    </cfRule>
  </conditionalFormatting>
  <conditionalFormatting sqref="O1517">
    <cfRule type="expression" dxfId="550" priority="614">
      <formula>$H1517="SUBETAPA"</formula>
    </cfRule>
  </conditionalFormatting>
  <conditionalFormatting sqref="O1518">
    <cfRule type="expression" dxfId="549" priority="612">
      <formula>$H1518="CÉLULA CONSTRUTIVA"</formula>
    </cfRule>
    <cfRule type="expression" dxfId="548" priority="611">
      <formula>$H1518="SUBETAPA"</formula>
    </cfRule>
    <cfRule type="expression" dxfId="547" priority="613">
      <formula>$H1518="ETAPA"</formula>
    </cfRule>
  </conditionalFormatting>
  <conditionalFormatting sqref="O1519">
    <cfRule type="expression" dxfId="546" priority="609">
      <formula>$H1519="CÉLULA CONSTRUTIVA"</formula>
    </cfRule>
    <cfRule type="expression" dxfId="545" priority="610">
      <formula>$H1519="ETAPA"</formula>
    </cfRule>
    <cfRule type="expression" dxfId="544" priority="608">
      <formula>$H1519="SUBETAPA"</formula>
    </cfRule>
  </conditionalFormatting>
  <conditionalFormatting sqref="O1520">
    <cfRule type="expression" dxfId="543" priority="606">
      <formula>$H1520="CÉLULA CONSTRUTIVA"</formula>
    </cfRule>
    <cfRule type="expression" dxfId="542" priority="605">
      <formula>$H1520="SUBETAPA"</formula>
    </cfRule>
    <cfRule type="expression" dxfId="541" priority="607">
      <formula>$H1520="ETAPA"</formula>
    </cfRule>
  </conditionalFormatting>
  <conditionalFormatting sqref="O1521 O1523 O1517">
    <cfRule type="expression" dxfId="540" priority="604">
      <formula>$H1517="ETAPA"</formula>
    </cfRule>
  </conditionalFormatting>
  <conditionalFormatting sqref="O1521 O1523">
    <cfRule type="expression" dxfId="539" priority="603">
      <formula>$H1521="CÉLULA CONSTRUTIVA"</formula>
    </cfRule>
    <cfRule type="expression" dxfId="538" priority="602">
      <formula>$H1521="SUBETAPA"</formula>
    </cfRule>
  </conditionalFormatting>
  <conditionalFormatting sqref="O1522 O1524">
    <cfRule type="expression" dxfId="537" priority="600">
      <formula>$H1522="CÉLULA CONSTRUTIVA"</formula>
    </cfRule>
    <cfRule type="expression" dxfId="536" priority="599">
      <formula>$H1522="SUBETAPA"</formula>
    </cfRule>
    <cfRule type="expression" dxfId="535" priority="601">
      <formula>$H1522="ETAPA"</formula>
    </cfRule>
  </conditionalFormatting>
  <conditionalFormatting sqref="O1525:O1526">
    <cfRule type="expression" dxfId="534" priority="598">
      <formula>$H1525="SUBETAPA"</formula>
    </cfRule>
    <cfRule type="expression" dxfId="533" priority="597">
      <formula>$H1525="ETAPA"</formula>
    </cfRule>
  </conditionalFormatting>
  <conditionalFormatting sqref="O1527">
    <cfRule type="expression" dxfId="532" priority="594">
      <formula>$H1527="SUBETAPA"</formula>
    </cfRule>
    <cfRule type="expression" dxfId="531" priority="595">
      <formula>$H1527="CÉLULA CONSTRUTIVA"</formula>
    </cfRule>
    <cfRule type="expression" dxfId="530" priority="596">
      <formula>$H1527="ETAPA"</formula>
    </cfRule>
  </conditionalFormatting>
  <conditionalFormatting sqref="O1528">
    <cfRule type="expression" dxfId="529" priority="593">
      <formula>$H1528="SUBETAPA"</formula>
    </cfRule>
  </conditionalFormatting>
  <conditionalFormatting sqref="O1529">
    <cfRule type="expression" dxfId="528" priority="592">
      <formula>$H1529="ETAPA"</formula>
    </cfRule>
    <cfRule type="expression" dxfId="527" priority="590">
      <formula>$H1529="SUBETAPA"</formula>
    </cfRule>
    <cfRule type="expression" dxfId="526" priority="591">
      <formula>$H1529="CÉLULA CONSTRUTIVA"</formula>
    </cfRule>
  </conditionalFormatting>
  <conditionalFormatting sqref="O1530">
    <cfRule type="expression" dxfId="525" priority="587">
      <formula>$H1530="SUBETAPA"</formula>
    </cfRule>
    <cfRule type="expression" dxfId="524" priority="588">
      <formula>$H1530="CÉLULA CONSTRUTIVA"</formula>
    </cfRule>
    <cfRule type="expression" dxfId="523" priority="589">
      <formula>$H1530="ETAPA"</formula>
    </cfRule>
  </conditionalFormatting>
  <conditionalFormatting sqref="O1531">
    <cfRule type="expression" dxfId="522" priority="584">
      <formula>$H1531="SUBETAPA"</formula>
    </cfRule>
    <cfRule type="expression" dxfId="521" priority="585">
      <formula>$H1531="CÉLULA CONSTRUTIVA"</formula>
    </cfRule>
    <cfRule type="expression" dxfId="520" priority="586">
      <formula>$H1531="ETAPA"</formula>
    </cfRule>
  </conditionalFormatting>
  <conditionalFormatting sqref="O1532 O1534 O1528">
    <cfRule type="expression" dxfId="519" priority="583">
      <formula>$H1528="ETAPA"</formula>
    </cfRule>
  </conditionalFormatting>
  <conditionalFormatting sqref="O1532 O1534">
    <cfRule type="expression" dxfId="518" priority="582">
      <formula>$H1532="CÉLULA CONSTRUTIVA"</formula>
    </cfRule>
    <cfRule type="expression" dxfId="517" priority="581">
      <formula>$H1532="SUBETAPA"</formula>
    </cfRule>
  </conditionalFormatting>
  <conditionalFormatting sqref="O1533 O1535">
    <cfRule type="expression" dxfId="516" priority="580">
      <formula>$H1533="ETAPA"</formula>
    </cfRule>
    <cfRule type="expression" dxfId="515" priority="579">
      <formula>$H1533="CÉLULA CONSTRUTIVA"</formula>
    </cfRule>
    <cfRule type="expression" dxfId="514" priority="578">
      <formula>$H1533="SUBETAPA"</formula>
    </cfRule>
  </conditionalFormatting>
  <conditionalFormatting sqref="O1536:O1537">
    <cfRule type="expression" dxfId="513" priority="576">
      <formula>$H1536="ETAPA"</formula>
    </cfRule>
    <cfRule type="expression" dxfId="512" priority="577">
      <formula>$H1536="SUBETAPA"</formula>
    </cfRule>
  </conditionalFormatting>
  <conditionalFormatting sqref="O1538">
    <cfRule type="expression" dxfId="511" priority="574">
      <formula>$H1538="CÉLULA CONSTRUTIVA"</formula>
    </cfRule>
    <cfRule type="expression" dxfId="510" priority="575">
      <formula>$H1538="ETAPA"</formula>
    </cfRule>
    <cfRule type="expression" dxfId="509" priority="573">
      <formula>$H1538="SUBETAPA"</formula>
    </cfRule>
  </conditionalFormatting>
  <conditionalFormatting sqref="O1539">
    <cfRule type="expression" dxfId="508" priority="572">
      <formula>$H1539="SUBETAPA"</formula>
    </cfRule>
  </conditionalFormatting>
  <conditionalFormatting sqref="O1540">
    <cfRule type="expression" dxfId="507" priority="569">
      <formula>$H1540="SUBETAPA"</formula>
    </cfRule>
    <cfRule type="expression" dxfId="506" priority="570">
      <formula>$H1540="CÉLULA CONSTRUTIVA"</formula>
    </cfRule>
    <cfRule type="expression" dxfId="505" priority="571">
      <formula>$H1540="ETAPA"</formula>
    </cfRule>
  </conditionalFormatting>
  <conditionalFormatting sqref="O1541">
    <cfRule type="expression" dxfId="504" priority="568">
      <formula>$H1541="ETAPA"</formula>
    </cfRule>
    <cfRule type="expression" dxfId="503" priority="567">
      <formula>$H1541="CÉLULA CONSTRUTIVA"</formula>
    </cfRule>
    <cfRule type="expression" dxfId="502" priority="566">
      <formula>$H1541="SUBETAPA"</formula>
    </cfRule>
  </conditionalFormatting>
  <conditionalFormatting sqref="O1542">
    <cfRule type="expression" dxfId="501" priority="565">
      <formula>$H1542="ETAPA"</formula>
    </cfRule>
    <cfRule type="expression" dxfId="500" priority="564">
      <formula>$H1542="CÉLULA CONSTRUTIVA"</formula>
    </cfRule>
    <cfRule type="expression" dxfId="499" priority="563">
      <formula>$H1542="SUBETAPA"</formula>
    </cfRule>
  </conditionalFormatting>
  <conditionalFormatting sqref="O1543 O1545 O1539">
    <cfRule type="expression" dxfId="498" priority="562">
      <formula>$H1539="ETAPA"</formula>
    </cfRule>
  </conditionalFormatting>
  <conditionalFormatting sqref="O1543 O1545">
    <cfRule type="expression" dxfId="497" priority="560">
      <formula>$H1543="SUBETAPA"</formula>
    </cfRule>
    <cfRule type="expression" dxfId="496" priority="561">
      <formula>$H1543="CÉLULA CONSTRUTIVA"</formula>
    </cfRule>
  </conditionalFormatting>
  <conditionalFormatting sqref="O1544 O1546">
    <cfRule type="expression" dxfId="495" priority="559">
      <formula>$H1544="ETAPA"</formula>
    </cfRule>
    <cfRule type="expression" dxfId="494" priority="557">
      <formula>$H1544="SUBETAPA"</formula>
    </cfRule>
    <cfRule type="expression" dxfId="493" priority="558">
      <formula>$H1544="CÉLULA CONSTRUTIVA"</formula>
    </cfRule>
  </conditionalFormatting>
  <conditionalFormatting sqref="O1547:O1548">
    <cfRule type="expression" dxfId="492" priority="556">
      <formula>$H1547="SUBETAPA"</formula>
    </cfRule>
    <cfRule type="expression" dxfId="491" priority="555">
      <formula>$H1547="ETAPA"</formula>
    </cfRule>
  </conditionalFormatting>
  <conditionalFormatting sqref="O1549">
    <cfRule type="expression" dxfId="490" priority="554">
      <formula>$H1549="ETAPA"</formula>
    </cfRule>
    <cfRule type="expression" dxfId="489" priority="553">
      <formula>$H1549="CÉLULA CONSTRUTIVA"</formula>
    </cfRule>
    <cfRule type="expression" dxfId="488" priority="552">
      <formula>$H1549="SUBETAPA"</formula>
    </cfRule>
  </conditionalFormatting>
  <conditionalFormatting sqref="O1550">
    <cfRule type="expression" dxfId="487" priority="551">
      <formula>$H1550="SUBETAPA"</formula>
    </cfRule>
  </conditionalFormatting>
  <conditionalFormatting sqref="O1551">
    <cfRule type="expression" dxfId="486" priority="548">
      <formula>$H1551="SUBETAPA"</formula>
    </cfRule>
    <cfRule type="expression" dxfId="485" priority="549">
      <formula>$H1551="CÉLULA CONSTRUTIVA"</formula>
    </cfRule>
    <cfRule type="expression" dxfId="484" priority="550">
      <formula>$H1551="ETAPA"</formula>
    </cfRule>
  </conditionalFormatting>
  <conditionalFormatting sqref="O1552">
    <cfRule type="expression" dxfId="483" priority="545">
      <formula>$H1552="SUBETAPA"</formula>
    </cfRule>
    <cfRule type="expression" dxfId="482" priority="546">
      <formula>$H1552="CÉLULA CONSTRUTIVA"</formula>
    </cfRule>
    <cfRule type="expression" dxfId="481" priority="547">
      <formula>$H1552="ETAPA"</formula>
    </cfRule>
  </conditionalFormatting>
  <conditionalFormatting sqref="O1553">
    <cfRule type="expression" dxfId="480" priority="543">
      <formula>$H1553="CÉLULA CONSTRUTIVA"</formula>
    </cfRule>
    <cfRule type="expression" dxfId="479" priority="542">
      <formula>$H1553="SUBETAPA"</formula>
    </cfRule>
    <cfRule type="expression" dxfId="478" priority="544">
      <formula>$H1553="ETAPA"</formula>
    </cfRule>
  </conditionalFormatting>
  <conditionalFormatting sqref="O1554 O1556 O1550">
    <cfRule type="expression" dxfId="477" priority="541">
      <formula>$H1550="ETAPA"</formula>
    </cfRule>
  </conditionalFormatting>
  <conditionalFormatting sqref="O1554 O1556">
    <cfRule type="expression" dxfId="476" priority="540">
      <formula>$H1554="CÉLULA CONSTRUTIVA"</formula>
    </cfRule>
    <cfRule type="expression" dxfId="475" priority="539">
      <formula>$H1554="SUBETAPA"</formula>
    </cfRule>
  </conditionalFormatting>
  <conditionalFormatting sqref="O1555 O1557">
    <cfRule type="expression" dxfId="474" priority="536">
      <formula>$H1555="SUBETAPA"</formula>
    </cfRule>
    <cfRule type="expression" dxfId="473" priority="537">
      <formula>$H1555="CÉLULA CONSTRUTIVA"</formula>
    </cfRule>
    <cfRule type="expression" dxfId="472" priority="538">
      <formula>$H1555="ETAPA"</formula>
    </cfRule>
  </conditionalFormatting>
  <conditionalFormatting sqref="O1558:O1559">
    <cfRule type="expression" dxfId="471" priority="535">
      <formula>$H1558="SUBETAPA"</formula>
    </cfRule>
  </conditionalFormatting>
  <conditionalFormatting sqref="O1560">
    <cfRule type="expression" dxfId="470" priority="533">
      <formula>$H1560="CÉLULA CONSTRUTIVA"</formula>
    </cfRule>
    <cfRule type="expression" dxfId="469" priority="534">
      <formula>$H1560="ETAPA"</formula>
    </cfRule>
    <cfRule type="expression" dxfId="468" priority="532">
      <formula>$H1560="SUBETAPA"</formula>
    </cfRule>
  </conditionalFormatting>
  <conditionalFormatting sqref="O1561">
    <cfRule type="expression" dxfId="467" priority="531">
      <formula>$H1561="SUBETAPA"</formula>
    </cfRule>
  </conditionalFormatting>
  <conditionalFormatting sqref="O1561:O1562">
    <cfRule type="expression" dxfId="466" priority="530">
      <formula>$H1561="ETAPA"</formula>
    </cfRule>
  </conditionalFormatting>
  <conditionalFormatting sqref="O1562">
    <cfRule type="expression" dxfId="465" priority="529">
      <formula>$H1562="CÉLULA CONSTRUTIVA"</formula>
    </cfRule>
    <cfRule type="expression" dxfId="464" priority="528">
      <formula>$H1562="SUBETAPA"</formula>
    </cfRule>
  </conditionalFormatting>
  <conditionalFormatting sqref="O1563">
    <cfRule type="expression" dxfId="463" priority="527">
      <formula>$H1563="ETAPA"</formula>
    </cfRule>
    <cfRule type="expression" dxfId="462" priority="525">
      <formula>$H1563="SUBETAPA"</formula>
    </cfRule>
    <cfRule type="expression" dxfId="461" priority="526">
      <formula>$H1563="CÉLULA CONSTRUTIVA"</formula>
    </cfRule>
  </conditionalFormatting>
  <conditionalFormatting sqref="O1566">
    <cfRule type="expression" dxfId="460" priority="524">
      <formula>$H1566="ETAPA"</formula>
    </cfRule>
    <cfRule type="expression" dxfId="459" priority="523">
      <formula>$H1566="CÉLULA CONSTRUTIVA"</formula>
    </cfRule>
    <cfRule type="expression" dxfId="458" priority="522">
      <formula>$H1566="SUBETAPA"</formula>
    </cfRule>
  </conditionalFormatting>
  <conditionalFormatting sqref="O1567">
    <cfRule type="expression" dxfId="457" priority="520">
      <formula>$H1567="CÉLULA CONSTRUTIVA"</formula>
    </cfRule>
    <cfRule type="expression" dxfId="456" priority="519">
      <formula>$H1567="SUBETAPA"</formula>
    </cfRule>
    <cfRule type="expression" dxfId="455" priority="521">
      <formula>$H1567="ETAPA"</formula>
    </cfRule>
  </conditionalFormatting>
  <conditionalFormatting sqref="O1568">
    <cfRule type="expression" dxfId="454" priority="518">
      <formula>$H1568="CÉLULA CONSTRUTIVA"</formula>
    </cfRule>
    <cfRule type="expression" dxfId="453" priority="517">
      <formula>$H1568="ETAPA"</formula>
    </cfRule>
  </conditionalFormatting>
  <conditionalFormatting sqref="O1569">
    <cfRule type="expression" dxfId="452" priority="514">
      <formula>$H1569="SUBETAPA"</formula>
    </cfRule>
    <cfRule type="expression" dxfId="451" priority="516">
      <formula>$H1569="ETAPA"</formula>
    </cfRule>
    <cfRule type="expression" dxfId="450" priority="515">
      <formula>$H1569="CÉLULA CONSTRUTIVA"</formula>
    </cfRule>
  </conditionalFormatting>
  <conditionalFormatting sqref="O1572">
    <cfRule type="expression" dxfId="449" priority="512">
      <formula>$H1572="CÉLULA CONSTRUTIVA"</formula>
    </cfRule>
    <cfRule type="expression" dxfId="448" priority="511">
      <formula>$H1572="SUBETAPA"</formula>
    </cfRule>
    <cfRule type="expression" dxfId="447" priority="513">
      <formula>$H1572="ETAPA"</formula>
    </cfRule>
  </conditionalFormatting>
  <conditionalFormatting sqref="O1573">
    <cfRule type="expression" dxfId="446" priority="508">
      <formula>$H1573="SUBETAPA"</formula>
    </cfRule>
    <cfRule type="expression" dxfId="445" priority="509">
      <formula>$H1573="CÉLULA CONSTRUTIVA"</formula>
    </cfRule>
    <cfRule type="expression" dxfId="444" priority="510">
      <formula>$H1573="ETAPA"</formula>
    </cfRule>
  </conditionalFormatting>
  <conditionalFormatting sqref="O1574">
    <cfRule type="expression" dxfId="443" priority="507">
      <formula>$H1574="CÉLULA CONSTRUTIVA"</formula>
    </cfRule>
    <cfRule type="expression" dxfId="442" priority="506">
      <formula>$H1574="ETAPA"</formula>
    </cfRule>
  </conditionalFormatting>
  <conditionalFormatting sqref="O1575">
    <cfRule type="expression" dxfId="441" priority="505">
      <formula>$H1575="ETAPA"</formula>
    </cfRule>
    <cfRule type="expression" dxfId="440" priority="504">
      <formula>$H1575="CÉLULA CONSTRUTIVA"</formula>
    </cfRule>
    <cfRule type="expression" dxfId="439" priority="503">
      <formula>$H1575="SUBETAPA"</formula>
    </cfRule>
  </conditionalFormatting>
  <conditionalFormatting sqref="O1578">
    <cfRule type="expression" dxfId="438" priority="500">
      <formula>$H1578="SUBETAPA"</formula>
    </cfRule>
    <cfRule type="expression" dxfId="437" priority="501">
      <formula>$H1578="CÉLULA CONSTRUTIVA"</formula>
    </cfRule>
    <cfRule type="expression" dxfId="436" priority="502">
      <formula>$H1578="ETAPA"</formula>
    </cfRule>
  </conditionalFormatting>
  <conditionalFormatting sqref="O1579">
    <cfRule type="expression" dxfId="435" priority="497">
      <formula>$H1579="SUBETAPA"</formula>
    </cfRule>
    <cfRule type="expression" dxfId="434" priority="498">
      <formula>$H1579="CÉLULA CONSTRUTIVA"</formula>
    </cfRule>
    <cfRule type="expression" dxfId="433" priority="499">
      <formula>$H1579="ETAPA"</formula>
    </cfRule>
  </conditionalFormatting>
  <conditionalFormatting sqref="O1580">
    <cfRule type="expression" dxfId="432" priority="495">
      <formula>$H1580="ETAPA"</formula>
    </cfRule>
    <cfRule type="expression" dxfId="431" priority="496">
      <formula>$H1580="CÉLULA CONSTRUTIVA"</formula>
    </cfRule>
  </conditionalFormatting>
  <conditionalFormatting sqref="O1581">
    <cfRule type="expression" dxfId="430" priority="494">
      <formula>$H1581="ETAPA"</formula>
    </cfRule>
    <cfRule type="expression" dxfId="429" priority="492">
      <formula>$H1581="SUBETAPA"</formula>
    </cfRule>
    <cfRule type="expression" dxfId="428" priority="493">
      <formula>$H1581="CÉLULA CONSTRUTIVA"</formula>
    </cfRule>
  </conditionalFormatting>
  <conditionalFormatting sqref="O1584">
    <cfRule type="expression" dxfId="427" priority="490">
      <formula>$H1584="CÉLULA CONSTRUTIVA"</formula>
    </cfRule>
    <cfRule type="expression" dxfId="426" priority="491">
      <formula>$H1584="ETAPA"</formula>
    </cfRule>
    <cfRule type="expression" dxfId="425" priority="489">
      <formula>$H1584="SUBETAPA"</formula>
    </cfRule>
  </conditionalFormatting>
  <conditionalFormatting sqref="O1585">
    <cfRule type="expression" dxfId="424" priority="487">
      <formula>$H1585="CÉLULA CONSTRUTIVA"</formula>
    </cfRule>
    <cfRule type="expression" dxfId="423" priority="486">
      <formula>$H1585="SUBETAPA"</formula>
    </cfRule>
    <cfRule type="expression" dxfId="422" priority="488">
      <formula>$H1585="ETAPA"</formula>
    </cfRule>
  </conditionalFormatting>
  <conditionalFormatting sqref="O1586">
    <cfRule type="expression" dxfId="421" priority="483">
      <formula>$H1586="SUBETAPA"</formula>
    </cfRule>
    <cfRule type="expression" dxfId="420" priority="485">
      <formula>$H1586="ETAPA"</formula>
    </cfRule>
    <cfRule type="expression" dxfId="419" priority="484">
      <formula>$H1586="CÉLULA CONSTRUTIVA"</formula>
    </cfRule>
  </conditionalFormatting>
  <conditionalFormatting sqref="O1587 H1587 J1587:L1587">
    <cfRule type="expression" dxfId="418" priority="482">
      <formula>$H1587="CÉLULA CONSTRUTIVA"</formula>
    </cfRule>
  </conditionalFormatting>
  <conditionalFormatting sqref="O1587">
    <cfRule type="expression" dxfId="417" priority="481">
      <formula>$H1587="SUBETAPA"</formula>
    </cfRule>
  </conditionalFormatting>
  <conditionalFormatting sqref="O1589">
    <cfRule type="expression" dxfId="416" priority="479">
      <formula>$H1589="ETAPA"</formula>
    </cfRule>
    <cfRule type="expression" dxfId="415" priority="480">
      <formula>$H1589="CÉLULA CONSTRUTIVA"</formula>
    </cfRule>
  </conditionalFormatting>
  <conditionalFormatting sqref="O1590">
    <cfRule type="expression" dxfId="414" priority="478">
      <formula>$H1590="ETAPA"</formula>
    </cfRule>
    <cfRule type="expression" dxfId="413" priority="476">
      <formula>$H1590="SUBETAPA"</formula>
    </cfRule>
    <cfRule type="expression" dxfId="412" priority="477">
      <formula>$H1590="CÉLULA CONSTRUTIVA"</formula>
    </cfRule>
  </conditionalFormatting>
  <conditionalFormatting sqref="O1593">
    <cfRule type="expression" dxfId="411" priority="473">
      <formula>$H1593="SUBETAPA"</formula>
    </cfRule>
    <cfRule type="expression" dxfId="410" priority="474">
      <formula>$H1593="CÉLULA CONSTRUTIVA"</formula>
    </cfRule>
    <cfRule type="expression" dxfId="409" priority="475">
      <formula>$H1593="ETAPA"</formula>
    </cfRule>
  </conditionalFormatting>
  <conditionalFormatting sqref="O1594">
    <cfRule type="expression" dxfId="408" priority="470">
      <formula>$H1594="SUBETAPA"</formula>
    </cfRule>
    <cfRule type="expression" dxfId="407" priority="471">
      <formula>$H1594="CÉLULA CONSTRUTIVA"</formula>
    </cfRule>
    <cfRule type="expression" dxfId="406" priority="472">
      <formula>$H1594="ETAPA"</formula>
    </cfRule>
  </conditionalFormatting>
  <conditionalFormatting sqref="O1595">
    <cfRule type="expression" dxfId="405" priority="468">
      <formula>$H1595="CÉLULA CONSTRUTIVA"</formula>
    </cfRule>
    <cfRule type="expression" dxfId="404" priority="469">
      <formula>$H1595="ETAPA"</formula>
    </cfRule>
    <cfRule type="expression" dxfId="403" priority="467">
      <formula>$H1595="SUBETAPA"</formula>
    </cfRule>
  </conditionalFormatting>
  <conditionalFormatting sqref="O1596 H1596 J1596:L1596">
    <cfRule type="expression" dxfId="402" priority="466">
      <formula>$H1596="CÉLULA CONSTRUTIVA"</formula>
    </cfRule>
  </conditionalFormatting>
  <conditionalFormatting sqref="O1596">
    <cfRule type="expression" dxfId="401" priority="465">
      <formula>$H1596="SUBETAPA"</formula>
    </cfRule>
  </conditionalFormatting>
  <conditionalFormatting sqref="O1598">
    <cfRule type="expression" dxfId="400" priority="464">
      <formula>$H1598="CÉLULA CONSTRUTIVA"</formula>
    </cfRule>
    <cfRule type="expression" dxfId="399" priority="463">
      <formula>$H1598="ETAPA"</formula>
    </cfRule>
  </conditionalFormatting>
  <conditionalFormatting sqref="O1599">
    <cfRule type="expression" dxfId="398" priority="460">
      <formula>$H1599="SUBETAPA"</formula>
    </cfRule>
    <cfRule type="expression" dxfId="397" priority="461">
      <formula>$H1599="CÉLULA CONSTRUTIVA"</formula>
    </cfRule>
    <cfRule type="expression" dxfId="396" priority="462">
      <formula>$H1599="ETAPA"</formula>
    </cfRule>
  </conditionalFormatting>
  <conditionalFormatting sqref="O1602">
    <cfRule type="expression" dxfId="395" priority="457">
      <formula>$H1602="SUBETAPA"</formula>
    </cfRule>
    <cfRule type="expression" dxfId="394" priority="458">
      <formula>$H1602="CÉLULA CONSTRUTIVA"</formula>
    </cfRule>
    <cfRule type="expression" dxfId="393" priority="459">
      <formula>$H1602="ETAPA"</formula>
    </cfRule>
  </conditionalFormatting>
  <conditionalFormatting sqref="O1603">
    <cfRule type="expression" dxfId="392" priority="454">
      <formula>$H1603="SUBETAPA"</formula>
    </cfRule>
    <cfRule type="expression" dxfId="391" priority="455">
      <formula>$H1603="CÉLULA CONSTRUTIVA"</formula>
    </cfRule>
    <cfRule type="expression" dxfId="390" priority="456">
      <formula>$H1603="ETAPA"</formula>
    </cfRule>
  </conditionalFormatting>
  <conditionalFormatting sqref="O1604">
    <cfRule type="expression" dxfId="389" priority="451">
      <formula>$H1604="SUBETAPA"</formula>
    </cfRule>
    <cfRule type="expression" dxfId="388" priority="452">
      <formula>$H1604="CÉLULA CONSTRUTIVA"</formula>
    </cfRule>
    <cfRule type="expression" dxfId="387" priority="453">
      <formula>$H1604="ETAPA"</formula>
    </cfRule>
  </conditionalFormatting>
  <conditionalFormatting sqref="O1605 H1605 J1605:L1605">
    <cfRule type="expression" dxfId="386" priority="450">
      <formula>$H1605="CÉLULA CONSTRUTIVA"</formula>
    </cfRule>
  </conditionalFormatting>
  <conditionalFormatting sqref="O1605">
    <cfRule type="expression" dxfId="385" priority="449">
      <formula>$H1605="SUBETAPA"</formula>
    </cfRule>
  </conditionalFormatting>
  <conditionalFormatting sqref="O1607">
    <cfRule type="expression" dxfId="384" priority="448">
      <formula>$H1607="CÉLULA CONSTRUTIVA"</formula>
    </cfRule>
    <cfRule type="expression" dxfId="383" priority="447">
      <formula>$H1607="ETAPA"</formula>
    </cfRule>
  </conditionalFormatting>
  <conditionalFormatting sqref="O1608">
    <cfRule type="expression" dxfId="382" priority="446">
      <formula>$H1608="ETAPA"</formula>
    </cfRule>
    <cfRule type="expression" dxfId="381" priority="445">
      <formula>$H1608="CÉLULA CONSTRUTIVA"</formula>
    </cfRule>
    <cfRule type="expression" dxfId="380" priority="444">
      <formula>$H1608="SUBETAPA"</formula>
    </cfRule>
  </conditionalFormatting>
  <conditionalFormatting sqref="O1611">
    <cfRule type="expression" dxfId="379" priority="442">
      <formula>$H1611="CÉLULA CONSTRUTIVA"</formula>
    </cfRule>
    <cfRule type="expression" dxfId="378" priority="443">
      <formula>$H1611="ETAPA"</formula>
    </cfRule>
    <cfRule type="expression" dxfId="377" priority="441">
      <formula>$H1611="SUBETAPA"</formula>
    </cfRule>
  </conditionalFormatting>
  <conditionalFormatting sqref="O1612">
    <cfRule type="expression" dxfId="376" priority="439">
      <formula>$H1612="CÉLULA CONSTRUTIVA"</formula>
    </cfRule>
    <cfRule type="expression" dxfId="375" priority="438">
      <formula>$H1612="SUBETAPA"</formula>
    </cfRule>
    <cfRule type="expression" dxfId="374" priority="440">
      <formula>$H1612="ETAPA"</formula>
    </cfRule>
  </conditionalFormatting>
  <conditionalFormatting sqref="O1613">
    <cfRule type="expression" dxfId="373" priority="437">
      <formula>$H1613="ETAPA"</formula>
    </cfRule>
    <cfRule type="expression" dxfId="372" priority="436">
      <formula>$H1613="CÉLULA CONSTRUTIVA"</formula>
    </cfRule>
    <cfRule type="expression" dxfId="371" priority="435">
      <formula>$H1613="SUBETAPA"</formula>
    </cfRule>
  </conditionalFormatting>
  <conditionalFormatting sqref="O1614 H1614 J1614:L1614">
    <cfRule type="expression" dxfId="370" priority="434">
      <formula>$H1614="CÉLULA CONSTRUTIVA"</formula>
    </cfRule>
  </conditionalFormatting>
  <conditionalFormatting sqref="O1614">
    <cfRule type="expression" dxfId="369" priority="433">
      <formula>$H1614="SUBETAPA"</formula>
    </cfRule>
  </conditionalFormatting>
  <conditionalFormatting sqref="O1616">
    <cfRule type="expression" dxfId="368" priority="431">
      <formula>$H1616="ETAPA"</formula>
    </cfRule>
    <cfRule type="expression" dxfId="367" priority="432">
      <formula>$H1616="CÉLULA CONSTRUTIVA"</formula>
    </cfRule>
  </conditionalFormatting>
  <conditionalFormatting sqref="O1617">
    <cfRule type="expression" dxfId="366" priority="428">
      <formula>$H1617="SUBETAPA"</formula>
    </cfRule>
    <cfRule type="expression" dxfId="365" priority="429">
      <formula>$H1617="CÉLULA CONSTRUTIVA"</formula>
    </cfRule>
    <cfRule type="expression" dxfId="364" priority="430">
      <formula>$H1617="ETAPA"</formula>
    </cfRule>
  </conditionalFormatting>
  <conditionalFormatting sqref="O1620">
    <cfRule type="expression" dxfId="363" priority="425">
      <formula>$H1620="SUBETAPA"</formula>
    </cfRule>
    <cfRule type="expression" dxfId="362" priority="426">
      <formula>$H1620="CÉLULA CONSTRUTIVA"</formula>
    </cfRule>
    <cfRule type="expression" dxfId="361" priority="427">
      <formula>$H1620="ETAPA"</formula>
    </cfRule>
  </conditionalFormatting>
  <conditionalFormatting sqref="O1621">
    <cfRule type="expression" dxfId="360" priority="424">
      <formula>$H1621="ETAPA"</formula>
    </cfRule>
    <cfRule type="expression" dxfId="359" priority="422">
      <formula>$H1621="SUBETAPA"</formula>
    </cfRule>
    <cfRule type="expression" dxfId="358" priority="423">
      <formula>$H1621="CÉLULA CONSTRUTIVA"</formula>
    </cfRule>
  </conditionalFormatting>
  <conditionalFormatting sqref="O1622">
    <cfRule type="expression" dxfId="357" priority="419">
      <formula>$H1622="SUBETAPA"</formula>
    </cfRule>
    <cfRule type="expression" dxfId="356" priority="420">
      <formula>$H1622="CÉLULA CONSTRUTIVA"</formula>
    </cfRule>
    <cfRule type="expression" dxfId="355" priority="421">
      <formula>$H1622="ETAPA"</formula>
    </cfRule>
  </conditionalFormatting>
  <conditionalFormatting sqref="O1623">
    <cfRule type="expression" dxfId="354" priority="417">
      <formula>$H1623="ETAPA"</formula>
    </cfRule>
    <cfRule type="expression" dxfId="353" priority="418">
      <formula>$H1623="CÉLULA CONSTRUTIVA"</formula>
    </cfRule>
  </conditionalFormatting>
  <conditionalFormatting sqref="O1624">
    <cfRule type="expression" dxfId="352" priority="414">
      <formula>$H1624="SUBETAPA"</formula>
    </cfRule>
    <cfRule type="expression" dxfId="351" priority="415">
      <formula>$H1624="CÉLULA CONSTRUTIVA"</formula>
    </cfRule>
    <cfRule type="expression" dxfId="350" priority="416">
      <formula>$H1624="ETAPA"</formula>
    </cfRule>
  </conditionalFormatting>
  <conditionalFormatting sqref="O1625 O1634">
    <cfRule type="expression" dxfId="349" priority="413">
      <formula>$H1625="SUBETAPA"</formula>
    </cfRule>
  </conditionalFormatting>
  <conditionalFormatting sqref="O1625:O1626 O1634">
    <cfRule type="expression" dxfId="348" priority="412">
      <formula>$H1625="ETAPA"</formula>
    </cfRule>
  </conditionalFormatting>
  <conditionalFormatting sqref="O1626">
    <cfRule type="expression" dxfId="347" priority="411">
      <formula>$H1626="CÉLULA CONSTRUTIVA"</formula>
    </cfRule>
  </conditionalFormatting>
  <conditionalFormatting sqref="O1627">
    <cfRule type="expression" dxfId="346" priority="410">
      <formula>$H1627="ETAPA"</formula>
    </cfRule>
    <cfRule type="expression" dxfId="345" priority="409">
      <formula>$H1627="CÉLULA CONSTRUTIVA"</formula>
    </cfRule>
    <cfRule type="expression" dxfId="344" priority="408">
      <formula>$H1627="SUBETAPA"</formula>
    </cfRule>
  </conditionalFormatting>
  <conditionalFormatting sqref="O1630">
    <cfRule type="expression" dxfId="343" priority="405">
      <formula>$H1630="SUBETAPA"</formula>
    </cfRule>
    <cfRule type="expression" dxfId="342" priority="406">
      <formula>$H1630="CÉLULA CONSTRUTIVA"</formula>
    </cfRule>
    <cfRule type="expression" dxfId="341" priority="407">
      <formula>$H1630="ETAPA"</formula>
    </cfRule>
  </conditionalFormatting>
  <conditionalFormatting sqref="O1631">
    <cfRule type="expression" dxfId="340" priority="402">
      <formula>$H1631="SUBETAPA"</formula>
    </cfRule>
    <cfRule type="expression" dxfId="339" priority="404">
      <formula>$H1631="ETAPA"</formula>
    </cfRule>
    <cfRule type="expression" dxfId="338" priority="403">
      <formula>$H1631="CÉLULA CONSTRUTIVA"</formula>
    </cfRule>
  </conditionalFormatting>
  <conditionalFormatting sqref="O1632">
    <cfRule type="expression" dxfId="337" priority="401">
      <formula>$H1632="ETAPA"</formula>
    </cfRule>
    <cfRule type="expression" dxfId="336" priority="400">
      <formula>$H1632="CÉLULA CONSTRUTIVA"</formula>
    </cfRule>
    <cfRule type="expression" dxfId="335" priority="399">
      <formula>$H1632="SUBETAPA"</formula>
    </cfRule>
  </conditionalFormatting>
  <conditionalFormatting sqref="O1633">
    <cfRule type="expression" dxfId="334" priority="398">
      <formula>$H1633="ETAPA"</formula>
    </cfRule>
    <cfRule type="expression" dxfId="333" priority="397">
      <formula>$H1633="CÉLULA CONSTRUTIVA"</formula>
    </cfRule>
    <cfRule type="expression" dxfId="332" priority="396">
      <formula>$H1633="SUBETAPA"</formula>
    </cfRule>
  </conditionalFormatting>
  <conditionalFormatting sqref="O1635">
    <cfRule type="expression" dxfId="331" priority="395">
      <formula>$H1635="ETAPA"</formula>
    </cfRule>
    <cfRule type="expression" dxfId="330" priority="394">
      <formula>$H1635="CÉLULA CONSTRUTIVA"</formula>
    </cfRule>
    <cfRule type="expression" dxfId="329" priority="393">
      <formula>$H1635="SUBETAPA"</formula>
    </cfRule>
  </conditionalFormatting>
  <conditionalFormatting sqref="O1636 O1643">
    <cfRule type="expression" dxfId="328" priority="392">
      <formula>$H1636="SUBETAPA"</formula>
    </cfRule>
  </conditionalFormatting>
  <conditionalFormatting sqref="O1636:O1637 O1643">
    <cfRule type="expression" dxfId="327" priority="391">
      <formula>$H1636="ETAPA"</formula>
    </cfRule>
  </conditionalFormatting>
  <conditionalFormatting sqref="O1637">
    <cfRule type="expression" dxfId="326" priority="390">
      <formula>$H1637="CÉLULA CONSTRUTIVA"</formula>
    </cfRule>
  </conditionalFormatting>
  <conditionalFormatting sqref="O1638">
    <cfRule type="expression" dxfId="325" priority="389">
      <formula>$H1638="ETAPA"</formula>
    </cfRule>
    <cfRule type="expression" dxfId="324" priority="388">
      <formula>$H1638="CÉLULA CONSTRUTIVA"</formula>
    </cfRule>
    <cfRule type="expression" dxfId="323" priority="387">
      <formula>$H1638="SUBETAPA"</formula>
    </cfRule>
  </conditionalFormatting>
  <conditionalFormatting sqref="O1639:O1640 J1640:L1640">
    <cfRule type="expression" dxfId="322" priority="6916">
      <formula>$H1639="CÉLULA CONSTRUTIVA"</formula>
    </cfRule>
  </conditionalFormatting>
  <conditionalFormatting sqref="O1641">
    <cfRule type="expression" dxfId="321" priority="385">
      <formula>$H1641="CÉLULA CONSTRUTIVA"</formula>
    </cfRule>
    <cfRule type="expression" dxfId="320" priority="384">
      <formula>$H1641="SUBETAPA"</formula>
    </cfRule>
    <cfRule type="expression" dxfId="319" priority="386">
      <formula>$H1641="ETAPA"</formula>
    </cfRule>
  </conditionalFormatting>
  <conditionalFormatting sqref="O1642">
    <cfRule type="expression" dxfId="318" priority="382">
      <formula>$H1642="CÉLULA CONSTRUTIVA"</formula>
    </cfRule>
    <cfRule type="expression" dxfId="317" priority="381">
      <formula>$H1642="SUBETAPA"</formula>
    </cfRule>
    <cfRule type="expression" dxfId="316" priority="383">
      <formula>$H1642="ETAPA"</formula>
    </cfRule>
  </conditionalFormatting>
  <conditionalFormatting sqref="O1644">
    <cfRule type="expression" dxfId="315" priority="380">
      <formula>$H1644="ETAPA"</formula>
    </cfRule>
    <cfRule type="expression" dxfId="314" priority="379">
      <formula>$H1644="CÉLULA CONSTRUTIVA"</formula>
    </cfRule>
    <cfRule type="expression" dxfId="313" priority="378">
      <formula>$H1644="SUBETAPA"</formula>
    </cfRule>
  </conditionalFormatting>
  <conditionalFormatting sqref="O1645 O1652">
    <cfRule type="expression" dxfId="312" priority="377">
      <formula>$H1645="SUBETAPA"</formula>
    </cfRule>
  </conditionalFormatting>
  <conditionalFormatting sqref="O1645:O1646 O1652">
    <cfRule type="expression" dxfId="311" priority="376">
      <formula>$H1645="ETAPA"</formula>
    </cfRule>
  </conditionalFormatting>
  <conditionalFormatting sqref="O1646">
    <cfRule type="expression" dxfId="310" priority="375">
      <formula>$H1646="CÉLULA CONSTRUTIVA"</formula>
    </cfRule>
  </conditionalFormatting>
  <conditionalFormatting sqref="O1647">
    <cfRule type="expression" dxfId="309" priority="374">
      <formula>$H1647="ETAPA"</formula>
    </cfRule>
    <cfRule type="expression" dxfId="308" priority="373">
      <formula>$H1647="CÉLULA CONSTRUTIVA"</formula>
    </cfRule>
    <cfRule type="expression" dxfId="307" priority="372">
      <formula>$H1647="SUBETAPA"</formula>
    </cfRule>
  </conditionalFormatting>
  <conditionalFormatting sqref="O1648:O1649 J1649:L1649">
    <cfRule type="expression" dxfId="306" priority="6912">
      <formula>$H1648="CÉLULA CONSTRUTIVA"</formula>
    </cfRule>
  </conditionalFormatting>
  <conditionalFormatting sqref="O1650">
    <cfRule type="expression" dxfId="305" priority="371">
      <formula>$H1650="ETAPA"</formula>
    </cfRule>
    <cfRule type="expression" dxfId="304" priority="370">
      <formula>$H1650="CÉLULA CONSTRUTIVA"</formula>
    </cfRule>
    <cfRule type="expression" dxfId="303" priority="369">
      <formula>$H1650="SUBETAPA"</formula>
    </cfRule>
  </conditionalFormatting>
  <conditionalFormatting sqref="O1651">
    <cfRule type="expression" dxfId="302" priority="368">
      <formula>$H1651="ETAPA"</formula>
    </cfRule>
    <cfRule type="expression" dxfId="301" priority="367">
      <formula>$H1651="CÉLULA CONSTRUTIVA"</formula>
    </cfRule>
    <cfRule type="expression" dxfId="300" priority="366">
      <formula>$H1651="SUBETAPA"</formula>
    </cfRule>
  </conditionalFormatting>
  <conditionalFormatting sqref="O1653">
    <cfRule type="expression" dxfId="299" priority="365">
      <formula>$H1653="ETAPA"</formula>
    </cfRule>
    <cfRule type="expression" dxfId="298" priority="364">
      <formula>$H1653="CÉLULA CONSTRUTIVA"</formula>
    </cfRule>
    <cfRule type="expression" dxfId="297" priority="363">
      <formula>$H1653="SUBETAPA"</formula>
    </cfRule>
  </conditionalFormatting>
  <conditionalFormatting sqref="O1654 O1661">
    <cfRule type="expression" dxfId="296" priority="362">
      <formula>$H1654="SUBETAPA"</formula>
    </cfRule>
  </conditionalFormatting>
  <conditionalFormatting sqref="O1654:O1655 O1661">
    <cfRule type="expression" dxfId="295" priority="361">
      <formula>$H1654="ETAPA"</formula>
    </cfRule>
  </conditionalFormatting>
  <conditionalFormatting sqref="O1655">
    <cfRule type="expression" dxfId="294" priority="360">
      <formula>$H1655="CÉLULA CONSTRUTIVA"</formula>
    </cfRule>
  </conditionalFormatting>
  <conditionalFormatting sqref="O1656">
    <cfRule type="expression" dxfId="293" priority="359">
      <formula>$H1656="ETAPA"</formula>
    </cfRule>
    <cfRule type="expression" dxfId="292" priority="358">
      <formula>$H1656="CÉLULA CONSTRUTIVA"</formula>
    </cfRule>
    <cfRule type="expression" dxfId="291" priority="357">
      <formula>$H1656="SUBETAPA"</formula>
    </cfRule>
  </conditionalFormatting>
  <conditionalFormatting sqref="O1657:O1658 J1658:L1658">
    <cfRule type="expression" dxfId="290" priority="6908">
      <formula>$H1657="CÉLULA CONSTRUTIVA"</formula>
    </cfRule>
  </conditionalFormatting>
  <conditionalFormatting sqref="O1659">
    <cfRule type="expression" dxfId="289" priority="356">
      <formula>$H1659="ETAPA"</formula>
    </cfRule>
    <cfRule type="expression" dxfId="288" priority="355">
      <formula>$H1659="CÉLULA CONSTRUTIVA"</formula>
    </cfRule>
    <cfRule type="expression" dxfId="287" priority="354">
      <formula>$H1659="SUBETAPA"</formula>
    </cfRule>
  </conditionalFormatting>
  <conditionalFormatting sqref="O1660">
    <cfRule type="expression" dxfId="286" priority="353">
      <formula>$H1660="ETAPA"</formula>
    </cfRule>
    <cfRule type="expression" dxfId="285" priority="352">
      <formula>$H1660="CÉLULA CONSTRUTIVA"</formula>
    </cfRule>
    <cfRule type="expression" dxfId="284" priority="351">
      <formula>$H1660="SUBETAPA"</formula>
    </cfRule>
  </conditionalFormatting>
  <conditionalFormatting sqref="O1662">
    <cfRule type="expression" dxfId="283" priority="350">
      <formula>$H1662="ETAPA"</formula>
    </cfRule>
    <cfRule type="expression" dxfId="282" priority="349">
      <formula>$H1662="CÉLULA CONSTRUTIVA"</formula>
    </cfRule>
    <cfRule type="expression" dxfId="281" priority="348">
      <formula>$H1662="SUBETAPA"</formula>
    </cfRule>
  </conditionalFormatting>
  <conditionalFormatting sqref="O1663 O1670">
    <cfRule type="expression" dxfId="280" priority="347">
      <formula>$H1663="SUBETAPA"</formula>
    </cfRule>
  </conditionalFormatting>
  <conditionalFormatting sqref="O1663:O1664 O1670">
    <cfRule type="expression" dxfId="279" priority="346">
      <formula>$H1663="ETAPA"</formula>
    </cfRule>
  </conditionalFormatting>
  <conditionalFormatting sqref="O1664">
    <cfRule type="expression" dxfId="278" priority="345">
      <formula>$H1664="CÉLULA CONSTRUTIVA"</formula>
    </cfRule>
  </conditionalFormatting>
  <conditionalFormatting sqref="O1665">
    <cfRule type="expression" dxfId="277" priority="344">
      <formula>$H1665="ETAPA"</formula>
    </cfRule>
    <cfRule type="expression" dxfId="276" priority="343">
      <formula>$H1665="CÉLULA CONSTRUTIVA"</formula>
    </cfRule>
    <cfRule type="expression" dxfId="275" priority="342">
      <formula>$H1665="SUBETAPA"</formula>
    </cfRule>
  </conditionalFormatting>
  <conditionalFormatting sqref="O1666:O1667 J1667:L1667">
    <cfRule type="expression" dxfId="274" priority="6904">
      <formula>$H1666="CÉLULA CONSTRUTIVA"</formula>
    </cfRule>
  </conditionalFormatting>
  <conditionalFormatting sqref="O1668">
    <cfRule type="expression" dxfId="273" priority="341">
      <formula>$H1668="ETAPA"</formula>
    </cfRule>
    <cfRule type="expression" dxfId="272" priority="340">
      <formula>$H1668="CÉLULA CONSTRUTIVA"</formula>
    </cfRule>
    <cfRule type="expression" dxfId="271" priority="339">
      <formula>$H1668="SUBETAPA"</formula>
    </cfRule>
  </conditionalFormatting>
  <conditionalFormatting sqref="O1669">
    <cfRule type="expression" dxfId="270" priority="338">
      <formula>$H1669="ETAPA"</formula>
    </cfRule>
    <cfRule type="expression" dxfId="269" priority="337">
      <formula>$H1669="CÉLULA CONSTRUTIVA"</formula>
    </cfRule>
    <cfRule type="expression" dxfId="268" priority="336">
      <formula>$H1669="SUBETAPA"</formula>
    </cfRule>
  </conditionalFormatting>
  <conditionalFormatting sqref="O1671">
    <cfRule type="expression" dxfId="267" priority="335">
      <formula>$H1671="ETAPA"</formula>
    </cfRule>
    <cfRule type="expression" dxfId="266" priority="334">
      <formula>$H1671="CÉLULA CONSTRUTIVA"</formula>
    </cfRule>
    <cfRule type="expression" dxfId="265" priority="333">
      <formula>$H1671="SUBETAPA"</formula>
    </cfRule>
  </conditionalFormatting>
  <conditionalFormatting sqref="O1672 O1679">
    <cfRule type="expression" dxfId="264" priority="332">
      <formula>$H1672="SUBETAPA"</formula>
    </cfRule>
  </conditionalFormatting>
  <conditionalFormatting sqref="O1672:O1673 O1679">
    <cfRule type="expression" dxfId="263" priority="331">
      <formula>$H1672="ETAPA"</formula>
    </cfRule>
  </conditionalFormatting>
  <conditionalFormatting sqref="O1673">
    <cfRule type="expression" dxfId="262" priority="330">
      <formula>$H1673="CÉLULA CONSTRUTIVA"</formula>
    </cfRule>
  </conditionalFormatting>
  <conditionalFormatting sqref="O1674">
    <cfRule type="expression" dxfId="261" priority="329">
      <formula>$H1674="ETAPA"</formula>
    </cfRule>
    <cfRule type="expression" dxfId="260" priority="328">
      <formula>$H1674="CÉLULA CONSTRUTIVA"</formula>
    </cfRule>
    <cfRule type="expression" dxfId="259" priority="327">
      <formula>$H1674="SUBETAPA"</formula>
    </cfRule>
  </conditionalFormatting>
  <conditionalFormatting sqref="O1675:O1676 J1676:L1676">
    <cfRule type="expression" dxfId="258" priority="6900">
      <formula>$H1675="CÉLULA CONSTRUTIVA"</formula>
    </cfRule>
  </conditionalFormatting>
  <conditionalFormatting sqref="O1677">
    <cfRule type="expression" dxfId="257" priority="326">
      <formula>$H1677="ETAPA"</formula>
    </cfRule>
    <cfRule type="expression" dxfId="256" priority="325">
      <formula>$H1677="CÉLULA CONSTRUTIVA"</formula>
    </cfRule>
    <cfRule type="expression" dxfId="255" priority="324">
      <formula>$H1677="SUBETAPA"</formula>
    </cfRule>
  </conditionalFormatting>
  <conditionalFormatting sqref="O1678">
    <cfRule type="expression" dxfId="254" priority="323">
      <formula>$H1678="ETAPA"</formula>
    </cfRule>
    <cfRule type="expression" dxfId="253" priority="322">
      <formula>$H1678="CÉLULA CONSTRUTIVA"</formula>
    </cfRule>
    <cfRule type="expression" dxfId="252" priority="321">
      <formula>$H1678="SUBETAPA"</formula>
    </cfRule>
  </conditionalFormatting>
  <conditionalFormatting sqref="O1680">
    <cfRule type="expression" dxfId="251" priority="320">
      <formula>$H1680="ETAPA"</formula>
    </cfRule>
    <cfRule type="expression" dxfId="250" priority="319">
      <formula>$H1680="CÉLULA CONSTRUTIVA"</formula>
    </cfRule>
    <cfRule type="expression" dxfId="249" priority="318">
      <formula>$H1680="SUBETAPA"</formula>
    </cfRule>
  </conditionalFormatting>
  <conditionalFormatting sqref="O1681 O1690">
    <cfRule type="expression" dxfId="248" priority="317">
      <formula>$H1681="SUBETAPA"</formula>
    </cfRule>
  </conditionalFormatting>
  <conditionalFormatting sqref="O1681:O1682 O1690">
    <cfRule type="expression" dxfId="247" priority="316">
      <formula>$H1681="ETAPA"</formula>
    </cfRule>
  </conditionalFormatting>
  <conditionalFormatting sqref="O1682">
    <cfRule type="expression" dxfId="246" priority="315">
      <formula>$H1682="CÉLULA CONSTRUTIVA"</formula>
    </cfRule>
  </conditionalFormatting>
  <conditionalFormatting sqref="O1683">
    <cfRule type="expression" dxfId="245" priority="314">
      <formula>$H1683="ETAPA"</formula>
    </cfRule>
    <cfRule type="expression" dxfId="244" priority="313">
      <formula>$H1683="CÉLULA CONSTRUTIVA"</formula>
    </cfRule>
    <cfRule type="expression" dxfId="243" priority="312">
      <formula>$H1683="SUBETAPA"</formula>
    </cfRule>
  </conditionalFormatting>
  <conditionalFormatting sqref="O1686">
    <cfRule type="expression" dxfId="242" priority="311">
      <formula>$H1686="ETAPA"</formula>
    </cfRule>
    <cfRule type="expression" dxfId="241" priority="310">
      <formula>$H1686="CÉLULA CONSTRUTIVA"</formula>
    </cfRule>
    <cfRule type="expression" dxfId="240" priority="309">
      <formula>$H1686="SUBETAPA"</formula>
    </cfRule>
  </conditionalFormatting>
  <conditionalFormatting sqref="O1687">
    <cfRule type="expression" dxfId="239" priority="308">
      <formula>$H1687="ETAPA"</formula>
    </cfRule>
    <cfRule type="expression" dxfId="238" priority="307">
      <formula>$H1687="CÉLULA CONSTRUTIVA"</formula>
    </cfRule>
    <cfRule type="expression" dxfId="237" priority="306">
      <formula>$H1687="SUBETAPA"</formula>
    </cfRule>
  </conditionalFormatting>
  <conditionalFormatting sqref="O1688">
    <cfRule type="expression" dxfId="236" priority="305">
      <formula>$H1688="ETAPA"</formula>
    </cfRule>
    <cfRule type="expression" dxfId="235" priority="304">
      <formula>$H1688="CÉLULA CONSTRUTIVA"</formula>
    </cfRule>
    <cfRule type="expression" dxfId="234" priority="303">
      <formula>$H1688="SUBETAPA"</formula>
    </cfRule>
  </conditionalFormatting>
  <conditionalFormatting sqref="O1689">
    <cfRule type="expression" dxfId="233" priority="302">
      <formula>$H1689="ETAPA"</formula>
    </cfRule>
    <cfRule type="expression" dxfId="232" priority="301">
      <formula>$H1689="CÉLULA CONSTRUTIVA"</formula>
    </cfRule>
    <cfRule type="expression" dxfId="231" priority="300">
      <formula>$H1689="SUBETAPA"</formula>
    </cfRule>
  </conditionalFormatting>
  <conditionalFormatting sqref="O1691">
    <cfRule type="expression" dxfId="230" priority="298">
      <formula>$H1691="CÉLULA CONSTRUTIVA"</formula>
    </cfRule>
    <cfRule type="expression" dxfId="229" priority="297">
      <formula>$H1691="SUBETAPA"</formula>
    </cfRule>
    <cfRule type="expression" dxfId="228" priority="299">
      <formula>$H1691="ETAPA"</formula>
    </cfRule>
  </conditionalFormatting>
  <conditionalFormatting sqref="O1692 O1701">
    <cfRule type="expression" dxfId="227" priority="296">
      <formula>$H1692="SUBETAPA"</formula>
    </cfRule>
  </conditionalFormatting>
  <conditionalFormatting sqref="O1692:O1693 O1701">
    <cfRule type="expression" dxfId="226" priority="295">
      <formula>$H1692="ETAPA"</formula>
    </cfRule>
  </conditionalFormatting>
  <conditionalFormatting sqref="O1693">
    <cfRule type="expression" dxfId="225" priority="294">
      <formula>$H1693="CÉLULA CONSTRUTIVA"</formula>
    </cfRule>
  </conditionalFormatting>
  <conditionalFormatting sqref="O1694">
    <cfRule type="expression" dxfId="224" priority="293">
      <formula>$H1694="ETAPA"</formula>
    </cfRule>
    <cfRule type="expression" dxfId="223" priority="292">
      <formula>$H1694="CÉLULA CONSTRUTIVA"</formula>
    </cfRule>
    <cfRule type="expression" dxfId="222" priority="291">
      <formula>$H1694="SUBETAPA"</formula>
    </cfRule>
  </conditionalFormatting>
  <conditionalFormatting sqref="O1697">
    <cfRule type="expression" dxfId="221" priority="290">
      <formula>$H1697="ETAPA"</formula>
    </cfRule>
    <cfRule type="expression" dxfId="220" priority="289">
      <formula>$H1697="CÉLULA CONSTRUTIVA"</formula>
    </cfRule>
    <cfRule type="expression" dxfId="219" priority="288">
      <formula>$H1697="SUBETAPA"</formula>
    </cfRule>
  </conditionalFormatting>
  <conditionalFormatting sqref="O1698">
    <cfRule type="expression" dxfId="218" priority="287">
      <formula>$H1698="ETAPA"</formula>
    </cfRule>
    <cfRule type="expression" dxfId="217" priority="285">
      <formula>$H1698="SUBETAPA"</formula>
    </cfRule>
    <cfRule type="expression" dxfId="216" priority="286">
      <formula>$H1698="CÉLULA CONSTRUTIVA"</formula>
    </cfRule>
  </conditionalFormatting>
  <conditionalFormatting sqref="O1699">
    <cfRule type="expression" dxfId="215" priority="283">
      <formula>$H1699="CÉLULA CONSTRUTIVA"</formula>
    </cfRule>
    <cfRule type="expression" dxfId="214" priority="282">
      <formula>$H1699="SUBETAPA"</formula>
    </cfRule>
    <cfRule type="expression" dxfId="213" priority="284">
      <formula>$H1699="ETAPA"</formula>
    </cfRule>
  </conditionalFormatting>
  <conditionalFormatting sqref="O1700">
    <cfRule type="expression" dxfId="212" priority="281">
      <formula>$H1700="ETAPA"</formula>
    </cfRule>
    <cfRule type="expression" dxfId="211" priority="280">
      <formula>$H1700="CÉLULA CONSTRUTIVA"</formula>
    </cfRule>
    <cfRule type="expression" dxfId="210" priority="279">
      <formula>$H1700="SUBETAPA"</formula>
    </cfRule>
  </conditionalFormatting>
  <conditionalFormatting sqref="O1702">
    <cfRule type="expression" dxfId="209" priority="277">
      <formula>$H1702="CÉLULA CONSTRUTIVA"</formula>
    </cfRule>
    <cfRule type="expression" dxfId="208" priority="276">
      <formula>$H1702="SUBETAPA"</formula>
    </cfRule>
    <cfRule type="expression" dxfId="207" priority="278">
      <formula>$H1702="ETAPA"</formula>
    </cfRule>
  </conditionalFormatting>
  <conditionalFormatting sqref="O1703 O1710">
    <cfRule type="expression" dxfId="206" priority="275">
      <formula>$H1703="SUBETAPA"</formula>
    </cfRule>
  </conditionalFormatting>
  <conditionalFormatting sqref="O1703:O1704 O1710">
    <cfRule type="expression" dxfId="205" priority="274">
      <formula>$H1703="ETAPA"</formula>
    </cfRule>
  </conditionalFormatting>
  <conditionalFormatting sqref="O1704">
    <cfRule type="expression" dxfId="204" priority="273">
      <formula>$H1704="CÉLULA CONSTRUTIVA"</formula>
    </cfRule>
  </conditionalFormatting>
  <conditionalFormatting sqref="O1705">
    <cfRule type="expression" dxfId="203" priority="271">
      <formula>$H1705="CÉLULA CONSTRUTIVA"</formula>
    </cfRule>
    <cfRule type="expression" dxfId="202" priority="270">
      <formula>$H1705="SUBETAPA"</formula>
    </cfRule>
    <cfRule type="expression" dxfId="201" priority="272">
      <formula>$H1705="ETAPA"</formula>
    </cfRule>
  </conditionalFormatting>
  <conditionalFormatting sqref="O1706">
    <cfRule type="expression" dxfId="200" priority="268">
      <formula>$H1706="CÉLULA CONSTRUTIVA"</formula>
    </cfRule>
    <cfRule type="expression" dxfId="199" priority="267">
      <formula>$H1706="SUBETAPA"</formula>
    </cfRule>
    <cfRule type="expression" dxfId="198" priority="269">
      <formula>$H1706="ETAPA"</formula>
    </cfRule>
  </conditionalFormatting>
  <conditionalFormatting sqref="O1708">
    <cfRule type="expression" dxfId="197" priority="266">
      <formula>$H1708="ETAPA"</formula>
    </cfRule>
    <cfRule type="expression" dxfId="196" priority="265">
      <formula>$H1708="CÉLULA CONSTRUTIVA"</formula>
    </cfRule>
    <cfRule type="expression" dxfId="195" priority="264">
      <formula>$H1708="SUBETAPA"</formula>
    </cfRule>
  </conditionalFormatting>
  <conditionalFormatting sqref="O1709">
    <cfRule type="expression" dxfId="194" priority="263">
      <formula>$H1709="ETAPA"</formula>
    </cfRule>
    <cfRule type="expression" dxfId="193" priority="262">
      <formula>$H1709="CÉLULA CONSTRUTIVA"</formula>
    </cfRule>
    <cfRule type="expression" dxfId="192" priority="261">
      <formula>$H1709="SUBETAPA"</formula>
    </cfRule>
  </conditionalFormatting>
  <conditionalFormatting sqref="O1711">
    <cfRule type="expression" dxfId="191" priority="260">
      <formula>$H1711="ETAPA"</formula>
    </cfRule>
    <cfRule type="expression" dxfId="190" priority="259">
      <formula>$H1711="CÉLULA CONSTRUTIVA"</formula>
    </cfRule>
    <cfRule type="expression" dxfId="189" priority="258">
      <formula>$H1711="SUBETAPA"</formula>
    </cfRule>
  </conditionalFormatting>
  <conditionalFormatting sqref="O1712 O1719">
    <cfRule type="expression" dxfId="188" priority="257">
      <formula>$H1712="SUBETAPA"</formula>
    </cfRule>
  </conditionalFormatting>
  <conditionalFormatting sqref="O1712:O1713 O1719">
    <cfRule type="expression" dxfId="187" priority="256">
      <formula>$H1712="ETAPA"</formula>
    </cfRule>
  </conditionalFormatting>
  <conditionalFormatting sqref="O1713">
    <cfRule type="expression" dxfId="186" priority="255">
      <formula>$H1713="CÉLULA CONSTRUTIVA"</formula>
    </cfRule>
  </conditionalFormatting>
  <conditionalFormatting sqref="O1714">
    <cfRule type="expression" dxfId="185" priority="254">
      <formula>$H1714="ETAPA"</formula>
    </cfRule>
    <cfRule type="expression" dxfId="184" priority="253">
      <formula>$H1714="CÉLULA CONSTRUTIVA"</formula>
    </cfRule>
    <cfRule type="expression" dxfId="183" priority="252">
      <formula>$H1714="SUBETAPA"</formula>
    </cfRule>
  </conditionalFormatting>
  <conditionalFormatting sqref="O1715">
    <cfRule type="expression" dxfId="182" priority="250">
      <formula>$H1715="CÉLULA CONSTRUTIVA"</formula>
    </cfRule>
    <cfRule type="expression" dxfId="181" priority="249">
      <formula>$H1715="SUBETAPA"</formula>
    </cfRule>
    <cfRule type="expression" dxfId="180" priority="251">
      <formula>$H1715="ETAPA"</formula>
    </cfRule>
  </conditionalFormatting>
  <conditionalFormatting sqref="O1717">
    <cfRule type="expression" dxfId="179" priority="248">
      <formula>$H1717="ETAPA"</formula>
    </cfRule>
    <cfRule type="expression" dxfId="178" priority="247">
      <formula>$H1717="CÉLULA CONSTRUTIVA"</formula>
    </cfRule>
    <cfRule type="expression" dxfId="177" priority="246">
      <formula>$H1717="SUBETAPA"</formula>
    </cfRule>
  </conditionalFormatting>
  <conditionalFormatting sqref="O1718">
    <cfRule type="expression" dxfId="176" priority="245">
      <formula>$H1718="ETAPA"</formula>
    </cfRule>
    <cfRule type="expression" dxfId="175" priority="244">
      <formula>$H1718="CÉLULA CONSTRUTIVA"</formula>
    </cfRule>
    <cfRule type="expression" dxfId="174" priority="243">
      <formula>$H1718="SUBETAPA"</formula>
    </cfRule>
  </conditionalFormatting>
  <conditionalFormatting sqref="O1720">
    <cfRule type="expression" dxfId="173" priority="240">
      <formula>$H1720="SUBETAPA"</formula>
    </cfRule>
    <cfRule type="expression" dxfId="172" priority="242">
      <formula>$H1720="ETAPA"</formula>
    </cfRule>
    <cfRule type="expression" dxfId="171" priority="241">
      <formula>$H1720="CÉLULA CONSTRUTIVA"</formula>
    </cfRule>
  </conditionalFormatting>
  <conditionalFormatting sqref="O1721 O1728">
    <cfRule type="expression" dxfId="170" priority="239">
      <formula>$H1721="SUBETAPA"</formula>
    </cfRule>
  </conditionalFormatting>
  <conditionalFormatting sqref="O1721:O1722 O1728">
    <cfRule type="expression" dxfId="169" priority="238">
      <formula>$H1721="ETAPA"</formula>
    </cfRule>
  </conditionalFormatting>
  <conditionalFormatting sqref="O1722">
    <cfRule type="expression" dxfId="168" priority="237">
      <formula>$H1722="CÉLULA CONSTRUTIVA"</formula>
    </cfRule>
  </conditionalFormatting>
  <conditionalFormatting sqref="O1723">
    <cfRule type="expression" dxfId="167" priority="236">
      <formula>$H1723="ETAPA"</formula>
    </cfRule>
    <cfRule type="expression" dxfId="166" priority="235">
      <formula>$H1723="CÉLULA CONSTRUTIVA"</formula>
    </cfRule>
    <cfRule type="expression" dxfId="165" priority="234">
      <formula>$H1723="SUBETAPA"</formula>
    </cfRule>
  </conditionalFormatting>
  <conditionalFormatting sqref="O1724">
    <cfRule type="expression" dxfId="164" priority="233">
      <formula>$H1724="ETAPA"</formula>
    </cfRule>
    <cfRule type="expression" dxfId="163" priority="232">
      <formula>$H1724="CÉLULA CONSTRUTIVA"</formula>
    </cfRule>
    <cfRule type="expression" dxfId="162" priority="231">
      <formula>$H1724="SUBETAPA"</formula>
    </cfRule>
  </conditionalFormatting>
  <conditionalFormatting sqref="O1726">
    <cfRule type="expression" dxfId="161" priority="230">
      <formula>$H1726="ETAPA"</formula>
    </cfRule>
    <cfRule type="expression" dxfId="160" priority="229">
      <formula>$H1726="CÉLULA CONSTRUTIVA"</formula>
    </cfRule>
    <cfRule type="expression" dxfId="159" priority="228">
      <formula>$H1726="SUBETAPA"</formula>
    </cfRule>
  </conditionalFormatting>
  <conditionalFormatting sqref="O1727">
    <cfRule type="expression" dxfId="158" priority="227">
      <formula>$H1727="ETAPA"</formula>
    </cfRule>
    <cfRule type="expression" dxfId="157" priority="226">
      <formula>$H1727="CÉLULA CONSTRUTIVA"</formula>
    </cfRule>
    <cfRule type="expression" dxfId="156" priority="225">
      <formula>$H1727="SUBETAPA"</formula>
    </cfRule>
  </conditionalFormatting>
  <conditionalFormatting sqref="O1729">
    <cfRule type="expression" dxfId="155" priority="224">
      <formula>$H1729="ETAPA"</formula>
    </cfRule>
    <cfRule type="expression" dxfId="154" priority="223">
      <formula>$H1729="CÉLULA CONSTRUTIVA"</formula>
    </cfRule>
    <cfRule type="expression" dxfId="153" priority="222">
      <formula>$H1729="SUBETAPA"</formula>
    </cfRule>
  </conditionalFormatting>
  <conditionalFormatting sqref="O1730 O1737">
    <cfRule type="expression" dxfId="152" priority="221">
      <formula>$H1730="SUBETAPA"</formula>
    </cfRule>
  </conditionalFormatting>
  <conditionalFormatting sqref="O1730:O1731 O1737">
    <cfRule type="expression" dxfId="151" priority="220">
      <formula>$H1730="ETAPA"</formula>
    </cfRule>
  </conditionalFormatting>
  <conditionalFormatting sqref="O1731">
    <cfRule type="expression" dxfId="150" priority="219">
      <formula>$H1731="CÉLULA CONSTRUTIVA"</formula>
    </cfRule>
  </conditionalFormatting>
  <conditionalFormatting sqref="O1732">
    <cfRule type="expression" dxfId="149" priority="218">
      <formula>$H1732="ETAPA"</formula>
    </cfRule>
    <cfRule type="expression" dxfId="148" priority="217">
      <formula>$H1732="CÉLULA CONSTRUTIVA"</formula>
    </cfRule>
    <cfRule type="expression" dxfId="147" priority="216">
      <formula>$H1732="SUBETAPA"</formula>
    </cfRule>
  </conditionalFormatting>
  <conditionalFormatting sqref="O1733">
    <cfRule type="expression" dxfId="146" priority="215">
      <formula>$H1733="ETAPA"</formula>
    </cfRule>
    <cfRule type="expression" dxfId="145" priority="214">
      <formula>$H1733="CÉLULA CONSTRUTIVA"</formula>
    </cfRule>
    <cfRule type="expression" dxfId="144" priority="213">
      <formula>$H1733="SUBETAPA"</formula>
    </cfRule>
  </conditionalFormatting>
  <conditionalFormatting sqref="O1735">
    <cfRule type="expression" dxfId="143" priority="212">
      <formula>$H1735="ETAPA"</formula>
    </cfRule>
    <cfRule type="expression" dxfId="142" priority="211">
      <formula>$H1735="CÉLULA CONSTRUTIVA"</formula>
    </cfRule>
    <cfRule type="expression" dxfId="141" priority="210">
      <formula>$H1735="SUBETAPA"</formula>
    </cfRule>
  </conditionalFormatting>
  <conditionalFormatting sqref="O1736">
    <cfRule type="expression" dxfId="140" priority="209">
      <formula>$H1736="ETAPA"</formula>
    </cfRule>
    <cfRule type="expression" dxfId="139" priority="208">
      <formula>$H1736="CÉLULA CONSTRUTIVA"</formula>
    </cfRule>
    <cfRule type="expression" dxfId="138" priority="207">
      <formula>$H1736="SUBETAPA"</formula>
    </cfRule>
  </conditionalFormatting>
  <conditionalFormatting sqref="O1738">
    <cfRule type="expression" dxfId="137" priority="206">
      <formula>$H1738="ETAPA"</formula>
    </cfRule>
    <cfRule type="expression" dxfId="136" priority="205">
      <formula>$H1738="CÉLULA CONSTRUTIVA"</formula>
    </cfRule>
    <cfRule type="expression" dxfId="135" priority="204">
      <formula>$H1738="SUBETAPA"</formula>
    </cfRule>
  </conditionalFormatting>
  <conditionalFormatting sqref="O1739 O1748">
    <cfRule type="expression" dxfId="134" priority="203">
      <formula>$H1739="SUBETAPA"</formula>
    </cfRule>
  </conditionalFormatting>
  <conditionalFormatting sqref="O1739:O1740 O1748">
    <cfRule type="expression" dxfId="133" priority="202">
      <formula>$H1739="ETAPA"</formula>
    </cfRule>
  </conditionalFormatting>
  <conditionalFormatting sqref="O1740">
    <cfRule type="expression" dxfId="132" priority="201">
      <formula>$H1740="CÉLULA CONSTRUTIVA"</formula>
    </cfRule>
  </conditionalFormatting>
  <conditionalFormatting sqref="O1741">
    <cfRule type="expression" dxfId="131" priority="200">
      <formula>$H1741="ETAPA"</formula>
    </cfRule>
    <cfRule type="expression" dxfId="130" priority="199">
      <formula>$H1741="CÉLULA CONSTRUTIVA"</formula>
    </cfRule>
    <cfRule type="expression" dxfId="129" priority="198">
      <formula>$H1741="SUBETAPA"</formula>
    </cfRule>
  </conditionalFormatting>
  <conditionalFormatting sqref="O1742">
    <cfRule type="expression" dxfId="128" priority="197">
      <formula>$H1742="ETAPA"</formula>
    </cfRule>
    <cfRule type="expression" dxfId="127" priority="196">
      <formula>$H1742="CÉLULA CONSTRUTIVA"</formula>
    </cfRule>
    <cfRule type="expression" dxfId="126" priority="195">
      <formula>$H1742="SUBETAPA"</formula>
    </cfRule>
  </conditionalFormatting>
  <conditionalFormatting sqref="O1744">
    <cfRule type="expression" dxfId="125" priority="194">
      <formula>$H1744="ETAPA"</formula>
    </cfRule>
    <cfRule type="expression" dxfId="124" priority="193">
      <formula>$H1744="CÉLULA CONSTRUTIVA"</formula>
    </cfRule>
    <cfRule type="expression" dxfId="123" priority="192">
      <formula>$H1744="SUBETAPA"</formula>
    </cfRule>
  </conditionalFormatting>
  <conditionalFormatting sqref="O1745">
    <cfRule type="expression" dxfId="122" priority="191">
      <formula>$H1745="ETAPA"</formula>
    </cfRule>
    <cfRule type="expression" dxfId="121" priority="190">
      <formula>$H1745="CÉLULA CONSTRUTIVA"</formula>
    </cfRule>
    <cfRule type="expression" dxfId="120" priority="189">
      <formula>$H1745="SUBETAPA"</formula>
    </cfRule>
  </conditionalFormatting>
  <conditionalFormatting sqref="O1746">
    <cfRule type="expression" dxfId="119" priority="188">
      <formula>$H1746="ETAPA"</formula>
    </cfRule>
    <cfRule type="expression" dxfId="118" priority="187">
      <formula>$H1746="CÉLULA CONSTRUTIVA"</formula>
    </cfRule>
    <cfRule type="expression" dxfId="117" priority="186">
      <formula>$H1746="SUBETAPA"</formula>
    </cfRule>
  </conditionalFormatting>
  <conditionalFormatting sqref="O1747">
    <cfRule type="expression" dxfId="116" priority="185">
      <formula>$H1747="ETAPA"</formula>
    </cfRule>
    <cfRule type="expression" dxfId="115" priority="184">
      <formula>$H1747="CÉLULA CONSTRUTIVA"</formula>
    </cfRule>
    <cfRule type="expression" dxfId="114" priority="183">
      <formula>$H1747="SUBETAPA"</formula>
    </cfRule>
  </conditionalFormatting>
  <conditionalFormatting sqref="O1749">
    <cfRule type="expression" dxfId="113" priority="182">
      <formula>$H1749="ETAPA"</formula>
    </cfRule>
    <cfRule type="expression" dxfId="112" priority="181">
      <formula>$H1749="CÉLULA CONSTRUTIVA"</formula>
    </cfRule>
    <cfRule type="expression" dxfId="111" priority="180">
      <formula>$H1749="SUBETAPA"</formula>
    </cfRule>
  </conditionalFormatting>
  <conditionalFormatting sqref="O1750 O1758">
    <cfRule type="expression" dxfId="110" priority="179">
      <formula>$H1750="SUBETAPA"</formula>
    </cfRule>
  </conditionalFormatting>
  <conditionalFormatting sqref="O1750:O1751 O1758">
    <cfRule type="expression" dxfId="109" priority="178">
      <formula>$H1750="ETAPA"</formula>
    </cfRule>
  </conditionalFormatting>
  <conditionalFormatting sqref="O1751">
    <cfRule type="expression" dxfId="108" priority="177">
      <formula>$H1751="CÉLULA CONSTRUTIVA"</formula>
    </cfRule>
  </conditionalFormatting>
  <conditionalFormatting sqref="O1752">
    <cfRule type="expression" dxfId="107" priority="176">
      <formula>$H1752="ETAPA"</formula>
    </cfRule>
    <cfRule type="expression" dxfId="106" priority="175">
      <formula>$H1752="CÉLULA CONSTRUTIVA"</formula>
    </cfRule>
    <cfRule type="expression" dxfId="105" priority="174">
      <formula>$H1752="SUBETAPA"</formula>
    </cfRule>
  </conditionalFormatting>
  <conditionalFormatting sqref="O1753">
    <cfRule type="expression" dxfId="104" priority="173">
      <formula>$H1753="ETAPA"</formula>
    </cfRule>
    <cfRule type="expression" dxfId="103" priority="172">
      <formula>$H1753="CÉLULA CONSTRUTIVA"</formula>
    </cfRule>
    <cfRule type="expression" dxfId="102" priority="171">
      <formula>$H1753="SUBETAPA"</formula>
    </cfRule>
  </conditionalFormatting>
  <conditionalFormatting sqref="O1754">
    <cfRule type="expression" dxfId="101" priority="170">
      <formula>$H1754="ETAPA"</formula>
    </cfRule>
    <cfRule type="expression" dxfId="100" priority="169">
      <formula>$H1754="CÉLULA CONSTRUTIVA"</formula>
    </cfRule>
    <cfRule type="expression" dxfId="99" priority="168">
      <formula>$H1754="SUBETAPA"</formula>
    </cfRule>
  </conditionalFormatting>
  <conditionalFormatting sqref="O1755">
    <cfRule type="expression" dxfId="98" priority="167">
      <formula>$H1755="ETAPA"</formula>
    </cfRule>
    <cfRule type="expression" dxfId="97" priority="166">
      <formula>$H1755="CÉLULA CONSTRUTIVA"</formula>
    </cfRule>
    <cfRule type="expression" dxfId="96" priority="165">
      <formula>$H1755="SUBETAPA"</formula>
    </cfRule>
  </conditionalFormatting>
  <conditionalFormatting sqref="O1756">
    <cfRule type="expression" dxfId="95" priority="164">
      <formula>$H1756="ETAPA"</formula>
    </cfRule>
    <cfRule type="expression" dxfId="94" priority="163">
      <formula>$H1756="CÉLULA CONSTRUTIVA"</formula>
    </cfRule>
    <cfRule type="expression" dxfId="93" priority="162">
      <formula>$H1756="SUBETAPA"</formula>
    </cfRule>
  </conditionalFormatting>
  <conditionalFormatting sqref="O1757">
    <cfRule type="expression" dxfId="92" priority="161">
      <formula>$H1757="CÉLULA CONSTRUTIVA"</formula>
    </cfRule>
    <cfRule type="expression" dxfId="91" priority="160">
      <formula>$H1757="SUBETAPA"</formula>
    </cfRule>
  </conditionalFormatting>
  <conditionalFormatting sqref="O1759">
    <cfRule type="expression" dxfId="90" priority="157">
      <formula>$H1759="SUBETAPA"</formula>
    </cfRule>
    <cfRule type="expression" dxfId="89" priority="159">
      <formula>$H1759="ETAPA"</formula>
    </cfRule>
    <cfRule type="expression" dxfId="88" priority="158">
      <formula>$H1759="CÉLULA CONSTRUTIVA"</formula>
    </cfRule>
  </conditionalFormatting>
  <conditionalFormatting sqref="O1760">
    <cfRule type="expression" dxfId="87" priority="156">
      <formula>$H1760="CÉLULA CONSTRUTIVA"</formula>
    </cfRule>
    <cfRule type="expression" dxfId="86" priority="155">
      <formula>$H1760="SUBETAPA"</formula>
    </cfRule>
    <cfRule type="expression" dxfId="85" priority="154">
      <formula>$H1760="ETAPA"</formula>
    </cfRule>
  </conditionalFormatting>
  <conditionalFormatting sqref="O1761:O1762 O1764 O1771 O1776 O1781 O1786 O1791 O1798 O1805 O1808:O1812 O1814 O1821 O1828 O1835 O1842:O1843 O1847 O1856:O1857 O1859:O1860 O1865:O1866 O1868:O1870 O1875:O1877 O1880:O1881">
    <cfRule type="expression" dxfId="84" priority="153">
      <formula>$H1761="ETAPA"</formula>
    </cfRule>
  </conditionalFormatting>
  <conditionalFormatting sqref="O1763">
    <cfRule type="expression" dxfId="83" priority="152">
      <formula>$H1763="SUBETAPA"</formula>
    </cfRule>
    <cfRule type="expression" dxfId="82" priority="151">
      <formula>$H1763="ETAPA"</formula>
    </cfRule>
  </conditionalFormatting>
  <conditionalFormatting sqref="O1765">
    <cfRule type="expression" dxfId="81" priority="150">
      <formula>$H1765="SUBETAPA"</formula>
    </cfRule>
    <cfRule type="expression" dxfId="80" priority="149">
      <formula>$H1765="CÉLULA CONSTRUTIVA"</formula>
    </cfRule>
  </conditionalFormatting>
  <conditionalFormatting sqref="O1765:O1766">
    <cfRule type="expression" dxfId="79" priority="148">
      <formula>$H1765="ETAPA"</formula>
    </cfRule>
  </conditionalFormatting>
  <conditionalFormatting sqref="O1766">
    <cfRule type="expression" dxfId="78" priority="147">
      <formula>$H1766="CÉLULA CONSTRUTIVA"</formula>
    </cfRule>
  </conditionalFormatting>
  <conditionalFormatting sqref="O1772">
    <cfRule type="expression" dxfId="77" priority="146">
      <formula>$H1772="SUBETAPA"</formula>
    </cfRule>
    <cfRule type="expression" dxfId="76" priority="144">
      <formula>$H1772="ETAPA"</formula>
    </cfRule>
    <cfRule type="expression" dxfId="75" priority="145">
      <formula>$H1772="CÉLULA CONSTRUTIVA"</formula>
    </cfRule>
  </conditionalFormatting>
  <conditionalFormatting sqref="O1777">
    <cfRule type="expression" dxfId="74" priority="142">
      <formula>$H1777="CÉLULA CONSTRUTIVA"</formula>
    </cfRule>
    <cfRule type="expression" dxfId="73" priority="143">
      <formula>$H1777="SUBETAPA"</formula>
    </cfRule>
    <cfRule type="expression" dxfId="72" priority="141">
      <formula>$H1777="ETAPA"</formula>
    </cfRule>
  </conditionalFormatting>
  <conditionalFormatting sqref="O1782">
    <cfRule type="expression" dxfId="71" priority="138">
      <formula>$H1782="ETAPA"</formula>
    </cfRule>
    <cfRule type="expression" dxfId="70" priority="139">
      <formula>$H1782="CÉLULA CONSTRUTIVA"</formula>
    </cfRule>
    <cfRule type="expression" dxfId="69" priority="140">
      <formula>$H1782="SUBETAPA"</formula>
    </cfRule>
  </conditionalFormatting>
  <conditionalFormatting sqref="O1787">
    <cfRule type="expression" dxfId="68" priority="135">
      <formula>$H1787="ETAPA"</formula>
    </cfRule>
    <cfRule type="expression" dxfId="67" priority="136">
      <formula>$H1787="CÉLULA CONSTRUTIVA"</formula>
    </cfRule>
    <cfRule type="expression" dxfId="66" priority="137">
      <formula>$H1787="SUBETAPA"</formula>
    </cfRule>
  </conditionalFormatting>
  <conditionalFormatting sqref="O1792">
    <cfRule type="expression" dxfId="65" priority="134">
      <formula>$H1792="SUBETAPA"</formula>
    </cfRule>
    <cfRule type="expression" dxfId="64" priority="133">
      <formula>$H1792="CÉLULA CONSTRUTIVA"</formula>
    </cfRule>
    <cfRule type="expression" dxfId="63" priority="132">
      <formula>$H1792="ETAPA"</formula>
    </cfRule>
  </conditionalFormatting>
  <conditionalFormatting sqref="O1797">
    <cfRule type="expression" dxfId="62" priority="131">
      <formula>$H1797="SUBETAPA"</formula>
    </cfRule>
    <cfRule type="expression" dxfId="61" priority="130">
      <formula>$H1797="ETAPA"</formula>
    </cfRule>
  </conditionalFormatting>
  <conditionalFormatting sqref="O1799">
    <cfRule type="expression" dxfId="60" priority="128">
      <formula>$H1799="CÉLULA CONSTRUTIVA"</formula>
    </cfRule>
    <cfRule type="expression" dxfId="59" priority="127">
      <formula>$H1799="ETAPA"</formula>
    </cfRule>
    <cfRule type="expression" dxfId="58" priority="129">
      <formula>$H1799="SUBETAPA"</formula>
    </cfRule>
  </conditionalFormatting>
  <conditionalFormatting sqref="O1804">
    <cfRule type="expression" dxfId="57" priority="125">
      <formula>$H1804="ETAPA"</formula>
    </cfRule>
    <cfRule type="expression" dxfId="56" priority="126">
      <formula>$H1804="SUBETAPA"</formula>
    </cfRule>
  </conditionalFormatting>
  <conditionalFormatting sqref="O1806">
    <cfRule type="expression" dxfId="55" priority="124">
      <formula>$H1806="SUBETAPA"</formula>
    </cfRule>
    <cfRule type="expression" dxfId="54" priority="123">
      <formula>$H1806="CÉLULA CONSTRUTIVA"</formula>
    </cfRule>
  </conditionalFormatting>
  <conditionalFormatting sqref="O1806:O1807">
    <cfRule type="expression" dxfId="53" priority="122">
      <formula>$H1806="ETAPA"</formula>
    </cfRule>
  </conditionalFormatting>
  <conditionalFormatting sqref="O1807">
    <cfRule type="expression" dxfId="52" priority="121">
      <formula>$H1807="CÉLULA CONSTRUTIVA"</formula>
    </cfRule>
  </conditionalFormatting>
  <conditionalFormatting sqref="O1813">
    <cfRule type="expression" dxfId="51" priority="120">
      <formula>$H1813="SUBETAPA"</formula>
    </cfRule>
    <cfRule type="expression" dxfId="50" priority="119">
      <formula>$H1813="ETAPA"</formula>
    </cfRule>
  </conditionalFormatting>
  <conditionalFormatting sqref="O1815">
    <cfRule type="expression" dxfId="49" priority="117">
      <formula>$H1815="CÉLULA CONSTRUTIVA"</formula>
    </cfRule>
    <cfRule type="expression" dxfId="48" priority="118">
      <formula>$H1815="SUBETAPA"</formula>
    </cfRule>
    <cfRule type="expression" dxfId="47" priority="116">
      <formula>$H1815="ETAPA"</formula>
    </cfRule>
  </conditionalFormatting>
  <conditionalFormatting sqref="O1820">
    <cfRule type="expression" dxfId="46" priority="114">
      <formula>$H1820="ETAPA"</formula>
    </cfRule>
    <cfRule type="expression" dxfId="45" priority="115">
      <formula>$H1820="SUBETAPA"</formula>
    </cfRule>
  </conditionalFormatting>
  <conditionalFormatting sqref="O1822">
    <cfRule type="expression" dxfId="44" priority="111">
      <formula>$H1822="ETAPA"</formula>
    </cfRule>
    <cfRule type="expression" dxfId="43" priority="112">
      <formula>$H1822="CÉLULA CONSTRUTIVA"</formula>
    </cfRule>
    <cfRule type="expression" dxfId="42" priority="113">
      <formula>$H1822="SUBETAPA"</formula>
    </cfRule>
  </conditionalFormatting>
  <conditionalFormatting sqref="O1827">
    <cfRule type="expression" dxfId="41" priority="109">
      <formula>$H1827="ETAPA"</formula>
    </cfRule>
    <cfRule type="expression" dxfId="40" priority="110">
      <formula>$H1827="SUBETAPA"</formula>
    </cfRule>
  </conditionalFormatting>
  <conditionalFormatting sqref="O1829">
    <cfRule type="expression" dxfId="39" priority="108">
      <formula>$H1829="SUBETAPA"</formula>
    </cfRule>
    <cfRule type="expression" dxfId="38" priority="106">
      <formula>$H1829="ETAPA"</formula>
    </cfRule>
    <cfRule type="expression" dxfId="37" priority="107">
      <formula>$H1829="CÉLULA CONSTRUTIVA"</formula>
    </cfRule>
  </conditionalFormatting>
  <conditionalFormatting sqref="O1834">
    <cfRule type="expression" dxfId="36" priority="105">
      <formula>$H1834="SUBETAPA"</formula>
    </cfRule>
    <cfRule type="expression" dxfId="35" priority="104">
      <formula>$H1834="ETAPA"</formula>
    </cfRule>
  </conditionalFormatting>
  <conditionalFormatting sqref="O1836">
    <cfRule type="expression" dxfId="34" priority="101">
      <formula>$H1836="ETAPA"</formula>
    </cfRule>
    <cfRule type="expression" dxfId="33" priority="103">
      <formula>$H1836="SUBETAPA"</formula>
    </cfRule>
    <cfRule type="expression" dxfId="32" priority="102">
      <formula>$H1836="CÉLULA CONSTRUTIVA"</formula>
    </cfRule>
  </conditionalFormatting>
  <conditionalFormatting sqref="O1841 O1854 O1858 O1864 O1871 O1879">
    <cfRule type="expression" dxfId="31" priority="99">
      <formula>$H1841="ETAPA"</formula>
    </cfRule>
    <cfRule type="expression" dxfId="30" priority="100">
      <formula>$H1841="SUBETAPA"</formula>
    </cfRule>
  </conditionalFormatting>
  <conditionalFormatting sqref="O1843 M1860 M1866 M1873 M1881 O1881 O1873 O1866 O1860">
    <cfRule type="expression" dxfId="29" priority="98">
      <formula>$H1843="CÉLULA CONSTRUTIVA"</formula>
    </cfRule>
  </conditionalFormatting>
  <conditionalFormatting sqref="O1843 O1860 O1866 O1873 O1881">
    <cfRule type="expression" dxfId="28" priority="97">
      <formula>$H1843="SUBETAPA"</formula>
    </cfRule>
  </conditionalFormatting>
  <conditionalFormatting sqref="O1848">
    <cfRule type="expression" dxfId="27" priority="94">
      <formula>$H1848="ETAPA"</formula>
    </cfRule>
    <cfRule type="expression" dxfId="26" priority="96">
      <formula>$H1848="SUBETAPA"</formula>
    </cfRule>
    <cfRule type="expression" dxfId="25" priority="95">
      <formula>$H1848="CÉLULA CONSTRUTIVA"</formula>
    </cfRule>
  </conditionalFormatting>
  <conditionalFormatting sqref="O1851">
    <cfRule type="expression" dxfId="24" priority="93">
      <formula>$H1851="CÉLULA CONSTRUTIVA"</formula>
    </cfRule>
    <cfRule type="expression" dxfId="23" priority="92">
      <formula>$H1851="SUBETAPA"</formula>
    </cfRule>
    <cfRule type="expression" dxfId="22" priority="91">
      <formula>$H1851="ETAPA"</formula>
    </cfRule>
  </conditionalFormatting>
  <conditionalFormatting sqref="O1855">
    <cfRule type="expression" dxfId="21" priority="20">
      <formula>$H1855="CÉLULA CONSTRUTIVA"</formula>
    </cfRule>
    <cfRule type="expression" dxfId="20" priority="19">
      <formula>$H1855="SUBETAPA"</formula>
    </cfRule>
    <cfRule type="expression" dxfId="19" priority="18">
      <formula>$H1855="ETAPA"</formula>
    </cfRule>
  </conditionalFormatting>
  <conditionalFormatting sqref="O1856:O1857 O1868:O1870 O1842 O1852 O1859 O1865 O1880 O1761:O1762 O1764 O1847 O1805 O1835 O1828 O1821 O1808:O1812 O1814 O1798 O1771 O1791 O1786 O1781 O1776 O1875:O1877">
    <cfRule type="expression" dxfId="18" priority="16">
      <formula>$H1761="SUBETAPA"</formula>
    </cfRule>
    <cfRule type="expression" dxfId="17" priority="17">
      <formula>$H1761="CÉLULA CONSTRUTIVA"</formula>
    </cfRule>
  </conditionalFormatting>
  <conditionalFormatting sqref="O1861 O1863 K1867 O1867 K1874 O1874">
    <cfRule type="expression" dxfId="16" priority="6702">
      <formula>$H1861="SUBETAPA"</formula>
    </cfRule>
  </conditionalFormatting>
  <conditionalFormatting sqref="O1861 O1863 O1867 O1873:O1874">
    <cfRule type="expression" dxfId="15" priority="34">
      <formula>$H1861="ETAPA"</formula>
    </cfRule>
  </conditionalFormatting>
  <conditionalFormatting sqref="O1862">
    <cfRule type="expression" dxfId="14" priority="14">
      <formula>$H1862="ETAPA"</formula>
    </cfRule>
    <cfRule type="expression" dxfId="13" priority="15">
      <formula>$H1862="SUBETAPA"</formula>
    </cfRule>
  </conditionalFormatting>
  <conditionalFormatting sqref="O1872">
    <cfRule type="expression" dxfId="12" priority="12">
      <formula>$H1872="SUBETAPA"</formula>
    </cfRule>
    <cfRule type="expression" dxfId="11" priority="9">
      <formula>$H1872="ETAPA"</formula>
    </cfRule>
    <cfRule type="expression" dxfId="10" priority="8">
      <formula>$H1872="SUBETAPA"</formula>
    </cfRule>
    <cfRule type="expression" dxfId="9" priority="11">
      <formula>$H1872="ETAPA"</formula>
    </cfRule>
    <cfRule type="expression" dxfId="8" priority="7">
      <formula>$H1872="ETAPA"</formula>
    </cfRule>
    <cfRule type="expression" dxfId="7" priority="13">
      <formula>$H1872="CÉLULA CONSTRUTIVA"</formula>
    </cfRule>
    <cfRule type="expression" dxfId="6" priority="10">
      <formula>$H1872="SUBETAPA"</formula>
    </cfRule>
  </conditionalFormatting>
  <conditionalFormatting sqref="O1878">
    <cfRule type="expression" dxfId="5" priority="6">
      <formula>$H1878="CÉLULA CONSTRUTIVA"</formula>
    </cfRule>
    <cfRule type="expression" dxfId="4" priority="5">
      <formula>$H1878="SUBETAPA"</formula>
    </cfRule>
    <cfRule type="expression" dxfId="3" priority="4">
      <formula>$H1878="ETAPA"</formula>
    </cfRule>
  </conditionalFormatting>
  <conditionalFormatting sqref="P8:P1882">
    <cfRule type="expression" dxfId="2" priority="1">
      <formula>AND($H8="SERVIÇO",$P8="Pendente")</formula>
    </cfRule>
    <cfRule type="expression" dxfId="1" priority="3">
      <formula>AND($H8="SERVIÇO",$P8="Em andamento")</formula>
    </cfRule>
    <cfRule type="expression" dxfId="0" priority="2">
      <formula>AND($H8="SERVIÇO",$P8="Finalizado")</formula>
    </cfRule>
  </conditionalFormatting>
  <dataValidations count="5">
    <dataValidation type="list" allowBlank="1" showErrorMessage="1" sqref="P10 P13 P16 P19 P22 P26 P28 P31 P34 P39 P42 P44 P49 P52 P56 P60 P63 P66 P68 P70 P72 P77 P79 P81 P83 P93 P95 P98 P101 P104 P106 P108 P110 P112 P114 P116 P118 P120 P122 P125 P128 P131 P133 P136 P140 P148 P158 P168 P1880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3 P385 P387 P389 P391 P393 P395 P397 P400 P402 P404 P406 P408 P410 P413 P415 P417 P419 P421 P423 P426 P428 P430 P432 P434 P436 P439 P441 P443 P445 P447 P449 P452 P454 P456 P458 P460 P462 P465 P467 P469 P471 P473 P475 P478 P480 P482 P484 P486 P488 P491 P493 P495 P497 P499 P501 P504 P506 P508 P510 P512 P514 P517 P519 P521 P523 P525 P527 P530 P532 P534 P536 P538 P540 P543 P545 P547 P549 P551 P553 P556 P558 P560 P562 P564 P566 P570 P572 P574 P576 P578 P581 P583 P585 P587 P590 P592 P594 P596 P599 P601 P603 P605 P608 P610 P612 P614 P617 P619 P621 P623 P626 P628 P630 P632 P635 P637 P639 P641 P644 P646 P648 P650 P653 P655 P657 P659 P661 P664 P666 P668 P670 P672 P675 P677 P679 P681 P684 P686 P688 P690 P693 P695 P697 P699 P701 P705 P707 P709 P711 P713 P715 P717 P720 P722 P724 P726 P728 P730 P732 P735 P737 P739 P741 P743 P745 P747 P750 P752 P754 P756 P758 P760 P762 P765 P767 P769 P771 P773 P775 P777 P780 P782 P784 P786 P788 P790 P792 P795 P797 P799 P801 P803 P805 P807 P810 P812 P814 P816 P818 P820 P822 P825 P827 P829 P831 P833 P835 P837 P840 P842 P844 P846 P848 P850 P852 P855 P857 P859 P861 P863 P865 P867 P870 P872 P874 P876 P878 P880 P882 P885 P887 P889 P891 P893 P895 P897 P900 P902 P904 P906 P908 P910 P912 P916 P918 P920 P923 P925 P928 P930 P933 P935 P938 P940 P943 P945 P948 P950 P952 P955 P957 P959 P962 P964 P966 P969 P971 P973 P976 P978 P980 P983 P985 P988 P990 P992 P995 P997 P1001 P1004 P1010 P1112 P1115 P213 P1120 P1123 P1127 P1129 P1132 P1135 P1138 P1141 P1144 P1147 P1149 P1151 P1154 P1156 P1158 P1161 P1163 P1166 P1168 P1171 P1173 P1176 P1178 P1181 P1185 P1188 P1190 P1193 P1195 P1197 P1199 P1208 P1210 P1212 P1215 P1217 P1219 P1222 P1224 P1226 P1229 P1232 P1234 P1236 P1239 P1247 P1249 P1251 P1255 P1258 P1260 P1264 P1266 P1268 P1270 P1280 P1283 P1286 P1288 P1290 P1292 P1300 P1303 P1306 P1310 P1312 P1314 P1322 P1324 P1326 P1329 P1331 P1333 P1339 P1342 P1344 P1348 P1350 P1352 P1360 P1363 P1365 P1369 P1371 P1373 P1381 P1384 P1387 P1389 P1393 P1395 P1397 P1405 P1408 P1411 P1413 P1415 P1422 P1424 P1428 P1559 P1561 P1762 P1764 P1766 P1768 P1771 P1773 P1776 P1778 P1781 P1783 P1786 P1788 P1791 P1793 P1796 P1798 P1800 P1803 P1805 P1807 P1809 P1812 P1814 P1816 P1819 P1821 P1823 P1826 P1828 P1830 P1833 P1835 P1837 P1840 P1842 P1844 P1847 P1849 P1853 P1634 P1857 P1860 P1862 P1865 P1867 P1869 P1871 P1875 P1117 P1098 P1101 P1106 P1109 P1103 P1084 P1087 P1092 P1095 P1089 P1070 P1073 P1078 P1081 P1075 P1056 P1059 P1064 P1067 P1061 P1042 P1045 P1050 P1053 P1047 P1028 P1031 P1036 P1039 P1033 P1014 P1017 P1022 P1025 P1019 P1548 P1550 P1554 P1556 P1515 P1517 P1521 P1523 P1504 P1506 P1510 P1512 P1496 P1498 P1501 P1486 P1488 P1491 P1493 P1478 P1480 P1483 P1471 P1473 P1475 P1464 P1466 P1468 P1455 P1457 P1459 P1461 P1445 P1447 P1450 P1452 P1434 P1436 P1442 P1537 P1539 P1543 P1545 P1526 P1528 P1532 P1534 P1619 P1623 P1610 P1614 P1616 P1601 P1605 P1607 P1592 P1596 P1598 P1583 P1587 P1589 P1577 P1580 P1571 P1574 P1565 P1568 P1751 P1754 P1756 P1758 P1740 P1743 P1746 P1748 P1731 P1734 P1737 P1722 P1725 P1728 P1713 P1716 P1719 P1704 P1707 P1710 P1693 P1696 P1699 P1701 P1682 P1685 P1688 P1690 P1673 P1676 P1679 P1664 P1667 P1670 P1655 P1658 P1661 P1646 P1649 P1652 P1637 P1640 P1643 P1626 P1629 P1632" xr:uid="{D4F59569-25C9-46F1-8303-5B0BE69FBC8B}">
      <formula1>#REF!</formula1>
    </dataValidation>
    <dataValidation type="list" allowBlank="1" showInputMessage="1" showErrorMessage="1" sqref="P1864 P438 P1146 P516 P503 P1143 P1175 P1825 P1832 P1839 P1785 P1856 P1802 P1140 P490 P1160 P1170 P999:P1000 P1153 P425 P1760:P1761 P451 P1790 P464 P1770 P1137 P555 P399 P1846 P1851:P1852 P1795 P542 P1180 P1775 P1125:P1126 P529 P1780 P1818 P1131 P412 P379:P380 P1811 P477 P1879 P1165 P1134 P1111 P1083 P1097 P1012:P1013 P1069 P1055 P1027 P1041" xr:uid="{EF79344E-1D32-4A83-A3A8-6A5EEC19392C}">
      <formula1>"Finalizado, Em Andamento, Pendente, N/A,Lançado ERP"</formula1>
    </dataValidation>
    <dataValidation type="list" allowBlank="1" showInputMessage="1" showErrorMessage="1" sqref="H379:H1182 H1760:H1881" xr:uid="{93930C02-BC56-4D33-8B95-6D43C56CF386}">
      <formula1>"UNIDADE CONSTRUTIVA,CÉLULA CONSTRUTIVA,ETAPA,SUBETAPA,SERVIÇO"</formula1>
    </dataValidation>
    <dataValidation type="list" allowBlank="1" showErrorMessage="1" sqref="H1882 H8:H378 H1183:H1759" xr:uid="{FAAB83E1-78FA-4C19-AF6F-892D0A5FBF7D}">
      <formula1>"UNIDADE CONSTRUTIVA,CÉLULA CONSTRUTIVA,ETAPA,SUBETAPA,SERVIÇO"</formula1>
    </dataValidation>
    <dataValidation type="list" allowBlank="1" showErrorMessage="1" sqref="P1145 P1157 P1159 P1155 P1169 P1164 P1174 P1162 P1167 P1172 P1177 P1152 P1148 P1150 P1002:P1003 P1005:P1009 P1011 P1113:P1114 P1124 P1116 P1118:P1119 P1121:P1122 P1133 P1136 P1128 P1130 P1142 P1139 P45:P48 P17:P18 P327 P343 P341 P339 P337 P335 P333 P331 P329 P323 P321 P319 P317 P315 P312 P20 P325 P378 P11 P50 P53:P54 P73:P76 P84:P92 P310 P376 P1425:P1427 P14:P15 P25 P23 P27 P29:P30 P32:P33 P35:P38 P40:P41 P43 P59 P57 P61:P62 P64:P65 P69 P67 P71 P80 P78 P82 P96:P97 P94 P99:P100 P102:P103 P105 P107 P109 P111 P113 P115 P117 P119 P121 P123:P124 P126:P127 P129:P130 P132 P134:P135 P137:P139 P141:P147 P149:P157 P159:P167 P169:P176 P178:P185 P187:P194 P196:P203 P205:P212 P223:P230 P232:P239 P241:P248 P250:P257 P259:P266 P268:P273 P275:P280 P282 P284 P286 P288 P290 P292 P294 P296 P298 P300 P302 P304 P306 P308 P345 P348 P350 P352 P354 P356 P358 P360 P362 P364 P366 P368 P370 P372 P374 P1182:P1184 P1179 P1186:P1187 P1189 P1191:P1192 P1194 P1196 P1198 P1200:P1207 P1209 P1211 P1213:P1214 P1216 P1218 P1220:P1221 P1223 P1225 P1227:P1228 P1230:P1231 P1233 P1235 P1237:P1238 P1240:P1246 P1248 P1250 P1252:P1254 P1256:P1257 P1259 P1261:P1263 P1265 P1267 P1269 P1271:P1279 P1281:P1282 P1284:P1285 P1287 P1289 P1291 P1293:P1299 P1301:P1302 P1304:P1305 P1307:P1309 P1311 P1313 P1315:P1321 P1323 P1325 P1327:P1328 P1330 P1332 P1334:P1338 P1340:P1341 P1343 P1345:P1347 P1349 P1351 P1353:P1359 P1361:P1362 P1364 P1366:P1368 P1370 P1372 P1374:P1380 P1382:P1383 P1385:P1386 P1388 P1390:P1392 P1394 P1396 P1398:P1404 P1406:P1407 P1409:P1410 P1412 P1414 P1416:P1421 P1423 P1560 P1533 P382 P384 P386 P388 P390 P392 P394 P396 P398 P401 P403 P405 P407 P409 P411 P414 P416 P418 P420 P422 P424 P427 P429 P431 P433 P435 P437 P440 P442 P444 P446 P448 P450 P453 P455 P457 P459 P461 P463 P466 P468 P470 P472 P474 P476 P479 P481 P483 P485 P487 P489 P492 P494 P496 P498 P500 P502 P505 P507 P509 P511 P513 P515 P518 P520 P522 P524 P526 P528 P531 P533 P535 P537 P539 P541 P544 P546 P548 P550 P552 P554 P557 P559 P561 P563 P565 P567 P571 P573 P575 P577 P579 P582 P584 P586 P588 P591 P593 P595 P597 P600 P602 P604 P606 P609 P611 P613 P615 P618 P620 P622 P624 P627 P629 P631 P633 P636 P638 P640 P642 P645 P647 P649 P651 P654 P656 P658 P660 P662 P665 P667 P669 P671 P673 P676 P678 P680 P682 P685 P687 P689 P691 P694 P696 P698 P700 P702 P706 P708 P710 P712 P714 P716 P718 P721 P723 P725 P727 P729 P731 P733 P736 P738 P740 P742 P744 P746 P748 P751 P753 P755 P757 P759 P761 P763 P766 P768 P770 P772 P774 P776 P778 P781 P783 P785 P787 P789 P791 P793 P796 P798 P800 P802 P804 P806 P808 P811 P813 P815 P817 P819 P821 P823 P826 P828 P830 P832 P834 P836 P838 P841 P843 P845 P847 P849 P851 P853 P856 P858 P860 P862 P864 P866 P868 P871 P873 P875 P877 P879 P881 P883 P886 P888 P890 P892 P894 P896 P898 P901 P903 P905 P907 P909 P911 P913 P917 P919 P921 P924 P926 P929 P931 P934 P936 P939 P941 P944 P946 P949 P951 P953 P956 P958 P960 P963 P965 P967 P970 P972 P974 P977 P979 P981 P984 P986 P989 P991 P993 P996 P998 P1763 P1765 P1767 P1769 P1772 P1774 P1777 P1779 P1782 P1784 P1787 P1789 P1792 P1794 P1797 P1799 P1801 P1804 P1806 P1808 P1810 P1813 P1815 P1817 P1820 P1822 P1824 P1827 P1829 P1831 P1834 P1836 P1838 P1841 P1843 P1845 P1848 P1850 P1854 P1858:P1859 P1861 P1863 P1866 P1868 P1870 P1872:P1874 P1876:P1877 P1881 P1023:P1024 P214:P221 P1099:P1100 P1110 P1102 P1104:P1105 P1107:P1108 P1085:P1086 P1096 P1088 P1090:P1091 P1093:P1094 P1071:P1072 P1082 P1074 P1076:P1077 P1079:P1080 P1057:P1058 P1068 P1060 P1062:P1063 P1065:P1066 P1043:P1044 P1054 P1046 P1048:P1049 P1051:P1052 P1029:P1030 P1040 P1032 P1034:P1035 P1037:P1038 P1015:P1016 P1026 P1018 P1020:P1021 P1549 P1551:P1553 P1555 P1522 P1435 P1516 P1518:P1520 P1489:P1490 P1505 P1507:P1509 P1511 P1497 P1499:P1500 P1492 P1494:P1495 P1487 P1484:P1485 P1479 P1481:P1482 P1476:P1477 P1472 P1469:P1470 P1465 P1437:P1441 P1462:P1463 P1456 P1460 P1446 P1448:P1449 P1451 P1538 P1540:P1542 P1544 P1527 P1529:P1531 P1611:P1613 P1620:P1622 P1615 P1617:P1618 P1581:P1582 P1608:P1609 P1602:P1604 P1606 P1597 P1599:P1600 P1593:P1595 P1590:P1591 P1584:P1586 P1588 P1575:P1576 P1569:P1570 P1744:P1745 P1759 P1757 P1752:P1753 P1755 P1747 P1749:P1750 P1741:P1742 P1705:P1706 P1738:P1739 P1732:P1733 P1735:P1736 P1729:P1730 P1723:P1724 P1726:P1727 P1708:P1709 P1720:P1721 P1714:P1715 P1717:P1718 P1711:P1712 P1624:P1625 P1702:P1703 P1697:P1698 P1700 P1689 P1691:P1692 P1686:P1687 P1668:P1669 P1680:P1681 P1677:P1678 P1671:P1672 P1662:P1663 P1659:P1660 P1653:P1654 P1650:P1651 P1630:P1631 P1644:P1645 P1641:P1642 P1633 P1635:P1636 P1443:P1444 P1557:P1558 P1546:P1547 P1535:P1536 P1453:P1454 P1562:P1564 P1524:P1525 P1513:P1514 P1502:P1503 P1474 P1467 P1458 P1566:P1567 P1572:P1573 P1578:P1579 P1694:P1695 P1683:P1684 P1674:P1675 P1665:P1666 P1656:P1657 P1647:P1648 P1638:P1639 P1627:P1628 P1429:P1433" xr:uid="{C75A71B1-3AF5-4109-8965-FE6F35B2BB60}">
      <formula1>"Finalizado,Em Andamento,Pendente,N/A,Lançado ERP"</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7280-C30A-4BE0-A7BA-ED40E5F753B1}">
  <sheetPr>
    <pageSetUpPr fitToPage="1"/>
  </sheetPr>
  <dimension ref="A1:P826"/>
  <sheetViews>
    <sheetView showGridLines="0" zoomScale="85" zoomScaleNormal="85" zoomScalePageLayoutView="55" workbookViewId="0">
      <selection activeCell="E22" sqref="E22"/>
    </sheetView>
  </sheetViews>
  <sheetFormatPr defaultColWidth="11.5703125" defaultRowHeight="12.75" x14ac:dyDescent="0.2"/>
  <cols>
    <col min="1" max="1" width="12.28515625" style="218" customWidth="1"/>
    <col min="2" max="2" width="11.7109375" style="220" bestFit="1" customWidth="1"/>
    <col min="3" max="3" width="14.42578125" style="220" customWidth="1"/>
    <col min="4" max="4" width="11.5703125" style="220" customWidth="1"/>
    <col min="5" max="5" width="72.42578125" style="218" customWidth="1"/>
    <col min="6" max="6" width="8.140625" style="220" customWidth="1"/>
    <col min="7" max="7" width="11.7109375" style="219" customWidth="1"/>
    <col min="8" max="8" width="20.42578125" style="219" customWidth="1"/>
    <col min="9" max="9" width="20.140625" style="219" customWidth="1"/>
    <col min="10" max="10" width="16.28515625" style="219" customWidth="1"/>
    <col min="11" max="11" width="11.7109375" style="219" customWidth="1"/>
    <col min="12" max="12" width="16" style="219" customWidth="1"/>
    <col min="13" max="13" width="13.28515625" style="219" customWidth="1"/>
    <col min="14" max="14" width="13.42578125" style="218" customWidth="1"/>
    <col min="15" max="15" width="16.7109375" style="218" customWidth="1"/>
    <col min="16" max="16" width="8.5703125" style="218" customWidth="1"/>
    <col min="17" max="16384" width="11.5703125" style="218"/>
  </cols>
  <sheetData>
    <row r="1" spans="1:16" ht="18" customHeight="1" x14ac:dyDescent="0.2">
      <c r="A1" s="1900" t="s">
        <v>2273</v>
      </c>
      <c r="B1" s="1901"/>
      <c r="C1" s="1901"/>
      <c r="D1" s="1901"/>
      <c r="E1" s="1901"/>
      <c r="F1" s="1901"/>
      <c r="G1" s="1901"/>
      <c r="H1" s="225"/>
      <c r="I1" s="1833"/>
      <c r="J1" s="1833"/>
      <c r="K1" s="1833"/>
      <c r="L1" s="1833"/>
      <c r="M1" s="1833"/>
      <c r="N1" s="1833"/>
      <c r="O1" s="1833"/>
      <c r="P1" s="1833"/>
    </row>
    <row r="2" spans="1:16" x14ac:dyDescent="0.2">
      <c r="A2" s="1841" t="s">
        <v>2272</v>
      </c>
      <c r="B2" s="1905" t="s">
        <v>4165</v>
      </c>
      <c r="C2" s="1906"/>
      <c r="D2" s="1906"/>
      <c r="E2" s="1906"/>
      <c r="F2" s="1850"/>
      <c r="G2" s="1849"/>
      <c r="H2" s="1848"/>
      <c r="I2" s="1833"/>
      <c r="J2" s="1833"/>
      <c r="K2" s="1833"/>
      <c r="L2" s="1833"/>
      <c r="M2" s="1833"/>
      <c r="N2" s="1833"/>
      <c r="O2" s="1833"/>
      <c r="P2" s="1833"/>
    </row>
    <row r="3" spans="1:16" x14ac:dyDescent="0.2">
      <c r="A3" s="1844" t="s">
        <v>1277</v>
      </c>
      <c r="B3" s="1907" t="s">
        <v>10945</v>
      </c>
      <c r="C3" s="1908"/>
      <c r="D3" s="1908"/>
      <c r="E3" s="1908"/>
      <c r="F3" s="1843"/>
      <c r="G3" s="1846"/>
      <c r="H3" s="1845"/>
      <c r="I3" s="1833"/>
      <c r="J3" s="1833"/>
      <c r="K3" s="1833"/>
      <c r="L3" s="1833"/>
      <c r="M3" s="1833"/>
      <c r="N3" s="1833"/>
      <c r="O3" s="1833"/>
      <c r="P3" s="1833"/>
    </row>
    <row r="4" spans="1:16" x14ac:dyDescent="0.2">
      <c r="A4" s="1841" t="s">
        <v>2271</v>
      </c>
      <c r="B4" s="1907" t="s">
        <v>10944</v>
      </c>
      <c r="C4" s="1908"/>
      <c r="D4" s="1908"/>
      <c r="E4" s="1908"/>
      <c r="F4" s="1847"/>
      <c r="G4" s="1846"/>
      <c r="H4" s="1845"/>
      <c r="I4" s="1833"/>
      <c r="J4" s="1833"/>
      <c r="K4" s="1833"/>
      <c r="L4" s="1833"/>
      <c r="M4" s="1833"/>
      <c r="N4" s="1833"/>
      <c r="O4" s="1833"/>
      <c r="P4" s="1833"/>
    </row>
    <row r="5" spans="1:16" x14ac:dyDescent="0.2">
      <c r="A5" s="1844" t="s">
        <v>2270</v>
      </c>
      <c r="B5" s="1907" t="s">
        <v>10943</v>
      </c>
      <c r="C5" s="1908"/>
      <c r="D5" s="1908"/>
      <c r="E5" s="1908"/>
      <c r="F5" s="1847"/>
      <c r="G5" s="1846"/>
      <c r="H5" s="1845"/>
      <c r="I5" s="1833"/>
      <c r="J5" s="1833"/>
      <c r="K5" s="1833"/>
      <c r="L5" s="1833"/>
      <c r="M5" s="1833"/>
      <c r="N5" s="1833"/>
      <c r="O5" s="1833"/>
      <c r="P5" s="1833"/>
    </row>
    <row r="6" spans="1:16" x14ac:dyDescent="0.2">
      <c r="A6" s="1841" t="s">
        <v>2269</v>
      </c>
      <c r="B6" s="1907" t="s">
        <v>400</v>
      </c>
      <c r="C6" s="1908"/>
      <c r="D6" s="1908"/>
      <c r="E6" s="1908"/>
      <c r="F6" s="1843"/>
      <c r="G6" s="1842"/>
      <c r="H6" s="1836"/>
      <c r="I6" s="1833"/>
      <c r="J6" s="1833"/>
      <c r="K6" s="1833"/>
      <c r="L6" s="1833"/>
      <c r="M6" s="1833"/>
      <c r="N6" s="1833"/>
      <c r="O6" s="1833"/>
      <c r="P6" s="1833"/>
    </row>
    <row r="7" spans="1:16" x14ac:dyDescent="0.2">
      <c r="A7" s="1844" t="s">
        <v>60</v>
      </c>
      <c r="B7" s="1907" t="s">
        <v>400</v>
      </c>
      <c r="C7" s="1908"/>
      <c r="D7" s="1908"/>
      <c r="E7" s="1908"/>
      <c r="F7" s="1843"/>
      <c r="G7" s="1842"/>
      <c r="H7" s="1836"/>
      <c r="I7" s="1833"/>
      <c r="J7" s="1833"/>
      <c r="K7" s="1833"/>
      <c r="L7" s="1833"/>
      <c r="M7" s="1833"/>
      <c r="N7" s="1833"/>
      <c r="O7" s="1833"/>
      <c r="P7" s="1833"/>
    </row>
    <row r="8" spans="1:16" x14ac:dyDescent="0.2">
      <c r="A8" s="1841" t="s">
        <v>10942</v>
      </c>
      <c r="B8" s="1907" t="s">
        <v>10941</v>
      </c>
      <c r="C8" s="1908"/>
      <c r="D8" s="1908"/>
      <c r="E8" s="1908"/>
      <c r="F8" s="1840"/>
      <c r="G8" s="1839"/>
      <c r="H8" s="1836"/>
      <c r="I8" s="1833"/>
      <c r="J8" s="1833"/>
      <c r="K8" s="1833"/>
      <c r="L8" s="1833"/>
      <c r="M8" s="1833"/>
      <c r="N8" s="1833"/>
      <c r="O8" s="1833"/>
      <c r="P8" s="1833"/>
    </row>
    <row r="9" spans="1:16" x14ac:dyDescent="0.2">
      <c r="A9" s="1838"/>
      <c r="B9" s="1837"/>
      <c r="C9" s="1837"/>
      <c r="D9" s="1837"/>
      <c r="E9" s="1837"/>
      <c r="F9" s="1801"/>
      <c r="G9" s="1836"/>
      <c r="H9" s="1836"/>
      <c r="I9" s="1833"/>
      <c r="J9" s="1833"/>
      <c r="K9" s="1833"/>
      <c r="L9" s="1833"/>
      <c r="M9" s="1833"/>
      <c r="N9" s="1833"/>
      <c r="O9" s="1833"/>
      <c r="P9" s="1833"/>
    </row>
    <row r="10" spans="1:16" ht="18" customHeight="1" x14ac:dyDescent="0.2">
      <c r="A10" s="1900" t="s">
        <v>10940</v>
      </c>
      <c r="B10" s="1901"/>
      <c r="C10" s="1901"/>
      <c r="D10" s="1901"/>
      <c r="E10" s="1901"/>
      <c r="F10" s="1833"/>
      <c r="G10" s="1833"/>
      <c r="H10" s="1833"/>
      <c r="I10" s="1833"/>
      <c r="J10" s="1833"/>
      <c r="K10" s="1833"/>
      <c r="L10" s="1833"/>
      <c r="M10" s="1833"/>
      <c r="N10" s="1833"/>
      <c r="O10" s="1833"/>
      <c r="P10" s="1833"/>
    </row>
    <row r="11" spans="1:16" ht="22.5" customHeight="1" x14ac:dyDescent="0.2">
      <c r="A11" s="1912" t="s">
        <v>59</v>
      </c>
      <c r="B11" s="1912"/>
      <c r="C11" s="1912" t="s">
        <v>10939</v>
      </c>
      <c r="D11" s="1912"/>
      <c r="E11" s="1835" t="s">
        <v>10932</v>
      </c>
      <c r="F11" s="1833"/>
      <c r="G11" s="1833"/>
      <c r="H11" s="1833"/>
      <c r="I11" s="1833"/>
      <c r="J11" s="1833"/>
      <c r="K11" s="1833"/>
      <c r="L11" s="1833"/>
      <c r="M11" s="1833"/>
      <c r="N11" s="1833"/>
      <c r="O11" s="1833"/>
      <c r="P11" s="1833"/>
    </row>
    <row r="12" spans="1:16" x14ac:dyDescent="0.2">
      <c r="A12" s="1904" t="s">
        <v>1234</v>
      </c>
      <c r="B12" s="1904"/>
      <c r="C12" s="1902">
        <v>21718825.114624172</v>
      </c>
      <c r="D12" s="1902"/>
      <c r="E12" s="1834" t="s">
        <v>10938</v>
      </c>
      <c r="F12" s="1833"/>
      <c r="G12" s="1833"/>
      <c r="H12" s="1833"/>
      <c r="I12" s="1833"/>
      <c r="J12" s="1833"/>
      <c r="K12" s="1833"/>
      <c r="L12" s="1833"/>
      <c r="M12" s="1833"/>
      <c r="N12" s="1833"/>
      <c r="O12" s="1833"/>
      <c r="P12" s="1833"/>
    </row>
    <row r="13" spans="1:16" x14ac:dyDescent="0.2">
      <c r="A13" s="1904" t="s">
        <v>3244</v>
      </c>
      <c r="B13" s="1904"/>
      <c r="C13" s="1902">
        <v>15467432.704624165</v>
      </c>
      <c r="D13" s="1902"/>
      <c r="E13" s="1834"/>
      <c r="F13" s="1833"/>
      <c r="G13" s="1833"/>
      <c r="H13" s="1833"/>
      <c r="I13" s="1833"/>
      <c r="J13" s="1833"/>
      <c r="K13" s="1833"/>
      <c r="L13" s="1833"/>
      <c r="M13" s="1833"/>
      <c r="N13" s="1833"/>
      <c r="O13" s="1833"/>
      <c r="P13" s="1833"/>
    </row>
    <row r="14" spans="1:16" x14ac:dyDescent="0.2">
      <c r="A14" s="1904" t="s">
        <v>10937</v>
      </c>
      <c r="B14" s="1904"/>
      <c r="C14" s="1902">
        <v>6251392.4100000001</v>
      </c>
      <c r="D14" s="1902"/>
      <c r="E14" s="1834"/>
      <c r="F14" s="1833"/>
      <c r="G14" s="1833"/>
      <c r="H14" s="1833"/>
      <c r="I14" s="1833"/>
      <c r="J14" s="1833"/>
      <c r="K14" s="1833"/>
      <c r="L14" s="1833"/>
      <c r="M14" s="1833"/>
      <c r="N14" s="1833"/>
      <c r="O14" s="1833"/>
      <c r="P14" s="1833"/>
    </row>
    <row r="15" spans="1:16" x14ac:dyDescent="0.2">
      <c r="A15" s="1833"/>
      <c r="B15" s="1833"/>
      <c r="C15" s="1833"/>
      <c r="D15" s="1833"/>
      <c r="E15" s="1833"/>
      <c r="F15" s="1833"/>
      <c r="G15" s="1833"/>
      <c r="H15" s="1833"/>
      <c r="I15" s="1833"/>
      <c r="J15" s="1833"/>
      <c r="K15" s="1833"/>
      <c r="L15" s="1833"/>
      <c r="M15" s="1833"/>
      <c r="N15" s="1833"/>
      <c r="O15" s="1833"/>
      <c r="P15" s="1833"/>
    </row>
    <row r="16" spans="1:16" x14ac:dyDescent="0.2">
      <c r="A16" s="1913" t="s">
        <v>10936</v>
      </c>
      <c r="B16" s="1914"/>
      <c r="C16" s="1914"/>
      <c r="D16" s="1914"/>
      <c r="E16" s="1914"/>
      <c r="F16" s="1914"/>
      <c r="G16" s="1914"/>
      <c r="H16" s="1914"/>
      <c r="I16" s="1914"/>
      <c r="J16" s="1914"/>
      <c r="K16" s="1914"/>
    </row>
    <row r="17" spans="1:11" x14ac:dyDescent="0.2">
      <c r="A17" s="1903" t="s">
        <v>1231</v>
      </c>
      <c r="B17" s="1903" t="s">
        <v>1587</v>
      </c>
      <c r="C17" s="1903" t="s">
        <v>59</v>
      </c>
      <c r="D17" s="1903" t="s">
        <v>10935</v>
      </c>
      <c r="E17" s="1903" t="s">
        <v>60</v>
      </c>
      <c r="F17" s="1903" t="s">
        <v>1278</v>
      </c>
      <c r="G17" s="1903" t="s">
        <v>62</v>
      </c>
      <c r="H17" s="1909" t="s">
        <v>1279</v>
      </c>
      <c r="I17" s="1909" t="s">
        <v>10934</v>
      </c>
      <c r="J17" s="1909" t="s">
        <v>10933</v>
      </c>
      <c r="K17" s="1909" t="s">
        <v>10932</v>
      </c>
    </row>
    <row r="18" spans="1:11" x14ac:dyDescent="0.2">
      <c r="A18" s="1903"/>
      <c r="B18" s="1903"/>
      <c r="C18" s="1903"/>
      <c r="D18" s="1903"/>
      <c r="E18" s="1903"/>
      <c r="F18" s="1903"/>
      <c r="G18" s="1903"/>
      <c r="H18" s="1911"/>
      <c r="I18" s="1910"/>
      <c r="J18" s="1910"/>
      <c r="K18" s="1910"/>
    </row>
    <row r="19" spans="1:11" x14ac:dyDescent="0.2">
      <c r="A19" s="1832" t="s">
        <v>2264</v>
      </c>
      <c r="B19" s="1831"/>
      <c r="C19" s="1830"/>
      <c r="D19" s="1830"/>
      <c r="E19" s="1830" t="s">
        <v>10931</v>
      </c>
      <c r="F19" s="1827"/>
      <c r="G19" s="1827"/>
      <c r="H19" s="1829"/>
      <c r="I19" s="1829">
        <v>1964071.0354826401</v>
      </c>
      <c r="J19" s="1828">
        <v>9.0431734917380532E-2</v>
      </c>
      <c r="K19" s="1827" t="s">
        <v>400</v>
      </c>
    </row>
    <row r="20" spans="1:11" x14ac:dyDescent="0.2">
      <c r="A20" s="1826" t="s">
        <v>2263</v>
      </c>
      <c r="B20" s="1825"/>
      <c r="C20" s="1824"/>
      <c r="D20" s="1824"/>
      <c r="E20" s="1824" t="s">
        <v>9706</v>
      </c>
      <c r="F20" s="1821"/>
      <c r="G20" s="1821"/>
      <c r="H20" s="1823"/>
      <c r="I20" s="1823">
        <v>228660.0833921</v>
      </c>
      <c r="J20" s="1822">
        <v>1.0528197643533389E-2</v>
      </c>
      <c r="K20" s="1821" t="s">
        <v>400</v>
      </c>
    </row>
    <row r="21" spans="1:11" x14ac:dyDescent="0.2">
      <c r="A21" s="222" t="s">
        <v>2617</v>
      </c>
      <c r="B21" s="1820"/>
      <c r="C21" s="1820"/>
      <c r="D21" s="1820"/>
      <c r="E21" s="1820" t="s">
        <v>10899</v>
      </c>
      <c r="F21" s="1817"/>
      <c r="G21" s="1817"/>
      <c r="H21" s="1819"/>
      <c r="I21" s="1819">
        <v>133087.986576</v>
      </c>
      <c r="J21" s="1818">
        <v>6.1277709946836127E-3</v>
      </c>
      <c r="K21" s="1817" t="s">
        <v>400</v>
      </c>
    </row>
    <row r="22" spans="1:11" x14ac:dyDescent="0.2">
      <c r="A22" s="1816" t="s">
        <v>2619</v>
      </c>
      <c r="B22" s="1815"/>
      <c r="C22" s="1814"/>
      <c r="D22" s="1814"/>
      <c r="E22" s="1813" t="s">
        <v>10897</v>
      </c>
      <c r="F22" s="1810" t="s">
        <v>1243</v>
      </c>
      <c r="G22" s="1810">
        <v>35.770000000000003</v>
      </c>
      <c r="H22" s="1812">
        <v>0</v>
      </c>
      <c r="I22" s="1812">
        <v>0</v>
      </c>
      <c r="J22" s="1811"/>
      <c r="K22" s="1810" t="s">
        <v>400</v>
      </c>
    </row>
    <row r="23" spans="1:11" x14ac:dyDescent="0.2">
      <c r="A23" s="1809" t="s">
        <v>2620</v>
      </c>
      <c r="B23" s="1808"/>
      <c r="C23" s="1807"/>
      <c r="D23" s="1807"/>
      <c r="E23" s="1806" t="s">
        <v>10895</v>
      </c>
      <c r="F23" s="1803" t="s">
        <v>1243</v>
      </c>
      <c r="G23" s="1803">
        <v>171.98</v>
      </c>
      <c r="H23" s="1805">
        <v>0</v>
      </c>
      <c r="I23" s="1805">
        <v>0</v>
      </c>
      <c r="J23" s="1804"/>
      <c r="K23" s="1803" t="s">
        <v>400</v>
      </c>
    </row>
    <row r="24" spans="1:11" ht="25.5" x14ac:dyDescent="0.2">
      <c r="A24" s="1816" t="s">
        <v>2621</v>
      </c>
      <c r="B24" s="1815" t="s">
        <v>10160</v>
      </c>
      <c r="C24" s="1814" t="s">
        <v>10159</v>
      </c>
      <c r="D24" s="1814" t="s">
        <v>10893</v>
      </c>
      <c r="E24" s="1813" t="s">
        <v>10892</v>
      </c>
      <c r="F24" s="1810" t="s">
        <v>642</v>
      </c>
      <c r="G24" s="1810">
        <v>1262.8800000000001</v>
      </c>
      <c r="H24" s="1812">
        <v>25.096</v>
      </c>
      <c r="I24" s="1812">
        <v>31693.236480000003</v>
      </c>
      <c r="J24" s="1811">
        <v>1.459251884608604E-3</v>
      </c>
      <c r="K24" s="1810" t="s">
        <v>400</v>
      </c>
    </row>
    <row r="25" spans="1:11" ht="25.5" x14ac:dyDescent="0.2">
      <c r="A25" s="1809" t="s">
        <v>3668</v>
      </c>
      <c r="B25" s="1808" t="s">
        <v>10160</v>
      </c>
      <c r="C25" s="1807" t="s">
        <v>10159</v>
      </c>
      <c r="D25" s="1807" t="s">
        <v>10890</v>
      </c>
      <c r="E25" s="1806" t="s">
        <v>10889</v>
      </c>
      <c r="F25" s="1803" t="s">
        <v>642</v>
      </c>
      <c r="G25" s="1803">
        <v>1610.87</v>
      </c>
      <c r="H25" s="1805">
        <v>40.766399999999997</v>
      </c>
      <c r="I25" s="1805">
        <v>65669.370767999993</v>
      </c>
      <c r="J25" s="1804">
        <v>3.0236152472070013E-3</v>
      </c>
      <c r="K25" s="1803" t="s">
        <v>400</v>
      </c>
    </row>
    <row r="26" spans="1:11" ht="25.5" x14ac:dyDescent="0.2">
      <c r="A26" s="1816" t="s">
        <v>3670</v>
      </c>
      <c r="B26" s="1815" t="s">
        <v>10160</v>
      </c>
      <c r="C26" s="1814" t="s">
        <v>10159</v>
      </c>
      <c r="D26" s="1814" t="s">
        <v>10887</v>
      </c>
      <c r="E26" s="1813" t="s">
        <v>10886</v>
      </c>
      <c r="F26" s="1810" t="s">
        <v>642</v>
      </c>
      <c r="G26" s="1810">
        <v>631.36</v>
      </c>
      <c r="H26" s="1812">
        <v>56.584800000000001</v>
      </c>
      <c r="I26" s="1812">
        <v>35725.379328000003</v>
      </c>
      <c r="J26" s="1811">
        <v>1.6449038628680078E-3</v>
      </c>
      <c r="K26" s="1810" t="s">
        <v>400</v>
      </c>
    </row>
    <row r="27" spans="1:11" x14ac:dyDescent="0.2">
      <c r="A27" s="222" t="s">
        <v>2622</v>
      </c>
      <c r="B27" s="1820"/>
      <c r="C27" s="1820"/>
      <c r="D27" s="1820"/>
      <c r="E27" s="1820" t="s">
        <v>10884</v>
      </c>
      <c r="F27" s="1817"/>
      <c r="G27" s="1817"/>
      <c r="H27" s="1819"/>
      <c r="I27" s="1819">
        <v>0</v>
      </c>
      <c r="J27" s="1818"/>
      <c r="K27" s="1817" t="s">
        <v>400</v>
      </c>
    </row>
    <row r="28" spans="1:11" x14ac:dyDescent="0.2">
      <c r="A28" s="1809" t="s">
        <v>2624</v>
      </c>
      <c r="B28" s="1808"/>
      <c r="C28" s="1807"/>
      <c r="D28" s="1807"/>
      <c r="E28" s="1806" t="s">
        <v>10914</v>
      </c>
      <c r="F28" s="1803" t="s">
        <v>1243</v>
      </c>
      <c r="G28" s="1803">
        <v>1.49</v>
      </c>
      <c r="H28" s="1805">
        <v>0</v>
      </c>
      <c r="I28" s="1805">
        <v>0</v>
      </c>
      <c r="J28" s="1804"/>
      <c r="K28" s="1803" t="s">
        <v>400</v>
      </c>
    </row>
    <row r="29" spans="1:11" x14ac:dyDescent="0.2">
      <c r="A29" s="1816" t="s">
        <v>3687</v>
      </c>
      <c r="B29" s="1815"/>
      <c r="C29" s="1814"/>
      <c r="D29" s="1814"/>
      <c r="E29" s="1813" t="s">
        <v>10882</v>
      </c>
      <c r="F29" s="1810" t="s">
        <v>1243</v>
      </c>
      <c r="G29" s="1810">
        <v>252.44</v>
      </c>
      <c r="H29" s="1812">
        <v>0</v>
      </c>
      <c r="I29" s="1812">
        <v>0</v>
      </c>
      <c r="J29" s="1811"/>
      <c r="K29" s="1810" t="s">
        <v>400</v>
      </c>
    </row>
    <row r="30" spans="1:11" x14ac:dyDescent="0.2">
      <c r="A30" s="1809" t="s">
        <v>10930</v>
      </c>
      <c r="B30" s="1808"/>
      <c r="C30" s="1807"/>
      <c r="D30" s="1807"/>
      <c r="E30" s="1806" t="s">
        <v>10880</v>
      </c>
      <c r="F30" s="1803" t="s">
        <v>1243</v>
      </c>
      <c r="G30" s="1803">
        <v>774.4</v>
      </c>
      <c r="H30" s="1805">
        <v>0</v>
      </c>
      <c r="I30" s="1805">
        <v>0</v>
      </c>
      <c r="J30" s="1804"/>
      <c r="K30" s="1803" t="s">
        <v>400</v>
      </c>
    </row>
    <row r="31" spans="1:11" x14ac:dyDescent="0.2">
      <c r="A31" s="222" t="s">
        <v>2625</v>
      </c>
      <c r="B31" s="1820"/>
      <c r="C31" s="1820"/>
      <c r="D31" s="1820"/>
      <c r="E31" s="1820" t="s">
        <v>10878</v>
      </c>
      <c r="F31" s="1817"/>
      <c r="G31" s="1817"/>
      <c r="H31" s="1819"/>
      <c r="I31" s="1819">
        <v>95572.096816099991</v>
      </c>
      <c r="J31" s="1818">
        <v>4.4004266488497758E-3</v>
      </c>
      <c r="K31" s="1817" t="s">
        <v>400</v>
      </c>
    </row>
    <row r="32" spans="1:11" ht="25.5" x14ac:dyDescent="0.2">
      <c r="A32" s="1816" t="s">
        <v>2627</v>
      </c>
      <c r="B32" s="1815" t="s">
        <v>10160</v>
      </c>
      <c r="C32" s="1814" t="s">
        <v>10159</v>
      </c>
      <c r="D32" s="1814" t="s">
        <v>10869</v>
      </c>
      <c r="E32" s="1813" t="s">
        <v>10868</v>
      </c>
      <c r="F32" s="1810" t="s">
        <v>788</v>
      </c>
      <c r="G32" s="1810">
        <v>104.16</v>
      </c>
      <c r="H32" s="1812">
        <v>43.712511999999997</v>
      </c>
      <c r="I32" s="1812">
        <v>4553.0952499199993</v>
      </c>
      <c r="J32" s="1811">
        <v>2.0963819294507851E-4</v>
      </c>
      <c r="K32" s="1810" t="s">
        <v>400</v>
      </c>
    </row>
    <row r="33" spans="1:11" ht="25.5" x14ac:dyDescent="0.2">
      <c r="A33" s="1809" t="s">
        <v>3688</v>
      </c>
      <c r="B33" s="1808" t="s">
        <v>10160</v>
      </c>
      <c r="C33" s="1807" t="s">
        <v>10159</v>
      </c>
      <c r="D33" s="1807" t="s">
        <v>10875</v>
      </c>
      <c r="E33" s="1806" t="s">
        <v>10874</v>
      </c>
      <c r="F33" s="1803" t="s">
        <v>788</v>
      </c>
      <c r="G33" s="1803">
        <v>18470.23</v>
      </c>
      <c r="H33" s="1805">
        <v>3.6337980000000001</v>
      </c>
      <c r="I33" s="1805">
        <v>67117.084833539993</v>
      </c>
      <c r="J33" s="1804">
        <v>3.0902723549418574E-3</v>
      </c>
      <c r="K33" s="1803" t="s">
        <v>400</v>
      </c>
    </row>
    <row r="34" spans="1:11" ht="25.5" x14ac:dyDescent="0.2">
      <c r="A34" s="1816" t="s">
        <v>10929</v>
      </c>
      <c r="B34" s="1815" t="s">
        <v>10160</v>
      </c>
      <c r="C34" s="1814" t="s">
        <v>10159</v>
      </c>
      <c r="D34" s="1814" t="s">
        <v>10872</v>
      </c>
      <c r="E34" s="1813" t="s">
        <v>10871</v>
      </c>
      <c r="F34" s="1810" t="s">
        <v>1243</v>
      </c>
      <c r="G34" s="1810">
        <v>2370.59</v>
      </c>
      <c r="H34" s="1812">
        <v>1.85</v>
      </c>
      <c r="I34" s="1812">
        <v>4385.5915000000005</v>
      </c>
      <c r="J34" s="1811">
        <v>2.0192581674443349E-4</v>
      </c>
      <c r="K34" s="1810" t="s">
        <v>400</v>
      </c>
    </row>
    <row r="35" spans="1:11" ht="25.5" x14ac:dyDescent="0.2">
      <c r="A35" s="1809" t="s">
        <v>10928</v>
      </c>
      <c r="B35" s="1808" t="s">
        <v>10160</v>
      </c>
      <c r="C35" s="1807" t="s">
        <v>10159</v>
      </c>
      <c r="D35" s="1807" t="s">
        <v>10869</v>
      </c>
      <c r="E35" s="1806" t="s">
        <v>10868</v>
      </c>
      <c r="F35" s="1803" t="s">
        <v>788</v>
      </c>
      <c r="G35" s="1803">
        <v>446.47</v>
      </c>
      <c r="H35" s="1805">
        <v>43.712511999999997</v>
      </c>
      <c r="I35" s="1805">
        <v>19516.32523264</v>
      </c>
      <c r="J35" s="1804">
        <v>8.9859028421840651E-4</v>
      </c>
      <c r="K35" s="1803" t="s">
        <v>400</v>
      </c>
    </row>
    <row r="36" spans="1:11" x14ac:dyDescent="0.2">
      <c r="A36" s="222" t="s">
        <v>2628</v>
      </c>
      <c r="B36" s="1820"/>
      <c r="C36" s="1820"/>
      <c r="D36" s="1820"/>
      <c r="E36" s="1820" t="s">
        <v>10866</v>
      </c>
      <c r="F36" s="1817"/>
      <c r="G36" s="1817"/>
      <c r="H36" s="1819"/>
      <c r="I36" s="1819">
        <v>0</v>
      </c>
      <c r="J36" s="1818"/>
      <c r="K36" s="1817" t="s">
        <v>400</v>
      </c>
    </row>
    <row r="37" spans="1:11" x14ac:dyDescent="0.2">
      <c r="A37" s="1816" t="s">
        <v>2630</v>
      </c>
      <c r="B37" s="1815"/>
      <c r="C37" s="1814"/>
      <c r="D37" s="1814"/>
      <c r="E37" s="1813" t="s">
        <v>10864</v>
      </c>
      <c r="F37" s="1810" t="s">
        <v>1243</v>
      </c>
      <c r="G37" s="1810">
        <v>4045.19</v>
      </c>
      <c r="H37" s="1812">
        <v>0</v>
      </c>
      <c r="I37" s="1812">
        <v>0</v>
      </c>
      <c r="J37" s="1811"/>
      <c r="K37" s="1810" t="s">
        <v>400</v>
      </c>
    </row>
    <row r="38" spans="1:11" x14ac:dyDescent="0.2">
      <c r="A38" s="1809" t="s">
        <v>10927</v>
      </c>
      <c r="B38" s="1808"/>
      <c r="C38" s="1807"/>
      <c r="D38" s="1807"/>
      <c r="E38" s="1806" t="s">
        <v>10862</v>
      </c>
      <c r="F38" s="1803" t="s">
        <v>1243</v>
      </c>
      <c r="G38" s="1803">
        <v>1028.33</v>
      </c>
      <c r="H38" s="1805">
        <v>0</v>
      </c>
      <c r="I38" s="1805">
        <v>0</v>
      </c>
      <c r="J38" s="1804"/>
      <c r="K38" s="1803" t="s">
        <v>400</v>
      </c>
    </row>
    <row r="39" spans="1:11" x14ac:dyDescent="0.2">
      <c r="A39" s="222" t="s">
        <v>2631</v>
      </c>
      <c r="B39" s="1820"/>
      <c r="C39" s="1820"/>
      <c r="D39" s="1820"/>
      <c r="E39" s="1820" t="s">
        <v>10860</v>
      </c>
      <c r="F39" s="1817"/>
      <c r="G39" s="1817"/>
      <c r="H39" s="1819"/>
      <c r="I39" s="1819">
        <v>0</v>
      </c>
      <c r="J39" s="1818"/>
      <c r="K39" s="1817" t="s">
        <v>400</v>
      </c>
    </row>
    <row r="40" spans="1:11" x14ac:dyDescent="0.2">
      <c r="A40" s="1816" t="s">
        <v>2633</v>
      </c>
      <c r="B40" s="1815"/>
      <c r="C40" s="1814"/>
      <c r="D40" s="1814"/>
      <c r="E40" s="1813" t="s">
        <v>10858</v>
      </c>
      <c r="F40" s="1810" t="s">
        <v>1243</v>
      </c>
      <c r="G40" s="1810">
        <v>14.56</v>
      </c>
      <c r="H40" s="1812">
        <v>0</v>
      </c>
      <c r="I40" s="1812">
        <v>0</v>
      </c>
      <c r="J40" s="1811"/>
      <c r="K40" s="1810" t="s">
        <v>400</v>
      </c>
    </row>
    <row r="41" spans="1:11" x14ac:dyDescent="0.2">
      <c r="A41" s="1826" t="s">
        <v>10926</v>
      </c>
      <c r="B41" s="1825"/>
      <c r="C41" s="1824"/>
      <c r="D41" s="1824"/>
      <c r="E41" s="1824" t="s">
        <v>9838</v>
      </c>
      <c r="F41" s="1821"/>
      <c r="G41" s="1821"/>
      <c r="H41" s="1823"/>
      <c r="I41" s="1823">
        <v>45754.495123260007</v>
      </c>
      <c r="J41" s="1822">
        <v>2.1066745038824239E-3</v>
      </c>
      <c r="K41" s="1821" t="s">
        <v>400</v>
      </c>
    </row>
    <row r="42" spans="1:11" x14ac:dyDescent="0.2">
      <c r="A42" s="222" t="s">
        <v>10925</v>
      </c>
      <c r="B42" s="1820"/>
      <c r="C42" s="1820"/>
      <c r="D42" s="1820"/>
      <c r="E42" s="1820" t="s">
        <v>10878</v>
      </c>
      <c r="F42" s="1817"/>
      <c r="G42" s="1817"/>
      <c r="H42" s="1819"/>
      <c r="I42" s="1819">
        <v>45754.495123260007</v>
      </c>
      <c r="J42" s="1818">
        <v>2.1066745038824239E-3</v>
      </c>
      <c r="K42" s="1817" t="s">
        <v>400</v>
      </c>
    </row>
    <row r="43" spans="1:11" ht="25.5" x14ac:dyDescent="0.2">
      <c r="A43" s="1809" t="s">
        <v>10924</v>
      </c>
      <c r="B43" s="1808" t="s">
        <v>10160</v>
      </c>
      <c r="C43" s="1807" t="s">
        <v>10159</v>
      </c>
      <c r="D43" s="1807" t="s">
        <v>10875</v>
      </c>
      <c r="E43" s="1806" t="s">
        <v>10874</v>
      </c>
      <c r="F43" s="1803" t="s">
        <v>788</v>
      </c>
      <c r="G43" s="1803">
        <v>12591.37</v>
      </c>
      <c r="H43" s="1805">
        <v>3.6337980000000001</v>
      </c>
      <c r="I43" s="1805">
        <v>45754.495123260007</v>
      </c>
      <c r="J43" s="1804">
        <v>2.1066745038824239E-3</v>
      </c>
      <c r="K43" s="1803" t="s">
        <v>400</v>
      </c>
    </row>
    <row r="44" spans="1:11" x14ac:dyDescent="0.2">
      <c r="A44" s="1826" t="s">
        <v>10923</v>
      </c>
      <c r="B44" s="1825"/>
      <c r="C44" s="1824"/>
      <c r="D44" s="1824"/>
      <c r="E44" s="1824" t="s">
        <v>9832</v>
      </c>
      <c r="F44" s="1821"/>
      <c r="G44" s="1821"/>
      <c r="H44" s="1823"/>
      <c r="I44" s="1823">
        <v>823378.31908238004</v>
      </c>
      <c r="J44" s="1822">
        <v>3.7910813072847376E-2</v>
      </c>
      <c r="K44" s="1821" t="s">
        <v>400</v>
      </c>
    </row>
    <row r="45" spans="1:11" x14ac:dyDescent="0.2">
      <c r="A45" s="222" t="s">
        <v>10922</v>
      </c>
      <c r="B45" s="1820"/>
      <c r="C45" s="1820"/>
      <c r="D45" s="1820"/>
      <c r="E45" s="1820" t="s">
        <v>10899</v>
      </c>
      <c r="F45" s="1817"/>
      <c r="G45" s="1817"/>
      <c r="H45" s="1819"/>
      <c r="I45" s="1819">
        <v>416102.63715999998</v>
      </c>
      <c r="J45" s="1818">
        <v>1.9158616313910141E-2</v>
      </c>
      <c r="K45" s="1817" t="s">
        <v>400</v>
      </c>
    </row>
    <row r="46" spans="1:11" x14ac:dyDescent="0.2">
      <c r="A46" s="1816" t="s">
        <v>10921</v>
      </c>
      <c r="B46" s="1815"/>
      <c r="C46" s="1814"/>
      <c r="D46" s="1814"/>
      <c r="E46" s="1813" t="s">
        <v>10897</v>
      </c>
      <c r="F46" s="1810" t="s">
        <v>1243</v>
      </c>
      <c r="G46" s="1810">
        <v>1074.45</v>
      </c>
      <c r="H46" s="1812">
        <v>0</v>
      </c>
      <c r="I46" s="1812">
        <v>0</v>
      </c>
      <c r="J46" s="1811"/>
      <c r="K46" s="1810" t="s">
        <v>400</v>
      </c>
    </row>
    <row r="47" spans="1:11" x14ac:dyDescent="0.2">
      <c r="A47" s="1809" t="s">
        <v>10920</v>
      </c>
      <c r="B47" s="1808"/>
      <c r="C47" s="1807"/>
      <c r="D47" s="1807"/>
      <c r="E47" s="1806" t="s">
        <v>10895</v>
      </c>
      <c r="F47" s="1803" t="s">
        <v>1243</v>
      </c>
      <c r="G47" s="1803">
        <v>1364.5</v>
      </c>
      <c r="H47" s="1805">
        <v>0</v>
      </c>
      <c r="I47" s="1805">
        <v>0</v>
      </c>
      <c r="J47" s="1804"/>
      <c r="K47" s="1803" t="s">
        <v>400</v>
      </c>
    </row>
    <row r="48" spans="1:11" ht="25.5" x14ac:dyDescent="0.2">
      <c r="A48" s="1816" t="s">
        <v>10919</v>
      </c>
      <c r="B48" s="1815" t="s">
        <v>10160</v>
      </c>
      <c r="C48" s="1814" t="s">
        <v>10159</v>
      </c>
      <c r="D48" s="1814" t="s">
        <v>10893</v>
      </c>
      <c r="E48" s="1813" t="s">
        <v>10892</v>
      </c>
      <c r="F48" s="1810" t="s">
        <v>642</v>
      </c>
      <c r="G48" s="1810">
        <v>7270.36</v>
      </c>
      <c r="H48" s="1812">
        <v>25.096</v>
      </c>
      <c r="I48" s="1812">
        <v>182456.95455999998</v>
      </c>
      <c r="J48" s="1811">
        <v>8.4008666950011156E-3</v>
      </c>
      <c r="K48" s="1810" t="s">
        <v>400</v>
      </c>
    </row>
    <row r="49" spans="1:11" ht="25.5" x14ac:dyDescent="0.2">
      <c r="A49" s="1809" t="s">
        <v>10918</v>
      </c>
      <c r="B49" s="1808" t="s">
        <v>10160</v>
      </c>
      <c r="C49" s="1807" t="s">
        <v>10159</v>
      </c>
      <c r="D49" s="1807" t="s">
        <v>10890</v>
      </c>
      <c r="E49" s="1806" t="s">
        <v>10889</v>
      </c>
      <c r="F49" s="1803" t="s">
        <v>642</v>
      </c>
      <c r="G49" s="1803">
        <v>4090.42</v>
      </c>
      <c r="H49" s="1805">
        <v>40.766399999999997</v>
      </c>
      <c r="I49" s="1805">
        <v>166751.697888</v>
      </c>
      <c r="J49" s="1804">
        <v>7.6777494642525238E-3</v>
      </c>
      <c r="K49" s="1803" t="s">
        <v>400</v>
      </c>
    </row>
    <row r="50" spans="1:11" ht="25.5" x14ac:dyDescent="0.2">
      <c r="A50" s="1816" t="s">
        <v>10917</v>
      </c>
      <c r="B50" s="1815" t="s">
        <v>10160</v>
      </c>
      <c r="C50" s="1814" t="s">
        <v>10159</v>
      </c>
      <c r="D50" s="1814" t="s">
        <v>10887</v>
      </c>
      <c r="E50" s="1813" t="s">
        <v>10886</v>
      </c>
      <c r="F50" s="1810" t="s">
        <v>642</v>
      </c>
      <c r="G50" s="1810">
        <v>1182.19</v>
      </c>
      <c r="H50" s="1812">
        <v>56.584800000000001</v>
      </c>
      <c r="I50" s="1812">
        <v>66893.984712000005</v>
      </c>
      <c r="J50" s="1811">
        <v>3.0800001546565036E-3</v>
      </c>
      <c r="K50" s="1810" t="s">
        <v>400</v>
      </c>
    </row>
    <row r="51" spans="1:11" x14ac:dyDescent="0.2">
      <c r="A51" s="222" t="s">
        <v>10916</v>
      </c>
      <c r="B51" s="1820"/>
      <c r="C51" s="1820"/>
      <c r="D51" s="1820"/>
      <c r="E51" s="1820" t="s">
        <v>10884</v>
      </c>
      <c r="F51" s="1817"/>
      <c r="G51" s="1817"/>
      <c r="H51" s="1819"/>
      <c r="I51" s="1819">
        <v>0</v>
      </c>
      <c r="J51" s="1818"/>
      <c r="K51" s="1817" t="s">
        <v>400</v>
      </c>
    </row>
    <row r="52" spans="1:11" x14ac:dyDescent="0.2">
      <c r="A52" s="1809" t="s">
        <v>10915</v>
      </c>
      <c r="B52" s="1808"/>
      <c r="C52" s="1807"/>
      <c r="D52" s="1807"/>
      <c r="E52" s="1806" t="s">
        <v>10914</v>
      </c>
      <c r="F52" s="1803" t="s">
        <v>1243</v>
      </c>
      <c r="G52" s="1803">
        <v>363.8</v>
      </c>
      <c r="H52" s="1805">
        <v>0</v>
      </c>
      <c r="I52" s="1805">
        <v>0</v>
      </c>
      <c r="J52" s="1804"/>
      <c r="K52" s="1803" t="s">
        <v>400</v>
      </c>
    </row>
    <row r="53" spans="1:11" x14ac:dyDescent="0.2">
      <c r="A53" s="1816" t="s">
        <v>10913</v>
      </c>
      <c r="B53" s="1815"/>
      <c r="C53" s="1814"/>
      <c r="D53" s="1814"/>
      <c r="E53" s="1813" t="s">
        <v>10882</v>
      </c>
      <c r="F53" s="1810" t="s">
        <v>1243</v>
      </c>
      <c r="G53" s="1810">
        <v>128.55000000000001</v>
      </c>
      <c r="H53" s="1812">
        <v>0</v>
      </c>
      <c r="I53" s="1812">
        <v>0</v>
      </c>
      <c r="J53" s="1811"/>
      <c r="K53" s="1810" t="s">
        <v>400</v>
      </c>
    </row>
    <row r="54" spans="1:11" x14ac:dyDescent="0.2">
      <c r="A54" s="1809" t="s">
        <v>10912</v>
      </c>
      <c r="B54" s="1808"/>
      <c r="C54" s="1807"/>
      <c r="D54" s="1807"/>
      <c r="E54" s="1806" t="s">
        <v>10880</v>
      </c>
      <c r="F54" s="1803" t="s">
        <v>1243</v>
      </c>
      <c r="G54" s="1803">
        <v>862.58</v>
      </c>
      <c r="H54" s="1805">
        <v>0</v>
      </c>
      <c r="I54" s="1805">
        <v>0</v>
      </c>
      <c r="J54" s="1804"/>
      <c r="K54" s="1803" t="s">
        <v>400</v>
      </c>
    </row>
    <row r="55" spans="1:11" x14ac:dyDescent="0.2">
      <c r="A55" s="222" t="s">
        <v>10911</v>
      </c>
      <c r="B55" s="1820"/>
      <c r="C55" s="1820"/>
      <c r="D55" s="1820"/>
      <c r="E55" s="1820" t="s">
        <v>10878</v>
      </c>
      <c r="F55" s="1817"/>
      <c r="G55" s="1817"/>
      <c r="H55" s="1819"/>
      <c r="I55" s="1819">
        <v>407275.68192238</v>
      </c>
      <c r="J55" s="1818">
        <v>1.8752196758937235E-2</v>
      </c>
      <c r="K55" s="1817" t="s">
        <v>400</v>
      </c>
    </row>
    <row r="56" spans="1:11" ht="25.5" x14ac:dyDescent="0.2">
      <c r="A56" s="1816" t="s">
        <v>10910</v>
      </c>
      <c r="B56" s="1815" t="s">
        <v>10160</v>
      </c>
      <c r="C56" s="1814" t="s">
        <v>10159</v>
      </c>
      <c r="D56" s="1814" t="s">
        <v>10869</v>
      </c>
      <c r="E56" s="1813" t="s">
        <v>10868</v>
      </c>
      <c r="F56" s="1810" t="s">
        <v>788</v>
      </c>
      <c r="G56" s="1810">
        <v>1151.26</v>
      </c>
      <c r="H56" s="1812">
        <v>43.712511999999997</v>
      </c>
      <c r="I56" s="1812">
        <v>50324.466565119998</v>
      </c>
      <c r="J56" s="1811">
        <v>2.3170897274380868E-3</v>
      </c>
      <c r="K56" s="1810" t="s">
        <v>400</v>
      </c>
    </row>
    <row r="57" spans="1:11" ht="25.5" x14ac:dyDescent="0.2">
      <c r="A57" s="1809" t="s">
        <v>10909</v>
      </c>
      <c r="B57" s="1808" t="s">
        <v>10160</v>
      </c>
      <c r="C57" s="1807" t="s">
        <v>10159</v>
      </c>
      <c r="D57" s="1807" t="s">
        <v>10875</v>
      </c>
      <c r="E57" s="1806" t="s">
        <v>10874</v>
      </c>
      <c r="F57" s="1803" t="s">
        <v>788</v>
      </c>
      <c r="G57" s="1803">
        <v>62783.49</v>
      </c>
      <c r="H57" s="1805">
        <v>3.6337980000000001</v>
      </c>
      <c r="I57" s="1805">
        <v>228142.52039501999</v>
      </c>
      <c r="J57" s="1804">
        <v>1.0504367487235869E-2</v>
      </c>
      <c r="K57" s="1803" t="s">
        <v>400</v>
      </c>
    </row>
    <row r="58" spans="1:11" ht="25.5" x14ac:dyDescent="0.2">
      <c r="A58" s="1816" t="s">
        <v>10908</v>
      </c>
      <c r="B58" s="1815" t="s">
        <v>10160</v>
      </c>
      <c r="C58" s="1814" t="s">
        <v>10159</v>
      </c>
      <c r="D58" s="1814" t="s">
        <v>10872</v>
      </c>
      <c r="E58" s="1813" t="s">
        <v>10871</v>
      </c>
      <c r="F58" s="1810" t="s">
        <v>1243</v>
      </c>
      <c r="G58" s="1810">
        <v>8168.42</v>
      </c>
      <c r="H58" s="1812">
        <v>1.85</v>
      </c>
      <c r="I58" s="1812">
        <v>15111.577000000001</v>
      </c>
      <c r="J58" s="1811">
        <v>6.957824339137368E-4</v>
      </c>
      <c r="K58" s="1810" t="s">
        <v>400</v>
      </c>
    </row>
    <row r="59" spans="1:11" ht="25.5" x14ac:dyDescent="0.2">
      <c r="A59" s="1809" t="s">
        <v>10907</v>
      </c>
      <c r="B59" s="1808" t="s">
        <v>10160</v>
      </c>
      <c r="C59" s="1807" t="s">
        <v>10159</v>
      </c>
      <c r="D59" s="1807" t="s">
        <v>10869</v>
      </c>
      <c r="E59" s="1806" t="s">
        <v>10868</v>
      </c>
      <c r="F59" s="1803" t="s">
        <v>788</v>
      </c>
      <c r="G59" s="1803">
        <v>2601.02</v>
      </c>
      <c r="H59" s="1805">
        <v>43.712511999999997</v>
      </c>
      <c r="I59" s="1805">
        <v>113697.11796223999</v>
      </c>
      <c r="J59" s="1804">
        <v>5.2349571103495413E-3</v>
      </c>
      <c r="K59" s="1803" t="s">
        <v>400</v>
      </c>
    </row>
    <row r="60" spans="1:11" x14ac:dyDescent="0.2">
      <c r="A60" s="222" t="s">
        <v>10906</v>
      </c>
      <c r="B60" s="1820"/>
      <c r="C60" s="1820"/>
      <c r="D60" s="1820"/>
      <c r="E60" s="1820" t="s">
        <v>10866</v>
      </c>
      <c r="F60" s="1817"/>
      <c r="G60" s="1817"/>
      <c r="H60" s="1819"/>
      <c r="I60" s="1819">
        <v>0</v>
      </c>
      <c r="J60" s="1818"/>
      <c r="K60" s="1817" t="s">
        <v>400</v>
      </c>
    </row>
    <row r="61" spans="1:11" x14ac:dyDescent="0.2">
      <c r="A61" s="1816" t="s">
        <v>10905</v>
      </c>
      <c r="B61" s="1815"/>
      <c r="C61" s="1814"/>
      <c r="D61" s="1814"/>
      <c r="E61" s="1813" t="s">
        <v>10864</v>
      </c>
      <c r="F61" s="1810" t="s">
        <v>1243</v>
      </c>
      <c r="G61" s="1810">
        <v>16873.23</v>
      </c>
      <c r="H61" s="1812">
        <v>0</v>
      </c>
      <c r="I61" s="1812">
        <v>0</v>
      </c>
      <c r="J61" s="1811"/>
      <c r="K61" s="1810" t="s">
        <v>400</v>
      </c>
    </row>
    <row r="62" spans="1:11" x14ac:dyDescent="0.2">
      <c r="A62" s="1809" t="s">
        <v>10904</v>
      </c>
      <c r="B62" s="1808"/>
      <c r="C62" s="1807"/>
      <c r="D62" s="1807"/>
      <c r="E62" s="1806" t="s">
        <v>10862</v>
      </c>
      <c r="F62" s="1803" t="s">
        <v>1243</v>
      </c>
      <c r="G62" s="1803">
        <v>1354.93</v>
      </c>
      <c r="H62" s="1805">
        <v>0</v>
      </c>
      <c r="I62" s="1805">
        <v>0</v>
      </c>
      <c r="J62" s="1804"/>
      <c r="K62" s="1803" t="s">
        <v>400</v>
      </c>
    </row>
    <row r="63" spans="1:11" x14ac:dyDescent="0.2">
      <c r="A63" s="222" t="s">
        <v>10903</v>
      </c>
      <c r="B63" s="1820"/>
      <c r="C63" s="1820"/>
      <c r="D63" s="1820"/>
      <c r="E63" s="1820" t="s">
        <v>10860</v>
      </c>
      <c r="F63" s="1817"/>
      <c r="G63" s="1817"/>
      <c r="H63" s="1819"/>
      <c r="I63" s="1819">
        <v>0</v>
      </c>
      <c r="J63" s="1818"/>
      <c r="K63" s="1817" t="s">
        <v>400</v>
      </c>
    </row>
    <row r="64" spans="1:11" x14ac:dyDescent="0.2">
      <c r="A64" s="1816" t="s">
        <v>10902</v>
      </c>
      <c r="B64" s="1815"/>
      <c r="C64" s="1814"/>
      <c r="D64" s="1814"/>
      <c r="E64" s="1813" t="s">
        <v>10858</v>
      </c>
      <c r="F64" s="1810" t="s">
        <v>1243</v>
      </c>
      <c r="G64" s="1810">
        <v>287.37</v>
      </c>
      <c r="H64" s="1812">
        <v>0</v>
      </c>
      <c r="I64" s="1812">
        <v>0</v>
      </c>
      <c r="J64" s="1811"/>
      <c r="K64" s="1810" t="s">
        <v>400</v>
      </c>
    </row>
    <row r="65" spans="1:11" x14ac:dyDescent="0.2">
      <c r="A65" s="1826" t="s">
        <v>10901</v>
      </c>
      <c r="B65" s="1825"/>
      <c r="C65" s="1824"/>
      <c r="D65" s="1824"/>
      <c r="E65" s="1824" t="s">
        <v>9781</v>
      </c>
      <c r="F65" s="1821"/>
      <c r="G65" s="1821"/>
      <c r="H65" s="1823"/>
      <c r="I65" s="1823">
        <v>866278.13788489997</v>
      </c>
      <c r="J65" s="1822">
        <v>3.9886049697117343E-2</v>
      </c>
      <c r="K65" s="1821" t="s">
        <v>400</v>
      </c>
    </row>
    <row r="66" spans="1:11" x14ac:dyDescent="0.2">
      <c r="A66" s="222" t="s">
        <v>10900</v>
      </c>
      <c r="B66" s="1820"/>
      <c r="C66" s="1820"/>
      <c r="D66" s="1820"/>
      <c r="E66" s="1820" t="s">
        <v>10899</v>
      </c>
      <c r="F66" s="1817"/>
      <c r="G66" s="1817"/>
      <c r="H66" s="1819"/>
      <c r="I66" s="1819">
        <v>489178.45093599998</v>
      </c>
      <c r="J66" s="1818">
        <v>2.2523246462655851E-2</v>
      </c>
      <c r="K66" s="1817" t="s">
        <v>400</v>
      </c>
    </row>
    <row r="67" spans="1:11" x14ac:dyDescent="0.2">
      <c r="A67" s="1809" t="s">
        <v>10898</v>
      </c>
      <c r="B67" s="1808"/>
      <c r="C67" s="1807"/>
      <c r="D67" s="1807"/>
      <c r="E67" s="1806" t="s">
        <v>10897</v>
      </c>
      <c r="F67" s="1803" t="s">
        <v>1243</v>
      </c>
      <c r="G67" s="1803">
        <v>398.15</v>
      </c>
      <c r="H67" s="1805">
        <v>0</v>
      </c>
      <c r="I67" s="1805">
        <v>0</v>
      </c>
      <c r="J67" s="1804"/>
      <c r="K67" s="1803" t="s">
        <v>400</v>
      </c>
    </row>
    <row r="68" spans="1:11" x14ac:dyDescent="0.2">
      <c r="A68" s="1816" t="s">
        <v>10896</v>
      </c>
      <c r="B68" s="1815"/>
      <c r="C68" s="1814"/>
      <c r="D68" s="1814"/>
      <c r="E68" s="1813" t="s">
        <v>10895</v>
      </c>
      <c r="F68" s="1810" t="s">
        <v>1243</v>
      </c>
      <c r="G68" s="1810">
        <v>3063.66</v>
      </c>
      <c r="H68" s="1812">
        <v>0</v>
      </c>
      <c r="I68" s="1812">
        <v>0</v>
      </c>
      <c r="J68" s="1811"/>
      <c r="K68" s="1810" t="s">
        <v>400</v>
      </c>
    </row>
    <row r="69" spans="1:11" ht="25.5" x14ac:dyDescent="0.2">
      <c r="A69" s="1809" t="s">
        <v>10894</v>
      </c>
      <c r="B69" s="1808" t="s">
        <v>10160</v>
      </c>
      <c r="C69" s="1807" t="s">
        <v>10159</v>
      </c>
      <c r="D69" s="1807" t="s">
        <v>10893</v>
      </c>
      <c r="E69" s="1806" t="s">
        <v>10892</v>
      </c>
      <c r="F69" s="1803" t="s">
        <v>642</v>
      </c>
      <c r="G69" s="1803">
        <v>8394.2800000000007</v>
      </c>
      <c r="H69" s="1805">
        <v>25.096</v>
      </c>
      <c r="I69" s="1805">
        <v>210662.85088000001</v>
      </c>
      <c r="J69" s="1804">
        <v>9.6995509549064936E-3</v>
      </c>
      <c r="K69" s="1803" t="s">
        <v>400</v>
      </c>
    </row>
    <row r="70" spans="1:11" ht="25.5" x14ac:dyDescent="0.2">
      <c r="A70" s="1816" t="s">
        <v>10891</v>
      </c>
      <c r="B70" s="1815" t="s">
        <v>10160</v>
      </c>
      <c r="C70" s="1814" t="s">
        <v>10159</v>
      </c>
      <c r="D70" s="1814" t="s">
        <v>10890</v>
      </c>
      <c r="E70" s="1813" t="s">
        <v>10889</v>
      </c>
      <c r="F70" s="1810" t="s">
        <v>642</v>
      </c>
      <c r="G70" s="1810">
        <v>5416.8</v>
      </c>
      <c r="H70" s="1812">
        <v>40.766399999999997</v>
      </c>
      <c r="I70" s="1812">
        <v>220823.43552</v>
      </c>
      <c r="J70" s="1811">
        <v>1.0167374816757955E-2</v>
      </c>
      <c r="K70" s="1810" t="s">
        <v>400</v>
      </c>
    </row>
    <row r="71" spans="1:11" ht="25.5" x14ac:dyDescent="0.2">
      <c r="A71" s="1809" t="s">
        <v>10888</v>
      </c>
      <c r="B71" s="1808" t="s">
        <v>10160</v>
      </c>
      <c r="C71" s="1807" t="s">
        <v>10159</v>
      </c>
      <c r="D71" s="1807" t="s">
        <v>10887</v>
      </c>
      <c r="E71" s="1806" t="s">
        <v>10886</v>
      </c>
      <c r="F71" s="1803" t="s">
        <v>642</v>
      </c>
      <c r="G71" s="1803">
        <v>1019.57</v>
      </c>
      <c r="H71" s="1805">
        <v>56.584800000000001</v>
      </c>
      <c r="I71" s="1805">
        <v>57692.164536000004</v>
      </c>
      <c r="J71" s="1804">
        <v>2.6563206909914071E-3</v>
      </c>
      <c r="K71" s="1803" t="s">
        <v>400</v>
      </c>
    </row>
    <row r="72" spans="1:11" x14ac:dyDescent="0.2">
      <c r="A72" s="222" t="s">
        <v>10885</v>
      </c>
      <c r="B72" s="1820"/>
      <c r="C72" s="1820"/>
      <c r="D72" s="1820"/>
      <c r="E72" s="1820" t="s">
        <v>10884</v>
      </c>
      <c r="F72" s="1817"/>
      <c r="G72" s="1817"/>
      <c r="H72" s="1819"/>
      <c r="I72" s="1819">
        <v>0</v>
      </c>
      <c r="J72" s="1818"/>
      <c r="K72" s="1817" t="s">
        <v>400</v>
      </c>
    </row>
    <row r="73" spans="1:11" x14ac:dyDescent="0.2">
      <c r="A73" s="1816" t="s">
        <v>10883</v>
      </c>
      <c r="B73" s="1815"/>
      <c r="C73" s="1814"/>
      <c r="D73" s="1814"/>
      <c r="E73" s="1813" t="s">
        <v>10882</v>
      </c>
      <c r="F73" s="1810" t="s">
        <v>1243</v>
      </c>
      <c r="G73" s="1810">
        <v>245.34</v>
      </c>
      <c r="H73" s="1812">
        <v>0</v>
      </c>
      <c r="I73" s="1812">
        <v>0</v>
      </c>
      <c r="J73" s="1811"/>
      <c r="K73" s="1810" t="s">
        <v>400</v>
      </c>
    </row>
    <row r="74" spans="1:11" x14ac:dyDescent="0.2">
      <c r="A74" s="1809" t="s">
        <v>10881</v>
      </c>
      <c r="B74" s="1808"/>
      <c r="C74" s="1807"/>
      <c r="D74" s="1807"/>
      <c r="E74" s="1806" t="s">
        <v>10880</v>
      </c>
      <c r="F74" s="1803" t="s">
        <v>1243</v>
      </c>
      <c r="G74" s="1803">
        <v>662.3</v>
      </c>
      <c r="H74" s="1805">
        <v>0</v>
      </c>
      <c r="I74" s="1805">
        <v>0</v>
      </c>
      <c r="J74" s="1804"/>
      <c r="K74" s="1803" t="s">
        <v>400</v>
      </c>
    </row>
    <row r="75" spans="1:11" x14ac:dyDescent="0.2">
      <c r="A75" s="222" t="s">
        <v>10879</v>
      </c>
      <c r="B75" s="1820"/>
      <c r="C75" s="1820"/>
      <c r="D75" s="1820"/>
      <c r="E75" s="1820" t="s">
        <v>10878</v>
      </c>
      <c r="F75" s="1817"/>
      <c r="G75" s="1817"/>
      <c r="H75" s="1819"/>
      <c r="I75" s="1819">
        <v>377099.68694889999</v>
      </c>
      <c r="J75" s="1818">
        <v>1.7362803234461488E-2</v>
      </c>
      <c r="K75" s="1817" t="s">
        <v>400</v>
      </c>
    </row>
    <row r="76" spans="1:11" ht="25.5" x14ac:dyDescent="0.2">
      <c r="A76" s="1816" t="s">
        <v>10877</v>
      </c>
      <c r="B76" s="1815" t="s">
        <v>10160</v>
      </c>
      <c r="C76" s="1814" t="s">
        <v>10159</v>
      </c>
      <c r="D76" s="1814" t="s">
        <v>10869</v>
      </c>
      <c r="E76" s="1813" t="s">
        <v>10868</v>
      </c>
      <c r="F76" s="1810" t="s">
        <v>788</v>
      </c>
      <c r="G76" s="1810">
        <v>1126.07</v>
      </c>
      <c r="H76" s="1812">
        <v>43.712511999999997</v>
      </c>
      <c r="I76" s="1812">
        <v>49223.348387839993</v>
      </c>
      <c r="J76" s="1811">
        <v>2.2663909363447058E-3</v>
      </c>
      <c r="K76" s="1810" t="s">
        <v>400</v>
      </c>
    </row>
    <row r="77" spans="1:11" ht="25.5" x14ac:dyDescent="0.2">
      <c r="A77" s="1809" t="s">
        <v>10876</v>
      </c>
      <c r="B77" s="1808" t="s">
        <v>10160</v>
      </c>
      <c r="C77" s="1807" t="s">
        <v>10159</v>
      </c>
      <c r="D77" s="1807" t="s">
        <v>10875</v>
      </c>
      <c r="E77" s="1806" t="s">
        <v>10874</v>
      </c>
      <c r="F77" s="1803" t="s">
        <v>788</v>
      </c>
      <c r="G77" s="1803">
        <v>54949.59</v>
      </c>
      <c r="H77" s="1805">
        <v>3.6337980000000001</v>
      </c>
      <c r="I77" s="1805">
        <v>199675.71024282</v>
      </c>
      <c r="J77" s="1804">
        <v>9.1936699701297472E-3</v>
      </c>
      <c r="K77" s="1803" t="s">
        <v>400</v>
      </c>
    </row>
    <row r="78" spans="1:11" ht="25.5" x14ac:dyDescent="0.2">
      <c r="A78" s="1816" t="s">
        <v>10873</v>
      </c>
      <c r="B78" s="1815" t="s">
        <v>10160</v>
      </c>
      <c r="C78" s="1814" t="s">
        <v>10159</v>
      </c>
      <c r="D78" s="1814" t="s">
        <v>10872</v>
      </c>
      <c r="E78" s="1813" t="s">
        <v>10871</v>
      </c>
      <c r="F78" s="1810" t="s">
        <v>1243</v>
      </c>
      <c r="G78" s="1810">
        <v>9600.0499999999993</v>
      </c>
      <c r="H78" s="1812">
        <v>1.85</v>
      </c>
      <c r="I78" s="1812">
        <v>17760.092499999999</v>
      </c>
      <c r="J78" s="1811">
        <v>8.1772804957305919E-4</v>
      </c>
      <c r="K78" s="1810" t="s">
        <v>400</v>
      </c>
    </row>
    <row r="79" spans="1:11" ht="25.5" x14ac:dyDescent="0.2">
      <c r="A79" s="1809" t="s">
        <v>10870</v>
      </c>
      <c r="B79" s="1808" t="s">
        <v>10160</v>
      </c>
      <c r="C79" s="1807" t="s">
        <v>10159</v>
      </c>
      <c r="D79" s="1807" t="s">
        <v>10869</v>
      </c>
      <c r="E79" s="1806" t="s">
        <v>10868</v>
      </c>
      <c r="F79" s="1803" t="s">
        <v>788</v>
      </c>
      <c r="G79" s="1803">
        <v>2526.52</v>
      </c>
      <c r="H79" s="1805">
        <v>43.712511999999997</v>
      </c>
      <c r="I79" s="1805">
        <v>110440.53581823999</v>
      </c>
      <c r="J79" s="1804">
        <v>5.0850142784139764E-3</v>
      </c>
      <c r="K79" s="1803" t="s">
        <v>400</v>
      </c>
    </row>
    <row r="80" spans="1:11" x14ac:dyDescent="0.2">
      <c r="A80" s="222" t="s">
        <v>10867</v>
      </c>
      <c r="B80" s="1820"/>
      <c r="C80" s="1820"/>
      <c r="D80" s="1820"/>
      <c r="E80" s="1820" t="s">
        <v>10866</v>
      </c>
      <c r="F80" s="1817"/>
      <c r="G80" s="1817"/>
      <c r="H80" s="1819"/>
      <c r="I80" s="1819">
        <v>0</v>
      </c>
      <c r="J80" s="1818"/>
      <c r="K80" s="1817" t="s">
        <v>400</v>
      </c>
    </row>
    <row r="81" spans="1:11" x14ac:dyDescent="0.2">
      <c r="A81" s="1816" t="s">
        <v>10865</v>
      </c>
      <c r="B81" s="1815"/>
      <c r="C81" s="1814"/>
      <c r="D81" s="1814"/>
      <c r="E81" s="1813" t="s">
        <v>10864</v>
      </c>
      <c r="F81" s="1810" t="s">
        <v>1243</v>
      </c>
      <c r="G81" s="1810">
        <v>20189.64</v>
      </c>
      <c r="H81" s="1812">
        <v>0</v>
      </c>
      <c r="I81" s="1812">
        <v>0</v>
      </c>
      <c r="J81" s="1811"/>
      <c r="K81" s="1810" t="s">
        <v>400</v>
      </c>
    </row>
    <row r="82" spans="1:11" x14ac:dyDescent="0.2">
      <c r="A82" s="1809" t="s">
        <v>10863</v>
      </c>
      <c r="B82" s="1808"/>
      <c r="C82" s="1807"/>
      <c r="D82" s="1807"/>
      <c r="E82" s="1806" t="s">
        <v>10862</v>
      </c>
      <c r="F82" s="1803" t="s">
        <v>1243</v>
      </c>
      <c r="G82" s="1803">
        <v>907.65</v>
      </c>
      <c r="H82" s="1805">
        <v>0</v>
      </c>
      <c r="I82" s="1805">
        <v>0</v>
      </c>
      <c r="J82" s="1804"/>
      <c r="K82" s="1803" t="s">
        <v>400</v>
      </c>
    </row>
    <row r="83" spans="1:11" x14ac:dyDescent="0.2">
      <c r="A83" s="222" t="s">
        <v>10861</v>
      </c>
      <c r="B83" s="1820"/>
      <c r="C83" s="1820"/>
      <c r="D83" s="1820"/>
      <c r="E83" s="1820" t="s">
        <v>10860</v>
      </c>
      <c r="F83" s="1817"/>
      <c r="G83" s="1817"/>
      <c r="H83" s="1819"/>
      <c r="I83" s="1819">
        <v>0</v>
      </c>
      <c r="J83" s="1818"/>
      <c r="K83" s="1817" t="s">
        <v>400</v>
      </c>
    </row>
    <row r="84" spans="1:11" x14ac:dyDescent="0.2">
      <c r="A84" s="1816" t="s">
        <v>10859</v>
      </c>
      <c r="B84" s="1815"/>
      <c r="C84" s="1814"/>
      <c r="D84" s="1814"/>
      <c r="E84" s="1813" t="s">
        <v>10858</v>
      </c>
      <c r="F84" s="1810" t="s">
        <v>1243</v>
      </c>
      <c r="G84" s="1810">
        <v>269.16000000000003</v>
      </c>
      <c r="H84" s="1812">
        <v>0</v>
      </c>
      <c r="I84" s="1812">
        <v>0</v>
      </c>
      <c r="J84" s="1811"/>
      <c r="K84" s="1810" t="s">
        <v>400</v>
      </c>
    </row>
    <row r="85" spans="1:11" x14ac:dyDescent="0.2">
      <c r="A85" s="1832" t="s">
        <v>10857</v>
      </c>
      <c r="B85" s="1831"/>
      <c r="C85" s="1830"/>
      <c r="D85" s="1830"/>
      <c r="E85" s="1830" t="s">
        <v>10856</v>
      </c>
      <c r="F85" s="1827"/>
      <c r="G85" s="1827"/>
      <c r="H85" s="1829"/>
      <c r="I85" s="1829">
        <v>331117.51050000003</v>
      </c>
      <c r="J85" s="1828">
        <v>1.5245645597884808E-2</v>
      </c>
      <c r="K85" s="1827" t="s">
        <v>400</v>
      </c>
    </row>
    <row r="86" spans="1:11" x14ac:dyDescent="0.2">
      <c r="A86" s="1826" t="s">
        <v>10855</v>
      </c>
      <c r="B86" s="1825"/>
      <c r="C86" s="1824"/>
      <c r="D86" s="1824"/>
      <c r="E86" s="1824" t="s">
        <v>9706</v>
      </c>
      <c r="F86" s="1821"/>
      <c r="G86" s="1821"/>
      <c r="H86" s="1823"/>
      <c r="I86" s="1823">
        <v>0</v>
      </c>
      <c r="J86" s="1822"/>
      <c r="K86" s="1821" t="s">
        <v>400</v>
      </c>
    </row>
    <row r="87" spans="1:11" x14ac:dyDescent="0.2">
      <c r="A87" s="222" t="s">
        <v>10854</v>
      </c>
      <c r="B87" s="1820"/>
      <c r="C87" s="1820"/>
      <c r="D87" s="1820"/>
      <c r="E87" s="1820" t="s">
        <v>10832</v>
      </c>
      <c r="F87" s="1817"/>
      <c r="G87" s="1817"/>
      <c r="H87" s="1819"/>
      <c r="I87" s="1819">
        <v>0</v>
      </c>
      <c r="J87" s="1818"/>
      <c r="K87" s="1817" t="s">
        <v>400</v>
      </c>
    </row>
    <row r="88" spans="1:11" x14ac:dyDescent="0.2">
      <c r="A88" s="1809" t="s">
        <v>10853</v>
      </c>
      <c r="B88" s="1808"/>
      <c r="C88" s="1807"/>
      <c r="D88" s="1807"/>
      <c r="E88" s="1806" t="s">
        <v>10830</v>
      </c>
      <c r="F88" s="1803" t="s">
        <v>1243</v>
      </c>
      <c r="G88" s="1803">
        <v>84.83</v>
      </c>
      <c r="H88" s="1805">
        <v>0</v>
      </c>
      <c r="I88" s="1805">
        <v>0</v>
      </c>
      <c r="J88" s="1804"/>
      <c r="K88" s="1803" t="s">
        <v>400</v>
      </c>
    </row>
    <row r="89" spans="1:11" x14ac:dyDescent="0.2">
      <c r="A89" s="1826" t="s">
        <v>10852</v>
      </c>
      <c r="B89" s="1825"/>
      <c r="C89" s="1824"/>
      <c r="D89" s="1824"/>
      <c r="E89" s="1824" t="s">
        <v>9838</v>
      </c>
      <c r="F89" s="1821"/>
      <c r="G89" s="1821"/>
      <c r="H89" s="1823"/>
      <c r="I89" s="1823">
        <v>331117.51050000003</v>
      </c>
      <c r="J89" s="1822">
        <v>1.5245645597884808E-2</v>
      </c>
      <c r="K89" s="1821" t="s">
        <v>400</v>
      </c>
    </row>
    <row r="90" spans="1:11" x14ac:dyDescent="0.2">
      <c r="A90" s="222" t="s">
        <v>10851</v>
      </c>
      <c r="B90" s="1820"/>
      <c r="C90" s="1820"/>
      <c r="D90" s="1820"/>
      <c r="E90" s="1820" t="s">
        <v>10850</v>
      </c>
      <c r="F90" s="1817"/>
      <c r="G90" s="1817"/>
      <c r="H90" s="1819"/>
      <c r="I90" s="1819">
        <v>0</v>
      </c>
      <c r="J90" s="1818"/>
      <c r="K90" s="1817" t="s">
        <v>400</v>
      </c>
    </row>
    <row r="91" spans="1:11" x14ac:dyDescent="0.2">
      <c r="A91" s="1816" t="s">
        <v>10849</v>
      </c>
      <c r="B91" s="1815"/>
      <c r="C91" s="1814"/>
      <c r="D91" s="1814"/>
      <c r="E91" s="1813" t="s">
        <v>10848</v>
      </c>
      <c r="F91" s="1810" t="s">
        <v>1243</v>
      </c>
      <c r="G91" s="1810">
        <v>755.42</v>
      </c>
      <c r="H91" s="1812">
        <v>0</v>
      </c>
      <c r="I91" s="1812">
        <v>0</v>
      </c>
      <c r="J91" s="1811"/>
      <c r="K91" s="1810" t="s">
        <v>400</v>
      </c>
    </row>
    <row r="92" spans="1:11" x14ac:dyDescent="0.2">
      <c r="A92" s="1809" t="s">
        <v>10847</v>
      </c>
      <c r="B92" s="1808"/>
      <c r="C92" s="1807"/>
      <c r="D92" s="1807"/>
      <c r="E92" s="1806" t="s">
        <v>10846</v>
      </c>
      <c r="F92" s="1803" t="s">
        <v>1243</v>
      </c>
      <c r="G92" s="1803">
        <v>55.75</v>
      </c>
      <c r="H92" s="1805">
        <v>0</v>
      </c>
      <c r="I92" s="1805">
        <v>0</v>
      </c>
      <c r="J92" s="1804"/>
      <c r="K92" s="1803" t="s">
        <v>400</v>
      </c>
    </row>
    <row r="93" spans="1:11" x14ac:dyDescent="0.2">
      <c r="A93" s="222" t="s">
        <v>10845</v>
      </c>
      <c r="B93" s="1820"/>
      <c r="C93" s="1820"/>
      <c r="D93" s="1820"/>
      <c r="E93" s="1820" t="s">
        <v>10844</v>
      </c>
      <c r="F93" s="1817"/>
      <c r="G93" s="1817"/>
      <c r="H93" s="1819"/>
      <c r="I93" s="1819">
        <v>331117.51050000003</v>
      </c>
      <c r="J93" s="1818">
        <v>1.5245645597884808E-2</v>
      </c>
      <c r="K93" s="1817" t="s">
        <v>400</v>
      </c>
    </row>
    <row r="94" spans="1:11" ht="25.5" x14ac:dyDescent="0.2">
      <c r="A94" s="1816" t="s">
        <v>10843</v>
      </c>
      <c r="B94" s="1815" t="s">
        <v>10160</v>
      </c>
      <c r="C94" s="1814" t="s">
        <v>10159</v>
      </c>
      <c r="D94" s="1814" t="s">
        <v>10842</v>
      </c>
      <c r="E94" s="1813" t="s">
        <v>10841</v>
      </c>
      <c r="F94" s="1810" t="s">
        <v>642</v>
      </c>
      <c r="G94" s="1810">
        <v>9140.58</v>
      </c>
      <c r="H94" s="1812">
        <v>36.225000000000001</v>
      </c>
      <c r="I94" s="1812">
        <v>331117.51050000003</v>
      </c>
      <c r="J94" s="1811">
        <v>1.5245645597884808E-2</v>
      </c>
      <c r="K94" s="1810" t="s">
        <v>400</v>
      </c>
    </row>
    <row r="95" spans="1:11" x14ac:dyDescent="0.2">
      <c r="A95" s="222" t="s">
        <v>10840</v>
      </c>
      <c r="B95" s="1820"/>
      <c r="C95" s="1820"/>
      <c r="D95" s="1820"/>
      <c r="E95" s="1820" t="s">
        <v>10832</v>
      </c>
      <c r="F95" s="1817"/>
      <c r="G95" s="1817"/>
      <c r="H95" s="1819"/>
      <c r="I95" s="1819">
        <v>0</v>
      </c>
      <c r="J95" s="1818"/>
      <c r="K95" s="1817" t="s">
        <v>400</v>
      </c>
    </row>
    <row r="96" spans="1:11" x14ac:dyDescent="0.2">
      <c r="A96" s="1809" t="s">
        <v>10839</v>
      </c>
      <c r="B96" s="1808"/>
      <c r="C96" s="1807"/>
      <c r="D96" s="1807"/>
      <c r="E96" s="1806" t="s">
        <v>10838</v>
      </c>
      <c r="F96" s="1803" t="s">
        <v>1243</v>
      </c>
      <c r="G96" s="1803">
        <v>582.79</v>
      </c>
      <c r="H96" s="1805">
        <v>0</v>
      </c>
      <c r="I96" s="1805">
        <v>0</v>
      </c>
      <c r="J96" s="1804"/>
      <c r="K96" s="1803" t="s">
        <v>400</v>
      </c>
    </row>
    <row r="97" spans="1:11" x14ac:dyDescent="0.2">
      <c r="A97" s="1826" t="s">
        <v>10837</v>
      </c>
      <c r="B97" s="1825"/>
      <c r="C97" s="1824"/>
      <c r="D97" s="1824"/>
      <c r="E97" s="1824" t="s">
        <v>9832</v>
      </c>
      <c r="F97" s="1821"/>
      <c r="G97" s="1821"/>
      <c r="H97" s="1823"/>
      <c r="I97" s="1823">
        <v>0</v>
      </c>
      <c r="J97" s="1822"/>
      <c r="K97" s="1821" t="s">
        <v>400</v>
      </c>
    </row>
    <row r="98" spans="1:11" x14ac:dyDescent="0.2">
      <c r="A98" s="222" t="s">
        <v>10836</v>
      </c>
      <c r="B98" s="1820"/>
      <c r="C98" s="1820"/>
      <c r="D98" s="1820"/>
      <c r="E98" s="1820" t="s">
        <v>10832</v>
      </c>
      <c r="F98" s="1817"/>
      <c r="G98" s="1817"/>
      <c r="H98" s="1819"/>
      <c r="I98" s="1819">
        <v>0</v>
      </c>
      <c r="J98" s="1818"/>
      <c r="K98" s="1817" t="s">
        <v>400</v>
      </c>
    </row>
    <row r="99" spans="1:11" x14ac:dyDescent="0.2">
      <c r="A99" s="1816" t="s">
        <v>10835</v>
      </c>
      <c r="B99" s="1815"/>
      <c r="C99" s="1814"/>
      <c r="D99" s="1814"/>
      <c r="E99" s="1813" t="s">
        <v>10830</v>
      </c>
      <c r="F99" s="1810" t="s">
        <v>1243</v>
      </c>
      <c r="G99" s="1810">
        <v>252.2</v>
      </c>
      <c r="H99" s="1812">
        <v>0</v>
      </c>
      <c r="I99" s="1812">
        <v>0</v>
      </c>
      <c r="J99" s="1811"/>
      <c r="K99" s="1810" t="s">
        <v>400</v>
      </c>
    </row>
    <row r="100" spans="1:11" x14ac:dyDescent="0.2">
      <c r="A100" s="1826" t="s">
        <v>10834</v>
      </c>
      <c r="B100" s="1825"/>
      <c r="C100" s="1824"/>
      <c r="D100" s="1824"/>
      <c r="E100" s="1824" t="s">
        <v>9781</v>
      </c>
      <c r="F100" s="1821"/>
      <c r="G100" s="1821"/>
      <c r="H100" s="1823"/>
      <c r="I100" s="1823">
        <v>0</v>
      </c>
      <c r="J100" s="1822"/>
      <c r="K100" s="1821" t="s">
        <v>400</v>
      </c>
    </row>
    <row r="101" spans="1:11" x14ac:dyDescent="0.2">
      <c r="A101" s="222" t="s">
        <v>10833</v>
      </c>
      <c r="B101" s="1820"/>
      <c r="C101" s="1820"/>
      <c r="D101" s="1820"/>
      <c r="E101" s="1820" t="s">
        <v>10832</v>
      </c>
      <c r="F101" s="1817"/>
      <c r="G101" s="1817"/>
      <c r="H101" s="1819"/>
      <c r="I101" s="1819">
        <v>0</v>
      </c>
      <c r="J101" s="1818"/>
      <c r="K101" s="1817" t="s">
        <v>400</v>
      </c>
    </row>
    <row r="102" spans="1:11" x14ac:dyDescent="0.2">
      <c r="A102" s="1809" t="s">
        <v>10831</v>
      </c>
      <c r="B102" s="1808"/>
      <c r="C102" s="1807"/>
      <c r="D102" s="1807"/>
      <c r="E102" s="1806" t="s">
        <v>10830</v>
      </c>
      <c r="F102" s="1803" t="s">
        <v>1243</v>
      </c>
      <c r="G102" s="1803">
        <v>234.85</v>
      </c>
      <c r="H102" s="1805">
        <v>0</v>
      </c>
      <c r="I102" s="1805">
        <v>0</v>
      </c>
      <c r="J102" s="1804"/>
      <c r="K102" s="1803" t="s">
        <v>400</v>
      </c>
    </row>
    <row r="103" spans="1:11" x14ac:dyDescent="0.2">
      <c r="A103" s="1832" t="s">
        <v>10829</v>
      </c>
      <c r="B103" s="1831"/>
      <c r="C103" s="1830"/>
      <c r="D103" s="1830"/>
      <c r="E103" s="1830" t="s">
        <v>10828</v>
      </c>
      <c r="F103" s="1827"/>
      <c r="G103" s="1827"/>
      <c r="H103" s="1829"/>
      <c r="I103" s="1829">
        <v>4588051.8664500006</v>
      </c>
      <c r="J103" s="1828">
        <v>0.21124770065765103</v>
      </c>
      <c r="K103" s="1827" t="s">
        <v>400</v>
      </c>
    </row>
    <row r="104" spans="1:11" x14ac:dyDescent="0.2">
      <c r="A104" s="1826" t="s">
        <v>10827</v>
      </c>
      <c r="B104" s="1825"/>
      <c r="C104" s="1824"/>
      <c r="D104" s="1824"/>
      <c r="E104" s="1824" t="s">
        <v>9706</v>
      </c>
      <c r="F104" s="1821"/>
      <c r="G104" s="1821"/>
      <c r="H104" s="1823"/>
      <c r="I104" s="1823">
        <v>729384.80223000003</v>
      </c>
      <c r="J104" s="1822">
        <v>3.3583068991097288E-2</v>
      </c>
      <c r="K104" s="1821" t="s">
        <v>400</v>
      </c>
    </row>
    <row r="105" spans="1:11" x14ac:dyDescent="0.2">
      <c r="A105" s="222" t="s">
        <v>10826</v>
      </c>
      <c r="B105" s="1820"/>
      <c r="C105" s="1820"/>
      <c r="D105" s="1820"/>
      <c r="E105" s="1820" t="s">
        <v>10799</v>
      </c>
      <c r="F105" s="1817"/>
      <c r="G105" s="1817"/>
      <c r="H105" s="1819"/>
      <c r="I105" s="1819">
        <v>291649.25222999998</v>
      </c>
      <c r="J105" s="1818">
        <v>1.3428408336582655E-2</v>
      </c>
      <c r="K105" s="1817" t="s">
        <v>400</v>
      </c>
    </row>
    <row r="106" spans="1:11" ht="25.5" x14ac:dyDescent="0.2">
      <c r="A106" s="1816" t="s">
        <v>10825</v>
      </c>
      <c r="B106" s="1815" t="s">
        <v>10160</v>
      </c>
      <c r="C106" s="1814" t="s">
        <v>10159</v>
      </c>
      <c r="D106" s="1814" t="s">
        <v>10797</v>
      </c>
      <c r="E106" s="1813" t="s">
        <v>10796</v>
      </c>
      <c r="F106" s="1810" t="s">
        <v>642</v>
      </c>
      <c r="G106" s="1810">
        <v>5164.25</v>
      </c>
      <c r="H106" s="1812">
        <v>6.4589999999999996</v>
      </c>
      <c r="I106" s="1812">
        <v>33355.890749999999</v>
      </c>
      <c r="J106" s="1811">
        <v>1.5358054855158861E-3</v>
      </c>
      <c r="K106" s="1810" t="s">
        <v>400</v>
      </c>
    </row>
    <row r="107" spans="1:11" ht="25.5" x14ac:dyDescent="0.2">
      <c r="A107" s="1809" t="s">
        <v>10824</v>
      </c>
      <c r="B107" s="1808" t="s">
        <v>10160</v>
      </c>
      <c r="C107" s="1807" t="s">
        <v>10159</v>
      </c>
      <c r="D107" s="1807" t="s">
        <v>10794</v>
      </c>
      <c r="E107" s="1806" t="s">
        <v>10793</v>
      </c>
      <c r="F107" s="1803" t="s">
        <v>642</v>
      </c>
      <c r="G107" s="1803">
        <v>7010.14</v>
      </c>
      <c r="H107" s="1805">
        <v>5.5019999999999998</v>
      </c>
      <c r="I107" s="1805">
        <v>38569.790280000001</v>
      </c>
      <c r="J107" s="1804">
        <v>1.7758690940436453E-3</v>
      </c>
      <c r="K107" s="1803" t="s">
        <v>400</v>
      </c>
    </row>
    <row r="108" spans="1:11" ht="25.5" x14ac:dyDescent="0.2">
      <c r="A108" s="1816" t="s">
        <v>10823</v>
      </c>
      <c r="B108" s="1815" t="s">
        <v>10160</v>
      </c>
      <c r="C108" s="1814" t="s">
        <v>10159</v>
      </c>
      <c r="D108" s="1814" t="s">
        <v>10791</v>
      </c>
      <c r="E108" s="1813" t="s">
        <v>10790</v>
      </c>
      <c r="F108" s="1810" t="s">
        <v>642</v>
      </c>
      <c r="G108" s="1810">
        <v>12174.4</v>
      </c>
      <c r="H108" s="1812">
        <v>18.047999999999998</v>
      </c>
      <c r="I108" s="1812">
        <v>219723.57119999998</v>
      </c>
      <c r="J108" s="1811">
        <v>1.0116733757023124E-2</v>
      </c>
      <c r="K108" s="1810" t="s">
        <v>400</v>
      </c>
    </row>
    <row r="109" spans="1:11" x14ac:dyDescent="0.2">
      <c r="A109" s="222" t="s">
        <v>10822</v>
      </c>
      <c r="B109" s="1820"/>
      <c r="C109" s="1820"/>
      <c r="D109" s="1820"/>
      <c r="E109" s="1820" t="s">
        <v>10788</v>
      </c>
      <c r="F109" s="1817"/>
      <c r="G109" s="1817"/>
      <c r="H109" s="1819"/>
      <c r="I109" s="1819">
        <v>437735.55</v>
      </c>
      <c r="J109" s="1818">
        <v>2.0154660654514628E-2</v>
      </c>
      <c r="K109" s="1817" t="s">
        <v>400</v>
      </c>
    </row>
    <row r="110" spans="1:11" ht="25.5" x14ac:dyDescent="0.2">
      <c r="A110" s="1809" t="s">
        <v>10821</v>
      </c>
      <c r="B110" s="1808" t="s">
        <v>10160</v>
      </c>
      <c r="C110" s="1807" t="s">
        <v>10159</v>
      </c>
      <c r="D110" s="1807" t="s">
        <v>10786</v>
      </c>
      <c r="E110" s="1806" t="s">
        <v>10785</v>
      </c>
      <c r="F110" s="1803" t="s">
        <v>642</v>
      </c>
      <c r="G110" s="1803">
        <v>12506.73</v>
      </c>
      <c r="H110" s="1805">
        <v>35</v>
      </c>
      <c r="I110" s="1805">
        <v>437735.55</v>
      </c>
      <c r="J110" s="1804">
        <v>2.0154660654514628E-2</v>
      </c>
      <c r="K110" s="1803" t="s">
        <v>400</v>
      </c>
    </row>
    <row r="111" spans="1:11" x14ac:dyDescent="0.2">
      <c r="A111" s="222" t="s">
        <v>10820</v>
      </c>
      <c r="B111" s="1820"/>
      <c r="C111" s="1820"/>
      <c r="D111" s="1820"/>
      <c r="E111" s="1820" t="s">
        <v>10819</v>
      </c>
      <c r="F111" s="1817"/>
      <c r="G111" s="1817"/>
      <c r="H111" s="1819"/>
      <c r="I111" s="1819">
        <v>0</v>
      </c>
      <c r="J111" s="1818"/>
      <c r="K111" s="1817" t="s">
        <v>400</v>
      </c>
    </row>
    <row r="112" spans="1:11" x14ac:dyDescent="0.2">
      <c r="A112" s="1816" t="s">
        <v>10818</v>
      </c>
      <c r="B112" s="1815"/>
      <c r="C112" s="1814"/>
      <c r="D112" s="1814"/>
      <c r="E112" s="1813" t="s">
        <v>10817</v>
      </c>
      <c r="F112" s="1810" t="s">
        <v>1243</v>
      </c>
      <c r="G112" s="1810">
        <v>721.02</v>
      </c>
      <c r="H112" s="1812">
        <v>0</v>
      </c>
      <c r="I112" s="1812">
        <v>0</v>
      </c>
      <c r="J112" s="1811"/>
      <c r="K112" s="1810" t="s">
        <v>400</v>
      </c>
    </row>
    <row r="113" spans="1:11" x14ac:dyDescent="0.2">
      <c r="A113" s="1809" t="s">
        <v>10816</v>
      </c>
      <c r="B113" s="1808"/>
      <c r="C113" s="1807"/>
      <c r="D113" s="1807"/>
      <c r="E113" s="1806" t="s">
        <v>10815</v>
      </c>
      <c r="F113" s="1803" t="s">
        <v>1243</v>
      </c>
      <c r="G113" s="1803">
        <v>7.43</v>
      </c>
      <c r="H113" s="1805">
        <v>0</v>
      </c>
      <c r="I113" s="1805">
        <v>0</v>
      </c>
      <c r="J113" s="1804"/>
      <c r="K113" s="1803" t="s">
        <v>400</v>
      </c>
    </row>
    <row r="114" spans="1:11" ht="25.5" x14ac:dyDescent="0.2">
      <c r="A114" s="1816" t="s">
        <v>10814</v>
      </c>
      <c r="B114" s="1815"/>
      <c r="C114" s="1814"/>
      <c r="D114" s="1814"/>
      <c r="E114" s="1813" t="s">
        <v>10813</v>
      </c>
      <c r="F114" s="1810" t="s">
        <v>1243</v>
      </c>
      <c r="G114" s="1810">
        <v>721.54</v>
      </c>
      <c r="H114" s="1812">
        <v>0</v>
      </c>
      <c r="I114" s="1812">
        <v>0</v>
      </c>
      <c r="J114" s="1811"/>
      <c r="K114" s="1810" t="s">
        <v>400</v>
      </c>
    </row>
    <row r="115" spans="1:11" x14ac:dyDescent="0.2">
      <c r="A115" s="1809" t="s">
        <v>10812</v>
      </c>
      <c r="B115" s="1808"/>
      <c r="C115" s="1807"/>
      <c r="D115" s="1807"/>
      <c r="E115" s="1806" t="s">
        <v>10811</v>
      </c>
      <c r="F115" s="1803" t="s">
        <v>1243</v>
      </c>
      <c r="G115" s="1803">
        <v>182.44</v>
      </c>
      <c r="H115" s="1805">
        <v>0</v>
      </c>
      <c r="I115" s="1805">
        <v>0</v>
      </c>
      <c r="J115" s="1804"/>
      <c r="K115" s="1803" t="s">
        <v>400</v>
      </c>
    </row>
    <row r="116" spans="1:11" ht="25.5" x14ac:dyDescent="0.2">
      <c r="A116" s="1816" t="s">
        <v>10810</v>
      </c>
      <c r="B116" s="1815"/>
      <c r="C116" s="1814"/>
      <c r="D116" s="1814"/>
      <c r="E116" s="1813" t="s">
        <v>10809</v>
      </c>
      <c r="F116" s="1810" t="s">
        <v>1243</v>
      </c>
      <c r="G116" s="1810">
        <v>0.59</v>
      </c>
      <c r="H116" s="1812">
        <v>0</v>
      </c>
      <c r="I116" s="1812">
        <v>0</v>
      </c>
      <c r="J116" s="1811"/>
      <c r="K116" s="1810" t="s">
        <v>400</v>
      </c>
    </row>
    <row r="117" spans="1:11" x14ac:dyDescent="0.2">
      <c r="A117" s="1826" t="s">
        <v>10808</v>
      </c>
      <c r="B117" s="1825"/>
      <c r="C117" s="1824"/>
      <c r="D117" s="1824"/>
      <c r="E117" s="1824" t="s">
        <v>9832</v>
      </c>
      <c r="F117" s="1821"/>
      <c r="G117" s="1821"/>
      <c r="H117" s="1823"/>
      <c r="I117" s="1823">
        <v>2009978.0759999999</v>
      </c>
      <c r="J117" s="1822">
        <v>9.2545433069793431E-2</v>
      </c>
      <c r="K117" s="1821" t="s">
        <v>400</v>
      </c>
    </row>
    <row r="118" spans="1:11" x14ac:dyDescent="0.2">
      <c r="A118" s="222" t="s">
        <v>10807</v>
      </c>
      <c r="B118" s="1820"/>
      <c r="C118" s="1820"/>
      <c r="D118" s="1820"/>
      <c r="E118" s="1820" t="s">
        <v>10799</v>
      </c>
      <c r="F118" s="1817"/>
      <c r="G118" s="1817"/>
      <c r="H118" s="1819"/>
      <c r="I118" s="1819">
        <v>784835.97599999991</v>
      </c>
      <c r="J118" s="1818">
        <v>3.6136207730294662E-2</v>
      </c>
      <c r="K118" s="1817" t="s">
        <v>400</v>
      </c>
    </row>
    <row r="119" spans="1:11" ht="25.5" x14ac:dyDescent="0.2">
      <c r="A119" s="1809" t="s">
        <v>10806</v>
      </c>
      <c r="B119" s="1808" t="s">
        <v>10160</v>
      </c>
      <c r="C119" s="1807" t="s">
        <v>10159</v>
      </c>
      <c r="D119" s="1807" t="s">
        <v>10797</v>
      </c>
      <c r="E119" s="1806" t="s">
        <v>10796</v>
      </c>
      <c r="F119" s="1803" t="s">
        <v>642</v>
      </c>
      <c r="G119" s="1803">
        <v>5257</v>
      </c>
      <c r="H119" s="1805">
        <v>6.4589999999999996</v>
      </c>
      <c r="I119" s="1805">
        <v>33954.962999999996</v>
      </c>
      <c r="J119" s="1804">
        <v>1.5633885728531757E-3</v>
      </c>
      <c r="K119" s="1803" t="s">
        <v>400</v>
      </c>
    </row>
    <row r="120" spans="1:11" ht="25.5" x14ac:dyDescent="0.2">
      <c r="A120" s="1816" t="s">
        <v>10805</v>
      </c>
      <c r="B120" s="1815" t="s">
        <v>10160</v>
      </c>
      <c r="C120" s="1814" t="s">
        <v>10159</v>
      </c>
      <c r="D120" s="1814" t="s">
        <v>10794</v>
      </c>
      <c r="E120" s="1813" t="s">
        <v>10793</v>
      </c>
      <c r="F120" s="1810" t="s">
        <v>642</v>
      </c>
      <c r="G120" s="1810">
        <v>27855.74</v>
      </c>
      <c r="H120" s="1812">
        <v>5.5019999999999998</v>
      </c>
      <c r="I120" s="1812">
        <v>153262.28148000001</v>
      </c>
      <c r="J120" s="1811">
        <v>7.0566561805777538E-3</v>
      </c>
      <c r="K120" s="1810" t="s">
        <v>400</v>
      </c>
    </row>
    <row r="121" spans="1:11" ht="25.5" x14ac:dyDescent="0.2">
      <c r="A121" s="1809" t="s">
        <v>10804</v>
      </c>
      <c r="B121" s="1808" t="s">
        <v>10160</v>
      </c>
      <c r="C121" s="1807" t="s">
        <v>10159</v>
      </c>
      <c r="D121" s="1807" t="s">
        <v>10791</v>
      </c>
      <c r="E121" s="1806" t="s">
        <v>10790</v>
      </c>
      <c r="F121" s="1803" t="s">
        <v>642</v>
      </c>
      <c r="G121" s="1803">
        <v>33112.74</v>
      </c>
      <c r="H121" s="1805">
        <v>18.047999999999998</v>
      </c>
      <c r="I121" s="1805">
        <v>597618.73151999991</v>
      </c>
      <c r="J121" s="1804">
        <v>2.7516162976863736E-2</v>
      </c>
      <c r="K121" s="1803" t="s">
        <v>400</v>
      </c>
    </row>
    <row r="122" spans="1:11" x14ac:dyDescent="0.2">
      <c r="A122" s="222" t="s">
        <v>10803</v>
      </c>
      <c r="B122" s="1820"/>
      <c r="C122" s="1820"/>
      <c r="D122" s="1820"/>
      <c r="E122" s="1820" t="s">
        <v>10788</v>
      </c>
      <c r="F122" s="1817"/>
      <c r="G122" s="1817"/>
      <c r="H122" s="1819"/>
      <c r="I122" s="1819">
        <v>1225142.0999999999</v>
      </c>
      <c r="J122" s="1818">
        <v>5.6409225339498756E-2</v>
      </c>
      <c r="K122" s="1817" t="s">
        <v>400</v>
      </c>
    </row>
    <row r="123" spans="1:11" ht="25.5" x14ac:dyDescent="0.2">
      <c r="A123" s="1816" t="s">
        <v>10802</v>
      </c>
      <c r="B123" s="1815" t="s">
        <v>10160</v>
      </c>
      <c r="C123" s="1814" t="s">
        <v>10159</v>
      </c>
      <c r="D123" s="1814" t="s">
        <v>10786</v>
      </c>
      <c r="E123" s="1813" t="s">
        <v>10785</v>
      </c>
      <c r="F123" s="1810" t="s">
        <v>642</v>
      </c>
      <c r="G123" s="1810">
        <v>35004.06</v>
      </c>
      <c r="H123" s="1812">
        <v>35</v>
      </c>
      <c r="I123" s="1812">
        <v>1225142.0999999999</v>
      </c>
      <c r="J123" s="1811">
        <v>5.6409225339498756E-2</v>
      </c>
      <c r="K123" s="1810" t="s">
        <v>400</v>
      </c>
    </row>
    <row r="124" spans="1:11" x14ac:dyDescent="0.2">
      <c r="A124" s="1826" t="s">
        <v>10801</v>
      </c>
      <c r="B124" s="1825"/>
      <c r="C124" s="1824"/>
      <c r="D124" s="1824"/>
      <c r="E124" s="1824" t="s">
        <v>9781</v>
      </c>
      <c r="F124" s="1821"/>
      <c r="G124" s="1821"/>
      <c r="H124" s="1823"/>
      <c r="I124" s="1823">
        <v>1848688.9882200002</v>
      </c>
      <c r="J124" s="1822">
        <v>8.5119198596760301E-2</v>
      </c>
      <c r="K124" s="1821" t="s">
        <v>400</v>
      </c>
    </row>
    <row r="125" spans="1:11" x14ac:dyDescent="0.2">
      <c r="A125" s="222" t="s">
        <v>10800</v>
      </c>
      <c r="B125" s="1820"/>
      <c r="C125" s="1820"/>
      <c r="D125" s="1820"/>
      <c r="E125" s="1820" t="s">
        <v>10799</v>
      </c>
      <c r="F125" s="1817"/>
      <c r="G125" s="1817"/>
      <c r="H125" s="1819"/>
      <c r="I125" s="1819">
        <v>719710.08822000003</v>
      </c>
      <c r="J125" s="1818">
        <v>3.3137616073688529E-2</v>
      </c>
      <c r="K125" s="1817" t="s">
        <v>400</v>
      </c>
    </row>
    <row r="126" spans="1:11" ht="25.5" x14ac:dyDescent="0.2">
      <c r="A126" s="1809" t="s">
        <v>10798</v>
      </c>
      <c r="B126" s="1808" t="s">
        <v>10160</v>
      </c>
      <c r="C126" s="1807" t="s">
        <v>10159</v>
      </c>
      <c r="D126" s="1807" t="s">
        <v>10797</v>
      </c>
      <c r="E126" s="1806" t="s">
        <v>10796</v>
      </c>
      <c r="F126" s="1803" t="s">
        <v>642</v>
      </c>
      <c r="G126" s="1803">
        <v>4960.46</v>
      </c>
      <c r="H126" s="1805">
        <v>6.4589999999999996</v>
      </c>
      <c r="I126" s="1805">
        <v>32039.611139999997</v>
      </c>
      <c r="J126" s="1804">
        <v>1.4752000152359263E-3</v>
      </c>
      <c r="K126" s="1803" t="s">
        <v>400</v>
      </c>
    </row>
    <row r="127" spans="1:11" ht="25.5" x14ac:dyDescent="0.2">
      <c r="A127" s="1816" t="s">
        <v>10795</v>
      </c>
      <c r="B127" s="1815" t="s">
        <v>10160</v>
      </c>
      <c r="C127" s="1814" t="s">
        <v>10159</v>
      </c>
      <c r="D127" s="1814" t="s">
        <v>10794</v>
      </c>
      <c r="E127" s="1813" t="s">
        <v>10793</v>
      </c>
      <c r="F127" s="1810" t="s">
        <v>642</v>
      </c>
      <c r="G127" s="1810">
        <v>25398.9</v>
      </c>
      <c r="H127" s="1812">
        <v>5.5019999999999998</v>
      </c>
      <c r="I127" s="1812">
        <v>139744.74780000001</v>
      </c>
      <c r="J127" s="1811">
        <v>6.4342682931731957E-3</v>
      </c>
      <c r="K127" s="1810" t="s">
        <v>400</v>
      </c>
    </row>
    <row r="128" spans="1:11" ht="25.5" x14ac:dyDescent="0.2">
      <c r="A128" s="1809" t="s">
        <v>10792</v>
      </c>
      <c r="B128" s="1808" t="s">
        <v>10160</v>
      </c>
      <c r="C128" s="1807" t="s">
        <v>10159</v>
      </c>
      <c r="D128" s="1807" t="s">
        <v>10791</v>
      </c>
      <c r="E128" s="1806" t="s">
        <v>10790</v>
      </c>
      <c r="F128" s="1803" t="s">
        <v>642</v>
      </c>
      <c r="G128" s="1803">
        <v>30359.360000000001</v>
      </c>
      <c r="H128" s="1805">
        <v>18.047999999999998</v>
      </c>
      <c r="I128" s="1805">
        <v>547925.72927999997</v>
      </c>
      <c r="J128" s="1804">
        <v>2.5228147765279402E-2</v>
      </c>
      <c r="K128" s="1803" t="s">
        <v>400</v>
      </c>
    </row>
    <row r="129" spans="1:11" x14ac:dyDescent="0.2">
      <c r="A129" s="222" t="s">
        <v>10789</v>
      </c>
      <c r="B129" s="1820"/>
      <c r="C129" s="1820"/>
      <c r="D129" s="1820"/>
      <c r="E129" s="1820" t="s">
        <v>10788</v>
      </c>
      <c r="F129" s="1817"/>
      <c r="G129" s="1817"/>
      <c r="H129" s="1819"/>
      <c r="I129" s="1819">
        <v>1128978.9000000001</v>
      </c>
      <c r="J129" s="1818">
        <v>5.1981582523071772E-2</v>
      </c>
      <c r="K129" s="1817" t="s">
        <v>400</v>
      </c>
    </row>
    <row r="130" spans="1:11" ht="25.5" x14ac:dyDescent="0.2">
      <c r="A130" s="1816" t="s">
        <v>10787</v>
      </c>
      <c r="B130" s="1815" t="s">
        <v>10160</v>
      </c>
      <c r="C130" s="1814" t="s">
        <v>10159</v>
      </c>
      <c r="D130" s="1814" t="s">
        <v>10786</v>
      </c>
      <c r="E130" s="1813" t="s">
        <v>10785</v>
      </c>
      <c r="F130" s="1810" t="s">
        <v>642</v>
      </c>
      <c r="G130" s="1810">
        <v>32256.54</v>
      </c>
      <c r="H130" s="1812">
        <v>35</v>
      </c>
      <c r="I130" s="1812">
        <v>1128978.9000000001</v>
      </c>
      <c r="J130" s="1811">
        <v>5.1981582523071772E-2</v>
      </c>
      <c r="K130" s="1810" t="s">
        <v>400</v>
      </c>
    </row>
    <row r="131" spans="1:11" x14ac:dyDescent="0.2">
      <c r="A131" s="1832" t="s">
        <v>10784</v>
      </c>
      <c r="B131" s="1831"/>
      <c r="C131" s="1830"/>
      <c r="D131" s="1830"/>
      <c r="E131" s="1830" t="s">
        <v>10783</v>
      </c>
      <c r="F131" s="1827"/>
      <c r="G131" s="1827"/>
      <c r="H131" s="1829"/>
      <c r="I131" s="1829">
        <v>1366321.6155902497</v>
      </c>
      <c r="J131" s="1828">
        <v>6.2909554654972999E-2</v>
      </c>
      <c r="K131" s="1827" t="s">
        <v>400</v>
      </c>
    </row>
    <row r="132" spans="1:11" x14ac:dyDescent="0.2">
      <c r="A132" s="1826" t="s">
        <v>10782</v>
      </c>
      <c r="B132" s="1825"/>
      <c r="C132" s="1824"/>
      <c r="D132" s="1824"/>
      <c r="E132" s="1824" t="s">
        <v>9706</v>
      </c>
      <c r="F132" s="1821"/>
      <c r="G132" s="1821"/>
      <c r="H132" s="1823"/>
      <c r="I132" s="1823">
        <v>212682.68430199995</v>
      </c>
      <c r="J132" s="1822">
        <v>9.7925501577335334E-3</v>
      </c>
      <c r="K132" s="1821" t="s">
        <v>400</v>
      </c>
    </row>
    <row r="133" spans="1:11" x14ac:dyDescent="0.2">
      <c r="A133" s="222" t="s">
        <v>10781</v>
      </c>
      <c r="B133" s="1820"/>
      <c r="C133" s="1820"/>
      <c r="D133" s="1820"/>
      <c r="E133" s="1820" t="s">
        <v>10760</v>
      </c>
      <c r="F133" s="1817"/>
      <c r="G133" s="1817"/>
      <c r="H133" s="1819"/>
      <c r="I133" s="1819">
        <v>12124.198533000001</v>
      </c>
      <c r="J133" s="1818">
        <v>5.5823454855466752E-4</v>
      </c>
      <c r="K133" s="1817" t="s">
        <v>400</v>
      </c>
    </row>
    <row r="134" spans="1:11" x14ac:dyDescent="0.2">
      <c r="A134" s="1809" t="s">
        <v>10780</v>
      </c>
      <c r="B134" s="1808"/>
      <c r="C134" s="1807"/>
      <c r="D134" s="1807"/>
      <c r="E134" s="1806" t="s">
        <v>10779</v>
      </c>
      <c r="F134" s="1803" t="s">
        <v>1243</v>
      </c>
      <c r="G134" s="1803">
        <v>93.95</v>
      </c>
      <c r="H134" s="1805">
        <v>0</v>
      </c>
      <c r="I134" s="1805">
        <v>0</v>
      </c>
      <c r="J134" s="1804"/>
      <c r="K134" s="1803" t="s">
        <v>400</v>
      </c>
    </row>
    <row r="135" spans="1:11" ht="25.5" x14ac:dyDescent="0.2">
      <c r="A135" s="1816" t="s">
        <v>10778</v>
      </c>
      <c r="B135" s="1815" t="s">
        <v>10160</v>
      </c>
      <c r="C135" s="1814" t="s">
        <v>10159</v>
      </c>
      <c r="D135" s="1814" t="s">
        <v>10758</v>
      </c>
      <c r="E135" s="1813" t="s">
        <v>10757</v>
      </c>
      <c r="F135" s="1810" t="s">
        <v>642</v>
      </c>
      <c r="G135" s="1810">
        <v>124.44</v>
      </c>
      <c r="H135" s="1812">
        <v>97.430075000000002</v>
      </c>
      <c r="I135" s="1812">
        <v>12124.198533000001</v>
      </c>
      <c r="J135" s="1811">
        <v>5.5823454855466752E-4</v>
      </c>
      <c r="K135" s="1810" t="s">
        <v>400</v>
      </c>
    </row>
    <row r="136" spans="1:11" x14ac:dyDescent="0.2">
      <c r="A136" s="222" t="s">
        <v>10777</v>
      </c>
      <c r="B136" s="1820"/>
      <c r="C136" s="1820"/>
      <c r="D136" s="1820"/>
      <c r="E136" s="1820" t="s">
        <v>10776</v>
      </c>
      <c r="F136" s="1817"/>
      <c r="G136" s="1817"/>
      <c r="H136" s="1819"/>
      <c r="I136" s="1819">
        <v>0</v>
      </c>
      <c r="J136" s="1818"/>
      <c r="K136" s="1817" t="s">
        <v>400</v>
      </c>
    </row>
    <row r="137" spans="1:11" x14ac:dyDescent="0.2">
      <c r="A137" s="1809" t="s">
        <v>10775</v>
      </c>
      <c r="B137" s="1808"/>
      <c r="C137" s="1807"/>
      <c r="D137" s="1807"/>
      <c r="E137" s="1806" t="s">
        <v>10774</v>
      </c>
      <c r="F137" s="1803" t="s">
        <v>1243</v>
      </c>
      <c r="G137" s="1803">
        <v>911.41</v>
      </c>
      <c r="H137" s="1805">
        <v>0</v>
      </c>
      <c r="I137" s="1805">
        <v>0</v>
      </c>
      <c r="J137" s="1804"/>
      <c r="K137" s="1803" t="s">
        <v>400</v>
      </c>
    </row>
    <row r="138" spans="1:11" x14ac:dyDescent="0.2">
      <c r="A138" s="222" t="s">
        <v>10773</v>
      </c>
      <c r="B138" s="1820"/>
      <c r="C138" s="1820"/>
      <c r="D138" s="1820"/>
      <c r="E138" s="1820" t="s">
        <v>10755</v>
      </c>
      <c r="F138" s="1817"/>
      <c r="G138" s="1817"/>
      <c r="H138" s="1819"/>
      <c r="I138" s="1819">
        <v>147674.28463199997</v>
      </c>
      <c r="J138" s="1818">
        <v>6.7993680069077418E-3</v>
      </c>
      <c r="K138" s="1817" t="s">
        <v>400</v>
      </c>
    </row>
    <row r="139" spans="1:11" ht="25.5" x14ac:dyDescent="0.2">
      <c r="A139" s="1816" t="s">
        <v>10772</v>
      </c>
      <c r="B139" s="1815" t="s">
        <v>10160</v>
      </c>
      <c r="C139" s="1814" t="s">
        <v>10159</v>
      </c>
      <c r="D139" s="1814" t="s">
        <v>10753</v>
      </c>
      <c r="E139" s="1813" t="s">
        <v>10752</v>
      </c>
      <c r="F139" s="1810" t="s">
        <v>1243</v>
      </c>
      <c r="G139" s="1810">
        <v>236.88</v>
      </c>
      <c r="H139" s="1812">
        <v>623.4138999999999</v>
      </c>
      <c r="I139" s="1812">
        <v>147674.28463199997</v>
      </c>
      <c r="J139" s="1811">
        <v>6.7993680069077418E-3</v>
      </c>
      <c r="K139" s="1810" t="s">
        <v>400</v>
      </c>
    </row>
    <row r="140" spans="1:11" x14ac:dyDescent="0.2">
      <c r="A140" s="222" t="s">
        <v>10771</v>
      </c>
      <c r="B140" s="1820"/>
      <c r="C140" s="1820"/>
      <c r="D140" s="1820"/>
      <c r="E140" s="1820" t="s">
        <v>10750</v>
      </c>
      <c r="F140" s="1817"/>
      <c r="G140" s="1817"/>
      <c r="H140" s="1819"/>
      <c r="I140" s="1819">
        <v>52884.201136999989</v>
      </c>
      <c r="J140" s="1818">
        <v>2.4349476022711234E-3</v>
      </c>
      <c r="K140" s="1817" t="s">
        <v>400</v>
      </c>
    </row>
    <row r="141" spans="1:11" ht="25.5" x14ac:dyDescent="0.2">
      <c r="A141" s="1809" t="s">
        <v>10770</v>
      </c>
      <c r="B141" s="1808" t="s">
        <v>10160</v>
      </c>
      <c r="C141" s="1807" t="s">
        <v>10159</v>
      </c>
      <c r="D141" s="1807" t="s">
        <v>10748</v>
      </c>
      <c r="E141" s="1806" t="s">
        <v>10747</v>
      </c>
      <c r="F141" s="1803" t="s">
        <v>1243</v>
      </c>
      <c r="G141" s="1803">
        <v>84.83</v>
      </c>
      <c r="H141" s="1805">
        <v>623.4138999999999</v>
      </c>
      <c r="I141" s="1805">
        <v>52884.201136999989</v>
      </c>
      <c r="J141" s="1804">
        <v>2.4349476022711234E-3</v>
      </c>
      <c r="K141" s="1803" t="s">
        <v>400</v>
      </c>
    </row>
    <row r="142" spans="1:11" x14ac:dyDescent="0.2">
      <c r="A142" s="1826" t="s">
        <v>10769</v>
      </c>
      <c r="B142" s="1825"/>
      <c r="C142" s="1824"/>
      <c r="D142" s="1824"/>
      <c r="E142" s="1824" t="s">
        <v>9832</v>
      </c>
      <c r="F142" s="1821"/>
      <c r="G142" s="1821"/>
      <c r="H142" s="1823"/>
      <c r="I142" s="1823">
        <v>584545.92986124987</v>
      </c>
      <c r="J142" s="1822">
        <v>2.691425188868302E-2</v>
      </c>
      <c r="K142" s="1821" t="s">
        <v>400</v>
      </c>
    </row>
    <row r="143" spans="1:11" x14ac:dyDescent="0.2">
      <c r="A143" s="222" t="s">
        <v>10768</v>
      </c>
      <c r="B143" s="1820"/>
      <c r="C143" s="1820"/>
      <c r="D143" s="1820"/>
      <c r="E143" s="1820" t="s">
        <v>10760</v>
      </c>
      <c r="F143" s="1817"/>
      <c r="G143" s="1817"/>
      <c r="H143" s="1819"/>
      <c r="I143" s="1819">
        <v>174165.02776925001</v>
      </c>
      <c r="J143" s="1818">
        <v>8.019081458139168E-3</v>
      </c>
      <c r="K143" s="1817" t="s">
        <v>400</v>
      </c>
    </row>
    <row r="144" spans="1:11" ht="25.5" x14ac:dyDescent="0.2">
      <c r="A144" s="1816" t="s">
        <v>10767</v>
      </c>
      <c r="B144" s="1815" t="s">
        <v>10160</v>
      </c>
      <c r="C144" s="1814" t="s">
        <v>10159</v>
      </c>
      <c r="D144" s="1814" t="s">
        <v>10758</v>
      </c>
      <c r="E144" s="1813" t="s">
        <v>10757</v>
      </c>
      <c r="F144" s="1810" t="s">
        <v>642</v>
      </c>
      <c r="G144" s="1810">
        <v>1787.59</v>
      </c>
      <c r="H144" s="1812">
        <v>97.430075000000002</v>
      </c>
      <c r="I144" s="1812">
        <v>174165.02776925001</v>
      </c>
      <c r="J144" s="1811">
        <v>8.019081458139168E-3</v>
      </c>
      <c r="K144" s="1810" t="s">
        <v>400</v>
      </c>
    </row>
    <row r="145" spans="1:11" x14ac:dyDescent="0.2">
      <c r="A145" s="222" t="s">
        <v>10766</v>
      </c>
      <c r="B145" s="1820"/>
      <c r="C145" s="1820"/>
      <c r="D145" s="1820"/>
      <c r="E145" s="1820" t="s">
        <v>10755</v>
      </c>
      <c r="F145" s="1817"/>
      <c r="G145" s="1817"/>
      <c r="H145" s="1819"/>
      <c r="I145" s="1819">
        <v>253155.91651199994</v>
      </c>
      <c r="J145" s="1818">
        <v>1.1656059440413272E-2</v>
      </c>
      <c r="K145" s="1817" t="s">
        <v>400</v>
      </c>
    </row>
    <row r="146" spans="1:11" ht="25.5" x14ac:dyDescent="0.2">
      <c r="A146" s="1809" t="s">
        <v>10765</v>
      </c>
      <c r="B146" s="1808" t="s">
        <v>10160</v>
      </c>
      <c r="C146" s="1807" t="s">
        <v>10159</v>
      </c>
      <c r="D146" s="1807" t="s">
        <v>10753</v>
      </c>
      <c r="E146" s="1806" t="s">
        <v>10752</v>
      </c>
      <c r="F146" s="1803" t="s">
        <v>1243</v>
      </c>
      <c r="G146" s="1803">
        <v>406.08</v>
      </c>
      <c r="H146" s="1805">
        <v>623.4138999999999</v>
      </c>
      <c r="I146" s="1805">
        <v>253155.91651199994</v>
      </c>
      <c r="J146" s="1804">
        <v>1.1656059440413272E-2</v>
      </c>
      <c r="K146" s="1803" t="s">
        <v>400</v>
      </c>
    </row>
    <row r="147" spans="1:11" x14ac:dyDescent="0.2">
      <c r="A147" s="222" t="s">
        <v>10764</v>
      </c>
      <c r="B147" s="1820"/>
      <c r="C147" s="1820"/>
      <c r="D147" s="1820"/>
      <c r="E147" s="1820" t="s">
        <v>10750</v>
      </c>
      <c r="F147" s="1817"/>
      <c r="G147" s="1817"/>
      <c r="H147" s="1819"/>
      <c r="I147" s="1819">
        <v>157224.98557999998</v>
      </c>
      <c r="J147" s="1818">
        <v>7.2391109901305834E-3</v>
      </c>
      <c r="K147" s="1817" t="s">
        <v>400</v>
      </c>
    </row>
    <row r="148" spans="1:11" ht="25.5" x14ac:dyDescent="0.2">
      <c r="A148" s="1816" t="s">
        <v>10763</v>
      </c>
      <c r="B148" s="1815" t="s">
        <v>10160</v>
      </c>
      <c r="C148" s="1814" t="s">
        <v>10159</v>
      </c>
      <c r="D148" s="1814" t="s">
        <v>10748</v>
      </c>
      <c r="E148" s="1813" t="s">
        <v>10747</v>
      </c>
      <c r="F148" s="1810" t="s">
        <v>1243</v>
      </c>
      <c r="G148" s="1810">
        <v>252.2</v>
      </c>
      <c r="H148" s="1812">
        <v>623.4138999999999</v>
      </c>
      <c r="I148" s="1812">
        <v>157224.98557999998</v>
      </c>
      <c r="J148" s="1811">
        <v>7.2391109901305834E-3</v>
      </c>
      <c r="K148" s="1810" t="s">
        <v>400</v>
      </c>
    </row>
    <row r="149" spans="1:11" x14ac:dyDescent="0.2">
      <c r="A149" s="1826" t="s">
        <v>10762</v>
      </c>
      <c r="B149" s="1825"/>
      <c r="C149" s="1824"/>
      <c r="D149" s="1824"/>
      <c r="E149" s="1824" t="s">
        <v>9781</v>
      </c>
      <c r="F149" s="1821"/>
      <c r="G149" s="1821"/>
      <c r="H149" s="1823"/>
      <c r="I149" s="1823">
        <v>569093.00142699992</v>
      </c>
      <c r="J149" s="1822">
        <v>2.6202752608556451E-2</v>
      </c>
      <c r="K149" s="1821" t="s">
        <v>400</v>
      </c>
    </row>
    <row r="150" spans="1:11" x14ac:dyDescent="0.2">
      <c r="A150" s="222" t="s">
        <v>10761</v>
      </c>
      <c r="B150" s="1820"/>
      <c r="C150" s="1820"/>
      <c r="D150" s="1820"/>
      <c r="E150" s="1820" t="s">
        <v>10760</v>
      </c>
      <c r="F150" s="1817"/>
      <c r="G150" s="1817"/>
      <c r="H150" s="1819"/>
      <c r="I150" s="1819">
        <v>169528.33050000001</v>
      </c>
      <c r="J150" s="1818">
        <v>7.8055939768974731E-3</v>
      </c>
      <c r="K150" s="1817" t="s">
        <v>400</v>
      </c>
    </row>
    <row r="151" spans="1:11" ht="25.5" x14ac:dyDescent="0.2">
      <c r="A151" s="1809" t="s">
        <v>10759</v>
      </c>
      <c r="B151" s="1808" t="s">
        <v>10160</v>
      </c>
      <c r="C151" s="1807" t="s">
        <v>10159</v>
      </c>
      <c r="D151" s="1807" t="s">
        <v>10758</v>
      </c>
      <c r="E151" s="1806" t="s">
        <v>10757</v>
      </c>
      <c r="F151" s="1803" t="s">
        <v>642</v>
      </c>
      <c r="G151" s="1803">
        <v>1740</v>
      </c>
      <c r="H151" s="1805">
        <v>97.430075000000002</v>
      </c>
      <c r="I151" s="1805">
        <v>169528.33050000001</v>
      </c>
      <c r="J151" s="1804">
        <v>7.8055939768974731E-3</v>
      </c>
      <c r="K151" s="1803" t="s">
        <v>400</v>
      </c>
    </row>
    <row r="152" spans="1:11" x14ac:dyDescent="0.2">
      <c r="A152" s="222" t="s">
        <v>10756</v>
      </c>
      <c r="B152" s="1820"/>
      <c r="C152" s="1820"/>
      <c r="D152" s="1820"/>
      <c r="E152" s="1820" t="s">
        <v>10755</v>
      </c>
      <c r="F152" s="1817"/>
      <c r="G152" s="1817"/>
      <c r="H152" s="1819"/>
      <c r="I152" s="1819">
        <v>253155.91651199994</v>
      </c>
      <c r="J152" s="1818">
        <v>1.1656059440413272E-2</v>
      </c>
      <c r="K152" s="1817" t="s">
        <v>400</v>
      </c>
    </row>
    <row r="153" spans="1:11" ht="25.5" x14ac:dyDescent="0.2">
      <c r="A153" s="1816" t="s">
        <v>10754</v>
      </c>
      <c r="B153" s="1815" t="s">
        <v>10160</v>
      </c>
      <c r="C153" s="1814" t="s">
        <v>10159</v>
      </c>
      <c r="D153" s="1814" t="s">
        <v>10753</v>
      </c>
      <c r="E153" s="1813" t="s">
        <v>10752</v>
      </c>
      <c r="F153" s="1810" t="s">
        <v>1243</v>
      </c>
      <c r="G153" s="1810">
        <v>406.08</v>
      </c>
      <c r="H153" s="1812">
        <v>623.4138999999999</v>
      </c>
      <c r="I153" s="1812">
        <v>253155.91651199994</v>
      </c>
      <c r="J153" s="1811">
        <v>1.1656059440413272E-2</v>
      </c>
      <c r="K153" s="1810" t="s">
        <v>400</v>
      </c>
    </row>
    <row r="154" spans="1:11" x14ac:dyDescent="0.2">
      <c r="A154" s="222" t="s">
        <v>10751</v>
      </c>
      <c r="B154" s="1820"/>
      <c r="C154" s="1820"/>
      <c r="D154" s="1820"/>
      <c r="E154" s="1820" t="s">
        <v>10750</v>
      </c>
      <c r="F154" s="1817"/>
      <c r="G154" s="1817"/>
      <c r="H154" s="1819"/>
      <c r="I154" s="1819">
        <v>146408.75441499997</v>
      </c>
      <c r="J154" s="1818">
        <v>6.741099191245708E-3</v>
      </c>
      <c r="K154" s="1817" t="s">
        <v>400</v>
      </c>
    </row>
    <row r="155" spans="1:11" ht="25.5" x14ac:dyDescent="0.2">
      <c r="A155" s="1809" t="s">
        <v>10749</v>
      </c>
      <c r="B155" s="1808" t="s">
        <v>10160</v>
      </c>
      <c r="C155" s="1807" t="s">
        <v>10159</v>
      </c>
      <c r="D155" s="1807" t="s">
        <v>10748</v>
      </c>
      <c r="E155" s="1806" t="s">
        <v>10747</v>
      </c>
      <c r="F155" s="1803" t="s">
        <v>1243</v>
      </c>
      <c r="G155" s="1803">
        <v>234.85</v>
      </c>
      <c r="H155" s="1805">
        <v>623.4138999999999</v>
      </c>
      <c r="I155" s="1805">
        <v>146408.75441499997</v>
      </c>
      <c r="J155" s="1804">
        <v>6.741099191245708E-3</v>
      </c>
      <c r="K155" s="1803" t="s">
        <v>400</v>
      </c>
    </row>
    <row r="156" spans="1:11" x14ac:dyDescent="0.2">
      <c r="A156" s="1832" t="s">
        <v>10746</v>
      </c>
      <c r="B156" s="1831"/>
      <c r="C156" s="1830"/>
      <c r="D156" s="1830"/>
      <c r="E156" s="1830" t="s">
        <v>10745</v>
      </c>
      <c r="F156" s="1827"/>
      <c r="G156" s="1827"/>
      <c r="H156" s="1829"/>
      <c r="I156" s="1829">
        <v>3516664.2369378004</v>
      </c>
      <c r="J156" s="1828">
        <v>0.16191779336028111</v>
      </c>
      <c r="K156" s="1827" t="s">
        <v>400</v>
      </c>
    </row>
    <row r="157" spans="1:11" x14ac:dyDescent="0.2">
      <c r="A157" s="1826" t="s">
        <v>10744</v>
      </c>
      <c r="B157" s="1825"/>
      <c r="C157" s="1824"/>
      <c r="D157" s="1824"/>
      <c r="E157" s="1824" t="s">
        <v>9706</v>
      </c>
      <c r="F157" s="1821"/>
      <c r="G157" s="1821"/>
      <c r="H157" s="1823"/>
      <c r="I157" s="1823">
        <v>284888.85416604002</v>
      </c>
      <c r="J157" s="1822">
        <v>1.311713928642543E-2</v>
      </c>
      <c r="K157" s="1821" t="s">
        <v>400</v>
      </c>
    </row>
    <row r="158" spans="1:11" x14ac:dyDescent="0.2">
      <c r="A158" s="222" t="s">
        <v>10743</v>
      </c>
      <c r="B158" s="1820"/>
      <c r="C158" s="1820"/>
      <c r="D158" s="1820"/>
      <c r="E158" s="1820" t="s">
        <v>10719</v>
      </c>
      <c r="F158" s="1817"/>
      <c r="G158" s="1817"/>
      <c r="H158" s="1819"/>
      <c r="I158" s="1819">
        <v>238530.27600000001</v>
      </c>
      <c r="J158" s="1818">
        <v>1.0982650983242543E-2</v>
      </c>
      <c r="K158" s="1817" t="s">
        <v>400</v>
      </c>
    </row>
    <row r="159" spans="1:11" ht="25.5" x14ac:dyDescent="0.2">
      <c r="A159" s="1816" t="s">
        <v>10742</v>
      </c>
      <c r="B159" s="1815" t="s">
        <v>10160</v>
      </c>
      <c r="C159" s="1814" t="s">
        <v>10159</v>
      </c>
      <c r="D159" s="1814" t="s">
        <v>10714</v>
      </c>
      <c r="E159" s="1813" t="s">
        <v>10713</v>
      </c>
      <c r="F159" s="1810" t="s">
        <v>642</v>
      </c>
      <c r="G159" s="1810">
        <v>1605.39</v>
      </c>
      <c r="H159" s="1812">
        <v>126.4</v>
      </c>
      <c r="I159" s="1812">
        <v>202921.29600000003</v>
      </c>
      <c r="J159" s="1811">
        <v>9.343106495358482E-3</v>
      </c>
      <c r="K159" s="1810" t="s">
        <v>400</v>
      </c>
    </row>
    <row r="160" spans="1:11" ht="25.5" x14ac:dyDescent="0.2">
      <c r="A160" s="1809" t="s">
        <v>10741</v>
      </c>
      <c r="B160" s="1808" t="s">
        <v>10160</v>
      </c>
      <c r="C160" s="1807" t="s">
        <v>10159</v>
      </c>
      <c r="D160" s="1807" t="s">
        <v>10711</v>
      </c>
      <c r="E160" s="1806" t="s">
        <v>10710</v>
      </c>
      <c r="F160" s="1803" t="s">
        <v>788</v>
      </c>
      <c r="G160" s="1803">
        <v>1618.59</v>
      </c>
      <c r="H160" s="1805">
        <v>22</v>
      </c>
      <c r="I160" s="1805">
        <v>35608.979999999996</v>
      </c>
      <c r="J160" s="1804">
        <v>1.6395444878840621E-3</v>
      </c>
      <c r="K160" s="1803" t="s">
        <v>400</v>
      </c>
    </row>
    <row r="161" spans="1:11" x14ac:dyDescent="0.2">
      <c r="A161" s="222" t="s">
        <v>10740</v>
      </c>
      <c r="B161" s="1820"/>
      <c r="C161" s="1820"/>
      <c r="D161" s="1820"/>
      <c r="E161" s="1820" t="s">
        <v>10708</v>
      </c>
      <c r="F161" s="1817"/>
      <c r="G161" s="1817"/>
      <c r="H161" s="1819"/>
      <c r="I161" s="1819">
        <v>46358.57816604001</v>
      </c>
      <c r="J161" s="1818">
        <v>2.1344883031828863E-3</v>
      </c>
      <c r="K161" s="1817" t="s">
        <v>400</v>
      </c>
    </row>
    <row r="162" spans="1:11" x14ac:dyDescent="0.2">
      <c r="A162" s="1816" t="s">
        <v>10739</v>
      </c>
      <c r="B162" s="1815"/>
      <c r="C162" s="1814"/>
      <c r="D162" s="1814"/>
      <c r="E162" s="1813" t="s">
        <v>10738</v>
      </c>
      <c r="F162" s="1810" t="s">
        <v>1243</v>
      </c>
      <c r="G162" s="1810">
        <v>4.13</v>
      </c>
      <c r="H162" s="1812">
        <v>0</v>
      </c>
      <c r="I162" s="1812">
        <v>0</v>
      </c>
      <c r="J162" s="1811"/>
      <c r="K162" s="1810" t="s">
        <v>400</v>
      </c>
    </row>
    <row r="163" spans="1:11" x14ac:dyDescent="0.2">
      <c r="A163" s="1809" t="s">
        <v>10737</v>
      </c>
      <c r="B163" s="1808"/>
      <c r="C163" s="1807"/>
      <c r="D163" s="1807"/>
      <c r="E163" s="1806" t="s">
        <v>10736</v>
      </c>
      <c r="F163" s="1803" t="s">
        <v>1243</v>
      </c>
      <c r="G163" s="1803">
        <v>42.39</v>
      </c>
      <c r="H163" s="1805">
        <v>0</v>
      </c>
      <c r="I163" s="1805">
        <v>0</v>
      </c>
      <c r="J163" s="1804"/>
      <c r="K163" s="1803" t="s">
        <v>400</v>
      </c>
    </row>
    <row r="164" spans="1:11" ht="25.5" x14ac:dyDescent="0.2">
      <c r="A164" s="1816" t="s">
        <v>10735</v>
      </c>
      <c r="B164" s="1815" t="s">
        <v>10160</v>
      </c>
      <c r="C164" s="1814" t="s">
        <v>10159</v>
      </c>
      <c r="D164" s="1814" t="s">
        <v>10518</v>
      </c>
      <c r="E164" s="1813" t="s">
        <v>10517</v>
      </c>
      <c r="F164" s="1810" t="s">
        <v>642</v>
      </c>
      <c r="G164" s="1810">
        <v>5054.8900000000003</v>
      </c>
      <c r="H164" s="1812">
        <v>9.1710360000000009</v>
      </c>
      <c r="I164" s="1812">
        <v>46358.57816604001</v>
      </c>
      <c r="J164" s="1811">
        <v>2.1344883031828863E-3</v>
      </c>
      <c r="K164" s="1810" t="s">
        <v>400</v>
      </c>
    </row>
    <row r="165" spans="1:11" x14ac:dyDescent="0.2">
      <c r="A165" s="1809" t="s">
        <v>10734</v>
      </c>
      <c r="B165" s="1808"/>
      <c r="C165" s="1807"/>
      <c r="D165" s="1807"/>
      <c r="E165" s="1806" t="s">
        <v>10705</v>
      </c>
      <c r="F165" s="1803" t="s">
        <v>1243</v>
      </c>
      <c r="G165" s="1803">
        <v>3667.47</v>
      </c>
      <c r="H165" s="1805">
        <v>0</v>
      </c>
      <c r="I165" s="1805">
        <v>0</v>
      </c>
      <c r="J165" s="1804"/>
      <c r="K165" s="1803" t="s">
        <v>400</v>
      </c>
    </row>
    <row r="166" spans="1:11" x14ac:dyDescent="0.2">
      <c r="A166" s="1826" t="s">
        <v>10733</v>
      </c>
      <c r="B166" s="1825"/>
      <c r="C166" s="1824"/>
      <c r="D166" s="1824"/>
      <c r="E166" s="1824" t="s">
        <v>9838</v>
      </c>
      <c r="F166" s="1821"/>
      <c r="G166" s="1821"/>
      <c r="H166" s="1823"/>
      <c r="I166" s="1823">
        <v>0</v>
      </c>
      <c r="J166" s="1822"/>
      <c r="K166" s="1821" t="s">
        <v>400</v>
      </c>
    </row>
    <row r="167" spans="1:11" x14ac:dyDescent="0.2">
      <c r="A167" s="222" t="s">
        <v>10732</v>
      </c>
      <c r="B167" s="1820"/>
      <c r="C167" s="1820"/>
      <c r="D167" s="1820"/>
      <c r="E167" s="1820" t="s">
        <v>10708</v>
      </c>
      <c r="F167" s="1817"/>
      <c r="G167" s="1817"/>
      <c r="H167" s="1819"/>
      <c r="I167" s="1819">
        <v>0</v>
      </c>
      <c r="J167" s="1818"/>
      <c r="K167" s="1817" t="s">
        <v>400</v>
      </c>
    </row>
    <row r="168" spans="1:11" x14ac:dyDescent="0.2">
      <c r="A168" s="1816" t="s">
        <v>10731</v>
      </c>
      <c r="B168" s="1815"/>
      <c r="C168" s="1814"/>
      <c r="D168" s="1814"/>
      <c r="E168" s="1813" t="s">
        <v>10730</v>
      </c>
      <c r="F168" s="1810" t="s">
        <v>1243</v>
      </c>
      <c r="G168" s="1810">
        <v>126.41</v>
      </c>
      <c r="H168" s="1812">
        <v>0</v>
      </c>
      <c r="I168" s="1812">
        <v>0</v>
      </c>
      <c r="J168" s="1811"/>
      <c r="K168" s="1810" t="s">
        <v>400</v>
      </c>
    </row>
    <row r="169" spans="1:11" x14ac:dyDescent="0.2">
      <c r="A169" s="1826" t="s">
        <v>10729</v>
      </c>
      <c r="B169" s="1825"/>
      <c r="C169" s="1824"/>
      <c r="D169" s="1824"/>
      <c r="E169" s="1824" t="s">
        <v>9832</v>
      </c>
      <c r="F169" s="1821"/>
      <c r="G169" s="1821"/>
      <c r="H169" s="1823"/>
      <c r="I169" s="1823">
        <v>1639874.9527610398</v>
      </c>
      <c r="J169" s="1822">
        <v>7.550477266179767E-2</v>
      </c>
      <c r="K169" s="1821" t="s">
        <v>400</v>
      </c>
    </row>
    <row r="170" spans="1:11" x14ac:dyDescent="0.2">
      <c r="A170" s="222" t="s">
        <v>10728</v>
      </c>
      <c r="B170" s="1820"/>
      <c r="C170" s="1820"/>
      <c r="D170" s="1820"/>
      <c r="E170" s="1820" t="s">
        <v>10719</v>
      </c>
      <c r="F170" s="1817"/>
      <c r="G170" s="1817"/>
      <c r="H170" s="1819"/>
      <c r="I170" s="1819">
        <v>1636608.7799999998</v>
      </c>
      <c r="J170" s="1818">
        <v>7.5354388249022006E-2</v>
      </c>
      <c r="K170" s="1817" t="s">
        <v>400</v>
      </c>
    </row>
    <row r="171" spans="1:11" ht="25.5" x14ac:dyDescent="0.2">
      <c r="A171" s="1809" t="s">
        <v>10727</v>
      </c>
      <c r="B171" s="1808" t="s">
        <v>10160</v>
      </c>
      <c r="C171" s="1807" t="s">
        <v>10159</v>
      </c>
      <c r="D171" s="1807" t="s">
        <v>10717</v>
      </c>
      <c r="E171" s="1806" t="s">
        <v>10716</v>
      </c>
      <c r="F171" s="1803" t="s">
        <v>642</v>
      </c>
      <c r="G171" s="1803">
        <v>1734.25</v>
      </c>
      <c r="H171" s="1805">
        <v>136.4</v>
      </c>
      <c r="I171" s="1805">
        <v>236551.7</v>
      </c>
      <c r="J171" s="1804">
        <v>1.0891551396153564E-2</v>
      </c>
      <c r="K171" s="1803" t="s">
        <v>400</v>
      </c>
    </row>
    <row r="172" spans="1:11" ht="25.5" x14ac:dyDescent="0.2">
      <c r="A172" s="1816" t="s">
        <v>10726</v>
      </c>
      <c r="B172" s="1815" t="s">
        <v>10160</v>
      </c>
      <c r="C172" s="1814" t="s">
        <v>10159</v>
      </c>
      <c r="D172" s="1814" t="s">
        <v>10714</v>
      </c>
      <c r="E172" s="1813" t="s">
        <v>10713</v>
      </c>
      <c r="F172" s="1810" t="s">
        <v>642</v>
      </c>
      <c r="G172" s="1810">
        <v>8378.5499999999993</v>
      </c>
      <c r="H172" s="1812">
        <v>126.4</v>
      </c>
      <c r="I172" s="1812">
        <v>1059048.72</v>
      </c>
      <c r="J172" s="1811">
        <v>4.8761786809862893E-2</v>
      </c>
      <c r="K172" s="1810" t="s">
        <v>400</v>
      </c>
    </row>
    <row r="173" spans="1:11" ht="25.5" x14ac:dyDescent="0.2">
      <c r="A173" s="1809" t="s">
        <v>10725</v>
      </c>
      <c r="B173" s="1808" t="s">
        <v>10160</v>
      </c>
      <c r="C173" s="1807" t="s">
        <v>10159</v>
      </c>
      <c r="D173" s="1807" t="s">
        <v>10711</v>
      </c>
      <c r="E173" s="1806" t="s">
        <v>10710</v>
      </c>
      <c r="F173" s="1803" t="s">
        <v>788</v>
      </c>
      <c r="G173" s="1803">
        <v>15500.38</v>
      </c>
      <c r="H173" s="1805">
        <v>22</v>
      </c>
      <c r="I173" s="1805">
        <v>341008.36</v>
      </c>
      <c r="J173" s="1804">
        <v>1.5701050043005555E-2</v>
      </c>
      <c r="K173" s="1803" t="s">
        <v>400</v>
      </c>
    </row>
    <row r="174" spans="1:11" x14ac:dyDescent="0.2">
      <c r="A174" s="222" t="s">
        <v>10724</v>
      </c>
      <c r="B174" s="1820"/>
      <c r="C174" s="1820"/>
      <c r="D174" s="1820"/>
      <c r="E174" s="1820" t="s">
        <v>10708</v>
      </c>
      <c r="F174" s="1817"/>
      <c r="G174" s="1817"/>
      <c r="H174" s="1819"/>
      <c r="I174" s="1819">
        <v>3266.1727610400003</v>
      </c>
      <c r="J174" s="1818">
        <v>1.5038441277565943E-4</v>
      </c>
      <c r="K174" s="1817" t="s">
        <v>400</v>
      </c>
    </row>
    <row r="175" spans="1:11" ht="25.5" x14ac:dyDescent="0.2">
      <c r="A175" s="1816" t="s">
        <v>10723</v>
      </c>
      <c r="B175" s="1815" t="s">
        <v>10160</v>
      </c>
      <c r="C175" s="1814" t="s">
        <v>10159</v>
      </c>
      <c r="D175" s="1814" t="s">
        <v>10518</v>
      </c>
      <c r="E175" s="1813" t="s">
        <v>10517</v>
      </c>
      <c r="F175" s="1810" t="s">
        <v>642</v>
      </c>
      <c r="G175" s="1810">
        <v>356.14</v>
      </c>
      <c r="H175" s="1812">
        <v>9.1710360000000009</v>
      </c>
      <c r="I175" s="1812">
        <v>3266.1727610400003</v>
      </c>
      <c r="J175" s="1811">
        <v>1.5038441277565943E-4</v>
      </c>
      <c r="K175" s="1810" t="s">
        <v>400</v>
      </c>
    </row>
    <row r="176" spans="1:11" x14ac:dyDescent="0.2">
      <c r="A176" s="1809" t="s">
        <v>10722</v>
      </c>
      <c r="B176" s="1808"/>
      <c r="C176" s="1807"/>
      <c r="D176" s="1807"/>
      <c r="E176" s="1806" t="s">
        <v>10705</v>
      </c>
      <c r="F176" s="1803" t="s">
        <v>1243</v>
      </c>
      <c r="G176" s="1803">
        <v>55.53</v>
      </c>
      <c r="H176" s="1805">
        <v>0</v>
      </c>
      <c r="I176" s="1805">
        <v>0</v>
      </c>
      <c r="J176" s="1804"/>
      <c r="K176" s="1803" t="s">
        <v>400</v>
      </c>
    </row>
    <row r="177" spans="1:11" x14ac:dyDescent="0.2">
      <c r="A177" s="1826" t="s">
        <v>10721</v>
      </c>
      <c r="B177" s="1825"/>
      <c r="C177" s="1824"/>
      <c r="D177" s="1824"/>
      <c r="E177" s="1824" t="s">
        <v>9781</v>
      </c>
      <c r="F177" s="1821"/>
      <c r="G177" s="1821"/>
      <c r="H177" s="1823"/>
      <c r="I177" s="1823">
        <v>1591900.4300107202</v>
      </c>
      <c r="J177" s="1822">
        <v>7.3295881412057992E-2</v>
      </c>
      <c r="K177" s="1821" t="s">
        <v>400</v>
      </c>
    </row>
    <row r="178" spans="1:11" x14ac:dyDescent="0.2">
      <c r="A178" s="222" t="s">
        <v>10720</v>
      </c>
      <c r="B178" s="1820"/>
      <c r="C178" s="1820"/>
      <c r="D178" s="1820"/>
      <c r="E178" s="1820" t="s">
        <v>10719</v>
      </c>
      <c r="F178" s="1817"/>
      <c r="G178" s="1817"/>
      <c r="H178" s="1819"/>
      <c r="I178" s="1819">
        <v>1589584.56</v>
      </c>
      <c r="J178" s="1818">
        <v>7.3189251794733026E-2</v>
      </c>
      <c r="K178" s="1817" t="s">
        <v>400</v>
      </c>
    </row>
    <row r="179" spans="1:11" ht="25.5" x14ac:dyDescent="0.2">
      <c r="A179" s="1816" t="s">
        <v>10718</v>
      </c>
      <c r="B179" s="1815" t="s">
        <v>10160</v>
      </c>
      <c r="C179" s="1814" t="s">
        <v>10159</v>
      </c>
      <c r="D179" s="1814" t="s">
        <v>10717</v>
      </c>
      <c r="E179" s="1813" t="s">
        <v>10716</v>
      </c>
      <c r="F179" s="1810" t="s">
        <v>642</v>
      </c>
      <c r="G179" s="1810">
        <v>1774.06</v>
      </c>
      <c r="H179" s="1812">
        <v>136.4</v>
      </c>
      <c r="I179" s="1812">
        <v>241981.78400000001</v>
      </c>
      <c r="J179" s="1811">
        <v>1.1141568787579758E-2</v>
      </c>
      <c r="K179" s="1810" t="s">
        <v>400</v>
      </c>
    </row>
    <row r="180" spans="1:11" ht="25.5" x14ac:dyDescent="0.2">
      <c r="A180" s="1809" t="s">
        <v>10715</v>
      </c>
      <c r="B180" s="1808" t="s">
        <v>10160</v>
      </c>
      <c r="C180" s="1807" t="s">
        <v>10159</v>
      </c>
      <c r="D180" s="1807" t="s">
        <v>10714</v>
      </c>
      <c r="E180" s="1806" t="s">
        <v>10713</v>
      </c>
      <c r="F180" s="1803" t="s">
        <v>642</v>
      </c>
      <c r="G180" s="1803">
        <v>8048.89</v>
      </c>
      <c r="H180" s="1805">
        <v>126.4</v>
      </c>
      <c r="I180" s="1805">
        <v>1017379.6960000001</v>
      </c>
      <c r="J180" s="1804">
        <v>4.6843219678349764E-2</v>
      </c>
      <c r="K180" s="1803" t="s">
        <v>400</v>
      </c>
    </row>
    <row r="181" spans="1:11" ht="25.5" x14ac:dyDescent="0.2">
      <c r="A181" s="1816" t="s">
        <v>10712</v>
      </c>
      <c r="B181" s="1815" t="s">
        <v>10160</v>
      </c>
      <c r="C181" s="1814" t="s">
        <v>10159</v>
      </c>
      <c r="D181" s="1814" t="s">
        <v>10711</v>
      </c>
      <c r="E181" s="1813" t="s">
        <v>10710</v>
      </c>
      <c r="F181" s="1810" t="s">
        <v>788</v>
      </c>
      <c r="G181" s="1810">
        <v>15010.14</v>
      </c>
      <c r="H181" s="1812">
        <v>22</v>
      </c>
      <c r="I181" s="1812">
        <v>330223.07999999996</v>
      </c>
      <c r="J181" s="1811">
        <v>1.5204463328803512E-2</v>
      </c>
      <c r="K181" s="1810" t="s">
        <v>400</v>
      </c>
    </row>
    <row r="182" spans="1:11" x14ac:dyDescent="0.2">
      <c r="A182" s="222" t="s">
        <v>10709</v>
      </c>
      <c r="B182" s="1820"/>
      <c r="C182" s="1820"/>
      <c r="D182" s="1820"/>
      <c r="E182" s="1820" t="s">
        <v>10708</v>
      </c>
      <c r="F182" s="1817"/>
      <c r="G182" s="1817"/>
      <c r="H182" s="1819"/>
      <c r="I182" s="1819">
        <v>2315.8700107200002</v>
      </c>
      <c r="J182" s="1818">
        <v>1.0662961732495512E-4</v>
      </c>
      <c r="K182" s="1817" t="s">
        <v>400</v>
      </c>
    </row>
    <row r="183" spans="1:11" ht="25.5" x14ac:dyDescent="0.2">
      <c r="A183" s="1809" t="s">
        <v>10707</v>
      </c>
      <c r="B183" s="1808" t="s">
        <v>10160</v>
      </c>
      <c r="C183" s="1807" t="s">
        <v>10159</v>
      </c>
      <c r="D183" s="1807" t="s">
        <v>10518</v>
      </c>
      <c r="E183" s="1806" t="s">
        <v>10517</v>
      </c>
      <c r="F183" s="1803" t="s">
        <v>642</v>
      </c>
      <c r="G183" s="1803">
        <v>252.52</v>
      </c>
      <c r="H183" s="1805">
        <v>9.1710360000000009</v>
      </c>
      <c r="I183" s="1805">
        <v>2315.8700107200002</v>
      </c>
      <c r="J183" s="1804">
        <v>1.0662961732495512E-4</v>
      </c>
      <c r="K183" s="1803" t="s">
        <v>400</v>
      </c>
    </row>
    <row r="184" spans="1:11" x14ac:dyDescent="0.2">
      <c r="A184" s="1816" t="s">
        <v>10706</v>
      </c>
      <c r="B184" s="1815"/>
      <c r="C184" s="1814"/>
      <c r="D184" s="1814"/>
      <c r="E184" s="1813" t="s">
        <v>10705</v>
      </c>
      <c r="F184" s="1810" t="s">
        <v>1243</v>
      </c>
      <c r="G184" s="1810">
        <v>45.3</v>
      </c>
      <c r="H184" s="1812">
        <v>0</v>
      </c>
      <c r="I184" s="1812">
        <v>0</v>
      </c>
      <c r="J184" s="1811"/>
      <c r="K184" s="1810" t="s">
        <v>400</v>
      </c>
    </row>
    <row r="185" spans="1:11" x14ac:dyDescent="0.2">
      <c r="A185" s="1832" t="s">
        <v>10704</v>
      </c>
      <c r="B185" s="1831"/>
      <c r="C185" s="1830"/>
      <c r="D185" s="1830"/>
      <c r="E185" s="1830" t="s">
        <v>10703</v>
      </c>
      <c r="F185" s="1827"/>
      <c r="G185" s="1827"/>
      <c r="H185" s="1829"/>
      <c r="I185" s="1829">
        <v>1563155.4239999999</v>
      </c>
      <c r="J185" s="1828">
        <v>7.1972374921305635E-2</v>
      </c>
      <c r="K185" s="1827" t="s">
        <v>400</v>
      </c>
    </row>
    <row r="186" spans="1:11" x14ac:dyDescent="0.2">
      <c r="A186" s="1826" t="s">
        <v>10702</v>
      </c>
      <c r="B186" s="1825"/>
      <c r="C186" s="1824"/>
      <c r="D186" s="1824"/>
      <c r="E186" s="1824" t="s">
        <v>9706</v>
      </c>
      <c r="F186" s="1821"/>
      <c r="G186" s="1821"/>
      <c r="H186" s="1823"/>
      <c r="I186" s="1823">
        <v>216466.024</v>
      </c>
      <c r="J186" s="1822">
        <v>9.9667464910081424E-3</v>
      </c>
      <c r="K186" s="1821" t="s">
        <v>400</v>
      </c>
    </row>
    <row r="187" spans="1:11" x14ac:dyDescent="0.2">
      <c r="A187" s="222" t="s">
        <v>10701</v>
      </c>
      <c r="B187" s="1820"/>
      <c r="C187" s="1820"/>
      <c r="D187" s="1820"/>
      <c r="E187" s="1820" t="s">
        <v>10031</v>
      </c>
      <c r="F187" s="1817"/>
      <c r="G187" s="1817"/>
      <c r="H187" s="1819"/>
      <c r="I187" s="1819">
        <v>97854.504000000001</v>
      </c>
      <c r="J187" s="1818">
        <v>4.5055155370310783E-3</v>
      </c>
      <c r="K187" s="1817" t="s">
        <v>400</v>
      </c>
    </row>
    <row r="188" spans="1:11" ht="25.5" x14ac:dyDescent="0.2">
      <c r="A188" s="1809" t="s">
        <v>10700</v>
      </c>
      <c r="B188" s="1808" t="s">
        <v>10160</v>
      </c>
      <c r="C188" s="1807" t="s">
        <v>10159</v>
      </c>
      <c r="D188" s="1807" t="s">
        <v>10686</v>
      </c>
      <c r="E188" s="1806" t="s">
        <v>586</v>
      </c>
      <c r="F188" s="1803" t="s">
        <v>642</v>
      </c>
      <c r="G188" s="1803">
        <v>3706.61</v>
      </c>
      <c r="H188" s="1805">
        <v>26.4</v>
      </c>
      <c r="I188" s="1805">
        <v>97854.504000000001</v>
      </c>
      <c r="J188" s="1804">
        <v>4.5055155370310783E-3</v>
      </c>
      <c r="K188" s="1803" t="s">
        <v>400</v>
      </c>
    </row>
    <row r="189" spans="1:11" x14ac:dyDescent="0.2">
      <c r="A189" s="222" t="s">
        <v>10699</v>
      </c>
      <c r="B189" s="1820"/>
      <c r="C189" s="1820"/>
      <c r="D189" s="1820"/>
      <c r="E189" s="1820" t="s">
        <v>10684</v>
      </c>
      <c r="F189" s="1817"/>
      <c r="G189" s="1817"/>
      <c r="H189" s="1819"/>
      <c r="I189" s="1819">
        <v>118611.52</v>
      </c>
      <c r="J189" s="1818">
        <v>5.461230953977065E-3</v>
      </c>
      <c r="K189" s="1817" t="s">
        <v>400</v>
      </c>
    </row>
    <row r="190" spans="1:11" ht="25.5" x14ac:dyDescent="0.2">
      <c r="A190" s="1816" t="s">
        <v>10698</v>
      </c>
      <c r="B190" s="1815" t="s">
        <v>10160</v>
      </c>
      <c r="C190" s="1814" t="s">
        <v>10159</v>
      </c>
      <c r="D190" s="1814" t="s">
        <v>10682</v>
      </c>
      <c r="E190" s="1813" t="s">
        <v>10681</v>
      </c>
      <c r="F190" s="1810" t="s">
        <v>642</v>
      </c>
      <c r="G190" s="1810">
        <v>3706.61</v>
      </c>
      <c r="H190" s="1812">
        <v>32</v>
      </c>
      <c r="I190" s="1812">
        <v>118611.52</v>
      </c>
      <c r="J190" s="1811">
        <v>5.461230953977065E-3</v>
      </c>
      <c r="K190" s="1810" t="s">
        <v>400</v>
      </c>
    </row>
    <row r="191" spans="1:11" x14ac:dyDescent="0.2">
      <c r="A191" s="1826" t="s">
        <v>10697</v>
      </c>
      <c r="B191" s="1825"/>
      <c r="C191" s="1824"/>
      <c r="D191" s="1824"/>
      <c r="E191" s="1824" t="s">
        <v>9838</v>
      </c>
      <c r="F191" s="1821"/>
      <c r="G191" s="1821"/>
      <c r="H191" s="1823"/>
      <c r="I191" s="1823">
        <v>0</v>
      </c>
      <c r="J191" s="1822"/>
      <c r="K191" s="1821" t="s">
        <v>400</v>
      </c>
    </row>
    <row r="192" spans="1:11" x14ac:dyDescent="0.2">
      <c r="A192" s="222" t="s">
        <v>10696</v>
      </c>
      <c r="B192" s="1820"/>
      <c r="C192" s="1820"/>
      <c r="D192" s="1820"/>
      <c r="E192" s="1820" t="s">
        <v>10031</v>
      </c>
      <c r="F192" s="1817"/>
      <c r="G192" s="1817"/>
      <c r="H192" s="1819"/>
      <c r="I192" s="1819">
        <v>0</v>
      </c>
      <c r="J192" s="1818"/>
      <c r="K192" s="1817" t="s">
        <v>400</v>
      </c>
    </row>
    <row r="193" spans="1:11" x14ac:dyDescent="0.2">
      <c r="A193" s="1809" t="s">
        <v>10695</v>
      </c>
      <c r="B193" s="1808"/>
      <c r="C193" s="1807"/>
      <c r="D193" s="1807"/>
      <c r="E193" s="1806" t="s">
        <v>1463</v>
      </c>
      <c r="F193" s="1803" t="s">
        <v>1243</v>
      </c>
      <c r="G193" s="1803">
        <v>7792.79</v>
      </c>
      <c r="H193" s="1805">
        <v>0</v>
      </c>
      <c r="I193" s="1805">
        <v>0</v>
      </c>
      <c r="J193" s="1804"/>
      <c r="K193" s="1803" t="s">
        <v>400</v>
      </c>
    </row>
    <row r="194" spans="1:11" x14ac:dyDescent="0.2">
      <c r="A194" s="1826" t="s">
        <v>10694</v>
      </c>
      <c r="B194" s="1825"/>
      <c r="C194" s="1824"/>
      <c r="D194" s="1824"/>
      <c r="E194" s="1824" t="s">
        <v>9832</v>
      </c>
      <c r="F194" s="1821"/>
      <c r="G194" s="1821"/>
      <c r="H194" s="1823"/>
      <c r="I194" s="1823">
        <v>678396.59199999995</v>
      </c>
      <c r="J194" s="1822">
        <v>3.1235418509963864E-2</v>
      </c>
      <c r="K194" s="1821" t="s">
        <v>400</v>
      </c>
    </row>
    <row r="195" spans="1:11" x14ac:dyDescent="0.2">
      <c r="A195" s="222" t="s">
        <v>10693</v>
      </c>
      <c r="B195" s="1820"/>
      <c r="C195" s="1820"/>
      <c r="D195" s="1820"/>
      <c r="E195" s="1820" t="s">
        <v>10031</v>
      </c>
      <c r="F195" s="1817"/>
      <c r="G195" s="1817"/>
      <c r="H195" s="1819"/>
      <c r="I195" s="1819">
        <v>306672.43199999997</v>
      </c>
      <c r="J195" s="1818">
        <v>1.4120120696285035E-2</v>
      </c>
      <c r="K195" s="1817" t="s">
        <v>400</v>
      </c>
    </row>
    <row r="196" spans="1:11" ht="25.5" x14ac:dyDescent="0.2">
      <c r="A196" s="1816" t="s">
        <v>10692</v>
      </c>
      <c r="B196" s="1815" t="s">
        <v>10160</v>
      </c>
      <c r="C196" s="1814" t="s">
        <v>10159</v>
      </c>
      <c r="D196" s="1814" t="s">
        <v>10686</v>
      </c>
      <c r="E196" s="1813" t="s">
        <v>586</v>
      </c>
      <c r="F196" s="1810" t="s">
        <v>642</v>
      </c>
      <c r="G196" s="1810">
        <v>11616.38</v>
      </c>
      <c r="H196" s="1812">
        <v>26.4</v>
      </c>
      <c r="I196" s="1812">
        <v>306672.43199999997</v>
      </c>
      <c r="J196" s="1811">
        <v>1.4120120696285035E-2</v>
      </c>
      <c r="K196" s="1810" t="s">
        <v>400</v>
      </c>
    </row>
    <row r="197" spans="1:11" x14ac:dyDescent="0.2">
      <c r="A197" s="222" t="s">
        <v>10691</v>
      </c>
      <c r="B197" s="1820"/>
      <c r="C197" s="1820"/>
      <c r="D197" s="1820"/>
      <c r="E197" s="1820" t="s">
        <v>10684</v>
      </c>
      <c r="F197" s="1817"/>
      <c r="G197" s="1817"/>
      <c r="H197" s="1819"/>
      <c r="I197" s="1819">
        <v>371724.16</v>
      </c>
      <c r="J197" s="1818">
        <v>1.7115297813678831E-2</v>
      </c>
      <c r="K197" s="1817" t="s">
        <v>400</v>
      </c>
    </row>
    <row r="198" spans="1:11" ht="25.5" x14ac:dyDescent="0.2">
      <c r="A198" s="1809" t="s">
        <v>10690</v>
      </c>
      <c r="B198" s="1808" t="s">
        <v>10160</v>
      </c>
      <c r="C198" s="1807" t="s">
        <v>10159</v>
      </c>
      <c r="D198" s="1807" t="s">
        <v>10682</v>
      </c>
      <c r="E198" s="1806" t="s">
        <v>10681</v>
      </c>
      <c r="F198" s="1803" t="s">
        <v>642</v>
      </c>
      <c r="G198" s="1803">
        <v>11616.38</v>
      </c>
      <c r="H198" s="1805">
        <v>32</v>
      </c>
      <c r="I198" s="1805">
        <v>371724.16</v>
      </c>
      <c r="J198" s="1804">
        <v>1.7115297813678831E-2</v>
      </c>
      <c r="K198" s="1803" t="s">
        <v>400</v>
      </c>
    </row>
    <row r="199" spans="1:11" x14ac:dyDescent="0.2">
      <c r="A199" s="1826" t="s">
        <v>10689</v>
      </c>
      <c r="B199" s="1825"/>
      <c r="C199" s="1824"/>
      <c r="D199" s="1824"/>
      <c r="E199" s="1824" t="s">
        <v>9781</v>
      </c>
      <c r="F199" s="1821"/>
      <c r="G199" s="1821"/>
      <c r="H199" s="1823"/>
      <c r="I199" s="1823">
        <v>668292.80799999996</v>
      </c>
      <c r="J199" s="1822">
        <v>3.0770209920333632E-2</v>
      </c>
      <c r="K199" s="1821" t="s">
        <v>400</v>
      </c>
    </row>
    <row r="200" spans="1:11" x14ac:dyDescent="0.2">
      <c r="A200" s="222" t="s">
        <v>10688</v>
      </c>
      <c r="B200" s="1820"/>
      <c r="C200" s="1820"/>
      <c r="D200" s="1820"/>
      <c r="E200" s="1820" t="s">
        <v>10031</v>
      </c>
      <c r="F200" s="1817"/>
      <c r="G200" s="1817"/>
      <c r="H200" s="1819"/>
      <c r="I200" s="1819">
        <v>302104.96799999999</v>
      </c>
      <c r="J200" s="1818">
        <v>1.3909820922890547E-2</v>
      </c>
      <c r="K200" s="1817" t="s">
        <v>400</v>
      </c>
    </row>
    <row r="201" spans="1:11" ht="25.5" x14ac:dyDescent="0.2">
      <c r="A201" s="1816" t="s">
        <v>10687</v>
      </c>
      <c r="B201" s="1815" t="s">
        <v>10160</v>
      </c>
      <c r="C201" s="1814" t="s">
        <v>10159</v>
      </c>
      <c r="D201" s="1814" t="s">
        <v>10686</v>
      </c>
      <c r="E201" s="1813" t="s">
        <v>586</v>
      </c>
      <c r="F201" s="1810" t="s">
        <v>642</v>
      </c>
      <c r="G201" s="1810">
        <v>11443.37</v>
      </c>
      <c r="H201" s="1812">
        <v>26.4</v>
      </c>
      <c r="I201" s="1812">
        <v>302104.96799999999</v>
      </c>
      <c r="J201" s="1811">
        <v>1.3909820922890547E-2</v>
      </c>
      <c r="K201" s="1810" t="s">
        <v>400</v>
      </c>
    </row>
    <row r="202" spans="1:11" x14ac:dyDescent="0.2">
      <c r="A202" s="222" t="s">
        <v>10685</v>
      </c>
      <c r="B202" s="1820"/>
      <c r="C202" s="1820"/>
      <c r="D202" s="1820"/>
      <c r="E202" s="1820" t="s">
        <v>10684</v>
      </c>
      <c r="F202" s="1817"/>
      <c r="G202" s="1817"/>
      <c r="H202" s="1819"/>
      <c r="I202" s="1819">
        <v>366187.84</v>
      </c>
      <c r="J202" s="1818">
        <v>1.6860388997443087E-2</v>
      </c>
      <c r="K202" s="1817" t="s">
        <v>400</v>
      </c>
    </row>
    <row r="203" spans="1:11" ht="25.5" x14ac:dyDescent="0.2">
      <c r="A203" s="1809" t="s">
        <v>10683</v>
      </c>
      <c r="B203" s="1808" t="s">
        <v>10160</v>
      </c>
      <c r="C203" s="1807" t="s">
        <v>10159</v>
      </c>
      <c r="D203" s="1807" t="s">
        <v>10682</v>
      </c>
      <c r="E203" s="1806" t="s">
        <v>10681</v>
      </c>
      <c r="F203" s="1803" t="s">
        <v>642</v>
      </c>
      <c r="G203" s="1803">
        <v>11443.37</v>
      </c>
      <c r="H203" s="1805">
        <v>32</v>
      </c>
      <c r="I203" s="1805">
        <v>366187.84</v>
      </c>
      <c r="J203" s="1804">
        <v>1.6860388997443087E-2</v>
      </c>
      <c r="K203" s="1803" t="s">
        <v>400</v>
      </c>
    </row>
    <row r="204" spans="1:11" x14ac:dyDescent="0.2">
      <c r="A204" s="1832" t="s">
        <v>10680</v>
      </c>
      <c r="B204" s="1831"/>
      <c r="C204" s="1830"/>
      <c r="D204" s="1830"/>
      <c r="E204" s="1830" t="s">
        <v>10679</v>
      </c>
      <c r="F204" s="1827"/>
      <c r="G204" s="1827"/>
      <c r="H204" s="1829"/>
      <c r="I204" s="1829">
        <v>2050093.5688792032</v>
      </c>
      <c r="J204" s="1828">
        <v>9.4392470958237579E-2</v>
      </c>
      <c r="K204" s="1827" t="s">
        <v>400</v>
      </c>
    </row>
    <row r="205" spans="1:11" x14ac:dyDescent="0.2">
      <c r="A205" s="1826" t="s">
        <v>10678</v>
      </c>
      <c r="B205" s="1825"/>
      <c r="C205" s="1824"/>
      <c r="D205" s="1824"/>
      <c r="E205" s="1824" t="s">
        <v>9706</v>
      </c>
      <c r="F205" s="1821"/>
      <c r="G205" s="1821"/>
      <c r="H205" s="1823"/>
      <c r="I205" s="1823">
        <v>297343.58053805318</v>
      </c>
      <c r="J205" s="1822">
        <v>1.3690592330330041E-2</v>
      </c>
      <c r="K205" s="1821" t="s">
        <v>400</v>
      </c>
    </row>
    <row r="206" spans="1:11" x14ac:dyDescent="0.2">
      <c r="A206" s="222" t="s">
        <v>10677</v>
      </c>
      <c r="B206" s="1820"/>
      <c r="C206" s="1820"/>
      <c r="D206" s="1820"/>
      <c r="E206" s="1820" t="s">
        <v>10623</v>
      </c>
      <c r="F206" s="1817"/>
      <c r="G206" s="1817"/>
      <c r="H206" s="1819"/>
      <c r="I206" s="1819">
        <v>179410.40919100001</v>
      </c>
      <c r="J206" s="1818">
        <v>8.2605945876048168E-3</v>
      </c>
      <c r="K206" s="1817" t="s">
        <v>400</v>
      </c>
    </row>
    <row r="207" spans="1:11" x14ac:dyDescent="0.2">
      <c r="A207" s="1816" t="s">
        <v>10676</v>
      </c>
      <c r="B207" s="1815"/>
      <c r="C207" s="1814"/>
      <c r="D207" s="1814"/>
      <c r="E207" s="1813" t="s">
        <v>10661</v>
      </c>
      <c r="F207" s="1810" t="s">
        <v>1243</v>
      </c>
      <c r="G207" s="1810">
        <v>142.03</v>
      </c>
      <c r="H207" s="1812">
        <v>0</v>
      </c>
      <c r="I207" s="1812">
        <v>0</v>
      </c>
      <c r="J207" s="1811"/>
      <c r="K207" s="1810" t="s">
        <v>400</v>
      </c>
    </row>
    <row r="208" spans="1:11" ht="25.5" x14ac:dyDescent="0.2">
      <c r="A208" s="1809" t="s">
        <v>10675</v>
      </c>
      <c r="B208" s="1808" t="s">
        <v>10160</v>
      </c>
      <c r="C208" s="1807" t="s">
        <v>10159</v>
      </c>
      <c r="D208" s="1807" t="s">
        <v>10621</v>
      </c>
      <c r="E208" s="1806" t="s">
        <v>10620</v>
      </c>
      <c r="F208" s="1803" t="s">
        <v>642</v>
      </c>
      <c r="G208" s="1803">
        <v>1911.23</v>
      </c>
      <c r="H208" s="1805">
        <v>93.871700000000004</v>
      </c>
      <c r="I208" s="1805">
        <v>179410.40919100001</v>
      </c>
      <c r="J208" s="1804">
        <v>8.2605945876048168E-3</v>
      </c>
      <c r="K208" s="1803" t="s">
        <v>400</v>
      </c>
    </row>
    <row r="209" spans="1:11" x14ac:dyDescent="0.2">
      <c r="A209" s="1816" t="s">
        <v>10674</v>
      </c>
      <c r="B209" s="1815"/>
      <c r="C209" s="1814"/>
      <c r="D209" s="1814"/>
      <c r="E209" s="1813" t="s">
        <v>10673</v>
      </c>
      <c r="F209" s="1810" t="s">
        <v>1243</v>
      </c>
      <c r="G209" s="1810">
        <v>174.83</v>
      </c>
      <c r="H209" s="1812">
        <v>0</v>
      </c>
      <c r="I209" s="1812">
        <v>0</v>
      </c>
      <c r="J209" s="1811"/>
      <c r="K209" s="1810" t="s">
        <v>400</v>
      </c>
    </row>
    <row r="210" spans="1:11" ht="25.5" x14ac:dyDescent="0.2">
      <c r="A210" s="1809" t="s">
        <v>10672</v>
      </c>
      <c r="B210" s="1808"/>
      <c r="C210" s="1807"/>
      <c r="D210" s="1807"/>
      <c r="E210" s="1806" t="s">
        <v>10618</v>
      </c>
      <c r="F210" s="1803" t="s">
        <v>1243</v>
      </c>
      <c r="G210" s="1803">
        <v>50.53</v>
      </c>
      <c r="H210" s="1805">
        <v>0</v>
      </c>
      <c r="I210" s="1805">
        <v>0</v>
      </c>
      <c r="J210" s="1804"/>
      <c r="K210" s="1803" t="s">
        <v>400</v>
      </c>
    </row>
    <row r="211" spans="1:11" x14ac:dyDescent="0.2">
      <c r="A211" s="1816" t="s">
        <v>10671</v>
      </c>
      <c r="B211" s="1815"/>
      <c r="C211" s="1814"/>
      <c r="D211" s="1814"/>
      <c r="E211" s="1813" t="s">
        <v>10670</v>
      </c>
      <c r="F211" s="1810" t="s">
        <v>1243</v>
      </c>
      <c r="G211" s="1810">
        <v>8.49</v>
      </c>
      <c r="H211" s="1812">
        <v>0</v>
      </c>
      <c r="I211" s="1812">
        <v>0</v>
      </c>
      <c r="J211" s="1811"/>
      <c r="K211" s="1810" t="s">
        <v>400</v>
      </c>
    </row>
    <row r="212" spans="1:11" x14ac:dyDescent="0.2">
      <c r="A212" s="222" t="s">
        <v>10669</v>
      </c>
      <c r="B212" s="1820"/>
      <c r="C212" s="1820"/>
      <c r="D212" s="1820"/>
      <c r="E212" s="1820" t="s">
        <v>10612</v>
      </c>
      <c r="F212" s="1817"/>
      <c r="G212" s="1817"/>
      <c r="H212" s="1819"/>
      <c r="I212" s="1819">
        <v>0</v>
      </c>
      <c r="J212" s="1818"/>
      <c r="K212" s="1817" t="s">
        <v>400</v>
      </c>
    </row>
    <row r="213" spans="1:11" x14ac:dyDescent="0.2">
      <c r="A213" s="1809" t="s">
        <v>10668</v>
      </c>
      <c r="B213" s="1808"/>
      <c r="C213" s="1807"/>
      <c r="D213" s="1807"/>
      <c r="E213" s="1806" t="s">
        <v>10667</v>
      </c>
      <c r="F213" s="1803" t="s">
        <v>1243</v>
      </c>
      <c r="G213" s="1803">
        <v>6.05</v>
      </c>
      <c r="H213" s="1805">
        <v>0</v>
      </c>
      <c r="I213" s="1805">
        <v>0</v>
      </c>
      <c r="J213" s="1804"/>
      <c r="K213" s="1803" t="s">
        <v>400</v>
      </c>
    </row>
    <row r="214" spans="1:11" x14ac:dyDescent="0.2">
      <c r="A214" s="1816" t="s">
        <v>10666</v>
      </c>
      <c r="B214" s="1815"/>
      <c r="C214" s="1814"/>
      <c r="D214" s="1814"/>
      <c r="E214" s="1813" t="s">
        <v>10665</v>
      </c>
      <c r="F214" s="1810" t="s">
        <v>1243</v>
      </c>
      <c r="G214" s="1810">
        <v>68.91</v>
      </c>
      <c r="H214" s="1812">
        <v>0</v>
      </c>
      <c r="I214" s="1812">
        <v>0</v>
      </c>
      <c r="J214" s="1811"/>
      <c r="K214" s="1810" t="s">
        <v>400</v>
      </c>
    </row>
    <row r="215" spans="1:11" x14ac:dyDescent="0.2">
      <c r="A215" s="1809" t="s">
        <v>10664</v>
      </c>
      <c r="B215" s="1808"/>
      <c r="C215" s="1807"/>
      <c r="D215" s="1807"/>
      <c r="E215" s="1806" t="s">
        <v>10663</v>
      </c>
      <c r="F215" s="1803" t="s">
        <v>1243</v>
      </c>
      <c r="G215" s="1803">
        <v>179.62</v>
      </c>
      <c r="H215" s="1805">
        <v>0</v>
      </c>
      <c r="I215" s="1805">
        <v>0</v>
      </c>
      <c r="J215" s="1804"/>
      <c r="K215" s="1803" t="s">
        <v>400</v>
      </c>
    </row>
    <row r="216" spans="1:11" x14ac:dyDescent="0.2">
      <c r="A216" s="1816" t="s">
        <v>10662</v>
      </c>
      <c r="B216" s="1815"/>
      <c r="C216" s="1814"/>
      <c r="D216" s="1814"/>
      <c r="E216" s="1813" t="s">
        <v>10661</v>
      </c>
      <c r="F216" s="1810" t="s">
        <v>1243</v>
      </c>
      <c r="G216" s="1810">
        <v>57.89</v>
      </c>
      <c r="H216" s="1812">
        <v>0</v>
      </c>
      <c r="I216" s="1812">
        <v>0</v>
      </c>
      <c r="J216" s="1811"/>
      <c r="K216" s="1810" t="s">
        <v>400</v>
      </c>
    </row>
    <row r="217" spans="1:11" x14ac:dyDescent="0.2">
      <c r="A217" s="1809" t="s">
        <v>10660</v>
      </c>
      <c r="B217" s="1808"/>
      <c r="C217" s="1807"/>
      <c r="D217" s="1807"/>
      <c r="E217" s="1806" t="s">
        <v>10610</v>
      </c>
      <c r="F217" s="1803" t="s">
        <v>1243</v>
      </c>
      <c r="G217" s="1803">
        <v>142.53</v>
      </c>
      <c r="H217" s="1805">
        <v>0</v>
      </c>
      <c r="I217" s="1805">
        <v>0</v>
      </c>
      <c r="J217" s="1804"/>
      <c r="K217" s="1803" t="s">
        <v>400</v>
      </c>
    </row>
    <row r="218" spans="1:11" x14ac:dyDescent="0.2">
      <c r="A218" s="222" t="s">
        <v>10659</v>
      </c>
      <c r="B218" s="1820"/>
      <c r="C218" s="1820"/>
      <c r="D218" s="1820"/>
      <c r="E218" s="1820" t="s">
        <v>10608</v>
      </c>
      <c r="F218" s="1817"/>
      <c r="G218" s="1817"/>
      <c r="H218" s="1819"/>
      <c r="I218" s="1819">
        <v>117933.1713470532</v>
      </c>
      <c r="J218" s="1818">
        <v>5.4299977427252257E-3</v>
      </c>
      <c r="K218" s="1817" t="s">
        <v>400</v>
      </c>
    </row>
    <row r="219" spans="1:11" x14ac:dyDescent="0.2">
      <c r="A219" s="1816" t="s">
        <v>10658</v>
      </c>
      <c r="B219" s="1815"/>
      <c r="C219" s="1814"/>
      <c r="D219" s="1814"/>
      <c r="E219" s="1813" t="s">
        <v>10657</v>
      </c>
      <c r="F219" s="1810" t="s">
        <v>788</v>
      </c>
      <c r="G219" s="1810">
        <v>12.48</v>
      </c>
      <c r="H219" s="1812">
        <v>0</v>
      </c>
      <c r="I219" s="1812">
        <v>0</v>
      </c>
      <c r="J219" s="1811"/>
      <c r="K219" s="1810" t="s">
        <v>400</v>
      </c>
    </row>
    <row r="220" spans="1:11" ht="25.5" x14ac:dyDescent="0.2">
      <c r="A220" s="1809" t="s">
        <v>10656</v>
      </c>
      <c r="B220" s="1808" t="s">
        <v>10160</v>
      </c>
      <c r="C220" s="1807" t="s">
        <v>10159</v>
      </c>
      <c r="D220" s="1807" t="s">
        <v>10603</v>
      </c>
      <c r="E220" s="1806" t="s">
        <v>10602</v>
      </c>
      <c r="F220" s="1803" t="s">
        <v>788</v>
      </c>
      <c r="G220" s="1803">
        <v>1434.26</v>
      </c>
      <c r="H220" s="1805">
        <v>82.225796819999999</v>
      </c>
      <c r="I220" s="1805">
        <v>117933.1713470532</v>
      </c>
      <c r="J220" s="1804">
        <v>5.4299977427252257E-3</v>
      </c>
      <c r="K220" s="1803" t="s">
        <v>400</v>
      </c>
    </row>
    <row r="221" spans="1:11" x14ac:dyDescent="0.2">
      <c r="A221" s="1816" t="s">
        <v>10655</v>
      </c>
      <c r="B221" s="1815"/>
      <c r="C221" s="1814"/>
      <c r="D221" s="1814"/>
      <c r="E221" s="1813" t="s">
        <v>10654</v>
      </c>
      <c r="F221" s="1810" t="s">
        <v>788</v>
      </c>
      <c r="G221" s="1810">
        <v>157.33000000000001</v>
      </c>
      <c r="H221" s="1812">
        <v>0</v>
      </c>
      <c r="I221" s="1812">
        <v>0</v>
      </c>
      <c r="J221" s="1811"/>
      <c r="K221" s="1810" t="s">
        <v>400</v>
      </c>
    </row>
    <row r="222" spans="1:11" x14ac:dyDescent="0.2">
      <c r="A222" s="1809" t="s">
        <v>10653</v>
      </c>
      <c r="B222" s="1808"/>
      <c r="C222" s="1807"/>
      <c r="D222" s="1807"/>
      <c r="E222" s="1806" t="s">
        <v>10597</v>
      </c>
      <c r="F222" s="1803" t="s">
        <v>788</v>
      </c>
      <c r="G222" s="1803">
        <v>165.55</v>
      </c>
      <c r="H222" s="1805">
        <v>0</v>
      </c>
      <c r="I222" s="1805">
        <v>0</v>
      </c>
      <c r="J222" s="1804"/>
      <c r="K222" s="1803" t="s">
        <v>400</v>
      </c>
    </row>
    <row r="223" spans="1:11" x14ac:dyDescent="0.2">
      <c r="A223" s="1816" t="s">
        <v>10652</v>
      </c>
      <c r="B223" s="1815"/>
      <c r="C223" s="1814"/>
      <c r="D223" s="1814"/>
      <c r="E223" s="1813" t="s">
        <v>10595</v>
      </c>
      <c r="F223" s="1810" t="s">
        <v>788</v>
      </c>
      <c r="G223" s="1810">
        <v>467.36</v>
      </c>
      <c r="H223" s="1812">
        <v>0</v>
      </c>
      <c r="I223" s="1812">
        <v>0</v>
      </c>
      <c r="J223" s="1811"/>
      <c r="K223" s="1810" t="s">
        <v>400</v>
      </c>
    </row>
    <row r="224" spans="1:11" x14ac:dyDescent="0.2">
      <c r="A224" s="222" t="s">
        <v>10651</v>
      </c>
      <c r="B224" s="1820"/>
      <c r="C224" s="1820"/>
      <c r="D224" s="1820"/>
      <c r="E224" s="1820" t="s">
        <v>10593</v>
      </c>
      <c r="F224" s="1817"/>
      <c r="G224" s="1817"/>
      <c r="H224" s="1819"/>
      <c r="I224" s="1819">
        <v>0</v>
      </c>
      <c r="J224" s="1818"/>
      <c r="K224" s="1817" t="s">
        <v>400</v>
      </c>
    </row>
    <row r="225" spans="1:11" x14ac:dyDescent="0.2">
      <c r="A225" s="1809" t="s">
        <v>10650</v>
      </c>
      <c r="B225" s="1808"/>
      <c r="C225" s="1807"/>
      <c r="D225" s="1807"/>
      <c r="E225" s="1806" t="s">
        <v>10588</v>
      </c>
      <c r="F225" s="1803" t="s">
        <v>1243</v>
      </c>
      <c r="G225" s="1803">
        <v>36.96</v>
      </c>
      <c r="H225" s="1805">
        <v>0</v>
      </c>
      <c r="I225" s="1805">
        <v>0</v>
      </c>
      <c r="J225" s="1804"/>
      <c r="K225" s="1803" t="s">
        <v>400</v>
      </c>
    </row>
    <row r="226" spans="1:11" x14ac:dyDescent="0.2">
      <c r="A226" s="1826" t="s">
        <v>10649</v>
      </c>
      <c r="B226" s="1825"/>
      <c r="C226" s="1824"/>
      <c r="D226" s="1824"/>
      <c r="E226" s="1824" t="s">
        <v>9838</v>
      </c>
      <c r="F226" s="1821"/>
      <c r="G226" s="1821"/>
      <c r="H226" s="1823"/>
      <c r="I226" s="1823">
        <v>0</v>
      </c>
      <c r="J226" s="1822"/>
      <c r="K226" s="1821" t="s">
        <v>400</v>
      </c>
    </row>
    <row r="227" spans="1:11" x14ac:dyDescent="0.2">
      <c r="A227" s="222" t="s">
        <v>10648</v>
      </c>
      <c r="B227" s="1820"/>
      <c r="C227" s="1820"/>
      <c r="D227" s="1820"/>
      <c r="E227" s="1820" t="s">
        <v>10612</v>
      </c>
      <c r="F227" s="1817"/>
      <c r="G227" s="1817"/>
      <c r="H227" s="1819"/>
      <c r="I227" s="1819">
        <v>0</v>
      </c>
      <c r="J227" s="1818"/>
      <c r="K227" s="1817" t="s">
        <v>400</v>
      </c>
    </row>
    <row r="228" spans="1:11" x14ac:dyDescent="0.2">
      <c r="A228" s="1816" t="s">
        <v>10647</v>
      </c>
      <c r="B228" s="1815"/>
      <c r="C228" s="1814"/>
      <c r="D228" s="1814"/>
      <c r="E228" s="1813" t="s">
        <v>10646</v>
      </c>
      <c r="F228" s="1810" t="s">
        <v>1243</v>
      </c>
      <c r="G228" s="1810">
        <v>582.79</v>
      </c>
      <c r="H228" s="1812">
        <v>0</v>
      </c>
      <c r="I228" s="1812">
        <v>0</v>
      </c>
      <c r="J228" s="1811"/>
      <c r="K228" s="1810" t="s">
        <v>400</v>
      </c>
    </row>
    <row r="229" spans="1:11" x14ac:dyDescent="0.2">
      <c r="A229" s="1826" t="s">
        <v>10645</v>
      </c>
      <c r="B229" s="1825"/>
      <c r="C229" s="1824"/>
      <c r="D229" s="1824"/>
      <c r="E229" s="1824" t="s">
        <v>9832</v>
      </c>
      <c r="F229" s="1821"/>
      <c r="G229" s="1821"/>
      <c r="H229" s="1823"/>
      <c r="I229" s="1823">
        <v>883795.17044564872</v>
      </c>
      <c r="J229" s="1822">
        <v>4.0692586536393877E-2</v>
      </c>
      <c r="K229" s="1821" t="s">
        <v>400</v>
      </c>
    </row>
    <row r="230" spans="1:11" x14ac:dyDescent="0.2">
      <c r="A230" s="222" t="s">
        <v>10644</v>
      </c>
      <c r="B230" s="1820"/>
      <c r="C230" s="1820"/>
      <c r="D230" s="1820"/>
      <c r="E230" s="1820" t="s">
        <v>10623</v>
      </c>
      <c r="F230" s="1817"/>
      <c r="G230" s="1817"/>
      <c r="H230" s="1819"/>
      <c r="I230" s="1819">
        <v>636302.74743100011</v>
      </c>
      <c r="J230" s="1818">
        <v>2.9297291362346826E-2</v>
      </c>
      <c r="K230" s="1817" t="s">
        <v>400</v>
      </c>
    </row>
    <row r="231" spans="1:11" ht="25.5" x14ac:dyDescent="0.2">
      <c r="A231" s="1809" t="s">
        <v>10643</v>
      </c>
      <c r="B231" s="1808" t="s">
        <v>10160</v>
      </c>
      <c r="C231" s="1807" t="s">
        <v>10159</v>
      </c>
      <c r="D231" s="1807" t="s">
        <v>10621</v>
      </c>
      <c r="E231" s="1806" t="s">
        <v>10620</v>
      </c>
      <c r="F231" s="1803" t="s">
        <v>642</v>
      </c>
      <c r="G231" s="1803">
        <v>6778.43</v>
      </c>
      <c r="H231" s="1805">
        <v>93.871700000000004</v>
      </c>
      <c r="I231" s="1805">
        <v>636302.74743100011</v>
      </c>
      <c r="J231" s="1804">
        <v>2.9297291362346826E-2</v>
      </c>
      <c r="K231" s="1803" t="s">
        <v>400</v>
      </c>
    </row>
    <row r="232" spans="1:11" ht="25.5" x14ac:dyDescent="0.2">
      <c r="A232" s="1816" t="s">
        <v>10642</v>
      </c>
      <c r="B232" s="1815"/>
      <c r="C232" s="1814"/>
      <c r="D232" s="1814"/>
      <c r="E232" s="1813" t="s">
        <v>10618</v>
      </c>
      <c r="F232" s="1810" t="s">
        <v>1243</v>
      </c>
      <c r="G232" s="1810">
        <v>98.19</v>
      </c>
      <c r="H232" s="1812">
        <v>0</v>
      </c>
      <c r="I232" s="1812">
        <v>0</v>
      </c>
      <c r="J232" s="1811"/>
      <c r="K232" s="1810" t="s">
        <v>400</v>
      </c>
    </row>
    <row r="233" spans="1:11" x14ac:dyDescent="0.2">
      <c r="A233" s="222" t="s">
        <v>10641</v>
      </c>
      <c r="B233" s="1820"/>
      <c r="C233" s="1820"/>
      <c r="D233" s="1820"/>
      <c r="E233" s="1820" t="s">
        <v>10616</v>
      </c>
      <c r="F233" s="1817"/>
      <c r="G233" s="1817"/>
      <c r="H233" s="1819"/>
      <c r="I233" s="1819">
        <v>0</v>
      </c>
      <c r="J233" s="1818"/>
      <c r="K233" s="1817" t="s">
        <v>400</v>
      </c>
    </row>
    <row r="234" spans="1:11" x14ac:dyDescent="0.2">
      <c r="A234" s="1809" t="s">
        <v>10640</v>
      </c>
      <c r="B234" s="1808"/>
      <c r="C234" s="1807"/>
      <c r="D234" s="1807"/>
      <c r="E234" s="1806" t="s">
        <v>10614</v>
      </c>
      <c r="F234" s="1803" t="s">
        <v>1243</v>
      </c>
      <c r="G234" s="1803">
        <v>15.92</v>
      </c>
      <c r="H234" s="1805">
        <v>0</v>
      </c>
      <c r="I234" s="1805">
        <v>0</v>
      </c>
      <c r="J234" s="1804"/>
      <c r="K234" s="1803" t="s">
        <v>400</v>
      </c>
    </row>
    <row r="235" spans="1:11" x14ac:dyDescent="0.2">
      <c r="A235" s="222" t="s">
        <v>10639</v>
      </c>
      <c r="B235" s="1820"/>
      <c r="C235" s="1820"/>
      <c r="D235" s="1820"/>
      <c r="E235" s="1820" t="s">
        <v>10612</v>
      </c>
      <c r="F235" s="1817"/>
      <c r="G235" s="1817"/>
      <c r="H235" s="1819"/>
      <c r="I235" s="1819">
        <v>0</v>
      </c>
      <c r="J235" s="1818"/>
      <c r="K235" s="1817" t="s">
        <v>400</v>
      </c>
    </row>
    <row r="236" spans="1:11" x14ac:dyDescent="0.2">
      <c r="A236" s="1816" t="s">
        <v>10638</v>
      </c>
      <c r="B236" s="1815"/>
      <c r="C236" s="1814"/>
      <c r="D236" s="1814"/>
      <c r="E236" s="1813" t="s">
        <v>10610</v>
      </c>
      <c r="F236" s="1810" t="s">
        <v>1243</v>
      </c>
      <c r="G236" s="1810">
        <v>3790.81</v>
      </c>
      <c r="H236" s="1812">
        <v>0</v>
      </c>
      <c r="I236" s="1812">
        <v>0</v>
      </c>
      <c r="J236" s="1811"/>
      <c r="K236" s="1810" t="s">
        <v>400</v>
      </c>
    </row>
    <row r="237" spans="1:11" x14ac:dyDescent="0.2">
      <c r="A237" s="222" t="s">
        <v>10637</v>
      </c>
      <c r="B237" s="1820"/>
      <c r="C237" s="1820"/>
      <c r="D237" s="1820"/>
      <c r="E237" s="1820" t="s">
        <v>10608</v>
      </c>
      <c r="F237" s="1817"/>
      <c r="G237" s="1817"/>
      <c r="H237" s="1819"/>
      <c r="I237" s="1819">
        <v>238041.6468640886</v>
      </c>
      <c r="J237" s="1818">
        <v>1.0960153028894986E-2</v>
      </c>
      <c r="K237" s="1817" t="s">
        <v>400</v>
      </c>
    </row>
    <row r="238" spans="1:11" ht="25.5" x14ac:dyDescent="0.2">
      <c r="A238" s="1809" t="s">
        <v>10636</v>
      </c>
      <c r="B238" s="1808" t="s">
        <v>10160</v>
      </c>
      <c r="C238" s="1807" t="s">
        <v>10159</v>
      </c>
      <c r="D238" s="1807" t="s">
        <v>10606</v>
      </c>
      <c r="E238" s="1806" t="s">
        <v>10605</v>
      </c>
      <c r="F238" s="1803" t="s">
        <v>788</v>
      </c>
      <c r="G238" s="1803">
        <v>11426.45</v>
      </c>
      <c r="H238" s="1805">
        <v>17.655796819999999</v>
      </c>
      <c r="I238" s="1805">
        <v>201743.079573889</v>
      </c>
      <c r="J238" s="1804">
        <v>9.2888578691140682E-3</v>
      </c>
      <c r="K238" s="1803" t="s">
        <v>400</v>
      </c>
    </row>
    <row r="239" spans="1:11" ht="25.5" x14ac:dyDescent="0.2">
      <c r="A239" s="1816" t="s">
        <v>10635</v>
      </c>
      <c r="B239" s="1815" t="s">
        <v>10160</v>
      </c>
      <c r="C239" s="1814" t="s">
        <v>10159</v>
      </c>
      <c r="D239" s="1814" t="s">
        <v>10603</v>
      </c>
      <c r="E239" s="1813" t="s">
        <v>10602</v>
      </c>
      <c r="F239" s="1810" t="s">
        <v>788</v>
      </c>
      <c r="G239" s="1810">
        <v>304.77999999999997</v>
      </c>
      <c r="H239" s="1812">
        <v>82.225796819999999</v>
      </c>
      <c r="I239" s="1812">
        <v>25060.778354799597</v>
      </c>
      <c r="J239" s="1811">
        <v>1.1538735738483917E-3</v>
      </c>
      <c r="K239" s="1810" t="s">
        <v>400</v>
      </c>
    </row>
    <row r="240" spans="1:11" ht="25.5" x14ac:dyDescent="0.2">
      <c r="A240" s="1809" t="s">
        <v>10634</v>
      </c>
      <c r="B240" s="1808" t="s">
        <v>10160</v>
      </c>
      <c r="C240" s="1807" t="s">
        <v>10159</v>
      </c>
      <c r="D240" s="1807" t="s">
        <v>10600</v>
      </c>
      <c r="E240" s="1806" t="s">
        <v>10599</v>
      </c>
      <c r="F240" s="1803" t="s">
        <v>788</v>
      </c>
      <c r="G240" s="1803">
        <v>1154.5</v>
      </c>
      <c r="H240" s="1805">
        <v>9.7339012</v>
      </c>
      <c r="I240" s="1805">
        <v>11237.7889354</v>
      </c>
      <c r="J240" s="1804">
        <v>5.1742158593252527E-4</v>
      </c>
      <c r="K240" s="1803" t="s">
        <v>400</v>
      </c>
    </row>
    <row r="241" spans="1:11" x14ac:dyDescent="0.2">
      <c r="A241" s="1816" t="s">
        <v>10633</v>
      </c>
      <c r="B241" s="1815"/>
      <c r="C241" s="1814"/>
      <c r="D241" s="1814"/>
      <c r="E241" s="1813" t="s">
        <v>10597</v>
      </c>
      <c r="F241" s="1810" t="s">
        <v>788</v>
      </c>
      <c r="G241" s="1810">
        <v>235.2</v>
      </c>
      <c r="H241" s="1812">
        <v>0</v>
      </c>
      <c r="I241" s="1812">
        <v>0</v>
      </c>
      <c r="J241" s="1811"/>
      <c r="K241" s="1810" t="s">
        <v>10632</v>
      </c>
    </row>
    <row r="242" spans="1:11" x14ac:dyDescent="0.2">
      <c r="A242" s="1809" t="s">
        <v>10631</v>
      </c>
      <c r="B242" s="1808"/>
      <c r="C242" s="1807"/>
      <c r="D242" s="1807"/>
      <c r="E242" s="1806" t="s">
        <v>10595</v>
      </c>
      <c r="F242" s="1803" t="s">
        <v>788</v>
      </c>
      <c r="G242" s="1803">
        <v>71.75</v>
      </c>
      <c r="H242" s="1805">
        <v>0</v>
      </c>
      <c r="I242" s="1805">
        <v>0</v>
      </c>
      <c r="J242" s="1804"/>
      <c r="K242" s="1803" t="s">
        <v>10630</v>
      </c>
    </row>
    <row r="243" spans="1:11" x14ac:dyDescent="0.2">
      <c r="A243" s="222" t="s">
        <v>10629</v>
      </c>
      <c r="B243" s="1820"/>
      <c r="C243" s="1820"/>
      <c r="D243" s="1820"/>
      <c r="E243" s="1820" t="s">
        <v>10593</v>
      </c>
      <c r="F243" s="1817"/>
      <c r="G243" s="1817"/>
      <c r="H243" s="1819"/>
      <c r="I243" s="1819">
        <v>9450.7761505599992</v>
      </c>
      <c r="J243" s="1818">
        <v>4.3514214515206004E-4</v>
      </c>
      <c r="K243" s="1817" t="s">
        <v>400</v>
      </c>
    </row>
    <row r="244" spans="1:11" ht="25.5" x14ac:dyDescent="0.2">
      <c r="A244" s="1816" t="s">
        <v>10628</v>
      </c>
      <c r="B244" s="1815" t="s">
        <v>10160</v>
      </c>
      <c r="C244" s="1814" t="s">
        <v>10159</v>
      </c>
      <c r="D244" s="1814" t="s">
        <v>10591</v>
      </c>
      <c r="E244" s="1813" t="s">
        <v>10590</v>
      </c>
      <c r="F244" s="1810" t="s">
        <v>642</v>
      </c>
      <c r="G244" s="1810">
        <v>15.92</v>
      </c>
      <c r="H244" s="1812">
        <v>593.64171799999997</v>
      </c>
      <c r="I244" s="1812">
        <v>9450.7761505599992</v>
      </c>
      <c r="J244" s="1811">
        <v>4.3514214515206004E-4</v>
      </c>
      <c r="K244" s="1810" t="s">
        <v>400</v>
      </c>
    </row>
    <row r="245" spans="1:11" x14ac:dyDescent="0.2">
      <c r="A245" s="1809" t="s">
        <v>10627</v>
      </c>
      <c r="B245" s="1808"/>
      <c r="C245" s="1807"/>
      <c r="D245" s="1807"/>
      <c r="E245" s="1806" t="s">
        <v>10588</v>
      </c>
      <c r="F245" s="1803" t="s">
        <v>1243</v>
      </c>
      <c r="G245" s="1803">
        <v>149.96</v>
      </c>
      <c r="H245" s="1805">
        <v>0</v>
      </c>
      <c r="I245" s="1805">
        <v>0</v>
      </c>
      <c r="J245" s="1804"/>
      <c r="K245" s="1803" t="s">
        <v>10626</v>
      </c>
    </row>
    <row r="246" spans="1:11" x14ac:dyDescent="0.2">
      <c r="A246" s="1826" t="s">
        <v>10625</v>
      </c>
      <c r="B246" s="1825"/>
      <c r="C246" s="1824"/>
      <c r="D246" s="1824"/>
      <c r="E246" s="1824" t="s">
        <v>9781</v>
      </c>
      <c r="F246" s="1821"/>
      <c r="G246" s="1821"/>
      <c r="H246" s="1823"/>
      <c r="I246" s="1823">
        <v>868954.81789550127</v>
      </c>
      <c r="J246" s="1822">
        <v>4.0009292091513667E-2</v>
      </c>
      <c r="K246" s="1821" t="s">
        <v>400</v>
      </c>
    </row>
    <row r="247" spans="1:11" x14ac:dyDescent="0.2">
      <c r="A247" s="222" t="s">
        <v>10624</v>
      </c>
      <c r="B247" s="1820"/>
      <c r="C247" s="1820"/>
      <c r="D247" s="1820"/>
      <c r="E247" s="1820" t="s">
        <v>10623</v>
      </c>
      <c r="F247" s="1817"/>
      <c r="G247" s="1817"/>
      <c r="H247" s="1819"/>
      <c r="I247" s="1819">
        <v>601178.77344200003</v>
      </c>
      <c r="J247" s="1818">
        <v>2.7680078009247461E-2</v>
      </c>
      <c r="K247" s="1817" t="s">
        <v>400</v>
      </c>
    </row>
    <row r="248" spans="1:11" ht="25.5" x14ac:dyDescent="0.2">
      <c r="A248" s="1816" t="s">
        <v>10622</v>
      </c>
      <c r="B248" s="1815" t="s">
        <v>10160</v>
      </c>
      <c r="C248" s="1814" t="s">
        <v>10159</v>
      </c>
      <c r="D248" s="1814" t="s">
        <v>10621</v>
      </c>
      <c r="E248" s="1813" t="s">
        <v>10620</v>
      </c>
      <c r="F248" s="1810" t="s">
        <v>642</v>
      </c>
      <c r="G248" s="1810">
        <v>6404.26</v>
      </c>
      <c r="H248" s="1812">
        <v>93.871700000000004</v>
      </c>
      <c r="I248" s="1812">
        <v>601178.77344200003</v>
      </c>
      <c r="J248" s="1811">
        <v>2.7680078009247461E-2</v>
      </c>
      <c r="K248" s="1810" t="s">
        <v>400</v>
      </c>
    </row>
    <row r="249" spans="1:11" ht="25.5" x14ac:dyDescent="0.2">
      <c r="A249" s="1809" t="s">
        <v>10619</v>
      </c>
      <c r="B249" s="1808"/>
      <c r="C249" s="1807"/>
      <c r="D249" s="1807"/>
      <c r="E249" s="1806" t="s">
        <v>10618</v>
      </c>
      <c r="F249" s="1803" t="s">
        <v>1243</v>
      </c>
      <c r="G249" s="1803">
        <v>95.97</v>
      </c>
      <c r="H249" s="1805">
        <v>0</v>
      </c>
      <c r="I249" s="1805">
        <v>0</v>
      </c>
      <c r="J249" s="1804"/>
      <c r="K249" s="1803" t="s">
        <v>400</v>
      </c>
    </row>
    <row r="250" spans="1:11" x14ac:dyDescent="0.2">
      <c r="A250" s="222" t="s">
        <v>10617</v>
      </c>
      <c r="B250" s="1820"/>
      <c r="C250" s="1820"/>
      <c r="D250" s="1820"/>
      <c r="E250" s="1820" t="s">
        <v>10616</v>
      </c>
      <c r="F250" s="1817"/>
      <c r="G250" s="1817"/>
      <c r="H250" s="1819"/>
      <c r="I250" s="1819">
        <v>0</v>
      </c>
      <c r="J250" s="1818"/>
      <c r="K250" s="1817" t="s">
        <v>400</v>
      </c>
    </row>
    <row r="251" spans="1:11" x14ac:dyDescent="0.2">
      <c r="A251" s="1816" t="s">
        <v>10615</v>
      </c>
      <c r="B251" s="1815"/>
      <c r="C251" s="1814"/>
      <c r="D251" s="1814"/>
      <c r="E251" s="1813" t="s">
        <v>10614</v>
      </c>
      <c r="F251" s="1810" t="s">
        <v>1243</v>
      </c>
      <c r="G251" s="1810">
        <v>17.12</v>
      </c>
      <c r="H251" s="1812">
        <v>0</v>
      </c>
      <c r="I251" s="1812">
        <v>0</v>
      </c>
      <c r="J251" s="1811"/>
      <c r="K251" s="1810" t="s">
        <v>400</v>
      </c>
    </row>
    <row r="252" spans="1:11" x14ac:dyDescent="0.2">
      <c r="A252" s="222" t="s">
        <v>10613</v>
      </c>
      <c r="B252" s="1820"/>
      <c r="C252" s="1820"/>
      <c r="D252" s="1820"/>
      <c r="E252" s="1820" t="s">
        <v>10612</v>
      </c>
      <c r="F252" s="1817"/>
      <c r="G252" s="1817"/>
      <c r="H252" s="1819"/>
      <c r="I252" s="1819">
        <v>0</v>
      </c>
      <c r="J252" s="1818"/>
      <c r="K252" s="1817" t="s">
        <v>400</v>
      </c>
    </row>
    <row r="253" spans="1:11" x14ac:dyDescent="0.2">
      <c r="A253" s="1809" t="s">
        <v>10611</v>
      </c>
      <c r="B253" s="1808"/>
      <c r="C253" s="1807"/>
      <c r="D253" s="1807"/>
      <c r="E253" s="1806" t="s">
        <v>10610</v>
      </c>
      <c r="F253" s="1803" t="s">
        <v>1243</v>
      </c>
      <c r="G253" s="1803">
        <v>4028.01</v>
      </c>
      <c r="H253" s="1805">
        <v>0</v>
      </c>
      <c r="I253" s="1805">
        <v>0</v>
      </c>
      <c r="J253" s="1804"/>
      <c r="K253" s="1803" t="s">
        <v>400</v>
      </c>
    </row>
    <row r="254" spans="1:11" x14ac:dyDescent="0.2">
      <c r="A254" s="222" t="s">
        <v>10609</v>
      </c>
      <c r="B254" s="1820"/>
      <c r="C254" s="1820"/>
      <c r="D254" s="1820"/>
      <c r="E254" s="1820" t="s">
        <v>10608</v>
      </c>
      <c r="F254" s="1817"/>
      <c r="G254" s="1817"/>
      <c r="H254" s="1819"/>
      <c r="I254" s="1819">
        <v>257612.89824134117</v>
      </c>
      <c r="J254" s="1818">
        <v>1.1861272277931824E-2</v>
      </c>
      <c r="K254" s="1817" t="s">
        <v>400</v>
      </c>
    </row>
    <row r="255" spans="1:11" ht="25.5" x14ac:dyDescent="0.2">
      <c r="A255" s="1816" t="s">
        <v>10607</v>
      </c>
      <c r="B255" s="1815" t="s">
        <v>10160</v>
      </c>
      <c r="C255" s="1814" t="s">
        <v>10159</v>
      </c>
      <c r="D255" s="1814" t="s">
        <v>10606</v>
      </c>
      <c r="E255" s="1813" t="s">
        <v>10605</v>
      </c>
      <c r="F255" s="1810" t="s">
        <v>788</v>
      </c>
      <c r="G255" s="1810">
        <v>12343.05</v>
      </c>
      <c r="H255" s="1812">
        <v>17.655796819999999</v>
      </c>
      <c r="I255" s="1812">
        <v>217926.38293910096</v>
      </c>
      <c r="J255" s="1811">
        <v>1.0033985806735108E-2</v>
      </c>
      <c r="K255" s="1810" t="s">
        <v>400</v>
      </c>
    </row>
    <row r="256" spans="1:11" ht="25.5" x14ac:dyDescent="0.2">
      <c r="A256" s="1809" t="s">
        <v>10604</v>
      </c>
      <c r="B256" s="1808" t="s">
        <v>10160</v>
      </c>
      <c r="C256" s="1807" t="s">
        <v>10159</v>
      </c>
      <c r="D256" s="1807" t="s">
        <v>10603</v>
      </c>
      <c r="E256" s="1806" t="s">
        <v>10602</v>
      </c>
      <c r="F256" s="1803" t="s">
        <v>788</v>
      </c>
      <c r="G256" s="1803">
        <v>311.20999999999998</v>
      </c>
      <c r="H256" s="1805">
        <v>82.225796819999999</v>
      </c>
      <c r="I256" s="1805">
        <v>25589.490228352199</v>
      </c>
      <c r="J256" s="1804">
        <v>1.178217057934766E-3</v>
      </c>
      <c r="K256" s="1803" t="s">
        <v>400</v>
      </c>
    </row>
    <row r="257" spans="1:11" ht="25.5" x14ac:dyDescent="0.2">
      <c r="A257" s="1816" t="s">
        <v>10601</v>
      </c>
      <c r="B257" s="1815" t="s">
        <v>10160</v>
      </c>
      <c r="C257" s="1814" t="s">
        <v>10159</v>
      </c>
      <c r="D257" s="1814" t="s">
        <v>10600</v>
      </c>
      <c r="E257" s="1813" t="s">
        <v>10599</v>
      </c>
      <c r="F257" s="1810" t="s">
        <v>788</v>
      </c>
      <c r="G257" s="1810">
        <v>1448.24</v>
      </c>
      <c r="H257" s="1812">
        <v>9.7339012</v>
      </c>
      <c r="I257" s="1812">
        <v>14097.025073888</v>
      </c>
      <c r="J257" s="1811">
        <v>6.4906941326194935E-4</v>
      </c>
      <c r="K257" s="1810" t="s">
        <v>400</v>
      </c>
    </row>
    <row r="258" spans="1:11" x14ac:dyDescent="0.2">
      <c r="A258" s="1809" t="s">
        <v>10598</v>
      </c>
      <c r="B258" s="1808"/>
      <c r="C258" s="1807"/>
      <c r="D258" s="1807"/>
      <c r="E258" s="1806" t="s">
        <v>10597</v>
      </c>
      <c r="F258" s="1803" t="s">
        <v>788</v>
      </c>
      <c r="G258" s="1803">
        <v>364.43</v>
      </c>
      <c r="H258" s="1805">
        <v>0</v>
      </c>
      <c r="I258" s="1805">
        <v>0</v>
      </c>
      <c r="J258" s="1804"/>
      <c r="K258" s="1803" t="s">
        <v>400</v>
      </c>
    </row>
    <row r="259" spans="1:11" x14ac:dyDescent="0.2">
      <c r="A259" s="1816" t="s">
        <v>10596</v>
      </c>
      <c r="B259" s="1815"/>
      <c r="C259" s="1814"/>
      <c r="D259" s="1814"/>
      <c r="E259" s="1813" t="s">
        <v>10595</v>
      </c>
      <c r="F259" s="1810" t="s">
        <v>788</v>
      </c>
      <c r="G259" s="1810">
        <v>87.84</v>
      </c>
      <c r="H259" s="1812">
        <v>0</v>
      </c>
      <c r="I259" s="1812">
        <v>0</v>
      </c>
      <c r="J259" s="1811"/>
      <c r="K259" s="1810" t="s">
        <v>400</v>
      </c>
    </row>
    <row r="260" spans="1:11" x14ac:dyDescent="0.2">
      <c r="A260" s="222" t="s">
        <v>10594</v>
      </c>
      <c r="B260" s="1820"/>
      <c r="C260" s="1820"/>
      <c r="D260" s="1820"/>
      <c r="E260" s="1820" t="s">
        <v>10593</v>
      </c>
      <c r="F260" s="1817"/>
      <c r="G260" s="1817"/>
      <c r="H260" s="1819"/>
      <c r="I260" s="1819">
        <v>10163.14621216</v>
      </c>
      <c r="J260" s="1818">
        <v>4.6794180433437616E-4</v>
      </c>
      <c r="K260" s="1817" t="s">
        <v>400</v>
      </c>
    </row>
    <row r="261" spans="1:11" ht="25.5" x14ac:dyDescent="0.2">
      <c r="A261" s="1809" t="s">
        <v>10592</v>
      </c>
      <c r="B261" s="1808" t="s">
        <v>10160</v>
      </c>
      <c r="C261" s="1807" t="s">
        <v>10159</v>
      </c>
      <c r="D261" s="1807" t="s">
        <v>10591</v>
      </c>
      <c r="E261" s="1806" t="s">
        <v>10590</v>
      </c>
      <c r="F261" s="1803" t="s">
        <v>642</v>
      </c>
      <c r="G261" s="1803">
        <v>17.12</v>
      </c>
      <c r="H261" s="1805">
        <v>593.64171799999997</v>
      </c>
      <c r="I261" s="1805">
        <v>10163.14621216</v>
      </c>
      <c r="J261" s="1804">
        <v>4.6794180433437616E-4</v>
      </c>
      <c r="K261" s="1803" t="s">
        <v>400</v>
      </c>
    </row>
    <row r="262" spans="1:11" x14ac:dyDescent="0.2">
      <c r="A262" s="1816" t="s">
        <v>10589</v>
      </c>
      <c r="B262" s="1815"/>
      <c r="C262" s="1814"/>
      <c r="D262" s="1814"/>
      <c r="E262" s="1813" t="s">
        <v>10588</v>
      </c>
      <c r="F262" s="1810" t="s">
        <v>1243</v>
      </c>
      <c r="G262" s="1810">
        <v>164.07</v>
      </c>
      <c r="H262" s="1812">
        <v>0</v>
      </c>
      <c r="I262" s="1812">
        <v>0</v>
      </c>
      <c r="J262" s="1811"/>
      <c r="K262" s="1810" t="s">
        <v>400</v>
      </c>
    </row>
    <row r="263" spans="1:11" x14ac:dyDescent="0.2">
      <c r="A263" s="1832" t="s">
        <v>10587</v>
      </c>
      <c r="B263" s="1831"/>
      <c r="C263" s="1830"/>
      <c r="D263" s="1830"/>
      <c r="E263" s="1830" t="s">
        <v>10586</v>
      </c>
      <c r="F263" s="1827"/>
      <c r="G263" s="1827"/>
      <c r="H263" s="1829"/>
      <c r="I263" s="1829">
        <v>5651637.7949516112</v>
      </c>
      <c r="J263" s="1828">
        <v>0.26021839418680764</v>
      </c>
      <c r="K263" s="1827" t="s">
        <v>400</v>
      </c>
    </row>
    <row r="264" spans="1:11" x14ac:dyDescent="0.2">
      <c r="A264" s="1826" t="s">
        <v>10585</v>
      </c>
      <c r="B264" s="1825"/>
      <c r="C264" s="1824"/>
      <c r="D264" s="1824"/>
      <c r="E264" s="1824" t="s">
        <v>9706</v>
      </c>
      <c r="F264" s="1821"/>
      <c r="G264" s="1821"/>
      <c r="H264" s="1823"/>
      <c r="I264" s="1823">
        <v>949739.96824635006</v>
      </c>
      <c r="J264" s="1822">
        <v>4.3728883272182682E-2</v>
      </c>
      <c r="K264" s="1821" t="s">
        <v>400</v>
      </c>
    </row>
    <row r="265" spans="1:11" x14ac:dyDescent="0.2">
      <c r="A265" s="222" t="s">
        <v>10584</v>
      </c>
      <c r="B265" s="1820"/>
      <c r="C265" s="1820"/>
      <c r="D265" s="1820"/>
      <c r="E265" s="1820" t="s">
        <v>10544</v>
      </c>
      <c r="F265" s="1817"/>
      <c r="G265" s="1817"/>
      <c r="H265" s="1819"/>
      <c r="I265" s="1819">
        <v>0</v>
      </c>
      <c r="J265" s="1818"/>
      <c r="K265" s="1817" t="s">
        <v>400</v>
      </c>
    </row>
    <row r="266" spans="1:11" x14ac:dyDescent="0.2">
      <c r="A266" s="1809" t="s">
        <v>10583</v>
      </c>
      <c r="B266" s="1808"/>
      <c r="C266" s="1807"/>
      <c r="D266" s="1807"/>
      <c r="E266" s="1806" t="s">
        <v>10542</v>
      </c>
      <c r="F266" s="1803" t="s">
        <v>1243</v>
      </c>
      <c r="G266" s="1803">
        <v>602.73</v>
      </c>
      <c r="H266" s="1805">
        <v>0</v>
      </c>
      <c r="I266" s="1805">
        <v>0</v>
      </c>
      <c r="J266" s="1804"/>
      <c r="K266" s="1803" t="s">
        <v>400</v>
      </c>
    </row>
    <row r="267" spans="1:11" x14ac:dyDescent="0.2">
      <c r="A267" s="222" t="s">
        <v>10582</v>
      </c>
      <c r="B267" s="1820"/>
      <c r="C267" s="1820"/>
      <c r="D267" s="1820"/>
      <c r="E267" s="1820" t="s">
        <v>10540</v>
      </c>
      <c r="F267" s="1817"/>
      <c r="G267" s="1817"/>
      <c r="H267" s="1819"/>
      <c r="I267" s="1819">
        <v>419337.48305250006</v>
      </c>
      <c r="J267" s="1818">
        <v>1.930755834348254E-2</v>
      </c>
      <c r="K267" s="1817" t="s">
        <v>400</v>
      </c>
    </row>
    <row r="268" spans="1:11" ht="25.5" x14ac:dyDescent="0.2">
      <c r="A268" s="1816" t="s">
        <v>10581</v>
      </c>
      <c r="B268" s="1815" t="s">
        <v>10160</v>
      </c>
      <c r="C268" s="1814" t="s">
        <v>10159</v>
      </c>
      <c r="D268" s="1814" t="s">
        <v>10538</v>
      </c>
      <c r="E268" s="1813" t="s">
        <v>10537</v>
      </c>
      <c r="F268" s="1810" t="s">
        <v>642</v>
      </c>
      <c r="G268" s="1810">
        <v>12354.28</v>
      </c>
      <c r="H268" s="1812">
        <v>11.9703</v>
      </c>
      <c r="I268" s="1812">
        <v>147884.43788400001</v>
      </c>
      <c r="J268" s="1811">
        <v>6.8090440943982455E-3</v>
      </c>
      <c r="K268" s="1810" t="s">
        <v>400</v>
      </c>
    </row>
    <row r="269" spans="1:11" ht="25.5" x14ac:dyDescent="0.2">
      <c r="A269" s="1809" t="s">
        <v>10580</v>
      </c>
      <c r="B269" s="1808" t="s">
        <v>10160</v>
      </c>
      <c r="C269" s="1807" t="s">
        <v>10159</v>
      </c>
      <c r="D269" s="1807" t="s">
        <v>10535</v>
      </c>
      <c r="E269" s="1806" t="s">
        <v>10534</v>
      </c>
      <c r="F269" s="1803" t="s">
        <v>642</v>
      </c>
      <c r="G269" s="1803">
        <v>12354.28</v>
      </c>
      <c r="H269" s="1805">
        <v>20.0353125</v>
      </c>
      <c r="I269" s="1805">
        <v>247521.86051250002</v>
      </c>
      <c r="J269" s="1804">
        <v>1.1396650564943931E-2</v>
      </c>
      <c r="K269" s="1803" t="s">
        <v>400</v>
      </c>
    </row>
    <row r="270" spans="1:11" ht="25.5" x14ac:dyDescent="0.2">
      <c r="A270" s="1816" t="s">
        <v>10579</v>
      </c>
      <c r="B270" s="1815" t="s">
        <v>10160</v>
      </c>
      <c r="C270" s="1814" t="s">
        <v>10159</v>
      </c>
      <c r="D270" s="1814" t="s">
        <v>10532</v>
      </c>
      <c r="E270" s="1813" t="s">
        <v>10531</v>
      </c>
      <c r="F270" s="1810" t="s">
        <v>642</v>
      </c>
      <c r="G270" s="1810">
        <v>12977.35</v>
      </c>
      <c r="H270" s="1812">
        <v>1.3979999999999999</v>
      </c>
      <c r="I270" s="1812">
        <v>18142.335299999999</v>
      </c>
      <c r="J270" s="1811">
        <v>8.3532765719375966E-4</v>
      </c>
      <c r="K270" s="1810" t="s">
        <v>400</v>
      </c>
    </row>
    <row r="271" spans="1:11" ht="25.5" x14ac:dyDescent="0.2">
      <c r="A271" s="1809" t="s">
        <v>10578</v>
      </c>
      <c r="B271" s="1808" t="s">
        <v>10160</v>
      </c>
      <c r="C271" s="1807" t="s">
        <v>10159</v>
      </c>
      <c r="D271" s="1807" t="s">
        <v>10529</v>
      </c>
      <c r="E271" s="1806" t="s">
        <v>10528</v>
      </c>
      <c r="F271" s="1803" t="s">
        <v>642</v>
      </c>
      <c r="G271" s="1803">
        <v>623.08000000000004</v>
      </c>
      <c r="H271" s="1805">
        <v>9.2906999999999993</v>
      </c>
      <c r="I271" s="1805">
        <v>5788.8493559999997</v>
      </c>
      <c r="J271" s="1804">
        <v>2.6653602694660179E-4</v>
      </c>
      <c r="K271" s="1803" t="s">
        <v>400</v>
      </c>
    </row>
    <row r="272" spans="1:11" x14ac:dyDescent="0.2">
      <c r="A272" s="222" t="s">
        <v>10577</v>
      </c>
      <c r="B272" s="1820"/>
      <c r="C272" s="1820"/>
      <c r="D272" s="1820"/>
      <c r="E272" s="1820" t="s">
        <v>10526</v>
      </c>
      <c r="F272" s="1817"/>
      <c r="G272" s="1817"/>
      <c r="H272" s="1819"/>
      <c r="I272" s="1819">
        <v>84810.685193850004</v>
      </c>
      <c r="J272" s="1818">
        <v>3.9049389065131108E-3</v>
      </c>
      <c r="K272" s="1817" t="s">
        <v>400</v>
      </c>
    </row>
    <row r="273" spans="1:11" ht="25.5" x14ac:dyDescent="0.2">
      <c r="A273" s="1816" t="s">
        <v>10576</v>
      </c>
      <c r="B273" s="1815" t="s">
        <v>10160</v>
      </c>
      <c r="C273" s="1814" t="s">
        <v>10159</v>
      </c>
      <c r="D273" s="1814" t="s">
        <v>10524</v>
      </c>
      <c r="E273" s="1813" t="s">
        <v>10523</v>
      </c>
      <c r="F273" s="1810" t="s">
        <v>642</v>
      </c>
      <c r="G273" s="1810">
        <v>1605.39</v>
      </c>
      <c r="H273" s="1812">
        <v>2.8</v>
      </c>
      <c r="I273" s="1812">
        <v>4495.0919999999996</v>
      </c>
      <c r="J273" s="1811">
        <v>2.0696754894781444E-4</v>
      </c>
      <c r="K273" s="1810" t="s">
        <v>400</v>
      </c>
    </row>
    <row r="274" spans="1:11" ht="25.5" x14ac:dyDescent="0.2">
      <c r="A274" s="1809" t="s">
        <v>10575</v>
      </c>
      <c r="B274" s="1808" t="s">
        <v>10160</v>
      </c>
      <c r="C274" s="1807" t="s">
        <v>10159</v>
      </c>
      <c r="D274" s="1807" t="s">
        <v>10521</v>
      </c>
      <c r="E274" s="1806" t="s">
        <v>10520</v>
      </c>
      <c r="F274" s="1803" t="s">
        <v>642</v>
      </c>
      <c r="G274" s="1803">
        <v>1605.39</v>
      </c>
      <c r="H274" s="1805">
        <v>20.033479</v>
      </c>
      <c r="I274" s="1805">
        <v>32161.546851810002</v>
      </c>
      <c r="J274" s="1804">
        <v>1.4808143019741117E-3</v>
      </c>
      <c r="K274" s="1803" t="s">
        <v>400</v>
      </c>
    </row>
    <row r="275" spans="1:11" ht="25.5" x14ac:dyDescent="0.2">
      <c r="A275" s="1816" t="s">
        <v>10574</v>
      </c>
      <c r="B275" s="1815" t="s">
        <v>10160</v>
      </c>
      <c r="C275" s="1814" t="s">
        <v>10159</v>
      </c>
      <c r="D275" s="1814" t="s">
        <v>10518</v>
      </c>
      <c r="E275" s="1813" t="s">
        <v>10517</v>
      </c>
      <c r="F275" s="1810" t="s">
        <v>642</v>
      </c>
      <c r="G275" s="1810">
        <v>5054.8900000000003</v>
      </c>
      <c r="H275" s="1812">
        <v>9.1710360000000009</v>
      </c>
      <c r="I275" s="1812">
        <v>46358.57816604001</v>
      </c>
      <c r="J275" s="1811">
        <v>2.1344883031828863E-3</v>
      </c>
      <c r="K275" s="1810" t="s">
        <v>400</v>
      </c>
    </row>
    <row r="276" spans="1:11" ht="25.5" x14ac:dyDescent="0.2">
      <c r="A276" s="1809" t="s">
        <v>10573</v>
      </c>
      <c r="B276" s="1808" t="s">
        <v>10160</v>
      </c>
      <c r="C276" s="1807" t="s">
        <v>10159</v>
      </c>
      <c r="D276" s="1807" t="s">
        <v>10515</v>
      </c>
      <c r="E276" s="1806" t="s">
        <v>10514</v>
      </c>
      <c r="F276" s="1803" t="s">
        <v>642</v>
      </c>
      <c r="G276" s="1803">
        <v>1605.39</v>
      </c>
      <c r="H276" s="1805">
        <v>1.1184000000000001</v>
      </c>
      <c r="I276" s="1805">
        <v>1795.4681760000003</v>
      </c>
      <c r="J276" s="1804">
        <v>8.2668752408298469E-5</v>
      </c>
      <c r="K276" s="1803" t="s">
        <v>400</v>
      </c>
    </row>
    <row r="277" spans="1:11" x14ac:dyDescent="0.2">
      <c r="A277" s="1816" t="s">
        <v>10572</v>
      </c>
      <c r="B277" s="1815"/>
      <c r="C277" s="1814"/>
      <c r="D277" s="1814"/>
      <c r="E277" s="1813" t="s">
        <v>10512</v>
      </c>
      <c r="F277" s="1810" t="s">
        <v>1243</v>
      </c>
      <c r="G277" s="1810">
        <v>5054.8900000000003</v>
      </c>
      <c r="H277" s="1812">
        <v>0</v>
      </c>
      <c r="I277" s="1812">
        <v>0</v>
      </c>
      <c r="J277" s="1811"/>
      <c r="K277" s="1810" t="s">
        <v>400</v>
      </c>
    </row>
    <row r="278" spans="1:11" x14ac:dyDescent="0.2">
      <c r="A278" s="222" t="s">
        <v>10571</v>
      </c>
      <c r="B278" s="1820"/>
      <c r="C278" s="1820"/>
      <c r="D278" s="1820"/>
      <c r="E278" s="1820" t="s">
        <v>10570</v>
      </c>
      <c r="F278" s="1817"/>
      <c r="G278" s="1817"/>
      <c r="H278" s="1819"/>
      <c r="I278" s="1819">
        <v>0</v>
      </c>
      <c r="J278" s="1818"/>
      <c r="K278" s="1817" t="s">
        <v>400</v>
      </c>
    </row>
    <row r="279" spans="1:11" x14ac:dyDescent="0.2">
      <c r="A279" s="1809" t="s">
        <v>10569</v>
      </c>
      <c r="B279" s="1808"/>
      <c r="C279" s="1807"/>
      <c r="D279" s="1807"/>
      <c r="E279" s="1806" t="s">
        <v>10568</v>
      </c>
      <c r="F279" s="1803" t="s">
        <v>1243</v>
      </c>
      <c r="G279" s="1803"/>
      <c r="H279" s="1805">
        <v>0</v>
      </c>
      <c r="I279" s="1805">
        <v>0</v>
      </c>
      <c r="J279" s="1804"/>
      <c r="K279" s="1803" t="s">
        <v>400</v>
      </c>
    </row>
    <row r="280" spans="1:11" x14ac:dyDescent="0.2">
      <c r="A280" s="222" t="s">
        <v>10567</v>
      </c>
      <c r="B280" s="1820"/>
      <c r="C280" s="1820"/>
      <c r="D280" s="1820"/>
      <c r="E280" s="1820" t="s">
        <v>10510</v>
      </c>
      <c r="F280" s="1817"/>
      <c r="G280" s="1817"/>
      <c r="H280" s="1819"/>
      <c r="I280" s="1819">
        <v>445591.80000000005</v>
      </c>
      <c r="J280" s="1818">
        <v>2.0516386022187031E-2</v>
      </c>
      <c r="K280" s="1817" t="s">
        <v>400</v>
      </c>
    </row>
    <row r="281" spans="1:11" ht="25.5" x14ac:dyDescent="0.2">
      <c r="A281" s="1816" t="s">
        <v>10566</v>
      </c>
      <c r="B281" s="1815" t="s">
        <v>10160</v>
      </c>
      <c r="C281" s="1814" t="s">
        <v>10159</v>
      </c>
      <c r="D281" s="1814" t="s">
        <v>10508</v>
      </c>
      <c r="E281" s="1813" t="s">
        <v>10507</v>
      </c>
      <c r="F281" s="1810" t="s">
        <v>642</v>
      </c>
      <c r="G281" s="1810">
        <v>12354.28</v>
      </c>
      <c r="H281" s="1812">
        <v>34</v>
      </c>
      <c r="I281" s="1812">
        <v>420045.52</v>
      </c>
      <c r="J281" s="1811">
        <v>1.9340158493065362E-2</v>
      </c>
      <c r="K281" s="1810" t="s">
        <v>400</v>
      </c>
    </row>
    <row r="282" spans="1:11" ht="25.5" x14ac:dyDescent="0.2">
      <c r="A282" s="1809" t="s">
        <v>10565</v>
      </c>
      <c r="B282" s="1808" t="s">
        <v>10160</v>
      </c>
      <c r="C282" s="1807" t="s">
        <v>10159</v>
      </c>
      <c r="D282" s="1807" t="s">
        <v>10505</v>
      </c>
      <c r="E282" s="1806" t="s">
        <v>10504</v>
      </c>
      <c r="F282" s="1803" t="s">
        <v>642</v>
      </c>
      <c r="G282" s="1803">
        <v>623.08000000000004</v>
      </c>
      <c r="H282" s="1805">
        <v>41</v>
      </c>
      <c r="I282" s="1805">
        <v>25546.280000000002</v>
      </c>
      <c r="J282" s="1804">
        <v>1.1762275291216672E-3</v>
      </c>
      <c r="K282" s="1803" t="s">
        <v>400</v>
      </c>
    </row>
    <row r="283" spans="1:11" x14ac:dyDescent="0.2">
      <c r="A283" s="1826" t="s">
        <v>10564</v>
      </c>
      <c r="B283" s="1825"/>
      <c r="C283" s="1824"/>
      <c r="D283" s="1824"/>
      <c r="E283" s="1824" t="s">
        <v>9832</v>
      </c>
      <c r="F283" s="1821"/>
      <c r="G283" s="1821"/>
      <c r="H283" s="1823"/>
      <c r="I283" s="1823">
        <v>2463560.7537761154</v>
      </c>
      <c r="J283" s="1822">
        <v>0.1134297431271869</v>
      </c>
      <c r="K283" s="1821" t="s">
        <v>400</v>
      </c>
    </row>
    <row r="284" spans="1:11" x14ac:dyDescent="0.2">
      <c r="A284" s="222" t="s">
        <v>10563</v>
      </c>
      <c r="B284" s="1820"/>
      <c r="C284" s="1820"/>
      <c r="D284" s="1820"/>
      <c r="E284" s="1820" t="s">
        <v>10544</v>
      </c>
      <c r="F284" s="1817"/>
      <c r="G284" s="1817"/>
      <c r="H284" s="1819"/>
      <c r="I284" s="1819">
        <v>0</v>
      </c>
      <c r="J284" s="1818"/>
      <c r="K284" s="1817" t="s">
        <v>400</v>
      </c>
    </row>
    <row r="285" spans="1:11" x14ac:dyDescent="0.2">
      <c r="A285" s="1816" t="s">
        <v>10562</v>
      </c>
      <c r="B285" s="1815"/>
      <c r="C285" s="1814"/>
      <c r="D285" s="1814"/>
      <c r="E285" s="1813" t="s">
        <v>10542</v>
      </c>
      <c r="F285" s="1810" t="s">
        <v>1243</v>
      </c>
      <c r="G285" s="1810">
        <v>916.4</v>
      </c>
      <c r="H285" s="1812">
        <v>0</v>
      </c>
      <c r="I285" s="1812">
        <v>0</v>
      </c>
      <c r="J285" s="1811"/>
      <c r="K285" s="1810" t="s">
        <v>10561</v>
      </c>
    </row>
    <row r="286" spans="1:11" x14ac:dyDescent="0.2">
      <c r="A286" s="222" t="s">
        <v>10560</v>
      </c>
      <c r="B286" s="1820"/>
      <c r="C286" s="1820"/>
      <c r="D286" s="1820"/>
      <c r="E286" s="1820" t="s">
        <v>10540</v>
      </c>
      <c r="F286" s="1817"/>
      <c r="G286" s="1817"/>
      <c r="H286" s="1819"/>
      <c r="I286" s="1819">
        <v>1086526.7590638751</v>
      </c>
      <c r="J286" s="1818">
        <v>5.0026958333592005E-2</v>
      </c>
      <c r="K286" s="1817" t="s">
        <v>400</v>
      </c>
    </row>
    <row r="287" spans="1:11" ht="25.5" x14ac:dyDescent="0.2">
      <c r="A287" s="1809" t="s">
        <v>10559</v>
      </c>
      <c r="B287" s="1808" t="s">
        <v>10160</v>
      </c>
      <c r="C287" s="1807" t="s">
        <v>10159</v>
      </c>
      <c r="D287" s="1807" t="s">
        <v>10538</v>
      </c>
      <c r="E287" s="1806" t="s">
        <v>10537</v>
      </c>
      <c r="F287" s="1803" t="s">
        <v>642</v>
      </c>
      <c r="G287" s="1803">
        <v>32255.03</v>
      </c>
      <c r="H287" s="1805">
        <v>11.9703</v>
      </c>
      <c r="I287" s="1805">
        <v>386102.38560899999</v>
      </c>
      <c r="J287" s="1804">
        <v>1.7777314544930034E-2</v>
      </c>
      <c r="K287" s="1803" t="s">
        <v>400</v>
      </c>
    </row>
    <row r="288" spans="1:11" ht="25.5" x14ac:dyDescent="0.2">
      <c r="A288" s="1816" t="s">
        <v>10558</v>
      </c>
      <c r="B288" s="1815" t="s">
        <v>10160</v>
      </c>
      <c r="C288" s="1814" t="s">
        <v>10159</v>
      </c>
      <c r="D288" s="1814" t="s">
        <v>10535</v>
      </c>
      <c r="E288" s="1813" t="s">
        <v>10534</v>
      </c>
      <c r="F288" s="1810" t="s">
        <v>642</v>
      </c>
      <c r="G288" s="1810">
        <v>32255.03</v>
      </c>
      <c r="H288" s="1812">
        <v>20.0353125</v>
      </c>
      <c r="I288" s="1812">
        <v>646239.60574687493</v>
      </c>
      <c r="J288" s="1811">
        <v>2.9754814191663405E-2</v>
      </c>
      <c r="K288" s="1810" t="s">
        <v>400</v>
      </c>
    </row>
    <row r="289" spans="1:11" ht="25.5" x14ac:dyDescent="0.2">
      <c r="A289" s="1809" t="s">
        <v>10557</v>
      </c>
      <c r="B289" s="1808" t="s">
        <v>10160</v>
      </c>
      <c r="C289" s="1807" t="s">
        <v>10159</v>
      </c>
      <c r="D289" s="1807" t="s">
        <v>10532</v>
      </c>
      <c r="E289" s="1806" t="s">
        <v>10531</v>
      </c>
      <c r="F289" s="1803" t="s">
        <v>642</v>
      </c>
      <c r="G289" s="1803">
        <v>33105.67</v>
      </c>
      <c r="H289" s="1805">
        <v>1.3979999999999999</v>
      </c>
      <c r="I289" s="1805">
        <v>46281.726659999993</v>
      </c>
      <c r="J289" s="1804">
        <v>2.1309498288117168E-3</v>
      </c>
      <c r="K289" s="1803" t="s">
        <v>400</v>
      </c>
    </row>
    <row r="290" spans="1:11" ht="25.5" x14ac:dyDescent="0.2">
      <c r="A290" s="1816" t="s">
        <v>10556</v>
      </c>
      <c r="B290" s="1815" t="s">
        <v>10160</v>
      </c>
      <c r="C290" s="1814" t="s">
        <v>10159</v>
      </c>
      <c r="D290" s="1814" t="s">
        <v>10529</v>
      </c>
      <c r="E290" s="1813" t="s">
        <v>10528</v>
      </c>
      <c r="F290" s="1810" t="s">
        <v>642</v>
      </c>
      <c r="G290" s="1810">
        <v>850.64</v>
      </c>
      <c r="H290" s="1812">
        <v>9.2906999999999993</v>
      </c>
      <c r="I290" s="1812">
        <v>7903.0410479999991</v>
      </c>
      <c r="J290" s="1811">
        <v>3.6387976818684167E-4</v>
      </c>
      <c r="K290" s="1810" t="s">
        <v>400</v>
      </c>
    </row>
    <row r="291" spans="1:11" x14ac:dyDescent="0.2">
      <c r="A291" s="222" t="s">
        <v>10555</v>
      </c>
      <c r="B291" s="1820"/>
      <c r="C291" s="1820"/>
      <c r="D291" s="1820"/>
      <c r="E291" s="1820" t="s">
        <v>10526</v>
      </c>
      <c r="F291" s="1817"/>
      <c r="G291" s="1817"/>
      <c r="H291" s="1819"/>
      <c r="I291" s="1819">
        <v>245486.73471224</v>
      </c>
      <c r="J291" s="1818">
        <v>1.1302947255049434E-2</v>
      </c>
      <c r="K291" s="1817" t="s">
        <v>400</v>
      </c>
    </row>
    <row r="292" spans="1:11" ht="25.5" x14ac:dyDescent="0.2">
      <c r="A292" s="1809" t="s">
        <v>10554</v>
      </c>
      <c r="B292" s="1808" t="s">
        <v>10160</v>
      </c>
      <c r="C292" s="1807" t="s">
        <v>10159</v>
      </c>
      <c r="D292" s="1807" t="s">
        <v>10524</v>
      </c>
      <c r="E292" s="1806" t="s">
        <v>10523</v>
      </c>
      <c r="F292" s="1803" t="s">
        <v>642</v>
      </c>
      <c r="G292" s="1803">
        <v>10112.799999999999</v>
      </c>
      <c r="H292" s="1805">
        <v>2.8</v>
      </c>
      <c r="I292" s="1805">
        <v>28315.839999999997</v>
      </c>
      <c r="J292" s="1804">
        <v>1.3037463974482572E-3</v>
      </c>
      <c r="K292" s="1803" t="s">
        <v>400</v>
      </c>
    </row>
    <row r="293" spans="1:11" ht="25.5" x14ac:dyDescent="0.2">
      <c r="A293" s="1816" t="s">
        <v>10553</v>
      </c>
      <c r="B293" s="1815" t="s">
        <v>10160</v>
      </c>
      <c r="C293" s="1814" t="s">
        <v>10159</v>
      </c>
      <c r="D293" s="1814" t="s">
        <v>10521</v>
      </c>
      <c r="E293" s="1813" t="s">
        <v>10520</v>
      </c>
      <c r="F293" s="1810" t="s">
        <v>642</v>
      </c>
      <c r="G293" s="1810">
        <v>10112.799999999999</v>
      </c>
      <c r="H293" s="1812">
        <v>20.033479</v>
      </c>
      <c r="I293" s="1812">
        <v>202594.56643119999</v>
      </c>
      <c r="J293" s="1811">
        <v>9.3280628837876123E-3</v>
      </c>
      <c r="K293" s="1810" t="s">
        <v>400</v>
      </c>
    </row>
    <row r="294" spans="1:11" ht="25.5" x14ac:dyDescent="0.2">
      <c r="A294" s="1809" t="s">
        <v>10552</v>
      </c>
      <c r="B294" s="1808" t="s">
        <v>10160</v>
      </c>
      <c r="C294" s="1807" t="s">
        <v>10159</v>
      </c>
      <c r="D294" s="1807" t="s">
        <v>10518</v>
      </c>
      <c r="E294" s="1806" t="s">
        <v>10517</v>
      </c>
      <c r="F294" s="1803" t="s">
        <v>642</v>
      </c>
      <c r="G294" s="1803">
        <v>356.14</v>
      </c>
      <c r="H294" s="1805">
        <v>9.1710360000000009</v>
      </c>
      <c r="I294" s="1805">
        <v>3266.1727610400003</v>
      </c>
      <c r="J294" s="1804">
        <v>1.5038441277565943E-4</v>
      </c>
      <c r="K294" s="1803" t="s">
        <v>400</v>
      </c>
    </row>
    <row r="295" spans="1:11" ht="25.5" x14ac:dyDescent="0.2">
      <c r="A295" s="1816" t="s">
        <v>10551</v>
      </c>
      <c r="B295" s="1815" t="s">
        <v>10160</v>
      </c>
      <c r="C295" s="1814" t="s">
        <v>10159</v>
      </c>
      <c r="D295" s="1814" t="s">
        <v>10515</v>
      </c>
      <c r="E295" s="1813" t="s">
        <v>10514</v>
      </c>
      <c r="F295" s="1810" t="s">
        <v>642</v>
      </c>
      <c r="G295" s="1810">
        <v>10112.799999999999</v>
      </c>
      <c r="H295" s="1812">
        <v>1.1184000000000001</v>
      </c>
      <c r="I295" s="1812">
        <v>11310.15552</v>
      </c>
      <c r="J295" s="1811">
        <v>5.2075356103790395E-4</v>
      </c>
      <c r="K295" s="1810" t="s">
        <v>400</v>
      </c>
    </row>
    <row r="296" spans="1:11" x14ac:dyDescent="0.2">
      <c r="A296" s="1809" t="s">
        <v>10550</v>
      </c>
      <c r="B296" s="1808"/>
      <c r="C296" s="1807"/>
      <c r="D296" s="1807"/>
      <c r="E296" s="1806" t="s">
        <v>10512</v>
      </c>
      <c r="F296" s="1803" t="s">
        <v>1243</v>
      </c>
      <c r="G296" s="1803">
        <v>356.14</v>
      </c>
      <c r="H296" s="1805">
        <v>0</v>
      </c>
      <c r="I296" s="1805">
        <v>0</v>
      </c>
      <c r="J296" s="1804"/>
      <c r="K296" s="1803" t="s">
        <v>400</v>
      </c>
    </row>
    <row r="297" spans="1:11" x14ac:dyDescent="0.2">
      <c r="A297" s="222" t="s">
        <v>10549</v>
      </c>
      <c r="B297" s="1820"/>
      <c r="C297" s="1820"/>
      <c r="D297" s="1820"/>
      <c r="E297" s="1820" t="s">
        <v>10510</v>
      </c>
      <c r="F297" s="1817"/>
      <c r="G297" s="1817"/>
      <c r="H297" s="1819"/>
      <c r="I297" s="1819">
        <v>1131547.26</v>
      </c>
      <c r="J297" s="1818">
        <v>5.209983753854544E-2</v>
      </c>
      <c r="K297" s="1817" t="s">
        <v>400</v>
      </c>
    </row>
    <row r="298" spans="1:11" ht="25.5" x14ac:dyDescent="0.2">
      <c r="A298" s="1816" t="s">
        <v>10548</v>
      </c>
      <c r="B298" s="1815" t="s">
        <v>10160</v>
      </c>
      <c r="C298" s="1814" t="s">
        <v>10159</v>
      </c>
      <c r="D298" s="1814" t="s">
        <v>10508</v>
      </c>
      <c r="E298" s="1813" t="s">
        <v>10507</v>
      </c>
      <c r="F298" s="1810" t="s">
        <v>642</v>
      </c>
      <c r="G298" s="1810">
        <v>32255.03</v>
      </c>
      <c r="H298" s="1812">
        <v>34</v>
      </c>
      <c r="I298" s="1812">
        <v>1096671.02</v>
      </c>
      <c r="J298" s="1811">
        <v>5.0494030603044297E-2</v>
      </c>
      <c r="K298" s="1810" t="s">
        <v>400</v>
      </c>
    </row>
    <row r="299" spans="1:11" ht="25.5" x14ac:dyDescent="0.2">
      <c r="A299" s="1809" t="s">
        <v>10547</v>
      </c>
      <c r="B299" s="1808" t="s">
        <v>10160</v>
      </c>
      <c r="C299" s="1807" t="s">
        <v>10159</v>
      </c>
      <c r="D299" s="1807" t="s">
        <v>10505</v>
      </c>
      <c r="E299" s="1806" t="s">
        <v>10504</v>
      </c>
      <c r="F299" s="1803" t="s">
        <v>642</v>
      </c>
      <c r="G299" s="1803">
        <v>850.64</v>
      </c>
      <c r="H299" s="1805">
        <v>41</v>
      </c>
      <c r="I299" s="1805">
        <v>34876.239999999998</v>
      </c>
      <c r="J299" s="1804">
        <v>1.6058069355011475E-3</v>
      </c>
      <c r="K299" s="1803" t="s">
        <v>400</v>
      </c>
    </row>
    <row r="300" spans="1:11" x14ac:dyDescent="0.2">
      <c r="A300" s="1826" t="s">
        <v>10546</v>
      </c>
      <c r="B300" s="1825"/>
      <c r="C300" s="1824"/>
      <c r="D300" s="1824"/>
      <c r="E300" s="1824" t="s">
        <v>9781</v>
      </c>
      <c r="F300" s="1821"/>
      <c r="G300" s="1821"/>
      <c r="H300" s="1823"/>
      <c r="I300" s="1823">
        <v>2238337.0729291453</v>
      </c>
      <c r="J300" s="1822">
        <v>0.10305976778743807</v>
      </c>
      <c r="K300" s="1821" t="s">
        <v>400</v>
      </c>
    </row>
    <row r="301" spans="1:11" x14ac:dyDescent="0.2">
      <c r="A301" s="222" t="s">
        <v>10545</v>
      </c>
      <c r="B301" s="1820"/>
      <c r="C301" s="1820"/>
      <c r="D301" s="1820"/>
      <c r="E301" s="1820" t="s">
        <v>10544</v>
      </c>
      <c r="F301" s="1817"/>
      <c r="G301" s="1817"/>
      <c r="H301" s="1819"/>
      <c r="I301" s="1819">
        <v>0</v>
      </c>
      <c r="J301" s="1818"/>
      <c r="K301" s="1817" t="s">
        <v>400</v>
      </c>
    </row>
    <row r="302" spans="1:11" x14ac:dyDescent="0.2">
      <c r="A302" s="1816" t="s">
        <v>10543</v>
      </c>
      <c r="B302" s="1815"/>
      <c r="C302" s="1814"/>
      <c r="D302" s="1814"/>
      <c r="E302" s="1813" t="s">
        <v>10542</v>
      </c>
      <c r="F302" s="1810" t="s">
        <v>1243</v>
      </c>
      <c r="G302" s="1810">
        <v>1572.08</v>
      </c>
      <c r="H302" s="1812">
        <v>0</v>
      </c>
      <c r="I302" s="1812">
        <v>0</v>
      </c>
      <c r="J302" s="1811"/>
      <c r="K302" s="1810" t="s">
        <v>400</v>
      </c>
    </row>
    <row r="303" spans="1:11" x14ac:dyDescent="0.2">
      <c r="A303" s="222" t="s">
        <v>10541</v>
      </c>
      <c r="B303" s="1820"/>
      <c r="C303" s="1820"/>
      <c r="D303" s="1820"/>
      <c r="E303" s="1820" t="s">
        <v>10540</v>
      </c>
      <c r="F303" s="1817"/>
      <c r="G303" s="1817"/>
      <c r="H303" s="1819"/>
      <c r="I303" s="1819">
        <v>974869.81309537508</v>
      </c>
      <c r="J303" s="1818">
        <v>4.4885936875054787E-2</v>
      </c>
      <c r="K303" s="1817" t="s">
        <v>400</v>
      </c>
    </row>
    <row r="304" spans="1:11" ht="25.5" x14ac:dyDescent="0.2">
      <c r="A304" s="1809" t="s">
        <v>10539</v>
      </c>
      <c r="B304" s="1808" t="s">
        <v>10160</v>
      </c>
      <c r="C304" s="1807" t="s">
        <v>10159</v>
      </c>
      <c r="D304" s="1807" t="s">
        <v>10538</v>
      </c>
      <c r="E304" s="1806" t="s">
        <v>10537</v>
      </c>
      <c r="F304" s="1803" t="s">
        <v>642</v>
      </c>
      <c r="G304" s="1803">
        <v>28827.63</v>
      </c>
      <c r="H304" s="1805">
        <v>11.9703</v>
      </c>
      <c r="I304" s="1805">
        <v>345075.37938900001</v>
      </c>
      <c r="J304" s="1804">
        <v>1.5888307842059406E-2</v>
      </c>
      <c r="K304" s="1803" t="s">
        <v>400</v>
      </c>
    </row>
    <row r="305" spans="1:11" ht="25.5" x14ac:dyDescent="0.2">
      <c r="A305" s="1816" t="s">
        <v>10536</v>
      </c>
      <c r="B305" s="1815" t="s">
        <v>10160</v>
      </c>
      <c r="C305" s="1814" t="s">
        <v>10159</v>
      </c>
      <c r="D305" s="1814" t="s">
        <v>10535</v>
      </c>
      <c r="E305" s="1813" t="s">
        <v>10534</v>
      </c>
      <c r="F305" s="1810" t="s">
        <v>642</v>
      </c>
      <c r="G305" s="1810">
        <v>28827.63</v>
      </c>
      <c r="H305" s="1812">
        <v>20.0353125</v>
      </c>
      <c r="I305" s="1812">
        <v>577570.57568437501</v>
      </c>
      <c r="J305" s="1811">
        <v>2.659308561288028E-2</v>
      </c>
      <c r="K305" s="1810" t="s">
        <v>400</v>
      </c>
    </row>
    <row r="306" spans="1:11" ht="25.5" x14ac:dyDescent="0.2">
      <c r="A306" s="1809" t="s">
        <v>10533</v>
      </c>
      <c r="B306" s="1808" t="s">
        <v>10160</v>
      </c>
      <c r="C306" s="1807" t="s">
        <v>10159</v>
      </c>
      <c r="D306" s="1807" t="s">
        <v>10532</v>
      </c>
      <c r="E306" s="1806" t="s">
        <v>10531</v>
      </c>
      <c r="F306" s="1803" t="s">
        <v>642</v>
      </c>
      <c r="G306" s="1803">
        <v>29943.1</v>
      </c>
      <c r="H306" s="1805">
        <v>1.3979999999999999</v>
      </c>
      <c r="I306" s="1805">
        <v>41860.453799999996</v>
      </c>
      <c r="J306" s="1804">
        <v>1.9273811349866086E-3</v>
      </c>
      <c r="K306" s="1803" t="s">
        <v>400</v>
      </c>
    </row>
    <row r="307" spans="1:11" ht="25.5" x14ac:dyDescent="0.2">
      <c r="A307" s="1816" t="s">
        <v>10530</v>
      </c>
      <c r="B307" s="1815" t="s">
        <v>10160</v>
      </c>
      <c r="C307" s="1814" t="s">
        <v>10159</v>
      </c>
      <c r="D307" s="1814" t="s">
        <v>10529</v>
      </c>
      <c r="E307" s="1813" t="s">
        <v>10528</v>
      </c>
      <c r="F307" s="1810" t="s">
        <v>642</v>
      </c>
      <c r="G307" s="1810">
        <v>1115.46</v>
      </c>
      <c r="H307" s="1812">
        <v>9.2906999999999993</v>
      </c>
      <c r="I307" s="1812">
        <v>10363.404221999999</v>
      </c>
      <c r="J307" s="1811">
        <v>4.7716228512848495E-4</v>
      </c>
      <c r="K307" s="1810" t="s">
        <v>400</v>
      </c>
    </row>
    <row r="308" spans="1:11" x14ac:dyDescent="0.2">
      <c r="A308" s="222" t="s">
        <v>10527</v>
      </c>
      <c r="B308" s="1820"/>
      <c r="C308" s="1820"/>
      <c r="D308" s="1820"/>
      <c r="E308" s="1820" t="s">
        <v>10526</v>
      </c>
      <c r="F308" s="1817"/>
      <c r="G308" s="1817"/>
      <c r="H308" s="1819"/>
      <c r="I308" s="1819">
        <v>237593.97983377005</v>
      </c>
      <c r="J308" s="1818">
        <v>1.0939541093030318E-2</v>
      </c>
      <c r="K308" s="1817" t="s">
        <v>400</v>
      </c>
    </row>
    <row r="309" spans="1:11" ht="25.5" x14ac:dyDescent="0.2">
      <c r="A309" s="1809" t="s">
        <v>10525</v>
      </c>
      <c r="B309" s="1808" t="s">
        <v>10160</v>
      </c>
      <c r="C309" s="1807" t="s">
        <v>10159</v>
      </c>
      <c r="D309" s="1807" t="s">
        <v>10524</v>
      </c>
      <c r="E309" s="1806" t="s">
        <v>10523</v>
      </c>
      <c r="F309" s="1803" t="s">
        <v>642</v>
      </c>
      <c r="G309" s="1803">
        <v>9822.9500000000007</v>
      </c>
      <c r="H309" s="1805">
        <v>2.8</v>
      </c>
      <c r="I309" s="1805">
        <v>27504.260000000002</v>
      </c>
      <c r="J309" s="1804">
        <v>1.2663788144543905E-3</v>
      </c>
      <c r="K309" s="1803" t="s">
        <v>400</v>
      </c>
    </row>
    <row r="310" spans="1:11" ht="25.5" x14ac:dyDescent="0.2">
      <c r="A310" s="1816" t="s">
        <v>10522</v>
      </c>
      <c r="B310" s="1815" t="s">
        <v>10160</v>
      </c>
      <c r="C310" s="1814" t="s">
        <v>10159</v>
      </c>
      <c r="D310" s="1814" t="s">
        <v>10521</v>
      </c>
      <c r="E310" s="1813" t="s">
        <v>10520</v>
      </c>
      <c r="F310" s="1810" t="s">
        <v>642</v>
      </c>
      <c r="G310" s="1810">
        <v>9822.9500000000007</v>
      </c>
      <c r="H310" s="1812">
        <v>20.033479</v>
      </c>
      <c r="I310" s="1812">
        <v>196787.86254305003</v>
      </c>
      <c r="J310" s="1811">
        <v>9.0607047805060462E-3</v>
      </c>
      <c r="K310" s="1810" t="s">
        <v>400</v>
      </c>
    </row>
    <row r="311" spans="1:11" ht="25.5" x14ac:dyDescent="0.2">
      <c r="A311" s="1809" t="s">
        <v>10519</v>
      </c>
      <c r="B311" s="1808" t="s">
        <v>10160</v>
      </c>
      <c r="C311" s="1807" t="s">
        <v>10159</v>
      </c>
      <c r="D311" s="1807" t="s">
        <v>10518</v>
      </c>
      <c r="E311" s="1806" t="s">
        <v>10517</v>
      </c>
      <c r="F311" s="1803" t="s">
        <v>642</v>
      </c>
      <c r="G311" s="1803">
        <v>252.52</v>
      </c>
      <c r="H311" s="1805">
        <v>9.1710360000000009</v>
      </c>
      <c r="I311" s="1805">
        <v>2315.8700107200002</v>
      </c>
      <c r="J311" s="1804">
        <v>1.0662961732495512E-4</v>
      </c>
      <c r="K311" s="1803" t="s">
        <v>400</v>
      </c>
    </row>
    <row r="312" spans="1:11" ht="25.5" x14ac:dyDescent="0.2">
      <c r="A312" s="1816" t="s">
        <v>10516</v>
      </c>
      <c r="B312" s="1815" t="s">
        <v>10160</v>
      </c>
      <c r="C312" s="1814" t="s">
        <v>10159</v>
      </c>
      <c r="D312" s="1814" t="s">
        <v>10515</v>
      </c>
      <c r="E312" s="1813" t="s">
        <v>10514</v>
      </c>
      <c r="F312" s="1810" t="s">
        <v>642</v>
      </c>
      <c r="G312" s="1810">
        <v>9822.9500000000007</v>
      </c>
      <c r="H312" s="1812">
        <v>1.1184000000000001</v>
      </c>
      <c r="I312" s="1812">
        <v>10985.987280000001</v>
      </c>
      <c r="J312" s="1811">
        <v>5.0582788074492516E-4</v>
      </c>
      <c r="K312" s="1810" t="s">
        <v>400</v>
      </c>
    </row>
    <row r="313" spans="1:11" x14ac:dyDescent="0.2">
      <c r="A313" s="1809" t="s">
        <v>10513</v>
      </c>
      <c r="B313" s="1808"/>
      <c r="C313" s="1807"/>
      <c r="D313" s="1807"/>
      <c r="E313" s="1806" t="s">
        <v>10512</v>
      </c>
      <c r="F313" s="1803" t="s">
        <v>1243</v>
      </c>
      <c r="G313" s="1803">
        <v>252.52</v>
      </c>
      <c r="H313" s="1805">
        <v>0</v>
      </c>
      <c r="I313" s="1805">
        <v>0</v>
      </c>
      <c r="J313" s="1804"/>
      <c r="K313" s="1803" t="s">
        <v>400</v>
      </c>
    </row>
    <row r="314" spans="1:11" x14ac:dyDescent="0.2">
      <c r="A314" s="222" t="s">
        <v>10511</v>
      </c>
      <c r="B314" s="1820"/>
      <c r="C314" s="1820"/>
      <c r="D314" s="1820"/>
      <c r="E314" s="1820" t="s">
        <v>10510</v>
      </c>
      <c r="F314" s="1817"/>
      <c r="G314" s="1817"/>
      <c r="H314" s="1819"/>
      <c r="I314" s="1819">
        <v>1025873.28</v>
      </c>
      <c r="J314" s="1818">
        <v>4.7234289819352966E-2</v>
      </c>
      <c r="K314" s="1817" t="s">
        <v>400</v>
      </c>
    </row>
    <row r="315" spans="1:11" ht="25.5" x14ac:dyDescent="0.2">
      <c r="A315" s="1816" t="s">
        <v>10509</v>
      </c>
      <c r="B315" s="1815" t="s">
        <v>10160</v>
      </c>
      <c r="C315" s="1814" t="s">
        <v>10159</v>
      </c>
      <c r="D315" s="1814" t="s">
        <v>10508</v>
      </c>
      <c r="E315" s="1813" t="s">
        <v>10507</v>
      </c>
      <c r="F315" s="1810" t="s">
        <v>642</v>
      </c>
      <c r="G315" s="1810">
        <v>28827.63</v>
      </c>
      <c r="H315" s="1812">
        <v>34</v>
      </c>
      <c r="I315" s="1812">
        <v>980139.42</v>
      </c>
      <c r="J315" s="1811">
        <v>4.5128565418579299E-2</v>
      </c>
      <c r="K315" s="1810" t="s">
        <v>400</v>
      </c>
    </row>
    <row r="316" spans="1:11" ht="25.5" x14ac:dyDescent="0.2">
      <c r="A316" s="1809" t="s">
        <v>10506</v>
      </c>
      <c r="B316" s="1808" t="s">
        <v>10160</v>
      </c>
      <c r="C316" s="1807" t="s">
        <v>10159</v>
      </c>
      <c r="D316" s="1807" t="s">
        <v>10505</v>
      </c>
      <c r="E316" s="1806" t="s">
        <v>10504</v>
      </c>
      <c r="F316" s="1803" t="s">
        <v>642</v>
      </c>
      <c r="G316" s="1803">
        <v>1115.46</v>
      </c>
      <c r="H316" s="1805">
        <v>41</v>
      </c>
      <c r="I316" s="1805">
        <v>45733.86</v>
      </c>
      <c r="J316" s="1804">
        <v>2.1057244007736645E-3</v>
      </c>
      <c r="K316" s="1803" t="s">
        <v>400</v>
      </c>
    </row>
    <row r="317" spans="1:11" x14ac:dyDescent="0.2">
      <c r="A317" s="1832" t="s">
        <v>10503</v>
      </c>
      <c r="B317" s="1831"/>
      <c r="C317" s="1830"/>
      <c r="D317" s="1830"/>
      <c r="E317" s="1830" t="s">
        <v>10502</v>
      </c>
      <c r="F317" s="1827"/>
      <c r="G317" s="1827"/>
      <c r="H317" s="1829"/>
      <c r="I317" s="1829">
        <v>0</v>
      </c>
      <c r="J317" s="1828"/>
      <c r="K317" s="1827" t="s">
        <v>400</v>
      </c>
    </row>
    <row r="318" spans="1:11" x14ac:dyDescent="0.2">
      <c r="A318" s="1826" t="s">
        <v>10501</v>
      </c>
      <c r="B318" s="1825"/>
      <c r="C318" s="1824"/>
      <c r="D318" s="1824"/>
      <c r="E318" s="1824" t="s">
        <v>9706</v>
      </c>
      <c r="F318" s="1821"/>
      <c r="G318" s="1821"/>
      <c r="H318" s="1823"/>
      <c r="I318" s="1823">
        <v>0</v>
      </c>
      <c r="J318" s="1822"/>
      <c r="K318" s="1821" t="s">
        <v>400</v>
      </c>
    </row>
    <row r="319" spans="1:11" x14ac:dyDescent="0.2">
      <c r="A319" s="222" t="s">
        <v>10500</v>
      </c>
      <c r="B319" s="1820"/>
      <c r="C319" s="1820"/>
      <c r="D319" s="1820"/>
      <c r="E319" s="1820" t="s">
        <v>10429</v>
      </c>
      <c r="F319" s="1817"/>
      <c r="G319" s="1817"/>
      <c r="H319" s="1819"/>
      <c r="I319" s="1819">
        <v>0</v>
      </c>
      <c r="J319" s="1818"/>
      <c r="K319" s="1817" t="s">
        <v>400</v>
      </c>
    </row>
    <row r="320" spans="1:11" x14ac:dyDescent="0.2">
      <c r="A320" s="1816" t="s">
        <v>10499</v>
      </c>
      <c r="B320" s="1815"/>
      <c r="C320" s="1814"/>
      <c r="D320" s="1814"/>
      <c r="E320" s="1813" t="s">
        <v>10498</v>
      </c>
      <c r="F320" s="1810" t="s">
        <v>788</v>
      </c>
      <c r="G320" s="1810">
        <v>1.72</v>
      </c>
      <c r="H320" s="1812">
        <v>0</v>
      </c>
      <c r="I320" s="1812">
        <v>0</v>
      </c>
      <c r="J320" s="1811"/>
      <c r="K320" s="1810" t="s">
        <v>400</v>
      </c>
    </row>
    <row r="321" spans="1:11" x14ac:dyDescent="0.2">
      <c r="A321" s="222" t="s">
        <v>10497</v>
      </c>
      <c r="B321" s="1820"/>
      <c r="C321" s="1820"/>
      <c r="D321" s="1820"/>
      <c r="E321" s="1820" t="s">
        <v>10419</v>
      </c>
      <c r="F321" s="1817"/>
      <c r="G321" s="1817"/>
      <c r="H321" s="1819"/>
      <c r="I321" s="1819">
        <v>0</v>
      </c>
      <c r="J321" s="1818"/>
      <c r="K321" s="1817" t="s">
        <v>400</v>
      </c>
    </row>
    <row r="322" spans="1:11" x14ac:dyDescent="0.2">
      <c r="A322" s="1809" t="s">
        <v>10496</v>
      </c>
      <c r="B322" s="1808"/>
      <c r="C322" s="1807"/>
      <c r="D322" s="1807"/>
      <c r="E322" s="1806" t="s">
        <v>10417</v>
      </c>
      <c r="F322" s="1803" t="s">
        <v>788</v>
      </c>
      <c r="G322" s="1803"/>
      <c r="H322" s="1805">
        <v>0</v>
      </c>
      <c r="I322" s="1805">
        <v>0</v>
      </c>
      <c r="J322" s="1804"/>
      <c r="K322" s="1803" t="s">
        <v>400</v>
      </c>
    </row>
    <row r="323" spans="1:11" x14ac:dyDescent="0.2">
      <c r="A323" s="1816" t="s">
        <v>10495</v>
      </c>
      <c r="B323" s="1815"/>
      <c r="C323" s="1814"/>
      <c r="D323" s="1814"/>
      <c r="E323" s="1813" t="s">
        <v>10415</v>
      </c>
      <c r="F323" s="1810" t="s">
        <v>788</v>
      </c>
      <c r="G323" s="1810"/>
      <c r="H323" s="1812">
        <v>0</v>
      </c>
      <c r="I323" s="1812">
        <v>0</v>
      </c>
      <c r="J323" s="1811"/>
      <c r="K323" s="1810" t="s">
        <v>400</v>
      </c>
    </row>
    <row r="324" spans="1:11" x14ac:dyDescent="0.2">
      <c r="A324" s="222" t="s">
        <v>10494</v>
      </c>
      <c r="B324" s="1820"/>
      <c r="C324" s="1820"/>
      <c r="D324" s="1820"/>
      <c r="E324" s="1820" t="s">
        <v>10413</v>
      </c>
      <c r="F324" s="1817"/>
      <c r="G324" s="1817"/>
      <c r="H324" s="1819"/>
      <c r="I324" s="1819">
        <v>0</v>
      </c>
      <c r="J324" s="1818"/>
      <c r="K324" s="1817" t="s">
        <v>400</v>
      </c>
    </row>
    <row r="325" spans="1:11" x14ac:dyDescent="0.2">
      <c r="A325" s="1809" t="s">
        <v>10493</v>
      </c>
      <c r="B325" s="1808"/>
      <c r="C325" s="1807"/>
      <c r="D325" s="1807"/>
      <c r="E325" s="1806" t="s">
        <v>10411</v>
      </c>
      <c r="F325" s="1803" t="s">
        <v>1243</v>
      </c>
      <c r="G325" s="1803">
        <v>101.01</v>
      </c>
      <c r="H325" s="1805">
        <v>0</v>
      </c>
      <c r="I325" s="1805">
        <v>0</v>
      </c>
      <c r="J325" s="1804"/>
      <c r="K325" s="1803" t="s">
        <v>400</v>
      </c>
    </row>
    <row r="326" spans="1:11" x14ac:dyDescent="0.2">
      <c r="A326" s="1816" t="s">
        <v>10492</v>
      </c>
      <c r="B326" s="1815"/>
      <c r="C326" s="1814"/>
      <c r="D326" s="1814"/>
      <c r="E326" s="1813" t="s">
        <v>10405</v>
      </c>
      <c r="F326" s="1810" t="s">
        <v>1243</v>
      </c>
      <c r="G326" s="1810">
        <v>5.15</v>
      </c>
      <c r="H326" s="1812">
        <v>0</v>
      </c>
      <c r="I326" s="1812">
        <v>0</v>
      </c>
      <c r="J326" s="1811"/>
      <c r="K326" s="1810" t="s">
        <v>400</v>
      </c>
    </row>
    <row r="327" spans="1:11" x14ac:dyDescent="0.2">
      <c r="A327" s="1809" t="s">
        <v>10491</v>
      </c>
      <c r="B327" s="1808"/>
      <c r="C327" s="1807"/>
      <c r="D327" s="1807"/>
      <c r="E327" s="1806" t="s">
        <v>10490</v>
      </c>
      <c r="F327" s="1803" t="s">
        <v>1243</v>
      </c>
      <c r="G327" s="1803">
        <v>302.3</v>
      </c>
      <c r="H327" s="1805">
        <v>0</v>
      </c>
      <c r="I327" s="1805">
        <v>0</v>
      </c>
      <c r="J327" s="1804"/>
      <c r="K327" s="1803" t="s">
        <v>400</v>
      </c>
    </row>
    <row r="328" spans="1:11" x14ac:dyDescent="0.2">
      <c r="A328" s="1816" t="s">
        <v>10489</v>
      </c>
      <c r="B328" s="1815"/>
      <c r="C328" s="1814"/>
      <c r="D328" s="1814"/>
      <c r="E328" s="1813" t="s">
        <v>10488</v>
      </c>
      <c r="F328" s="1810" t="s">
        <v>1243</v>
      </c>
      <c r="G328" s="1810">
        <v>29.6</v>
      </c>
      <c r="H328" s="1812">
        <v>0</v>
      </c>
      <c r="I328" s="1812">
        <v>0</v>
      </c>
      <c r="J328" s="1811"/>
      <c r="K328" s="1810" t="s">
        <v>400</v>
      </c>
    </row>
    <row r="329" spans="1:11" x14ac:dyDescent="0.2">
      <c r="A329" s="1809" t="s">
        <v>10487</v>
      </c>
      <c r="B329" s="1808"/>
      <c r="C329" s="1807"/>
      <c r="D329" s="1807"/>
      <c r="E329" s="1806" t="s">
        <v>10486</v>
      </c>
      <c r="F329" s="1803" t="s">
        <v>1243</v>
      </c>
      <c r="G329" s="1803">
        <v>4.05</v>
      </c>
      <c r="H329" s="1805">
        <v>0</v>
      </c>
      <c r="I329" s="1805">
        <v>0</v>
      </c>
      <c r="J329" s="1804"/>
      <c r="K329" s="1803" t="s">
        <v>400</v>
      </c>
    </row>
    <row r="330" spans="1:11" x14ac:dyDescent="0.2">
      <c r="A330" s="1816" t="s">
        <v>10485</v>
      </c>
      <c r="B330" s="1815"/>
      <c r="C330" s="1814"/>
      <c r="D330" s="1814"/>
      <c r="E330" s="1813" t="s">
        <v>10395</v>
      </c>
      <c r="F330" s="1810" t="s">
        <v>1243</v>
      </c>
      <c r="G330" s="1810">
        <v>37.44</v>
      </c>
      <c r="H330" s="1812">
        <v>0</v>
      </c>
      <c r="I330" s="1812">
        <v>0</v>
      </c>
      <c r="J330" s="1811"/>
      <c r="K330" s="1810" t="s">
        <v>400</v>
      </c>
    </row>
    <row r="331" spans="1:11" x14ac:dyDescent="0.2">
      <c r="A331" s="1809" t="s">
        <v>10484</v>
      </c>
      <c r="B331" s="1808"/>
      <c r="C331" s="1807"/>
      <c r="D331" s="1807"/>
      <c r="E331" s="1806" t="s">
        <v>10483</v>
      </c>
      <c r="F331" s="1803" t="s">
        <v>1243</v>
      </c>
      <c r="G331" s="1803">
        <v>3.45</v>
      </c>
      <c r="H331" s="1805">
        <v>0</v>
      </c>
      <c r="I331" s="1805">
        <v>0</v>
      </c>
      <c r="J331" s="1804"/>
      <c r="K331" s="1803" t="s">
        <v>400</v>
      </c>
    </row>
    <row r="332" spans="1:11" x14ac:dyDescent="0.2">
      <c r="A332" s="1816" t="s">
        <v>10482</v>
      </c>
      <c r="B332" s="1815"/>
      <c r="C332" s="1814"/>
      <c r="D332" s="1814"/>
      <c r="E332" s="1813" t="s">
        <v>10481</v>
      </c>
      <c r="F332" s="1810" t="s">
        <v>1243</v>
      </c>
      <c r="G332" s="1810">
        <v>20.63</v>
      </c>
      <c r="H332" s="1812">
        <v>0</v>
      </c>
      <c r="I332" s="1812">
        <v>0</v>
      </c>
      <c r="J332" s="1811"/>
      <c r="K332" s="1810" t="s">
        <v>400</v>
      </c>
    </row>
    <row r="333" spans="1:11" x14ac:dyDescent="0.2">
      <c r="A333" s="1809" t="s">
        <v>10480</v>
      </c>
      <c r="B333" s="1808"/>
      <c r="C333" s="1807"/>
      <c r="D333" s="1807"/>
      <c r="E333" s="1806" t="s">
        <v>10479</v>
      </c>
      <c r="F333" s="1803" t="s">
        <v>1243</v>
      </c>
      <c r="G333" s="1803">
        <v>25.04</v>
      </c>
      <c r="H333" s="1805">
        <v>0</v>
      </c>
      <c r="I333" s="1805">
        <v>0</v>
      </c>
      <c r="J333" s="1804"/>
      <c r="K333" s="1803" t="s">
        <v>400</v>
      </c>
    </row>
    <row r="334" spans="1:11" x14ac:dyDescent="0.2">
      <c r="A334" s="1816" t="s">
        <v>10478</v>
      </c>
      <c r="B334" s="1815"/>
      <c r="C334" s="1814"/>
      <c r="D334" s="1814"/>
      <c r="E334" s="1813" t="s">
        <v>10477</v>
      </c>
      <c r="F334" s="1810" t="s">
        <v>1243</v>
      </c>
      <c r="G334" s="1810">
        <v>21.85</v>
      </c>
      <c r="H334" s="1812">
        <v>0</v>
      </c>
      <c r="I334" s="1812">
        <v>0</v>
      </c>
      <c r="J334" s="1811"/>
      <c r="K334" s="1810" t="s">
        <v>400</v>
      </c>
    </row>
    <row r="335" spans="1:11" x14ac:dyDescent="0.2">
      <c r="A335" s="1809" t="s">
        <v>10476</v>
      </c>
      <c r="B335" s="1808"/>
      <c r="C335" s="1807"/>
      <c r="D335" s="1807"/>
      <c r="E335" s="1806" t="s">
        <v>10475</v>
      </c>
      <c r="F335" s="1803" t="s">
        <v>1243</v>
      </c>
      <c r="G335" s="1803">
        <v>41.57</v>
      </c>
      <c r="H335" s="1805">
        <v>0</v>
      </c>
      <c r="I335" s="1805">
        <v>0</v>
      </c>
      <c r="J335" s="1804"/>
      <c r="K335" s="1803" t="s">
        <v>400</v>
      </c>
    </row>
    <row r="336" spans="1:11" x14ac:dyDescent="0.2">
      <c r="A336" s="1816" t="s">
        <v>10474</v>
      </c>
      <c r="B336" s="1815"/>
      <c r="C336" s="1814"/>
      <c r="D336" s="1814"/>
      <c r="E336" s="1813" t="s">
        <v>10473</v>
      </c>
      <c r="F336" s="1810" t="s">
        <v>1243</v>
      </c>
      <c r="G336" s="1810">
        <v>2.4900000000000002</v>
      </c>
      <c r="H336" s="1812">
        <v>0</v>
      </c>
      <c r="I336" s="1812">
        <v>0</v>
      </c>
      <c r="J336" s="1811"/>
      <c r="K336" s="1810" t="s">
        <v>400</v>
      </c>
    </row>
    <row r="337" spans="1:11" x14ac:dyDescent="0.2">
      <c r="A337" s="1809" t="s">
        <v>10472</v>
      </c>
      <c r="B337" s="1808"/>
      <c r="C337" s="1807"/>
      <c r="D337" s="1807"/>
      <c r="E337" s="1806" t="s">
        <v>10471</v>
      </c>
      <c r="F337" s="1803" t="s">
        <v>1243</v>
      </c>
      <c r="G337" s="1803">
        <v>1.86</v>
      </c>
      <c r="H337" s="1805">
        <v>0</v>
      </c>
      <c r="I337" s="1805">
        <v>0</v>
      </c>
      <c r="J337" s="1804"/>
      <c r="K337" s="1803" t="s">
        <v>400</v>
      </c>
    </row>
    <row r="338" spans="1:11" x14ac:dyDescent="0.2">
      <c r="A338" s="1816" t="s">
        <v>10470</v>
      </c>
      <c r="B338" s="1815"/>
      <c r="C338" s="1814"/>
      <c r="D338" s="1814"/>
      <c r="E338" s="1813" t="s">
        <v>10391</v>
      </c>
      <c r="F338" s="1810" t="s">
        <v>1243</v>
      </c>
      <c r="G338" s="1810">
        <v>19.170000000000002</v>
      </c>
      <c r="H338" s="1812">
        <v>0</v>
      </c>
      <c r="I338" s="1812">
        <v>0</v>
      </c>
      <c r="J338" s="1811"/>
      <c r="K338" s="1810" t="s">
        <v>400</v>
      </c>
    </row>
    <row r="339" spans="1:11" x14ac:dyDescent="0.2">
      <c r="A339" s="1809" t="s">
        <v>10469</v>
      </c>
      <c r="B339" s="1808"/>
      <c r="C339" s="1807"/>
      <c r="D339" s="1807"/>
      <c r="E339" s="1806" t="s">
        <v>10468</v>
      </c>
      <c r="F339" s="1803" t="s">
        <v>1243</v>
      </c>
      <c r="G339" s="1803">
        <v>72.739999999999995</v>
      </c>
      <c r="H339" s="1805">
        <v>0</v>
      </c>
      <c r="I339" s="1805">
        <v>0</v>
      </c>
      <c r="J339" s="1804"/>
      <c r="K339" s="1803" t="s">
        <v>400</v>
      </c>
    </row>
    <row r="340" spans="1:11" x14ac:dyDescent="0.2">
      <c r="A340" s="1816" t="s">
        <v>10467</v>
      </c>
      <c r="B340" s="1815"/>
      <c r="C340" s="1814"/>
      <c r="D340" s="1814"/>
      <c r="E340" s="1813" t="s">
        <v>10466</v>
      </c>
      <c r="F340" s="1810" t="s">
        <v>1243</v>
      </c>
      <c r="G340" s="1810">
        <v>38.32</v>
      </c>
      <c r="H340" s="1812">
        <v>0</v>
      </c>
      <c r="I340" s="1812">
        <v>0</v>
      </c>
      <c r="J340" s="1811"/>
      <c r="K340" s="1810" t="s">
        <v>400</v>
      </c>
    </row>
    <row r="341" spans="1:11" x14ac:dyDescent="0.2">
      <c r="A341" s="1809" t="s">
        <v>10465</v>
      </c>
      <c r="B341" s="1808"/>
      <c r="C341" s="1807"/>
      <c r="D341" s="1807"/>
      <c r="E341" s="1806" t="s">
        <v>10464</v>
      </c>
      <c r="F341" s="1803" t="s">
        <v>1243</v>
      </c>
      <c r="G341" s="1803">
        <v>66.28</v>
      </c>
      <c r="H341" s="1805">
        <v>0</v>
      </c>
      <c r="I341" s="1805">
        <v>0</v>
      </c>
      <c r="J341" s="1804"/>
      <c r="K341" s="1803" t="s">
        <v>400</v>
      </c>
    </row>
    <row r="342" spans="1:11" x14ac:dyDescent="0.2">
      <c r="A342" s="1816" t="s">
        <v>10463</v>
      </c>
      <c r="B342" s="1815"/>
      <c r="C342" s="1814"/>
      <c r="D342" s="1814"/>
      <c r="E342" s="1813" t="s">
        <v>10462</v>
      </c>
      <c r="F342" s="1810" t="s">
        <v>1243</v>
      </c>
      <c r="G342" s="1810">
        <v>19.86</v>
      </c>
      <c r="H342" s="1812">
        <v>0</v>
      </c>
      <c r="I342" s="1812">
        <v>0</v>
      </c>
      <c r="J342" s="1811"/>
      <c r="K342" s="1810" t="s">
        <v>400</v>
      </c>
    </row>
    <row r="343" spans="1:11" x14ac:dyDescent="0.2">
      <c r="A343" s="1809" t="s">
        <v>10461</v>
      </c>
      <c r="B343" s="1808"/>
      <c r="C343" s="1807"/>
      <c r="D343" s="1807"/>
      <c r="E343" s="1806" t="s">
        <v>10460</v>
      </c>
      <c r="F343" s="1803" t="s">
        <v>1243</v>
      </c>
      <c r="G343" s="1803">
        <v>10.18</v>
      </c>
      <c r="H343" s="1805">
        <v>0</v>
      </c>
      <c r="I343" s="1805">
        <v>0</v>
      </c>
      <c r="J343" s="1804"/>
      <c r="K343" s="1803" t="s">
        <v>400</v>
      </c>
    </row>
    <row r="344" spans="1:11" x14ac:dyDescent="0.2">
      <c r="A344" s="1816" t="s">
        <v>10459</v>
      </c>
      <c r="B344" s="1815"/>
      <c r="C344" s="1814"/>
      <c r="D344" s="1814"/>
      <c r="E344" s="1813" t="s">
        <v>10458</v>
      </c>
      <c r="F344" s="1810" t="s">
        <v>1243</v>
      </c>
      <c r="G344" s="1810">
        <v>5.6</v>
      </c>
      <c r="H344" s="1812">
        <v>0</v>
      </c>
      <c r="I344" s="1812">
        <v>0</v>
      </c>
      <c r="J344" s="1811"/>
      <c r="K344" s="1810" t="s">
        <v>400</v>
      </c>
    </row>
    <row r="345" spans="1:11" x14ac:dyDescent="0.2">
      <c r="A345" s="1826" t="s">
        <v>10457</v>
      </c>
      <c r="B345" s="1825"/>
      <c r="C345" s="1824"/>
      <c r="D345" s="1824"/>
      <c r="E345" s="1824" t="s">
        <v>9832</v>
      </c>
      <c r="F345" s="1821"/>
      <c r="G345" s="1821"/>
      <c r="H345" s="1823"/>
      <c r="I345" s="1823">
        <v>0</v>
      </c>
      <c r="J345" s="1822"/>
      <c r="K345" s="1821" t="s">
        <v>400</v>
      </c>
    </row>
    <row r="346" spans="1:11" x14ac:dyDescent="0.2">
      <c r="A346" s="222" t="s">
        <v>10456</v>
      </c>
      <c r="B346" s="1820"/>
      <c r="C346" s="1820"/>
      <c r="D346" s="1820"/>
      <c r="E346" s="1820" t="s">
        <v>10429</v>
      </c>
      <c r="F346" s="1817"/>
      <c r="G346" s="1817"/>
      <c r="H346" s="1819"/>
      <c r="I346" s="1819">
        <v>0</v>
      </c>
      <c r="J346" s="1818"/>
      <c r="K346" s="1817" t="s">
        <v>400</v>
      </c>
    </row>
    <row r="347" spans="1:11" x14ac:dyDescent="0.2">
      <c r="A347" s="1809" t="s">
        <v>10455</v>
      </c>
      <c r="B347" s="1808"/>
      <c r="C347" s="1807"/>
      <c r="D347" s="1807"/>
      <c r="E347" s="1806" t="s">
        <v>10454</v>
      </c>
      <c r="F347" s="1803" t="s">
        <v>788</v>
      </c>
      <c r="G347" s="1803">
        <v>183.35</v>
      </c>
      <c r="H347" s="1805">
        <v>0</v>
      </c>
      <c r="I347" s="1805">
        <v>0</v>
      </c>
      <c r="J347" s="1804"/>
      <c r="K347" s="1803" t="s">
        <v>400</v>
      </c>
    </row>
    <row r="348" spans="1:11" x14ac:dyDescent="0.2">
      <c r="A348" s="1816" t="s">
        <v>10453</v>
      </c>
      <c r="B348" s="1815"/>
      <c r="C348" s="1814"/>
      <c r="D348" s="1814"/>
      <c r="E348" s="1813" t="s">
        <v>10452</v>
      </c>
      <c r="F348" s="1810" t="s">
        <v>788</v>
      </c>
      <c r="G348" s="1810">
        <v>160.83000000000001</v>
      </c>
      <c r="H348" s="1812">
        <v>0</v>
      </c>
      <c r="I348" s="1812">
        <v>0</v>
      </c>
      <c r="J348" s="1811"/>
      <c r="K348" s="1810" t="s">
        <v>400</v>
      </c>
    </row>
    <row r="349" spans="1:11" x14ac:dyDescent="0.2">
      <c r="A349" s="1809" t="s">
        <v>10451</v>
      </c>
      <c r="B349" s="1808"/>
      <c r="C349" s="1807"/>
      <c r="D349" s="1807"/>
      <c r="E349" s="1806" t="s">
        <v>10450</v>
      </c>
      <c r="F349" s="1803" t="s">
        <v>788</v>
      </c>
      <c r="G349" s="1803">
        <v>91.6</v>
      </c>
      <c r="H349" s="1805">
        <v>0</v>
      </c>
      <c r="I349" s="1805">
        <v>0</v>
      </c>
      <c r="J349" s="1804"/>
      <c r="K349" s="1803" t="s">
        <v>400</v>
      </c>
    </row>
    <row r="350" spans="1:11" x14ac:dyDescent="0.2">
      <c r="A350" s="1816" t="s">
        <v>10449</v>
      </c>
      <c r="B350" s="1815"/>
      <c r="C350" s="1814"/>
      <c r="D350" s="1814"/>
      <c r="E350" s="1813" t="s">
        <v>10448</v>
      </c>
      <c r="F350" s="1810" t="s">
        <v>788</v>
      </c>
      <c r="G350" s="1810">
        <v>90.92</v>
      </c>
      <c r="H350" s="1812">
        <v>0</v>
      </c>
      <c r="I350" s="1812">
        <v>0</v>
      </c>
      <c r="J350" s="1811"/>
      <c r="K350" s="1810" t="s">
        <v>400</v>
      </c>
    </row>
    <row r="351" spans="1:11" x14ac:dyDescent="0.2">
      <c r="A351" s="222" t="s">
        <v>10447</v>
      </c>
      <c r="B351" s="1820"/>
      <c r="C351" s="1820"/>
      <c r="D351" s="1820"/>
      <c r="E351" s="1820" t="s">
        <v>10419</v>
      </c>
      <c r="F351" s="1817"/>
      <c r="G351" s="1817"/>
      <c r="H351" s="1819"/>
      <c r="I351" s="1819">
        <v>0</v>
      </c>
      <c r="J351" s="1818"/>
      <c r="K351" s="1817" t="s">
        <v>400</v>
      </c>
    </row>
    <row r="352" spans="1:11" x14ac:dyDescent="0.2">
      <c r="A352" s="1809" t="s">
        <v>10446</v>
      </c>
      <c r="B352" s="1808"/>
      <c r="C352" s="1807"/>
      <c r="D352" s="1807"/>
      <c r="E352" s="1806" t="s">
        <v>10417</v>
      </c>
      <c r="F352" s="1803" t="s">
        <v>788</v>
      </c>
      <c r="G352" s="1803"/>
      <c r="H352" s="1805">
        <v>0</v>
      </c>
      <c r="I352" s="1805">
        <v>0</v>
      </c>
      <c r="J352" s="1804"/>
      <c r="K352" s="1803" t="s">
        <v>400</v>
      </c>
    </row>
    <row r="353" spans="1:11" x14ac:dyDescent="0.2">
      <c r="A353" s="1816" t="s">
        <v>10445</v>
      </c>
      <c r="B353" s="1815"/>
      <c r="C353" s="1814"/>
      <c r="D353" s="1814"/>
      <c r="E353" s="1813" t="s">
        <v>10415</v>
      </c>
      <c r="F353" s="1810" t="s">
        <v>788</v>
      </c>
      <c r="G353" s="1810"/>
      <c r="H353" s="1812">
        <v>0</v>
      </c>
      <c r="I353" s="1812">
        <v>0</v>
      </c>
      <c r="J353" s="1811"/>
      <c r="K353" s="1810" t="s">
        <v>400</v>
      </c>
    </row>
    <row r="354" spans="1:11" x14ac:dyDescent="0.2">
      <c r="A354" s="222" t="s">
        <v>10444</v>
      </c>
      <c r="B354" s="1820"/>
      <c r="C354" s="1820"/>
      <c r="D354" s="1820"/>
      <c r="E354" s="1820" t="s">
        <v>10413</v>
      </c>
      <c r="F354" s="1817"/>
      <c r="G354" s="1817"/>
      <c r="H354" s="1819"/>
      <c r="I354" s="1819">
        <v>0</v>
      </c>
      <c r="J354" s="1818"/>
      <c r="K354" s="1817" t="s">
        <v>400</v>
      </c>
    </row>
    <row r="355" spans="1:11" x14ac:dyDescent="0.2">
      <c r="A355" s="1809" t="s">
        <v>10443</v>
      </c>
      <c r="B355" s="1808"/>
      <c r="C355" s="1807"/>
      <c r="D355" s="1807"/>
      <c r="E355" s="1806" t="s">
        <v>10411</v>
      </c>
      <c r="F355" s="1803" t="s">
        <v>1243</v>
      </c>
      <c r="G355" s="1803">
        <v>2217.19</v>
      </c>
      <c r="H355" s="1805">
        <v>0</v>
      </c>
      <c r="I355" s="1805">
        <v>0</v>
      </c>
      <c r="J355" s="1804"/>
      <c r="K355" s="1803" t="s">
        <v>400</v>
      </c>
    </row>
    <row r="356" spans="1:11" x14ac:dyDescent="0.2">
      <c r="A356" s="1816" t="s">
        <v>10442</v>
      </c>
      <c r="B356" s="1815"/>
      <c r="C356" s="1814"/>
      <c r="D356" s="1814"/>
      <c r="E356" s="1813" t="s">
        <v>10407</v>
      </c>
      <c r="F356" s="1810" t="s">
        <v>1243</v>
      </c>
      <c r="G356" s="1810">
        <v>7.76</v>
      </c>
      <c r="H356" s="1812">
        <v>0</v>
      </c>
      <c r="I356" s="1812">
        <v>0</v>
      </c>
      <c r="J356" s="1811"/>
      <c r="K356" s="1810" t="s">
        <v>400</v>
      </c>
    </row>
    <row r="357" spans="1:11" x14ac:dyDescent="0.2">
      <c r="A357" s="1809" t="s">
        <v>10441</v>
      </c>
      <c r="B357" s="1808"/>
      <c r="C357" s="1807"/>
      <c r="D357" s="1807"/>
      <c r="E357" s="1806" t="s">
        <v>10405</v>
      </c>
      <c r="F357" s="1803" t="s">
        <v>1243</v>
      </c>
      <c r="G357" s="1803">
        <v>497.31</v>
      </c>
      <c r="H357" s="1805">
        <v>0</v>
      </c>
      <c r="I357" s="1805">
        <v>0</v>
      </c>
      <c r="J357" s="1804"/>
      <c r="K357" s="1803" t="s">
        <v>400</v>
      </c>
    </row>
    <row r="358" spans="1:11" x14ac:dyDescent="0.2">
      <c r="A358" s="1816" t="s">
        <v>10440</v>
      </c>
      <c r="B358" s="1815"/>
      <c r="C358" s="1814"/>
      <c r="D358" s="1814"/>
      <c r="E358" s="1813" t="s">
        <v>10401</v>
      </c>
      <c r="F358" s="1810" t="s">
        <v>1243</v>
      </c>
      <c r="G358" s="1810">
        <v>197.55</v>
      </c>
      <c r="H358" s="1812">
        <v>0</v>
      </c>
      <c r="I358" s="1812">
        <v>0</v>
      </c>
      <c r="J358" s="1811"/>
      <c r="K358" s="1810" t="s">
        <v>400</v>
      </c>
    </row>
    <row r="359" spans="1:11" x14ac:dyDescent="0.2">
      <c r="A359" s="1809" t="s">
        <v>10439</v>
      </c>
      <c r="B359" s="1808"/>
      <c r="C359" s="1807"/>
      <c r="D359" s="1807"/>
      <c r="E359" s="1806" t="s">
        <v>10397</v>
      </c>
      <c r="F359" s="1803" t="s">
        <v>1243</v>
      </c>
      <c r="G359" s="1803">
        <v>7.23</v>
      </c>
      <c r="H359" s="1805">
        <v>0</v>
      </c>
      <c r="I359" s="1805">
        <v>0</v>
      </c>
      <c r="J359" s="1804"/>
      <c r="K359" s="1803" t="s">
        <v>400</v>
      </c>
    </row>
    <row r="360" spans="1:11" x14ac:dyDescent="0.2">
      <c r="A360" s="1816" t="s">
        <v>10438</v>
      </c>
      <c r="B360" s="1815"/>
      <c r="C360" s="1814"/>
      <c r="D360" s="1814"/>
      <c r="E360" s="1813" t="s">
        <v>10395</v>
      </c>
      <c r="F360" s="1810" t="s">
        <v>1243</v>
      </c>
      <c r="G360" s="1810">
        <v>4.13</v>
      </c>
      <c r="H360" s="1812">
        <v>0</v>
      </c>
      <c r="I360" s="1812">
        <v>0</v>
      </c>
      <c r="J360" s="1811"/>
      <c r="K360" s="1810" t="s">
        <v>400</v>
      </c>
    </row>
    <row r="361" spans="1:11" x14ac:dyDescent="0.2">
      <c r="A361" s="1809" t="s">
        <v>10437</v>
      </c>
      <c r="B361" s="1808"/>
      <c r="C361" s="1807"/>
      <c r="D361" s="1807"/>
      <c r="E361" s="1806" t="s">
        <v>10436</v>
      </c>
      <c r="F361" s="1803" t="s">
        <v>1243</v>
      </c>
      <c r="G361" s="1803">
        <v>420.59</v>
      </c>
      <c r="H361" s="1805">
        <v>0</v>
      </c>
      <c r="I361" s="1805">
        <v>0</v>
      </c>
      <c r="J361" s="1804"/>
      <c r="K361" s="1803" t="s">
        <v>400</v>
      </c>
    </row>
    <row r="362" spans="1:11" x14ac:dyDescent="0.2">
      <c r="A362" s="1816" t="s">
        <v>10435</v>
      </c>
      <c r="B362" s="1815"/>
      <c r="C362" s="1814"/>
      <c r="D362" s="1814"/>
      <c r="E362" s="1813" t="s">
        <v>10434</v>
      </c>
      <c r="F362" s="1810" t="s">
        <v>1243</v>
      </c>
      <c r="G362" s="1810">
        <v>703.55</v>
      </c>
      <c r="H362" s="1812">
        <v>0</v>
      </c>
      <c r="I362" s="1812">
        <v>0</v>
      </c>
      <c r="J362" s="1811"/>
      <c r="K362" s="1810" t="s">
        <v>400</v>
      </c>
    </row>
    <row r="363" spans="1:11" x14ac:dyDescent="0.2">
      <c r="A363" s="1809" t="s">
        <v>10433</v>
      </c>
      <c r="B363" s="1808"/>
      <c r="C363" s="1807"/>
      <c r="D363" s="1807"/>
      <c r="E363" s="1806" t="s">
        <v>10432</v>
      </c>
      <c r="F363" s="1803" t="s">
        <v>1243</v>
      </c>
      <c r="G363" s="1803">
        <v>1378.02</v>
      </c>
      <c r="H363" s="1805">
        <v>0</v>
      </c>
      <c r="I363" s="1805">
        <v>0</v>
      </c>
      <c r="J363" s="1804"/>
      <c r="K363" s="1803" t="s">
        <v>400</v>
      </c>
    </row>
    <row r="364" spans="1:11" x14ac:dyDescent="0.2">
      <c r="A364" s="1826" t="s">
        <v>10431</v>
      </c>
      <c r="B364" s="1825"/>
      <c r="C364" s="1824"/>
      <c r="D364" s="1824"/>
      <c r="E364" s="1824" t="s">
        <v>9781</v>
      </c>
      <c r="F364" s="1821"/>
      <c r="G364" s="1821"/>
      <c r="H364" s="1823"/>
      <c r="I364" s="1823">
        <v>0</v>
      </c>
      <c r="J364" s="1822"/>
      <c r="K364" s="1821" t="s">
        <v>400</v>
      </c>
    </row>
    <row r="365" spans="1:11" x14ac:dyDescent="0.2">
      <c r="A365" s="222" t="s">
        <v>10430</v>
      </c>
      <c r="B365" s="1820"/>
      <c r="C365" s="1820"/>
      <c r="D365" s="1820"/>
      <c r="E365" s="1820" t="s">
        <v>10429</v>
      </c>
      <c r="F365" s="1817"/>
      <c r="G365" s="1817"/>
      <c r="H365" s="1819"/>
      <c r="I365" s="1819">
        <v>0</v>
      </c>
      <c r="J365" s="1818"/>
      <c r="K365" s="1817" t="s">
        <v>400</v>
      </c>
    </row>
    <row r="366" spans="1:11" x14ac:dyDescent="0.2">
      <c r="A366" s="1816" t="s">
        <v>10428</v>
      </c>
      <c r="B366" s="1815"/>
      <c r="C366" s="1814"/>
      <c r="D366" s="1814"/>
      <c r="E366" s="1813" t="s">
        <v>10427</v>
      </c>
      <c r="F366" s="1810" t="s">
        <v>788</v>
      </c>
      <c r="G366" s="1810">
        <v>85.69</v>
      </c>
      <c r="H366" s="1812">
        <v>0</v>
      </c>
      <c r="I366" s="1812">
        <v>0</v>
      </c>
      <c r="J366" s="1811"/>
      <c r="K366" s="1810" t="s">
        <v>400</v>
      </c>
    </row>
    <row r="367" spans="1:11" x14ac:dyDescent="0.2">
      <c r="A367" s="1809" t="s">
        <v>10426</v>
      </c>
      <c r="B367" s="1808"/>
      <c r="C367" s="1807"/>
      <c r="D367" s="1807"/>
      <c r="E367" s="1806" t="s">
        <v>10425</v>
      </c>
      <c r="F367" s="1803" t="s">
        <v>788</v>
      </c>
      <c r="G367" s="1803">
        <v>143.53</v>
      </c>
      <c r="H367" s="1805">
        <v>0</v>
      </c>
      <c r="I367" s="1805">
        <v>0</v>
      </c>
      <c r="J367" s="1804"/>
      <c r="K367" s="1803" t="s">
        <v>400</v>
      </c>
    </row>
    <row r="368" spans="1:11" x14ac:dyDescent="0.2">
      <c r="A368" s="1816" t="s">
        <v>10424</v>
      </c>
      <c r="B368" s="1815"/>
      <c r="C368" s="1814"/>
      <c r="D368" s="1814"/>
      <c r="E368" s="1813" t="s">
        <v>10423</v>
      </c>
      <c r="F368" s="1810" t="s">
        <v>788</v>
      </c>
      <c r="G368" s="1810">
        <v>97.83</v>
      </c>
      <c r="H368" s="1812">
        <v>0</v>
      </c>
      <c r="I368" s="1812">
        <v>0</v>
      </c>
      <c r="J368" s="1811"/>
      <c r="K368" s="1810" t="s">
        <v>400</v>
      </c>
    </row>
    <row r="369" spans="1:11" x14ac:dyDescent="0.2">
      <c r="A369" s="1809" t="s">
        <v>10422</v>
      </c>
      <c r="B369" s="1808"/>
      <c r="C369" s="1807"/>
      <c r="D369" s="1807"/>
      <c r="E369" s="1806" t="s">
        <v>10421</v>
      </c>
      <c r="F369" s="1803" t="s">
        <v>788</v>
      </c>
      <c r="G369" s="1803">
        <v>76.319999999999993</v>
      </c>
      <c r="H369" s="1805">
        <v>0</v>
      </c>
      <c r="I369" s="1805">
        <v>0</v>
      </c>
      <c r="J369" s="1804"/>
      <c r="K369" s="1803" t="s">
        <v>400</v>
      </c>
    </row>
    <row r="370" spans="1:11" x14ac:dyDescent="0.2">
      <c r="A370" s="222" t="s">
        <v>10420</v>
      </c>
      <c r="B370" s="1820"/>
      <c r="C370" s="1820"/>
      <c r="D370" s="1820"/>
      <c r="E370" s="1820" t="s">
        <v>10419</v>
      </c>
      <c r="F370" s="1817"/>
      <c r="G370" s="1817"/>
      <c r="H370" s="1819"/>
      <c r="I370" s="1819">
        <v>0</v>
      </c>
      <c r="J370" s="1818"/>
      <c r="K370" s="1817" t="s">
        <v>400</v>
      </c>
    </row>
    <row r="371" spans="1:11" x14ac:dyDescent="0.2">
      <c r="A371" s="1816" t="s">
        <v>10418</v>
      </c>
      <c r="B371" s="1815"/>
      <c r="C371" s="1814"/>
      <c r="D371" s="1814"/>
      <c r="E371" s="1813" t="s">
        <v>10417</v>
      </c>
      <c r="F371" s="1810" t="s">
        <v>788</v>
      </c>
      <c r="G371" s="1810"/>
      <c r="H371" s="1812">
        <v>0</v>
      </c>
      <c r="I371" s="1812">
        <v>0</v>
      </c>
      <c r="J371" s="1811"/>
      <c r="K371" s="1810" t="s">
        <v>400</v>
      </c>
    </row>
    <row r="372" spans="1:11" x14ac:dyDescent="0.2">
      <c r="A372" s="1809" t="s">
        <v>10416</v>
      </c>
      <c r="B372" s="1808"/>
      <c r="C372" s="1807"/>
      <c r="D372" s="1807"/>
      <c r="E372" s="1806" t="s">
        <v>10415</v>
      </c>
      <c r="F372" s="1803" t="s">
        <v>788</v>
      </c>
      <c r="G372" s="1803"/>
      <c r="H372" s="1805">
        <v>0</v>
      </c>
      <c r="I372" s="1805">
        <v>0</v>
      </c>
      <c r="J372" s="1804"/>
      <c r="K372" s="1803" t="s">
        <v>400</v>
      </c>
    </row>
    <row r="373" spans="1:11" x14ac:dyDescent="0.2">
      <c r="A373" s="222" t="s">
        <v>10414</v>
      </c>
      <c r="B373" s="1820"/>
      <c r="C373" s="1820"/>
      <c r="D373" s="1820"/>
      <c r="E373" s="1820" t="s">
        <v>10413</v>
      </c>
      <c r="F373" s="1817"/>
      <c r="G373" s="1817"/>
      <c r="H373" s="1819"/>
      <c r="I373" s="1819">
        <v>0</v>
      </c>
      <c r="J373" s="1818"/>
      <c r="K373" s="1817" t="s">
        <v>400</v>
      </c>
    </row>
    <row r="374" spans="1:11" x14ac:dyDescent="0.2">
      <c r="A374" s="1816" t="s">
        <v>10412</v>
      </c>
      <c r="B374" s="1815"/>
      <c r="C374" s="1814"/>
      <c r="D374" s="1814"/>
      <c r="E374" s="1813" t="s">
        <v>10411</v>
      </c>
      <c r="F374" s="1810" t="s">
        <v>1243</v>
      </c>
      <c r="G374" s="1810">
        <v>1985.66</v>
      </c>
      <c r="H374" s="1812">
        <v>0</v>
      </c>
      <c r="I374" s="1812">
        <v>0</v>
      </c>
      <c r="J374" s="1811"/>
      <c r="K374" s="1810" t="s">
        <v>400</v>
      </c>
    </row>
    <row r="375" spans="1:11" x14ac:dyDescent="0.2">
      <c r="A375" s="1809" t="s">
        <v>10410</v>
      </c>
      <c r="B375" s="1808"/>
      <c r="C375" s="1807"/>
      <c r="D375" s="1807"/>
      <c r="E375" s="1806" t="s">
        <v>10409</v>
      </c>
      <c r="F375" s="1803" t="s">
        <v>1243</v>
      </c>
      <c r="G375" s="1803">
        <v>6.66</v>
      </c>
      <c r="H375" s="1805">
        <v>0</v>
      </c>
      <c r="I375" s="1805">
        <v>0</v>
      </c>
      <c r="J375" s="1804"/>
      <c r="K375" s="1803" t="s">
        <v>400</v>
      </c>
    </row>
    <row r="376" spans="1:11" x14ac:dyDescent="0.2">
      <c r="A376" s="1816" t="s">
        <v>10408</v>
      </c>
      <c r="B376" s="1815"/>
      <c r="C376" s="1814"/>
      <c r="D376" s="1814"/>
      <c r="E376" s="1813" t="s">
        <v>10407</v>
      </c>
      <c r="F376" s="1810" t="s">
        <v>1243</v>
      </c>
      <c r="G376" s="1810">
        <v>2.59</v>
      </c>
      <c r="H376" s="1812">
        <v>0</v>
      </c>
      <c r="I376" s="1812">
        <v>0</v>
      </c>
      <c r="J376" s="1811"/>
      <c r="K376" s="1810" t="s">
        <v>400</v>
      </c>
    </row>
    <row r="377" spans="1:11" x14ac:dyDescent="0.2">
      <c r="A377" s="1809" t="s">
        <v>10406</v>
      </c>
      <c r="B377" s="1808"/>
      <c r="C377" s="1807"/>
      <c r="D377" s="1807"/>
      <c r="E377" s="1806" t="s">
        <v>10405</v>
      </c>
      <c r="F377" s="1803" t="s">
        <v>1243</v>
      </c>
      <c r="G377" s="1803">
        <v>503.57</v>
      </c>
      <c r="H377" s="1805">
        <v>0</v>
      </c>
      <c r="I377" s="1805">
        <v>0</v>
      </c>
      <c r="J377" s="1804"/>
      <c r="K377" s="1803" t="s">
        <v>400</v>
      </c>
    </row>
    <row r="378" spans="1:11" x14ac:dyDescent="0.2">
      <c r="A378" s="1816" t="s">
        <v>10404</v>
      </c>
      <c r="B378" s="1815"/>
      <c r="C378" s="1814"/>
      <c r="D378" s="1814"/>
      <c r="E378" s="1813" t="s">
        <v>10403</v>
      </c>
      <c r="F378" s="1810" t="s">
        <v>1243</v>
      </c>
      <c r="G378" s="1810">
        <v>239.05</v>
      </c>
      <c r="H378" s="1812">
        <v>0</v>
      </c>
      <c r="I378" s="1812">
        <v>0</v>
      </c>
      <c r="J378" s="1811"/>
      <c r="K378" s="1810" t="s">
        <v>400</v>
      </c>
    </row>
    <row r="379" spans="1:11" x14ac:dyDescent="0.2">
      <c r="A379" s="1809" t="s">
        <v>10402</v>
      </c>
      <c r="B379" s="1808"/>
      <c r="C379" s="1807"/>
      <c r="D379" s="1807"/>
      <c r="E379" s="1806" t="s">
        <v>10401</v>
      </c>
      <c r="F379" s="1803" t="s">
        <v>1243</v>
      </c>
      <c r="G379" s="1803">
        <v>97.3</v>
      </c>
      <c r="H379" s="1805">
        <v>0</v>
      </c>
      <c r="I379" s="1805">
        <v>0</v>
      </c>
      <c r="J379" s="1804"/>
      <c r="K379" s="1803" t="s">
        <v>400</v>
      </c>
    </row>
    <row r="380" spans="1:11" x14ac:dyDescent="0.2">
      <c r="A380" s="1816" t="s">
        <v>10400</v>
      </c>
      <c r="B380" s="1815"/>
      <c r="C380" s="1814"/>
      <c r="D380" s="1814"/>
      <c r="E380" s="1813" t="s">
        <v>10399</v>
      </c>
      <c r="F380" s="1810" t="s">
        <v>1243</v>
      </c>
      <c r="G380" s="1810">
        <v>94.7</v>
      </c>
      <c r="H380" s="1812">
        <v>0</v>
      </c>
      <c r="I380" s="1812">
        <v>0</v>
      </c>
      <c r="J380" s="1811"/>
      <c r="K380" s="1810" t="s">
        <v>400</v>
      </c>
    </row>
    <row r="381" spans="1:11" x14ac:dyDescent="0.2">
      <c r="A381" s="1809" t="s">
        <v>10398</v>
      </c>
      <c r="B381" s="1808"/>
      <c r="C381" s="1807"/>
      <c r="D381" s="1807"/>
      <c r="E381" s="1806" t="s">
        <v>10397</v>
      </c>
      <c r="F381" s="1803" t="s">
        <v>1243</v>
      </c>
      <c r="G381" s="1803">
        <v>7.23</v>
      </c>
      <c r="H381" s="1805">
        <v>0</v>
      </c>
      <c r="I381" s="1805">
        <v>0</v>
      </c>
      <c r="J381" s="1804"/>
      <c r="K381" s="1803" t="s">
        <v>400</v>
      </c>
    </row>
    <row r="382" spans="1:11" x14ac:dyDescent="0.2">
      <c r="A382" s="1816" t="s">
        <v>10396</v>
      </c>
      <c r="B382" s="1815"/>
      <c r="C382" s="1814"/>
      <c r="D382" s="1814"/>
      <c r="E382" s="1813" t="s">
        <v>10395</v>
      </c>
      <c r="F382" s="1810" t="s">
        <v>1243</v>
      </c>
      <c r="G382" s="1810">
        <v>8.51</v>
      </c>
      <c r="H382" s="1812">
        <v>0</v>
      </c>
      <c r="I382" s="1812">
        <v>0</v>
      </c>
      <c r="J382" s="1811"/>
      <c r="K382" s="1810" t="s">
        <v>400</v>
      </c>
    </row>
    <row r="383" spans="1:11" x14ac:dyDescent="0.2">
      <c r="A383" s="1809" t="s">
        <v>10394</v>
      </c>
      <c r="B383" s="1808"/>
      <c r="C383" s="1807"/>
      <c r="D383" s="1807"/>
      <c r="E383" s="1806" t="s">
        <v>10393</v>
      </c>
      <c r="F383" s="1803" t="s">
        <v>1243</v>
      </c>
      <c r="G383" s="1803">
        <v>455.2</v>
      </c>
      <c r="H383" s="1805">
        <v>0</v>
      </c>
      <c r="I383" s="1805">
        <v>0</v>
      </c>
      <c r="J383" s="1804"/>
      <c r="K383" s="1803" t="s">
        <v>400</v>
      </c>
    </row>
    <row r="384" spans="1:11" x14ac:dyDescent="0.2">
      <c r="A384" s="1816" t="s">
        <v>10392</v>
      </c>
      <c r="B384" s="1815"/>
      <c r="C384" s="1814"/>
      <c r="D384" s="1814"/>
      <c r="E384" s="1813" t="s">
        <v>10391</v>
      </c>
      <c r="F384" s="1810" t="s">
        <v>1243</v>
      </c>
      <c r="G384" s="1810">
        <v>460.06</v>
      </c>
      <c r="H384" s="1812">
        <v>0</v>
      </c>
      <c r="I384" s="1812">
        <v>0</v>
      </c>
      <c r="J384" s="1811"/>
      <c r="K384" s="1810" t="s">
        <v>400</v>
      </c>
    </row>
    <row r="385" spans="1:11" x14ac:dyDescent="0.2">
      <c r="A385" s="1809" t="s">
        <v>10390</v>
      </c>
      <c r="B385" s="1808"/>
      <c r="C385" s="1807"/>
      <c r="D385" s="1807"/>
      <c r="E385" s="1806" t="s">
        <v>10389</v>
      </c>
      <c r="F385" s="1803" t="s">
        <v>1243</v>
      </c>
      <c r="G385" s="1803">
        <v>623</v>
      </c>
      <c r="H385" s="1805">
        <v>0</v>
      </c>
      <c r="I385" s="1805">
        <v>0</v>
      </c>
      <c r="J385" s="1804"/>
      <c r="K385" s="1803" t="s">
        <v>400</v>
      </c>
    </row>
    <row r="386" spans="1:11" x14ac:dyDescent="0.2">
      <c r="A386" s="1816" t="s">
        <v>10388</v>
      </c>
      <c r="B386" s="1815"/>
      <c r="C386" s="1814"/>
      <c r="D386" s="1814"/>
      <c r="E386" s="1813" t="s">
        <v>10387</v>
      </c>
      <c r="F386" s="1810" t="s">
        <v>1243</v>
      </c>
      <c r="G386" s="1810">
        <v>736.95</v>
      </c>
      <c r="H386" s="1812">
        <v>0</v>
      </c>
      <c r="I386" s="1812">
        <v>0</v>
      </c>
      <c r="J386" s="1811"/>
      <c r="K386" s="1810" t="s">
        <v>400</v>
      </c>
    </row>
    <row r="387" spans="1:11" x14ac:dyDescent="0.2">
      <c r="A387" s="1832" t="s">
        <v>10386</v>
      </c>
      <c r="B387" s="1831"/>
      <c r="C387" s="1830"/>
      <c r="D387" s="1830"/>
      <c r="E387" s="1830" t="s">
        <v>10385</v>
      </c>
      <c r="F387" s="1827"/>
      <c r="G387" s="1827"/>
      <c r="H387" s="1829"/>
      <c r="I387" s="1829">
        <v>0</v>
      </c>
      <c r="J387" s="1828"/>
      <c r="K387" s="1827" t="s">
        <v>400</v>
      </c>
    </row>
    <row r="388" spans="1:11" x14ac:dyDescent="0.2">
      <c r="A388" s="1826" t="s">
        <v>10384</v>
      </c>
      <c r="B388" s="1825"/>
      <c r="C388" s="1824"/>
      <c r="D388" s="1824"/>
      <c r="E388" s="1824" t="s">
        <v>9706</v>
      </c>
      <c r="F388" s="1821"/>
      <c r="G388" s="1821"/>
      <c r="H388" s="1823"/>
      <c r="I388" s="1823">
        <v>0</v>
      </c>
      <c r="J388" s="1822"/>
      <c r="K388" s="1821" t="s">
        <v>400</v>
      </c>
    </row>
    <row r="389" spans="1:11" x14ac:dyDescent="0.2">
      <c r="A389" s="222" t="s">
        <v>10383</v>
      </c>
      <c r="B389" s="1820"/>
      <c r="C389" s="1820"/>
      <c r="D389" s="1820"/>
      <c r="E389" s="1820" t="s">
        <v>10366</v>
      </c>
      <c r="F389" s="1817"/>
      <c r="G389" s="1817"/>
      <c r="H389" s="1819"/>
      <c r="I389" s="1819">
        <v>0</v>
      </c>
      <c r="J389" s="1818"/>
      <c r="K389" s="1817" t="s">
        <v>400</v>
      </c>
    </row>
    <row r="390" spans="1:11" x14ac:dyDescent="0.2">
      <c r="A390" s="1809" t="s">
        <v>10382</v>
      </c>
      <c r="B390" s="1808"/>
      <c r="C390" s="1807"/>
      <c r="D390" s="1807"/>
      <c r="E390" s="1806" t="s">
        <v>10364</v>
      </c>
      <c r="F390" s="1803" t="s">
        <v>534</v>
      </c>
      <c r="G390" s="1803">
        <v>11</v>
      </c>
      <c r="H390" s="1805">
        <v>0</v>
      </c>
      <c r="I390" s="1805">
        <v>0</v>
      </c>
      <c r="J390" s="1804"/>
      <c r="K390" s="1803" t="s">
        <v>400</v>
      </c>
    </row>
    <row r="391" spans="1:11" x14ac:dyDescent="0.2">
      <c r="A391" s="1816" t="s">
        <v>10381</v>
      </c>
      <c r="B391" s="1815"/>
      <c r="C391" s="1814"/>
      <c r="D391" s="1814"/>
      <c r="E391" s="1813" t="s">
        <v>10362</v>
      </c>
      <c r="F391" s="1810" t="s">
        <v>534</v>
      </c>
      <c r="G391" s="1810">
        <v>1</v>
      </c>
      <c r="H391" s="1812">
        <v>0</v>
      </c>
      <c r="I391" s="1812">
        <v>0</v>
      </c>
      <c r="J391" s="1811"/>
      <c r="K391" s="1810" t="s">
        <v>400</v>
      </c>
    </row>
    <row r="392" spans="1:11" x14ac:dyDescent="0.2">
      <c r="A392" s="1809" t="s">
        <v>10380</v>
      </c>
      <c r="B392" s="1808"/>
      <c r="C392" s="1807"/>
      <c r="D392" s="1807"/>
      <c r="E392" s="1806" t="s">
        <v>10379</v>
      </c>
      <c r="F392" s="1803" t="s">
        <v>534</v>
      </c>
      <c r="G392" s="1803">
        <v>1</v>
      </c>
      <c r="H392" s="1805">
        <v>0</v>
      </c>
      <c r="I392" s="1805">
        <v>0</v>
      </c>
      <c r="J392" s="1804"/>
      <c r="K392" s="1803" t="s">
        <v>400</v>
      </c>
    </row>
    <row r="393" spans="1:11" x14ac:dyDescent="0.2">
      <c r="A393" s="1816" t="s">
        <v>10378</v>
      </c>
      <c r="B393" s="1815"/>
      <c r="C393" s="1814"/>
      <c r="D393" s="1814"/>
      <c r="E393" s="1813" t="s">
        <v>10377</v>
      </c>
      <c r="F393" s="1810" t="s">
        <v>534</v>
      </c>
      <c r="G393" s="1810">
        <v>2</v>
      </c>
      <c r="H393" s="1812">
        <v>0</v>
      </c>
      <c r="I393" s="1812">
        <v>0</v>
      </c>
      <c r="J393" s="1811"/>
      <c r="K393" s="1810" t="s">
        <v>400</v>
      </c>
    </row>
    <row r="394" spans="1:11" x14ac:dyDescent="0.2">
      <c r="A394" s="222" t="s">
        <v>10376</v>
      </c>
      <c r="B394" s="1820"/>
      <c r="C394" s="1820"/>
      <c r="D394" s="1820"/>
      <c r="E394" s="1820" t="s">
        <v>10360</v>
      </c>
      <c r="F394" s="1817"/>
      <c r="G394" s="1817"/>
      <c r="H394" s="1819"/>
      <c r="I394" s="1819">
        <v>0</v>
      </c>
      <c r="J394" s="1818"/>
      <c r="K394" s="1817" t="s">
        <v>400</v>
      </c>
    </row>
    <row r="395" spans="1:11" x14ac:dyDescent="0.2">
      <c r="A395" s="1809" t="s">
        <v>10375</v>
      </c>
      <c r="B395" s="1808"/>
      <c r="C395" s="1807"/>
      <c r="D395" s="1807"/>
      <c r="E395" s="1806" t="s">
        <v>10358</v>
      </c>
      <c r="F395" s="1803" t="s">
        <v>788</v>
      </c>
      <c r="G395" s="1803">
        <v>186.76</v>
      </c>
      <c r="H395" s="1805">
        <v>0</v>
      </c>
      <c r="I395" s="1805">
        <v>0</v>
      </c>
      <c r="J395" s="1804"/>
      <c r="K395" s="1803" t="s">
        <v>400</v>
      </c>
    </row>
    <row r="396" spans="1:11" x14ac:dyDescent="0.2">
      <c r="A396" s="1826" t="s">
        <v>10374</v>
      </c>
      <c r="B396" s="1825"/>
      <c r="C396" s="1824"/>
      <c r="D396" s="1824"/>
      <c r="E396" s="1824" t="s">
        <v>9832</v>
      </c>
      <c r="F396" s="1821"/>
      <c r="G396" s="1821"/>
      <c r="H396" s="1823"/>
      <c r="I396" s="1823">
        <v>0</v>
      </c>
      <c r="J396" s="1822"/>
      <c r="K396" s="1821" t="s">
        <v>400</v>
      </c>
    </row>
    <row r="397" spans="1:11" x14ac:dyDescent="0.2">
      <c r="A397" s="222" t="s">
        <v>10373</v>
      </c>
      <c r="B397" s="1820"/>
      <c r="C397" s="1820"/>
      <c r="D397" s="1820"/>
      <c r="E397" s="1820" t="s">
        <v>10366</v>
      </c>
      <c r="F397" s="1817"/>
      <c r="G397" s="1817"/>
      <c r="H397" s="1819"/>
      <c r="I397" s="1819">
        <v>0</v>
      </c>
      <c r="J397" s="1818"/>
      <c r="K397" s="1817" t="s">
        <v>400</v>
      </c>
    </row>
    <row r="398" spans="1:11" x14ac:dyDescent="0.2">
      <c r="A398" s="1816" t="s">
        <v>10372</v>
      </c>
      <c r="B398" s="1815"/>
      <c r="C398" s="1814"/>
      <c r="D398" s="1814"/>
      <c r="E398" s="1813" t="s">
        <v>10364</v>
      </c>
      <c r="F398" s="1810" t="s">
        <v>534</v>
      </c>
      <c r="G398" s="1810">
        <v>48</v>
      </c>
      <c r="H398" s="1812">
        <v>0</v>
      </c>
      <c r="I398" s="1812">
        <v>0</v>
      </c>
      <c r="J398" s="1811"/>
      <c r="K398" s="1810" t="s">
        <v>400</v>
      </c>
    </row>
    <row r="399" spans="1:11" x14ac:dyDescent="0.2">
      <c r="A399" s="1809" t="s">
        <v>10371</v>
      </c>
      <c r="B399" s="1808"/>
      <c r="C399" s="1807"/>
      <c r="D399" s="1807"/>
      <c r="E399" s="1806" t="s">
        <v>10362</v>
      </c>
      <c r="F399" s="1803" t="s">
        <v>534</v>
      </c>
      <c r="G399" s="1803">
        <v>288</v>
      </c>
      <c r="H399" s="1805">
        <v>0</v>
      </c>
      <c r="I399" s="1805">
        <v>0</v>
      </c>
      <c r="J399" s="1804"/>
      <c r="K399" s="1803" t="s">
        <v>400</v>
      </c>
    </row>
    <row r="400" spans="1:11" x14ac:dyDescent="0.2">
      <c r="A400" s="222" t="s">
        <v>10370</v>
      </c>
      <c r="B400" s="1820"/>
      <c r="C400" s="1820"/>
      <c r="D400" s="1820"/>
      <c r="E400" s="1820" t="s">
        <v>10360</v>
      </c>
      <c r="F400" s="1817"/>
      <c r="G400" s="1817"/>
      <c r="H400" s="1819"/>
      <c r="I400" s="1819">
        <v>0</v>
      </c>
      <c r="J400" s="1818"/>
      <c r="K400" s="1817" t="s">
        <v>400</v>
      </c>
    </row>
    <row r="401" spans="1:11" x14ac:dyDescent="0.2">
      <c r="A401" s="1816" t="s">
        <v>10369</v>
      </c>
      <c r="B401" s="1815"/>
      <c r="C401" s="1814"/>
      <c r="D401" s="1814"/>
      <c r="E401" s="1813" t="s">
        <v>10358</v>
      </c>
      <c r="F401" s="1810" t="s">
        <v>788</v>
      </c>
      <c r="G401" s="1810">
        <v>485.55</v>
      </c>
      <c r="H401" s="1812">
        <v>0</v>
      </c>
      <c r="I401" s="1812">
        <v>0</v>
      </c>
      <c r="J401" s="1811"/>
      <c r="K401" s="1810" t="s">
        <v>400</v>
      </c>
    </row>
    <row r="402" spans="1:11" x14ac:dyDescent="0.2">
      <c r="A402" s="1826" t="s">
        <v>10368</v>
      </c>
      <c r="B402" s="1825"/>
      <c r="C402" s="1824"/>
      <c r="D402" s="1824"/>
      <c r="E402" s="1824" t="s">
        <v>9781</v>
      </c>
      <c r="F402" s="1821"/>
      <c r="G402" s="1821"/>
      <c r="H402" s="1823"/>
      <c r="I402" s="1823">
        <v>0</v>
      </c>
      <c r="J402" s="1822"/>
      <c r="K402" s="1821" t="s">
        <v>400</v>
      </c>
    </row>
    <row r="403" spans="1:11" x14ac:dyDescent="0.2">
      <c r="A403" s="222" t="s">
        <v>10367</v>
      </c>
      <c r="B403" s="1820"/>
      <c r="C403" s="1820"/>
      <c r="D403" s="1820"/>
      <c r="E403" s="1820" t="s">
        <v>10366</v>
      </c>
      <c r="F403" s="1817"/>
      <c r="G403" s="1817"/>
      <c r="H403" s="1819"/>
      <c r="I403" s="1819">
        <v>0</v>
      </c>
      <c r="J403" s="1818"/>
      <c r="K403" s="1817" t="s">
        <v>400</v>
      </c>
    </row>
    <row r="404" spans="1:11" x14ac:dyDescent="0.2">
      <c r="A404" s="1809" t="s">
        <v>10365</v>
      </c>
      <c r="B404" s="1808"/>
      <c r="C404" s="1807"/>
      <c r="D404" s="1807"/>
      <c r="E404" s="1806" t="s">
        <v>10364</v>
      </c>
      <c r="F404" s="1803" t="s">
        <v>534</v>
      </c>
      <c r="G404" s="1803">
        <v>96</v>
      </c>
      <c r="H404" s="1805">
        <v>0</v>
      </c>
      <c r="I404" s="1805">
        <v>0</v>
      </c>
      <c r="J404" s="1804"/>
      <c r="K404" s="1803" t="s">
        <v>400</v>
      </c>
    </row>
    <row r="405" spans="1:11" x14ac:dyDescent="0.2">
      <c r="A405" s="1816" t="s">
        <v>10363</v>
      </c>
      <c r="B405" s="1815"/>
      <c r="C405" s="1814"/>
      <c r="D405" s="1814"/>
      <c r="E405" s="1813" t="s">
        <v>10362</v>
      </c>
      <c r="F405" s="1810" t="s">
        <v>534</v>
      </c>
      <c r="G405" s="1810">
        <v>264</v>
      </c>
      <c r="H405" s="1812">
        <v>0</v>
      </c>
      <c r="I405" s="1812">
        <v>0</v>
      </c>
      <c r="J405" s="1811"/>
      <c r="K405" s="1810" t="s">
        <v>400</v>
      </c>
    </row>
    <row r="406" spans="1:11" x14ac:dyDescent="0.2">
      <c r="A406" s="222" t="s">
        <v>10361</v>
      </c>
      <c r="B406" s="1820"/>
      <c r="C406" s="1820"/>
      <c r="D406" s="1820"/>
      <c r="E406" s="1820" t="s">
        <v>10360</v>
      </c>
      <c r="F406" s="1817"/>
      <c r="G406" s="1817"/>
      <c r="H406" s="1819"/>
      <c r="I406" s="1819">
        <v>0</v>
      </c>
      <c r="J406" s="1818"/>
      <c r="K406" s="1817" t="s">
        <v>400</v>
      </c>
    </row>
    <row r="407" spans="1:11" x14ac:dyDescent="0.2">
      <c r="A407" s="1809" t="s">
        <v>10359</v>
      </c>
      <c r="B407" s="1808"/>
      <c r="C407" s="1807"/>
      <c r="D407" s="1807"/>
      <c r="E407" s="1806" t="s">
        <v>10358</v>
      </c>
      <c r="F407" s="1803" t="s">
        <v>788</v>
      </c>
      <c r="G407" s="1803">
        <v>421.67</v>
      </c>
      <c r="H407" s="1805">
        <v>0</v>
      </c>
      <c r="I407" s="1805">
        <v>0</v>
      </c>
      <c r="J407" s="1804"/>
      <c r="K407" s="1803" t="s">
        <v>400</v>
      </c>
    </row>
    <row r="408" spans="1:11" x14ac:dyDescent="0.2">
      <c r="A408" s="1832" t="s">
        <v>10357</v>
      </c>
      <c r="B408" s="1831"/>
      <c r="C408" s="1830"/>
      <c r="D408" s="1830"/>
      <c r="E408" s="1830" t="s">
        <v>10356</v>
      </c>
      <c r="F408" s="1827"/>
      <c r="G408" s="1827"/>
      <c r="H408" s="1829"/>
      <c r="I408" s="1829">
        <v>0</v>
      </c>
      <c r="J408" s="1828"/>
      <c r="K408" s="1827" t="s">
        <v>400</v>
      </c>
    </row>
    <row r="409" spans="1:11" x14ac:dyDescent="0.2">
      <c r="A409" s="1826" t="s">
        <v>10355</v>
      </c>
      <c r="B409" s="1825"/>
      <c r="C409" s="1824"/>
      <c r="D409" s="1824"/>
      <c r="E409" s="1824" t="s">
        <v>9706</v>
      </c>
      <c r="F409" s="1821"/>
      <c r="G409" s="1821"/>
      <c r="H409" s="1823"/>
      <c r="I409" s="1823">
        <v>0</v>
      </c>
      <c r="J409" s="1822"/>
      <c r="K409" s="1821" t="s">
        <v>400</v>
      </c>
    </row>
    <row r="410" spans="1:11" x14ac:dyDescent="0.2">
      <c r="A410" s="222" t="s">
        <v>10354</v>
      </c>
      <c r="B410" s="1820"/>
      <c r="C410" s="1820"/>
      <c r="D410" s="1820"/>
      <c r="E410" s="1820" t="s">
        <v>10336</v>
      </c>
      <c r="F410" s="1817"/>
      <c r="G410" s="1817"/>
      <c r="H410" s="1819"/>
      <c r="I410" s="1819">
        <v>0</v>
      </c>
      <c r="J410" s="1818"/>
      <c r="K410" s="1817" t="s">
        <v>400</v>
      </c>
    </row>
    <row r="411" spans="1:11" x14ac:dyDescent="0.2">
      <c r="A411" s="1816" t="s">
        <v>10353</v>
      </c>
      <c r="B411" s="1815"/>
      <c r="C411" s="1814"/>
      <c r="D411" s="1814"/>
      <c r="E411" s="1813" t="s">
        <v>10334</v>
      </c>
      <c r="F411" s="1810" t="s">
        <v>788</v>
      </c>
      <c r="G411" s="1810">
        <v>39.409999999999997</v>
      </c>
      <c r="H411" s="1812">
        <v>0</v>
      </c>
      <c r="I411" s="1812">
        <v>0</v>
      </c>
      <c r="J411" s="1811"/>
      <c r="K411" s="1810" t="s">
        <v>400</v>
      </c>
    </row>
    <row r="412" spans="1:11" x14ac:dyDescent="0.2">
      <c r="A412" s="1809" t="s">
        <v>10352</v>
      </c>
      <c r="B412" s="1808"/>
      <c r="C412" s="1807"/>
      <c r="D412" s="1807"/>
      <c r="E412" s="1806" t="s">
        <v>10326</v>
      </c>
      <c r="F412" s="1803" t="s">
        <v>534</v>
      </c>
      <c r="G412" s="1803">
        <v>2</v>
      </c>
      <c r="H412" s="1805">
        <v>0</v>
      </c>
      <c r="I412" s="1805">
        <v>0</v>
      </c>
      <c r="J412" s="1804"/>
      <c r="K412" s="1803" t="s">
        <v>400</v>
      </c>
    </row>
    <row r="413" spans="1:11" x14ac:dyDescent="0.2">
      <c r="A413" s="1816" t="s">
        <v>10351</v>
      </c>
      <c r="B413" s="1815"/>
      <c r="C413" s="1814"/>
      <c r="D413" s="1814"/>
      <c r="E413" s="1813" t="s">
        <v>10324</v>
      </c>
      <c r="F413" s="1810" t="s">
        <v>534</v>
      </c>
      <c r="G413" s="1810">
        <v>13</v>
      </c>
      <c r="H413" s="1812">
        <v>0</v>
      </c>
      <c r="I413" s="1812">
        <v>0</v>
      </c>
      <c r="J413" s="1811"/>
      <c r="K413" s="1810" t="s">
        <v>400</v>
      </c>
    </row>
    <row r="414" spans="1:11" x14ac:dyDescent="0.2">
      <c r="A414" s="1809" t="s">
        <v>10350</v>
      </c>
      <c r="B414" s="1808"/>
      <c r="C414" s="1807"/>
      <c r="D414" s="1807"/>
      <c r="E414" s="1806" t="s">
        <v>10339</v>
      </c>
      <c r="F414" s="1803" t="s">
        <v>534</v>
      </c>
      <c r="G414" s="1803">
        <v>22</v>
      </c>
      <c r="H414" s="1805">
        <v>0</v>
      </c>
      <c r="I414" s="1805">
        <v>0</v>
      </c>
      <c r="J414" s="1804"/>
      <c r="K414" s="1803" t="s">
        <v>400</v>
      </c>
    </row>
    <row r="415" spans="1:11" x14ac:dyDescent="0.2">
      <c r="A415" s="1816" t="s">
        <v>10349</v>
      </c>
      <c r="B415" s="1815"/>
      <c r="C415" s="1814"/>
      <c r="D415" s="1814"/>
      <c r="E415" s="1813" t="s">
        <v>10348</v>
      </c>
      <c r="F415" s="1810" t="s">
        <v>534</v>
      </c>
      <c r="G415" s="1810">
        <v>2</v>
      </c>
      <c r="H415" s="1812">
        <v>0</v>
      </c>
      <c r="I415" s="1812">
        <v>0</v>
      </c>
      <c r="J415" s="1811"/>
      <c r="K415" s="1810" t="s">
        <v>400</v>
      </c>
    </row>
    <row r="416" spans="1:11" x14ac:dyDescent="0.2">
      <c r="A416" s="1826" t="s">
        <v>10347</v>
      </c>
      <c r="B416" s="1825"/>
      <c r="C416" s="1824"/>
      <c r="D416" s="1824"/>
      <c r="E416" s="1824" t="s">
        <v>9832</v>
      </c>
      <c r="F416" s="1821"/>
      <c r="G416" s="1821"/>
      <c r="H416" s="1823"/>
      <c r="I416" s="1823">
        <v>0</v>
      </c>
      <c r="J416" s="1822"/>
      <c r="K416" s="1821" t="s">
        <v>400</v>
      </c>
    </row>
    <row r="417" spans="1:11" x14ac:dyDescent="0.2">
      <c r="A417" s="222" t="s">
        <v>10346</v>
      </c>
      <c r="B417" s="1820"/>
      <c r="C417" s="1820"/>
      <c r="D417" s="1820"/>
      <c r="E417" s="1820" t="s">
        <v>10336</v>
      </c>
      <c r="F417" s="1817"/>
      <c r="G417" s="1817"/>
      <c r="H417" s="1819"/>
      <c r="I417" s="1819">
        <v>0</v>
      </c>
      <c r="J417" s="1818"/>
      <c r="K417" s="1817" t="s">
        <v>400</v>
      </c>
    </row>
    <row r="418" spans="1:11" x14ac:dyDescent="0.2">
      <c r="A418" s="1809" t="s">
        <v>10345</v>
      </c>
      <c r="B418" s="1808"/>
      <c r="C418" s="1807"/>
      <c r="D418" s="1807"/>
      <c r="E418" s="1806" t="s">
        <v>10344</v>
      </c>
      <c r="F418" s="1803" t="s">
        <v>788</v>
      </c>
      <c r="G418" s="1803">
        <v>177.6</v>
      </c>
      <c r="H418" s="1805">
        <v>0</v>
      </c>
      <c r="I418" s="1805">
        <v>0</v>
      </c>
      <c r="J418" s="1804"/>
      <c r="K418" s="1803" t="s">
        <v>400</v>
      </c>
    </row>
    <row r="419" spans="1:11" x14ac:dyDescent="0.2">
      <c r="A419" s="1816" t="s">
        <v>10343</v>
      </c>
      <c r="B419" s="1815"/>
      <c r="C419" s="1814"/>
      <c r="D419" s="1814"/>
      <c r="E419" s="1813" t="s">
        <v>10334</v>
      </c>
      <c r="F419" s="1810" t="s">
        <v>788</v>
      </c>
      <c r="G419" s="1810">
        <v>838.68</v>
      </c>
      <c r="H419" s="1812">
        <v>0</v>
      </c>
      <c r="I419" s="1812">
        <v>0</v>
      </c>
      <c r="J419" s="1811"/>
      <c r="K419" s="1810" t="s">
        <v>400</v>
      </c>
    </row>
    <row r="420" spans="1:11" x14ac:dyDescent="0.2">
      <c r="A420" s="1809" t="s">
        <v>10342</v>
      </c>
      <c r="B420" s="1808"/>
      <c r="C420" s="1807"/>
      <c r="D420" s="1807"/>
      <c r="E420" s="1806" t="s">
        <v>10341</v>
      </c>
      <c r="F420" s="1803" t="s">
        <v>788</v>
      </c>
      <c r="G420" s="1803">
        <v>37.44</v>
      </c>
      <c r="H420" s="1805">
        <v>0</v>
      </c>
      <c r="I420" s="1805">
        <v>0</v>
      </c>
      <c r="J420" s="1804"/>
      <c r="K420" s="1803" t="s">
        <v>400</v>
      </c>
    </row>
    <row r="421" spans="1:11" x14ac:dyDescent="0.2">
      <c r="A421" s="1816" t="s">
        <v>10340</v>
      </c>
      <c r="B421" s="1815"/>
      <c r="C421" s="1814"/>
      <c r="D421" s="1814"/>
      <c r="E421" s="1813" t="s">
        <v>10339</v>
      </c>
      <c r="F421" s="1810" t="s">
        <v>534</v>
      </c>
      <c r="G421" s="1810">
        <v>50</v>
      </c>
      <c r="H421" s="1812">
        <v>0</v>
      </c>
      <c r="I421" s="1812">
        <v>0</v>
      </c>
      <c r="J421" s="1811"/>
      <c r="K421" s="1810" t="s">
        <v>400</v>
      </c>
    </row>
    <row r="422" spans="1:11" x14ac:dyDescent="0.2">
      <c r="A422" s="1826" t="s">
        <v>10338</v>
      </c>
      <c r="B422" s="1825"/>
      <c r="C422" s="1824"/>
      <c r="D422" s="1824"/>
      <c r="E422" s="1824" t="s">
        <v>9781</v>
      </c>
      <c r="F422" s="1821"/>
      <c r="G422" s="1821"/>
      <c r="H422" s="1823"/>
      <c r="I422" s="1823">
        <v>0</v>
      </c>
      <c r="J422" s="1822"/>
      <c r="K422" s="1821" t="s">
        <v>400</v>
      </c>
    </row>
    <row r="423" spans="1:11" x14ac:dyDescent="0.2">
      <c r="A423" s="222" t="s">
        <v>10337</v>
      </c>
      <c r="B423" s="1820"/>
      <c r="C423" s="1820"/>
      <c r="D423" s="1820"/>
      <c r="E423" s="1820" t="s">
        <v>10336</v>
      </c>
      <c r="F423" s="1817"/>
      <c r="G423" s="1817"/>
      <c r="H423" s="1819"/>
      <c r="I423" s="1819">
        <v>0</v>
      </c>
      <c r="J423" s="1818"/>
      <c r="K423" s="1817" t="s">
        <v>400</v>
      </c>
    </row>
    <row r="424" spans="1:11" x14ac:dyDescent="0.2">
      <c r="A424" s="1809" t="s">
        <v>10335</v>
      </c>
      <c r="B424" s="1808"/>
      <c r="C424" s="1807"/>
      <c r="D424" s="1807"/>
      <c r="E424" s="1806" t="s">
        <v>10334</v>
      </c>
      <c r="F424" s="1803" t="s">
        <v>788</v>
      </c>
      <c r="G424" s="1803">
        <v>635.66999999999996</v>
      </c>
      <c r="H424" s="1805">
        <v>0</v>
      </c>
      <c r="I424" s="1805">
        <v>0</v>
      </c>
      <c r="J424" s="1804"/>
      <c r="K424" s="1803" t="s">
        <v>400</v>
      </c>
    </row>
    <row r="425" spans="1:11" x14ac:dyDescent="0.2">
      <c r="A425" s="1816" t="s">
        <v>10333</v>
      </c>
      <c r="B425" s="1815"/>
      <c r="C425" s="1814"/>
      <c r="D425" s="1814"/>
      <c r="E425" s="1813" t="s">
        <v>10332</v>
      </c>
      <c r="F425" s="1810" t="s">
        <v>788</v>
      </c>
      <c r="G425" s="1810">
        <v>34.799999999999997</v>
      </c>
      <c r="H425" s="1812">
        <v>0</v>
      </c>
      <c r="I425" s="1812">
        <v>0</v>
      </c>
      <c r="J425" s="1811"/>
      <c r="K425" s="1810" t="s">
        <v>400</v>
      </c>
    </row>
    <row r="426" spans="1:11" x14ac:dyDescent="0.2">
      <c r="A426" s="1809" t="s">
        <v>10331</v>
      </c>
      <c r="B426" s="1808"/>
      <c r="C426" s="1807"/>
      <c r="D426" s="1807"/>
      <c r="E426" s="1806" t="s">
        <v>10330</v>
      </c>
      <c r="F426" s="1803" t="s">
        <v>788</v>
      </c>
      <c r="G426" s="1803">
        <v>46.8</v>
      </c>
      <c r="H426" s="1805">
        <v>0</v>
      </c>
      <c r="I426" s="1805">
        <v>0</v>
      </c>
      <c r="J426" s="1804"/>
      <c r="K426" s="1803" t="s">
        <v>400</v>
      </c>
    </row>
    <row r="427" spans="1:11" x14ac:dyDescent="0.2">
      <c r="A427" s="1816" t="s">
        <v>10329</v>
      </c>
      <c r="B427" s="1815"/>
      <c r="C427" s="1814"/>
      <c r="D427" s="1814"/>
      <c r="E427" s="1813" t="s">
        <v>10328</v>
      </c>
      <c r="F427" s="1810" t="s">
        <v>788</v>
      </c>
      <c r="G427" s="1810">
        <v>40.799999999999997</v>
      </c>
      <c r="H427" s="1812">
        <v>0</v>
      </c>
      <c r="I427" s="1812">
        <v>0</v>
      </c>
      <c r="J427" s="1811"/>
      <c r="K427" s="1810" t="s">
        <v>400</v>
      </c>
    </row>
    <row r="428" spans="1:11" x14ac:dyDescent="0.2">
      <c r="A428" s="1809" t="s">
        <v>10327</v>
      </c>
      <c r="B428" s="1808"/>
      <c r="C428" s="1807"/>
      <c r="D428" s="1807"/>
      <c r="E428" s="1806" t="s">
        <v>10326</v>
      </c>
      <c r="F428" s="1803" t="s">
        <v>534</v>
      </c>
      <c r="G428" s="1803">
        <v>48</v>
      </c>
      <c r="H428" s="1805">
        <v>0</v>
      </c>
      <c r="I428" s="1805">
        <v>0</v>
      </c>
      <c r="J428" s="1804"/>
      <c r="K428" s="1803" t="s">
        <v>400</v>
      </c>
    </row>
    <row r="429" spans="1:11" x14ac:dyDescent="0.2">
      <c r="A429" s="1816" t="s">
        <v>10325</v>
      </c>
      <c r="B429" s="1815"/>
      <c r="C429" s="1814"/>
      <c r="D429" s="1814"/>
      <c r="E429" s="1813" t="s">
        <v>10324</v>
      </c>
      <c r="F429" s="1810" t="s">
        <v>534</v>
      </c>
      <c r="G429" s="1810">
        <v>4</v>
      </c>
      <c r="H429" s="1812">
        <v>0</v>
      </c>
      <c r="I429" s="1812">
        <v>0</v>
      </c>
      <c r="J429" s="1811"/>
      <c r="K429" s="1810" t="s">
        <v>400</v>
      </c>
    </row>
    <row r="430" spans="1:11" x14ac:dyDescent="0.2">
      <c r="A430" s="1832" t="s">
        <v>10323</v>
      </c>
      <c r="B430" s="1831"/>
      <c r="C430" s="1830"/>
      <c r="D430" s="1830"/>
      <c r="E430" s="1830" t="s">
        <v>10322</v>
      </c>
      <c r="F430" s="1827"/>
      <c r="G430" s="1827"/>
      <c r="H430" s="1829"/>
      <c r="I430" s="1829">
        <v>0</v>
      </c>
      <c r="J430" s="1828"/>
      <c r="K430" s="1827" t="s">
        <v>400</v>
      </c>
    </row>
    <row r="431" spans="1:11" x14ac:dyDescent="0.2">
      <c r="A431" s="1826" t="s">
        <v>10321</v>
      </c>
      <c r="B431" s="1825"/>
      <c r="C431" s="1824"/>
      <c r="D431" s="1824"/>
      <c r="E431" s="1824" t="s">
        <v>9706</v>
      </c>
      <c r="F431" s="1821"/>
      <c r="G431" s="1821"/>
      <c r="H431" s="1823"/>
      <c r="I431" s="1823">
        <v>0</v>
      </c>
      <c r="J431" s="1822"/>
      <c r="K431" s="1821" t="s">
        <v>400</v>
      </c>
    </row>
    <row r="432" spans="1:11" x14ac:dyDescent="0.2">
      <c r="A432" s="222" t="s">
        <v>10320</v>
      </c>
      <c r="B432" s="1820"/>
      <c r="C432" s="1820"/>
      <c r="D432" s="1820"/>
      <c r="E432" s="1820" t="s">
        <v>10299</v>
      </c>
      <c r="F432" s="1817"/>
      <c r="G432" s="1817"/>
      <c r="H432" s="1819"/>
      <c r="I432" s="1819">
        <v>0</v>
      </c>
      <c r="J432" s="1818"/>
      <c r="K432" s="1817" t="s">
        <v>400</v>
      </c>
    </row>
    <row r="433" spans="1:11" x14ac:dyDescent="0.2">
      <c r="A433" s="1809" t="s">
        <v>10319</v>
      </c>
      <c r="B433" s="1808"/>
      <c r="C433" s="1807"/>
      <c r="D433" s="1807"/>
      <c r="E433" s="1806" t="s">
        <v>10316</v>
      </c>
      <c r="F433" s="1803" t="s">
        <v>1243</v>
      </c>
      <c r="G433" s="1803">
        <v>90.22</v>
      </c>
      <c r="H433" s="1805">
        <v>0</v>
      </c>
      <c r="I433" s="1805">
        <v>0</v>
      </c>
      <c r="J433" s="1804"/>
      <c r="K433" s="1803" t="s">
        <v>400</v>
      </c>
    </row>
    <row r="434" spans="1:11" x14ac:dyDescent="0.2">
      <c r="A434" s="222" t="s">
        <v>10318</v>
      </c>
      <c r="B434" s="1820"/>
      <c r="C434" s="1820"/>
      <c r="D434" s="1820"/>
      <c r="E434" s="1820" t="s">
        <v>10296</v>
      </c>
      <c r="F434" s="1817"/>
      <c r="G434" s="1817"/>
      <c r="H434" s="1819"/>
      <c r="I434" s="1819">
        <v>0</v>
      </c>
      <c r="J434" s="1818"/>
      <c r="K434" s="1817" t="s">
        <v>400</v>
      </c>
    </row>
    <row r="435" spans="1:11" x14ac:dyDescent="0.2">
      <c r="A435" s="1816" t="s">
        <v>10317</v>
      </c>
      <c r="B435" s="1815"/>
      <c r="C435" s="1814"/>
      <c r="D435" s="1814"/>
      <c r="E435" s="1813" t="s">
        <v>10316</v>
      </c>
      <c r="F435" s="1810" t="s">
        <v>1243</v>
      </c>
      <c r="G435" s="1810">
        <v>90.22</v>
      </c>
      <c r="H435" s="1812">
        <v>0</v>
      </c>
      <c r="I435" s="1812">
        <v>0</v>
      </c>
      <c r="J435" s="1811"/>
      <c r="K435" s="1810" t="s">
        <v>400</v>
      </c>
    </row>
    <row r="436" spans="1:11" x14ac:dyDescent="0.2">
      <c r="A436" s="222" t="s">
        <v>10315</v>
      </c>
      <c r="B436" s="1820"/>
      <c r="C436" s="1820"/>
      <c r="D436" s="1820"/>
      <c r="E436" s="1820" t="s">
        <v>10314</v>
      </c>
      <c r="F436" s="1817"/>
      <c r="G436" s="1817"/>
      <c r="H436" s="1819"/>
      <c r="I436" s="1819">
        <v>0</v>
      </c>
      <c r="J436" s="1818"/>
      <c r="K436" s="1817" t="s">
        <v>400</v>
      </c>
    </row>
    <row r="437" spans="1:11" ht="25.5" x14ac:dyDescent="0.2">
      <c r="A437" s="1809" t="s">
        <v>10313</v>
      </c>
      <c r="B437" s="1808"/>
      <c r="C437" s="1807"/>
      <c r="D437" s="1807"/>
      <c r="E437" s="1806" t="s">
        <v>10312</v>
      </c>
      <c r="F437" s="1803" t="s">
        <v>1243</v>
      </c>
      <c r="G437" s="1803">
        <v>9.48</v>
      </c>
      <c r="H437" s="1805">
        <v>0</v>
      </c>
      <c r="I437" s="1805">
        <v>0</v>
      </c>
      <c r="J437" s="1804"/>
      <c r="K437" s="1803" t="s">
        <v>400</v>
      </c>
    </row>
    <row r="438" spans="1:11" ht="25.5" x14ac:dyDescent="0.2">
      <c r="A438" s="1816" t="s">
        <v>10311</v>
      </c>
      <c r="B438" s="1815"/>
      <c r="C438" s="1814"/>
      <c r="D438" s="1814"/>
      <c r="E438" s="1813" t="s">
        <v>10310</v>
      </c>
      <c r="F438" s="1810" t="s">
        <v>1243</v>
      </c>
      <c r="G438" s="1810">
        <v>3.08</v>
      </c>
      <c r="H438" s="1812">
        <v>0</v>
      </c>
      <c r="I438" s="1812">
        <v>0</v>
      </c>
      <c r="J438" s="1811"/>
      <c r="K438" s="1810" t="s">
        <v>400</v>
      </c>
    </row>
    <row r="439" spans="1:11" x14ac:dyDescent="0.2">
      <c r="A439" s="1826" t="s">
        <v>10309</v>
      </c>
      <c r="B439" s="1825"/>
      <c r="C439" s="1824"/>
      <c r="D439" s="1824"/>
      <c r="E439" s="1824" t="s">
        <v>9832</v>
      </c>
      <c r="F439" s="1821"/>
      <c r="G439" s="1821"/>
      <c r="H439" s="1823"/>
      <c r="I439" s="1823">
        <v>0</v>
      </c>
      <c r="J439" s="1822"/>
      <c r="K439" s="1821" t="s">
        <v>400</v>
      </c>
    </row>
    <row r="440" spans="1:11" x14ac:dyDescent="0.2">
      <c r="A440" s="222" t="s">
        <v>10308</v>
      </c>
      <c r="B440" s="1820"/>
      <c r="C440" s="1820"/>
      <c r="D440" s="1820"/>
      <c r="E440" s="1820" t="s">
        <v>10299</v>
      </c>
      <c r="F440" s="1817"/>
      <c r="G440" s="1817"/>
      <c r="H440" s="1819"/>
      <c r="I440" s="1819">
        <v>0</v>
      </c>
      <c r="J440" s="1818"/>
      <c r="K440" s="1817" t="s">
        <v>400</v>
      </c>
    </row>
    <row r="441" spans="1:11" x14ac:dyDescent="0.2">
      <c r="A441" s="1809" t="s">
        <v>10307</v>
      </c>
      <c r="B441" s="1808"/>
      <c r="C441" s="1807"/>
      <c r="D441" s="1807"/>
      <c r="E441" s="1806" t="s">
        <v>10294</v>
      </c>
      <c r="F441" s="1803" t="s">
        <v>1243</v>
      </c>
      <c r="G441" s="1803">
        <v>407.37</v>
      </c>
      <c r="H441" s="1805">
        <v>0</v>
      </c>
      <c r="I441" s="1805">
        <v>0</v>
      </c>
      <c r="J441" s="1804"/>
      <c r="K441" s="1803" t="s">
        <v>400</v>
      </c>
    </row>
    <row r="442" spans="1:11" x14ac:dyDescent="0.2">
      <c r="A442" s="222" t="s">
        <v>10306</v>
      </c>
      <c r="B442" s="1820"/>
      <c r="C442" s="1820"/>
      <c r="D442" s="1820"/>
      <c r="E442" s="1820" t="s">
        <v>10296</v>
      </c>
      <c r="F442" s="1817"/>
      <c r="G442" s="1817"/>
      <c r="H442" s="1819"/>
      <c r="I442" s="1819">
        <v>0</v>
      </c>
      <c r="J442" s="1818"/>
      <c r="K442" s="1817" t="s">
        <v>400</v>
      </c>
    </row>
    <row r="443" spans="1:11" x14ac:dyDescent="0.2">
      <c r="A443" s="1816" t="s">
        <v>10305</v>
      </c>
      <c r="B443" s="1815"/>
      <c r="C443" s="1814"/>
      <c r="D443" s="1814"/>
      <c r="E443" s="1813" t="s">
        <v>10294</v>
      </c>
      <c r="F443" s="1810" t="s">
        <v>1243</v>
      </c>
      <c r="G443" s="1810">
        <v>407.37</v>
      </c>
      <c r="H443" s="1812">
        <v>0</v>
      </c>
      <c r="I443" s="1812">
        <v>0</v>
      </c>
      <c r="J443" s="1811"/>
      <c r="K443" s="1810" t="s">
        <v>400</v>
      </c>
    </row>
    <row r="444" spans="1:11" x14ac:dyDescent="0.2">
      <c r="A444" s="222" t="s">
        <v>10304</v>
      </c>
      <c r="B444" s="1820"/>
      <c r="C444" s="1820"/>
      <c r="D444" s="1820"/>
      <c r="E444" s="1820" t="s">
        <v>10292</v>
      </c>
      <c r="F444" s="1817"/>
      <c r="G444" s="1817"/>
      <c r="H444" s="1819"/>
      <c r="I444" s="1819">
        <v>0</v>
      </c>
      <c r="J444" s="1818"/>
      <c r="K444" s="1817" t="s">
        <v>400</v>
      </c>
    </row>
    <row r="445" spans="1:11" x14ac:dyDescent="0.2">
      <c r="A445" s="1809" t="s">
        <v>10303</v>
      </c>
      <c r="B445" s="1808"/>
      <c r="C445" s="1807"/>
      <c r="D445" s="1807"/>
      <c r="E445" s="1806" t="s">
        <v>10290</v>
      </c>
      <c r="F445" s="1803" t="s">
        <v>788</v>
      </c>
      <c r="G445" s="1803">
        <v>34.35</v>
      </c>
      <c r="H445" s="1805">
        <v>0</v>
      </c>
      <c r="I445" s="1805">
        <v>0</v>
      </c>
      <c r="J445" s="1804"/>
      <c r="K445" s="1803" t="s">
        <v>400</v>
      </c>
    </row>
    <row r="446" spans="1:11" x14ac:dyDescent="0.2">
      <c r="A446" s="1816" t="s">
        <v>10302</v>
      </c>
      <c r="B446" s="1815"/>
      <c r="C446" s="1814"/>
      <c r="D446" s="1814"/>
      <c r="E446" s="1813" t="s">
        <v>10288</v>
      </c>
      <c r="F446" s="1810" t="s">
        <v>788</v>
      </c>
      <c r="G446" s="1810">
        <v>71.2</v>
      </c>
      <c r="H446" s="1812">
        <v>0</v>
      </c>
      <c r="I446" s="1812">
        <v>0</v>
      </c>
      <c r="J446" s="1811"/>
      <c r="K446" s="1810" t="s">
        <v>400</v>
      </c>
    </row>
    <row r="447" spans="1:11" x14ac:dyDescent="0.2">
      <c r="A447" s="1826" t="s">
        <v>10301</v>
      </c>
      <c r="B447" s="1825"/>
      <c r="C447" s="1824"/>
      <c r="D447" s="1824"/>
      <c r="E447" s="1824" t="s">
        <v>9781</v>
      </c>
      <c r="F447" s="1821"/>
      <c r="G447" s="1821"/>
      <c r="H447" s="1823"/>
      <c r="I447" s="1823">
        <v>0</v>
      </c>
      <c r="J447" s="1822"/>
      <c r="K447" s="1821" t="s">
        <v>400</v>
      </c>
    </row>
    <row r="448" spans="1:11" x14ac:dyDescent="0.2">
      <c r="A448" s="222" t="s">
        <v>10300</v>
      </c>
      <c r="B448" s="1820"/>
      <c r="C448" s="1820"/>
      <c r="D448" s="1820"/>
      <c r="E448" s="1820" t="s">
        <v>10299</v>
      </c>
      <c r="F448" s="1817"/>
      <c r="G448" s="1817"/>
      <c r="H448" s="1819"/>
      <c r="I448" s="1819">
        <v>0</v>
      </c>
      <c r="J448" s="1818"/>
      <c r="K448" s="1817" t="s">
        <v>400</v>
      </c>
    </row>
    <row r="449" spans="1:11" x14ac:dyDescent="0.2">
      <c r="A449" s="1809" t="s">
        <v>10298</v>
      </c>
      <c r="B449" s="1808"/>
      <c r="C449" s="1807"/>
      <c r="D449" s="1807"/>
      <c r="E449" s="1806" t="s">
        <v>10294</v>
      </c>
      <c r="F449" s="1803" t="s">
        <v>1243</v>
      </c>
      <c r="G449" s="1803">
        <v>382.05</v>
      </c>
      <c r="H449" s="1805">
        <v>0</v>
      </c>
      <c r="I449" s="1805">
        <v>0</v>
      </c>
      <c r="J449" s="1804"/>
      <c r="K449" s="1803" t="s">
        <v>400</v>
      </c>
    </row>
    <row r="450" spans="1:11" x14ac:dyDescent="0.2">
      <c r="A450" s="222" t="s">
        <v>10297</v>
      </c>
      <c r="B450" s="1820"/>
      <c r="C450" s="1820"/>
      <c r="D450" s="1820"/>
      <c r="E450" s="1820" t="s">
        <v>10296</v>
      </c>
      <c r="F450" s="1817"/>
      <c r="G450" s="1817"/>
      <c r="H450" s="1819"/>
      <c r="I450" s="1819">
        <v>0</v>
      </c>
      <c r="J450" s="1818"/>
      <c r="K450" s="1817" t="s">
        <v>400</v>
      </c>
    </row>
    <row r="451" spans="1:11" x14ac:dyDescent="0.2">
      <c r="A451" s="1816" t="s">
        <v>10295</v>
      </c>
      <c r="B451" s="1815"/>
      <c r="C451" s="1814"/>
      <c r="D451" s="1814"/>
      <c r="E451" s="1813" t="s">
        <v>10294</v>
      </c>
      <c r="F451" s="1810" t="s">
        <v>1243</v>
      </c>
      <c r="G451" s="1810">
        <v>382.05</v>
      </c>
      <c r="H451" s="1812">
        <v>0</v>
      </c>
      <c r="I451" s="1812">
        <v>0</v>
      </c>
      <c r="J451" s="1811"/>
      <c r="K451" s="1810" t="s">
        <v>400</v>
      </c>
    </row>
    <row r="452" spans="1:11" x14ac:dyDescent="0.2">
      <c r="A452" s="222" t="s">
        <v>10293</v>
      </c>
      <c r="B452" s="1820"/>
      <c r="C452" s="1820"/>
      <c r="D452" s="1820"/>
      <c r="E452" s="1820" t="s">
        <v>10292</v>
      </c>
      <c r="F452" s="1817"/>
      <c r="G452" s="1817"/>
      <c r="H452" s="1819"/>
      <c r="I452" s="1819">
        <v>0</v>
      </c>
      <c r="J452" s="1818"/>
      <c r="K452" s="1817" t="s">
        <v>400</v>
      </c>
    </row>
    <row r="453" spans="1:11" x14ac:dyDescent="0.2">
      <c r="A453" s="1809" t="s">
        <v>10291</v>
      </c>
      <c r="B453" s="1808"/>
      <c r="C453" s="1807"/>
      <c r="D453" s="1807"/>
      <c r="E453" s="1806" t="s">
        <v>10290</v>
      </c>
      <c r="F453" s="1803" t="s">
        <v>788</v>
      </c>
      <c r="G453" s="1803">
        <v>46.67</v>
      </c>
      <c r="H453" s="1805">
        <v>0</v>
      </c>
      <c r="I453" s="1805">
        <v>0</v>
      </c>
      <c r="J453" s="1804"/>
      <c r="K453" s="1803" t="s">
        <v>400</v>
      </c>
    </row>
    <row r="454" spans="1:11" x14ac:dyDescent="0.2">
      <c r="A454" s="1816" t="s">
        <v>10289</v>
      </c>
      <c r="B454" s="1815"/>
      <c r="C454" s="1814"/>
      <c r="D454" s="1814"/>
      <c r="E454" s="1813" t="s">
        <v>10288</v>
      </c>
      <c r="F454" s="1810" t="s">
        <v>788</v>
      </c>
      <c r="G454" s="1810">
        <v>31.37</v>
      </c>
      <c r="H454" s="1812">
        <v>0</v>
      </c>
      <c r="I454" s="1812">
        <v>0</v>
      </c>
      <c r="J454" s="1811"/>
      <c r="K454" s="1810" t="s">
        <v>400</v>
      </c>
    </row>
    <row r="455" spans="1:11" x14ac:dyDescent="0.2">
      <c r="A455" s="1832" t="s">
        <v>10287</v>
      </c>
      <c r="B455" s="1831"/>
      <c r="C455" s="1830"/>
      <c r="D455" s="1830"/>
      <c r="E455" s="1830" t="s">
        <v>10286</v>
      </c>
      <c r="F455" s="1827"/>
      <c r="G455" s="1827"/>
      <c r="H455" s="1829"/>
      <c r="I455" s="1829">
        <v>0</v>
      </c>
      <c r="J455" s="1828"/>
      <c r="K455" s="1827" t="s">
        <v>400</v>
      </c>
    </row>
    <row r="456" spans="1:11" x14ac:dyDescent="0.2">
      <c r="A456" s="1826" t="s">
        <v>10285</v>
      </c>
      <c r="B456" s="1825"/>
      <c r="C456" s="1824"/>
      <c r="D456" s="1824"/>
      <c r="E456" s="1824" t="s">
        <v>9706</v>
      </c>
      <c r="F456" s="1821"/>
      <c r="G456" s="1821"/>
      <c r="H456" s="1823"/>
      <c r="I456" s="1823">
        <v>0</v>
      </c>
      <c r="J456" s="1822"/>
      <c r="K456" s="1821" t="s">
        <v>400</v>
      </c>
    </row>
    <row r="457" spans="1:11" x14ac:dyDescent="0.2">
      <c r="A457" s="222" t="s">
        <v>10284</v>
      </c>
      <c r="B457" s="1820"/>
      <c r="C457" s="1820"/>
      <c r="D457" s="1820"/>
      <c r="E457" s="1820" t="s">
        <v>10277</v>
      </c>
      <c r="F457" s="1817"/>
      <c r="G457" s="1817"/>
      <c r="H457" s="1819"/>
      <c r="I457" s="1819">
        <v>0</v>
      </c>
      <c r="J457" s="1818"/>
      <c r="K457" s="1817" t="s">
        <v>400</v>
      </c>
    </row>
    <row r="458" spans="1:11" x14ac:dyDescent="0.2">
      <c r="A458" s="1809" t="s">
        <v>10283</v>
      </c>
      <c r="B458" s="1808"/>
      <c r="C458" s="1807"/>
      <c r="D458" s="1807"/>
      <c r="E458" s="1806" t="s">
        <v>10275</v>
      </c>
      <c r="F458" s="1803" t="s">
        <v>1243</v>
      </c>
      <c r="G458" s="1803">
        <v>28.78</v>
      </c>
      <c r="H458" s="1805">
        <v>0</v>
      </c>
      <c r="I458" s="1805">
        <v>0</v>
      </c>
      <c r="J458" s="1804"/>
      <c r="K458" s="1803" t="s">
        <v>400</v>
      </c>
    </row>
    <row r="459" spans="1:11" x14ac:dyDescent="0.2">
      <c r="A459" s="1826" t="s">
        <v>10282</v>
      </c>
      <c r="B459" s="1825"/>
      <c r="C459" s="1824"/>
      <c r="D459" s="1824"/>
      <c r="E459" s="1824" t="s">
        <v>9832</v>
      </c>
      <c r="F459" s="1821"/>
      <c r="G459" s="1821"/>
      <c r="H459" s="1823"/>
      <c r="I459" s="1823">
        <v>0</v>
      </c>
      <c r="J459" s="1822"/>
      <c r="K459" s="1821" t="s">
        <v>400</v>
      </c>
    </row>
    <row r="460" spans="1:11" x14ac:dyDescent="0.2">
      <c r="A460" s="222" t="s">
        <v>10281</v>
      </c>
      <c r="B460" s="1820"/>
      <c r="C460" s="1820"/>
      <c r="D460" s="1820"/>
      <c r="E460" s="1820" t="s">
        <v>10277</v>
      </c>
      <c r="F460" s="1817"/>
      <c r="G460" s="1817"/>
      <c r="H460" s="1819"/>
      <c r="I460" s="1819">
        <v>0</v>
      </c>
      <c r="J460" s="1818"/>
      <c r="K460" s="1817" t="s">
        <v>400</v>
      </c>
    </row>
    <row r="461" spans="1:11" x14ac:dyDescent="0.2">
      <c r="A461" s="1816" t="s">
        <v>10280</v>
      </c>
      <c r="B461" s="1815"/>
      <c r="C461" s="1814"/>
      <c r="D461" s="1814"/>
      <c r="E461" s="1813" t="s">
        <v>10275</v>
      </c>
      <c r="F461" s="1810" t="s">
        <v>1243</v>
      </c>
      <c r="G461" s="1810">
        <v>4.0599999999999996</v>
      </c>
      <c r="H461" s="1812">
        <v>0</v>
      </c>
      <c r="I461" s="1812">
        <v>0</v>
      </c>
      <c r="J461" s="1811"/>
      <c r="K461" s="1810" t="s">
        <v>400</v>
      </c>
    </row>
    <row r="462" spans="1:11" x14ac:dyDescent="0.2">
      <c r="A462" s="1826" t="s">
        <v>10279</v>
      </c>
      <c r="B462" s="1825"/>
      <c r="C462" s="1824"/>
      <c r="D462" s="1824"/>
      <c r="E462" s="1824" t="s">
        <v>9781</v>
      </c>
      <c r="F462" s="1821"/>
      <c r="G462" s="1821"/>
      <c r="H462" s="1823"/>
      <c r="I462" s="1823">
        <v>0</v>
      </c>
      <c r="J462" s="1822"/>
      <c r="K462" s="1821" t="s">
        <v>400</v>
      </c>
    </row>
    <row r="463" spans="1:11" x14ac:dyDescent="0.2">
      <c r="A463" s="222" t="s">
        <v>10278</v>
      </c>
      <c r="B463" s="1820"/>
      <c r="C463" s="1820"/>
      <c r="D463" s="1820"/>
      <c r="E463" s="1820" t="s">
        <v>10277</v>
      </c>
      <c r="F463" s="1817"/>
      <c r="G463" s="1817"/>
      <c r="H463" s="1819"/>
      <c r="I463" s="1819">
        <v>0</v>
      </c>
      <c r="J463" s="1818"/>
      <c r="K463" s="1817" t="s">
        <v>400</v>
      </c>
    </row>
    <row r="464" spans="1:11" x14ac:dyDescent="0.2">
      <c r="A464" s="1809" t="s">
        <v>10276</v>
      </c>
      <c r="B464" s="1808"/>
      <c r="C464" s="1807"/>
      <c r="D464" s="1807"/>
      <c r="E464" s="1806" t="s">
        <v>10275</v>
      </c>
      <c r="F464" s="1803" t="s">
        <v>1243</v>
      </c>
      <c r="G464" s="1803">
        <v>4</v>
      </c>
      <c r="H464" s="1805">
        <v>0</v>
      </c>
      <c r="I464" s="1805">
        <v>0</v>
      </c>
      <c r="J464" s="1804"/>
      <c r="K464" s="1803" t="s">
        <v>400</v>
      </c>
    </row>
    <row r="465" spans="1:11" x14ac:dyDescent="0.2">
      <c r="A465" s="1832" t="s">
        <v>10274</v>
      </c>
      <c r="B465" s="1831"/>
      <c r="C465" s="1830"/>
      <c r="D465" s="1830"/>
      <c r="E465" s="1830" t="s">
        <v>10273</v>
      </c>
      <c r="F465" s="1827"/>
      <c r="G465" s="1827"/>
      <c r="H465" s="1829"/>
      <c r="I465" s="1829">
        <v>195719.16182283996</v>
      </c>
      <c r="J465" s="1828">
        <v>9.0114985865904062E-3</v>
      </c>
      <c r="K465" s="1827" t="s">
        <v>400</v>
      </c>
    </row>
    <row r="466" spans="1:11" x14ac:dyDescent="0.2">
      <c r="A466" s="1826" t="s">
        <v>10272</v>
      </c>
      <c r="B466" s="1825"/>
      <c r="C466" s="1824"/>
      <c r="D466" s="1824"/>
      <c r="E466" s="1824" t="s">
        <v>9706</v>
      </c>
      <c r="F466" s="1821"/>
      <c r="G466" s="1821"/>
      <c r="H466" s="1823"/>
      <c r="I466" s="1823">
        <v>12390.971103439999</v>
      </c>
      <c r="J466" s="1822">
        <v>5.7051755967668118E-4</v>
      </c>
      <c r="K466" s="1821" t="s">
        <v>400</v>
      </c>
    </row>
    <row r="467" spans="1:11" x14ac:dyDescent="0.2">
      <c r="A467" s="222" t="s">
        <v>10271</v>
      </c>
      <c r="B467" s="1820"/>
      <c r="C467" s="1820"/>
      <c r="D467" s="1820"/>
      <c r="E467" s="1820" t="s">
        <v>10143</v>
      </c>
      <c r="F467" s="1817"/>
      <c r="G467" s="1817"/>
      <c r="H467" s="1819"/>
      <c r="I467" s="1819">
        <v>1033.1049750000002</v>
      </c>
      <c r="J467" s="1818">
        <v>4.756725879727115E-5</v>
      </c>
      <c r="K467" s="1817" t="s">
        <v>400</v>
      </c>
    </row>
    <row r="468" spans="1:11" ht="25.5" x14ac:dyDescent="0.2">
      <c r="A468" s="1816" t="s">
        <v>10270</v>
      </c>
      <c r="B468" s="1815" t="s">
        <v>10160</v>
      </c>
      <c r="C468" s="1814" t="s">
        <v>10159</v>
      </c>
      <c r="D468" s="1814" t="s">
        <v>10172</v>
      </c>
      <c r="E468" s="1813" t="s">
        <v>10171</v>
      </c>
      <c r="F468" s="1810" t="s">
        <v>642</v>
      </c>
      <c r="G468" s="1810">
        <v>183.19</v>
      </c>
      <c r="H468" s="1812">
        <v>1.3365</v>
      </c>
      <c r="I468" s="1812">
        <v>244.83343500000001</v>
      </c>
      <c r="J468" s="1811">
        <v>1.1272867372330543E-5</v>
      </c>
      <c r="K468" s="1810" t="s">
        <v>400</v>
      </c>
    </row>
    <row r="469" spans="1:11" ht="25.5" x14ac:dyDescent="0.2">
      <c r="A469" s="1809" t="s">
        <v>10269</v>
      </c>
      <c r="B469" s="1808" t="s">
        <v>10160</v>
      </c>
      <c r="C469" s="1807" t="s">
        <v>10159</v>
      </c>
      <c r="D469" s="1807" t="s">
        <v>10169</v>
      </c>
      <c r="E469" s="1806" t="s">
        <v>10168</v>
      </c>
      <c r="F469" s="1803" t="s">
        <v>642</v>
      </c>
      <c r="G469" s="1803">
        <v>143.27000000000001</v>
      </c>
      <c r="H469" s="1805">
        <v>5.5019999999999998</v>
      </c>
      <c r="I469" s="1805">
        <v>788.27154000000007</v>
      </c>
      <c r="J469" s="1804">
        <v>3.6294391424940598E-5</v>
      </c>
      <c r="K469" s="1803" t="s">
        <v>400</v>
      </c>
    </row>
    <row r="470" spans="1:11" ht="25.5" x14ac:dyDescent="0.2">
      <c r="A470" s="1816" t="s">
        <v>10268</v>
      </c>
      <c r="B470" s="1815"/>
      <c r="C470" s="1814"/>
      <c r="D470" s="1814"/>
      <c r="E470" s="1813" t="s">
        <v>10251</v>
      </c>
      <c r="F470" s="1810" t="s">
        <v>1243</v>
      </c>
      <c r="G470" s="1810">
        <v>326.45999999999998</v>
      </c>
      <c r="H470" s="1812">
        <v>0</v>
      </c>
      <c r="I470" s="1812">
        <v>0</v>
      </c>
      <c r="J470" s="1811"/>
      <c r="K470" s="1810" t="s">
        <v>400</v>
      </c>
    </row>
    <row r="471" spans="1:11" x14ac:dyDescent="0.2">
      <c r="A471" s="222" t="s">
        <v>10267</v>
      </c>
      <c r="B471" s="1820"/>
      <c r="C471" s="1820"/>
      <c r="D471" s="1820"/>
      <c r="E471" s="1820" t="s">
        <v>10128</v>
      </c>
      <c r="F471" s="1817"/>
      <c r="G471" s="1817"/>
      <c r="H471" s="1819"/>
      <c r="I471" s="1819">
        <v>11357.86612844</v>
      </c>
      <c r="J471" s="1818">
        <v>5.2295030087941014E-4</v>
      </c>
      <c r="K471" s="1817" t="s">
        <v>400</v>
      </c>
    </row>
    <row r="472" spans="1:11" ht="25.5" x14ac:dyDescent="0.2">
      <c r="A472" s="1809" t="s">
        <v>10266</v>
      </c>
      <c r="B472" s="1808" t="s">
        <v>10160</v>
      </c>
      <c r="C472" s="1807" t="s">
        <v>10159</v>
      </c>
      <c r="D472" s="1807" t="s">
        <v>10163</v>
      </c>
      <c r="E472" s="1806" t="s">
        <v>10162</v>
      </c>
      <c r="F472" s="1803" t="s">
        <v>642</v>
      </c>
      <c r="G472" s="1803">
        <v>326.45999999999998</v>
      </c>
      <c r="H472" s="1805">
        <v>17.209589999999999</v>
      </c>
      <c r="I472" s="1805">
        <v>5618.2427513999992</v>
      </c>
      <c r="J472" s="1804">
        <v>2.5868078598860337E-4</v>
      </c>
      <c r="K472" s="1803" t="s">
        <v>400</v>
      </c>
    </row>
    <row r="473" spans="1:11" ht="25.5" x14ac:dyDescent="0.2">
      <c r="A473" s="1816" t="s">
        <v>10265</v>
      </c>
      <c r="B473" s="1815" t="s">
        <v>10160</v>
      </c>
      <c r="C473" s="1814" t="s">
        <v>10159</v>
      </c>
      <c r="D473" s="1814" t="s">
        <v>10158</v>
      </c>
      <c r="E473" s="1813" t="s">
        <v>10157</v>
      </c>
      <c r="F473" s="1810" t="s">
        <v>642</v>
      </c>
      <c r="G473" s="1810">
        <v>326.38</v>
      </c>
      <c r="H473" s="1812">
        <v>17.585708</v>
      </c>
      <c r="I473" s="1812">
        <v>5739.6233770400004</v>
      </c>
      <c r="J473" s="1811">
        <v>2.6426951489080678E-4</v>
      </c>
      <c r="K473" s="1810" t="s">
        <v>400</v>
      </c>
    </row>
    <row r="474" spans="1:11" x14ac:dyDescent="0.2">
      <c r="A474" s="1826" t="s">
        <v>10264</v>
      </c>
      <c r="B474" s="1825"/>
      <c r="C474" s="1824"/>
      <c r="D474" s="1824"/>
      <c r="E474" s="1824" t="s">
        <v>9832</v>
      </c>
      <c r="F474" s="1821"/>
      <c r="G474" s="1821"/>
      <c r="H474" s="1823"/>
      <c r="I474" s="1823">
        <v>90069.647775799996</v>
      </c>
      <c r="J474" s="1822">
        <v>4.1470773534224197E-3</v>
      </c>
      <c r="K474" s="1821" t="s">
        <v>400</v>
      </c>
    </row>
    <row r="475" spans="1:11" x14ac:dyDescent="0.2">
      <c r="A475" s="222" t="s">
        <v>10263</v>
      </c>
      <c r="B475" s="1820"/>
      <c r="C475" s="1820"/>
      <c r="D475" s="1820"/>
      <c r="E475" s="1820" t="s">
        <v>10143</v>
      </c>
      <c r="F475" s="1817"/>
      <c r="G475" s="1817"/>
      <c r="H475" s="1819"/>
      <c r="I475" s="1819">
        <v>6661.8389399999996</v>
      </c>
      <c r="J475" s="1818">
        <v>3.0673109179899015E-4</v>
      </c>
      <c r="K475" s="1817" t="s">
        <v>400</v>
      </c>
    </row>
    <row r="476" spans="1:11" ht="25.5" x14ac:dyDescent="0.2">
      <c r="A476" s="1809" t="s">
        <v>10262</v>
      </c>
      <c r="B476" s="1808" t="s">
        <v>10160</v>
      </c>
      <c r="C476" s="1807" t="s">
        <v>10159</v>
      </c>
      <c r="D476" s="1807" t="s">
        <v>10172</v>
      </c>
      <c r="E476" s="1806" t="s">
        <v>10171</v>
      </c>
      <c r="F476" s="1803" t="s">
        <v>642</v>
      </c>
      <c r="G476" s="1803">
        <v>1566.92</v>
      </c>
      <c r="H476" s="1805">
        <v>1.3365</v>
      </c>
      <c r="I476" s="1805">
        <v>2094.18858</v>
      </c>
      <c r="J476" s="1804">
        <v>9.6422737829860664E-5</v>
      </c>
      <c r="K476" s="1803" t="s">
        <v>400</v>
      </c>
    </row>
    <row r="477" spans="1:11" ht="25.5" x14ac:dyDescent="0.2">
      <c r="A477" s="1816" t="s">
        <v>10261</v>
      </c>
      <c r="B477" s="1815" t="s">
        <v>10160</v>
      </c>
      <c r="C477" s="1814" t="s">
        <v>10159</v>
      </c>
      <c r="D477" s="1814" t="s">
        <v>10169</v>
      </c>
      <c r="E477" s="1813" t="s">
        <v>10168</v>
      </c>
      <c r="F477" s="1810" t="s">
        <v>642</v>
      </c>
      <c r="G477" s="1810">
        <v>830.18</v>
      </c>
      <c r="H477" s="1812">
        <v>5.5019999999999998</v>
      </c>
      <c r="I477" s="1812">
        <v>4567.6503599999996</v>
      </c>
      <c r="J477" s="1811">
        <v>2.1030835396912949E-4</v>
      </c>
      <c r="K477" s="1810" t="s">
        <v>400</v>
      </c>
    </row>
    <row r="478" spans="1:11" ht="25.5" x14ac:dyDescent="0.2">
      <c r="A478" s="1809" t="s">
        <v>10260</v>
      </c>
      <c r="B478" s="1808"/>
      <c r="C478" s="1807"/>
      <c r="D478" s="1807"/>
      <c r="E478" s="1806" t="s">
        <v>10251</v>
      </c>
      <c r="F478" s="1803" t="s">
        <v>1243</v>
      </c>
      <c r="G478" s="1803">
        <v>2397.1</v>
      </c>
      <c r="H478" s="1805">
        <v>0</v>
      </c>
      <c r="I478" s="1805">
        <v>0</v>
      </c>
      <c r="J478" s="1804"/>
      <c r="K478" s="1803" t="s">
        <v>400</v>
      </c>
    </row>
    <row r="479" spans="1:11" x14ac:dyDescent="0.2">
      <c r="A479" s="222" t="s">
        <v>10259</v>
      </c>
      <c r="B479" s="1820"/>
      <c r="C479" s="1820"/>
      <c r="D479" s="1820"/>
      <c r="E479" s="1820" t="s">
        <v>10128</v>
      </c>
      <c r="F479" s="1817"/>
      <c r="G479" s="1817"/>
      <c r="H479" s="1819"/>
      <c r="I479" s="1819">
        <v>83407.808835799995</v>
      </c>
      <c r="J479" s="1818">
        <v>3.8403462616234296E-3</v>
      </c>
      <c r="K479" s="1817" t="s">
        <v>400</v>
      </c>
    </row>
    <row r="480" spans="1:11" ht="25.5" x14ac:dyDescent="0.2">
      <c r="A480" s="1816" t="s">
        <v>10258</v>
      </c>
      <c r="B480" s="1815" t="s">
        <v>10160</v>
      </c>
      <c r="C480" s="1814" t="s">
        <v>10159</v>
      </c>
      <c r="D480" s="1814" t="s">
        <v>10163</v>
      </c>
      <c r="E480" s="1813" t="s">
        <v>10162</v>
      </c>
      <c r="F480" s="1810" t="s">
        <v>642</v>
      </c>
      <c r="G480" s="1810">
        <v>2397.1</v>
      </c>
      <c r="H480" s="1812">
        <v>17.209589999999999</v>
      </c>
      <c r="I480" s="1812">
        <v>41253.108188999999</v>
      </c>
      <c r="J480" s="1811">
        <v>1.8994171172372761E-3</v>
      </c>
      <c r="K480" s="1810" t="s">
        <v>400</v>
      </c>
    </row>
    <row r="481" spans="1:11" ht="25.5" x14ac:dyDescent="0.2">
      <c r="A481" s="1809" t="s">
        <v>10257</v>
      </c>
      <c r="B481" s="1808" t="s">
        <v>10160</v>
      </c>
      <c r="C481" s="1807" t="s">
        <v>10159</v>
      </c>
      <c r="D481" s="1807" t="s">
        <v>10158</v>
      </c>
      <c r="E481" s="1806" t="s">
        <v>10157</v>
      </c>
      <c r="F481" s="1803" t="s">
        <v>642</v>
      </c>
      <c r="G481" s="1803">
        <v>2397.1</v>
      </c>
      <c r="H481" s="1805">
        <v>17.585708</v>
      </c>
      <c r="I481" s="1805">
        <v>42154.700646799996</v>
      </c>
      <c r="J481" s="1804">
        <v>1.9409291443861535E-3</v>
      </c>
      <c r="K481" s="1803" t="s">
        <v>400</v>
      </c>
    </row>
    <row r="482" spans="1:11" x14ac:dyDescent="0.2">
      <c r="A482" s="1826" t="s">
        <v>10256</v>
      </c>
      <c r="B482" s="1825"/>
      <c r="C482" s="1824"/>
      <c r="D482" s="1824"/>
      <c r="E482" s="1824" t="s">
        <v>9781</v>
      </c>
      <c r="F482" s="1821"/>
      <c r="G482" s="1821"/>
      <c r="H482" s="1823"/>
      <c r="I482" s="1823">
        <v>93258.542943599983</v>
      </c>
      <c r="J482" s="1822">
        <v>4.293903673491307E-3</v>
      </c>
      <c r="K482" s="1821" t="s">
        <v>400</v>
      </c>
    </row>
    <row r="483" spans="1:11" x14ac:dyDescent="0.2">
      <c r="A483" s="222" t="s">
        <v>10255</v>
      </c>
      <c r="B483" s="1820"/>
      <c r="C483" s="1820"/>
      <c r="D483" s="1820"/>
      <c r="E483" s="1820" t="s">
        <v>10143</v>
      </c>
      <c r="F483" s="1817"/>
      <c r="G483" s="1817"/>
      <c r="H483" s="1819"/>
      <c r="I483" s="1819">
        <v>7202.8119299999998</v>
      </c>
      <c r="J483" s="1818">
        <v>3.3163911454630446E-4</v>
      </c>
      <c r="K483" s="1817" t="s">
        <v>400</v>
      </c>
    </row>
    <row r="484" spans="1:11" ht="25.5" x14ac:dyDescent="0.2">
      <c r="A484" s="1816" t="s">
        <v>10254</v>
      </c>
      <c r="B484" s="1815" t="s">
        <v>10160</v>
      </c>
      <c r="C484" s="1814" t="s">
        <v>10159</v>
      </c>
      <c r="D484" s="1814" t="s">
        <v>10172</v>
      </c>
      <c r="E484" s="1813" t="s">
        <v>10171</v>
      </c>
      <c r="F484" s="1810" t="s">
        <v>642</v>
      </c>
      <c r="G484" s="1810">
        <v>1537.58</v>
      </c>
      <c r="H484" s="1812">
        <v>1.3365</v>
      </c>
      <c r="I484" s="1812">
        <v>2054.9756699999998</v>
      </c>
      <c r="J484" s="1811">
        <v>9.4617257570544217E-5</v>
      </c>
      <c r="K484" s="1810" t="s">
        <v>400</v>
      </c>
    </row>
    <row r="485" spans="1:11" ht="25.5" x14ac:dyDescent="0.2">
      <c r="A485" s="1809" t="s">
        <v>10253</v>
      </c>
      <c r="B485" s="1808" t="s">
        <v>10160</v>
      </c>
      <c r="C485" s="1807" t="s">
        <v>10159</v>
      </c>
      <c r="D485" s="1807" t="s">
        <v>10169</v>
      </c>
      <c r="E485" s="1806" t="s">
        <v>10168</v>
      </c>
      <c r="F485" s="1803" t="s">
        <v>642</v>
      </c>
      <c r="G485" s="1803">
        <v>935.63</v>
      </c>
      <c r="H485" s="1805">
        <v>5.5019999999999998</v>
      </c>
      <c r="I485" s="1805">
        <v>5147.83626</v>
      </c>
      <c r="J485" s="1804">
        <v>2.3702185697576023E-4</v>
      </c>
      <c r="K485" s="1803" t="s">
        <v>400</v>
      </c>
    </row>
    <row r="486" spans="1:11" ht="25.5" x14ac:dyDescent="0.2">
      <c r="A486" s="1816" t="s">
        <v>10252</v>
      </c>
      <c r="B486" s="1815"/>
      <c r="C486" s="1814"/>
      <c r="D486" s="1814"/>
      <c r="E486" s="1813" t="s">
        <v>10251</v>
      </c>
      <c r="F486" s="1810" t="s">
        <v>1243</v>
      </c>
      <c r="G486" s="1810">
        <v>2473.1999999999998</v>
      </c>
      <c r="H486" s="1812">
        <v>0</v>
      </c>
      <c r="I486" s="1812">
        <v>0</v>
      </c>
      <c r="J486" s="1811"/>
      <c r="K486" s="1810" t="s">
        <v>400</v>
      </c>
    </row>
    <row r="487" spans="1:11" x14ac:dyDescent="0.2">
      <c r="A487" s="222" t="s">
        <v>10250</v>
      </c>
      <c r="B487" s="1820"/>
      <c r="C487" s="1820"/>
      <c r="D487" s="1820"/>
      <c r="E487" s="1820" t="s">
        <v>10128</v>
      </c>
      <c r="F487" s="1817"/>
      <c r="G487" s="1817"/>
      <c r="H487" s="1819"/>
      <c r="I487" s="1819">
        <v>86055.731013599987</v>
      </c>
      <c r="J487" s="1818">
        <v>3.9622645589450023E-3</v>
      </c>
      <c r="K487" s="1817" t="s">
        <v>400</v>
      </c>
    </row>
    <row r="488" spans="1:11" ht="25.5" x14ac:dyDescent="0.2">
      <c r="A488" s="1809" t="s">
        <v>10249</v>
      </c>
      <c r="B488" s="1808" t="s">
        <v>10160</v>
      </c>
      <c r="C488" s="1807" t="s">
        <v>10159</v>
      </c>
      <c r="D488" s="1807" t="s">
        <v>10163</v>
      </c>
      <c r="E488" s="1806" t="s">
        <v>10162</v>
      </c>
      <c r="F488" s="1803" t="s">
        <v>642</v>
      </c>
      <c r="G488" s="1803">
        <v>2473.1999999999998</v>
      </c>
      <c r="H488" s="1805">
        <v>17.209589999999999</v>
      </c>
      <c r="I488" s="1805">
        <v>42562.75798799999</v>
      </c>
      <c r="J488" s="1804">
        <v>1.9597173310880772E-3</v>
      </c>
      <c r="K488" s="1803" t="s">
        <v>400</v>
      </c>
    </row>
    <row r="489" spans="1:11" ht="25.5" x14ac:dyDescent="0.2">
      <c r="A489" s="1816" t="s">
        <v>10248</v>
      </c>
      <c r="B489" s="1815" t="s">
        <v>10160</v>
      </c>
      <c r="C489" s="1814" t="s">
        <v>10159</v>
      </c>
      <c r="D489" s="1814" t="s">
        <v>10158</v>
      </c>
      <c r="E489" s="1813" t="s">
        <v>10157</v>
      </c>
      <c r="F489" s="1810" t="s">
        <v>642</v>
      </c>
      <c r="G489" s="1810">
        <v>2473.1999999999998</v>
      </c>
      <c r="H489" s="1812">
        <v>17.585708</v>
      </c>
      <c r="I489" s="1812">
        <v>43492.973025599997</v>
      </c>
      <c r="J489" s="1811">
        <v>2.0025472278569251E-3</v>
      </c>
      <c r="K489" s="1810" t="s">
        <v>400</v>
      </c>
    </row>
    <row r="490" spans="1:11" x14ac:dyDescent="0.2">
      <c r="A490" s="1832" t="s">
        <v>10247</v>
      </c>
      <c r="B490" s="1831"/>
      <c r="C490" s="1830"/>
      <c r="D490" s="1830"/>
      <c r="E490" s="1830" t="s">
        <v>10246</v>
      </c>
      <c r="F490" s="1827"/>
      <c r="G490" s="1827"/>
      <c r="H490" s="1829"/>
      <c r="I490" s="1829">
        <v>203296.41392426001</v>
      </c>
      <c r="J490" s="1828">
        <v>9.360378052281116E-3</v>
      </c>
      <c r="K490" s="1827" t="s">
        <v>400</v>
      </c>
    </row>
    <row r="491" spans="1:11" x14ac:dyDescent="0.2">
      <c r="A491" s="1826" t="s">
        <v>10245</v>
      </c>
      <c r="B491" s="1825"/>
      <c r="C491" s="1824"/>
      <c r="D491" s="1824"/>
      <c r="E491" s="1824" t="s">
        <v>9706</v>
      </c>
      <c r="F491" s="1821"/>
      <c r="G491" s="1821"/>
      <c r="H491" s="1823"/>
      <c r="I491" s="1823">
        <v>11384.83789776</v>
      </c>
      <c r="J491" s="1822">
        <v>5.2419216222216933E-4</v>
      </c>
      <c r="K491" s="1821" t="s">
        <v>400</v>
      </c>
    </row>
    <row r="492" spans="1:11" x14ac:dyDescent="0.2">
      <c r="A492" s="222" t="s">
        <v>10244</v>
      </c>
      <c r="B492" s="1820"/>
      <c r="C492" s="1820"/>
      <c r="D492" s="1820"/>
      <c r="E492" s="1820" t="s">
        <v>10143</v>
      </c>
      <c r="F492" s="1817"/>
      <c r="G492" s="1817"/>
      <c r="H492" s="1819"/>
      <c r="I492" s="1819">
        <v>1051.982205</v>
      </c>
      <c r="J492" s="1818">
        <v>4.8436423215713331E-5</v>
      </c>
      <c r="K492" s="1817" t="s">
        <v>400</v>
      </c>
    </row>
    <row r="493" spans="1:11" ht="25.5" x14ac:dyDescent="0.2">
      <c r="A493" s="1809" t="s">
        <v>10243</v>
      </c>
      <c r="B493" s="1808" t="s">
        <v>10160</v>
      </c>
      <c r="C493" s="1807" t="s">
        <v>10159</v>
      </c>
      <c r="D493" s="1807" t="s">
        <v>10172</v>
      </c>
      <c r="E493" s="1806" t="s">
        <v>10171</v>
      </c>
      <c r="F493" s="1803" t="s">
        <v>642</v>
      </c>
      <c r="G493" s="1803">
        <v>169.65</v>
      </c>
      <c r="H493" s="1805">
        <v>1.3365</v>
      </c>
      <c r="I493" s="1805">
        <v>226.73722500000002</v>
      </c>
      <c r="J493" s="1804">
        <v>1.0439663462611916E-5</v>
      </c>
      <c r="K493" s="1803" t="s">
        <v>400</v>
      </c>
    </row>
    <row r="494" spans="1:11" ht="25.5" x14ac:dyDescent="0.2">
      <c r="A494" s="1816" t="s">
        <v>10242</v>
      </c>
      <c r="B494" s="1815" t="s">
        <v>10160</v>
      </c>
      <c r="C494" s="1814" t="s">
        <v>10159</v>
      </c>
      <c r="D494" s="1814" t="s">
        <v>10169</v>
      </c>
      <c r="E494" s="1813" t="s">
        <v>10168</v>
      </c>
      <c r="F494" s="1810" t="s">
        <v>642</v>
      </c>
      <c r="G494" s="1810">
        <v>149.99</v>
      </c>
      <c r="H494" s="1812">
        <v>5.5019999999999998</v>
      </c>
      <c r="I494" s="1812">
        <v>825.24498000000006</v>
      </c>
      <c r="J494" s="1811">
        <v>3.7996759753101421E-5</v>
      </c>
      <c r="K494" s="1810" t="s">
        <v>400</v>
      </c>
    </row>
    <row r="495" spans="1:11" ht="25.5" x14ac:dyDescent="0.2">
      <c r="A495" s="1809" t="s">
        <v>10241</v>
      </c>
      <c r="B495" s="1808"/>
      <c r="C495" s="1807"/>
      <c r="D495" s="1807"/>
      <c r="E495" s="1806" t="s">
        <v>10224</v>
      </c>
      <c r="F495" s="1803" t="s">
        <v>1243</v>
      </c>
      <c r="G495" s="1803">
        <v>319.64</v>
      </c>
      <c r="H495" s="1805">
        <v>0</v>
      </c>
      <c r="I495" s="1805">
        <v>0</v>
      </c>
      <c r="J495" s="1804"/>
      <c r="K495" s="1803" t="s">
        <v>400</v>
      </c>
    </row>
    <row r="496" spans="1:11" x14ac:dyDescent="0.2">
      <c r="A496" s="222" t="s">
        <v>10240</v>
      </c>
      <c r="B496" s="1820"/>
      <c r="C496" s="1820"/>
      <c r="D496" s="1820"/>
      <c r="E496" s="1820" t="s">
        <v>10128</v>
      </c>
      <c r="F496" s="1817"/>
      <c r="G496" s="1817"/>
      <c r="H496" s="1819"/>
      <c r="I496" s="1819">
        <v>10332.85569276</v>
      </c>
      <c r="J496" s="1818">
        <v>4.7575573900645603E-4</v>
      </c>
      <c r="K496" s="1817" t="s">
        <v>400</v>
      </c>
    </row>
    <row r="497" spans="1:11" ht="25.5" x14ac:dyDescent="0.2">
      <c r="A497" s="1816" t="s">
        <v>10239</v>
      </c>
      <c r="B497" s="1815" t="s">
        <v>10160</v>
      </c>
      <c r="C497" s="1814" t="s">
        <v>10159</v>
      </c>
      <c r="D497" s="1814" t="s">
        <v>10163</v>
      </c>
      <c r="E497" s="1813" t="s">
        <v>10162</v>
      </c>
      <c r="F497" s="1810" t="s">
        <v>642</v>
      </c>
      <c r="G497" s="1810">
        <v>312.74</v>
      </c>
      <c r="H497" s="1812">
        <v>17.209589999999999</v>
      </c>
      <c r="I497" s="1812">
        <v>5382.1271766</v>
      </c>
      <c r="J497" s="1811">
        <v>2.4780931510774929E-4</v>
      </c>
      <c r="K497" s="1810" t="s">
        <v>400</v>
      </c>
    </row>
    <row r="498" spans="1:11" ht="25.5" x14ac:dyDescent="0.2">
      <c r="A498" s="1809" t="s">
        <v>10238</v>
      </c>
      <c r="B498" s="1808" t="s">
        <v>10160</v>
      </c>
      <c r="C498" s="1807" t="s">
        <v>10159</v>
      </c>
      <c r="D498" s="1807" t="s">
        <v>10158</v>
      </c>
      <c r="E498" s="1806" t="s">
        <v>10157</v>
      </c>
      <c r="F498" s="1803" t="s">
        <v>642</v>
      </c>
      <c r="G498" s="1803">
        <v>281.52</v>
      </c>
      <c r="H498" s="1805">
        <v>17.585708</v>
      </c>
      <c r="I498" s="1805">
        <v>4950.7285161599993</v>
      </c>
      <c r="J498" s="1804">
        <v>2.2794642389870672E-4</v>
      </c>
      <c r="K498" s="1803" t="s">
        <v>400</v>
      </c>
    </row>
    <row r="499" spans="1:11" x14ac:dyDescent="0.2">
      <c r="A499" s="1826" t="s">
        <v>10237</v>
      </c>
      <c r="B499" s="1825"/>
      <c r="C499" s="1824"/>
      <c r="D499" s="1824"/>
      <c r="E499" s="1824" t="s">
        <v>9832</v>
      </c>
      <c r="F499" s="1821"/>
      <c r="G499" s="1821"/>
      <c r="H499" s="1823"/>
      <c r="I499" s="1823">
        <v>101002.65278675999</v>
      </c>
      <c r="J499" s="1822">
        <v>4.6504657712240051E-3</v>
      </c>
      <c r="K499" s="1821" t="s">
        <v>400</v>
      </c>
    </row>
    <row r="500" spans="1:11" x14ac:dyDescent="0.2">
      <c r="A500" s="222" t="s">
        <v>10236</v>
      </c>
      <c r="B500" s="1820"/>
      <c r="C500" s="1820"/>
      <c r="D500" s="1820"/>
      <c r="E500" s="1820" t="s">
        <v>10143</v>
      </c>
      <c r="F500" s="1817"/>
      <c r="G500" s="1817"/>
      <c r="H500" s="1819"/>
      <c r="I500" s="1819">
        <v>7416.5233800000005</v>
      </c>
      <c r="J500" s="1818">
        <v>3.4147903216947737E-4</v>
      </c>
      <c r="K500" s="1817" t="s">
        <v>400</v>
      </c>
    </row>
    <row r="501" spans="1:11" ht="25.5" x14ac:dyDescent="0.2">
      <c r="A501" s="1816" t="s">
        <v>10235</v>
      </c>
      <c r="B501" s="1815" t="s">
        <v>10160</v>
      </c>
      <c r="C501" s="1814" t="s">
        <v>10159</v>
      </c>
      <c r="D501" s="1814" t="s">
        <v>10172</v>
      </c>
      <c r="E501" s="1813" t="s">
        <v>10171</v>
      </c>
      <c r="F501" s="1810" t="s">
        <v>642</v>
      </c>
      <c r="G501" s="1810">
        <v>1772.12</v>
      </c>
      <c r="H501" s="1812">
        <v>1.3365</v>
      </c>
      <c r="I501" s="1812">
        <v>2368.4383800000001</v>
      </c>
      <c r="J501" s="1811">
        <v>1.0905002307906765E-4</v>
      </c>
      <c r="K501" s="1810" t="s">
        <v>400</v>
      </c>
    </row>
    <row r="502" spans="1:11" ht="25.5" x14ac:dyDescent="0.2">
      <c r="A502" s="1809" t="s">
        <v>10234</v>
      </c>
      <c r="B502" s="1808" t="s">
        <v>10160</v>
      </c>
      <c r="C502" s="1807" t="s">
        <v>10159</v>
      </c>
      <c r="D502" s="1807" t="s">
        <v>10169</v>
      </c>
      <c r="E502" s="1806" t="s">
        <v>10168</v>
      </c>
      <c r="F502" s="1803" t="s">
        <v>642</v>
      </c>
      <c r="G502" s="1803">
        <v>917.5</v>
      </c>
      <c r="H502" s="1805">
        <v>5.5019999999999998</v>
      </c>
      <c r="I502" s="1805">
        <v>5048.085</v>
      </c>
      <c r="J502" s="1804">
        <v>2.3242900909040969E-4</v>
      </c>
      <c r="K502" s="1803" t="s">
        <v>400</v>
      </c>
    </row>
    <row r="503" spans="1:11" ht="25.5" x14ac:dyDescent="0.2">
      <c r="A503" s="1816" t="s">
        <v>10233</v>
      </c>
      <c r="B503" s="1815"/>
      <c r="C503" s="1814"/>
      <c r="D503" s="1814"/>
      <c r="E503" s="1813" t="s">
        <v>10224</v>
      </c>
      <c r="F503" s="1810" t="s">
        <v>1243</v>
      </c>
      <c r="G503" s="1810">
        <v>2689.62</v>
      </c>
      <c r="H503" s="1812">
        <v>0</v>
      </c>
      <c r="I503" s="1812">
        <v>0</v>
      </c>
      <c r="J503" s="1811"/>
      <c r="K503" s="1810" t="s">
        <v>400</v>
      </c>
    </row>
    <row r="504" spans="1:11" x14ac:dyDescent="0.2">
      <c r="A504" s="222" t="s">
        <v>10232</v>
      </c>
      <c r="B504" s="1820"/>
      <c r="C504" s="1820"/>
      <c r="D504" s="1820"/>
      <c r="E504" s="1820" t="s">
        <v>10128</v>
      </c>
      <c r="F504" s="1817"/>
      <c r="G504" s="1817"/>
      <c r="H504" s="1819"/>
      <c r="I504" s="1819">
        <v>93586.129406759996</v>
      </c>
      <c r="J504" s="1818">
        <v>4.3089867390545275E-3</v>
      </c>
      <c r="K504" s="1817" t="s">
        <v>400</v>
      </c>
    </row>
    <row r="505" spans="1:11" ht="25.5" x14ac:dyDescent="0.2">
      <c r="A505" s="1809" t="s">
        <v>10231</v>
      </c>
      <c r="B505" s="1808" t="s">
        <v>10160</v>
      </c>
      <c r="C505" s="1807" t="s">
        <v>10159</v>
      </c>
      <c r="D505" s="1807" t="s">
        <v>10163</v>
      </c>
      <c r="E505" s="1806" t="s">
        <v>10162</v>
      </c>
      <c r="F505" s="1803" t="s">
        <v>642</v>
      </c>
      <c r="G505" s="1803">
        <v>2689.62</v>
      </c>
      <c r="H505" s="1805">
        <v>17.209589999999999</v>
      </c>
      <c r="I505" s="1805">
        <v>46287.257455799998</v>
      </c>
      <c r="J505" s="1804">
        <v>2.1312044832771776E-3</v>
      </c>
      <c r="K505" s="1803" t="s">
        <v>400</v>
      </c>
    </row>
    <row r="506" spans="1:11" ht="25.5" x14ac:dyDescent="0.2">
      <c r="A506" s="1816" t="s">
        <v>10230</v>
      </c>
      <c r="B506" s="1815" t="s">
        <v>10160</v>
      </c>
      <c r="C506" s="1814" t="s">
        <v>10159</v>
      </c>
      <c r="D506" s="1814" t="s">
        <v>10158</v>
      </c>
      <c r="E506" s="1813" t="s">
        <v>10157</v>
      </c>
      <c r="F506" s="1810" t="s">
        <v>642</v>
      </c>
      <c r="G506" s="1810">
        <v>2689.62</v>
      </c>
      <c r="H506" s="1812">
        <v>17.585708</v>
      </c>
      <c r="I506" s="1812">
        <v>47298.871950959998</v>
      </c>
      <c r="J506" s="1811">
        <v>2.1777822557773503E-3</v>
      </c>
      <c r="K506" s="1810" t="s">
        <v>400</v>
      </c>
    </row>
    <row r="507" spans="1:11" x14ac:dyDescent="0.2">
      <c r="A507" s="1826" t="s">
        <v>10229</v>
      </c>
      <c r="B507" s="1825"/>
      <c r="C507" s="1824"/>
      <c r="D507" s="1824"/>
      <c r="E507" s="1824" t="s">
        <v>9781</v>
      </c>
      <c r="F507" s="1821"/>
      <c r="G507" s="1821"/>
      <c r="H507" s="1823"/>
      <c r="I507" s="1823">
        <v>90908.923239740005</v>
      </c>
      <c r="J507" s="1822">
        <v>4.1857201188349414E-3</v>
      </c>
      <c r="K507" s="1821" t="s">
        <v>400</v>
      </c>
    </row>
    <row r="508" spans="1:11" x14ac:dyDescent="0.2">
      <c r="A508" s="222" t="s">
        <v>10228</v>
      </c>
      <c r="B508" s="1820"/>
      <c r="C508" s="1820"/>
      <c r="D508" s="1820"/>
      <c r="E508" s="1820" t="s">
        <v>10143</v>
      </c>
      <c r="F508" s="1817"/>
      <c r="G508" s="1817"/>
      <c r="H508" s="1819"/>
      <c r="I508" s="1819">
        <v>8022.0000150000005</v>
      </c>
      <c r="J508" s="1818">
        <v>3.6935699664520342E-4</v>
      </c>
      <c r="K508" s="1817" t="s">
        <v>400</v>
      </c>
    </row>
    <row r="509" spans="1:11" ht="25.5" x14ac:dyDescent="0.2">
      <c r="A509" s="1809" t="s">
        <v>10227</v>
      </c>
      <c r="B509" s="1808" t="s">
        <v>10160</v>
      </c>
      <c r="C509" s="1807" t="s">
        <v>10159</v>
      </c>
      <c r="D509" s="1807" t="s">
        <v>10172</v>
      </c>
      <c r="E509" s="1806" t="s">
        <v>10171</v>
      </c>
      <c r="F509" s="1803" t="s">
        <v>642</v>
      </c>
      <c r="G509" s="1803">
        <v>1220.6300000000001</v>
      </c>
      <c r="H509" s="1805">
        <v>1.3365</v>
      </c>
      <c r="I509" s="1805">
        <v>1631.3719950000002</v>
      </c>
      <c r="J509" s="1804">
        <v>7.511327092465654E-5</v>
      </c>
      <c r="K509" s="1803" t="s">
        <v>400</v>
      </c>
    </row>
    <row r="510" spans="1:11" ht="25.5" x14ac:dyDescent="0.2">
      <c r="A510" s="1816" t="s">
        <v>10226</v>
      </c>
      <c r="B510" s="1815" t="s">
        <v>10160</v>
      </c>
      <c r="C510" s="1814" t="s">
        <v>10159</v>
      </c>
      <c r="D510" s="1814" t="s">
        <v>10169</v>
      </c>
      <c r="E510" s="1813" t="s">
        <v>10168</v>
      </c>
      <c r="F510" s="1810" t="s">
        <v>642</v>
      </c>
      <c r="G510" s="1810">
        <v>1161.51</v>
      </c>
      <c r="H510" s="1812">
        <v>5.5019999999999998</v>
      </c>
      <c r="I510" s="1812">
        <v>6390.6280200000001</v>
      </c>
      <c r="J510" s="1811">
        <v>2.9424372572054688E-4</v>
      </c>
      <c r="K510" s="1810" t="s">
        <v>400</v>
      </c>
    </row>
    <row r="511" spans="1:11" ht="25.5" x14ac:dyDescent="0.2">
      <c r="A511" s="1809" t="s">
        <v>10225</v>
      </c>
      <c r="B511" s="1808"/>
      <c r="C511" s="1807"/>
      <c r="D511" s="1807"/>
      <c r="E511" s="1806" t="s">
        <v>10224</v>
      </c>
      <c r="F511" s="1803" t="s">
        <v>1243</v>
      </c>
      <c r="G511" s="1803">
        <v>2382.13</v>
      </c>
      <c r="H511" s="1805">
        <v>0</v>
      </c>
      <c r="I511" s="1805">
        <v>0</v>
      </c>
      <c r="J511" s="1804"/>
      <c r="K511" s="1803" t="s">
        <v>400</v>
      </c>
    </row>
    <row r="512" spans="1:11" x14ac:dyDescent="0.2">
      <c r="A512" s="222" t="s">
        <v>10223</v>
      </c>
      <c r="B512" s="1820"/>
      <c r="C512" s="1820"/>
      <c r="D512" s="1820"/>
      <c r="E512" s="1820" t="s">
        <v>10128</v>
      </c>
      <c r="F512" s="1817"/>
      <c r="G512" s="1817"/>
      <c r="H512" s="1819"/>
      <c r="I512" s="1819">
        <v>82886.923224740007</v>
      </c>
      <c r="J512" s="1818">
        <v>3.8163631221897381E-3</v>
      </c>
      <c r="K512" s="1817" t="s">
        <v>400</v>
      </c>
    </row>
    <row r="513" spans="1:11" ht="25.5" x14ac:dyDescent="0.2">
      <c r="A513" s="1816" t="s">
        <v>10222</v>
      </c>
      <c r="B513" s="1815" t="s">
        <v>10160</v>
      </c>
      <c r="C513" s="1814" t="s">
        <v>10159</v>
      </c>
      <c r="D513" s="1814" t="s">
        <v>10163</v>
      </c>
      <c r="E513" s="1813" t="s">
        <v>10162</v>
      </c>
      <c r="F513" s="1810" t="s">
        <v>642</v>
      </c>
      <c r="G513" s="1810">
        <v>2382.13</v>
      </c>
      <c r="H513" s="1812">
        <v>17.209589999999999</v>
      </c>
      <c r="I513" s="1812">
        <v>40995.480626700002</v>
      </c>
      <c r="J513" s="1811">
        <v>1.8875551697820003E-3</v>
      </c>
      <c r="K513" s="1810" t="s">
        <v>400</v>
      </c>
    </row>
    <row r="514" spans="1:11" ht="25.5" x14ac:dyDescent="0.2">
      <c r="A514" s="1809" t="s">
        <v>10221</v>
      </c>
      <c r="B514" s="1808" t="s">
        <v>10160</v>
      </c>
      <c r="C514" s="1807" t="s">
        <v>10159</v>
      </c>
      <c r="D514" s="1807" t="s">
        <v>10158</v>
      </c>
      <c r="E514" s="1806" t="s">
        <v>10157</v>
      </c>
      <c r="F514" s="1803" t="s">
        <v>642</v>
      </c>
      <c r="G514" s="1803">
        <v>2382.13</v>
      </c>
      <c r="H514" s="1805">
        <v>17.585708</v>
      </c>
      <c r="I514" s="1805">
        <v>41891.442598040005</v>
      </c>
      <c r="J514" s="1804">
        <v>1.928807952407738E-3</v>
      </c>
      <c r="K514" s="1803" t="s">
        <v>400</v>
      </c>
    </row>
    <row r="515" spans="1:11" x14ac:dyDescent="0.2">
      <c r="A515" s="1832" t="s">
        <v>10220</v>
      </c>
      <c r="B515" s="1831"/>
      <c r="C515" s="1830"/>
      <c r="D515" s="1830"/>
      <c r="E515" s="1830" t="s">
        <v>10219</v>
      </c>
      <c r="F515" s="1827"/>
      <c r="G515" s="1827"/>
      <c r="H515" s="1829"/>
      <c r="I515" s="1829">
        <v>143301.12676201999</v>
      </c>
      <c r="J515" s="1828">
        <v>6.5980146718677473E-3</v>
      </c>
      <c r="K515" s="1827" t="s">
        <v>400</v>
      </c>
    </row>
    <row r="516" spans="1:11" x14ac:dyDescent="0.2">
      <c r="A516" s="1826" t="s">
        <v>10218</v>
      </c>
      <c r="B516" s="1825"/>
      <c r="C516" s="1824"/>
      <c r="D516" s="1824"/>
      <c r="E516" s="1824" t="s">
        <v>9706</v>
      </c>
      <c r="F516" s="1821"/>
      <c r="G516" s="1821"/>
      <c r="H516" s="1823"/>
      <c r="I516" s="1823">
        <v>9612.1466526000004</v>
      </c>
      <c r="J516" s="1822">
        <v>4.4257212818237342E-4</v>
      </c>
      <c r="K516" s="1821" t="s">
        <v>400</v>
      </c>
    </row>
    <row r="517" spans="1:11" x14ac:dyDescent="0.2">
      <c r="A517" s="222" t="s">
        <v>10217</v>
      </c>
      <c r="B517" s="1820"/>
      <c r="C517" s="1820"/>
      <c r="D517" s="1820"/>
      <c r="E517" s="1820" t="s">
        <v>10143</v>
      </c>
      <c r="F517" s="1817"/>
      <c r="G517" s="1817"/>
      <c r="H517" s="1819"/>
      <c r="I517" s="1819">
        <v>958.55603999999994</v>
      </c>
      <c r="J517" s="1818">
        <v>4.4134801718835377E-5</v>
      </c>
      <c r="K517" s="1817" t="s">
        <v>400</v>
      </c>
    </row>
    <row r="518" spans="1:11" ht="25.5" x14ac:dyDescent="0.2">
      <c r="A518" s="1816" t="s">
        <v>10216</v>
      </c>
      <c r="B518" s="1815" t="s">
        <v>10160</v>
      </c>
      <c r="C518" s="1814" t="s">
        <v>10159</v>
      </c>
      <c r="D518" s="1814" t="s">
        <v>10172</v>
      </c>
      <c r="E518" s="1813" t="s">
        <v>10171</v>
      </c>
      <c r="F518" s="1810" t="s">
        <v>642</v>
      </c>
      <c r="G518" s="1810">
        <v>180.64</v>
      </c>
      <c r="H518" s="1812">
        <v>1.3365</v>
      </c>
      <c r="I518" s="1812">
        <v>241.42535999999998</v>
      </c>
      <c r="J518" s="1811">
        <v>1.1115949353882795E-5</v>
      </c>
      <c r="K518" s="1810" t="s">
        <v>400</v>
      </c>
    </row>
    <row r="519" spans="1:11" ht="25.5" x14ac:dyDescent="0.2">
      <c r="A519" s="1809" t="s">
        <v>10215</v>
      </c>
      <c r="B519" s="1808" t="s">
        <v>10160</v>
      </c>
      <c r="C519" s="1807" t="s">
        <v>10159</v>
      </c>
      <c r="D519" s="1807" t="s">
        <v>10169</v>
      </c>
      <c r="E519" s="1806" t="s">
        <v>10168</v>
      </c>
      <c r="F519" s="1803" t="s">
        <v>642</v>
      </c>
      <c r="G519" s="1803">
        <v>130.34</v>
      </c>
      <c r="H519" s="1805">
        <v>5.5019999999999998</v>
      </c>
      <c r="I519" s="1805">
        <v>717.13067999999998</v>
      </c>
      <c r="J519" s="1804">
        <v>3.3018852364952587E-5</v>
      </c>
      <c r="K519" s="1803" t="s">
        <v>400</v>
      </c>
    </row>
    <row r="520" spans="1:11" x14ac:dyDescent="0.2">
      <c r="A520" s="1816" t="s">
        <v>10214</v>
      </c>
      <c r="B520" s="1815"/>
      <c r="C520" s="1814"/>
      <c r="D520" s="1814"/>
      <c r="E520" s="1813" t="s">
        <v>10197</v>
      </c>
      <c r="F520" s="1810" t="s">
        <v>1243</v>
      </c>
      <c r="G520" s="1810">
        <v>310.98</v>
      </c>
      <c r="H520" s="1812">
        <v>0</v>
      </c>
      <c r="I520" s="1812">
        <v>0</v>
      </c>
      <c r="J520" s="1811"/>
      <c r="K520" s="1810" t="s">
        <v>400</v>
      </c>
    </row>
    <row r="521" spans="1:11" x14ac:dyDescent="0.2">
      <c r="A521" s="222" t="s">
        <v>10213</v>
      </c>
      <c r="B521" s="1820"/>
      <c r="C521" s="1820"/>
      <c r="D521" s="1820"/>
      <c r="E521" s="1820" t="s">
        <v>10128</v>
      </c>
      <c r="F521" s="1817"/>
      <c r="G521" s="1817"/>
      <c r="H521" s="1819"/>
      <c r="I521" s="1819">
        <v>8653.5906126000009</v>
      </c>
      <c r="J521" s="1818">
        <v>3.9843732646353808E-4</v>
      </c>
      <c r="K521" s="1817" t="s">
        <v>400</v>
      </c>
    </row>
    <row r="522" spans="1:11" ht="25.5" x14ac:dyDescent="0.2">
      <c r="A522" s="1809" t="s">
        <v>10212</v>
      </c>
      <c r="B522" s="1808" t="s">
        <v>10160</v>
      </c>
      <c r="C522" s="1807" t="s">
        <v>10159</v>
      </c>
      <c r="D522" s="1807" t="s">
        <v>10163</v>
      </c>
      <c r="E522" s="1806" t="s">
        <v>10162</v>
      </c>
      <c r="F522" s="1803" t="s">
        <v>642</v>
      </c>
      <c r="G522" s="1803">
        <v>248.7</v>
      </c>
      <c r="H522" s="1805">
        <v>17.209589999999999</v>
      </c>
      <c r="I522" s="1805">
        <v>4280.0250329999999</v>
      </c>
      <c r="J522" s="1804">
        <v>1.970652192469695E-4</v>
      </c>
      <c r="K522" s="1803" t="s">
        <v>400</v>
      </c>
    </row>
    <row r="523" spans="1:11" ht="25.5" x14ac:dyDescent="0.2">
      <c r="A523" s="1816" t="s">
        <v>10211</v>
      </c>
      <c r="B523" s="1815" t="s">
        <v>10160</v>
      </c>
      <c r="C523" s="1814" t="s">
        <v>10159</v>
      </c>
      <c r="D523" s="1814" t="s">
        <v>10158</v>
      </c>
      <c r="E523" s="1813" t="s">
        <v>10157</v>
      </c>
      <c r="F523" s="1810" t="s">
        <v>642</v>
      </c>
      <c r="G523" s="1810">
        <v>248.7</v>
      </c>
      <c r="H523" s="1812">
        <v>17.585708</v>
      </c>
      <c r="I523" s="1812">
        <v>4373.5655796000001</v>
      </c>
      <c r="J523" s="1811">
        <v>2.0137210721656853E-4</v>
      </c>
      <c r="K523" s="1810" t="s">
        <v>400</v>
      </c>
    </row>
    <row r="524" spans="1:11" x14ac:dyDescent="0.2">
      <c r="A524" s="1826" t="s">
        <v>10210</v>
      </c>
      <c r="B524" s="1825"/>
      <c r="C524" s="1824"/>
      <c r="D524" s="1824"/>
      <c r="E524" s="1824" t="s">
        <v>9832</v>
      </c>
      <c r="F524" s="1821"/>
      <c r="G524" s="1821"/>
      <c r="H524" s="1823"/>
      <c r="I524" s="1823">
        <v>58680.653793620004</v>
      </c>
      <c r="J524" s="1822">
        <v>2.7018337080355198E-3</v>
      </c>
      <c r="K524" s="1821" t="s">
        <v>400</v>
      </c>
    </row>
    <row r="525" spans="1:11" x14ac:dyDescent="0.2">
      <c r="A525" s="222" t="s">
        <v>10209</v>
      </c>
      <c r="B525" s="1820"/>
      <c r="C525" s="1820"/>
      <c r="D525" s="1820"/>
      <c r="E525" s="1820" t="s">
        <v>10143</v>
      </c>
      <c r="F525" s="1817"/>
      <c r="G525" s="1817"/>
      <c r="H525" s="1819"/>
      <c r="I525" s="1819">
        <v>5385.0438000000004</v>
      </c>
      <c r="J525" s="1818">
        <v>2.4794360521711788E-4</v>
      </c>
      <c r="K525" s="1817" t="s">
        <v>400</v>
      </c>
    </row>
    <row r="526" spans="1:11" ht="25.5" x14ac:dyDescent="0.2">
      <c r="A526" s="1809" t="s">
        <v>10208</v>
      </c>
      <c r="B526" s="1808" t="s">
        <v>10160</v>
      </c>
      <c r="C526" s="1807" t="s">
        <v>10159</v>
      </c>
      <c r="D526" s="1807" t="s">
        <v>10172</v>
      </c>
      <c r="E526" s="1806" t="s">
        <v>10171</v>
      </c>
      <c r="F526" s="1803" t="s">
        <v>642</v>
      </c>
      <c r="G526" s="1803">
        <v>730.36</v>
      </c>
      <c r="H526" s="1805">
        <v>1.3365</v>
      </c>
      <c r="I526" s="1805">
        <v>976.12614000000008</v>
      </c>
      <c r="J526" s="1804">
        <v>4.4943781942547828E-5</v>
      </c>
      <c r="K526" s="1803" t="s">
        <v>400</v>
      </c>
    </row>
    <row r="527" spans="1:11" ht="25.5" x14ac:dyDescent="0.2">
      <c r="A527" s="1816" t="s">
        <v>10207</v>
      </c>
      <c r="B527" s="1815" t="s">
        <v>10160</v>
      </c>
      <c r="C527" s="1814" t="s">
        <v>10159</v>
      </c>
      <c r="D527" s="1814" t="s">
        <v>10169</v>
      </c>
      <c r="E527" s="1813" t="s">
        <v>10168</v>
      </c>
      <c r="F527" s="1810" t="s">
        <v>642</v>
      </c>
      <c r="G527" s="1810">
        <v>801.33</v>
      </c>
      <c r="H527" s="1812">
        <v>5.5019999999999998</v>
      </c>
      <c r="I527" s="1812">
        <v>4408.9176600000001</v>
      </c>
      <c r="J527" s="1811">
        <v>2.0299982327457003E-4</v>
      </c>
      <c r="K527" s="1810" t="s">
        <v>400</v>
      </c>
    </row>
    <row r="528" spans="1:11" x14ac:dyDescent="0.2">
      <c r="A528" s="1809" t="s">
        <v>10206</v>
      </c>
      <c r="B528" s="1808"/>
      <c r="C528" s="1807"/>
      <c r="D528" s="1807"/>
      <c r="E528" s="1806" t="s">
        <v>10197</v>
      </c>
      <c r="F528" s="1803" t="s">
        <v>1243</v>
      </c>
      <c r="G528" s="1803">
        <v>1531.69</v>
      </c>
      <c r="H528" s="1805">
        <v>0</v>
      </c>
      <c r="I528" s="1805">
        <v>0</v>
      </c>
      <c r="J528" s="1804"/>
      <c r="K528" s="1803" t="s">
        <v>400</v>
      </c>
    </row>
    <row r="529" spans="1:11" x14ac:dyDescent="0.2">
      <c r="A529" s="222" t="s">
        <v>10205</v>
      </c>
      <c r="B529" s="1820"/>
      <c r="C529" s="1820"/>
      <c r="D529" s="1820"/>
      <c r="E529" s="1820" t="s">
        <v>10128</v>
      </c>
      <c r="F529" s="1817"/>
      <c r="G529" s="1817"/>
      <c r="H529" s="1819"/>
      <c r="I529" s="1819">
        <v>53295.609993620004</v>
      </c>
      <c r="J529" s="1818">
        <v>2.453890102818402E-3</v>
      </c>
      <c r="K529" s="1817" t="s">
        <v>400</v>
      </c>
    </row>
    <row r="530" spans="1:11" ht="25.5" x14ac:dyDescent="0.2">
      <c r="A530" s="1816" t="s">
        <v>10204</v>
      </c>
      <c r="B530" s="1815" t="s">
        <v>10160</v>
      </c>
      <c r="C530" s="1814" t="s">
        <v>10159</v>
      </c>
      <c r="D530" s="1814" t="s">
        <v>10163</v>
      </c>
      <c r="E530" s="1813" t="s">
        <v>10162</v>
      </c>
      <c r="F530" s="1810" t="s">
        <v>642</v>
      </c>
      <c r="G530" s="1810">
        <v>1531.69</v>
      </c>
      <c r="H530" s="1812">
        <v>17.209589999999999</v>
      </c>
      <c r="I530" s="1812">
        <v>26359.7569071</v>
      </c>
      <c r="J530" s="1811">
        <v>1.2136824514209518E-3</v>
      </c>
      <c r="K530" s="1810" t="s">
        <v>400</v>
      </c>
    </row>
    <row r="531" spans="1:11" ht="25.5" x14ac:dyDescent="0.2">
      <c r="A531" s="1809" t="s">
        <v>10203</v>
      </c>
      <c r="B531" s="1808" t="s">
        <v>10160</v>
      </c>
      <c r="C531" s="1807" t="s">
        <v>10159</v>
      </c>
      <c r="D531" s="1807" t="s">
        <v>10158</v>
      </c>
      <c r="E531" s="1806" t="s">
        <v>10157</v>
      </c>
      <c r="F531" s="1803" t="s">
        <v>642</v>
      </c>
      <c r="G531" s="1803">
        <v>1531.69</v>
      </c>
      <c r="H531" s="1805">
        <v>17.585708</v>
      </c>
      <c r="I531" s="1805">
        <v>26935.853086520001</v>
      </c>
      <c r="J531" s="1804">
        <v>1.2402076513974502E-3</v>
      </c>
      <c r="K531" s="1803" t="s">
        <v>400</v>
      </c>
    </row>
    <row r="532" spans="1:11" x14ac:dyDescent="0.2">
      <c r="A532" s="1826" t="s">
        <v>10202</v>
      </c>
      <c r="B532" s="1825"/>
      <c r="C532" s="1824"/>
      <c r="D532" s="1824"/>
      <c r="E532" s="1824" t="s">
        <v>9781</v>
      </c>
      <c r="F532" s="1821"/>
      <c r="G532" s="1821"/>
      <c r="H532" s="1823"/>
      <c r="I532" s="1823">
        <v>75008.32631579999</v>
      </c>
      <c r="J532" s="1822">
        <v>3.4536088356498539E-3</v>
      </c>
      <c r="K532" s="1821" t="s">
        <v>400</v>
      </c>
    </row>
    <row r="533" spans="1:11" x14ac:dyDescent="0.2">
      <c r="A533" s="222" t="s">
        <v>10201</v>
      </c>
      <c r="B533" s="1820"/>
      <c r="C533" s="1820"/>
      <c r="D533" s="1820"/>
      <c r="E533" s="1820" t="s">
        <v>10143</v>
      </c>
      <c r="F533" s="1817"/>
      <c r="G533" s="1817"/>
      <c r="H533" s="1819"/>
      <c r="I533" s="1819">
        <v>5779.6014149999992</v>
      </c>
      <c r="J533" s="1818">
        <v>2.6611022394154999E-4</v>
      </c>
      <c r="K533" s="1817" t="s">
        <v>400</v>
      </c>
    </row>
    <row r="534" spans="1:11" ht="25.5" x14ac:dyDescent="0.2">
      <c r="A534" s="1816" t="s">
        <v>10200</v>
      </c>
      <c r="B534" s="1815" t="s">
        <v>10160</v>
      </c>
      <c r="C534" s="1814" t="s">
        <v>10159</v>
      </c>
      <c r="D534" s="1814" t="s">
        <v>10172</v>
      </c>
      <c r="E534" s="1813" t="s">
        <v>10171</v>
      </c>
      <c r="F534" s="1810" t="s">
        <v>642</v>
      </c>
      <c r="G534" s="1810">
        <v>1240.47</v>
      </c>
      <c r="H534" s="1812">
        <v>1.3365</v>
      </c>
      <c r="I534" s="1812">
        <v>1657.8881550000001</v>
      </c>
      <c r="J534" s="1811">
        <v>7.6334154644657842E-5</v>
      </c>
      <c r="K534" s="1810" t="s">
        <v>400</v>
      </c>
    </row>
    <row r="535" spans="1:11" ht="25.5" x14ac:dyDescent="0.2">
      <c r="A535" s="1809" t="s">
        <v>10199</v>
      </c>
      <c r="B535" s="1808" t="s">
        <v>10160</v>
      </c>
      <c r="C535" s="1807" t="s">
        <v>10159</v>
      </c>
      <c r="D535" s="1807" t="s">
        <v>10169</v>
      </c>
      <c r="E535" s="1806" t="s">
        <v>10168</v>
      </c>
      <c r="F535" s="1803" t="s">
        <v>642</v>
      </c>
      <c r="G535" s="1803">
        <v>749.13</v>
      </c>
      <c r="H535" s="1805">
        <v>5.5019999999999998</v>
      </c>
      <c r="I535" s="1805">
        <v>4121.7132599999995</v>
      </c>
      <c r="J535" s="1804">
        <v>1.8977606929689221E-4</v>
      </c>
      <c r="K535" s="1803" t="s">
        <v>400</v>
      </c>
    </row>
    <row r="536" spans="1:11" x14ac:dyDescent="0.2">
      <c r="A536" s="1816" t="s">
        <v>10198</v>
      </c>
      <c r="B536" s="1815"/>
      <c r="C536" s="1814"/>
      <c r="D536" s="1814"/>
      <c r="E536" s="1813" t="s">
        <v>10197</v>
      </c>
      <c r="F536" s="1810" t="s">
        <v>1243</v>
      </c>
      <c r="G536" s="1810">
        <v>1989.6</v>
      </c>
      <c r="H536" s="1812">
        <v>0</v>
      </c>
      <c r="I536" s="1812">
        <v>0</v>
      </c>
      <c r="J536" s="1811"/>
      <c r="K536" s="1810" t="s">
        <v>400</v>
      </c>
    </row>
    <row r="537" spans="1:11" x14ac:dyDescent="0.2">
      <c r="A537" s="222" t="s">
        <v>10196</v>
      </c>
      <c r="B537" s="1820"/>
      <c r="C537" s="1820"/>
      <c r="D537" s="1820"/>
      <c r="E537" s="1820" t="s">
        <v>10128</v>
      </c>
      <c r="F537" s="1817"/>
      <c r="G537" s="1817"/>
      <c r="H537" s="1819"/>
      <c r="I537" s="1819">
        <v>69228.724900800007</v>
      </c>
      <c r="J537" s="1818">
        <v>3.1874986117083047E-3</v>
      </c>
      <c r="K537" s="1817" t="s">
        <v>400</v>
      </c>
    </row>
    <row r="538" spans="1:11" ht="25.5" x14ac:dyDescent="0.2">
      <c r="A538" s="1809" t="s">
        <v>10195</v>
      </c>
      <c r="B538" s="1808" t="s">
        <v>10160</v>
      </c>
      <c r="C538" s="1807" t="s">
        <v>10159</v>
      </c>
      <c r="D538" s="1807" t="s">
        <v>10163</v>
      </c>
      <c r="E538" s="1806" t="s">
        <v>10162</v>
      </c>
      <c r="F538" s="1803" t="s">
        <v>642</v>
      </c>
      <c r="G538" s="1803">
        <v>1989.6</v>
      </c>
      <c r="H538" s="1805">
        <v>17.209589999999999</v>
      </c>
      <c r="I538" s="1805">
        <v>34240.200263999999</v>
      </c>
      <c r="J538" s="1804">
        <v>1.576521753975756E-3</v>
      </c>
      <c r="K538" s="1803" t="s">
        <v>400</v>
      </c>
    </row>
    <row r="539" spans="1:11" ht="25.5" x14ac:dyDescent="0.2">
      <c r="A539" s="1816" t="s">
        <v>10194</v>
      </c>
      <c r="B539" s="1815" t="s">
        <v>10160</v>
      </c>
      <c r="C539" s="1814" t="s">
        <v>10159</v>
      </c>
      <c r="D539" s="1814" t="s">
        <v>10158</v>
      </c>
      <c r="E539" s="1813" t="s">
        <v>10157</v>
      </c>
      <c r="F539" s="1810" t="s">
        <v>642</v>
      </c>
      <c r="G539" s="1810">
        <v>1989.6</v>
      </c>
      <c r="H539" s="1812">
        <v>17.585708</v>
      </c>
      <c r="I539" s="1812">
        <v>34988.524636800001</v>
      </c>
      <c r="J539" s="1811">
        <v>1.6109768577325483E-3</v>
      </c>
      <c r="K539" s="1810" t="s">
        <v>400</v>
      </c>
    </row>
    <row r="540" spans="1:11" x14ac:dyDescent="0.2">
      <c r="A540" s="1832" t="s">
        <v>10193</v>
      </c>
      <c r="B540" s="1831"/>
      <c r="C540" s="1830"/>
      <c r="D540" s="1830"/>
      <c r="E540" s="1830" t="s">
        <v>10192</v>
      </c>
      <c r="F540" s="1827"/>
      <c r="G540" s="1827"/>
      <c r="H540" s="1829"/>
      <c r="I540" s="1829">
        <v>145395.35932353997</v>
      </c>
      <c r="J540" s="1828">
        <v>6.694439434739006E-3</v>
      </c>
      <c r="K540" s="1827" t="s">
        <v>400</v>
      </c>
    </row>
    <row r="541" spans="1:11" x14ac:dyDescent="0.2">
      <c r="A541" s="1826" t="s">
        <v>10191</v>
      </c>
      <c r="B541" s="1825"/>
      <c r="C541" s="1824"/>
      <c r="D541" s="1824"/>
      <c r="E541" s="1824" t="s">
        <v>9706</v>
      </c>
      <c r="F541" s="1821"/>
      <c r="G541" s="1821"/>
      <c r="H541" s="1823"/>
      <c r="I541" s="1823">
        <v>28211.205933860001</v>
      </c>
      <c r="J541" s="1822">
        <v>1.2989287304893966E-3</v>
      </c>
      <c r="K541" s="1821" t="s">
        <v>400</v>
      </c>
    </row>
    <row r="542" spans="1:11" x14ac:dyDescent="0.2">
      <c r="A542" s="222" t="s">
        <v>10190</v>
      </c>
      <c r="B542" s="1820"/>
      <c r="C542" s="1820"/>
      <c r="D542" s="1820"/>
      <c r="E542" s="1820" t="s">
        <v>10143</v>
      </c>
      <c r="F542" s="1817"/>
      <c r="G542" s="1817"/>
      <c r="H542" s="1819"/>
      <c r="I542" s="1819">
        <v>3525.1729949999999</v>
      </c>
      <c r="J542" s="1818">
        <v>1.6230956216072465E-4</v>
      </c>
      <c r="K542" s="1817" t="s">
        <v>400</v>
      </c>
    </row>
    <row r="543" spans="1:11" ht="25.5" x14ac:dyDescent="0.2">
      <c r="A543" s="1809" t="s">
        <v>10189</v>
      </c>
      <c r="B543" s="1808" t="s">
        <v>10160</v>
      </c>
      <c r="C543" s="1807" t="s">
        <v>10159</v>
      </c>
      <c r="D543" s="1807" t="s">
        <v>10172</v>
      </c>
      <c r="E543" s="1806" t="s">
        <v>10171</v>
      </c>
      <c r="F543" s="1803" t="s">
        <v>642</v>
      </c>
      <c r="G543" s="1803">
        <v>822.47</v>
      </c>
      <c r="H543" s="1805">
        <v>1.3365</v>
      </c>
      <c r="I543" s="1805">
        <v>1099.2311549999999</v>
      </c>
      <c r="J543" s="1804">
        <v>5.0611906914791753E-5</v>
      </c>
      <c r="K543" s="1803" t="s">
        <v>400</v>
      </c>
    </row>
    <row r="544" spans="1:11" ht="25.5" x14ac:dyDescent="0.2">
      <c r="A544" s="1816" t="s">
        <v>10188</v>
      </c>
      <c r="B544" s="1815" t="s">
        <v>10160</v>
      </c>
      <c r="C544" s="1814" t="s">
        <v>10159</v>
      </c>
      <c r="D544" s="1814" t="s">
        <v>10169</v>
      </c>
      <c r="E544" s="1813" t="s">
        <v>10168</v>
      </c>
      <c r="F544" s="1810" t="s">
        <v>642</v>
      </c>
      <c r="G544" s="1810">
        <v>440.92</v>
      </c>
      <c r="H544" s="1812">
        <v>5.5019999999999998</v>
      </c>
      <c r="I544" s="1812">
        <v>2425.94184</v>
      </c>
      <c r="J544" s="1811">
        <v>1.116976552459329E-4</v>
      </c>
      <c r="K544" s="1810" t="s">
        <v>400</v>
      </c>
    </row>
    <row r="545" spans="1:11" ht="25.5" x14ac:dyDescent="0.2">
      <c r="A545" s="1809" t="s">
        <v>10187</v>
      </c>
      <c r="B545" s="1808"/>
      <c r="C545" s="1807"/>
      <c r="D545" s="1807"/>
      <c r="E545" s="1806" t="s">
        <v>10166</v>
      </c>
      <c r="F545" s="1803" t="s">
        <v>1243</v>
      </c>
      <c r="G545" s="1803">
        <v>1263.3800000000001</v>
      </c>
      <c r="H545" s="1805">
        <v>0</v>
      </c>
      <c r="I545" s="1805">
        <v>0</v>
      </c>
      <c r="J545" s="1804"/>
      <c r="K545" s="1803" t="s">
        <v>400</v>
      </c>
    </row>
    <row r="546" spans="1:11" x14ac:dyDescent="0.2">
      <c r="A546" s="222" t="s">
        <v>10186</v>
      </c>
      <c r="B546" s="1820"/>
      <c r="C546" s="1820"/>
      <c r="D546" s="1820"/>
      <c r="E546" s="1820" t="s">
        <v>10128</v>
      </c>
      <c r="F546" s="1817"/>
      <c r="G546" s="1817"/>
      <c r="H546" s="1819"/>
      <c r="I546" s="1819">
        <v>24686.03293886</v>
      </c>
      <c r="J546" s="1818">
        <v>1.1366191683286719E-3</v>
      </c>
      <c r="K546" s="1817" t="s">
        <v>400</v>
      </c>
    </row>
    <row r="547" spans="1:11" ht="25.5" x14ac:dyDescent="0.2">
      <c r="A547" s="1816" t="s">
        <v>10185</v>
      </c>
      <c r="B547" s="1815" t="s">
        <v>10160</v>
      </c>
      <c r="C547" s="1814" t="s">
        <v>10159</v>
      </c>
      <c r="D547" s="1814" t="s">
        <v>10163</v>
      </c>
      <c r="E547" s="1813" t="s">
        <v>10162</v>
      </c>
      <c r="F547" s="1810" t="s">
        <v>642</v>
      </c>
      <c r="G547" s="1810">
        <v>1211.19</v>
      </c>
      <c r="H547" s="1812">
        <v>17.209589999999999</v>
      </c>
      <c r="I547" s="1812">
        <v>20844.0833121</v>
      </c>
      <c r="J547" s="1811">
        <v>9.5972425773919177E-4</v>
      </c>
      <c r="K547" s="1810" t="s">
        <v>400</v>
      </c>
    </row>
    <row r="548" spans="1:11" ht="25.5" x14ac:dyDescent="0.2">
      <c r="A548" s="1809" t="s">
        <v>10184</v>
      </c>
      <c r="B548" s="1808" t="s">
        <v>10160</v>
      </c>
      <c r="C548" s="1807" t="s">
        <v>10159</v>
      </c>
      <c r="D548" s="1807" t="s">
        <v>10158</v>
      </c>
      <c r="E548" s="1806" t="s">
        <v>10157</v>
      </c>
      <c r="F548" s="1803" t="s">
        <v>642</v>
      </c>
      <c r="G548" s="1803">
        <v>218.47</v>
      </c>
      <c r="H548" s="1805">
        <v>17.585708</v>
      </c>
      <c r="I548" s="1805">
        <v>3841.9496267600002</v>
      </c>
      <c r="J548" s="1804">
        <v>1.7689491058948021E-4</v>
      </c>
      <c r="K548" s="1803" t="s">
        <v>400</v>
      </c>
    </row>
    <row r="549" spans="1:11" x14ac:dyDescent="0.2">
      <c r="A549" s="1826" t="s">
        <v>10183</v>
      </c>
      <c r="B549" s="1825"/>
      <c r="C549" s="1824"/>
      <c r="D549" s="1824"/>
      <c r="E549" s="1824" t="s">
        <v>9832</v>
      </c>
      <c r="F549" s="1821"/>
      <c r="G549" s="1821"/>
      <c r="H549" s="1823"/>
      <c r="I549" s="1823">
        <v>52478.439451859995</v>
      </c>
      <c r="J549" s="1822">
        <v>2.4162651144754655E-3</v>
      </c>
      <c r="K549" s="1821" t="s">
        <v>400</v>
      </c>
    </row>
    <row r="550" spans="1:11" x14ac:dyDescent="0.2">
      <c r="A550" s="222" t="s">
        <v>10182</v>
      </c>
      <c r="B550" s="1820"/>
      <c r="C550" s="1820"/>
      <c r="D550" s="1820"/>
      <c r="E550" s="1820" t="s">
        <v>10143</v>
      </c>
      <c r="F550" s="1817"/>
      <c r="G550" s="1817"/>
      <c r="H550" s="1819"/>
      <c r="I550" s="1819">
        <v>4649.8666800000001</v>
      </c>
      <c r="J550" s="1818">
        <v>2.1409384050286655E-4</v>
      </c>
      <c r="K550" s="1817" t="s">
        <v>400</v>
      </c>
    </row>
    <row r="551" spans="1:11" ht="25.5" x14ac:dyDescent="0.2">
      <c r="A551" s="1816" t="s">
        <v>10181</v>
      </c>
      <c r="B551" s="1815" t="s">
        <v>10160</v>
      </c>
      <c r="C551" s="1814" t="s">
        <v>10159</v>
      </c>
      <c r="D551" s="1814" t="s">
        <v>10172</v>
      </c>
      <c r="E551" s="1813" t="s">
        <v>10171</v>
      </c>
      <c r="F551" s="1810" t="s">
        <v>642</v>
      </c>
      <c r="G551" s="1810">
        <v>699.32</v>
      </c>
      <c r="H551" s="1812">
        <v>1.3365</v>
      </c>
      <c r="I551" s="1812">
        <v>934.64118000000008</v>
      </c>
      <c r="J551" s="1811">
        <v>4.3033689670932891E-5</v>
      </c>
      <c r="K551" s="1810" t="s">
        <v>400</v>
      </c>
    </row>
    <row r="552" spans="1:11" ht="25.5" x14ac:dyDescent="0.2">
      <c r="A552" s="1809" t="s">
        <v>10180</v>
      </c>
      <c r="B552" s="1808" t="s">
        <v>10160</v>
      </c>
      <c r="C552" s="1807" t="s">
        <v>10159</v>
      </c>
      <c r="D552" s="1807" t="s">
        <v>10169</v>
      </c>
      <c r="E552" s="1806" t="s">
        <v>10168</v>
      </c>
      <c r="F552" s="1803" t="s">
        <v>642</v>
      </c>
      <c r="G552" s="1803">
        <v>675.25</v>
      </c>
      <c r="H552" s="1805">
        <v>5.5019999999999998</v>
      </c>
      <c r="I552" s="1805">
        <v>3715.2255</v>
      </c>
      <c r="J552" s="1804">
        <v>1.7106015083193367E-4</v>
      </c>
      <c r="K552" s="1803" t="s">
        <v>400</v>
      </c>
    </row>
    <row r="553" spans="1:11" ht="25.5" x14ac:dyDescent="0.2">
      <c r="A553" s="1816" t="s">
        <v>10179</v>
      </c>
      <c r="B553" s="1815"/>
      <c r="C553" s="1814"/>
      <c r="D553" s="1814"/>
      <c r="E553" s="1813" t="s">
        <v>10166</v>
      </c>
      <c r="F553" s="1810" t="s">
        <v>1243</v>
      </c>
      <c r="G553" s="1810">
        <v>1374.57</v>
      </c>
      <c r="H553" s="1812">
        <v>0</v>
      </c>
      <c r="I553" s="1812">
        <v>0</v>
      </c>
      <c r="J553" s="1811"/>
      <c r="K553" s="1810" t="s">
        <v>400</v>
      </c>
    </row>
    <row r="554" spans="1:11" x14ac:dyDescent="0.2">
      <c r="A554" s="222" t="s">
        <v>10178</v>
      </c>
      <c r="B554" s="1820"/>
      <c r="C554" s="1820"/>
      <c r="D554" s="1820"/>
      <c r="E554" s="1820" t="s">
        <v>10128</v>
      </c>
      <c r="F554" s="1817"/>
      <c r="G554" s="1817"/>
      <c r="H554" s="1819"/>
      <c r="I554" s="1819">
        <v>47828.572771859996</v>
      </c>
      <c r="J554" s="1818">
        <v>2.2021712739725991E-3</v>
      </c>
      <c r="K554" s="1817" t="s">
        <v>400</v>
      </c>
    </row>
    <row r="555" spans="1:11" ht="25.5" x14ac:dyDescent="0.2">
      <c r="A555" s="1809" t="s">
        <v>10177</v>
      </c>
      <c r="B555" s="1808" t="s">
        <v>10160</v>
      </c>
      <c r="C555" s="1807" t="s">
        <v>10159</v>
      </c>
      <c r="D555" s="1807" t="s">
        <v>10163</v>
      </c>
      <c r="E555" s="1806" t="s">
        <v>10162</v>
      </c>
      <c r="F555" s="1803" t="s">
        <v>642</v>
      </c>
      <c r="G555" s="1803">
        <v>1374.57</v>
      </c>
      <c r="H555" s="1805">
        <v>17.209589999999999</v>
      </c>
      <c r="I555" s="1805">
        <v>23655.786126299998</v>
      </c>
      <c r="J555" s="1804">
        <v>1.089183507922424E-3</v>
      </c>
      <c r="K555" s="1803" t="s">
        <v>400</v>
      </c>
    </row>
    <row r="556" spans="1:11" ht="25.5" x14ac:dyDescent="0.2">
      <c r="A556" s="1816" t="s">
        <v>10176</v>
      </c>
      <c r="B556" s="1815" t="s">
        <v>10160</v>
      </c>
      <c r="C556" s="1814" t="s">
        <v>10159</v>
      </c>
      <c r="D556" s="1814" t="s">
        <v>10158</v>
      </c>
      <c r="E556" s="1813" t="s">
        <v>10157</v>
      </c>
      <c r="F556" s="1810" t="s">
        <v>642</v>
      </c>
      <c r="G556" s="1810">
        <v>1374.57</v>
      </c>
      <c r="H556" s="1812">
        <v>17.585708</v>
      </c>
      <c r="I556" s="1812">
        <v>24172.786645559998</v>
      </c>
      <c r="J556" s="1811">
        <v>1.1129877660501753E-3</v>
      </c>
      <c r="K556" s="1810" t="s">
        <v>400</v>
      </c>
    </row>
    <row r="557" spans="1:11" x14ac:dyDescent="0.2">
      <c r="A557" s="1826" t="s">
        <v>10175</v>
      </c>
      <c r="B557" s="1825"/>
      <c r="C557" s="1824"/>
      <c r="D557" s="1824"/>
      <c r="E557" s="1824" t="s">
        <v>9781</v>
      </c>
      <c r="F557" s="1821"/>
      <c r="G557" s="1821"/>
      <c r="H557" s="1823"/>
      <c r="I557" s="1823">
        <v>64705.713937819994</v>
      </c>
      <c r="J557" s="1822">
        <v>2.9792455897741446E-3</v>
      </c>
      <c r="K557" s="1821" t="s">
        <v>400</v>
      </c>
    </row>
    <row r="558" spans="1:11" x14ac:dyDescent="0.2">
      <c r="A558" s="222" t="s">
        <v>10174</v>
      </c>
      <c r="B558" s="1820"/>
      <c r="C558" s="1820"/>
      <c r="D558" s="1820"/>
      <c r="E558" s="1820" t="s">
        <v>10143</v>
      </c>
      <c r="F558" s="1817"/>
      <c r="G558" s="1817"/>
      <c r="H558" s="1819"/>
      <c r="I558" s="1819">
        <v>4698.0909599999995</v>
      </c>
      <c r="J558" s="1818">
        <v>2.1631423132720853E-4</v>
      </c>
      <c r="K558" s="1817" t="s">
        <v>400</v>
      </c>
    </row>
    <row r="559" spans="1:11" ht="25.5" x14ac:dyDescent="0.2">
      <c r="A559" s="1809" t="s">
        <v>10173</v>
      </c>
      <c r="B559" s="1808" t="s">
        <v>10160</v>
      </c>
      <c r="C559" s="1807" t="s">
        <v>10159</v>
      </c>
      <c r="D559" s="1807" t="s">
        <v>10172</v>
      </c>
      <c r="E559" s="1806" t="s">
        <v>10171</v>
      </c>
      <c r="F559" s="1803" t="s">
        <v>642</v>
      </c>
      <c r="G559" s="1803">
        <v>1150.08</v>
      </c>
      <c r="H559" s="1805">
        <v>1.3365</v>
      </c>
      <c r="I559" s="1805">
        <v>1537.0819199999999</v>
      </c>
      <c r="J559" s="1804">
        <v>7.0771872414268842E-5</v>
      </c>
      <c r="K559" s="1803" t="s">
        <v>400</v>
      </c>
    </row>
    <row r="560" spans="1:11" ht="25.5" x14ac:dyDescent="0.2">
      <c r="A560" s="1816" t="s">
        <v>10170</v>
      </c>
      <c r="B560" s="1815" t="s">
        <v>10160</v>
      </c>
      <c r="C560" s="1814" t="s">
        <v>10159</v>
      </c>
      <c r="D560" s="1814" t="s">
        <v>10169</v>
      </c>
      <c r="E560" s="1813" t="s">
        <v>10168</v>
      </c>
      <c r="F560" s="1810" t="s">
        <v>642</v>
      </c>
      <c r="G560" s="1810">
        <v>574.52</v>
      </c>
      <c r="H560" s="1812">
        <v>5.5019999999999998</v>
      </c>
      <c r="I560" s="1812">
        <v>3161.0090399999999</v>
      </c>
      <c r="J560" s="1811">
        <v>1.455423589129397E-4</v>
      </c>
      <c r="K560" s="1810" t="s">
        <v>400</v>
      </c>
    </row>
    <row r="561" spans="1:11" ht="25.5" x14ac:dyDescent="0.2">
      <c r="A561" s="1809" t="s">
        <v>10167</v>
      </c>
      <c r="B561" s="1808"/>
      <c r="C561" s="1807"/>
      <c r="D561" s="1807"/>
      <c r="E561" s="1806" t="s">
        <v>10166</v>
      </c>
      <c r="F561" s="1803" t="s">
        <v>1243</v>
      </c>
      <c r="G561" s="1803">
        <v>1724.59</v>
      </c>
      <c r="H561" s="1805">
        <v>0</v>
      </c>
      <c r="I561" s="1805">
        <v>0</v>
      </c>
      <c r="J561" s="1804"/>
      <c r="K561" s="1803" t="s">
        <v>400</v>
      </c>
    </row>
    <row r="562" spans="1:11" x14ac:dyDescent="0.2">
      <c r="A562" s="222" t="s">
        <v>10165</v>
      </c>
      <c r="B562" s="1820"/>
      <c r="C562" s="1820"/>
      <c r="D562" s="1820"/>
      <c r="E562" s="1820" t="s">
        <v>10128</v>
      </c>
      <c r="F562" s="1817"/>
      <c r="G562" s="1817"/>
      <c r="H562" s="1819"/>
      <c r="I562" s="1819">
        <v>60007.622977819992</v>
      </c>
      <c r="J562" s="1818">
        <v>2.7629313584469359E-3</v>
      </c>
      <c r="K562" s="1817" t="s">
        <v>400</v>
      </c>
    </row>
    <row r="563" spans="1:11" ht="25.5" x14ac:dyDescent="0.2">
      <c r="A563" s="1816" t="s">
        <v>10164</v>
      </c>
      <c r="B563" s="1815" t="s">
        <v>10160</v>
      </c>
      <c r="C563" s="1814" t="s">
        <v>10159</v>
      </c>
      <c r="D563" s="1814" t="s">
        <v>10163</v>
      </c>
      <c r="E563" s="1813" t="s">
        <v>10162</v>
      </c>
      <c r="F563" s="1810" t="s">
        <v>642</v>
      </c>
      <c r="G563" s="1810">
        <v>1724.59</v>
      </c>
      <c r="H563" s="1812">
        <v>17.209589999999999</v>
      </c>
      <c r="I563" s="1812">
        <v>29679.486818099995</v>
      </c>
      <c r="J563" s="1811">
        <v>1.3665327963857301E-3</v>
      </c>
      <c r="K563" s="1810" t="s">
        <v>400</v>
      </c>
    </row>
    <row r="564" spans="1:11" ht="25.5" x14ac:dyDescent="0.2">
      <c r="A564" s="1809" t="s">
        <v>10161</v>
      </c>
      <c r="B564" s="1808" t="s">
        <v>10160</v>
      </c>
      <c r="C564" s="1807" t="s">
        <v>10159</v>
      </c>
      <c r="D564" s="1807" t="s">
        <v>10158</v>
      </c>
      <c r="E564" s="1806" t="s">
        <v>10157</v>
      </c>
      <c r="F564" s="1803" t="s">
        <v>642</v>
      </c>
      <c r="G564" s="1803">
        <v>1724.59</v>
      </c>
      <c r="H564" s="1805">
        <v>17.585708</v>
      </c>
      <c r="I564" s="1805">
        <v>30328.136159719998</v>
      </c>
      <c r="J564" s="1804">
        <v>1.3963985620612058E-3</v>
      </c>
      <c r="K564" s="1803" t="s">
        <v>400</v>
      </c>
    </row>
    <row r="565" spans="1:11" x14ac:dyDescent="0.2">
      <c r="A565" s="1832" t="s">
        <v>10156</v>
      </c>
      <c r="B565" s="1831"/>
      <c r="C565" s="1830"/>
      <c r="D565" s="1830"/>
      <c r="E565" s="1830" t="s">
        <v>10155</v>
      </c>
      <c r="F565" s="1827"/>
      <c r="G565" s="1827"/>
      <c r="H565" s="1829"/>
      <c r="I565" s="1829">
        <v>0</v>
      </c>
      <c r="J565" s="1828"/>
      <c r="K565" s="1827" t="s">
        <v>400</v>
      </c>
    </row>
    <row r="566" spans="1:11" x14ac:dyDescent="0.2">
      <c r="A566" s="1826" t="s">
        <v>10154</v>
      </c>
      <c r="B566" s="1825"/>
      <c r="C566" s="1824"/>
      <c r="D566" s="1824"/>
      <c r="E566" s="1824" t="s">
        <v>9706</v>
      </c>
      <c r="F566" s="1821"/>
      <c r="G566" s="1821"/>
      <c r="H566" s="1823"/>
      <c r="I566" s="1823">
        <v>0</v>
      </c>
      <c r="J566" s="1822"/>
      <c r="K566" s="1821" t="s">
        <v>400</v>
      </c>
    </row>
    <row r="567" spans="1:11" x14ac:dyDescent="0.2">
      <c r="A567" s="222" t="s">
        <v>10153</v>
      </c>
      <c r="B567" s="1820"/>
      <c r="C567" s="1820"/>
      <c r="D567" s="1820"/>
      <c r="E567" s="1820" t="s">
        <v>10143</v>
      </c>
      <c r="F567" s="1817"/>
      <c r="G567" s="1817"/>
      <c r="H567" s="1819"/>
      <c r="I567" s="1819">
        <v>0</v>
      </c>
      <c r="J567" s="1818"/>
      <c r="K567" s="1817" t="s">
        <v>400</v>
      </c>
    </row>
    <row r="568" spans="1:11" x14ac:dyDescent="0.2">
      <c r="A568" s="1816" t="s">
        <v>10152</v>
      </c>
      <c r="B568" s="1815"/>
      <c r="C568" s="1814"/>
      <c r="D568" s="1814"/>
      <c r="E568" s="1813" t="s">
        <v>10141</v>
      </c>
      <c r="F568" s="1810" t="s">
        <v>1243</v>
      </c>
      <c r="G568" s="1810">
        <v>3.66</v>
      </c>
      <c r="H568" s="1812">
        <v>0</v>
      </c>
      <c r="I568" s="1812">
        <v>0</v>
      </c>
      <c r="J568" s="1811"/>
      <c r="K568" s="1810" t="s">
        <v>400</v>
      </c>
    </row>
    <row r="569" spans="1:11" x14ac:dyDescent="0.2">
      <c r="A569" s="1809" t="s">
        <v>10151</v>
      </c>
      <c r="B569" s="1808"/>
      <c r="C569" s="1807"/>
      <c r="D569" s="1807"/>
      <c r="E569" s="1806" t="s">
        <v>10150</v>
      </c>
      <c r="F569" s="1803" t="s">
        <v>1243</v>
      </c>
      <c r="G569" s="1803">
        <v>1</v>
      </c>
      <c r="H569" s="1805">
        <v>0</v>
      </c>
      <c r="I569" s="1805">
        <v>0</v>
      </c>
      <c r="J569" s="1804"/>
      <c r="K569" s="1803" t="s">
        <v>400</v>
      </c>
    </row>
    <row r="570" spans="1:11" x14ac:dyDescent="0.2">
      <c r="A570" s="1816" t="s">
        <v>10149</v>
      </c>
      <c r="B570" s="1815"/>
      <c r="C570" s="1814"/>
      <c r="D570" s="1814"/>
      <c r="E570" s="1813" t="s">
        <v>10139</v>
      </c>
      <c r="F570" s="1810" t="s">
        <v>1243</v>
      </c>
      <c r="G570" s="1810">
        <v>4.66</v>
      </c>
      <c r="H570" s="1812">
        <v>0</v>
      </c>
      <c r="I570" s="1812">
        <v>0</v>
      </c>
      <c r="J570" s="1811"/>
      <c r="K570" s="1810" t="s">
        <v>400</v>
      </c>
    </row>
    <row r="571" spans="1:11" x14ac:dyDescent="0.2">
      <c r="A571" s="222" t="s">
        <v>10148</v>
      </c>
      <c r="B571" s="1820"/>
      <c r="C571" s="1820"/>
      <c r="D571" s="1820"/>
      <c r="E571" s="1820" t="s">
        <v>10128</v>
      </c>
      <c r="F571" s="1817"/>
      <c r="G571" s="1817"/>
      <c r="H571" s="1819"/>
      <c r="I571" s="1819">
        <v>0</v>
      </c>
      <c r="J571" s="1818"/>
      <c r="K571" s="1817" t="s">
        <v>400</v>
      </c>
    </row>
    <row r="572" spans="1:11" ht="25.5" x14ac:dyDescent="0.2">
      <c r="A572" s="1809" t="s">
        <v>10147</v>
      </c>
      <c r="B572" s="1808"/>
      <c r="C572" s="1807"/>
      <c r="D572" s="1807"/>
      <c r="E572" s="1806" t="s">
        <v>10134</v>
      </c>
      <c r="F572" s="1803" t="s">
        <v>1243</v>
      </c>
      <c r="G572" s="1803">
        <v>4.66</v>
      </c>
      <c r="H572" s="1805">
        <v>0</v>
      </c>
      <c r="I572" s="1805">
        <v>0</v>
      </c>
      <c r="J572" s="1804"/>
      <c r="K572" s="1803" t="s">
        <v>400</v>
      </c>
    </row>
    <row r="573" spans="1:11" ht="25.5" x14ac:dyDescent="0.2">
      <c r="A573" s="1816" t="s">
        <v>10146</v>
      </c>
      <c r="B573" s="1815"/>
      <c r="C573" s="1814"/>
      <c r="D573" s="1814"/>
      <c r="E573" s="1813" t="s">
        <v>10132</v>
      </c>
      <c r="F573" s="1810" t="s">
        <v>1243</v>
      </c>
      <c r="G573" s="1810">
        <v>4.66</v>
      </c>
      <c r="H573" s="1812">
        <v>0</v>
      </c>
      <c r="I573" s="1812">
        <v>0</v>
      </c>
      <c r="J573" s="1811"/>
      <c r="K573" s="1810" t="s">
        <v>400</v>
      </c>
    </row>
    <row r="574" spans="1:11" x14ac:dyDescent="0.2">
      <c r="A574" s="1826" t="s">
        <v>10145</v>
      </c>
      <c r="B574" s="1825"/>
      <c r="C574" s="1824"/>
      <c r="D574" s="1824"/>
      <c r="E574" s="1824" t="s">
        <v>9832</v>
      </c>
      <c r="F574" s="1821"/>
      <c r="G574" s="1821"/>
      <c r="H574" s="1823"/>
      <c r="I574" s="1823">
        <v>0</v>
      </c>
      <c r="J574" s="1822"/>
      <c r="K574" s="1821" t="s">
        <v>400</v>
      </c>
    </row>
    <row r="575" spans="1:11" x14ac:dyDescent="0.2">
      <c r="A575" s="222" t="s">
        <v>10144</v>
      </c>
      <c r="B575" s="1820"/>
      <c r="C575" s="1820"/>
      <c r="D575" s="1820"/>
      <c r="E575" s="1820" t="s">
        <v>10143</v>
      </c>
      <c r="F575" s="1817"/>
      <c r="G575" s="1817"/>
      <c r="H575" s="1819"/>
      <c r="I575" s="1819">
        <v>0</v>
      </c>
      <c r="J575" s="1818"/>
      <c r="K575" s="1817" t="s">
        <v>400</v>
      </c>
    </row>
    <row r="576" spans="1:11" x14ac:dyDescent="0.2">
      <c r="A576" s="1809" t="s">
        <v>10142</v>
      </c>
      <c r="B576" s="1808"/>
      <c r="C576" s="1807"/>
      <c r="D576" s="1807"/>
      <c r="E576" s="1806" t="s">
        <v>10141</v>
      </c>
      <c r="F576" s="1803" t="s">
        <v>1243</v>
      </c>
      <c r="G576" s="1803">
        <v>1.66</v>
      </c>
      <c r="H576" s="1805">
        <v>0</v>
      </c>
      <c r="I576" s="1805">
        <v>0</v>
      </c>
      <c r="J576" s="1804"/>
      <c r="K576" s="1803" t="s">
        <v>400</v>
      </c>
    </row>
    <row r="577" spans="1:11" x14ac:dyDescent="0.2">
      <c r="A577" s="1816" t="s">
        <v>10140</v>
      </c>
      <c r="B577" s="1815"/>
      <c r="C577" s="1814"/>
      <c r="D577" s="1814"/>
      <c r="E577" s="1813" t="s">
        <v>10139</v>
      </c>
      <c r="F577" s="1810" t="s">
        <v>1243</v>
      </c>
      <c r="G577" s="1810">
        <v>1.66</v>
      </c>
      <c r="H577" s="1812">
        <v>0</v>
      </c>
      <c r="I577" s="1812">
        <v>0</v>
      </c>
      <c r="J577" s="1811"/>
      <c r="K577" s="1810" t="s">
        <v>400</v>
      </c>
    </row>
    <row r="578" spans="1:11" x14ac:dyDescent="0.2">
      <c r="A578" s="222" t="s">
        <v>10138</v>
      </c>
      <c r="B578" s="1820"/>
      <c r="C578" s="1820"/>
      <c r="D578" s="1820"/>
      <c r="E578" s="1820" t="s">
        <v>10128</v>
      </c>
      <c r="F578" s="1817"/>
      <c r="G578" s="1817"/>
      <c r="H578" s="1819"/>
      <c r="I578" s="1819">
        <v>0</v>
      </c>
      <c r="J578" s="1818"/>
      <c r="K578" s="1817" t="s">
        <v>400</v>
      </c>
    </row>
    <row r="579" spans="1:11" x14ac:dyDescent="0.2">
      <c r="A579" s="1809" t="s">
        <v>10137</v>
      </c>
      <c r="B579" s="1808"/>
      <c r="C579" s="1807"/>
      <c r="D579" s="1807"/>
      <c r="E579" s="1806" t="s">
        <v>10126</v>
      </c>
      <c r="F579" s="1803" t="s">
        <v>1243</v>
      </c>
      <c r="G579" s="1803">
        <v>352.38</v>
      </c>
      <c r="H579" s="1805">
        <v>0</v>
      </c>
      <c r="I579" s="1805">
        <v>0</v>
      </c>
      <c r="J579" s="1804"/>
      <c r="K579" s="1803" t="s">
        <v>10136</v>
      </c>
    </row>
    <row r="580" spans="1:11" ht="25.5" x14ac:dyDescent="0.2">
      <c r="A580" s="1816" t="s">
        <v>10135</v>
      </c>
      <c r="B580" s="1815"/>
      <c r="C580" s="1814"/>
      <c r="D580" s="1814"/>
      <c r="E580" s="1813" t="s">
        <v>10134</v>
      </c>
      <c r="F580" s="1810" t="s">
        <v>1243</v>
      </c>
      <c r="G580" s="1810">
        <v>1.66</v>
      </c>
      <c r="H580" s="1812">
        <v>0</v>
      </c>
      <c r="I580" s="1812">
        <v>0</v>
      </c>
      <c r="J580" s="1811"/>
      <c r="K580" s="1810" t="s">
        <v>10131</v>
      </c>
    </row>
    <row r="581" spans="1:11" ht="25.5" x14ac:dyDescent="0.2">
      <c r="A581" s="1809" t="s">
        <v>10133</v>
      </c>
      <c r="B581" s="1808"/>
      <c r="C581" s="1807"/>
      <c r="D581" s="1807"/>
      <c r="E581" s="1806" t="s">
        <v>10132</v>
      </c>
      <c r="F581" s="1803" t="s">
        <v>1243</v>
      </c>
      <c r="G581" s="1803">
        <v>1.66</v>
      </c>
      <c r="H581" s="1805">
        <v>0</v>
      </c>
      <c r="I581" s="1805">
        <v>0</v>
      </c>
      <c r="J581" s="1804"/>
      <c r="K581" s="1803" t="s">
        <v>10131</v>
      </c>
    </row>
    <row r="582" spans="1:11" x14ac:dyDescent="0.2">
      <c r="A582" s="1826" t="s">
        <v>10130</v>
      </c>
      <c r="B582" s="1825"/>
      <c r="C582" s="1824"/>
      <c r="D582" s="1824"/>
      <c r="E582" s="1824" t="s">
        <v>9781</v>
      </c>
      <c r="F582" s="1821"/>
      <c r="G582" s="1821"/>
      <c r="H582" s="1823"/>
      <c r="I582" s="1823">
        <v>0</v>
      </c>
      <c r="J582" s="1822"/>
      <c r="K582" s="1821" t="s">
        <v>400</v>
      </c>
    </row>
    <row r="583" spans="1:11" x14ac:dyDescent="0.2">
      <c r="A583" s="222" t="s">
        <v>10129</v>
      </c>
      <c r="B583" s="1820"/>
      <c r="C583" s="1820"/>
      <c r="D583" s="1820"/>
      <c r="E583" s="1820" t="s">
        <v>10128</v>
      </c>
      <c r="F583" s="1817"/>
      <c r="G583" s="1817"/>
      <c r="H583" s="1819"/>
      <c r="I583" s="1819">
        <v>0</v>
      </c>
      <c r="J583" s="1818"/>
      <c r="K583" s="1817" t="s">
        <v>400</v>
      </c>
    </row>
    <row r="584" spans="1:11" x14ac:dyDescent="0.2">
      <c r="A584" s="1816" t="s">
        <v>10127</v>
      </c>
      <c r="B584" s="1815"/>
      <c r="C584" s="1814"/>
      <c r="D584" s="1814"/>
      <c r="E584" s="1813" t="s">
        <v>10126</v>
      </c>
      <c r="F584" s="1810" t="s">
        <v>1243</v>
      </c>
      <c r="G584" s="1810">
        <v>124.24</v>
      </c>
      <c r="H584" s="1812">
        <v>0</v>
      </c>
      <c r="I584" s="1812">
        <v>0</v>
      </c>
      <c r="J584" s="1811"/>
      <c r="K584" s="1810" t="s">
        <v>400</v>
      </c>
    </row>
    <row r="585" spans="1:11" x14ac:dyDescent="0.2">
      <c r="A585" s="1832" t="s">
        <v>10125</v>
      </c>
      <c r="B585" s="1831"/>
      <c r="C585" s="1830"/>
      <c r="D585" s="1830"/>
      <c r="E585" s="1830" t="s">
        <v>10124</v>
      </c>
      <c r="F585" s="1827"/>
      <c r="G585" s="1827"/>
      <c r="H585" s="1829"/>
      <c r="I585" s="1829">
        <v>0</v>
      </c>
      <c r="J585" s="1828"/>
      <c r="K585" s="1827" t="s">
        <v>400</v>
      </c>
    </row>
    <row r="586" spans="1:11" x14ac:dyDescent="0.2">
      <c r="A586" s="1826" t="s">
        <v>10123</v>
      </c>
      <c r="B586" s="1825"/>
      <c r="C586" s="1824"/>
      <c r="D586" s="1824"/>
      <c r="E586" s="1824" t="s">
        <v>9838</v>
      </c>
      <c r="F586" s="1821"/>
      <c r="G586" s="1821"/>
      <c r="H586" s="1823"/>
      <c r="I586" s="1823">
        <v>0</v>
      </c>
      <c r="J586" s="1822"/>
      <c r="K586" s="1821" t="s">
        <v>400</v>
      </c>
    </row>
    <row r="587" spans="1:11" x14ac:dyDescent="0.2">
      <c r="A587" s="222" t="s">
        <v>10122</v>
      </c>
      <c r="B587" s="1820"/>
      <c r="C587" s="1820"/>
      <c r="D587" s="1820"/>
      <c r="E587" s="1820" t="s">
        <v>10121</v>
      </c>
      <c r="F587" s="1817"/>
      <c r="G587" s="1817"/>
      <c r="H587" s="1819"/>
      <c r="I587" s="1819">
        <v>0</v>
      </c>
      <c r="J587" s="1818"/>
      <c r="K587" s="1817" t="s">
        <v>400</v>
      </c>
    </row>
    <row r="588" spans="1:11" x14ac:dyDescent="0.2">
      <c r="A588" s="1809" t="s">
        <v>10120</v>
      </c>
      <c r="B588" s="1808"/>
      <c r="C588" s="1807"/>
      <c r="D588" s="1807"/>
      <c r="E588" s="1806" t="s">
        <v>10119</v>
      </c>
      <c r="F588" s="1803" t="s">
        <v>1243</v>
      </c>
      <c r="G588" s="1803">
        <v>630.5</v>
      </c>
      <c r="H588" s="1805">
        <v>0</v>
      </c>
      <c r="I588" s="1805">
        <v>0</v>
      </c>
      <c r="J588" s="1804"/>
      <c r="K588" s="1803" t="s">
        <v>400</v>
      </c>
    </row>
    <row r="589" spans="1:11" x14ac:dyDescent="0.2">
      <c r="A589" s="1816" t="s">
        <v>10118</v>
      </c>
      <c r="B589" s="1815"/>
      <c r="C589" s="1814"/>
      <c r="D589" s="1814"/>
      <c r="E589" s="1813" t="s">
        <v>10117</v>
      </c>
      <c r="F589" s="1810" t="s">
        <v>1243</v>
      </c>
      <c r="G589" s="1810">
        <v>553.91999999999996</v>
      </c>
      <c r="H589" s="1812">
        <v>0</v>
      </c>
      <c r="I589" s="1812">
        <v>0</v>
      </c>
      <c r="J589" s="1811"/>
      <c r="K589" s="1810" t="s">
        <v>400</v>
      </c>
    </row>
    <row r="590" spans="1:11" x14ac:dyDescent="0.2">
      <c r="A590" s="1809" t="s">
        <v>10116</v>
      </c>
      <c r="B590" s="1808"/>
      <c r="C590" s="1807"/>
      <c r="D590" s="1807"/>
      <c r="E590" s="1806" t="s">
        <v>10115</v>
      </c>
      <c r="F590" s="1803" t="s">
        <v>1243</v>
      </c>
      <c r="G590" s="1803">
        <v>1726.89</v>
      </c>
      <c r="H590" s="1805">
        <v>0</v>
      </c>
      <c r="I590" s="1805">
        <v>0</v>
      </c>
      <c r="J590" s="1804"/>
      <c r="K590" s="1803" t="s">
        <v>400</v>
      </c>
    </row>
    <row r="591" spans="1:11" x14ac:dyDescent="0.2">
      <c r="A591" s="1816" t="s">
        <v>10114</v>
      </c>
      <c r="B591" s="1815"/>
      <c r="C591" s="1814"/>
      <c r="D591" s="1814"/>
      <c r="E591" s="1813" t="s">
        <v>10113</v>
      </c>
      <c r="F591" s="1810" t="s">
        <v>1243</v>
      </c>
      <c r="G591" s="1810">
        <v>582.66</v>
      </c>
      <c r="H591" s="1812">
        <v>0</v>
      </c>
      <c r="I591" s="1812">
        <v>0</v>
      </c>
      <c r="J591" s="1811"/>
      <c r="K591" s="1810" t="s">
        <v>400</v>
      </c>
    </row>
    <row r="592" spans="1:11" x14ac:dyDescent="0.2">
      <c r="A592" s="1809" t="s">
        <v>10112</v>
      </c>
      <c r="B592" s="1808"/>
      <c r="C592" s="1807"/>
      <c r="D592" s="1807"/>
      <c r="E592" s="1806" t="s">
        <v>10111</v>
      </c>
      <c r="F592" s="1803" t="s">
        <v>1243</v>
      </c>
      <c r="G592" s="1803">
        <v>31.68</v>
      </c>
      <c r="H592" s="1805">
        <v>0</v>
      </c>
      <c r="I592" s="1805">
        <v>0</v>
      </c>
      <c r="J592" s="1804"/>
      <c r="K592" s="1803" t="s">
        <v>400</v>
      </c>
    </row>
    <row r="593" spans="1:11" x14ac:dyDescent="0.2">
      <c r="A593" s="1816" t="s">
        <v>10110</v>
      </c>
      <c r="B593" s="1815"/>
      <c r="C593" s="1814"/>
      <c r="D593" s="1814"/>
      <c r="E593" s="1813" t="s">
        <v>10109</v>
      </c>
      <c r="F593" s="1810" t="s">
        <v>1243</v>
      </c>
      <c r="G593" s="1810">
        <v>14.77</v>
      </c>
      <c r="H593" s="1812">
        <v>0</v>
      </c>
      <c r="I593" s="1812">
        <v>0</v>
      </c>
      <c r="J593" s="1811"/>
      <c r="K593" s="1810" t="s">
        <v>400</v>
      </c>
    </row>
    <row r="594" spans="1:11" x14ac:dyDescent="0.2">
      <c r="A594" s="1809" t="s">
        <v>10108</v>
      </c>
      <c r="B594" s="1808"/>
      <c r="C594" s="1807"/>
      <c r="D594" s="1807"/>
      <c r="E594" s="1806" t="s">
        <v>10107</v>
      </c>
      <c r="F594" s="1803" t="s">
        <v>1243</v>
      </c>
      <c r="G594" s="1803">
        <v>598.14</v>
      </c>
      <c r="H594" s="1805">
        <v>0</v>
      </c>
      <c r="I594" s="1805">
        <v>0</v>
      </c>
      <c r="J594" s="1804"/>
      <c r="K594" s="1803" t="s">
        <v>400</v>
      </c>
    </row>
    <row r="595" spans="1:11" x14ac:dyDescent="0.2">
      <c r="A595" s="1816" t="s">
        <v>10106</v>
      </c>
      <c r="B595" s="1815"/>
      <c r="C595" s="1814"/>
      <c r="D595" s="1814"/>
      <c r="E595" s="1813" t="s">
        <v>10105</v>
      </c>
      <c r="F595" s="1810" t="s">
        <v>1243</v>
      </c>
      <c r="G595" s="1810">
        <v>582.79</v>
      </c>
      <c r="H595" s="1812">
        <v>0</v>
      </c>
      <c r="I595" s="1812">
        <v>0</v>
      </c>
      <c r="J595" s="1811"/>
      <c r="K595" s="1810" t="s">
        <v>400</v>
      </c>
    </row>
    <row r="596" spans="1:11" x14ac:dyDescent="0.2">
      <c r="A596" s="1809" t="s">
        <v>10104</v>
      </c>
      <c r="B596" s="1808"/>
      <c r="C596" s="1807"/>
      <c r="D596" s="1807"/>
      <c r="E596" s="1806" t="s">
        <v>10103</v>
      </c>
      <c r="F596" s="1803" t="s">
        <v>1243</v>
      </c>
      <c r="G596" s="1803">
        <v>142.63</v>
      </c>
      <c r="H596" s="1805">
        <v>0</v>
      </c>
      <c r="I596" s="1805">
        <v>0</v>
      </c>
      <c r="J596" s="1804"/>
      <c r="K596" s="1803" t="s">
        <v>400</v>
      </c>
    </row>
    <row r="597" spans="1:11" x14ac:dyDescent="0.2">
      <c r="A597" s="1816" t="s">
        <v>10102</v>
      </c>
      <c r="B597" s="1815"/>
      <c r="C597" s="1814"/>
      <c r="D597" s="1814"/>
      <c r="E597" s="1813" t="s">
        <v>10101</v>
      </c>
      <c r="F597" s="1810" t="s">
        <v>1243</v>
      </c>
      <c r="G597" s="1810">
        <v>35.54</v>
      </c>
      <c r="H597" s="1812">
        <v>0</v>
      </c>
      <c r="I597" s="1812">
        <v>0</v>
      </c>
      <c r="J597" s="1811"/>
      <c r="K597" s="1810" t="s">
        <v>400</v>
      </c>
    </row>
    <row r="598" spans="1:11" x14ac:dyDescent="0.2">
      <c r="A598" s="1809" t="s">
        <v>10100</v>
      </c>
      <c r="B598" s="1808"/>
      <c r="C598" s="1807"/>
      <c r="D598" s="1807"/>
      <c r="E598" s="1806" t="s">
        <v>10099</v>
      </c>
      <c r="F598" s="1803" t="s">
        <v>1243</v>
      </c>
      <c r="G598" s="1803">
        <v>7.08</v>
      </c>
      <c r="H598" s="1805">
        <v>0</v>
      </c>
      <c r="I598" s="1805">
        <v>0</v>
      </c>
      <c r="J598" s="1804"/>
      <c r="K598" s="1803" t="s">
        <v>400</v>
      </c>
    </row>
    <row r="599" spans="1:11" x14ac:dyDescent="0.2">
      <c r="A599" s="1816" t="s">
        <v>10098</v>
      </c>
      <c r="B599" s="1815"/>
      <c r="C599" s="1814"/>
      <c r="D599" s="1814"/>
      <c r="E599" s="1813" t="s">
        <v>10097</v>
      </c>
      <c r="F599" s="1810" t="s">
        <v>1243</v>
      </c>
      <c r="G599" s="1810">
        <v>175.26</v>
      </c>
      <c r="H599" s="1812">
        <v>0</v>
      </c>
      <c r="I599" s="1812">
        <v>0</v>
      </c>
      <c r="J599" s="1811"/>
      <c r="K599" s="1810" t="s">
        <v>400</v>
      </c>
    </row>
    <row r="600" spans="1:11" x14ac:dyDescent="0.2">
      <c r="A600" s="1809" t="s">
        <v>10096</v>
      </c>
      <c r="B600" s="1808"/>
      <c r="C600" s="1807"/>
      <c r="D600" s="1807"/>
      <c r="E600" s="1806" t="s">
        <v>10095</v>
      </c>
      <c r="F600" s="1803" t="s">
        <v>1243</v>
      </c>
      <c r="G600" s="1803">
        <v>126.52</v>
      </c>
      <c r="H600" s="1805">
        <v>0</v>
      </c>
      <c r="I600" s="1805">
        <v>0</v>
      </c>
      <c r="J600" s="1804"/>
      <c r="K600" s="1803" t="s">
        <v>400</v>
      </c>
    </row>
    <row r="601" spans="1:11" x14ac:dyDescent="0.2">
      <c r="A601" s="1816" t="s">
        <v>10094</v>
      </c>
      <c r="B601" s="1815"/>
      <c r="C601" s="1814"/>
      <c r="D601" s="1814"/>
      <c r="E601" s="1813" t="s">
        <v>10093</v>
      </c>
      <c r="F601" s="1810" t="s">
        <v>1243</v>
      </c>
      <c r="G601" s="1810">
        <v>1687.27</v>
      </c>
      <c r="H601" s="1812">
        <v>0</v>
      </c>
      <c r="I601" s="1812">
        <v>0</v>
      </c>
      <c r="J601" s="1811"/>
      <c r="K601" s="1810" t="s">
        <v>400</v>
      </c>
    </row>
    <row r="602" spans="1:11" x14ac:dyDescent="0.2">
      <c r="A602" s="1809" t="s">
        <v>10092</v>
      </c>
      <c r="B602" s="1808"/>
      <c r="C602" s="1807"/>
      <c r="D602" s="1807"/>
      <c r="E602" s="1806" t="s">
        <v>10091</v>
      </c>
      <c r="F602" s="1803" t="s">
        <v>1243</v>
      </c>
      <c r="G602" s="1803">
        <v>8.4</v>
      </c>
      <c r="H602" s="1805">
        <v>0</v>
      </c>
      <c r="I602" s="1805">
        <v>0</v>
      </c>
      <c r="J602" s="1804"/>
      <c r="K602" s="1803" t="s">
        <v>400</v>
      </c>
    </row>
    <row r="603" spans="1:11" x14ac:dyDescent="0.2">
      <c r="A603" s="1816" t="s">
        <v>10090</v>
      </c>
      <c r="B603" s="1815"/>
      <c r="C603" s="1814"/>
      <c r="D603" s="1814"/>
      <c r="E603" s="1813" t="s">
        <v>10089</v>
      </c>
      <c r="F603" s="1810" t="s">
        <v>1243</v>
      </c>
      <c r="G603" s="1810">
        <v>10.94</v>
      </c>
      <c r="H603" s="1812">
        <v>0</v>
      </c>
      <c r="I603" s="1812">
        <v>0</v>
      </c>
      <c r="J603" s="1811"/>
      <c r="K603" s="1810" t="s">
        <v>400</v>
      </c>
    </row>
    <row r="604" spans="1:11" x14ac:dyDescent="0.2">
      <c r="A604" s="1809" t="s">
        <v>10088</v>
      </c>
      <c r="B604" s="1808"/>
      <c r="C604" s="1807"/>
      <c r="D604" s="1807"/>
      <c r="E604" s="1806" t="s">
        <v>10087</v>
      </c>
      <c r="F604" s="1803" t="s">
        <v>1243</v>
      </c>
      <c r="G604" s="1803">
        <v>121.89</v>
      </c>
      <c r="H604" s="1805">
        <v>0</v>
      </c>
      <c r="I604" s="1805">
        <v>0</v>
      </c>
      <c r="J604" s="1804"/>
      <c r="K604" s="1803" t="s">
        <v>400</v>
      </c>
    </row>
    <row r="605" spans="1:11" x14ac:dyDescent="0.2">
      <c r="A605" s="1816" t="s">
        <v>10086</v>
      </c>
      <c r="B605" s="1815"/>
      <c r="C605" s="1814"/>
      <c r="D605" s="1814"/>
      <c r="E605" s="1813" t="s">
        <v>10085</v>
      </c>
      <c r="F605" s="1810" t="s">
        <v>1243</v>
      </c>
      <c r="G605" s="1810">
        <v>755.42</v>
      </c>
      <c r="H605" s="1812">
        <v>0</v>
      </c>
      <c r="I605" s="1812">
        <v>0</v>
      </c>
      <c r="J605" s="1811"/>
      <c r="K605" s="1810" t="s">
        <v>400</v>
      </c>
    </row>
    <row r="606" spans="1:11" x14ac:dyDescent="0.2">
      <c r="A606" s="1809" t="s">
        <v>10084</v>
      </c>
      <c r="B606" s="1808"/>
      <c r="C606" s="1807"/>
      <c r="D606" s="1807"/>
      <c r="E606" s="1806" t="s">
        <v>10083</v>
      </c>
      <c r="F606" s="1803" t="s">
        <v>1243</v>
      </c>
      <c r="G606" s="1803">
        <v>0.5</v>
      </c>
      <c r="H606" s="1805">
        <v>0</v>
      </c>
      <c r="I606" s="1805">
        <v>0</v>
      </c>
      <c r="J606" s="1804"/>
      <c r="K606" s="1803" t="s">
        <v>400</v>
      </c>
    </row>
    <row r="607" spans="1:11" x14ac:dyDescent="0.2">
      <c r="A607" s="1832" t="s">
        <v>10082</v>
      </c>
      <c r="B607" s="1831"/>
      <c r="C607" s="1830"/>
      <c r="D607" s="1830"/>
      <c r="E607" s="1830" t="s">
        <v>10081</v>
      </c>
      <c r="F607" s="1827"/>
      <c r="G607" s="1827"/>
      <c r="H607" s="1829"/>
      <c r="I607" s="1829">
        <v>0</v>
      </c>
      <c r="J607" s="1828"/>
      <c r="K607" s="1827" t="s">
        <v>400</v>
      </c>
    </row>
    <row r="608" spans="1:11" x14ac:dyDescent="0.2">
      <c r="A608" s="1826" t="s">
        <v>10080</v>
      </c>
      <c r="B608" s="1825"/>
      <c r="C608" s="1824"/>
      <c r="D608" s="1824"/>
      <c r="E608" s="1824" t="s">
        <v>9838</v>
      </c>
      <c r="F608" s="1821"/>
      <c r="G608" s="1821"/>
      <c r="H608" s="1823"/>
      <c r="I608" s="1823">
        <v>0</v>
      </c>
      <c r="J608" s="1822"/>
      <c r="K608" s="1821" t="s">
        <v>400</v>
      </c>
    </row>
    <row r="609" spans="1:11" x14ac:dyDescent="0.2">
      <c r="A609" s="222" t="s">
        <v>10079</v>
      </c>
      <c r="B609" s="1820"/>
      <c r="C609" s="1820"/>
      <c r="D609" s="1820"/>
      <c r="E609" s="1820" t="s">
        <v>10078</v>
      </c>
      <c r="F609" s="1817"/>
      <c r="G609" s="1817"/>
      <c r="H609" s="1819"/>
      <c r="I609" s="1819">
        <v>0</v>
      </c>
      <c r="J609" s="1818"/>
      <c r="K609" s="1817" t="s">
        <v>400</v>
      </c>
    </row>
    <row r="610" spans="1:11" x14ac:dyDescent="0.2">
      <c r="A610" s="1816" t="s">
        <v>10077</v>
      </c>
      <c r="B610" s="1815"/>
      <c r="C610" s="1814"/>
      <c r="D610" s="1814"/>
      <c r="E610" s="1813" t="s">
        <v>10076</v>
      </c>
      <c r="F610" s="1810" t="s">
        <v>1243</v>
      </c>
      <c r="G610" s="1810">
        <v>647.47</v>
      </c>
      <c r="H610" s="1812">
        <v>0</v>
      </c>
      <c r="I610" s="1812">
        <v>0</v>
      </c>
      <c r="J610" s="1811"/>
      <c r="K610" s="1810" t="s">
        <v>400</v>
      </c>
    </row>
    <row r="611" spans="1:11" x14ac:dyDescent="0.2">
      <c r="A611" s="1809" t="s">
        <v>10075</v>
      </c>
      <c r="B611" s="1808"/>
      <c r="C611" s="1807"/>
      <c r="D611" s="1807"/>
      <c r="E611" s="1806" t="s">
        <v>10074</v>
      </c>
      <c r="F611" s="1803" t="s">
        <v>1243</v>
      </c>
      <c r="G611" s="1803">
        <v>101.81</v>
      </c>
      <c r="H611" s="1805">
        <v>0</v>
      </c>
      <c r="I611" s="1805">
        <v>0</v>
      </c>
      <c r="J611" s="1804"/>
      <c r="K611" s="1803" t="s">
        <v>400</v>
      </c>
    </row>
    <row r="612" spans="1:11" x14ac:dyDescent="0.2">
      <c r="A612" s="1816" t="s">
        <v>10073</v>
      </c>
      <c r="B612" s="1815"/>
      <c r="C612" s="1814"/>
      <c r="D612" s="1814"/>
      <c r="E612" s="1813" t="s">
        <v>10072</v>
      </c>
      <c r="F612" s="1810" t="s">
        <v>1243</v>
      </c>
      <c r="G612" s="1810">
        <v>706.87</v>
      </c>
      <c r="H612" s="1812">
        <v>0</v>
      </c>
      <c r="I612" s="1812">
        <v>0</v>
      </c>
      <c r="J612" s="1811"/>
      <c r="K612" s="1810" t="s">
        <v>400</v>
      </c>
    </row>
    <row r="613" spans="1:11" x14ac:dyDescent="0.2">
      <c r="A613" s="1809" t="s">
        <v>10071</v>
      </c>
      <c r="B613" s="1808"/>
      <c r="C613" s="1807"/>
      <c r="D613" s="1807"/>
      <c r="E613" s="1806" t="s">
        <v>10070</v>
      </c>
      <c r="F613" s="1803" t="s">
        <v>1243</v>
      </c>
      <c r="G613" s="1803">
        <v>2667.36</v>
      </c>
      <c r="H613" s="1805">
        <v>0</v>
      </c>
      <c r="I613" s="1805">
        <v>0</v>
      </c>
      <c r="J613" s="1804"/>
      <c r="K613" s="1803" t="s">
        <v>400</v>
      </c>
    </row>
    <row r="614" spans="1:11" x14ac:dyDescent="0.2">
      <c r="A614" s="1816" t="s">
        <v>10069</v>
      </c>
      <c r="B614" s="1815"/>
      <c r="C614" s="1814"/>
      <c r="D614" s="1814"/>
      <c r="E614" s="1813" t="s">
        <v>10068</v>
      </c>
      <c r="F614" s="1810" t="s">
        <v>1243</v>
      </c>
      <c r="G614" s="1810">
        <v>5.52</v>
      </c>
      <c r="H614" s="1812">
        <v>0</v>
      </c>
      <c r="I614" s="1812">
        <v>0</v>
      </c>
      <c r="J614" s="1811"/>
      <c r="K614" s="1810" t="s">
        <v>400</v>
      </c>
    </row>
    <row r="615" spans="1:11" x14ac:dyDescent="0.2">
      <c r="A615" s="1809" t="s">
        <v>10067</v>
      </c>
      <c r="B615" s="1808"/>
      <c r="C615" s="1807"/>
      <c r="D615" s="1807"/>
      <c r="E615" s="1806" t="s">
        <v>10066</v>
      </c>
      <c r="F615" s="1803" t="s">
        <v>1243</v>
      </c>
      <c r="G615" s="1803">
        <v>523.92999999999995</v>
      </c>
      <c r="H615" s="1805">
        <v>0</v>
      </c>
      <c r="I615" s="1805">
        <v>0</v>
      </c>
      <c r="J615" s="1804"/>
      <c r="K615" s="1803" t="s">
        <v>400</v>
      </c>
    </row>
    <row r="616" spans="1:11" x14ac:dyDescent="0.2">
      <c r="A616" s="1816" t="s">
        <v>10065</v>
      </c>
      <c r="B616" s="1815"/>
      <c r="C616" s="1814"/>
      <c r="D616" s="1814"/>
      <c r="E616" s="1813" t="s">
        <v>10064</v>
      </c>
      <c r="F616" s="1810" t="s">
        <v>1243</v>
      </c>
      <c r="G616" s="1810">
        <v>0.5</v>
      </c>
      <c r="H616" s="1812">
        <v>0</v>
      </c>
      <c r="I616" s="1812">
        <v>0</v>
      </c>
      <c r="J616" s="1811"/>
      <c r="K616" s="1810" t="s">
        <v>400</v>
      </c>
    </row>
    <row r="617" spans="1:11" x14ac:dyDescent="0.2">
      <c r="A617" s="1809" t="s">
        <v>10063</v>
      </c>
      <c r="B617" s="1808"/>
      <c r="C617" s="1807"/>
      <c r="D617" s="1807"/>
      <c r="E617" s="1806" t="s">
        <v>10062</v>
      </c>
      <c r="F617" s="1803" t="s">
        <v>1243</v>
      </c>
      <c r="G617" s="1803">
        <v>55.36</v>
      </c>
      <c r="H617" s="1805">
        <v>0</v>
      </c>
      <c r="I617" s="1805">
        <v>0</v>
      </c>
      <c r="J617" s="1804"/>
      <c r="K617" s="1803" t="s">
        <v>400</v>
      </c>
    </row>
    <row r="618" spans="1:11" x14ac:dyDescent="0.2">
      <c r="A618" s="1816" t="s">
        <v>10061</v>
      </c>
      <c r="B618" s="1815"/>
      <c r="C618" s="1814"/>
      <c r="D618" s="1814"/>
      <c r="E618" s="1813" t="s">
        <v>10060</v>
      </c>
      <c r="F618" s="1810" t="s">
        <v>1243</v>
      </c>
      <c r="G618" s="1810">
        <v>2.25</v>
      </c>
      <c r="H618" s="1812">
        <v>0</v>
      </c>
      <c r="I618" s="1812">
        <v>0</v>
      </c>
      <c r="J618" s="1811"/>
      <c r="K618" s="1810" t="s">
        <v>400</v>
      </c>
    </row>
    <row r="619" spans="1:11" x14ac:dyDescent="0.2">
      <c r="A619" s="1809" t="s">
        <v>10059</v>
      </c>
      <c r="B619" s="1808"/>
      <c r="C619" s="1807"/>
      <c r="D619" s="1807"/>
      <c r="E619" s="1806" t="s">
        <v>10058</v>
      </c>
      <c r="F619" s="1803" t="s">
        <v>1243</v>
      </c>
      <c r="G619" s="1803">
        <v>109.49</v>
      </c>
      <c r="H619" s="1805">
        <v>0</v>
      </c>
      <c r="I619" s="1805">
        <v>0</v>
      </c>
      <c r="J619" s="1804"/>
      <c r="K619" s="1803" t="s">
        <v>400</v>
      </c>
    </row>
    <row r="620" spans="1:11" x14ac:dyDescent="0.2">
      <c r="A620" s="1816" t="s">
        <v>10057</v>
      </c>
      <c r="B620" s="1815"/>
      <c r="C620" s="1814"/>
      <c r="D620" s="1814"/>
      <c r="E620" s="1813" t="s">
        <v>10056</v>
      </c>
      <c r="F620" s="1810" t="s">
        <v>1243</v>
      </c>
      <c r="G620" s="1810">
        <v>9.57</v>
      </c>
      <c r="H620" s="1812">
        <v>0</v>
      </c>
      <c r="I620" s="1812">
        <v>0</v>
      </c>
      <c r="J620" s="1811"/>
      <c r="K620" s="1810" t="s">
        <v>400</v>
      </c>
    </row>
    <row r="621" spans="1:11" x14ac:dyDescent="0.2">
      <c r="A621" s="1809" t="s">
        <v>10055</v>
      </c>
      <c r="B621" s="1808"/>
      <c r="C621" s="1807"/>
      <c r="D621" s="1807"/>
      <c r="E621" s="1806" t="s">
        <v>10054</v>
      </c>
      <c r="F621" s="1803" t="s">
        <v>1243</v>
      </c>
      <c r="G621" s="1803">
        <v>139.97</v>
      </c>
      <c r="H621" s="1805">
        <v>0</v>
      </c>
      <c r="I621" s="1805">
        <v>0</v>
      </c>
      <c r="J621" s="1804"/>
      <c r="K621" s="1803" t="s">
        <v>400</v>
      </c>
    </row>
    <row r="622" spans="1:11" x14ac:dyDescent="0.2">
      <c r="A622" s="1816" t="s">
        <v>10053</v>
      </c>
      <c r="B622" s="1815"/>
      <c r="C622" s="1814"/>
      <c r="D622" s="1814"/>
      <c r="E622" s="1813" t="s">
        <v>10052</v>
      </c>
      <c r="F622" s="1810" t="s">
        <v>1243</v>
      </c>
      <c r="G622" s="1810">
        <v>194.58</v>
      </c>
      <c r="H622" s="1812">
        <v>0</v>
      </c>
      <c r="I622" s="1812">
        <v>0</v>
      </c>
      <c r="J622" s="1811"/>
      <c r="K622" s="1810" t="s">
        <v>400</v>
      </c>
    </row>
    <row r="623" spans="1:11" x14ac:dyDescent="0.2">
      <c r="A623" s="1809" t="s">
        <v>10051</v>
      </c>
      <c r="B623" s="1808"/>
      <c r="C623" s="1807"/>
      <c r="D623" s="1807"/>
      <c r="E623" s="1806" t="s">
        <v>10050</v>
      </c>
      <c r="F623" s="1803" t="s">
        <v>1243</v>
      </c>
      <c r="G623" s="1803">
        <v>202.76</v>
      </c>
      <c r="H623" s="1805">
        <v>0</v>
      </c>
      <c r="I623" s="1805">
        <v>0</v>
      </c>
      <c r="J623" s="1804"/>
      <c r="K623" s="1803" t="s">
        <v>400</v>
      </c>
    </row>
    <row r="624" spans="1:11" x14ac:dyDescent="0.2">
      <c r="A624" s="1816" t="s">
        <v>10049</v>
      </c>
      <c r="B624" s="1815"/>
      <c r="C624" s="1814"/>
      <c r="D624" s="1814"/>
      <c r="E624" s="1813" t="s">
        <v>10048</v>
      </c>
      <c r="F624" s="1810" t="s">
        <v>1243</v>
      </c>
      <c r="G624" s="1810">
        <v>20.399999999999999</v>
      </c>
      <c r="H624" s="1812">
        <v>0</v>
      </c>
      <c r="I624" s="1812">
        <v>0</v>
      </c>
      <c r="J624" s="1811"/>
      <c r="K624" s="1810" t="s">
        <v>400</v>
      </c>
    </row>
    <row r="625" spans="1:11" x14ac:dyDescent="0.2">
      <c r="A625" s="1809" t="s">
        <v>10047</v>
      </c>
      <c r="B625" s="1808"/>
      <c r="C625" s="1807"/>
      <c r="D625" s="1807"/>
      <c r="E625" s="1806" t="s">
        <v>10046</v>
      </c>
      <c r="F625" s="1803" t="s">
        <v>1243</v>
      </c>
      <c r="G625" s="1803">
        <v>55.75</v>
      </c>
      <c r="H625" s="1805">
        <v>0</v>
      </c>
      <c r="I625" s="1805">
        <v>0</v>
      </c>
      <c r="J625" s="1804"/>
      <c r="K625" s="1803" t="s">
        <v>400</v>
      </c>
    </row>
    <row r="626" spans="1:11" x14ac:dyDescent="0.2">
      <c r="A626" s="1816" t="s">
        <v>10045</v>
      </c>
      <c r="B626" s="1815"/>
      <c r="C626" s="1814"/>
      <c r="D626" s="1814"/>
      <c r="E626" s="1813" t="s">
        <v>10044</v>
      </c>
      <c r="F626" s="1810" t="s">
        <v>1243</v>
      </c>
      <c r="G626" s="1810">
        <v>33.25</v>
      </c>
      <c r="H626" s="1812">
        <v>0</v>
      </c>
      <c r="I626" s="1812">
        <v>0</v>
      </c>
      <c r="J626" s="1811"/>
      <c r="K626" s="1810" t="s">
        <v>400</v>
      </c>
    </row>
    <row r="627" spans="1:11" x14ac:dyDescent="0.2">
      <c r="A627" s="1809" t="s">
        <v>10043</v>
      </c>
      <c r="B627" s="1808"/>
      <c r="C627" s="1807"/>
      <c r="D627" s="1807"/>
      <c r="E627" s="1806" t="s">
        <v>10042</v>
      </c>
      <c r="F627" s="1803" t="s">
        <v>1243</v>
      </c>
      <c r="G627" s="1803">
        <v>839.41</v>
      </c>
      <c r="H627" s="1805">
        <v>0</v>
      </c>
      <c r="I627" s="1805">
        <v>0</v>
      </c>
      <c r="J627" s="1804"/>
      <c r="K627" s="1803" t="s">
        <v>400</v>
      </c>
    </row>
    <row r="628" spans="1:11" x14ac:dyDescent="0.2">
      <c r="A628" s="1832" t="s">
        <v>10041</v>
      </c>
      <c r="B628" s="1831"/>
      <c r="C628" s="1830"/>
      <c r="D628" s="1830"/>
      <c r="E628" s="1830" t="s">
        <v>10040</v>
      </c>
      <c r="F628" s="1827"/>
      <c r="G628" s="1827"/>
      <c r="H628" s="1829"/>
      <c r="I628" s="1829">
        <v>0</v>
      </c>
      <c r="J628" s="1828"/>
      <c r="K628" s="1827" t="s">
        <v>400</v>
      </c>
    </row>
    <row r="629" spans="1:11" x14ac:dyDescent="0.2">
      <c r="A629" s="1826" t="s">
        <v>10039</v>
      </c>
      <c r="B629" s="1825"/>
      <c r="C629" s="1824"/>
      <c r="D629" s="1824"/>
      <c r="E629" s="1824" t="s">
        <v>9706</v>
      </c>
      <c r="F629" s="1821"/>
      <c r="G629" s="1821"/>
      <c r="H629" s="1823"/>
      <c r="I629" s="1823">
        <v>0</v>
      </c>
      <c r="J629" s="1822"/>
      <c r="K629" s="1821" t="s">
        <v>400</v>
      </c>
    </row>
    <row r="630" spans="1:11" x14ac:dyDescent="0.2">
      <c r="A630" s="222" t="s">
        <v>10038</v>
      </c>
      <c r="B630" s="1820"/>
      <c r="C630" s="1820"/>
      <c r="D630" s="1820"/>
      <c r="E630" s="1820" t="s">
        <v>10031</v>
      </c>
      <c r="F630" s="1817"/>
      <c r="G630" s="1817"/>
      <c r="H630" s="1819"/>
      <c r="I630" s="1819">
        <v>0</v>
      </c>
      <c r="J630" s="1818"/>
      <c r="K630" s="1817" t="s">
        <v>400</v>
      </c>
    </row>
    <row r="631" spans="1:11" x14ac:dyDescent="0.2">
      <c r="A631" s="1816" t="s">
        <v>10037</v>
      </c>
      <c r="B631" s="1815"/>
      <c r="C631" s="1814"/>
      <c r="D631" s="1814"/>
      <c r="E631" s="1813" t="s">
        <v>10029</v>
      </c>
      <c r="F631" s="1810" t="s">
        <v>1243</v>
      </c>
      <c r="G631" s="1810">
        <v>84.83</v>
      </c>
      <c r="H631" s="1812">
        <v>0</v>
      </c>
      <c r="I631" s="1812">
        <v>0</v>
      </c>
      <c r="J631" s="1811"/>
      <c r="K631" s="1810" t="s">
        <v>400</v>
      </c>
    </row>
    <row r="632" spans="1:11" x14ac:dyDescent="0.2">
      <c r="A632" s="1826" t="s">
        <v>10036</v>
      </c>
      <c r="B632" s="1825"/>
      <c r="C632" s="1824"/>
      <c r="D632" s="1824"/>
      <c r="E632" s="1824" t="s">
        <v>9832</v>
      </c>
      <c r="F632" s="1821"/>
      <c r="G632" s="1821"/>
      <c r="H632" s="1823"/>
      <c r="I632" s="1823">
        <v>0</v>
      </c>
      <c r="J632" s="1822"/>
      <c r="K632" s="1821" t="s">
        <v>400</v>
      </c>
    </row>
    <row r="633" spans="1:11" x14ac:dyDescent="0.2">
      <c r="A633" s="222" t="s">
        <v>10035</v>
      </c>
      <c r="B633" s="1820"/>
      <c r="C633" s="1820"/>
      <c r="D633" s="1820"/>
      <c r="E633" s="1820" t="s">
        <v>10031</v>
      </c>
      <c r="F633" s="1817"/>
      <c r="G633" s="1817"/>
      <c r="H633" s="1819"/>
      <c r="I633" s="1819">
        <v>0</v>
      </c>
      <c r="J633" s="1818"/>
      <c r="K633" s="1817" t="s">
        <v>400</v>
      </c>
    </row>
    <row r="634" spans="1:11" x14ac:dyDescent="0.2">
      <c r="A634" s="1809" t="s">
        <v>10034</v>
      </c>
      <c r="B634" s="1808"/>
      <c r="C634" s="1807"/>
      <c r="D634" s="1807"/>
      <c r="E634" s="1806" t="s">
        <v>10029</v>
      </c>
      <c r="F634" s="1803" t="s">
        <v>1243</v>
      </c>
      <c r="G634" s="1803">
        <v>252.2</v>
      </c>
      <c r="H634" s="1805">
        <v>0</v>
      </c>
      <c r="I634" s="1805">
        <v>0</v>
      </c>
      <c r="J634" s="1804"/>
      <c r="K634" s="1803" t="s">
        <v>400</v>
      </c>
    </row>
    <row r="635" spans="1:11" x14ac:dyDescent="0.2">
      <c r="A635" s="1826" t="s">
        <v>10033</v>
      </c>
      <c r="B635" s="1825"/>
      <c r="C635" s="1824"/>
      <c r="D635" s="1824"/>
      <c r="E635" s="1824" t="s">
        <v>9781</v>
      </c>
      <c r="F635" s="1821"/>
      <c r="G635" s="1821"/>
      <c r="H635" s="1823"/>
      <c r="I635" s="1823">
        <v>0</v>
      </c>
      <c r="J635" s="1822"/>
      <c r="K635" s="1821" t="s">
        <v>400</v>
      </c>
    </row>
    <row r="636" spans="1:11" x14ac:dyDescent="0.2">
      <c r="A636" s="222" t="s">
        <v>10032</v>
      </c>
      <c r="B636" s="1820"/>
      <c r="C636" s="1820"/>
      <c r="D636" s="1820"/>
      <c r="E636" s="1820" t="s">
        <v>10031</v>
      </c>
      <c r="F636" s="1817"/>
      <c r="G636" s="1817"/>
      <c r="H636" s="1819"/>
      <c r="I636" s="1819">
        <v>0</v>
      </c>
      <c r="J636" s="1818"/>
      <c r="K636" s="1817" t="s">
        <v>400</v>
      </c>
    </row>
    <row r="637" spans="1:11" x14ac:dyDescent="0.2">
      <c r="A637" s="1816" t="s">
        <v>10030</v>
      </c>
      <c r="B637" s="1815"/>
      <c r="C637" s="1814"/>
      <c r="D637" s="1814"/>
      <c r="E637" s="1813" t="s">
        <v>10029</v>
      </c>
      <c r="F637" s="1810" t="s">
        <v>1243</v>
      </c>
      <c r="G637" s="1810">
        <v>234.85</v>
      </c>
      <c r="H637" s="1812">
        <v>0</v>
      </c>
      <c r="I637" s="1812">
        <v>0</v>
      </c>
      <c r="J637" s="1811"/>
      <c r="K637" s="1810" t="s">
        <v>400</v>
      </c>
    </row>
    <row r="638" spans="1:11" x14ac:dyDescent="0.2">
      <c r="A638" s="1832" t="s">
        <v>10028</v>
      </c>
      <c r="B638" s="1831"/>
      <c r="C638" s="1830"/>
      <c r="D638" s="1830"/>
      <c r="E638" s="1830" t="s">
        <v>10027</v>
      </c>
      <c r="F638" s="1827"/>
      <c r="G638" s="1827"/>
      <c r="H638" s="1829"/>
      <c r="I638" s="1829">
        <v>0</v>
      </c>
      <c r="J638" s="1828"/>
      <c r="K638" s="1827" t="s">
        <v>400</v>
      </c>
    </row>
    <row r="639" spans="1:11" x14ac:dyDescent="0.2">
      <c r="A639" s="1826" t="s">
        <v>10026</v>
      </c>
      <c r="B639" s="1825"/>
      <c r="C639" s="1824"/>
      <c r="D639" s="1824"/>
      <c r="E639" s="1824" t="s">
        <v>9706</v>
      </c>
      <c r="F639" s="1821"/>
      <c r="G639" s="1821"/>
      <c r="H639" s="1823"/>
      <c r="I639" s="1823">
        <v>0</v>
      </c>
      <c r="J639" s="1822"/>
      <c r="K639" s="1821" t="s">
        <v>400</v>
      </c>
    </row>
    <row r="640" spans="1:11" x14ac:dyDescent="0.2">
      <c r="A640" s="1809" t="s">
        <v>10025</v>
      </c>
      <c r="B640" s="1808"/>
      <c r="C640" s="1807"/>
      <c r="D640" s="1807"/>
      <c r="E640" s="1806" t="s">
        <v>9830</v>
      </c>
      <c r="F640" s="1803" t="s">
        <v>1251</v>
      </c>
      <c r="G640" s="1803">
        <v>0.64</v>
      </c>
      <c r="H640" s="1805">
        <v>0</v>
      </c>
      <c r="I640" s="1805">
        <v>0</v>
      </c>
      <c r="J640" s="1804"/>
      <c r="K640" s="1803" t="s">
        <v>400</v>
      </c>
    </row>
    <row r="641" spans="1:11" x14ac:dyDescent="0.2">
      <c r="A641" s="1816" t="s">
        <v>10024</v>
      </c>
      <c r="B641" s="1815"/>
      <c r="C641" s="1814"/>
      <c r="D641" s="1814"/>
      <c r="E641" s="1813" t="s">
        <v>9779</v>
      </c>
      <c r="F641" s="1810" t="s">
        <v>1251</v>
      </c>
      <c r="G641" s="1810">
        <v>1.28</v>
      </c>
      <c r="H641" s="1812">
        <v>0</v>
      </c>
      <c r="I641" s="1812">
        <v>0</v>
      </c>
      <c r="J641" s="1811"/>
      <c r="K641" s="1810" t="s">
        <v>400</v>
      </c>
    </row>
    <row r="642" spans="1:11" x14ac:dyDescent="0.2">
      <c r="A642" s="1809" t="s">
        <v>10023</v>
      </c>
      <c r="B642" s="1808"/>
      <c r="C642" s="1807"/>
      <c r="D642" s="1807"/>
      <c r="E642" s="1806" t="s">
        <v>9777</v>
      </c>
      <c r="F642" s="1803" t="s">
        <v>1251</v>
      </c>
      <c r="G642" s="1803">
        <v>38.590000000000003</v>
      </c>
      <c r="H642" s="1805">
        <v>0</v>
      </c>
      <c r="I642" s="1805">
        <v>0</v>
      </c>
      <c r="J642" s="1804"/>
      <c r="K642" s="1803" t="s">
        <v>400</v>
      </c>
    </row>
    <row r="643" spans="1:11" x14ac:dyDescent="0.2">
      <c r="A643" s="1816" t="s">
        <v>10022</v>
      </c>
      <c r="B643" s="1815"/>
      <c r="C643" s="1814"/>
      <c r="D643" s="1814"/>
      <c r="E643" s="1813" t="s">
        <v>9775</v>
      </c>
      <c r="F643" s="1810" t="s">
        <v>1251</v>
      </c>
      <c r="G643" s="1810">
        <v>38.76</v>
      </c>
      <c r="H643" s="1812">
        <v>0</v>
      </c>
      <c r="I643" s="1812">
        <v>0</v>
      </c>
      <c r="J643" s="1811"/>
      <c r="K643" s="1810" t="s">
        <v>400</v>
      </c>
    </row>
    <row r="644" spans="1:11" x14ac:dyDescent="0.2">
      <c r="A644" s="1809" t="s">
        <v>10021</v>
      </c>
      <c r="B644" s="1808"/>
      <c r="C644" s="1807"/>
      <c r="D644" s="1807"/>
      <c r="E644" s="1806" t="s">
        <v>9773</v>
      </c>
      <c r="F644" s="1803" t="s">
        <v>1251</v>
      </c>
      <c r="G644" s="1803">
        <v>17.760000000000002</v>
      </c>
      <c r="H644" s="1805">
        <v>0</v>
      </c>
      <c r="I644" s="1805">
        <v>0</v>
      </c>
      <c r="J644" s="1804"/>
      <c r="K644" s="1803" t="s">
        <v>400</v>
      </c>
    </row>
    <row r="645" spans="1:11" x14ac:dyDescent="0.2">
      <c r="A645" s="1816" t="s">
        <v>10020</v>
      </c>
      <c r="B645" s="1815"/>
      <c r="C645" s="1814"/>
      <c r="D645" s="1814"/>
      <c r="E645" s="1813" t="s">
        <v>10019</v>
      </c>
      <c r="F645" s="1810" t="s">
        <v>1251</v>
      </c>
      <c r="G645" s="1810">
        <v>0.06</v>
      </c>
      <c r="H645" s="1812">
        <v>0</v>
      </c>
      <c r="I645" s="1812">
        <v>0</v>
      </c>
      <c r="J645" s="1811"/>
      <c r="K645" s="1810" t="s">
        <v>400</v>
      </c>
    </row>
    <row r="646" spans="1:11" ht="25.5" x14ac:dyDescent="0.2">
      <c r="A646" s="1809" t="s">
        <v>10018</v>
      </c>
      <c r="B646" s="1808"/>
      <c r="C646" s="1807"/>
      <c r="D646" s="1807"/>
      <c r="E646" s="1806" t="s">
        <v>10017</v>
      </c>
      <c r="F646" s="1803" t="s">
        <v>1251</v>
      </c>
      <c r="G646" s="1803">
        <v>0.05</v>
      </c>
      <c r="H646" s="1805">
        <v>0</v>
      </c>
      <c r="I646" s="1805">
        <v>0</v>
      </c>
      <c r="J646" s="1804"/>
      <c r="K646" s="1803" t="s">
        <v>400</v>
      </c>
    </row>
    <row r="647" spans="1:11" ht="25.5" x14ac:dyDescent="0.2">
      <c r="A647" s="1816" t="s">
        <v>10016</v>
      </c>
      <c r="B647" s="1815"/>
      <c r="C647" s="1814"/>
      <c r="D647" s="1814"/>
      <c r="E647" s="1813" t="s">
        <v>9824</v>
      </c>
      <c r="F647" s="1810" t="s">
        <v>1251</v>
      </c>
      <c r="G647" s="1810">
        <v>0.83</v>
      </c>
      <c r="H647" s="1812">
        <v>0</v>
      </c>
      <c r="I647" s="1812">
        <v>0</v>
      </c>
      <c r="J647" s="1811"/>
      <c r="K647" s="1810" t="s">
        <v>400</v>
      </c>
    </row>
    <row r="648" spans="1:11" ht="25.5" x14ac:dyDescent="0.2">
      <c r="A648" s="1809" t="s">
        <v>10015</v>
      </c>
      <c r="B648" s="1808"/>
      <c r="C648" s="1807"/>
      <c r="D648" s="1807"/>
      <c r="E648" s="1806" t="s">
        <v>10014</v>
      </c>
      <c r="F648" s="1803" t="s">
        <v>1251</v>
      </c>
      <c r="G648" s="1803">
        <v>0.09</v>
      </c>
      <c r="H648" s="1805">
        <v>0</v>
      </c>
      <c r="I648" s="1805">
        <v>0</v>
      </c>
      <c r="J648" s="1804"/>
      <c r="K648" s="1803" t="s">
        <v>400</v>
      </c>
    </row>
    <row r="649" spans="1:11" ht="25.5" x14ac:dyDescent="0.2">
      <c r="A649" s="1816" t="s">
        <v>10013</v>
      </c>
      <c r="B649" s="1815"/>
      <c r="C649" s="1814"/>
      <c r="D649" s="1814"/>
      <c r="E649" s="1813" t="s">
        <v>10012</v>
      </c>
      <c r="F649" s="1810" t="s">
        <v>1251</v>
      </c>
      <c r="G649" s="1810">
        <v>0.02</v>
      </c>
      <c r="H649" s="1812">
        <v>0</v>
      </c>
      <c r="I649" s="1812">
        <v>0</v>
      </c>
      <c r="J649" s="1811"/>
      <c r="K649" s="1810" t="s">
        <v>400</v>
      </c>
    </row>
    <row r="650" spans="1:11" ht="25.5" x14ac:dyDescent="0.2">
      <c r="A650" s="1809" t="s">
        <v>10011</v>
      </c>
      <c r="B650" s="1808"/>
      <c r="C650" s="1807"/>
      <c r="D650" s="1807"/>
      <c r="E650" s="1806" t="s">
        <v>10010</v>
      </c>
      <c r="F650" s="1803" t="s">
        <v>1251</v>
      </c>
      <c r="G650" s="1803">
        <v>0.03</v>
      </c>
      <c r="H650" s="1805">
        <v>0</v>
      </c>
      <c r="I650" s="1805">
        <v>0</v>
      </c>
      <c r="J650" s="1804"/>
      <c r="K650" s="1803" t="s">
        <v>400</v>
      </c>
    </row>
    <row r="651" spans="1:11" ht="25.5" x14ac:dyDescent="0.2">
      <c r="A651" s="1816" t="s">
        <v>10009</v>
      </c>
      <c r="B651" s="1815"/>
      <c r="C651" s="1814"/>
      <c r="D651" s="1814"/>
      <c r="E651" s="1813" t="s">
        <v>10008</v>
      </c>
      <c r="F651" s="1810" t="s">
        <v>1251</v>
      </c>
      <c r="G651" s="1810">
        <v>0.08</v>
      </c>
      <c r="H651" s="1812">
        <v>0</v>
      </c>
      <c r="I651" s="1812">
        <v>0</v>
      </c>
      <c r="J651" s="1811"/>
      <c r="K651" s="1810" t="s">
        <v>400</v>
      </c>
    </row>
    <row r="652" spans="1:11" ht="25.5" x14ac:dyDescent="0.2">
      <c r="A652" s="1809" t="s">
        <v>10007</v>
      </c>
      <c r="B652" s="1808"/>
      <c r="C652" s="1807"/>
      <c r="D652" s="1807"/>
      <c r="E652" s="1806" t="s">
        <v>10006</v>
      </c>
      <c r="F652" s="1803" t="s">
        <v>1251</v>
      </c>
      <c r="G652" s="1803">
        <v>0.94</v>
      </c>
      <c r="H652" s="1805">
        <v>0</v>
      </c>
      <c r="I652" s="1805">
        <v>0</v>
      </c>
      <c r="J652" s="1804"/>
      <c r="K652" s="1803" t="s">
        <v>400</v>
      </c>
    </row>
    <row r="653" spans="1:11" ht="25.5" x14ac:dyDescent="0.2">
      <c r="A653" s="1816" t="s">
        <v>10005</v>
      </c>
      <c r="B653" s="1815"/>
      <c r="C653" s="1814"/>
      <c r="D653" s="1814"/>
      <c r="E653" s="1813" t="s">
        <v>10004</v>
      </c>
      <c r="F653" s="1810" t="s">
        <v>1251</v>
      </c>
      <c r="G653" s="1810">
        <v>0.43</v>
      </c>
      <c r="H653" s="1812">
        <v>0</v>
      </c>
      <c r="I653" s="1812">
        <v>0</v>
      </c>
      <c r="J653" s="1811"/>
      <c r="K653" s="1810" t="s">
        <v>400</v>
      </c>
    </row>
    <row r="654" spans="1:11" x14ac:dyDescent="0.2">
      <c r="A654" s="1809" t="s">
        <v>10003</v>
      </c>
      <c r="B654" s="1808"/>
      <c r="C654" s="1807"/>
      <c r="D654" s="1807"/>
      <c r="E654" s="1806" t="s">
        <v>10002</v>
      </c>
      <c r="F654" s="1803" t="s">
        <v>1251</v>
      </c>
      <c r="G654" s="1803">
        <v>0.18</v>
      </c>
      <c r="H654" s="1805">
        <v>0</v>
      </c>
      <c r="I654" s="1805">
        <v>0</v>
      </c>
      <c r="J654" s="1804"/>
      <c r="K654" s="1803" t="s">
        <v>400</v>
      </c>
    </row>
    <row r="655" spans="1:11" ht="25.5" x14ac:dyDescent="0.2">
      <c r="A655" s="1816" t="s">
        <v>10001</v>
      </c>
      <c r="B655" s="1815"/>
      <c r="C655" s="1814"/>
      <c r="D655" s="1814"/>
      <c r="E655" s="1813" t="s">
        <v>10000</v>
      </c>
      <c r="F655" s="1810" t="s">
        <v>1251</v>
      </c>
      <c r="G655" s="1810">
        <v>0.06</v>
      </c>
      <c r="H655" s="1812">
        <v>0</v>
      </c>
      <c r="I655" s="1812">
        <v>0</v>
      </c>
      <c r="J655" s="1811"/>
      <c r="K655" s="1810" t="s">
        <v>400</v>
      </c>
    </row>
    <row r="656" spans="1:11" ht="25.5" x14ac:dyDescent="0.2">
      <c r="A656" s="1809" t="s">
        <v>9999</v>
      </c>
      <c r="B656" s="1808"/>
      <c r="C656" s="1807"/>
      <c r="D656" s="1807"/>
      <c r="E656" s="1806" t="s">
        <v>9998</v>
      </c>
      <c r="F656" s="1803" t="s">
        <v>1251</v>
      </c>
      <c r="G656" s="1803">
        <v>1.23</v>
      </c>
      <c r="H656" s="1805">
        <v>0</v>
      </c>
      <c r="I656" s="1805">
        <v>0</v>
      </c>
      <c r="J656" s="1804"/>
      <c r="K656" s="1803" t="s">
        <v>400</v>
      </c>
    </row>
    <row r="657" spans="1:11" ht="25.5" x14ac:dyDescent="0.2">
      <c r="A657" s="1816" t="s">
        <v>9997</v>
      </c>
      <c r="B657" s="1815"/>
      <c r="C657" s="1814"/>
      <c r="D657" s="1814"/>
      <c r="E657" s="1813" t="s">
        <v>9996</v>
      </c>
      <c r="F657" s="1810" t="s">
        <v>1251</v>
      </c>
      <c r="G657" s="1810">
        <v>0.5</v>
      </c>
      <c r="H657" s="1812">
        <v>0</v>
      </c>
      <c r="I657" s="1812">
        <v>0</v>
      </c>
      <c r="J657" s="1811"/>
      <c r="K657" s="1810" t="s">
        <v>400</v>
      </c>
    </row>
    <row r="658" spans="1:11" ht="25.5" x14ac:dyDescent="0.2">
      <c r="A658" s="1809" t="s">
        <v>9995</v>
      </c>
      <c r="B658" s="1808"/>
      <c r="C658" s="1807"/>
      <c r="D658" s="1807"/>
      <c r="E658" s="1806" t="s">
        <v>9994</v>
      </c>
      <c r="F658" s="1803" t="s">
        <v>1251</v>
      </c>
      <c r="G658" s="1803">
        <v>0.57999999999999996</v>
      </c>
      <c r="H658" s="1805">
        <v>0</v>
      </c>
      <c r="I658" s="1805">
        <v>0</v>
      </c>
      <c r="J658" s="1804"/>
      <c r="K658" s="1803" t="s">
        <v>400</v>
      </c>
    </row>
    <row r="659" spans="1:11" ht="25.5" x14ac:dyDescent="0.2">
      <c r="A659" s="1816" t="s">
        <v>9993</v>
      </c>
      <c r="B659" s="1815"/>
      <c r="C659" s="1814"/>
      <c r="D659" s="1814"/>
      <c r="E659" s="1813" t="s">
        <v>9992</v>
      </c>
      <c r="F659" s="1810" t="s">
        <v>1251</v>
      </c>
      <c r="G659" s="1810">
        <v>0.36</v>
      </c>
      <c r="H659" s="1812">
        <v>0</v>
      </c>
      <c r="I659" s="1812">
        <v>0</v>
      </c>
      <c r="J659" s="1811"/>
      <c r="K659" s="1810" t="s">
        <v>400</v>
      </c>
    </row>
    <row r="660" spans="1:11" ht="25.5" x14ac:dyDescent="0.2">
      <c r="A660" s="1809" t="s">
        <v>9991</v>
      </c>
      <c r="B660" s="1808"/>
      <c r="C660" s="1807"/>
      <c r="D660" s="1807"/>
      <c r="E660" s="1806" t="s">
        <v>9990</v>
      </c>
      <c r="F660" s="1803" t="s">
        <v>1251</v>
      </c>
      <c r="G660" s="1803">
        <v>0.2</v>
      </c>
      <c r="H660" s="1805">
        <v>0</v>
      </c>
      <c r="I660" s="1805">
        <v>0</v>
      </c>
      <c r="J660" s="1804"/>
      <c r="K660" s="1803" t="s">
        <v>400</v>
      </c>
    </row>
    <row r="661" spans="1:11" ht="25.5" x14ac:dyDescent="0.2">
      <c r="A661" s="1816" t="s">
        <v>9989</v>
      </c>
      <c r="B661" s="1815"/>
      <c r="C661" s="1814"/>
      <c r="D661" s="1814"/>
      <c r="E661" s="1813" t="s">
        <v>9988</v>
      </c>
      <c r="F661" s="1810" t="s">
        <v>1251</v>
      </c>
      <c r="G661" s="1810">
        <v>0.69</v>
      </c>
      <c r="H661" s="1812">
        <v>0</v>
      </c>
      <c r="I661" s="1812">
        <v>0</v>
      </c>
      <c r="J661" s="1811"/>
      <c r="K661" s="1810" t="s">
        <v>400</v>
      </c>
    </row>
    <row r="662" spans="1:11" ht="25.5" x14ac:dyDescent="0.2">
      <c r="A662" s="1809" t="s">
        <v>9987</v>
      </c>
      <c r="B662" s="1808"/>
      <c r="C662" s="1807"/>
      <c r="D662" s="1807"/>
      <c r="E662" s="1806" t="s">
        <v>9986</v>
      </c>
      <c r="F662" s="1803" t="s">
        <v>1251</v>
      </c>
      <c r="G662" s="1803">
        <v>0.09</v>
      </c>
      <c r="H662" s="1805">
        <v>0</v>
      </c>
      <c r="I662" s="1805">
        <v>0</v>
      </c>
      <c r="J662" s="1804"/>
      <c r="K662" s="1803" t="s">
        <v>400</v>
      </c>
    </row>
    <row r="663" spans="1:11" ht="25.5" x14ac:dyDescent="0.2">
      <c r="A663" s="1816" t="s">
        <v>9985</v>
      </c>
      <c r="B663" s="1815"/>
      <c r="C663" s="1814"/>
      <c r="D663" s="1814"/>
      <c r="E663" s="1813" t="s">
        <v>9984</v>
      </c>
      <c r="F663" s="1810" t="s">
        <v>1251</v>
      </c>
      <c r="G663" s="1810">
        <v>0.21</v>
      </c>
      <c r="H663" s="1812">
        <v>0</v>
      </c>
      <c r="I663" s="1812">
        <v>0</v>
      </c>
      <c r="J663" s="1811"/>
      <c r="K663" s="1810" t="s">
        <v>400</v>
      </c>
    </row>
    <row r="664" spans="1:11" ht="25.5" x14ac:dyDescent="0.2">
      <c r="A664" s="1809" t="s">
        <v>9983</v>
      </c>
      <c r="B664" s="1808"/>
      <c r="C664" s="1807"/>
      <c r="D664" s="1807"/>
      <c r="E664" s="1806" t="s">
        <v>9982</v>
      </c>
      <c r="F664" s="1803" t="s">
        <v>1251</v>
      </c>
      <c r="G664" s="1803">
        <v>0.02</v>
      </c>
      <c r="H664" s="1805">
        <v>0</v>
      </c>
      <c r="I664" s="1805">
        <v>0</v>
      </c>
      <c r="J664" s="1804"/>
      <c r="K664" s="1803" t="s">
        <v>400</v>
      </c>
    </row>
    <row r="665" spans="1:11" ht="25.5" x14ac:dyDescent="0.2">
      <c r="A665" s="1816" t="s">
        <v>9981</v>
      </c>
      <c r="B665" s="1815"/>
      <c r="C665" s="1814"/>
      <c r="D665" s="1814"/>
      <c r="E665" s="1813" t="s">
        <v>9980</v>
      </c>
      <c r="F665" s="1810" t="s">
        <v>1251</v>
      </c>
      <c r="G665" s="1810">
        <v>0.24</v>
      </c>
      <c r="H665" s="1812">
        <v>0</v>
      </c>
      <c r="I665" s="1812">
        <v>0</v>
      </c>
      <c r="J665" s="1811"/>
      <c r="K665" s="1810" t="s">
        <v>400</v>
      </c>
    </row>
    <row r="666" spans="1:11" ht="25.5" x14ac:dyDescent="0.2">
      <c r="A666" s="1809" t="s">
        <v>9979</v>
      </c>
      <c r="B666" s="1808"/>
      <c r="C666" s="1807"/>
      <c r="D666" s="1807"/>
      <c r="E666" s="1806" t="s">
        <v>9978</v>
      </c>
      <c r="F666" s="1803" t="s">
        <v>1251</v>
      </c>
      <c r="G666" s="1803">
        <v>0.15</v>
      </c>
      <c r="H666" s="1805">
        <v>0</v>
      </c>
      <c r="I666" s="1805">
        <v>0</v>
      </c>
      <c r="J666" s="1804"/>
      <c r="K666" s="1803" t="s">
        <v>400</v>
      </c>
    </row>
    <row r="667" spans="1:11" ht="25.5" x14ac:dyDescent="0.2">
      <c r="A667" s="1816" t="s">
        <v>9977</v>
      </c>
      <c r="B667" s="1815"/>
      <c r="C667" s="1814"/>
      <c r="D667" s="1814"/>
      <c r="E667" s="1813" t="s">
        <v>9976</v>
      </c>
      <c r="F667" s="1810" t="s">
        <v>1251</v>
      </c>
      <c r="G667" s="1810">
        <v>0.94</v>
      </c>
      <c r="H667" s="1812">
        <v>0</v>
      </c>
      <c r="I667" s="1812">
        <v>0</v>
      </c>
      <c r="J667" s="1811"/>
      <c r="K667" s="1810" t="s">
        <v>400</v>
      </c>
    </row>
    <row r="668" spans="1:11" ht="25.5" x14ac:dyDescent="0.2">
      <c r="A668" s="1809" t="s">
        <v>9975</v>
      </c>
      <c r="B668" s="1808"/>
      <c r="C668" s="1807"/>
      <c r="D668" s="1807"/>
      <c r="E668" s="1806" t="s">
        <v>9974</v>
      </c>
      <c r="F668" s="1803" t="s">
        <v>1251</v>
      </c>
      <c r="G668" s="1803">
        <v>0.19</v>
      </c>
      <c r="H668" s="1805">
        <v>0</v>
      </c>
      <c r="I668" s="1805">
        <v>0</v>
      </c>
      <c r="J668" s="1804"/>
      <c r="K668" s="1803" t="s">
        <v>400</v>
      </c>
    </row>
    <row r="669" spans="1:11" ht="25.5" x14ac:dyDescent="0.2">
      <c r="A669" s="1816" t="s">
        <v>9973</v>
      </c>
      <c r="B669" s="1815"/>
      <c r="C669" s="1814"/>
      <c r="D669" s="1814"/>
      <c r="E669" s="1813" t="s">
        <v>9755</v>
      </c>
      <c r="F669" s="1810" t="s">
        <v>1251</v>
      </c>
      <c r="G669" s="1810">
        <v>0.82</v>
      </c>
      <c r="H669" s="1812">
        <v>0</v>
      </c>
      <c r="I669" s="1812">
        <v>0</v>
      </c>
      <c r="J669" s="1811"/>
      <c r="K669" s="1810" t="s">
        <v>400</v>
      </c>
    </row>
    <row r="670" spans="1:11" ht="25.5" x14ac:dyDescent="0.2">
      <c r="A670" s="1809" t="s">
        <v>9972</v>
      </c>
      <c r="B670" s="1808"/>
      <c r="C670" s="1807"/>
      <c r="D670" s="1807"/>
      <c r="E670" s="1806" t="s">
        <v>9971</v>
      </c>
      <c r="F670" s="1803" t="s">
        <v>1251</v>
      </c>
      <c r="G670" s="1803">
        <v>4.37</v>
      </c>
      <c r="H670" s="1805">
        <v>0</v>
      </c>
      <c r="I670" s="1805">
        <v>0</v>
      </c>
      <c r="J670" s="1804"/>
      <c r="K670" s="1803" t="s">
        <v>400</v>
      </c>
    </row>
    <row r="671" spans="1:11" ht="25.5" x14ac:dyDescent="0.2">
      <c r="A671" s="1816" t="s">
        <v>9970</v>
      </c>
      <c r="B671" s="1815"/>
      <c r="C671" s="1814"/>
      <c r="D671" s="1814"/>
      <c r="E671" s="1813" t="s">
        <v>9969</v>
      </c>
      <c r="F671" s="1810" t="s">
        <v>1251</v>
      </c>
      <c r="G671" s="1810">
        <v>7.0000000000000007E-2</v>
      </c>
      <c r="H671" s="1812">
        <v>0</v>
      </c>
      <c r="I671" s="1812">
        <v>0</v>
      </c>
      <c r="J671" s="1811"/>
      <c r="K671" s="1810" t="s">
        <v>400</v>
      </c>
    </row>
    <row r="672" spans="1:11" ht="25.5" x14ac:dyDescent="0.2">
      <c r="A672" s="1809" t="s">
        <v>9968</v>
      </c>
      <c r="B672" s="1808"/>
      <c r="C672" s="1807"/>
      <c r="D672" s="1807"/>
      <c r="E672" s="1806" t="s">
        <v>9967</v>
      </c>
      <c r="F672" s="1803" t="s">
        <v>1251</v>
      </c>
      <c r="G672" s="1803">
        <v>0.22</v>
      </c>
      <c r="H672" s="1805">
        <v>0</v>
      </c>
      <c r="I672" s="1805">
        <v>0</v>
      </c>
      <c r="J672" s="1804"/>
      <c r="K672" s="1803" t="s">
        <v>400</v>
      </c>
    </row>
    <row r="673" spans="1:11" ht="25.5" x14ac:dyDescent="0.2">
      <c r="A673" s="1816" t="s">
        <v>9966</v>
      </c>
      <c r="B673" s="1815"/>
      <c r="C673" s="1814"/>
      <c r="D673" s="1814"/>
      <c r="E673" s="1813" t="s">
        <v>9965</v>
      </c>
      <c r="F673" s="1810" t="s">
        <v>1251</v>
      </c>
      <c r="G673" s="1810">
        <v>0.78</v>
      </c>
      <c r="H673" s="1812">
        <v>0</v>
      </c>
      <c r="I673" s="1812">
        <v>0</v>
      </c>
      <c r="J673" s="1811"/>
      <c r="K673" s="1810" t="s">
        <v>400</v>
      </c>
    </row>
    <row r="674" spans="1:11" ht="25.5" x14ac:dyDescent="0.2">
      <c r="A674" s="1809" t="s">
        <v>9964</v>
      </c>
      <c r="B674" s="1808"/>
      <c r="C674" s="1807"/>
      <c r="D674" s="1807"/>
      <c r="E674" s="1806" t="s">
        <v>9963</v>
      </c>
      <c r="F674" s="1803" t="s">
        <v>1251</v>
      </c>
      <c r="G674" s="1803">
        <v>0.04</v>
      </c>
      <c r="H674" s="1805">
        <v>0</v>
      </c>
      <c r="I674" s="1805">
        <v>0</v>
      </c>
      <c r="J674" s="1804"/>
      <c r="K674" s="1803" t="s">
        <v>400</v>
      </c>
    </row>
    <row r="675" spans="1:11" ht="25.5" x14ac:dyDescent="0.2">
      <c r="A675" s="1816" t="s">
        <v>9962</v>
      </c>
      <c r="B675" s="1815"/>
      <c r="C675" s="1814"/>
      <c r="D675" s="1814"/>
      <c r="E675" s="1813" t="s">
        <v>9961</v>
      </c>
      <c r="F675" s="1810" t="s">
        <v>1251</v>
      </c>
      <c r="G675" s="1810">
        <v>0.69</v>
      </c>
      <c r="H675" s="1812">
        <v>0</v>
      </c>
      <c r="I675" s="1812">
        <v>0</v>
      </c>
      <c r="J675" s="1811"/>
      <c r="K675" s="1810" t="s">
        <v>400</v>
      </c>
    </row>
    <row r="676" spans="1:11" ht="25.5" x14ac:dyDescent="0.2">
      <c r="A676" s="1809" t="s">
        <v>9960</v>
      </c>
      <c r="B676" s="1808"/>
      <c r="C676" s="1807"/>
      <c r="D676" s="1807"/>
      <c r="E676" s="1806" t="s">
        <v>9959</v>
      </c>
      <c r="F676" s="1803" t="s">
        <v>1251</v>
      </c>
      <c r="G676" s="1803">
        <v>0.69</v>
      </c>
      <c r="H676" s="1805">
        <v>0</v>
      </c>
      <c r="I676" s="1805">
        <v>0</v>
      </c>
      <c r="J676" s="1804"/>
      <c r="K676" s="1803" t="s">
        <v>400</v>
      </c>
    </row>
    <row r="677" spans="1:11" ht="25.5" x14ac:dyDescent="0.2">
      <c r="A677" s="1816" t="s">
        <v>9958</v>
      </c>
      <c r="B677" s="1815"/>
      <c r="C677" s="1814"/>
      <c r="D677" s="1814"/>
      <c r="E677" s="1813" t="s">
        <v>9957</v>
      </c>
      <c r="F677" s="1810" t="s">
        <v>1251</v>
      </c>
      <c r="G677" s="1810">
        <v>0.01</v>
      </c>
      <c r="H677" s="1812">
        <v>0</v>
      </c>
      <c r="I677" s="1812">
        <v>0</v>
      </c>
      <c r="J677" s="1811"/>
      <c r="K677" s="1810" t="s">
        <v>400</v>
      </c>
    </row>
    <row r="678" spans="1:11" ht="25.5" x14ac:dyDescent="0.2">
      <c r="A678" s="1809" t="s">
        <v>9956</v>
      </c>
      <c r="B678" s="1808"/>
      <c r="C678" s="1807"/>
      <c r="D678" s="1807"/>
      <c r="E678" s="1806" t="s">
        <v>9955</v>
      </c>
      <c r="F678" s="1803" t="s">
        <v>1251</v>
      </c>
      <c r="G678" s="1803">
        <v>0.04</v>
      </c>
      <c r="H678" s="1805">
        <v>0</v>
      </c>
      <c r="I678" s="1805">
        <v>0</v>
      </c>
      <c r="J678" s="1804"/>
      <c r="K678" s="1803" t="s">
        <v>400</v>
      </c>
    </row>
    <row r="679" spans="1:11" ht="25.5" x14ac:dyDescent="0.2">
      <c r="A679" s="1816" t="s">
        <v>9954</v>
      </c>
      <c r="B679" s="1815"/>
      <c r="C679" s="1814"/>
      <c r="D679" s="1814"/>
      <c r="E679" s="1813" t="s">
        <v>9953</v>
      </c>
      <c r="F679" s="1810" t="s">
        <v>1251</v>
      </c>
      <c r="G679" s="1810">
        <v>0.28000000000000003</v>
      </c>
      <c r="H679" s="1812">
        <v>0</v>
      </c>
      <c r="I679" s="1812">
        <v>0</v>
      </c>
      <c r="J679" s="1811"/>
      <c r="K679" s="1810" t="s">
        <v>400</v>
      </c>
    </row>
    <row r="680" spans="1:11" ht="25.5" x14ac:dyDescent="0.2">
      <c r="A680" s="1809" t="s">
        <v>9952</v>
      </c>
      <c r="B680" s="1808"/>
      <c r="C680" s="1807"/>
      <c r="D680" s="1807"/>
      <c r="E680" s="1806" t="s">
        <v>9951</v>
      </c>
      <c r="F680" s="1803" t="s">
        <v>1251</v>
      </c>
      <c r="G680" s="1803">
        <v>0.46</v>
      </c>
      <c r="H680" s="1805">
        <v>0</v>
      </c>
      <c r="I680" s="1805">
        <v>0</v>
      </c>
      <c r="J680" s="1804"/>
      <c r="K680" s="1803" t="s">
        <v>400</v>
      </c>
    </row>
    <row r="681" spans="1:11" ht="25.5" x14ac:dyDescent="0.2">
      <c r="A681" s="1816" t="s">
        <v>9950</v>
      </c>
      <c r="B681" s="1815"/>
      <c r="C681" s="1814"/>
      <c r="D681" s="1814"/>
      <c r="E681" s="1813" t="s">
        <v>9949</v>
      </c>
      <c r="F681" s="1810" t="s">
        <v>1251</v>
      </c>
      <c r="G681" s="1810">
        <v>0.31</v>
      </c>
      <c r="H681" s="1812">
        <v>0</v>
      </c>
      <c r="I681" s="1812">
        <v>0</v>
      </c>
      <c r="J681" s="1811"/>
      <c r="K681" s="1810" t="s">
        <v>400</v>
      </c>
    </row>
    <row r="682" spans="1:11" ht="25.5" x14ac:dyDescent="0.2">
      <c r="A682" s="1809" t="s">
        <v>9948</v>
      </c>
      <c r="B682" s="1808"/>
      <c r="C682" s="1807"/>
      <c r="D682" s="1807"/>
      <c r="E682" s="1806" t="s">
        <v>9947</v>
      </c>
      <c r="F682" s="1803" t="s">
        <v>1251</v>
      </c>
      <c r="G682" s="1803">
        <v>1</v>
      </c>
      <c r="H682" s="1805">
        <v>0</v>
      </c>
      <c r="I682" s="1805">
        <v>0</v>
      </c>
      <c r="J682" s="1804"/>
      <c r="K682" s="1803" t="s">
        <v>400</v>
      </c>
    </row>
    <row r="683" spans="1:11" ht="25.5" x14ac:dyDescent="0.2">
      <c r="A683" s="1816" t="s">
        <v>9946</v>
      </c>
      <c r="B683" s="1815"/>
      <c r="C683" s="1814"/>
      <c r="D683" s="1814"/>
      <c r="E683" s="1813" t="s">
        <v>9945</v>
      </c>
      <c r="F683" s="1810" t="s">
        <v>1251</v>
      </c>
      <c r="G683" s="1810">
        <v>0.05</v>
      </c>
      <c r="H683" s="1812">
        <v>0</v>
      </c>
      <c r="I683" s="1812">
        <v>0</v>
      </c>
      <c r="J683" s="1811"/>
      <c r="K683" s="1810" t="s">
        <v>400</v>
      </c>
    </row>
    <row r="684" spans="1:11" ht="25.5" x14ac:dyDescent="0.2">
      <c r="A684" s="1809" t="s">
        <v>9944</v>
      </c>
      <c r="B684" s="1808"/>
      <c r="C684" s="1807"/>
      <c r="D684" s="1807"/>
      <c r="E684" s="1806" t="s">
        <v>9943</v>
      </c>
      <c r="F684" s="1803" t="s">
        <v>1251</v>
      </c>
      <c r="G684" s="1803">
        <v>1.41</v>
      </c>
      <c r="H684" s="1805">
        <v>0</v>
      </c>
      <c r="I684" s="1805">
        <v>0</v>
      </c>
      <c r="J684" s="1804"/>
      <c r="K684" s="1803" t="s">
        <v>400</v>
      </c>
    </row>
    <row r="685" spans="1:11" ht="25.5" x14ac:dyDescent="0.2">
      <c r="A685" s="1816" t="s">
        <v>9942</v>
      </c>
      <c r="B685" s="1815"/>
      <c r="C685" s="1814"/>
      <c r="D685" s="1814"/>
      <c r="E685" s="1813" t="s">
        <v>9941</v>
      </c>
      <c r="F685" s="1810" t="s">
        <v>1251</v>
      </c>
      <c r="G685" s="1810">
        <v>0.74</v>
      </c>
      <c r="H685" s="1812">
        <v>0</v>
      </c>
      <c r="I685" s="1812">
        <v>0</v>
      </c>
      <c r="J685" s="1811"/>
      <c r="K685" s="1810" t="s">
        <v>400</v>
      </c>
    </row>
    <row r="686" spans="1:11" ht="25.5" x14ac:dyDescent="0.2">
      <c r="A686" s="1809" t="s">
        <v>9940</v>
      </c>
      <c r="B686" s="1808"/>
      <c r="C686" s="1807"/>
      <c r="D686" s="1807"/>
      <c r="E686" s="1806" t="s">
        <v>9939</v>
      </c>
      <c r="F686" s="1803" t="s">
        <v>1251</v>
      </c>
      <c r="G686" s="1803">
        <v>0.3</v>
      </c>
      <c r="H686" s="1805">
        <v>0</v>
      </c>
      <c r="I686" s="1805">
        <v>0</v>
      </c>
      <c r="J686" s="1804"/>
      <c r="K686" s="1803" t="s">
        <v>400</v>
      </c>
    </row>
    <row r="687" spans="1:11" ht="25.5" x14ac:dyDescent="0.2">
      <c r="A687" s="1816" t="s">
        <v>9938</v>
      </c>
      <c r="B687" s="1815"/>
      <c r="C687" s="1814"/>
      <c r="D687" s="1814"/>
      <c r="E687" s="1813" t="s">
        <v>9937</v>
      </c>
      <c r="F687" s="1810" t="s">
        <v>1251</v>
      </c>
      <c r="G687" s="1810">
        <v>0.59</v>
      </c>
      <c r="H687" s="1812">
        <v>0</v>
      </c>
      <c r="I687" s="1812">
        <v>0</v>
      </c>
      <c r="J687" s="1811"/>
      <c r="K687" s="1810" t="s">
        <v>400</v>
      </c>
    </row>
    <row r="688" spans="1:11" ht="25.5" x14ac:dyDescent="0.2">
      <c r="A688" s="1809" t="s">
        <v>9936</v>
      </c>
      <c r="B688" s="1808"/>
      <c r="C688" s="1807"/>
      <c r="D688" s="1807"/>
      <c r="E688" s="1806" t="s">
        <v>9935</v>
      </c>
      <c r="F688" s="1803" t="s">
        <v>1251</v>
      </c>
      <c r="G688" s="1803"/>
      <c r="H688" s="1805">
        <v>0</v>
      </c>
      <c r="I688" s="1805">
        <v>0</v>
      </c>
      <c r="J688" s="1804"/>
      <c r="K688" s="1803" t="s">
        <v>400</v>
      </c>
    </row>
    <row r="689" spans="1:11" ht="25.5" x14ac:dyDescent="0.2">
      <c r="A689" s="1816" t="s">
        <v>9934</v>
      </c>
      <c r="B689" s="1815"/>
      <c r="C689" s="1814"/>
      <c r="D689" s="1814"/>
      <c r="E689" s="1813" t="s">
        <v>9806</v>
      </c>
      <c r="F689" s="1810" t="s">
        <v>1251</v>
      </c>
      <c r="G689" s="1810">
        <v>0.09</v>
      </c>
      <c r="H689" s="1812">
        <v>0</v>
      </c>
      <c r="I689" s="1812">
        <v>0</v>
      </c>
      <c r="J689" s="1811"/>
      <c r="K689" s="1810" t="s">
        <v>400</v>
      </c>
    </row>
    <row r="690" spans="1:11" ht="25.5" x14ac:dyDescent="0.2">
      <c r="A690" s="1809" t="s">
        <v>9933</v>
      </c>
      <c r="B690" s="1808"/>
      <c r="C690" s="1807"/>
      <c r="D690" s="1807"/>
      <c r="E690" s="1806" t="s">
        <v>9932</v>
      </c>
      <c r="F690" s="1803" t="s">
        <v>1251</v>
      </c>
      <c r="G690" s="1803">
        <v>0.06</v>
      </c>
      <c r="H690" s="1805">
        <v>0</v>
      </c>
      <c r="I690" s="1805">
        <v>0</v>
      </c>
      <c r="J690" s="1804"/>
      <c r="K690" s="1803" t="s">
        <v>400</v>
      </c>
    </row>
    <row r="691" spans="1:11" ht="25.5" x14ac:dyDescent="0.2">
      <c r="A691" s="1816" t="s">
        <v>9931</v>
      </c>
      <c r="B691" s="1815"/>
      <c r="C691" s="1814"/>
      <c r="D691" s="1814"/>
      <c r="E691" s="1813" t="s">
        <v>9930</v>
      </c>
      <c r="F691" s="1810" t="s">
        <v>1251</v>
      </c>
      <c r="G691" s="1810">
        <v>7.0000000000000007E-2</v>
      </c>
      <c r="H691" s="1812">
        <v>0</v>
      </c>
      <c r="I691" s="1812">
        <v>0</v>
      </c>
      <c r="J691" s="1811"/>
      <c r="K691" s="1810" t="s">
        <v>400</v>
      </c>
    </row>
    <row r="692" spans="1:11" ht="25.5" x14ac:dyDescent="0.2">
      <c r="A692" s="1809" t="s">
        <v>9929</v>
      </c>
      <c r="B692" s="1808"/>
      <c r="C692" s="1807"/>
      <c r="D692" s="1807"/>
      <c r="E692" s="1806" t="s">
        <v>9928</v>
      </c>
      <c r="F692" s="1803" t="s">
        <v>1251</v>
      </c>
      <c r="G692" s="1803">
        <v>0.03</v>
      </c>
      <c r="H692" s="1805">
        <v>0</v>
      </c>
      <c r="I692" s="1805">
        <v>0</v>
      </c>
      <c r="J692" s="1804"/>
      <c r="K692" s="1803" t="s">
        <v>400</v>
      </c>
    </row>
    <row r="693" spans="1:11" ht="25.5" x14ac:dyDescent="0.2">
      <c r="A693" s="1816" t="s">
        <v>9927</v>
      </c>
      <c r="B693" s="1815"/>
      <c r="C693" s="1814"/>
      <c r="D693" s="1814"/>
      <c r="E693" s="1813" t="s">
        <v>9926</v>
      </c>
      <c r="F693" s="1810" t="s">
        <v>1251</v>
      </c>
      <c r="G693" s="1810"/>
      <c r="H693" s="1812">
        <v>0</v>
      </c>
      <c r="I693" s="1812">
        <v>0</v>
      </c>
      <c r="J693" s="1811"/>
      <c r="K693" s="1810" t="s">
        <v>400</v>
      </c>
    </row>
    <row r="694" spans="1:11" ht="25.5" x14ac:dyDescent="0.2">
      <c r="A694" s="1809" t="s">
        <v>9925</v>
      </c>
      <c r="B694" s="1808"/>
      <c r="C694" s="1807"/>
      <c r="D694" s="1807"/>
      <c r="E694" s="1806" t="s">
        <v>9924</v>
      </c>
      <c r="F694" s="1803" t="s">
        <v>1251</v>
      </c>
      <c r="G694" s="1803">
        <v>0.04</v>
      </c>
      <c r="H694" s="1805">
        <v>0</v>
      </c>
      <c r="I694" s="1805">
        <v>0</v>
      </c>
      <c r="J694" s="1804"/>
      <c r="K694" s="1803" t="s">
        <v>400</v>
      </c>
    </row>
    <row r="695" spans="1:11" ht="25.5" x14ac:dyDescent="0.2">
      <c r="A695" s="1816" t="s">
        <v>9923</v>
      </c>
      <c r="B695" s="1815"/>
      <c r="C695" s="1814"/>
      <c r="D695" s="1814"/>
      <c r="E695" s="1813" t="s">
        <v>9922</v>
      </c>
      <c r="F695" s="1810" t="s">
        <v>1251</v>
      </c>
      <c r="G695" s="1810">
        <v>0.09</v>
      </c>
      <c r="H695" s="1812">
        <v>0</v>
      </c>
      <c r="I695" s="1812">
        <v>0</v>
      </c>
      <c r="J695" s="1811"/>
      <c r="K695" s="1810" t="s">
        <v>400</v>
      </c>
    </row>
    <row r="696" spans="1:11" ht="25.5" x14ac:dyDescent="0.2">
      <c r="A696" s="1809" t="s">
        <v>9921</v>
      </c>
      <c r="B696" s="1808"/>
      <c r="C696" s="1807"/>
      <c r="D696" s="1807"/>
      <c r="E696" s="1806" t="s">
        <v>9920</v>
      </c>
      <c r="F696" s="1803" t="s">
        <v>1251</v>
      </c>
      <c r="G696" s="1803">
        <v>0.05</v>
      </c>
      <c r="H696" s="1805">
        <v>0</v>
      </c>
      <c r="I696" s="1805">
        <v>0</v>
      </c>
      <c r="J696" s="1804"/>
      <c r="K696" s="1803" t="s">
        <v>400</v>
      </c>
    </row>
    <row r="697" spans="1:11" ht="25.5" x14ac:dyDescent="0.2">
      <c r="A697" s="1816" t="s">
        <v>9919</v>
      </c>
      <c r="B697" s="1815"/>
      <c r="C697" s="1814"/>
      <c r="D697" s="1814"/>
      <c r="E697" s="1813" t="s">
        <v>9918</v>
      </c>
      <c r="F697" s="1810" t="s">
        <v>1251</v>
      </c>
      <c r="G697" s="1810">
        <v>0.63</v>
      </c>
      <c r="H697" s="1812">
        <v>0</v>
      </c>
      <c r="I697" s="1812">
        <v>0</v>
      </c>
      <c r="J697" s="1811"/>
      <c r="K697" s="1810" t="s">
        <v>400</v>
      </c>
    </row>
    <row r="698" spans="1:11" ht="25.5" x14ac:dyDescent="0.2">
      <c r="A698" s="1809" t="s">
        <v>9917</v>
      </c>
      <c r="B698" s="1808"/>
      <c r="C698" s="1807"/>
      <c r="D698" s="1807"/>
      <c r="E698" s="1806" t="s">
        <v>9916</v>
      </c>
      <c r="F698" s="1803" t="s">
        <v>1251</v>
      </c>
      <c r="G698" s="1803">
        <v>0.01</v>
      </c>
      <c r="H698" s="1805">
        <v>0</v>
      </c>
      <c r="I698" s="1805">
        <v>0</v>
      </c>
      <c r="J698" s="1804"/>
      <c r="K698" s="1803" t="s">
        <v>400</v>
      </c>
    </row>
    <row r="699" spans="1:11" ht="25.5" x14ac:dyDescent="0.2">
      <c r="A699" s="1816" t="s">
        <v>9915</v>
      </c>
      <c r="B699" s="1815"/>
      <c r="C699" s="1814"/>
      <c r="D699" s="1814"/>
      <c r="E699" s="1813" t="s">
        <v>9914</v>
      </c>
      <c r="F699" s="1810" t="s">
        <v>1251</v>
      </c>
      <c r="G699" s="1810">
        <v>0.04</v>
      </c>
      <c r="H699" s="1812">
        <v>0</v>
      </c>
      <c r="I699" s="1812">
        <v>0</v>
      </c>
      <c r="J699" s="1811"/>
      <c r="K699" s="1810" t="s">
        <v>400</v>
      </c>
    </row>
    <row r="700" spans="1:11" ht="25.5" x14ac:dyDescent="0.2">
      <c r="A700" s="1809" t="s">
        <v>9913</v>
      </c>
      <c r="B700" s="1808"/>
      <c r="C700" s="1807"/>
      <c r="D700" s="1807"/>
      <c r="E700" s="1806" t="s">
        <v>9912</v>
      </c>
      <c r="F700" s="1803" t="s">
        <v>1251</v>
      </c>
      <c r="G700" s="1803">
        <v>0.01</v>
      </c>
      <c r="H700" s="1805">
        <v>0</v>
      </c>
      <c r="I700" s="1805">
        <v>0</v>
      </c>
      <c r="J700" s="1804"/>
      <c r="K700" s="1803" t="s">
        <v>400</v>
      </c>
    </row>
    <row r="701" spans="1:11" ht="25.5" x14ac:dyDescent="0.2">
      <c r="A701" s="1816" t="s">
        <v>9911</v>
      </c>
      <c r="B701" s="1815"/>
      <c r="C701" s="1814"/>
      <c r="D701" s="1814"/>
      <c r="E701" s="1813" t="s">
        <v>9910</v>
      </c>
      <c r="F701" s="1810" t="s">
        <v>1251</v>
      </c>
      <c r="G701" s="1810">
        <v>0.05</v>
      </c>
      <c r="H701" s="1812">
        <v>0</v>
      </c>
      <c r="I701" s="1812">
        <v>0</v>
      </c>
      <c r="J701" s="1811"/>
      <c r="K701" s="1810" t="s">
        <v>400</v>
      </c>
    </row>
    <row r="702" spans="1:11" ht="25.5" x14ac:dyDescent="0.2">
      <c r="A702" s="1809" t="s">
        <v>9909</v>
      </c>
      <c r="B702" s="1808"/>
      <c r="C702" s="1807"/>
      <c r="D702" s="1807"/>
      <c r="E702" s="1806" t="s">
        <v>9908</v>
      </c>
      <c r="F702" s="1803" t="s">
        <v>1251</v>
      </c>
      <c r="G702" s="1803">
        <v>0.01</v>
      </c>
      <c r="H702" s="1805">
        <v>0</v>
      </c>
      <c r="I702" s="1805">
        <v>0</v>
      </c>
      <c r="J702" s="1804"/>
      <c r="K702" s="1803" t="s">
        <v>400</v>
      </c>
    </row>
    <row r="703" spans="1:11" ht="25.5" x14ac:dyDescent="0.2">
      <c r="A703" s="1816" t="s">
        <v>9907</v>
      </c>
      <c r="B703" s="1815"/>
      <c r="C703" s="1814"/>
      <c r="D703" s="1814"/>
      <c r="E703" s="1813" t="s">
        <v>9906</v>
      </c>
      <c r="F703" s="1810" t="s">
        <v>1251</v>
      </c>
      <c r="G703" s="1810">
        <v>0.01</v>
      </c>
      <c r="H703" s="1812">
        <v>0</v>
      </c>
      <c r="I703" s="1812">
        <v>0</v>
      </c>
      <c r="J703" s="1811"/>
      <c r="K703" s="1810" t="s">
        <v>400</v>
      </c>
    </row>
    <row r="704" spans="1:11" ht="25.5" x14ac:dyDescent="0.2">
      <c r="A704" s="1809" t="s">
        <v>9905</v>
      </c>
      <c r="B704" s="1808"/>
      <c r="C704" s="1807"/>
      <c r="D704" s="1807"/>
      <c r="E704" s="1806" t="s">
        <v>9798</v>
      </c>
      <c r="F704" s="1803" t="s">
        <v>1251</v>
      </c>
      <c r="G704" s="1803">
        <v>7.0000000000000007E-2</v>
      </c>
      <c r="H704" s="1805">
        <v>0</v>
      </c>
      <c r="I704" s="1805">
        <v>0</v>
      </c>
      <c r="J704" s="1804"/>
      <c r="K704" s="1803" t="s">
        <v>400</v>
      </c>
    </row>
    <row r="705" spans="1:11" ht="25.5" x14ac:dyDescent="0.2">
      <c r="A705" s="1816" t="s">
        <v>9904</v>
      </c>
      <c r="B705" s="1815"/>
      <c r="C705" s="1814"/>
      <c r="D705" s="1814"/>
      <c r="E705" s="1813" t="s">
        <v>9729</v>
      </c>
      <c r="F705" s="1810" t="s">
        <v>1251</v>
      </c>
      <c r="G705" s="1810">
        <v>0.32</v>
      </c>
      <c r="H705" s="1812">
        <v>0</v>
      </c>
      <c r="I705" s="1812">
        <v>0</v>
      </c>
      <c r="J705" s="1811"/>
      <c r="K705" s="1810" t="s">
        <v>400</v>
      </c>
    </row>
    <row r="706" spans="1:11" ht="25.5" x14ac:dyDescent="0.2">
      <c r="A706" s="1809" t="s">
        <v>9903</v>
      </c>
      <c r="B706" s="1808"/>
      <c r="C706" s="1807"/>
      <c r="D706" s="1807"/>
      <c r="E706" s="1806" t="s">
        <v>9902</v>
      </c>
      <c r="F706" s="1803" t="s">
        <v>1251</v>
      </c>
      <c r="G706" s="1803">
        <v>0.26</v>
      </c>
      <c r="H706" s="1805">
        <v>0</v>
      </c>
      <c r="I706" s="1805">
        <v>0</v>
      </c>
      <c r="J706" s="1804"/>
      <c r="K706" s="1803" t="s">
        <v>400</v>
      </c>
    </row>
    <row r="707" spans="1:11" ht="25.5" x14ac:dyDescent="0.2">
      <c r="A707" s="1816" t="s">
        <v>9901</v>
      </c>
      <c r="B707" s="1815"/>
      <c r="C707" s="1814"/>
      <c r="D707" s="1814"/>
      <c r="E707" s="1813" t="s">
        <v>9727</v>
      </c>
      <c r="F707" s="1810" t="s">
        <v>1251</v>
      </c>
      <c r="G707" s="1810">
        <v>4.28</v>
      </c>
      <c r="H707" s="1812">
        <v>0</v>
      </c>
      <c r="I707" s="1812">
        <v>0</v>
      </c>
      <c r="J707" s="1811"/>
      <c r="K707" s="1810" t="s">
        <v>400</v>
      </c>
    </row>
    <row r="708" spans="1:11" ht="25.5" x14ac:dyDescent="0.2">
      <c r="A708" s="1809" t="s">
        <v>9900</v>
      </c>
      <c r="B708" s="1808"/>
      <c r="C708" s="1807"/>
      <c r="D708" s="1807"/>
      <c r="E708" s="1806" t="s">
        <v>9899</v>
      </c>
      <c r="F708" s="1803" t="s">
        <v>1251</v>
      </c>
      <c r="G708" s="1803">
        <v>2.12</v>
      </c>
      <c r="H708" s="1805">
        <v>0</v>
      </c>
      <c r="I708" s="1805">
        <v>0</v>
      </c>
      <c r="J708" s="1804"/>
      <c r="K708" s="1803" t="s">
        <v>400</v>
      </c>
    </row>
    <row r="709" spans="1:11" ht="25.5" x14ac:dyDescent="0.2">
      <c r="A709" s="1816" t="s">
        <v>9898</v>
      </c>
      <c r="B709" s="1815"/>
      <c r="C709" s="1814"/>
      <c r="D709" s="1814"/>
      <c r="E709" s="1813" t="s">
        <v>9897</v>
      </c>
      <c r="F709" s="1810" t="s">
        <v>1251</v>
      </c>
      <c r="G709" s="1810">
        <v>0.2</v>
      </c>
      <c r="H709" s="1812">
        <v>0</v>
      </c>
      <c r="I709" s="1812">
        <v>0</v>
      </c>
      <c r="J709" s="1811"/>
      <c r="K709" s="1810" t="s">
        <v>400</v>
      </c>
    </row>
    <row r="710" spans="1:11" ht="25.5" x14ac:dyDescent="0.2">
      <c r="A710" s="1809" t="s">
        <v>9896</v>
      </c>
      <c r="B710" s="1808"/>
      <c r="C710" s="1807"/>
      <c r="D710" s="1807"/>
      <c r="E710" s="1806" t="s">
        <v>9895</v>
      </c>
      <c r="F710" s="1803" t="s">
        <v>1251</v>
      </c>
      <c r="G710" s="1803">
        <v>3.82</v>
      </c>
      <c r="H710" s="1805">
        <v>0</v>
      </c>
      <c r="I710" s="1805">
        <v>0</v>
      </c>
      <c r="J710" s="1804"/>
      <c r="K710" s="1803" t="s">
        <v>400</v>
      </c>
    </row>
    <row r="711" spans="1:11" ht="25.5" x14ac:dyDescent="0.2">
      <c r="A711" s="1816" t="s">
        <v>9894</v>
      </c>
      <c r="B711" s="1815"/>
      <c r="C711" s="1814"/>
      <c r="D711" s="1814"/>
      <c r="E711" s="1813" t="s">
        <v>9893</v>
      </c>
      <c r="F711" s="1810" t="s">
        <v>1251</v>
      </c>
      <c r="G711" s="1810">
        <v>0.86</v>
      </c>
      <c r="H711" s="1812">
        <v>0</v>
      </c>
      <c r="I711" s="1812">
        <v>0</v>
      </c>
      <c r="J711" s="1811"/>
      <c r="K711" s="1810" t="s">
        <v>400</v>
      </c>
    </row>
    <row r="712" spans="1:11" ht="25.5" x14ac:dyDescent="0.2">
      <c r="A712" s="1809" t="s">
        <v>9892</v>
      </c>
      <c r="B712" s="1808"/>
      <c r="C712" s="1807"/>
      <c r="D712" s="1807"/>
      <c r="E712" s="1806" t="s">
        <v>9891</v>
      </c>
      <c r="F712" s="1803" t="s">
        <v>1251</v>
      </c>
      <c r="G712" s="1803">
        <v>0.05</v>
      </c>
      <c r="H712" s="1805">
        <v>0</v>
      </c>
      <c r="I712" s="1805">
        <v>0</v>
      </c>
      <c r="J712" s="1804"/>
      <c r="K712" s="1803" t="s">
        <v>400</v>
      </c>
    </row>
    <row r="713" spans="1:11" ht="25.5" x14ac:dyDescent="0.2">
      <c r="A713" s="1816" t="s">
        <v>9890</v>
      </c>
      <c r="B713" s="1815"/>
      <c r="C713" s="1814"/>
      <c r="D713" s="1814"/>
      <c r="E713" s="1813" t="s">
        <v>9889</v>
      </c>
      <c r="F713" s="1810" t="s">
        <v>1251</v>
      </c>
      <c r="G713" s="1810">
        <v>0.06</v>
      </c>
      <c r="H713" s="1812">
        <v>0</v>
      </c>
      <c r="I713" s="1812">
        <v>0</v>
      </c>
      <c r="J713" s="1811"/>
      <c r="K713" s="1810" t="s">
        <v>400</v>
      </c>
    </row>
    <row r="714" spans="1:11" ht="25.5" x14ac:dyDescent="0.2">
      <c r="A714" s="1809" t="s">
        <v>9888</v>
      </c>
      <c r="B714" s="1808"/>
      <c r="C714" s="1807"/>
      <c r="D714" s="1807"/>
      <c r="E714" s="1806" t="s">
        <v>9887</v>
      </c>
      <c r="F714" s="1803" t="s">
        <v>1251</v>
      </c>
      <c r="G714" s="1803"/>
      <c r="H714" s="1805">
        <v>0</v>
      </c>
      <c r="I714" s="1805">
        <v>0</v>
      </c>
      <c r="J714" s="1804"/>
      <c r="K714" s="1803" t="s">
        <v>400</v>
      </c>
    </row>
    <row r="715" spans="1:11" ht="25.5" x14ac:dyDescent="0.2">
      <c r="A715" s="1816" t="s">
        <v>9886</v>
      </c>
      <c r="B715" s="1815"/>
      <c r="C715" s="1814"/>
      <c r="D715" s="1814"/>
      <c r="E715" s="1813" t="s">
        <v>9885</v>
      </c>
      <c r="F715" s="1810" t="s">
        <v>1251</v>
      </c>
      <c r="G715" s="1810">
        <v>0.08</v>
      </c>
      <c r="H715" s="1812">
        <v>0</v>
      </c>
      <c r="I715" s="1812">
        <v>0</v>
      </c>
      <c r="J715" s="1811"/>
      <c r="K715" s="1810" t="s">
        <v>400</v>
      </c>
    </row>
    <row r="716" spans="1:11" ht="25.5" x14ac:dyDescent="0.2">
      <c r="A716" s="1809" t="s">
        <v>9884</v>
      </c>
      <c r="B716" s="1808"/>
      <c r="C716" s="1807"/>
      <c r="D716" s="1807"/>
      <c r="E716" s="1806" t="s">
        <v>9883</v>
      </c>
      <c r="F716" s="1803" t="s">
        <v>1251</v>
      </c>
      <c r="G716" s="1803">
        <v>0.45</v>
      </c>
      <c r="H716" s="1805">
        <v>0</v>
      </c>
      <c r="I716" s="1805">
        <v>0</v>
      </c>
      <c r="J716" s="1804"/>
      <c r="K716" s="1803" t="s">
        <v>400</v>
      </c>
    </row>
    <row r="717" spans="1:11" ht="25.5" x14ac:dyDescent="0.2">
      <c r="A717" s="1816" t="s">
        <v>9882</v>
      </c>
      <c r="B717" s="1815"/>
      <c r="C717" s="1814"/>
      <c r="D717" s="1814"/>
      <c r="E717" s="1813" t="s">
        <v>9881</v>
      </c>
      <c r="F717" s="1810" t="s">
        <v>1251</v>
      </c>
      <c r="G717" s="1810">
        <v>0.1</v>
      </c>
      <c r="H717" s="1812">
        <v>0</v>
      </c>
      <c r="I717" s="1812">
        <v>0</v>
      </c>
      <c r="J717" s="1811"/>
      <c r="K717" s="1810" t="s">
        <v>400</v>
      </c>
    </row>
    <row r="718" spans="1:11" ht="25.5" x14ac:dyDescent="0.2">
      <c r="A718" s="1809" t="s">
        <v>9880</v>
      </c>
      <c r="B718" s="1808"/>
      <c r="C718" s="1807"/>
      <c r="D718" s="1807"/>
      <c r="E718" s="1806" t="s">
        <v>9879</v>
      </c>
      <c r="F718" s="1803" t="s">
        <v>1251</v>
      </c>
      <c r="G718" s="1803">
        <v>0.01</v>
      </c>
      <c r="H718" s="1805">
        <v>0</v>
      </c>
      <c r="I718" s="1805">
        <v>0</v>
      </c>
      <c r="J718" s="1804"/>
      <c r="K718" s="1803" t="s">
        <v>400</v>
      </c>
    </row>
    <row r="719" spans="1:11" ht="25.5" x14ac:dyDescent="0.2">
      <c r="A719" s="1816" t="s">
        <v>9878</v>
      </c>
      <c r="B719" s="1815"/>
      <c r="C719" s="1814"/>
      <c r="D719" s="1814"/>
      <c r="E719" s="1813" t="s">
        <v>9877</v>
      </c>
      <c r="F719" s="1810" t="s">
        <v>1251</v>
      </c>
      <c r="G719" s="1810">
        <v>0.18</v>
      </c>
      <c r="H719" s="1812">
        <v>0</v>
      </c>
      <c r="I719" s="1812">
        <v>0</v>
      </c>
      <c r="J719" s="1811"/>
      <c r="K719" s="1810" t="s">
        <v>400</v>
      </c>
    </row>
    <row r="720" spans="1:11" ht="25.5" x14ac:dyDescent="0.2">
      <c r="A720" s="1809" t="s">
        <v>9876</v>
      </c>
      <c r="B720" s="1808"/>
      <c r="C720" s="1807"/>
      <c r="D720" s="1807"/>
      <c r="E720" s="1806" t="s">
        <v>9875</v>
      </c>
      <c r="F720" s="1803" t="s">
        <v>1251</v>
      </c>
      <c r="G720" s="1803">
        <v>0.97</v>
      </c>
      <c r="H720" s="1805">
        <v>0</v>
      </c>
      <c r="I720" s="1805">
        <v>0</v>
      </c>
      <c r="J720" s="1804"/>
      <c r="K720" s="1803" t="s">
        <v>400</v>
      </c>
    </row>
    <row r="721" spans="1:11" ht="25.5" x14ac:dyDescent="0.2">
      <c r="A721" s="1816" t="s">
        <v>9874</v>
      </c>
      <c r="B721" s="1815"/>
      <c r="C721" s="1814"/>
      <c r="D721" s="1814"/>
      <c r="E721" s="1813" t="s">
        <v>9873</v>
      </c>
      <c r="F721" s="1810" t="s">
        <v>1251</v>
      </c>
      <c r="G721" s="1810">
        <v>0.04</v>
      </c>
      <c r="H721" s="1812">
        <v>0</v>
      </c>
      <c r="I721" s="1812">
        <v>0</v>
      </c>
      <c r="J721" s="1811"/>
      <c r="K721" s="1810" t="s">
        <v>400</v>
      </c>
    </row>
    <row r="722" spans="1:11" ht="25.5" x14ac:dyDescent="0.2">
      <c r="A722" s="1809" t="s">
        <v>9872</v>
      </c>
      <c r="B722" s="1808"/>
      <c r="C722" s="1807"/>
      <c r="D722" s="1807"/>
      <c r="E722" s="1806" t="s">
        <v>9871</v>
      </c>
      <c r="F722" s="1803" t="s">
        <v>1251</v>
      </c>
      <c r="G722" s="1803">
        <v>0.13</v>
      </c>
      <c r="H722" s="1805">
        <v>0</v>
      </c>
      <c r="I722" s="1805">
        <v>0</v>
      </c>
      <c r="J722" s="1804"/>
      <c r="K722" s="1803" t="s">
        <v>400</v>
      </c>
    </row>
    <row r="723" spans="1:11" ht="25.5" x14ac:dyDescent="0.2">
      <c r="A723" s="1816" t="s">
        <v>9870</v>
      </c>
      <c r="B723" s="1815"/>
      <c r="C723" s="1814"/>
      <c r="D723" s="1814"/>
      <c r="E723" s="1813" t="s">
        <v>9869</v>
      </c>
      <c r="F723" s="1810" t="s">
        <v>1251</v>
      </c>
      <c r="G723" s="1810">
        <v>0.15</v>
      </c>
      <c r="H723" s="1812">
        <v>0</v>
      </c>
      <c r="I723" s="1812">
        <v>0</v>
      </c>
      <c r="J723" s="1811"/>
      <c r="K723" s="1810" t="s">
        <v>400</v>
      </c>
    </row>
    <row r="724" spans="1:11" ht="25.5" x14ac:dyDescent="0.2">
      <c r="A724" s="1809" t="s">
        <v>9868</v>
      </c>
      <c r="B724" s="1808"/>
      <c r="C724" s="1807"/>
      <c r="D724" s="1807"/>
      <c r="E724" s="1806" t="s">
        <v>9867</v>
      </c>
      <c r="F724" s="1803" t="s">
        <v>1251</v>
      </c>
      <c r="G724" s="1803">
        <v>0.43</v>
      </c>
      <c r="H724" s="1805">
        <v>0</v>
      </c>
      <c r="I724" s="1805">
        <v>0</v>
      </c>
      <c r="J724" s="1804"/>
      <c r="K724" s="1803" t="s">
        <v>400</v>
      </c>
    </row>
    <row r="725" spans="1:11" ht="25.5" x14ac:dyDescent="0.2">
      <c r="A725" s="1816" t="s">
        <v>9866</v>
      </c>
      <c r="B725" s="1815"/>
      <c r="C725" s="1814"/>
      <c r="D725" s="1814"/>
      <c r="E725" s="1813" t="s">
        <v>9865</v>
      </c>
      <c r="F725" s="1810" t="s">
        <v>1251</v>
      </c>
      <c r="G725" s="1810">
        <v>0.71</v>
      </c>
      <c r="H725" s="1812">
        <v>0</v>
      </c>
      <c r="I725" s="1812">
        <v>0</v>
      </c>
      <c r="J725" s="1811"/>
      <c r="K725" s="1810" t="s">
        <v>400</v>
      </c>
    </row>
    <row r="726" spans="1:11" ht="25.5" x14ac:dyDescent="0.2">
      <c r="A726" s="1809" t="s">
        <v>9864</v>
      </c>
      <c r="B726" s="1808"/>
      <c r="C726" s="1807"/>
      <c r="D726" s="1807"/>
      <c r="E726" s="1806" t="s">
        <v>9863</v>
      </c>
      <c r="F726" s="1803" t="s">
        <v>1251</v>
      </c>
      <c r="G726" s="1803">
        <v>0.31</v>
      </c>
      <c r="H726" s="1805">
        <v>0</v>
      </c>
      <c r="I726" s="1805">
        <v>0</v>
      </c>
      <c r="J726" s="1804"/>
      <c r="K726" s="1803" t="s">
        <v>400</v>
      </c>
    </row>
    <row r="727" spans="1:11" ht="25.5" x14ac:dyDescent="0.2">
      <c r="A727" s="1816" t="s">
        <v>9862</v>
      </c>
      <c r="B727" s="1815"/>
      <c r="C727" s="1814"/>
      <c r="D727" s="1814"/>
      <c r="E727" s="1813" t="s">
        <v>9861</v>
      </c>
      <c r="F727" s="1810" t="s">
        <v>1251</v>
      </c>
      <c r="G727" s="1810">
        <v>0.01</v>
      </c>
      <c r="H727" s="1812">
        <v>0</v>
      </c>
      <c r="I727" s="1812">
        <v>0</v>
      </c>
      <c r="J727" s="1811"/>
      <c r="K727" s="1810" t="s">
        <v>400</v>
      </c>
    </row>
    <row r="728" spans="1:11" ht="25.5" x14ac:dyDescent="0.2">
      <c r="A728" s="1809" t="s">
        <v>9860</v>
      </c>
      <c r="B728" s="1808"/>
      <c r="C728" s="1807"/>
      <c r="D728" s="1807"/>
      <c r="E728" s="1806" t="s">
        <v>9859</v>
      </c>
      <c r="F728" s="1803" t="s">
        <v>1251</v>
      </c>
      <c r="G728" s="1803">
        <v>0.03</v>
      </c>
      <c r="H728" s="1805">
        <v>0</v>
      </c>
      <c r="I728" s="1805">
        <v>0</v>
      </c>
      <c r="J728" s="1804"/>
      <c r="K728" s="1803" t="s">
        <v>400</v>
      </c>
    </row>
    <row r="729" spans="1:11" x14ac:dyDescent="0.2">
      <c r="A729" s="1816" t="s">
        <v>9858</v>
      </c>
      <c r="B729" s="1815"/>
      <c r="C729" s="1814"/>
      <c r="D729" s="1814"/>
      <c r="E729" s="1813" t="s">
        <v>9717</v>
      </c>
      <c r="F729" s="1810" t="s">
        <v>1251</v>
      </c>
      <c r="G729" s="1810">
        <v>9.69</v>
      </c>
      <c r="H729" s="1812">
        <v>0</v>
      </c>
      <c r="I729" s="1812">
        <v>0</v>
      </c>
      <c r="J729" s="1811"/>
      <c r="K729" s="1810" t="s">
        <v>400</v>
      </c>
    </row>
    <row r="730" spans="1:11" x14ac:dyDescent="0.2">
      <c r="A730" s="1809" t="s">
        <v>9857</v>
      </c>
      <c r="B730" s="1808"/>
      <c r="C730" s="1807"/>
      <c r="D730" s="1807"/>
      <c r="E730" s="1806" t="s">
        <v>9715</v>
      </c>
      <c r="F730" s="1803" t="s">
        <v>1251</v>
      </c>
      <c r="G730" s="1803">
        <v>16.010000000000002</v>
      </c>
      <c r="H730" s="1805">
        <v>0</v>
      </c>
      <c r="I730" s="1805">
        <v>0</v>
      </c>
      <c r="J730" s="1804"/>
      <c r="K730" s="1803" t="s">
        <v>400</v>
      </c>
    </row>
    <row r="731" spans="1:11" x14ac:dyDescent="0.2">
      <c r="A731" s="1816" t="s">
        <v>9856</v>
      </c>
      <c r="B731" s="1815"/>
      <c r="C731" s="1814"/>
      <c r="D731" s="1814"/>
      <c r="E731" s="1813" t="s">
        <v>9855</v>
      </c>
      <c r="F731" s="1810" t="s">
        <v>1251</v>
      </c>
      <c r="G731" s="1810">
        <v>14.65</v>
      </c>
      <c r="H731" s="1812">
        <v>0</v>
      </c>
      <c r="I731" s="1812">
        <v>0</v>
      </c>
      <c r="J731" s="1811"/>
      <c r="K731" s="1810" t="s">
        <v>400</v>
      </c>
    </row>
    <row r="732" spans="1:11" x14ac:dyDescent="0.2">
      <c r="A732" s="1809" t="s">
        <v>9854</v>
      </c>
      <c r="B732" s="1808"/>
      <c r="C732" s="1807"/>
      <c r="D732" s="1807"/>
      <c r="E732" s="1806" t="s">
        <v>9853</v>
      </c>
      <c r="F732" s="1803" t="s">
        <v>1251</v>
      </c>
      <c r="G732" s="1803">
        <v>0.1</v>
      </c>
      <c r="H732" s="1805">
        <v>0</v>
      </c>
      <c r="I732" s="1805">
        <v>0</v>
      </c>
      <c r="J732" s="1804"/>
      <c r="K732" s="1803" t="s">
        <v>400</v>
      </c>
    </row>
    <row r="733" spans="1:11" x14ac:dyDescent="0.2">
      <c r="A733" s="1816" t="s">
        <v>9852</v>
      </c>
      <c r="B733" s="1815"/>
      <c r="C733" s="1814"/>
      <c r="D733" s="1814"/>
      <c r="E733" s="1813" t="s">
        <v>9851</v>
      </c>
      <c r="F733" s="1810" t="s">
        <v>1251</v>
      </c>
      <c r="G733" s="1810">
        <v>10.119999999999999</v>
      </c>
      <c r="H733" s="1812">
        <v>0</v>
      </c>
      <c r="I733" s="1812">
        <v>0</v>
      </c>
      <c r="J733" s="1811"/>
      <c r="K733" s="1810" t="s">
        <v>400</v>
      </c>
    </row>
    <row r="734" spans="1:11" ht="25.5" x14ac:dyDescent="0.2">
      <c r="A734" s="1809" t="s">
        <v>9850</v>
      </c>
      <c r="B734" s="1808"/>
      <c r="C734" s="1807"/>
      <c r="D734" s="1807"/>
      <c r="E734" s="1806" t="s">
        <v>9713</v>
      </c>
      <c r="F734" s="1803" t="s">
        <v>1251</v>
      </c>
      <c r="G734" s="1803">
        <v>0.78</v>
      </c>
      <c r="H734" s="1805">
        <v>0</v>
      </c>
      <c r="I734" s="1805">
        <v>0</v>
      </c>
      <c r="J734" s="1804"/>
      <c r="K734" s="1803" t="s">
        <v>400</v>
      </c>
    </row>
    <row r="735" spans="1:11" ht="25.5" x14ac:dyDescent="0.2">
      <c r="A735" s="1816" t="s">
        <v>9849</v>
      </c>
      <c r="B735" s="1815"/>
      <c r="C735" s="1814"/>
      <c r="D735" s="1814"/>
      <c r="E735" s="1813" t="s">
        <v>9848</v>
      </c>
      <c r="F735" s="1810" t="s">
        <v>1251</v>
      </c>
      <c r="G735" s="1810">
        <v>0.28000000000000003</v>
      </c>
      <c r="H735" s="1812">
        <v>0</v>
      </c>
      <c r="I735" s="1812">
        <v>0</v>
      </c>
      <c r="J735" s="1811"/>
      <c r="K735" s="1810" t="s">
        <v>400</v>
      </c>
    </row>
    <row r="736" spans="1:11" ht="25.5" x14ac:dyDescent="0.2">
      <c r="A736" s="1809" t="s">
        <v>9847</v>
      </c>
      <c r="B736" s="1808"/>
      <c r="C736" s="1807"/>
      <c r="D736" s="1807"/>
      <c r="E736" s="1806" t="s">
        <v>9846</v>
      </c>
      <c r="F736" s="1803" t="s">
        <v>1251</v>
      </c>
      <c r="G736" s="1803">
        <v>0.43</v>
      </c>
      <c r="H736" s="1805">
        <v>0</v>
      </c>
      <c r="I736" s="1805">
        <v>0</v>
      </c>
      <c r="J736" s="1804"/>
      <c r="K736" s="1803" t="s">
        <v>400</v>
      </c>
    </row>
    <row r="737" spans="1:11" ht="25.5" x14ac:dyDescent="0.2">
      <c r="A737" s="1816" t="s">
        <v>9845</v>
      </c>
      <c r="B737" s="1815"/>
      <c r="C737" s="1814"/>
      <c r="D737" s="1814"/>
      <c r="E737" s="1813" t="s">
        <v>9711</v>
      </c>
      <c r="F737" s="1810" t="s">
        <v>1251</v>
      </c>
      <c r="G737" s="1810">
        <v>2.0099999999999998</v>
      </c>
      <c r="H737" s="1812">
        <v>0</v>
      </c>
      <c r="I737" s="1812">
        <v>0</v>
      </c>
      <c r="J737" s="1811"/>
      <c r="K737" s="1810" t="s">
        <v>400</v>
      </c>
    </row>
    <row r="738" spans="1:11" x14ac:dyDescent="0.2">
      <c r="A738" s="1809" t="s">
        <v>9844</v>
      </c>
      <c r="B738" s="1808"/>
      <c r="C738" s="1807"/>
      <c r="D738" s="1807"/>
      <c r="E738" s="1806" t="s">
        <v>9843</v>
      </c>
      <c r="F738" s="1803" t="s">
        <v>1251</v>
      </c>
      <c r="G738" s="1803"/>
      <c r="H738" s="1805">
        <v>0</v>
      </c>
      <c r="I738" s="1805">
        <v>0</v>
      </c>
      <c r="J738" s="1804"/>
      <c r="K738" s="1803" t="s">
        <v>400</v>
      </c>
    </row>
    <row r="739" spans="1:11" ht="25.5" x14ac:dyDescent="0.2">
      <c r="A739" s="1816" t="s">
        <v>9842</v>
      </c>
      <c r="B739" s="1815"/>
      <c r="C739" s="1814"/>
      <c r="D739" s="1814"/>
      <c r="E739" s="1813" t="s">
        <v>9709</v>
      </c>
      <c r="F739" s="1810" t="s">
        <v>1251</v>
      </c>
      <c r="G739" s="1810">
        <v>0.04</v>
      </c>
      <c r="H739" s="1812">
        <v>0</v>
      </c>
      <c r="I739" s="1812">
        <v>0</v>
      </c>
      <c r="J739" s="1811"/>
      <c r="K739" s="1810" t="s">
        <v>400</v>
      </c>
    </row>
    <row r="740" spans="1:11" x14ac:dyDescent="0.2">
      <c r="A740" s="1809" t="s">
        <v>9841</v>
      </c>
      <c r="B740" s="1808"/>
      <c r="C740" s="1807"/>
      <c r="D740" s="1807"/>
      <c r="E740" s="1806" t="s">
        <v>9840</v>
      </c>
      <c r="F740" s="1803" t="s">
        <v>1251</v>
      </c>
      <c r="G740" s="1803">
        <v>0.01</v>
      </c>
      <c r="H740" s="1805">
        <v>0</v>
      </c>
      <c r="I740" s="1805">
        <v>0</v>
      </c>
      <c r="J740" s="1804"/>
      <c r="K740" s="1803" t="s">
        <v>400</v>
      </c>
    </row>
    <row r="741" spans="1:11" x14ac:dyDescent="0.2">
      <c r="A741" s="1826" t="s">
        <v>9839</v>
      </c>
      <c r="B741" s="1825"/>
      <c r="C741" s="1824"/>
      <c r="D741" s="1824"/>
      <c r="E741" s="1824" t="s">
        <v>9838</v>
      </c>
      <c r="F741" s="1821"/>
      <c r="G741" s="1821"/>
      <c r="H741" s="1823"/>
      <c r="I741" s="1823">
        <v>0</v>
      </c>
      <c r="J741" s="1822"/>
      <c r="K741" s="1821" t="s">
        <v>400</v>
      </c>
    </row>
    <row r="742" spans="1:11" x14ac:dyDescent="0.2">
      <c r="A742" s="1816" t="s">
        <v>9837</v>
      </c>
      <c r="B742" s="1815"/>
      <c r="C742" s="1814"/>
      <c r="D742" s="1814"/>
      <c r="E742" s="1813" t="s">
        <v>9836</v>
      </c>
      <c r="F742" s="1810" t="s">
        <v>1251</v>
      </c>
      <c r="G742" s="1810">
        <v>3.33</v>
      </c>
      <c r="H742" s="1812">
        <v>0</v>
      </c>
      <c r="I742" s="1812">
        <v>0</v>
      </c>
      <c r="J742" s="1811"/>
      <c r="K742" s="1810" t="s">
        <v>400</v>
      </c>
    </row>
    <row r="743" spans="1:11" ht="25.5" x14ac:dyDescent="0.2">
      <c r="A743" s="1809" t="s">
        <v>9835</v>
      </c>
      <c r="B743" s="1808"/>
      <c r="C743" s="1807"/>
      <c r="D743" s="1807"/>
      <c r="E743" s="1806" t="s">
        <v>9834</v>
      </c>
      <c r="F743" s="1803" t="s">
        <v>1251</v>
      </c>
      <c r="G743" s="1803">
        <v>20.74</v>
      </c>
      <c r="H743" s="1805">
        <v>0</v>
      </c>
      <c r="I743" s="1805">
        <v>0</v>
      </c>
      <c r="J743" s="1804"/>
      <c r="K743" s="1803" t="s">
        <v>400</v>
      </c>
    </row>
    <row r="744" spans="1:11" x14ac:dyDescent="0.2">
      <c r="A744" s="1826" t="s">
        <v>9833</v>
      </c>
      <c r="B744" s="1825"/>
      <c r="C744" s="1824"/>
      <c r="D744" s="1824"/>
      <c r="E744" s="1824" t="s">
        <v>9832</v>
      </c>
      <c r="F744" s="1821"/>
      <c r="G744" s="1821"/>
      <c r="H744" s="1823"/>
      <c r="I744" s="1823">
        <v>0</v>
      </c>
      <c r="J744" s="1822"/>
      <c r="K744" s="1821" t="s">
        <v>400</v>
      </c>
    </row>
    <row r="745" spans="1:11" x14ac:dyDescent="0.2">
      <c r="A745" s="1816" t="s">
        <v>9831</v>
      </c>
      <c r="B745" s="1815"/>
      <c r="C745" s="1814"/>
      <c r="D745" s="1814"/>
      <c r="E745" s="1813" t="s">
        <v>9830</v>
      </c>
      <c r="F745" s="1810" t="s">
        <v>1251</v>
      </c>
      <c r="G745" s="1810">
        <v>29.85</v>
      </c>
      <c r="H745" s="1812">
        <v>0</v>
      </c>
      <c r="I745" s="1812">
        <v>0</v>
      </c>
      <c r="J745" s="1811"/>
      <c r="K745" s="1810" t="s">
        <v>400</v>
      </c>
    </row>
    <row r="746" spans="1:11" x14ac:dyDescent="0.2">
      <c r="A746" s="1809" t="s">
        <v>9829</v>
      </c>
      <c r="B746" s="1808"/>
      <c r="C746" s="1807"/>
      <c r="D746" s="1807"/>
      <c r="E746" s="1806" t="s">
        <v>9779</v>
      </c>
      <c r="F746" s="1803" t="s">
        <v>1251</v>
      </c>
      <c r="G746" s="1803">
        <v>61.48</v>
      </c>
      <c r="H746" s="1805">
        <v>0</v>
      </c>
      <c r="I746" s="1805">
        <v>0</v>
      </c>
      <c r="J746" s="1804"/>
      <c r="K746" s="1803" t="s">
        <v>400</v>
      </c>
    </row>
    <row r="747" spans="1:11" x14ac:dyDescent="0.2">
      <c r="A747" s="1816" t="s">
        <v>9828</v>
      </c>
      <c r="B747" s="1815"/>
      <c r="C747" s="1814"/>
      <c r="D747" s="1814"/>
      <c r="E747" s="1813" t="s">
        <v>9777</v>
      </c>
      <c r="F747" s="1810" t="s">
        <v>1251</v>
      </c>
      <c r="G747" s="1810">
        <v>293.95</v>
      </c>
      <c r="H747" s="1812">
        <v>0</v>
      </c>
      <c r="I747" s="1812">
        <v>0</v>
      </c>
      <c r="J747" s="1811"/>
      <c r="K747" s="1810" t="s">
        <v>400</v>
      </c>
    </row>
    <row r="748" spans="1:11" x14ac:dyDescent="0.2">
      <c r="A748" s="1809" t="s">
        <v>9827</v>
      </c>
      <c r="B748" s="1808"/>
      <c r="C748" s="1807"/>
      <c r="D748" s="1807"/>
      <c r="E748" s="1806" t="s">
        <v>9775</v>
      </c>
      <c r="F748" s="1803" t="s">
        <v>1251</v>
      </c>
      <c r="G748" s="1803">
        <v>245.86</v>
      </c>
      <c r="H748" s="1805">
        <v>0</v>
      </c>
      <c r="I748" s="1805">
        <v>0</v>
      </c>
      <c r="J748" s="1804"/>
      <c r="K748" s="1803" t="s">
        <v>400</v>
      </c>
    </row>
    <row r="749" spans="1:11" x14ac:dyDescent="0.2">
      <c r="A749" s="1816" t="s">
        <v>9826</v>
      </c>
      <c r="B749" s="1815"/>
      <c r="C749" s="1814"/>
      <c r="D749" s="1814"/>
      <c r="E749" s="1813" t="s">
        <v>9773</v>
      </c>
      <c r="F749" s="1810" t="s">
        <v>1251</v>
      </c>
      <c r="G749" s="1810">
        <v>139.41</v>
      </c>
      <c r="H749" s="1812">
        <v>0</v>
      </c>
      <c r="I749" s="1812">
        <v>0</v>
      </c>
      <c r="J749" s="1811"/>
      <c r="K749" s="1810" t="s">
        <v>400</v>
      </c>
    </row>
    <row r="750" spans="1:11" ht="25.5" x14ac:dyDescent="0.2">
      <c r="A750" s="1809" t="s">
        <v>9825</v>
      </c>
      <c r="B750" s="1808"/>
      <c r="C750" s="1807"/>
      <c r="D750" s="1807"/>
      <c r="E750" s="1806" t="s">
        <v>9824</v>
      </c>
      <c r="F750" s="1803" t="s">
        <v>1251</v>
      </c>
      <c r="G750" s="1803">
        <v>1.83</v>
      </c>
      <c r="H750" s="1805">
        <v>0</v>
      </c>
      <c r="I750" s="1805">
        <v>0</v>
      </c>
      <c r="J750" s="1804"/>
      <c r="K750" s="1803" t="s">
        <v>400</v>
      </c>
    </row>
    <row r="751" spans="1:11" ht="25.5" x14ac:dyDescent="0.2">
      <c r="A751" s="1816" t="s">
        <v>9823</v>
      </c>
      <c r="B751" s="1815"/>
      <c r="C751" s="1814"/>
      <c r="D751" s="1814"/>
      <c r="E751" s="1813" t="s">
        <v>9771</v>
      </c>
      <c r="F751" s="1810" t="s">
        <v>1251</v>
      </c>
      <c r="G751" s="1810">
        <v>0.12</v>
      </c>
      <c r="H751" s="1812">
        <v>0</v>
      </c>
      <c r="I751" s="1812">
        <v>0</v>
      </c>
      <c r="J751" s="1811"/>
      <c r="K751" s="1810" t="s">
        <v>400</v>
      </c>
    </row>
    <row r="752" spans="1:11" ht="25.5" x14ac:dyDescent="0.2">
      <c r="A752" s="1809" t="s">
        <v>9822</v>
      </c>
      <c r="B752" s="1808"/>
      <c r="C752" s="1807"/>
      <c r="D752" s="1807"/>
      <c r="E752" s="1806" t="s">
        <v>9767</v>
      </c>
      <c r="F752" s="1803" t="s">
        <v>1251</v>
      </c>
      <c r="G752" s="1803">
        <v>2.62</v>
      </c>
      <c r="H752" s="1805">
        <v>0</v>
      </c>
      <c r="I752" s="1805">
        <v>0</v>
      </c>
      <c r="J752" s="1804"/>
      <c r="K752" s="1803" t="s">
        <v>400</v>
      </c>
    </row>
    <row r="753" spans="1:11" ht="25.5" x14ac:dyDescent="0.2">
      <c r="A753" s="1816" t="s">
        <v>9821</v>
      </c>
      <c r="B753" s="1815"/>
      <c r="C753" s="1814"/>
      <c r="D753" s="1814"/>
      <c r="E753" s="1813" t="s">
        <v>9765</v>
      </c>
      <c r="F753" s="1810" t="s">
        <v>1251</v>
      </c>
      <c r="G753" s="1810">
        <v>2.92</v>
      </c>
      <c r="H753" s="1812">
        <v>0</v>
      </c>
      <c r="I753" s="1812">
        <v>0</v>
      </c>
      <c r="J753" s="1811"/>
      <c r="K753" s="1810" t="s">
        <v>400</v>
      </c>
    </row>
    <row r="754" spans="1:11" ht="25.5" x14ac:dyDescent="0.2">
      <c r="A754" s="1809" t="s">
        <v>9820</v>
      </c>
      <c r="B754" s="1808"/>
      <c r="C754" s="1807"/>
      <c r="D754" s="1807"/>
      <c r="E754" s="1806" t="s">
        <v>9819</v>
      </c>
      <c r="F754" s="1803" t="s">
        <v>1251</v>
      </c>
      <c r="G754" s="1803">
        <v>0.13</v>
      </c>
      <c r="H754" s="1805">
        <v>0</v>
      </c>
      <c r="I754" s="1805">
        <v>0</v>
      </c>
      <c r="J754" s="1804"/>
      <c r="K754" s="1803" t="s">
        <v>400</v>
      </c>
    </row>
    <row r="755" spans="1:11" ht="25.5" x14ac:dyDescent="0.2">
      <c r="A755" s="1816" t="s">
        <v>9818</v>
      </c>
      <c r="B755" s="1815"/>
      <c r="C755" s="1814"/>
      <c r="D755" s="1814"/>
      <c r="E755" s="1813" t="s">
        <v>9761</v>
      </c>
      <c r="F755" s="1810" t="s">
        <v>1251</v>
      </c>
      <c r="G755" s="1810">
        <v>0.15</v>
      </c>
      <c r="H755" s="1812">
        <v>0</v>
      </c>
      <c r="I755" s="1812">
        <v>0</v>
      </c>
      <c r="J755" s="1811"/>
      <c r="K755" s="1810" t="s">
        <v>400</v>
      </c>
    </row>
    <row r="756" spans="1:11" ht="25.5" x14ac:dyDescent="0.2">
      <c r="A756" s="1809" t="s">
        <v>9817</v>
      </c>
      <c r="B756" s="1808"/>
      <c r="C756" s="1807"/>
      <c r="D756" s="1807"/>
      <c r="E756" s="1806" t="s">
        <v>9816</v>
      </c>
      <c r="F756" s="1803" t="s">
        <v>1251</v>
      </c>
      <c r="G756" s="1803">
        <v>10.93</v>
      </c>
      <c r="H756" s="1805">
        <v>0</v>
      </c>
      <c r="I756" s="1805">
        <v>0</v>
      </c>
      <c r="J756" s="1804"/>
      <c r="K756" s="1803" t="s">
        <v>400</v>
      </c>
    </row>
    <row r="757" spans="1:11" ht="25.5" x14ac:dyDescent="0.2">
      <c r="A757" s="1816" t="s">
        <v>9815</v>
      </c>
      <c r="B757" s="1815"/>
      <c r="C757" s="1814"/>
      <c r="D757" s="1814"/>
      <c r="E757" s="1813" t="s">
        <v>9759</v>
      </c>
      <c r="F757" s="1810" t="s">
        <v>1251</v>
      </c>
      <c r="G757" s="1810">
        <v>7.83</v>
      </c>
      <c r="H757" s="1812">
        <v>0</v>
      </c>
      <c r="I757" s="1812">
        <v>0</v>
      </c>
      <c r="J757" s="1811"/>
      <c r="K757" s="1810" t="s">
        <v>400</v>
      </c>
    </row>
    <row r="758" spans="1:11" ht="25.5" x14ac:dyDescent="0.2">
      <c r="A758" s="1809" t="s">
        <v>9814</v>
      </c>
      <c r="B758" s="1808"/>
      <c r="C758" s="1807"/>
      <c r="D758" s="1807"/>
      <c r="E758" s="1806" t="s">
        <v>9757</v>
      </c>
      <c r="F758" s="1803" t="s">
        <v>1251</v>
      </c>
      <c r="G758" s="1803">
        <v>4.05</v>
      </c>
      <c r="H758" s="1805">
        <v>0</v>
      </c>
      <c r="I758" s="1805">
        <v>0</v>
      </c>
      <c r="J758" s="1804"/>
      <c r="K758" s="1803" t="s">
        <v>400</v>
      </c>
    </row>
    <row r="759" spans="1:11" ht="25.5" x14ac:dyDescent="0.2">
      <c r="A759" s="1816" t="s">
        <v>9813</v>
      </c>
      <c r="B759" s="1815"/>
      <c r="C759" s="1814"/>
      <c r="D759" s="1814"/>
      <c r="E759" s="1813" t="s">
        <v>9755</v>
      </c>
      <c r="F759" s="1810" t="s">
        <v>1251</v>
      </c>
      <c r="G759" s="1810">
        <v>1.1299999999999999</v>
      </c>
      <c r="H759" s="1812">
        <v>0</v>
      </c>
      <c r="I759" s="1812">
        <v>0</v>
      </c>
      <c r="J759" s="1811"/>
      <c r="K759" s="1810" t="s">
        <v>400</v>
      </c>
    </row>
    <row r="760" spans="1:11" ht="25.5" x14ac:dyDescent="0.2">
      <c r="A760" s="1809" t="s">
        <v>9812</v>
      </c>
      <c r="B760" s="1808"/>
      <c r="C760" s="1807"/>
      <c r="D760" s="1807"/>
      <c r="E760" s="1806" t="s">
        <v>9753</v>
      </c>
      <c r="F760" s="1803" t="s">
        <v>1251</v>
      </c>
      <c r="G760" s="1803">
        <v>11.01</v>
      </c>
      <c r="H760" s="1805">
        <v>0</v>
      </c>
      <c r="I760" s="1805">
        <v>0</v>
      </c>
      <c r="J760" s="1804"/>
      <c r="K760" s="1803" t="s">
        <v>400</v>
      </c>
    </row>
    <row r="761" spans="1:11" ht="25.5" x14ac:dyDescent="0.2">
      <c r="A761" s="1816" t="s">
        <v>9811</v>
      </c>
      <c r="B761" s="1815"/>
      <c r="C761" s="1814"/>
      <c r="D761" s="1814"/>
      <c r="E761" s="1813" t="s">
        <v>9751</v>
      </c>
      <c r="F761" s="1810" t="s">
        <v>1251</v>
      </c>
      <c r="G761" s="1810">
        <v>2.31</v>
      </c>
      <c r="H761" s="1812">
        <v>0</v>
      </c>
      <c r="I761" s="1812">
        <v>0</v>
      </c>
      <c r="J761" s="1811"/>
      <c r="K761" s="1810" t="s">
        <v>400</v>
      </c>
    </row>
    <row r="762" spans="1:11" ht="25.5" x14ac:dyDescent="0.2">
      <c r="A762" s="1809" t="s">
        <v>9810</v>
      </c>
      <c r="B762" s="1808"/>
      <c r="C762" s="1807"/>
      <c r="D762" s="1807"/>
      <c r="E762" s="1806" t="s">
        <v>9749</v>
      </c>
      <c r="F762" s="1803" t="s">
        <v>1251</v>
      </c>
      <c r="G762" s="1803">
        <v>13.14</v>
      </c>
      <c r="H762" s="1805">
        <v>0</v>
      </c>
      <c r="I762" s="1805">
        <v>0</v>
      </c>
      <c r="J762" s="1804"/>
      <c r="K762" s="1803" t="s">
        <v>400</v>
      </c>
    </row>
    <row r="763" spans="1:11" ht="25.5" x14ac:dyDescent="0.2">
      <c r="A763" s="1816" t="s">
        <v>9809</v>
      </c>
      <c r="B763" s="1815"/>
      <c r="C763" s="1814"/>
      <c r="D763" s="1814"/>
      <c r="E763" s="1813" t="s">
        <v>9747</v>
      </c>
      <c r="F763" s="1810" t="s">
        <v>1251</v>
      </c>
      <c r="G763" s="1810">
        <v>0.11</v>
      </c>
      <c r="H763" s="1812">
        <v>0</v>
      </c>
      <c r="I763" s="1812">
        <v>0</v>
      </c>
      <c r="J763" s="1811"/>
      <c r="K763" s="1810" t="s">
        <v>400</v>
      </c>
    </row>
    <row r="764" spans="1:11" ht="25.5" x14ac:dyDescent="0.2">
      <c r="A764" s="1809" t="s">
        <v>9808</v>
      </c>
      <c r="B764" s="1808"/>
      <c r="C764" s="1807"/>
      <c r="D764" s="1807"/>
      <c r="E764" s="1806" t="s">
        <v>9745</v>
      </c>
      <c r="F764" s="1803" t="s">
        <v>1251</v>
      </c>
      <c r="G764" s="1803">
        <v>15.02</v>
      </c>
      <c r="H764" s="1805">
        <v>0</v>
      </c>
      <c r="I764" s="1805">
        <v>0</v>
      </c>
      <c r="J764" s="1804"/>
      <c r="K764" s="1803" t="s">
        <v>400</v>
      </c>
    </row>
    <row r="765" spans="1:11" ht="25.5" x14ac:dyDescent="0.2">
      <c r="A765" s="1816" t="s">
        <v>9807</v>
      </c>
      <c r="B765" s="1815"/>
      <c r="C765" s="1814"/>
      <c r="D765" s="1814"/>
      <c r="E765" s="1813" t="s">
        <v>9806</v>
      </c>
      <c r="F765" s="1810" t="s">
        <v>1251</v>
      </c>
      <c r="G765" s="1810">
        <v>2.44</v>
      </c>
      <c r="H765" s="1812">
        <v>0</v>
      </c>
      <c r="I765" s="1812">
        <v>0</v>
      </c>
      <c r="J765" s="1811"/>
      <c r="K765" s="1810" t="s">
        <v>400</v>
      </c>
    </row>
    <row r="766" spans="1:11" ht="25.5" x14ac:dyDescent="0.2">
      <c r="A766" s="1809" t="s">
        <v>9805</v>
      </c>
      <c r="B766" s="1808"/>
      <c r="C766" s="1807"/>
      <c r="D766" s="1807"/>
      <c r="E766" s="1806" t="s">
        <v>9743</v>
      </c>
      <c r="F766" s="1803" t="s">
        <v>1251</v>
      </c>
      <c r="G766" s="1803">
        <v>0.17</v>
      </c>
      <c r="H766" s="1805">
        <v>0</v>
      </c>
      <c r="I766" s="1805">
        <v>0</v>
      </c>
      <c r="J766" s="1804"/>
      <c r="K766" s="1803" t="s">
        <v>400</v>
      </c>
    </row>
    <row r="767" spans="1:11" ht="25.5" x14ac:dyDescent="0.2">
      <c r="A767" s="1816" t="s">
        <v>9804</v>
      </c>
      <c r="B767" s="1815"/>
      <c r="C767" s="1814"/>
      <c r="D767" s="1814"/>
      <c r="E767" s="1813" t="s">
        <v>9737</v>
      </c>
      <c r="F767" s="1810" t="s">
        <v>1251</v>
      </c>
      <c r="G767" s="1810">
        <v>0.45</v>
      </c>
      <c r="H767" s="1812">
        <v>0</v>
      </c>
      <c r="I767" s="1812">
        <v>0</v>
      </c>
      <c r="J767" s="1811"/>
      <c r="K767" s="1810" t="s">
        <v>400</v>
      </c>
    </row>
    <row r="768" spans="1:11" ht="25.5" x14ac:dyDescent="0.2">
      <c r="A768" s="1809" t="s">
        <v>9803</v>
      </c>
      <c r="B768" s="1808"/>
      <c r="C768" s="1807"/>
      <c r="D768" s="1807"/>
      <c r="E768" s="1806" t="s">
        <v>9802</v>
      </c>
      <c r="F768" s="1803" t="s">
        <v>1251</v>
      </c>
      <c r="G768" s="1803">
        <v>0.03</v>
      </c>
      <c r="H768" s="1805">
        <v>0</v>
      </c>
      <c r="I768" s="1805">
        <v>0</v>
      </c>
      <c r="J768" s="1804"/>
      <c r="K768" s="1803" t="s">
        <v>400</v>
      </c>
    </row>
    <row r="769" spans="1:11" ht="25.5" x14ac:dyDescent="0.2">
      <c r="A769" s="1816" t="s">
        <v>9801</v>
      </c>
      <c r="B769" s="1815"/>
      <c r="C769" s="1814"/>
      <c r="D769" s="1814"/>
      <c r="E769" s="1813" t="s">
        <v>9733</v>
      </c>
      <c r="F769" s="1810" t="s">
        <v>1251</v>
      </c>
      <c r="G769" s="1810">
        <v>0.05</v>
      </c>
      <c r="H769" s="1812">
        <v>0</v>
      </c>
      <c r="I769" s="1812">
        <v>0</v>
      </c>
      <c r="J769" s="1811"/>
      <c r="K769" s="1810" t="s">
        <v>400</v>
      </c>
    </row>
    <row r="770" spans="1:11" ht="25.5" x14ac:dyDescent="0.2">
      <c r="A770" s="1809" t="s">
        <v>9800</v>
      </c>
      <c r="B770" s="1808"/>
      <c r="C770" s="1807"/>
      <c r="D770" s="1807"/>
      <c r="E770" s="1806" t="s">
        <v>9731</v>
      </c>
      <c r="F770" s="1803" t="s">
        <v>1251</v>
      </c>
      <c r="G770" s="1803">
        <v>0.06</v>
      </c>
      <c r="H770" s="1805">
        <v>0</v>
      </c>
      <c r="I770" s="1805">
        <v>0</v>
      </c>
      <c r="J770" s="1804"/>
      <c r="K770" s="1803" t="s">
        <v>400</v>
      </c>
    </row>
    <row r="771" spans="1:11" ht="25.5" x14ac:dyDescent="0.2">
      <c r="A771" s="1816" t="s">
        <v>9799</v>
      </c>
      <c r="B771" s="1815"/>
      <c r="C771" s="1814"/>
      <c r="D771" s="1814"/>
      <c r="E771" s="1813" t="s">
        <v>9798</v>
      </c>
      <c r="F771" s="1810" t="s">
        <v>1251</v>
      </c>
      <c r="G771" s="1810">
        <v>0.27</v>
      </c>
      <c r="H771" s="1812">
        <v>0</v>
      </c>
      <c r="I771" s="1812">
        <v>0</v>
      </c>
      <c r="J771" s="1811"/>
      <c r="K771" s="1810" t="s">
        <v>400</v>
      </c>
    </row>
    <row r="772" spans="1:11" ht="25.5" x14ac:dyDescent="0.2">
      <c r="A772" s="1809" t="s">
        <v>9797</v>
      </c>
      <c r="B772" s="1808"/>
      <c r="C772" s="1807"/>
      <c r="D772" s="1807"/>
      <c r="E772" s="1806" t="s">
        <v>9729</v>
      </c>
      <c r="F772" s="1803" t="s">
        <v>1251</v>
      </c>
      <c r="G772" s="1803">
        <v>0.03</v>
      </c>
      <c r="H772" s="1805">
        <v>0</v>
      </c>
      <c r="I772" s="1805">
        <v>0</v>
      </c>
      <c r="J772" s="1804"/>
      <c r="K772" s="1803" t="s">
        <v>400</v>
      </c>
    </row>
    <row r="773" spans="1:11" ht="25.5" x14ac:dyDescent="0.2">
      <c r="A773" s="1816" t="s">
        <v>9796</v>
      </c>
      <c r="B773" s="1815"/>
      <c r="C773" s="1814"/>
      <c r="D773" s="1814"/>
      <c r="E773" s="1813" t="s">
        <v>9727</v>
      </c>
      <c r="F773" s="1810" t="s">
        <v>1251</v>
      </c>
      <c r="G773" s="1810">
        <v>7.95</v>
      </c>
      <c r="H773" s="1812">
        <v>0</v>
      </c>
      <c r="I773" s="1812">
        <v>0</v>
      </c>
      <c r="J773" s="1811"/>
      <c r="K773" s="1810" t="s">
        <v>400</v>
      </c>
    </row>
    <row r="774" spans="1:11" ht="25.5" x14ac:dyDescent="0.2">
      <c r="A774" s="1809" t="s">
        <v>9795</v>
      </c>
      <c r="B774" s="1808"/>
      <c r="C774" s="1807"/>
      <c r="D774" s="1807"/>
      <c r="E774" s="1806" t="s">
        <v>9725</v>
      </c>
      <c r="F774" s="1803" t="s">
        <v>1251</v>
      </c>
      <c r="G774" s="1803">
        <v>0.44</v>
      </c>
      <c r="H774" s="1805">
        <v>0</v>
      </c>
      <c r="I774" s="1805">
        <v>0</v>
      </c>
      <c r="J774" s="1804"/>
      <c r="K774" s="1803" t="s">
        <v>400</v>
      </c>
    </row>
    <row r="775" spans="1:11" ht="25.5" x14ac:dyDescent="0.2">
      <c r="A775" s="1816" t="s">
        <v>9794</v>
      </c>
      <c r="B775" s="1815"/>
      <c r="C775" s="1814"/>
      <c r="D775" s="1814"/>
      <c r="E775" s="1813" t="s">
        <v>9723</v>
      </c>
      <c r="F775" s="1810" t="s">
        <v>1251</v>
      </c>
      <c r="G775" s="1810">
        <v>2.5499999999999998</v>
      </c>
      <c r="H775" s="1812">
        <v>0</v>
      </c>
      <c r="I775" s="1812">
        <v>0</v>
      </c>
      <c r="J775" s="1811"/>
      <c r="K775" s="1810" t="s">
        <v>400</v>
      </c>
    </row>
    <row r="776" spans="1:11" ht="25.5" x14ac:dyDescent="0.2">
      <c r="A776" s="1809" t="s">
        <v>9793</v>
      </c>
      <c r="B776" s="1808"/>
      <c r="C776" s="1807"/>
      <c r="D776" s="1807"/>
      <c r="E776" s="1806" t="s">
        <v>9721</v>
      </c>
      <c r="F776" s="1803" t="s">
        <v>1251</v>
      </c>
      <c r="G776" s="1803">
        <v>0.04</v>
      </c>
      <c r="H776" s="1805">
        <v>0</v>
      </c>
      <c r="I776" s="1805">
        <v>0</v>
      </c>
      <c r="J776" s="1804"/>
      <c r="K776" s="1803" t="s">
        <v>400</v>
      </c>
    </row>
    <row r="777" spans="1:11" ht="25.5" x14ac:dyDescent="0.2">
      <c r="A777" s="1816" t="s">
        <v>9792</v>
      </c>
      <c r="B777" s="1815"/>
      <c r="C777" s="1814"/>
      <c r="D777" s="1814"/>
      <c r="E777" s="1813" t="s">
        <v>9719</v>
      </c>
      <c r="F777" s="1810" t="s">
        <v>1251</v>
      </c>
      <c r="G777" s="1810">
        <v>3.86</v>
      </c>
      <c r="H777" s="1812">
        <v>0</v>
      </c>
      <c r="I777" s="1812">
        <v>0</v>
      </c>
      <c r="J777" s="1811"/>
      <c r="K777" s="1810" t="s">
        <v>400</v>
      </c>
    </row>
    <row r="778" spans="1:11" x14ac:dyDescent="0.2">
      <c r="A778" s="1809" t="s">
        <v>9791</v>
      </c>
      <c r="B778" s="1808"/>
      <c r="C778" s="1807"/>
      <c r="D778" s="1807"/>
      <c r="E778" s="1806" t="s">
        <v>9717</v>
      </c>
      <c r="F778" s="1803" t="s">
        <v>1251</v>
      </c>
      <c r="G778" s="1803">
        <v>0.62</v>
      </c>
      <c r="H778" s="1805">
        <v>0</v>
      </c>
      <c r="I778" s="1805">
        <v>0</v>
      </c>
      <c r="J778" s="1804"/>
      <c r="K778" s="1803" t="s">
        <v>400</v>
      </c>
    </row>
    <row r="779" spans="1:11" x14ac:dyDescent="0.2">
      <c r="A779" s="1816" t="s">
        <v>9790</v>
      </c>
      <c r="B779" s="1815"/>
      <c r="C779" s="1814"/>
      <c r="D779" s="1814"/>
      <c r="E779" s="1813" t="s">
        <v>9715</v>
      </c>
      <c r="F779" s="1810" t="s">
        <v>1251</v>
      </c>
      <c r="G779" s="1810">
        <v>136.56</v>
      </c>
      <c r="H779" s="1812">
        <v>0</v>
      </c>
      <c r="I779" s="1812">
        <v>0</v>
      </c>
      <c r="J779" s="1811"/>
      <c r="K779" s="1810" t="s">
        <v>400</v>
      </c>
    </row>
    <row r="780" spans="1:11" ht="25.5" x14ac:dyDescent="0.2">
      <c r="A780" s="1809" t="s">
        <v>9789</v>
      </c>
      <c r="B780" s="1808"/>
      <c r="C780" s="1807"/>
      <c r="D780" s="1807"/>
      <c r="E780" s="1806" t="s">
        <v>9713</v>
      </c>
      <c r="F780" s="1803" t="s">
        <v>1251</v>
      </c>
      <c r="G780" s="1803">
        <v>1.07</v>
      </c>
      <c r="H780" s="1805">
        <v>0</v>
      </c>
      <c r="I780" s="1805">
        <v>0</v>
      </c>
      <c r="J780" s="1804"/>
      <c r="K780" s="1803" t="s">
        <v>400</v>
      </c>
    </row>
    <row r="781" spans="1:11" ht="25.5" x14ac:dyDescent="0.2">
      <c r="A781" s="1816" t="s">
        <v>9788</v>
      </c>
      <c r="B781" s="1815"/>
      <c r="C781" s="1814"/>
      <c r="D781" s="1814"/>
      <c r="E781" s="1813" t="s">
        <v>9711</v>
      </c>
      <c r="F781" s="1810" t="s">
        <v>1251</v>
      </c>
      <c r="G781" s="1810">
        <v>12.29</v>
      </c>
      <c r="H781" s="1812">
        <v>0</v>
      </c>
      <c r="I781" s="1812">
        <v>0</v>
      </c>
      <c r="J781" s="1811"/>
      <c r="K781" s="1810" t="s">
        <v>400</v>
      </c>
    </row>
    <row r="782" spans="1:11" ht="25.5" x14ac:dyDescent="0.2">
      <c r="A782" s="1809" t="s">
        <v>9787</v>
      </c>
      <c r="B782" s="1808"/>
      <c r="C782" s="1807"/>
      <c r="D782" s="1807"/>
      <c r="E782" s="1806" t="s">
        <v>9786</v>
      </c>
      <c r="F782" s="1803" t="s">
        <v>1251</v>
      </c>
      <c r="G782" s="1803"/>
      <c r="H782" s="1805">
        <v>0</v>
      </c>
      <c r="I782" s="1805">
        <v>0</v>
      </c>
      <c r="J782" s="1804"/>
      <c r="K782" s="1803" t="s">
        <v>400</v>
      </c>
    </row>
    <row r="783" spans="1:11" ht="25.5" x14ac:dyDescent="0.2">
      <c r="A783" s="1816" t="s">
        <v>9785</v>
      </c>
      <c r="B783" s="1815"/>
      <c r="C783" s="1814"/>
      <c r="D783" s="1814"/>
      <c r="E783" s="1813" t="s">
        <v>9709</v>
      </c>
      <c r="F783" s="1810" t="s">
        <v>1251</v>
      </c>
      <c r="G783" s="1810">
        <v>7.0000000000000007E-2</v>
      </c>
      <c r="H783" s="1812">
        <v>0</v>
      </c>
      <c r="I783" s="1812">
        <v>0</v>
      </c>
      <c r="J783" s="1811"/>
      <c r="K783" s="1810" t="s">
        <v>400</v>
      </c>
    </row>
    <row r="784" spans="1:11" x14ac:dyDescent="0.2">
      <c r="A784" s="1809" t="s">
        <v>9784</v>
      </c>
      <c r="B784" s="1808"/>
      <c r="C784" s="1807"/>
      <c r="D784" s="1807"/>
      <c r="E784" s="1806" t="s">
        <v>9783</v>
      </c>
      <c r="F784" s="1803" t="s">
        <v>1251</v>
      </c>
      <c r="G784" s="1803">
        <v>0.08</v>
      </c>
      <c r="H784" s="1805">
        <v>0</v>
      </c>
      <c r="I784" s="1805">
        <v>0</v>
      </c>
      <c r="J784" s="1804"/>
      <c r="K784" s="1803" t="s">
        <v>400</v>
      </c>
    </row>
    <row r="785" spans="1:11" x14ac:dyDescent="0.2">
      <c r="A785" s="1826" t="s">
        <v>9782</v>
      </c>
      <c r="B785" s="1825"/>
      <c r="C785" s="1824"/>
      <c r="D785" s="1824"/>
      <c r="E785" s="1824" t="s">
        <v>9781</v>
      </c>
      <c r="F785" s="1821"/>
      <c r="G785" s="1821"/>
      <c r="H785" s="1823"/>
      <c r="I785" s="1823">
        <v>0</v>
      </c>
      <c r="J785" s="1822"/>
      <c r="K785" s="1821" t="s">
        <v>400</v>
      </c>
    </row>
    <row r="786" spans="1:11" x14ac:dyDescent="0.2">
      <c r="A786" s="1816" t="s">
        <v>9780</v>
      </c>
      <c r="B786" s="1815"/>
      <c r="C786" s="1814"/>
      <c r="D786" s="1814"/>
      <c r="E786" s="1813" t="s">
        <v>9779</v>
      </c>
      <c r="F786" s="1810" t="s">
        <v>1251</v>
      </c>
      <c r="G786" s="1810">
        <v>62.36</v>
      </c>
      <c r="H786" s="1812">
        <v>0</v>
      </c>
      <c r="I786" s="1812">
        <v>0</v>
      </c>
      <c r="J786" s="1811"/>
      <c r="K786" s="1810" t="s">
        <v>400</v>
      </c>
    </row>
    <row r="787" spans="1:11" x14ac:dyDescent="0.2">
      <c r="A787" s="1809" t="s">
        <v>9778</v>
      </c>
      <c r="B787" s="1808"/>
      <c r="C787" s="1807"/>
      <c r="D787" s="1807"/>
      <c r="E787" s="1806" t="s">
        <v>9777</v>
      </c>
      <c r="F787" s="1803" t="s">
        <v>1251</v>
      </c>
      <c r="G787" s="1803">
        <v>170.97</v>
      </c>
      <c r="H787" s="1805">
        <v>0</v>
      </c>
      <c r="I787" s="1805">
        <v>0</v>
      </c>
      <c r="J787" s="1804"/>
      <c r="K787" s="1803" t="s">
        <v>400</v>
      </c>
    </row>
    <row r="788" spans="1:11" x14ac:dyDescent="0.2">
      <c r="A788" s="1816" t="s">
        <v>9776</v>
      </c>
      <c r="B788" s="1815"/>
      <c r="C788" s="1814"/>
      <c r="D788" s="1814"/>
      <c r="E788" s="1813" t="s">
        <v>9775</v>
      </c>
      <c r="F788" s="1810" t="s">
        <v>1251</v>
      </c>
      <c r="G788" s="1810">
        <v>105.98</v>
      </c>
      <c r="H788" s="1812">
        <v>0</v>
      </c>
      <c r="I788" s="1812">
        <v>0</v>
      </c>
      <c r="J788" s="1811"/>
      <c r="K788" s="1810" t="s">
        <v>400</v>
      </c>
    </row>
    <row r="789" spans="1:11" x14ac:dyDescent="0.2">
      <c r="A789" s="1809" t="s">
        <v>9774</v>
      </c>
      <c r="B789" s="1808"/>
      <c r="C789" s="1807"/>
      <c r="D789" s="1807"/>
      <c r="E789" s="1806" t="s">
        <v>9773</v>
      </c>
      <c r="F789" s="1803" t="s">
        <v>1251</v>
      </c>
      <c r="G789" s="1803">
        <v>48.32</v>
      </c>
      <c r="H789" s="1805">
        <v>0</v>
      </c>
      <c r="I789" s="1805">
        <v>0</v>
      </c>
      <c r="J789" s="1804"/>
      <c r="K789" s="1803" t="s">
        <v>400</v>
      </c>
    </row>
    <row r="790" spans="1:11" ht="25.5" x14ac:dyDescent="0.2">
      <c r="A790" s="1816" t="s">
        <v>9772</v>
      </c>
      <c r="B790" s="1815"/>
      <c r="C790" s="1814"/>
      <c r="D790" s="1814"/>
      <c r="E790" s="1813" t="s">
        <v>9771</v>
      </c>
      <c r="F790" s="1810" t="s">
        <v>1251</v>
      </c>
      <c r="G790" s="1810">
        <v>1.96</v>
      </c>
      <c r="H790" s="1812">
        <v>0</v>
      </c>
      <c r="I790" s="1812">
        <v>0</v>
      </c>
      <c r="J790" s="1811"/>
      <c r="K790" s="1810" t="s">
        <v>400</v>
      </c>
    </row>
    <row r="791" spans="1:11" ht="25.5" x14ac:dyDescent="0.2">
      <c r="A791" s="1809" t="s">
        <v>9770</v>
      </c>
      <c r="B791" s="1808"/>
      <c r="C791" s="1807"/>
      <c r="D791" s="1807"/>
      <c r="E791" s="1806" t="s">
        <v>9769</v>
      </c>
      <c r="F791" s="1803" t="s">
        <v>1251</v>
      </c>
      <c r="G791" s="1803">
        <v>2.06</v>
      </c>
      <c r="H791" s="1805">
        <v>0</v>
      </c>
      <c r="I791" s="1805">
        <v>0</v>
      </c>
      <c r="J791" s="1804"/>
      <c r="K791" s="1803" t="s">
        <v>400</v>
      </c>
    </row>
    <row r="792" spans="1:11" ht="25.5" x14ac:dyDescent="0.2">
      <c r="A792" s="1816" t="s">
        <v>9768</v>
      </c>
      <c r="B792" s="1815"/>
      <c r="C792" s="1814"/>
      <c r="D792" s="1814"/>
      <c r="E792" s="1813" t="s">
        <v>9767</v>
      </c>
      <c r="F792" s="1810" t="s">
        <v>1251</v>
      </c>
      <c r="G792" s="1810">
        <v>1.66</v>
      </c>
      <c r="H792" s="1812">
        <v>0</v>
      </c>
      <c r="I792" s="1812">
        <v>0</v>
      </c>
      <c r="J792" s="1811"/>
      <c r="K792" s="1810" t="s">
        <v>400</v>
      </c>
    </row>
    <row r="793" spans="1:11" ht="25.5" x14ac:dyDescent="0.2">
      <c r="A793" s="1809" t="s">
        <v>9766</v>
      </c>
      <c r="B793" s="1808"/>
      <c r="C793" s="1807"/>
      <c r="D793" s="1807"/>
      <c r="E793" s="1806" t="s">
        <v>9765</v>
      </c>
      <c r="F793" s="1803" t="s">
        <v>1251</v>
      </c>
      <c r="G793" s="1803">
        <v>8.17</v>
      </c>
      <c r="H793" s="1805">
        <v>0</v>
      </c>
      <c r="I793" s="1805">
        <v>0</v>
      </c>
      <c r="J793" s="1804"/>
      <c r="K793" s="1803" t="s">
        <v>400</v>
      </c>
    </row>
    <row r="794" spans="1:11" ht="25.5" x14ac:dyDescent="0.2">
      <c r="A794" s="1816" t="s">
        <v>9764</v>
      </c>
      <c r="B794" s="1815"/>
      <c r="C794" s="1814"/>
      <c r="D794" s="1814"/>
      <c r="E794" s="1813" t="s">
        <v>9763</v>
      </c>
      <c r="F794" s="1810" t="s">
        <v>1251</v>
      </c>
      <c r="G794" s="1810">
        <v>0.01</v>
      </c>
      <c r="H794" s="1812">
        <v>0</v>
      </c>
      <c r="I794" s="1812">
        <v>0</v>
      </c>
      <c r="J794" s="1811"/>
      <c r="K794" s="1810" t="s">
        <v>400</v>
      </c>
    </row>
    <row r="795" spans="1:11" ht="25.5" x14ac:dyDescent="0.2">
      <c r="A795" s="1809" t="s">
        <v>9762</v>
      </c>
      <c r="B795" s="1808"/>
      <c r="C795" s="1807"/>
      <c r="D795" s="1807"/>
      <c r="E795" s="1806" t="s">
        <v>9761</v>
      </c>
      <c r="F795" s="1803" t="s">
        <v>1251</v>
      </c>
      <c r="G795" s="1803">
        <v>0.08</v>
      </c>
      <c r="H795" s="1805">
        <v>0</v>
      </c>
      <c r="I795" s="1805">
        <v>0</v>
      </c>
      <c r="J795" s="1804"/>
      <c r="K795" s="1803" t="s">
        <v>400</v>
      </c>
    </row>
    <row r="796" spans="1:11" ht="25.5" x14ac:dyDescent="0.2">
      <c r="A796" s="1816" t="s">
        <v>9760</v>
      </c>
      <c r="B796" s="1815"/>
      <c r="C796" s="1814"/>
      <c r="D796" s="1814"/>
      <c r="E796" s="1813" t="s">
        <v>9759</v>
      </c>
      <c r="F796" s="1810" t="s">
        <v>1251</v>
      </c>
      <c r="G796" s="1810">
        <v>5.53</v>
      </c>
      <c r="H796" s="1812">
        <v>0</v>
      </c>
      <c r="I796" s="1812">
        <v>0</v>
      </c>
      <c r="J796" s="1811"/>
      <c r="K796" s="1810" t="s">
        <v>400</v>
      </c>
    </row>
    <row r="797" spans="1:11" ht="25.5" x14ac:dyDescent="0.2">
      <c r="A797" s="1809" t="s">
        <v>9758</v>
      </c>
      <c r="B797" s="1808"/>
      <c r="C797" s="1807"/>
      <c r="D797" s="1807"/>
      <c r="E797" s="1806" t="s">
        <v>9757</v>
      </c>
      <c r="F797" s="1803" t="s">
        <v>1251</v>
      </c>
      <c r="G797" s="1803">
        <v>3.01</v>
      </c>
      <c r="H797" s="1805">
        <v>0</v>
      </c>
      <c r="I797" s="1805">
        <v>0</v>
      </c>
      <c r="J797" s="1804"/>
      <c r="K797" s="1803" t="s">
        <v>400</v>
      </c>
    </row>
    <row r="798" spans="1:11" ht="25.5" x14ac:dyDescent="0.2">
      <c r="A798" s="1816" t="s">
        <v>9756</v>
      </c>
      <c r="B798" s="1815"/>
      <c r="C798" s="1814"/>
      <c r="D798" s="1814"/>
      <c r="E798" s="1813" t="s">
        <v>9755</v>
      </c>
      <c r="F798" s="1810" t="s">
        <v>1251</v>
      </c>
      <c r="G798" s="1810">
        <v>1.2</v>
      </c>
      <c r="H798" s="1812">
        <v>0</v>
      </c>
      <c r="I798" s="1812">
        <v>0</v>
      </c>
      <c r="J798" s="1811"/>
      <c r="K798" s="1810" t="s">
        <v>400</v>
      </c>
    </row>
    <row r="799" spans="1:11" ht="25.5" x14ac:dyDescent="0.2">
      <c r="A799" s="1809" t="s">
        <v>9754</v>
      </c>
      <c r="B799" s="1808"/>
      <c r="C799" s="1807"/>
      <c r="D799" s="1807"/>
      <c r="E799" s="1806" t="s">
        <v>9753</v>
      </c>
      <c r="F799" s="1803" t="s">
        <v>1251</v>
      </c>
      <c r="G799" s="1803">
        <v>22.23</v>
      </c>
      <c r="H799" s="1805">
        <v>0</v>
      </c>
      <c r="I799" s="1805">
        <v>0</v>
      </c>
      <c r="J799" s="1804"/>
      <c r="K799" s="1803" t="s">
        <v>400</v>
      </c>
    </row>
    <row r="800" spans="1:11" ht="25.5" x14ac:dyDescent="0.2">
      <c r="A800" s="1816" t="s">
        <v>9752</v>
      </c>
      <c r="B800" s="1815"/>
      <c r="C800" s="1814"/>
      <c r="D800" s="1814"/>
      <c r="E800" s="1813" t="s">
        <v>9751</v>
      </c>
      <c r="F800" s="1810" t="s">
        <v>1251</v>
      </c>
      <c r="G800" s="1810">
        <v>2.78</v>
      </c>
      <c r="H800" s="1812">
        <v>0</v>
      </c>
      <c r="I800" s="1812">
        <v>0</v>
      </c>
      <c r="J800" s="1811"/>
      <c r="K800" s="1810" t="s">
        <v>400</v>
      </c>
    </row>
    <row r="801" spans="1:11" ht="25.5" x14ac:dyDescent="0.2">
      <c r="A801" s="1809" t="s">
        <v>9750</v>
      </c>
      <c r="B801" s="1808"/>
      <c r="C801" s="1807"/>
      <c r="D801" s="1807"/>
      <c r="E801" s="1806" t="s">
        <v>9749</v>
      </c>
      <c r="F801" s="1803" t="s">
        <v>1251</v>
      </c>
      <c r="G801" s="1803">
        <v>4.3499999999999996</v>
      </c>
      <c r="H801" s="1805">
        <v>0</v>
      </c>
      <c r="I801" s="1805">
        <v>0</v>
      </c>
      <c r="J801" s="1804"/>
      <c r="K801" s="1803" t="s">
        <v>400</v>
      </c>
    </row>
    <row r="802" spans="1:11" ht="25.5" x14ac:dyDescent="0.2">
      <c r="A802" s="1816" t="s">
        <v>9748</v>
      </c>
      <c r="B802" s="1815"/>
      <c r="C802" s="1814"/>
      <c r="D802" s="1814"/>
      <c r="E802" s="1813" t="s">
        <v>9747</v>
      </c>
      <c r="F802" s="1810" t="s">
        <v>1251</v>
      </c>
      <c r="G802" s="1810">
        <v>0.2</v>
      </c>
      <c r="H802" s="1812">
        <v>0</v>
      </c>
      <c r="I802" s="1812">
        <v>0</v>
      </c>
      <c r="J802" s="1811"/>
      <c r="K802" s="1810" t="s">
        <v>400</v>
      </c>
    </row>
    <row r="803" spans="1:11" ht="25.5" x14ac:dyDescent="0.2">
      <c r="A803" s="1809" t="s">
        <v>9746</v>
      </c>
      <c r="B803" s="1808"/>
      <c r="C803" s="1807"/>
      <c r="D803" s="1807"/>
      <c r="E803" s="1806" t="s">
        <v>9745</v>
      </c>
      <c r="F803" s="1803" t="s">
        <v>1251</v>
      </c>
      <c r="G803" s="1803">
        <v>43.81</v>
      </c>
      <c r="H803" s="1805">
        <v>0</v>
      </c>
      <c r="I803" s="1805">
        <v>0</v>
      </c>
      <c r="J803" s="1804"/>
      <c r="K803" s="1803" t="s">
        <v>400</v>
      </c>
    </row>
    <row r="804" spans="1:11" ht="25.5" x14ac:dyDescent="0.2">
      <c r="A804" s="1816" t="s">
        <v>9744</v>
      </c>
      <c r="B804" s="1815"/>
      <c r="C804" s="1814"/>
      <c r="D804" s="1814"/>
      <c r="E804" s="1813" t="s">
        <v>9743</v>
      </c>
      <c r="F804" s="1810" t="s">
        <v>1251</v>
      </c>
      <c r="G804" s="1810">
        <v>0.47</v>
      </c>
      <c r="H804" s="1812">
        <v>0</v>
      </c>
      <c r="I804" s="1812">
        <v>0</v>
      </c>
      <c r="J804" s="1811"/>
      <c r="K804" s="1810" t="s">
        <v>400</v>
      </c>
    </row>
    <row r="805" spans="1:11" ht="25.5" x14ac:dyDescent="0.2">
      <c r="A805" s="1809" t="s">
        <v>9742</v>
      </c>
      <c r="B805" s="1808"/>
      <c r="C805" s="1807"/>
      <c r="D805" s="1807"/>
      <c r="E805" s="1806" t="s">
        <v>9741</v>
      </c>
      <c r="F805" s="1803" t="s">
        <v>1251</v>
      </c>
      <c r="G805" s="1803">
        <v>0.11</v>
      </c>
      <c r="H805" s="1805">
        <v>0</v>
      </c>
      <c r="I805" s="1805">
        <v>0</v>
      </c>
      <c r="J805" s="1804"/>
      <c r="K805" s="1803" t="s">
        <v>400</v>
      </c>
    </row>
    <row r="806" spans="1:11" ht="25.5" x14ac:dyDescent="0.2">
      <c r="A806" s="1816" t="s">
        <v>9740</v>
      </c>
      <c r="B806" s="1815"/>
      <c r="C806" s="1814"/>
      <c r="D806" s="1814"/>
      <c r="E806" s="1813" t="s">
        <v>9739</v>
      </c>
      <c r="F806" s="1810" t="s">
        <v>1251</v>
      </c>
      <c r="G806" s="1810">
        <v>0.1</v>
      </c>
      <c r="H806" s="1812">
        <v>0</v>
      </c>
      <c r="I806" s="1812">
        <v>0</v>
      </c>
      <c r="J806" s="1811"/>
      <c r="K806" s="1810" t="s">
        <v>400</v>
      </c>
    </row>
    <row r="807" spans="1:11" ht="25.5" x14ac:dyDescent="0.2">
      <c r="A807" s="1809" t="s">
        <v>9738</v>
      </c>
      <c r="B807" s="1808"/>
      <c r="C807" s="1807"/>
      <c r="D807" s="1807"/>
      <c r="E807" s="1806" t="s">
        <v>9737</v>
      </c>
      <c r="F807" s="1803" t="s">
        <v>1251</v>
      </c>
      <c r="G807" s="1803">
        <v>1.5</v>
      </c>
      <c r="H807" s="1805">
        <v>0</v>
      </c>
      <c r="I807" s="1805">
        <v>0</v>
      </c>
      <c r="J807" s="1804"/>
      <c r="K807" s="1803" t="s">
        <v>400</v>
      </c>
    </row>
    <row r="808" spans="1:11" ht="25.5" x14ac:dyDescent="0.2">
      <c r="A808" s="1816" t="s">
        <v>9736</v>
      </c>
      <c r="B808" s="1815"/>
      <c r="C808" s="1814"/>
      <c r="D808" s="1814"/>
      <c r="E808" s="1813" t="s">
        <v>9735</v>
      </c>
      <c r="F808" s="1810" t="s">
        <v>1251</v>
      </c>
      <c r="G808" s="1810">
        <v>0.1</v>
      </c>
      <c r="H808" s="1812">
        <v>0</v>
      </c>
      <c r="I808" s="1812">
        <v>0</v>
      </c>
      <c r="J808" s="1811"/>
      <c r="K808" s="1810" t="s">
        <v>400</v>
      </c>
    </row>
    <row r="809" spans="1:11" ht="25.5" x14ac:dyDescent="0.2">
      <c r="A809" s="1809" t="s">
        <v>9734</v>
      </c>
      <c r="B809" s="1808"/>
      <c r="C809" s="1807"/>
      <c r="D809" s="1807"/>
      <c r="E809" s="1806" t="s">
        <v>9733</v>
      </c>
      <c r="F809" s="1803" t="s">
        <v>1251</v>
      </c>
      <c r="G809" s="1803">
        <v>0.02</v>
      </c>
      <c r="H809" s="1805">
        <v>0</v>
      </c>
      <c r="I809" s="1805">
        <v>0</v>
      </c>
      <c r="J809" s="1804"/>
      <c r="K809" s="1803" t="s">
        <v>400</v>
      </c>
    </row>
    <row r="810" spans="1:11" ht="25.5" x14ac:dyDescent="0.2">
      <c r="A810" s="1816" t="s">
        <v>9732</v>
      </c>
      <c r="B810" s="1815"/>
      <c r="C810" s="1814"/>
      <c r="D810" s="1814"/>
      <c r="E810" s="1813" t="s">
        <v>9731</v>
      </c>
      <c r="F810" s="1810" t="s">
        <v>1251</v>
      </c>
      <c r="G810" s="1810">
        <v>2.66</v>
      </c>
      <c r="H810" s="1812">
        <v>0</v>
      </c>
      <c r="I810" s="1812">
        <v>0</v>
      </c>
      <c r="J810" s="1811"/>
      <c r="K810" s="1810" t="s">
        <v>400</v>
      </c>
    </row>
    <row r="811" spans="1:11" ht="25.5" x14ac:dyDescent="0.2">
      <c r="A811" s="1809" t="s">
        <v>9730</v>
      </c>
      <c r="B811" s="1808"/>
      <c r="C811" s="1807"/>
      <c r="D811" s="1807"/>
      <c r="E811" s="1806" t="s">
        <v>9729</v>
      </c>
      <c r="F811" s="1803" t="s">
        <v>1251</v>
      </c>
      <c r="G811" s="1803">
        <v>0.15</v>
      </c>
      <c r="H811" s="1805">
        <v>0</v>
      </c>
      <c r="I811" s="1805">
        <v>0</v>
      </c>
      <c r="J811" s="1804"/>
      <c r="K811" s="1803" t="s">
        <v>400</v>
      </c>
    </row>
    <row r="812" spans="1:11" ht="25.5" x14ac:dyDescent="0.2">
      <c r="A812" s="1816" t="s">
        <v>9728</v>
      </c>
      <c r="B812" s="1815"/>
      <c r="C812" s="1814"/>
      <c r="D812" s="1814"/>
      <c r="E812" s="1813" t="s">
        <v>9727</v>
      </c>
      <c r="F812" s="1810" t="s">
        <v>1251</v>
      </c>
      <c r="G812" s="1810">
        <v>1.58</v>
      </c>
      <c r="H812" s="1812">
        <v>0</v>
      </c>
      <c r="I812" s="1812">
        <v>0</v>
      </c>
      <c r="J812" s="1811"/>
      <c r="K812" s="1810" t="s">
        <v>400</v>
      </c>
    </row>
    <row r="813" spans="1:11" ht="25.5" x14ac:dyDescent="0.2">
      <c r="A813" s="1809" t="s">
        <v>9726</v>
      </c>
      <c r="B813" s="1808"/>
      <c r="C813" s="1807"/>
      <c r="D813" s="1807"/>
      <c r="E813" s="1806" t="s">
        <v>9725</v>
      </c>
      <c r="F813" s="1803" t="s">
        <v>1251</v>
      </c>
      <c r="G813" s="1803">
        <v>7.95</v>
      </c>
      <c r="H813" s="1805">
        <v>0</v>
      </c>
      <c r="I813" s="1805">
        <v>0</v>
      </c>
      <c r="J813" s="1804"/>
      <c r="K813" s="1803" t="s">
        <v>400</v>
      </c>
    </row>
    <row r="814" spans="1:11" ht="25.5" x14ac:dyDescent="0.2">
      <c r="A814" s="1816" t="s">
        <v>9724</v>
      </c>
      <c r="B814" s="1815"/>
      <c r="C814" s="1814"/>
      <c r="D814" s="1814"/>
      <c r="E814" s="1813" t="s">
        <v>9723</v>
      </c>
      <c r="F814" s="1810" t="s">
        <v>1251</v>
      </c>
      <c r="G814" s="1810">
        <v>4.83</v>
      </c>
      <c r="H814" s="1812">
        <v>0</v>
      </c>
      <c r="I814" s="1812">
        <v>0</v>
      </c>
      <c r="J814" s="1811"/>
      <c r="K814" s="1810" t="s">
        <v>400</v>
      </c>
    </row>
    <row r="815" spans="1:11" ht="25.5" x14ac:dyDescent="0.2">
      <c r="A815" s="1809" t="s">
        <v>9722</v>
      </c>
      <c r="B815" s="1808"/>
      <c r="C815" s="1807"/>
      <c r="D815" s="1807"/>
      <c r="E815" s="1806" t="s">
        <v>9721</v>
      </c>
      <c r="F815" s="1803" t="s">
        <v>1251</v>
      </c>
      <c r="G815" s="1803">
        <v>0.05</v>
      </c>
      <c r="H815" s="1805">
        <v>0</v>
      </c>
      <c r="I815" s="1805">
        <v>0</v>
      </c>
      <c r="J815" s="1804"/>
      <c r="K815" s="1803" t="s">
        <v>400</v>
      </c>
    </row>
    <row r="816" spans="1:11" ht="25.5" x14ac:dyDescent="0.2">
      <c r="A816" s="1816" t="s">
        <v>9720</v>
      </c>
      <c r="B816" s="1815"/>
      <c r="C816" s="1814"/>
      <c r="D816" s="1814"/>
      <c r="E816" s="1813" t="s">
        <v>9719</v>
      </c>
      <c r="F816" s="1810" t="s">
        <v>1251</v>
      </c>
      <c r="G816" s="1810">
        <v>4.05</v>
      </c>
      <c r="H816" s="1812">
        <v>0</v>
      </c>
      <c r="I816" s="1812">
        <v>0</v>
      </c>
      <c r="J816" s="1811"/>
      <c r="K816" s="1810" t="s">
        <v>400</v>
      </c>
    </row>
    <row r="817" spans="1:11" x14ac:dyDescent="0.2">
      <c r="A817" s="1809" t="s">
        <v>9718</v>
      </c>
      <c r="B817" s="1808"/>
      <c r="C817" s="1807"/>
      <c r="D817" s="1807"/>
      <c r="E817" s="1806" t="s">
        <v>9717</v>
      </c>
      <c r="F817" s="1803" t="s">
        <v>1251</v>
      </c>
      <c r="G817" s="1803">
        <v>16.38</v>
      </c>
      <c r="H817" s="1805">
        <v>0</v>
      </c>
      <c r="I817" s="1805">
        <v>0</v>
      </c>
      <c r="J817" s="1804"/>
      <c r="K817" s="1803" t="s">
        <v>400</v>
      </c>
    </row>
    <row r="818" spans="1:11" x14ac:dyDescent="0.2">
      <c r="A818" s="1816" t="s">
        <v>9716</v>
      </c>
      <c r="B818" s="1815"/>
      <c r="C818" s="1814"/>
      <c r="D818" s="1814"/>
      <c r="E818" s="1813" t="s">
        <v>9715</v>
      </c>
      <c r="F818" s="1810" t="s">
        <v>1251</v>
      </c>
      <c r="G818" s="1810">
        <v>57.32</v>
      </c>
      <c r="H818" s="1812">
        <v>0</v>
      </c>
      <c r="I818" s="1812">
        <v>0</v>
      </c>
      <c r="J818" s="1811"/>
      <c r="K818" s="1810" t="s">
        <v>400</v>
      </c>
    </row>
    <row r="819" spans="1:11" ht="25.5" x14ac:dyDescent="0.2">
      <c r="A819" s="1809" t="s">
        <v>9714</v>
      </c>
      <c r="B819" s="1808"/>
      <c r="C819" s="1807"/>
      <c r="D819" s="1807"/>
      <c r="E819" s="1806" t="s">
        <v>9713</v>
      </c>
      <c r="F819" s="1803" t="s">
        <v>1251</v>
      </c>
      <c r="G819" s="1803">
        <v>1.66</v>
      </c>
      <c r="H819" s="1805">
        <v>0</v>
      </c>
      <c r="I819" s="1805">
        <v>0</v>
      </c>
      <c r="J819" s="1804"/>
      <c r="K819" s="1803" t="s">
        <v>400</v>
      </c>
    </row>
    <row r="820" spans="1:11" ht="25.5" x14ac:dyDescent="0.2">
      <c r="A820" s="1816" t="s">
        <v>9712</v>
      </c>
      <c r="B820" s="1815"/>
      <c r="C820" s="1814"/>
      <c r="D820" s="1814"/>
      <c r="E820" s="1813" t="s">
        <v>9711</v>
      </c>
      <c r="F820" s="1810" t="s">
        <v>1251</v>
      </c>
      <c r="G820" s="1810">
        <v>7.96</v>
      </c>
      <c r="H820" s="1812">
        <v>0</v>
      </c>
      <c r="I820" s="1812">
        <v>0</v>
      </c>
      <c r="J820" s="1811"/>
      <c r="K820" s="1810" t="s">
        <v>400</v>
      </c>
    </row>
    <row r="821" spans="1:11" ht="25.5" x14ac:dyDescent="0.2">
      <c r="A821" s="1809" t="s">
        <v>9710</v>
      </c>
      <c r="B821" s="1808"/>
      <c r="C821" s="1807"/>
      <c r="D821" s="1807"/>
      <c r="E821" s="1806" t="s">
        <v>9709</v>
      </c>
      <c r="F821" s="1803" t="s">
        <v>1251</v>
      </c>
      <c r="G821" s="1803">
        <v>0.1</v>
      </c>
      <c r="H821" s="1805">
        <v>0</v>
      </c>
      <c r="I821" s="1805">
        <v>0</v>
      </c>
      <c r="J821" s="1804"/>
      <c r="K821" s="1803" t="s">
        <v>400</v>
      </c>
    </row>
    <row r="822" spans="1:11" x14ac:dyDescent="0.2">
      <c r="A822" s="1832" t="s">
        <v>9708</v>
      </c>
      <c r="B822" s="1831"/>
      <c r="C822" s="1830"/>
      <c r="D822" s="1830"/>
      <c r="E822" s="1830" t="s">
        <v>38</v>
      </c>
      <c r="F822" s="1827"/>
      <c r="G822" s="1827"/>
      <c r="H822" s="1829"/>
      <c r="I822" s="1829">
        <v>0</v>
      </c>
      <c r="J822" s="1828"/>
      <c r="K822" s="1827" t="s">
        <v>400</v>
      </c>
    </row>
    <row r="823" spans="1:11" x14ac:dyDescent="0.2">
      <c r="A823" s="1826" t="s">
        <v>9707</v>
      </c>
      <c r="B823" s="1825"/>
      <c r="C823" s="1824"/>
      <c r="D823" s="1824"/>
      <c r="E823" s="1824" t="s">
        <v>9706</v>
      </c>
      <c r="F823" s="1821"/>
      <c r="G823" s="1821"/>
      <c r="H823" s="1823"/>
      <c r="I823" s="1823">
        <v>0</v>
      </c>
      <c r="J823" s="1822"/>
      <c r="K823" s="1821" t="s">
        <v>400</v>
      </c>
    </row>
    <row r="824" spans="1:11" x14ac:dyDescent="0.2">
      <c r="A824" s="222" t="s">
        <v>9705</v>
      </c>
      <c r="B824" s="1820"/>
      <c r="C824" s="1820"/>
      <c r="D824" s="1820"/>
      <c r="E824" s="1820" t="s">
        <v>38</v>
      </c>
      <c r="F824" s="1817"/>
      <c r="G824" s="1817"/>
      <c r="H824" s="1819"/>
      <c r="I824" s="1819">
        <v>0</v>
      </c>
      <c r="J824" s="1818"/>
      <c r="K824" s="1817" t="s">
        <v>400</v>
      </c>
    </row>
    <row r="825" spans="1:11" x14ac:dyDescent="0.2">
      <c r="A825" s="1816" t="s">
        <v>9704</v>
      </c>
      <c r="B825" s="1815"/>
      <c r="C825" s="1814"/>
      <c r="D825" s="1814"/>
      <c r="E825" s="1813" t="s">
        <v>9703</v>
      </c>
      <c r="F825" s="1810" t="s">
        <v>1243</v>
      </c>
      <c r="G825" s="1810">
        <v>172.89</v>
      </c>
      <c r="H825" s="1812">
        <v>0</v>
      </c>
      <c r="I825" s="1812">
        <v>0</v>
      </c>
      <c r="J825" s="1811"/>
      <c r="K825" s="1810" t="s">
        <v>400</v>
      </c>
    </row>
    <row r="826" spans="1:11" x14ac:dyDescent="0.2">
      <c r="A826" s="1809" t="s">
        <v>9702</v>
      </c>
      <c r="B826" s="1808"/>
      <c r="C826" s="1807"/>
      <c r="D826" s="1807"/>
      <c r="E826" s="1806" t="s">
        <v>9701</v>
      </c>
      <c r="F826" s="1803" t="s">
        <v>1243</v>
      </c>
      <c r="G826" s="1803">
        <v>6.73</v>
      </c>
      <c r="H826" s="1805">
        <v>0</v>
      </c>
      <c r="I826" s="1805">
        <v>0</v>
      </c>
      <c r="J826" s="1804"/>
      <c r="K826" s="1803" t="s">
        <v>400</v>
      </c>
    </row>
  </sheetData>
  <mergeCells count="29">
    <mergeCell ref="B6:E6"/>
    <mergeCell ref="K17:K18"/>
    <mergeCell ref="H17:H18"/>
    <mergeCell ref="I17:I18"/>
    <mergeCell ref="J17:J18"/>
    <mergeCell ref="G17:G18"/>
    <mergeCell ref="B17:B18"/>
    <mergeCell ref="C17:C18"/>
    <mergeCell ref="D17:D18"/>
    <mergeCell ref="E17:E18"/>
    <mergeCell ref="F17:F18"/>
    <mergeCell ref="B7:E7"/>
    <mergeCell ref="B8:E8"/>
    <mergeCell ref="A11:B11"/>
    <mergeCell ref="A16:K16"/>
    <mergeCell ref="C11:D11"/>
    <mergeCell ref="A1:G1"/>
    <mergeCell ref="B2:E2"/>
    <mergeCell ref="B3:E3"/>
    <mergeCell ref="B4:E4"/>
    <mergeCell ref="B5:E5"/>
    <mergeCell ref="A10:E10"/>
    <mergeCell ref="C14:D14"/>
    <mergeCell ref="A17:A18"/>
    <mergeCell ref="A12:B12"/>
    <mergeCell ref="C12:D12"/>
    <mergeCell ref="A13:B13"/>
    <mergeCell ref="C13:D13"/>
    <mergeCell ref="A14:B14"/>
  </mergeCells>
  <pageMargins left="0.78749999999999998" right="0.78749999999999998" top="1.05277777777778" bottom="1.05277777777778" header="0.78749999999999998" footer="0.78749999999999998"/>
  <pageSetup paperSize="9" scale="53" orientation="landscape" useFirstPageNumber="1" horizontalDpi="300" verticalDpi="300"/>
  <headerFooter>
    <oddHeader>&amp;C&amp;"Times New Roman,Normal"&amp;12&amp;A</oddHeader>
    <oddFooter>&amp;C&amp;"Times New Roman,Normal"&amp;12Página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6856-5760-4F2D-9F80-70DED39295A6}">
  <dimension ref="A1:O134"/>
  <sheetViews>
    <sheetView zoomScale="85" zoomScaleNormal="85" workbookViewId="0">
      <selection activeCell="G12" sqref="G12:G13"/>
    </sheetView>
  </sheetViews>
  <sheetFormatPr defaultColWidth="11.5703125" defaultRowHeight="12.75" x14ac:dyDescent="0.2"/>
  <cols>
    <col min="1" max="1" width="12.28515625" style="218" customWidth="1"/>
    <col min="2" max="2" width="11.7109375" style="220" bestFit="1" customWidth="1"/>
    <col min="3" max="4" width="13.42578125" style="220" customWidth="1"/>
    <col min="5" max="5" width="70.140625" style="218" customWidth="1"/>
    <col min="6" max="6" width="8.140625" style="220" customWidth="1"/>
    <col min="7" max="7" width="13.7109375" style="219" customWidth="1"/>
    <col min="8" max="8" width="13" style="218" customWidth="1"/>
    <col min="9" max="9" width="16" style="218" customWidth="1"/>
    <col min="10" max="11" width="11.5703125" style="218"/>
    <col min="12" max="12" width="38.5703125" style="218" customWidth="1"/>
    <col min="13" max="13" width="21.85546875" style="218" customWidth="1"/>
    <col min="14" max="14" width="20.85546875" style="218" customWidth="1"/>
    <col min="15" max="16384" width="11.5703125" style="218"/>
  </cols>
  <sheetData>
    <row r="1" spans="1:15" x14ac:dyDescent="0.2">
      <c r="A1" s="1913" t="s">
        <v>2273</v>
      </c>
      <c r="B1" s="1914"/>
      <c r="C1" s="1914"/>
      <c r="D1" s="1914"/>
      <c r="E1" s="1914"/>
      <c r="F1" s="1914"/>
      <c r="G1" s="1914"/>
      <c r="H1" s="1833"/>
      <c r="I1" s="1833"/>
    </row>
    <row r="2" spans="1:15" x14ac:dyDescent="0.2">
      <c r="A2" s="1841" t="s">
        <v>2272</v>
      </c>
      <c r="B2" s="1905" t="s">
        <v>4165</v>
      </c>
      <c r="C2" s="1906"/>
      <c r="D2" s="1906"/>
      <c r="E2" s="1906"/>
      <c r="F2" s="1850"/>
      <c r="G2" s="1849"/>
      <c r="H2" s="1833"/>
      <c r="I2" s="1833"/>
    </row>
    <row r="3" spans="1:15" x14ac:dyDescent="0.2">
      <c r="A3" s="1844" t="s">
        <v>1277</v>
      </c>
      <c r="B3" s="1907" t="s">
        <v>10945</v>
      </c>
      <c r="C3" s="1908"/>
      <c r="D3" s="1908"/>
      <c r="E3" s="1908"/>
      <c r="F3" s="1843"/>
      <c r="G3" s="1846"/>
      <c r="H3" s="1833"/>
      <c r="I3" s="1833"/>
    </row>
    <row r="4" spans="1:15" x14ac:dyDescent="0.2">
      <c r="A4" s="1841" t="s">
        <v>2271</v>
      </c>
      <c r="B4" s="1905" t="s">
        <v>10944</v>
      </c>
      <c r="C4" s="1906"/>
      <c r="D4" s="1906"/>
      <c r="E4" s="1906"/>
      <c r="F4" s="1847"/>
      <c r="G4" s="1846"/>
      <c r="H4" s="1833"/>
      <c r="I4" s="1833"/>
    </row>
    <row r="5" spans="1:15" x14ac:dyDescent="0.2">
      <c r="A5" s="1844" t="s">
        <v>2270</v>
      </c>
      <c r="B5" s="1907" t="s">
        <v>10943</v>
      </c>
      <c r="C5" s="1908"/>
      <c r="D5" s="1908"/>
      <c r="E5" s="1908"/>
      <c r="F5" s="1847"/>
      <c r="G5" s="1846"/>
      <c r="H5" s="1833"/>
      <c r="I5" s="1833"/>
    </row>
    <row r="6" spans="1:15" x14ac:dyDescent="0.2">
      <c r="A6" s="1841" t="s">
        <v>2269</v>
      </c>
      <c r="B6" s="1905" t="s">
        <v>400</v>
      </c>
      <c r="C6" s="1906"/>
      <c r="D6" s="1906"/>
      <c r="E6" s="1906"/>
      <c r="F6" s="1843"/>
      <c r="G6" s="1842"/>
      <c r="H6" s="1833"/>
      <c r="I6" s="1833"/>
    </row>
    <row r="7" spans="1:15" x14ac:dyDescent="0.2">
      <c r="A7" s="1844" t="s">
        <v>60</v>
      </c>
      <c r="B7" s="1907" t="s">
        <v>400</v>
      </c>
      <c r="C7" s="1908"/>
      <c r="D7" s="1908"/>
      <c r="E7" s="1908"/>
      <c r="F7" s="1843"/>
      <c r="G7" s="1842"/>
      <c r="H7" s="1833"/>
      <c r="I7" s="1833"/>
    </row>
    <row r="8" spans="1:15" x14ac:dyDescent="0.2">
      <c r="A8" s="1844" t="s">
        <v>10942</v>
      </c>
      <c r="B8" s="1907" t="s">
        <v>10941</v>
      </c>
      <c r="C8" s="1908"/>
      <c r="D8" s="1908"/>
      <c r="E8" s="1908"/>
      <c r="F8" s="1840"/>
      <c r="G8" s="1839"/>
      <c r="H8" s="1833"/>
      <c r="I8" s="1833"/>
    </row>
    <row r="9" spans="1:15" x14ac:dyDescent="0.2">
      <c r="A9" s="1838"/>
      <c r="B9" s="1837"/>
      <c r="C9" s="1837"/>
      <c r="D9" s="1837"/>
      <c r="E9" s="1837"/>
      <c r="F9" s="1801"/>
      <c r="G9" s="1836"/>
      <c r="H9" s="1833"/>
      <c r="I9" s="1833"/>
    </row>
    <row r="10" spans="1:15" x14ac:dyDescent="0.2">
      <c r="A10" s="1833"/>
      <c r="B10" s="1833"/>
      <c r="C10" s="1833"/>
      <c r="D10" s="1833"/>
      <c r="E10" s="1833"/>
      <c r="F10" s="1833"/>
      <c r="G10" s="1833"/>
      <c r="H10" s="1833"/>
      <c r="I10" s="1833"/>
    </row>
    <row r="11" spans="1:15" x14ac:dyDescent="0.2">
      <c r="A11" s="1915" t="s">
        <v>11060</v>
      </c>
      <c r="B11" s="1916"/>
      <c r="C11" s="1916"/>
      <c r="D11" s="1916"/>
      <c r="E11" s="1916"/>
      <c r="F11" s="1916"/>
      <c r="G11" s="1916"/>
      <c r="H11" s="1916"/>
      <c r="I11" s="1916"/>
      <c r="J11" s="1916"/>
      <c r="K11" s="1916"/>
      <c r="L11" s="1916"/>
      <c r="M11" s="1916"/>
      <c r="N11" s="1916"/>
    </row>
    <row r="12" spans="1:15" x14ac:dyDescent="0.2">
      <c r="A12" s="1903" t="s">
        <v>10935</v>
      </c>
      <c r="B12" s="1903" t="s">
        <v>1587</v>
      </c>
      <c r="C12" s="1903" t="s">
        <v>59</v>
      </c>
      <c r="D12" s="1903" t="s">
        <v>59</v>
      </c>
      <c r="E12" s="1903" t="s">
        <v>60</v>
      </c>
      <c r="F12" s="1903" t="s">
        <v>1278</v>
      </c>
      <c r="G12" s="1903" t="s">
        <v>11059</v>
      </c>
      <c r="H12" s="1903" t="s">
        <v>10939</v>
      </c>
      <c r="I12" s="1903"/>
      <c r="J12" s="1909" t="s">
        <v>11058</v>
      </c>
      <c r="K12" s="1909" t="s">
        <v>11057</v>
      </c>
      <c r="L12" s="1909" t="s">
        <v>11056</v>
      </c>
      <c r="M12" s="1909" t="s">
        <v>11055</v>
      </c>
      <c r="N12" s="1909" t="s">
        <v>68</v>
      </c>
    </row>
    <row r="13" spans="1:15" x14ac:dyDescent="0.2">
      <c r="A13" s="1903"/>
      <c r="B13" s="1903"/>
      <c r="C13" s="1903"/>
      <c r="D13" s="1903"/>
      <c r="E13" s="1903"/>
      <c r="F13" s="1903"/>
      <c r="G13" s="1903"/>
      <c r="H13" s="1802" t="s">
        <v>11054</v>
      </c>
      <c r="I13" s="1802" t="s">
        <v>1234</v>
      </c>
      <c r="J13" s="1911"/>
      <c r="K13" s="1911"/>
      <c r="L13" s="1911"/>
      <c r="M13" s="1911"/>
      <c r="N13" s="1911"/>
    </row>
    <row r="14" spans="1:15" ht="38.25" x14ac:dyDescent="0.2">
      <c r="A14" s="1869" t="s">
        <v>10893</v>
      </c>
      <c r="B14" s="1868" t="s">
        <v>10160</v>
      </c>
      <c r="C14" s="1867" t="s">
        <v>400</v>
      </c>
      <c r="D14" s="1862" t="s">
        <v>10948</v>
      </c>
      <c r="E14" s="1862" t="s">
        <v>10892</v>
      </c>
      <c r="F14" s="1866" t="s">
        <v>642</v>
      </c>
      <c r="G14" s="1865"/>
      <c r="H14" s="1864"/>
      <c r="I14" s="1864">
        <v>25.096</v>
      </c>
      <c r="J14" s="1863"/>
      <c r="K14" s="1863"/>
      <c r="L14" s="1862"/>
      <c r="M14" s="1861"/>
      <c r="N14" s="1861" t="s">
        <v>2464</v>
      </c>
      <c r="O14" s="218" t="str">
        <f>A14&amp;B14&amp;C14</f>
        <v>4825Thozen - Electra</v>
      </c>
    </row>
    <row r="15" spans="1:15" ht="25.5" x14ac:dyDescent="0.2">
      <c r="A15" s="1860" t="s">
        <v>11049</v>
      </c>
      <c r="B15" s="1859" t="s">
        <v>10160</v>
      </c>
      <c r="C15" s="1858" t="s">
        <v>10949</v>
      </c>
      <c r="D15" s="1857" t="s">
        <v>10948</v>
      </c>
      <c r="E15" s="1857" t="s">
        <v>356</v>
      </c>
      <c r="F15" s="1803" t="s">
        <v>1248</v>
      </c>
      <c r="G15" s="1803">
        <v>1.2500000000000001E-2</v>
      </c>
      <c r="H15" s="1805">
        <v>480</v>
      </c>
      <c r="I15" s="1805">
        <v>6</v>
      </c>
      <c r="J15" s="1804"/>
      <c r="K15" s="1804"/>
      <c r="L15" s="1857"/>
      <c r="M15" s="1856"/>
      <c r="N15" s="1856"/>
    </row>
    <row r="16" spans="1:15" ht="25.5" x14ac:dyDescent="0.2">
      <c r="A16" s="1855" t="s">
        <v>11053</v>
      </c>
      <c r="B16" s="1854" t="s">
        <v>10160</v>
      </c>
      <c r="C16" s="1853" t="s">
        <v>10949</v>
      </c>
      <c r="D16" s="1852" t="s">
        <v>10948</v>
      </c>
      <c r="E16" s="1852" t="s">
        <v>11052</v>
      </c>
      <c r="F16" s="1810" t="s">
        <v>534</v>
      </c>
      <c r="G16" s="1810">
        <v>17.36</v>
      </c>
      <c r="H16" s="1812">
        <v>1.1000000000000001</v>
      </c>
      <c r="I16" s="1812">
        <v>19.096</v>
      </c>
      <c r="J16" s="1811"/>
      <c r="K16" s="1811"/>
      <c r="L16" s="1852"/>
      <c r="M16" s="1851"/>
      <c r="N16" s="1851"/>
    </row>
    <row r="17" spans="1:15" ht="25.5" x14ac:dyDescent="0.2">
      <c r="A17" s="1869" t="s">
        <v>10890</v>
      </c>
      <c r="B17" s="1868" t="s">
        <v>10160</v>
      </c>
      <c r="C17" s="1867" t="s">
        <v>400</v>
      </c>
      <c r="D17" s="1862" t="s">
        <v>10948</v>
      </c>
      <c r="E17" s="1862" t="s">
        <v>10889</v>
      </c>
      <c r="F17" s="1866" t="s">
        <v>642</v>
      </c>
      <c r="G17" s="1865"/>
      <c r="H17" s="1864"/>
      <c r="I17" s="1864">
        <v>40.766399999999997</v>
      </c>
      <c r="J17" s="1863"/>
      <c r="K17" s="1863"/>
      <c r="L17" s="1862"/>
      <c r="M17" s="1861"/>
      <c r="N17" s="1861" t="s">
        <v>2464</v>
      </c>
      <c r="O17" s="218" t="str">
        <f>A17&amp;B17&amp;C17</f>
        <v>4826Thozen - Electra</v>
      </c>
    </row>
    <row r="18" spans="1:15" ht="25.5" x14ac:dyDescent="0.2">
      <c r="A18" s="1860" t="s">
        <v>11049</v>
      </c>
      <c r="B18" s="1859" t="s">
        <v>10160</v>
      </c>
      <c r="C18" s="1858" t="s">
        <v>10949</v>
      </c>
      <c r="D18" s="1857" t="s">
        <v>10948</v>
      </c>
      <c r="E18" s="1857" t="s">
        <v>356</v>
      </c>
      <c r="F18" s="1803" t="s">
        <v>1248</v>
      </c>
      <c r="G18" s="1803">
        <v>2.1999999999999999E-2</v>
      </c>
      <c r="H18" s="1805">
        <v>480</v>
      </c>
      <c r="I18" s="1805">
        <v>10.559999999999999</v>
      </c>
      <c r="J18" s="1804"/>
      <c r="K18" s="1804"/>
      <c r="L18" s="1857"/>
      <c r="M18" s="1856"/>
      <c r="N18" s="1856"/>
    </row>
    <row r="19" spans="1:15" ht="25.5" x14ac:dyDescent="0.2">
      <c r="A19" s="1855" t="s">
        <v>11051</v>
      </c>
      <c r="B19" s="1854" t="s">
        <v>10160</v>
      </c>
      <c r="C19" s="1853" t="s">
        <v>10949</v>
      </c>
      <c r="D19" s="1852" t="s">
        <v>10948</v>
      </c>
      <c r="E19" s="1852" t="s">
        <v>11050</v>
      </c>
      <c r="F19" s="1810" t="s">
        <v>534</v>
      </c>
      <c r="G19" s="1810">
        <v>17.36</v>
      </c>
      <c r="H19" s="1812">
        <v>1.74</v>
      </c>
      <c r="I19" s="1812">
        <v>30.206399999999999</v>
      </c>
      <c r="J19" s="1811"/>
      <c r="K19" s="1811"/>
      <c r="L19" s="1852"/>
      <c r="M19" s="1851"/>
      <c r="N19" s="1851"/>
    </row>
    <row r="20" spans="1:15" ht="25.5" x14ac:dyDescent="0.2">
      <c r="A20" s="1869" t="s">
        <v>10887</v>
      </c>
      <c r="B20" s="1868" t="s">
        <v>10160</v>
      </c>
      <c r="C20" s="1867" t="s">
        <v>400</v>
      </c>
      <c r="D20" s="1862" t="s">
        <v>10948</v>
      </c>
      <c r="E20" s="1862" t="s">
        <v>10886</v>
      </c>
      <c r="F20" s="1866" t="s">
        <v>642</v>
      </c>
      <c r="G20" s="1865"/>
      <c r="H20" s="1864"/>
      <c r="I20" s="1864">
        <v>56.584800000000001</v>
      </c>
      <c r="J20" s="1863"/>
      <c r="K20" s="1863"/>
      <c r="L20" s="1862"/>
      <c r="M20" s="1861"/>
      <c r="N20" s="1861" t="s">
        <v>2464</v>
      </c>
      <c r="O20" s="218" t="str">
        <f>A20&amp;B20&amp;C20</f>
        <v>90472Thozen - Electra</v>
      </c>
    </row>
    <row r="21" spans="1:15" ht="25.5" x14ac:dyDescent="0.2">
      <c r="A21" s="1860" t="s">
        <v>11049</v>
      </c>
      <c r="B21" s="1859" t="s">
        <v>10160</v>
      </c>
      <c r="C21" s="1858" t="s">
        <v>10949</v>
      </c>
      <c r="D21" s="1857" t="s">
        <v>10948</v>
      </c>
      <c r="E21" s="1857" t="s">
        <v>356</v>
      </c>
      <c r="F21" s="1803" t="s">
        <v>1248</v>
      </c>
      <c r="G21" s="1803">
        <v>0.03</v>
      </c>
      <c r="H21" s="1805">
        <v>480</v>
      </c>
      <c r="I21" s="1805">
        <v>14.399999999999999</v>
      </c>
      <c r="J21" s="1804"/>
      <c r="K21" s="1804"/>
      <c r="L21" s="1857"/>
      <c r="M21" s="1856"/>
      <c r="N21" s="1856"/>
    </row>
    <row r="22" spans="1:15" ht="25.5" x14ac:dyDescent="0.2">
      <c r="A22" s="1855" t="s">
        <v>11048</v>
      </c>
      <c r="B22" s="1854" t="s">
        <v>10160</v>
      </c>
      <c r="C22" s="1853" t="s">
        <v>10949</v>
      </c>
      <c r="D22" s="1852" t="s">
        <v>10948</v>
      </c>
      <c r="E22" s="1852" t="s">
        <v>11047</v>
      </c>
      <c r="F22" s="1810" t="s">
        <v>534</v>
      </c>
      <c r="G22" s="1810">
        <v>17.36</v>
      </c>
      <c r="H22" s="1812">
        <v>2.4300000000000002</v>
      </c>
      <c r="I22" s="1812">
        <v>42.184800000000003</v>
      </c>
      <c r="J22" s="1811"/>
      <c r="K22" s="1811"/>
      <c r="L22" s="1852"/>
      <c r="M22" s="1851"/>
      <c r="N22" s="1851"/>
    </row>
    <row r="23" spans="1:15" ht="25.5" x14ac:dyDescent="0.2">
      <c r="A23" s="1869" t="s">
        <v>10869</v>
      </c>
      <c r="B23" s="1868" t="s">
        <v>10160</v>
      </c>
      <c r="C23" s="1867" t="s">
        <v>400</v>
      </c>
      <c r="D23" s="1862" t="s">
        <v>10948</v>
      </c>
      <c r="E23" s="1862" t="s">
        <v>10868</v>
      </c>
      <c r="F23" s="1866" t="s">
        <v>788</v>
      </c>
      <c r="G23" s="1865"/>
      <c r="H23" s="1864"/>
      <c r="I23" s="1864">
        <v>43.712511999999997</v>
      </c>
      <c r="J23" s="1863"/>
      <c r="K23" s="1863"/>
      <c r="L23" s="1862"/>
      <c r="M23" s="1861"/>
      <c r="N23" s="1861" t="s">
        <v>400</v>
      </c>
      <c r="O23" s="218" t="str">
        <f>A23&amp;B23&amp;C23</f>
        <v>4831Thozen - Electra</v>
      </c>
    </row>
    <row r="24" spans="1:15" ht="25.5" x14ac:dyDescent="0.2">
      <c r="A24" s="1860" t="s">
        <v>11046</v>
      </c>
      <c r="B24" s="1859" t="s">
        <v>10160</v>
      </c>
      <c r="C24" s="1858" t="s">
        <v>10949</v>
      </c>
      <c r="D24" s="1857" t="s">
        <v>10948</v>
      </c>
      <c r="E24" s="1857" t="s">
        <v>11045</v>
      </c>
      <c r="F24" s="1803" t="s">
        <v>1248</v>
      </c>
      <c r="G24" s="1803">
        <v>2.64E-2</v>
      </c>
      <c r="H24" s="1805">
        <v>450</v>
      </c>
      <c r="I24" s="1805">
        <v>11.88</v>
      </c>
      <c r="J24" s="1804"/>
      <c r="K24" s="1804"/>
      <c r="L24" s="1857"/>
      <c r="M24" s="1856"/>
      <c r="N24" s="1856"/>
    </row>
    <row r="25" spans="1:15" ht="25.5" x14ac:dyDescent="0.2">
      <c r="A25" s="1855" t="s">
        <v>11044</v>
      </c>
      <c r="B25" s="1854" t="s">
        <v>10160</v>
      </c>
      <c r="C25" s="1853" t="s">
        <v>10949</v>
      </c>
      <c r="D25" s="1852" t="s">
        <v>10948</v>
      </c>
      <c r="E25" s="1852" t="s">
        <v>11043</v>
      </c>
      <c r="F25" s="1810" t="s">
        <v>10946</v>
      </c>
      <c r="G25" s="1810">
        <v>7.0000000000000001E-3</v>
      </c>
      <c r="H25" s="1812">
        <v>6.45</v>
      </c>
      <c r="I25" s="1812">
        <v>4.5150000000000003E-2</v>
      </c>
      <c r="J25" s="1811"/>
      <c r="K25" s="1811"/>
      <c r="L25" s="1852"/>
      <c r="M25" s="1851"/>
      <c r="N25" s="1851"/>
    </row>
    <row r="26" spans="1:15" ht="25.5" x14ac:dyDescent="0.2">
      <c r="A26" s="1860" t="s">
        <v>10987</v>
      </c>
      <c r="B26" s="1859" t="s">
        <v>10160</v>
      </c>
      <c r="C26" s="1858" t="s">
        <v>10949</v>
      </c>
      <c r="D26" s="1857" t="s">
        <v>10948</v>
      </c>
      <c r="E26" s="1857" t="s">
        <v>10986</v>
      </c>
      <c r="F26" s="1803" t="s">
        <v>534</v>
      </c>
      <c r="G26" s="1803">
        <v>6</v>
      </c>
      <c r="H26" s="1805">
        <v>0.15</v>
      </c>
      <c r="I26" s="1805">
        <v>0.89999999999999991</v>
      </c>
      <c r="J26" s="1804"/>
      <c r="K26" s="1804"/>
      <c r="L26" s="1857"/>
      <c r="M26" s="1856"/>
      <c r="N26" s="1856"/>
    </row>
    <row r="27" spans="1:15" ht="25.5" x14ac:dyDescent="0.2">
      <c r="A27" s="1855" t="s">
        <v>11042</v>
      </c>
      <c r="B27" s="1854" t="s">
        <v>10160</v>
      </c>
      <c r="C27" s="1853" t="s">
        <v>10949</v>
      </c>
      <c r="D27" s="1852" t="s">
        <v>10948</v>
      </c>
      <c r="E27" s="1852" t="s">
        <v>11041</v>
      </c>
      <c r="F27" s="1810" t="s">
        <v>1248</v>
      </c>
      <c r="G27" s="1810">
        <v>1.1999999999999999E-3</v>
      </c>
      <c r="H27" s="1812">
        <v>1310</v>
      </c>
      <c r="I27" s="1812">
        <v>1.5719999999999998</v>
      </c>
      <c r="J27" s="1811"/>
      <c r="K27" s="1811"/>
      <c r="L27" s="1852"/>
      <c r="M27" s="1851"/>
      <c r="N27" s="1851"/>
    </row>
    <row r="28" spans="1:15" ht="25.5" x14ac:dyDescent="0.2">
      <c r="A28" s="1860" t="s">
        <v>11040</v>
      </c>
      <c r="B28" s="1859" t="s">
        <v>10160</v>
      </c>
      <c r="C28" s="1858" t="s">
        <v>10949</v>
      </c>
      <c r="D28" s="1857" t="s">
        <v>10948</v>
      </c>
      <c r="E28" s="1857" t="s">
        <v>11039</v>
      </c>
      <c r="F28" s="1803" t="s">
        <v>1106</v>
      </c>
      <c r="G28" s="1803">
        <v>5.1200000000000002E-2</v>
      </c>
      <c r="H28" s="1805">
        <v>10.91</v>
      </c>
      <c r="I28" s="1805">
        <v>0.55859200000000009</v>
      </c>
      <c r="J28" s="1804"/>
      <c r="K28" s="1804"/>
      <c r="L28" s="1857"/>
      <c r="M28" s="1856"/>
      <c r="N28" s="1856"/>
    </row>
    <row r="29" spans="1:15" ht="25.5" x14ac:dyDescent="0.2">
      <c r="A29" s="1855" t="s">
        <v>11038</v>
      </c>
      <c r="B29" s="1854" t="s">
        <v>10160</v>
      </c>
      <c r="C29" s="1853" t="s">
        <v>10949</v>
      </c>
      <c r="D29" s="1852" t="s">
        <v>10948</v>
      </c>
      <c r="E29" s="1852" t="s">
        <v>11037</v>
      </c>
      <c r="F29" s="1810" t="s">
        <v>1248</v>
      </c>
      <c r="G29" s="1810">
        <v>3.1710000000000002E-3</v>
      </c>
      <c r="H29" s="1812">
        <v>1300</v>
      </c>
      <c r="I29" s="1812">
        <v>4.1223000000000001</v>
      </c>
      <c r="J29" s="1811"/>
      <c r="K29" s="1811"/>
      <c r="L29" s="1852"/>
      <c r="M29" s="1851"/>
      <c r="N29" s="1851"/>
    </row>
    <row r="30" spans="1:15" ht="25.5" x14ac:dyDescent="0.2">
      <c r="A30" s="1860" t="s">
        <v>11036</v>
      </c>
      <c r="B30" s="1859" t="s">
        <v>10160</v>
      </c>
      <c r="C30" s="1858" t="s">
        <v>10949</v>
      </c>
      <c r="D30" s="1857" t="s">
        <v>10948</v>
      </c>
      <c r="E30" s="1857" t="s">
        <v>11035</v>
      </c>
      <c r="F30" s="1803" t="s">
        <v>1248</v>
      </c>
      <c r="G30" s="1803">
        <v>1.1676000000000001E-2</v>
      </c>
      <c r="H30" s="1805">
        <v>1800</v>
      </c>
      <c r="I30" s="1805">
        <v>21.0168</v>
      </c>
      <c r="J30" s="1804"/>
      <c r="K30" s="1804"/>
      <c r="L30" s="1857"/>
      <c r="M30" s="1856"/>
      <c r="N30" s="1856"/>
    </row>
    <row r="31" spans="1:15" ht="25.5" x14ac:dyDescent="0.2">
      <c r="A31" s="1855" t="s">
        <v>11034</v>
      </c>
      <c r="B31" s="1854" t="s">
        <v>10160</v>
      </c>
      <c r="C31" s="1853" t="s">
        <v>10949</v>
      </c>
      <c r="D31" s="1852" t="s">
        <v>10948</v>
      </c>
      <c r="E31" s="1852" t="s">
        <v>11033</v>
      </c>
      <c r="F31" s="1810" t="s">
        <v>1106</v>
      </c>
      <c r="G31" s="1810">
        <v>0.52429999999999999</v>
      </c>
      <c r="H31" s="1812">
        <v>6.9</v>
      </c>
      <c r="I31" s="1812">
        <v>3.6176699999999999</v>
      </c>
      <c r="J31" s="1811"/>
      <c r="K31" s="1811"/>
      <c r="L31" s="1852"/>
      <c r="M31" s="1851"/>
      <c r="N31" s="1851"/>
    </row>
    <row r="32" spans="1:15" ht="25.5" x14ac:dyDescent="0.2">
      <c r="A32" s="1869" t="s">
        <v>10875</v>
      </c>
      <c r="B32" s="1868" t="s">
        <v>10160</v>
      </c>
      <c r="C32" s="1867" t="s">
        <v>400</v>
      </c>
      <c r="D32" s="1862" t="s">
        <v>10948</v>
      </c>
      <c r="E32" s="1862" t="s">
        <v>10874</v>
      </c>
      <c r="F32" s="1866" t="s">
        <v>788</v>
      </c>
      <c r="G32" s="1865"/>
      <c r="H32" s="1864"/>
      <c r="I32" s="1864">
        <v>3.6337980000000005</v>
      </c>
      <c r="J32" s="1863"/>
      <c r="K32" s="1863"/>
      <c r="L32" s="1862"/>
      <c r="M32" s="1861"/>
      <c r="N32" s="1861" t="s">
        <v>11032</v>
      </c>
      <c r="O32" s="218" t="str">
        <f>A32&amp;B32&amp;C32</f>
        <v>4828Thozen - Electra</v>
      </c>
    </row>
    <row r="33" spans="1:15" ht="25.5" x14ac:dyDescent="0.2">
      <c r="A33" s="1860" t="s">
        <v>11031</v>
      </c>
      <c r="B33" s="1859" t="s">
        <v>10160</v>
      </c>
      <c r="C33" s="1858" t="s">
        <v>10949</v>
      </c>
      <c r="D33" s="1857" t="s">
        <v>10948</v>
      </c>
      <c r="E33" s="1857" t="s">
        <v>11030</v>
      </c>
      <c r="F33" s="1803" t="s">
        <v>1769</v>
      </c>
      <c r="G33" s="1803">
        <v>0.21540000000000001</v>
      </c>
      <c r="H33" s="1805">
        <v>16.87</v>
      </c>
      <c r="I33" s="1805">
        <v>3.6337980000000005</v>
      </c>
      <c r="J33" s="1804"/>
      <c r="K33" s="1804"/>
      <c r="L33" s="1857"/>
      <c r="M33" s="1856"/>
      <c r="N33" s="1856"/>
    </row>
    <row r="34" spans="1:15" ht="25.5" x14ac:dyDescent="0.2">
      <c r="A34" s="1869" t="s">
        <v>10872</v>
      </c>
      <c r="B34" s="1868" t="s">
        <v>10160</v>
      </c>
      <c r="C34" s="1867" t="s">
        <v>400</v>
      </c>
      <c r="D34" s="1862" t="s">
        <v>10948</v>
      </c>
      <c r="E34" s="1862" t="s">
        <v>10871</v>
      </c>
      <c r="F34" s="1866" t="s">
        <v>1243</v>
      </c>
      <c r="G34" s="1865"/>
      <c r="H34" s="1864"/>
      <c r="I34" s="1864">
        <v>1.85</v>
      </c>
      <c r="J34" s="1863"/>
      <c r="K34" s="1863"/>
      <c r="L34" s="1862"/>
      <c r="M34" s="1861"/>
      <c r="N34" s="1861" t="s">
        <v>400</v>
      </c>
      <c r="O34" s="218" t="str">
        <f>A34&amp;B34&amp;C34</f>
        <v>4829Thozen - Electra</v>
      </c>
    </row>
    <row r="35" spans="1:15" ht="25.5" x14ac:dyDescent="0.2">
      <c r="A35" s="1860" t="s">
        <v>11029</v>
      </c>
      <c r="B35" s="1859" t="s">
        <v>10160</v>
      </c>
      <c r="C35" s="1858" t="s">
        <v>10949</v>
      </c>
      <c r="D35" s="1857" t="s">
        <v>10948</v>
      </c>
      <c r="E35" s="1857" t="s">
        <v>11028</v>
      </c>
      <c r="F35" s="1803" t="s">
        <v>534</v>
      </c>
      <c r="G35" s="1803">
        <v>1</v>
      </c>
      <c r="H35" s="1805">
        <v>0.3</v>
      </c>
      <c r="I35" s="1805">
        <v>0.3</v>
      </c>
      <c r="J35" s="1804"/>
      <c r="K35" s="1804"/>
      <c r="L35" s="1857"/>
      <c r="M35" s="1856"/>
      <c r="N35" s="1856"/>
    </row>
    <row r="36" spans="1:15" ht="25.5" x14ac:dyDescent="0.2">
      <c r="A36" s="1855" t="s">
        <v>11027</v>
      </c>
      <c r="B36" s="1854" t="s">
        <v>10160</v>
      </c>
      <c r="C36" s="1853" t="s">
        <v>10949</v>
      </c>
      <c r="D36" s="1852" t="s">
        <v>10948</v>
      </c>
      <c r="E36" s="1852" t="s">
        <v>11026</v>
      </c>
      <c r="F36" s="1810" t="s">
        <v>534</v>
      </c>
      <c r="G36" s="1810">
        <v>1</v>
      </c>
      <c r="H36" s="1812">
        <v>0.3</v>
      </c>
      <c r="I36" s="1812">
        <v>0.3</v>
      </c>
      <c r="J36" s="1811"/>
      <c r="K36" s="1811"/>
      <c r="L36" s="1852"/>
      <c r="M36" s="1851"/>
      <c r="N36" s="1851"/>
    </row>
    <row r="37" spans="1:15" ht="25.5" x14ac:dyDescent="0.2">
      <c r="A37" s="1860" t="s">
        <v>11025</v>
      </c>
      <c r="B37" s="1859" t="s">
        <v>10160</v>
      </c>
      <c r="C37" s="1858" t="s">
        <v>10949</v>
      </c>
      <c r="D37" s="1857" t="s">
        <v>10948</v>
      </c>
      <c r="E37" s="1857" t="s">
        <v>11024</v>
      </c>
      <c r="F37" s="1803" t="s">
        <v>642</v>
      </c>
      <c r="G37" s="1803">
        <v>0.5</v>
      </c>
      <c r="H37" s="1805">
        <v>2.5</v>
      </c>
      <c r="I37" s="1805">
        <v>1.25</v>
      </c>
      <c r="J37" s="1804"/>
      <c r="K37" s="1804"/>
      <c r="L37" s="1857"/>
      <c r="M37" s="1856"/>
      <c r="N37" s="1856"/>
    </row>
    <row r="38" spans="1:15" ht="25.5" x14ac:dyDescent="0.2">
      <c r="A38" s="1869" t="s">
        <v>10842</v>
      </c>
      <c r="B38" s="1868" t="s">
        <v>10160</v>
      </c>
      <c r="C38" s="1867" t="s">
        <v>400</v>
      </c>
      <c r="D38" s="1862" t="s">
        <v>10948</v>
      </c>
      <c r="E38" s="1862" t="s">
        <v>10841</v>
      </c>
      <c r="F38" s="1866" t="s">
        <v>642</v>
      </c>
      <c r="G38" s="1865"/>
      <c r="H38" s="1864"/>
      <c r="I38" s="1864">
        <v>36.225000000000001</v>
      </c>
      <c r="J38" s="1863"/>
      <c r="K38" s="1863"/>
      <c r="L38" s="1862"/>
      <c r="M38" s="1861"/>
      <c r="N38" s="1861" t="s">
        <v>400</v>
      </c>
      <c r="O38" s="218" t="str">
        <f>A38&amp;B38&amp;C38</f>
        <v>4842Thozen - Electra</v>
      </c>
    </row>
    <row r="39" spans="1:15" ht="25.5" x14ac:dyDescent="0.2">
      <c r="A39" s="1860" t="s">
        <v>11023</v>
      </c>
      <c r="B39" s="1859" t="s">
        <v>10160</v>
      </c>
      <c r="C39" s="1858" t="s">
        <v>10949</v>
      </c>
      <c r="D39" s="1857" t="s">
        <v>10948</v>
      </c>
      <c r="E39" s="1857" t="s">
        <v>11022</v>
      </c>
      <c r="F39" s="1803" t="s">
        <v>1106</v>
      </c>
      <c r="G39" s="1803">
        <v>3.15</v>
      </c>
      <c r="H39" s="1805">
        <v>11.5</v>
      </c>
      <c r="I39" s="1805">
        <v>36.225000000000001</v>
      </c>
      <c r="J39" s="1804"/>
      <c r="K39" s="1804"/>
      <c r="L39" s="1857"/>
      <c r="M39" s="1856"/>
      <c r="N39" s="1856"/>
    </row>
    <row r="40" spans="1:15" ht="25.5" x14ac:dyDescent="0.2">
      <c r="A40" s="1869" t="s">
        <v>10797</v>
      </c>
      <c r="B40" s="1868" t="s">
        <v>10160</v>
      </c>
      <c r="C40" s="1867" t="s">
        <v>400</v>
      </c>
      <c r="D40" s="1862" t="s">
        <v>10948</v>
      </c>
      <c r="E40" s="1862" t="s">
        <v>10796</v>
      </c>
      <c r="F40" s="1866" t="s">
        <v>642</v>
      </c>
      <c r="G40" s="1865"/>
      <c r="H40" s="1864"/>
      <c r="I40" s="1864">
        <v>6.4589999999999996</v>
      </c>
      <c r="J40" s="1863"/>
      <c r="K40" s="1863"/>
      <c r="L40" s="1862"/>
      <c r="M40" s="1861"/>
      <c r="N40" s="1861" t="s">
        <v>1394</v>
      </c>
      <c r="O40" s="218" t="str">
        <f>A40&amp;B40&amp;C40</f>
        <v>90541Thozen - Electra</v>
      </c>
    </row>
    <row r="41" spans="1:15" ht="25.5" x14ac:dyDescent="0.2">
      <c r="A41" s="1860" t="s">
        <v>11018</v>
      </c>
      <c r="B41" s="1859" t="s">
        <v>10160</v>
      </c>
      <c r="C41" s="1858" t="s">
        <v>10949</v>
      </c>
      <c r="D41" s="1857" t="s">
        <v>10948</v>
      </c>
      <c r="E41" s="1857" t="s">
        <v>11017</v>
      </c>
      <c r="F41" s="1803" t="s">
        <v>1248</v>
      </c>
      <c r="G41" s="1803">
        <v>3.3E-3</v>
      </c>
      <c r="H41" s="1805">
        <v>480</v>
      </c>
      <c r="I41" s="1805">
        <v>1.5840000000000001</v>
      </c>
      <c r="J41" s="1804"/>
      <c r="K41" s="1804"/>
      <c r="L41" s="1857"/>
      <c r="M41" s="1856"/>
      <c r="N41" s="1856"/>
    </row>
    <row r="42" spans="1:15" ht="25.5" x14ac:dyDescent="0.2">
      <c r="A42" s="1855" t="s">
        <v>11021</v>
      </c>
      <c r="B42" s="1854" t="s">
        <v>10160</v>
      </c>
      <c r="C42" s="1853" t="s">
        <v>10949</v>
      </c>
      <c r="D42" s="1852" t="s">
        <v>10948</v>
      </c>
      <c r="E42" s="1852" t="s">
        <v>11020</v>
      </c>
      <c r="F42" s="1810" t="s">
        <v>1146</v>
      </c>
      <c r="G42" s="1810">
        <v>0.625</v>
      </c>
      <c r="H42" s="1812">
        <v>7.8</v>
      </c>
      <c r="I42" s="1812">
        <v>4.875</v>
      </c>
      <c r="J42" s="1811"/>
      <c r="K42" s="1811"/>
      <c r="L42" s="1852"/>
      <c r="M42" s="1851"/>
      <c r="N42" s="1851"/>
    </row>
    <row r="43" spans="1:15" ht="25.5" x14ac:dyDescent="0.2">
      <c r="A43" s="1869" t="s">
        <v>10794</v>
      </c>
      <c r="B43" s="1868" t="s">
        <v>10160</v>
      </c>
      <c r="C43" s="1867" t="s">
        <v>400</v>
      </c>
      <c r="D43" s="1862" t="s">
        <v>10948</v>
      </c>
      <c r="E43" s="1862" t="s">
        <v>10793</v>
      </c>
      <c r="F43" s="1866" t="s">
        <v>642</v>
      </c>
      <c r="G43" s="1865"/>
      <c r="H43" s="1864"/>
      <c r="I43" s="1864">
        <v>5.5020000000000007</v>
      </c>
      <c r="J43" s="1863"/>
      <c r="K43" s="1863"/>
      <c r="L43" s="1862"/>
      <c r="M43" s="1861"/>
      <c r="N43" s="1861" t="s">
        <v>1394</v>
      </c>
      <c r="O43" s="218" t="str">
        <f>A43&amp;B43&amp;C43</f>
        <v>90507Thozen - Electra</v>
      </c>
    </row>
    <row r="44" spans="1:15" ht="25.5" x14ac:dyDescent="0.2">
      <c r="A44" s="1860" t="s">
        <v>10961</v>
      </c>
      <c r="B44" s="1859" t="s">
        <v>10160</v>
      </c>
      <c r="C44" s="1858" t="s">
        <v>10949</v>
      </c>
      <c r="D44" s="1857" t="s">
        <v>10948</v>
      </c>
      <c r="E44" s="1857" t="s">
        <v>10960</v>
      </c>
      <c r="F44" s="1803" t="s">
        <v>1769</v>
      </c>
      <c r="G44" s="1803">
        <v>4.2</v>
      </c>
      <c r="H44" s="1805">
        <v>1.31</v>
      </c>
      <c r="I44" s="1805">
        <v>5.5020000000000007</v>
      </c>
      <c r="J44" s="1804"/>
      <c r="K44" s="1804"/>
      <c r="L44" s="1857"/>
      <c r="M44" s="1856"/>
      <c r="N44" s="1856"/>
    </row>
    <row r="45" spans="1:15" ht="25.5" x14ac:dyDescent="0.2">
      <c r="A45" s="1869" t="s">
        <v>10791</v>
      </c>
      <c r="B45" s="1868" t="s">
        <v>10160</v>
      </c>
      <c r="C45" s="1867" t="s">
        <v>400</v>
      </c>
      <c r="D45" s="1862" t="s">
        <v>10948</v>
      </c>
      <c r="E45" s="1862" t="s">
        <v>10790</v>
      </c>
      <c r="F45" s="1866" t="s">
        <v>642</v>
      </c>
      <c r="G45" s="1865"/>
      <c r="H45" s="1864"/>
      <c r="I45" s="1864">
        <v>18.048000000000002</v>
      </c>
      <c r="J45" s="1863"/>
      <c r="K45" s="1863"/>
      <c r="L45" s="1862"/>
      <c r="M45" s="1861"/>
      <c r="N45" s="1861" t="s">
        <v>11019</v>
      </c>
      <c r="O45" s="218" t="str">
        <f>A45&amp;B45&amp;C45</f>
        <v>4861Thozen - Electra</v>
      </c>
    </row>
    <row r="46" spans="1:15" ht="25.5" x14ac:dyDescent="0.2">
      <c r="A46" s="1860" t="s">
        <v>11018</v>
      </c>
      <c r="B46" s="1859" t="s">
        <v>10160</v>
      </c>
      <c r="C46" s="1858" t="s">
        <v>10949</v>
      </c>
      <c r="D46" s="1857" t="s">
        <v>10948</v>
      </c>
      <c r="E46" s="1857" t="s">
        <v>11017</v>
      </c>
      <c r="F46" s="1803" t="s">
        <v>1248</v>
      </c>
      <c r="G46" s="1803">
        <v>3.7600000000000001E-2</v>
      </c>
      <c r="H46" s="1805">
        <v>480</v>
      </c>
      <c r="I46" s="1805">
        <v>18.048000000000002</v>
      </c>
      <c r="J46" s="1804"/>
      <c r="K46" s="1804"/>
      <c r="L46" s="1857"/>
      <c r="M46" s="1856"/>
      <c r="N46" s="1856"/>
    </row>
    <row r="47" spans="1:15" ht="25.5" x14ac:dyDescent="0.2">
      <c r="A47" s="1869" t="s">
        <v>10786</v>
      </c>
      <c r="B47" s="1868" t="s">
        <v>10160</v>
      </c>
      <c r="C47" s="1867" t="s">
        <v>400</v>
      </c>
      <c r="D47" s="1862" t="s">
        <v>10948</v>
      </c>
      <c r="E47" s="1862" t="s">
        <v>10785</v>
      </c>
      <c r="F47" s="1866" t="s">
        <v>642</v>
      </c>
      <c r="G47" s="1865"/>
      <c r="H47" s="1864"/>
      <c r="I47" s="1864">
        <v>35</v>
      </c>
      <c r="J47" s="1863"/>
      <c r="K47" s="1863"/>
      <c r="L47" s="1862"/>
      <c r="M47" s="1861"/>
      <c r="N47" s="1861" t="s">
        <v>400</v>
      </c>
      <c r="O47" s="218" t="str">
        <f>A47&amp;B47&amp;C47</f>
        <v>4865Thozen - Electra</v>
      </c>
    </row>
    <row r="48" spans="1:15" ht="25.5" x14ac:dyDescent="0.2">
      <c r="A48" s="1860" t="s">
        <v>11016</v>
      </c>
      <c r="B48" s="1859" t="s">
        <v>10160</v>
      </c>
      <c r="C48" s="1858" t="s">
        <v>10949</v>
      </c>
      <c r="D48" s="1857" t="s">
        <v>10948</v>
      </c>
      <c r="E48" s="1857" t="s">
        <v>11015</v>
      </c>
      <c r="F48" s="1803" t="s">
        <v>642</v>
      </c>
      <c r="G48" s="1803">
        <v>1</v>
      </c>
      <c r="H48" s="1805">
        <v>35</v>
      </c>
      <c r="I48" s="1805">
        <v>35</v>
      </c>
      <c r="J48" s="1804"/>
      <c r="K48" s="1804"/>
      <c r="L48" s="1857"/>
      <c r="M48" s="1856"/>
      <c r="N48" s="1856"/>
    </row>
    <row r="49" spans="1:15" ht="25.5" x14ac:dyDescent="0.2">
      <c r="A49" s="1869" t="s">
        <v>10758</v>
      </c>
      <c r="B49" s="1868" t="s">
        <v>10160</v>
      </c>
      <c r="C49" s="1867" t="s">
        <v>400</v>
      </c>
      <c r="D49" s="1862" t="s">
        <v>10948</v>
      </c>
      <c r="E49" s="1862" t="s">
        <v>10757</v>
      </c>
      <c r="F49" s="1866" t="s">
        <v>642</v>
      </c>
      <c r="G49" s="1865"/>
      <c r="H49" s="1864"/>
      <c r="I49" s="1864">
        <v>97.430075000000002</v>
      </c>
      <c r="J49" s="1863"/>
      <c r="K49" s="1863"/>
      <c r="L49" s="1862"/>
      <c r="M49" s="1861"/>
      <c r="N49" s="1861" t="s">
        <v>400</v>
      </c>
      <c r="O49" s="218" t="str">
        <f>A49&amp;B49&amp;C49</f>
        <v>4899Thozen - Electra</v>
      </c>
    </row>
    <row r="50" spans="1:15" ht="25.5" x14ac:dyDescent="0.2">
      <c r="A50" s="1860" t="s">
        <v>10983</v>
      </c>
      <c r="B50" s="1859" t="s">
        <v>10160</v>
      </c>
      <c r="C50" s="1858" t="s">
        <v>10949</v>
      </c>
      <c r="D50" s="1857" t="s">
        <v>10948</v>
      </c>
      <c r="E50" s="1857" t="s">
        <v>10982</v>
      </c>
      <c r="F50" s="1803" t="s">
        <v>1106</v>
      </c>
      <c r="G50" s="1803">
        <v>9</v>
      </c>
      <c r="H50" s="1805">
        <v>2.3450000000000002</v>
      </c>
      <c r="I50" s="1805">
        <v>21.105</v>
      </c>
      <c r="J50" s="1804"/>
      <c r="K50" s="1804"/>
      <c r="L50" s="1857"/>
      <c r="M50" s="1856"/>
      <c r="N50" s="1856"/>
    </row>
    <row r="51" spans="1:15" ht="25.5" x14ac:dyDescent="0.2">
      <c r="A51" s="1855" t="s">
        <v>10999</v>
      </c>
      <c r="B51" s="1854" t="s">
        <v>10160</v>
      </c>
      <c r="C51" s="1853" t="s">
        <v>10949</v>
      </c>
      <c r="D51" s="1852" t="s">
        <v>10948</v>
      </c>
      <c r="E51" s="1852" t="s">
        <v>10998</v>
      </c>
      <c r="F51" s="1810" t="s">
        <v>534</v>
      </c>
      <c r="G51" s="1810">
        <v>4</v>
      </c>
      <c r="H51" s="1812">
        <v>0.2</v>
      </c>
      <c r="I51" s="1812">
        <v>0.8</v>
      </c>
      <c r="J51" s="1811"/>
      <c r="K51" s="1811"/>
      <c r="L51" s="1852"/>
      <c r="M51" s="1851"/>
      <c r="N51" s="1851"/>
    </row>
    <row r="52" spans="1:15" ht="25.5" x14ac:dyDescent="0.2">
      <c r="A52" s="1860" t="s">
        <v>10979</v>
      </c>
      <c r="B52" s="1859" t="s">
        <v>10160</v>
      </c>
      <c r="C52" s="1858" t="s">
        <v>10949</v>
      </c>
      <c r="D52" s="1857" t="s">
        <v>10948</v>
      </c>
      <c r="E52" s="1857" t="s">
        <v>10978</v>
      </c>
      <c r="F52" s="1803" t="s">
        <v>642</v>
      </c>
      <c r="G52" s="1803">
        <v>0.25</v>
      </c>
      <c r="H52" s="1805">
        <v>2.0642999999999998</v>
      </c>
      <c r="I52" s="1805">
        <v>0.51607499999999995</v>
      </c>
      <c r="J52" s="1804"/>
      <c r="K52" s="1804"/>
      <c r="L52" s="1857"/>
      <c r="M52" s="1856"/>
      <c r="N52" s="1856"/>
    </row>
    <row r="53" spans="1:15" ht="25.5" x14ac:dyDescent="0.2">
      <c r="A53" s="1855" t="s">
        <v>11014</v>
      </c>
      <c r="B53" s="1854" t="s">
        <v>10160</v>
      </c>
      <c r="C53" s="1853" t="s">
        <v>10949</v>
      </c>
      <c r="D53" s="1852" t="s">
        <v>10948</v>
      </c>
      <c r="E53" s="1852" t="s">
        <v>11013</v>
      </c>
      <c r="F53" s="1810" t="s">
        <v>642</v>
      </c>
      <c r="G53" s="1810">
        <v>1.1000000000000001</v>
      </c>
      <c r="H53" s="1812">
        <v>68.19</v>
      </c>
      <c r="I53" s="1812">
        <v>75.009</v>
      </c>
      <c r="J53" s="1811"/>
      <c r="K53" s="1811"/>
      <c r="L53" s="1852"/>
      <c r="M53" s="1851"/>
      <c r="N53" s="1851"/>
    </row>
    <row r="54" spans="1:15" ht="25.5" x14ac:dyDescent="0.2">
      <c r="A54" s="1869" t="s">
        <v>10753</v>
      </c>
      <c r="B54" s="1868" t="s">
        <v>10160</v>
      </c>
      <c r="C54" s="1867" t="s">
        <v>400</v>
      </c>
      <c r="D54" s="1862" t="s">
        <v>10948</v>
      </c>
      <c r="E54" s="1862" t="s">
        <v>10752</v>
      </c>
      <c r="F54" s="1866" t="s">
        <v>1243</v>
      </c>
      <c r="G54" s="1865"/>
      <c r="H54" s="1864"/>
      <c r="I54" s="1864">
        <v>623.4138999999999</v>
      </c>
      <c r="J54" s="1863"/>
      <c r="K54" s="1863"/>
      <c r="L54" s="1862"/>
      <c r="M54" s="1861"/>
      <c r="N54" s="1861" t="s">
        <v>11012</v>
      </c>
      <c r="O54" s="218" t="str">
        <f>A54&amp;B54&amp;C54</f>
        <v>90511Thozen - Electra</v>
      </c>
    </row>
    <row r="55" spans="1:15" ht="25.5" x14ac:dyDescent="0.2">
      <c r="A55" s="1860" t="s">
        <v>10983</v>
      </c>
      <c r="B55" s="1859" t="s">
        <v>10160</v>
      </c>
      <c r="C55" s="1858" t="s">
        <v>10949</v>
      </c>
      <c r="D55" s="1857" t="s">
        <v>10948</v>
      </c>
      <c r="E55" s="1857" t="s">
        <v>10982</v>
      </c>
      <c r="F55" s="1803" t="s">
        <v>1106</v>
      </c>
      <c r="G55" s="1803">
        <v>8.6199999999999992</v>
      </c>
      <c r="H55" s="1805">
        <v>2.3450000000000002</v>
      </c>
      <c r="I55" s="1805">
        <v>20.213899999999999</v>
      </c>
      <c r="J55" s="1804"/>
      <c r="K55" s="1804"/>
      <c r="L55" s="1857"/>
      <c r="M55" s="1856"/>
      <c r="N55" s="1856"/>
    </row>
    <row r="56" spans="1:15" ht="25.5" x14ac:dyDescent="0.2">
      <c r="A56" s="1855" t="s">
        <v>10981</v>
      </c>
      <c r="B56" s="1854" t="s">
        <v>10160</v>
      </c>
      <c r="C56" s="1853" t="s">
        <v>10949</v>
      </c>
      <c r="D56" s="1852" t="s">
        <v>10948</v>
      </c>
      <c r="E56" s="1852" t="s">
        <v>10980</v>
      </c>
      <c r="F56" s="1810" t="s">
        <v>642</v>
      </c>
      <c r="G56" s="1810">
        <v>1.1599999999999999</v>
      </c>
      <c r="H56" s="1812">
        <v>520</v>
      </c>
      <c r="I56" s="1812">
        <v>603.19999999999993</v>
      </c>
      <c r="J56" s="1811"/>
      <c r="K56" s="1811"/>
      <c r="L56" s="1852"/>
      <c r="M56" s="1851"/>
      <c r="N56" s="1851"/>
    </row>
    <row r="57" spans="1:15" ht="25.5" x14ac:dyDescent="0.2">
      <c r="A57" s="1869" t="s">
        <v>10748</v>
      </c>
      <c r="B57" s="1868" t="s">
        <v>10160</v>
      </c>
      <c r="C57" s="1867" t="s">
        <v>400</v>
      </c>
      <c r="D57" s="1862" t="s">
        <v>10948</v>
      </c>
      <c r="E57" s="1862" t="s">
        <v>10747</v>
      </c>
      <c r="F57" s="1866" t="s">
        <v>1243</v>
      </c>
      <c r="G57" s="1865"/>
      <c r="H57" s="1864"/>
      <c r="I57" s="1864">
        <v>623.4138999999999</v>
      </c>
      <c r="J57" s="1863"/>
      <c r="K57" s="1863"/>
      <c r="L57" s="1862"/>
      <c r="M57" s="1861"/>
      <c r="N57" s="1861" t="s">
        <v>11012</v>
      </c>
      <c r="O57" s="218" t="str">
        <f>A57&amp;B57&amp;C57</f>
        <v>4902Thozen - Electra</v>
      </c>
    </row>
    <row r="58" spans="1:15" ht="25.5" x14ac:dyDescent="0.2">
      <c r="A58" s="1860" t="s">
        <v>10983</v>
      </c>
      <c r="B58" s="1859" t="s">
        <v>10160</v>
      </c>
      <c r="C58" s="1858" t="s">
        <v>10949</v>
      </c>
      <c r="D58" s="1857" t="s">
        <v>10948</v>
      </c>
      <c r="E58" s="1857" t="s">
        <v>10982</v>
      </c>
      <c r="F58" s="1803" t="s">
        <v>1106</v>
      </c>
      <c r="G58" s="1803">
        <v>8.6199999999999992</v>
      </c>
      <c r="H58" s="1805">
        <v>2.3450000000000002</v>
      </c>
      <c r="I58" s="1805">
        <v>20.213899999999999</v>
      </c>
      <c r="J58" s="1804"/>
      <c r="K58" s="1804"/>
      <c r="L58" s="1857"/>
      <c r="M58" s="1856"/>
      <c r="N58" s="1856"/>
    </row>
    <row r="59" spans="1:15" ht="25.5" x14ac:dyDescent="0.2">
      <c r="A59" s="1855" t="s">
        <v>10981</v>
      </c>
      <c r="B59" s="1854" t="s">
        <v>10160</v>
      </c>
      <c r="C59" s="1853" t="s">
        <v>10949</v>
      </c>
      <c r="D59" s="1852" t="s">
        <v>10948</v>
      </c>
      <c r="E59" s="1852" t="s">
        <v>10980</v>
      </c>
      <c r="F59" s="1810" t="s">
        <v>642</v>
      </c>
      <c r="G59" s="1810">
        <v>1.1599999999999999</v>
      </c>
      <c r="H59" s="1812">
        <v>520</v>
      </c>
      <c r="I59" s="1812">
        <v>603.19999999999993</v>
      </c>
      <c r="J59" s="1811"/>
      <c r="K59" s="1811"/>
      <c r="L59" s="1852"/>
      <c r="M59" s="1851"/>
      <c r="N59" s="1851"/>
    </row>
    <row r="60" spans="1:15" ht="25.5" x14ac:dyDescent="0.2">
      <c r="A60" s="1869" t="s">
        <v>10714</v>
      </c>
      <c r="B60" s="1868" t="s">
        <v>10160</v>
      </c>
      <c r="C60" s="1867" t="s">
        <v>400</v>
      </c>
      <c r="D60" s="1862" t="s">
        <v>10948</v>
      </c>
      <c r="E60" s="1862" t="s">
        <v>10713</v>
      </c>
      <c r="F60" s="1866" t="s">
        <v>642</v>
      </c>
      <c r="G60" s="1865"/>
      <c r="H60" s="1864"/>
      <c r="I60" s="1864">
        <v>126.4</v>
      </c>
      <c r="J60" s="1863"/>
      <c r="K60" s="1863"/>
      <c r="L60" s="1862"/>
      <c r="M60" s="1861"/>
      <c r="N60" s="1861" t="s">
        <v>11009</v>
      </c>
      <c r="O60" s="218" t="str">
        <f>A60&amp;B60&amp;C60</f>
        <v>4872Thozen - Electra</v>
      </c>
    </row>
    <row r="61" spans="1:15" ht="25.5" x14ac:dyDescent="0.2">
      <c r="A61" s="1860" t="s">
        <v>11011</v>
      </c>
      <c r="B61" s="1859" t="s">
        <v>10160</v>
      </c>
      <c r="C61" s="1858" t="s">
        <v>10949</v>
      </c>
      <c r="D61" s="1857" t="s">
        <v>10948</v>
      </c>
      <c r="E61" s="1857" t="s">
        <v>11010</v>
      </c>
      <c r="F61" s="1803" t="s">
        <v>642</v>
      </c>
      <c r="G61" s="1803">
        <v>1</v>
      </c>
      <c r="H61" s="1805">
        <v>100</v>
      </c>
      <c r="I61" s="1805">
        <v>100</v>
      </c>
      <c r="J61" s="1804"/>
      <c r="K61" s="1804"/>
      <c r="L61" s="1857"/>
      <c r="M61" s="1856"/>
      <c r="N61" s="1856"/>
    </row>
    <row r="62" spans="1:15" ht="25.5" x14ac:dyDescent="0.2">
      <c r="A62" s="1855" t="s">
        <v>11006</v>
      </c>
      <c r="B62" s="1854" t="s">
        <v>10160</v>
      </c>
      <c r="C62" s="1853" t="s">
        <v>10949</v>
      </c>
      <c r="D62" s="1852" t="s">
        <v>10948</v>
      </c>
      <c r="E62" s="1852" t="s">
        <v>11005</v>
      </c>
      <c r="F62" s="1810" t="s">
        <v>788</v>
      </c>
      <c r="G62" s="1810">
        <v>1.2</v>
      </c>
      <c r="H62" s="1812">
        <v>22</v>
      </c>
      <c r="I62" s="1812">
        <v>26.4</v>
      </c>
      <c r="J62" s="1811"/>
      <c r="K62" s="1811"/>
      <c r="L62" s="1852"/>
      <c r="M62" s="1851"/>
      <c r="N62" s="1851"/>
    </row>
    <row r="63" spans="1:15" ht="25.5" x14ac:dyDescent="0.2">
      <c r="A63" s="1869" t="s">
        <v>10711</v>
      </c>
      <c r="B63" s="1868" t="s">
        <v>10160</v>
      </c>
      <c r="C63" s="1867" t="s">
        <v>400</v>
      </c>
      <c r="D63" s="1862" t="s">
        <v>10948</v>
      </c>
      <c r="E63" s="1862" t="s">
        <v>10710</v>
      </c>
      <c r="F63" s="1866" t="s">
        <v>788</v>
      </c>
      <c r="G63" s="1865"/>
      <c r="H63" s="1864"/>
      <c r="I63" s="1864">
        <v>22</v>
      </c>
      <c r="J63" s="1863"/>
      <c r="K63" s="1863"/>
      <c r="L63" s="1862"/>
      <c r="M63" s="1861"/>
      <c r="N63" s="1861" t="s">
        <v>400</v>
      </c>
      <c r="O63" s="218" t="str">
        <f>A63&amp;B63&amp;C63</f>
        <v>4876Thozen - Electra</v>
      </c>
    </row>
    <row r="64" spans="1:15" ht="25.5" x14ac:dyDescent="0.2">
      <c r="A64" s="1860" t="s">
        <v>11006</v>
      </c>
      <c r="B64" s="1859" t="s">
        <v>10160</v>
      </c>
      <c r="C64" s="1858" t="s">
        <v>10949</v>
      </c>
      <c r="D64" s="1857" t="s">
        <v>10948</v>
      </c>
      <c r="E64" s="1857" t="s">
        <v>11005</v>
      </c>
      <c r="F64" s="1803" t="s">
        <v>788</v>
      </c>
      <c r="G64" s="1803">
        <v>1</v>
      </c>
      <c r="H64" s="1805">
        <v>22</v>
      </c>
      <c r="I64" s="1805">
        <v>22</v>
      </c>
      <c r="J64" s="1804"/>
      <c r="K64" s="1804"/>
      <c r="L64" s="1857"/>
      <c r="M64" s="1856"/>
      <c r="N64" s="1856"/>
    </row>
    <row r="65" spans="1:15" ht="25.5" x14ac:dyDescent="0.2">
      <c r="A65" s="1869" t="s">
        <v>10518</v>
      </c>
      <c r="B65" s="1868" t="s">
        <v>10160</v>
      </c>
      <c r="C65" s="1867" t="s">
        <v>400</v>
      </c>
      <c r="D65" s="1862" t="s">
        <v>10948</v>
      </c>
      <c r="E65" s="1862" t="s">
        <v>10517</v>
      </c>
      <c r="F65" s="1866" t="s">
        <v>642</v>
      </c>
      <c r="G65" s="1865"/>
      <c r="H65" s="1864"/>
      <c r="I65" s="1864">
        <v>9.1710359999999991</v>
      </c>
      <c r="J65" s="1863"/>
      <c r="K65" s="1863"/>
      <c r="L65" s="1862"/>
      <c r="M65" s="1861"/>
      <c r="N65" s="1861" t="s">
        <v>10970</v>
      </c>
      <c r="O65" s="218" t="str">
        <f>A65&amp;B65&amp;C65</f>
        <v>1481Thozen - Electra</v>
      </c>
    </row>
    <row r="66" spans="1:15" ht="25.5" x14ac:dyDescent="0.2">
      <c r="A66" s="1860" t="s">
        <v>10952</v>
      </c>
      <c r="B66" s="1859" t="s">
        <v>10160</v>
      </c>
      <c r="C66" s="1858" t="s">
        <v>10949</v>
      </c>
      <c r="D66" s="1857" t="s">
        <v>10948</v>
      </c>
      <c r="E66" s="1857" t="s">
        <v>10951</v>
      </c>
      <c r="F66" s="1803" t="s">
        <v>1106</v>
      </c>
      <c r="G66" s="1803">
        <v>1.1073999999999999</v>
      </c>
      <c r="H66" s="1805">
        <v>7.23</v>
      </c>
      <c r="I66" s="1805">
        <v>8.0065019999999993</v>
      </c>
      <c r="J66" s="1804"/>
      <c r="K66" s="1804"/>
      <c r="L66" s="1857"/>
      <c r="M66" s="1856"/>
      <c r="N66" s="1856"/>
    </row>
    <row r="67" spans="1:15" ht="25.5" x14ac:dyDescent="0.2">
      <c r="A67" s="1855" t="s">
        <v>10957</v>
      </c>
      <c r="B67" s="1854" t="s">
        <v>10160</v>
      </c>
      <c r="C67" s="1853" t="s">
        <v>10949</v>
      </c>
      <c r="D67" s="1852" t="s">
        <v>10948</v>
      </c>
      <c r="E67" s="1852" t="s">
        <v>10956</v>
      </c>
      <c r="F67" s="1810" t="s">
        <v>10946</v>
      </c>
      <c r="G67" s="1810">
        <v>0.1666</v>
      </c>
      <c r="H67" s="1812">
        <v>6.99</v>
      </c>
      <c r="I67" s="1812">
        <v>1.164534</v>
      </c>
      <c r="J67" s="1811"/>
      <c r="K67" s="1811"/>
      <c r="L67" s="1852"/>
      <c r="M67" s="1851"/>
      <c r="N67" s="1851"/>
    </row>
    <row r="68" spans="1:15" ht="25.5" x14ac:dyDescent="0.2">
      <c r="A68" s="1869" t="s">
        <v>10717</v>
      </c>
      <c r="B68" s="1868" t="s">
        <v>10160</v>
      </c>
      <c r="C68" s="1867" t="s">
        <v>400</v>
      </c>
      <c r="D68" s="1862" t="s">
        <v>10948</v>
      </c>
      <c r="E68" s="1862" t="s">
        <v>10716</v>
      </c>
      <c r="F68" s="1866" t="s">
        <v>642</v>
      </c>
      <c r="G68" s="1865"/>
      <c r="H68" s="1864"/>
      <c r="I68" s="1864">
        <v>136.4</v>
      </c>
      <c r="J68" s="1863"/>
      <c r="K68" s="1863"/>
      <c r="L68" s="1862"/>
      <c r="M68" s="1861"/>
      <c r="N68" s="1861" t="s">
        <v>11009</v>
      </c>
      <c r="O68" s="218" t="str">
        <f>A68&amp;B68&amp;C68</f>
        <v>4873Thozen - Electra</v>
      </c>
    </row>
    <row r="69" spans="1:15" ht="25.5" x14ac:dyDescent="0.2">
      <c r="A69" s="1860" t="s">
        <v>11008</v>
      </c>
      <c r="B69" s="1859" t="s">
        <v>10160</v>
      </c>
      <c r="C69" s="1858" t="s">
        <v>10949</v>
      </c>
      <c r="D69" s="1857" t="s">
        <v>10948</v>
      </c>
      <c r="E69" s="1857" t="s">
        <v>11007</v>
      </c>
      <c r="F69" s="1803" t="s">
        <v>642</v>
      </c>
      <c r="G69" s="1803">
        <v>1</v>
      </c>
      <c r="H69" s="1805">
        <v>110</v>
      </c>
      <c r="I69" s="1805">
        <v>110</v>
      </c>
      <c r="J69" s="1804"/>
      <c r="K69" s="1804"/>
      <c r="L69" s="1857"/>
      <c r="M69" s="1856"/>
      <c r="N69" s="1856"/>
    </row>
    <row r="70" spans="1:15" ht="25.5" x14ac:dyDescent="0.2">
      <c r="A70" s="1855" t="s">
        <v>11006</v>
      </c>
      <c r="B70" s="1854" t="s">
        <v>10160</v>
      </c>
      <c r="C70" s="1853" t="s">
        <v>10949</v>
      </c>
      <c r="D70" s="1852" t="s">
        <v>10948</v>
      </c>
      <c r="E70" s="1852" t="s">
        <v>11005</v>
      </c>
      <c r="F70" s="1810" t="s">
        <v>788</v>
      </c>
      <c r="G70" s="1810">
        <v>1.2</v>
      </c>
      <c r="H70" s="1812">
        <v>22</v>
      </c>
      <c r="I70" s="1812">
        <v>26.4</v>
      </c>
      <c r="J70" s="1811"/>
      <c r="K70" s="1811"/>
      <c r="L70" s="1852"/>
      <c r="M70" s="1851"/>
      <c r="N70" s="1851"/>
    </row>
    <row r="71" spans="1:15" ht="25.5" x14ac:dyDescent="0.2">
      <c r="A71" s="1869" t="s">
        <v>10686</v>
      </c>
      <c r="B71" s="1868" t="s">
        <v>10160</v>
      </c>
      <c r="C71" s="1867" t="s">
        <v>400</v>
      </c>
      <c r="D71" s="1862" t="s">
        <v>10948</v>
      </c>
      <c r="E71" s="1862" t="s">
        <v>586</v>
      </c>
      <c r="F71" s="1866" t="s">
        <v>642</v>
      </c>
      <c r="G71" s="1865"/>
      <c r="H71" s="1864"/>
      <c r="I71" s="1864">
        <v>26.4</v>
      </c>
      <c r="J71" s="1863"/>
      <c r="K71" s="1863"/>
      <c r="L71" s="1862"/>
      <c r="M71" s="1861"/>
      <c r="N71" s="1861" t="s">
        <v>11004</v>
      </c>
      <c r="O71" s="218" t="str">
        <f>A71&amp;B71&amp;C71</f>
        <v>60Thozen - Electra</v>
      </c>
    </row>
    <row r="72" spans="1:15" ht="25.5" x14ac:dyDescent="0.2">
      <c r="A72" s="1860" t="s">
        <v>11003</v>
      </c>
      <c r="B72" s="1859" t="s">
        <v>10160</v>
      </c>
      <c r="C72" s="1858" t="s">
        <v>10949</v>
      </c>
      <c r="D72" s="1857" t="s">
        <v>10948</v>
      </c>
      <c r="E72" s="1857" t="s">
        <v>11002</v>
      </c>
      <c r="F72" s="1803" t="s">
        <v>152</v>
      </c>
      <c r="G72" s="1803">
        <v>5.5E-2</v>
      </c>
      <c r="H72" s="1805">
        <v>480</v>
      </c>
      <c r="I72" s="1805">
        <v>26.4</v>
      </c>
      <c r="J72" s="1804"/>
      <c r="K72" s="1804"/>
      <c r="L72" s="1857"/>
      <c r="M72" s="1856"/>
      <c r="N72" s="1856"/>
    </row>
    <row r="73" spans="1:15" ht="25.5" x14ac:dyDescent="0.2">
      <c r="A73" s="1869" t="s">
        <v>10682</v>
      </c>
      <c r="B73" s="1868" t="s">
        <v>10160</v>
      </c>
      <c r="C73" s="1867" t="s">
        <v>400</v>
      </c>
      <c r="D73" s="1862" t="s">
        <v>10948</v>
      </c>
      <c r="E73" s="1862" t="s">
        <v>10681</v>
      </c>
      <c r="F73" s="1866" t="s">
        <v>642</v>
      </c>
      <c r="G73" s="1865"/>
      <c r="H73" s="1864"/>
      <c r="I73" s="1864">
        <v>32</v>
      </c>
      <c r="J73" s="1863"/>
      <c r="K73" s="1863"/>
      <c r="L73" s="1862"/>
      <c r="M73" s="1861"/>
      <c r="N73" s="1861" t="s">
        <v>400</v>
      </c>
      <c r="O73" s="218" t="str">
        <f>A73&amp;B73&amp;C73</f>
        <v>4863Thozen - Electra</v>
      </c>
    </row>
    <row r="74" spans="1:15" ht="25.5" x14ac:dyDescent="0.2">
      <c r="A74" s="1860" t="s">
        <v>11001</v>
      </c>
      <c r="B74" s="1859" t="s">
        <v>10160</v>
      </c>
      <c r="C74" s="1858" t="s">
        <v>10949</v>
      </c>
      <c r="D74" s="1857" t="s">
        <v>10948</v>
      </c>
      <c r="E74" s="1857" t="s">
        <v>11000</v>
      </c>
      <c r="F74" s="1803" t="s">
        <v>642</v>
      </c>
      <c r="G74" s="1803">
        <v>1</v>
      </c>
      <c r="H74" s="1805">
        <v>32</v>
      </c>
      <c r="I74" s="1805">
        <v>32</v>
      </c>
      <c r="J74" s="1804"/>
      <c r="K74" s="1804"/>
      <c r="L74" s="1857"/>
      <c r="M74" s="1856"/>
      <c r="N74" s="1856"/>
    </row>
    <row r="75" spans="1:15" ht="25.5" x14ac:dyDescent="0.2">
      <c r="A75" s="1869" t="s">
        <v>10621</v>
      </c>
      <c r="B75" s="1868" t="s">
        <v>10160</v>
      </c>
      <c r="C75" s="1867" t="s">
        <v>400</v>
      </c>
      <c r="D75" s="1862" t="s">
        <v>10948</v>
      </c>
      <c r="E75" s="1862" t="s">
        <v>10620</v>
      </c>
      <c r="F75" s="1866" t="s">
        <v>642</v>
      </c>
      <c r="G75" s="1865"/>
      <c r="H75" s="1864"/>
      <c r="I75" s="1864">
        <v>93.871700000000004</v>
      </c>
      <c r="J75" s="1863"/>
      <c r="K75" s="1863"/>
      <c r="L75" s="1862"/>
      <c r="M75" s="1861"/>
      <c r="N75" s="1861" t="s">
        <v>400</v>
      </c>
      <c r="O75" s="218" t="str">
        <f>A75&amp;B75&amp;C75</f>
        <v>4883Thozen - Electra</v>
      </c>
    </row>
    <row r="76" spans="1:15" ht="25.5" x14ac:dyDescent="0.2">
      <c r="A76" s="1860" t="s">
        <v>10983</v>
      </c>
      <c r="B76" s="1859" t="s">
        <v>10160</v>
      </c>
      <c r="C76" s="1858" t="s">
        <v>10949</v>
      </c>
      <c r="D76" s="1857" t="s">
        <v>10948</v>
      </c>
      <c r="E76" s="1857" t="s">
        <v>10982</v>
      </c>
      <c r="F76" s="1803" t="s">
        <v>1106</v>
      </c>
      <c r="G76" s="1803">
        <v>9</v>
      </c>
      <c r="H76" s="1805">
        <v>2.3450000000000002</v>
      </c>
      <c r="I76" s="1805">
        <v>21.105</v>
      </c>
      <c r="J76" s="1804"/>
      <c r="K76" s="1804"/>
      <c r="L76" s="1857"/>
      <c r="M76" s="1856"/>
      <c r="N76" s="1856"/>
    </row>
    <row r="77" spans="1:15" ht="25.5" x14ac:dyDescent="0.2">
      <c r="A77" s="1855" t="s">
        <v>10999</v>
      </c>
      <c r="B77" s="1854" t="s">
        <v>10160</v>
      </c>
      <c r="C77" s="1853" t="s">
        <v>10949</v>
      </c>
      <c r="D77" s="1852" t="s">
        <v>10948</v>
      </c>
      <c r="E77" s="1852" t="s">
        <v>10998</v>
      </c>
      <c r="F77" s="1810" t="s">
        <v>534</v>
      </c>
      <c r="G77" s="1810">
        <v>4</v>
      </c>
      <c r="H77" s="1812">
        <v>0.2</v>
      </c>
      <c r="I77" s="1812">
        <v>0.8</v>
      </c>
      <c r="J77" s="1811"/>
      <c r="K77" s="1811"/>
      <c r="L77" s="1852"/>
      <c r="M77" s="1851"/>
      <c r="N77" s="1851"/>
    </row>
    <row r="78" spans="1:15" ht="25.5" x14ac:dyDescent="0.2">
      <c r="A78" s="1860" t="s">
        <v>10985</v>
      </c>
      <c r="B78" s="1859" t="s">
        <v>10160</v>
      </c>
      <c r="C78" s="1858" t="s">
        <v>10949</v>
      </c>
      <c r="D78" s="1857" t="s">
        <v>10948</v>
      </c>
      <c r="E78" s="1857" t="s">
        <v>10984</v>
      </c>
      <c r="F78" s="1803" t="s">
        <v>642</v>
      </c>
      <c r="G78" s="1803">
        <v>1.1000000000000001</v>
      </c>
      <c r="H78" s="1805">
        <v>65</v>
      </c>
      <c r="I78" s="1805">
        <v>71.5</v>
      </c>
      <c r="J78" s="1804"/>
      <c r="K78" s="1804"/>
      <c r="L78" s="1857"/>
      <c r="M78" s="1856"/>
      <c r="N78" s="1856"/>
    </row>
    <row r="79" spans="1:15" ht="25.5" x14ac:dyDescent="0.2">
      <c r="A79" s="1855" t="s">
        <v>10997</v>
      </c>
      <c r="B79" s="1854" t="s">
        <v>10160</v>
      </c>
      <c r="C79" s="1853" t="s">
        <v>10949</v>
      </c>
      <c r="D79" s="1852" t="s">
        <v>10948</v>
      </c>
      <c r="E79" s="1852" t="s">
        <v>10996</v>
      </c>
      <c r="F79" s="1810" t="s">
        <v>1106</v>
      </c>
      <c r="G79" s="1810">
        <v>0.13</v>
      </c>
      <c r="H79" s="1812">
        <v>3.59</v>
      </c>
      <c r="I79" s="1812">
        <v>0.4667</v>
      </c>
      <c r="J79" s="1811"/>
      <c r="K79" s="1811"/>
      <c r="L79" s="1852"/>
      <c r="M79" s="1851"/>
      <c r="N79" s="1851"/>
    </row>
    <row r="80" spans="1:15" ht="25.5" x14ac:dyDescent="0.2">
      <c r="A80" s="1869" t="s">
        <v>10603</v>
      </c>
      <c r="B80" s="1868" t="s">
        <v>10160</v>
      </c>
      <c r="C80" s="1867" t="s">
        <v>400</v>
      </c>
      <c r="D80" s="1862" t="s">
        <v>10948</v>
      </c>
      <c r="E80" s="1862" t="s">
        <v>10602</v>
      </c>
      <c r="F80" s="1866" t="s">
        <v>788</v>
      </c>
      <c r="G80" s="1865"/>
      <c r="H80" s="1864"/>
      <c r="I80" s="1864">
        <v>82.225796819999999</v>
      </c>
      <c r="J80" s="1863"/>
      <c r="K80" s="1863"/>
      <c r="L80" s="1862"/>
      <c r="M80" s="1861"/>
      <c r="N80" s="1861" t="s">
        <v>400</v>
      </c>
      <c r="O80" s="218" t="str">
        <f>A80&amp;B80&amp;C80</f>
        <v>90521Thozen - Electra</v>
      </c>
    </row>
    <row r="81" spans="1:15" ht="25.5" x14ac:dyDescent="0.2">
      <c r="A81" s="1860" t="s">
        <v>10993</v>
      </c>
      <c r="B81" s="1859" t="s">
        <v>10160</v>
      </c>
      <c r="C81" s="1858" t="s">
        <v>10949</v>
      </c>
      <c r="D81" s="1857" t="s">
        <v>10948</v>
      </c>
      <c r="E81" s="1857" t="s">
        <v>10992</v>
      </c>
      <c r="F81" s="1803" t="s">
        <v>534</v>
      </c>
      <c r="G81" s="1803">
        <v>2.5</v>
      </c>
      <c r="H81" s="1805">
        <v>1.99</v>
      </c>
      <c r="I81" s="1805">
        <v>4.9749999999999996</v>
      </c>
      <c r="J81" s="1804"/>
      <c r="K81" s="1804"/>
      <c r="L81" s="1857"/>
      <c r="M81" s="1856"/>
      <c r="N81" s="1856"/>
    </row>
    <row r="82" spans="1:15" ht="25.5" x14ac:dyDescent="0.2">
      <c r="A82" s="1855" t="s">
        <v>10991</v>
      </c>
      <c r="B82" s="1854" t="s">
        <v>10160</v>
      </c>
      <c r="C82" s="1853" t="s">
        <v>10949</v>
      </c>
      <c r="D82" s="1852" t="s">
        <v>10948</v>
      </c>
      <c r="E82" s="1852" t="s">
        <v>10990</v>
      </c>
      <c r="F82" s="1810" t="s">
        <v>1106</v>
      </c>
      <c r="G82" s="1810">
        <v>6.9400000000000003E-2</v>
      </c>
      <c r="H82" s="1812">
        <v>5.0403000000000002</v>
      </c>
      <c r="I82" s="1812">
        <v>0.34979682000000001</v>
      </c>
      <c r="J82" s="1811"/>
      <c r="K82" s="1811"/>
      <c r="L82" s="1852"/>
      <c r="M82" s="1851"/>
      <c r="N82" s="1851"/>
    </row>
    <row r="83" spans="1:15" ht="25.5" x14ac:dyDescent="0.2">
      <c r="A83" s="1860" t="s">
        <v>10995</v>
      </c>
      <c r="B83" s="1859" t="s">
        <v>10160</v>
      </c>
      <c r="C83" s="1858" t="s">
        <v>10949</v>
      </c>
      <c r="D83" s="1857" t="s">
        <v>10948</v>
      </c>
      <c r="E83" s="1857" t="s">
        <v>10994</v>
      </c>
      <c r="F83" s="1803" t="s">
        <v>788</v>
      </c>
      <c r="G83" s="1803">
        <v>1.1000000000000001</v>
      </c>
      <c r="H83" s="1805">
        <v>69.91</v>
      </c>
      <c r="I83" s="1805">
        <v>76.900999999999996</v>
      </c>
      <c r="J83" s="1804"/>
      <c r="K83" s="1804"/>
      <c r="L83" s="1857"/>
      <c r="M83" s="1856"/>
      <c r="N83" s="1856"/>
    </row>
    <row r="84" spans="1:15" ht="25.5" x14ac:dyDescent="0.2">
      <c r="A84" s="1869" t="s">
        <v>10606</v>
      </c>
      <c r="B84" s="1868" t="s">
        <v>10160</v>
      </c>
      <c r="C84" s="1867" t="s">
        <v>400</v>
      </c>
      <c r="D84" s="1862" t="s">
        <v>10948</v>
      </c>
      <c r="E84" s="1862" t="s">
        <v>10605</v>
      </c>
      <c r="F84" s="1866" t="s">
        <v>788</v>
      </c>
      <c r="G84" s="1865"/>
      <c r="H84" s="1864"/>
      <c r="I84" s="1864">
        <v>17.655796819999999</v>
      </c>
      <c r="J84" s="1863"/>
      <c r="K84" s="1863"/>
      <c r="L84" s="1862"/>
      <c r="M84" s="1861"/>
      <c r="N84" s="1861" t="s">
        <v>400</v>
      </c>
      <c r="O84" s="218" t="str">
        <f>A84&amp;B84&amp;C84</f>
        <v>4882Thozen - Electra</v>
      </c>
    </row>
    <row r="85" spans="1:15" ht="25.5" x14ac:dyDescent="0.2">
      <c r="A85" s="1860" t="s">
        <v>10993</v>
      </c>
      <c r="B85" s="1859" t="s">
        <v>10160</v>
      </c>
      <c r="C85" s="1858" t="s">
        <v>10949</v>
      </c>
      <c r="D85" s="1857" t="s">
        <v>10948</v>
      </c>
      <c r="E85" s="1857" t="s">
        <v>10992</v>
      </c>
      <c r="F85" s="1803" t="s">
        <v>534</v>
      </c>
      <c r="G85" s="1803">
        <v>2.5</v>
      </c>
      <c r="H85" s="1805">
        <v>1.99</v>
      </c>
      <c r="I85" s="1805">
        <v>4.9749999999999996</v>
      </c>
      <c r="J85" s="1804"/>
      <c r="K85" s="1804"/>
      <c r="L85" s="1857"/>
      <c r="M85" s="1856"/>
      <c r="N85" s="1856"/>
    </row>
    <row r="86" spans="1:15" ht="25.5" x14ac:dyDescent="0.2">
      <c r="A86" s="1855" t="s">
        <v>10991</v>
      </c>
      <c r="B86" s="1854" t="s">
        <v>10160</v>
      </c>
      <c r="C86" s="1853" t="s">
        <v>10949</v>
      </c>
      <c r="D86" s="1852" t="s">
        <v>10948</v>
      </c>
      <c r="E86" s="1852" t="s">
        <v>10990</v>
      </c>
      <c r="F86" s="1810" t="s">
        <v>1106</v>
      </c>
      <c r="G86" s="1810">
        <v>6.9400000000000003E-2</v>
      </c>
      <c r="H86" s="1812">
        <v>5.0403000000000002</v>
      </c>
      <c r="I86" s="1812">
        <v>0.34979682000000001</v>
      </c>
      <c r="J86" s="1811"/>
      <c r="K86" s="1811"/>
      <c r="L86" s="1852"/>
      <c r="M86" s="1851"/>
      <c r="N86" s="1851"/>
    </row>
    <row r="87" spans="1:15" ht="25.5" x14ac:dyDescent="0.2">
      <c r="A87" s="1860" t="s">
        <v>10989</v>
      </c>
      <c r="B87" s="1859" t="s">
        <v>10160</v>
      </c>
      <c r="C87" s="1858" t="s">
        <v>10949</v>
      </c>
      <c r="D87" s="1857" t="s">
        <v>10948</v>
      </c>
      <c r="E87" s="1857" t="s">
        <v>10988</v>
      </c>
      <c r="F87" s="1803" t="s">
        <v>788</v>
      </c>
      <c r="G87" s="1803">
        <v>1.1000000000000001</v>
      </c>
      <c r="H87" s="1805">
        <v>11.21</v>
      </c>
      <c r="I87" s="1805">
        <v>12.331000000000001</v>
      </c>
      <c r="J87" s="1804"/>
      <c r="K87" s="1804"/>
      <c r="L87" s="1857"/>
      <c r="M87" s="1856"/>
      <c r="N87" s="1856"/>
    </row>
    <row r="88" spans="1:15" ht="25.5" x14ac:dyDescent="0.2">
      <c r="A88" s="1869" t="s">
        <v>10600</v>
      </c>
      <c r="B88" s="1868" t="s">
        <v>10160</v>
      </c>
      <c r="C88" s="1867" t="s">
        <v>400</v>
      </c>
      <c r="D88" s="1862" t="s">
        <v>10948</v>
      </c>
      <c r="E88" s="1862" t="s">
        <v>10599</v>
      </c>
      <c r="F88" s="1866" t="s">
        <v>788</v>
      </c>
      <c r="G88" s="1865"/>
      <c r="H88" s="1864"/>
      <c r="I88" s="1864">
        <v>9.7339012000000018</v>
      </c>
      <c r="J88" s="1863"/>
      <c r="K88" s="1863"/>
      <c r="L88" s="1862"/>
      <c r="M88" s="1861"/>
      <c r="N88" s="1861" t="s">
        <v>400</v>
      </c>
      <c r="O88" s="218" t="str">
        <f>A88&amp;B88&amp;C88</f>
        <v>4891Thozen - Electra</v>
      </c>
    </row>
    <row r="89" spans="1:15" ht="25.5" x14ac:dyDescent="0.2">
      <c r="A89" s="1860" t="s">
        <v>10983</v>
      </c>
      <c r="B89" s="1859" t="s">
        <v>10160</v>
      </c>
      <c r="C89" s="1858" t="s">
        <v>10949</v>
      </c>
      <c r="D89" s="1857" t="s">
        <v>10948</v>
      </c>
      <c r="E89" s="1857" t="s">
        <v>10982</v>
      </c>
      <c r="F89" s="1803" t="s">
        <v>1106</v>
      </c>
      <c r="G89" s="1803">
        <v>0.9</v>
      </c>
      <c r="H89" s="1805">
        <v>2.3450000000000002</v>
      </c>
      <c r="I89" s="1805">
        <v>2.1105</v>
      </c>
      <c r="J89" s="1804"/>
      <c r="K89" s="1804"/>
      <c r="L89" s="1857"/>
      <c r="M89" s="1856"/>
      <c r="N89" s="1856"/>
    </row>
    <row r="90" spans="1:15" ht="25.5" x14ac:dyDescent="0.2">
      <c r="A90" s="1855" t="s">
        <v>10987</v>
      </c>
      <c r="B90" s="1854" t="s">
        <v>10160</v>
      </c>
      <c r="C90" s="1853" t="s">
        <v>10949</v>
      </c>
      <c r="D90" s="1852" t="s">
        <v>10948</v>
      </c>
      <c r="E90" s="1852" t="s">
        <v>10986</v>
      </c>
      <c r="F90" s="1810" t="s">
        <v>534</v>
      </c>
      <c r="G90" s="1810">
        <v>2</v>
      </c>
      <c r="H90" s="1812">
        <v>0.15</v>
      </c>
      <c r="I90" s="1812">
        <v>0.3</v>
      </c>
      <c r="J90" s="1811"/>
      <c r="K90" s="1811"/>
      <c r="L90" s="1852"/>
      <c r="M90" s="1851"/>
      <c r="N90" s="1851"/>
    </row>
    <row r="91" spans="1:15" ht="25.5" x14ac:dyDescent="0.2">
      <c r="A91" s="1860" t="s">
        <v>10985</v>
      </c>
      <c r="B91" s="1859" t="s">
        <v>10160</v>
      </c>
      <c r="C91" s="1858" t="s">
        <v>10949</v>
      </c>
      <c r="D91" s="1857" t="s">
        <v>10948</v>
      </c>
      <c r="E91" s="1857" t="s">
        <v>10984</v>
      </c>
      <c r="F91" s="1803" t="s">
        <v>642</v>
      </c>
      <c r="G91" s="1803">
        <v>0.11</v>
      </c>
      <c r="H91" s="1805">
        <v>65</v>
      </c>
      <c r="I91" s="1805">
        <v>7.15</v>
      </c>
      <c r="J91" s="1804"/>
      <c r="K91" s="1804"/>
      <c r="L91" s="1857"/>
      <c r="M91" s="1856"/>
      <c r="N91" s="1856"/>
    </row>
    <row r="92" spans="1:15" ht="25.5" x14ac:dyDescent="0.2">
      <c r="A92" s="1855" t="s">
        <v>10979</v>
      </c>
      <c r="B92" s="1854" t="s">
        <v>10160</v>
      </c>
      <c r="C92" s="1853" t="s">
        <v>10949</v>
      </c>
      <c r="D92" s="1852" t="s">
        <v>10948</v>
      </c>
      <c r="E92" s="1852" t="s">
        <v>10978</v>
      </c>
      <c r="F92" s="1810" t="s">
        <v>642</v>
      </c>
      <c r="G92" s="1810">
        <v>8.4000000000000005E-2</v>
      </c>
      <c r="H92" s="1812">
        <v>2.0642999999999998</v>
      </c>
      <c r="I92" s="1812">
        <v>0.17340120000000001</v>
      </c>
      <c r="J92" s="1811"/>
      <c r="K92" s="1811"/>
      <c r="L92" s="1852"/>
      <c r="M92" s="1851"/>
      <c r="N92" s="1851"/>
    </row>
    <row r="93" spans="1:15" ht="25.5" x14ac:dyDescent="0.2">
      <c r="A93" s="1869" t="s">
        <v>10591</v>
      </c>
      <c r="B93" s="1868" t="s">
        <v>10160</v>
      </c>
      <c r="C93" s="1867" t="s">
        <v>400</v>
      </c>
      <c r="D93" s="1862" t="s">
        <v>10948</v>
      </c>
      <c r="E93" s="1862" t="s">
        <v>10590</v>
      </c>
      <c r="F93" s="1866" t="s">
        <v>642</v>
      </c>
      <c r="G93" s="1865"/>
      <c r="H93" s="1864"/>
      <c r="I93" s="1864">
        <v>593.64171799999997</v>
      </c>
      <c r="J93" s="1863"/>
      <c r="K93" s="1863"/>
      <c r="L93" s="1862"/>
      <c r="M93" s="1861"/>
      <c r="N93" s="1861" t="s">
        <v>400</v>
      </c>
      <c r="O93" s="218" t="str">
        <f>A93&amp;B93&amp;C93</f>
        <v>4898Thozen - Electra</v>
      </c>
    </row>
    <row r="94" spans="1:15" ht="25.5" x14ac:dyDescent="0.2">
      <c r="A94" s="1860" t="s">
        <v>10983</v>
      </c>
      <c r="B94" s="1859" t="s">
        <v>10160</v>
      </c>
      <c r="C94" s="1858" t="s">
        <v>10949</v>
      </c>
      <c r="D94" s="1857" t="s">
        <v>10948</v>
      </c>
      <c r="E94" s="1857" t="s">
        <v>10982</v>
      </c>
      <c r="F94" s="1803" t="s">
        <v>1106</v>
      </c>
      <c r="G94" s="1803">
        <v>9</v>
      </c>
      <c r="H94" s="1805">
        <v>2.3450000000000002</v>
      </c>
      <c r="I94" s="1805">
        <v>21.105</v>
      </c>
      <c r="J94" s="1804"/>
      <c r="K94" s="1804"/>
      <c r="L94" s="1857"/>
      <c r="M94" s="1856"/>
      <c r="N94" s="1856"/>
    </row>
    <row r="95" spans="1:15" ht="25.5" x14ac:dyDescent="0.2">
      <c r="A95" s="1855" t="s">
        <v>10981</v>
      </c>
      <c r="B95" s="1854" t="s">
        <v>10160</v>
      </c>
      <c r="C95" s="1853" t="s">
        <v>10949</v>
      </c>
      <c r="D95" s="1852" t="s">
        <v>10948</v>
      </c>
      <c r="E95" s="1852" t="s">
        <v>10980</v>
      </c>
      <c r="F95" s="1810" t="s">
        <v>642</v>
      </c>
      <c r="G95" s="1810">
        <v>1.1000000000000001</v>
      </c>
      <c r="H95" s="1812">
        <v>520</v>
      </c>
      <c r="I95" s="1812">
        <v>572</v>
      </c>
      <c r="J95" s="1811"/>
      <c r="K95" s="1811"/>
      <c r="L95" s="1852"/>
      <c r="M95" s="1851"/>
      <c r="N95" s="1851"/>
    </row>
    <row r="96" spans="1:15" ht="25.5" x14ac:dyDescent="0.2">
      <c r="A96" s="1860" t="s">
        <v>10979</v>
      </c>
      <c r="B96" s="1859" t="s">
        <v>10160</v>
      </c>
      <c r="C96" s="1858" t="s">
        <v>10949</v>
      </c>
      <c r="D96" s="1857" t="s">
        <v>10948</v>
      </c>
      <c r="E96" s="1857" t="s">
        <v>10978</v>
      </c>
      <c r="F96" s="1803" t="s">
        <v>642</v>
      </c>
      <c r="G96" s="1803">
        <v>0.26</v>
      </c>
      <c r="H96" s="1805">
        <v>2.0642999999999998</v>
      </c>
      <c r="I96" s="1805">
        <v>0.53671799999999992</v>
      </c>
      <c r="J96" s="1804"/>
      <c r="K96" s="1804"/>
      <c r="L96" s="1857"/>
      <c r="M96" s="1856"/>
      <c r="N96" s="1856"/>
    </row>
    <row r="97" spans="1:15" ht="25.5" x14ac:dyDescent="0.2">
      <c r="A97" s="1869" t="s">
        <v>10538</v>
      </c>
      <c r="B97" s="1868" t="s">
        <v>10160</v>
      </c>
      <c r="C97" s="1867" t="s">
        <v>400</v>
      </c>
      <c r="D97" s="1862" t="s">
        <v>10948</v>
      </c>
      <c r="E97" s="1862" t="s">
        <v>10537</v>
      </c>
      <c r="F97" s="1866" t="s">
        <v>642</v>
      </c>
      <c r="G97" s="1865"/>
      <c r="H97" s="1864"/>
      <c r="I97" s="1864">
        <v>11.9703</v>
      </c>
      <c r="J97" s="1863"/>
      <c r="K97" s="1863"/>
      <c r="L97" s="1862"/>
      <c r="M97" s="1861"/>
      <c r="N97" s="1861" t="s">
        <v>10977</v>
      </c>
      <c r="O97" s="218" t="str">
        <f>A97&amp;B97&amp;C97</f>
        <v>90559Thozen - Electra</v>
      </c>
    </row>
    <row r="98" spans="1:15" ht="25.5" x14ac:dyDescent="0.2">
      <c r="A98" s="1860" t="s">
        <v>10972</v>
      </c>
      <c r="B98" s="1859" t="s">
        <v>10160</v>
      </c>
      <c r="C98" s="1858" t="s">
        <v>10949</v>
      </c>
      <c r="D98" s="1857" t="s">
        <v>10948</v>
      </c>
      <c r="E98" s="1857" t="s">
        <v>10971</v>
      </c>
      <c r="F98" s="1803" t="s">
        <v>197</v>
      </c>
      <c r="G98" s="1803">
        <v>0.1</v>
      </c>
      <c r="H98" s="1805">
        <v>18.48</v>
      </c>
      <c r="I98" s="1805">
        <v>1.8480000000000001</v>
      </c>
      <c r="J98" s="1804"/>
      <c r="K98" s="1804"/>
      <c r="L98" s="1857"/>
      <c r="M98" s="1856"/>
      <c r="N98" s="1856"/>
    </row>
    <row r="99" spans="1:15" ht="25.5" x14ac:dyDescent="0.2">
      <c r="A99" s="1855" t="s">
        <v>10976</v>
      </c>
      <c r="B99" s="1854" t="s">
        <v>10160</v>
      </c>
      <c r="C99" s="1853" t="s">
        <v>10949</v>
      </c>
      <c r="D99" s="1852" t="s">
        <v>10948</v>
      </c>
      <c r="E99" s="1852" t="s">
        <v>10975</v>
      </c>
      <c r="F99" s="1810" t="s">
        <v>1106</v>
      </c>
      <c r="G99" s="1810">
        <v>0.88019999999999998</v>
      </c>
      <c r="H99" s="1812">
        <v>11.5</v>
      </c>
      <c r="I99" s="1812">
        <v>10.122299999999999</v>
      </c>
      <c r="J99" s="1811"/>
      <c r="K99" s="1811"/>
      <c r="L99" s="1852"/>
      <c r="M99" s="1851"/>
      <c r="N99" s="1851"/>
    </row>
    <row r="100" spans="1:15" ht="25.5" x14ac:dyDescent="0.2">
      <c r="A100" s="1869" t="s">
        <v>10535</v>
      </c>
      <c r="B100" s="1868" t="s">
        <v>10160</v>
      </c>
      <c r="C100" s="1867" t="s">
        <v>400</v>
      </c>
      <c r="D100" s="1862" t="s">
        <v>10948</v>
      </c>
      <c r="E100" s="1862" t="s">
        <v>10534</v>
      </c>
      <c r="F100" s="1866" t="s">
        <v>642</v>
      </c>
      <c r="G100" s="1865"/>
      <c r="H100" s="1864"/>
      <c r="I100" s="1864">
        <v>20.0353125</v>
      </c>
      <c r="J100" s="1863"/>
      <c r="K100" s="1863"/>
      <c r="L100" s="1862"/>
      <c r="M100" s="1861"/>
      <c r="N100" s="1861" t="s">
        <v>10974</v>
      </c>
      <c r="O100" s="218" t="str">
        <f>A100&amp;B100&amp;C100</f>
        <v>4926Thozen - Electra</v>
      </c>
    </row>
    <row r="101" spans="1:15" ht="25.5" x14ac:dyDescent="0.2">
      <c r="A101" s="1860" t="s">
        <v>10959</v>
      </c>
      <c r="B101" s="1859" t="s">
        <v>10160</v>
      </c>
      <c r="C101" s="1858" t="s">
        <v>10949</v>
      </c>
      <c r="D101" s="1857" t="s">
        <v>10948</v>
      </c>
      <c r="E101" s="1857" t="s">
        <v>10958</v>
      </c>
      <c r="F101" s="1803" t="s">
        <v>10946</v>
      </c>
      <c r="G101" s="1803">
        <v>0.34275</v>
      </c>
      <c r="H101" s="1805">
        <v>36.67</v>
      </c>
      <c r="I101" s="1805">
        <v>12.568642500000001</v>
      </c>
      <c r="J101" s="1804"/>
      <c r="K101" s="1804"/>
      <c r="L101" s="1857"/>
      <c r="M101" s="1856"/>
      <c r="N101" s="1856"/>
    </row>
    <row r="102" spans="1:15" ht="25.5" x14ac:dyDescent="0.2">
      <c r="A102" s="1855" t="s">
        <v>10955</v>
      </c>
      <c r="B102" s="1854" t="s">
        <v>10160</v>
      </c>
      <c r="C102" s="1853" t="s">
        <v>10949</v>
      </c>
      <c r="D102" s="1852" t="s">
        <v>10948</v>
      </c>
      <c r="E102" s="1852" t="s">
        <v>10954</v>
      </c>
      <c r="F102" s="1810" t="s">
        <v>1106</v>
      </c>
      <c r="G102" s="1810">
        <v>1.3389</v>
      </c>
      <c r="H102" s="1812">
        <v>3.6</v>
      </c>
      <c r="I102" s="1812">
        <v>4.8200399999999997</v>
      </c>
      <c r="J102" s="1811"/>
      <c r="K102" s="1811"/>
      <c r="L102" s="1852"/>
      <c r="M102" s="1851"/>
      <c r="N102" s="1851"/>
    </row>
    <row r="103" spans="1:15" ht="25.5" x14ac:dyDescent="0.2">
      <c r="A103" s="1860" t="s">
        <v>10957</v>
      </c>
      <c r="B103" s="1859" t="s">
        <v>10160</v>
      </c>
      <c r="C103" s="1858" t="s">
        <v>10949</v>
      </c>
      <c r="D103" s="1857" t="s">
        <v>10948</v>
      </c>
      <c r="E103" s="1857" t="s">
        <v>10956</v>
      </c>
      <c r="F103" s="1803" t="s">
        <v>10946</v>
      </c>
      <c r="G103" s="1803">
        <v>0.1666</v>
      </c>
      <c r="H103" s="1805">
        <v>6.99</v>
      </c>
      <c r="I103" s="1805">
        <v>1.164534</v>
      </c>
      <c r="J103" s="1804"/>
      <c r="K103" s="1804"/>
      <c r="L103" s="1857"/>
      <c r="M103" s="1856"/>
      <c r="N103" s="1856"/>
    </row>
    <row r="104" spans="1:15" ht="25.5" x14ac:dyDescent="0.2">
      <c r="A104" s="1855" t="s">
        <v>10972</v>
      </c>
      <c r="B104" s="1854" t="s">
        <v>10160</v>
      </c>
      <c r="C104" s="1853" t="s">
        <v>10949</v>
      </c>
      <c r="D104" s="1852" t="s">
        <v>10948</v>
      </c>
      <c r="E104" s="1852" t="s">
        <v>10971</v>
      </c>
      <c r="F104" s="1810" t="s">
        <v>197</v>
      </c>
      <c r="G104" s="1810">
        <v>8.0199999999999994E-2</v>
      </c>
      <c r="H104" s="1812">
        <v>18.48</v>
      </c>
      <c r="I104" s="1812">
        <v>1.4820959999999999</v>
      </c>
      <c r="J104" s="1811"/>
      <c r="K104" s="1811"/>
      <c r="L104" s="1852"/>
      <c r="M104" s="1851"/>
      <c r="N104" s="1851"/>
    </row>
    <row r="105" spans="1:15" ht="25.5" x14ac:dyDescent="0.2">
      <c r="A105" s="1869" t="s">
        <v>10532</v>
      </c>
      <c r="B105" s="1868" t="s">
        <v>10160</v>
      </c>
      <c r="C105" s="1867" t="s">
        <v>400</v>
      </c>
      <c r="D105" s="1862" t="s">
        <v>10948</v>
      </c>
      <c r="E105" s="1862" t="s">
        <v>10531</v>
      </c>
      <c r="F105" s="1866" t="s">
        <v>642</v>
      </c>
      <c r="G105" s="1865"/>
      <c r="H105" s="1864"/>
      <c r="I105" s="1864">
        <v>1.3980000000000001</v>
      </c>
      <c r="J105" s="1863"/>
      <c r="K105" s="1863"/>
      <c r="L105" s="1862"/>
      <c r="M105" s="1861"/>
      <c r="N105" s="1861" t="s">
        <v>400</v>
      </c>
      <c r="O105" s="218" t="str">
        <f>A105&amp;B105&amp;C105</f>
        <v>4924Thozen - Electra</v>
      </c>
    </row>
    <row r="106" spans="1:15" ht="25.5" x14ac:dyDescent="0.2">
      <c r="A106" s="1860" t="s">
        <v>10957</v>
      </c>
      <c r="B106" s="1859" t="s">
        <v>10160</v>
      </c>
      <c r="C106" s="1858" t="s">
        <v>10949</v>
      </c>
      <c r="D106" s="1857" t="s">
        <v>10948</v>
      </c>
      <c r="E106" s="1857" t="s">
        <v>10956</v>
      </c>
      <c r="F106" s="1803" t="s">
        <v>10946</v>
      </c>
      <c r="G106" s="1803">
        <v>0.2</v>
      </c>
      <c r="H106" s="1805">
        <v>6.99</v>
      </c>
      <c r="I106" s="1805">
        <v>1.3980000000000001</v>
      </c>
      <c r="J106" s="1804"/>
      <c r="K106" s="1804"/>
      <c r="L106" s="1857"/>
      <c r="M106" s="1856"/>
      <c r="N106" s="1856"/>
    </row>
    <row r="107" spans="1:15" ht="25.5" x14ac:dyDescent="0.2">
      <c r="A107" s="1869" t="s">
        <v>10529</v>
      </c>
      <c r="B107" s="1868" t="s">
        <v>10160</v>
      </c>
      <c r="C107" s="1867" t="s">
        <v>400</v>
      </c>
      <c r="D107" s="1862" t="s">
        <v>10948</v>
      </c>
      <c r="E107" s="1862" t="s">
        <v>10528</v>
      </c>
      <c r="F107" s="1866" t="s">
        <v>642</v>
      </c>
      <c r="G107" s="1865"/>
      <c r="H107" s="1864"/>
      <c r="I107" s="1864">
        <v>9.2907000000000011</v>
      </c>
      <c r="J107" s="1863"/>
      <c r="K107" s="1863"/>
      <c r="L107" s="1862"/>
      <c r="M107" s="1861"/>
      <c r="N107" s="1861" t="s">
        <v>10967</v>
      </c>
      <c r="O107" s="218" t="str">
        <f>A107&amp;B107&amp;C107</f>
        <v>4927Thozen - Electra</v>
      </c>
    </row>
    <row r="108" spans="1:15" ht="25.5" x14ac:dyDescent="0.2">
      <c r="A108" s="1860" t="s">
        <v>10952</v>
      </c>
      <c r="B108" s="1859" t="s">
        <v>10160</v>
      </c>
      <c r="C108" s="1858" t="s">
        <v>10949</v>
      </c>
      <c r="D108" s="1857" t="s">
        <v>10948</v>
      </c>
      <c r="E108" s="1857" t="s">
        <v>10951</v>
      </c>
      <c r="F108" s="1803" t="s">
        <v>1106</v>
      </c>
      <c r="G108" s="1803">
        <v>1.1399999999999999</v>
      </c>
      <c r="H108" s="1805">
        <v>7.23</v>
      </c>
      <c r="I108" s="1805">
        <v>8.2422000000000004</v>
      </c>
      <c r="J108" s="1804"/>
      <c r="K108" s="1804"/>
      <c r="L108" s="1857"/>
      <c r="M108" s="1856"/>
      <c r="N108" s="1856"/>
    </row>
    <row r="109" spans="1:15" ht="25.5" x14ac:dyDescent="0.2">
      <c r="A109" s="1855" t="s">
        <v>10957</v>
      </c>
      <c r="B109" s="1854" t="s">
        <v>10160</v>
      </c>
      <c r="C109" s="1853" t="s">
        <v>10949</v>
      </c>
      <c r="D109" s="1852" t="s">
        <v>10948</v>
      </c>
      <c r="E109" s="1852" t="s">
        <v>10956</v>
      </c>
      <c r="F109" s="1810" t="s">
        <v>10946</v>
      </c>
      <c r="G109" s="1810">
        <v>0.15</v>
      </c>
      <c r="H109" s="1812">
        <v>6.99</v>
      </c>
      <c r="I109" s="1812">
        <v>1.0485</v>
      </c>
      <c r="J109" s="1811"/>
      <c r="K109" s="1811"/>
      <c r="L109" s="1852"/>
      <c r="M109" s="1851"/>
      <c r="N109" s="1851"/>
    </row>
    <row r="110" spans="1:15" ht="25.5" x14ac:dyDescent="0.2">
      <c r="A110" s="1869" t="s">
        <v>10524</v>
      </c>
      <c r="B110" s="1868" t="s">
        <v>10160</v>
      </c>
      <c r="C110" s="1867" t="s">
        <v>400</v>
      </c>
      <c r="D110" s="1862" t="s">
        <v>10948</v>
      </c>
      <c r="E110" s="1862" t="s">
        <v>10523</v>
      </c>
      <c r="F110" s="1866" t="s">
        <v>642</v>
      </c>
      <c r="G110" s="1865"/>
      <c r="H110" s="1864"/>
      <c r="I110" s="1864">
        <v>2.8</v>
      </c>
      <c r="J110" s="1863"/>
      <c r="K110" s="1863"/>
      <c r="L110" s="1862"/>
      <c r="M110" s="1861"/>
      <c r="N110" s="1861" t="s">
        <v>10970</v>
      </c>
      <c r="O110" s="218" t="str">
        <f>A110&amp;B110&amp;C110</f>
        <v>4929Thozen - Electra</v>
      </c>
    </row>
    <row r="111" spans="1:15" ht="25.5" x14ac:dyDescent="0.2">
      <c r="A111" s="1860" t="s">
        <v>10973</v>
      </c>
      <c r="B111" s="1859" t="s">
        <v>10160</v>
      </c>
      <c r="C111" s="1858" t="s">
        <v>10949</v>
      </c>
      <c r="D111" s="1857" t="s">
        <v>10948</v>
      </c>
      <c r="E111" s="1857" t="s">
        <v>499</v>
      </c>
      <c r="F111" s="1803" t="s">
        <v>534</v>
      </c>
      <c r="G111" s="1803">
        <v>0.1</v>
      </c>
      <c r="H111" s="1805">
        <v>2.8</v>
      </c>
      <c r="I111" s="1805">
        <v>0.27999999999999997</v>
      </c>
      <c r="J111" s="1804"/>
      <c r="K111" s="1804"/>
      <c r="L111" s="1857"/>
      <c r="M111" s="1856"/>
      <c r="N111" s="1856"/>
    </row>
    <row r="112" spans="1:15" ht="25.5" x14ac:dyDescent="0.2">
      <c r="A112" s="1855" t="s">
        <v>10955</v>
      </c>
      <c r="B112" s="1854" t="s">
        <v>10160</v>
      </c>
      <c r="C112" s="1853" t="s">
        <v>10949</v>
      </c>
      <c r="D112" s="1852" t="s">
        <v>10948</v>
      </c>
      <c r="E112" s="1852" t="s">
        <v>10954</v>
      </c>
      <c r="F112" s="1810" t="s">
        <v>1106</v>
      </c>
      <c r="G112" s="1810">
        <v>0.7</v>
      </c>
      <c r="H112" s="1812">
        <v>3.6</v>
      </c>
      <c r="I112" s="1812">
        <v>2.52</v>
      </c>
      <c r="J112" s="1811"/>
      <c r="K112" s="1811"/>
      <c r="L112" s="1852"/>
      <c r="M112" s="1851"/>
      <c r="N112" s="1851"/>
    </row>
    <row r="113" spans="1:15" ht="25.5" x14ac:dyDescent="0.2">
      <c r="A113" s="1869" t="s">
        <v>10521</v>
      </c>
      <c r="B113" s="1868" t="s">
        <v>10160</v>
      </c>
      <c r="C113" s="1867" t="s">
        <v>400</v>
      </c>
      <c r="D113" s="1862" t="s">
        <v>10948</v>
      </c>
      <c r="E113" s="1862" t="s">
        <v>10520</v>
      </c>
      <c r="F113" s="1866" t="s">
        <v>642</v>
      </c>
      <c r="G113" s="1865"/>
      <c r="H113" s="1864"/>
      <c r="I113" s="1864">
        <v>20.033479</v>
      </c>
      <c r="J113" s="1863"/>
      <c r="K113" s="1863"/>
      <c r="L113" s="1862"/>
      <c r="M113" s="1861"/>
      <c r="N113" s="1861" t="s">
        <v>10970</v>
      </c>
      <c r="O113" s="218" t="str">
        <f>A113&amp;B113&amp;C113</f>
        <v>4930Thozen - Electra</v>
      </c>
    </row>
    <row r="114" spans="1:15" ht="25.5" x14ac:dyDescent="0.2">
      <c r="A114" s="1860" t="s">
        <v>10959</v>
      </c>
      <c r="B114" s="1859" t="s">
        <v>10160</v>
      </c>
      <c r="C114" s="1858" t="s">
        <v>10949</v>
      </c>
      <c r="D114" s="1857" t="s">
        <v>10948</v>
      </c>
      <c r="E114" s="1857" t="s">
        <v>10958</v>
      </c>
      <c r="F114" s="1803" t="s">
        <v>10946</v>
      </c>
      <c r="G114" s="1803">
        <v>0.3427</v>
      </c>
      <c r="H114" s="1805">
        <v>36.67</v>
      </c>
      <c r="I114" s="1805">
        <v>12.566809000000001</v>
      </c>
      <c r="J114" s="1804"/>
      <c r="K114" s="1804"/>
      <c r="L114" s="1857"/>
      <c r="M114" s="1856"/>
      <c r="N114" s="1856"/>
    </row>
    <row r="115" spans="1:15" ht="25.5" x14ac:dyDescent="0.2">
      <c r="A115" s="1855" t="s">
        <v>10955</v>
      </c>
      <c r="B115" s="1854" t="s">
        <v>10160</v>
      </c>
      <c r="C115" s="1853" t="s">
        <v>10949</v>
      </c>
      <c r="D115" s="1852" t="s">
        <v>10948</v>
      </c>
      <c r="E115" s="1852" t="s">
        <v>10954</v>
      </c>
      <c r="F115" s="1810" t="s">
        <v>1106</v>
      </c>
      <c r="G115" s="1810">
        <v>1.3389</v>
      </c>
      <c r="H115" s="1812">
        <v>3.6</v>
      </c>
      <c r="I115" s="1812">
        <v>4.8200399999999997</v>
      </c>
      <c r="J115" s="1811"/>
      <c r="K115" s="1811"/>
      <c r="L115" s="1852"/>
      <c r="M115" s="1851"/>
      <c r="N115" s="1851"/>
    </row>
    <row r="116" spans="1:15" ht="25.5" x14ac:dyDescent="0.2">
      <c r="A116" s="1860" t="s">
        <v>10957</v>
      </c>
      <c r="B116" s="1859" t="s">
        <v>10160</v>
      </c>
      <c r="C116" s="1858" t="s">
        <v>10949</v>
      </c>
      <c r="D116" s="1857" t="s">
        <v>10948</v>
      </c>
      <c r="E116" s="1857" t="s">
        <v>10956</v>
      </c>
      <c r="F116" s="1803" t="s">
        <v>10946</v>
      </c>
      <c r="G116" s="1803">
        <v>0.1666</v>
      </c>
      <c r="H116" s="1805">
        <v>6.99</v>
      </c>
      <c r="I116" s="1805">
        <v>1.164534</v>
      </c>
      <c r="J116" s="1804"/>
      <c r="K116" s="1804"/>
      <c r="L116" s="1857"/>
      <c r="M116" s="1856"/>
      <c r="N116" s="1856"/>
    </row>
    <row r="117" spans="1:15" ht="25.5" x14ac:dyDescent="0.2">
      <c r="A117" s="1855" t="s">
        <v>10972</v>
      </c>
      <c r="B117" s="1854" t="s">
        <v>10160</v>
      </c>
      <c r="C117" s="1853" t="s">
        <v>10949</v>
      </c>
      <c r="D117" s="1852" t="s">
        <v>10948</v>
      </c>
      <c r="E117" s="1852" t="s">
        <v>10971</v>
      </c>
      <c r="F117" s="1810" t="s">
        <v>197</v>
      </c>
      <c r="G117" s="1810">
        <v>8.0199999999999994E-2</v>
      </c>
      <c r="H117" s="1812">
        <v>18.48</v>
      </c>
      <c r="I117" s="1812">
        <v>1.4820959999999999</v>
      </c>
      <c r="J117" s="1811"/>
      <c r="K117" s="1811"/>
      <c r="L117" s="1852"/>
      <c r="M117" s="1851"/>
      <c r="N117" s="1851"/>
    </row>
    <row r="118" spans="1:15" ht="25.5" x14ac:dyDescent="0.2">
      <c r="A118" s="1869" t="s">
        <v>10515</v>
      </c>
      <c r="B118" s="1868" t="s">
        <v>10160</v>
      </c>
      <c r="C118" s="1867" t="s">
        <v>400</v>
      </c>
      <c r="D118" s="1862" t="s">
        <v>10948</v>
      </c>
      <c r="E118" s="1862" t="s">
        <v>10514</v>
      </c>
      <c r="F118" s="1866" t="s">
        <v>642</v>
      </c>
      <c r="G118" s="1865"/>
      <c r="H118" s="1864"/>
      <c r="I118" s="1864">
        <v>1.1184000000000001</v>
      </c>
      <c r="J118" s="1863"/>
      <c r="K118" s="1863"/>
      <c r="L118" s="1862"/>
      <c r="M118" s="1861"/>
      <c r="N118" s="1861" t="s">
        <v>10970</v>
      </c>
      <c r="O118" s="218" t="str">
        <f>A118&amp;B118&amp;C118</f>
        <v>245Thozen - Electra</v>
      </c>
    </row>
    <row r="119" spans="1:15" ht="25.5" x14ac:dyDescent="0.2">
      <c r="A119" s="1860" t="s">
        <v>10957</v>
      </c>
      <c r="B119" s="1859" t="s">
        <v>10160</v>
      </c>
      <c r="C119" s="1858" t="s">
        <v>10949</v>
      </c>
      <c r="D119" s="1857" t="s">
        <v>10948</v>
      </c>
      <c r="E119" s="1857" t="s">
        <v>10956</v>
      </c>
      <c r="F119" s="1803" t="s">
        <v>10946</v>
      </c>
      <c r="G119" s="1803">
        <v>0.16</v>
      </c>
      <c r="H119" s="1805">
        <v>6.99</v>
      </c>
      <c r="I119" s="1805">
        <v>1.1184000000000001</v>
      </c>
      <c r="J119" s="1804"/>
      <c r="K119" s="1804"/>
      <c r="L119" s="1857"/>
      <c r="M119" s="1856"/>
      <c r="N119" s="1856"/>
    </row>
    <row r="120" spans="1:15" ht="25.5" x14ac:dyDescent="0.2">
      <c r="A120" s="1869" t="s">
        <v>10508</v>
      </c>
      <c r="B120" s="1868" t="s">
        <v>10160</v>
      </c>
      <c r="C120" s="1867" t="s">
        <v>400</v>
      </c>
      <c r="D120" s="1862" t="s">
        <v>10948</v>
      </c>
      <c r="E120" s="1862" t="s">
        <v>10507</v>
      </c>
      <c r="F120" s="1866" t="s">
        <v>642</v>
      </c>
      <c r="G120" s="1865"/>
      <c r="H120" s="1864"/>
      <c r="I120" s="1864">
        <v>34</v>
      </c>
      <c r="J120" s="1863"/>
      <c r="K120" s="1863"/>
      <c r="L120" s="1862"/>
      <c r="M120" s="1861"/>
      <c r="N120" s="1861" t="s">
        <v>400</v>
      </c>
      <c r="O120" s="218" t="str">
        <f>A120&amp;B120&amp;C120</f>
        <v>4937Thozen - Electra</v>
      </c>
    </row>
    <row r="121" spans="1:15" ht="25.5" x14ac:dyDescent="0.2">
      <c r="A121" s="1860" t="s">
        <v>10969</v>
      </c>
      <c r="B121" s="1859" t="s">
        <v>10160</v>
      </c>
      <c r="C121" s="1858" t="s">
        <v>10949</v>
      </c>
      <c r="D121" s="1857" t="s">
        <v>10948</v>
      </c>
      <c r="E121" s="1857" t="s">
        <v>10968</v>
      </c>
      <c r="F121" s="1803" t="s">
        <v>642</v>
      </c>
      <c r="G121" s="1803">
        <v>1</v>
      </c>
      <c r="H121" s="1805">
        <v>34</v>
      </c>
      <c r="I121" s="1805">
        <v>34</v>
      </c>
      <c r="J121" s="1804"/>
      <c r="K121" s="1804"/>
      <c r="L121" s="1857"/>
      <c r="M121" s="1856"/>
      <c r="N121" s="1856"/>
    </row>
    <row r="122" spans="1:15" ht="25.5" x14ac:dyDescent="0.2">
      <c r="A122" s="1869" t="s">
        <v>10505</v>
      </c>
      <c r="B122" s="1868" t="s">
        <v>10160</v>
      </c>
      <c r="C122" s="1867" t="s">
        <v>400</v>
      </c>
      <c r="D122" s="1862" t="s">
        <v>10948</v>
      </c>
      <c r="E122" s="1862" t="s">
        <v>10504</v>
      </c>
      <c r="F122" s="1866" t="s">
        <v>642</v>
      </c>
      <c r="G122" s="1865"/>
      <c r="H122" s="1864"/>
      <c r="I122" s="1864">
        <v>41</v>
      </c>
      <c r="J122" s="1863"/>
      <c r="K122" s="1863"/>
      <c r="L122" s="1862"/>
      <c r="M122" s="1861"/>
      <c r="N122" s="1861" t="s">
        <v>10967</v>
      </c>
      <c r="O122" s="218" t="str">
        <f>A122&amp;B122&amp;C122</f>
        <v>80040Thozen - Electra</v>
      </c>
    </row>
    <row r="123" spans="1:15" ht="25.5" x14ac:dyDescent="0.2">
      <c r="A123" s="1860" t="s">
        <v>10966</v>
      </c>
      <c r="B123" s="1859" t="s">
        <v>10160</v>
      </c>
      <c r="C123" s="1858" t="s">
        <v>10949</v>
      </c>
      <c r="D123" s="1857" t="s">
        <v>10948</v>
      </c>
      <c r="E123" s="1857" t="s">
        <v>10965</v>
      </c>
      <c r="F123" s="1803" t="s">
        <v>642</v>
      </c>
      <c r="G123" s="1803">
        <v>1</v>
      </c>
      <c r="H123" s="1805">
        <v>41</v>
      </c>
      <c r="I123" s="1805">
        <v>41</v>
      </c>
      <c r="J123" s="1804"/>
      <c r="K123" s="1804"/>
      <c r="L123" s="1857"/>
      <c r="M123" s="1856"/>
      <c r="N123" s="1856"/>
    </row>
    <row r="124" spans="1:15" ht="25.5" x14ac:dyDescent="0.2">
      <c r="A124" s="1869" t="s">
        <v>10172</v>
      </c>
      <c r="B124" s="1868" t="s">
        <v>10160</v>
      </c>
      <c r="C124" s="1867" t="s">
        <v>400</v>
      </c>
      <c r="D124" s="1862" t="s">
        <v>10948</v>
      </c>
      <c r="E124" s="1862" t="s">
        <v>10171</v>
      </c>
      <c r="F124" s="1866" t="s">
        <v>642</v>
      </c>
      <c r="G124" s="1865"/>
      <c r="H124" s="1864"/>
      <c r="I124" s="1864">
        <v>1.3365</v>
      </c>
      <c r="J124" s="1863"/>
      <c r="K124" s="1863"/>
      <c r="L124" s="1862"/>
      <c r="M124" s="1861"/>
      <c r="N124" s="1861" t="s">
        <v>10962</v>
      </c>
      <c r="O124" s="218" t="str">
        <f>A124&amp;B124&amp;C124</f>
        <v>42Thozen - Electra</v>
      </c>
    </row>
    <row r="125" spans="1:15" ht="25.5" x14ac:dyDescent="0.2">
      <c r="A125" s="1860" t="s">
        <v>10964</v>
      </c>
      <c r="B125" s="1859" t="s">
        <v>10160</v>
      </c>
      <c r="C125" s="1858" t="s">
        <v>10949</v>
      </c>
      <c r="D125" s="1857" t="s">
        <v>10948</v>
      </c>
      <c r="E125" s="1857" t="s">
        <v>10963</v>
      </c>
      <c r="F125" s="1803" t="s">
        <v>1248</v>
      </c>
      <c r="G125" s="1803">
        <v>3.3E-3</v>
      </c>
      <c r="H125" s="1805">
        <v>405</v>
      </c>
      <c r="I125" s="1805">
        <v>1.3365</v>
      </c>
      <c r="J125" s="1804"/>
      <c r="K125" s="1804"/>
      <c r="L125" s="1857"/>
      <c r="M125" s="1856"/>
      <c r="N125" s="1856"/>
    </row>
    <row r="126" spans="1:15" ht="25.5" x14ac:dyDescent="0.2">
      <c r="A126" s="1869" t="s">
        <v>10169</v>
      </c>
      <c r="B126" s="1868" t="s">
        <v>10160</v>
      </c>
      <c r="C126" s="1867" t="s">
        <v>400</v>
      </c>
      <c r="D126" s="1862" t="s">
        <v>10948</v>
      </c>
      <c r="E126" s="1862" t="s">
        <v>10168</v>
      </c>
      <c r="F126" s="1866" t="s">
        <v>642</v>
      </c>
      <c r="G126" s="1865"/>
      <c r="H126" s="1864"/>
      <c r="I126" s="1864">
        <v>5.5020000000000007</v>
      </c>
      <c r="J126" s="1863"/>
      <c r="K126" s="1863"/>
      <c r="L126" s="1862"/>
      <c r="M126" s="1861"/>
      <c r="N126" s="1861" t="s">
        <v>10962</v>
      </c>
      <c r="O126" s="218" t="str">
        <f>A126&amp;B126&amp;C126</f>
        <v>90546Thozen - Electra</v>
      </c>
    </row>
    <row r="127" spans="1:15" ht="25.5" x14ac:dyDescent="0.2">
      <c r="A127" s="1860" t="s">
        <v>10961</v>
      </c>
      <c r="B127" s="1859" t="s">
        <v>10160</v>
      </c>
      <c r="C127" s="1858" t="s">
        <v>10949</v>
      </c>
      <c r="D127" s="1857" t="s">
        <v>10948</v>
      </c>
      <c r="E127" s="1857" t="s">
        <v>10960</v>
      </c>
      <c r="F127" s="1803" t="s">
        <v>1769</v>
      </c>
      <c r="G127" s="1803">
        <v>4.2</v>
      </c>
      <c r="H127" s="1805">
        <v>1.31</v>
      </c>
      <c r="I127" s="1805">
        <v>5.5020000000000007</v>
      </c>
      <c r="J127" s="1804"/>
      <c r="K127" s="1804"/>
      <c r="L127" s="1857"/>
      <c r="M127" s="1856"/>
      <c r="N127" s="1856"/>
    </row>
    <row r="128" spans="1:15" ht="25.5" x14ac:dyDescent="0.2">
      <c r="A128" s="1869" t="s">
        <v>10163</v>
      </c>
      <c r="B128" s="1868" t="s">
        <v>10160</v>
      </c>
      <c r="C128" s="1867" t="s">
        <v>400</v>
      </c>
      <c r="D128" s="1862" t="s">
        <v>10948</v>
      </c>
      <c r="E128" s="1862" t="s">
        <v>10162</v>
      </c>
      <c r="F128" s="1866" t="s">
        <v>642</v>
      </c>
      <c r="G128" s="1865"/>
      <c r="H128" s="1864"/>
      <c r="I128" s="1864">
        <v>17.209589999999999</v>
      </c>
      <c r="J128" s="1863"/>
      <c r="K128" s="1863"/>
      <c r="L128" s="1862"/>
      <c r="M128" s="1861"/>
      <c r="N128" s="1861" t="s">
        <v>10953</v>
      </c>
      <c r="O128" s="218" t="str">
        <f>A128&amp;B128&amp;C128</f>
        <v>4979Thozen - Electra</v>
      </c>
    </row>
    <row r="129" spans="1:15" ht="25.5" x14ac:dyDescent="0.2">
      <c r="A129" s="1860" t="s">
        <v>10959</v>
      </c>
      <c r="B129" s="1859" t="s">
        <v>10160</v>
      </c>
      <c r="C129" s="1858" t="s">
        <v>10949</v>
      </c>
      <c r="D129" s="1857" t="s">
        <v>10948</v>
      </c>
      <c r="E129" s="1857" t="s">
        <v>10958</v>
      </c>
      <c r="F129" s="1803" t="s">
        <v>10946</v>
      </c>
      <c r="G129" s="1803">
        <v>0.3</v>
      </c>
      <c r="H129" s="1805">
        <v>36.67</v>
      </c>
      <c r="I129" s="1805">
        <v>11.000999999999999</v>
      </c>
      <c r="J129" s="1804"/>
      <c r="K129" s="1804"/>
      <c r="L129" s="1857"/>
      <c r="M129" s="1856"/>
      <c r="N129" s="1856"/>
    </row>
    <row r="130" spans="1:15" ht="25.5" x14ac:dyDescent="0.2">
      <c r="A130" s="1855" t="s">
        <v>10957</v>
      </c>
      <c r="B130" s="1854" t="s">
        <v>10160</v>
      </c>
      <c r="C130" s="1853" t="s">
        <v>10949</v>
      </c>
      <c r="D130" s="1852" t="s">
        <v>10948</v>
      </c>
      <c r="E130" s="1852" t="s">
        <v>10956</v>
      </c>
      <c r="F130" s="1810" t="s">
        <v>10946</v>
      </c>
      <c r="G130" s="1810">
        <v>8.8999999999999996E-2</v>
      </c>
      <c r="H130" s="1812">
        <v>6.99</v>
      </c>
      <c r="I130" s="1812">
        <v>0.62210999999999994</v>
      </c>
      <c r="J130" s="1811"/>
      <c r="K130" s="1811"/>
      <c r="L130" s="1852"/>
      <c r="M130" s="1851"/>
      <c r="N130" s="1851"/>
    </row>
    <row r="131" spans="1:15" ht="25.5" x14ac:dyDescent="0.2">
      <c r="A131" s="1860" t="s">
        <v>10955</v>
      </c>
      <c r="B131" s="1859" t="s">
        <v>10160</v>
      </c>
      <c r="C131" s="1858" t="s">
        <v>10949</v>
      </c>
      <c r="D131" s="1857" t="s">
        <v>10948</v>
      </c>
      <c r="E131" s="1857" t="s">
        <v>10954</v>
      </c>
      <c r="F131" s="1803" t="s">
        <v>1106</v>
      </c>
      <c r="G131" s="1803">
        <v>1.5518000000000001</v>
      </c>
      <c r="H131" s="1805">
        <v>3.6</v>
      </c>
      <c r="I131" s="1805">
        <v>5.5864800000000008</v>
      </c>
      <c r="J131" s="1804"/>
      <c r="K131" s="1804"/>
      <c r="L131" s="1857"/>
      <c r="M131" s="1856"/>
      <c r="N131" s="1856"/>
    </row>
    <row r="132" spans="1:15" ht="25.5" x14ac:dyDescent="0.2">
      <c r="A132" s="1869" t="s">
        <v>10158</v>
      </c>
      <c r="B132" s="1868" t="s">
        <v>10160</v>
      </c>
      <c r="C132" s="1867" t="s">
        <v>400</v>
      </c>
      <c r="D132" s="1862" t="s">
        <v>10948</v>
      </c>
      <c r="E132" s="1862" t="s">
        <v>10157</v>
      </c>
      <c r="F132" s="1866" t="s">
        <v>642</v>
      </c>
      <c r="G132" s="1865"/>
      <c r="H132" s="1864"/>
      <c r="I132" s="1864">
        <v>17.585707999999997</v>
      </c>
      <c r="J132" s="1863"/>
      <c r="K132" s="1863"/>
      <c r="L132" s="1862"/>
      <c r="M132" s="1861"/>
      <c r="N132" s="1861" t="s">
        <v>10953</v>
      </c>
      <c r="O132" s="218" t="str">
        <f>A132&amp;B132&amp;C132</f>
        <v>1497Thozen - Electra</v>
      </c>
    </row>
    <row r="133" spans="1:15" ht="25.5" x14ac:dyDescent="0.2">
      <c r="A133" s="1860" t="s">
        <v>10952</v>
      </c>
      <c r="B133" s="1859" t="s">
        <v>10160</v>
      </c>
      <c r="C133" s="1858" t="s">
        <v>10949</v>
      </c>
      <c r="D133" s="1857" t="s">
        <v>10948</v>
      </c>
      <c r="E133" s="1857" t="s">
        <v>10951</v>
      </c>
      <c r="F133" s="1803" t="s">
        <v>1106</v>
      </c>
      <c r="G133" s="1803">
        <v>2.2147999999999999</v>
      </c>
      <c r="H133" s="1805">
        <v>7.23</v>
      </c>
      <c r="I133" s="1805">
        <v>16.013003999999999</v>
      </c>
      <c r="J133" s="1804"/>
      <c r="K133" s="1804"/>
      <c r="L133" s="1857"/>
      <c r="M133" s="1856"/>
      <c r="N133" s="1856"/>
    </row>
    <row r="134" spans="1:15" ht="25.5" x14ac:dyDescent="0.2">
      <c r="A134" s="1855" t="s">
        <v>10950</v>
      </c>
      <c r="B134" s="1854" t="s">
        <v>10160</v>
      </c>
      <c r="C134" s="1853" t="s">
        <v>10949</v>
      </c>
      <c r="D134" s="1852" t="s">
        <v>10948</v>
      </c>
      <c r="E134" s="1852" t="s">
        <v>10947</v>
      </c>
      <c r="F134" s="1810" t="s">
        <v>10946</v>
      </c>
      <c r="G134" s="1810">
        <v>0.1666</v>
      </c>
      <c r="H134" s="1812">
        <v>9.44</v>
      </c>
      <c r="I134" s="1812">
        <v>1.5727039999999999</v>
      </c>
      <c r="J134" s="1811"/>
      <c r="K134" s="1811"/>
      <c r="L134" s="1852"/>
      <c r="M134" s="1851"/>
      <c r="N134" s="1851"/>
    </row>
  </sheetData>
  <mergeCells count="22">
    <mergeCell ref="B6:E6"/>
    <mergeCell ref="A1:G1"/>
    <mergeCell ref="B2:E2"/>
    <mergeCell ref="B3:E3"/>
    <mergeCell ref="B4:E4"/>
    <mergeCell ref="B5:E5"/>
    <mergeCell ref="B7:E7"/>
    <mergeCell ref="B8:E8"/>
    <mergeCell ref="A11:N11"/>
    <mergeCell ref="A12:A13"/>
    <mergeCell ref="B12:B13"/>
    <mergeCell ref="C12:C13"/>
    <mergeCell ref="D12:D13"/>
    <mergeCell ref="E12:E13"/>
    <mergeCell ref="F12:F13"/>
    <mergeCell ref="G12:G13"/>
    <mergeCell ref="L12:L13"/>
    <mergeCell ref="M12:M13"/>
    <mergeCell ref="N12:N13"/>
    <mergeCell ref="H12:I12"/>
    <mergeCell ref="J12:J13"/>
    <mergeCell ref="K12:K13"/>
  </mergeCells>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5A49-B801-4713-9CA9-E38251D3334A}">
  <dimension ref="A1:I61"/>
  <sheetViews>
    <sheetView zoomScale="85" zoomScaleNormal="85" workbookViewId="0">
      <selection activeCell="G12" sqref="G12:G13"/>
    </sheetView>
  </sheetViews>
  <sheetFormatPr defaultColWidth="11.5703125" defaultRowHeight="12.75" x14ac:dyDescent="0.2"/>
  <cols>
    <col min="1" max="1" width="12.28515625" style="218" customWidth="1"/>
    <col min="2" max="2" width="12.28515625" style="220" customWidth="1"/>
    <col min="3" max="3" width="14.28515625" style="220" customWidth="1"/>
    <col min="4" max="4" width="77.7109375" style="218" customWidth="1"/>
    <col min="5" max="5" width="9.42578125" style="220" customWidth="1"/>
    <col min="6" max="6" width="13.140625" style="219" customWidth="1"/>
    <col min="7" max="7" width="12.85546875" style="219" customWidth="1"/>
    <col min="8" max="8" width="44" style="219" customWidth="1"/>
    <col min="9" max="16384" width="11.5703125" style="218"/>
  </cols>
  <sheetData>
    <row r="1" spans="1:9" x14ac:dyDescent="0.2">
      <c r="A1" s="1917" t="s">
        <v>2273</v>
      </c>
      <c r="B1" s="1918"/>
      <c r="C1" s="1918"/>
      <c r="D1" s="1918"/>
      <c r="E1" s="1918"/>
      <c r="F1" s="1918"/>
      <c r="G1" s="1919"/>
      <c r="H1" s="1848"/>
    </row>
    <row r="2" spans="1:9" x14ac:dyDescent="0.2">
      <c r="A2" s="1875" t="s">
        <v>2272</v>
      </c>
      <c r="B2" s="1920" t="s">
        <v>11066</v>
      </c>
      <c r="C2" s="1921"/>
      <c r="D2" s="1921"/>
      <c r="E2" s="1921"/>
      <c r="F2" s="1922"/>
      <c r="G2" s="1923"/>
      <c r="H2" s="1848"/>
    </row>
    <row r="3" spans="1:9" x14ac:dyDescent="0.2">
      <c r="A3" s="1874" t="s">
        <v>1277</v>
      </c>
      <c r="B3" s="1928" t="s">
        <v>10945</v>
      </c>
      <c r="C3" s="1929"/>
      <c r="D3" s="1929"/>
      <c r="E3" s="1929"/>
      <c r="F3" s="1924"/>
      <c r="G3" s="1925"/>
      <c r="H3" s="1848"/>
    </row>
    <row r="4" spans="1:9" x14ac:dyDescent="0.2">
      <c r="A4" s="1875" t="s">
        <v>2271</v>
      </c>
      <c r="B4" s="1920" t="s">
        <v>10944</v>
      </c>
      <c r="C4" s="1921"/>
      <c r="D4" s="1921"/>
      <c r="E4" s="1921"/>
      <c r="F4" s="1924"/>
      <c r="G4" s="1925"/>
      <c r="H4" s="1848"/>
    </row>
    <row r="5" spans="1:9" x14ac:dyDescent="0.2">
      <c r="A5" s="1874" t="s">
        <v>2270</v>
      </c>
      <c r="B5" s="1928" t="s">
        <v>10943</v>
      </c>
      <c r="C5" s="1929"/>
      <c r="D5" s="1929"/>
      <c r="E5" s="1929"/>
      <c r="F5" s="1924"/>
      <c r="G5" s="1925"/>
      <c r="H5" s="1848"/>
    </row>
    <row r="6" spans="1:9" x14ac:dyDescent="0.2">
      <c r="A6" s="1875" t="s">
        <v>2269</v>
      </c>
      <c r="B6" s="1920" t="s">
        <v>400</v>
      </c>
      <c r="C6" s="1921"/>
      <c r="D6" s="1921"/>
      <c r="E6" s="1921"/>
      <c r="F6" s="1924"/>
      <c r="G6" s="1925"/>
      <c r="H6" s="1848"/>
    </row>
    <row r="7" spans="1:9" x14ac:dyDescent="0.2">
      <c r="A7" s="1874" t="s">
        <v>60</v>
      </c>
      <c r="B7" s="1928" t="s">
        <v>400</v>
      </c>
      <c r="C7" s="1929"/>
      <c r="D7" s="1929"/>
      <c r="E7" s="1929"/>
      <c r="F7" s="1924"/>
      <c r="G7" s="1925"/>
      <c r="H7" s="1848"/>
    </row>
    <row r="8" spans="1:9" x14ac:dyDescent="0.2">
      <c r="A8" s="1873" t="s">
        <v>10942</v>
      </c>
      <c r="B8" s="1930" t="s">
        <v>10941</v>
      </c>
      <c r="C8" s="1931"/>
      <c r="D8" s="1931"/>
      <c r="E8" s="1931"/>
      <c r="F8" s="1926"/>
      <c r="G8" s="1927"/>
      <c r="H8" s="1848"/>
    </row>
    <row r="9" spans="1:9" x14ac:dyDescent="0.2">
      <c r="A9" s="1838"/>
      <c r="B9" s="1837"/>
      <c r="C9" s="1837"/>
      <c r="D9" s="1837"/>
      <c r="E9" s="1801"/>
      <c r="F9" s="1836"/>
      <c r="G9" s="1833"/>
      <c r="H9" s="1833"/>
    </row>
    <row r="10" spans="1:9" x14ac:dyDescent="0.2">
      <c r="A10" s="1833"/>
      <c r="B10" s="1833"/>
      <c r="C10" s="1833"/>
      <c r="D10" s="1833"/>
      <c r="E10" s="1833"/>
      <c r="F10" s="1833"/>
      <c r="G10" s="1833"/>
      <c r="H10" s="1833"/>
    </row>
    <row r="11" spans="1:9" x14ac:dyDescent="0.2">
      <c r="A11" s="1915" t="s">
        <v>11065</v>
      </c>
      <c r="B11" s="1916"/>
      <c r="C11" s="1916"/>
      <c r="D11" s="1916"/>
      <c r="E11" s="1916"/>
      <c r="F11" s="1916"/>
      <c r="G11" s="1916"/>
      <c r="H11" s="225"/>
    </row>
    <row r="12" spans="1:9" ht="21.75" customHeight="1" x14ac:dyDescent="0.2">
      <c r="A12" s="1903" t="s">
        <v>10935</v>
      </c>
      <c r="B12" s="1903" t="s">
        <v>11064</v>
      </c>
      <c r="C12" s="1903" t="s">
        <v>59</v>
      </c>
      <c r="D12" s="1903" t="s">
        <v>60</v>
      </c>
      <c r="E12" s="1903" t="s">
        <v>1278</v>
      </c>
      <c r="F12" s="1903" t="s">
        <v>10939</v>
      </c>
      <c r="G12" s="1909" t="s">
        <v>11063</v>
      </c>
      <c r="H12" s="1909" t="s">
        <v>11056</v>
      </c>
    </row>
    <row r="13" spans="1:9" ht="17.25" customHeight="1" x14ac:dyDescent="0.2">
      <c r="A13" s="1903"/>
      <c r="B13" s="1903"/>
      <c r="C13" s="1903"/>
      <c r="D13" s="1903"/>
      <c r="E13" s="1903"/>
      <c r="F13" s="1903"/>
      <c r="G13" s="1911"/>
      <c r="H13" s="1911"/>
    </row>
    <row r="14" spans="1:9" ht="25.5" x14ac:dyDescent="0.2">
      <c r="A14" s="1860" t="s">
        <v>11049</v>
      </c>
      <c r="B14" s="1859" t="s">
        <v>10160</v>
      </c>
      <c r="C14" s="1859" t="s">
        <v>3244</v>
      </c>
      <c r="D14" s="1857" t="s">
        <v>356</v>
      </c>
      <c r="E14" s="1803" t="s">
        <v>1248</v>
      </c>
      <c r="F14" s="1805">
        <v>480</v>
      </c>
      <c r="G14" s="1804" t="s">
        <v>400</v>
      </c>
      <c r="H14" s="1872"/>
      <c r="I14" s="218" t="str">
        <f t="shared" ref="I14:I61" si="0">A14&amp;B14</f>
        <v>194Thozen - Electra</v>
      </c>
    </row>
    <row r="15" spans="1:9" ht="25.5" x14ac:dyDescent="0.2">
      <c r="A15" s="1855" t="s">
        <v>11053</v>
      </c>
      <c r="B15" s="1854" t="s">
        <v>10160</v>
      </c>
      <c r="C15" s="1871" t="s">
        <v>3244</v>
      </c>
      <c r="D15" s="1852" t="s">
        <v>11052</v>
      </c>
      <c r="E15" s="1810" t="s">
        <v>534</v>
      </c>
      <c r="F15" s="1812">
        <v>1.1000000000000001</v>
      </c>
      <c r="G15" s="1811" t="s">
        <v>400</v>
      </c>
      <c r="H15" s="1870"/>
      <c r="I15" s="218" t="str">
        <f t="shared" si="0"/>
        <v>228Thozen - Electra</v>
      </c>
    </row>
    <row r="16" spans="1:9" ht="25.5" x14ac:dyDescent="0.2">
      <c r="A16" s="1860" t="s">
        <v>11051</v>
      </c>
      <c r="B16" s="1859" t="s">
        <v>10160</v>
      </c>
      <c r="C16" s="1859" t="s">
        <v>3244</v>
      </c>
      <c r="D16" s="1857" t="s">
        <v>11050</v>
      </c>
      <c r="E16" s="1803" t="s">
        <v>534</v>
      </c>
      <c r="F16" s="1805">
        <v>1.74</v>
      </c>
      <c r="G16" s="1804" t="s">
        <v>400</v>
      </c>
      <c r="H16" s="1872"/>
      <c r="I16" s="218" t="str">
        <f t="shared" si="0"/>
        <v>232Thozen - Electra</v>
      </c>
    </row>
    <row r="17" spans="1:9" ht="25.5" x14ac:dyDescent="0.2">
      <c r="A17" s="1855" t="s">
        <v>11048</v>
      </c>
      <c r="B17" s="1854" t="s">
        <v>10160</v>
      </c>
      <c r="C17" s="1871" t="s">
        <v>3244</v>
      </c>
      <c r="D17" s="1852" t="s">
        <v>11047</v>
      </c>
      <c r="E17" s="1810" t="s">
        <v>534</v>
      </c>
      <c r="F17" s="1812">
        <v>2.4300000000000002</v>
      </c>
      <c r="G17" s="1811" t="s">
        <v>400</v>
      </c>
      <c r="H17" s="1870"/>
      <c r="I17" s="218" t="str">
        <f t="shared" si="0"/>
        <v>48433Thozen - Electra</v>
      </c>
    </row>
    <row r="18" spans="1:9" ht="25.5" x14ac:dyDescent="0.2">
      <c r="A18" s="1860" t="s">
        <v>11046</v>
      </c>
      <c r="B18" s="1859" t="s">
        <v>10160</v>
      </c>
      <c r="C18" s="1859" t="s">
        <v>3244</v>
      </c>
      <c r="D18" s="1857" t="s">
        <v>11045</v>
      </c>
      <c r="E18" s="1803" t="s">
        <v>1248</v>
      </c>
      <c r="F18" s="1805">
        <v>450</v>
      </c>
      <c r="G18" s="1804" t="s">
        <v>400</v>
      </c>
      <c r="H18" s="1872"/>
      <c r="I18" s="218" t="str">
        <f t="shared" si="0"/>
        <v>759Thozen - Electra</v>
      </c>
    </row>
    <row r="19" spans="1:9" ht="25.5" x14ac:dyDescent="0.2">
      <c r="A19" s="1855" t="s">
        <v>11044</v>
      </c>
      <c r="B19" s="1854" t="s">
        <v>10160</v>
      </c>
      <c r="C19" s="1871" t="s">
        <v>3244</v>
      </c>
      <c r="D19" s="1852" t="s">
        <v>11043</v>
      </c>
      <c r="E19" s="1810" t="s">
        <v>10946</v>
      </c>
      <c r="F19" s="1812">
        <v>6.45</v>
      </c>
      <c r="G19" s="1811" t="s">
        <v>400</v>
      </c>
      <c r="H19" s="1870"/>
      <c r="I19" s="218" t="str">
        <f t="shared" si="0"/>
        <v>4800Thozen - Electra</v>
      </c>
    </row>
    <row r="20" spans="1:9" ht="25.5" x14ac:dyDescent="0.2">
      <c r="A20" s="1860" t="s">
        <v>10987</v>
      </c>
      <c r="B20" s="1859" t="s">
        <v>10160</v>
      </c>
      <c r="C20" s="1859" t="s">
        <v>3244</v>
      </c>
      <c r="D20" s="1857" t="s">
        <v>10986</v>
      </c>
      <c r="E20" s="1803" t="s">
        <v>534</v>
      </c>
      <c r="F20" s="1805">
        <v>0.15</v>
      </c>
      <c r="G20" s="1804" t="s">
        <v>400</v>
      </c>
      <c r="H20" s="1872"/>
      <c r="I20" s="218" t="str">
        <f t="shared" si="0"/>
        <v>1412Thozen - Electra</v>
      </c>
    </row>
    <row r="21" spans="1:9" ht="25.5" x14ac:dyDescent="0.2">
      <c r="A21" s="1855" t="s">
        <v>11042</v>
      </c>
      <c r="B21" s="1854" t="s">
        <v>10160</v>
      </c>
      <c r="C21" s="1871" t="s">
        <v>3244</v>
      </c>
      <c r="D21" s="1852" t="s">
        <v>11041</v>
      </c>
      <c r="E21" s="1810" t="s">
        <v>1248</v>
      </c>
      <c r="F21" s="1812">
        <v>1310</v>
      </c>
      <c r="G21" s="1811" t="s">
        <v>400</v>
      </c>
      <c r="H21" s="1870"/>
      <c r="I21" s="218" t="str">
        <f t="shared" si="0"/>
        <v>2324Thozen - Electra</v>
      </c>
    </row>
    <row r="22" spans="1:9" ht="25.5" x14ac:dyDescent="0.2">
      <c r="A22" s="1860" t="s">
        <v>11040</v>
      </c>
      <c r="B22" s="1859" t="s">
        <v>10160</v>
      </c>
      <c r="C22" s="1859" t="s">
        <v>3244</v>
      </c>
      <c r="D22" s="1857" t="s">
        <v>11039</v>
      </c>
      <c r="E22" s="1803" t="s">
        <v>1106</v>
      </c>
      <c r="F22" s="1805">
        <v>10.91</v>
      </c>
      <c r="G22" s="1804" t="s">
        <v>400</v>
      </c>
      <c r="H22" s="1872"/>
      <c r="I22" s="218" t="str">
        <f t="shared" si="0"/>
        <v>2362Thozen - Electra</v>
      </c>
    </row>
    <row r="23" spans="1:9" ht="25.5" x14ac:dyDescent="0.2">
      <c r="A23" s="1855" t="s">
        <v>11038</v>
      </c>
      <c r="B23" s="1854" t="s">
        <v>10160</v>
      </c>
      <c r="C23" s="1871" t="s">
        <v>3244</v>
      </c>
      <c r="D23" s="1852" t="s">
        <v>11037</v>
      </c>
      <c r="E23" s="1810" t="s">
        <v>1248</v>
      </c>
      <c r="F23" s="1812">
        <v>1300</v>
      </c>
      <c r="G23" s="1811" t="s">
        <v>400</v>
      </c>
      <c r="H23" s="1870"/>
      <c r="I23" s="218" t="str">
        <f t="shared" si="0"/>
        <v>2546Thozen - Electra</v>
      </c>
    </row>
    <row r="24" spans="1:9" ht="25.5" x14ac:dyDescent="0.2">
      <c r="A24" s="1860" t="s">
        <v>11036</v>
      </c>
      <c r="B24" s="1859" t="s">
        <v>10160</v>
      </c>
      <c r="C24" s="1859" t="s">
        <v>3244</v>
      </c>
      <c r="D24" s="1857" t="s">
        <v>11035</v>
      </c>
      <c r="E24" s="1803" t="s">
        <v>1248</v>
      </c>
      <c r="F24" s="1805">
        <v>1800</v>
      </c>
      <c r="G24" s="1804" t="s">
        <v>400</v>
      </c>
      <c r="H24" s="1872"/>
      <c r="I24" s="218" t="str">
        <f t="shared" si="0"/>
        <v>2611Thozen - Electra</v>
      </c>
    </row>
    <row r="25" spans="1:9" ht="25.5" x14ac:dyDescent="0.2">
      <c r="A25" s="1855" t="s">
        <v>11034</v>
      </c>
      <c r="B25" s="1854" t="s">
        <v>10160</v>
      </c>
      <c r="C25" s="1871" t="s">
        <v>3244</v>
      </c>
      <c r="D25" s="1852" t="s">
        <v>11033</v>
      </c>
      <c r="E25" s="1810" t="s">
        <v>1106</v>
      </c>
      <c r="F25" s="1812">
        <v>6.9</v>
      </c>
      <c r="G25" s="1811" t="s">
        <v>11062</v>
      </c>
      <c r="H25" s="1870"/>
      <c r="I25" s="218" t="str">
        <f t="shared" si="0"/>
        <v>32Thozen - Electra</v>
      </c>
    </row>
    <row r="26" spans="1:9" ht="25.5" x14ac:dyDescent="0.2">
      <c r="A26" s="1860" t="s">
        <v>11031</v>
      </c>
      <c r="B26" s="1859" t="s">
        <v>10160</v>
      </c>
      <c r="C26" s="1859" t="s">
        <v>3244</v>
      </c>
      <c r="D26" s="1857" t="s">
        <v>11030</v>
      </c>
      <c r="E26" s="1803" t="s">
        <v>1769</v>
      </c>
      <c r="F26" s="1805">
        <v>16.87</v>
      </c>
      <c r="G26" s="1804" t="s">
        <v>400</v>
      </c>
      <c r="H26" s="1872"/>
      <c r="I26" s="218" t="str">
        <f t="shared" si="0"/>
        <v>48435Thozen - Electra</v>
      </c>
    </row>
    <row r="27" spans="1:9" ht="25.5" x14ac:dyDescent="0.2">
      <c r="A27" s="1855" t="s">
        <v>11029</v>
      </c>
      <c r="B27" s="1854" t="s">
        <v>10160</v>
      </c>
      <c r="C27" s="1871" t="s">
        <v>3244</v>
      </c>
      <c r="D27" s="1852" t="s">
        <v>11028</v>
      </c>
      <c r="E27" s="1810" t="s">
        <v>534</v>
      </c>
      <c r="F27" s="1812">
        <v>0.3</v>
      </c>
      <c r="G27" s="1811" t="s">
        <v>400</v>
      </c>
      <c r="H27" s="1870"/>
      <c r="I27" s="218" t="str">
        <f t="shared" si="0"/>
        <v>718Thozen - Electra</v>
      </c>
    </row>
    <row r="28" spans="1:9" ht="25.5" x14ac:dyDescent="0.2">
      <c r="A28" s="1860" t="s">
        <v>11027</v>
      </c>
      <c r="B28" s="1859" t="s">
        <v>10160</v>
      </c>
      <c r="C28" s="1859" t="s">
        <v>3244</v>
      </c>
      <c r="D28" s="1857" t="s">
        <v>11026</v>
      </c>
      <c r="E28" s="1803" t="s">
        <v>534</v>
      </c>
      <c r="F28" s="1805">
        <v>0.3</v>
      </c>
      <c r="G28" s="1804" t="s">
        <v>400</v>
      </c>
      <c r="H28" s="1872"/>
      <c r="I28" s="218" t="str">
        <f t="shared" si="0"/>
        <v>2260Thozen - Electra</v>
      </c>
    </row>
    <row r="29" spans="1:9" ht="25.5" x14ac:dyDescent="0.2">
      <c r="A29" s="1855" t="s">
        <v>11025</v>
      </c>
      <c r="B29" s="1854" t="s">
        <v>10160</v>
      </c>
      <c r="C29" s="1871" t="s">
        <v>3244</v>
      </c>
      <c r="D29" s="1852" t="s">
        <v>11024</v>
      </c>
      <c r="E29" s="1810" t="s">
        <v>642</v>
      </c>
      <c r="F29" s="1812">
        <v>2.5</v>
      </c>
      <c r="G29" s="1811" t="s">
        <v>400</v>
      </c>
      <c r="H29" s="1870"/>
      <c r="I29" s="218" t="str">
        <f t="shared" si="0"/>
        <v>2901Thozen - Electra</v>
      </c>
    </row>
    <row r="30" spans="1:9" ht="25.5" x14ac:dyDescent="0.2">
      <c r="A30" s="1860" t="s">
        <v>11023</v>
      </c>
      <c r="B30" s="1859" t="s">
        <v>10160</v>
      </c>
      <c r="C30" s="1859" t="s">
        <v>3244</v>
      </c>
      <c r="D30" s="1857" t="s">
        <v>11022</v>
      </c>
      <c r="E30" s="1803" t="s">
        <v>1106</v>
      </c>
      <c r="F30" s="1805">
        <v>11.5</v>
      </c>
      <c r="G30" s="1804" t="s">
        <v>400</v>
      </c>
      <c r="H30" s="1872"/>
      <c r="I30" s="218" t="str">
        <f t="shared" si="0"/>
        <v>202Thozen - Electra</v>
      </c>
    </row>
    <row r="31" spans="1:9" ht="25.5" x14ac:dyDescent="0.2">
      <c r="A31" s="1855" t="s">
        <v>11018</v>
      </c>
      <c r="B31" s="1854" t="s">
        <v>10160</v>
      </c>
      <c r="C31" s="1871" t="s">
        <v>3244</v>
      </c>
      <c r="D31" s="1852" t="s">
        <v>11017</v>
      </c>
      <c r="E31" s="1810" t="s">
        <v>1248</v>
      </c>
      <c r="F31" s="1812">
        <v>480</v>
      </c>
      <c r="G31" s="1811" t="s">
        <v>400</v>
      </c>
      <c r="H31" s="1870"/>
      <c r="I31" s="218" t="str">
        <f t="shared" si="0"/>
        <v>197Thozen - Electra</v>
      </c>
    </row>
    <row r="32" spans="1:9" ht="25.5" x14ac:dyDescent="0.2">
      <c r="A32" s="1860" t="s">
        <v>11021</v>
      </c>
      <c r="B32" s="1859" t="s">
        <v>10160</v>
      </c>
      <c r="C32" s="1859" t="s">
        <v>3244</v>
      </c>
      <c r="D32" s="1857" t="s">
        <v>11020</v>
      </c>
      <c r="E32" s="1803" t="s">
        <v>1146</v>
      </c>
      <c r="F32" s="1805">
        <v>7.8</v>
      </c>
      <c r="G32" s="1804" t="s">
        <v>400</v>
      </c>
      <c r="H32" s="1872"/>
      <c r="I32" s="218" t="str">
        <f t="shared" si="0"/>
        <v>48481Thozen - Electra</v>
      </c>
    </row>
    <row r="33" spans="1:9" ht="25.5" x14ac:dyDescent="0.2">
      <c r="A33" s="1855" t="s">
        <v>10961</v>
      </c>
      <c r="B33" s="1854" t="s">
        <v>10160</v>
      </c>
      <c r="C33" s="1871" t="s">
        <v>3244</v>
      </c>
      <c r="D33" s="1852" t="s">
        <v>10960</v>
      </c>
      <c r="E33" s="1810" t="s">
        <v>1769</v>
      </c>
      <c r="F33" s="1812">
        <v>1.31</v>
      </c>
      <c r="G33" s="1811" t="s">
        <v>400</v>
      </c>
      <c r="H33" s="1870"/>
      <c r="I33" s="218" t="str">
        <f t="shared" si="0"/>
        <v>48373Thozen - Electra</v>
      </c>
    </row>
    <row r="34" spans="1:9" ht="25.5" x14ac:dyDescent="0.2">
      <c r="A34" s="1860" t="s">
        <v>11016</v>
      </c>
      <c r="B34" s="1859" t="s">
        <v>10160</v>
      </c>
      <c r="C34" s="1859" t="s">
        <v>11061</v>
      </c>
      <c r="D34" s="1857" t="s">
        <v>11015</v>
      </c>
      <c r="E34" s="1803" t="s">
        <v>642</v>
      </c>
      <c r="F34" s="1805">
        <v>35</v>
      </c>
      <c r="G34" s="1804" t="s">
        <v>400</v>
      </c>
      <c r="H34" s="1872"/>
      <c r="I34" s="218" t="str">
        <f t="shared" si="0"/>
        <v>2154Thozen - Electra</v>
      </c>
    </row>
    <row r="35" spans="1:9" ht="25.5" x14ac:dyDescent="0.2">
      <c r="A35" s="1855" t="s">
        <v>10983</v>
      </c>
      <c r="B35" s="1854" t="s">
        <v>10160</v>
      </c>
      <c r="C35" s="1871" t="s">
        <v>3244</v>
      </c>
      <c r="D35" s="1852" t="s">
        <v>10982</v>
      </c>
      <c r="E35" s="1810" t="s">
        <v>1106</v>
      </c>
      <c r="F35" s="1812">
        <v>2.3450000000000002</v>
      </c>
      <c r="G35" s="1811" t="s">
        <v>400</v>
      </c>
      <c r="H35" s="1870"/>
      <c r="I35" s="218" t="str">
        <f t="shared" si="0"/>
        <v>193Thozen - Electra</v>
      </c>
    </row>
    <row r="36" spans="1:9" ht="25.5" x14ac:dyDescent="0.2">
      <c r="A36" s="1860" t="s">
        <v>10999</v>
      </c>
      <c r="B36" s="1859" t="s">
        <v>10160</v>
      </c>
      <c r="C36" s="1859" t="s">
        <v>3244</v>
      </c>
      <c r="D36" s="1857" t="s">
        <v>10998</v>
      </c>
      <c r="E36" s="1803" t="s">
        <v>534</v>
      </c>
      <c r="F36" s="1805">
        <v>0.2</v>
      </c>
      <c r="G36" s="1804" t="s">
        <v>400</v>
      </c>
      <c r="H36" s="1872"/>
      <c r="I36" s="218" t="str">
        <f t="shared" si="0"/>
        <v>4881Thozen - Electra</v>
      </c>
    </row>
    <row r="37" spans="1:9" ht="25.5" x14ac:dyDescent="0.2">
      <c r="A37" s="1855" t="s">
        <v>10979</v>
      </c>
      <c r="B37" s="1854" t="s">
        <v>10160</v>
      </c>
      <c r="C37" s="1871" t="s">
        <v>3244</v>
      </c>
      <c r="D37" s="1852" t="s">
        <v>10978</v>
      </c>
      <c r="E37" s="1810" t="s">
        <v>642</v>
      </c>
      <c r="F37" s="1812">
        <v>2.0642999999999998</v>
      </c>
      <c r="G37" s="1811" t="s">
        <v>400</v>
      </c>
      <c r="H37" s="1870"/>
      <c r="I37" s="218" t="str">
        <f t="shared" si="0"/>
        <v>4880Thozen - Electra</v>
      </c>
    </row>
    <row r="38" spans="1:9" ht="25.5" x14ac:dyDescent="0.2">
      <c r="A38" s="1860" t="s">
        <v>11014</v>
      </c>
      <c r="B38" s="1859" t="s">
        <v>10160</v>
      </c>
      <c r="C38" s="1859" t="s">
        <v>3244</v>
      </c>
      <c r="D38" s="1857" t="s">
        <v>11013</v>
      </c>
      <c r="E38" s="1803" t="s">
        <v>642</v>
      </c>
      <c r="F38" s="1805">
        <v>68.19</v>
      </c>
      <c r="G38" s="1804" t="s">
        <v>400</v>
      </c>
      <c r="H38" s="1872"/>
      <c r="I38" s="218" t="str">
        <f t="shared" si="0"/>
        <v>48500Thozen - Electra</v>
      </c>
    </row>
    <row r="39" spans="1:9" ht="25.5" x14ac:dyDescent="0.2">
      <c r="A39" s="1855" t="s">
        <v>10981</v>
      </c>
      <c r="B39" s="1854" t="s">
        <v>10160</v>
      </c>
      <c r="C39" s="1871" t="s">
        <v>3244</v>
      </c>
      <c r="D39" s="1852" t="s">
        <v>10980</v>
      </c>
      <c r="E39" s="1810" t="s">
        <v>642</v>
      </c>
      <c r="F39" s="1812">
        <v>520</v>
      </c>
      <c r="G39" s="1811" t="s">
        <v>400</v>
      </c>
      <c r="H39" s="1870"/>
      <c r="I39" s="218" t="str">
        <f t="shared" si="0"/>
        <v>1526Thozen - Electra</v>
      </c>
    </row>
    <row r="40" spans="1:9" ht="25.5" x14ac:dyDescent="0.2">
      <c r="A40" s="1860" t="s">
        <v>11011</v>
      </c>
      <c r="B40" s="1859" t="s">
        <v>10160</v>
      </c>
      <c r="C40" s="1859" t="s">
        <v>3244</v>
      </c>
      <c r="D40" s="1857" t="s">
        <v>11010</v>
      </c>
      <c r="E40" s="1803" t="s">
        <v>642</v>
      </c>
      <c r="F40" s="1805">
        <v>100</v>
      </c>
      <c r="G40" s="1804" t="s">
        <v>400</v>
      </c>
      <c r="H40" s="1872"/>
      <c r="I40" s="218" t="str">
        <f t="shared" si="0"/>
        <v>4874Thozen - Electra</v>
      </c>
    </row>
    <row r="41" spans="1:9" ht="25.5" x14ac:dyDescent="0.2">
      <c r="A41" s="1855" t="s">
        <v>11006</v>
      </c>
      <c r="B41" s="1854" t="s">
        <v>10160</v>
      </c>
      <c r="C41" s="1871" t="s">
        <v>3244</v>
      </c>
      <c r="D41" s="1852" t="s">
        <v>11005</v>
      </c>
      <c r="E41" s="1810" t="s">
        <v>788</v>
      </c>
      <c r="F41" s="1812">
        <v>22</v>
      </c>
      <c r="G41" s="1811" t="s">
        <v>400</v>
      </c>
      <c r="H41" s="1870"/>
      <c r="I41" s="218" t="str">
        <f t="shared" si="0"/>
        <v>1514Thozen - Electra</v>
      </c>
    </row>
    <row r="42" spans="1:9" ht="25.5" x14ac:dyDescent="0.2">
      <c r="A42" s="1860" t="s">
        <v>10952</v>
      </c>
      <c r="B42" s="1859" t="s">
        <v>10160</v>
      </c>
      <c r="C42" s="1859" t="s">
        <v>3244</v>
      </c>
      <c r="D42" s="1857" t="s">
        <v>10951</v>
      </c>
      <c r="E42" s="1803" t="s">
        <v>1106</v>
      </c>
      <c r="F42" s="1805">
        <v>7.23</v>
      </c>
      <c r="G42" s="1804" t="s">
        <v>400</v>
      </c>
      <c r="H42" s="1872"/>
      <c r="I42" s="218" t="str">
        <f t="shared" si="0"/>
        <v>2940Thozen - Electra</v>
      </c>
    </row>
    <row r="43" spans="1:9" ht="25.5" x14ac:dyDescent="0.2">
      <c r="A43" s="1855" t="s">
        <v>10957</v>
      </c>
      <c r="B43" s="1854" t="s">
        <v>10160</v>
      </c>
      <c r="C43" s="1871" t="s">
        <v>3244</v>
      </c>
      <c r="D43" s="1852" t="s">
        <v>10956</v>
      </c>
      <c r="E43" s="1810" t="s">
        <v>10946</v>
      </c>
      <c r="F43" s="1812">
        <v>6.99</v>
      </c>
      <c r="G43" s="1811" t="s">
        <v>400</v>
      </c>
      <c r="H43" s="1870"/>
      <c r="I43" s="218" t="str">
        <f t="shared" si="0"/>
        <v>2553Thozen - Electra</v>
      </c>
    </row>
    <row r="44" spans="1:9" ht="25.5" x14ac:dyDescent="0.2">
      <c r="A44" s="1860" t="s">
        <v>11008</v>
      </c>
      <c r="B44" s="1859" t="s">
        <v>10160</v>
      </c>
      <c r="C44" s="1859" t="s">
        <v>3244</v>
      </c>
      <c r="D44" s="1857" t="s">
        <v>11007</v>
      </c>
      <c r="E44" s="1803" t="s">
        <v>642</v>
      </c>
      <c r="F44" s="1805">
        <v>110</v>
      </c>
      <c r="G44" s="1804" t="s">
        <v>400</v>
      </c>
      <c r="H44" s="1872"/>
      <c r="I44" s="218" t="str">
        <f t="shared" si="0"/>
        <v>4875Thozen - Electra</v>
      </c>
    </row>
    <row r="45" spans="1:9" ht="25.5" x14ac:dyDescent="0.2">
      <c r="A45" s="1855" t="s">
        <v>11003</v>
      </c>
      <c r="B45" s="1854" t="s">
        <v>10160</v>
      </c>
      <c r="C45" s="1871" t="s">
        <v>3244</v>
      </c>
      <c r="D45" s="1852" t="s">
        <v>11002</v>
      </c>
      <c r="E45" s="1810" t="s">
        <v>152</v>
      </c>
      <c r="F45" s="1812">
        <v>480</v>
      </c>
      <c r="G45" s="1811" t="s">
        <v>400</v>
      </c>
      <c r="H45" s="1870"/>
      <c r="I45" s="218" t="str">
        <f t="shared" si="0"/>
        <v>458Thozen - Electra</v>
      </c>
    </row>
    <row r="46" spans="1:9" ht="25.5" x14ac:dyDescent="0.2">
      <c r="A46" s="1860" t="s">
        <v>11001</v>
      </c>
      <c r="B46" s="1859" t="s">
        <v>10160</v>
      </c>
      <c r="C46" s="1859" t="s">
        <v>11061</v>
      </c>
      <c r="D46" s="1857" t="s">
        <v>11000</v>
      </c>
      <c r="E46" s="1803" t="s">
        <v>642</v>
      </c>
      <c r="F46" s="1805">
        <v>32</v>
      </c>
      <c r="G46" s="1804" t="s">
        <v>400</v>
      </c>
      <c r="H46" s="1872"/>
      <c r="I46" s="218" t="str">
        <f t="shared" si="0"/>
        <v>2156Thozen - Electra</v>
      </c>
    </row>
    <row r="47" spans="1:9" ht="25.5" x14ac:dyDescent="0.2">
      <c r="A47" s="1855" t="s">
        <v>10985</v>
      </c>
      <c r="B47" s="1854" t="s">
        <v>10160</v>
      </c>
      <c r="C47" s="1871" t="s">
        <v>3244</v>
      </c>
      <c r="D47" s="1852" t="s">
        <v>10984</v>
      </c>
      <c r="E47" s="1810" t="s">
        <v>642</v>
      </c>
      <c r="F47" s="1812">
        <v>65</v>
      </c>
      <c r="G47" s="1811" t="s">
        <v>400</v>
      </c>
      <c r="H47" s="1870"/>
      <c r="I47" s="218" t="str">
        <f t="shared" si="0"/>
        <v>4884Thozen - Electra</v>
      </c>
    </row>
    <row r="48" spans="1:9" ht="25.5" x14ac:dyDescent="0.2">
      <c r="A48" s="1860" t="s">
        <v>10997</v>
      </c>
      <c r="B48" s="1859" t="s">
        <v>10160</v>
      </c>
      <c r="C48" s="1859" t="s">
        <v>3244</v>
      </c>
      <c r="D48" s="1857" t="s">
        <v>10996</v>
      </c>
      <c r="E48" s="1803" t="s">
        <v>1106</v>
      </c>
      <c r="F48" s="1805">
        <v>3.59</v>
      </c>
      <c r="G48" s="1804" t="s">
        <v>400</v>
      </c>
      <c r="H48" s="1872"/>
      <c r="I48" s="218" t="str">
        <f t="shared" si="0"/>
        <v>2521Thozen - Electra</v>
      </c>
    </row>
    <row r="49" spans="1:9" ht="25.5" x14ac:dyDescent="0.2">
      <c r="A49" s="1855" t="s">
        <v>10993</v>
      </c>
      <c r="B49" s="1854" t="s">
        <v>10160</v>
      </c>
      <c r="C49" s="1871" t="s">
        <v>3244</v>
      </c>
      <c r="D49" s="1852" t="s">
        <v>10992</v>
      </c>
      <c r="E49" s="1810" t="s">
        <v>534</v>
      </c>
      <c r="F49" s="1812">
        <v>1.99</v>
      </c>
      <c r="G49" s="1811" t="s">
        <v>400</v>
      </c>
      <c r="H49" s="1870"/>
      <c r="I49" s="218" t="str">
        <f t="shared" si="0"/>
        <v>417Thozen - Electra</v>
      </c>
    </row>
    <row r="50" spans="1:9" ht="25.5" x14ac:dyDescent="0.2">
      <c r="A50" s="1860" t="s">
        <v>10991</v>
      </c>
      <c r="B50" s="1859" t="s">
        <v>10160</v>
      </c>
      <c r="C50" s="1859" t="s">
        <v>3244</v>
      </c>
      <c r="D50" s="1857" t="s">
        <v>10990</v>
      </c>
      <c r="E50" s="1803" t="s">
        <v>1106</v>
      </c>
      <c r="F50" s="1805">
        <v>5.0403000000000002</v>
      </c>
      <c r="G50" s="1804" t="s">
        <v>400</v>
      </c>
      <c r="H50" s="1872"/>
      <c r="I50" s="218" t="str">
        <f t="shared" si="0"/>
        <v>738Thozen - Electra</v>
      </c>
    </row>
    <row r="51" spans="1:9" ht="25.5" x14ac:dyDescent="0.2">
      <c r="A51" s="1855" t="s">
        <v>10995</v>
      </c>
      <c r="B51" s="1854" t="s">
        <v>10160</v>
      </c>
      <c r="C51" s="1871" t="s">
        <v>3244</v>
      </c>
      <c r="D51" s="1852" t="s">
        <v>10994</v>
      </c>
      <c r="E51" s="1810" t="s">
        <v>788</v>
      </c>
      <c r="F51" s="1812">
        <v>69.91</v>
      </c>
      <c r="G51" s="1811" t="s">
        <v>400</v>
      </c>
      <c r="H51" s="1870"/>
      <c r="I51" s="218" t="str">
        <f t="shared" si="0"/>
        <v>48465Thozen - Electra</v>
      </c>
    </row>
    <row r="52" spans="1:9" ht="25.5" x14ac:dyDescent="0.2">
      <c r="A52" s="1860" t="s">
        <v>10989</v>
      </c>
      <c r="B52" s="1859" t="s">
        <v>10160</v>
      </c>
      <c r="C52" s="1859" t="s">
        <v>3244</v>
      </c>
      <c r="D52" s="1857" t="s">
        <v>10988</v>
      </c>
      <c r="E52" s="1803" t="s">
        <v>788</v>
      </c>
      <c r="F52" s="1805">
        <v>11.21</v>
      </c>
      <c r="G52" s="1804" t="s">
        <v>400</v>
      </c>
      <c r="H52" s="1872"/>
      <c r="I52" s="218" t="str">
        <f t="shared" si="0"/>
        <v>2538Thozen - Electra</v>
      </c>
    </row>
    <row r="53" spans="1:9" ht="25.5" x14ac:dyDescent="0.2">
      <c r="A53" s="1855" t="s">
        <v>10972</v>
      </c>
      <c r="B53" s="1854" t="s">
        <v>10160</v>
      </c>
      <c r="C53" s="1871" t="s">
        <v>3244</v>
      </c>
      <c r="D53" s="1852" t="s">
        <v>10971</v>
      </c>
      <c r="E53" s="1810" t="s">
        <v>197</v>
      </c>
      <c r="F53" s="1812">
        <v>18.48</v>
      </c>
      <c r="G53" s="1811" t="s">
        <v>400</v>
      </c>
      <c r="H53" s="1870"/>
      <c r="I53" s="218" t="str">
        <f t="shared" si="0"/>
        <v>1400Thozen - Electra</v>
      </c>
    </row>
    <row r="54" spans="1:9" ht="25.5" x14ac:dyDescent="0.2">
      <c r="A54" s="1860" t="s">
        <v>10976</v>
      </c>
      <c r="B54" s="1859" t="s">
        <v>10160</v>
      </c>
      <c r="C54" s="1859" t="s">
        <v>3244</v>
      </c>
      <c r="D54" s="1857" t="s">
        <v>10975</v>
      </c>
      <c r="E54" s="1803" t="s">
        <v>1106</v>
      </c>
      <c r="F54" s="1805">
        <v>11.5</v>
      </c>
      <c r="G54" s="1804" t="s">
        <v>400</v>
      </c>
      <c r="H54" s="1872"/>
      <c r="I54" s="218" t="str">
        <f t="shared" si="0"/>
        <v>48483Thozen - Electra</v>
      </c>
    </row>
    <row r="55" spans="1:9" ht="25.5" x14ac:dyDescent="0.2">
      <c r="A55" s="1855" t="s">
        <v>10959</v>
      </c>
      <c r="B55" s="1854" t="s">
        <v>10160</v>
      </c>
      <c r="C55" s="1871" t="s">
        <v>3244</v>
      </c>
      <c r="D55" s="1852" t="s">
        <v>10958</v>
      </c>
      <c r="E55" s="1810" t="s">
        <v>10946</v>
      </c>
      <c r="F55" s="1812">
        <v>36.67</v>
      </c>
      <c r="G55" s="1811" t="s">
        <v>400</v>
      </c>
      <c r="H55" s="1870"/>
      <c r="I55" s="218" t="str">
        <f t="shared" si="0"/>
        <v>2944Thozen - Electra</v>
      </c>
    </row>
    <row r="56" spans="1:9" ht="25.5" x14ac:dyDescent="0.2">
      <c r="A56" s="1860" t="s">
        <v>10955</v>
      </c>
      <c r="B56" s="1859" t="s">
        <v>10160</v>
      </c>
      <c r="C56" s="1859" t="s">
        <v>3244</v>
      </c>
      <c r="D56" s="1857" t="s">
        <v>10954</v>
      </c>
      <c r="E56" s="1803" t="s">
        <v>1106</v>
      </c>
      <c r="F56" s="1805">
        <v>3.6</v>
      </c>
      <c r="G56" s="1804" t="s">
        <v>400</v>
      </c>
      <c r="H56" s="1872"/>
      <c r="I56" s="218" t="str">
        <f t="shared" si="0"/>
        <v>2186Thozen - Electra</v>
      </c>
    </row>
    <row r="57" spans="1:9" ht="25.5" x14ac:dyDescent="0.2">
      <c r="A57" s="1855" t="s">
        <v>10973</v>
      </c>
      <c r="B57" s="1854" t="s">
        <v>10160</v>
      </c>
      <c r="C57" s="1871" t="s">
        <v>3244</v>
      </c>
      <c r="D57" s="1852" t="s">
        <v>499</v>
      </c>
      <c r="E57" s="1810" t="s">
        <v>534</v>
      </c>
      <c r="F57" s="1812">
        <v>2.8</v>
      </c>
      <c r="G57" s="1811" t="s">
        <v>400</v>
      </c>
      <c r="H57" s="1870"/>
      <c r="I57" s="218" t="str">
        <f t="shared" si="0"/>
        <v>1827Thozen - Electra</v>
      </c>
    </row>
    <row r="58" spans="1:9" ht="25.5" x14ac:dyDescent="0.2">
      <c r="A58" s="1860" t="s">
        <v>10969</v>
      </c>
      <c r="B58" s="1859" t="s">
        <v>10160</v>
      </c>
      <c r="C58" s="1859" t="s">
        <v>11061</v>
      </c>
      <c r="D58" s="1857" t="s">
        <v>10968</v>
      </c>
      <c r="E58" s="1803" t="s">
        <v>642</v>
      </c>
      <c r="F58" s="1805">
        <v>34</v>
      </c>
      <c r="G58" s="1804" t="s">
        <v>400</v>
      </c>
      <c r="H58" s="1872"/>
      <c r="I58" s="218" t="str">
        <f t="shared" si="0"/>
        <v>2134Thozen - Electra</v>
      </c>
    </row>
    <row r="59" spans="1:9" ht="25.5" x14ac:dyDescent="0.2">
      <c r="A59" s="1855" t="s">
        <v>10966</v>
      </c>
      <c r="B59" s="1854" t="s">
        <v>10160</v>
      </c>
      <c r="C59" s="1871" t="s">
        <v>11061</v>
      </c>
      <c r="D59" s="1852" t="s">
        <v>10965</v>
      </c>
      <c r="E59" s="1810" t="s">
        <v>642</v>
      </c>
      <c r="F59" s="1812">
        <v>41</v>
      </c>
      <c r="G59" s="1811" t="s">
        <v>400</v>
      </c>
      <c r="H59" s="1870"/>
      <c r="I59" s="218" t="str">
        <f t="shared" si="0"/>
        <v>48466Thozen - Electra</v>
      </c>
    </row>
    <row r="60" spans="1:9" ht="25.5" x14ac:dyDescent="0.2">
      <c r="A60" s="1860" t="s">
        <v>10964</v>
      </c>
      <c r="B60" s="1859" t="s">
        <v>10160</v>
      </c>
      <c r="C60" s="1859" t="s">
        <v>3244</v>
      </c>
      <c r="D60" s="1857" t="s">
        <v>10963</v>
      </c>
      <c r="E60" s="1803" t="s">
        <v>1248</v>
      </c>
      <c r="F60" s="1805">
        <v>405</v>
      </c>
      <c r="G60" s="1804" t="s">
        <v>400</v>
      </c>
      <c r="H60" s="1872"/>
      <c r="I60" s="218" t="str">
        <f t="shared" si="0"/>
        <v>457Thozen - Electra</v>
      </c>
    </row>
    <row r="61" spans="1:9" ht="25.5" x14ac:dyDescent="0.2">
      <c r="A61" s="1855" t="s">
        <v>10950</v>
      </c>
      <c r="B61" s="1854" t="s">
        <v>10160</v>
      </c>
      <c r="C61" s="1871" t="s">
        <v>3244</v>
      </c>
      <c r="D61" s="1852" t="s">
        <v>10947</v>
      </c>
      <c r="E61" s="1810" t="s">
        <v>10946</v>
      </c>
      <c r="F61" s="1812">
        <v>9.44</v>
      </c>
      <c r="G61" s="1811" t="s">
        <v>400</v>
      </c>
      <c r="H61" s="1870"/>
      <c r="I61" s="218" t="str">
        <f t="shared" si="0"/>
        <v>2552Thozen - Electra</v>
      </c>
    </row>
  </sheetData>
  <mergeCells count="18">
    <mergeCell ref="A1:G1"/>
    <mergeCell ref="B2:E2"/>
    <mergeCell ref="F2:G8"/>
    <mergeCell ref="B3:E3"/>
    <mergeCell ref="B4:E4"/>
    <mergeCell ref="B5:E5"/>
    <mergeCell ref="B6:E6"/>
    <mergeCell ref="B7:E7"/>
    <mergeCell ref="B8:E8"/>
    <mergeCell ref="H12:H13"/>
    <mergeCell ref="A11:G11"/>
    <mergeCell ref="A12:A13"/>
    <mergeCell ref="B12:B13"/>
    <mergeCell ref="C12:C13"/>
    <mergeCell ref="D12:D13"/>
    <mergeCell ref="E12:E13"/>
    <mergeCell ref="F12:F13"/>
    <mergeCell ref="G12:G13"/>
  </mergeCells>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2FD54-869C-4BDD-BC94-CDF4A2F3EEEC}">
  <sheetPr codeName="Planilha2">
    <tabColor rgb="FFC00000"/>
    <pageSetUpPr fitToPage="1"/>
  </sheetPr>
  <dimension ref="A1:AL112"/>
  <sheetViews>
    <sheetView showGridLines="0" zoomScale="85" zoomScaleNormal="85" zoomScaleSheetLayoutView="90" workbookViewId="0">
      <pane ySplit="4" topLeftCell="A5" activePane="bottomLeft" state="frozen"/>
      <selection pane="bottomLeft" activeCell="G25" sqref="G25"/>
    </sheetView>
  </sheetViews>
  <sheetFormatPr defaultColWidth="9.140625" defaultRowHeight="12.75" x14ac:dyDescent="0.2"/>
  <cols>
    <col min="1" max="1" width="1.85546875" style="185" customWidth="1"/>
    <col min="2" max="2" width="15.28515625" style="185" customWidth="1"/>
    <col min="3" max="3" width="22.85546875" style="185" bestFit="1" customWidth="1"/>
    <col min="4" max="4" width="24.85546875" style="185" customWidth="1"/>
    <col min="5" max="5" width="18.140625" style="185" customWidth="1"/>
    <col min="6" max="6" width="12.42578125" style="185" customWidth="1"/>
    <col min="7" max="7" width="14.28515625" style="185" customWidth="1"/>
    <col min="8" max="8" width="3.42578125" style="185" customWidth="1"/>
    <col min="9" max="9" width="43" style="185" bestFit="1" customWidth="1"/>
    <col min="10" max="10" width="22" style="185" customWidth="1"/>
    <col min="11" max="11" width="13.85546875" style="185" customWidth="1"/>
    <col min="12" max="12" width="15.42578125" style="185" customWidth="1"/>
    <col min="13" max="13" width="1.85546875" style="185" customWidth="1"/>
    <col min="14" max="38" width="9.140625" style="185"/>
  </cols>
  <sheetData>
    <row r="1" spans="1:38" ht="18" x14ac:dyDescent="0.2">
      <c r="A1" s="1704" t="s">
        <v>2185</v>
      </c>
      <c r="B1" s="1705"/>
      <c r="C1" s="1705"/>
      <c r="D1" s="1705"/>
      <c r="E1" s="1705"/>
      <c r="F1" s="1705"/>
      <c r="G1" s="1705"/>
      <c r="H1" s="1705"/>
      <c r="I1" s="1705"/>
      <c r="J1"/>
      <c r="K1"/>
      <c r="L1"/>
      <c r="M1"/>
      <c r="N1"/>
      <c r="O1"/>
      <c r="P1"/>
      <c r="Q1"/>
      <c r="R1"/>
      <c r="S1"/>
      <c r="T1"/>
      <c r="U1"/>
      <c r="V1"/>
      <c r="W1"/>
      <c r="X1"/>
      <c r="Y1"/>
      <c r="Z1"/>
      <c r="AA1"/>
      <c r="AB1"/>
      <c r="AC1"/>
      <c r="AD1"/>
      <c r="AE1"/>
      <c r="AF1"/>
      <c r="AG1"/>
      <c r="AH1"/>
      <c r="AI1"/>
      <c r="AJ1"/>
      <c r="AK1"/>
      <c r="AL1"/>
    </row>
    <row r="2" spans="1:38" ht="15" customHeight="1" x14ac:dyDescent="0.2">
      <c r="A2" s="172"/>
      <c r="B2" s="173" t="s">
        <v>2186</v>
      </c>
      <c r="C2" s="78" t="inlineStr">
        <is>
          <t>Electra Towers</t>
        </is>
      </c>
      <c r="D2" s="174"/>
      <c r="E2" s="173" t="s">
        <v>1217</v>
      </c>
      <c r="F2" s="175" t="inlineStr">
        <is>
          <t>Rua 254, 215, Meia Praia, Itapema/SC</t>
        </is>
      </c>
      <c r="G2" s="78"/>
      <c r="H2" s="175"/>
      <c r="I2" s="78"/>
      <c r="J2"/>
      <c r="K2"/>
      <c r="L2"/>
      <c r="M2"/>
      <c r="N2"/>
      <c r="O2"/>
      <c r="P2"/>
      <c r="Q2"/>
      <c r="R2"/>
      <c r="S2"/>
      <c r="T2"/>
      <c r="U2"/>
      <c r="V2"/>
      <c r="W2"/>
      <c r="X2"/>
      <c r="Y2"/>
      <c r="Z2"/>
      <c r="AA2"/>
      <c r="AB2"/>
      <c r="AC2"/>
      <c r="AD2"/>
      <c r="AE2"/>
      <c r="AF2"/>
      <c r="AG2"/>
      <c r="AH2"/>
      <c r="AI2"/>
      <c r="AJ2"/>
      <c r="AK2"/>
      <c r="AL2"/>
    </row>
    <row r="3" spans="1:38" ht="15" customHeight="1" x14ac:dyDescent="0.2">
      <c r="A3" s="176"/>
      <c r="B3" s="177" t="s">
        <v>2187</v>
      </c>
      <c r="C3" s="76" t="inlineStr">
        <is>
          <t>Thozen Empreendimentos</t>
        </is>
      </c>
      <c r="D3" s="178"/>
      <c r="E3" s="177" t="s">
        <v>2188</v>
      </c>
      <c r="F3" s="179" t="inlineStr">
        <is>
          <t>Itapema, SC</t>
        </is>
      </c>
      <c r="G3" s="77"/>
      <c r="H3" s="179"/>
      <c r="I3" s="76"/>
      <c r="J3"/>
      <c r="K3"/>
      <c r="L3"/>
      <c r="M3"/>
      <c r="N3"/>
      <c r="O3"/>
      <c r="P3"/>
      <c r="Q3"/>
      <c r="R3"/>
      <c r="S3"/>
      <c r="T3"/>
      <c r="U3"/>
      <c r="V3"/>
      <c r="W3"/>
      <c r="X3"/>
      <c r="Y3"/>
      <c r="Z3"/>
      <c r="AA3"/>
      <c r="AB3"/>
      <c r="AC3"/>
      <c r="AD3"/>
      <c r="AE3"/>
      <c r="AF3"/>
      <c r="AG3"/>
      <c r="AH3"/>
      <c r="AI3"/>
      <c r="AJ3"/>
      <c r="AK3"/>
      <c r="AL3"/>
    </row>
    <row r="4" spans="1:38" ht="15" customHeight="1" thickBot="1" x14ac:dyDescent="0.25">
      <c r="A4" s="180"/>
      <c r="B4" s="181" t="s">
        <v>2189</v>
      </c>
      <c r="C4" s="74" t="inlineStr">
        <is>
          <t>R00</t>
        </is>
      </c>
      <c r="D4" s="75"/>
      <c r="E4" s="181" t="s">
        <v>1218</v>
      </c>
      <c r="F4" s="182" t="inlineStr">
        <is>
          <t>43.339.082/0001-06</t>
        </is>
      </c>
      <c r="G4" s="74"/>
      <c r="H4" s="182"/>
      <c r="I4" s="74"/>
      <c r="J4"/>
      <c r="K4"/>
      <c r="L4"/>
      <c r="M4"/>
      <c r="N4"/>
      <c r="O4"/>
      <c r="P4"/>
      <c r="Q4"/>
      <c r="R4"/>
      <c r="S4"/>
      <c r="T4"/>
      <c r="U4"/>
      <c r="V4"/>
      <c r="W4"/>
      <c r="X4"/>
      <c r="Y4"/>
      <c r="Z4"/>
      <c r="AA4"/>
      <c r="AB4"/>
      <c r="AC4"/>
      <c r="AD4"/>
      <c r="AE4"/>
      <c r="AF4"/>
      <c r="AG4"/>
      <c r="AH4"/>
      <c r="AI4"/>
      <c r="AJ4"/>
      <c r="AK4"/>
      <c r="AL4"/>
    </row>
    <row r="5" spans="1:38" ht="13.5" thickBot="1" x14ac:dyDescent="0.25">
      <c r="A5" s="184"/>
      <c r="B5" s="184"/>
      <c r="C5" s="184"/>
      <c r="D5" s="184"/>
      <c r="E5" s="184"/>
      <c r="F5" s="184"/>
      <c r="G5" s="184"/>
      <c r="H5" s="184"/>
      <c r="I5" s="184"/>
      <c r="J5"/>
      <c r="K5"/>
      <c r="L5"/>
      <c r="M5"/>
      <c r="N5"/>
      <c r="O5"/>
      <c r="P5"/>
      <c r="Q5"/>
      <c r="R5"/>
      <c r="S5"/>
      <c r="T5"/>
      <c r="U5"/>
      <c r="V5"/>
      <c r="W5"/>
      <c r="X5"/>
      <c r="Y5"/>
      <c r="Z5"/>
      <c r="AA5"/>
      <c r="AB5"/>
      <c r="AC5"/>
      <c r="AD5"/>
      <c r="AE5"/>
      <c r="AF5"/>
      <c r="AG5"/>
      <c r="AH5"/>
      <c r="AI5"/>
      <c r="AJ5"/>
      <c r="AK5"/>
      <c r="AL5"/>
    </row>
    <row r="6" spans="1:38" ht="14.25" customHeight="1" x14ac:dyDescent="0.2">
      <c r="B6" s="186" t="s">
        <v>2190</v>
      </c>
      <c r="C6" s="187">
        <v>48</v>
      </c>
      <c r="E6" s="188" t="s">
        <v>2191</v>
      </c>
      <c r="F6" s="189">
        <v>192</v>
      </c>
      <c r="I6" s="1703" t="s">
        <v>1221</v>
      </c>
      <c r="J6"/>
      <c r="K6"/>
      <c r="L6"/>
      <c r="M6"/>
      <c r="N6"/>
      <c r="O6"/>
      <c r="P6"/>
      <c r="Q6"/>
      <c r="R6"/>
      <c r="S6"/>
      <c r="T6"/>
      <c r="U6"/>
      <c r="V6"/>
      <c r="W6"/>
      <c r="X6"/>
      <c r="Y6"/>
      <c r="Z6"/>
      <c r="AA6"/>
      <c r="AB6"/>
      <c r="AC6"/>
      <c r="AD6"/>
      <c r="AE6"/>
      <c r="AF6"/>
      <c r="AG6"/>
      <c r="AH6"/>
      <c r="AI6"/>
      <c r="AJ6"/>
      <c r="AK6"/>
      <c r="AL6"/>
    </row>
    <row r="7" spans="1:38" ht="14.25" customHeight="1" x14ac:dyDescent="0.2">
      <c r="B7" s="190"/>
      <c r="E7" s="190"/>
      <c r="I7" s="191"/>
      <c r="J7"/>
      <c r="K7"/>
      <c r="L7"/>
      <c r="M7"/>
      <c r="N7"/>
      <c r="O7"/>
      <c r="P7"/>
      <c r="Q7"/>
      <c r="R7"/>
      <c r="S7"/>
      <c r="T7"/>
      <c r="U7"/>
      <c r="V7"/>
      <c r="W7"/>
      <c r="X7"/>
      <c r="Y7"/>
      <c r="Z7"/>
      <c r="AA7"/>
      <c r="AB7"/>
      <c r="AC7"/>
      <c r="AD7"/>
      <c r="AE7"/>
      <c r="AF7"/>
      <c r="AG7"/>
      <c r="AH7"/>
      <c r="AI7"/>
      <c r="AJ7"/>
      <c r="AK7"/>
      <c r="AL7"/>
    </row>
    <row r="8" spans="1:38" ht="14.25" customHeight="1" x14ac:dyDescent="0.2">
      <c r="B8" s="186" t="s">
        <v>2192</v>
      </c>
      <c r="C8" s="1361">
        <v>2095.43</v>
      </c>
      <c r="E8" s="188" t="s">
        <v>2193</v>
      </c>
      <c r="F8" s="189">
        <v>7</v>
      </c>
      <c r="I8" s="191"/>
      <c r="J8"/>
      <c r="K8"/>
      <c r="L8"/>
      <c r="M8"/>
      <c r="N8"/>
      <c r="O8"/>
      <c r="P8"/>
      <c r="Q8"/>
      <c r="R8"/>
      <c r="S8"/>
      <c r="T8"/>
      <c r="U8"/>
      <c r="V8"/>
      <c r="W8"/>
      <c r="X8"/>
      <c r="Y8"/>
      <c r="Z8"/>
      <c r="AA8"/>
      <c r="AB8"/>
      <c r="AC8"/>
      <c r="AD8"/>
      <c r="AE8"/>
      <c r="AF8"/>
      <c r="AG8"/>
      <c r="AH8"/>
      <c r="AI8"/>
      <c r="AJ8"/>
      <c r="AK8"/>
      <c r="AL8"/>
    </row>
    <row r="9" spans="1:38" ht="14.25" customHeight="1" x14ac:dyDescent="0.2">
      <c r="B9" s="190"/>
      <c r="E9" s="190"/>
      <c r="I9" s="191"/>
      <c r="J9"/>
      <c r="K9"/>
      <c r="L9"/>
      <c r="M9"/>
      <c r="N9"/>
      <c r="O9"/>
      <c r="P9"/>
      <c r="Q9"/>
      <c r="R9"/>
      <c r="S9"/>
      <c r="T9"/>
      <c r="U9"/>
      <c r="V9"/>
      <c r="W9"/>
      <c r="X9"/>
      <c r="Y9"/>
      <c r="Z9"/>
      <c r="AA9"/>
      <c r="AB9"/>
      <c r="AC9"/>
      <c r="AD9"/>
      <c r="AE9"/>
      <c r="AF9"/>
      <c r="AG9"/>
      <c r="AH9"/>
      <c r="AI9"/>
      <c r="AJ9"/>
      <c r="AK9"/>
      <c r="AL9"/>
    </row>
    <row r="10" spans="1:38" ht="14.25" customHeight="1" x14ac:dyDescent="0.2">
      <c r="B10" s="186" t="s">
        <v>2194</v>
      </c>
      <c r="C10" s="1361">
        <v>37893.89</v>
      </c>
      <c r="E10" s="188" t="s">
        <v>2195</v>
      </c>
      <c r="F10" s="189">
        <v>57</v>
      </c>
      <c r="I10" s="191"/>
      <c r="J10"/>
      <c r="K10"/>
      <c r="L10"/>
      <c r="M10"/>
      <c r="N10"/>
      <c r="O10"/>
      <c r="P10"/>
      <c r="Q10"/>
      <c r="R10"/>
      <c r="S10"/>
      <c r="T10"/>
      <c r="U10"/>
      <c r="V10"/>
      <c r="W10"/>
      <c r="X10"/>
      <c r="Y10"/>
      <c r="Z10"/>
      <c r="AA10"/>
      <c r="AB10"/>
      <c r="AC10"/>
      <c r="AD10"/>
      <c r="AE10"/>
      <c r="AF10"/>
      <c r="AG10"/>
      <c r="AH10"/>
      <c r="AI10"/>
      <c r="AJ10"/>
      <c r="AK10"/>
      <c r="AL10"/>
    </row>
    <row r="11" spans="1:38" ht="14.25" customHeight="1" x14ac:dyDescent="0.2">
      <c r="B11" s="190"/>
      <c r="E11" s="190"/>
      <c r="I11" s="191"/>
      <c r="J11"/>
      <c r="K11"/>
      <c r="L11"/>
      <c r="M11"/>
      <c r="N11"/>
      <c r="O11"/>
      <c r="P11"/>
      <c r="Q11"/>
      <c r="R11"/>
      <c r="S11"/>
      <c r="T11"/>
      <c r="U11"/>
      <c r="V11"/>
      <c r="W11"/>
      <c r="X11"/>
      <c r="Y11"/>
      <c r="Z11"/>
      <c r="AA11"/>
      <c r="AB11"/>
      <c r="AC11"/>
      <c r="AD11"/>
      <c r="AE11"/>
      <c r="AF11"/>
      <c r="AG11"/>
      <c r="AH11"/>
      <c r="AI11"/>
      <c r="AJ11"/>
      <c r="AK11"/>
      <c r="AL11"/>
    </row>
    <row r="12" spans="1:38" ht="14.25" customHeight="1" x14ac:dyDescent="0.2">
      <c r="B12" s="186" t="s">
        <v>2196</v>
      </c>
      <c r="C12" s="1361">
        <v>22778.64</v>
      </c>
      <c r="E12" s="188" t="s">
        <v>2197</v>
      </c>
      <c r="F12" s="189">
        <v>576</v>
      </c>
      <c r="I12" s="191"/>
      <c r="J12"/>
      <c r="K12"/>
      <c r="L12"/>
      <c r="M12"/>
      <c r="N12"/>
      <c r="O12"/>
      <c r="P12"/>
      <c r="Q12"/>
      <c r="R12"/>
      <c r="S12"/>
      <c r="T12"/>
      <c r="U12"/>
      <c r="V12"/>
      <c r="W12"/>
      <c r="X12"/>
      <c r="Y12"/>
      <c r="Z12"/>
      <c r="AA12"/>
      <c r="AB12"/>
      <c r="AC12"/>
      <c r="AD12"/>
      <c r="AE12"/>
      <c r="AF12"/>
      <c r="AG12"/>
      <c r="AH12"/>
      <c r="AI12"/>
      <c r="AJ12"/>
      <c r="AK12"/>
      <c r="AL12"/>
    </row>
    <row r="13" spans="1:38" ht="14.25" customHeight="1" x14ac:dyDescent="0.2">
      <c r="B13" s="190"/>
      <c r="E13" s="190"/>
      <c r="I13" s="191"/>
      <c r="J13"/>
      <c r="K13"/>
      <c r="L13"/>
      <c r="M13"/>
      <c r="N13"/>
      <c r="O13"/>
      <c r="P13"/>
      <c r="Q13"/>
      <c r="R13"/>
      <c r="S13"/>
      <c r="T13"/>
      <c r="U13"/>
      <c r="V13"/>
      <c r="W13"/>
      <c r="X13"/>
      <c r="Y13"/>
      <c r="Z13"/>
      <c r="AA13"/>
      <c r="AB13"/>
      <c r="AC13"/>
      <c r="AD13"/>
      <c r="AE13"/>
      <c r="AF13"/>
      <c r="AG13"/>
      <c r="AH13"/>
      <c r="AI13"/>
      <c r="AJ13"/>
      <c r="AK13"/>
      <c r="AL13"/>
    </row>
    <row r="14" spans="1:38" ht="14.25" customHeight="1" x14ac:dyDescent="0.2">
      <c r="B14" s="186" t="s">
        <v>2198</v>
      </c>
      <c r="C14" s="1361">
        <v>1736.27</v>
      </c>
      <c r="E14" s="188" t="s">
        <v>2199</v>
      </c>
      <c r="F14" s="189">
        <v>0</v>
      </c>
      <c r="I14" s="191"/>
      <c r="J14"/>
      <c r="K14"/>
      <c r="L14"/>
      <c r="M14"/>
      <c r="N14"/>
      <c r="O14"/>
      <c r="P14"/>
      <c r="Q14"/>
      <c r="R14"/>
      <c r="S14"/>
      <c r="T14"/>
      <c r="U14"/>
      <c r="V14"/>
      <c r="W14"/>
      <c r="X14"/>
      <c r="Y14"/>
      <c r="Z14"/>
      <c r="AA14"/>
      <c r="AB14"/>
      <c r="AC14"/>
      <c r="AD14"/>
      <c r="AE14"/>
      <c r="AF14"/>
      <c r="AG14"/>
      <c r="AH14"/>
      <c r="AI14"/>
      <c r="AJ14"/>
      <c r="AK14"/>
      <c r="AL14"/>
    </row>
    <row r="15" spans="1:38" x14ac:dyDescent="0.2">
      <c r="C15" s="1362"/>
      <c r="I15" s="191"/>
      <c r="J15"/>
      <c r="K15"/>
      <c r="L15"/>
      <c r="M15"/>
      <c r="N15"/>
      <c r="O15"/>
      <c r="P15"/>
      <c r="Q15"/>
      <c r="R15"/>
      <c r="S15"/>
      <c r="T15"/>
      <c r="U15"/>
      <c r="V15"/>
      <c r="W15"/>
      <c r="X15"/>
      <c r="Y15"/>
      <c r="Z15"/>
      <c r="AA15"/>
      <c r="AB15"/>
      <c r="AC15"/>
      <c r="AD15"/>
      <c r="AE15"/>
      <c r="AF15"/>
      <c r="AG15"/>
      <c r="AH15"/>
      <c r="AI15"/>
      <c r="AJ15"/>
      <c r="AK15"/>
      <c r="AL15"/>
    </row>
    <row r="16" spans="1:38" ht="14.25" customHeight="1" x14ac:dyDescent="0.2">
      <c r="B16" s="186" t="s">
        <v>2200</v>
      </c>
      <c r="C16" s="1361">
        <v>500.04</v>
      </c>
      <c r="E16" s="188" t="s">
        <v>2201</v>
      </c>
      <c r="F16" s="189">
        <v>399</v>
      </c>
      <c r="I16" s="191"/>
      <c r="J16"/>
      <c r="K16"/>
      <c r="L16"/>
      <c r="M16"/>
      <c r="N16"/>
      <c r="O16"/>
      <c r="P16"/>
      <c r="Q16"/>
      <c r="R16"/>
      <c r="S16"/>
      <c r="T16"/>
      <c r="U16"/>
      <c r="V16"/>
      <c r="W16"/>
      <c r="X16"/>
      <c r="Y16"/>
      <c r="Z16"/>
      <c r="AA16"/>
      <c r="AB16"/>
      <c r="AC16"/>
      <c r="AD16"/>
      <c r="AE16"/>
      <c r="AF16"/>
      <c r="AG16"/>
      <c r="AH16"/>
      <c r="AI16"/>
      <c r="AJ16"/>
      <c r="AK16"/>
      <c r="AL16"/>
    </row>
    <row r="17" spans="1:38" ht="13.5" thickBot="1" x14ac:dyDescent="0.25">
      <c r="I17" s="191"/>
      <c r="J17"/>
      <c r="K17"/>
      <c r="L17"/>
      <c r="M17"/>
      <c r="N17"/>
      <c r="O17"/>
      <c r="P17"/>
      <c r="Q17"/>
      <c r="R17"/>
      <c r="S17"/>
      <c r="T17"/>
      <c r="U17"/>
      <c r="V17"/>
      <c r="W17"/>
      <c r="X17"/>
      <c r="Y17"/>
      <c r="Z17"/>
      <c r="AA17"/>
      <c r="AB17"/>
      <c r="AC17"/>
      <c r="AD17"/>
      <c r="AE17"/>
      <c r="AF17"/>
      <c r="AG17"/>
      <c r="AH17"/>
      <c r="AI17"/>
      <c r="AJ17"/>
      <c r="AK17"/>
      <c r="AL17"/>
    </row>
    <row r="18" spans="1:38" ht="18" customHeight="1" x14ac:dyDescent="0.2">
      <c r="B18" s="79" t="s">
        <v>2202</v>
      </c>
      <c r="C18" s="80" t="s">
        <v>1289</v>
      </c>
      <c r="D18" s="80" t="s">
        <v>2105</v>
      </c>
      <c r="E18" s="80" t="s">
        <v>2203</v>
      </c>
      <c r="F18" s="80" t="s">
        <v>2106</v>
      </c>
      <c r="G18" s="81" t="s">
        <v>2204</v>
      </c>
      <c r="I18" s="191"/>
      <c r="J18"/>
      <c r="K18"/>
      <c r="L18"/>
      <c r="M18"/>
      <c r="N18"/>
      <c r="O18"/>
      <c r="P18"/>
      <c r="Q18"/>
      <c r="R18"/>
      <c r="S18"/>
      <c r="T18"/>
      <c r="U18"/>
      <c r="V18"/>
      <c r="W18"/>
      <c r="X18"/>
      <c r="Y18"/>
      <c r="Z18"/>
      <c r="AA18"/>
      <c r="AB18"/>
      <c r="AC18"/>
      <c r="AD18"/>
      <c r="AE18"/>
      <c r="AF18"/>
      <c r="AG18"/>
      <c r="AH18"/>
      <c r="AI18"/>
      <c r="AJ18"/>
      <c r="AK18"/>
      <c r="AL18"/>
    </row>
    <row r="19" spans="1:38" ht="25.5" x14ac:dyDescent="0.2">
      <c r="A19" s="448"/>
      <c r="B19" s="444" t="inlineStr">
        <is>
          <t>Embasamento</t>
        </is>
      </c>
      <c r="C19" s="445" t="inlineStr">
        <is>
          <t>Térreo</t>
        </is>
      </c>
      <c r="D19" s="446">
        <v>1565.91</v>
      </c>
      <c r="E19" s="446">
        <v>0</v>
      </c>
      <c r="F19" s="446"/>
      <c r="G19" s="447">
        <v>4.3</v>
      </c>
      <c r="H19" s="448"/>
      <c r="I19" s="449"/>
      <c r="J19"/>
      <c r="K19"/>
      <c r="L19"/>
      <c r="M19"/>
      <c r="N19"/>
      <c r="O19"/>
      <c r="P19"/>
      <c r="Q19"/>
      <c r="R19"/>
      <c r="S19"/>
      <c r="T19"/>
      <c r="U19"/>
      <c r="V19"/>
      <c r="W19"/>
      <c r="X19"/>
      <c r="Y19"/>
      <c r="Z19"/>
      <c r="AA19"/>
      <c r="AB19"/>
      <c r="AC19"/>
      <c r="AD19"/>
      <c r="AE19"/>
      <c r="AF19"/>
      <c r="AG19"/>
      <c r="AH19"/>
      <c r="AI19"/>
      <c r="AJ19"/>
      <c r="AK19"/>
      <c r="AL19"/>
    </row>
    <row r="20" spans="1:38" ht="25.5" x14ac:dyDescent="0.2">
      <c r="A20" s="448"/>
      <c r="B20" s="444" t="inlineStr">
        <is>
          <t>Embasamento</t>
        </is>
      </c>
      <c r="C20" s="445" t="inlineStr">
        <is>
          <t>Garagem 01</t>
        </is>
      </c>
      <c r="D20" s="446">
        <v>1736.27</v>
      </c>
      <c r="E20" s="446">
        <v>0</v>
      </c>
      <c r="F20" s="446"/>
      <c r="G20" s="447"/>
      <c r="H20" s="448"/>
      <c r="I20" s="449"/>
      <c r="J20"/>
      <c r="K20"/>
      <c r="L20"/>
      <c r="M20"/>
      <c r="N20"/>
      <c r="O20"/>
      <c r="P20"/>
      <c r="Q20"/>
      <c r="R20"/>
      <c r="S20"/>
      <c r="T20"/>
      <c r="U20"/>
      <c r="V20"/>
      <c r="W20"/>
      <c r="X20"/>
      <c r="Y20"/>
      <c r="Z20"/>
      <c r="AA20"/>
      <c r="AB20"/>
      <c r="AC20"/>
      <c r="AD20"/>
      <c r="AE20"/>
      <c r="AF20"/>
      <c r="AG20"/>
      <c r="AH20"/>
      <c r="AI20"/>
      <c r="AJ20"/>
      <c r="AK20"/>
      <c r="AL20"/>
    </row>
    <row r="21" spans="1:38" x14ac:dyDescent="0.2">
      <c r="A21" s="448"/>
      <c r="B21" s="444" t="inlineStr">
        <is>
          <t>Embasamento</t>
        </is>
      </c>
      <c r="C21" s="445" t="inlineStr">
        <is>
          <t>Garagem 02</t>
        </is>
      </c>
      <c r="D21" s="446">
        <v>1736.27</v>
      </c>
      <c r="E21" s="446">
        <v>0</v>
      </c>
      <c r="F21" s="446"/>
      <c r="G21" s="447"/>
      <c r="H21" s="448"/>
      <c r="I21" s="449"/>
      <c r="J21"/>
      <c r="K21"/>
      <c r="L21"/>
      <c r="M21"/>
      <c r="N21"/>
      <c r="O21"/>
      <c r="P21"/>
      <c r="Q21"/>
      <c r="R21"/>
      <c r="S21"/>
      <c r="T21"/>
      <c r="U21"/>
      <c r="V21"/>
      <c r="W21"/>
      <c r="X21"/>
      <c r="Y21"/>
      <c r="Z21"/>
      <c r="AA21"/>
      <c r="AB21"/>
      <c r="AC21"/>
      <c r="AD21"/>
      <c r="AE21"/>
      <c r="AF21"/>
      <c r="AG21"/>
      <c r="AH21"/>
      <c r="AI21"/>
      <c r="AJ21"/>
      <c r="AK21"/>
      <c r="AL21"/>
    </row>
    <row r="22" spans="1:38" ht="25.5" x14ac:dyDescent="0.2">
      <c r="A22" s="448"/>
      <c r="B22" s="444" t="inlineStr">
        <is>
          <t>Embasamento</t>
        </is>
      </c>
      <c r="C22" s="445" t="inlineStr">
        <is>
          <t>Garagem 03</t>
        </is>
      </c>
      <c r="D22" s="446">
        <v>1736.27</v>
      </c>
      <c r="E22" s="446">
        <v>0</v>
      </c>
      <c r="F22" s="446"/>
      <c r="G22" s="447"/>
      <c r="H22" s="448"/>
      <c r="I22" s="449"/>
      <c r="J22"/>
      <c r="K22"/>
      <c r="L22"/>
      <c r="M22"/>
      <c r="N22"/>
      <c r="O22"/>
      <c r="P22"/>
      <c r="Q22"/>
      <c r="R22"/>
      <c r="S22"/>
      <c r="T22"/>
      <c r="U22"/>
      <c r="V22"/>
      <c r="W22"/>
      <c r="X22"/>
      <c r="Y22"/>
      <c r="Z22"/>
      <c r="AA22"/>
      <c r="AB22"/>
      <c r="AC22"/>
      <c r="AD22"/>
      <c r="AE22"/>
      <c r="AF22"/>
      <c r="AG22"/>
      <c r="AH22"/>
      <c r="AI22"/>
      <c r="AJ22"/>
      <c r="AK22"/>
      <c r="AL22"/>
    </row>
    <row r="23" spans="1:38" x14ac:dyDescent="0.2">
      <c r="A23" s="448"/>
      <c r="B23" s="444" t="inlineStr">
        <is>
          <t>Embasamento</t>
        </is>
      </c>
      <c r="C23" s="445" t="inlineStr">
        <is>
          <t>Garagem 04</t>
        </is>
      </c>
      <c r="D23" s="446">
        <v>1736.27</v>
      </c>
      <c r="E23" s="446">
        <v>0</v>
      </c>
      <c r="F23" s="446"/>
      <c r="G23" s="447"/>
      <c r="H23" s="448"/>
      <c r="I23" s="449"/>
      <c r="J23"/>
      <c r="K23"/>
      <c r="L23"/>
      <c r="M23"/>
      <c r="N23"/>
      <c r="O23"/>
      <c r="P23"/>
      <c r="Q23"/>
      <c r="R23"/>
      <c r="S23"/>
      <c r="T23"/>
      <c r="U23"/>
      <c r="V23"/>
      <c r="W23"/>
      <c r="X23"/>
      <c r="Y23"/>
      <c r="Z23"/>
      <c r="AA23"/>
      <c r="AB23"/>
      <c r="AC23"/>
      <c r="AD23"/>
      <c r="AE23"/>
      <c r="AF23"/>
      <c r="AG23"/>
      <c r="AH23"/>
      <c r="AI23"/>
      <c r="AJ23"/>
      <c r="AK23"/>
      <c r="AL23"/>
    </row>
    <row r="24" spans="1:38" ht="25.5" x14ac:dyDescent="0.2">
      <c r="A24" s="448"/>
      <c r="B24" s="444" t="inlineStr">
        <is>
          <t>Embasamento</t>
        </is>
      </c>
      <c r="C24" s="445" t="inlineStr">
        <is>
          <t>Garagem 05</t>
        </is>
      </c>
      <c r="D24" s="446">
        <v>1736.27</v>
      </c>
      <c r="E24" s="446">
        <v>0</v>
      </c>
      <c r="F24" s="446"/>
      <c r="G24" s="447"/>
      <c r="H24" s="448"/>
      <c r="I24" s="449"/>
      <c r="J24"/>
      <c r="K24"/>
      <c r="L24"/>
      <c r="M24"/>
      <c r="N24"/>
      <c r="O24"/>
      <c r="P24"/>
      <c r="Q24"/>
      <c r="R24"/>
      <c r="S24"/>
      <c r="T24"/>
      <c r="U24"/>
      <c r="V24"/>
      <c r="W24"/>
      <c r="X24"/>
      <c r="Y24"/>
      <c r="Z24"/>
      <c r="AA24"/>
      <c r="AB24"/>
      <c r="AC24"/>
      <c r="AD24"/>
      <c r="AE24"/>
      <c r="AF24"/>
      <c r="AG24"/>
      <c r="AH24"/>
      <c r="AI24"/>
      <c r="AJ24"/>
      <c r="AK24"/>
      <c r="AL24"/>
    </row>
    <row r="25" spans="1:38" ht="25.5" x14ac:dyDescent="0.2">
      <c r="A25" s="448"/>
      <c r="B25" s="444" t="inlineStr">
        <is>
          <t>Embasamento</t>
        </is>
      </c>
      <c r="C25" s="445" t="inlineStr">
        <is>
          <t>Pavimento diferenciado — Lazer</t>
        </is>
      </c>
      <c r="D25" s="446">
        <v>1736.27</v>
      </c>
      <c r="E25" s="450">
        <v>0</v>
      </c>
      <c r="F25" s="446"/>
      <c r="G25" s="447">
        <v>3.6</v>
      </c>
      <c r="H25" s="448"/>
      <c r="I25" s="449"/>
      <c r="J25"/>
      <c r="K25"/>
      <c r="L25"/>
      <c r="M25"/>
      <c r="N25"/>
      <c r="O25"/>
      <c r="P25"/>
      <c r="Q25"/>
      <c r="R25"/>
      <c r="S25"/>
      <c r="T25"/>
      <c r="U25"/>
      <c r="V25"/>
      <c r="W25"/>
      <c r="X25"/>
      <c r="Y25"/>
      <c r="Z25"/>
      <c r="AA25"/>
      <c r="AB25"/>
      <c r="AC25"/>
      <c r="AD25"/>
      <c r="AE25"/>
      <c r="AF25"/>
      <c r="AG25"/>
      <c r="AH25"/>
      <c r="AI25"/>
      <c r="AJ25"/>
      <c r="AK25"/>
      <c r="AL25"/>
    </row>
    <row r="26" spans="1:38" ht="25.5" x14ac:dyDescent="0.2">
      <c r="A26" s="448"/>
      <c r="B26" s="444" t="inlineStr">
        <is>
          <t>Torre A</t>
        </is>
      </c>
      <c r="C26" s="445" t="inlineStr">
        <is>
          <t>Pavimento tipo — Torre A (×24)</t>
        </is>
      </c>
      <c r="D26" s="450">
        <v>12720.48</v>
      </c>
      <c r="E26" s="450">
        <v>11382.72</v>
      </c>
      <c r="F26" s="446"/>
      <c r="G26" s="447">
        <v>3.24</v>
      </c>
      <c r="H26" s="448"/>
      <c r="I26" s="449"/>
      <c r="J26"/>
      <c r="K26"/>
      <c r="L26"/>
      <c r="M26"/>
      <c r="N26"/>
      <c r="O26"/>
      <c r="P26"/>
      <c r="Q26"/>
      <c r="R26"/>
      <c r="S26"/>
      <c r="T26"/>
      <c r="U26"/>
      <c r="V26"/>
      <c r="W26"/>
      <c r="X26"/>
      <c r="Y26"/>
      <c r="Z26"/>
      <c r="AA26"/>
      <c r="AB26"/>
      <c r="AC26"/>
      <c r="AD26"/>
      <c r="AE26"/>
      <c r="AF26"/>
      <c r="AG26"/>
      <c r="AH26"/>
      <c r="AI26"/>
      <c r="AJ26"/>
      <c r="AK26"/>
      <c r="AL26"/>
    </row>
    <row r="27" spans="1:38" ht="25.5" x14ac:dyDescent="0.2">
      <c r="A27" s="448"/>
      <c r="B27" s="444" t="inlineStr">
        <is>
          <t>Torre B</t>
        </is>
      </c>
      <c r="C27" s="445" t="inlineStr">
        <is>
          <t>Pavimento tipo — Torre B (×24)</t>
        </is>
      </c>
      <c r="D27" s="446">
        <v>12892.32</v>
      </c>
      <c r="E27" s="446">
        <v>11397.12</v>
      </c>
      <c r="F27" s="446"/>
      <c r="G27" s="447">
        <v>3.24</v>
      </c>
      <c r="H27" s="448"/>
      <c r="I27" s="449"/>
      <c r="J27"/>
      <c r="K27"/>
      <c r="L27"/>
      <c r="M27"/>
      <c r="N27"/>
      <c r="O27"/>
      <c r="P27"/>
      <c r="Q27"/>
      <c r="R27"/>
      <c r="S27"/>
      <c r="T27"/>
      <c r="U27"/>
      <c r="V27"/>
      <c r="W27"/>
      <c r="X27"/>
      <c r="Y27"/>
      <c r="Z27"/>
      <c r="AA27"/>
      <c r="AB27"/>
      <c r="AC27"/>
      <c r="AD27"/>
      <c r="AE27"/>
      <c r="AF27"/>
      <c r="AG27"/>
      <c r="AH27"/>
      <c r="AI27"/>
      <c r="AJ27"/>
      <c r="AK27"/>
      <c r="AL27"/>
    </row>
    <row r="28" spans="1:38" ht="25.5" x14ac:dyDescent="0.2">
      <c r="A28" s="448"/>
      <c r="B28" s="444" t="inlineStr">
        <is>
          <t>Cobertura</t>
        </is>
      </c>
      <c r="C28" s="445" t="inlineStr">
        <is>
          <t>Casa de Máquinas</t>
        </is>
      </c>
      <c r="D28" s="446">
        <v>176.26</v>
      </c>
      <c r="E28" s="446">
        <v>0</v>
      </c>
      <c r="F28" s="446"/>
      <c r="G28" s="447"/>
      <c r="H28" s="448"/>
      <c r="I28" s="449"/>
      <c r="J28"/>
      <c r="K28"/>
      <c r="L28"/>
      <c r="M28"/>
      <c r="N28"/>
      <c r="O28"/>
      <c r="P28"/>
      <c r="Q28"/>
      <c r="R28"/>
      <c r="S28"/>
      <c r="T28"/>
      <c r="U28"/>
      <c r="V28"/>
      <c r="W28"/>
      <c r="X28"/>
      <c r="Y28"/>
      <c r="Z28"/>
      <c r="AA28"/>
      <c r="AB28"/>
      <c r="AC28"/>
      <c r="AD28"/>
      <c r="AE28"/>
      <c r="AF28"/>
      <c r="AG28"/>
      <c r="AH28"/>
      <c r="AI28"/>
      <c r="AJ28"/>
      <c r="AK28"/>
      <c r="AL28"/>
    </row>
    <row r="29" spans="1:38" ht="25.5" x14ac:dyDescent="0.2">
      <c r="A29" s="448"/>
      <c r="B29" s="444" t="inlineStr">
        <is>
          <t>Cobertura</t>
        </is>
      </c>
      <c r="C29" s="445" t="inlineStr">
        <is>
          <t>Reservatórios</t>
        </is>
      </c>
      <c r="D29" s="446">
        <v>121.3</v>
      </c>
      <c r="E29" s="446">
        <v>0</v>
      </c>
      <c r="F29" s="446"/>
      <c r="G29" s="447"/>
      <c r="H29" s="448"/>
      <c r="I29" s="449"/>
      <c r="J29"/>
      <c r="K29"/>
      <c r="L29"/>
      <c r="M29"/>
      <c r="N29"/>
      <c r="O29"/>
      <c r="P29"/>
      <c r="Q29"/>
      <c r="R29"/>
      <c r="S29"/>
      <c r="T29"/>
      <c r="U29"/>
      <c r="V29"/>
      <c r="W29"/>
      <c r="X29"/>
      <c r="Y29"/>
      <c r="Z29"/>
      <c r="AA29"/>
      <c r="AB29"/>
      <c r="AC29"/>
      <c r="AD29"/>
      <c r="AE29"/>
      <c r="AF29"/>
      <c r="AG29"/>
      <c r="AH29"/>
      <c r="AI29"/>
      <c r="AJ29"/>
      <c r="AK29"/>
      <c r="AL29"/>
    </row>
    <row r="30" spans="1:38" ht="25.5" x14ac:dyDescent="0.2">
      <c r="A30" s="448"/>
      <c r="B30" s="444"/>
      <c r="C30" s="445"/>
      <c r="D30" s="446"/>
      <c r="E30" s="446"/>
      <c r="F30" s="446"/>
      <c r="G30" s="447"/>
      <c r="H30" s="448"/>
      <c r="I30" s="449"/>
      <c r="J30"/>
      <c r="K30"/>
      <c r="L30"/>
      <c r="M30"/>
      <c r="N30"/>
      <c r="O30"/>
      <c r="P30"/>
      <c r="Q30"/>
      <c r="R30"/>
      <c r="S30"/>
      <c r="T30"/>
      <c r="U30"/>
      <c r="V30"/>
      <c r="W30"/>
      <c r="X30"/>
      <c r="Y30"/>
      <c r="Z30"/>
      <c r="AA30"/>
      <c r="AB30"/>
      <c r="AC30"/>
      <c r="AD30"/>
      <c r="AE30"/>
      <c r="AF30"/>
      <c r="AG30"/>
      <c r="AH30"/>
      <c r="AI30"/>
      <c r="AJ30"/>
      <c r="AK30"/>
      <c r="AL30"/>
    </row>
    <row r="31" spans="1:38" ht="25.5" x14ac:dyDescent="0.2">
      <c r="A31" s="448"/>
      <c r="B31" s="444"/>
      <c r="C31" s="445"/>
      <c r="D31" s="446"/>
      <c r="E31" s="446"/>
      <c r="F31" s="446"/>
      <c r="G31" s="447"/>
      <c r="H31" s="448"/>
      <c r="I31" s="449"/>
      <c r="J31"/>
      <c r="K31"/>
      <c r="L31"/>
      <c r="M31"/>
      <c r="N31"/>
      <c r="O31"/>
      <c r="P31"/>
      <c r="Q31"/>
      <c r="R31"/>
      <c r="S31"/>
      <c r="T31"/>
      <c r="U31"/>
      <c r="V31"/>
      <c r="W31"/>
      <c r="X31"/>
      <c r="Y31"/>
      <c r="Z31"/>
      <c r="AA31"/>
      <c r="AB31"/>
      <c r="AC31"/>
      <c r="AD31"/>
      <c r="AE31"/>
      <c r="AF31"/>
      <c r="AG31"/>
      <c r="AH31"/>
      <c r="AI31"/>
      <c r="AJ31"/>
      <c r="AK31"/>
      <c r="AL31"/>
    </row>
    <row r="32" spans="1:38" ht="25.5" x14ac:dyDescent="0.2">
      <c r="B32" s="192"/>
      <c r="C32" s="445"/>
      <c r="D32" s="193"/>
      <c r="E32" s="193"/>
      <c r="F32" s="193"/>
      <c r="G32" s="194"/>
      <c r="I32" s="191"/>
      <c r="J32"/>
      <c r="K32"/>
      <c r="L32"/>
      <c r="M32"/>
      <c r="N32"/>
      <c r="O32"/>
      <c r="P32"/>
      <c r="Q32"/>
      <c r="R32"/>
      <c r="S32"/>
      <c r="T32"/>
      <c r="U32"/>
      <c r="V32"/>
      <c r="W32"/>
      <c r="X32"/>
      <c r="Y32"/>
      <c r="Z32"/>
      <c r="AA32"/>
      <c r="AB32"/>
      <c r="AC32"/>
      <c r="AD32"/>
      <c r="AE32"/>
      <c r="AF32"/>
      <c r="AG32"/>
      <c r="AH32"/>
      <c r="AI32"/>
      <c r="AJ32"/>
      <c r="AK32"/>
      <c r="AL32"/>
    </row>
    <row r="33" spans="2:38" ht="25.5" x14ac:dyDescent="0.2">
      <c r="B33" s="192"/>
      <c r="C33" s="445"/>
      <c r="D33" s="193"/>
      <c r="E33" s="193"/>
      <c r="F33" s="193"/>
      <c r="G33" s="194"/>
      <c r="I33" s="191"/>
      <c r="J33"/>
      <c r="K33"/>
      <c r="L33"/>
      <c r="M33"/>
      <c r="N33"/>
      <c r="O33"/>
      <c r="P33"/>
      <c r="Q33"/>
      <c r="R33"/>
      <c r="S33"/>
      <c r="T33"/>
      <c r="U33"/>
      <c r="V33"/>
      <c r="W33"/>
      <c r="X33"/>
      <c r="Y33"/>
      <c r="Z33"/>
      <c r="AA33"/>
      <c r="AB33"/>
      <c r="AC33"/>
      <c r="AD33"/>
      <c r="AE33"/>
      <c r="AF33"/>
      <c r="AG33"/>
      <c r="AH33"/>
      <c r="AI33"/>
      <c r="AJ33"/>
      <c r="AK33"/>
      <c r="AL33"/>
    </row>
    <row r="34" spans="2:38" x14ac:dyDescent="0.2">
      <c r="B34" s="192"/>
      <c r="C34" s="445"/>
      <c r="D34" s="193"/>
      <c r="E34" s="193"/>
      <c r="F34" s="193"/>
      <c r="G34" s="194"/>
      <c r="I34" s="191"/>
      <c r="J34"/>
      <c r="K34"/>
      <c r="L34"/>
      <c r="M34"/>
      <c r="N34"/>
      <c r="O34"/>
      <c r="P34"/>
      <c r="Q34"/>
      <c r="R34"/>
      <c r="S34"/>
      <c r="T34"/>
      <c r="U34"/>
      <c r="V34"/>
      <c r="W34"/>
      <c r="X34"/>
      <c r="Y34"/>
      <c r="Z34"/>
      <c r="AA34"/>
      <c r="AB34"/>
      <c r="AC34"/>
      <c r="AD34"/>
      <c r="AE34"/>
      <c r="AF34"/>
      <c r="AG34"/>
      <c r="AH34"/>
      <c r="AI34"/>
      <c r="AJ34"/>
      <c r="AK34"/>
      <c r="AL34"/>
    </row>
    <row r="35" spans="2:38" ht="13.5" thickBot="1" x14ac:dyDescent="0.25">
      <c r="B35" s="200"/>
      <c r="C35" s="201"/>
      <c r="D35" s="202"/>
      <c r="E35" s="202"/>
      <c r="F35" s="202"/>
      <c r="G35" s="203"/>
      <c r="I35" s="195"/>
      <c r="J35"/>
      <c r="K35"/>
      <c r="L35"/>
      <c r="M35"/>
      <c r="N35"/>
      <c r="O35"/>
      <c r="P35"/>
      <c r="Q35"/>
      <c r="R35"/>
      <c r="S35"/>
      <c r="T35"/>
      <c r="U35"/>
      <c r="V35"/>
      <c r="W35"/>
      <c r="X35"/>
      <c r="Y35"/>
      <c r="Z35"/>
      <c r="AA35"/>
      <c r="AB35"/>
      <c r="AC35"/>
      <c r="AD35"/>
      <c r="AE35"/>
      <c r="AF35"/>
      <c r="AG35"/>
      <c r="AH35"/>
      <c r="AI35"/>
      <c r="AJ35"/>
      <c r="AK35"/>
      <c r="AL35"/>
    </row>
    <row r="36" spans="2:38" ht="13.5" thickBot="1" x14ac:dyDescent="0.25">
      <c r="J36"/>
      <c r="K36"/>
      <c r="L36"/>
      <c r="M36"/>
      <c r="N36"/>
      <c r="O36"/>
      <c r="P36"/>
      <c r="Q36"/>
      <c r="R36"/>
      <c r="S36"/>
      <c r="T36"/>
      <c r="U36"/>
      <c r="V36"/>
      <c r="W36"/>
      <c r="X36"/>
      <c r="Y36"/>
      <c r="Z36"/>
      <c r="AA36"/>
      <c r="AB36"/>
      <c r="AC36"/>
      <c r="AD36"/>
      <c r="AE36"/>
      <c r="AF36"/>
      <c r="AG36"/>
      <c r="AH36"/>
      <c r="AI36"/>
      <c r="AJ36"/>
      <c r="AK36"/>
      <c r="AL36"/>
    </row>
    <row r="37" spans="2:38" x14ac:dyDescent="0.2">
      <c r="B37" s="79" t="s">
        <v>1652</v>
      </c>
      <c r="C37" s="80" t="s">
        <v>1289</v>
      </c>
      <c r="D37" s="80" t="s">
        <v>60</v>
      </c>
      <c r="E37" s="81" t="s">
        <v>2206</v>
      </c>
      <c r="I37" s="196" t="s">
        <v>39</v>
      </c>
      <c r="J37"/>
      <c r="K37"/>
      <c r="L37"/>
      <c r="M37"/>
      <c r="N37"/>
      <c r="O37"/>
      <c r="P37"/>
      <c r="Q37"/>
      <c r="R37"/>
      <c r="S37"/>
      <c r="T37"/>
      <c r="U37"/>
      <c r="V37"/>
      <c r="W37"/>
      <c r="X37"/>
      <c r="Y37"/>
      <c r="Z37"/>
      <c r="AA37"/>
      <c r="AB37"/>
      <c r="AC37"/>
      <c r="AD37"/>
      <c r="AE37"/>
      <c r="AF37"/>
      <c r="AG37"/>
      <c r="AH37"/>
      <c r="AI37"/>
      <c r="AJ37"/>
      <c r="AK37"/>
      <c r="AL37"/>
    </row>
    <row r="38" spans="2:38" x14ac:dyDescent="0.2">
      <c r="B38" s="192" t="s">
        <v>2205</v>
      </c>
      <c r="C38" s="1366" t="str">
        <f>_xlfn.XLOOKUP(D38,MOBILIÁRIO!C:C,MOBILIÁRIO!B:B)</f>
        <v>TÉRREO</v>
      </c>
      <c r="D38" s="1366" t="str" cm="1">
        <f t="array" ref="D38:D72">_xlfn.UNIQUE(_xlfn._xlws.FILTER(MOBILIÁRIO!C7:C316,MOBILIÁRIO!C7:C316&lt;&gt;""))</f>
        <v>Hall Externo</v>
      </c>
      <c r="E38" s="1367">
        <f>_xlfn.XLOOKUP(D38,MOBILIÁRIO!C:C,MOBILIÁRIO!F:F)</f>
        <v>12.33</v>
      </c>
      <c r="I38" s="197" t="s">
        <v>40</v>
      </c>
      <c r="J38"/>
      <c r="K38"/>
      <c r="L38"/>
      <c r="M38"/>
      <c r="N38"/>
      <c r="O38"/>
      <c r="P38"/>
      <c r="Q38"/>
      <c r="R38"/>
      <c r="S38"/>
      <c r="T38"/>
      <c r="U38"/>
      <c r="V38"/>
      <c r="W38"/>
      <c r="X38"/>
      <c r="Y38"/>
      <c r="Z38"/>
      <c r="AA38"/>
      <c r="AB38"/>
      <c r="AC38"/>
      <c r="AD38"/>
      <c r="AE38"/>
      <c r="AF38"/>
      <c r="AG38"/>
      <c r="AH38"/>
      <c r="AI38"/>
      <c r="AJ38"/>
      <c r="AK38"/>
      <c r="AL38"/>
    </row>
    <row r="39" spans="2:38" x14ac:dyDescent="0.2">
      <c r="B39" s="192" t="s">
        <v>2205</v>
      </c>
      <c r="C39" s="1366" t="str">
        <f>_xlfn.XLOOKUP(D39,MOBILIÁRIO!C:C,MOBILIÁRIO!B:B)</f>
        <v>TÉRREO</v>
      </c>
      <c r="D39" s="1366" t="str">
        <v>Hall Térreo</v>
      </c>
      <c r="E39" s="1367">
        <f>_xlfn.XLOOKUP(D39,MOBILIÁRIO!C:C,MOBILIÁRIO!F:F)</f>
        <v>35.270000000000003</v>
      </c>
      <c r="I39" s="198" t="s">
        <v>41</v>
      </c>
      <c r="J39"/>
      <c r="K39"/>
      <c r="L39"/>
      <c r="M39"/>
      <c r="N39"/>
      <c r="O39"/>
      <c r="P39"/>
      <c r="Q39"/>
      <c r="R39"/>
      <c r="S39"/>
      <c r="T39"/>
      <c r="U39"/>
      <c r="V39"/>
      <c r="W39"/>
      <c r="X39"/>
      <c r="Y39"/>
      <c r="Z39"/>
      <c r="AA39"/>
      <c r="AB39"/>
      <c r="AC39"/>
      <c r="AD39"/>
      <c r="AE39"/>
      <c r="AF39"/>
      <c r="AG39"/>
      <c r="AH39"/>
      <c r="AI39"/>
      <c r="AJ39"/>
      <c r="AK39"/>
      <c r="AL39"/>
    </row>
    <row r="40" spans="2:38" x14ac:dyDescent="0.2">
      <c r="B40" s="192" t="s">
        <v>2205</v>
      </c>
      <c r="C40" s="1366" t="str">
        <f>_xlfn.XLOOKUP(D40,MOBILIÁRIO!C:C,MOBILIÁRIO!B:B)</f>
        <v>TÉRREO</v>
      </c>
      <c r="D40" s="1366" t="str">
        <v>Guarita</v>
      </c>
      <c r="E40" s="1367">
        <f>_xlfn.XLOOKUP(D40,MOBILIÁRIO!C:C,MOBILIÁRIO!F:F)</f>
        <v>4.72</v>
      </c>
      <c r="I40" s="197" t="s">
        <v>1686</v>
      </c>
      <c r="J40"/>
      <c r="K40"/>
      <c r="L40"/>
      <c r="M40"/>
      <c r="N40"/>
      <c r="O40"/>
      <c r="P40"/>
      <c r="Q40"/>
      <c r="R40"/>
      <c r="S40"/>
      <c r="T40"/>
      <c r="U40"/>
      <c r="V40"/>
      <c r="W40"/>
      <c r="X40"/>
      <c r="Y40"/>
      <c r="Z40"/>
      <c r="AA40"/>
      <c r="AB40"/>
      <c r="AC40"/>
      <c r="AD40"/>
      <c r="AE40"/>
      <c r="AF40"/>
      <c r="AG40"/>
      <c r="AH40"/>
      <c r="AI40"/>
      <c r="AJ40"/>
      <c r="AK40"/>
      <c r="AL40"/>
    </row>
    <row r="41" spans="2:38" x14ac:dyDescent="0.2">
      <c r="B41" s="192" t="s">
        <v>2205</v>
      </c>
      <c r="C41" s="1366" t="str">
        <f>_xlfn.XLOOKUP(D41,MOBILIÁRIO!C:C,MOBILIÁRIO!B:B)</f>
        <v>TÉRREO</v>
      </c>
      <c r="D41" s="1366" t="str">
        <v>Lavapés</v>
      </c>
      <c r="E41" s="1367">
        <f>_xlfn.XLOOKUP(D41,MOBILIÁRIO!C:C,MOBILIÁRIO!F:F)</f>
        <v>1</v>
      </c>
      <c r="I41" s="198" t="s">
        <v>3</v>
      </c>
      <c r="J41"/>
      <c r="K41"/>
      <c r="L41"/>
      <c r="M41"/>
      <c r="N41"/>
      <c r="O41"/>
      <c r="P41"/>
      <c r="Q41"/>
      <c r="R41"/>
      <c r="S41"/>
      <c r="T41"/>
      <c r="U41"/>
      <c r="V41"/>
      <c r="W41"/>
      <c r="X41"/>
      <c r="Y41"/>
      <c r="Z41"/>
      <c r="AA41"/>
      <c r="AB41"/>
      <c r="AC41"/>
      <c r="AD41"/>
      <c r="AE41"/>
      <c r="AF41"/>
      <c r="AG41"/>
      <c r="AH41"/>
      <c r="AI41"/>
      <c r="AJ41"/>
      <c r="AK41"/>
      <c r="AL41"/>
    </row>
    <row r="42" spans="2:38" x14ac:dyDescent="0.2">
      <c r="B42" s="192" t="s">
        <v>2205</v>
      </c>
      <c r="C42" s="1366" t="str">
        <f>_xlfn.XLOOKUP(D42,MOBILIÁRIO!C:C,MOBILIÁRIO!B:B)</f>
        <v>TÉRREO</v>
      </c>
      <c r="D42" s="1366" t="str">
        <v>Lavabo Pne - Térreo</v>
      </c>
      <c r="E42" s="1367">
        <f>_xlfn.XLOOKUP(D42,MOBILIÁRIO!C:C,MOBILIÁRIO!F:F)</f>
        <v>3.77</v>
      </c>
      <c r="I42" s="197" t="s">
        <v>42</v>
      </c>
      <c r="J42"/>
      <c r="K42"/>
      <c r="L42"/>
      <c r="M42"/>
      <c r="N42"/>
      <c r="O42"/>
      <c r="P42"/>
      <c r="Q42"/>
      <c r="R42"/>
      <c r="S42"/>
      <c r="T42"/>
      <c r="U42"/>
      <c r="V42"/>
      <c r="W42"/>
      <c r="X42"/>
      <c r="Y42"/>
      <c r="Z42"/>
      <c r="AA42"/>
      <c r="AB42"/>
      <c r="AC42"/>
      <c r="AD42"/>
      <c r="AE42"/>
      <c r="AF42"/>
      <c r="AG42"/>
      <c r="AH42"/>
      <c r="AI42"/>
      <c r="AJ42"/>
      <c r="AK42"/>
      <c r="AL42"/>
    </row>
    <row r="43" spans="2:38" x14ac:dyDescent="0.2">
      <c r="B43" s="192" t="s">
        <v>2205</v>
      </c>
      <c r="C43" s="1366" t="str">
        <f>_xlfn.XLOOKUP(D43,MOBILIÁRIO!C:C,MOBILIÁRIO!B:B)</f>
        <v>TÉRREO</v>
      </c>
      <c r="D43" s="1366" t="str">
        <v>Bicicletário/Box</v>
      </c>
      <c r="E43" s="1367">
        <f>_xlfn.XLOOKUP(D43,MOBILIÁRIO!C:C,MOBILIÁRIO!F:F)</f>
        <v>87.33</v>
      </c>
      <c r="I43" s="198" t="s">
        <v>340</v>
      </c>
      <c r="J43"/>
      <c r="K43"/>
      <c r="L43"/>
      <c r="M43"/>
      <c r="N43"/>
      <c r="O43"/>
      <c r="P43"/>
      <c r="Q43"/>
      <c r="R43"/>
      <c r="S43"/>
      <c r="T43"/>
      <c r="U43"/>
      <c r="V43"/>
      <c r="W43"/>
      <c r="X43"/>
      <c r="Y43"/>
      <c r="Z43"/>
      <c r="AA43"/>
      <c r="AB43"/>
      <c r="AC43"/>
      <c r="AD43"/>
      <c r="AE43"/>
      <c r="AF43"/>
      <c r="AG43"/>
      <c r="AH43"/>
      <c r="AI43"/>
      <c r="AJ43"/>
      <c r="AK43"/>
      <c r="AL43"/>
    </row>
    <row r="44" spans="2:38" x14ac:dyDescent="0.2">
      <c r="B44" s="192" t="s">
        <v>2205</v>
      </c>
      <c r="C44" s="1366" t="str">
        <f>_xlfn.XLOOKUP(D44,MOBILIÁRIO!C:C,MOBILIÁRIO!B:B)</f>
        <v>TÉRREO</v>
      </c>
      <c r="D44" s="1366" t="str">
        <v>Antecâmara - Térreo</v>
      </c>
      <c r="E44" s="1367">
        <f>_xlfn.XLOOKUP(D44,MOBILIÁRIO!C:C,MOBILIÁRIO!F:F)</f>
        <v>8.07</v>
      </c>
      <c r="I44" s="197" t="s">
        <v>17</v>
      </c>
      <c r="J44"/>
      <c r="K44"/>
      <c r="L44"/>
      <c r="M44"/>
      <c r="N44"/>
      <c r="O44"/>
      <c r="P44"/>
      <c r="Q44"/>
      <c r="R44"/>
      <c r="S44"/>
      <c r="T44"/>
      <c r="U44"/>
      <c r="V44"/>
      <c r="W44"/>
      <c r="X44"/>
      <c r="Y44"/>
      <c r="Z44"/>
      <c r="AA44"/>
      <c r="AB44"/>
      <c r="AC44"/>
      <c r="AD44"/>
      <c r="AE44"/>
      <c r="AF44"/>
      <c r="AG44"/>
      <c r="AH44"/>
      <c r="AI44"/>
      <c r="AJ44"/>
      <c r="AK44"/>
      <c r="AL44"/>
    </row>
    <row r="45" spans="2:38" ht="22.5" x14ac:dyDescent="0.2">
      <c r="B45" s="192" t="s">
        <v>2205</v>
      </c>
      <c r="C45" s="1366" t="str">
        <f>_xlfn.XLOOKUP(D45,MOBILIÁRIO!C:C,MOBILIÁRIO!B:B)</f>
        <v>2º AO 5º PAVIMENTO - GARAGENS (X5)</v>
      </c>
      <c r="D45" s="1366" t="str">
        <v>Antecâmara - Garagens (x5)</v>
      </c>
      <c r="E45" s="1367">
        <f>_xlfn.XLOOKUP(D45,MOBILIÁRIO!C:C,MOBILIÁRIO!F:F)</f>
        <v>33.6</v>
      </c>
      <c r="I45" s="198" t="s">
        <v>18</v>
      </c>
      <c r="J45"/>
      <c r="K45"/>
      <c r="L45"/>
      <c r="M45"/>
      <c r="N45"/>
      <c r="O45"/>
      <c r="P45"/>
      <c r="Q45"/>
      <c r="R45"/>
      <c r="S45"/>
      <c r="T45"/>
      <c r="U45"/>
      <c r="V45"/>
      <c r="W45"/>
      <c r="X45"/>
      <c r="Y45"/>
      <c r="Z45"/>
      <c r="AA45"/>
      <c r="AB45"/>
      <c r="AC45"/>
      <c r="AD45"/>
      <c r="AE45"/>
      <c r="AF45"/>
      <c r="AG45"/>
      <c r="AH45"/>
      <c r="AI45"/>
      <c r="AJ45"/>
      <c r="AK45"/>
      <c r="AL45"/>
    </row>
    <row r="46" spans="2:38" ht="22.5" x14ac:dyDescent="0.2">
      <c r="B46" s="192" t="s">
        <v>2205</v>
      </c>
      <c r="C46" s="1366" t="str">
        <f>_xlfn.XLOOKUP(D46,MOBILIÁRIO!C:C,MOBILIÁRIO!B:B)</f>
        <v>4º PAVIMENTO - LAZER/GARAGENS</v>
      </c>
      <c r="D46" s="1366" t="str">
        <v>Sala de massagem</v>
      </c>
      <c r="E46" s="1367">
        <f>_xlfn.XLOOKUP(D46,MOBILIÁRIO!C:C,MOBILIÁRIO!F:F)</f>
        <v>7.47</v>
      </c>
      <c r="I46" s="197" t="s">
        <v>1258</v>
      </c>
      <c r="J46"/>
      <c r="K46"/>
      <c r="L46"/>
      <c r="M46"/>
      <c r="N46"/>
      <c r="O46"/>
      <c r="P46"/>
      <c r="Q46"/>
      <c r="R46"/>
      <c r="S46"/>
      <c r="T46"/>
      <c r="U46"/>
      <c r="V46"/>
      <c r="W46"/>
      <c r="X46"/>
      <c r="Y46"/>
      <c r="Z46"/>
      <c r="AA46"/>
      <c r="AB46"/>
      <c r="AC46"/>
      <c r="AD46"/>
      <c r="AE46"/>
      <c r="AF46"/>
      <c r="AG46"/>
      <c r="AH46"/>
      <c r="AI46"/>
      <c r="AJ46"/>
      <c r="AK46"/>
      <c r="AL46"/>
    </row>
    <row r="47" spans="2:38" ht="22.5" x14ac:dyDescent="0.2">
      <c r="B47" s="192" t="s">
        <v>2205</v>
      </c>
      <c r="C47" s="1366" t="str">
        <f>_xlfn.XLOOKUP(D47,MOBILIÁRIO!C:C,MOBILIÁRIO!B:B)</f>
        <v>4º PAVIMENTO - LAZER/GARAGENS</v>
      </c>
      <c r="D47" s="1366" t="str">
        <v>Banheiro - Lazer/Garagem</v>
      </c>
      <c r="E47" s="1367">
        <f>_xlfn.XLOOKUP(D47,MOBILIÁRIO!C:C,MOBILIÁRIO!F:F)</f>
        <v>3.91</v>
      </c>
      <c r="I47" s="198" t="s">
        <v>19</v>
      </c>
      <c r="J47"/>
      <c r="K47"/>
      <c r="L47"/>
      <c r="M47"/>
      <c r="N47"/>
      <c r="O47"/>
      <c r="P47"/>
      <c r="Q47"/>
      <c r="R47"/>
      <c r="S47"/>
      <c r="T47"/>
      <c r="U47"/>
      <c r="V47"/>
      <c r="W47"/>
      <c r="X47"/>
      <c r="Y47"/>
      <c r="Z47"/>
      <c r="AA47"/>
      <c r="AB47"/>
      <c r="AC47"/>
      <c r="AD47"/>
      <c r="AE47"/>
      <c r="AF47"/>
      <c r="AG47"/>
      <c r="AH47"/>
      <c r="AI47"/>
      <c r="AJ47"/>
      <c r="AK47"/>
      <c r="AL47"/>
    </row>
    <row r="48" spans="2:38" ht="22.5" x14ac:dyDescent="0.2">
      <c r="B48" s="192" t="s">
        <v>2205</v>
      </c>
      <c r="C48" s="1366" t="str">
        <f>_xlfn.XLOOKUP(D48,MOBILIÁRIO!C:C,MOBILIÁRIO!B:B)</f>
        <v>4º PAVIMENTO - LAZER/GARAGENS</v>
      </c>
      <c r="D48" s="1366" t="str">
        <v>Lavabo - Lazer/Garagem</v>
      </c>
      <c r="E48" s="1367">
        <f>_xlfn.XLOOKUP(D48,MOBILIÁRIO!C:C,MOBILIÁRIO!F:F)</f>
        <v>2.61</v>
      </c>
      <c r="I48" s="197" t="s">
        <v>20</v>
      </c>
      <c r="J48"/>
      <c r="K48"/>
      <c r="L48"/>
      <c r="M48"/>
      <c r="N48"/>
      <c r="O48"/>
      <c r="P48"/>
      <c r="Q48"/>
      <c r="R48"/>
      <c r="S48"/>
      <c r="T48"/>
      <c r="U48"/>
      <c r="V48"/>
      <c r="W48"/>
      <c r="X48"/>
      <c r="Y48"/>
      <c r="Z48"/>
      <c r="AA48"/>
      <c r="AB48"/>
      <c r="AC48"/>
      <c r="AD48"/>
      <c r="AE48"/>
      <c r="AF48"/>
      <c r="AG48"/>
      <c r="AH48"/>
      <c r="AI48"/>
      <c r="AJ48"/>
      <c r="AK48"/>
      <c r="AL48"/>
    </row>
    <row r="49" spans="2:38" ht="22.5" x14ac:dyDescent="0.2">
      <c r="B49" s="192" t="s">
        <v>2205</v>
      </c>
      <c r="C49" s="1366" t="str">
        <f>_xlfn.XLOOKUP(D49,MOBILIÁRIO!C:C,MOBILIÁRIO!B:B)</f>
        <v>4º PAVIMENTO - LAZER/GARAGENS</v>
      </c>
      <c r="D49" s="1366" t="str">
        <v>Lavabo Pne - Lazer/Garagem</v>
      </c>
      <c r="E49" s="1367">
        <f>_xlfn.XLOOKUP(D49,MOBILIÁRIO!C:C,MOBILIÁRIO!F:F)</f>
        <v>4.33</v>
      </c>
      <c r="I49" s="198" t="s">
        <v>2805</v>
      </c>
      <c r="J49"/>
      <c r="K49"/>
      <c r="L49"/>
      <c r="M49"/>
      <c r="N49"/>
      <c r="O49"/>
      <c r="P49"/>
      <c r="Q49"/>
      <c r="R49"/>
      <c r="S49"/>
      <c r="T49"/>
      <c r="U49"/>
      <c r="V49"/>
      <c r="W49"/>
      <c r="X49"/>
      <c r="Y49"/>
      <c r="Z49"/>
      <c r="AA49"/>
      <c r="AB49"/>
      <c r="AC49"/>
      <c r="AD49"/>
      <c r="AE49"/>
      <c r="AF49"/>
      <c r="AG49"/>
      <c r="AH49"/>
      <c r="AI49"/>
      <c r="AJ49"/>
      <c r="AK49"/>
      <c r="AL49"/>
    </row>
    <row r="50" spans="2:38" ht="22.5" x14ac:dyDescent="0.2">
      <c r="B50" s="192" t="s">
        <v>2205</v>
      </c>
      <c r="C50" s="1366" t="str">
        <f>_xlfn.XLOOKUP(D50,MOBILIÁRIO!C:C,MOBILIÁRIO!B:B)</f>
        <v>4º PAVIMENTO - LAZER/GARAGENS</v>
      </c>
      <c r="D50" s="1366" t="str">
        <v>Circulação - Lazer/garagem</v>
      </c>
      <c r="E50" s="1367">
        <f>_xlfn.XLOOKUP(D50,MOBILIÁRIO!C:C,MOBILIÁRIO!F:F)</f>
        <v>30.85</v>
      </c>
      <c r="I50" s="197" t="s">
        <v>22</v>
      </c>
      <c r="J50"/>
      <c r="K50"/>
      <c r="L50"/>
      <c r="M50"/>
      <c r="N50"/>
      <c r="O50"/>
      <c r="P50"/>
      <c r="Q50"/>
      <c r="R50"/>
      <c r="S50"/>
      <c r="T50"/>
      <c r="U50"/>
      <c r="V50"/>
      <c r="W50"/>
      <c r="X50"/>
      <c r="Y50"/>
      <c r="Z50"/>
      <c r="AA50"/>
      <c r="AB50"/>
      <c r="AC50"/>
      <c r="AD50"/>
      <c r="AE50"/>
      <c r="AF50"/>
      <c r="AG50"/>
      <c r="AH50"/>
      <c r="AI50"/>
      <c r="AJ50"/>
      <c r="AK50"/>
      <c r="AL50"/>
    </row>
    <row r="51" spans="2:38" ht="22.5" x14ac:dyDescent="0.2">
      <c r="B51" s="192" t="s">
        <v>2205</v>
      </c>
      <c r="C51" s="1366" t="str">
        <f>_xlfn.XLOOKUP(D51,MOBILIÁRIO!C:C,MOBILIÁRIO!B:B)</f>
        <v>4º PAVIMENTO - LAZER/GARAGENS</v>
      </c>
      <c r="D51" s="1366" t="str">
        <v>Área interna Piscina coberta - Lazer/garagem</v>
      </c>
      <c r="E51" s="1367">
        <f>_xlfn.XLOOKUP(D51,MOBILIÁRIO!C:C,MOBILIÁRIO!F:F)</f>
        <v>40.270000000000003</v>
      </c>
      <c r="I51" s="198" t="s">
        <v>441</v>
      </c>
      <c r="J51"/>
      <c r="K51"/>
      <c r="L51"/>
      <c r="M51"/>
      <c r="N51"/>
      <c r="O51"/>
      <c r="P51"/>
      <c r="Q51"/>
      <c r="R51"/>
      <c r="S51"/>
      <c r="T51"/>
      <c r="U51"/>
      <c r="V51"/>
      <c r="W51"/>
      <c r="X51"/>
      <c r="Y51"/>
      <c r="Z51"/>
      <c r="AA51"/>
      <c r="AB51"/>
      <c r="AC51"/>
      <c r="AD51"/>
      <c r="AE51"/>
      <c r="AF51"/>
      <c r="AG51"/>
      <c r="AH51"/>
      <c r="AI51"/>
      <c r="AJ51"/>
      <c r="AK51"/>
      <c r="AL51"/>
    </row>
    <row r="52" spans="2:38" ht="22.5" x14ac:dyDescent="0.2">
      <c r="B52" s="192" t="s">
        <v>2205</v>
      </c>
      <c r="C52" s="1366" t="str">
        <f>_xlfn.XLOOKUP(D52,MOBILIÁRIO!C:C,MOBILIÁRIO!B:B)</f>
        <v>4º PAVIMENTO - LAZER/GARAGENS</v>
      </c>
      <c r="D52" s="1366" t="str">
        <v>Área externa Piscina coberta - Lazer/garagem</v>
      </c>
      <c r="E52" s="1367">
        <f>_xlfn.XLOOKUP(D52,MOBILIÁRIO!C:C,MOBILIÁRIO!F:F)</f>
        <v>33.5</v>
      </c>
      <c r="I52" s="197" t="s">
        <v>479</v>
      </c>
      <c r="J52"/>
      <c r="K52"/>
      <c r="L52"/>
      <c r="M52"/>
      <c r="N52"/>
      <c r="O52"/>
      <c r="P52"/>
      <c r="Q52"/>
      <c r="R52"/>
      <c r="S52"/>
      <c r="T52"/>
      <c r="U52"/>
      <c r="V52"/>
      <c r="W52"/>
      <c r="X52"/>
      <c r="Y52"/>
      <c r="Z52"/>
      <c r="AA52"/>
      <c r="AB52"/>
      <c r="AC52"/>
      <c r="AD52"/>
      <c r="AE52"/>
      <c r="AF52"/>
      <c r="AG52"/>
      <c r="AH52"/>
      <c r="AI52"/>
      <c r="AJ52"/>
      <c r="AK52"/>
      <c r="AL52"/>
    </row>
    <row r="53" spans="2:38" ht="22.5" x14ac:dyDescent="0.2">
      <c r="B53" s="192" t="s">
        <v>2205</v>
      </c>
      <c r="C53" s="1366" t="str">
        <f>_xlfn.XLOOKUP(D53,MOBILIÁRIO!C:C,MOBILIÁRIO!B:B)</f>
        <v>4º PAVIMENTO - LAZER/GARAGENS</v>
      </c>
      <c r="D53" s="1366" t="str">
        <v>Terraço descoberto - Lazer/garagem</v>
      </c>
      <c r="E53" s="1367">
        <f>_xlfn.XLOOKUP(D53,MOBILIÁRIO!C:C,MOBILIÁRIO!F:F)</f>
        <v>7.6</v>
      </c>
      <c r="I53" s="198" t="s">
        <v>2742</v>
      </c>
      <c r="J53"/>
      <c r="K53"/>
      <c r="L53"/>
      <c r="M53"/>
      <c r="N53"/>
      <c r="O53"/>
      <c r="P53"/>
      <c r="Q53"/>
      <c r="R53"/>
      <c r="S53"/>
      <c r="T53"/>
      <c r="U53"/>
      <c r="V53"/>
      <c r="W53"/>
      <c r="X53"/>
      <c r="Y53"/>
      <c r="Z53"/>
      <c r="AA53"/>
      <c r="AB53"/>
      <c r="AC53"/>
      <c r="AD53"/>
      <c r="AE53"/>
      <c r="AF53"/>
      <c r="AG53"/>
      <c r="AH53"/>
      <c r="AI53"/>
      <c r="AJ53"/>
      <c r="AK53"/>
      <c r="AL53"/>
    </row>
    <row r="54" spans="2:38" ht="22.5" x14ac:dyDescent="0.2">
      <c r="B54" s="192" t="s">
        <v>2205</v>
      </c>
      <c r="C54" s="1366" t="str">
        <f>_xlfn.XLOOKUP(D54,MOBILIÁRIO!C:C,MOBILIÁRIO!B:B)</f>
        <v>4º PAVIMENTO - LAZER/GARAGENS</v>
      </c>
      <c r="D54" s="1366" t="str">
        <v>Terraço - Lazer/garagem</v>
      </c>
      <c r="E54" s="1367">
        <f>_xlfn.XLOOKUP(D54,MOBILIÁRIO!C:C,MOBILIÁRIO!F:F)</f>
        <v>43.5</v>
      </c>
      <c r="I54" s="197" t="s">
        <v>576</v>
      </c>
      <c r="J54"/>
      <c r="K54"/>
      <c r="L54"/>
      <c r="M54"/>
      <c r="N54"/>
      <c r="O54"/>
      <c r="P54"/>
      <c r="Q54"/>
      <c r="R54"/>
      <c r="S54"/>
      <c r="T54"/>
      <c r="U54"/>
      <c r="V54"/>
      <c r="W54"/>
      <c r="X54"/>
      <c r="Y54"/>
      <c r="Z54"/>
      <c r="AA54"/>
      <c r="AB54"/>
      <c r="AC54"/>
      <c r="AD54"/>
      <c r="AE54"/>
      <c r="AF54"/>
      <c r="AG54"/>
      <c r="AH54"/>
      <c r="AI54"/>
      <c r="AJ54"/>
      <c r="AK54"/>
      <c r="AL54"/>
    </row>
    <row r="55" spans="2:38" ht="22.5" x14ac:dyDescent="0.2">
      <c r="B55" s="192" t="s">
        <v>2205</v>
      </c>
      <c r="C55" s="1366" t="str">
        <f>_xlfn.XLOOKUP(D55,MOBILIÁRIO!C:C,MOBILIÁRIO!B:B)</f>
        <v>4º PAVIMENTO - LAZER/GARAGENS</v>
      </c>
      <c r="D55" s="1366" t="str">
        <v>Estar do fogo</v>
      </c>
      <c r="E55" s="1367">
        <f>_xlfn.XLOOKUP(D55,MOBILIÁRIO!C:C,MOBILIÁRIO!F:F)</f>
        <v>4.43</v>
      </c>
      <c r="I55" s="198" t="s">
        <v>26</v>
      </c>
      <c r="J55"/>
      <c r="K55"/>
      <c r="L55"/>
      <c r="M55"/>
      <c r="N55"/>
      <c r="O55"/>
      <c r="P55"/>
      <c r="Q55"/>
      <c r="R55"/>
      <c r="S55"/>
      <c r="T55"/>
      <c r="U55"/>
      <c r="V55"/>
      <c r="W55"/>
      <c r="X55"/>
      <c r="Y55"/>
      <c r="Z55"/>
      <c r="AA55"/>
      <c r="AB55"/>
      <c r="AC55"/>
      <c r="AD55"/>
      <c r="AE55"/>
      <c r="AF55"/>
      <c r="AG55"/>
      <c r="AH55"/>
      <c r="AI55"/>
      <c r="AJ55"/>
      <c r="AK55"/>
      <c r="AL55"/>
    </row>
    <row r="56" spans="2:38" ht="22.5" x14ac:dyDescent="0.2">
      <c r="B56" s="192" t="s">
        <v>2205</v>
      </c>
      <c r="C56" s="1366" t="str">
        <f>_xlfn.XLOOKUP(D56,MOBILIÁRIO!C:C,MOBILIÁRIO!B:B)</f>
        <v>4º PAVIMENTO - LAZER/GARAGENS</v>
      </c>
      <c r="D56" s="1366" t="str">
        <v>Sauna</v>
      </c>
      <c r="E56" s="1367">
        <f>_xlfn.XLOOKUP(D56,MOBILIÁRIO!C:C,MOBILIÁRIO!F:F)</f>
        <v>6.3</v>
      </c>
      <c r="I56" s="197" t="s">
        <v>52</v>
      </c>
      <c r="J56"/>
      <c r="K56"/>
      <c r="L56"/>
      <c r="M56"/>
      <c r="N56"/>
      <c r="O56"/>
      <c r="P56"/>
      <c r="Q56"/>
      <c r="R56"/>
      <c r="S56"/>
      <c r="T56"/>
      <c r="U56"/>
      <c r="V56"/>
      <c r="W56"/>
      <c r="X56"/>
      <c r="Y56"/>
      <c r="Z56"/>
      <c r="AA56"/>
      <c r="AB56"/>
      <c r="AC56"/>
      <c r="AD56"/>
      <c r="AE56"/>
      <c r="AF56"/>
      <c r="AG56"/>
      <c r="AH56"/>
      <c r="AI56"/>
      <c r="AJ56"/>
      <c r="AK56"/>
      <c r="AL56"/>
    </row>
    <row r="57" spans="2:38" ht="22.5" x14ac:dyDescent="0.2">
      <c r="B57" s="192" t="s">
        <v>2205</v>
      </c>
      <c r="C57" s="1366" t="str">
        <f>_xlfn.XLOOKUP(D57,MOBILIÁRIO!C:C,MOBILIÁRIO!B:B)</f>
        <v>4º PAVIMENTO - LAZER/GARAGENS</v>
      </c>
      <c r="D57" s="1366" t="str">
        <v>Sala de Apoio Sauna</v>
      </c>
      <c r="E57" s="1367">
        <f>_xlfn.XLOOKUP(D57,MOBILIÁRIO!C:C,MOBILIÁRIO!F:F)</f>
        <v>9.06</v>
      </c>
      <c r="I57" s="198" t="s">
        <v>53</v>
      </c>
      <c r="J57"/>
      <c r="K57"/>
      <c r="L57"/>
      <c r="M57"/>
      <c r="N57"/>
      <c r="O57"/>
      <c r="P57"/>
      <c r="Q57"/>
      <c r="R57"/>
      <c r="S57"/>
      <c r="T57"/>
      <c r="U57"/>
      <c r="V57"/>
      <c r="W57"/>
      <c r="X57"/>
      <c r="Y57"/>
      <c r="Z57"/>
      <c r="AA57"/>
      <c r="AB57"/>
      <c r="AC57"/>
      <c r="AD57"/>
      <c r="AE57"/>
      <c r="AF57"/>
      <c r="AG57"/>
      <c r="AH57"/>
      <c r="AI57"/>
      <c r="AJ57"/>
      <c r="AK57"/>
      <c r="AL57"/>
    </row>
    <row r="58" spans="2:38" ht="22.5" x14ac:dyDescent="0.2">
      <c r="B58" s="192" t="s">
        <v>2205</v>
      </c>
      <c r="C58" s="1366" t="str">
        <f>_xlfn.XLOOKUP(D58,MOBILIÁRIO!C:C,MOBILIÁRIO!B:B)</f>
        <v>4º PAVIMENTO - LAZER/GARAGENS</v>
      </c>
      <c r="D58" s="1366" t="str">
        <v>Antecâmara - Lazer/garagem</v>
      </c>
      <c r="E58" s="1367">
        <f>_xlfn.XLOOKUP(D58,MOBILIÁRIO!C:C,MOBILIÁRIO!F:F)</f>
        <v>6.72</v>
      </c>
      <c r="I58" s="197" t="s">
        <v>33</v>
      </c>
      <c r="J58"/>
      <c r="K58"/>
      <c r="L58"/>
      <c r="M58"/>
      <c r="N58"/>
      <c r="O58"/>
      <c r="P58"/>
      <c r="Q58"/>
      <c r="R58"/>
      <c r="S58"/>
      <c r="T58"/>
      <c r="U58"/>
      <c r="V58"/>
      <c r="W58"/>
      <c r="X58"/>
      <c r="Y58"/>
      <c r="Z58"/>
      <c r="AA58"/>
      <c r="AB58"/>
      <c r="AC58"/>
      <c r="AD58"/>
      <c r="AE58"/>
      <c r="AF58"/>
      <c r="AG58"/>
      <c r="AH58"/>
      <c r="AI58"/>
      <c r="AJ58"/>
      <c r="AK58"/>
      <c r="AL58"/>
    </row>
    <row r="59" spans="2:38" x14ac:dyDescent="0.2">
      <c r="B59" s="192" t="s">
        <v>2205</v>
      </c>
      <c r="C59" s="1366" t="str">
        <f>_xlfn.XLOOKUP(D59,MOBILIÁRIO!C:C,MOBILIÁRIO!B:B)</f>
        <v>5º PAVIMENTO - LAZER</v>
      </c>
      <c r="D59" s="1366" t="str">
        <v>Circulação - Lazer</v>
      </c>
      <c r="E59" s="1367">
        <f>_xlfn.XLOOKUP(D59,MOBILIÁRIO!C:C,MOBILIÁRIO!F:F)</f>
        <v>70.95</v>
      </c>
      <c r="I59" s="198" t="s">
        <v>2530</v>
      </c>
      <c r="J59"/>
      <c r="K59"/>
      <c r="L59"/>
      <c r="M59"/>
      <c r="N59"/>
      <c r="O59"/>
      <c r="P59"/>
      <c r="Q59"/>
      <c r="R59"/>
      <c r="S59"/>
      <c r="T59"/>
      <c r="U59"/>
      <c r="V59"/>
      <c r="W59"/>
      <c r="X59"/>
      <c r="Y59"/>
      <c r="Z59"/>
      <c r="AA59"/>
      <c r="AB59"/>
      <c r="AC59"/>
      <c r="AD59"/>
      <c r="AE59"/>
      <c r="AF59"/>
      <c r="AG59"/>
      <c r="AH59"/>
      <c r="AI59"/>
      <c r="AJ59"/>
      <c r="AK59"/>
      <c r="AL59"/>
    </row>
    <row r="60" spans="2:38" x14ac:dyDescent="0.2">
      <c r="B60" s="192" t="s">
        <v>2205</v>
      </c>
      <c r="C60" s="1366" t="str">
        <f>_xlfn.XLOOKUP(D60,MOBILIÁRIO!C:C,MOBILIÁRIO!B:B)</f>
        <v>5º PAVIMENTO - LAZER</v>
      </c>
      <c r="D60" s="1366" t="str">
        <v>Lavabo PNE - lazer</v>
      </c>
      <c r="E60" s="1367">
        <f>_xlfn.XLOOKUP(D60,MOBILIÁRIO!C:C,MOBILIÁRIO!F:F)</f>
        <v>3.23</v>
      </c>
      <c r="I60" s="197" t="s">
        <v>31</v>
      </c>
      <c r="J60"/>
      <c r="K60"/>
      <c r="L60"/>
      <c r="M60"/>
      <c r="N60"/>
      <c r="O60"/>
      <c r="P60"/>
      <c r="Q60"/>
      <c r="R60"/>
      <c r="S60"/>
      <c r="T60"/>
      <c r="U60"/>
      <c r="V60"/>
      <c r="W60"/>
      <c r="X60"/>
      <c r="Y60"/>
      <c r="Z60"/>
      <c r="AA60"/>
      <c r="AB60"/>
      <c r="AC60"/>
      <c r="AD60"/>
      <c r="AE60"/>
      <c r="AF60"/>
      <c r="AG60"/>
      <c r="AH60"/>
      <c r="AI60"/>
      <c r="AJ60"/>
      <c r="AK60"/>
      <c r="AL60"/>
    </row>
    <row r="61" spans="2:38" x14ac:dyDescent="0.2">
      <c r="B61" s="192" t="s">
        <v>2205</v>
      </c>
      <c r="C61" s="1366" t="str">
        <f>_xlfn.XLOOKUP(D61,MOBILIÁRIO!C:C,MOBILIÁRIO!B:B)</f>
        <v>5º PAVIMENTO - LAZER</v>
      </c>
      <c r="D61" s="1366" t="str">
        <v>Lavabo - lazer</v>
      </c>
      <c r="E61" s="1367">
        <f>_xlfn.XLOOKUP(D61,MOBILIÁRIO!C:C,MOBILIÁRIO!F:F)</f>
        <v>2.41</v>
      </c>
      <c r="I61" s="198" t="s">
        <v>3154</v>
      </c>
      <c r="J61"/>
      <c r="K61"/>
      <c r="L61"/>
      <c r="M61"/>
      <c r="N61"/>
      <c r="O61"/>
      <c r="P61"/>
      <c r="Q61"/>
      <c r="R61"/>
      <c r="S61"/>
      <c r="T61"/>
      <c r="U61"/>
      <c r="V61"/>
      <c r="W61"/>
      <c r="X61"/>
      <c r="Y61"/>
      <c r="Z61"/>
      <c r="AA61"/>
      <c r="AB61"/>
      <c r="AC61"/>
      <c r="AD61"/>
      <c r="AE61"/>
      <c r="AF61"/>
      <c r="AG61"/>
      <c r="AH61"/>
      <c r="AI61"/>
      <c r="AJ61"/>
      <c r="AK61"/>
      <c r="AL61"/>
    </row>
    <row r="62" spans="2:38" x14ac:dyDescent="0.2">
      <c r="B62" s="192" t="s">
        <v>2205</v>
      </c>
      <c r="C62" s="1366" t="str">
        <f>_xlfn.XLOOKUP(D62,MOBILIÁRIO!C:C,MOBILIÁRIO!B:B)</f>
        <v>5º PAVIMENTO - LAZER</v>
      </c>
      <c r="D62" s="1366" t="str">
        <v>CPD - lazer</v>
      </c>
      <c r="E62" s="1367">
        <f>_xlfn.XLOOKUP(D62,MOBILIÁRIO!C:C,MOBILIÁRIO!F:F)</f>
        <v>5.25</v>
      </c>
      <c r="I62" s="199" t="s">
        <v>56</v>
      </c>
      <c r="J62"/>
      <c r="K62"/>
      <c r="L62"/>
      <c r="M62"/>
      <c r="N62"/>
      <c r="O62"/>
      <c r="P62"/>
      <c r="Q62"/>
      <c r="R62"/>
      <c r="S62"/>
      <c r="T62"/>
      <c r="U62"/>
      <c r="V62"/>
      <c r="W62"/>
      <c r="X62"/>
      <c r="Y62"/>
      <c r="Z62"/>
      <c r="AA62"/>
      <c r="AB62"/>
      <c r="AC62"/>
      <c r="AD62"/>
      <c r="AE62"/>
      <c r="AF62"/>
      <c r="AG62"/>
      <c r="AH62"/>
      <c r="AI62"/>
      <c r="AJ62"/>
      <c r="AK62"/>
      <c r="AL62"/>
    </row>
    <row r="63" spans="2:38" ht="13.5" thickBot="1" x14ac:dyDescent="0.25">
      <c r="B63" s="192" t="s">
        <v>2205</v>
      </c>
      <c r="C63" s="1366" t="str">
        <f>_xlfn.XLOOKUP(D63,MOBILIÁRIO!C:C,MOBILIÁRIO!B:B)</f>
        <v>5º PAVIMENTO - LAZER</v>
      </c>
      <c r="D63" s="1366" t="str">
        <v>Laje Verde</v>
      </c>
      <c r="E63" s="1367">
        <f>_xlfn.XLOOKUP(D63,MOBILIÁRIO!C:C,MOBILIÁRIO!F:F)</f>
        <v>269.95</v>
      </c>
      <c r="I63" s="204" t="s">
        <v>57</v>
      </c>
      <c r="J63"/>
      <c r="K63"/>
      <c r="L63"/>
      <c r="M63"/>
      <c r="N63"/>
      <c r="O63"/>
      <c r="P63"/>
      <c r="Q63"/>
      <c r="R63"/>
      <c r="S63"/>
      <c r="T63"/>
      <c r="U63"/>
      <c r="V63"/>
      <c r="W63"/>
      <c r="X63"/>
      <c r="Y63"/>
      <c r="Z63"/>
      <c r="AA63"/>
      <c r="AB63"/>
      <c r="AC63"/>
      <c r="AD63"/>
      <c r="AE63"/>
      <c r="AF63"/>
      <c r="AG63"/>
      <c r="AH63"/>
      <c r="AI63"/>
      <c r="AJ63"/>
      <c r="AK63"/>
      <c r="AL63"/>
    </row>
    <row r="64" spans="2:38" ht="13.5" thickBot="1" x14ac:dyDescent="0.25">
      <c r="B64" s="192" t="s">
        <v>2205</v>
      </c>
      <c r="C64" s="1366" t="str">
        <f>_xlfn.XLOOKUP(D64,MOBILIÁRIO!C:C,MOBILIÁRIO!B:B)</f>
        <v>5º PAVIMENTO - LAZER</v>
      </c>
      <c r="D64" s="1366" t="str">
        <v>Brinquedoteca</v>
      </c>
      <c r="E64" s="1367">
        <f>_xlfn.XLOOKUP(D64,MOBILIÁRIO!C:C,MOBILIÁRIO!F:F)</f>
        <v>16.32</v>
      </c>
      <c r="J64"/>
      <c r="K64"/>
      <c r="L64"/>
      <c r="M64"/>
      <c r="N64"/>
      <c r="O64"/>
      <c r="P64"/>
      <c r="Q64"/>
      <c r="R64"/>
      <c r="S64"/>
      <c r="T64"/>
      <c r="U64"/>
      <c r="V64"/>
      <c r="W64"/>
      <c r="X64"/>
      <c r="Y64"/>
      <c r="Z64"/>
      <c r="AA64"/>
      <c r="AB64"/>
      <c r="AC64"/>
      <c r="AD64"/>
      <c r="AE64"/>
      <c r="AF64"/>
      <c r="AG64"/>
      <c r="AH64"/>
      <c r="AI64"/>
      <c r="AJ64"/>
      <c r="AK64"/>
      <c r="AL64"/>
    </row>
    <row r="65" spans="2:38" x14ac:dyDescent="0.2">
      <c r="B65" s="192" t="s">
        <v>2205</v>
      </c>
      <c r="C65" s="1366" t="str">
        <f>_xlfn.XLOOKUP(D65,MOBILIÁRIO!C:C,MOBILIÁRIO!B:B)</f>
        <v>5º PAVIMENTO - LAZER</v>
      </c>
      <c r="D65" s="1366" t="str">
        <v>Game Center</v>
      </c>
      <c r="E65" s="1367">
        <f>_xlfn.XLOOKUP(D65,MOBILIÁRIO!C:C,MOBILIÁRIO!F:F)</f>
        <v>13.09</v>
      </c>
      <c r="I65" s="451" t="s">
        <v>5488</v>
      </c>
      <c r="J65"/>
      <c r="K65"/>
      <c r="L65"/>
      <c r="M65"/>
      <c r="N65"/>
      <c r="O65"/>
      <c r="P65"/>
      <c r="Q65"/>
      <c r="R65"/>
      <c r="S65"/>
      <c r="T65"/>
      <c r="U65"/>
      <c r="V65"/>
      <c r="W65"/>
      <c r="X65"/>
      <c r="Y65"/>
      <c r="Z65"/>
      <c r="AA65"/>
      <c r="AB65"/>
      <c r="AC65"/>
      <c r="AD65"/>
      <c r="AE65"/>
      <c r="AF65"/>
      <c r="AG65"/>
      <c r="AH65"/>
      <c r="AI65"/>
      <c r="AJ65"/>
      <c r="AK65"/>
      <c r="AL65"/>
    </row>
    <row r="66" spans="2:38" x14ac:dyDescent="0.2">
      <c r="B66" s="192" t="s">
        <v>2205</v>
      </c>
      <c r="C66" s="1366" t="str">
        <f>_xlfn.XLOOKUP(D66,MOBILIÁRIO!C:C,MOBILIÁRIO!B:B)</f>
        <v>5º PAVIMENTO - LAZER</v>
      </c>
      <c r="D66" s="1366" t="str">
        <v>Sala de Festas</v>
      </c>
      <c r="E66" s="1367">
        <f>_xlfn.XLOOKUP(D66,MOBILIÁRIO!C:C,MOBILIÁRIO!F:F)</f>
        <v>93.46</v>
      </c>
      <c r="I66" s="1371" t="s">
        <v>5489</v>
      </c>
      <c r="J66"/>
      <c r="K66"/>
      <c r="L66"/>
      <c r="M66"/>
      <c r="N66"/>
      <c r="O66"/>
      <c r="P66"/>
      <c r="Q66"/>
      <c r="R66"/>
      <c r="S66"/>
      <c r="T66"/>
      <c r="U66"/>
      <c r="V66"/>
      <c r="W66"/>
      <c r="X66"/>
      <c r="Y66"/>
      <c r="Z66"/>
      <c r="AA66"/>
      <c r="AB66"/>
      <c r="AC66"/>
      <c r="AD66"/>
      <c r="AE66"/>
      <c r="AF66"/>
      <c r="AG66"/>
      <c r="AH66"/>
      <c r="AI66"/>
      <c r="AJ66"/>
      <c r="AK66"/>
      <c r="AL66"/>
    </row>
    <row r="67" spans="2:38" x14ac:dyDescent="0.2">
      <c r="B67" s="192" t="s">
        <v>2205</v>
      </c>
      <c r="C67" s="1366" t="str">
        <f>_xlfn.XLOOKUP(D67,MOBILIÁRIO!C:C,MOBILIÁRIO!B:B)</f>
        <v>5º PAVIMENTO - LAZER</v>
      </c>
      <c r="D67" s="1366" t="str">
        <v>Terraço</v>
      </c>
      <c r="E67" s="1367">
        <f>_xlfn.XLOOKUP(D67,MOBILIÁRIO!C:C,MOBILIÁRIO!F:F)</f>
        <v>88.11</v>
      </c>
      <c r="I67" s="1371" t="s">
        <v>5492</v>
      </c>
      <c r="J67"/>
      <c r="K67"/>
      <c r="L67"/>
      <c r="M67"/>
      <c r="N67"/>
      <c r="O67"/>
      <c r="P67"/>
      <c r="Q67"/>
      <c r="R67"/>
      <c r="S67"/>
      <c r="T67"/>
      <c r="U67"/>
      <c r="V67"/>
      <c r="W67"/>
      <c r="X67"/>
      <c r="Y67"/>
      <c r="Z67"/>
      <c r="AA67"/>
      <c r="AB67"/>
      <c r="AC67"/>
      <c r="AD67"/>
      <c r="AE67"/>
      <c r="AF67"/>
      <c r="AG67"/>
      <c r="AH67"/>
      <c r="AI67"/>
      <c r="AJ67"/>
      <c r="AK67"/>
      <c r="AL67"/>
    </row>
    <row r="68" spans="2:38" x14ac:dyDescent="0.2">
      <c r="B68" s="192" t="s">
        <v>2205</v>
      </c>
      <c r="C68" s="1366" t="str">
        <f>_xlfn.XLOOKUP(D68,MOBILIÁRIO!C:C,MOBILIÁRIO!B:B)</f>
        <v>5º PAVIMENTO - LAZER</v>
      </c>
      <c r="D68" s="1366" t="str">
        <v>Wine Bar</v>
      </c>
      <c r="E68" s="1367">
        <f>_xlfn.XLOOKUP(D68,MOBILIÁRIO!C:C,MOBILIÁRIO!F:F)</f>
        <v>29.79</v>
      </c>
      <c r="I68" s="1371" t="s">
        <v>5491</v>
      </c>
      <c r="J68"/>
      <c r="K68"/>
      <c r="L68"/>
      <c r="M68"/>
      <c r="N68"/>
      <c r="O68"/>
      <c r="P68"/>
      <c r="Q68"/>
      <c r="R68"/>
      <c r="S68"/>
      <c r="T68"/>
      <c r="U68"/>
      <c r="V68"/>
      <c r="W68"/>
      <c r="X68"/>
      <c r="Y68"/>
      <c r="Z68"/>
      <c r="AA68"/>
      <c r="AB68"/>
      <c r="AC68"/>
      <c r="AD68"/>
      <c r="AE68"/>
      <c r="AF68"/>
      <c r="AG68"/>
      <c r="AH68"/>
      <c r="AI68"/>
      <c r="AJ68"/>
      <c r="AK68"/>
      <c r="AL68"/>
    </row>
    <row r="69" spans="2:38" x14ac:dyDescent="0.2">
      <c r="B69" s="192" t="s">
        <v>2205</v>
      </c>
      <c r="C69" s="1366" t="str">
        <f>_xlfn.XLOOKUP(D69,MOBILIÁRIO!C:C,MOBILIÁRIO!B:B)</f>
        <v>5º PAVIMENTO - LAZER</v>
      </c>
      <c r="D69" s="1366" t="str">
        <v>Academia</v>
      </c>
      <c r="E69" s="1367">
        <f>_xlfn.XLOOKUP(D69,MOBILIÁRIO!C:C,MOBILIÁRIO!F:F)</f>
        <v>63.68</v>
      </c>
      <c r="I69" s="1371" t="s">
        <v>5490</v>
      </c>
      <c r="J69"/>
      <c r="K69"/>
      <c r="L69"/>
      <c r="M69"/>
      <c r="N69"/>
      <c r="O69"/>
      <c r="P69"/>
      <c r="Q69"/>
      <c r="R69"/>
      <c r="S69"/>
      <c r="T69"/>
      <c r="U69"/>
      <c r="V69"/>
      <c r="W69"/>
      <c r="X69"/>
      <c r="Y69"/>
      <c r="Z69"/>
      <c r="AA69"/>
      <c r="AB69"/>
      <c r="AC69"/>
      <c r="AD69"/>
      <c r="AE69"/>
      <c r="AF69"/>
      <c r="AG69"/>
      <c r="AH69"/>
      <c r="AI69"/>
      <c r="AJ69"/>
      <c r="AK69"/>
      <c r="AL69"/>
    </row>
    <row r="70" spans="2:38" x14ac:dyDescent="0.2">
      <c r="B70" s="192" t="s">
        <v>2205</v>
      </c>
      <c r="C70" s="1366" t="str">
        <f>_xlfn.XLOOKUP(D70,MOBILIÁRIO!C:C,MOBILIÁRIO!B:B)</f>
        <v>5º PAVIMENTO - LAZER</v>
      </c>
      <c r="D70" s="1366" t="str">
        <v>Espaço Crossfit</v>
      </c>
      <c r="E70" s="1367">
        <f>_xlfn.XLOOKUP(D70,MOBILIÁRIO!C:C,MOBILIÁRIO!F:F)</f>
        <v>34.409999999999997</v>
      </c>
      <c r="I70" s="1371" t="s">
        <v>5493</v>
      </c>
      <c r="J70"/>
      <c r="K70"/>
      <c r="L70"/>
      <c r="M70"/>
      <c r="N70"/>
      <c r="O70"/>
      <c r="P70"/>
      <c r="Q70"/>
      <c r="R70"/>
      <c r="S70"/>
      <c r="T70"/>
      <c r="U70"/>
      <c r="V70"/>
      <c r="W70"/>
      <c r="X70"/>
      <c r="Y70"/>
      <c r="Z70"/>
      <c r="AA70"/>
      <c r="AB70"/>
      <c r="AC70"/>
      <c r="AD70"/>
      <c r="AE70"/>
      <c r="AF70"/>
      <c r="AG70"/>
      <c r="AH70"/>
      <c r="AI70"/>
      <c r="AJ70"/>
      <c r="AK70"/>
      <c r="AL70"/>
    </row>
    <row r="71" spans="2:38" x14ac:dyDescent="0.2">
      <c r="B71" s="192" t="s">
        <v>2205</v>
      </c>
      <c r="C71" s="1366" t="str">
        <f>_xlfn.XLOOKUP(D71,MOBILIÁRIO!C:C,MOBILIÁRIO!B:B)</f>
        <v>5º PAVIMENTO - LAZER</v>
      </c>
      <c r="D71" s="1366" t="str">
        <v>Antecâmara - Lazer</v>
      </c>
      <c r="E71" s="1367">
        <f>_xlfn.XLOOKUP(D71,MOBILIÁRIO!C:C,MOBILIÁRIO!F:F)</f>
        <v>4.1500000000000004</v>
      </c>
      <c r="I71" s="1371" t="s">
        <v>5494</v>
      </c>
      <c r="J71"/>
      <c r="K71"/>
      <c r="L71"/>
      <c r="M71"/>
      <c r="N71"/>
      <c r="O71"/>
      <c r="P71"/>
      <c r="Q71"/>
      <c r="R71"/>
      <c r="S71"/>
      <c r="T71"/>
      <c r="U71"/>
      <c r="V71"/>
      <c r="W71"/>
      <c r="X71"/>
      <c r="Y71"/>
      <c r="Z71"/>
      <c r="AA71"/>
      <c r="AB71"/>
      <c r="AC71"/>
      <c r="AD71"/>
      <c r="AE71"/>
      <c r="AF71"/>
      <c r="AG71"/>
      <c r="AH71"/>
      <c r="AI71"/>
      <c r="AJ71"/>
      <c r="AK71"/>
      <c r="AL71"/>
    </row>
    <row r="72" spans="2:38" ht="23.25" thickBot="1" x14ac:dyDescent="0.25">
      <c r="B72" s="200" t="s">
        <v>2205</v>
      </c>
      <c r="C72" s="1368" t="str">
        <f>_xlfn.XLOOKUP(D72,MOBILIÁRIO!C:C,MOBILIÁRIO!B:B)</f>
        <v>6º AO 38º PAVIMENTO - PAVIMENTOS (X33)</v>
      </c>
      <c r="D72" s="1368" t="str">
        <v>Antecâmara - Tipos (x33)</v>
      </c>
      <c r="E72" s="1369">
        <f>_xlfn.XLOOKUP(D72,MOBILIÁRIO!C:C,MOBILIÁRIO!F:F)</f>
        <v>221.76</v>
      </c>
      <c r="I72" s="1371" t="s">
        <v>5495</v>
      </c>
      <c r="J72"/>
      <c r="K72"/>
      <c r="L72"/>
      <c r="M72"/>
      <c r="N72"/>
      <c r="O72"/>
      <c r="P72"/>
      <c r="Q72"/>
      <c r="R72"/>
      <c r="S72"/>
      <c r="T72"/>
      <c r="U72"/>
      <c r="V72"/>
      <c r="W72"/>
      <c r="X72"/>
      <c r="Y72"/>
      <c r="Z72"/>
      <c r="AA72"/>
      <c r="AB72"/>
      <c r="AC72"/>
      <c r="AD72"/>
      <c r="AE72"/>
      <c r="AF72"/>
      <c r="AG72"/>
      <c r="AH72"/>
      <c r="AI72"/>
      <c r="AJ72"/>
      <c r="AK72"/>
      <c r="AL72"/>
    </row>
    <row r="73" spans="2:38" ht="13.5" thickBot="1" x14ac:dyDescent="0.25">
      <c r="B73" s="1373"/>
      <c r="C73" s="1374"/>
      <c r="D73" s="1374"/>
      <c r="E73" s="1375"/>
      <c r="I73" s="1372" t="s">
        <v>5496</v>
      </c>
      <c r="J73"/>
      <c r="K73"/>
      <c r="L73"/>
      <c r="M73"/>
      <c r="N73"/>
      <c r="O73"/>
      <c r="P73"/>
      <c r="Q73"/>
      <c r="R73"/>
      <c r="S73"/>
      <c r="T73"/>
      <c r="U73"/>
      <c r="V73"/>
      <c r="W73"/>
      <c r="X73"/>
      <c r="Y73"/>
      <c r="Z73"/>
      <c r="AA73"/>
      <c r="AB73"/>
      <c r="AC73"/>
      <c r="AD73"/>
      <c r="AE73"/>
      <c r="AF73"/>
      <c r="AG73"/>
      <c r="AH73"/>
      <c r="AI73"/>
      <c r="AJ73"/>
      <c r="AK73"/>
      <c r="AL73"/>
    </row>
    <row r="74" spans="2:38" x14ac:dyDescent="0.2">
      <c r="B74" s="1373"/>
      <c r="C74" s="1374"/>
      <c r="D74" s="1374"/>
      <c r="E74" s="1375"/>
      <c r="J74"/>
      <c r="K74"/>
      <c r="L74"/>
      <c r="M74"/>
      <c r="N74"/>
      <c r="O74"/>
      <c r="P74"/>
      <c r="Q74"/>
      <c r="R74"/>
      <c r="S74"/>
      <c r="T74"/>
      <c r="U74"/>
      <c r="V74"/>
      <c r="W74"/>
      <c r="X74"/>
      <c r="Y74"/>
      <c r="Z74"/>
      <c r="AA74"/>
      <c r="AB74"/>
      <c r="AC74"/>
      <c r="AD74"/>
      <c r="AE74"/>
      <c r="AF74"/>
      <c r="AG74"/>
      <c r="AH74"/>
      <c r="AI74"/>
      <c r="AJ74"/>
      <c r="AK74"/>
      <c r="AL74"/>
    </row>
    <row r="75" spans="2:38" ht="13.5" thickBot="1" x14ac:dyDescent="0.25">
      <c r="J75"/>
      <c r="K75"/>
      <c r="L75"/>
      <c r="M75"/>
      <c r="N75"/>
      <c r="O75"/>
      <c r="P75"/>
      <c r="Q75"/>
      <c r="R75"/>
      <c r="S75"/>
      <c r="T75"/>
      <c r="U75"/>
      <c r="V75"/>
      <c r="W75"/>
      <c r="X75"/>
      <c r="Y75"/>
      <c r="Z75"/>
      <c r="AA75"/>
      <c r="AB75"/>
      <c r="AC75"/>
      <c r="AD75"/>
      <c r="AE75"/>
      <c r="AF75"/>
      <c r="AG75"/>
      <c r="AH75"/>
      <c r="AI75"/>
      <c r="AJ75"/>
      <c r="AK75"/>
      <c r="AL75"/>
    </row>
    <row r="76" spans="2:38" ht="22.5" x14ac:dyDescent="0.2">
      <c r="B76" s="451" t="s">
        <v>2202</v>
      </c>
      <c r="C76" s="452" t="s">
        <v>2420</v>
      </c>
      <c r="D76" s="452" t="s">
        <v>2105</v>
      </c>
      <c r="E76" s="452" t="s">
        <v>62</v>
      </c>
      <c r="F76" s="452" t="s">
        <v>2421</v>
      </c>
      <c r="G76" s="453" t="s">
        <v>2422</v>
      </c>
      <c r="I76" s="415" t="s">
        <v>1219</v>
      </c>
      <c r="J76"/>
      <c r="K76"/>
      <c r="L76"/>
      <c r="M76"/>
      <c r="N76"/>
      <c r="O76"/>
      <c r="P76"/>
      <c r="Q76"/>
      <c r="R76"/>
      <c r="S76"/>
      <c r="T76"/>
      <c r="U76"/>
      <c r="V76"/>
      <c r="W76"/>
      <c r="X76"/>
      <c r="Y76"/>
      <c r="Z76"/>
      <c r="AA76"/>
      <c r="AB76"/>
      <c r="AC76"/>
      <c r="AD76"/>
      <c r="AE76"/>
      <c r="AF76"/>
      <c r="AG76"/>
      <c r="AH76"/>
      <c r="AI76"/>
      <c r="AJ76"/>
      <c r="AK76"/>
      <c r="AL76"/>
    </row>
    <row r="77" spans="2:38" x14ac:dyDescent="0.2">
      <c r="B77" s="444" t="s">
        <v>2226</v>
      </c>
      <c r="C77" s="445" t="s">
        <v>2423</v>
      </c>
      <c r="D77" s="446">
        <v>102.67</v>
      </c>
      <c r="E77" s="446">
        <v>9</v>
      </c>
      <c r="F77" s="446">
        <v>18</v>
      </c>
      <c r="G77" s="447">
        <f t="shared" ref="G77:G82" si="0">E77</f>
        <v>9</v>
      </c>
      <c r="I77" s="191"/>
      <c r="J77"/>
      <c r="K77"/>
      <c r="L77"/>
      <c r="M77"/>
      <c r="N77"/>
      <c r="O77"/>
      <c r="P77"/>
      <c r="Q77"/>
      <c r="R77"/>
      <c r="S77"/>
      <c r="T77"/>
      <c r="U77"/>
      <c r="V77"/>
      <c r="W77"/>
      <c r="X77"/>
      <c r="Y77"/>
      <c r="Z77"/>
      <c r="AA77"/>
      <c r="AB77"/>
      <c r="AC77"/>
      <c r="AD77"/>
      <c r="AE77"/>
      <c r="AF77"/>
      <c r="AG77"/>
      <c r="AH77"/>
      <c r="AI77"/>
      <c r="AJ77"/>
      <c r="AK77"/>
      <c r="AL77"/>
    </row>
    <row r="78" spans="2:38" x14ac:dyDescent="0.2">
      <c r="B78" s="444" t="s">
        <v>2226</v>
      </c>
      <c r="C78" s="445" t="s">
        <v>2424</v>
      </c>
      <c r="D78" s="446">
        <v>108.38</v>
      </c>
      <c r="E78" s="446">
        <v>9</v>
      </c>
      <c r="F78" s="446">
        <v>18</v>
      </c>
      <c r="G78" s="447">
        <f t="shared" si="0"/>
        <v>9</v>
      </c>
      <c r="I78" s="191"/>
      <c r="J78"/>
      <c r="K78"/>
      <c r="L78"/>
      <c r="M78"/>
      <c r="N78"/>
      <c r="O78"/>
      <c r="P78"/>
      <c r="Q78"/>
      <c r="R78"/>
      <c r="S78"/>
      <c r="T78"/>
      <c r="U78"/>
      <c r="V78"/>
      <c r="W78"/>
      <c r="X78"/>
      <c r="Y78"/>
      <c r="Z78"/>
      <c r="AA78"/>
      <c r="AB78"/>
      <c r="AC78"/>
      <c r="AD78"/>
      <c r="AE78"/>
      <c r="AF78"/>
      <c r="AG78"/>
      <c r="AH78"/>
      <c r="AI78"/>
      <c r="AJ78"/>
      <c r="AK78"/>
      <c r="AL78"/>
    </row>
    <row r="79" spans="2:38" ht="25.5" x14ac:dyDescent="0.2">
      <c r="B79" s="444" t="s">
        <v>2226</v>
      </c>
      <c r="C79" s="445" t="s">
        <v>2425</v>
      </c>
      <c r="D79" s="446">
        <v>202.02</v>
      </c>
      <c r="E79" s="446">
        <v>9</v>
      </c>
      <c r="F79" s="446">
        <v>18</v>
      </c>
      <c r="G79" s="447">
        <f t="shared" si="0"/>
        <v>9</v>
      </c>
      <c r="I79" s="191"/>
      <c r="J79"/>
      <c r="K79"/>
      <c r="L79"/>
      <c r="M79"/>
      <c r="N79"/>
      <c r="O79"/>
      <c r="P79"/>
      <c r="Q79"/>
      <c r="R79"/>
      <c r="S79"/>
      <c r="T79"/>
      <c r="U79"/>
      <c r="V79"/>
      <c r="W79"/>
      <c r="X79"/>
      <c r="Y79"/>
      <c r="Z79"/>
      <c r="AA79"/>
      <c r="AB79"/>
      <c r="AC79"/>
      <c r="AD79"/>
      <c r="AE79"/>
      <c r="AF79"/>
      <c r="AG79"/>
      <c r="AH79"/>
      <c r="AI79"/>
      <c r="AJ79"/>
      <c r="AK79"/>
      <c r="AL79"/>
    </row>
    <row r="80" spans="2:38" x14ac:dyDescent="0.2">
      <c r="B80" s="444" t="s">
        <v>2226</v>
      </c>
      <c r="C80" s="445" t="s">
        <v>2426</v>
      </c>
      <c r="D80" s="446">
        <v>202.02</v>
      </c>
      <c r="E80" s="446">
        <v>12</v>
      </c>
      <c r="F80" s="446">
        <v>36</v>
      </c>
      <c r="G80" s="447">
        <f t="shared" si="0"/>
        <v>12</v>
      </c>
      <c r="I80" s="191"/>
      <c r="J80"/>
      <c r="K80"/>
      <c r="L80"/>
      <c r="M80"/>
      <c r="N80"/>
      <c r="O80"/>
      <c r="P80"/>
      <c r="Q80"/>
      <c r="R80"/>
      <c r="S80"/>
      <c r="T80"/>
      <c r="U80"/>
      <c r="V80"/>
      <c r="W80"/>
      <c r="X80"/>
      <c r="Y80"/>
      <c r="Z80"/>
      <c r="AA80"/>
      <c r="AB80"/>
      <c r="AC80"/>
      <c r="AD80"/>
      <c r="AE80"/>
      <c r="AF80"/>
      <c r="AG80"/>
      <c r="AH80"/>
      <c r="AI80"/>
      <c r="AJ80"/>
      <c r="AK80"/>
      <c r="AL80"/>
    </row>
    <row r="81" spans="2:38" x14ac:dyDescent="0.2">
      <c r="B81" s="444" t="s">
        <v>2226</v>
      </c>
      <c r="C81" s="445" t="s">
        <v>2427</v>
      </c>
      <c r="D81" s="446">
        <v>199.18</v>
      </c>
      <c r="E81" s="446">
        <v>1</v>
      </c>
      <c r="F81" s="446">
        <v>3</v>
      </c>
      <c r="G81" s="447">
        <f t="shared" si="0"/>
        <v>1</v>
      </c>
      <c r="I81" s="191"/>
      <c r="J81"/>
      <c r="K81"/>
      <c r="L81"/>
      <c r="M81"/>
      <c r="N81"/>
      <c r="O81"/>
      <c r="P81"/>
      <c r="Q81"/>
      <c r="R81"/>
      <c r="S81"/>
      <c r="T81"/>
      <c r="U81"/>
      <c r="V81"/>
      <c r="W81"/>
      <c r="X81"/>
      <c r="Y81"/>
      <c r="Z81"/>
      <c r="AA81"/>
      <c r="AB81"/>
      <c r="AC81"/>
      <c r="AD81"/>
      <c r="AE81"/>
      <c r="AF81"/>
      <c r="AG81"/>
      <c r="AH81"/>
      <c r="AI81"/>
      <c r="AJ81"/>
      <c r="AK81"/>
      <c r="AL81"/>
    </row>
    <row r="82" spans="2:38" ht="13.5" thickBot="1" x14ac:dyDescent="0.25">
      <c r="B82" s="454" t="s">
        <v>2226</v>
      </c>
      <c r="C82" s="455" t="s">
        <v>2428</v>
      </c>
      <c r="D82" s="456">
        <v>329.41</v>
      </c>
      <c r="E82" s="456">
        <v>1</v>
      </c>
      <c r="F82" s="456">
        <v>4</v>
      </c>
      <c r="G82" s="447">
        <f t="shared" si="0"/>
        <v>1</v>
      </c>
      <c r="I82" s="191"/>
      <c r="J82"/>
      <c r="K82"/>
      <c r="L82"/>
      <c r="M82"/>
      <c r="N82"/>
      <c r="O82"/>
      <c r="P82"/>
      <c r="Q82"/>
      <c r="R82"/>
      <c r="S82"/>
      <c r="T82"/>
      <c r="U82"/>
      <c r="V82"/>
      <c r="W82"/>
      <c r="X82"/>
      <c r="Y82"/>
      <c r="Z82"/>
      <c r="AA82"/>
      <c r="AB82"/>
      <c r="AC82"/>
      <c r="AD82"/>
      <c r="AE82"/>
      <c r="AF82"/>
      <c r="AG82"/>
      <c r="AH82"/>
      <c r="AI82"/>
      <c r="AJ82"/>
      <c r="AK82"/>
      <c r="AL82"/>
    </row>
    <row r="83" spans="2:38" x14ac:dyDescent="0.2">
      <c r="D83" s="452">
        <f>SUMPRODUCT(D77:E82)</f>
        <v>1184.68</v>
      </c>
      <c r="E83" s="452">
        <f>SUM(E77:E82)</f>
        <v>41</v>
      </c>
      <c r="F83" s="452">
        <f>SUM(F77:F82)</f>
        <v>97</v>
      </c>
      <c r="G83" s="452">
        <f>SUM(G77:G82)</f>
        <v>41</v>
      </c>
      <c r="I83" s="191"/>
      <c r="J83"/>
      <c r="K83"/>
      <c r="L83"/>
      <c r="M83"/>
      <c r="N83"/>
      <c r="O83"/>
      <c r="P83"/>
      <c r="Q83"/>
      <c r="R83"/>
      <c r="S83"/>
      <c r="T83"/>
      <c r="U83"/>
      <c r="V83"/>
      <c r="W83"/>
      <c r="X83"/>
      <c r="Y83"/>
      <c r="Z83"/>
      <c r="AA83"/>
      <c r="AB83"/>
      <c r="AC83"/>
      <c r="AD83"/>
      <c r="AE83"/>
      <c r="AF83"/>
      <c r="AG83"/>
      <c r="AH83"/>
      <c r="AI83"/>
      <c r="AJ83"/>
      <c r="AK83"/>
      <c r="AL83"/>
    </row>
    <row r="84" spans="2:38" x14ac:dyDescent="0.2">
      <c r="I84" s="191"/>
      <c r="J84"/>
      <c r="K84"/>
      <c r="L84"/>
      <c r="M84"/>
      <c r="N84"/>
      <c r="O84"/>
      <c r="P84"/>
      <c r="Q84"/>
      <c r="R84"/>
      <c r="S84"/>
      <c r="T84"/>
      <c r="U84"/>
      <c r="V84"/>
      <c r="W84"/>
      <c r="X84"/>
      <c r="Y84"/>
      <c r="Z84"/>
      <c r="AA84"/>
      <c r="AB84"/>
      <c r="AC84"/>
      <c r="AD84"/>
      <c r="AE84"/>
      <c r="AF84"/>
      <c r="AG84"/>
      <c r="AH84"/>
      <c r="AI84"/>
      <c r="AJ84"/>
      <c r="AK84"/>
      <c r="AL84"/>
    </row>
    <row r="85" spans="2:38" ht="13.5" thickBot="1" x14ac:dyDescent="0.25">
      <c r="I85" s="191"/>
      <c r="J85"/>
      <c r="K85"/>
      <c r="L85"/>
      <c r="M85"/>
      <c r="N85"/>
      <c r="O85"/>
      <c r="P85"/>
      <c r="Q85"/>
      <c r="R85"/>
      <c r="S85"/>
      <c r="T85"/>
      <c r="U85"/>
      <c r="V85"/>
      <c r="W85"/>
      <c r="X85"/>
      <c r="Y85"/>
      <c r="Z85"/>
      <c r="AA85"/>
      <c r="AB85"/>
      <c r="AC85"/>
      <c r="AD85"/>
      <c r="AE85"/>
      <c r="AF85"/>
      <c r="AG85"/>
      <c r="AH85"/>
      <c r="AI85"/>
      <c r="AJ85"/>
      <c r="AK85"/>
      <c r="AL85"/>
    </row>
    <row r="86" spans="2:38" ht="22.5" x14ac:dyDescent="0.2">
      <c r="B86" s="451" t="s">
        <v>2202</v>
      </c>
      <c r="C86" s="452" t="s">
        <v>2429</v>
      </c>
      <c r="D86" s="452" t="s">
        <v>2105</v>
      </c>
      <c r="E86" s="452" t="s">
        <v>2421</v>
      </c>
      <c r="F86" s="453" t="s">
        <v>2435</v>
      </c>
      <c r="I86" s="191"/>
      <c r="J86"/>
      <c r="K86"/>
      <c r="L86"/>
      <c r="M86"/>
      <c r="N86"/>
      <c r="O86"/>
      <c r="P86"/>
      <c r="Q86"/>
      <c r="R86"/>
      <c r="S86"/>
      <c r="T86"/>
      <c r="U86"/>
      <c r="V86"/>
      <c r="W86"/>
      <c r="X86"/>
      <c r="Y86"/>
      <c r="Z86"/>
      <c r="AA86"/>
      <c r="AB86"/>
      <c r="AC86"/>
      <c r="AD86"/>
      <c r="AE86"/>
      <c r="AF86"/>
      <c r="AG86"/>
      <c r="AH86"/>
      <c r="AI86"/>
      <c r="AJ86"/>
      <c r="AK86"/>
      <c r="AL86"/>
    </row>
    <row r="87" spans="2:38" x14ac:dyDescent="0.2">
      <c r="B87" s="444" t="s">
        <v>2226</v>
      </c>
      <c r="C87" s="445" t="s">
        <v>2430</v>
      </c>
      <c r="D87" s="446">
        <v>176.43</v>
      </c>
      <c r="E87" s="446">
        <v>2</v>
      </c>
      <c r="F87" s="447">
        <v>1</v>
      </c>
      <c r="I87" s="191"/>
      <c r="J87"/>
      <c r="K87"/>
      <c r="L87"/>
      <c r="M87"/>
      <c r="N87"/>
      <c r="O87"/>
      <c r="P87"/>
      <c r="Q87"/>
      <c r="R87"/>
      <c r="S87"/>
      <c r="T87"/>
      <c r="U87"/>
      <c r="V87"/>
      <c r="W87"/>
      <c r="X87"/>
      <c r="Y87"/>
      <c r="Z87"/>
      <c r="AA87"/>
      <c r="AB87"/>
      <c r="AC87"/>
      <c r="AD87"/>
      <c r="AE87"/>
      <c r="AF87"/>
      <c r="AG87"/>
      <c r="AH87"/>
      <c r="AI87"/>
      <c r="AJ87"/>
      <c r="AK87"/>
      <c r="AL87"/>
    </row>
    <row r="88" spans="2:38" x14ac:dyDescent="0.2">
      <c r="B88" s="444" t="s">
        <v>2226</v>
      </c>
      <c r="C88" s="445" t="s">
        <v>2431</v>
      </c>
      <c r="D88" s="446">
        <v>84.08</v>
      </c>
      <c r="E88" s="446">
        <v>1</v>
      </c>
      <c r="F88" s="447">
        <v>1</v>
      </c>
      <c r="I88" s="191"/>
      <c r="J88"/>
      <c r="K88"/>
      <c r="L88"/>
      <c r="M88"/>
      <c r="N88"/>
      <c r="O88"/>
      <c r="P88"/>
      <c r="Q88"/>
      <c r="R88"/>
      <c r="S88"/>
      <c r="T88"/>
      <c r="U88"/>
      <c r="V88"/>
      <c r="W88"/>
      <c r="X88"/>
      <c r="Y88"/>
      <c r="Z88"/>
      <c r="AA88"/>
      <c r="AB88"/>
      <c r="AC88"/>
      <c r="AD88"/>
      <c r="AE88"/>
      <c r="AF88"/>
      <c r="AG88"/>
      <c r="AH88"/>
      <c r="AI88"/>
      <c r="AJ88"/>
      <c r="AK88"/>
      <c r="AL88"/>
    </row>
    <row r="89" spans="2:38" x14ac:dyDescent="0.2">
      <c r="B89" s="444" t="s">
        <v>2226</v>
      </c>
      <c r="C89" s="445" t="s">
        <v>2432</v>
      </c>
      <c r="D89" s="446">
        <v>60.82</v>
      </c>
      <c r="E89" s="446">
        <v>1</v>
      </c>
      <c r="F89" s="447">
        <v>1</v>
      </c>
      <c r="I89" s="191"/>
      <c r="J89"/>
      <c r="K89"/>
      <c r="L89"/>
      <c r="M89"/>
      <c r="N89"/>
      <c r="O89"/>
      <c r="P89"/>
      <c r="Q89"/>
      <c r="R89"/>
      <c r="S89"/>
      <c r="T89"/>
      <c r="U89"/>
      <c r="V89"/>
      <c r="W89"/>
      <c r="X89"/>
      <c r="Y89"/>
      <c r="Z89"/>
      <c r="AA89"/>
      <c r="AB89"/>
      <c r="AC89"/>
      <c r="AD89"/>
      <c r="AE89"/>
      <c r="AF89"/>
      <c r="AG89"/>
      <c r="AH89"/>
      <c r="AI89"/>
      <c r="AJ89"/>
      <c r="AK89"/>
      <c r="AL89"/>
    </row>
    <row r="90" spans="2:38" x14ac:dyDescent="0.2">
      <c r="B90" s="444" t="s">
        <v>2226</v>
      </c>
      <c r="C90" s="445" t="s">
        <v>2433</v>
      </c>
      <c r="D90" s="446">
        <v>132.86000000000001</v>
      </c>
      <c r="E90" s="446">
        <v>2</v>
      </c>
      <c r="F90" s="447">
        <v>1</v>
      </c>
      <c r="I90" s="191"/>
      <c r="J90"/>
      <c r="K90"/>
      <c r="L90"/>
      <c r="M90"/>
      <c r="N90"/>
      <c r="O90"/>
      <c r="P90"/>
      <c r="Q90"/>
      <c r="R90"/>
      <c r="S90"/>
      <c r="T90"/>
      <c r="U90"/>
      <c r="V90"/>
      <c r="W90"/>
      <c r="X90"/>
      <c r="Y90"/>
      <c r="Z90"/>
      <c r="AA90"/>
      <c r="AB90"/>
      <c r="AC90"/>
      <c r="AD90"/>
      <c r="AE90"/>
      <c r="AF90"/>
      <c r="AG90"/>
      <c r="AH90"/>
      <c r="AI90"/>
      <c r="AJ90"/>
      <c r="AK90"/>
      <c r="AL90"/>
    </row>
    <row r="91" spans="2:38" ht="13.5" thickBot="1" x14ac:dyDescent="0.25">
      <c r="B91" s="454" t="s">
        <v>2226</v>
      </c>
      <c r="C91" s="455" t="s">
        <v>2434</v>
      </c>
      <c r="D91" s="456">
        <v>83.77</v>
      </c>
      <c r="E91" s="456">
        <v>1</v>
      </c>
      <c r="F91" s="457">
        <v>1</v>
      </c>
      <c r="I91" s="191"/>
      <c r="J91"/>
      <c r="K91"/>
      <c r="L91"/>
      <c r="M91"/>
      <c r="N91"/>
      <c r="O91"/>
      <c r="P91"/>
      <c r="Q91"/>
      <c r="R91"/>
      <c r="S91"/>
      <c r="T91"/>
      <c r="U91"/>
      <c r="V91"/>
      <c r="W91"/>
      <c r="X91"/>
      <c r="Y91"/>
      <c r="Z91"/>
      <c r="AA91"/>
      <c r="AB91"/>
      <c r="AC91"/>
      <c r="AD91"/>
      <c r="AE91"/>
      <c r="AF91"/>
      <c r="AG91"/>
      <c r="AH91"/>
      <c r="AI91"/>
      <c r="AJ91"/>
      <c r="AK91"/>
      <c r="AL91"/>
    </row>
    <row r="92" spans="2:38" x14ac:dyDescent="0.2">
      <c r="D92" s="458">
        <f>SUM(D87:D91)</f>
        <v>537.96</v>
      </c>
      <c r="E92" s="458">
        <f>SUM(E87:E91)</f>
        <v>7</v>
      </c>
      <c r="F92" s="458">
        <f>SUM(F87:F91)</f>
        <v>5</v>
      </c>
      <c r="I92" s="191"/>
      <c r="J92"/>
      <c r="K92"/>
      <c r="L92"/>
      <c r="M92"/>
      <c r="N92"/>
      <c r="O92"/>
      <c r="P92"/>
      <c r="Q92"/>
      <c r="R92"/>
      <c r="S92"/>
      <c r="T92"/>
      <c r="U92"/>
      <c r="V92"/>
      <c r="W92"/>
      <c r="X92"/>
      <c r="Y92"/>
      <c r="Z92"/>
      <c r="AA92"/>
      <c r="AB92"/>
      <c r="AC92"/>
      <c r="AD92"/>
      <c r="AE92"/>
      <c r="AF92"/>
      <c r="AG92"/>
      <c r="AH92"/>
      <c r="AI92"/>
      <c r="AJ92"/>
      <c r="AK92"/>
      <c r="AL92"/>
    </row>
    <row r="93" spans="2:38" x14ac:dyDescent="0.2">
      <c r="I93" s="191"/>
      <c r="J93"/>
      <c r="K93"/>
      <c r="L93"/>
      <c r="M93"/>
      <c r="N93"/>
      <c r="O93"/>
      <c r="P93"/>
      <c r="Q93"/>
      <c r="R93"/>
      <c r="S93"/>
      <c r="T93"/>
      <c r="U93"/>
      <c r="V93"/>
      <c r="W93"/>
      <c r="X93"/>
      <c r="Y93"/>
      <c r="Z93"/>
      <c r="AA93"/>
      <c r="AB93"/>
      <c r="AC93"/>
      <c r="AD93"/>
      <c r="AE93"/>
      <c r="AF93"/>
      <c r="AG93"/>
      <c r="AH93"/>
      <c r="AI93"/>
      <c r="AJ93"/>
      <c r="AK93"/>
      <c r="AL93"/>
    </row>
    <row r="94" spans="2:38" x14ac:dyDescent="0.2">
      <c r="I94" s="191"/>
      <c r="J94"/>
      <c r="K94"/>
      <c r="L94"/>
      <c r="M94"/>
      <c r="N94"/>
      <c r="O94"/>
      <c r="P94"/>
      <c r="Q94"/>
      <c r="R94"/>
      <c r="S94"/>
      <c r="T94"/>
      <c r="U94"/>
      <c r="V94"/>
      <c r="W94"/>
      <c r="X94"/>
      <c r="Y94"/>
      <c r="Z94"/>
      <c r="AA94"/>
      <c r="AB94"/>
      <c r="AC94"/>
      <c r="AD94"/>
      <c r="AE94"/>
      <c r="AF94"/>
      <c r="AG94"/>
      <c r="AH94"/>
      <c r="AI94"/>
      <c r="AJ94"/>
      <c r="AK94"/>
      <c r="AL94"/>
    </row>
    <row r="95" spans="2:38" x14ac:dyDescent="0.2">
      <c r="I95" s="191"/>
      <c r="J95"/>
      <c r="K95"/>
      <c r="L95"/>
      <c r="M95"/>
      <c r="N95"/>
      <c r="O95"/>
      <c r="P95"/>
      <c r="Q95"/>
      <c r="R95"/>
      <c r="S95"/>
      <c r="T95"/>
      <c r="U95"/>
      <c r="V95"/>
      <c r="W95"/>
      <c r="X95"/>
      <c r="Y95"/>
      <c r="Z95"/>
      <c r="AA95"/>
      <c r="AB95"/>
      <c r="AC95"/>
      <c r="AD95"/>
      <c r="AE95"/>
      <c r="AF95"/>
      <c r="AG95"/>
      <c r="AH95"/>
      <c r="AI95"/>
      <c r="AJ95"/>
      <c r="AK95"/>
      <c r="AL95"/>
    </row>
    <row r="96" spans="2:38" x14ac:dyDescent="0.2">
      <c r="I96" s="191"/>
      <c r="J96"/>
      <c r="K96"/>
      <c r="L96"/>
      <c r="M96"/>
      <c r="N96"/>
      <c r="O96"/>
      <c r="P96"/>
      <c r="Q96"/>
      <c r="R96"/>
      <c r="S96"/>
      <c r="T96"/>
      <c r="U96"/>
      <c r="V96"/>
      <c r="W96"/>
      <c r="X96"/>
      <c r="Y96"/>
      <c r="Z96"/>
      <c r="AA96"/>
      <c r="AB96"/>
      <c r="AC96"/>
      <c r="AD96"/>
      <c r="AE96"/>
      <c r="AF96"/>
      <c r="AG96"/>
      <c r="AH96"/>
      <c r="AI96"/>
      <c r="AJ96"/>
      <c r="AK96"/>
      <c r="AL96"/>
    </row>
    <row r="97" spans="1:38" x14ac:dyDescent="0.2">
      <c r="I97" s="191"/>
      <c r="J97"/>
      <c r="K97"/>
      <c r="L97"/>
      <c r="M97"/>
      <c r="N97"/>
      <c r="O97"/>
      <c r="P97"/>
      <c r="Q97"/>
      <c r="R97"/>
      <c r="S97"/>
      <c r="T97"/>
      <c r="U97"/>
      <c r="V97"/>
      <c r="W97"/>
      <c r="X97"/>
      <c r="Y97"/>
      <c r="Z97"/>
      <c r="AA97"/>
      <c r="AB97"/>
      <c r="AC97"/>
      <c r="AD97"/>
      <c r="AE97"/>
      <c r="AF97"/>
      <c r="AG97"/>
      <c r="AH97"/>
      <c r="AI97"/>
      <c r="AJ97"/>
      <c r="AK97"/>
      <c r="AL97"/>
    </row>
    <row r="98" spans="1:38" x14ac:dyDescent="0.2">
      <c r="I98" s="191"/>
      <c r="J98"/>
      <c r="K98"/>
      <c r="L98"/>
      <c r="M98"/>
      <c r="N98"/>
      <c r="O98"/>
      <c r="P98"/>
      <c r="Q98"/>
      <c r="R98"/>
      <c r="S98"/>
      <c r="T98"/>
      <c r="U98"/>
      <c r="V98"/>
      <c r="W98"/>
      <c r="X98"/>
      <c r="Y98"/>
      <c r="Z98"/>
      <c r="AA98"/>
      <c r="AB98"/>
      <c r="AC98"/>
      <c r="AD98"/>
      <c r="AE98"/>
      <c r="AF98"/>
      <c r="AG98"/>
      <c r="AH98"/>
      <c r="AI98"/>
      <c r="AJ98"/>
      <c r="AK98"/>
      <c r="AL98"/>
    </row>
    <row r="99" spans="1:38" x14ac:dyDescent="0.2">
      <c r="I99" s="191"/>
      <c r="J99"/>
      <c r="K99"/>
      <c r="L99"/>
      <c r="M99"/>
      <c r="N99"/>
      <c r="O99"/>
      <c r="P99"/>
      <c r="Q99"/>
      <c r="R99"/>
      <c r="S99"/>
      <c r="T99"/>
      <c r="U99"/>
      <c r="V99"/>
      <c r="W99"/>
      <c r="X99"/>
      <c r="Y99"/>
      <c r="Z99"/>
      <c r="AA99"/>
      <c r="AB99"/>
      <c r="AC99"/>
      <c r="AD99"/>
      <c r="AE99"/>
      <c r="AF99"/>
      <c r="AG99"/>
      <c r="AH99"/>
      <c r="AI99"/>
      <c r="AJ99"/>
      <c r="AK99"/>
      <c r="AL99"/>
    </row>
    <row r="100" spans="1:38" ht="13.5" thickBot="1" x14ac:dyDescent="0.25">
      <c r="I100" s="195"/>
      <c r="J100"/>
      <c r="K100"/>
      <c r="L100"/>
      <c r="M100"/>
      <c r="N100"/>
      <c r="O100"/>
      <c r="P100"/>
      <c r="Q100"/>
      <c r="R100"/>
      <c r="S100"/>
      <c r="T100"/>
      <c r="U100"/>
      <c r="V100"/>
      <c r="W100"/>
      <c r="X100"/>
      <c r="Y100"/>
      <c r="Z100"/>
      <c r="AA100"/>
      <c r="AB100"/>
      <c r="AC100"/>
      <c r="AD100"/>
      <c r="AE100"/>
      <c r="AF100"/>
      <c r="AG100"/>
      <c r="AH100"/>
      <c r="AI100"/>
      <c r="AJ100"/>
      <c r="AK100"/>
      <c r="AL100"/>
    </row>
    <row r="101" spans="1:38" x14ac:dyDescent="0.2">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row>
    <row r="102" spans="1:38" x14ac:dyDescent="0.2">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row>
    <row r="103" spans="1:38" x14ac:dyDescent="0.2">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row>
    <row r="104" spans="1:38" x14ac:dyDescent="0.2">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row>
    <row r="105" spans="1:38" x14ac:dyDescent="0.2">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row>
    <row r="106" spans="1:38" x14ac:dyDescent="0.2">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row>
    <row r="107" spans="1:38" x14ac:dyDescent="0.2">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row>
    <row r="108" spans="1:38" x14ac:dyDescent="0.2">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row>
    <row r="109" spans="1:38" x14ac:dyDescent="0.2">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row>
    <row r="110" spans="1:38" x14ac:dyDescent="0.2">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row>
    <row r="111" spans="1:38" x14ac:dyDescent="0.2">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row>
    <row r="112" spans="1:38" x14ac:dyDescent="0.2">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row>
  </sheetData>
  <phoneticPr fontId="73" type="noConversion"/>
  <pageMargins left="0.511811024" right="0.511811024" top="0.78740157499999996" bottom="0.78740157499999996" header="0.31496062000000002" footer="0.31496062000000002"/>
  <pageSetup paperSize="9" scale="49" fitToHeight="0" orientation="portrait" r:id="rId1"/>
  <colBreaks count="1" manualBreakCount="1">
    <brk id="13" max="1048575" man="1"/>
  </col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7FCCE-513D-4E75-BDE6-236854A3CC2C}">
  <sheetPr>
    <tabColor theme="1"/>
  </sheetPr>
  <dimension ref="A1:AL64"/>
  <sheetViews>
    <sheetView showGridLines="0" workbookViewId="0">
      <pane ySplit="6" topLeftCell="A7" activePane="bottomLeft" state="frozen"/>
      <selection activeCell="L5" sqref="L5:N48"/>
      <selection pane="bottomLeft" activeCell="G15" sqref="G15"/>
    </sheetView>
  </sheetViews>
  <sheetFormatPr defaultRowHeight="12.75" x14ac:dyDescent="0.2"/>
  <cols>
    <col min="1" max="1" width="10.28515625" style="1435" customWidth="1"/>
    <col min="2" max="2" width="33.42578125" style="1435" customWidth="1"/>
    <col min="3" max="3" width="34" style="1435" bestFit="1" customWidth="1"/>
    <col min="4" max="4" width="28.7109375" style="1435" customWidth="1"/>
    <col min="5" max="6" width="25.5703125" style="1435" customWidth="1"/>
    <col min="7" max="7" width="38.140625" style="1435" customWidth="1"/>
    <col min="8" max="8" width="10.28515625" style="1435" customWidth="1"/>
    <col min="9" max="9" width="9.140625" style="1435"/>
    <col min="10" max="10" width="17" style="1435" customWidth="1"/>
    <col min="11" max="38" width="9.140625" style="1435"/>
  </cols>
  <sheetData>
    <row r="1" spans="1:38" ht="27" customHeight="1" thickBot="1" x14ac:dyDescent="0.25">
      <c r="A1" s="304"/>
      <c r="B1" s="303" t="s">
        <v>2314</v>
      </c>
      <c r="C1" s="301"/>
      <c r="D1" s="301"/>
      <c r="E1" s="301"/>
      <c r="F1" s="301"/>
      <c r="G1" s="301"/>
      <c r="H1" s="302"/>
      <c r="I1" s="171"/>
      <c r="J1" s="1466" t="s">
        <v>2318</v>
      </c>
      <c r="K1"/>
      <c r="L1"/>
      <c r="M1"/>
      <c r="N1"/>
      <c r="O1"/>
      <c r="P1"/>
      <c r="Q1"/>
      <c r="R1"/>
      <c r="S1"/>
      <c r="T1"/>
      <c r="U1"/>
      <c r="V1"/>
      <c r="W1"/>
      <c r="X1"/>
      <c r="Y1"/>
      <c r="Z1"/>
      <c r="AA1"/>
      <c r="AB1"/>
      <c r="AC1"/>
      <c r="AD1"/>
      <c r="AE1"/>
      <c r="AF1"/>
      <c r="AG1"/>
      <c r="AH1"/>
      <c r="AI1"/>
      <c r="AJ1"/>
      <c r="AK1"/>
      <c r="AL1"/>
    </row>
    <row r="2" spans="1:38" ht="19.5" customHeight="1" x14ac:dyDescent="0.2">
      <c r="A2" s="1465" t="s">
        <v>1277</v>
      </c>
      <c r="B2" s="1464" t="s">
        <v>5773</v>
      </c>
      <c r="C2" s="1463"/>
      <c r="D2" s="1462"/>
      <c r="E2" s="1462"/>
      <c r="F2" s="1461"/>
      <c r="G2" s="1461"/>
      <c r="H2" s="1460"/>
      <c r="J2" s="1459" t="s">
        <v>2319</v>
      </c>
      <c r="K2"/>
      <c r="L2"/>
      <c r="M2"/>
      <c r="N2"/>
      <c r="O2"/>
      <c r="P2"/>
      <c r="Q2"/>
      <c r="R2"/>
      <c r="S2"/>
      <c r="T2"/>
      <c r="U2"/>
      <c r="V2"/>
      <c r="W2"/>
      <c r="X2"/>
      <c r="Y2"/>
      <c r="Z2"/>
      <c r="AA2"/>
      <c r="AB2"/>
      <c r="AC2"/>
      <c r="AD2"/>
      <c r="AE2"/>
      <c r="AF2"/>
      <c r="AG2"/>
      <c r="AH2"/>
      <c r="AI2"/>
      <c r="AJ2"/>
      <c r="AK2"/>
      <c r="AL2"/>
    </row>
    <row r="3" spans="1:38" ht="39" customHeight="1" x14ac:dyDescent="0.2">
      <c r="A3" s="1458" t="s">
        <v>1</v>
      </c>
      <c r="B3" s="1457" t="s">
        <v>5772</v>
      </c>
      <c r="C3" s="1456"/>
      <c r="D3" s="1455"/>
      <c r="E3" s="1455"/>
      <c r="F3" s="1454"/>
      <c r="G3" s="1454"/>
      <c r="H3" s="1453"/>
      <c r="J3" s="1452" t="s">
        <v>2320</v>
      </c>
      <c r="K3"/>
      <c r="L3"/>
      <c r="M3"/>
      <c r="N3"/>
      <c r="O3"/>
      <c r="P3"/>
      <c r="Q3"/>
      <c r="R3"/>
      <c r="S3"/>
      <c r="T3"/>
      <c r="U3"/>
      <c r="V3"/>
      <c r="W3"/>
      <c r="X3"/>
      <c r="Y3"/>
      <c r="Z3"/>
      <c r="AA3"/>
      <c r="AB3"/>
      <c r="AC3"/>
      <c r="AD3"/>
      <c r="AE3"/>
      <c r="AF3"/>
      <c r="AG3"/>
      <c r="AH3"/>
      <c r="AI3"/>
      <c r="AJ3"/>
      <c r="AK3"/>
      <c r="AL3"/>
    </row>
    <row r="4" spans="1:38" ht="20.25" customHeight="1" thickBot="1" x14ac:dyDescent="0.25">
      <c r="A4" s="1451" t="s">
        <v>2</v>
      </c>
      <c r="B4" s="1450" t="s">
        <v>5545</v>
      </c>
      <c r="C4" s="1449"/>
      <c r="D4" s="1448"/>
      <c r="E4" s="1448"/>
      <c r="F4" s="1447"/>
      <c r="G4" s="1447"/>
      <c r="H4" s="1446"/>
      <c r="J4" s="1445" t="s">
        <v>2322</v>
      </c>
      <c r="K4"/>
      <c r="L4"/>
      <c r="M4"/>
      <c r="N4"/>
      <c r="O4"/>
      <c r="P4"/>
      <c r="Q4"/>
      <c r="R4"/>
      <c r="S4"/>
      <c r="T4"/>
      <c r="U4"/>
      <c r="V4"/>
      <c r="W4"/>
      <c r="X4"/>
      <c r="Y4"/>
      <c r="Z4"/>
      <c r="AA4"/>
      <c r="AB4"/>
      <c r="AC4"/>
      <c r="AD4"/>
      <c r="AE4"/>
      <c r="AF4"/>
      <c r="AG4"/>
      <c r="AH4"/>
      <c r="AI4"/>
      <c r="AJ4"/>
      <c r="AK4"/>
      <c r="AL4"/>
    </row>
    <row r="5" spans="1:38" ht="13.5" customHeight="1" thickBot="1" x14ac:dyDescent="0.25">
      <c r="B5" s="1934" t="s">
        <v>4</v>
      </c>
      <c r="C5" s="1934" t="s">
        <v>2315</v>
      </c>
      <c r="D5" s="1932" t="s">
        <v>2316</v>
      </c>
      <c r="E5" s="1932" t="s">
        <v>2332</v>
      </c>
      <c r="F5" s="1932" t="s">
        <v>2317</v>
      </c>
      <c r="G5" s="1932" t="s">
        <v>2265</v>
      </c>
      <c r="J5" s="1444" t="s">
        <v>2321</v>
      </c>
      <c r="K5"/>
      <c r="L5"/>
      <c r="M5"/>
      <c r="N5"/>
      <c r="O5"/>
      <c r="P5"/>
      <c r="Q5"/>
      <c r="R5"/>
      <c r="S5"/>
      <c r="T5"/>
      <c r="U5"/>
      <c r="V5"/>
      <c r="W5"/>
      <c r="X5"/>
      <c r="Y5"/>
      <c r="Z5"/>
      <c r="AA5"/>
      <c r="AB5"/>
      <c r="AC5"/>
      <c r="AD5"/>
      <c r="AE5"/>
      <c r="AF5"/>
      <c r="AG5"/>
      <c r="AH5"/>
      <c r="AI5"/>
      <c r="AJ5"/>
      <c r="AK5"/>
      <c r="AL5"/>
    </row>
    <row r="6" spans="1:38" ht="13.5" customHeight="1" thickBot="1" x14ac:dyDescent="0.25">
      <c r="B6" s="1933"/>
      <c r="C6" s="1933"/>
      <c r="D6" s="1933"/>
      <c r="E6" s="1933"/>
      <c r="F6" s="1933"/>
      <c r="G6" s="1933"/>
      <c r="K6"/>
      <c r="L6"/>
      <c r="M6"/>
      <c r="N6"/>
      <c r="O6"/>
      <c r="P6"/>
      <c r="Q6"/>
      <c r="R6"/>
      <c r="S6"/>
      <c r="T6"/>
      <c r="U6"/>
      <c r="V6"/>
      <c r="W6"/>
      <c r="X6"/>
      <c r="Y6"/>
      <c r="Z6"/>
      <c r="AA6"/>
      <c r="AB6"/>
      <c r="AC6"/>
      <c r="AD6"/>
      <c r="AE6"/>
      <c r="AF6"/>
      <c r="AG6"/>
      <c r="AH6"/>
      <c r="AI6"/>
      <c r="AJ6"/>
      <c r="AK6"/>
      <c r="AL6"/>
    </row>
    <row r="7" spans="1:38" ht="13.5" customHeight="1" thickBot="1" x14ac:dyDescent="0.25">
      <c r="A7" s="248"/>
      <c r="B7" s="310" t="s">
        <v>2323</v>
      </c>
      <c r="C7" s="311"/>
      <c r="D7" s="1440"/>
      <c r="E7" s="1440"/>
      <c r="F7" s="308"/>
      <c r="G7" s="309"/>
      <c r="H7" s="248"/>
      <c r="I7" s="248"/>
      <c r="J7" s="248"/>
      <c r="K7"/>
      <c r="L7"/>
      <c r="M7"/>
      <c r="N7"/>
      <c r="O7"/>
      <c r="P7"/>
      <c r="Q7"/>
      <c r="R7"/>
      <c r="S7"/>
      <c r="T7"/>
      <c r="U7"/>
      <c r="V7"/>
      <c r="W7"/>
      <c r="X7"/>
      <c r="Y7"/>
      <c r="Z7"/>
      <c r="AA7"/>
      <c r="AB7"/>
      <c r="AC7"/>
      <c r="AD7"/>
      <c r="AE7"/>
      <c r="AF7"/>
      <c r="AG7"/>
      <c r="AH7"/>
      <c r="AI7"/>
      <c r="AJ7"/>
      <c r="AK7"/>
      <c r="AL7"/>
    </row>
    <row r="8" spans="1:38" x14ac:dyDescent="0.2">
      <c r="B8" s="1436" t="s">
        <v>2324</v>
      </c>
      <c r="C8" s="1443" t="s">
        <v>3</v>
      </c>
      <c r="D8" s="1438"/>
      <c r="E8" s="1438"/>
      <c r="F8" s="307" t="s">
        <v>2319</v>
      </c>
      <c r="G8" s="1438"/>
      <c r="K8"/>
      <c r="L8"/>
      <c r="M8"/>
      <c r="N8"/>
      <c r="O8"/>
      <c r="P8"/>
      <c r="Q8"/>
      <c r="R8"/>
      <c r="S8"/>
      <c r="T8"/>
      <c r="U8"/>
      <c r="V8"/>
      <c r="W8"/>
      <c r="X8"/>
      <c r="Y8"/>
      <c r="Z8"/>
      <c r="AA8"/>
      <c r="AB8"/>
      <c r="AC8"/>
      <c r="AD8"/>
      <c r="AE8"/>
      <c r="AF8"/>
      <c r="AG8"/>
      <c r="AH8"/>
      <c r="AI8"/>
      <c r="AJ8"/>
      <c r="AK8"/>
      <c r="AL8"/>
    </row>
    <row r="9" spans="1:38" x14ac:dyDescent="0.2">
      <c r="B9" s="1436" t="s">
        <v>41</v>
      </c>
      <c r="C9" s="1437" t="s">
        <v>3</v>
      </c>
      <c r="D9" s="1436"/>
      <c r="E9" s="1436"/>
      <c r="F9" s="305" t="s">
        <v>2320</v>
      </c>
      <c r="G9" s="1436"/>
      <c r="K9"/>
      <c r="L9"/>
      <c r="M9"/>
      <c r="N9"/>
      <c r="O9"/>
      <c r="P9"/>
      <c r="Q9"/>
      <c r="R9"/>
      <c r="S9"/>
      <c r="T9"/>
      <c r="U9"/>
      <c r="V9"/>
      <c r="W9"/>
      <c r="X9"/>
      <c r="Y9"/>
      <c r="Z9"/>
      <c r="AA9"/>
      <c r="AB9"/>
      <c r="AC9"/>
      <c r="AD9"/>
      <c r="AE9"/>
      <c r="AF9"/>
      <c r="AG9"/>
      <c r="AH9"/>
      <c r="AI9"/>
      <c r="AJ9"/>
      <c r="AK9"/>
      <c r="AL9"/>
    </row>
    <row r="10" spans="1:38" x14ac:dyDescent="0.2">
      <c r="B10" s="1436" t="s">
        <v>11</v>
      </c>
      <c r="C10" s="1437" t="s">
        <v>3</v>
      </c>
      <c r="D10" s="1436" t="s">
        <v>5771</v>
      </c>
      <c r="E10" s="1436" t="s">
        <v>5770</v>
      </c>
      <c r="F10" s="305" t="s">
        <v>2322</v>
      </c>
      <c r="G10" s="1436" t="s">
        <v>5769</v>
      </c>
      <c r="K10"/>
      <c r="L10"/>
      <c r="M10"/>
      <c r="N10"/>
      <c r="O10"/>
      <c r="P10"/>
      <c r="Q10"/>
      <c r="R10"/>
      <c r="S10"/>
      <c r="T10"/>
      <c r="U10"/>
      <c r="V10"/>
      <c r="W10"/>
      <c r="X10"/>
      <c r="Y10"/>
      <c r="Z10"/>
      <c r="AA10"/>
      <c r="AB10"/>
      <c r="AC10"/>
      <c r="AD10"/>
      <c r="AE10"/>
      <c r="AF10"/>
      <c r="AG10"/>
      <c r="AH10"/>
      <c r="AI10"/>
      <c r="AJ10"/>
      <c r="AK10"/>
      <c r="AL10"/>
    </row>
    <row r="11" spans="1:38" x14ac:dyDescent="0.2">
      <c r="B11" s="1436" t="s">
        <v>230</v>
      </c>
      <c r="C11" s="1437" t="s">
        <v>3</v>
      </c>
      <c r="D11" s="1436" t="s">
        <v>5768</v>
      </c>
      <c r="E11" s="1436" t="s">
        <v>5767</v>
      </c>
      <c r="F11" s="305" t="s">
        <v>2322</v>
      </c>
      <c r="G11" s="1436" t="s">
        <v>5766</v>
      </c>
      <c r="K11"/>
      <c r="L11"/>
      <c r="M11"/>
      <c r="N11"/>
      <c r="O11"/>
      <c r="P11"/>
      <c r="Q11"/>
      <c r="R11"/>
      <c r="S11"/>
      <c r="T11"/>
      <c r="U11"/>
      <c r="V11"/>
      <c r="W11"/>
      <c r="X11"/>
      <c r="Y11"/>
      <c r="Z11"/>
      <c r="AA11"/>
      <c r="AB11"/>
      <c r="AC11"/>
      <c r="AD11"/>
      <c r="AE11"/>
      <c r="AF11"/>
      <c r="AG11"/>
      <c r="AH11"/>
      <c r="AI11"/>
      <c r="AJ11"/>
      <c r="AK11"/>
      <c r="AL11"/>
    </row>
    <row r="12" spans="1:38" x14ac:dyDescent="0.2">
      <c r="B12" s="1436" t="s">
        <v>1686</v>
      </c>
      <c r="C12" s="1437" t="s">
        <v>3</v>
      </c>
      <c r="D12" s="1436"/>
      <c r="E12" s="1436"/>
      <c r="F12" s="305" t="s">
        <v>2319</v>
      </c>
      <c r="G12" s="1436"/>
      <c r="K12"/>
      <c r="L12"/>
      <c r="M12"/>
      <c r="N12"/>
      <c r="O12"/>
      <c r="P12"/>
      <c r="Q12"/>
      <c r="R12"/>
      <c r="S12"/>
      <c r="T12"/>
      <c r="U12"/>
      <c r="V12"/>
      <c r="W12"/>
      <c r="X12"/>
      <c r="Y12"/>
      <c r="Z12"/>
      <c r="AA12"/>
      <c r="AB12"/>
      <c r="AC12"/>
      <c r="AD12"/>
      <c r="AE12"/>
      <c r="AF12"/>
      <c r="AG12"/>
      <c r="AH12"/>
      <c r="AI12"/>
      <c r="AJ12"/>
      <c r="AK12"/>
      <c r="AL12"/>
    </row>
    <row r="13" spans="1:38" x14ac:dyDescent="0.2">
      <c r="A13" s="248"/>
      <c r="B13" s="1436" t="s">
        <v>2413</v>
      </c>
      <c r="C13" s="1437" t="s">
        <v>42</v>
      </c>
      <c r="D13" s="1436"/>
      <c r="E13" s="1436"/>
      <c r="F13" s="305" t="s">
        <v>2322</v>
      </c>
      <c r="G13" s="1436" t="s">
        <v>5765</v>
      </c>
      <c r="H13" s="248"/>
      <c r="I13" s="248"/>
      <c r="J13" s="248"/>
      <c r="K13"/>
      <c r="L13"/>
      <c r="M13"/>
      <c r="N13"/>
      <c r="O13"/>
      <c r="P13"/>
      <c r="Q13"/>
      <c r="R13"/>
      <c r="S13"/>
      <c r="T13"/>
      <c r="U13"/>
      <c r="V13"/>
      <c r="W13"/>
      <c r="X13"/>
      <c r="Y13"/>
      <c r="Z13"/>
      <c r="AA13"/>
      <c r="AB13"/>
      <c r="AC13"/>
      <c r="AD13"/>
      <c r="AE13"/>
      <c r="AF13"/>
      <c r="AG13"/>
      <c r="AH13"/>
      <c r="AI13"/>
      <c r="AJ13"/>
      <c r="AK13"/>
      <c r="AL13"/>
    </row>
    <row r="14" spans="1:38" x14ac:dyDescent="0.2">
      <c r="B14" s="1436" t="s">
        <v>2414</v>
      </c>
      <c r="C14" s="1437" t="s">
        <v>42</v>
      </c>
      <c r="D14" s="1436"/>
      <c r="E14" s="1436"/>
      <c r="F14" s="305" t="s">
        <v>2322</v>
      </c>
      <c r="G14" s="1436" t="s">
        <v>5765</v>
      </c>
      <c r="K14"/>
      <c r="L14"/>
      <c r="M14"/>
      <c r="N14"/>
      <c r="O14"/>
      <c r="P14"/>
      <c r="Q14"/>
      <c r="R14"/>
      <c r="S14"/>
      <c r="T14"/>
      <c r="U14"/>
      <c r="V14"/>
      <c r="W14"/>
      <c r="X14"/>
      <c r="Y14"/>
      <c r="Z14"/>
      <c r="AA14"/>
      <c r="AB14"/>
      <c r="AC14"/>
      <c r="AD14"/>
      <c r="AE14"/>
      <c r="AF14"/>
      <c r="AG14"/>
      <c r="AH14"/>
      <c r="AI14"/>
      <c r="AJ14"/>
      <c r="AK14"/>
      <c r="AL14"/>
    </row>
    <row r="15" spans="1:38" x14ac:dyDescent="0.2">
      <c r="B15" s="1436" t="s">
        <v>2415</v>
      </c>
      <c r="C15" s="1437" t="s">
        <v>42</v>
      </c>
      <c r="D15" s="1436"/>
      <c r="E15" s="1436"/>
      <c r="F15" s="305" t="s">
        <v>2322</v>
      </c>
      <c r="G15" s="1436" t="s">
        <v>5765</v>
      </c>
      <c r="K15"/>
      <c r="L15"/>
      <c r="M15"/>
      <c r="N15"/>
      <c r="O15"/>
      <c r="P15"/>
      <c r="Q15"/>
      <c r="R15"/>
      <c r="S15"/>
      <c r="T15"/>
      <c r="U15"/>
      <c r="V15"/>
      <c r="W15"/>
      <c r="X15"/>
      <c r="Y15"/>
      <c r="Z15"/>
      <c r="AA15"/>
      <c r="AB15"/>
      <c r="AC15"/>
      <c r="AD15"/>
      <c r="AE15"/>
      <c r="AF15"/>
      <c r="AG15"/>
      <c r="AH15"/>
      <c r="AI15"/>
      <c r="AJ15"/>
      <c r="AK15"/>
      <c r="AL15"/>
    </row>
    <row r="16" spans="1:38" x14ac:dyDescent="0.2">
      <c r="B16" s="1436" t="s">
        <v>2416</v>
      </c>
      <c r="C16" s="1437" t="s">
        <v>42</v>
      </c>
      <c r="D16" s="1436"/>
      <c r="E16" s="1436"/>
      <c r="F16" s="305" t="s">
        <v>2322</v>
      </c>
      <c r="G16" s="1436" t="s">
        <v>5765</v>
      </c>
      <c r="K16"/>
      <c r="L16"/>
      <c r="M16"/>
      <c r="N16"/>
      <c r="O16"/>
      <c r="P16"/>
      <c r="Q16"/>
      <c r="R16"/>
      <c r="S16"/>
      <c r="T16"/>
      <c r="U16"/>
      <c r="V16"/>
      <c r="W16"/>
      <c r="X16"/>
      <c r="Y16"/>
      <c r="Z16"/>
      <c r="AA16"/>
      <c r="AB16"/>
      <c r="AC16"/>
      <c r="AD16"/>
      <c r="AE16"/>
      <c r="AF16"/>
      <c r="AG16"/>
      <c r="AH16"/>
      <c r="AI16"/>
      <c r="AJ16"/>
      <c r="AK16"/>
      <c r="AL16"/>
    </row>
    <row r="17" spans="2:38" x14ac:dyDescent="0.2">
      <c r="B17" s="1436" t="s">
        <v>2417</v>
      </c>
      <c r="C17" s="1437" t="s">
        <v>42</v>
      </c>
      <c r="D17" s="1436"/>
      <c r="E17" s="1436"/>
      <c r="F17" s="305" t="s">
        <v>2322</v>
      </c>
      <c r="G17" s="1436" t="s">
        <v>5765</v>
      </c>
      <c r="K17"/>
      <c r="L17"/>
      <c r="M17"/>
      <c r="N17"/>
      <c r="O17"/>
      <c r="P17"/>
      <c r="Q17"/>
      <c r="R17"/>
      <c r="S17"/>
      <c r="T17"/>
      <c r="U17"/>
      <c r="V17"/>
      <c r="W17"/>
      <c r="X17"/>
      <c r="Y17"/>
      <c r="Z17"/>
      <c r="AA17"/>
      <c r="AB17"/>
      <c r="AC17"/>
      <c r="AD17"/>
      <c r="AE17"/>
      <c r="AF17"/>
      <c r="AG17"/>
      <c r="AH17"/>
      <c r="AI17"/>
      <c r="AJ17"/>
      <c r="AK17"/>
      <c r="AL17"/>
    </row>
    <row r="18" spans="2:38" x14ac:dyDescent="0.2">
      <c r="B18" s="1436" t="s">
        <v>2418</v>
      </c>
      <c r="C18" s="1437" t="s">
        <v>42</v>
      </c>
      <c r="D18" s="1436"/>
      <c r="E18" s="1436"/>
      <c r="F18" s="305" t="s">
        <v>2322</v>
      </c>
      <c r="G18" s="1436" t="s">
        <v>5765</v>
      </c>
      <c r="K18"/>
      <c r="L18"/>
      <c r="M18"/>
      <c r="N18"/>
      <c r="O18"/>
      <c r="P18"/>
      <c r="Q18"/>
      <c r="R18"/>
      <c r="S18"/>
      <c r="T18"/>
      <c r="U18"/>
      <c r="V18"/>
      <c r="W18"/>
      <c r="X18"/>
      <c r="Y18"/>
      <c r="Z18"/>
      <c r="AA18"/>
      <c r="AB18"/>
      <c r="AC18"/>
      <c r="AD18"/>
      <c r="AE18"/>
      <c r="AF18"/>
      <c r="AG18"/>
      <c r="AH18"/>
      <c r="AI18"/>
      <c r="AJ18"/>
      <c r="AK18"/>
      <c r="AL18"/>
    </row>
    <row r="19" spans="2:38" x14ac:dyDescent="0.2">
      <c r="B19" s="1436" t="s">
        <v>2436</v>
      </c>
      <c r="C19" s="1437" t="s">
        <v>42</v>
      </c>
      <c r="D19" s="1436"/>
      <c r="E19" s="1436"/>
      <c r="F19" s="305" t="s">
        <v>2322</v>
      </c>
      <c r="G19" s="1436" t="s">
        <v>5765</v>
      </c>
      <c r="K19"/>
      <c r="L19"/>
      <c r="M19"/>
      <c r="N19"/>
      <c r="O19"/>
      <c r="P19"/>
      <c r="Q19"/>
      <c r="R19"/>
      <c r="S19"/>
      <c r="T19"/>
      <c r="U19"/>
      <c r="V19"/>
      <c r="W19"/>
      <c r="X19"/>
      <c r="Y19"/>
      <c r="Z19"/>
      <c r="AA19"/>
      <c r="AB19"/>
      <c r="AC19"/>
      <c r="AD19"/>
      <c r="AE19"/>
      <c r="AF19"/>
      <c r="AG19"/>
      <c r="AH19"/>
      <c r="AI19"/>
      <c r="AJ19"/>
      <c r="AK19"/>
      <c r="AL19"/>
    </row>
    <row r="20" spans="2:38" x14ac:dyDescent="0.2">
      <c r="B20" s="1436" t="s">
        <v>2437</v>
      </c>
      <c r="C20" s="1437" t="s">
        <v>42</v>
      </c>
      <c r="D20" s="1436"/>
      <c r="E20" s="1436"/>
      <c r="F20" s="305" t="s">
        <v>2322</v>
      </c>
      <c r="G20" s="1436" t="s">
        <v>5765</v>
      </c>
      <c r="K20"/>
      <c r="L20"/>
      <c r="M20"/>
      <c r="N20"/>
      <c r="O20"/>
      <c r="P20"/>
      <c r="Q20"/>
      <c r="R20"/>
      <c r="S20"/>
      <c r="T20"/>
      <c r="U20"/>
      <c r="V20"/>
      <c r="W20"/>
      <c r="X20"/>
      <c r="Y20"/>
      <c r="Z20"/>
      <c r="AA20"/>
      <c r="AB20"/>
      <c r="AC20"/>
      <c r="AD20"/>
      <c r="AE20"/>
      <c r="AF20"/>
      <c r="AG20"/>
      <c r="AH20"/>
      <c r="AI20"/>
      <c r="AJ20"/>
      <c r="AK20"/>
      <c r="AL20"/>
    </row>
    <row r="21" spans="2:38" x14ac:dyDescent="0.2">
      <c r="B21" s="1436" t="s">
        <v>2438</v>
      </c>
      <c r="C21" s="1437" t="s">
        <v>42</v>
      </c>
      <c r="D21" s="1436"/>
      <c r="E21" s="1436"/>
      <c r="F21" s="305" t="s">
        <v>2322</v>
      </c>
      <c r="G21" s="1436" t="s">
        <v>5765</v>
      </c>
      <c r="K21"/>
      <c r="L21"/>
      <c r="M21"/>
      <c r="N21"/>
      <c r="O21"/>
      <c r="P21"/>
      <c r="Q21"/>
      <c r="R21"/>
      <c r="S21"/>
      <c r="T21"/>
      <c r="U21"/>
      <c r="V21"/>
      <c r="W21"/>
      <c r="X21"/>
      <c r="Y21"/>
      <c r="Z21"/>
      <c r="AA21"/>
      <c r="AB21"/>
      <c r="AC21"/>
      <c r="AD21"/>
      <c r="AE21"/>
      <c r="AF21"/>
      <c r="AG21"/>
      <c r="AH21"/>
      <c r="AI21"/>
      <c r="AJ21"/>
      <c r="AK21"/>
      <c r="AL21"/>
    </row>
    <row r="22" spans="2:38" x14ac:dyDescent="0.2">
      <c r="B22" s="1436" t="s">
        <v>2439</v>
      </c>
      <c r="C22" s="1437" t="s">
        <v>42</v>
      </c>
      <c r="D22" s="1436"/>
      <c r="E22" s="1436"/>
      <c r="F22" s="305" t="s">
        <v>2322</v>
      </c>
      <c r="G22" s="1436" t="s">
        <v>5765</v>
      </c>
      <c r="K22"/>
      <c r="L22"/>
      <c r="M22"/>
      <c r="N22"/>
      <c r="O22"/>
      <c r="P22"/>
      <c r="Q22"/>
      <c r="R22"/>
      <c r="S22"/>
      <c r="T22"/>
      <c r="U22"/>
      <c r="V22"/>
      <c r="W22"/>
      <c r="X22"/>
      <c r="Y22"/>
      <c r="Z22"/>
      <c r="AA22"/>
      <c r="AB22"/>
      <c r="AC22"/>
      <c r="AD22"/>
      <c r="AE22"/>
      <c r="AF22"/>
      <c r="AG22"/>
      <c r="AH22"/>
      <c r="AI22"/>
      <c r="AJ22"/>
      <c r="AK22"/>
      <c r="AL22"/>
    </row>
    <row r="23" spans="2:38" ht="13.5" thickBot="1" x14ac:dyDescent="0.25">
      <c r="B23" s="1436" t="s">
        <v>2440</v>
      </c>
      <c r="C23" s="1437" t="s">
        <v>42</v>
      </c>
      <c r="D23" s="1436"/>
      <c r="E23" s="1436"/>
      <c r="F23" s="305" t="s">
        <v>2322</v>
      </c>
      <c r="G23" s="1436" t="s">
        <v>5765</v>
      </c>
      <c r="K23"/>
      <c r="L23"/>
      <c r="M23"/>
      <c r="N23"/>
      <c r="O23"/>
      <c r="P23"/>
      <c r="Q23"/>
      <c r="R23"/>
      <c r="S23"/>
      <c r="T23"/>
      <c r="U23"/>
      <c r="V23"/>
      <c r="W23"/>
      <c r="X23"/>
      <c r="Y23"/>
      <c r="Z23"/>
      <c r="AA23"/>
      <c r="AB23"/>
      <c r="AC23"/>
      <c r="AD23"/>
      <c r="AE23"/>
      <c r="AF23"/>
      <c r="AG23"/>
      <c r="AH23"/>
      <c r="AI23"/>
      <c r="AJ23"/>
      <c r="AK23"/>
      <c r="AL23"/>
    </row>
    <row r="24" spans="2:38" ht="13.5" customHeight="1" thickBot="1" x14ac:dyDescent="0.25">
      <c r="B24" s="310" t="s">
        <v>2325</v>
      </c>
      <c r="C24" s="311"/>
      <c r="D24" s="1440"/>
      <c r="E24" s="1440"/>
      <c r="F24" s="308"/>
      <c r="G24" s="309"/>
      <c r="K24"/>
      <c r="L24"/>
      <c r="M24"/>
      <c r="N24"/>
      <c r="O24"/>
      <c r="P24"/>
      <c r="Q24"/>
      <c r="R24"/>
      <c r="S24"/>
      <c r="T24"/>
      <c r="U24"/>
      <c r="V24"/>
      <c r="W24"/>
      <c r="X24"/>
      <c r="Y24"/>
      <c r="Z24"/>
      <c r="AA24"/>
      <c r="AB24"/>
      <c r="AC24"/>
      <c r="AD24"/>
      <c r="AE24"/>
      <c r="AF24"/>
      <c r="AG24"/>
      <c r="AH24"/>
      <c r="AI24"/>
      <c r="AJ24"/>
      <c r="AK24"/>
      <c r="AL24"/>
    </row>
    <row r="25" spans="2:38" x14ac:dyDescent="0.2">
      <c r="B25" s="1436" t="s">
        <v>2324</v>
      </c>
      <c r="C25" s="1439" t="s">
        <v>2325</v>
      </c>
      <c r="D25" s="1438"/>
      <c r="E25" s="1438"/>
      <c r="F25" s="307" t="s">
        <v>2319</v>
      </c>
      <c r="G25" s="1438"/>
      <c r="K25"/>
      <c r="L25"/>
      <c r="M25"/>
      <c r="N25"/>
      <c r="O25"/>
      <c r="P25"/>
      <c r="Q25"/>
      <c r="R25"/>
      <c r="S25"/>
      <c r="T25"/>
      <c r="U25"/>
      <c r="V25"/>
      <c r="W25"/>
      <c r="X25"/>
      <c r="Y25"/>
      <c r="Z25"/>
      <c r="AA25"/>
      <c r="AB25"/>
      <c r="AC25"/>
      <c r="AD25"/>
      <c r="AE25"/>
      <c r="AF25"/>
      <c r="AG25"/>
      <c r="AH25"/>
      <c r="AI25"/>
      <c r="AJ25"/>
      <c r="AK25"/>
      <c r="AL25"/>
    </row>
    <row r="26" spans="2:38" x14ac:dyDescent="0.2">
      <c r="B26" s="1436" t="s">
        <v>41</v>
      </c>
      <c r="C26" s="1437" t="s">
        <v>2325</v>
      </c>
      <c r="D26" s="1436"/>
      <c r="E26" s="1436"/>
      <c r="F26" s="305" t="s">
        <v>2319</v>
      </c>
      <c r="G26" s="1436"/>
      <c r="K26"/>
      <c r="L26"/>
      <c r="M26"/>
      <c r="N26"/>
      <c r="O26"/>
      <c r="P26"/>
      <c r="Q26"/>
      <c r="R26"/>
      <c r="S26"/>
      <c r="T26"/>
      <c r="U26"/>
      <c r="V26"/>
      <c r="W26"/>
      <c r="X26"/>
      <c r="Y26"/>
      <c r="Z26"/>
      <c r="AA26"/>
      <c r="AB26"/>
      <c r="AC26"/>
      <c r="AD26"/>
      <c r="AE26"/>
      <c r="AF26"/>
      <c r="AG26"/>
      <c r="AH26"/>
      <c r="AI26"/>
      <c r="AJ26"/>
      <c r="AK26"/>
      <c r="AL26"/>
    </row>
    <row r="27" spans="2:38" x14ac:dyDescent="0.2">
      <c r="B27" s="1436" t="s">
        <v>11</v>
      </c>
      <c r="C27" s="1437" t="s">
        <v>2325</v>
      </c>
      <c r="D27" s="1436"/>
      <c r="E27" s="1436"/>
      <c r="F27" s="305" t="s">
        <v>2319</v>
      </c>
      <c r="G27" s="1436"/>
      <c r="K27"/>
      <c r="L27"/>
      <c r="M27"/>
      <c r="N27"/>
      <c r="O27"/>
      <c r="P27"/>
      <c r="Q27"/>
      <c r="R27"/>
      <c r="S27"/>
      <c r="T27"/>
      <c r="U27"/>
      <c r="V27"/>
      <c r="W27"/>
      <c r="X27"/>
      <c r="Y27"/>
      <c r="Z27"/>
      <c r="AA27"/>
      <c r="AB27"/>
      <c r="AC27"/>
      <c r="AD27"/>
      <c r="AE27"/>
      <c r="AF27"/>
      <c r="AG27"/>
      <c r="AH27"/>
      <c r="AI27"/>
      <c r="AJ27"/>
      <c r="AK27"/>
      <c r="AL27"/>
    </row>
    <row r="28" spans="2:38" x14ac:dyDescent="0.2">
      <c r="B28" s="1436" t="s">
        <v>230</v>
      </c>
      <c r="C28" s="1437" t="s">
        <v>2325</v>
      </c>
      <c r="D28" s="1436"/>
      <c r="E28" s="1436"/>
      <c r="F28" s="305" t="s">
        <v>2319</v>
      </c>
      <c r="G28" s="1436"/>
      <c r="K28"/>
      <c r="L28"/>
      <c r="M28"/>
      <c r="N28"/>
      <c r="O28"/>
      <c r="P28"/>
      <c r="Q28"/>
      <c r="R28"/>
      <c r="S28"/>
      <c r="T28"/>
      <c r="U28"/>
      <c r="V28"/>
      <c r="W28"/>
      <c r="X28"/>
      <c r="Y28"/>
      <c r="Z28"/>
      <c r="AA28"/>
      <c r="AB28"/>
      <c r="AC28"/>
      <c r="AD28"/>
      <c r="AE28"/>
      <c r="AF28"/>
      <c r="AG28"/>
      <c r="AH28"/>
      <c r="AI28"/>
      <c r="AJ28"/>
      <c r="AK28"/>
      <c r="AL28"/>
    </row>
    <row r="29" spans="2:38" x14ac:dyDescent="0.2">
      <c r="B29" s="1436" t="s">
        <v>1686</v>
      </c>
      <c r="C29" s="1437" t="s">
        <v>2325</v>
      </c>
      <c r="D29" s="1436"/>
      <c r="E29" s="1436"/>
      <c r="F29" s="305" t="s">
        <v>2319</v>
      </c>
      <c r="G29" s="1436"/>
      <c r="K29"/>
      <c r="L29"/>
      <c r="M29"/>
      <c r="N29"/>
      <c r="O29"/>
      <c r="P29"/>
      <c r="Q29"/>
      <c r="R29"/>
      <c r="S29"/>
      <c r="T29"/>
      <c r="U29"/>
      <c r="V29"/>
      <c r="W29"/>
      <c r="X29"/>
      <c r="Y29"/>
      <c r="Z29"/>
      <c r="AA29"/>
      <c r="AB29"/>
      <c r="AC29"/>
      <c r="AD29"/>
      <c r="AE29"/>
      <c r="AF29"/>
      <c r="AG29"/>
      <c r="AH29"/>
      <c r="AI29"/>
      <c r="AJ29"/>
      <c r="AK29"/>
      <c r="AL29"/>
    </row>
    <row r="30" spans="2:38" x14ac:dyDescent="0.2">
      <c r="B30" s="1436" t="s">
        <v>1298</v>
      </c>
      <c r="C30" s="1437" t="s">
        <v>2325</v>
      </c>
      <c r="D30" s="1436" t="s">
        <v>5764</v>
      </c>
      <c r="E30" s="1436" t="s">
        <v>5748</v>
      </c>
      <c r="F30" s="305" t="s">
        <v>2322</v>
      </c>
      <c r="G30" s="1436" t="s">
        <v>5747</v>
      </c>
      <c r="K30"/>
      <c r="L30"/>
      <c r="M30"/>
      <c r="N30"/>
      <c r="O30"/>
      <c r="P30"/>
      <c r="Q30"/>
      <c r="R30"/>
      <c r="S30"/>
      <c r="T30"/>
      <c r="U30"/>
      <c r="V30"/>
      <c r="W30"/>
      <c r="X30"/>
      <c r="Y30"/>
      <c r="Z30"/>
      <c r="AA30"/>
      <c r="AB30"/>
      <c r="AC30"/>
      <c r="AD30"/>
      <c r="AE30"/>
      <c r="AF30"/>
      <c r="AG30"/>
      <c r="AH30"/>
      <c r="AI30"/>
      <c r="AJ30"/>
      <c r="AK30"/>
      <c r="AL30"/>
    </row>
    <row r="31" spans="2:38" x14ac:dyDescent="0.2">
      <c r="B31" s="1436" t="s">
        <v>1299</v>
      </c>
      <c r="C31" s="1437" t="s">
        <v>2325</v>
      </c>
      <c r="D31" s="1436" t="s">
        <v>5763</v>
      </c>
      <c r="E31" s="1436" t="s">
        <v>5748</v>
      </c>
      <c r="F31" s="305" t="s">
        <v>2322</v>
      </c>
      <c r="G31" s="1436" t="s">
        <v>5762</v>
      </c>
      <c r="K31"/>
      <c r="L31"/>
      <c r="M31"/>
      <c r="N31"/>
      <c r="O31"/>
      <c r="P31"/>
      <c r="Q31"/>
      <c r="R31"/>
      <c r="S31"/>
      <c r="T31"/>
      <c r="U31"/>
      <c r="V31"/>
      <c r="W31"/>
      <c r="X31"/>
      <c r="Y31"/>
      <c r="Z31"/>
      <c r="AA31"/>
      <c r="AB31"/>
      <c r="AC31"/>
      <c r="AD31"/>
      <c r="AE31"/>
      <c r="AF31"/>
      <c r="AG31"/>
      <c r="AH31"/>
      <c r="AI31"/>
      <c r="AJ31"/>
      <c r="AK31"/>
      <c r="AL31"/>
    </row>
    <row r="32" spans="2:38" x14ac:dyDescent="0.2">
      <c r="B32" s="1436" t="s">
        <v>2215</v>
      </c>
      <c r="C32" s="1437" t="s">
        <v>2325</v>
      </c>
      <c r="D32" s="1436" t="s">
        <v>5761</v>
      </c>
      <c r="E32" s="1436" t="s">
        <v>5748</v>
      </c>
      <c r="F32" s="305" t="s">
        <v>2322</v>
      </c>
      <c r="G32" s="1436" t="s">
        <v>5747</v>
      </c>
      <c r="K32"/>
      <c r="L32"/>
      <c r="M32"/>
      <c r="N32"/>
      <c r="O32"/>
      <c r="P32"/>
      <c r="Q32"/>
      <c r="R32"/>
      <c r="S32"/>
      <c r="T32"/>
      <c r="U32"/>
      <c r="V32"/>
      <c r="W32"/>
      <c r="X32"/>
      <c r="Y32"/>
      <c r="Z32"/>
      <c r="AA32"/>
      <c r="AB32"/>
      <c r="AC32"/>
      <c r="AD32"/>
      <c r="AE32"/>
      <c r="AF32"/>
      <c r="AG32"/>
      <c r="AH32"/>
      <c r="AI32"/>
      <c r="AJ32"/>
      <c r="AK32"/>
      <c r="AL32"/>
    </row>
    <row r="33" spans="2:38" x14ac:dyDescent="0.2">
      <c r="B33" s="1436" t="s">
        <v>2216</v>
      </c>
      <c r="C33" s="1437" t="s">
        <v>2325</v>
      </c>
      <c r="D33" s="1436" t="s">
        <v>5760</v>
      </c>
      <c r="E33" s="1436" t="s">
        <v>5748</v>
      </c>
      <c r="F33" s="305" t="s">
        <v>2322</v>
      </c>
      <c r="G33" s="1436" t="s">
        <v>5747</v>
      </c>
      <c r="K33"/>
      <c r="L33"/>
      <c r="M33"/>
      <c r="N33"/>
      <c r="O33"/>
      <c r="P33"/>
      <c r="Q33"/>
      <c r="R33"/>
      <c r="S33"/>
      <c r="T33"/>
      <c r="U33"/>
      <c r="V33"/>
      <c r="W33"/>
      <c r="X33"/>
      <c r="Y33"/>
      <c r="Z33"/>
      <c r="AA33"/>
      <c r="AB33"/>
      <c r="AC33"/>
      <c r="AD33"/>
      <c r="AE33"/>
      <c r="AF33"/>
      <c r="AG33"/>
      <c r="AH33"/>
      <c r="AI33"/>
      <c r="AJ33"/>
      <c r="AK33"/>
      <c r="AL33"/>
    </row>
    <row r="34" spans="2:38" x14ac:dyDescent="0.2">
      <c r="B34" s="1436" t="s">
        <v>2217</v>
      </c>
      <c r="C34" s="1437" t="s">
        <v>2325</v>
      </c>
      <c r="D34" s="1436" t="s">
        <v>5759</v>
      </c>
      <c r="E34" s="1436" t="s">
        <v>5748</v>
      </c>
      <c r="F34" s="305" t="s">
        <v>2322</v>
      </c>
      <c r="G34" s="1436" t="s">
        <v>5747</v>
      </c>
      <c r="K34"/>
      <c r="L34"/>
      <c r="M34"/>
      <c r="N34"/>
      <c r="O34"/>
      <c r="P34"/>
      <c r="Q34"/>
      <c r="R34"/>
      <c r="S34"/>
      <c r="T34"/>
      <c r="U34"/>
      <c r="V34"/>
      <c r="W34"/>
      <c r="X34"/>
      <c r="Y34"/>
      <c r="Z34"/>
      <c r="AA34"/>
      <c r="AB34"/>
      <c r="AC34"/>
      <c r="AD34"/>
      <c r="AE34"/>
      <c r="AF34"/>
      <c r="AG34"/>
      <c r="AH34"/>
      <c r="AI34"/>
      <c r="AJ34"/>
      <c r="AK34"/>
      <c r="AL34"/>
    </row>
    <row r="35" spans="2:38" x14ac:dyDescent="0.2">
      <c r="B35" s="1436" t="s">
        <v>2218</v>
      </c>
      <c r="C35" s="1437" t="s">
        <v>2325</v>
      </c>
      <c r="D35" s="1436" t="s">
        <v>5758</v>
      </c>
      <c r="E35" s="1436" t="s">
        <v>5748</v>
      </c>
      <c r="F35" s="305" t="s">
        <v>2322</v>
      </c>
      <c r="G35" s="1436" t="s">
        <v>5747</v>
      </c>
      <c r="K35"/>
      <c r="L35"/>
      <c r="M35"/>
      <c r="N35"/>
      <c r="O35"/>
      <c r="P35"/>
      <c r="Q35"/>
      <c r="R35"/>
      <c r="S35"/>
      <c r="T35"/>
      <c r="U35"/>
      <c r="V35"/>
      <c r="W35"/>
      <c r="X35"/>
      <c r="Y35"/>
      <c r="Z35"/>
      <c r="AA35"/>
      <c r="AB35"/>
      <c r="AC35"/>
      <c r="AD35"/>
      <c r="AE35"/>
      <c r="AF35"/>
      <c r="AG35"/>
      <c r="AH35"/>
      <c r="AI35"/>
      <c r="AJ35"/>
      <c r="AK35"/>
      <c r="AL35"/>
    </row>
    <row r="36" spans="2:38" x14ac:dyDescent="0.2">
      <c r="B36" s="1436" t="s">
        <v>1300</v>
      </c>
      <c r="C36" s="1437" t="s">
        <v>2325</v>
      </c>
      <c r="D36" s="1436" t="s">
        <v>5757</v>
      </c>
      <c r="E36" s="1436" t="s">
        <v>5748</v>
      </c>
      <c r="F36" s="305" t="s">
        <v>2322</v>
      </c>
      <c r="G36" s="1436" t="s">
        <v>5747</v>
      </c>
      <c r="K36"/>
      <c r="L36"/>
      <c r="M36"/>
      <c r="N36"/>
      <c r="O36"/>
      <c r="P36"/>
      <c r="Q36"/>
      <c r="R36"/>
      <c r="S36"/>
      <c r="T36"/>
      <c r="U36"/>
      <c r="V36"/>
      <c r="W36"/>
      <c r="X36"/>
      <c r="Y36"/>
      <c r="Z36"/>
      <c r="AA36"/>
      <c r="AB36"/>
      <c r="AC36"/>
      <c r="AD36"/>
      <c r="AE36"/>
      <c r="AF36"/>
      <c r="AG36"/>
      <c r="AH36"/>
      <c r="AI36"/>
      <c r="AJ36"/>
      <c r="AK36"/>
      <c r="AL36"/>
    </row>
    <row r="37" spans="2:38" x14ac:dyDescent="0.2">
      <c r="B37" s="1436" t="s">
        <v>1301</v>
      </c>
      <c r="C37" s="1437" t="s">
        <v>2325</v>
      </c>
      <c r="D37" s="1436" t="s">
        <v>5756</v>
      </c>
      <c r="E37" s="1436" t="s">
        <v>5748</v>
      </c>
      <c r="F37" s="305" t="s">
        <v>2322</v>
      </c>
      <c r="G37" s="1436" t="s">
        <v>5747</v>
      </c>
      <c r="K37"/>
      <c r="L37"/>
      <c r="M37"/>
      <c r="N37"/>
      <c r="O37"/>
      <c r="P37"/>
      <c r="Q37"/>
      <c r="R37"/>
      <c r="S37"/>
      <c r="T37"/>
      <c r="U37"/>
      <c r="V37"/>
      <c r="W37"/>
      <c r="X37"/>
      <c r="Y37"/>
      <c r="Z37"/>
      <c r="AA37"/>
      <c r="AB37"/>
      <c r="AC37"/>
      <c r="AD37"/>
      <c r="AE37"/>
      <c r="AF37"/>
      <c r="AG37"/>
      <c r="AH37"/>
      <c r="AI37"/>
      <c r="AJ37"/>
      <c r="AK37"/>
      <c r="AL37"/>
    </row>
    <row r="38" spans="2:38" x14ac:dyDescent="0.2">
      <c r="B38" s="1436" t="s">
        <v>2219</v>
      </c>
      <c r="C38" s="1437" t="s">
        <v>2325</v>
      </c>
      <c r="D38" s="1436" t="s">
        <v>5755</v>
      </c>
      <c r="E38" s="1436" t="s">
        <v>5752</v>
      </c>
      <c r="F38" s="305" t="s">
        <v>2322</v>
      </c>
      <c r="G38" s="1436" t="s">
        <v>5754</v>
      </c>
      <c r="K38"/>
      <c r="L38"/>
      <c r="M38"/>
      <c r="N38"/>
      <c r="O38"/>
      <c r="P38"/>
      <c r="Q38"/>
      <c r="R38"/>
      <c r="S38"/>
      <c r="T38"/>
      <c r="U38"/>
      <c r="V38"/>
      <c r="W38"/>
      <c r="X38"/>
      <c r="Y38"/>
      <c r="Z38"/>
      <c r="AA38"/>
      <c r="AB38"/>
      <c r="AC38"/>
      <c r="AD38"/>
      <c r="AE38"/>
      <c r="AF38"/>
      <c r="AG38"/>
      <c r="AH38"/>
      <c r="AI38"/>
      <c r="AJ38"/>
      <c r="AK38"/>
      <c r="AL38"/>
    </row>
    <row r="39" spans="2:38" x14ac:dyDescent="0.2">
      <c r="B39" s="1436" t="s">
        <v>2220</v>
      </c>
      <c r="C39" s="1437" t="s">
        <v>2325</v>
      </c>
      <c r="D39" s="1436" t="s">
        <v>5753</v>
      </c>
      <c r="E39" s="1436" t="s">
        <v>5752</v>
      </c>
      <c r="F39" s="305" t="s">
        <v>2322</v>
      </c>
      <c r="G39" s="1436" t="s">
        <v>5751</v>
      </c>
      <c r="K39"/>
      <c r="L39"/>
      <c r="M39"/>
      <c r="N39"/>
      <c r="O39"/>
      <c r="P39"/>
      <c r="Q39"/>
      <c r="R39"/>
      <c r="S39"/>
      <c r="T39"/>
      <c r="U39"/>
      <c r="V39"/>
      <c r="W39"/>
      <c r="X39"/>
      <c r="Y39"/>
      <c r="Z39"/>
      <c r="AA39"/>
      <c r="AB39"/>
      <c r="AC39"/>
      <c r="AD39"/>
      <c r="AE39"/>
      <c r="AF39"/>
      <c r="AG39"/>
      <c r="AH39"/>
      <c r="AI39"/>
      <c r="AJ39"/>
      <c r="AK39"/>
      <c r="AL39"/>
    </row>
    <row r="40" spans="2:38" x14ac:dyDescent="0.2">
      <c r="B40" s="1436" t="s">
        <v>2221</v>
      </c>
      <c r="C40" s="1437" t="s">
        <v>2325</v>
      </c>
      <c r="D40" s="1436" t="s">
        <v>5750</v>
      </c>
      <c r="E40" s="1436" t="s">
        <v>5748</v>
      </c>
      <c r="F40" s="305" t="s">
        <v>2322</v>
      </c>
      <c r="G40" s="1436" t="s">
        <v>5747</v>
      </c>
      <c r="K40"/>
      <c r="L40"/>
      <c r="M40"/>
      <c r="N40"/>
      <c r="O40"/>
      <c r="P40"/>
      <c r="Q40"/>
      <c r="R40"/>
      <c r="S40"/>
      <c r="T40"/>
      <c r="U40"/>
      <c r="V40"/>
      <c r="W40"/>
      <c r="X40"/>
      <c r="Y40"/>
      <c r="Z40"/>
      <c r="AA40"/>
      <c r="AB40"/>
      <c r="AC40"/>
      <c r="AD40"/>
      <c r="AE40"/>
      <c r="AF40"/>
      <c r="AG40"/>
      <c r="AH40"/>
      <c r="AI40"/>
      <c r="AJ40"/>
      <c r="AK40"/>
      <c r="AL40"/>
    </row>
    <row r="41" spans="2:38" x14ac:dyDescent="0.2">
      <c r="B41" s="1436" t="s">
        <v>2222</v>
      </c>
      <c r="C41" s="1437" t="s">
        <v>2325</v>
      </c>
      <c r="D41" s="1436"/>
      <c r="E41" s="1436"/>
      <c r="F41" s="305" t="s">
        <v>2319</v>
      </c>
      <c r="G41" s="1436"/>
      <c r="K41"/>
      <c r="L41"/>
      <c r="M41"/>
      <c r="N41"/>
      <c r="O41"/>
      <c r="P41"/>
      <c r="Q41"/>
      <c r="R41"/>
      <c r="S41"/>
      <c r="T41"/>
      <c r="U41"/>
      <c r="V41"/>
      <c r="W41"/>
      <c r="X41"/>
      <c r="Y41"/>
      <c r="Z41"/>
      <c r="AA41"/>
      <c r="AB41"/>
      <c r="AC41"/>
      <c r="AD41"/>
      <c r="AE41"/>
      <c r="AF41"/>
      <c r="AG41"/>
      <c r="AH41"/>
      <c r="AI41"/>
      <c r="AJ41"/>
      <c r="AK41"/>
      <c r="AL41"/>
    </row>
    <row r="42" spans="2:38" x14ac:dyDescent="0.2">
      <c r="B42" s="1436" t="s">
        <v>2223</v>
      </c>
      <c r="C42" s="1437" t="s">
        <v>2325</v>
      </c>
      <c r="D42" s="1436"/>
      <c r="E42" s="1436"/>
      <c r="F42" s="305" t="s">
        <v>2319</v>
      </c>
      <c r="G42" s="1436"/>
      <c r="K42"/>
      <c r="L42"/>
      <c r="M42"/>
      <c r="N42"/>
      <c r="O42"/>
      <c r="P42"/>
      <c r="Q42"/>
      <c r="R42"/>
      <c r="S42"/>
      <c r="T42"/>
      <c r="U42"/>
      <c r="V42"/>
      <c r="W42"/>
      <c r="X42"/>
      <c r="Y42"/>
      <c r="Z42"/>
      <c r="AA42"/>
      <c r="AB42"/>
      <c r="AC42"/>
      <c r="AD42"/>
      <c r="AE42"/>
      <c r="AF42"/>
      <c r="AG42"/>
      <c r="AH42"/>
      <c r="AI42"/>
      <c r="AJ42"/>
      <c r="AK42"/>
      <c r="AL42"/>
    </row>
    <row r="43" spans="2:38" x14ac:dyDescent="0.2">
      <c r="B43" s="1436" t="s">
        <v>2224</v>
      </c>
      <c r="C43" s="1437" t="s">
        <v>2325</v>
      </c>
      <c r="D43" s="1436"/>
      <c r="E43" s="1436"/>
      <c r="F43" s="305" t="s">
        <v>2319</v>
      </c>
      <c r="G43" s="1436"/>
      <c r="K43"/>
      <c r="L43"/>
      <c r="M43"/>
      <c r="N43"/>
      <c r="O43"/>
      <c r="P43"/>
      <c r="Q43"/>
      <c r="R43"/>
      <c r="S43"/>
      <c r="T43"/>
      <c r="U43"/>
      <c r="V43"/>
      <c r="W43"/>
      <c r="X43"/>
      <c r="Y43"/>
      <c r="Z43"/>
      <c r="AA43"/>
      <c r="AB43"/>
      <c r="AC43"/>
      <c r="AD43"/>
      <c r="AE43"/>
      <c r="AF43"/>
      <c r="AG43"/>
      <c r="AH43"/>
      <c r="AI43"/>
      <c r="AJ43"/>
      <c r="AK43"/>
      <c r="AL43"/>
    </row>
    <row r="44" spans="2:38" x14ac:dyDescent="0.2">
      <c r="B44" s="1436" t="s">
        <v>2225</v>
      </c>
      <c r="C44" s="1437" t="s">
        <v>2325</v>
      </c>
      <c r="D44" s="1436"/>
      <c r="E44" s="1436"/>
      <c r="F44" s="305" t="s">
        <v>2319</v>
      </c>
      <c r="G44" s="1436"/>
      <c r="K44"/>
      <c r="L44"/>
      <c r="M44"/>
      <c r="N44"/>
      <c r="O44"/>
      <c r="P44"/>
      <c r="Q44"/>
      <c r="R44"/>
      <c r="S44"/>
      <c r="T44"/>
      <c r="U44"/>
      <c r="V44"/>
      <c r="W44"/>
      <c r="X44"/>
      <c r="Y44"/>
      <c r="Z44"/>
      <c r="AA44"/>
      <c r="AB44"/>
      <c r="AC44"/>
      <c r="AD44"/>
      <c r="AE44"/>
      <c r="AF44"/>
      <c r="AG44"/>
      <c r="AH44"/>
      <c r="AI44"/>
      <c r="AJ44"/>
      <c r="AK44"/>
      <c r="AL44"/>
    </row>
    <row r="45" spans="2:38" ht="13.5" customHeight="1" thickBot="1" x14ac:dyDescent="0.25">
      <c r="B45" s="1441" t="s">
        <v>2227</v>
      </c>
      <c r="C45" s="1442" t="s">
        <v>2325</v>
      </c>
      <c r="D45" s="1441" t="s">
        <v>5749</v>
      </c>
      <c r="E45" s="1441" t="s">
        <v>5748</v>
      </c>
      <c r="F45" s="306" t="s">
        <v>2322</v>
      </c>
      <c r="G45" s="1441" t="s">
        <v>5747</v>
      </c>
      <c r="K45"/>
      <c r="L45"/>
      <c r="M45"/>
      <c r="N45"/>
      <c r="O45"/>
      <c r="P45"/>
      <c r="Q45"/>
      <c r="R45"/>
      <c r="S45"/>
      <c r="T45"/>
      <c r="U45"/>
      <c r="V45"/>
      <c r="W45"/>
      <c r="X45"/>
      <c r="Y45"/>
      <c r="Z45"/>
      <c r="AA45"/>
      <c r="AB45"/>
      <c r="AC45"/>
      <c r="AD45"/>
      <c r="AE45"/>
      <c r="AF45"/>
      <c r="AG45"/>
      <c r="AH45"/>
      <c r="AI45"/>
      <c r="AJ45"/>
      <c r="AK45"/>
      <c r="AL45"/>
    </row>
    <row r="46" spans="2:38" ht="13.5" customHeight="1" thickBot="1" x14ac:dyDescent="0.25">
      <c r="B46" s="310" t="s">
        <v>2326</v>
      </c>
      <c r="C46" s="311"/>
      <c r="D46" s="1440"/>
      <c r="E46" s="1440"/>
      <c r="F46" s="308"/>
      <c r="G46" s="309"/>
      <c r="K46"/>
      <c r="L46"/>
      <c r="M46"/>
      <c r="N46"/>
      <c r="O46"/>
      <c r="P46"/>
      <c r="Q46"/>
      <c r="R46"/>
      <c r="S46"/>
      <c r="T46"/>
      <c r="U46"/>
      <c r="V46"/>
      <c r="W46"/>
      <c r="X46"/>
      <c r="Y46"/>
      <c r="Z46"/>
      <c r="AA46"/>
      <c r="AB46"/>
      <c r="AC46"/>
      <c r="AD46"/>
      <c r="AE46"/>
      <c r="AF46"/>
      <c r="AG46"/>
      <c r="AH46"/>
      <c r="AI46"/>
      <c r="AJ46"/>
      <c r="AK46"/>
      <c r="AL46"/>
    </row>
    <row r="47" spans="2:38" x14ac:dyDescent="0.2">
      <c r="B47" s="1436" t="s">
        <v>2328</v>
      </c>
      <c r="C47" s="1439" t="s">
        <v>2333</v>
      </c>
      <c r="D47" s="1438"/>
      <c r="E47" s="1438"/>
      <c r="F47" s="307" t="s">
        <v>2319</v>
      </c>
      <c r="G47" s="1438"/>
      <c r="K47"/>
      <c r="L47"/>
      <c r="M47"/>
      <c r="N47"/>
      <c r="O47"/>
      <c r="P47"/>
      <c r="Q47"/>
      <c r="R47"/>
      <c r="S47"/>
      <c r="T47"/>
      <c r="U47"/>
      <c r="V47"/>
      <c r="W47"/>
      <c r="X47"/>
      <c r="Y47"/>
      <c r="Z47"/>
      <c r="AA47"/>
      <c r="AB47"/>
      <c r="AC47"/>
      <c r="AD47"/>
      <c r="AE47"/>
      <c r="AF47"/>
      <c r="AG47"/>
      <c r="AH47"/>
      <c r="AI47"/>
      <c r="AJ47"/>
      <c r="AK47"/>
      <c r="AL47"/>
    </row>
    <row r="48" spans="2:38" x14ac:dyDescent="0.2">
      <c r="B48" s="1436" t="s">
        <v>2328</v>
      </c>
      <c r="C48" s="1437" t="s">
        <v>2334</v>
      </c>
      <c r="D48" s="1438" t="s">
        <v>5746</v>
      </c>
      <c r="E48" s="1438" t="s">
        <v>5745</v>
      </c>
      <c r="F48" s="305" t="s">
        <v>2322</v>
      </c>
      <c r="G48" s="1436" t="s">
        <v>5742</v>
      </c>
      <c r="K48"/>
      <c r="L48"/>
      <c r="M48"/>
      <c r="N48"/>
      <c r="O48"/>
      <c r="P48"/>
      <c r="Q48"/>
      <c r="R48"/>
      <c r="S48"/>
      <c r="T48"/>
      <c r="U48"/>
      <c r="V48"/>
      <c r="W48"/>
      <c r="X48"/>
      <c r="Y48"/>
      <c r="Z48"/>
      <c r="AA48"/>
      <c r="AB48"/>
      <c r="AC48"/>
      <c r="AD48"/>
      <c r="AE48"/>
      <c r="AF48"/>
      <c r="AG48"/>
      <c r="AH48"/>
      <c r="AI48"/>
      <c r="AJ48"/>
      <c r="AK48"/>
      <c r="AL48"/>
    </row>
    <row r="49" spans="2:38" x14ac:dyDescent="0.2">
      <c r="B49" s="1436" t="s">
        <v>2328</v>
      </c>
      <c r="C49" s="1437" t="s">
        <v>2335</v>
      </c>
      <c r="D49" s="1438" t="s">
        <v>5744</v>
      </c>
      <c r="E49" s="1438" t="s">
        <v>5743</v>
      </c>
      <c r="F49" s="305" t="s">
        <v>2322</v>
      </c>
      <c r="G49" s="1436" t="s">
        <v>5742</v>
      </c>
      <c r="K49"/>
      <c r="L49"/>
      <c r="M49"/>
      <c r="N49"/>
      <c r="O49"/>
      <c r="P49"/>
      <c r="Q49"/>
      <c r="R49"/>
      <c r="S49"/>
      <c r="T49"/>
      <c r="U49"/>
      <c r="V49"/>
      <c r="W49"/>
      <c r="X49"/>
      <c r="Y49"/>
      <c r="Z49"/>
      <c r="AA49"/>
      <c r="AB49"/>
      <c r="AC49"/>
      <c r="AD49"/>
      <c r="AE49"/>
      <c r="AF49"/>
      <c r="AG49"/>
      <c r="AH49"/>
      <c r="AI49"/>
      <c r="AJ49"/>
      <c r="AK49"/>
      <c r="AL49"/>
    </row>
    <row r="50" spans="2:38" x14ac:dyDescent="0.2">
      <c r="B50" s="1436" t="s">
        <v>2328</v>
      </c>
      <c r="C50" s="1437" t="s">
        <v>2336</v>
      </c>
      <c r="D50" s="1438" t="s">
        <v>5741</v>
      </c>
      <c r="E50" s="1438" t="s">
        <v>5740</v>
      </c>
      <c r="F50" s="305" t="s">
        <v>2322</v>
      </c>
      <c r="G50" s="1436" t="s">
        <v>5739</v>
      </c>
      <c r="K50"/>
      <c r="L50"/>
      <c r="M50"/>
      <c r="N50"/>
      <c r="O50"/>
      <c r="P50"/>
      <c r="Q50"/>
      <c r="R50"/>
      <c r="S50"/>
      <c r="T50"/>
      <c r="U50"/>
      <c r="V50"/>
      <c r="W50"/>
      <c r="X50"/>
      <c r="Y50"/>
      <c r="Z50"/>
      <c r="AA50"/>
      <c r="AB50"/>
      <c r="AC50"/>
      <c r="AD50"/>
      <c r="AE50"/>
      <c r="AF50"/>
      <c r="AG50"/>
      <c r="AH50"/>
      <c r="AI50"/>
      <c r="AJ50"/>
      <c r="AK50"/>
      <c r="AL50"/>
    </row>
    <row r="51" spans="2:38" x14ac:dyDescent="0.2">
      <c r="B51" s="1436" t="s">
        <v>2328</v>
      </c>
      <c r="C51" s="1437" t="s">
        <v>2337</v>
      </c>
      <c r="D51" s="1438" t="s">
        <v>5738</v>
      </c>
      <c r="E51" s="1438" t="s">
        <v>5737</v>
      </c>
      <c r="F51" s="305" t="s">
        <v>2322</v>
      </c>
      <c r="G51" s="1436" t="s">
        <v>5736</v>
      </c>
      <c r="K51"/>
      <c r="L51"/>
      <c r="M51"/>
      <c r="N51"/>
      <c r="O51"/>
      <c r="P51"/>
      <c r="Q51"/>
      <c r="R51"/>
      <c r="S51"/>
      <c r="T51"/>
      <c r="U51"/>
      <c r="V51"/>
      <c r="W51"/>
      <c r="X51"/>
      <c r="Y51"/>
      <c r="Z51"/>
      <c r="AA51"/>
      <c r="AB51"/>
      <c r="AC51"/>
      <c r="AD51"/>
      <c r="AE51"/>
      <c r="AF51"/>
      <c r="AG51"/>
      <c r="AH51"/>
      <c r="AI51"/>
      <c r="AJ51"/>
      <c r="AK51"/>
      <c r="AL51"/>
    </row>
    <row r="52" spans="2:38" x14ac:dyDescent="0.2">
      <c r="B52" s="1436" t="s">
        <v>2328</v>
      </c>
      <c r="C52" s="1437" t="s">
        <v>2338</v>
      </c>
      <c r="D52" s="1438" t="s">
        <v>5735</v>
      </c>
      <c r="E52" s="1438" t="s">
        <v>5734</v>
      </c>
      <c r="F52" s="305" t="s">
        <v>2322</v>
      </c>
      <c r="G52" s="1436" t="s">
        <v>5733</v>
      </c>
      <c r="K52"/>
      <c r="L52"/>
      <c r="M52"/>
      <c r="N52"/>
      <c r="O52"/>
      <c r="P52"/>
      <c r="Q52"/>
      <c r="R52"/>
      <c r="S52"/>
      <c r="T52"/>
      <c r="U52"/>
      <c r="V52"/>
      <c r="W52"/>
      <c r="X52"/>
      <c r="Y52"/>
      <c r="Z52"/>
      <c r="AA52"/>
      <c r="AB52"/>
      <c r="AC52"/>
      <c r="AD52"/>
      <c r="AE52"/>
      <c r="AF52"/>
      <c r="AG52"/>
      <c r="AH52"/>
      <c r="AI52"/>
      <c r="AJ52"/>
      <c r="AK52"/>
      <c r="AL52"/>
    </row>
    <row r="53" spans="2:38" x14ac:dyDescent="0.2">
      <c r="B53" s="1436" t="s">
        <v>2328</v>
      </c>
      <c r="C53" s="1437" t="s">
        <v>5732</v>
      </c>
      <c r="D53" s="1438" t="s">
        <v>5731</v>
      </c>
      <c r="E53" s="1438" t="s">
        <v>5730</v>
      </c>
      <c r="F53" s="305" t="s">
        <v>2322</v>
      </c>
      <c r="G53" s="1436" t="s">
        <v>5729</v>
      </c>
      <c r="K53"/>
      <c r="L53"/>
      <c r="M53"/>
      <c r="N53"/>
      <c r="O53"/>
      <c r="P53"/>
      <c r="Q53"/>
      <c r="R53"/>
      <c r="S53"/>
      <c r="T53"/>
      <c r="U53"/>
      <c r="V53"/>
      <c r="W53"/>
      <c r="X53"/>
      <c r="Y53"/>
      <c r="Z53"/>
      <c r="AA53"/>
      <c r="AB53"/>
      <c r="AC53"/>
      <c r="AD53"/>
      <c r="AE53"/>
      <c r="AF53"/>
      <c r="AG53"/>
      <c r="AH53"/>
      <c r="AI53"/>
      <c r="AJ53"/>
      <c r="AK53"/>
      <c r="AL53"/>
    </row>
    <row r="54" spans="2:38" x14ac:dyDescent="0.2">
      <c r="B54" s="1436" t="s">
        <v>2328</v>
      </c>
      <c r="C54" s="1437" t="s">
        <v>5728</v>
      </c>
      <c r="D54" s="1438" t="s">
        <v>5727</v>
      </c>
      <c r="E54" s="1438" t="s">
        <v>5726</v>
      </c>
      <c r="F54" s="305" t="s">
        <v>2322</v>
      </c>
      <c r="G54" s="1436" t="s">
        <v>5725</v>
      </c>
      <c r="K54"/>
      <c r="L54"/>
      <c r="M54"/>
      <c r="N54"/>
      <c r="O54"/>
      <c r="P54"/>
      <c r="Q54"/>
      <c r="R54"/>
      <c r="S54"/>
      <c r="T54"/>
      <c r="U54"/>
      <c r="V54"/>
      <c r="W54"/>
      <c r="X54"/>
      <c r="Y54"/>
      <c r="Z54"/>
      <c r="AA54"/>
      <c r="AB54"/>
      <c r="AC54"/>
      <c r="AD54"/>
      <c r="AE54"/>
      <c r="AF54"/>
      <c r="AG54"/>
      <c r="AH54"/>
      <c r="AI54"/>
      <c r="AJ54"/>
      <c r="AK54"/>
      <c r="AL54"/>
    </row>
    <row r="55" spans="2:38" x14ac:dyDescent="0.2">
      <c r="B55" s="1436" t="s">
        <v>2328</v>
      </c>
      <c r="C55" s="1437" t="s">
        <v>5724</v>
      </c>
      <c r="D55" s="1436" t="s">
        <v>5723</v>
      </c>
      <c r="E55" s="1436" t="s">
        <v>5722</v>
      </c>
      <c r="F55" s="305" t="s">
        <v>2322</v>
      </c>
      <c r="G55" s="1436" t="s">
        <v>5721</v>
      </c>
      <c r="K55"/>
      <c r="L55"/>
      <c r="M55"/>
      <c r="N55"/>
      <c r="O55"/>
      <c r="P55"/>
      <c r="Q55"/>
      <c r="R55"/>
      <c r="S55"/>
      <c r="T55"/>
      <c r="U55"/>
      <c r="V55"/>
      <c r="W55"/>
      <c r="X55"/>
      <c r="Y55"/>
      <c r="Z55"/>
      <c r="AA55"/>
      <c r="AB55"/>
      <c r="AC55"/>
      <c r="AD55"/>
      <c r="AE55"/>
      <c r="AF55"/>
      <c r="AG55"/>
      <c r="AH55"/>
      <c r="AI55"/>
      <c r="AJ55"/>
      <c r="AK55"/>
      <c r="AL55"/>
    </row>
    <row r="56" spans="2:38" x14ac:dyDescent="0.2">
      <c r="B56" s="1436" t="s">
        <v>2328</v>
      </c>
      <c r="C56" s="1437" t="s">
        <v>5720</v>
      </c>
      <c r="D56" s="1436" t="s">
        <v>5719</v>
      </c>
      <c r="E56" s="1436" t="s">
        <v>5718</v>
      </c>
      <c r="F56" s="305" t="s">
        <v>2322</v>
      </c>
      <c r="G56" s="1436" t="s">
        <v>5717</v>
      </c>
      <c r="K56"/>
      <c r="L56"/>
      <c r="M56"/>
      <c r="N56"/>
      <c r="O56"/>
      <c r="P56"/>
      <c r="Q56"/>
      <c r="R56"/>
      <c r="S56"/>
      <c r="T56"/>
      <c r="U56"/>
      <c r="V56"/>
      <c r="W56"/>
      <c r="X56"/>
      <c r="Y56"/>
      <c r="Z56"/>
      <c r="AA56"/>
      <c r="AB56"/>
      <c r="AC56"/>
      <c r="AD56"/>
      <c r="AE56"/>
      <c r="AF56"/>
      <c r="AG56"/>
      <c r="AH56"/>
      <c r="AI56"/>
      <c r="AJ56"/>
      <c r="AK56"/>
      <c r="AL56"/>
    </row>
    <row r="57" spans="2:38" x14ac:dyDescent="0.2">
      <c r="B57" s="1436" t="s">
        <v>2328</v>
      </c>
      <c r="C57" s="1437" t="s">
        <v>5716</v>
      </c>
      <c r="D57" s="1436" t="s">
        <v>5715</v>
      </c>
      <c r="E57" s="1436" t="s">
        <v>5714</v>
      </c>
      <c r="F57" s="305" t="s">
        <v>2322</v>
      </c>
      <c r="G57" s="1436" t="s">
        <v>5713</v>
      </c>
      <c r="K57"/>
      <c r="L57"/>
      <c r="M57"/>
      <c r="N57"/>
      <c r="O57"/>
      <c r="P57"/>
      <c r="Q57"/>
      <c r="R57"/>
      <c r="S57"/>
      <c r="T57"/>
      <c r="U57"/>
      <c r="V57"/>
      <c r="W57"/>
      <c r="X57"/>
      <c r="Y57"/>
      <c r="Z57"/>
      <c r="AA57"/>
      <c r="AB57"/>
      <c r="AC57"/>
      <c r="AD57"/>
      <c r="AE57"/>
      <c r="AF57"/>
      <c r="AG57"/>
      <c r="AH57"/>
      <c r="AI57"/>
      <c r="AJ57"/>
      <c r="AK57"/>
      <c r="AL57"/>
    </row>
    <row r="58" spans="2:38" x14ac:dyDescent="0.2">
      <c r="B58" s="1436" t="s">
        <v>2328</v>
      </c>
      <c r="C58" s="1437" t="s">
        <v>43</v>
      </c>
      <c r="D58" s="1436" t="s">
        <v>5712</v>
      </c>
      <c r="E58" s="1436" t="s">
        <v>5711</v>
      </c>
      <c r="F58" s="305" t="s">
        <v>2322</v>
      </c>
      <c r="G58" s="1436" t="s">
        <v>5710</v>
      </c>
      <c r="K58"/>
      <c r="L58"/>
      <c r="M58"/>
      <c r="N58"/>
      <c r="O58"/>
      <c r="P58"/>
      <c r="Q58"/>
      <c r="R58"/>
      <c r="S58"/>
      <c r="T58"/>
      <c r="U58"/>
      <c r="V58"/>
      <c r="W58"/>
      <c r="X58"/>
      <c r="Y58"/>
      <c r="Z58"/>
      <c r="AA58"/>
      <c r="AB58"/>
      <c r="AC58"/>
      <c r="AD58"/>
      <c r="AE58"/>
      <c r="AF58"/>
      <c r="AG58"/>
      <c r="AH58"/>
      <c r="AI58"/>
      <c r="AJ58"/>
      <c r="AK58"/>
      <c r="AL58"/>
    </row>
    <row r="59" spans="2:38" x14ac:dyDescent="0.2">
      <c r="B59" s="1436" t="s">
        <v>2328</v>
      </c>
      <c r="C59" s="1437" t="s">
        <v>27</v>
      </c>
      <c r="D59" s="1436" t="s">
        <v>5709</v>
      </c>
      <c r="E59" s="1436" t="s">
        <v>5708</v>
      </c>
      <c r="F59" s="305" t="s">
        <v>2322</v>
      </c>
      <c r="G59" s="1436" t="s">
        <v>5707</v>
      </c>
      <c r="K59"/>
      <c r="L59"/>
      <c r="M59"/>
      <c r="N59"/>
      <c r="O59"/>
      <c r="P59"/>
      <c r="Q59"/>
      <c r="R59"/>
      <c r="S59"/>
      <c r="T59"/>
      <c r="U59"/>
      <c r="V59"/>
      <c r="W59"/>
      <c r="X59"/>
      <c r="Y59"/>
      <c r="Z59"/>
      <c r="AA59"/>
      <c r="AB59"/>
      <c r="AC59"/>
      <c r="AD59"/>
      <c r="AE59"/>
      <c r="AF59"/>
      <c r="AG59"/>
      <c r="AH59"/>
      <c r="AI59"/>
      <c r="AJ59"/>
      <c r="AK59"/>
      <c r="AL59"/>
    </row>
    <row r="60" spans="2:38" x14ac:dyDescent="0.2">
      <c r="B60" s="1436" t="s">
        <v>2328</v>
      </c>
      <c r="C60" s="1437" t="s">
        <v>2329</v>
      </c>
      <c r="D60" s="1436"/>
      <c r="E60" s="1436"/>
      <c r="F60" s="305" t="s">
        <v>2319</v>
      </c>
      <c r="G60" s="1436"/>
      <c r="K60"/>
      <c r="L60"/>
      <c r="M60"/>
      <c r="N60"/>
      <c r="O60"/>
      <c r="P60"/>
      <c r="Q60"/>
      <c r="R60"/>
      <c r="S60"/>
      <c r="T60"/>
      <c r="U60"/>
      <c r="V60"/>
      <c r="W60"/>
      <c r="X60"/>
      <c r="Y60"/>
      <c r="Z60"/>
      <c r="AA60"/>
      <c r="AB60"/>
      <c r="AC60"/>
      <c r="AD60"/>
      <c r="AE60"/>
      <c r="AF60"/>
      <c r="AG60"/>
      <c r="AH60"/>
      <c r="AI60"/>
      <c r="AJ60"/>
      <c r="AK60"/>
      <c r="AL60"/>
    </row>
    <row r="61" spans="2:38" x14ac:dyDescent="0.2">
      <c r="B61" s="1436" t="s">
        <v>2328</v>
      </c>
      <c r="C61" s="1437" t="s">
        <v>2330</v>
      </c>
      <c r="D61" s="1436"/>
      <c r="E61" s="1436"/>
      <c r="F61" s="305" t="s">
        <v>2319</v>
      </c>
      <c r="G61" s="1436"/>
      <c r="K61"/>
      <c r="L61"/>
      <c r="M61"/>
      <c r="N61"/>
      <c r="O61"/>
      <c r="P61"/>
      <c r="Q61"/>
      <c r="R61"/>
      <c r="S61"/>
      <c r="T61"/>
      <c r="U61"/>
      <c r="V61"/>
      <c r="W61"/>
      <c r="X61"/>
      <c r="Y61"/>
      <c r="Z61"/>
      <c r="AA61"/>
      <c r="AB61"/>
      <c r="AC61"/>
      <c r="AD61"/>
      <c r="AE61"/>
      <c r="AF61"/>
      <c r="AG61"/>
      <c r="AH61"/>
      <c r="AI61"/>
      <c r="AJ61"/>
      <c r="AK61"/>
      <c r="AL61"/>
    </row>
    <row r="62" spans="2:38" x14ac:dyDescent="0.2">
      <c r="B62" s="1436" t="s">
        <v>2328</v>
      </c>
      <c r="C62" s="1437" t="s">
        <v>2331</v>
      </c>
      <c r="D62" s="1436"/>
      <c r="E62" s="1436"/>
      <c r="F62" s="305" t="s">
        <v>2319</v>
      </c>
      <c r="G62" s="1436"/>
      <c r="K62"/>
      <c r="L62"/>
      <c r="M62"/>
      <c r="N62"/>
      <c r="O62"/>
      <c r="P62"/>
      <c r="Q62"/>
      <c r="R62"/>
      <c r="S62"/>
      <c r="T62"/>
      <c r="U62"/>
      <c r="V62"/>
      <c r="W62"/>
      <c r="X62"/>
      <c r="Y62"/>
      <c r="Z62"/>
      <c r="AA62"/>
      <c r="AB62"/>
      <c r="AC62"/>
      <c r="AD62"/>
      <c r="AE62"/>
      <c r="AF62"/>
      <c r="AG62"/>
      <c r="AH62"/>
      <c r="AI62"/>
      <c r="AJ62"/>
      <c r="AK62"/>
      <c r="AL62"/>
    </row>
    <row r="63" spans="2:38" x14ac:dyDescent="0.2">
      <c r="B63" s="1436" t="s">
        <v>2328</v>
      </c>
      <c r="C63" s="1437" t="s">
        <v>2339</v>
      </c>
      <c r="D63" s="1436"/>
      <c r="E63" s="1436"/>
      <c r="F63" s="305" t="s">
        <v>2319</v>
      </c>
      <c r="G63" s="1436"/>
      <c r="K63"/>
      <c r="L63"/>
      <c r="M63"/>
      <c r="N63"/>
      <c r="O63"/>
      <c r="P63"/>
      <c r="Q63"/>
      <c r="R63"/>
      <c r="S63"/>
      <c r="T63"/>
      <c r="U63"/>
      <c r="V63"/>
      <c r="W63"/>
      <c r="X63"/>
      <c r="Y63"/>
      <c r="Z63"/>
      <c r="AA63"/>
      <c r="AB63"/>
      <c r="AC63"/>
      <c r="AD63"/>
      <c r="AE63"/>
      <c r="AF63"/>
      <c r="AG63"/>
      <c r="AH63"/>
      <c r="AI63"/>
      <c r="AJ63"/>
      <c r="AK63"/>
      <c r="AL63"/>
    </row>
    <row r="64" spans="2:38" x14ac:dyDescent="0.2">
      <c r="B64" s="1436" t="s">
        <v>2328</v>
      </c>
      <c r="C64" s="1437" t="s">
        <v>2340</v>
      </c>
      <c r="D64" s="1436"/>
      <c r="E64" s="1436"/>
      <c r="F64" s="305" t="s">
        <v>2319</v>
      </c>
      <c r="G64" s="1436"/>
      <c r="K64"/>
      <c r="L64"/>
      <c r="M64"/>
      <c r="N64"/>
      <c r="O64"/>
      <c r="P64"/>
      <c r="Q64"/>
      <c r="R64"/>
      <c r="S64"/>
      <c r="T64"/>
      <c r="U64"/>
      <c r="V64"/>
      <c r="W64"/>
      <c r="X64"/>
      <c r="Y64"/>
      <c r="Z64"/>
      <c r="AA64"/>
      <c r="AB64"/>
      <c r="AC64"/>
      <c r="AD64"/>
      <c r="AE64"/>
      <c r="AF64"/>
      <c r="AG64"/>
      <c r="AH64"/>
      <c r="AI64"/>
      <c r="AJ64"/>
      <c r="AK64"/>
      <c r="AL64"/>
    </row>
  </sheetData>
  <mergeCells count="6">
    <mergeCell ref="G5:G6"/>
    <mergeCell ref="E5:E6"/>
    <mergeCell ref="F5:F6"/>
    <mergeCell ref="D5:D6"/>
    <mergeCell ref="B5:B6"/>
    <mergeCell ref="C5:C6"/>
  </mergeCells>
  <conditionalFormatting sqref="F7:F64">
    <cfRule type="expression" dxfId="20291" priority="1">
      <formula>$F7=$J$5</formula>
    </cfRule>
    <cfRule type="expression" dxfId="20290" priority="2">
      <formula>$F7=$J$4</formula>
    </cfRule>
    <cfRule type="expression" dxfId="20289" priority="3">
      <formula>$F7=$J$3</formula>
    </cfRule>
    <cfRule type="expression" dxfId="20288" priority="4">
      <formula>$F7=$J$2</formula>
    </cfRule>
  </conditionalFormatting>
  <dataValidations count="1">
    <dataValidation type="list" allowBlank="1" showInputMessage="1" showErrorMessage="1" sqref="F7:F64" xr:uid="{00000000-0002-0000-0000-000000000000}">
      <formula1>$J$2:$J$5</formula1>
    </dataValidation>
  </dataValidations>
  <pageMargins left="0.511811024" right="0.511811024" top="0.78740157499999996" bottom="0.78740157499999996" header="0.31496062000000002" footer="0.31496062000000002"/>
  <pageSetup paperSize="9" orientation="portrait" horizontalDpi="360" verticalDpi="36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4241-E4B5-4F18-A752-274CC9EFFC65}">
  <sheetPr>
    <tabColor theme="1"/>
    <outlinePr summaryBelow="0"/>
    <pageSetUpPr fitToPage="1"/>
  </sheetPr>
  <dimension ref="A1:AF832"/>
  <sheetViews>
    <sheetView showGridLines="0" zoomScale="115" zoomScaleNormal="115" zoomScaleSheetLayoutView="100" workbookViewId="0">
      <pane ySplit="7" topLeftCell="A8" activePane="bottomLeft" state="frozen"/>
      <selection activeCell="J123" sqref="J123"/>
      <selection pane="bottomLeft" activeCell="C5" sqref="C5"/>
    </sheetView>
  </sheetViews>
  <sheetFormatPr defaultColWidth="9.140625" defaultRowHeight="14.1" customHeight="1" outlineLevelRow="2" outlineLevelCol="1" x14ac:dyDescent="0.2"/>
  <cols>
    <col min="1" max="1" width="7.28515625" style="158" customWidth="1"/>
    <col min="2" max="2" width="8.5703125" style="158" customWidth="1" outlineLevel="1"/>
    <col min="3" max="3" width="12.28515625" style="158" customWidth="1"/>
    <col min="4" max="4" width="40.7109375" style="159" customWidth="1"/>
    <col min="5" max="5" width="6.85546875" style="160" customWidth="1"/>
    <col min="6" max="6" width="11.140625" style="161" customWidth="1"/>
    <col min="7" max="7" width="13.5703125" style="161" bestFit="1" customWidth="1"/>
    <col min="8" max="8" width="18.85546875" style="170" bestFit="1" customWidth="1"/>
    <col min="9" max="9" width="61" style="164" customWidth="1" outlineLevel="1"/>
    <col min="10" max="10" width="17.5703125" style="165" customWidth="1"/>
    <col min="11" max="11" width="9.140625" style="166" outlineLevel="1"/>
    <col min="12" max="32" width="9.140625" style="166"/>
  </cols>
  <sheetData>
    <row r="1" spans="1:32" ht="6.75" customHeight="1" x14ac:dyDescent="0.2">
      <c r="A1" s="95"/>
      <c r="B1" s="95"/>
      <c r="C1" s="95"/>
      <c r="D1" s="96"/>
      <c r="E1" s="97"/>
      <c r="F1" s="98"/>
      <c r="G1" s="98"/>
      <c r="H1" s="99"/>
      <c r="I1" s="98"/>
      <c r="J1" s="100"/>
      <c r="K1" s="94"/>
      <c r="L1" s="94"/>
      <c r="M1"/>
      <c r="N1"/>
      <c r="O1"/>
      <c r="P1"/>
      <c r="Q1"/>
      <c r="R1"/>
      <c r="S1"/>
      <c r="T1"/>
      <c r="U1"/>
      <c r="V1"/>
      <c r="W1"/>
      <c r="X1"/>
      <c r="Y1"/>
      <c r="Z1"/>
      <c r="AA1"/>
      <c r="AB1"/>
      <c r="AC1"/>
      <c r="AD1"/>
      <c r="AE1"/>
      <c r="AF1"/>
    </row>
    <row r="2" spans="1:32" ht="17.45" customHeight="1" x14ac:dyDescent="0.2">
      <c r="A2" s="102"/>
      <c r="B2" s="103"/>
      <c r="C2" s="103"/>
      <c r="D2" s="104"/>
      <c r="E2" s="105"/>
      <c r="F2" s="105"/>
      <c r="G2" s="105"/>
      <c r="H2" s="106"/>
      <c r="I2" s="107"/>
      <c r="J2" s="108"/>
      <c r="K2" s="101"/>
      <c r="L2" s="101"/>
      <c r="M2"/>
      <c r="N2"/>
      <c r="O2"/>
      <c r="P2"/>
      <c r="Q2"/>
      <c r="R2"/>
      <c r="S2"/>
      <c r="T2"/>
      <c r="U2"/>
      <c r="V2"/>
      <c r="W2"/>
      <c r="X2"/>
      <c r="Y2"/>
      <c r="Z2"/>
      <c r="AA2"/>
      <c r="AB2"/>
      <c r="AC2"/>
      <c r="AD2"/>
      <c r="AE2"/>
      <c r="AF2"/>
    </row>
    <row r="3" spans="1:32" ht="18" customHeight="1" x14ac:dyDescent="0.2">
      <c r="A3" s="109"/>
      <c r="B3" s="110"/>
      <c r="C3" s="110"/>
      <c r="D3" s="111"/>
      <c r="E3" s="112"/>
      <c r="F3" s="112"/>
      <c r="G3" s="112"/>
      <c r="H3" s="113"/>
      <c r="I3" s="114"/>
      <c r="J3" s="115"/>
      <c r="K3" s="101"/>
      <c r="L3" s="101"/>
      <c r="M3"/>
      <c r="N3"/>
      <c r="O3"/>
      <c r="P3"/>
      <c r="Q3"/>
      <c r="R3"/>
      <c r="S3"/>
      <c r="T3"/>
      <c r="U3"/>
      <c r="V3"/>
      <c r="W3"/>
      <c r="X3"/>
      <c r="Y3"/>
      <c r="Z3"/>
      <c r="AA3"/>
      <c r="AB3"/>
      <c r="AC3"/>
      <c r="AD3"/>
      <c r="AE3"/>
      <c r="AF3"/>
    </row>
    <row r="4" spans="1:32" ht="15" customHeight="1" x14ac:dyDescent="0.2">
      <c r="A4" s="117" t="s">
        <v>1222</v>
      </c>
      <c r="B4" s="118"/>
      <c r="C4" s="67" t="s">
        <v>5789</v>
      </c>
      <c r="D4" s="119"/>
      <c r="E4" s="116"/>
      <c r="F4" s="116"/>
      <c r="G4" s="116"/>
      <c r="H4" s="120"/>
      <c r="I4" s="118" t="s">
        <v>1223</v>
      </c>
      <c r="J4" s="121" t="s">
        <v>1224</v>
      </c>
      <c r="K4" s="116"/>
      <c r="L4" s="116"/>
      <c r="M4"/>
      <c r="N4"/>
      <c r="O4"/>
      <c r="P4"/>
      <c r="Q4"/>
      <c r="R4"/>
      <c r="S4"/>
      <c r="T4"/>
      <c r="U4"/>
      <c r="V4"/>
      <c r="W4"/>
      <c r="X4"/>
      <c r="Y4"/>
      <c r="Z4"/>
      <c r="AA4"/>
      <c r="AB4"/>
      <c r="AC4"/>
      <c r="AD4"/>
      <c r="AE4"/>
      <c r="AF4"/>
    </row>
    <row r="5" spans="1:32" ht="15" customHeight="1" x14ac:dyDescent="0.2">
      <c r="A5" s="123" t="s">
        <v>1225</v>
      </c>
      <c r="B5" s="124"/>
      <c r="C5" s="125" t="s">
        <v>5788</v>
      </c>
      <c r="D5" s="126"/>
      <c r="E5" s="122"/>
      <c r="F5" s="122"/>
      <c r="G5" s="122"/>
      <c r="H5" s="127"/>
      <c r="I5" s="128" t="s">
        <v>1247</v>
      </c>
      <c r="J5" s="129"/>
      <c r="K5" s="122"/>
      <c r="L5" s="122"/>
      <c r="M5"/>
      <c r="N5"/>
      <c r="O5"/>
      <c r="P5"/>
      <c r="Q5"/>
      <c r="R5"/>
      <c r="S5"/>
      <c r="T5"/>
      <c r="U5"/>
      <c r="V5"/>
      <c r="W5"/>
      <c r="X5"/>
      <c r="Y5"/>
      <c r="Z5"/>
      <c r="AA5"/>
      <c r="AB5"/>
      <c r="AC5"/>
      <c r="AD5"/>
      <c r="AE5"/>
      <c r="AF5"/>
    </row>
    <row r="6" spans="1:32" ht="18" customHeight="1" x14ac:dyDescent="0.2">
      <c r="A6" s="1935" t="s">
        <v>10</v>
      </c>
      <c r="B6" s="1935"/>
      <c r="C6" s="1935"/>
      <c r="D6" s="1935"/>
      <c r="E6" s="1935"/>
      <c r="F6" s="1935"/>
      <c r="G6" s="1935"/>
      <c r="H6" s="1935"/>
      <c r="I6" s="1935"/>
      <c r="J6" s="1935"/>
      <c r="K6" s="130"/>
      <c r="L6" s="130"/>
      <c r="M6"/>
      <c r="N6"/>
      <c r="O6"/>
      <c r="P6"/>
      <c r="Q6"/>
      <c r="R6"/>
      <c r="S6"/>
      <c r="T6"/>
      <c r="U6"/>
      <c r="V6"/>
      <c r="W6"/>
      <c r="X6"/>
      <c r="Y6"/>
      <c r="Z6"/>
      <c r="AA6"/>
      <c r="AB6"/>
      <c r="AC6"/>
      <c r="AD6"/>
      <c r="AE6"/>
      <c r="AF6"/>
    </row>
    <row r="7" spans="1:32" ht="24" customHeight="1" x14ac:dyDescent="0.2">
      <c r="A7" s="132" t="s">
        <v>1229</v>
      </c>
      <c r="B7" s="133" t="s">
        <v>1230</v>
      </c>
      <c r="C7" s="134" t="s">
        <v>1231</v>
      </c>
      <c r="D7" s="135" t="s">
        <v>60</v>
      </c>
      <c r="E7" s="136" t="s">
        <v>1220</v>
      </c>
      <c r="F7" s="137" t="s">
        <v>1232</v>
      </c>
      <c r="G7" s="137" t="s">
        <v>1233</v>
      </c>
      <c r="H7" s="137" t="s">
        <v>1234</v>
      </c>
      <c r="I7" s="138" t="s">
        <v>1235</v>
      </c>
      <c r="J7" s="139" t="s">
        <v>1236</v>
      </c>
      <c r="K7" s="1716"/>
      <c r="L7" s="131"/>
      <c r="M7"/>
      <c r="N7"/>
      <c r="O7"/>
      <c r="P7"/>
      <c r="Q7"/>
      <c r="R7"/>
      <c r="S7"/>
      <c r="T7"/>
      <c r="U7"/>
      <c r="V7"/>
      <c r="W7"/>
      <c r="X7"/>
      <c r="Y7"/>
      <c r="Z7"/>
      <c r="AA7"/>
      <c r="AB7"/>
      <c r="AC7"/>
      <c r="AD7"/>
      <c r="AE7"/>
      <c r="AF7"/>
    </row>
    <row r="8" spans="1:32" ht="13.9" customHeight="1" x14ac:dyDescent="0.2">
      <c r="A8" s="140"/>
      <c r="B8" s="141" t="s">
        <v>1237</v>
      </c>
      <c r="C8" s="142" t="s">
        <v>5790</v>
      </c>
      <c r="D8" s="143" t="s">
        <v>2004</v>
      </c>
      <c r="E8" s="68"/>
      <c r="F8" s="144"/>
      <c r="G8" s="144"/>
      <c r="H8" s="145">
        <f>H9+H57</f>
        <v>3668982.5253731697</v>
      </c>
      <c r="I8" s="146"/>
      <c r="J8" s="147"/>
      <c r="K8" s="130"/>
      <c r="L8"/>
      <c r="M8"/>
      <c r="N8"/>
      <c r="O8"/>
      <c r="P8"/>
      <c r="Q8"/>
      <c r="R8"/>
      <c r="S8"/>
      <c r="T8"/>
      <c r="U8"/>
      <c r="V8"/>
      <c r="W8"/>
      <c r="X8"/>
      <c r="Y8"/>
      <c r="Z8"/>
      <c r="AA8"/>
      <c r="AB8"/>
      <c r="AC8"/>
      <c r="AD8"/>
      <c r="AE8"/>
      <c r="AF8"/>
    </row>
    <row r="9" spans="1:32" ht="13.9" customHeight="1" outlineLevel="1" x14ac:dyDescent="0.2">
      <c r="A9" s="140"/>
      <c r="B9" s="141" t="s">
        <v>39</v>
      </c>
      <c r="C9" s="142" t="s">
        <v>5791</v>
      </c>
      <c r="D9" s="143" t="s">
        <v>5550</v>
      </c>
      <c r="E9" s="68"/>
      <c r="F9" s="144"/>
      <c r="G9" s="144"/>
      <c r="H9" s="145">
        <f>H10+H20+H41+H46</f>
        <v>2273047.3790156972</v>
      </c>
      <c r="I9" s="146"/>
      <c r="J9" s="147" t="s">
        <v>2005</v>
      </c>
      <c r="K9" s="130"/>
      <c r="L9" s="130"/>
      <c r="M9"/>
      <c r="N9"/>
      <c r="O9"/>
      <c r="P9"/>
      <c r="Q9"/>
      <c r="R9"/>
      <c r="S9"/>
      <c r="T9"/>
      <c r="U9"/>
      <c r="V9"/>
      <c r="W9"/>
      <c r="X9"/>
      <c r="Y9"/>
      <c r="Z9"/>
      <c r="AA9"/>
      <c r="AB9"/>
      <c r="AC9"/>
      <c r="AD9"/>
      <c r="AE9"/>
      <c r="AF9"/>
    </row>
    <row r="10" spans="1:32" ht="13.9" customHeight="1" outlineLevel="1" x14ac:dyDescent="0.2">
      <c r="A10" s="140"/>
      <c r="B10" s="141" t="s">
        <v>1238</v>
      </c>
      <c r="C10" s="142" t="s">
        <v>5792</v>
      </c>
      <c r="D10" s="143" t="s">
        <v>5</v>
      </c>
      <c r="E10" s="68"/>
      <c r="F10" s="144"/>
      <c r="G10" s="144"/>
      <c r="H10" s="145">
        <f>H11+H12+H13+H14+H15+H16+H17+H18+H19</f>
        <v>260925.31096866407</v>
      </c>
      <c r="I10" s="146"/>
      <c r="J10" s="147"/>
      <c r="K10" s="130"/>
      <c r="L10" s="130"/>
      <c r="M10"/>
      <c r="N10"/>
      <c r="O10"/>
      <c r="P10"/>
      <c r="Q10"/>
      <c r="R10"/>
      <c r="S10"/>
      <c r="T10"/>
      <c r="U10"/>
      <c r="V10"/>
      <c r="W10"/>
      <c r="X10"/>
      <c r="Y10"/>
      <c r="Z10"/>
      <c r="AA10"/>
      <c r="AB10"/>
      <c r="AC10"/>
      <c r="AD10"/>
      <c r="AE10"/>
      <c r="AF10"/>
    </row>
    <row r="11" spans="1:32" ht="13.9" customHeight="1" outlineLevel="2" x14ac:dyDescent="0.2">
      <c r="A11" s="140"/>
      <c r="B11" s="141" t="s">
        <v>1239</v>
      </c>
      <c r="C11" s="142" t="s">
        <v>5793</v>
      </c>
      <c r="D11" s="143" t="s">
        <v>2006</v>
      </c>
      <c r="E11" s="68" t="s">
        <v>1130</v>
      </c>
      <c r="F11" s="144">
        <v>1</v>
      </c>
      <c r="G11" s="144">
        <v>18386.350074278835</v>
      </c>
      <c r="H11" s="145">
        <f t="shared" ref="H11:H19" si="0">G11*F11</f>
        <v>18386.350074278835</v>
      </c>
      <c r="I11" s="144" t="s">
        <v>2070</v>
      </c>
      <c r="J11" s="147" t="s">
        <v>5644</v>
      </c>
      <c r="K11" s="130"/>
      <c r="L11" s="130"/>
      <c r="M11"/>
      <c r="N11"/>
      <c r="O11"/>
      <c r="P11"/>
      <c r="Q11"/>
      <c r="R11"/>
      <c r="S11"/>
      <c r="T11"/>
      <c r="U11"/>
      <c r="V11"/>
      <c r="W11"/>
      <c r="X11"/>
      <c r="Y11"/>
      <c r="Z11"/>
      <c r="AA11"/>
      <c r="AB11"/>
      <c r="AC11"/>
      <c r="AD11"/>
      <c r="AE11"/>
      <c r="AF11"/>
    </row>
    <row r="12" spans="1:32" ht="13.9" customHeight="1" outlineLevel="2" x14ac:dyDescent="0.2">
      <c r="A12" s="140"/>
      <c r="B12" s="141" t="s">
        <v>1239</v>
      </c>
      <c r="C12" s="142" t="s">
        <v>9482</v>
      </c>
      <c r="D12" s="143" t="s">
        <v>2007</v>
      </c>
      <c r="E12" s="68" t="s">
        <v>1130</v>
      </c>
      <c r="F12" s="144">
        <v>1</v>
      </c>
      <c r="G12" s="144">
        <v>3000</v>
      </c>
      <c r="H12" s="145">
        <f t="shared" si="0"/>
        <v>3000</v>
      </c>
      <c r="I12" s="144" t="s">
        <v>9453</v>
      </c>
      <c r="J12" s="147" t="s">
        <v>5644</v>
      </c>
      <c r="K12" s="130"/>
      <c r="L12" s="130"/>
      <c r="M12"/>
      <c r="N12"/>
      <c r="O12"/>
      <c r="P12"/>
      <c r="Q12"/>
      <c r="R12"/>
      <c r="S12"/>
      <c r="T12"/>
      <c r="U12"/>
      <c r="V12"/>
      <c r="W12"/>
      <c r="X12"/>
      <c r="Y12"/>
      <c r="Z12"/>
      <c r="AA12"/>
      <c r="AB12"/>
      <c r="AC12"/>
      <c r="AD12"/>
      <c r="AE12"/>
      <c r="AF12"/>
    </row>
    <row r="13" spans="1:32" ht="13.9" customHeight="1" outlineLevel="2" x14ac:dyDescent="0.2">
      <c r="A13" s="140"/>
      <c r="B13" s="141" t="s">
        <v>1239</v>
      </c>
      <c r="C13" s="142" t="s">
        <v>9483</v>
      </c>
      <c r="D13" s="143" t="s">
        <v>5645</v>
      </c>
      <c r="E13" s="68" t="s">
        <v>1130</v>
      </c>
      <c r="F13" s="144">
        <v>1</v>
      </c>
      <c r="G13" s="144">
        <v>26930.407783940045</v>
      </c>
      <c r="H13" s="145">
        <f t="shared" si="0"/>
        <v>26930.407783940045</v>
      </c>
      <c r="I13" s="144" t="s">
        <v>2070</v>
      </c>
      <c r="J13" s="147" t="s">
        <v>5644</v>
      </c>
      <c r="K13" s="130"/>
      <c r="L13" s="130"/>
      <c r="M13"/>
      <c r="N13"/>
      <c r="O13"/>
      <c r="P13"/>
      <c r="Q13"/>
      <c r="R13"/>
      <c r="S13"/>
      <c r="T13"/>
      <c r="U13"/>
      <c r="V13"/>
      <c r="W13"/>
      <c r="X13"/>
      <c r="Y13"/>
      <c r="Z13"/>
      <c r="AA13"/>
      <c r="AB13"/>
      <c r="AC13"/>
      <c r="AD13"/>
      <c r="AE13"/>
      <c r="AF13"/>
    </row>
    <row r="14" spans="1:32" ht="13.9" customHeight="1" outlineLevel="2" x14ac:dyDescent="0.2">
      <c r="A14" s="140"/>
      <c r="B14" s="141" t="s">
        <v>1239</v>
      </c>
      <c r="C14" s="142" t="s">
        <v>9484</v>
      </c>
      <c r="D14" s="143" t="s">
        <v>1598</v>
      </c>
      <c r="E14" s="68" t="s">
        <v>1130</v>
      </c>
      <c r="F14" s="144">
        <v>1</v>
      </c>
      <c r="G14" s="144">
        <v>4500</v>
      </c>
      <c r="H14" s="145">
        <f t="shared" si="0"/>
        <v>4500</v>
      </c>
      <c r="I14" s="144" t="s">
        <v>9453</v>
      </c>
      <c r="J14" s="147" t="s">
        <v>5644</v>
      </c>
      <c r="K14" s="130"/>
      <c r="L14" s="130"/>
      <c r="M14"/>
      <c r="N14"/>
      <c r="O14"/>
      <c r="P14"/>
      <c r="Q14"/>
      <c r="R14"/>
      <c r="S14"/>
      <c r="T14"/>
      <c r="U14"/>
      <c r="V14"/>
      <c r="W14"/>
      <c r="X14"/>
      <c r="Y14"/>
      <c r="Z14"/>
      <c r="AA14"/>
      <c r="AB14"/>
      <c r="AC14"/>
      <c r="AD14"/>
      <c r="AE14"/>
      <c r="AF14"/>
    </row>
    <row r="15" spans="1:32" ht="13.9" customHeight="1" outlineLevel="2" x14ac:dyDescent="0.2">
      <c r="A15" s="140"/>
      <c r="B15" s="141" t="s">
        <v>1239</v>
      </c>
      <c r="C15" s="142" t="s">
        <v>9485</v>
      </c>
      <c r="D15" s="143" t="s">
        <v>1240</v>
      </c>
      <c r="E15" s="68" t="s">
        <v>1130</v>
      </c>
      <c r="F15" s="144">
        <v>1</v>
      </c>
      <c r="G15" s="144">
        <v>7947.99</v>
      </c>
      <c r="H15" s="145">
        <f t="shared" si="0"/>
        <v>7947.99</v>
      </c>
      <c r="I15" s="144" t="s">
        <v>9453</v>
      </c>
      <c r="J15" s="147" t="s">
        <v>5644</v>
      </c>
      <c r="K15" s="130"/>
      <c r="L15" s="130"/>
      <c r="M15"/>
      <c r="N15"/>
      <c r="O15"/>
      <c r="P15"/>
      <c r="Q15"/>
      <c r="R15"/>
      <c r="S15"/>
      <c r="T15"/>
      <c r="U15"/>
      <c r="V15"/>
      <c r="W15"/>
      <c r="X15"/>
      <c r="Y15"/>
      <c r="Z15"/>
      <c r="AA15"/>
      <c r="AB15"/>
      <c r="AC15"/>
      <c r="AD15"/>
      <c r="AE15"/>
      <c r="AF15"/>
    </row>
    <row r="16" spans="1:32" ht="13.9" customHeight="1" outlineLevel="2" x14ac:dyDescent="0.2">
      <c r="A16" s="140"/>
      <c r="B16" s="141" t="s">
        <v>1239</v>
      </c>
      <c r="C16" s="142" t="s">
        <v>9486</v>
      </c>
      <c r="D16" s="143" t="s">
        <v>5646</v>
      </c>
      <c r="E16" s="68" t="s">
        <v>1130</v>
      </c>
      <c r="F16" s="144">
        <v>1</v>
      </c>
      <c r="G16" s="144">
        <v>11160.56311044519</v>
      </c>
      <c r="H16" s="145">
        <f t="shared" si="0"/>
        <v>11160.56311044519</v>
      </c>
      <c r="I16" s="144" t="s">
        <v>2070</v>
      </c>
      <c r="J16" s="147" t="s">
        <v>5644</v>
      </c>
      <c r="K16" s="130"/>
      <c r="L16" s="130"/>
      <c r="M16"/>
      <c r="N16"/>
      <c r="O16"/>
      <c r="P16"/>
      <c r="Q16"/>
      <c r="R16"/>
      <c r="S16"/>
      <c r="T16"/>
      <c r="U16"/>
      <c r="V16"/>
      <c r="W16"/>
      <c r="X16"/>
      <c r="Y16"/>
      <c r="Z16"/>
      <c r="AA16"/>
      <c r="AB16"/>
      <c r="AC16"/>
      <c r="AD16"/>
      <c r="AE16"/>
      <c r="AF16"/>
    </row>
    <row r="17" spans="1:32" ht="13.9" customHeight="1" outlineLevel="2" x14ac:dyDescent="0.2">
      <c r="A17" s="140"/>
      <c r="B17" s="141" t="s">
        <v>1239</v>
      </c>
      <c r="C17" s="142" t="s">
        <v>9487</v>
      </c>
      <c r="D17" s="143" t="s">
        <v>2176</v>
      </c>
      <c r="E17" s="68" t="s">
        <v>1130</v>
      </c>
      <c r="F17" s="144">
        <v>1</v>
      </c>
      <c r="G17" s="144">
        <v>29000</v>
      </c>
      <c r="H17" s="145">
        <f t="shared" si="0"/>
        <v>29000</v>
      </c>
      <c r="I17" s="144" t="s">
        <v>9453</v>
      </c>
      <c r="J17" s="147" t="s">
        <v>5644</v>
      </c>
      <c r="K17" s="130"/>
      <c r="L17" s="130"/>
      <c r="M17"/>
      <c r="N17"/>
      <c r="O17"/>
      <c r="P17"/>
      <c r="Q17"/>
      <c r="R17"/>
      <c r="S17"/>
      <c r="T17"/>
      <c r="U17"/>
      <c r="V17"/>
      <c r="W17"/>
      <c r="X17"/>
      <c r="Y17"/>
      <c r="Z17"/>
      <c r="AA17"/>
      <c r="AB17"/>
      <c r="AC17"/>
      <c r="AD17"/>
      <c r="AE17"/>
      <c r="AF17"/>
    </row>
    <row r="18" spans="1:32" ht="13.9" customHeight="1" outlineLevel="2" x14ac:dyDescent="0.2">
      <c r="A18" s="140"/>
      <c r="B18" s="141" t="s">
        <v>1239</v>
      </c>
      <c r="C18" s="142" t="s">
        <v>9488</v>
      </c>
      <c r="D18" s="143" t="s">
        <v>2177</v>
      </c>
      <c r="E18" s="68" t="s">
        <v>1130</v>
      </c>
      <c r="F18" s="144">
        <v>1</v>
      </c>
      <c r="G18" s="144">
        <v>140000</v>
      </c>
      <c r="H18" s="145">
        <f t="shared" si="0"/>
        <v>140000</v>
      </c>
      <c r="I18" s="144" t="s">
        <v>9453</v>
      </c>
      <c r="J18" s="147" t="s">
        <v>5644</v>
      </c>
      <c r="K18" s="130"/>
      <c r="L18" s="130"/>
      <c r="M18"/>
      <c r="N18"/>
      <c r="O18"/>
      <c r="P18"/>
      <c r="Q18"/>
      <c r="R18"/>
      <c r="S18"/>
      <c r="T18"/>
      <c r="U18"/>
      <c r="V18"/>
      <c r="W18"/>
      <c r="X18"/>
      <c r="Y18"/>
      <c r="Z18"/>
      <c r="AA18"/>
      <c r="AB18"/>
      <c r="AC18"/>
      <c r="AD18"/>
      <c r="AE18"/>
      <c r="AF18"/>
    </row>
    <row r="19" spans="1:32" ht="13.9" customHeight="1" outlineLevel="2" x14ac:dyDescent="0.2">
      <c r="A19" s="140"/>
      <c r="B19" s="141" t="s">
        <v>1239</v>
      </c>
      <c r="C19" s="142" t="s">
        <v>9489</v>
      </c>
      <c r="D19" s="143" t="s">
        <v>2178</v>
      </c>
      <c r="E19" s="68" t="s">
        <v>1130</v>
      </c>
      <c r="F19" s="144">
        <v>1</v>
      </c>
      <c r="G19" s="144">
        <v>20000</v>
      </c>
      <c r="H19" s="145">
        <f t="shared" si="0"/>
        <v>20000</v>
      </c>
      <c r="I19" s="144" t="s">
        <v>9453</v>
      </c>
      <c r="J19" s="147" t="s">
        <v>5644</v>
      </c>
      <c r="K19" s="130"/>
      <c r="L19" s="130"/>
      <c r="M19"/>
      <c r="N19"/>
      <c r="O19"/>
      <c r="P19"/>
      <c r="Q19"/>
      <c r="R19"/>
      <c r="S19"/>
      <c r="T19"/>
      <c r="U19"/>
      <c r="V19"/>
      <c r="W19"/>
      <c r="X19"/>
      <c r="Y19"/>
      <c r="Z19"/>
      <c r="AA19"/>
      <c r="AB19"/>
      <c r="AC19"/>
      <c r="AD19"/>
      <c r="AE19"/>
      <c r="AF19"/>
    </row>
    <row r="20" spans="1:32" ht="13.9" customHeight="1" outlineLevel="1" x14ac:dyDescent="0.2">
      <c r="A20" s="140"/>
      <c r="B20" s="141" t="s">
        <v>1238</v>
      </c>
      <c r="C20" s="142" t="s">
        <v>8960</v>
      </c>
      <c r="D20" s="143" t="s">
        <v>6</v>
      </c>
      <c r="E20" s="68"/>
      <c r="F20" s="144"/>
      <c r="G20" s="144"/>
      <c r="H20" s="145">
        <f>H21+H22+H23+H24+H25+H26+H27+H28+H29+H30+H31+H32+H33+H34+H35+H36+H37+H38+H39+H40</f>
        <v>1205079.1977090864</v>
      </c>
      <c r="I20" s="144"/>
      <c r="J20" s="147"/>
      <c r="K20" s="130"/>
      <c r="L20" s="130"/>
      <c r="M20"/>
      <c r="N20"/>
      <c r="O20"/>
      <c r="P20"/>
      <c r="Q20"/>
      <c r="R20"/>
      <c r="S20"/>
      <c r="T20"/>
      <c r="U20"/>
      <c r="V20"/>
      <c r="W20"/>
      <c r="X20"/>
      <c r="Y20"/>
      <c r="Z20"/>
      <c r="AA20"/>
      <c r="AB20"/>
      <c r="AC20"/>
      <c r="AD20"/>
      <c r="AE20"/>
      <c r="AF20"/>
    </row>
    <row r="21" spans="1:32" ht="13.9" customHeight="1" outlineLevel="2" x14ac:dyDescent="0.2">
      <c r="A21" s="140"/>
      <c r="B21" s="141" t="s">
        <v>1239</v>
      </c>
      <c r="C21" s="142" t="s">
        <v>9490</v>
      </c>
      <c r="D21" s="143" t="s">
        <v>2008</v>
      </c>
      <c r="E21" s="68" t="s">
        <v>1130</v>
      </c>
      <c r="F21" s="144">
        <v>1</v>
      </c>
      <c r="G21" s="144">
        <v>67351.992909918219</v>
      </c>
      <c r="H21" s="145">
        <f t="shared" ref="H21:H40" si="1">G21*F21</f>
        <v>67351.992909918219</v>
      </c>
      <c r="I21" s="144" t="s">
        <v>2070</v>
      </c>
      <c r="J21" s="147" t="s">
        <v>5644</v>
      </c>
      <c r="K21" s="130"/>
      <c r="L21" s="130"/>
      <c r="M21"/>
      <c r="N21"/>
      <c r="O21"/>
      <c r="P21"/>
      <c r="Q21"/>
      <c r="R21"/>
      <c r="S21"/>
      <c r="T21"/>
      <c r="U21"/>
      <c r="V21"/>
      <c r="W21"/>
      <c r="X21"/>
      <c r="Y21"/>
      <c r="Z21"/>
      <c r="AA21"/>
      <c r="AB21"/>
      <c r="AC21"/>
      <c r="AD21"/>
      <c r="AE21"/>
      <c r="AF21"/>
    </row>
    <row r="22" spans="1:32" ht="25.5" customHeight="1" outlineLevel="2" x14ac:dyDescent="0.2">
      <c r="A22" s="140"/>
      <c r="B22" s="141" t="s">
        <v>1239</v>
      </c>
      <c r="C22" s="142" t="s">
        <v>9491</v>
      </c>
      <c r="D22" s="143" t="s">
        <v>1241</v>
      </c>
      <c r="E22" s="68" t="s">
        <v>1130</v>
      </c>
      <c r="F22" s="144">
        <v>1</v>
      </c>
      <c r="G22" s="144">
        <v>237000</v>
      </c>
      <c r="H22" s="145">
        <f t="shared" si="1"/>
        <v>237000</v>
      </c>
      <c r="I22" s="144" t="s">
        <v>5647</v>
      </c>
      <c r="J22" s="147" t="s">
        <v>5644</v>
      </c>
      <c r="K22" s="130"/>
      <c r="L22" s="130"/>
      <c r="M22"/>
      <c r="N22"/>
      <c r="O22"/>
      <c r="P22"/>
      <c r="Q22"/>
      <c r="R22"/>
      <c r="S22"/>
      <c r="T22"/>
      <c r="U22"/>
      <c r="V22"/>
      <c r="W22"/>
      <c r="X22"/>
      <c r="Y22"/>
      <c r="Z22"/>
      <c r="AA22"/>
      <c r="AB22"/>
      <c r="AC22"/>
      <c r="AD22"/>
      <c r="AE22"/>
      <c r="AF22"/>
    </row>
    <row r="23" spans="1:32" ht="18.75" customHeight="1" outlineLevel="2" x14ac:dyDescent="0.2">
      <c r="A23" s="140"/>
      <c r="B23" s="141" t="s">
        <v>1239</v>
      </c>
      <c r="C23" s="142" t="s">
        <v>9492</v>
      </c>
      <c r="D23" s="143" t="s">
        <v>2009</v>
      </c>
      <c r="E23" s="68" t="s">
        <v>1130</v>
      </c>
      <c r="F23" s="144">
        <v>1</v>
      </c>
      <c r="G23" s="144">
        <v>86773.378183711349</v>
      </c>
      <c r="H23" s="145">
        <f t="shared" si="1"/>
        <v>86773.378183711349</v>
      </c>
      <c r="I23" s="144" t="s">
        <v>2070</v>
      </c>
      <c r="J23" s="147" t="s">
        <v>5644</v>
      </c>
      <c r="K23" s="130"/>
      <c r="L23" s="130"/>
      <c r="M23"/>
      <c r="N23"/>
      <c r="O23"/>
      <c r="P23"/>
      <c r="Q23"/>
      <c r="R23"/>
      <c r="S23"/>
      <c r="T23"/>
      <c r="U23"/>
      <c r="V23"/>
      <c r="W23"/>
      <c r="X23"/>
      <c r="Y23"/>
      <c r="Z23"/>
      <c r="AA23"/>
      <c r="AB23"/>
      <c r="AC23"/>
      <c r="AD23"/>
      <c r="AE23"/>
      <c r="AF23"/>
    </row>
    <row r="24" spans="1:32" ht="18.75" customHeight="1" outlineLevel="2" x14ac:dyDescent="0.2">
      <c r="A24" s="140"/>
      <c r="B24" s="141" t="s">
        <v>1239</v>
      </c>
      <c r="C24" s="142" t="s">
        <v>9493</v>
      </c>
      <c r="D24" s="143" t="s">
        <v>5648</v>
      </c>
      <c r="E24" s="68" t="s">
        <v>1130</v>
      </c>
      <c r="F24" s="144">
        <v>1</v>
      </c>
      <c r="G24" s="144">
        <v>58250</v>
      </c>
      <c r="H24" s="145">
        <f t="shared" si="1"/>
        <v>58250</v>
      </c>
      <c r="I24" s="144" t="s">
        <v>9453</v>
      </c>
      <c r="J24" s="147" t="s">
        <v>5644</v>
      </c>
      <c r="K24" s="130"/>
      <c r="L24" s="130"/>
      <c r="M24"/>
      <c r="N24"/>
      <c r="O24"/>
      <c r="P24"/>
      <c r="Q24"/>
      <c r="R24"/>
      <c r="S24"/>
      <c r="T24"/>
      <c r="U24"/>
      <c r="V24"/>
      <c r="W24"/>
      <c r="X24"/>
      <c r="Y24"/>
      <c r="Z24"/>
      <c r="AA24"/>
      <c r="AB24"/>
      <c r="AC24"/>
      <c r="AD24"/>
      <c r="AE24"/>
      <c r="AF24"/>
    </row>
    <row r="25" spans="1:32" ht="18.75" customHeight="1" outlineLevel="2" x14ac:dyDescent="0.2">
      <c r="A25" s="140"/>
      <c r="B25" s="141" t="s">
        <v>1239</v>
      </c>
      <c r="C25" s="142" t="s">
        <v>9494</v>
      </c>
      <c r="D25" s="143" t="s">
        <v>5649</v>
      </c>
      <c r="E25" s="68" t="s">
        <v>1130</v>
      </c>
      <c r="F25" s="144">
        <v>1</v>
      </c>
      <c r="G25" s="144">
        <v>75145.119866323716</v>
      </c>
      <c r="H25" s="145">
        <f t="shared" si="1"/>
        <v>75145.119866323716</v>
      </c>
      <c r="I25" s="144" t="s">
        <v>2070</v>
      </c>
      <c r="J25" s="147" t="s">
        <v>5644</v>
      </c>
      <c r="K25" s="130"/>
      <c r="L25" s="130"/>
      <c r="M25"/>
      <c r="N25"/>
      <c r="O25"/>
      <c r="P25"/>
      <c r="Q25"/>
      <c r="R25"/>
      <c r="S25"/>
      <c r="T25"/>
      <c r="U25"/>
      <c r="V25"/>
      <c r="W25"/>
      <c r="X25"/>
      <c r="Y25"/>
      <c r="Z25"/>
      <c r="AA25"/>
      <c r="AB25"/>
      <c r="AC25"/>
      <c r="AD25"/>
      <c r="AE25"/>
      <c r="AF25"/>
    </row>
    <row r="26" spans="1:32" ht="13.9" customHeight="1" outlineLevel="2" x14ac:dyDescent="0.2">
      <c r="A26" s="140"/>
      <c r="B26" s="141" t="s">
        <v>1239</v>
      </c>
      <c r="C26" s="142" t="s">
        <v>9495</v>
      </c>
      <c r="D26" s="143" t="s">
        <v>1599</v>
      </c>
      <c r="E26" s="68" t="s">
        <v>1130</v>
      </c>
      <c r="F26" s="144">
        <v>1</v>
      </c>
      <c r="G26" s="144">
        <v>6962.4358420872659</v>
      </c>
      <c r="H26" s="145">
        <f t="shared" si="1"/>
        <v>6962.4358420872659</v>
      </c>
      <c r="I26" s="144" t="s">
        <v>2070</v>
      </c>
      <c r="J26" s="147" t="s">
        <v>5644</v>
      </c>
      <c r="K26" s="130"/>
      <c r="L26" s="130"/>
      <c r="M26"/>
      <c r="N26"/>
      <c r="O26"/>
      <c r="P26"/>
      <c r="Q26"/>
      <c r="R26"/>
      <c r="S26"/>
      <c r="T26"/>
      <c r="U26"/>
      <c r="V26"/>
      <c r="W26"/>
      <c r="X26"/>
      <c r="Y26"/>
      <c r="Z26"/>
      <c r="AA26"/>
      <c r="AB26"/>
      <c r="AC26"/>
      <c r="AD26"/>
      <c r="AE26"/>
      <c r="AF26"/>
    </row>
    <row r="27" spans="1:32" ht="22.5" outlineLevel="2" x14ac:dyDescent="0.2">
      <c r="A27" s="140"/>
      <c r="B27" s="141" t="s">
        <v>1239</v>
      </c>
      <c r="C27" s="142" t="s">
        <v>9496</v>
      </c>
      <c r="D27" s="143" t="s">
        <v>1242</v>
      </c>
      <c r="E27" s="68" t="s">
        <v>1130</v>
      </c>
      <c r="F27" s="144">
        <v>1</v>
      </c>
      <c r="G27" s="144">
        <v>70000</v>
      </c>
      <c r="H27" s="145">
        <f t="shared" si="1"/>
        <v>70000</v>
      </c>
      <c r="I27" s="144" t="s">
        <v>5650</v>
      </c>
      <c r="J27" s="147" t="s">
        <v>5644</v>
      </c>
      <c r="K27" s="130"/>
      <c r="L27" s="130"/>
      <c r="M27"/>
      <c r="N27"/>
      <c r="O27"/>
      <c r="P27"/>
      <c r="Q27"/>
      <c r="R27"/>
      <c r="S27"/>
      <c r="T27"/>
      <c r="U27"/>
      <c r="V27"/>
      <c r="W27"/>
      <c r="X27"/>
      <c r="Y27"/>
      <c r="Z27"/>
      <c r="AA27"/>
      <c r="AB27"/>
      <c r="AC27"/>
      <c r="AD27"/>
      <c r="AE27"/>
      <c r="AF27"/>
    </row>
    <row r="28" spans="1:32" ht="13.9" customHeight="1" outlineLevel="2" x14ac:dyDescent="0.2">
      <c r="A28" s="140"/>
      <c r="B28" s="141" t="s">
        <v>1239</v>
      </c>
      <c r="C28" s="142" t="s">
        <v>9497</v>
      </c>
      <c r="D28" s="143" t="s">
        <v>5651</v>
      </c>
      <c r="E28" s="68" t="s">
        <v>1130</v>
      </c>
      <c r="F28" s="144">
        <v>1</v>
      </c>
      <c r="G28" s="144">
        <v>96720.281258195813</v>
      </c>
      <c r="H28" s="145">
        <f t="shared" si="1"/>
        <v>96720.281258195813</v>
      </c>
      <c r="I28" s="144" t="s">
        <v>2070</v>
      </c>
      <c r="J28" s="147" t="s">
        <v>5644</v>
      </c>
      <c r="K28" s="130"/>
      <c r="L28" s="130"/>
      <c r="M28"/>
      <c r="N28"/>
      <c r="O28"/>
      <c r="P28"/>
      <c r="Q28"/>
      <c r="R28"/>
      <c r="S28"/>
      <c r="T28"/>
      <c r="U28"/>
      <c r="V28"/>
      <c r="W28"/>
      <c r="X28"/>
      <c r="Y28"/>
      <c r="Z28"/>
      <c r="AA28"/>
      <c r="AB28"/>
      <c r="AC28"/>
      <c r="AD28"/>
      <c r="AE28"/>
      <c r="AF28"/>
    </row>
    <row r="29" spans="1:32" ht="13.9" customHeight="1" outlineLevel="2" x14ac:dyDescent="0.2">
      <c r="A29" s="140"/>
      <c r="B29" s="141" t="s">
        <v>1239</v>
      </c>
      <c r="C29" s="142" t="s">
        <v>9498</v>
      </c>
      <c r="D29" s="143" t="s">
        <v>5652</v>
      </c>
      <c r="E29" s="68" t="s">
        <v>1130</v>
      </c>
      <c r="F29" s="144">
        <v>1</v>
      </c>
      <c r="G29" s="144">
        <v>39550.220177069976</v>
      </c>
      <c r="H29" s="145">
        <f t="shared" si="1"/>
        <v>39550.220177069976</v>
      </c>
      <c r="I29" s="144" t="s">
        <v>2070</v>
      </c>
      <c r="J29" s="147" t="s">
        <v>5644</v>
      </c>
      <c r="K29" s="130"/>
      <c r="L29" s="130"/>
      <c r="M29"/>
      <c r="N29"/>
      <c r="O29"/>
      <c r="P29"/>
      <c r="Q29"/>
      <c r="R29"/>
      <c r="S29"/>
      <c r="T29"/>
      <c r="U29"/>
      <c r="V29"/>
      <c r="W29"/>
      <c r="X29"/>
      <c r="Y29"/>
      <c r="Z29"/>
      <c r="AA29"/>
      <c r="AB29"/>
      <c r="AC29"/>
      <c r="AD29"/>
      <c r="AE29"/>
      <c r="AF29"/>
    </row>
    <row r="30" spans="1:32" ht="22.5" outlineLevel="2" x14ac:dyDescent="0.2">
      <c r="A30" s="140"/>
      <c r="B30" s="141" t="s">
        <v>1239</v>
      </c>
      <c r="C30" s="142" t="s">
        <v>9499</v>
      </c>
      <c r="D30" s="143" t="s">
        <v>5653</v>
      </c>
      <c r="E30" s="68" t="s">
        <v>1130</v>
      </c>
      <c r="F30" s="144">
        <v>1</v>
      </c>
      <c r="G30" s="144">
        <v>27354.018040217943</v>
      </c>
      <c r="H30" s="145">
        <f t="shared" si="1"/>
        <v>27354.018040217943</v>
      </c>
      <c r="I30" s="144" t="s">
        <v>5654</v>
      </c>
      <c r="J30" s="147" t="s">
        <v>5644</v>
      </c>
      <c r="K30" s="130"/>
      <c r="L30" s="130"/>
      <c r="M30"/>
      <c r="N30"/>
      <c r="O30"/>
      <c r="P30"/>
      <c r="Q30"/>
      <c r="R30"/>
      <c r="S30"/>
      <c r="T30"/>
      <c r="U30"/>
      <c r="V30"/>
      <c r="W30"/>
      <c r="X30"/>
      <c r="Y30"/>
      <c r="Z30"/>
      <c r="AA30"/>
      <c r="AB30"/>
      <c r="AC30"/>
      <c r="AD30"/>
      <c r="AE30"/>
      <c r="AF30"/>
    </row>
    <row r="31" spans="1:32" ht="13.9" customHeight="1" outlineLevel="2" x14ac:dyDescent="0.2">
      <c r="A31" s="140"/>
      <c r="B31" s="141" t="s">
        <v>1239</v>
      </c>
      <c r="C31" s="142" t="s">
        <v>9500</v>
      </c>
      <c r="D31" s="143" t="s">
        <v>1600</v>
      </c>
      <c r="E31" s="68" t="s">
        <v>1130</v>
      </c>
      <c r="F31" s="144">
        <v>1</v>
      </c>
      <c r="G31" s="144">
        <v>91124.893086234064</v>
      </c>
      <c r="H31" s="145">
        <f t="shared" si="1"/>
        <v>91124.893086234064</v>
      </c>
      <c r="I31" s="144" t="s">
        <v>2070</v>
      </c>
      <c r="J31" s="147" t="s">
        <v>5644</v>
      </c>
      <c r="K31" s="130"/>
      <c r="L31" s="130"/>
      <c r="M31"/>
      <c r="N31"/>
      <c r="O31"/>
      <c r="P31"/>
      <c r="Q31"/>
      <c r="R31"/>
      <c r="S31"/>
      <c r="T31"/>
      <c r="U31"/>
      <c r="V31"/>
      <c r="W31"/>
      <c r="X31"/>
      <c r="Y31"/>
      <c r="Z31"/>
      <c r="AA31"/>
      <c r="AB31"/>
      <c r="AC31"/>
      <c r="AD31"/>
      <c r="AE31"/>
      <c r="AF31"/>
    </row>
    <row r="32" spans="1:32" ht="13.9" customHeight="1" outlineLevel="2" x14ac:dyDescent="0.2">
      <c r="A32" s="140"/>
      <c r="B32" s="141" t="s">
        <v>1239</v>
      </c>
      <c r="C32" s="142" t="s">
        <v>9501</v>
      </c>
      <c r="D32" s="143" t="s">
        <v>5655</v>
      </c>
      <c r="E32" s="68" t="s">
        <v>1130</v>
      </c>
      <c r="F32" s="144">
        <v>1</v>
      </c>
      <c r="G32" s="144">
        <v>24827.00068568244</v>
      </c>
      <c r="H32" s="145">
        <f t="shared" si="1"/>
        <v>24827.00068568244</v>
      </c>
      <c r="I32" s="144" t="s">
        <v>2070</v>
      </c>
      <c r="J32" s="147" t="s">
        <v>5644</v>
      </c>
      <c r="K32" s="130"/>
      <c r="L32" s="130"/>
      <c r="M32"/>
      <c r="N32"/>
      <c r="O32"/>
      <c r="P32"/>
      <c r="Q32"/>
      <c r="R32"/>
      <c r="S32"/>
      <c r="T32"/>
      <c r="U32"/>
      <c r="V32"/>
      <c r="W32"/>
      <c r="X32"/>
      <c r="Y32"/>
      <c r="Z32"/>
      <c r="AA32"/>
      <c r="AB32"/>
      <c r="AC32"/>
      <c r="AD32"/>
      <c r="AE32"/>
      <c r="AF32"/>
    </row>
    <row r="33" spans="1:32" ht="13.9" customHeight="1" outlineLevel="2" x14ac:dyDescent="0.2">
      <c r="A33" s="140"/>
      <c r="B33" s="141" t="s">
        <v>1239</v>
      </c>
      <c r="C33" s="142" t="s">
        <v>9502</v>
      </c>
      <c r="D33" s="143" t="s">
        <v>2079</v>
      </c>
      <c r="E33" s="68" t="s">
        <v>1130</v>
      </c>
      <c r="F33" s="144">
        <v>1</v>
      </c>
      <c r="G33" s="144">
        <v>85263.057858464599</v>
      </c>
      <c r="H33" s="145">
        <f t="shared" si="1"/>
        <v>85263.057858464599</v>
      </c>
      <c r="I33" s="144" t="s">
        <v>2070</v>
      </c>
      <c r="J33" s="147" t="s">
        <v>5644</v>
      </c>
      <c r="K33" s="130"/>
      <c r="L33" s="130"/>
      <c r="M33"/>
      <c r="N33"/>
      <c r="O33"/>
      <c r="P33"/>
      <c r="Q33"/>
      <c r="R33"/>
      <c r="S33"/>
      <c r="T33"/>
      <c r="U33"/>
      <c r="V33"/>
      <c r="W33"/>
      <c r="X33"/>
      <c r="Y33"/>
      <c r="Z33"/>
      <c r="AA33"/>
      <c r="AB33"/>
      <c r="AC33"/>
      <c r="AD33"/>
      <c r="AE33"/>
      <c r="AF33"/>
    </row>
    <row r="34" spans="1:32" ht="13.9" customHeight="1" outlineLevel="2" x14ac:dyDescent="0.2">
      <c r="A34" s="140"/>
      <c r="B34" s="141" t="s">
        <v>1239</v>
      </c>
      <c r="C34" s="142" t="s">
        <v>9503</v>
      </c>
      <c r="D34" s="143" t="s">
        <v>1601</v>
      </c>
      <c r="E34" s="68" t="s">
        <v>1130</v>
      </c>
      <c r="F34" s="144">
        <v>1</v>
      </c>
      <c r="G34" s="144">
        <v>40000</v>
      </c>
      <c r="H34" s="145">
        <f t="shared" si="1"/>
        <v>40000</v>
      </c>
      <c r="I34" s="144" t="s">
        <v>9453</v>
      </c>
      <c r="J34" s="147" t="s">
        <v>5644</v>
      </c>
      <c r="K34" s="130"/>
      <c r="L34" s="130"/>
      <c r="M34"/>
      <c r="N34"/>
      <c r="O34"/>
      <c r="P34"/>
      <c r="Q34"/>
      <c r="R34"/>
      <c r="S34"/>
      <c r="T34"/>
      <c r="U34"/>
      <c r="V34"/>
      <c r="W34"/>
      <c r="X34"/>
      <c r="Y34"/>
      <c r="Z34"/>
      <c r="AA34"/>
      <c r="AB34"/>
      <c r="AC34"/>
      <c r="AD34"/>
      <c r="AE34"/>
      <c r="AF34"/>
    </row>
    <row r="35" spans="1:32" ht="12.75" outlineLevel="2" x14ac:dyDescent="0.2">
      <c r="A35" s="140"/>
      <c r="B35" s="141" t="s">
        <v>1239</v>
      </c>
      <c r="C35" s="142" t="s">
        <v>9504</v>
      </c>
      <c r="D35" s="143" t="s">
        <v>5656</v>
      </c>
      <c r="E35" s="68" t="s">
        <v>1130</v>
      </c>
      <c r="F35" s="144">
        <v>1</v>
      </c>
      <c r="G35" s="144">
        <v>64959.929999999986</v>
      </c>
      <c r="H35" s="145">
        <f t="shared" si="1"/>
        <v>64959.929999999986</v>
      </c>
      <c r="I35" s="144" t="s">
        <v>2070</v>
      </c>
      <c r="J35" s="147" t="s">
        <v>5644</v>
      </c>
      <c r="K35" s="130"/>
      <c r="L35" s="130"/>
      <c r="M35"/>
      <c r="N35"/>
      <c r="O35"/>
      <c r="P35"/>
      <c r="Q35"/>
      <c r="R35"/>
      <c r="S35"/>
      <c r="T35"/>
      <c r="U35"/>
      <c r="V35"/>
      <c r="W35"/>
      <c r="X35"/>
      <c r="Y35"/>
      <c r="Z35"/>
      <c r="AA35"/>
      <c r="AB35"/>
      <c r="AC35"/>
      <c r="AD35"/>
      <c r="AE35"/>
      <c r="AF35"/>
    </row>
    <row r="36" spans="1:32" ht="13.9" customHeight="1" outlineLevel="2" x14ac:dyDescent="0.2">
      <c r="A36" s="140"/>
      <c r="B36" s="141" t="s">
        <v>1239</v>
      </c>
      <c r="C36" s="142" t="s">
        <v>9505</v>
      </c>
      <c r="D36" s="143" t="s">
        <v>5657</v>
      </c>
      <c r="E36" s="68" t="s">
        <v>1130</v>
      </c>
      <c r="F36" s="144">
        <v>1</v>
      </c>
      <c r="G36" s="144">
        <v>8000</v>
      </c>
      <c r="H36" s="145">
        <f t="shared" si="1"/>
        <v>8000</v>
      </c>
      <c r="I36" s="144" t="s">
        <v>9453</v>
      </c>
      <c r="J36" s="147" t="s">
        <v>5644</v>
      </c>
      <c r="K36" s="130"/>
      <c r="L36" s="130"/>
      <c r="M36"/>
      <c r="N36"/>
      <c r="O36"/>
      <c r="P36"/>
      <c r="Q36"/>
      <c r="R36"/>
      <c r="S36"/>
      <c r="T36"/>
      <c r="U36"/>
      <c r="V36"/>
      <c r="W36"/>
      <c r="X36"/>
      <c r="Y36"/>
      <c r="Z36"/>
      <c r="AA36"/>
      <c r="AB36"/>
      <c r="AC36"/>
      <c r="AD36"/>
      <c r="AE36"/>
      <c r="AF36"/>
    </row>
    <row r="37" spans="1:32" ht="13.9" customHeight="1" outlineLevel="2" x14ac:dyDescent="0.2">
      <c r="A37" s="140"/>
      <c r="B37" s="141" t="s">
        <v>1239</v>
      </c>
      <c r="C37" s="142" t="s">
        <v>9506</v>
      </c>
      <c r="D37" s="143" t="s">
        <v>5658</v>
      </c>
      <c r="E37" s="68" t="s">
        <v>1130</v>
      </c>
      <c r="F37" s="144">
        <v>1</v>
      </c>
      <c r="G37" s="144">
        <v>43306.619999999988</v>
      </c>
      <c r="H37" s="145">
        <f t="shared" si="1"/>
        <v>43306.619999999988</v>
      </c>
      <c r="I37" s="144" t="s">
        <v>2070</v>
      </c>
      <c r="J37" s="147" t="s">
        <v>5644</v>
      </c>
      <c r="K37" s="130"/>
      <c r="L37" s="130"/>
      <c r="M37"/>
      <c r="N37"/>
      <c r="O37"/>
      <c r="P37"/>
      <c r="Q37"/>
      <c r="R37"/>
      <c r="S37"/>
      <c r="T37"/>
      <c r="U37"/>
      <c r="V37"/>
      <c r="W37"/>
      <c r="X37"/>
      <c r="Y37"/>
      <c r="Z37"/>
      <c r="AA37"/>
      <c r="AB37"/>
      <c r="AC37"/>
      <c r="AD37"/>
      <c r="AE37"/>
      <c r="AF37"/>
    </row>
    <row r="38" spans="1:32" ht="12.75" outlineLevel="2" x14ac:dyDescent="0.2">
      <c r="A38" s="140"/>
      <c r="B38" s="141" t="s">
        <v>1239</v>
      </c>
      <c r="C38" s="142" t="s">
        <v>9507</v>
      </c>
      <c r="D38" s="143" t="s">
        <v>2080</v>
      </c>
      <c r="E38" s="68" t="s">
        <v>1130</v>
      </c>
      <c r="F38" s="144">
        <v>1</v>
      </c>
      <c r="G38" s="144">
        <v>22859.798868849757</v>
      </c>
      <c r="H38" s="145">
        <f t="shared" si="1"/>
        <v>22859.798868849757</v>
      </c>
      <c r="I38" s="144" t="s">
        <v>2070</v>
      </c>
      <c r="J38" s="147" t="s">
        <v>5644</v>
      </c>
      <c r="K38" s="130"/>
      <c r="L38" s="130"/>
      <c r="M38"/>
      <c r="N38"/>
      <c r="O38"/>
      <c r="P38"/>
      <c r="Q38"/>
      <c r="R38"/>
      <c r="S38"/>
      <c r="T38"/>
      <c r="U38"/>
      <c r="V38"/>
      <c r="W38"/>
      <c r="X38"/>
      <c r="Y38"/>
      <c r="Z38"/>
      <c r="AA38"/>
      <c r="AB38"/>
      <c r="AC38"/>
      <c r="AD38"/>
      <c r="AE38"/>
      <c r="AF38"/>
    </row>
    <row r="39" spans="1:32" ht="13.9" customHeight="1" outlineLevel="2" x14ac:dyDescent="0.2">
      <c r="A39" s="140"/>
      <c r="B39" s="141" t="s">
        <v>1239</v>
      </c>
      <c r="C39" s="142" t="s">
        <v>9508</v>
      </c>
      <c r="D39" s="143" t="s">
        <v>5659</v>
      </c>
      <c r="E39" s="68" t="s">
        <v>1130</v>
      </c>
      <c r="F39" s="144">
        <v>1</v>
      </c>
      <c r="G39" s="144">
        <v>22859.798868849757</v>
      </c>
      <c r="H39" s="145">
        <f t="shared" si="1"/>
        <v>22859.798868849757</v>
      </c>
      <c r="I39" s="144" t="s">
        <v>2070</v>
      </c>
      <c r="J39" s="147" t="s">
        <v>5644</v>
      </c>
      <c r="K39" s="130"/>
      <c r="L39" s="130"/>
      <c r="M39"/>
      <c r="N39"/>
      <c r="O39"/>
      <c r="P39"/>
      <c r="Q39"/>
      <c r="R39"/>
      <c r="S39"/>
      <c r="T39"/>
      <c r="U39"/>
      <c r="V39"/>
      <c r="W39"/>
      <c r="X39"/>
      <c r="Y39"/>
      <c r="Z39"/>
      <c r="AA39"/>
      <c r="AB39"/>
      <c r="AC39"/>
      <c r="AD39"/>
      <c r="AE39"/>
      <c r="AF39"/>
    </row>
    <row r="40" spans="1:32" ht="13.9" customHeight="1" outlineLevel="2" x14ac:dyDescent="0.2">
      <c r="A40" s="140"/>
      <c r="B40" s="141" t="s">
        <v>1239</v>
      </c>
      <c r="C40" s="142" t="s">
        <v>9509</v>
      </c>
      <c r="D40" s="143" t="s">
        <v>5660</v>
      </c>
      <c r="E40" s="68" t="s">
        <v>1130</v>
      </c>
      <c r="F40" s="144">
        <v>1</v>
      </c>
      <c r="G40" s="144">
        <v>36770.652063481619</v>
      </c>
      <c r="H40" s="145">
        <f t="shared" si="1"/>
        <v>36770.652063481619</v>
      </c>
      <c r="I40" s="144" t="s">
        <v>2070</v>
      </c>
      <c r="J40" s="147" t="s">
        <v>5644</v>
      </c>
      <c r="K40" s="130"/>
      <c r="L40" s="130"/>
      <c r="M40"/>
      <c r="N40"/>
      <c r="O40"/>
      <c r="P40"/>
      <c r="Q40"/>
      <c r="R40"/>
      <c r="S40"/>
      <c r="T40"/>
      <c r="U40"/>
      <c r="V40"/>
      <c r="W40"/>
      <c r="X40"/>
      <c r="Y40"/>
      <c r="Z40"/>
      <c r="AA40"/>
      <c r="AB40"/>
      <c r="AC40"/>
      <c r="AD40"/>
      <c r="AE40"/>
      <c r="AF40"/>
    </row>
    <row r="41" spans="1:32" ht="13.9" customHeight="1" outlineLevel="1" x14ac:dyDescent="0.2">
      <c r="A41" s="140"/>
      <c r="B41" s="141" t="s">
        <v>1238</v>
      </c>
      <c r="C41" s="142" t="s">
        <v>8959</v>
      </c>
      <c r="D41" s="143" t="s">
        <v>7</v>
      </c>
      <c r="E41" s="68"/>
      <c r="F41" s="144"/>
      <c r="G41" s="144"/>
      <c r="H41" s="145">
        <f>H42+H43+H44+H45</f>
        <v>206589.87033794672</v>
      </c>
      <c r="I41" s="144"/>
      <c r="J41" s="147"/>
      <c r="K41" s="130"/>
      <c r="L41" s="130"/>
      <c r="M41"/>
      <c r="N41"/>
      <c r="O41"/>
      <c r="P41"/>
      <c r="Q41"/>
      <c r="R41"/>
      <c r="S41"/>
      <c r="T41"/>
      <c r="U41"/>
      <c r="V41"/>
      <c r="W41"/>
      <c r="X41"/>
      <c r="Y41"/>
      <c r="Z41"/>
      <c r="AA41"/>
      <c r="AB41"/>
      <c r="AC41"/>
      <c r="AD41"/>
      <c r="AE41"/>
      <c r="AF41"/>
    </row>
    <row r="42" spans="1:32" ht="13.9" customHeight="1" outlineLevel="2" x14ac:dyDescent="0.2">
      <c r="A42" s="140"/>
      <c r="B42" s="141" t="s">
        <v>1239</v>
      </c>
      <c r="C42" s="142" t="s">
        <v>9510</v>
      </c>
      <c r="D42" s="143" t="s">
        <v>2081</v>
      </c>
      <c r="E42" s="68" t="s">
        <v>1130</v>
      </c>
      <c r="F42" s="144">
        <v>1</v>
      </c>
      <c r="G42" s="144">
        <v>144789.87033794672</v>
      </c>
      <c r="H42" s="145">
        <f>G42*F42</f>
        <v>144789.87033794672</v>
      </c>
      <c r="I42" s="144" t="s">
        <v>2070</v>
      </c>
      <c r="J42" s="147" t="s">
        <v>5644</v>
      </c>
      <c r="K42" s="130"/>
      <c r="L42" s="130"/>
      <c r="M42"/>
      <c r="N42"/>
      <c r="O42"/>
      <c r="P42"/>
      <c r="Q42"/>
      <c r="R42"/>
      <c r="S42"/>
      <c r="T42"/>
      <c r="U42"/>
      <c r="V42"/>
      <c r="W42"/>
      <c r="X42"/>
      <c r="Y42"/>
      <c r="Z42"/>
      <c r="AA42"/>
      <c r="AB42"/>
      <c r="AC42"/>
      <c r="AD42"/>
      <c r="AE42"/>
      <c r="AF42"/>
    </row>
    <row r="43" spans="1:32" ht="13.9" customHeight="1" outlineLevel="2" x14ac:dyDescent="0.2">
      <c r="A43" s="140"/>
      <c r="B43" s="141" t="s">
        <v>1239</v>
      </c>
      <c r="C43" s="142" t="s">
        <v>9511</v>
      </c>
      <c r="D43" s="143" t="s">
        <v>5661</v>
      </c>
      <c r="E43" s="68" t="s">
        <v>1130</v>
      </c>
      <c r="F43" s="144">
        <v>1</v>
      </c>
      <c r="G43" s="144">
        <v>11300</v>
      </c>
      <c r="H43" s="145">
        <f>G43*F43</f>
        <v>11300</v>
      </c>
      <c r="I43" s="144" t="s">
        <v>9453</v>
      </c>
      <c r="J43" s="147" t="s">
        <v>5644</v>
      </c>
      <c r="K43" s="130"/>
      <c r="L43" s="130"/>
      <c r="M43"/>
      <c r="N43"/>
      <c r="O43"/>
      <c r="P43"/>
      <c r="Q43"/>
      <c r="R43"/>
      <c r="S43"/>
      <c r="T43"/>
      <c r="U43"/>
      <c r="V43"/>
      <c r="W43"/>
      <c r="X43"/>
      <c r="Y43"/>
      <c r="Z43"/>
      <c r="AA43"/>
      <c r="AB43"/>
      <c r="AC43"/>
      <c r="AD43"/>
      <c r="AE43"/>
      <c r="AF43"/>
    </row>
    <row r="44" spans="1:32" ht="13.9" customHeight="1" outlineLevel="2" x14ac:dyDescent="0.2">
      <c r="A44" s="140"/>
      <c r="B44" s="141" t="s">
        <v>1239</v>
      </c>
      <c r="C44" s="142" t="s">
        <v>9512</v>
      </c>
      <c r="D44" s="143" t="s">
        <v>5662</v>
      </c>
      <c r="E44" s="68" t="s">
        <v>1130</v>
      </c>
      <c r="F44" s="144">
        <v>1</v>
      </c>
      <c r="G44" s="144">
        <v>16000</v>
      </c>
      <c r="H44" s="145">
        <f>G44*F44</f>
        <v>16000</v>
      </c>
      <c r="I44" s="144" t="s">
        <v>9453</v>
      </c>
      <c r="J44" s="147" t="s">
        <v>5644</v>
      </c>
      <c r="K44" s="130"/>
      <c r="L44" s="130"/>
      <c r="M44"/>
      <c r="N44"/>
      <c r="O44"/>
      <c r="P44"/>
      <c r="Q44"/>
      <c r="R44"/>
      <c r="S44"/>
      <c r="T44"/>
      <c r="U44"/>
      <c r="V44"/>
      <c r="W44"/>
      <c r="X44"/>
      <c r="Y44"/>
      <c r="Z44"/>
      <c r="AA44"/>
      <c r="AB44"/>
      <c r="AC44"/>
      <c r="AD44"/>
      <c r="AE44"/>
      <c r="AF44"/>
    </row>
    <row r="45" spans="1:32" ht="13.9" customHeight="1" outlineLevel="2" x14ac:dyDescent="0.2">
      <c r="A45" s="140"/>
      <c r="B45" s="141" t="s">
        <v>1239</v>
      </c>
      <c r="C45" s="142" t="s">
        <v>9513</v>
      </c>
      <c r="D45" s="143" t="s">
        <v>1603</v>
      </c>
      <c r="E45" s="68" t="s">
        <v>1130</v>
      </c>
      <c r="F45" s="144">
        <v>1</v>
      </c>
      <c r="G45" s="144">
        <v>34500</v>
      </c>
      <c r="H45" s="145">
        <f>G45*F45</f>
        <v>34500</v>
      </c>
      <c r="I45" s="144" t="s">
        <v>9453</v>
      </c>
      <c r="J45" s="147" t="s">
        <v>5644</v>
      </c>
      <c r="K45" s="130"/>
      <c r="L45" s="130"/>
      <c r="M45"/>
      <c r="N45"/>
      <c r="O45"/>
      <c r="P45"/>
      <c r="Q45"/>
      <c r="R45"/>
      <c r="S45"/>
      <c r="T45"/>
      <c r="U45"/>
      <c r="V45"/>
      <c r="W45"/>
      <c r="X45"/>
      <c r="Y45"/>
      <c r="Z45"/>
      <c r="AA45"/>
      <c r="AB45"/>
      <c r="AC45"/>
      <c r="AD45"/>
      <c r="AE45"/>
      <c r="AF45"/>
    </row>
    <row r="46" spans="1:32" ht="13.9" customHeight="1" outlineLevel="1" x14ac:dyDescent="0.2">
      <c r="A46" s="140"/>
      <c r="B46" s="141" t="s">
        <v>1238</v>
      </c>
      <c r="C46" s="142" t="s">
        <v>8958</v>
      </c>
      <c r="D46" s="143" t="s">
        <v>2010</v>
      </c>
      <c r="E46" s="68"/>
      <c r="F46" s="144"/>
      <c r="G46" s="144"/>
      <c r="H46" s="145">
        <f>H47+H48+H49+H50+H51+H52+H53+H54+H55+H56</f>
        <v>600453</v>
      </c>
      <c r="I46" s="144"/>
      <c r="J46" s="147"/>
      <c r="K46" s="130"/>
      <c r="L46" s="130"/>
      <c r="M46"/>
      <c r="N46"/>
      <c r="O46"/>
      <c r="P46"/>
      <c r="Q46"/>
      <c r="R46"/>
      <c r="S46"/>
      <c r="T46"/>
      <c r="U46"/>
      <c r="V46"/>
      <c r="W46"/>
      <c r="X46"/>
      <c r="Y46"/>
      <c r="Z46"/>
      <c r="AA46"/>
      <c r="AB46"/>
      <c r="AC46"/>
      <c r="AD46"/>
      <c r="AE46"/>
      <c r="AF46"/>
    </row>
    <row r="47" spans="1:32" ht="13.9" customHeight="1" outlineLevel="2" x14ac:dyDescent="0.2">
      <c r="A47" s="140"/>
      <c r="B47" s="141" t="s">
        <v>1239</v>
      </c>
      <c r="C47" s="142" t="s">
        <v>9514</v>
      </c>
      <c r="D47" s="143" t="s">
        <v>1597</v>
      </c>
      <c r="E47" s="68" t="s">
        <v>1130</v>
      </c>
      <c r="F47" s="144">
        <v>1</v>
      </c>
      <c r="G47" s="144">
        <v>238185</v>
      </c>
      <c r="H47" s="145">
        <f t="shared" ref="H47:H56" si="2">G47*F47</f>
        <v>238185</v>
      </c>
      <c r="I47" s="144" t="s">
        <v>2070</v>
      </c>
      <c r="J47" s="147" t="s">
        <v>5644</v>
      </c>
      <c r="K47" s="130"/>
      <c r="L47" s="130"/>
      <c r="M47"/>
      <c r="N47"/>
      <c r="O47"/>
      <c r="P47"/>
      <c r="Q47"/>
      <c r="R47"/>
      <c r="S47"/>
      <c r="T47"/>
      <c r="U47"/>
      <c r="V47"/>
      <c r="W47"/>
      <c r="X47"/>
      <c r="Y47"/>
      <c r="Z47"/>
      <c r="AA47"/>
      <c r="AB47"/>
      <c r="AC47"/>
      <c r="AD47"/>
      <c r="AE47"/>
      <c r="AF47"/>
    </row>
    <row r="48" spans="1:32" ht="13.9" customHeight="1" outlineLevel="2" x14ac:dyDescent="0.2">
      <c r="A48" s="140"/>
      <c r="B48" s="141" t="s">
        <v>1239</v>
      </c>
      <c r="C48" s="142" t="s">
        <v>9515</v>
      </c>
      <c r="D48" s="143" t="s">
        <v>5663</v>
      </c>
      <c r="E48" s="68" t="s">
        <v>1130</v>
      </c>
      <c r="F48" s="144">
        <v>1</v>
      </c>
      <c r="G48" s="144">
        <v>11200</v>
      </c>
      <c r="H48" s="145">
        <f t="shared" si="2"/>
        <v>11200</v>
      </c>
      <c r="I48" s="144" t="s">
        <v>2070</v>
      </c>
      <c r="J48" s="147" t="s">
        <v>5644</v>
      </c>
      <c r="K48" s="130"/>
      <c r="L48" s="130"/>
      <c r="M48"/>
      <c r="N48"/>
      <c r="O48"/>
      <c r="P48"/>
      <c r="Q48"/>
      <c r="R48"/>
      <c r="S48"/>
      <c r="T48"/>
      <c r="U48"/>
      <c r="V48"/>
      <c r="W48"/>
      <c r="X48"/>
      <c r="Y48"/>
      <c r="Z48"/>
      <c r="AA48"/>
      <c r="AB48"/>
      <c r="AC48"/>
      <c r="AD48"/>
      <c r="AE48"/>
      <c r="AF48"/>
    </row>
    <row r="49" spans="1:32" ht="12.75" outlineLevel="2" x14ac:dyDescent="0.2">
      <c r="A49" s="140"/>
      <c r="B49" s="141" t="s">
        <v>1239</v>
      </c>
      <c r="C49" s="142" t="s">
        <v>9516</v>
      </c>
      <c r="D49" s="143" t="s">
        <v>5664</v>
      </c>
      <c r="E49" s="68" t="s">
        <v>1130</v>
      </c>
      <c r="F49" s="144">
        <v>1</v>
      </c>
      <c r="G49" s="144">
        <v>5500</v>
      </c>
      <c r="H49" s="145">
        <f t="shared" si="2"/>
        <v>5500</v>
      </c>
      <c r="I49" s="144" t="s">
        <v>2070</v>
      </c>
      <c r="J49" s="147" t="s">
        <v>5644</v>
      </c>
      <c r="K49" s="130"/>
      <c r="L49" s="130"/>
      <c r="M49"/>
      <c r="N49"/>
      <c r="O49"/>
      <c r="P49"/>
      <c r="Q49"/>
      <c r="R49"/>
      <c r="S49"/>
      <c r="T49"/>
      <c r="U49"/>
      <c r="V49"/>
      <c r="W49"/>
      <c r="X49"/>
      <c r="Y49"/>
      <c r="Z49"/>
      <c r="AA49"/>
      <c r="AB49"/>
      <c r="AC49"/>
      <c r="AD49"/>
      <c r="AE49"/>
      <c r="AF49"/>
    </row>
    <row r="50" spans="1:32" ht="13.9" customHeight="1" outlineLevel="2" x14ac:dyDescent="0.2">
      <c r="A50" s="140"/>
      <c r="B50" s="141" t="s">
        <v>1239</v>
      </c>
      <c r="C50" s="142" t="s">
        <v>9517</v>
      </c>
      <c r="D50" s="143" t="s">
        <v>5665</v>
      </c>
      <c r="E50" s="68" t="s">
        <v>1130</v>
      </c>
      <c r="F50" s="144">
        <v>1</v>
      </c>
      <c r="G50" s="144">
        <v>6300</v>
      </c>
      <c r="H50" s="145">
        <f t="shared" si="2"/>
        <v>6300</v>
      </c>
      <c r="I50" s="144" t="s">
        <v>2070</v>
      </c>
      <c r="J50" s="147" t="s">
        <v>5644</v>
      </c>
      <c r="K50" s="130"/>
      <c r="L50" s="130"/>
      <c r="M50"/>
      <c r="N50"/>
      <c r="O50"/>
      <c r="P50"/>
      <c r="Q50"/>
      <c r="R50"/>
      <c r="S50"/>
      <c r="T50"/>
      <c r="U50"/>
      <c r="V50"/>
      <c r="W50"/>
      <c r="X50"/>
      <c r="Y50"/>
      <c r="Z50"/>
      <c r="AA50"/>
      <c r="AB50"/>
      <c r="AC50"/>
      <c r="AD50"/>
      <c r="AE50"/>
      <c r="AF50"/>
    </row>
    <row r="51" spans="1:32" ht="13.9" customHeight="1" outlineLevel="2" x14ac:dyDescent="0.2">
      <c r="A51" s="140"/>
      <c r="B51" s="141" t="s">
        <v>1239</v>
      </c>
      <c r="C51" s="142" t="s">
        <v>9518</v>
      </c>
      <c r="D51" s="143" t="s">
        <v>2082</v>
      </c>
      <c r="E51" s="68" t="s">
        <v>1130</v>
      </c>
      <c r="F51" s="144">
        <v>1</v>
      </c>
      <c r="G51" s="144">
        <v>5360</v>
      </c>
      <c r="H51" s="145">
        <f t="shared" si="2"/>
        <v>5360</v>
      </c>
      <c r="I51" s="144" t="s">
        <v>2070</v>
      </c>
      <c r="J51" s="147" t="s">
        <v>5644</v>
      </c>
      <c r="K51" s="130"/>
      <c r="L51" s="130"/>
      <c r="M51"/>
      <c r="N51"/>
      <c r="O51"/>
      <c r="P51"/>
      <c r="Q51"/>
      <c r="R51"/>
      <c r="S51"/>
      <c r="T51"/>
      <c r="U51"/>
      <c r="V51"/>
      <c r="W51"/>
      <c r="X51"/>
      <c r="Y51"/>
      <c r="Z51"/>
      <c r="AA51"/>
      <c r="AB51"/>
      <c r="AC51"/>
      <c r="AD51"/>
      <c r="AE51"/>
      <c r="AF51"/>
    </row>
    <row r="52" spans="1:32" ht="12.75" outlineLevel="2" x14ac:dyDescent="0.2">
      <c r="A52" s="140"/>
      <c r="B52" s="141" t="s">
        <v>1239</v>
      </c>
      <c r="C52" s="142" t="s">
        <v>9519</v>
      </c>
      <c r="D52" s="143" t="s">
        <v>2083</v>
      </c>
      <c r="E52" s="68" t="s">
        <v>1130</v>
      </c>
      <c r="F52" s="144">
        <v>1</v>
      </c>
      <c r="G52" s="144">
        <v>5360</v>
      </c>
      <c r="H52" s="145">
        <f t="shared" si="2"/>
        <v>5360</v>
      </c>
      <c r="I52" s="144" t="s">
        <v>2070</v>
      </c>
      <c r="J52" s="147" t="s">
        <v>5644</v>
      </c>
      <c r="K52" s="130"/>
      <c r="L52" s="130"/>
      <c r="M52"/>
      <c r="N52"/>
      <c r="O52"/>
      <c r="P52"/>
      <c r="Q52"/>
      <c r="R52"/>
      <c r="S52"/>
      <c r="T52"/>
      <c r="U52"/>
      <c r="V52"/>
      <c r="W52"/>
      <c r="X52"/>
      <c r="Y52"/>
      <c r="Z52"/>
      <c r="AA52"/>
      <c r="AB52"/>
      <c r="AC52"/>
      <c r="AD52"/>
      <c r="AE52"/>
      <c r="AF52"/>
    </row>
    <row r="53" spans="1:32" ht="13.9" customHeight="1" outlineLevel="2" x14ac:dyDescent="0.2">
      <c r="A53" s="140"/>
      <c r="B53" s="141" t="s">
        <v>1239</v>
      </c>
      <c r="C53" s="142" t="s">
        <v>9520</v>
      </c>
      <c r="D53" s="143" t="s">
        <v>5666</v>
      </c>
      <c r="E53" s="68" t="s">
        <v>1130</v>
      </c>
      <c r="F53" s="144">
        <v>1</v>
      </c>
      <c r="G53" s="144">
        <v>3840</v>
      </c>
      <c r="H53" s="145">
        <f t="shared" si="2"/>
        <v>3840</v>
      </c>
      <c r="I53" s="144" t="s">
        <v>2070</v>
      </c>
      <c r="J53" s="147" t="s">
        <v>5644</v>
      </c>
      <c r="K53" s="130"/>
      <c r="L53" s="130"/>
      <c r="M53"/>
      <c r="N53"/>
      <c r="O53"/>
      <c r="P53"/>
      <c r="Q53"/>
      <c r="R53"/>
      <c r="S53"/>
      <c r="T53"/>
      <c r="U53"/>
      <c r="V53"/>
      <c r="W53"/>
      <c r="X53"/>
      <c r="Y53"/>
      <c r="Z53"/>
      <c r="AA53"/>
      <c r="AB53"/>
      <c r="AC53"/>
      <c r="AD53"/>
      <c r="AE53"/>
      <c r="AF53"/>
    </row>
    <row r="54" spans="1:32" ht="13.9" customHeight="1" outlineLevel="2" x14ac:dyDescent="0.2">
      <c r="A54" s="140"/>
      <c r="B54" s="141" t="s">
        <v>1239</v>
      </c>
      <c r="C54" s="142" t="s">
        <v>9521</v>
      </c>
      <c r="D54" s="143" t="s">
        <v>5667</v>
      </c>
      <c r="E54" s="68" t="s">
        <v>1130</v>
      </c>
      <c r="F54" s="144">
        <v>1</v>
      </c>
      <c r="G54" s="144">
        <v>7500</v>
      </c>
      <c r="H54" s="145">
        <f t="shared" si="2"/>
        <v>7500</v>
      </c>
      <c r="I54" s="144" t="s">
        <v>9453</v>
      </c>
      <c r="J54" s="147" t="s">
        <v>5644</v>
      </c>
      <c r="K54" s="130"/>
      <c r="L54" s="130"/>
      <c r="M54"/>
      <c r="N54"/>
      <c r="O54"/>
      <c r="P54"/>
      <c r="Q54"/>
      <c r="R54"/>
      <c r="S54"/>
      <c r="T54"/>
      <c r="U54"/>
      <c r="V54"/>
      <c r="W54"/>
      <c r="X54"/>
      <c r="Y54"/>
      <c r="Z54"/>
      <c r="AA54"/>
      <c r="AB54"/>
      <c r="AC54"/>
      <c r="AD54"/>
      <c r="AE54"/>
      <c r="AF54"/>
    </row>
    <row r="55" spans="1:32" ht="13.9" customHeight="1" outlineLevel="2" x14ac:dyDescent="0.2">
      <c r="A55" s="140"/>
      <c r="B55" s="141" t="s">
        <v>1239</v>
      </c>
      <c r="C55" s="142" t="s">
        <v>9522</v>
      </c>
      <c r="D55" s="143" t="s">
        <v>5668</v>
      </c>
      <c r="E55" s="68" t="s">
        <v>1130</v>
      </c>
      <c r="F55" s="144">
        <v>1</v>
      </c>
      <c r="G55" s="144">
        <v>4200</v>
      </c>
      <c r="H55" s="145">
        <f t="shared" si="2"/>
        <v>4200</v>
      </c>
      <c r="I55" s="144" t="s">
        <v>2070</v>
      </c>
      <c r="J55" s="147" t="s">
        <v>5644</v>
      </c>
      <c r="K55" s="130"/>
      <c r="L55" s="130"/>
      <c r="M55"/>
      <c r="N55"/>
      <c r="O55"/>
      <c r="P55"/>
      <c r="Q55"/>
      <c r="R55"/>
      <c r="S55"/>
      <c r="T55"/>
      <c r="U55"/>
      <c r="V55"/>
      <c r="W55"/>
      <c r="X55"/>
      <c r="Y55"/>
      <c r="Z55"/>
      <c r="AA55"/>
      <c r="AB55"/>
      <c r="AC55"/>
      <c r="AD55"/>
      <c r="AE55"/>
      <c r="AF55"/>
    </row>
    <row r="56" spans="1:32" ht="13.9" customHeight="1" outlineLevel="2" x14ac:dyDescent="0.2">
      <c r="A56" s="140"/>
      <c r="B56" s="141" t="s">
        <v>1239</v>
      </c>
      <c r="C56" s="142" t="s">
        <v>9523</v>
      </c>
      <c r="D56" s="143" t="s">
        <v>5669</v>
      </c>
      <c r="E56" s="68" t="s">
        <v>1130</v>
      </c>
      <c r="F56" s="144">
        <v>1</v>
      </c>
      <c r="G56" s="144">
        <v>313008</v>
      </c>
      <c r="H56" s="145">
        <f t="shared" si="2"/>
        <v>313008</v>
      </c>
      <c r="I56" s="144" t="s">
        <v>2070</v>
      </c>
      <c r="J56" s="147" t="s">
        <v>5644</v>
      </c>
      <c r="K56" s="130"/>
      <c r="L56" s="130"/>
      <c r="M56"/>
      <c r="N56"/>
      <c r="O56"/>
      <c r="P56"/>
      <c r="Q56"/>
      <c r="R56"/>
      <c r="S56"/>
      <c r="T56"/>
      <c r="U56"/>
      <c r="V56"/>
      <c r="W56"/>
      <c r="X56"/>
      <c r="Y56"/>
      <c r="Z56"/>
      <c r="AA56"/>
      <c r="AB56"/>
      <c r="AC56"/>
      <c r="AD56"/>
      <c r="AE56"/>
      <c r="AF56"/>
    </row>
    <row r="57" spans="1:32" ht="17.25" customHeight="1" outlineLevel="1" x14ac:dyDescent="0.2">
      <c r="A57" s="140"/>
      <c r="B57" s="141" t="s">
        <v>39</v>
      </c>
      <c r="C57" s="142" t="s">
        <v>5794</v>
      </c>
      <c r="D57" s="143" t="s">
        <v>5551</v>
      </c>
      <c r="E57" s="68"/>
      <c r="F57" s="144"/>
      <c r="G57" s="144"/>
      <c r="H57" s="145">
        <f>H58+H75</f>
        <v>1395935.1463574725</v>
      </c>
      <c r="I57" s="146"/>
      <c r="J57" s="147"/>
      <c r="K57" s="130"/>
      <c r="L57" s="130"/>
      <c r="M57"/>
      <c r="N57"/>
      <c r="O57"/>
      <c r="P57"/>
      <c r="Q57"/>
      <c r="R57"/>
      <c r="S57"/>
      <c r="T57"/>
      <c r="U57"/>
      <c r="V57"/>
      <c r="W57"/>
      <c r="X57"/>
      <c r="Y57"/>
      <c r="Z57"/>
      <c r="AA57"/>
      <c r="AB57"/>
      <c r="AC57"/>
      <c r="AD57"/>
      <c r="AE57"/>
      <c r="AF57"/>
    </row>
    <row r="58" spans="1:32" ht="12" customHeight="1" outlineLevel="1" x14ac:dyDescent="0.2">
      <c r="A58" s="140"/>
      <c r="B58" s="141" t="s">
        <v>1238</v>
      </c>
      <c r="C58" s="142" t="s">
        <v>5795</v>
      </c>
      <c r="D58" s="148" t="s">
        <v>2011</v>
      </c>
      <c r="E58" s="68"/>
      <c r="F58" s="144"/>
      <c r="G58" s="144"/>
      <c r="H58" s="145">
        <f>H59+H60+H61+H62+H63+H64+H65+H66+H67+H68+H69+H70+H71+H72+H73+H74</f>
        <v>1044668.2749294546</v>
      </c>
      <c r="I58" s="146"/>
      <c r="J58" s="147"/>
      <c r="K58" s="130"/>
      <c r="L58" s="149"/>
      <c r="M58"/>
      <c r="N58"/>
      <c r="O58"/>
      <c r="P58"/>
      <c r="Q58"/>
      <c r="R58"/>
      <c r="S58"/>
      <c r="T58"/>
      <c r="U58"/>
      <c r="V58"/>
      <c r="W58"/>
      <c r="X58"/>
      <c r="Y58"/>
      <c r="Z58"/>
      <c r="AA58"/>
      <c r="AB58"/>
      <c r="AC58"/>
      <c r="AD58"/>
      <c r="AE58"/>
      <c r="AF58"/>
    </row>
    <row r="59" spans="1:32" ht="12" customHeight="1" outlineLevel="2" x14ac:dyDescent="0.2">
      <c r="A59" s="140"/>
      <c r="B59" s="141" t="s">
        <v>1239</v>
      </c>
      <c r="C59" s="142" t="s">
        <v>5796</v>
      </c>
      <c r="D59" s="148" t="s">
        <v>2012</v>
      </c>
      <c r="E59" s="144" t="s">
        <v>1130</v>
      </c>
      <c r="F59" s="144">
        <v>1</v>
      </c>
      <c r="G59" s="144">
        <v>71960.851415719226</v>
      </c>
      <c r="H59" s="145">
        <f t="shared" ref="H59:H74" si="3">G59*F59</f>
        <v>71960.851415719226</v>
      </c>
      <c r="I59" s="144" t="s">
        <v>2070</v>
      </c>
      <c r="J59" s="147" t="s">
        <v>1304</v>
      </c>
      <c r="K59" s="130"/>
      <c r="L59" s="149"/>
      <c r="M59"/>
      <c r="N59"/>
      <c r="O59"/>
      <c r="P59"/>
      <c r="Q59"/>
      <c r="R59"/>
      <c r="S59"/>
      <c r="T59"/>
      <c r="U59"/>
      <c r="V59"/>
      <c r="W59"/>
      <c r="X59"/>
      <c r="Y59"/>
      <c r="Z59"/>
      <c r="AA59"/>
      <c r="AB59"/>
      <c r="AC59"/>
      <c r="AD59"/>
      <c r="AE59"/>
      <c r="AF59"/>
    </row>
    <row r="60" spans="1:32" ht="12" customHeight="1" outlineLevel="2" x14ac:dyDescent="0.2">
      <c r="A60" s="140"/>
      <c r="B60" s="141" t="s">
        <v>1239</v>
      </c>
      <c r="C60" s="142" t="s">
        <v>5797</v>
      </c>
      <c r="D60" s="148" t="s">
        <v>2169</v>
      </c>
      <c r="E60" s="144" t="s">
        <v>1130</v>
      </c>
      <c r="F60" s="144">
        <v>1</v>
      </c>
      <c r="G60" s="144">
        <v>412.37</v>
      </c>
      <c r="H60" s="145">
        <f t="shared" si="3"/>
        <v>412.37</v>
      </c>
      <c r="I60" s="144" t="s">
        <v>2070</v>
      </c>
      <c r="J60" s="147" t="s">
        <v>1304</v>
      </c>
      <c r="K60" s="130"/>
      <c r="L60" s="149"/>
      <c r="M60"/>
      <c r="N60"/>
      <c r="O60"/>
      <c r="P60"/>
      <c r="Q60"/>
      <c r="R60"/>
      <c r="S60"/>
      <c r="T60"/>
      <c r="U60"/>
      <c r="V60"/>
      <c r="W60"/>
      <c r="X60"/>
      <c r="Y60"/>
      <c r="Z60"/>
      <c r="AA60"/>
      <c r="AB60"/>
      <c r="AC60"/>
      <c r="AD60"/>
      <c r="AE60"/>
      <c r="AF60"/>
    </row>
    <row r="61" spans="1:32" ht="12" customHeight="1" outlineLevel="2" x14ac:dyDescent="0.2">
      <c r="A61" s="140"/>
      <c r="B61" s="141" t="s">
        <v>1239</v>
      </c>
      <c r="C61" s="142" t="s">
        <v>9524</v>
      </c>
      <c r="D61" s="148" t="s">
        <v>2013</v>
      </c>
      <c r="E61" s="144" t="s">
        <v>1130</v>
      </c>
      <c r="F61" s="144">
        <v>1</v>
      </c>
      <c r="G61" s="144">
        <v>11955.031669576918</v>
      </c>
      <c r="H61" s="145">
        <f t="shared" si="3"/>
        <v>11955.031669576918</v>
      </c>
      <c r="I61" s="144" t="s">
        <v>2070</v>
      </c>
      <c r="J61" s="147" t="s">
        <v>1304</v>
      </c>
      <c r="K61" s="130"/>
      <c r="L61" s="149"/>
      <c r="M61"/>
      <c r="N61"/>
      <c r="O61"/>
      <c r="P61"/>
      <c r="Q61"/>
      <c r="R61"/>
      <c r="S61"/>
      <c r="T61"/>
      <c r="U61"/>
      <c r="V61"/>
      <c r="W61"/>
      <c r="X61"/>
      <c r="Y61"/>
      <c r="Z61"/>
      <c r="AA61"/>
      <c r="AB61"/>
      <c r="AC61"/>
      <c r="AD61"/>
      <c r="AE61"/>
      <c r="AF61"/>
    </row>
    <row r="62" spans="1:32" ht="12" customHeight="1" outlineLevel="2" x14ac:dyDescent="0.2">
      <c r="A62" s="140"/>
      <c r="B62" s="141" t="s">
        <v>1239</v>
      </c>
      <c r="C62" s="142" t="s">
        <v>9525</v>
      </c>
      <c r="D62" s="148" t="s">
        <v>2014</v>
      </c>
      <c r="E62" s="144" t="s">
        <v>1130</v>
      </c>
      <c r="F62" s="144">
        <v>1</v>
      </c>
      <c r="G62" s="144">
        <v>30000</v>
      </c>
      <c r="H62" s="145">
        <f t="shared" si="3"/>
        <v>30000</v>
      </c>
      <c r="I62" s="144" t="s">
        <v>9453</v>
      </c>
      <c r="J62" s="147" t="s">
        <v>1304</v>
      </c>
      <c r="K62" s="130"/>
      <c r="L62" s="149"/>
      <c r="M62"/>
      <c r="N62"/>
      <c r="O62"/>
      <c r="P62"/>
      <c r="Q62"/>
      <c r="R62"/>
      <c r="S62"/>
      <c r="T62"/>
      <c r="U62"/>
      <c r="V62"/>
      <c r="W62"/>
      <c r="X62"/>
      <c r="Y62"/>
      <c r="Z62"/>
      <c r="AA62"/>
      <c r="AB62"/>
      <c r="AC62"/>
      <c r="AD62"/>
      <c r="AE62"/>
      <c r="AF62"/>
    </row>
    <row r="63" spans="1:32" ht="12" customHeight="1" outlineLevel="2" x14ac:dyDescent="0.2">
      <c r="A63" s="140"/>
      <c r="B63" s="141" t="s">
        <v>1239</v>
      </c>
      <c r="C63" s="142" t="s">
        <v>9526</v>
      </c>
      <c r="D63" s="148" t="s">
        <v>2015</v>
      </c>
      <c r="E63" s="144" t="s">
        <v>1130</v>
      </c>
      <c r="F63" s="144">
        <v>1</v>
      </c>
      <c r="G63" s="144">
        <v>16643.349340092074</v>
      </c>
      <c r="H63" s="145">
        <f t="shared" si="3"/>
        <v>16643.349340092074</v>
      </c>
      <c r="I63" s="144" t="s">
        <v>2070</v>
      </c>
      <c r="J63" s="147" t="s">
        <v>1304</v>
      </c>
      <c r="K63" s="130"/>
      <c r="L63" s="149"/>
      <c r="M63"/>
      <c r="N63"/>
      <c r="O63"/>
      <c r="P63"/>
      <c r="Q63"/>
      <c r="R63"/>
      <c r="S63"/>
      <c r="T63"/>
      <c r="U63"/>
      <c r="V63"/>
      <c r="W63"/>
      <c r="X63"/>
      <c r="Y63"/>
      <c r="Z63"/>
      <c r="AA63"/>
      <c r="AB63"/>
      <c r="AC63"/>
      <c r="AD63"/>
      <c r="AE63"/>
      <c r="AF63"/>
    </row>
    <row r="64" spans="1:32" ht="12" customHeight="1" outlineLevel="2" x14ac:dyDescent="0.2">
      <c r="A64" s="140"/>
      <c r="B64" s="141" t="s">
        <v>1239</v>
      </c>
      <c r="C64" s="142" t="s">
        <v>9527</v>
      </c>
      <c r="D64" s="148" t="s">
        <v>2016</v>
      </c>
      <c r="E64" s="144" t="s">
        <v>1130</v>
      </c>
      <c r="F64" s="144">
        <v>1</v>
      </c>
      <c r="G64" s="144">
        <v>33097.80497987273</v>
      </c>
      <c r="H64" s="145">
        <f t="shared" si="3"/>
        <v>33097.80497987273</v>
      </c>
      <c r="I64" s="144" t="s">
        <v>2070</v>
      </c>
      <c r="J64" s="147" t="s">
        <v>1304</v>
      </c>
      <c r="K64" s="130"/>
      <c r="L64" s="149"/>
      <c r="M64"/>
      <c r="N64"/>
      <c r="O64"/>
      <c r="P64"/>
      <c r="Q64"/>
      <c r="R64"/>
      <c r="S64"/>
      <c r="T64"/>
      <c r="U64"/>
      <c r="V64"/>
      <c r="W64"/>
      <c r="X64"/>
      <c r="Y64"/>
      <c r="Z64"/>
      <c r="AA64"/>
      <c r="AB64"/>
      <c r="AC64"/>
      <c r="AD64"/>
      <c r="AE64"/>
      <c r="AF64"/>
    </row>
    <row r="65" spans="1:32" ht="12" customHeight="1" outlineLevel="2" x14ac:dyDescent="0.2">
      <c r="A65" s="140"/>
      <c r="B65" s="141" t="s">
        <v>1239</v>
      </c>
      <c r="C65" s="142" t="s">
        <v>9528</v>
      </c>
      <c r="D65" s="148" t="s">
        <v>2017</v>
      </c>
      <c r="E65" s="144" t="s">
        <v>1130</v>
      </c>
      <c r="F65" s="144">
        <v>1</v>
      </c>
      <c r="G65" s="144">
        <v>12228.686097311251</v>
      </c>
      <c r="H65" s="145">
        <f t="shared" si="3"/>
        <v>12228.686097311251</v>
      </c>
      <c r="I65" s="144" t="s">
        <v>2070</v>
      </c>
      <c r="J65" s="147" t="s">
        <v>1304</v>
      </c>
      <c r="K65" s="130"/>
      <c r="L65" s="149"/>
      <c r="M65"/>
      <c r="N65"/>
      <c r="O65"/>
      <c r="P65"/>
      <c r="Q65"/>
      <c r="R65"/>
      <c r="S65"/>
      <c r="T65"/>
      <c r="U65"/>
      <c r="V65"/>
      <c r="W65"/>
      <c r="X65"/>
      <c r="Y65"/>
      <c r="Z65"/>
      <c r="AA65"/>
      <c r="AB65"/>
      <c r="AC65"/>
      <c r="AD65"/>
      <c r="AE65"/>
      <c r="AF65"/>
    </row>
    <row r="66" spans="1:32" ht="12" customHeight="1" outlineLevel="2" x14ac:dyDescent="0.2">
      <c r="A66" s="140"/>
      <c r="B66" s="141" t="s">
        <v>1239</v>
      </c>
      <c r="C66" s="142" t="s">
        <v>9529</v>
      </c>
      <c r="D66" s="148" t="s">
        <v>2018</v>
      </c>
      <c r="E66" s="144" t="s">
        <v>1130</v>
      </c>
      <c r="F66" s="144">
        <v>1</v>
      </c>
      <c r="G66" s="144">
        <v>146127.50888094533</v>
      </c>
      <c r="H66" s="145">
        <f t="shared" si="3"/>
        <v>146127.50888094533</v>
      </c>
      <c r="I66" s="144" t="s">
        <v>2070</v>
      </c>
      <c r="J66" s="147" t="s">
        <v>1304</v>
      </c>
      <c r="K66" s="130"/>
      <c r="L66" s="149"/>
      <c r="M66"/>
      <c r="N66"/>
      <c r="O66"/>
      <c r="P66"/>
      <c r="Q66"/>
      <c r="R66"/>
      <c r="S66"/>
      <c r="T66"/>
      <c r="U66"/>
      <c r="V66"/>
      <c r="W66"/>
      <c r="X66"/>
      <c r="Y66"/>
      <c r="Z66"/>
      <c r="AA66"/>
      <c r="AB66"/>
      <c r="AC66"/>
      <c r="AD66"/>
      <c r="AE66"/>
      <c r="AF66"/>
    </row>
    <row r="67" spans="1:32" ht="12" customHeight="1" outlineLevel="2" x14ac:dyDescent="0.2">
      <c r="A67" s="140"/>
      <c r="B67" s="141" t="s">
        <v>1239</v>
      </c>
      <c r="C67" s="142" t="s">
        <v>9530</v>
      </c>
      <c r="D67" s="148" t="s">
        <v>5670</v>
      </c>
      <c r="E67" s="144" t="s">
        <v>1130</v>
      </c>
      <c r="F67" s="144">
        <v>1</v>
      </c>
      <c r="G67" s="144">
        <v>3600</v>
      </c>
      <c r="H67" s="145">
        <f t="shared" si="3"/>
        <v>3600</v>
      </c>
      <c r="I67" s="144" t="s">
        <v>2070</v>
      </c>
      <c r="J67" s="147" t="s">
        <v>1304</v>
      </c>
      <c r="K67" s="130"/>
      <c r="L67" s="149"/>
      <c r="M67"/>
      <c r="N67"/>
      <c r="O67"/>
      <c r="P67"/>
      <c r="Q67"/>
      <c r="R67"/>
      <c r="S67"/>
      <c r="T67"/>
      <c r="U67"/>
      <c r="V67"/>
      <c r="W67"/>
      <c r="X67"/>
      <c r="Y67"/>
      <c r="Z67"/>
      <c r="AA67"/>
      <c r="AB67"/>
      <c r="AC67"/>
      <c r="AD67"/>
      <c r="AE67"/>
      <c r="AF67"/>
    </row>
    <row r="68" spans="1:32" ht="12" customHeight="1" outlineLevel="2" x14ac:dyDescent="0.2">
      <c r="A68" s="140"/>
      <c r="B68" s="141" t="s">
        <v>1239</v>
      </c>
      <c r="C68" s="142" t="s">
        <v>9531</v>
      </c>
      <c r="D68" s="148" t="s">
        <v>5671</v>
      </c>
      <c r="E68" s="144" t="s">
        <v>1130</v>
      </c>
      <c r="F68" s="144">
        <v>1</v>
      </c>
      <c r="G68" s="144">
        <v>1000</v>
      </c>
      <c r="H68" s="145">
        <f t="shared" si="3"/>
        <v>1000</v>
      </c>
      <c r="I68" s="144" t="s">
        <v>9453</v>
      </c>
      <c r="J68" s="147" t="s">
        <v>1304</v>
      </c>
      <c r="K68" s="130"/>
      <c r="L68" s="149"/>
      <c r="M68"/>
      <c r="N68"/>
      <c r="O68"/>
      <c r="P68"/>
      <c r="Q68"/>
      <c r="R68"/>
      <c r="S68"/>
      <c r="T68"/>
      <c r="U68"/>
      <c r="V68"/>
      <c r="W68"/>
      <c r="X68"/>
      <c r="Y68"/>
      <c r="Z68"/>
      <c r="AA68"/>
      <c r="AB68"/>
      <c r="AC68"/>
      <c r="AD68"/>
      <c r="AE68"/>
      <c r="AF68"/>
    </row>
    <row r="69" spans="1:32" ht="12" customHeight="1" outlineLevel="2" x14ac:dyDescent="0.2">
      <c r="A69" s="140"/>
      <c r="B69" s="141" t="s">
        <v>1239</v>
      </c>
      <c r="C69" s="142" t="s">
        <v>9532</v>
      </c>
      <c r="D69" s="148" t="s">
        <v>2170</v>
      </c>
      <c r="E69" s="144" t="s">
        <v>1130</v>
      </c>
      <c r="F69" s="144">
        <v>1</v>
      </c>
      <c r="G69" s="144">
        <v>8800</v>
      </c>
      <c r="H69" s="145">
        <f t="shared" si="3"/>
        <v>8800</v>
      </c>
      <c r="I69" s="144" t="s">
        <v>2070</v>
      </c>
      <c r="J69" s="147" t="s">
        <v>1304</v>
      </c>
      <c r="K69" s="130"/>
      <c r="L69" s="149"/>
      <c r="M69"/>
      <c r="N69"/>
      <c r="O69"/>
      <c r="P69"/>
      <c r="Q69"/>
      <c r="R69"/>
      <c r="S69"/>
      <c r="T69"/>
      <c r="U69"/>
      <c r="V69"/>
      <c r="W69"/>
      <c r="X69"/>
      <c r="Y69"/>
      <c r="Z69"/>
      <c r="AA69"/>
      <c r="AB69"/>
      <c r="AC69"/>
      <c r="AD69"/>
      <c r="AE69"/>
      <c r="AF69"/>
    </row>
    <row r="70" spans="1:32" ht="12" customHeight="1" outlineLevel="2" x14ac:dyDescent="0.2">
      <c r="A70" s="140"/>
      <c r="B70" s="141" t="s">
        <v>1239</v>
      </c>
      <c r="C70" s="142" t="s">
        <v>9533</v>
      </c>
      <c r="D70" s="148" t="s">
        <v>5672</v>
      </c>
      <c r="E70" s="144" t="s">
        <v>1130</v>
      </c>
      <c r="F70" s="144">
        <v>1</v>
      </c>
      <c r="G70" s="144">
        <v>453148.83</v>
      </c>
      <c r="H70" s="145">
        <f t="shared" si="3"/>
        <v>453148.83</v>
      </c>
      <c r="I70" s="144" t="s">
        <v>9453</v>
      </c>
      <c r="J70" s="147" t="s">
        <v>1304</v>
      </c>
      <c r="K70" s="130"/>
      <c r="L70" s="149"/>
      <c r="M70"/>
      <c r="N70"/>
      <c r="O70"/>
      <c r="P70"/>
      <c r="Q70"/>
      <c r="R70"/>
      <c r="S70"/>
      <c r="T70"/>
      <c r="U70"/>
      <c r="V70"/>
      <c r="W70"/>
      <c r="X70"/>
      <c r="Y70"/>
      <c r="Z70"/>
      <c r="AA70"/>
      <c r="AB70"/>
      <c r="AC70"/>
      <c r="AD70"/>
      <c r="AE70"/>
      <c r="AF70"/>
    </row>
    <row r="71" spans="1:32" ht="12" customHeight="1" outlineLevel="2" x14ac:dyDescent="0.2">
      <c r="A71" s="140"/>
      <c r="B71" s="141" t="s">
        <v>1239</v>
      </c>
      <c r="C71" s="142" t="s">
        <v>9534</v>
      </c>
      <c r="D71" s="148" t="s">
        <v>2019</v>
      </c>
      <c r="E71" s="144" t="s">
        <v>1130</v>
      </c>
      <c r="F71" s="144">
        <v>1</v>
      </c>
      <c r="G71" s="144">
        <v>124279.41784041961</v>
      </c>
      <c r="H71" s="145">
        <f t="shared" si="3"/>
        <v>124279.41784041961</v>
      </c>
      <c r="I71" s="144" t="s">
        <v>2070</v>
      </c>
      <c r="J71" s="147" t="s">
        <v>1304</v>
      </c>
      <c r="K71" s="130"/>
      <c r="L71" s="149"/>
      <c r="M71"/>
      <c r="N71"/>
      <c r="O71"/>
      <c r="P71"/>
      <c r="Q71"/>
      <c r="R71"/>
      <c r="S71"/>
      <c r="T71"/>
      <c r="U71"/>
      <c r="V71"/>
      <c r="W71"/>
      <c r="X71"/>
      <c r="Y71"/>
      <c r="Z71"/>
      <c r="AA71"/>
      <c r="AB71"/>
      <c r="AC71"/>
      <c r="AD71"/>
      <c r="AE71"/>
      <c r="AF71"/>
    </row>
    <row r="72" spans="1:32" ht="12" customHeight="1" outlineLevel="2" x14ac:dyDescent="0.2">
      <c r="A72" s="140"/>
      <c r="B72" s="141" t="s">
        <v>1239</v>
      </c>
      <c r="C72" s="142" t="s">
        <v>9535</v>
      </c>
      <c r="D72" s="148" t="s">
        <v>2020</v>
      </c>
      <c r="E72" s="144" t="s">
        <v>1130</v>
      </c>
      <c r="F72" s="144">
        <v>1</v>
      </c>
      <c r="G72" s="144">
        <v>73162.253705517534</v>
      </c>
      <c r="H72" s="145">
        <f t="shared" si="3"/>
        <v>73162.253705517534</v>
      </c>
      <c r="I72" s="144" t="s">
        <v>2070</v>
      </c>
      <c r="J72" s="147" t="s">
        <v>1304</v>
      </c>
      <c r="K72" s="130"/>
      <c r="L72" s="149"/>
      <c r="M72"/>
      <c r="N72"/>
      <c r="O72"/>
      <c r="P72"/>
      <c r="Q72"/>
      <c r="R72"/>
      <c r="S72"/>
      <c r="T72"/>
      <c r="U72"/>
      <c r="V72"/>
      <c r="W72"/>
      <c r="X72"/>
      <c r="Y72"/>
      <c r="Z72"/>
      <c r="AA72"/>
      <c r="AB72"/>
      <c r="AC72"/>
      <c r="AD72"/>
      <c r="AE72"/>
      <c r="AF72"/>
    </row>
    <row r="73" spans="1:32" ht="12" customHeight="1" outlineLevel="2" x14ac:dyDescent="0.2">
      <c r="A73" s="140"/>
      <c r="B73" s="141" t="s">
        <v>1239</v>
      </c>
      <c r="C73" s="142" t="s">
        <v>9536</v>
      </c>
      <c r="D73" s="148" t="s">
        <v>2021</v>
      </c>
      <c r="E73" s="144" t="s">
        <v>1130</v>
      </c>
      <c r="F73" s="144">
        <v>1</v>
      </c>
      <c r="G73" s="144">
        <v>27215.760000000006</v>
      </c>
      <c r="H73" s="145">
        <f t="shared" si="3"/>
        <v>27215.760000000006</v>
      </c>
      <c r="I73" s="144" t="s">
        <v>2070</v>
      </c>
      <c r="J73" s="147" t="s">
        <v>1304</v>
      </c>
      <c r="K73" s="130"/>
      <c r="L73" s="149"/>
      <c r="M73"/>
      <c r="N73"/>
      <c r="O73"/>
      <c r="P73"/>
      <c r="Q73"/>
      <c r="R73"/>
      <c r="S73"/>
      <c r="T73"/>
      <c r="U73"/>
      <c r="V73"/>
      <c r="W73"/>
      <c r="X73"/>
      <c r="Y73"/>
      <c r="Z73"/>
      <c r="AA73"/>
      <c r="AB73"/>
      <c r="AC73"/>
      <c r="AD73"/>
      <c r="AE73"/>
      <c r="AF73"/>
    </row>
    <row r="74" spans="1:32" ht="12" customHeight="1" outlineLevel="2" x14ac:dyDescent="0.2">
      <c r="A74" s="140"/>
      <c r="B74" s="141" t="s">
        <v>1239</v>
      </c>
      <c r="C74" s="142" t="s">
        <v>9537</v>
      </c>
      <c r="D74" s="148" t="s">
        <v>2022</v>
      </c>
      <c r="E74" s="144" t="s">
        <v>1130</v>
      </c>
      <c r="F74" s="144">
        <v>1</v>
      </c>
      <c r="G74" s="144">
        <v>31036.410999999993</v>
      </c>
      <c r="H74" s="145">
        <f t="shared" si="3"/>
        <v>31036.410999999993</v>
      </c>
      <c r="I74" s="144" t="s">
        <v>2070</v>
      </c>
      <c r="J74" s="147" t="s">
        <v>1304</v>
      </c>
      <c r="K74" s="130"/>
      <c r="L74" s="149"/>
      <c r="M74"/>
      <c r="N74"/>
      <c r="O74"/>
      <c r="P74"/>
      <c r="Q74"/>
      <c r="R74"/>
      <c r="S74"/>
      <c r="T74"/>
      <c r="U74"/>
      <c r="V74"/>
      <c r="W74"/>
      <c r="X74"/>
      <c r="Y74"/>
      <c r="Z74"/>
      <c r="AA74"/>
      <c r="AB74"/>
      <c r="AC74"/>
      <c r="AD74"/>
      <c r="AE74"/>
      <c r="AF74"/>
    </row>
    <row r="75" spans="1:32" ht="12" customHeight="1" outlineLevel="1" x14ac:dyDescent="0.2">
      <c r="A75" s="140"/>
      <c r="B75" s="141" t="s">
        <v>1238</v>
      </c>
      <c r="C75" s="142" t="s">
        <v>5798</v>
      </c>
      <c r="D75" s="148" t="s">
        <v>2023</v>
      </c>
      <c r="E75" s="68"/>
      <c r="F75" s="144"/>
      <c r="G75" s="144"/>
      <c r="H75" s="145">
        <f>H76+H77+H78+H79</f>
        <v>351266.87142801785</v>
      </c>
      <c r="I75" s="146"/>
      <c r="J75" s="147"/>
      <c r="K75" s="130"/>
      <c r="L75" s="149"/>
      <c r="M75"/>
      <c r="N75"/>
      <c r="O75"/>
      <c r="P75"/>
      <c r="Q75"/>
      <c r="R75"/>
      <c r="S75"/>
      <c r="T75"/>
      <c r="U75"/>
      <c r="V75"/>
      <c r="W75"/>
      <c r="X75"/>
      <c r="Y75"/>
      <c r="Z75"/>
      <c r="AA75"/>
      <c r="AB75"/>
      <c r="AC75"/>
      <c r="AD75"/>
      <c r="AE75"/>
      <c r="AF75"/>
    </row>
    <row r="76" spans="1:32" ht="12" customHeight="1" outlineLevel="2" x14ac:dyDescent="0.2">
      <c r="A76" s="140"/>
      <c r="B76" s="141" t="s">
        <v>1239</v>
      </c>
      <c r="C76" s="142" t="s">
        <v>5799</v>
      </c>
      <c r="D76" s="148" t="s">
        <v>1602</v>
      </c>
      <c r="E76" s="144" t="s">
        <v>1130</v>
      </c>
      <c r="F76" s="144">
        <v>1</v>
      </c>
      <c r="G76" s="144">
        <v>41370.448316999908</v>
      </c>
      <c r="H76" s="145">
        <f>G76*F76</f>
        <v>41370.448316999908</v>
      </c>
      <c r="I76" s="144" t="s">
        <v>2070</v>
      </c>
      <c r="J76" s="147" t="s">
        <v>1304</v>
      </c>
      <c r="K76" s="130"/>
      <c r="L76" s="149"/>
      <c r="M76"/>
      <c r="N76"/>
      <c r="O76"/>
      <c r="P76"/>
      <c r="Q76"/>
      <c r="R76"/>
      <c r="S76"/>
      <c r="T76"/>
      <c r="U76"/>
      <c r="V76"/>
      <c r="W76"/>
      <c r="X76"/>
      <c r="Y76"/>
      <c r="Z76"/>
      <c r="AA76"/>
      <c r="AB76"/>
      <c r="AC76"/>
      <c r="AD76"/>
      <c r="AE76"/>
      <c r="AF76"/>
    </row>
    <row r="77" spans="1:32" ht="12" customHeight="1" outlineLevel="2" x14ac:dyDescent="0.2">
      <c r="A77" s="140"/>
      <c r="B77" s="141" t="s">
        <v>1239</v>
      </c>
      <c r="C77" s="142" t="s">
        <v>9538</v>
      </c>
      <c r="D77" s="148" t="s">
        <v>2084</v>
      </c>
      <c r="E77" s="144" t="s">
        <v>1130</v>
      </c>
      <c r="F77" s="144">
        <v>1</v>
      </c>
      <c r="G77" s="144">
        <v>162829.56539673769</v>
      </c>
      <c r="H77" s="145">
        <f>G77*F77</f>
        <v>162829.56539673769</v>
      </c>
      <c r="I77" s="144" t="s">
        <v>2070</v>
      </c>
      <c r="J77" s="147" t="s">
        <v>1304</v>
      </c>
      <c r="K77" s="130"/>
      <c r="L77" s="149"/>
      <c r="M77"/>
      <c r="N77"/>
      <c r="O77"/>
      <c r="P77"/>
      <c r="Q77"/>
      <c r="R77"/>
      <c r="S77"/>
      <c r="T77"/>
      <c r="U77"/>
      <c r="V77"/>
      <c r="W77"/>
      <c r="X77"/>
      <c r="Y77"/>
      <c r="Z77"/>
      <c r="AA77"/>
      <c r="AB77"/>
      <c r="AC77"/>
      <c r="AD77"/>
      <c r="AE77"/>
      <c r="AF77"/>
    </row>
    <row r="78" spans="1:32" ht="12" customHeight="1" outlineLevel="2" x14ac:dyDescent="0.2">
      <c r="A78" s="140"/>
      <c r="B78" s="141" t="s">
        <v>1239</v>
      </c>
      <c r="C78" s="142" t="s">
        <v>9539</v>
      </c>
      <c r="D78" s="148" t="s">
        <v>2024</v>
      </c>
      <c r="E78" s="144" t="s">
        <v>1130</v>
      </c>
      <c r="F78" s="144">
        <v>1</v>
      </c>
      <c r="G78" s="144">
        <v>105185.05145395904</v>
      </c>
      <c r="H78" s="145">
        <f>G78*F78</f>
        <v>105185.05145395904</v>
      </c>
      <c r="I78" s="144" t="s">
        <v>2070</v>
      </c>
      <c r="J78" s="147" t="s">
        <v>1304</v>
      </c>
      <c r="K78" s="130"/>
      <c r="L78" s="149"/>
      <c r="M78"/>
      <c r="N78"/>
      <c r="O78"/>
      <c r="P78"/>
      <c r="Q78"/>
      <c r="R78"/>
      <c r="S78"/>
      <c r="T78"/>
      <c r="U78"/>
      <c r="V78"/>
      <c r="W78"/>
      <c r="X78"/>
      <c r="Y78"/>
      <c r="Z78"/>
      <c r="AA78"/>
      <c r="AB78"/>
      <c r="AC78"/>
      <c r="AD78"/>
      <c r="AE78"/>
      <c r="AF78"/>
    </row>
    <row r="79" spans="1:32" ht="12" customHeight="1" outlineLevel="2" x14ac:dyDescent="0.2">
      <c r="A79" s="140"/>
      <c r="B79" s="141" t="s">
        <v>1239</v>
      </c>
      <c r="C79" s="142" t="s">
        <v>9540</v>
      </c>
      <c r="D79" s="148" t="s">
        <v>2025</v>
      </c>
      <c r="E79" s="144" t="s">
        <v>1130</v>
      </c>
      <c r="F79" s="144">
        <v>1</v>
      </c>
      <c r="G79" s="144">
        <v>41881.806260321238</v>
      </c>
      <c r="H79" s="145">
        <f>G79*F79</f>
        <v>41881.806260321238</v>
      </c>
      <c r="I79" s="144" t="s">
        <v>2070</v>
      </c>
      <c r="J79" s="147" t="s">
        <v>1304</v>
      </c>
      <c r="K79" s="130"/>
      <c r="L79" s="149"/>
      <c r="M79"/>
      <c r="N79"/>
      <c r="O79"/>
      <c r="P79"/>
      <c r="Q79"/>
      <c r="R79"/>
      <c r="S79"/>
      <c r="T79"/>
      <c r="U79"/>
      <c r="V79"/>
      <c r="W79"/>
      <c r="X79"/>
      <c r="Y79"/>
      <c r="Z79"/>
      <c r="AA79"/>
      <c r="AB79"/>
      <c r="AC79"/>
      <c r="AD79"/>
      <c r="AE79"/>
      <c r="AF79"/>
    </row>
    <row r="80" spans="1:32" ht="13.9" customHeight="1" x14ac:dyDescent="0.2">
      <c r="A80" s="140"/>
      <c r="B80" s="141" t="s">
        <v>1237</v>
      </c>
      <c r="C80" s="150" t="s">
        <v>5806</v>
      </c>
      <c r="D80" s="143" t="s">
        <v>2026</v>
      </c>
      <c r="E80" s="68"/>
      <c r="F80" s="144"/>
      <c r="G80" s="144"/>
      <c r="H80" s="145">
        <f>H81+H106+H148</f>
        <v>4925713.3008399364</v>
      </c>
      <c r="I80" s="146"/>
      <c r="J80" s="147"/>
      <c r="K80" s="130"/>
      <c r="L80" s="130"/>
      <c r="M80"/>
      <c r="N80"/>
      <c r="O80"/>
      <c r="P80"/>
      <c r="Q80"/>
      <c r="R80"/>
      <c r="S80"/>
      <c r="T80"/>
      <c r="U80"/>
      <c r="V80"/>
      <c r="W80"/>
      <c r="X80"/>
      <c r="Y80"/>
      <c r="Z80"/>
      <c r="AA80"/>
      <c r="AB80"/>
      <c r="AC80"/>
      <c r="AD80"/>
      <c r="AE80"/>
      <c r="AF80"/>
    </row>
    <row r="81" spans="1:32" ht="13.9" customHeight="1" outlineLevel="1" x14ac:dyDescent="0.2">
      <c r="A81" s="140"/>
      <c r="B81" s="141" t="s">
        <v>39</v>
      </c>
      <c r="C81" s="142" t="s">
        <v>5807</v>
      </c>
      <c r="D81" s="143" t="s">
        <v>2027</v>
      </c>
      <c r="E81" s="68"/>
      <c r="F81" s="144"/>
      <c r="G81" s="144"/>
      <c r="H81" s="145">
        <f>H82+H86+H98+H102</f>
        <v>609504.1794048372</v>
      </c>
      <c r="I81" s="146"/>
      <c r="J81" s="147" t="s">
        <v>2005</v>
      </c>
      <c r="K81" s="130"/>
      <c r="L81" s="130"/>
      <c r="M81"/>
      <c r="N81"/>
      <c r="O81"/>
      <c r="P81"/>
      <c r="Q81"/>
      <c r="R81"/>
      <c r="S81"/>
      <c r="T81"/>
      <c r="U81"/>
      <c r="V81"/>
      <c r="W81"/>
      <c r="X81"/>
      <c r="Y81"/>
      <c r="Z81"/>
      <c r="AA81"/>
      <c r="AB81"/>
      <c r="AC81"/>
      <c r="AD81"/>
      <c r="AE81"/>
      <c r="AF81"/>
    </row>
    <row r="82" spans="1:32" ht="12" customHeight="1" outlineLevel="1" x14ac:dyDescent="0.2">
      <c r="A82" s="140"/>
      <c r="B82" s="141" t="s">
        <v>1238</v>
      </c>
      <c r="C82" s="142" t="s">
        <v>5808</v>
      </c>
      <c r="D82" s="148" t="s">
        <v>2028</v>
      </c>
      <c r="E82" s="68"/>
      <c r="F82" s="144"/>
      <c r="G82" s="144"/>
      <c r="H82" s="145">
        <f>H83+H84+H85</f>
        <v>300750</v>
      </c>
      <c r="I82" s="146"/>
      <c r="J82" s="147"/>
      <c r="K82" s="130"/>
      <c r="L82" s="149"/>
      <c r="M82"/>
      <c r="N82"/>
      <c r="O82"/>
      <c r="P82"/>
      <c r="Q82"/>
      <c r="R82"/>
      <c r="S82"/>
      <c r="T82"/>
      <c r="U82"/>
      <c r="V82"/>
      <c r="W82"/>
      <c r="X82"/>
      <c r="Y82"/>
      <c r="Z82"/>
      <c r="AA82"/>
      <c r="AB82"/>
      <c r="AC82"/>
      <c r="AD82"/>
      <c r="AE82"/>
      <c r="AF82"/>
    </row>
    <row r="83" spans="1:32" ht="12" customHeight="1" outlineLevel="2" x14ac:dyDescent="0.2">
      <c r="A83" s="140"/>
      <c r="B83" s="141" t="s">
        <v>1239</v>
      </c>
      <c r="C83" s="142" t="s">
        <v>5809</v>
      </c>
      <c r="D83" s="148" t="s">
        <v>5673</v>
      </c>
      <c r="E83" s="144" t="s">
        <v>1244</v>
      </c>
      <c r="F83" s="144">
        <v>36</v>
      </c>
      <c r="G83" s="144">
        <v>2500</v>
      </c>
      <c r="H83" s="145">
        <f>G83*F83</f>
        <v>90000</v>
      </c>
      <c r="I83" s="144" t="s">
        <v>9453</v>
      </c>
      <c r="J83" s="147" t="s">
        <v>1304</v>
      </c>
      <c r="K83" s="130"/>
      <c r="L83" s="149"/>
      <c r="M83"/>
      <c r="N83"/>
      <c r="O83"/>
      <c r="P83"/>
      <c r="Q83"/>
      <c r="R83"/>
      <c r="S83"/>
      <c r="T83"/>
      <c r="U83"/>
      <c r="V83"/>
      <c r="W83"/>
      <c r="X83"/>
      <c r="Y83"/>
      <c r="Z83"/>
      <c r="AA83"/>
      <c r="AB83"/>
      <c r="AC83"/>
      <c r="AD83"/>
      <c r="AE83"/>
      <c r="AF83"/>
    </row>
    <row r="84" spans="1:32" ht="12" customHeight="1" outlineLevel="2" x14ac:dyDescent="0.2">
      <c r="A84" s="140"/>
      <c r="B84" s="141" t="s">
        <v>1239</v>
      </c>
      <c r="C84" s="142" t="s">
        <v>9541</v>
      </c>
      <c r="D84" s="148" t="s">
        <v>2029</v>
      </c>
      <c r="E84" s="144" t="s">
        <v>1130</v>
      </c>
      <c r="F84" s="144">
        <v>1</v>
      </c>
      <c r="G84" s="144">
        <v>204750</v>
      </c>
      <c r="H84" s="145">
        <f>G84*F84</f>
        <v>204750</v>
      </c>
      <c r="I84" s="144" t="s">
        <v>2070</v>
      </c>
      <c r="J84" s="147" t="s">
        <v>1304</v>
      </c>
      <c r="K84" s="130"/>
      <c r="L84" s="149"/>
      <c r="M84"/>
      <c r="N84"/>
      <c r="O84"/>
      <c r="P84"/>
      <c r="Q84"/>
      <c r="R84"/>
      <c r="S84"/>
      <c r="T84"/>
      <c r="U84"/>
      <c r="V84"/>
      <c r="W84"/>
      <c r="X84"/>
      <c r="Y84"/>
      <c r="Z84"/>
      <c r="AA84"/>
      <c r="AB84"/>
      <c r="AC84"/>
      <c r="AD84"/>
      <c r="AE84"/>
      <c r="AF84"/>
    </row>
    <row r="85" spans="1:32" ht="12" customHeight="1" outlineLevel="2" x14ac:dyDescent="0.2">
      <c r="A85" s="140"/>
      <c r="B85" s="141" t="s">
        <v>1239</v>
      </c>
      <c r="C85" s="142" t="s">
        <v>9542</v>
      </c>
      <c r="D85" s="148" t="s">
        <v>2038</v>
      </c>
      <c r="E85" s="144" t="s">
        <v>1130</v>
      </c>
      <c r="F85" s="144">
        <v>1</v>
      </c>
      <c r="G85" s="144">
        <v>6000</v>
      </c>
      <c r="H85" s="145">
        <f>G85*F85</f>
        <v>6000</v>
      </c>
      <c r="I85" s="144" t="s">
        <v>9453</v>
      </c>
      <c r="J85" s="147" t="s">
        <v>1304</v>
      </c>
      <c r="K85" s="130"/>
      <c r="L85" s="130"/>
      <c r="M85"/>
      <c r="N85"/>
      <c r="O85"/>
      <c r="P85"/>
      <c r="Q85"/>
      <c r="R85"/>
      <c r="S85"/>
      <c r="T85"/>
      <c r="U85"/>
      <c r="V85"/>
      <c r="W85"/>
      <c r="X85"/>
      <c r="Y85"/>
      <c r="Z85"/>
      <c r="AA85"/>
      <c r="AB85"/>
      <c r="AC85"/>
      <c r="AD85"/>
      <c r="AE85"/>
      <c r="AF85"/>
    </row>
    <row r="86" spans="1:32" ht="13.9" customHeight="1" outlineLevel="1" x14ac:dyDescent="0.2">
      <c r="A86" s="140"/>
      <c r="B86" s="141" t="s">
        <v>1238</v>
      </c>
      <c r="C86" s="142" t="s">
        <v>5810</v>
      </c>
      <c r="D86" s="143" t="s">
        <v>2030</v>
      </c>
      <c r="E86" s="68"/>
      <c r="F86" s="144"/>
      <c r="G86" s="144"/>
      <c r="H86" s="145">
        <f>H87+H88+H89+H90+H91+H92+H93+H94+H95+H96+H97</f>
        <v>213973.13674528402</v>
      </c>
      <c r="I86" s="146"/>
      <c r="J86" s="147"/>
      <c r="K86" s="130"/>
      <c r="L86" s="130"/>
      <c r="M86"/>
      <c r="N86"/>
      <c r="O86"/>
      <c r="P86"/>
      <c r="Q86"/>
      <c r="R86"/>
      <c r="S86"/>
      <c r="T86"/>
      <c r="U86"/>
      <c r="V86"/>
      <c r="W86"/>
      <c r="X86"/>
      <c r="Y86"/>
      <c r="Z86"/>
      <c r="AA86"/>
      <c r="AB86"/>
      <c r="AC86"/>
      <c r="AD86"/>
      <c r="AE86"/>
      <c r="AF86"/>
    </row>
    <row r="87" spans="1:32" ht="13.9" customHeight="1" outlineLevel="2" x14ac:dyDescent="0.2">
      <c r="A87" s="140"/>
      <c r="B87" s="141" t="s">
        <v>1239</v>
      </c>
      <c r="C87" s="142" t="s">
        <v>5811</v>
      </c>
      <c r="D87" s="143" t="s">
        <v>115</v>
      </c>
      <c r="E87" s="144" t="s">
        <v>788</v>
      </c>
      <c r="F87" s="144">
        <v>0</v>
      </c>
      <c r="G87" s="144">
        <v>243.95614637281909</v>
      </c>
      <c r="H87" s="145">
        <f t="shared" ref="H87:H97" si="4">G87*F87</f>
        <v>0</v>
      </c>
      <c r="I87" s="205" t="s">
        <v>114</v>
      </c>
      <c r="J87" s="147" t="s">
        <v>5644</v>
      </c>
      <c r="K87" s="130"/>
      <c r="L87" s="130"/>
      <c r="M87"/>
      <c r="N87"/>
      <c r="O87"/>
      <c r="P87"/>
      <c r="Q87"/>
      <c r="R87"/>
      <c r="S87"/>
      <c r="T87"/>
      <c r="U87"/>
      <c r="V87"/>
      <c r="W87"/>
      <c r="X87"/>
      <c r="Y87"/>
      <c r="Z87"/>
      <c r="AA87"/>
      <c r="AB87"/>
      <c r="AC87"/>
      <c r="AD87"/>
      <c r="AE87"/>
      <c r="AF87"/>
    </row>
    <row r="88" spans="1:32" ht="13.9" customHeight="1" outlineLevel="2" x14ac:dyDescent="0.2">
      <c r="A88" s="140"/>
      <c r="B88" s="141" t="s">
        <v>1239</v>
      </c>
      <c r="C88" s="142" t="s">
        <v>5812</v>
      </c>
      <c r="D88" s="143" t="s">
        <v>121</v>
      </c>
      <c r="E88" s="144" t="s">
        <v>788</v>
      </c>
      <c r="F88" s="144">
        <v>0</v>
      </c>
      <c r="G88" s="144">
        <v>230.09614637281908</v>
      </c>
      <c r="H88" s="145">
        <f t="shared" si="4"/>
        <v>0</v>
      </c>
      <c r="I88" s="205" t="s">
        <v>114</v>
      </c>
      <c r="J88" s="147" t="s">
        <v>5644</v>
      </c>
      <c r="K88" s="130"/>
      <c r="L88" s="130"/>
      <c r="M88"/>
      <c r="N88"/>
      <c r="O88"/>
      <c r="P88"/>
      <c r="Q88"/>
      <c r="R88"/>
      <c r="S88"/>
      <c r="T88"/>
      <c r="U88"/>
      <c r="V88"/>
      <c r="W88"/>
      <c r="X88"/>
      <c r="Y88"/>
      <c r="Z88"/>
      <c r="AA88"/>
      <c r="AB88"/>
      <c r="AC88"/>
      <c r="AD88"/>
      <c r="AE88"/>
      <c r="AF88"/>
    </row>
    <row r="89" spans="1:32" ht="13.9" customHeight="1" outlineLevel="2" x14ac:dyDescent="0.2">
      <c r="A89" s="140"/>
      <c r="B89" s="141" t="s">
        <v>1239</v>
      </c>
      <c r="C89" s="142" t="s">
        <v>9543</v>
      </c>
      <c r="D89" s="143" t="s">
        <v>2031</v>
      </c>
      <c r="E89" s="144" t="s">
        <v>642</v>
      </c>
      <c r="F89" s="144">
        <v>649.37200000000007</v>
      </c>
      <c r="G89" s="144">
        <v>38.622647000000001</v>
      </c>
      <c r="H89" s="145">
        <f t="shared" si="4"/>
        <v>25080.465527684002</v>
      </c>
      <c r="I89" s="205" t="s">
        <v>114</v>
      </c>
      <c r="J89" s="147" t="s">
        <v>5644</v>
      </c>
      <c r="K89" s="130"/>
      <c r="L89" s="130"/>
      <c r="M89"/>
      <c r="N89"/>
      <c r="O89"/>
      <c r="P89"/>
      <c r="Q89"/>
      <c r="R89"/>
      <c r="S89"/>
      <c r="T89"/>
      <c r="U89"/>
      <c r="V89"/>
      <c r="W89"/>
      <c r="X89"/>
      <c r="Y89"/>
      <c r="Z89"/>
      <c r="AA89"/>
      <c r="AB89"/>
      <c r="AC89"/>
      <c r="AD89"/>
      <c r="AE89"/>
      <c r="AF89"/>
    </row>
    <row r="90" spans="1:32" ht="13.9" customHeight="1" outlineLevel="2" x14ac:dyDescent="0.2">
      <c r="A90" s="140"/>
      <c r="B90" s="141" t="s">
        <v>1239</v>
      </c>
      <c r="C90" s="142" t="s">
        <v>9544</v>
      </c>
      <c r="D90" s="143" t="s">
        <v>2171</v>
      </c>
      <c r="E90" s="144" t="s">
        <v>788</v>
      </c>
      <c r="F90" s="144">
        <v>0</v>
      </c>
      <c r="G90" s="144">
        <v>42.431057000000003</v>
      </c>
      <c r="H90" s="145">
        <f t="shared" si="4"/>
        <v>0</v>
      </c>
      <c r="I90" s="205" t="s">
        <v>114</v>
      </c>
      <c r="J90" s="147" t="s">
        <v>5644</v>
      </c>
      <c r="K90" s="130"/>
      <c r="L90" s="130"/>
      <c r="M90"/>
      <c r="N90"/>
      <c r="O90"/>
      <c r="P90"/>
      <c r="Q90"/>
      <c r="R90"/>
      <c r="S90"/>
      <c r="T90"/>
      <c r="U90"/>
      <c r="V90"/>
      <c r="W90"/>
      <c r="X90"/>
      <c r="Y90"/>
      <c r="Z90"/>
      <c r="AA90"/>
      <c r="AB90"/>
      <c r="AC90"/>
      <c r="AD90"/>
      <c r="AE90"/>
      <c r="AF90"/>
    </row>
    <row r="91" spans="1:32" ht="13.9" customHeight="1" outlineLevel="2" x14ac:dyDescent="0.2">
      <c r="A91" s="140"/>
      <c r="B91" s="141" t="s">
        <v>1239</v>
      </c>
      <c r="C91" s="142" t="s">
        <v>9545</v>
      </c>
      <c r="D91" s="143" t="s">
        <v>127</v>
      </c>
      <c r="E91" s="144" t="s">
        <v>642</v>
      </c>
      <c r="F91" s="144">
        <v>0</v>
      </c>
      <c r="G91" s="144">
        <v>8.5113000000000003</v>
      </c>
      <c r="H91" s="145">
        <f t="shared" si="4"/>
        <v>0</v>
      </c>
      <c r="I91" s="205" t="s">
        <v>114</v>
      </c>
      <c r="J91" s="147" t="s">
        <v>5644</v>
      </c>
      <c r="K91" s="130"/>
      <c r="L91" s="130"/>
      <c r="M91"/>
      <c r="N91"/>
      <c r="O91"/>
      <c r="P91"/>
      <c r="Q91"/>
      <c r="R91"/>
      <c r="S91"/>
      <c r="T91"/>
      <c r="U91"/>
      <c r="V91"/>
      <c r="W91"/>
      <c r="X91"/>
      <c r="Y91"/>
      <c r="Z91"/>
      <c r="AA91"/>
      <c r="AB91"/>
      <c r="AC91"/>
      <c r="AD91"/>
      <c r="AE91"/>
      <c r="AF91"/>
    </row>
    <row r="92" spans="1:32" ht="13.9" customHeight="1" outlineLevel="2" x14ac:dyDescent="0.2">
      <c r="A92" s="140"/>
      <c r="B92" s="141" t="s">
        <v>1239</v>
      </c>
      <c r="C92" s="142" t="s">
        <v>9546</v>
      </c>
      <c r="D92" s="143" t="s">
        <v>2033</v>
      </c>
      <c r="E92" s="144" t="s">
        <v>642</v>
      </c>
      <c r="F92" s="144">
        <v>211.68</v>
      </c>
      <c r="G92" s="144">
        <v>49.519651000000003</v>
      </c>
      <c r="H92" s="145">
        <f t="shared" si="4"/>
        <v>10482.319723680001</v>
      </c>
      <c r="I92" s="205" t="s">
        <v>114</v>
      </c>
      <c r="J92" s="147" t="s">
        <v>5644</v>
      </c>
      <c r="K92" s="130"/>
      <c r="L92" s="130"/>
      <c r="M92"/>
      <c r="N92"/>
      <c r="O92"/>
      <c r="P92"/>
      <c r="Q92"/>
      <c r="R92"/>
      <c r="S92"/>
      <c r="T92"/>
      <c r="U92"/>
      <c r="V92"/>
      <c r="W92"/>
      <c r="X92"/>
      <c r="Y92"/>
      <c r="Z92"/>
      <c r="AA92"/>
      <c r="AB92"/>
      <c r="AC92"/>
      <c r="AD92"/>
      <c r="AE92"/>
      <c r="AF92"/>
    </row>
    <row r="93" spans="1:32" ht="13.9" customHeight="1" outlineLevel="2" x14ac:dyDescent="0.2">
      <c r="A93" s="140"/>
      <c r="B93" s="141" t="s">
        <v>1239</v>
      </c>
      <c r="C93" s="142" t="s">
        <v>9547</v>
      </c>
      <c r="D93" s="143" t="s">
        <v>2172</v>
      </c>
      <c r="E93" s="144" t="s">
        <v>642</v>
      </c>
      <c r="F93" s="144">
        <v>861.84</v>
      </c>
      <c r="G93" s="144">
        <v>49.519651000000003</v>
      </c>
      <c r="H93" s="145">
        <f t="shared" si="4"/>
        <v>42678.016017840004</v>
      </c>
      <c r="I93" s="205" t="s">
        <v>114</v>
      </c>
      <c r="J93" s="147" t="s">
        <v>5644</v>
      </c>
      <c r="K93" s="130"/>
      <c r="L93" s="130"/>
      <c r="M93"/>
      <c r="N93"/>
      <c r="O93"/>
      <c r="P93"/>
      <c r="Q93"/>
      <c r="R93"/>
      <c r="S93"/>
      <c r="T93"/>
      <c r="U93"/>
      <c r="V93"/>
      <c r="W93"/>
      <c r="X93"/>
      <c r="Y93"/>
      <c r="Z93"/>
      <c r="AA93"/>
      <c r="AB93"/>
      <c r="AC93"/>
      <c r="AD93"/>
      <c r="AE93"/>
      <c r="AF93"/>
    </row>
    <row r="94" spans="1:32" ht="13.9" customHeight="1" outlineLevel="2" x14ac:dyDescent="0.2">
      <c r="A94" s="140"/>
      <c r="B94" s="141" t="s">
        <v>1239</v>
      </c>
      <c r="C94" s="142" t="s">
        <v>9548</v>
      </c>
      <c r="D94" s="143" t="s">
        <v>2173</v>
      </c>
      <c r="E94" s="144" t="s">
        <v>642</v>
      </c>
      <c r="F94" s="144">
        <v>304.08</v>
      </c>
      <c r="G94" s="144">
        <v>49.519651000000003</v>
      </c>
      <c r="H94" s="145">
        <f t="shared" si="4"/>
        <v>15057.93547608</v>
      </c>
      <c r="I94" s="205" t="s">
        <v>114</v>
      </c>
      <c r="J94" s="147" t="s">
        <v>5644</v>
      </c>
      <c r="K94" s="130"/>
      <c r="L94" s="130"/>
      <c r="M94"/>
      <c r="N94"/>
      <c r="O94"/>
      <c r="P94"/>
      <c r="Q94"/>
      <c r="R94"/>
      <c r="S94"/>
      <c r="T94"/>
      <c r="U94"/>
      <c r="V94"/>
      <c r="W94"/>
      <c r="X94"/>
      <c r="Y94"/>
      <c r="Z94"/>
      <c r="AA94"/>
      <c r="AB94"/>
      <c r="AC94"/>
      <c r="AD94"/>
      <c r="AE94"/>
      <c r="AF94"/>
    </row>
    <row r="95" spans="1:32" ht="13.9" customHeight="1" outlineLevel="2" x14ac:dyDescent="0.2">
      <c r="A95" s="140"/>
      <c r="B95" s="141" t="s">
        <v>1239</v>
      </c>
      <c r="C95" s="142" t="s">
        <v>9549</v>
      </c>
      <c r="D95" s="143" t="s">
        <v>132</v>
      </c>
      <c r="E95" s="144" t="s">
        <v>642</v>
      </c>
      <c r="F95" s="144">
        <v>137.13</v>
      </c>
      <c r="G95" s="144">
        <v>880</v>
      </c>
      <c r="H95" s="145">
        <f t="shared" si="4"/>
        <v>120674.4</v>
      </c>
      <c r="I95" s="205" t="s">
        <v>114</v>
      </c>
      <c r="J95" s="147" t="s">
        <v>5644</v>
      </c>
      <c r="K95" s="130"/>
      <c r="L95" s="130"/>
      <c r="M95"/>
      <c r="N95"/>
      <c r="O95"/>
      <c r="P95"/>
      <c r="Q95"/>
      <c r="R95"/>
      <c r="S95"/>
      <c r="T95"/>
      <c r="U95"/>
      <c r="V95"/>
      <c r="W95"/>
      <c r="X95"/>
      <c r="Y95"/>
      <c r="Z95"/>
      <c r="AA95"/>
      <c r="AB95"/>
      <c r="AC95"/>
      <c r="AD95"/>
      <c r="AE95"/>
      <c r="AF95"/>
    </row>
    <row r="96" spans="1:32" ht="13.9" customHeight="1" outlineLevel="2" x14ac:dyDescent="0.2">
      <c r="A96" s="140"/>
      <c r="B96" s="141" t="s">
        <v>1239</v>
      </c>
      <c r="C96" s="142" t="s">
        <v>9550</v>
      </c>
      <c r="D96" s="143" t="s">
        <v>2034</v>
      </c>
      <c r="E96" s="144" t="s">
        <v>788</v>
      </c>
      <c r="F96" s="144">
        <v>0</v>
      </c>
      <c r="G96" s="144">
        <v>87.213999999999999</v>
      </c>
      <c r="H96" s="145">
        <f t="shared" si="4"/>
        <v>0</v>
      </c>
      <c r="I96" s="205" t="s">
        <v>114</v>
      </c>
      <c r="J96" s="147" t="s">
        <v>5644</v>
      </c>
      <c r="K96" s="130"/>
      <c r="L96" s="130"/>
      <c r="M96"/>
      <c r="N96"/>
      <c r="O96"/>
      <c r="P96"/>
      <c r="Q96"/>
      <c r="R96"/>
      <c r="S96"/>
      <c r="T96"/>
      <c r="U96"/>
      <c r="V96"/>
      <c r="W96"/>
      <c r="X96"/>
      <c r="Y96"/>
      <c r="Z96"/>
      <c r="AA96"/>
      <c r="AB96"/>
      <c r="AC96"/>
      <c r="AD96"/>
      <c r="AE96"/>
      <c r="AF96"/>
    </row>
    <row r="97" spans="1:32" ht="13.9" customHeight="1" outlineLevel="2" x14ac:dyDescent="0.2">
      <c r="A97" s="140"/>
      <c r="B97" s="141" t="s">
        <v>1239</v>
      </c>
      <c r="C97" s="142" t="s">
        <v>9551</v>
      </c>
      <c r="D97" s="143" t="s">
        <v>2035</v>
      </c>
      <c r="E97" s="144" t="s">
        <v>788</v>
      </c>
      <c r="F97" s="144">
        <v>0</v>
      </c>
      <c r="G97" s="144">
        <v>88</v>
      </c>
      <c r="H97" s="145">
        <f t="shared" si="4"/>
        <v>0</v>
      </c>
      <c r="I97" s="205" t="s">
        <v>114</v>
      </c>
      <c r="J97" s="147" t="s">
        <v>5644</v>
      </c>
      <c r="K97" s="130"/>
      <c r="L97" s="130"/>
      <c r="M97"/>
      <c r="N97"/>
      <c r="O97"/>
      <c r="P97"/>
      <c r="Q97"/>
      <c r="R97"/>
      <c r="S97"/>
      <c r="T97"/>
      <c r="U97"/>
      <c r="V97"/>
      <c r="W97"/>
      <c r="X97"/>
      <c r="Y97"/>
      <c r="Z97"/>
      <c r="AA97"/>
      <c r="AB97"/>
      <c r="AC97"/>
      <c r="AD97"/>
      <c r="AE97"/>
      <c r="AF97"/>
    </row>
    <row r="98" spans="1:32" ht="12" customHeight="1" outlineLevel="1" x14ac:dyDescent="0.2">
      <c r="A98" s="140"/>
      <c r="B98" s="141" t="s">
        <v>1238</v>
      </c>
      <c r="C98" s="142" t="s">
        <v>5813</v>
      </c>
      <c r="D98" s="148" t="s">
        <v>2036</v>
      </c>
      <c r="E98" s="68"/>
      <c r="F98" s="144"/>
      <c r="G98" s="151"/>
      <c r="H98" s="145">
        <f>H99+H100+H101</f>
        <v>85259.85615879629</v>
      </c>
      <c r="I98" s="146"/>
      <c r="J98" s="147"/>
      <c r="K98" s="130"/>
      <c r="L98" s="130"/>
      <c r="M98"/>
      <c r="N98"/>
      <c r="O98"/>
      <c r="P98"/>
      <c r="Q98"/>
      <c r="R98"/>
      <c r="S98"/>
      <c r="T98"/>
      <c r="U98"/>
      <c r="V98"/>
      <c r="W98"/>
      <c r="X98"/>
      <c r="Y98"/>
      <c r="Z98"/>
      <c r="AA98"/>
      <c r="AB98"/>
      <c r="AC98"/>
      <c r="AD98"/>
      <c r="AE98"/>
      <c r="AF98"/>
    </row>
    <row r="99" spans="1:32" ht="12" customHeight="1" outlineLevel="2" x14ac:dyDescent="0.2">
      <c r="A99" s="140"/>
      <c r="B99" s="141" t="s">
        <v>1239</v>
      </c>
      <c r="C99" s="142" t="s">
        <v>5814</v>
      </c>
      <c r="D99" s="148" t="s">
        <v>2037</v>
      </c>
      <c r="E99" s="144" t="s">
        <v>1130</v>
      </c>
      <c r="F99" s="144">
        <v>1</v>
      </c>
      <c r="G99" s="144">
        <v>8059.8561587962831</v>
      </c>
      <c r="H99" s="145">
        <f>G99*F99</f>
        <v>8059.8561587962831</v>
      </c>
      <c r="I99" s="144" t="s">
        <v>2070</v>
      </c>
      <c r="J99" s="147" t="s">
        <v>1304</v>
      </c>
      <c r="K99" s="130"/>
      <c r="L99" s="130"/>
      <c r="M99"/>
      <c r="N99"/>
      <c r="O99"/>
      <c r="P99"/>
      <c r="Q99"/>
      <c r="R99"/>
      <c r="S99"/>
      <c r="T99"/>
      <c r="U99"/>
      <c r="V99"/>
      <c r="W99"/>
      <c r="X99"/>
      <c r="Y99"/>
      <c r="Z99"/>
      <c r="AA99"/>
      <c r="AB99"/>
      <c r="AC99"/>
      <c r="AD99"/>
      <c r="AE99"/>
      <c r="AF99"/>
    </row>
    <row r="100" spans="1:32" ht="12" customHeight="1" outlineLevel="2" x14ac:dyDescent="0.2">
      <c r="A100" s="140"/>
      <c r="B100" s="141" t="s">
        <v>1239</v>
      </c>
      <c r="C100" s="142" t="s">
        <v>9552</v>
      </c>
      <c r="D100" s="148" t="s">
        <v>2039</v>
      </c>
      <c r="E100" s="144" t="s">
        <v>1130</v>
      </c>
      <c r="F100" s="144">
        <v>1</v>
      </c>
      <c r="G100" s="144">
        <v>5200</v>
      </c>
      <c r="H100" s="145">
        <f>G100*F100</f>
        <v>5200</v>
      </c>
      <c r="I100" s="144" t="s">
        <v>9453</v>
      </c>
      <c r="J100" s="147" t="s">
        <v>1304</v>
      </c>
      <c r="K100" s="130"/>
      <c r="L100" s="130"/>
      <c r="M100"/>
      <c r="N100"/>
      <c r="O100"/>
      <c r="P100"/>
      <c r="Q100"/>
      <c r="R100"/>
      <c r="S100"/>
      <c r="T100"/>
      <c r="U100"/>
      <c r="V100"/>
      <c r="W100"/>
      <c r="X100"/>
      <c r="Y100"/>
      <c r="Z100"/>
      <c r="AA100"/>
      <c r="AB100"/>
      <c r="AC100"/>
      <c r="AD100"/>
      <c r="AE100"/>
      <c r="AF100"/>
    </row>
    <row r="101" spans="1:32" ht="12" customHeight="1" outlineLevel="2" x14ac:dyDescent="0.2">
      <c r="A101" s="140"/>
      <c r="B101" s="141" t="s">
        <v>1239</v>
      </c>
      <c r="C101" s="142" t="s">
        <v>9553</v>
      </c>
      <c r="D101" s="148" t="s">
        <v>2040</v>
      </c>
      <c r="E101" s="144" t="s">
        <v>1244</v>
      </c>
      <c r="F101" s="144">
        <v>36</v>
      </c>
      <c r="G101" s="144">
        <v>2000</v>
      </c>
      <c r="H101" s="145">
        <f>G101*F101</f>
        <v>72000</v>
      </c>
      <c r="I101" s="144" t="s">
        <v>2070</v>
      </c>
      <c r="J101" s="147" t="s">
        <v>1304</v>
      </c>
      <c r="K101" s="130"/>
      <c r="L101" s="130"/>
      <c r="M101"/>
      <c r="N101"/>
      <c r="O101"/>
      <c r="P101"/>
      <c r="Q101"/>
      <c r="R101"/>
      <c r="S101"/>
      <c r="T101"/>
      <c r="U101"/>
      <c r="V101"/>
      <c r="W101"/>
      <c r="X101"/>
      <c r="Y101"/>
      <c r="Z101"/>
      <c r="AA101"/>
      <c r="AB101"/>
      <c r="AC101"/>
      <c r="AD101"/>
      <c r="AE101"/>
      <c r="AF101"/>
    </row>
    <row r="102" spans="1:32" ht="12" customHeight="1" outlineLevel="1" x14ac:dyDescent="0.2">
      <c r="A102" s="140"/>
      <c r="B102" s="141" t="s">
        <v>1238</v>
      </c>
      <c r="C102" s="142" t="s">
        <v>8957</v>
      </c>
      <c r="D102" s="148" t="s">
        <v>2041</v>
      </c>
      <c r="E102" s="68"/>
      <c r="F102" s="144"/>
      <c r="G102" s="151"/>
      <c r="H102" s="145">
        <f>H103+H104+H105</f>
        <v>9521.1865007569322</v>
      </c>
      <c r="I102" s="146"/>
      <c r="J102" s="147"/>
      <c r="K102" s="130"/>
      <c r="L102" s="130"/>
      <c r="M102"/>
      <c r="N102"/>
      <c r="O102"/>
      <c r="P102"/>
      <c r="Q102"/>
      <c r="R102"/>
      <c r="S102"/>
      <c r="T102"/>
      <c r="U102"/>
      <c r="V102"/>
      <c r="W102"/>
      <c r="X102"/>
      <c r="Y102"/>
      <c r="Z102"/>
      <c r="AA102"/>
      <c r="AB102"/>
      <c r="AC102"/>
      <c r="AD102"/>
      <c r="AE102"/>
      <c r="AF102"/>
    </row>
    <row r="103" spans="1:32" ht="12" customHeight="1" outlineLevel="2" x14ac:dyDescent="0.2">
      <c r="A103" s="140"/>
      <c r="B103" s="141" t="s">
        <v>1239</v>
      </c>
      <c r="C103" s="142" t="s">
        <v>9554</v>
      </c>
      <c r="D103" s="148" t="s">
        <v>2042</v>
      </c>
      <c r="E103" s="144" t="s">
        <v>1130</v>
      </c>
      <c r="F103" s="144">
        <v>1</v>
      </c>
      <c r="G103" s="144">
        <v>3789.0563017917584</v>
      </c>
      <c r="H103" s="145">
        <f>G103*F103</f>
        <v>3789.0563017917584</v>
      </c>
      <c r="I103" s="144" t="s">
        <v>2070</v>
      </c>
      <c r="J103" s="147" t="s">
        <v>1304</v>
      </c>
      <c r="K103" s="130"/>
      <c r="L103" s="130"/>
      <c r="M103"/>
      <c r="N103"/>
      <c r="O103"/>
      <c r="P103"/>
      <c r="Q103"/>
      <c r="R103"/>
      <c r="S103"/>
      <c r="T103"/>
      <c r="U103"/>
      <c r="V103"/>
      <c r="W103"/>
      <c r="X103"/>
      <c r="Y103"/>
      <c r="Z103"/>
      <c r="AA103"/>
      <c r="AB103"/>
      <c r="AC103"/>
      <c r="AD103"/>
      <c r="AE103"/>
      <c r="AF103"/>
    </row>
    <row r="104" spans="1:32" ht="12" customHeight="1" outlineLevel="2" x14ac:dyDescent="0.2">
      <c r="A104" s="140"/>
      <c r="B104" s="141" t="s">
        <v>1239</v>
      </c>
      <c r="C104" s="142" t="s">
        <v>9555</v>
      </c>
      <c r="D104" s="148" t="s">
        <v>2043</v>
      </c>
      <c r="E104" s="144" t="s">
        <v>1130</v>
      </c>
      <c r="F104" s="144">
        <v>1</v>
      </c>
      <c r="G104" s="144">
        <v>1232.1301989651729</v>
      </c>
      <c r="H104" s="145">
        <f>G104*F104</f>
        <v>1232.1301989651729</v>
      </c>
      <c r="I104" s="144" t="s">
        <v>2070</v>
      </c>
      <c r="J104" s="147" t="s">
        <v>1304</v>
      </c>
      <c r="K104" s="130"/>
      <c r="L104" s="130"/>
      <c r="M104"/>
      <c r="N104"/>
      <c r="O104"/>
      <c r="P104"/>
      <c r="Q104"/>
      <c r="R104"/>
      <c r="S104"/>
      <c r="T104"/>
      <c r="U104"/>
      <c r="V104"/>
      <c r="W104"/>
      <c r="X104"/>
      <c r="Y104"/>
      <c r="Z104"/>
      <c r="AA104"/>
      <c r="AB104"/>
      <c r="AC104"/>
      <c r="AD104"/>
      <c r="AE104"/>
      <c r="AF104"/>
    </row>
    <row r="105" spans="1:32" ht="12" customHeight="1" outlineLevel="2" x14ac:dyDescent="0.2">
      <c r="A105" s="140"/>
      <c r="B105" s="141" t="s">
        <v>1239</v>
      </c>
      <c r="C105" s="142" t="s">
        <v>9556</v>
      </c>
      <c r="D105" s="148" t="s">
        <v>2044</v>
      </c>
      <c r="E105" s="144" t="s">
        <v>1244</v>
      </c>
      <c r="F105" s="144">
        <v>18</v>
      </c>
      <c r="G105" s="144">
        <v>250</v>
      </c>
      <c r="H105" s="145">
        <f>G105*F105</f>
        <v>4500</v>
      </c>
      <c r="I105" s="144" t="s">
        <v>2070</v>
      </c>
      <c r="J105" s="147" t="s">
        <v>1304</v>
      </c>
      <c r="K105" s="130"/>
      <c r="L105" s="130"/>
      <c r="M105"/>
      <c r="N105"/>
      <c r="O105"/>
      <c r="P105"/>
      <c r="Q105"/>
      <c r="R105"/>
      <c r="S105"/>
      <c r="T105"/>
      <c r="U105"/>
      <c r="V105"/>
      <c r="W105"/>
      <c r="X105"/>
      <c r="Y105"/>
      <c r="Z105"/>
      <c r="AA105"/>
      <c r="AB105"/>
      <c r="AC105"/>
      <c r="AD105"/>
      <c r="AE105"/>
      <c r="AF105"/>
    </row>
    <row r="106" spans="1:32" ht="12" customHeight="1" outlineLevel="1" x14ac:dyDescent="0.2">
      <c r="A106" s="140"/>
      <c r="B106" s="141" t="s">
        <v>39</v>
      </c>
      <c r="C106" s="142" t="s">
        <v>5815</v>
      </c>
      <c r="D106" s="148" t="s">
        <v>2045</v>
      </c>
      <c r="E106" s="68"/>
      <c r="F106" s="144"/>
      <c r="G106" s="144"/>
      <c r="H106" s="145">
        <f>H107+H114+H133+H138</f>
        <v>4271209.1214350993</v>
      </c>
      <c r="I106" s="146"/>
      <c r="J106" s="147"/>
      <c r="K106" s="130"/>
      <c r="L106" s="149"/>
      <c r="M106"/>
      <c r="N106"/>
      <c r="O106"/>
      <c r="P106"/>
      <c r="Q106"/>
      <c r="R106"/>
      <c r="S106"/>
      <c r="T106"/>
      <c r="U106"/>
      <c r="V106"/>
      <c r="W106"/>
      <c r="X106"/>
      <c r="Y106"/>
      <c r="Z106"/>
      <c r="AA106"/>
      <c r="AB106"/>
      <c r="AC106"/>
      <c r="AD106"/>
      <c r="AE106"/>
      <c r="AF106"/>
    </row>
    <row r="107" spans="1:32" ht="12" customHeight="1" outlineLevel="1" x14ac:dyDescent="0.2">
      <c r="A107" s="140"/>
      <c r="B107" s="141" t="s">
        <v>1238</v>
      </c>
      <c r="C107" s="142" t="s">
        <v>5816</v>
      </c>
      <c r="D107" s="148" t="s">
        <v>2046</v>
      </c>
      <c r="E107" s="68"/>
      <c r="F107" s="144"/>
      <c r="G107" s="144"/>
      <c r="H107" s="145">
        <f>H108+H109+H110+H111+H112+H113</f>
        <v>2054400</v>
      </c>
      <c r="I107" s="146"/>
      <c r="J107" s="147"/>
      <c r="K107" s="130"/>
      <c r="L107" s="149"/>
      <c r="M107"/>
      <c r="N107"/>
      <c r="O107"/>
      <c r="P107"/>
      <c r="Q107"/>
      <c r="R107"/>
      <c r="S107"/>
      <c r="T107"/>
      <c r="U107"/>
      <c r="V107"/>
      <c r="W107"/>
      <c r="X107"/>
      <c r="Y107"/>
      <c r="Z107"/>
      <c r="AA107"/>
      <c r="AB107"/>
      <c r="AC107"/>
      <c r="AD107"/>
      <c r="AE107"/>
      <c r="AF107"/>
    </row>
    <row r="108" spans="1:32" ht="12" customHeight="1" outlineLevel="2" x14ac:dyDescent="0.2">
      <c r="A108" s="140"/>
      <c r="B108" s="141" t="s">
        <v>1239</v>
      </c>
      <c r="C108" s="142" t="s">
        <v>5817</v>
      </c>
      <c r="D108" s="148" t="s">
        <v>2047</v>
      </c>
      <c r="E108" s="144" t="s">
        <v>1244</v>
      </c>
      <c r="F108" s="144">
        <v>48</v>
      </c>
      <c r="G108" s="144">
        <v>21000</v>
      </c>
      <c r="H108" s="145">
        <f t="shared" ref="H108:H113" si="5">G108*F108</f>
        <v>1008000</v>
      </c>
      <c r="I108" s="144" t="s">
        <v>9453</v>
      </c>
      <c r="J108" s="147" t="s">
        <v>1304</v>
      </c>
      <c r="K108" s="130"/>
      <c r="L108" s="149"/>
      <c r="M108"/>
      <c r="N108"/>
      <c r="O108"/>
      <c r="P108"/>
      <c r="Q108"/>
      <c r="R108"/>
      <c r="S108"/>
      <c r="T108"/>
      <c r="U108"/>
      <c r="V108"/>
      <c r="W108"/>
      <c r="X108"/>
      <c r="Y108"/>
      <c r="Z108"/>
      <c r="AA108"/>
      <c r="AB108"/>
      <c r="AC108"/>
      <c r="AD108"/>
      <c r="AE108"/>
      <c r="AF108"/>
    </row>
    <row r="109" spans="1:32" ht="12" customHeight="1" outlineLevel="2" x14ac:dyDescent="0.2">
      <c r="A109" s="140"/>
      <c r="B109" s="141" t="s">
        <v>1239</v>
      </c>
      <c r="C109" s="142" t="s">
        <v>5818</v>
      </c>
      <c r="D109" s="148" t="s">
        <v>2048</v>
      </c>
      <c r="E109" s="144" t="s">
        <v>1244</v>
      </c>
      <c r="F109" s="144">
        <v>24</v>
      </c>
      <c r="G109" s="144">
        <v>5000</v>
      </c>
      <c r="H109" s="145">
        <f t="shared" si="5"/>
        <v>120000</v>
      </c>
      <c r="I109" s="144" t="s">
        <v>9453</v>
      </c>
      <c r="J109" s="147" t="s">
        <v>1304</v>
      </c>
      <c r="K109" s="130"/>
      <c r="L109" s="149"/>
      <c r="M109"/>
      <c r="N109"/>
      <c r="O109"/>
      <c r="P109"/>
      <c r="Q109"/>
      <c r="R109"/>
      <c r="S109"/>
      <c r="T109"/>
      <c r="U109"/>
      <c r="V109"/>
      <c r="W109"/>
      <c r="X109"/>
      <c r="Y109"/>
      <c r="Z109"/>
      <c r="AA109"/>
      <c r="AB109"/>
      <c r="AC109"/>
      <c r="AD109"/>
      <c r="AE109"/>
      <c r="AF109"/>
    </row>
    <row r="110" spans="1:32" ht="12" customHeight="1" outlineLevel="2" x14ac:dyDescent="0.2">
      <c r="A110" s="140"/>
      <c r="B110" s="141" t="s">
        <v>1239</v>
      </c>
      <c r="C110" s="142" t="s">
        <v>5819</v>
      </c>
      <c r="D110" s="148" t="s">
        <v>2087</v>
      </c>
      <c r="E110" s="144" t="s">
        <v>1244</v>
      </c>
      <c r="F110" s="144">
        <v>12</v>
      </c>
      <c r="G110" s="144">
        <v>6800</v>
      </c>
      <c r="H110" s="145">
        <f t="shared" si="5"/>
        <v>81600</v>
      </c>
      <c r="I110" s="144" t="s">
        <v>9453</v>
      </c>
      <c r="J110" s="147" t="s">
        <v>1304</v>
      </c>
      <c r="K110" s="130"/>
      <c r="L110" s="149"/>
      <c r="M110"/>
      <c r="N110"/>
      <c r="O110"/>
      <c r="P110"/>
      <c r="Q110"/>
      <c r="R110"/>
      <c r="S110"/>
      <c r="T110"/>
      <c r="U110"/>
      <c r="V110"/>
      <c r="W110"/>
      <c r="X110"/>
      <c r="Y110"/>
      <c r="Z110"/>
      <c r="AA110"/>
      <c r="AB110"/>
      <c r="AC110"/>
      <c r="AD110"/>
      <c r="AE110"/>
      <c r="AF110"/>
    </row>
    <row r="111" spans="1:32" ht="12" customHeight="1" outlineLevel="2" x14ac:dyDescent="0.2">
      <c r="A111" s="140"/>
      <c r="B111" s="141" t="s">
        <v>1239</v>
      </c>
      <c r="C111" s="142" t="s">
        <v>5820</v>
      </c>
      <c r="D111" s="148" t="s">
        <v>2088</v>
      </c>
      <c r="E111" s="144" t="s">
        <v>1244</v>
      </c>
      <c r="F111" s="144">
        <v>48</v>
      </c>
      <c r="G111" s="144">
        <v>4500</v>
      </c>
      <c r="H111" s="145">
        <f t="shared" si="5"/>
        <v>216000</v>
      </c>
      <c r="I111" s="144" t="s">
        <v>9453</v>
      </c>
      <c r="J111" s="147" t="s">
        <v>1304</v>
      </c>
      <c r="K111" s="130"/>
      <c r="L111" s="149"/>
      <c r="M111"/>
      <c r="N111"/>
      <c r="O111"/>
      <c r="P111"/>
      <c r="Q111"/>
      <c r="R111"/>
      <c r="S111"/>
      <c r="T111"/>
      <c r="U111"/>
      <c r="V111"/>
      <c r="W111"/>
      <c r="X111"/>
      <c r="Y111"/>
      <c r="Z111"/>
      <c r="AA111"/>
      <c r="AB111"/>
      <c r="AC111"/>
      <c r="AD111"/>
      <c r="AE111"/>
      <c r="AF111"/>
    </row>
    <row r="112" spans="1:32" ht="12" customHeight="1" outlineLevel="2" x14ac:dyDescent="0.2">
      <c r="A112" s="140"/>
      <c r="B112" s="141" t="s">
        <v>1239</v>
      </c>
      <c r="C112" s="142" t="s">
        <v>9557</v>
      </c>
      <c r="D112" s="148" t="s">
        <v>5674</v>
      </c>
      <c r="E112" s="144" t="s">
        <v>1244</v>
      </c>
      <c r="F112" s="144">
        <v>36</v>
      </c>
      <c r="G112" s="144">
        <v>2000</v>
      </c>
      <c r="H112" s="145">
        <f t="shared" si="5"/>
        <v>72000</v>
      </c>
      <c r="I112" s="144" t="s">
        <v>9453</v>
      </c>
      <c r="J112" s="147" t="s">
        <v>1304</v>
      </c>
      <c r="K112" s="130"/>
      <c r="L112" s="149"/>
      <c r="M112"/>
      <c r="N112"/>
      <c r="O112"/>
      <c r="P112"/>
      <c r="Q112"/>
      <c r="R112"/>
      <c r="S112"/>
      <c r="T112"/>
      <c r="U112"/>
      <c r="V112"/>
      <c r="W112"/>
      <c r="X112"/>
      <c r="Y112"/>
      <c r="Z112"/>
      <c r="AA112"/>
      <c r="AB112"/>
      <c r="AC112"/>
      <c r="AD112"/>
      <c r="AE112"/>
      <c r="AF112"/>
    </row>
    <row r="113" spans="1:32" ht="12" customHeight="1" outlineLevel="2" x14ac:dyDescent="0.2">
      <c r="A113" s="140"/>
      <c r="B113" s="141" t="s">
        <v>1239</v>
      </c>
      <c r="C113" s="142" t="s">
        <v>9558</v>
      </c>
      <c r="D113" s="148" t="s">
        <v>2089</v>
      </c>
      <c r="E113" s="144" t="s">
        <v>1244</v>
      </c>
      <c r="F113" s="144">
        <v>48</v>
      </c>
      <c r="G113" s="144">
        <v>11600</v>
      </c>
      <c r="H113" s="145">
        <f t="shared" si="5"/>
        <v>556800</v>
      </c>
      <c r="I113" s="144" t="s">
        <v>5675</v>
      </c>
      <c r="J113" s="147" t="s">
        <v>1304</v>
      </c>
      <c r="K113" s="130"/>
      <c r="L113" s="149"/>
      <c r="M113"/>
      <c r="N113"/>
      <c r="O113"/>
      <c r="P113"/>
      <c r="Q113"/>
      <c r="R113"/>
      <c r="S113"/>
      <c r="T113"/>
      <c r="U113"/>
      <c r="V113"/>
      <c r="W113"/>
      <c r="X113"/>
      <c r="Y113"/>
      <c r="Z113"/>
      <c r="AA113"/>
      <c r="AB113"/>
      <c r="AC113"/>
      <c r="AD113"/>
      <c r="AE113"/>
      <c r="AF113"/>
    </row>
    <row r="114" spans="1:32" ht="12" customHeight="1" outlineLevel="1" x14ac:dyDescent="0.2">
      <c r="A114" s="140"/>
      <c r="B114" s="141" t="s">
        <v>1238</v>
      </c>
      <c r="C114" s="142" t="s">
        <v>5821</v>
      </c>
      <c r="D114" s="148" t="s">
        <v>2049</v>
      </c>
      <c r="E114" s="68"/>
      <c r="F114" s="144"/>
      <c r="G114" s="144"/>
      <c r="H114" s="145">
        <f>H115+H116+H117+H118+H119+H120+H121+H122+H123+H124+H125+H126+H127+H128+H129+H130+H131+H132</f>
        <v>1267260.3564207242</v>
      </c>
      <c r="I114" s="146"/>
      <c r="J114" s="147"/>
      <c r="K114" s="130"/>
      <c r="L114" s="149"/>
      <c r="M114"/>
      <c r="N114"/>
      <c r="O114"/>
      <c r="P114"/>
      <c r="Q114"/>
      <c r="R114"/>
      <c r="S114"/>
      <c r="T114"/>
      <c r="U114"/>
      <c r="V114"/>
      <c r="W114"/>
      <c r="X114"/>
      <c r="Y114"/>
      <c r="Z114"/>
      <c r="AA114"/>
      <c r="AB114"/>
      <c r="AC114"/>
      <c r="AD114"/>
      <c r="AE114"/>
      <c r="AF114"/>
    </row>
    <row r="115" spans="1:32" ht="12" customHeight="1" outlineLevel="2" x14ac:dyDescent="0.2">
      <c r="A115" s="140"/>
      <c r="B115" s="141" t="s">
        <v>1239</v>
      </c>
      <c r="C115" s="142" t="s">
        <v>5822</v>
      </c>
      <c r="D115" s="148" t="s">
        <v>2050</v>
      </c>
      <c r="E115" s="144" t="s">
        <v>1244</v>
      </c>
      <c r="F115" s="144">
        <v>36</v>
      </c>
      <c r="G115" s="144">
        <v>4959.2772358560378</v>
      </c>
      <c r="H115" s="145">
        <f t="shared" ref="H115:H132" si="6">G115*F115</f>
        <v>178533.98049081737</v>
      </c>
      <c r="I115" s="144" t="s">
        <v>2070</v>
      </c>
      <c r="J115" s="147" t="s">
        <v>1304</v>
      </c>
      <c r="K115" s="130"/>
      <c r="L115" s="149"/>
      <c r="M115"/>
      <c r="N115"/>
      <c r="O115"/>
      <c r="P115"/>
      <c r="Q115"/>
      <c r="R115"/>
      <c r="S115"/>
      <c r="T115"/>
      <c r="U115"/>
      <c r="V115"/>
      <c r="W115"/>
      <c r="X115"/>
      <c r="Y115"/>
      <c r="Z115"/>
      <c r="AA115"/>
      <c r="AB115"/>
      <c r="AC115"/>
      <c r="AD115"/>
      <c r="AE115"/>
      <c r="AF115"/>
    </row>
    <row r="116" spans="1:32" ht="12" customHeight="1" outlineLevel="2" x14ac:dyDescent="0.2">
      <c r="A116" s="140"/>
      <c r="B116" s="141" t="s">
        <v>1239</v>
      </c>
      <c r="C116" s="142" t="s">
        <v>9559</v>
      </c>
      <c r="D116" s="148" t="s">
        <v>2051</v>
      </c>
      <c r="E116" s="144" t="s">
        <v>1244</v>
      </c>
      <c r="F116" s="144">
        <v>36</v>
      </c>
      <c r="G116" s="144">
        <v>8975.8897279491375</v>
      </c>
      <c r="H116" s="145">
        <f t="shared" si="6"/>
        <v>323132.03020616894</v>
      </c>
      <c r="I116" s="144" t="s">
        <v>2070</v>
      </c>
      <c r="J116" s="147" t="s">
        <v>1304</v>
      </c>
      <c r="K116" s="130"/>
      <c r="L116" s="149"/>
      <c r="M116"/>
      <c r="N116"/>
      <c r="O116"/>
      <c r="P116"/>
      <c r="Q116"/>
      <c r="R116"/>
      <c r="S116"/>
      <c r="T116"/>
      <c r="U116"/>
      <c r="V116"/>
      <c r="W116"/>
      <c r="X116"/>
      <c r="Y116"/>
      <c r="Z116"/>
      <c r="AA116"/>
      <c r="AB116"/>
      <c r="AC116"/>
      <c r="AD116"/>
      <c r="AE116"/>
      <c r="AF116"/>
    </row>
    <row r="117" spans="1:32" ht="12" customHeight="1" outlineLevel="2" x14ac:dyDescent="0.2">
      <c r="A117" s="140"/>
      <c r="B117" s="141" t="s">
        <v>1239</v>
      </c>
      <c r="C117" s="142" t="s">
        <v>9560</v>
      </c>
      <c r="D117" s="148" t="s">
        <v>2052</v>
      </c>
      <c r="E117" s="144" t="s">
        <v>1244</v>
      </c>
      <c r="F117" s="144">
        <v>36</v>
      </c>
      <c r="G117" s="144">
        <v>400</v>
      </c>
      <c r="H117" s="145">
        <f t="shared" si="6"/>
        <v>14400</v>
      </c>
      <c r="I117" s="144" t="s">
        <v>9453</v>
      </c>
      <c r="J117" s="147" t="s">
        <v>1304</v>
      </c>
      <c r="K117" s="130"/>
      <c r="L117" s="149"/>
      <c r="M117"/>
      <c r="N117"/>
      <c r="O117"/>
      <c r="P117"/>
      <c r="Q117"/>
      <c r="R117"/>
      <c r="S117"/>
      <c r="T117"/>
      <c r="U117"/>
      <c r="V117"/>
      <c r="W117"/>
      <c r="X117"/>
      <c r="Y117"/>
      <c r="Z117"/>
      <c r="AA117"/>
      <c r="AB117"/>
      <c r="AC117"/>
      <c r="AD117"/>
      <c r="AE117"/>
      <c r="AF117"/>
    </row>
    <row r="118" spans="1:32" ht="12" customHeight="1" outlineLevel="2" x14ac:dyDescent="0.2">
      <c r="A118" s="140"/>
      <c r="B118" s="141" t="s">
        <v>1239</v>
      </c>
      <c r="C118" s="142" t="s">
        <v>9561</v>
      </c>
      <c r="D118" s="148" t="s">
        <v>5676</v>
      </c>
      <c r="E118" s="144" t="s">
        <v>1244</v>
      </c>
      <c r="F118" s="144">
        <v>36</v>
      </c>
      <c r="G118" s="144">
        <v>400</v>
      </c>
      <c r="H118" s="145">
        <f t="shared" si="6"/>
        <v>14400</v>
      </c>
      <c r="I118" s="144" t="s">
        <v>9453</v>
      </c>
      <c r="J118" s="147" t="s">
        <v>1304</v>
      </c>
      <c r="K118" s="130"/>
      <c r="L118" s="149"/>
      <c r="M118"/>
      <c r="N118"/>
      <c r="O118"/>
      <c r="P118"/>
      <c r="Q118"/>
      <c r="R118"/>
      <c r="S118"/>
      <c r="T118"/>
      <c r="U118"/>
      <c r="V118"/>
      <c r="W118"/>
      <c r="X118"/>
      <c r="Y118"/>
      <c r="Z118"/>
      <c r="AA118"/>
      <c r="AB118"/>
      <c r="AC118"/>
      <c r="AD118"/>
      <c r="AE118"/>
      <c r="AF118"/>
    </row>
    <row r="119" spans="1:32" ht="12" customHeight="1" outlineLevel="2" x14ac:dyDescent="0.2">
      <c r="A119" s="140"/>
      <c r="B119" s="141" t="s">
        <v>1239</v>
      </c>
      <c r="C119" s="142" t="s">
        <v>9562</v>
      </c>
      <c r="D119" s="148" t="s">
        <v>2053</v>
      </c>
      <c r="E119" s="144" t="s">
        <v>1244</v>
      </c>
      <c r="F119" s="144">
        <v>36</v>
      </c>
      <c r="G119" s="144">
        <v>70</v>
      </c>
      <c r="H119" s="145">
        <f t="shared" si="6"/>
        <v>2520</v>
      </c>
      <c r="I119" s="144" t="s">
        <v>2070</v>
      </c>
      <c r="J119" s="147" t="s">
        <v>1304</v>
      </c>
      <c r="K119" s="130"/>
      <c r="L119" s="149"/>
      <c r="M119"/>
      <c r="N119"/>
      <c r="O119"/>
      <c r="P119"/>
      <c r="Q119"/>
      <c r="R119"/>
      <c r="S119"/>
      <c r="T119"/>
      <c r="U119"/>
      <c r="V119"/>
      <c r="W119"/>
      <c r="X119"/>
      <c r="Y119"/>
      <c r="Z119"/>
      <c r="AA119"/>
      <c r="AB119"/>
      <c r="AC119"/>
      <c r="AD119"/>
      <c r="AE119"/>
      <c r="AF119"/>
    </row>
    <row r="120" spans="1:32" ht="12" customHeight="1" outlineLevel="2" x14ac:dyDescent="0.2">
      <c r="A120" s="140"/>
      <c r="B120" s="141" t="s">
        <v>1239</v>
      </c>
      <c r="C120" s="142" t="s">
        <v>9563</v>
      </c>
      <c r="D120" s="148" t="s">
        <v>2092</v>
      </c>
      <c r="E120" s="144" t="s">
        <v>1244</v>
      </c>
      <c r="F120" s="144">
        <v>36</v>
      </c>
      <c r="G120" s="144">
        <v>576.16302654100161</v>
      </c>
      <c r="H120" s="145">
        <f t="shared" si="6"/>
        <v>20741.868955476057</v>
      </c>
      <c r="I120" s="144" t="s">
        <v>2070</v>
      </c>
      <c r="J120" s="147" t="s">
        <v>1304</v>
      </c>
      <c r="K120" s="130"/>
      <c r="L120" s="149"/>
      <c r="M120"/>
      <c r="N120"/>
      <c r="O120"/>
      <c r="P120"/>
      <c r="Q120"/>
      <c r="R120"/>
      <c r="S120"/>
      <c r="T120"/>
      <c r="U120"/>
      <c r="V120"/>
      <c r="W120"/>
      <c r="X120"/>
      <c r="Y120"/>
      <c r="Z120"/>
      <c r="AA120"/>
      <c r="AB120"/>
      <c r="AC120"/>
      <c r="AD120"/>
      <c r="AE120"/>
      <c r="AF120"/>
    </row>
    <row r="121" spans="1:32" ht="12" customHeight="1" outlineLevel="2" x14ac:dyDescent="0.2">
      <c r="A121" s="140"/>
      <c r="B121" s="141" t="s">
        <v>1239</v>
      </c>
      <c r="C121" s="142" t="s">
        <v>9564</v>
      </c>
      <c r="D121" s="148" t="s">
        <v>2093</v>
      </c>
      <c r="E121" s="144" t="s">
        <v>1244</v>
      </c>
      <c r="F121" s="144">
        <v>36</v>
      </c>
      <c r="G121" s="144">
        <v>300</v>
      </c>
      <c r="H121" s="145">
        <f t="shared" si="6"/>
        <v>10800</v>
      </c>
      <c r="I121" s="144" t="s">
        <v>9453</v>
      </c>
      <c r="J121" s="147" t="s">
        <v>1304</v>
      </c>
      <c r="K121" s="130"/>
      <c r="L121" s="149"/>
      <c r="M121"/>
      <c r="N121"/>
      <c r="O121"/>
      <c r="P121"/>
      <c r="Q121"/>
      <c r="R121"/>
      <c r="S121"/>
      <c r="T121"/>
      <c r="U121"/>
      <c r="V121"/>
      <c r="W121"/>
      <c r="X121"/>
      <c r="Y121"/>
      <c r="Z121"/>
      <c r="AA121"/>
      <c r="AB121"/>
      <c r="AC121"/>
      <c r="AD121"/>
      <c r="AE121"/>
      <c r="AF121"/>
    </row>
    <row r="122" spans="1:32" ht="13.5" customHeight="1" outlineLevel="2" x14ac:dyDescent="0.2">
      <c r="A122" s="140"/>
      <c r="B122" s="141" t="s">
        <v>1239</v>
      </c>
      <c r="C122" s="142" t="s">
        <v>9565</v>
      </c>
      <c r="D122" s="148" t="s">
        <v>2054</v>
      </c>
      <c r="E122" s="144" t="s">
        <v>1244</v>
      </c>
      <c r="F122" s="144">
        <v>36</v>
      </c>
      <c r="G122" s="144">
        <v>500</v>
      </c>
      <c r="H122" s="145">
        <f t="shared" si="6"/>
        <v>18000</v>
      </c>
      <c r="I122" s="144" t="s">
        <v>9453</v>
      </c>
      <c r="J122" s="147" t="s">
        <v>1304</v>
      </c>
      <c r="K122" s="130"/>
      <c r="L122" s="149"/>
      <c r="M122"/>
      <c r="N122"/>
      <c r="O122"/>
      <c r="P122"/>
      <c r="Q122"/>
      <c r="R122"/>
      <c r="S122"/>
      <c r="T122"/>
      <c r="U122"/>
      <c r="V122"/>
      <c r="W122"/>
      <c r="X122"/>
      <c r="Y122"/>
      <c r="Z122"/>
      <c r="AA122"/>
      <c r="AB122"/>
      <c r="AC122"/>
      <c r="AD122"/>
      <c r="AE122"/>
      <c r="AF122"/>
    </row>
    <row r="123" spans="1:32" ht="12" customHeight="1" outlineLevel="2" x14ac:dyDescent="0.2">
      <c r="A123" s="140"/>
      <c r="B123" s="141" t="s">
        <v>1239</v>
      </c>
      <c r="C123" s="142" t="s">
        <v>9566</v>
      </c>
      <c r="D123" s="148" t="s">
        <v>5677</v>
      </c>
      <c r="E123" s="144" t="s">
        <v>1244</v>
      </c>
      <c r="F123" s="144">
        <v>36</v>
      </c>
      <c r="G123" s="144">
        <v>1570</v>
      </c>
      <c r="H123" s="145">
        <f t="shared" si="6"/>
        <v>56520</v>
      </c>
      <c r="I123" s="144" t="s">
        <v>2070</v>
      </c>
      <c r="J123" s="147" t="s">
        <v>1304</v>
      </c>
      <c r="K123" s="130"/>
      <c r="L123" s="149"/>
      <c r="M123"/>
      <c r="N123"/>
      <c r="O123"/>
      <c r="P123"/>
      <c r="Q123"/>
      <c r="R123"/>
      <c r="S123"/>
      <c r="T123"/>
      <c r="U123"/>
      <c r="V123"/>
      <c r="W123"/>
      <c r="X123"/>
      <c r="Y123"/>
      <c r="Z123"/>
      <c r="AA123"/>
      <c r="AB123"/>
      <c r="AC123"/>
      <c r="AD123"/>
      <c r="AE123"/>
      <c r="AF123"/>
    </row>
    <row r="124" spans="1:32" ht="12" customHeight="1" outlineLevel="2" x14ac:dyDescent="0.2">
      <c r="A124" s="140"/>
      <c r="B124" s="141" t="s">
        <v>1239</v>
      </c>
      <c r="C124" s="142" t="s">
        <v>9567</v>
      </c>
      <c r="D124" s="148" t="s">
        <v>2055</v>
      </c>
      <c r="E124" s="144" t="s">
        <v>1244</v>
      </c>
      <c r="F124" s="144">
        <v>36</v>
      </c>
      <c r="G124" s="144">
        <v>3437.6162421404651</v>
      </c>
      <c r="H124" s="145">
        <f t="shared" si="6"/>
        <v>123754.18471705675</v>
      </c>
      <c r="I124" s="144" t="s">
        <v>2070</v>
      </c>
      <c r="J124" s="147" t="s">
        <v>1304</v>
      </c>
      <c r="K124" s="130"/>
      <c r="L124" s="149"/>
      <c r="M124"/>
      <c r="N124"/>
      <c r="O124"/>
      <c r="P124"/>
      <c r="Q124"/>
      <c r="R124"/>
      <c r="S124"/>
      <c r="T124"/>
      <c r="U124"/>
      <c r="V124"/>
      <c r="W124"/>
      <c r="X124"/>
      <c r="Y124"/>
      <c r="Z124"/>
      <c r="AA124"/>
      <c r="AB124"/>
      <c r="AC124"/>
      <c r="AD124"/>
      <c r="AE124"/>
      <c r="AF124"/>
    </row>
    <row r="125" spans="1:32" ht="12" customHeight="1" outlineLevel="2" x14ac:dyDescent="0.2">
      <c r="A125" s="140"/>
      <c r="B125" s="141" t="s">
        <v>1239</v>
      </c>
      <c r="C125" s="142" t="s">
        <v>9568</v>
      </c>
      <c r="D125" s="148" t="s">
        <v>2056</v>
      </c>
      <c r="E125" s="144" t="s">
        <v>1244</v>
      </c>
      <c r="F125" s="144">
        <v>36</v>
      </c>
      <c r="G125" s="144">
        <v>8639.4823164263689</v>
      </c>
      <c r="H125" s="145">
        <f t="shared" si="6"/>
        <v>311021.36339134927</v>
      </c>
      <c r="I125" s="144" t="s">
        <v>2070</v>
      </c>
      <c r="J125" s="147" t="s">
        <v>1304</v>
      </c>
      <c r="K125" s="130"/>
      <c r="L125" s="149"/>
      <c r="M125"/>
      <c r="N125"/>
      <c r="O125"/>
      <c r="P125"/>
      <c r="Q125"/>
      <c r="R125"/>
      <c r="S125"/>
      <c r="T125"/>
      <c r="U125"/>
      <c r="V125"/>
      <c r="W125"/>
      <c r="X125"/>
      <c r="Y125"/>
      <c r="Z125"/>
      <c r="AA125"/>
      <c r="AB125"/>
      <c r="AC125"/>
      <c r="AD125"/>
      <c r="AE125"/>
      <c r="AF125"/>
    </row>
    <row r="126" spans="1:32" ht="13.5" customHeight="1" outlineLevel="2" x14ac:dyDescent="0.2">
      <c r="A126" s="140"/>
      <c r="B126" s="141" t="s">
        <v>1239</v>
      </c>
      <c r="C126" s="142" t="s">
        <v>9569</v>
      </c>
      <c r="D126" s="148" t="s">
        <v>2057</v>
      </c>
      <c r="E126" s="144" t="s">
        <v>1130</v>
      </c>
      <c r="F126" s="144">
        <v>1</v>
      </c>
      <c r="G126" s="144">
        <v>87151.909122383964</v>
      </c>
      <c r="H126" s="145">
        <f t="shared" si="6"/>
        <v>87151.909122383964</v>
      </c>
      <c r="I126" s="144" t="s">
        <v>2070</v>
      </c>
      <c r="J126" s="147" t="s">
        <v>1304</v>
      </c>
      <c r="K126" s="130"/>
      <c r="L126" s="149"/>
      <c r="M126"/>
      <c r="N126"/>
      <c r="O126"/>
      <c r="P126"/>
      <c r="Q126"/>
      <c r="R126"/>
      <c r="S126"/>
      <c r="T126"/>
      <c r="U126"/>
      <c r="V126"/>
      <c r="W126"/>
      <c r="X126"/>
      <c r="Y126"/>
      <c r="Z126"/>
      <c r="AA126"/>
      <c r="AB126"/>
      <c r="AC126"/>
      <c r="AD126"/>
      <c r="AE126"/>
      <c r="AF126"/>
    </row>
    <row r="127" spans="1:32" ht="13.5" customHeight="1" outlineLevel="2" x14ac:dyDescent="0.2">
      <c r="A127" s="140"/>
      <c r="B127" s="141" t="s">
        <v>1239</v>
      </c>
      <c r="C127" s="142" t="s">
        <v>9570</v>
      </c>
      <c r="D127" s="148" t="s">
        <v>2094</v>
      </c>
      <c r="E127" s="144" t="s">
        <v>1244</v>
      </c>
      <c r="F127" s="144">
        <v>36</v>
      </c>
      <c r="G127" s="144">
        <v>552.08104966345445</v>
      </c>
      <c r="H127" s="145">
        <f t="shared" si="6"/>
        <v>19874.917787884362</v>
      </c>
      <c r="I127" s="144" t="s">
        <v>2070</v>
      </c>
      <c r="J127" s="147" t="s">
        <v>1304</v>
      </c>
      <c r="K127" s="130"/>
      <c r="L127" s="149"/>
      <c r="M127"/>
      <c r="N127"/>
      <c r="O127"/>
      <c r="P127"/>
      <c r="Q127"/>
      <c r="R127"/>
      <c r="S127"/>
      <c r="T127"/>
      <c r="U127"/>
      <c r="V127"/>
      <c r="W127"/>
      <c r="X127"/>
      <c r="Y127"/>
      <c r="Z127"/>
      <c r="AA127"/>
      <c r="AB127"/>
      <c r="AC127"/>
      <c r="AD127"/>
      <c r="AE127"/>
      <c r="AF127"/>
    </row>
    <row r="128" spans="1:32" ht="12.75" customHeight="1" outlineLevel="2" x14ac:dyDescent="0.2">
      <c r="A128" s="140"/>
      <c r="B128" s="141" t="s">
        <v>1239</v>
      </c>
      <c r="C128" s="142" t="s">
        <v>9571</v>
      </c>
      <c r="D128" s="148" t="s">
        <v>2095</v>
      </c>
      <c r="E128" s="144" t="s">
        <v>1244</v>
      </c>
      <c r="F128" s="144">
        <v>36</v>
      </c>
      <c r="G128" s="144">
        <v>432.22504859964829</v>
      </c>
      <c r="H128" s="145">
        <f t="shared" si="6"/>
        <v>15560.101749587338</v>
      </c>
      <c r="I128" s="144" t="s">
        <v>2070</v>
      </c>
      <c r="J128" s="147" t="s">
        <v>1304</v>
      </c>
      <c r="K128" s="130"/>
      <c r="L128" s="149"/>
      <c r="M128"/>
      <c r="N128"/>
      <c r="O128"/>
      <c r="P128"/>
      <c r="Q128"/>
      <c r="R128"/>
      <c r="S128"/>
      <c r="T128"/>
      <c r="U128"/>
      <c r="V128"/>
      <c r="W128"/>
      <c r="X128"/>
      <c r="Y128"/>
      <c r="Z128"/>
      <c r="AA128"/>
      <c r="AB128"/>
      <c r="AC128"/>
      <c r="AD128"/>
      <c r="AE128"/>
      <c r="AF128"/>
    </row>
    <row r="129" spans="1:32" ht="12.75" customHeight="1" outlineLevel="2" x14ac:dyDescent="0.2">
      <c r="A129" s="140"/>
      <c r="B129" s="141" t="s">
        <v>1239</v>
      </c>
      <c r="C129" s="142" t="s">
        <v>9572</v>
      </c>
      <c r="D129" s="148" t="s">
        <v>5678</v>
      </c>
      <c r="E129" s="144" t="s">
        <v>1130</v>
      </c>
      <c r="F129" s="144">
        <v>1</v>
      </c>
      <c r="G129" s="144">
        <v>20000</v>
      </c>
      <c r="H129" s="145">
        <f t="shared" si="6"/>
        <v>20000</v>
      </c>
      <c r="I129" s="144" t="s">
        <v>9453</v>
      </c>
      <c r="J129" s="147" t="s">
        <v>1304</v>
      </c>
      <c r="K129" s="130"/>
      <c r="L129" s="149"/>
      <c r="M129"/>
      <c r="N129"/>
      <c r="O129"/>
      <c r="P129"/>
      <c r="Q129"/>
      <c r="R129"/>
      <c r="S129"/>
      <c r="T129"/>
      <c r="U129"/>
      <c r="V129"/>
      <c r="W129"/>
      <c r="X129"/>
      <c r="Y129"/>
      <c r="Z129"/>
      <c r="AA129"/>
      <c r="AB129"/>
      <c r="AC129"/>
      <c r="AD129"/>
      <c r="AE129"/>
      <c r="AF129"/>
    </row>
    <row r="130" spans="1:32" ht="12.75" customHeight="1" outlineLevel="2" x14ac:dyDescent="0.2">
      <c r="A130" s="140"/>
      <c r="B130" s="141" t="s">
        <v>1239</v>
      </c>
      <c r="C130" s="142" t="s">
        <v>9573</v>
      </c>
      <c r="D130" s="148" t="s">
        <v>2058</v>
      </c>
      <c r="E130" s="144" t="s">
        <v>1130</v>
      </c>
      <c r="F130" s="144">
        <v>1</v>
      </c>
      <c r="G130" s="144">
        <v>17450</v>
      </c>
      <c r="H130" s="145">
        <f t="shared" si="6"/>
        <v>17450</v>
      </c>
      <c r="I130" s="144" t="s">
        <v>9454</v>
      </c>
      <c r="J130" s="147" t="s">
        <v>1304</v>
      </c>
      <c r="K130" s="130"/>
      <c r="L130" s="149"/>
      <c r="M130"/>
      <c r="N130"/>
      <c r="O130"/>
      <c r="P130"/>
      <c r="Q130"/>
      <c r="R130"/>
      <c r="S130"/>
      <c r="T130"/>
      <c r="U130"/>
      <c r="V130"/>
      <c r="W130"/>
      <c r="X130"/>
      <c r="Y130"/>
      <c r="Z130"/>
      <c r="AA130"/>
      <c r="AB130"/>
      <c r="AC130"/>
      <c r="AD130"/>
      <c r="AE130"/>
      <c r="AF130"/>
    </row>
    <row r="131" spans="1:32" ht="12.75" customHeight="1" outlineLevel="2" x14ac:dyDescent="0.2">
      <c r="A131" s="140"/>
      <c r="B131" s="141" t="s">
        <v>1239</v>
      </c>
      <c r="C131" s="142" t="s">
        <v>9574</v>
      </c>
      <c r="D131" s="148" t="s">
        <v>2059</v>
      </c>
      <c r="E131" s="144" t="s">
        <v>1130</v>
      </c>
      <c r="F131" s="144">
        <v>1</v>
      </c>
      <c r="G131" s="144">
        <v>33400</v>
      </c>
      <c r="H131" s="145">
        <f t="shared" si="6"/>
        <v>33400</v>
      </c>
      <c r="I131" s="144" t="s">
        <v>9454</v>
      </c>
      <c r="J131" s="147" t="s">
        <v>1304</v>
      </c>
      <c r="K131" s="130"/>
      <c r="L131" s="149"/>
      <c r="M131"/>
      <c r="N131"/>
      <c r="O131"/>
      <c r="P131"/>
      <c r="Q131"/>
      <c r="R131"/>
      <c r="S131"/>
      <c r="T131"/>
      <c r="U131"/>
      <c r="V131"/>
      <c r="W131"/>
      <c r="X131"/>
      <c r="Y131"/>
      <c r="Z131"/>
      <c r="AA131"/>
      <c r="AB131"/>
      <c r="AC131"/>
      <c r="AD131"/>
      <c r="AE131"/>
      <c r="AF131"/>
    </row>
    <row r="132" spans="1:32" ht="12.75" customHeight="1" outlineLevel="2" x14ac:dyDescent="0.2">
      <c r="A132" s="140"/>
      <c r="B132" s="141" t="s">
        <v>1239</v>
      </c>
      <c r="C132" s="142" t="s">
        <v>9575</v>
      </c>
      <c r="D132" s="148" t="s">
        <v>2091</v>
      </c>
      <c r="E132" s="144" t="s">
        <v>1130</v>
      </c>
      <c r="F132" s="144">
        <v>1</v>
      </c>
      <c r="G132" s="144">
        <v>0</v>
      </c>
      <c r="H132" s="145">
        <f t="shared" si="6"/>
        <v>0</v>
      </c>
      <c r="I132" s="144" t="s">
        <v>2070</v>
      </c>
      <c r="J132" s="147" t="s">
        <v>1304</v>
      </c>
      <c r="K132" s="130"/>
      <c r="L132" s="149"/>
      <c r="M132"/>
      <c r="N132"/>
      <c r="O132"/>
      <c r="P132"/>
      <c r="Q132"/>
      <c r="R132"/>
      <c r="S132"/>
      <c r="T132"/>
      <c r="U132"/>
      <c r="V132"/>
      <c r="W132"/>
      <c r="X132"/>
      <c r="Y132"/>
      <c r="Z132"/>
      <c r="AA132"/>
      <c r="AB132"/>
      <c r="AC132"/>
      <c r="AD132"/>
      <c r="AE132"/>
      <c r="AF132"/>
    </row>
    <row r="133" spans="1:32" ht="12" customHeight="1" outlineLevel="1" x14ac:dyDescent="0.2">
      <c r="A133" s="140"/>
      <c r="B133" s="141" t="s">
        <v>1238</v>
      </c>
      <c r="C133" s="142" t="s">
        <v>8956</v>
      </c>
      <c r="D133" s="148" t="s">
        <v>2060</v>
      </c>
      <c r="E133" s="68"/>
      <c r="F133" s="144"/>
      <c r="G133" s="144"/>
      <c r="H133" s="145">
        <f>H134+H135+H136+H137</f>
        <v>244800</v>
      </c>
      <c r="I133" s="146"/>
      <c r="J133" s="147"/>
      <c r="K133" s="130"/>
      <c r="L133" s="149"/>
      <c r="M133"/>
      <c r="N133"/>
      <c r="O133"/>
      <c r="P133"/>
      <c r="Q133"/>
      <c r="R133"/>
      <c r="S133"/>
      <c r="T133"/>
      <c r="U133"/>
      <c r="V133"/>
      <c r="W133"/>
      <c r="X133"/>
      <c r="Y133"/>
      <c r="Z133"/>
      <c r="AA133"/>
      <c r="AB133"/>
      <c r="AC133"/>
      <c r="AD133"/>
      <c r="AE133"/>
      <c r="AF133"/>
    </row>
    <row r="134" spans="1:32" ht="12.75" customHeight="1" outlineLevel="2" x14ac:dyDescent="0.2">
      <c r="A134" s="140"/>
      <c r="B134" s="141" t="s">
        <v>1239</v>
      </c>
      <c r="C134" s="142" t="s">
        <v>9576</v>
      </c>
      <c r="D134" s="148" t="s">
        <v>2061</v>
      </c>
      <c r="E134" s="144" t="s">
        <v>1244</v>
      </c>
      <c r="F134" s="144">
        <v>36</v>
      </c>
      <c r="G134" s="144">
        <v>1500</v>
      </c>
      <c r="H134" s="145">
        <f>G134*F134</f>
        <v>54000</v>
      </c>
      <c r="I134" s="144" t="s">
        <v>9453</v>
      </c>
      <c r="J134" s="147" t="s">
        <v>1304</v>
      </c>
      <c r="K134" s="130"/>
      <c r="L134" s="149"/>
      <c r="M134"/>
      <c r="N134"/>
      <c r="O134"/>
      <c r="P134"/>
      <c r="Q134"/>
      <c r="R134"/>
      <c r="S134"/>
      <c r="T134"/>
      <c r="U134"/>
      <c r="V134"/>
      <c r="W134"/>
      <c r="X134"/>
      <c r="Y134"/>
      <c r="Z134"/>
      <c r="AA134"/>
      <c r="AB134"/>
      <c r="AC134"/>
      <c r="AD134"/>
      <c r="AE134"/>
      <c r="AF134"/>
    </row>
    <row r="135" spans="1:32" ht="12.75" customHeight="1" outlineLevel="2" x14ac:dyDescent="0.2">
      <c r="A135" s="140"/>
      <c r="B135" s="141" t="s">
        <v>1239</v>
      </c>
      <c r="C135" s="142" t="s">
        <v>9577</v>
      </c>
      <c r="D135" s="148" t="s">
        <v>2096</v>
      </c>
      <c r="E135" s="144" t="s">
        <v>1244</v>
      </c>
      <c r="F135" s="144">
        <v>36</v>
      </c>
      <c r="G135" s="144">
        <v>3000</v>
      </c>
      <c r="H135" s="145">
        <f>G135*F135</f>
        <v>108000</v>
      </c>
      <c r="I135" s="144" t="s">
        <v>9453</v>
      </c>
      <c r="J135" s="147" t="s">
        <v>1304</v>
      </c>
      <c r="K135" s="130"/>
      <c r="L135" s="149"/>
      <c r="M135"/>
      <c r="N135"/>
      <c r="O135"/>
      <c r="P135"/>
      <c r="Q135"/>
      <c r="R135"/>
      <c r="S135"/>
      <c r="T135"/>
      <c r="U135"/>
      <c r="V135"/>
      <c r="W135"/>
      <c r="X135"/>
      <c r="Y135"/>
      <c r="Z135"/>
      <c r="AA135"/>
      <c r="AB135"/>
      <c r="AC135"/>
      <c r="AD135"/>
      <c r="AE135"/>
      <c r="AF135"/>
    </row>
    <row r="136" spans="1:32" ht="13.5" customHeight="1" outlineLevel="2" x14ac:dyDescent="0.2">
      <c r="A136" s="140"/>
      <c r="B136" s="141" t="s">
        <v>1239</v>
      </c>
      <c r="C136" s="142" t="s">
        <v>9578</v>
      </c>
      <c r="D136" s="148" t="s">
        <v>2097</v>
      </c>
      <c r="E136" s="144" t="s">
        <v>1244</v>
      </c>
      <c r="F136" s="144">
        <v>36</v>
      </c>
      <c r="G136" s="144">
        <v>2000</v>
      </c>
      <c r="H136" s="145">
        <f>G136*F136</f>
        <v>72000</v>
      </c>
      <c r="I136" s="144" t="s">
        <v>9453</v>
      </c>
      <c r="J136" s="147" t="s">
        <v>1304</v>
      </c>
      <c r="K136" s="130"/>
      <c r="L136" s="149"/>
      <c r="M136"/>
      <c r="N136"/>
      <c r="O136"/>
      <c r="P136"/>
      <c r="Q136"/>
      <c r="R136"/>
      <c r="S136"/>
      <c r="T136"/>
      <c r="U136"/>
      <c r="V136"/>
      <c r="W136"/>
      <c r="X136"/>
      <c r="Y136"/>
      <c r="Z136"/>
      <c r="AA136"/>
      <c r="AB136"/>
      <c r="AC136"/>
      <c r="AD136"/>
      <c r="AE136"/>
      <c r="AF136"/>
    </row>
    <row r="137" spans="1:32" ht="13.5" customHeight="1" outlineLevel="2" x14ac:dyDescent="0.2">
      <c r="A137" s="140"/>
      <c r="B137" s="141" t="s">
        <v>1239</v>
      </c>
      <c r="C137" s="142" t="s">
        <v>9579</v>
      </c>
      <c r="D137" s="148" t="s">
        <v>2062</v>
      </c>
      <c r="E137" s="144" t="s">
        <v>1244</v>
      </c>
      <c r="F137" s="144">
        <v>36</v>
      </c>
      <c r="G137" s="144">
        <v>300</v>
      </c>
      <c r="H137" s="145">
        <f>G137*F137</f>
        <v>10800</v>
      </c>
      <c r="I137" s="144" t="s">
        <v>9453</v>
      </c>
      <c r="J137" s="147" t="s">
        <v>1304</v>
      </c>
      <c r="K137" s="130"/>
      <c r="L137" s="149"/>
      <c r="M137"/>
      <c r="N137"/>
      <c r="O137"/>
      <c r="P137"/>
      <c r="Q137"/>
      <c r="R137"/>
      <c r="S137"/>
      <c r="T137"/>
      <c r="U137"/>
      <c r="V137"/>
      <c r="W137"/>
      <c r="X137"/>
      <c r="Y137"/>
      <c r="Z137"/>
      <c r="AA137"/>
      <c r="AB137"/>
      <c r="AC137"/>
      <c r="AD137"/>
      <c r="AE137"/>
      <c r="AF137"/>
    </row>
    <row r="138" spans="1:32" ht="12" customHeight="1" outlineLevel="1" x14ac:dyDescent="0.2">
      <c r="A138" s="140"/>
      <c r="B138" s="141" t="s">
        <v>1238</v>
      </c>
      <c r="C138" s="142" t="s">
        <v>8955</v>
      </c>
      <c r="D138" s="148" t="s">
        <v>2063</v>
      </c>
      <c r="E138" s="68"/>
      <c r="F138" s="144"/>
      <c r="G138" s="144"/>
      <c r="H138" s="145">
        <f>H139+H140+H141+H142+H143+H144+H145+H146+H147</f>
        <v>704748.76501437509</v>
      </c>
      <c r="I138" s="146"/>
      <c r="J138" s="147"/>
      <c r="K138" s="130"/>
      <c r="L138" s="149"/>
      <c r="M138"/>
      <c r="N138"/>
      <c r="O138"/>
      <c r="P138"/>
      <c r="Q138"/>
      <c r="R138"/>
      <c r="S138"/>
      <c r="T138"/>
      <c r="U138"/>
      <c r="V138"/>
      <c r="W138"/>
      <c r="X138"/>
      <c r="Y138"/>
      <c r="Z138"/>
      <c r="AA138"/>
      <c r="AB138"/>
      <c r="AC138"/>
      <c r="AD138"/>
      <c r="AE138"/>
      <c r="AF138"/>
    </row>
    <row r="139" spans="1:32" ht="12" customHeight="1" outlineLevel="2" x14ac:dyDescent="0.2">
      <c r="A139" s="140"/>
      <c r="B139" s="141" t="s">
        <v>1239</v>
      </c>
      <c r="C139" s="142" t="s">
        <v>9580</v>
      </c>
      <c r="D139" s="148" t="s">
        <v>2066</v>
      </c>
      <c r="E139" s="144" t="s">
        <v>1244</v>
      </c>
      <c r="F139" s="144">
        <v>6</v>
      </c>
      <c r="G139" s="144">
        <v>16155.36773237363</v>
      </c>
      <c r="H139" s="145">
        <f t="shared" ref="H139:H147" si="7">G139*F139</f>
        <v>96932.206394241774</v>
      </c>
      <c r="I139" s="144" t="s">
        <v>2065</v>
      </c>
      <c r="J139" s="147" t="s">
        <v>1304</v>
      </c>
      <c r="K139" s="130"/>
      <c r="L139" s="149"/>
      <c r="M139"/>
      <c r="N139"/>
      <c r="O139"/>
      <c r="P139"/>
      <c r="Q139"/>
      <c r="R139"/>
      <c r="S139"/>
      <c r="T139"/>
      <c r="U139"/>
      <c r="V139"/>
      <c r="W139"/>
      <c r="X139"/>
      <c r="Y139"/>
      <c r="Z139"/>
      <c r="AA139"/>
      <c r="AB139"/>
      <c r="AC139"/>
      <c r="AD139"/>
      <c r="AE139"/>
      <c r="AF139"/>
    </row>
    <row r="140" spans="1:32" ht="12" customHeight="1" outlineLevel="2" x14ac:dyDescent="0.2">
      <c r="A140" s="140"/>
      <c r="B140" s="141" t="s">
        <v>1239</v>
      </c>
      <c r="C140" s="142" t="s">
        <v>9581</v>
      </c>
      <c r="D140" s="148" t="s">
        <v>2064</v>
      </c>
      <c r="E140" s="144" t="s">
        <v>1130</v>
      </c>
      <c r="F140" s="144">
        <v>1</v>
      </c>
      <c r="G140" s="144">
        <v>312816.83996733336</v>
      </c>
      <c r="H140" s="145">
        <f t="shared" si="7"/>
        <v>312816.83996733336</v>
      </c>
      <c r="I140" s="144" t="s">
        <v>2070</v>
      </c>
      <c r="J140" s="147" t="s">
        <v>1304</v>
      </c>
      <c r="K140" s="130"/>
      <c r="L140" s="149"/>
      <c r="M140"/>
      <c r="N140"/>
      <c r="O140"/>
      <c r="P140"/>
      <c r="Q140"/>
      <c r="R140"/>
      <c r="S140"/>
      <c r="T140"/>
      <c r="U140"/>
      <c r="V140"/>
      <c r="W140"/>
      <c r="X140"/>
      <c r="Y140"/>
      <c r="Z140"/>
      <c r="AA140"/>
      <c r="AB140"/>
      <c r="AC140"/>
      <c r="AD140"/>
      <c r="AE140"/>
      <c r="AF140"/>
    </row>
    <row r="141" spans="1:32" ht="12" customHeight="1" outlineLevel="2" x14ac:dyDescent="0.2">
      <c r="A141" s="140"/>
      <c r="B141" s="141" t="s">
        <v>1239</v>
      </c>
      <c r="C141" s="142" t="s">
        <v>9582</v>
      </c>
      <c r="D141" s="148" t="s">
        <v>5679</v>
      </c>
      <c r="E141" s="144" t="s">
        <v>1130</v>
      </c>
      <c r="F141" s="144">
        <v>1</v>
      </c>
      <c r="G141" s="144">
        <v>24000</v>
      </c>
      <c r="H141" s="145">
        <f t="shared" si="7"/>
        <v>24000</v>
      </c>
      <c r="I141" s="144" t="s">
        <v>9453</v>
      </c>
      <c r="J141" s="147" t="s">
        <v>1304</v>
      </c>
      <c r="K141" s="130"/>
      <c r="L141" s="149"/>
      <c r="M141"/>
      <c r="N141"/>
      <c r="O141"/>
      <c r="P141"/>
      <c r="Q141"/>
      <c r="R141"/>
      <c r="S141"/>
      <c r="T141"/>
      <c r="U141"/>
      <c r="V141"/>
      <c r="W141"/>
      <c r="X141"/>
      <c r="Y141"/>
      <c r="Z141"/>
      <c r="AA141"/>
      <c r="AB141"/>
      <c r="AC141"/>
      <c r="AD141"/>
      <c r="AE141"/>
      <c r="AF141"/>
    </row>
    <row r="142" spans="1:32" ht="12" customHeight="1" outlineLevel="2" x14ac:dyDescent="0.2">
      <c r="A142" s="140"/>
      <c r="B142" s="141" t="s">
        <v>1239</v>
      </c>
      <c r="C142" s="142" t="s">
        <v>9583</v>
      </c>
      <c r="D142" s="148" t="s">
        <v>5680</v>
      </c>
      <c r="E142" s="144" t="s">
        <v>1130</v>
      </c>
      <c r="F142" s="144">
        <v>1</v>
      </c>
      <c r="G142" s="144">
        <v>170000</v>
      </c>
      <c r="H142" s="145">
        <f t="shared" si="7"/>
        <v>170000</v>
      </c>
      <c r="I142" s="144" t="s">
        <v>2070</v>
      </c>
      <c r="J142" s="147" t="s">
        <v>1304</v>
      </c>
      <c r="K142" s="130"/>
      <c r="L142" s="149"/>
      <c r="M142"/>
      <c r="N142"/>
      <c r="O142"/>
      <c r="P142"/>
      <c r="Q142"/>
      <c r="R142"/>
      <c r="S142"/>
      <c r="T142"/>
      <c r="U142"/>
      <c r="V142"/>
      <c r="W142"/>
      <c r="X142"/>
      <c r="Y142"/>
      <c r="Z142"/>
      <c r="AA142"/>
      <c r="AB142"/>
      <c r="AC142"/>
      <c r="AD142"/>
      <c r="AE142"/>
      <c r="AF142"/>
    </row>
    <row r="143" spans="1:32" ht="22.5" outlineLevel="2" x14ac:dyDescent="0.2">
      <c r="A143" s="140"/>
      <c r="B143" s="141" t="s">
        <v>1239</v>
      </c>
      <c r="C143" s="142" t="s">
        <v>9584</v>
      </c>
      <c r="D143" s="148" t="s">
        <v>5681</v>
      </c>
      <c r="E143" s="144" t="s">
        <v>1130</v>
      </c>
      <c r="F143" s="144">
        <v>1</v>
      </c>
      <c r="G143" s="144">
        <v>40000</v>
      </c>
      <c r="H143" s="145">
        <f t="shared" si="7"/>
        <v>40000</v>
      </c>
      <c r="I143" s="144" t="s">
        <v>5682</v>
      </c>
      <c r="J143" s="147" t="s">
        <v>1304</v>
      </c>
      <c r="K143" s="130"/>
      <c r="L143" s="149"/>
      <c r="M143"/>
      <c r="N143"/>
      <c r="O143"/>
      <c r="P143"/>
      <c r="Q143"/>
      <c r="R143"/>
      <c r="S143"/>
      <c r="T143"/>
      <c r="U143"/>
      <c r="V143"/>
      <c r="W143"/>
      <c r="X143"/>
      <c r="Y143"/>
      <c r="Z143"/>
      <c r="AA143"/>
      <c r="AB143"/>
      <c r="AC143"/>
      <c r="AD143"/>
      <c r="AE143"/>
      <c r="AF143"/>
    </row>
    <row r="144" spans="1:32" ht="12" customHeight="1" outlineLevel="2" x14ac:dyDescent="0.2">
      <c r="A144" s="140"/>
      <c r="B144" s="141" t="s">
        <v>1239</v>
      </c>
      <c r="C144" s="142" t="s">
        <v>9585</v>
      </c>
      <c r="D144" s="148" t="s">
        <v>2069</v>
      </c>
      <c r="E144" s="144" t="s">
        <v>642</v>
      </c>
      <c r="F144" s="144">
        <v>219.40799999999999</v>
      </c>
      <c r="G144" s="144">
        <v>164.07660000000001</v>
      </c>
      <c r="H144" s="145">
        <f t="shared" si="7"/>
        <v>35999.718652800002</v>
      </c>
      <c r="I144" s="144" t="s">
        <v>2070</v>
      </c>
      <c r="J144" s="147" t="s">
        <v>1304</v>
      </c>
      <c r="K144" s="130"/>
      <c r="L144" s="149"/>
      <c r="M144"/>
      <c r="N144"/>
      <c r="O144"/>
      <c r="P144"/>
      <c r="Q144"/>
      <c r="R144"/>
      <c r="S144"/>
      <c r="T144"/>
      <c r="U144"/>
      <c r="V144"/>
      <c r="W144"/>
      <c r="X144"/>
      <c r="Y144"/>
      <c r="Z144"/>
      <c r="AA144"/>
      <c r="AB144"/>
      <c r="AC144"/>
      <c r="AD144"/>
      <c r="AE144"/>
      <c r="AF144"/>
    </row>
    <row r="145" spans="1:32" ht="12" customHeight="1" outlineLevel="2" x14ac:dyDescent="0.2">
      <c r="A145" s="140"/>
      <c r="B145" s="141" t="s">
        <v>1239</v>
      </c>
      <c r="C145" s="142" t="s">
        <v>9586</v>
      </c>
      <c r="D145" s="148" t="s">
        <v>2067</v>
      </c>
      <c r="E145" s="144" t="s">
        <v>1130</v>
      </c>
      <c r="F145" s="144">
        <v>1</v>
      </c>
      <c r="G145" s="144">
        <v>5000</v>
      </c>
      <c r="H145" s="145">
        <f t="shared" si="7"/>
        <v>5000</v>
      </c>
      <c r="I145" s="144" t="s">
        <v>9453</v>
      </c>
      <c r="J145" s="147" t="s">
        <v>1304</v>
      </c>
      <c r="K145" s="130"/>
      <c r="L145" s="149"/>
      <c r="M145"/>
      <c r="N145"/>
      <c r="O145"/>
      <c r="P145"/>
      <c r="Q145"/>
      <c r="R145"/>
      <c r="S145"/>
      <c r="T145"/>
      <c r="U145"/>
      <c r="V145"/>
      <c r="W145"/>
      <c r="X145"/>
      <c r="Y145"/>
      <c r="Z145"/>
      <c r="AA145"/>
      <c r="AB145"/>
      <c r="AC145"/>
      <c r="AD145"/>
      <c r="AE145"/>
      <c r="AF145"/>
    </row>
    <row r="146" spans="1:32" ht="22.5" outlineLevel="2" x14ac:dyDescent="0.2">
      <c r="A146" s="140"/>
      <c r="B146" s="141" t="s">
        <v>1239</v>
      </c>
      <c r="C146" s="142" t="s">
        <v>9587</v>
      </c>
      <c r="D146" s="148" t="s">
        <v>2068</v>
      </c>
      <c r="E146" s="144" t="s">
        <v>1130</v>
      </c>
      <c r="F146" s="144">
        <v>1</v>
      </c>
      <c r="G146" s="144">
        <v>8000</v>
      </c>
      <c r="H146" s="145">
        <f t="shared" si="7"/>
        <v>8000</v>
      </c>
      <c r="I146" s="144" t="s">
        <v>5682</v>
      </c>
      <c r="J146" s="147" t="s">
        <v>1304</v>
      </c>
      <c r="K146" s="130"/>
      <c r="L146" s="149"/>
      <c r="M146"/>
      <c r="N146"/>
      <c r="O146"/>
      <c r="P146"/>
      <c r="Q146"/>
      <c r="R146"/>
      <c r="S146"/>
      <c r="T146"/>
      <c r="U146"/>
      <c r="V146"/>
      <c r="W146"/>
      <c r="X146"/>
      <c r="Y146"/>
      <c r="Z146"/>
      <c r="AA146"/>
      <c r="AB146"/>
      <c r="AC146"/>
      <c r="AD146"/>
      <c r="AE146"/>
      <c r="AF146"/>
    </row>
    <row r="147" spans="1:32" ht="12" customHeight="1" outlineLevel="2" x14ac:dyDescent="0.2">
      <c r="A147" s="140"/>
      <c r="B147" s="141" t="s">
        <v>1239</v>
      </c>
      <c r="C147" s="142" t="s">
        <v>9588</v>
      </c>
      <c r="D147" s="148" t="s">
        <v>5683</v>
      </c>
      <c r="E147" s="144" t="s">
        <v>1130</v>
      </c>
      <c r="F147" s="144">
        <v>1</v>
      </c>
      <c r="G147" s="144">
        <v>12000</v>
      </c>
      <c r="H147" s="145">
        <f t="shared" si="7"/>
        <v>12000</v>
      </c>
      <c r="I147" s="144" t="s">
        <v>9453</v>
      </c>
      <c r="J147" s="147" t="s">
        <v>1304</v>
      </c>
      <c r="K147" s="130"/>
      <c r="L147" s="149"/>
      <c r="M147"/>
      <c r="N147"/>
      <c r="O147"/>
      <c r="P147"/>
      <c r="Q147"/>
      <c r="R147"/>
      <c r="S147"/>
      <c r="T147"/>
      <c r="U147"/>
      <c r="V147"/>
      <c r="W147"/>
      <c r="X147"/>
      <c r="Y147"/>
      <c r="Z147"/>
      <c r="AA147"/>
      <c r="AB147"/>
      <c r="AC147"/>
      <c r="AD147"/>
      <c r="AE147"/>
      <c r="AF147"/>
    </row>
    <row r="148" spans="1:32" ht="12" customHeight="1" outlineLevel="1" x14ac:dyDescent="0.2">
      <c r="A148" s="140"/>
      <c r="B148" s="141" t="s">
        <v>39</v>
      </c>
      <c r="C148" s="142" t="s">
        <v>5823</v>
      </c>
      <c r="D148" s="148" t="s">
        <v>2071</v>
      </c>
      <c r="E148" s="68"/>
      <c r="F148" s="144"/>
      <c r="G148" s="144"/>
      <c r="H148" s="145">
        <f>H149</f>
        <v>45000</v>
      </c>
      <c r="I148" s="146"/>
      <c r="J148" s="147"/>
      <c r="K148" s="130"/>
      <c r="L148" s="149"/>
      <c r="M148"/>
      <c r="N148"/>
      <c r="O148"/>
      <c r="P148"/>
      <c r="Q148"/>
      <c r="R148"/>
      <c r="S148"/>
      <c r="T148"/>
      <c r="U148"/>
      <c r="V148"/>
      <c r="W148"/>
      <c r="X148"/>
      <c r="Y148"/>
      <c r="Z148"/>
      <c r="AA148"/>
      <c r="AB148"/>
      <c r="AC148"/>
      <c r="AD148"/>
      <c r="AE148"/>
      <c r="AF148"/>
    </row>
    <row r="149" spans="1:32" ht="12" customHeight="1" outlineLevel="1" x14ac:dyDescent="0.2">
      <c r="A149" s="140"/>
      <c r="B149" s="141" t="s">
        <v>1238</v>
      </c>
      <c r="C149" s="142" t="s">
        <v>5824</v>
      </c>
      <c r="D149" s="148" t="s">
        <v>5556</v>
      </c>
      <c r="E149" s="68"/>
      <c r="F149" s="144"/>
      <c r="G149" s="144"/>
      <c r="H149" s="145">
        <f>H150</f>
        <v>45000</v>
      </c>
      <c r="I149" s="146"/>
      <c r="J149" s="147"/>
      <c r="K149" s="130"/>
      <c r="L149" s="149"/>
      <c r="M149"/>
      <c r="N149"/>
      <c r="O149"/>
      <c r="P149"/>
      <c r="Q149"/>
      <c r="R149"/>
      <c r="S149"/>
      <c r="T149"/>
      <c r="U149"/>
      <c r="V149"/>
      <c r="W149"/>
      <c r="X149"/>
      <c r="Y149"/>
      <c r="Z149"/>
      <c r="AA149"/>
      <c r="AB149"/>
      <c r="AC149"/>
      <c r="AD149"/>
      <c r="AE149"/>
      <c r="AF149"/>
    </row>
    <row r="150" spans="1:32" ht="12" customHeight="1" outlineLevel="2" x14ac:dyDescent="0.2">
      <c r="A150" s="140"/>
      <c r="B150" s="141" t="s">
        <v>1239</v>
      </c>
      <c r="C150" s="142" t="s">
        <v>5825</v>
      </c>
      <c r="D150" s="148" t="s">
        <v>5684</v>
      </c>
      <c r="E150" s="144" t="s">
        <v>642</v>
      </c>
      <c r="F150" s="144">
        <v>1</v>
      </c>
      <c r="G150" s="144">
        <v>45000</v>
      </c>
      <c r="H150" s="145">
        <f>G150*F150</f>
        <v>45000</v>
      </c>
      <c r="I150" s="144" t="s">
        <v>5685</v>
      </c>
      <c r="J150" s="147" t="s">
        <v>1304</v>
      </c>
      <c r="K150" s="130"/>
      <c r="L150" s="149"/>
      <c r="M150"/>
      <c r="N150"/>
      <c r="O150"/>
      <c r="P150"/>
      <c r="Q150"/>
      <c r="R150"/>
      <c r="S150"/>
      <c r="T150"/>
      <c r="U150"/>
      <c r="V150"/>
      <c r="W150"/>
      <c r="X150"/>
      <c r="Y150"/>
      <c r="Z150"/>
      <c r="AA150"/>
      <c r="AB150"/>
      <c r="AC150"/>
      <c r="AD150"/>
      <c r="AE150"/>
      <c r="AF150"/>
    </row>
    <row r="151" spans="1:32" ht="13.9" customHeight="1" x14ac:dyDescent="0.2">
      <c r="A151" s="140"/>
      <c r="B151" s="141" t="s">
        <v>1237</v>
      </c>
      <c r="C151" s="142" t="s">
        <v>5840</v>
      </c>
      <c r="D151" s="143" t="s">
        <v>9</v>
      </c>
      <c r="E151" s="68"/>
      <c r="F151" s="144"/>
      <c r="G151" s="144"/>
      <c r="H151" s="145">
        <f>H152</f>
        <v>1725398.1669884394</v>
      </c>
      <c r="I151" s="146"/>
      <c r="J151" s="147"/>
      <c r="K151" s="130"/>
      <c r="L151" s="130"/>
      <c r="M151"/>
      <c r="N151"/>
      <c r="O151"/>
      <c r="P151"/>
      <c r="Q151"/>
      <c r="R151"/>
      <c r="S151"/>
      <c r="T151"/>
      <c r="U151"/>
      <c r="V151"/>
      <c r="W151"/>
      <c r="X151"/>
      <c r="Y151"/>
      <c r="Z151"/>
      <c r="AA151"/>
      <c r="AB151"/>
      <c r="AC151"/>
      <c r="AD151"/>
      <c r="AE151"/>
      <c r="AF151"/>
    </row>
    <row r="152" spans="1:32" ht="13.9" customHeight="1" outlineLevel="1" x14ac:dyDescent="0.2">
      <c r="A152" s="140"/>
      <c r="B152" s="141" t="s">
        <v>39</v>
      </c>
      <c r="C152" s="142" t="s">
        <v>5841</v>
      </c>
      <c r="D152" s="143" t="s">
        <v>9</v>
      </c>
      <c r="E152" s="68"/>
      <c r="F152" s="144"/>
      <c r="G152" s="144"/>
      <c r="H152" s="145">
        <f>H153+H162+H171</f>
        <v>1725398.1669884394</v>
      </c>
      <c r="I152" s="146"/>
      <c r="J152" s="147"/>
      <c r="K152" s="130"/>
      <c r="L152" s="130"/>
      <c r="M152"/>
      <c r="N152"/>
      <c r="O152"/>
      <c r="P152"/>
      <c r="Q152"/>
      <c r="R152"/>
      <c r="S152"/>
      <c r="T152"/>
      <c r="U152"/>
      <c r="V152"/>
      <c r="W152"/>
      <c r="X152"/>
      <c r="Y152"/>
      <c r="Z152"/>
      <c r="AA152"/>
      <c r="AB152"/>
      <c r="AC152"/>
      <c r="AD152"/>
      <c r="AE152"/>
      <c r="AF152"/>
    </row>
    <row r="153" spans="1:32" ht="13.9" customHeight="1" outlineLevel="1" x14ac:dyDescent="0.2">
      <c r="A153" s="140"/>
      <c r="B153" s="141" t="s">
        <v>1238</v>
      </c>
      <c r="C153" s="142" t="s">
        <v>5842</v>
      </c>
      <c r="D153" s="143" t="s">
        <v>2073</v>
      </c>
      <c r="E153" s="68"/>
      <c r="F153" s="144"/>
      <c r="G153" s="144"/>
      <c r="H153" s="145">
        <f>H154+H155+H156+H157+H158+H159+H160+H161</f>
        <v>760640</v>
      </c>
      <c r="I153" s="146"/>
      <c r="J153" s="147"/>
      <c r="K153" s="130"/>
      <c r="L153" s="130"/>
      <c r="M153"/>
      <c r="N153"/>
      <c r="O153"/>
      <c r="P153"/>
      <c r="Q153"/>
      <c r="R153"/>
      <c r="S153"/>
      <c r="T153"/>
      <c r="U153"/>
      <c r="V153"/>
      <c r="W153"/>
      <c r="X153"/>
      <c r="Y153"/>
      <c r="Z153"/>
      <c r="AA153"/>
      <c r="AB153"/>
      <c r="AC153"/>
      <c r="AD153"/>
      <c r="AE153"/>
      <c r="AF153"/>
    </row>
    <row r="154" spans="1:32" ht="13.9" customHeight="1" outlineLevel="2" x14ac:dyDescent="0.2">
      <c r="A154" s="140"/>
      <c r="B154" s="141" t="s">
        <v>1239</v>
      </c>
      <c r="C154" s="142" t="s">
        <v>5843</v>
      </c>
      <c r="D154" s="143" t="s">
        <v>5686</v>
      </c>
      <c r="E154" s="144" t="s">
        <v>1244</v>
      </c>
      <c r="F154" s="144">
        <v>21</v>
      </c>
      <c r="G154" s="144">
        <v>12000</v>
      </c>
      <c r="H154" s="145">
        <f t="shared" ref="H154:H161" si="8">G154*F154</f>
        <v>252000</v>
      </c>
      <c r="I154" s="144" t="s">
        <v>2070</v>
      </c>
      <c r="J154" s="147" t="s">
        <v>5644</v>
      </c>
      <c r="K154" s="130"/>
      <c r="L154" s="130"/>
      <c r="M154"/>
      <c r="N154"/>
      <c r="O154"/>
      <c r="P154"/>
      <c r="Q154"/>
      <c r="R154"/>
      <c r="S154"/>
      <c r="T154"/>
      <c r="U154"/>
      <c r="V154"/>
      <c r="W154"/>
      <c r="X154"/>
      <c r="Y154"/>
      <c r="Z154"/>
      <c r="AA154"/>
      <c r="AB154"/>
      <c r="AC154"/>
      <c r="AD154"/>
      <c r="AE154"/>
      <c r="AF154"/>
    </row>
    <row r="155" spans="1:32" ht="13.9" customHeight="1" outlineLevel="2" x14ac:dyDescent="0.2">
      <c r="A155" s="140"/>
      <c r="B155" s="141" t="s">
        <v>1239</v>
      </c>
      <c r="C155" s="142" t="s">
        <v>5844</v>
      </c>
      <c r="D155" s="143" t="s">
        <v>5687</v>
      </c>
      <c r="E155" s="144" t="s">
        <v>1244</v>
      </c>
      <c r="F155" s="144">
        <v>21</v>
      </c>
      <c r="G155" s="144">
        <v>1500</v>
      </c>
      <c r="H155" s="145">
        <f t="shared" si="8"/>
        <v>31500</v>
      </c>
      <c r="I155" s="144" t="s">
        <v>2070</v>
      </c>
      <c r="J155" s="147" t="s">
        <v>5644</v>
      </c>
      <c r="K155" s="130"/>
      <c r="L155" s="130"/>
      <c r="M155"/>
      <c r="N155"/>
      <c r="O155"/>
      <c r="P155"/>
      <c r="Q155"/>
      <c r="R155"/>
      <c r="S155"/>
      <c r="T155"/>
      <c r="U155"/>
      <c r="V155"/>
      <c r="W155"/>
      <c r="X155"/>
      <c r="Y155"/>
      <c r="Z155"/>
      <c r="AA155"/>
      <c r="AB155"/>
      <c r="AC155"/>
      <c r="AD155"/>
      <c r="AE155"/>
      <c r="AF155"/>
    </row>
    <row r="156" spans="1:32" ht="13.9" customHeight="1" outlineLevel="2" x14ac:dyDescent="0.2">
      <c r="A156" s="140"/>
      <c r="B156" s="141" t="s">
        <v>1239</v>
      </c>
      <c r="C156" s="142" t="s">
        <v>9589</v>
      </c>
      <c r="D156" s="143" t="s">
        <v>2099</v>
      </c>
      <c r="E156" s="144" t="s">
        <v>197</v>
      </c>
      <c r="F156" s="144">
        <v>1</v>
      </c>
      <c r="G156" s="144">
        <v>10000</v>
      </c>
      <c r="H156" s="145">
        <f t="shared" si="8"/>
        <v>10000</v>
      </c>
      <c r="I156" s="144" t="s">
        <v>2070</v>
      </c>
      <c r="J156" s="147" t="s">
        <v>5644</v>
      </c>
      <c r="K156" s="130"/>
      <c r="L156" s="130"/>
      <c r="M156"/>
      <c r="N156"/>
      <c r="O156"/>
      <c r="P156"/>
      <c r="Q156"/>
      <c r="R156"/>
      <c r="S156"/>
      <c r="T156"/>
      <c r="U156"/>
      <c r="V156"/>
      <c r="W156"/>
      <c r="X156"/>
      <c r="Y156"/>
      <c r="Z156"/>
      <c r="AA156"/>
      <c r="AB156"/>
      <c r="AC156"/>
      <c r="AD156"/>
      <c r="AE156"/>
      <c r="AF156"/>
    </row>
    <row r="157" spans="1:32" ht="13.9" customHeight="1" outlineLevel="2" x14ac:dyDescent="0.2">
      <c r="A157" s="140"/>
      <c r="B157" s="141" t="s">
        <v>1239</v>
      </c>
      <c r="C157" s="142" t="s">
        <v>9590</v>
      </c>
      <c r="D157" s="143" t="s">
        <v>2100</v>
      </c>
      <c r="E157" s="144" t="s">
        <v>197</v>
      </c>
      <c r="F157" s="144">
        <v>1</v>
      </c>
      <c r="G157" s="144">
        <v>3500</v>
      </c>
      <c r="H157" s="145">
        <f t="shared" si="8"/>
        <v>3500</v>
      </c>
      <c r="I157" s="144" t="s">
        <v>9454</v>
      </c>
      <c r="J157" s="147" t="s">
        <v>5644</v>
      </c>
      <c r="K157" s="130"/>
      <c r="L157" s="130"/>
      <c r="M157"/>
      <c r="N157"/>
      <c r="O157"/>
      <c r="P157"/>
      <c r="Q157"/>
      <c r="R157"/>
      <c r="S157"/>
      <c r="T157"/>
      <c r="U157"/>
      <c r="V157"/>
      <c r="W157"/>
      <c r="X157"/>
      <c r="Y157"/>
      <c r="Z157"/>
      <c r="AA157"/>
      <c r="AB157"/>
      <c r="AC157"/>
      <c r="AD157"/>
      <c r="AE157"/>
      <c r="AF157"/>
    </row>
    <row r="158" spans="1:32" ht="13.9" customHeight="1" outlineLevel="2" x14ac:dyDescent="0.2">
      <c r="A158" s="140"/>
      <c r="B158" s="141" t="s">
        <v>1239</v>
      </c>
      <c r="C158" s="142" t="s">
        <v>9591</v>
      </c>
      <c r="D158" s="143" t="s">
        <v>5688</v>
      </c>
      <c r="E158" s="144" t="s">
        <v>1244</v>
      </c>
      <c r="F158" s="144">
        <v>19</v>
      </c>
      <c r="G158" s="144">
        <v>22000</v>
      </c>
      <c r="H158" s="145">
        <f t="shared" si="8"/>
        <v>418000</v>
      </c>
      <c r="I158" s="144" t="s">
        <v>2070</v>
      </c>
      <c r="J158" s="147" t="s">
        <v>5644</v>
      </c>
      <c r="K158" s="130"/>
      <c r="L158" s="130"/>
      <c r="M158"/>
      <c r="N158"/>
      <c r="O158"/>
      <c r="P158"/>
      <c r="Q158"/>
      <c r="R158"/>
      <c r="S158"/>
      <c r="T158"/>
      <c r="U158"/>
      <c r="V158"/>
      <c r="W158"/>
      <c r="X158"/>
      <c r="Y158"/>
      <c r="Z158"/>
      <c r="AA158"/>
      <c r="AB158"/>
      <c r="AC158"/>
      <c r="AD158"/>
      <c r="AE158"/>
      <c r="AF158"/>
    </row>
    <row r="159" spans="1:32" ht="13.9" customHeight="1" outlineLevel="2" x14ac:dyDescent="0.2">
      <c r="A159" s="140"/>
      <c r="B159" s="141" t="s">
        <v>1239</v>
      </c>
      <c r="C159" s="142" t="s">
        <v>9592</v>
      </c>
      <c r="D159" s="143" t="s">
        <v>2101</v>
      </c>
      <c r="E159" s="144" t="s">
        <v>197</v>
      </c>
      <c r="F159" s="144">
        <v>1</v>
      </c>
      <c r="G159" s="144">
        <v>1440</v>
      </c>
      <c r="H159" s="145">
        <f t="shared" si="8"/>
        <v>1440</v>
      </c>
      <c r="I159" s="144" t="s">
        <v>2070</v>
      </c>
      <c r="J159" s="147" t="s">
        <v>5644</v>
      </c>
      <c r="K159" s="130"/>
      <c r="L159" s="130"/>
      <c r="M159"/>
      <c r="N159"/>
      <c r="O159"/>
      <c r="P159"/>
      <c r="Q159"/>
      <c r="R159"/>
      <c r="S159"/>
      <c r="T159"/>
      <c r="U159"/>
      <c r="V159"/>
      <c r="W159"/>
      <c r="X159"/>
      <c r="Y159"/>
      <c r="Z159"/>
      <c r="AA159"/>
      <c r="AB159"/>
      <c r="AC159"/>
      <c r="AD159"/>
      <c r="AE159"/>
      <c r="AF159"/>
    </row>
    <row r="160" spans="1:32" ht="13.9" customHeight="1" outlineLevel="2" x14ac:dyDescent="0.2">
      <c r="A160" s="140"/>
      <c r="B160" s="141" t="s">
        <v>1239</v>
      </c>
      <c r="C160" s="142" t="s">
        <v>9593</v>
      </c>
      <c r="D160" s="143" t="s">
        <v>2102</v>
      </c>
      <c r="E160" s="144" t="s">
        <v>197</v>
      </c>
      <c r="F160" s="144">
        <v>19</v>
      </c>
      <c r="G160" s="144">
        <v>1800</v>
      </c>
      <c r="H160" s="145">
        <f t="shared" si="8"/>
        <v>34200</v>
      </c>
      <c r="I160" s="144" t="s">
        <v>2070</v>
      </c>
      <c r="J160" s="147" t="s">
        <v>5644</v>
      </c>
      <c r="K160" s="130"/>
      <c r="L160" s="130"/>
      <c r="M160"/>
      <c r="N160"/>
      <c r="O160"/>
      <c r="P160"/>
      <c r="Q160"/>
      <c r="R160"/>
      <c r="S160"/>
      <c r="T160"/>
      <c r="U160"/>
      <c r="V160"/>
      <c r="W160"/>
      <c r="X160"/>
      <c r="Y160"/>
      <c r="Z160"/>
      <c r="AA160"/>
      <c r="AB160"/>
      <c r="AC160"/>
      <c r="AD160"/>
      <c r="AE160"/>
      <c r="AF160"/>
    </row>
    <row r="161" spans="1:32" ht="13.9" customHeight="1" outlineLevel="2" x14ac:dyDescent="0.2">
      <c r="A161" s="140"/>
      <c r="B161" s="141" t="s">
        <v>1239</v>
      </c>
      <c r="C161" s="142" t="s">
        <v>9594</v>
      </c>
      <c r="D161" s="143" t="s">
        <v>2103</v>
      </c>
      <c r="E161" s="144" t="s">
        <v>197</v>
      </c>
      <c r="F161" s="144">
        <v>1</v>
      </c>
      <c r="G161" s="144">
        <v>10000</v>
      </c>
      <c r="H161" s="145">
        <f t="shared" si="8"/>
        <v>10000</v>
      </c>
      <c r="I161" s="144" t="s">
        <v>9454</v>
      </c>
      <c r="J161" s="147" t="s">
        <v>5644</v>
      </c>
      <c r="K161" s="130"/>
      <c r="L161" s="130"/>
      <c r="M161"/>
      <c r="N161"/>
      <c r="O161"/>
      <c r="P161"/>
      <c r="Q161"/>
      <c r="R161"/>
      <c r="S161"/>
      <c r="T161"/>
      <c r="U161"/>
      <c r="V161"/>
      <c r="W161"/>
      <c r="X161"/>
      <c r="Y161"/>
      <c r="Z161"/>
      <c r="AA161"/>
      <c r="AB161"/>
      <c r="AC161"/>
      <c r="AD161"/>
      <c r="AE161"/>
      <c r="AF161"/>
    </row>
    <row r="162" spans="1:32" ht="13.9" customHeight="1" outlineLevel="1" x14ac:dyDescent="0.2">
      <c r="A162" s="140"/>
      <c r="B162" s="141" t="s">
        <v>1238</v>
      </c>
      <c r="C162" s="142" t="s">
        <v>5845</v>
      </c>
      <c r="D162" s="143" t="s">
        <v>2074</v>
      </c>
      <c r="E162" s="68"/>
      <c r="F162" s="144"/>
      <c r="G162" s="144"/>
      <c r="H162" s="145">
        <f>H163+H164+H165+H166+H167+H168+H169+H170</f>
        <v>299658.20120650431</v>
      </c>
      <c r="I162" s="144"/>
      <c r="J162" s="147"/>
      <c r="K162" s="130"/>
      <c r="L162" s="130"/>
      <c r="M162"/>
      <c r="N162"/>
      <c r="O162"/>
      <c r="P162"/>
      <c r="Q162"/>
      <c r="R162"/>
      <c r="S162"/>
      <c r="T162"/>
      <c r="U162"/>
      <c r="V162"/>
      <c r="W162"/>
      <c r="X162"/>
      <c r="Y162"/>
      <c r="Z162"/>
      <c r="AA162"/>
      <c r="AB162"/>
      <c r="AC162"/>
      <c r="AD162"/>
      <c r="AE162"/>
      <c r="AF162"/>
    </row>
    <row r="163" spans="1:32" ht="13.9" customHeight="1" outlineLevel="2" x14ac:dyDescent="0.2">
      <c r="A163" s="140"/>
      <c r="B163" s="141" t="s">
        <v>1239</v>
      </c>
      <c r="C163" s="142" t="s">
        <v>5846</v>
      </c>
      <c r="D163" s="143" t="s">
        <v>2075</v>
      </c>
      <c r="E163" s="68" t="s">
        <v>1130</v>
      </c>
      <c r="F163" s="144">
        <v>1</v>
      </c>
      <c r="G163" s="144">
        <v>136500</v>
      </c>
      <c r="H163" s="145">
        <f t="shared" ref="H163:H170" si="9">G163*F163</f>
        <v>136500</v>
      </c>
      <c r="I163" s="144" t="s">
        <v>9454</v>
      </c>
      <c r="J163" s="147" t="s">
        <v>5644</v>
      </c>
      <c r="K163" s="130"/>
      <c r="L163" s="130"/>
      <c r="M163"/>
      <c r="N163"/>
      <c r="O163"/>
      <c r="P163"/>
      <c r="Q163"/>
      <c r="R163"/>
      <c r="S163"/>
      <c r="T163"/>
      <c r="U163"/>
      <c r="V163"/>
      <c r="W163"/>
      <c r="X163"/>
      <c r="Y163"/>
      <c r="Z163"/>
      <c r="AA163"/>
      <c r="AB163"/>
      <c r="AC163"/>
      <c r="AD163"/>
      <c r="AE163"/>
      <c r="AF163"/>
    </row>
    <row r="164" spans="1:32" ht="13.9" customHeight="1" outlineLevel="2" x14ac:dyDescent="0.2">
      <c r="A164" s="140"/>
      <c r="B164" s="141" t="s">
        <v>1239</v>
      </c>
      <c r="C164" s="142" t="s">
        <v>5847</v>
      </c>
      <c r="D164" s="143" t="s">
        <v>5689</v>
      </c>
      <c r="E164" s="144" t="s">
        <v>197</v>
      </c>
      <c r="F164" s="144">
        <v>1</v>
      </c>
      <c r="G164" s="144">
        <v>6204.2066549189176</v>
      </c>
      <c r="H164" s="145">
        <f t="shared" si="9"/>
        <v>6204.2066549189176</v>
      </c>
      <c r="I164" s="144" t="s">
        <v>2070</v>
      </c>
      <c r="J164" s="147" t="s">
        <v>5644</v>
      </c>
      <c r="K164" s="130"/>
      <c r="L164" s="130"/>
      <c r="M164"/>
      <c r="N164"/>
      <c r="O164"/>
      <c r="P164"/>
      <c r="Q164"/>
      <c r="R164"/>
      <c r="S164"/>
      <c r="T164"/>
      <c r="U164"/>
      <c r="V164"/>
      <c r="W164"/>
      <c r="X164"/>
      <c r="Y164"/>
      <c r="Z164"/>
      <c r="AA164"/>
      <c r="AB164"/>
      <c r="AC164"/>
      <c r="AD164"/>
      <c r="AE164"/>
      <c r="AF164"/>
    </row>
    <row r="165" spans="1:32" ht="13.9" customHeight="1" outlineLevel="2" x14ac:dyDescent="0.2">
      <c r="A165" s="140"/>
      <c r="B165" s="141" t="s">
        <v>1239</v>
      </c>
      <c r="C165" s="142" t="s">
        <v>9595</v>
      </c>
      <c r="D165" s="143" t="s">
        <v>5690</v>
      </c>
      <c r="E165" s="144" t="s">
        <v>1244</v>
      </c>
      <c r="F165" s="144">
        <v>9</v>
      </c>
      <c r="G165" s="144">
        <v>1250</v>
      </c>
      <c r="H165" s="145">
        <f t="shared" si="9"/>
        <v>11250</v>
      </c>
      <c r="I165" s="144" t="s">
        <v>2070</v>
      </c>
      <c r="J165" s="147" t="s">
        <v>5644</v>
      </c>
      <c r="K165" s="130"/>
      <c r="L165" s="130"/>
      <c r="M165"/>
      <c r="N165"/>
      <c r="O165"/>
      <c r="P165"/>
      <c r="Q165"/>
      <c r="R165"/>
      <c r="S165"/>
      <c r="T165"/>
      <c r="U165"/>
      <c r="V165"/>
      <c r="W165"/>
      <c r="X165"/>
      <c r="Y165"/>
      <c r="Z165"/>
      <c r="AA165"/>
      <c r="AB165"/>
      <c r="AC165"/>
      <c r="AD165"/>
      <c r="AE165"/>
      <c r="AF165"/>
    </row>
    <row r="166" spans="1:32" ht="13.9" customHeight="1" outlineLevel="2" x14ac:dyDescent="0.2">
      <c r="A166" s="140"/>
      <c r="B166" s="141" t="s">
        <v>1239</v>
      </c>
      <c r="C166" s="142" t="s">
        <v>9596</v>
      </c>
      <c r="D166" s="143" t="s">
        <v>5691</v>
      </c>
      <c r="E166" s="144" t="s">
        <v>197</v>
      </c>
      <c r="F166" s="144">
        <v>1</v>
      </c>
      <c r="G166" s="144">
        <v>990</v>
      </c>
      <c r="H166" s="145">
        <f t="shared" si="9"/>
        <v>990</v>
      </c>
      <c r="I166" s="144" t="s">
        <v>2070</v>
      </c>
      <c r="J166" s="147" t="s">
        <v>5644</v>
      </c>
      <c r="K166" s="130"/>
      <c r="L166" s="130"/>
      <c r="M166"/>
      <c r="N166"/>
      <c r="O166"/>
      <c r="P166"/>
      <c r="Q166"/>
      <c r="R166"/>
      <c r="S166"/>
      <c r="T166"/>
      <c r="U166"/>
      <c r="V166"/>
      <c r="W166"/>
      <c r="X166"/>
      <c r="Y166"/>
      <c r="Z166"/>
      <c r="AA166"/>
      <c r="AB166"/>
      <c r="AC166"/>
      <c r="AD166"/>
      <c r="AE166"/>
      <c r="AF166"/>
    </row>
    <row r="167" spans="1:32" ht="13.9" customHeight="1" outlineLevel="2" x14ac:dyDescent="0.2">
      <c r="A167" s="140"/>
      <c r="B167" s="141" t="s">
        <v>1239</v>
      </c>
      <c r="C167" s="142" t="s">
        <v>9597</v>
      </c>
      <c r="D167" s="143" t="s">
        <v>5692</v>
      </c>
      <c r="E167" s="144" t="s">
        <v>1244</v>
      </c>
      <c r="F167" s="144">
        <v>9</v>
      </c>
      <c r="G167" s="144">
        <v>1250</v>
      </c>
      <c r="H167" s="145">
        <f t="shared" si="9"/>
        <v>11250</v>
      </c>
      <c r="I167" s="144" t="s">
        <v>2070</v>
      </c>
      <c r="J167" s="147" t="s">
        <v>5644</v>
      </c>
      <c r="K167" s="130"/>
      <c r="L167" s="130"/>
      <c r="M167"/>
      <c r="N167"/>
      <c r="O167"/>
      <c r="P167"/>
      <c r="Q167"/>
      <c r="R167"/>
      <c r="S167"/>
      <c r="T167"/>
      <c r="U167"/>
      <c r="V167"/>
      <c r="W167"/>
      <c r="X167"/>
      <c r="Y167"/>
      <c r="Z167"/>
      <c r="AA167"/>
      <c r="AB167"/>
      <c r="AC167"/>
      <c r="AD167"/>
      <c r="AE167"/>
      <c r="AF167"/>
    </row>
    <row r="168" spans="1:32" ht="13.9" customHeight="1" outlineLevel="2" x14ac:dyDescent="0.2">
      <c r="A168" s="140"/>
      <c r="B168" s="141" t="s">
        <v>1239</v>
      </c>
      <c r="C168" s="142" t="s">
        <v>9598</v>
      </c>
      <c r="D168" s="143" t="s">
        <v>5693</v>
      </c>
      <c r="E168" s="144" t="s">
        <v>1244</v>
      </c>
      <c r="F168" s="144">
        <v>36</v>
      </c>
      <c r="G168" s="144">
        <v>1465.1109597662617</v>
      </c>
      <c r="H168" s="145">
        <f t="shared" si="9"/>
        <v>52743.99455158542</v>
      </c>
      <c r="I168" s="144" t="s">
        <v>2070</v>
      </c>
      <c r="J168" s="147" t="s">
        <v>5644</v>
      </c>
      <c r="K168" s="130"/>
      <c r="L168" s="130"/>
      <c r="M168"/>
      <c r="N168"/>
      <c r="O168"/>
      <c r="P168"/>
      <c r="Q168"/>
      <c r="R168"/>
      <c r="S168"/>
      <c r="T168"/>
      <c r="U168"/>
      <c r="V168"/>
      <c r="W168"/>
      <c r="X168"/>
      <c r="Y168"/>
      <c r="Z168"/>
      <c r="AA168"/>
      <c r="AB168"/>
      <c r="AC168"/>
      <c r="AD168"/>
      <c r="AE168"/>
      <c r="AF168"/>
    </row>
    <row r="169" spans="1:32" ht="13.9" customHeight="1" outlineLevel="2" x14ac:dyDescent="0.2">
      <c r="A169" s="140"/>
      <c r="B169" s="141" t="s">
        <v>1239</v>
      </c>
      <c r="C169" s="142" t="s">
        <v>9599</v>
      </c>
      <c r="D169" s="143" t="s">
        <v>5694</v>
      </c>
      <c r="E169" s="144" t="s">
        <v>1130</v>
      </c>
      <c r="F169" s="144">
        <v>1</v>
      </c>
      <c r="G169" s="144">
        <v>8000</v>
      </c>
      <c r="H169" s="145">
        <f t="shared" si="9"/>
        <v>8000</v>
      </c>
      <c r="I169" s="144" t="s">
        <v>2070</v>
      </c>
      <c r="J169" s="147" t="s">
        <v>5644</v>
      </c>
      <c r="K169" s="130"/>
      <c r="L169" s="130"/>
      <c r="M169"/>
      <c r="N169"/>
      <c r="O169"/>
      <c r="P169"/>
      <c r="Q169"/>
      <c r="R169"/>
      <c r="S169"/>
      <c r="T169"/>
      <c r="U169"/>
      <c r="V169"/>
      <c r="W169"/>
      <c r="X169"/>
      <c r="Y169"/>
      <c r="Z169"/>
      <c r="AA169"/>
      <c r="AB169"/>
      <c r="AC169"/>
      <c r="AD169"/>
      <c r="AE169"/>
      <c r="AF169"/>
    </row>
    <row r="170" spans="1:32" ht="22.5" outlineLevel="2" x14ac:dyDescent="0.2">
      <c r="A170" s="140"/>
      <c r="B170" s="141" t="s">
        <v>1239</v>
      </c>
      <c r="C170" s="142" t="s">
        <v>9600</v>
      </c>
      <c r="D170" s="143" t="s">
        <v>5695</v>
      </c>
      <c r="E170" s="68" t="s">
        <v>1244</v>
      </c>
      <c r="F170" s="144">
        <v>36</v>
      </c>
      <c r="G170" s="144">
        <v>2020</v>
      </c>
      <c r="H170" s="145">
        <f t="shared" si="9"/>
        <v>72720</v>
      </c>
      <c r="I170" s="144" t="s">
        <v>5696</v>
      </c>
      <c r="J170" s="147" t="s">
        <v>5644</v>
      </c>
      <c r="K170" s="130"/>
      <c r="L170" s="130"/>
      <c r="M170"/>
      <c r="N170"/>
      <c r="O170"/>
      <c r="P170"/>
      <c r="Q170"/>
      <c r="R170"/>
      <c r="S170"/>
      <c r="T170"/>
      <c r="U170"/>
      <c r="V170"/>
      <c r="W170"/>
      <c r="X170"/>
      <c r="Y170"/>
      <c r="Z170"/>
      <c r="AA170"/>
      <c r="AB170"/>
      <c r="AC170"/>
      <c r="AD170"/>
      <c r="AE170"/>
      <c r="AF170"/>
    </row>
    <row r="171" spans="1:32" ht="13.9" customHeight="1" outlineLevel="1" x14ac:dyDescent="0.2">
      <c r="A171" s="140"/>
      <c r="B171" s="141" t="s">
        <v>1238</v>
      </c>
      <c r="C171" s="142" t="s">
        <v>5848</v>
      </c>
      <c r="D171" s="143" t="s">
        <v>2076</v>
      </c>
      <c r="E171" s="68"/>
      <c r="F171" s="144"/>
      <c r="G171" s="144"/>
      <c r="H171" s="145">
        <f>H172+H173+H174+H175+H176+H177+H178+H179+H180+H181</f>
        <v>665099.96578193491</v>
      </c>
      <c r="I171" s="144"/>
      <c r="J171" s="147"/>
      <c r="K171" s="130"/>
      <c r="L171" s="130"/>
      <c r="M171"/>
      <c r="N171"/>
      <c r="O171"/>
      <c r="P171"/>
      <c r="Q171"/>
      <c r="R171"/>
      <c r="S171"/>
      <c r="T171"/>
      <c r="U171"/>
      <c r="V171"/>
      <c r="W171"/>
      <c r="X171"/>
      <c r="Y171"/>
      <c r="Z171"/>
      <c r="AA171"/>
      <c r="AB171"/>
      <c r="AC171"/>
      <c r="AD171"/>
      <c r="AE171"/>
      <c r="AF171"/>
    </row>
    <row r="172" spans="1:32" ht="13.9" customHeight="1" outlineLevel="2" x14ac:dyDescent="0.2">
      <c r="A172" s="140"/>
      <c r="B172" s="141" t="s">
        <v>1239</v>
      </c>
      <c r="C172" s="142" t="s">
        <v>5849</v>
      </c>
      <c r="D172" s="143" t="s">
        <v>5697</v>
      </c>
      <c r="E172" s="144" t="s">
        <v>1244</v>
      </c>
      <c r="F172" s="144">
        <v>6</v>
      </c>
      <c r="G172" s="144">
        <v>56255.211877862508</v>
      </c>
      <c r="H172" s="145">
        <f t="shared" ref="H172:H181" si="10">G172*F172</f>
        <v>337531.27126717503</v>
      </c>
      <c r="I172" s="144" t="s">
        <v>2070</v>
      </c>
      <c r="J172" s="147" t="s">
        <v>5644</v>
      </c>
      <c r="K172" s="130"/>
      <c r="L172" s="130"/>
      <c r="M172"/>
      <c r="N172"/>
      <c r="O172"/>
      <c r="P172"/>
      <c r="Q172"/>
      <c r="R172"/>
      <c r="S172"/>
      <c r="T172"/>
      <c r="U172"/>
      <c r="V172"/>
      <c r="W172"/>
      <c r="X172"/>
      <c r="Y172"/>
      <c r="Z172"/>
      <c r="AA172"/>
      <c r="AB172"/>
      <c r="AC172"/>
      <c r="AD172"/>
      <c r="AE172"/>
      <c r="AF172"/>
    </row>
    <row r="173" spans="1:32" ht="13.9" customHeight="1" outlineLevel="2" x14ac:dyDescent="0.2">
      <c r="A173" s="140"/>
      <c r="B173" s="141" t="s">
        <v>1239</v>
      </c>
      <c r="C173" s="142" t="s">
        <v>9601</v>
      </c>
      <c r="D173" s="143" t="s">
        <v>5698</v>
      </c>
      <c r="E173" s="144" t="s">
        <v>197</v>
      </c>
      <c r="F173" s="144">
        <v>1</v>
      </c>
      <c r="G173" s="144">
        <v>16876.563563358752</v>
      </c>
      <c r="H173" s="145">
        <f t="shared" si="10"/>
        <v>16876.563563358752</v>
      </c>
      <c r="I173" s="144" t="s">
        <v>2070</v>
      </c>
      <c r="J173" s="147" t="s">
        <v>5644</v>
      </c>
      <c r="K173" s="130"/>
      <c r="L173" s="130"/>
      <c r="M173"/>
      <c r="N173"/>
      <c r="O173"/>
      <c r="P173"/>
      <c r="Q173"/>
      <c r="R173"/>
      <c r="S173"/>
      <c r="T173"/>
      <c r="U173"/>
      <c r="V173"/>
      <c r="W173"/>
      <c r="X173"/>
      <c r="Y173"/>
      <c r="Z173"/>
      <c r="AA173"/>
      <c r="AB173"/>
      <c r="AC173"/>
      <c r="AD173"/>
      <c r="AE173"/>
      <c r="AF173"/>
    </row>
    <row r="174" spans="1:32" ht="13.9" customHeight="1" outlineLevel="2" x14ac:dyDescent="0.2">
      <c r="A174" s="140"/>
      <c r="B174" s="141" t="s">
        <v>1239</v>
      </c>
      <c r="C174" s="142" t="s">
        <v>9602</v>
      </c>
      <c r="D174" s="143" t="s">
        <v>5699</v>
      </c>
      <c r="E174" s="144" t="s">
        <v>1244</v>
      </c>
      <c r="F174" s="144">
        <v>6</v>
      </c>
      <c r="G174" s="144">
        <v>20251.876276030504</v>
      </c>
      <c r="H174" s="145">
        <f t="shared" si="10"/>
        <v>121511.25765618302</v>
      </c>
      <c r="I174" s="144" t="s">
        <v>2070</v>
      </c>
      <c r="J174" s="147" t="s">
        <v>5644</v>
      </c>
      <c r="K174" s="130"/>
      <c r="L174" s="130"/>
      <c r="M174"/>
      <c r="N174"/>
      <c r="O174"/>
      <c r="P174"/>
      <c r="Q174"/>
      <c r="R174"/>
      <c r="S174"/>
      <c r="T174"/>
      <c r="U174"/>
      <c r="V174"/>
      <c r="W174"/>
      <c r="X174"/>
      <c r="Y174"/>
      <c r="Z174"/>
      <c r="AA174"/>
      <c r="AB174"/>
      <c r="AC174"/>
      <c r="AD174"/>
      <c r="AE174"/>
      <c r="AF174"/>
    </row>
    <row r="175" spans="1:32" ht="13.9" customHeight="1" outlineLevel="2" x14ac:dyDescent="0.2">
      <c r="A175" s="140"/>
      <c r="B175" s="141" t="s">
        <v>1239</v>
      </c>
      <c r="C175" s="142" t="s">
        <v>9603</v>
      </c>
      <c r="D175" s="143" t="s">
        <v>5700</v>
      </c>
      <c r="E175" s="144" t="s">
        <v>1244</v>
      </c>
      <c r="F175" s="144">
        <v>6</v>
      </c>
      <c r="G175" s="144">
        <v>20251.876276030504</v>
      </c>
      <c r="H175" s="145">
        <f t="shared" si="10"/>
        <v>121511.25765618302</v>
      </c>
      <c r="I175" s="144" t="s">
        <v>2070</v>
      </c>
      <c r="J175" s="147" t="s">
        <v>5644</v>
      </c>
      <c r="K175" s="130"/>
      <c r="L175" s="130"/>
      <c r="M175"/>
      <c r="N175"/>
      <c r="O175"/>
      <c r="P175"/>
      <c r="Q175"/>
      <c r="R175"/>
      <c r="S175"/>
      <c r="T175"/>
      <c r="U175"/>
      <c r="V175"/>
      <c r="W175"/>
      <c r="X175"/>
      <c r="Y175"/>
      <c r="Z175"/>
      <c r="AA175"/>
      <c r="AB175"/>
      <c r="AC175"/>
      <c r="AD175"/>
      <c r="AE175"/>
      <c r="AF175"/>
    </row>
    <row r="176" spans="1:32" ht="13.9" customHeight="1" outlineLevel="2" x14ac:dyDescent="0.2">
      <c r="A176" s="140"/>
      <c r="B176" s="141" t="s">
        <v>1239</v>
      </c>
      <c r="C176" s="142" t="s">
        <v>9604</v>
      </c>
      <c r="D176" s="143" t="s">
        <v>5701</v>
      </c>
      <c r="E176" s="144" t="s">
        <v>197</v>
      </c>
      <c r="F176" s="144">
        <v>1</v>
      </c>
      <c r="G176" s="144">
        <v>6075.5628828091512</v>
      </c>
      <c r="H176" s="145">
        <f t="shared" si="10"/>
        <v>6075.5628828091512</v>
      </c>
      <c r="I176" s="144" t="s">
        <v>2070</v>
      </c>
      <c r="J176" s="147" t="s">
        <v>5644</v>
      </c>
      <c r="K176" s="130"/>
      <c r="L176" s="130"/>
      <c r="M176"/>
      <c r="N176"/>
      <c r="O176"/>
      <c r="P176"/>
      <c r="Q176"/>
      <c r="R176"/>
      <c r="S176"/>
      <c r="T176"/>
      <c r="U176"/>
      <c r="V176"/>
      <c r="W176"/>
      <c r="X176"/>
      <c r="Y176"/>
      <c r="Z176"/>
      <c r="AA176"/>
      <c r="AB176"/>
      <c r="AC176"/>
      <c r="AD176"/>
      <c r="AE176"/>
      <c r="AF176"/>
    </row>
    <row r="177" spans="1:32" ht="13.9" customHeight="1" outlineLevel="2" x14ac:dyDescent="0.2">
      <c r="A177" s="140"/>
      <c r="B177" s="141" t="s">
        <v>1239</v>
      </c>
      <c r="C177" s="142" t="s">
        <v>9605</v>
      </c>
      <c r="D177" s="143" t="s">
        <v>5702</v>
      </c>
      <c r="E177" s="144" t="s">
        <v>1244</v>
      </c>
      <c r="F177" s="144">
        <v>6</v>
      </c>
      <c r="G177" s="144">
        <v>7290.6754593709811</v>
      </c>
      <c r="H177" s="145">
        <f t="shared" si="10"/>
        <v>43744.052756225887</v>
      </c>
      <c r="I177" s="144" t="s">
        <v>2070</v>
      </c>
      <c r="J177" s="147" t="s">
        <v>5644</v>
      </c>
      <c r="K177" s="130"/>
      <c r="L177" s="130"/>
      <c r="M177"/>
      <c r="N177"/>
      <c r="O177"/>
      <c r="P177"/>
      <c r="Q177"/>
      <c r="R177"/>
      <c r="S177"/>
      <c r="T177"/>
      <c r="U177"/>
      <c r="V177"/>
      <c r="W177"/>
      <c r="X177"/>
      <c r="Y177"/>
      <c r="Z177"/>
      <c r="AA177"/>
      <c r="AB177"/>
      <c r="AC177"/>
      <c r="AD177"/>
      <c r="AE177"/>
      <c r="AF177"/>
    </row>
    <row r="178" spans="1:32" ht="13.9" customHeight="1" outlineLevel="2" x14ac:dyDescent="0.2">
      <c r="A178" s="140"/>
      <c r="B178" s="141" t="s">
        <v>1239</v>
      </c>
      <c r="C178" s="142" t="s">
        <v>9606</v>
      </c>
      <c r="D178" s="143" t="s">
        <v>5703</v>
      </c>
      <c r="E178" s="68" t="s">
        <v>1244</v>
      </c>
      <c r="F178" s="144">
        <v>3</v>
      </c>
      <c r="G178" s="144">
        <v>5550</v>
      </c>
      <c r="H178" s="145">
        <f t="shared" si="10"/>
        <v>16650</v>
      </c>
      <c r="I178" s="144" t="s">
        <v>2070</v>
      </c>
      <c r="J178" s="147" t="s">
        <v>5644</v>
      </c>
      <c r="K178" s="130"/>
      <c r="L178" s="130"/>
      <c r="M178"/>
      <c r="N178"/>
      <c r="O178"/>
      <c r="P178"/>
      <c r="Q178"/>
      <c r="R178"/>
      <c r="S178"/>
      <c r="T178"/>
      <c r="U178"/>
      <c r="V178"/>
      <c r="W178"/>
      <c r="X178"/>
      <c r="Y178"/>
      <c r="Z178"/>
      <c r="AA178"/>
      <c r="AB178"/>
      <c r="AC178"/>
      <c r="AD178"/>
      <c r="AE178"/>
      <c r="AF178"/>
    </row>
    <row r="179" spans="1:32" ht="13.9" customHeight="1" outlineLevel="2" x14ac:dyDescent="0.2">
      <c r="A179" s="140"/>
      <c r="B179" s="141" t="s">
        <v>1239</v>
      </c>
      <c r="C179" s="142" t="s">
        <v>9607</v>
      </c>
      <c r="D179" s="143" t="s">
        <v>5704</v>
      </c>
      <c r="E179" s="68" t="s">
        <v>1244</v>
      </c>
      <c r="F179" s="144">
        <v>3</v>
      </c>
      <c r="G179" s="144">
        <v>300</v>
      </c>
      <c r="H179" s="145">
        <f t="shared" si="10"/>
        <v>900</v>
      </c>
      <c r="I179" s="144" t="s">
        <v>2070</v>
      </c>
      <c r="J179" s="147" t="s">
        <v>5644</v>
      </c>
      <c r="K179" s="130"/>
      <c r="L179" s="130"/>
      <c r="M179"/>
      <c r="N179"/>
      <c r="O179"/>
      <c r="P179"/>
      <c r="Q179"/>
      <c r="R179"/>
      <c r="S179"/>
      <c r="T179"/>
      <c r="U179"/>
      <c r="V179"/>
      <c r="W179"/>
      <c r="X179"/>
      <c r="Y179"/>
      <c r="Z179"/>
      <c r="AA179"/>
      <c r="AB179"/>
      <c r="AC179"/>
      <c r="AD179"/>
      <c r="AE179"/>
      <c r="AF179"/>
    </row>
    <row r="180" spans="1:32" ht="13.9" customHeight="1" outlineLevel="2" x14ac:dyDescent="0.2">
      <c r="A180" s="140"/>
      <c r="B180" s="141" t="s">
        <v>1239</v>
      </c>
      <c r="C180" s="142" t="s">
        <v>9608</v>
      </c>
      <c r="D180" s="143" t="s">
        <v>5705</v>
      </c>
      <c r="E180" s="68" t="s">
        <v>1651</v>
      </c>
      <c r="F180" s="144">
        <v>0</v>
      </c>
      <c r="G180" s="144">
        <v>450</v>
      </c>
      <c r="H180" s="145">
        <f t="shared" si="10"/>
        <v>0</v>
      </c>
      <c r="I180" s="144" t="s">
        <v>9454</v>
      </c>
      <c r="J180" s="147" t="s">
        <v>5644</v>
      </c>
      <c r="K180" s="130"/>
      <c r="L180" s="130"/>
      <c r="M180"/>
      <c r="N180"/>
      <c r="O180"/>
      <c r="P180"/>
      <c r="Q180"/>
      <c r="R180"/>
      <c r="S180"/>
      <c r="T180"/>
      <c r="U180"/>
      <c r="V180"/>
      <c r="W180"/>
      <c r="X180"/>
      <c r="Y180"/>
      <c r="Z180"/>
      <c r="AA180"/>
      <c r="AB180"/>
      <c r="AC180"/>
      <c r="AD180"/>
      <c r="AE180"/>
      <c r="AF180"/>
    </row>
    <row r="181" spans="1:32" ht="13.9" customHeight="1" outlineLevel="2" x14ac:dyDescent="0.2">
      <c r="A181" s="140"/>
      <c r="B181" s="141" t="s">
        <v>1239</v>
      </c>
      <c r="C181" s="142" t="s">
        <v>9609</v>
      </c>
      <c r="D181" s="143" t="s">
        <v>5706</v>
      </c>
      <c r="E181" s="68" t="s">
        <v>1651</v>
      </c>
      <c r="F181" s="144">
        <v>1</v>
      </c>
      <c r="G181" s="144">
        <v>300</v>
      </c>
      <c r="H181" s="145">
        <f t="shared" si="10"/>
        <v>300</v>
      </c>
      <c r="I181" s="144" t="s">
        <v>9454</v>
      </c>
      <c r="J181" s="147" t="s">
        <v>5644</v>
      </c>
      <c r="K181" s="130"/>
      <c r="L181" s="130"/>
      <c r="M181"/>
      <c r="N181"/>
      <c r="O181"/>
      <c r="P181"/>
      <c r="Q181"/>
      <c r="R181"/>
      <c r="S181"/>
      <c r="T181"/>
      <c r="U181"/>
      <c r="V181"/>
      <c r="W181"/>
      <c r="X181"/>
      <c r="Y181"/>
      <c r="Z181"/>
      <c r="AA181"/>
      <c r="AB181"/>
      <c r="AC181"/>
      <c r="AD181"/>
      <c r="AE181"/>
      <c r="AF181"/>
    </row>
    <row r="182" spans="1:32" ht="12.75" x14ac:dyDescent="0.2">
      <c r="A182" s="152"/>
      <c r="B182" s="152"/>
      <c r="C182" s="152"/>
      <c r="D182" s="153" t="s">
        <v>56</v>
      </c>
      <c r="E182" s="154"/>
      <c r="F182" s="155"/>
      <c r="G182" s="155"/>
      <c r="H182" s="156"/>
      <c r="I182" s="156">
        <v>285.96350377475454</v>
      </c>
      <c r="J182" s="154"/>
      <c r="K182" s="130"/>
      <c r="L182" s="157"/>
      <c r="M182"/>
      <c r="N182"/>
      <c r="O182"/>
      <c r="P182"/>
      <c r="Q182"/>
      <c r="R182"/>
      <c r="S182"/>
      <c r="T182"/>
      <c r="U182"/>
      <c r="V182"/>
      <c r="W182"/>
      <c r="X182"/>
      <c r="Y182"/>
      <c r="Z182"/>
      <c r="AA182"/>
      <c r="AB182"/>
      <c r="AC182"/>
      <c r="AD182"/>
      <c r="AE182"/>
      <c r="AF182"/>
    </row>
    <row r="183" spans="1:32" ht="14.1" customHeight="1" x14ac:dyDescent="0.2">
      <c r="G183" s="162">
        <f>SUMIFS($H$7:$H$474,$B$7:$B$474,H183)</f>
        <v>0</v>
      </c>
      <c r="H183" s="163"/>
      <c r="K183" s="130"/>
      <c r="L183" s="158"/>
      <c r="M183"/>
      <c r="N183"/>
      <c r="O183"/>
      <c r="P183"/>
      <c r="Q183"/>
      <c r="R183"/>
      <c r="S183"/>
      <c r="T183"/>
      <c r="U183"/>
      <c r="V183"/>
      <c r="W183"/>
      <c r="X183"/>
      <c r="Y183"/>
      <c r="Z183"/>
      <c r="AA183"/>
      <c r="AB183"/>
      <c r="AC183"/>
      <c r="AD183"/>
      <c r="AE183"/>
      <c r="AF183"/>
    </row>
    <row r="184" spans="1:32" ht="14.1" customHeight="1" x14ac:dyDescent="0.2">
      <c r="G184" s="162">
        <f>SUMIFS($H$7:$H$474,$B$7:$B$474,H184)</f>
        <v>0</v>
      </c>
      <c r="H184" s="163"/>
      <c r="K184" s="130"/>
      <c r="L184" s="158"/>
      <c r="M184"/>
      <c r="N184"/>
      <c r="O184"/>
      <c r="P184"/>
      <c r="Q184"/>
      <c r="R184"/>
      <c r="S184"/>
      <c r="T184"/>
      <c r="U184"/>
      <c r="V184"/>
      <c r="W184"/>
      <c r="X184"/>
      <c r="Y184"/>
      <c r="Z184"/>
      <c r="AA184"/>
      <c r="AB184"/>
      <c r="AC184"/>
      <c r="AD184"/>
      <c r="AE184"/>
      <c r="AF184"/>
    </row>
    <row r="185" spans="1:32" ht="14.1" customHeight="1" x14ac:dyDescent="0.2">
      <c r="G185" s="162">
        <f>SUMIFS($H$7:$H$474,$B$7:$B$474,H185)</f>
        <v>0</v>
      </c>
      <c r="H185" s="163"/>
      <c r="K185" s="130"/>
      <c r="L185" s="158"/>
      <c r="M185"/>
      <c r="N185"/>
      <c r="O185"/>
      <c r="P185"/>
      <c r="Q185"/>
      <c r="R185"/>
      <c r="S185"/>
      <c r="T185"/>
      <c r="U185"/>
      <c r="V185"/>
      <c r="W185"/>
      <c r="X185"/>
      <c r="Y185"/>
      <c r="Z185"/>
      <c r="AA185"/>
      <c r="AB185"/>
      <c r="AC185"/>
      <c r="AD185"/>
      <c r="AE185"/>
      <c r="AF185"/>
    </row>
    <row r="186" spans="1:32" ht="14.1" customHeight="1" x14ac:dyDescent="0.2">
      <c r="D186" s="167"/>
      <c r="G186" s="162">
        <f>SUMIFS($H$7:$H$474,$B$7:$B$474,H186)</f>
        <v>0</v>
      </c>
      <c r="H186" s="163"/>
      <c r="K186" s="130"/>
      <c r="L186" s="158"/>
      <c r="M186"/>
      <c r="N186"/>
      <c r="O186"/>
      <c r="P186"/>
      <c r="Q186"/>
      <c r="R186"/>
      <c r="S186"/>
      <c r="T186"/>
      <c r="U186"/>
      <c r="V186"/>
      <c r="W186"/>
      <c r="X186"/>
      <c r="Y186"/>
      <c r="Z186"/>
      <c r="AA186"/>
      <c r="AB186"/>
      <c r="AC186"/>
      <c r="AD186"/>
      <c r="AE186"/>
      <c r="AF186"/>
    </row>
    <row r="187" spans="1:32" ht="14.1" customHeight="1" x14ac:dyDescent="0.2">
      <c r="D187" s="167"/>
      <c r="E187" s="167"/>
      <c r="F187" s="158"/>
      <c r="G187" s="162"/>
      <c r="H187" s="163"/>
      <c r="I187" s="168"/>
      <c r="K187" s="130"/>
      <c r="L187" s="158"/>
      <c r="M187"/>
      <c r="N187"/>
      <c r="O187"/>
      <c r="P187"/>
      <c r="Q187"/>
      <c r="R187"/>
      <c r="S187"/>
      <c r="T187"/>
      <c r="U187"/>
      <c r="V187"/>
      <c r="W187"/>
      <c r="X187"/>
      <c r="Y187"/>
      <c r="Z187"/>
      <c r="AA187"/>
      <c r="AB187"/>
      <c r="AC187"/>
      <c r="AD187"/>
      <c r="AE187"/>
      <c r="AF187"/>
    </row>
    <row r="188" spans="1:32" ht="14.1" customHeight="1" x14ac:dyDescent="0.2">
      <c r="G188" s="169"/>
      <c r="H188" s="163"/>
      <c r="K188" s="130"/>
      <c r="L188" s="158"/>
      <c r="M188"/>
      <c r="N188"/>
      <c r="O188"/>
      <c r="P188"/>
      <c r="Q188"/>
      <c r="R188"/>
      <c r="S188"/>
      <c r="T188"/>
      <c r="U188"/>
      <c r="V188"/>
      <c r="W188"/>
      <c r="X188"/>
      <c r="Y188"/>
      <c r="Z188"/>
      <c r="AA188"/>
      <c r="AB188"/>
      <c r="AC188"/>
      <c r="AD188"/>
      <c r="AE188"/>
      <c r="AF188"/>
    </row>
    <row r="189" spans="1:32" ht="14.1" customHeight="1" x14ac:dyDescent="0.2">
      <c r="K189" s="130"/>
      <c r="L189" s="158"/>
      <c r="M189"/>
      <c r="N189"/>
      <c r="O189"/>
      <c r="P189"/>
      <c r="Q189"/>
      <c r="R189"/>
      <c r="S189"/>
      <c r="T189"/>
      <c r="U189"/>
      <c r="V189"/>
      <c r="W189"/>
      <c r="X189"/>
      <c r="Y189"/>
      <c r="Z189"/>
      <c r="AA189"/>
      <c r="AB189"/>
      <c r="AC189"/>
      <c r="AD189"/>
      <c r="AE189"/>
      <c r="AF189"/>
    </row>
    <row r="190" spans="1:32" ht="14.1" customHeight="1" x14ac:dyDescent="0.2">
      <c r="K190" s="130"/>
      <c r="L190" s="158"/>
      <c r="M190"/>
      <c r="N190"/>
      <c r="O190"/>
      <c r="P190"/>
      <c r="Q190"/>
      <c r="R190"/>
      <c r="S190"/>
      <c r="T190"/>
      <c r="U190"/>
      <c r="V190"/>
      <c r="W190"/>
      <c r="X190"/>
      <c r="Y190"/>
      <c r="Z190"/>
      <c r="AA190"/>
      <c r="AB190"/>
      <c r="AC190"/>
      <c r="AD190"/>
      <c r="AE190"/>
      <c r="AF190"/>
    </row>
    <row r="191" spans="1:32" ht="14.1" customHeight="1" x14ac:dyDescent="0.2">
      <c r="K191" s="130"/>
      <c r="L191" s="158"/>
      <c r="M191"/>
      <c r="N191"/>
      <c r="O191"/>
      <c r="P191"/>
      <c r="Q191"/>
      <c r="R191"/>
      <c r="S191"/>
      <c r="T191"/>
      <c r="U191"/>
      <c r="V191"/>
      <c r="W191"/>
      <c r="X191"/>
      <c r="Y191"/>
      <c r="Z191"/>
      <c r="AA191"/>
      <c r="AB191"/>
      <c r="AC191"/>
      <c r="AD191"/>
      <c r="AE191"/>
      <c r="AF191"/>
    </row>
    <row r="192" spans="1:32" ht="14.1" customHeight="1" x14ac:dyDescent="0.2">
      <c r="K192" s="130"/>
      <c r="L192" s="158"/>
      <c r="M192"/>
      <c r="N192"/>
      <c r="O192"/>
      <c r="P192"/>
      <c r="Q192"/>
      <c r="R192"/>
      <c r="S192"/>
      <c r="T192"/>
      <c r="U192"/>
      <c r="V192"/>
      <c r="W192"/>
      <c r="X192"/>
      <c r="Y192"/>
      <c r="Z192"/>
      <c r="AA192"/>
      <c r="AB192"/>
      <c r="AC192"/>
      <c r="AD192"/>
      <c r="AE192"/>
      <c r="AF192"/>
    </row>
    <row r="193" spans="11:32" ht="14.1" customHeight="1" x14ac:dyDescent="0.2">
      <c r="K193" s="130"/>
      <c r="L193" s="158"/>
      <c r="M193"/>
      <c r="N193"/>
      <c r="O193"/>
      <c r="P193"/>
      <c r="Q193"/>
      <c r="R193"/>
      <c r="S193"/>
      <c r="T193"/>
      <c r="U193"/>
      <c r="V193"/>
      <c r="W193"/>
      <c r="X193"/>
      <c r="Y193"/>
      <c r="Z193"/>
      <c r="AA193"/>
      <c r="AB193"/>
      <c r="AC193"/>
      <c r="AD193"/>
      <c r="AE193"/>
      <c r="AF193"/>
    </row>
    <row r="194" spans="11:32" ht="14.1" customHeight="1" x14ac:dyDescent="0.2">
      <c r="K194" s="130"/>
      <c r="L194" s="158"/>
      <c r="M194"/>
      <c r="N194"/>
      <c r="O194"/>
      <c r="P194"/>
      <c r="Q194"/>
      <c r="R194"/>
      <c r="S194"/>
      <c r="T194"/>
      <c r="U194"/>
      <c r="V194"/>
      <c r="W194"/>
      <c r="X194"/>
      <c r="Y194"/>
      <c r="Z194"/>
      <c r="AA194"/>
      <c r="AB194"/>
      <c r="AC194"/>
      <c r="AD194"/>
      <c r="AE194"/>
      <c r="AF194"/>
    </row>
    <row r="195" spans="11:32" ht="14.1" customHeight="1" x14ac:dyDescent="0.2">
      <c r="K195" s="130"/>
      <c r="L195" s="158"/>
      <c r="M195"/>
      <c r="N195"/>
      <c r="O195"/>
      <c r="P195"/>
      <c r="Q195"/>
      <c r="R195"/>
      <c r="S195"/>
      <c r="T195"/>
      <c r="U195"/>
      <c r="V195"/>
      <c r="W195"/>
      <c r="X195"/>
      <c r="Y195"/>
      <c r="Z195"/>
      <c r="AA195"/>
      <c r="AB195"/>
      <c r="AC195"/>
      <c r="AD195"/>
      <c r="AE195"/>
      <c r="AF195"/>
    </row>
    <row r="196" spans="11:32" ht="14.1" customHeight="1" x14ac:dyDescent="0.2">
      <c r="K196" s="130"/>
      <c r="L196" s="158"/>
      <c r="M196"/>
      <c r="N196"/>
      <c r="O196"/>
      <c r="P196"/>
      <c r="Q196"/>
      <c r="R196"/>
      <c r="S196"/>
      <c r="T196"/>
      <c r="U196"/>
      <c r="V196"/>
      <c r="W196"/>
      <c r="X196"/>
      <c r="Y196"/>
      <c r="Z196"/>
      <c r="AA196"/>
      <c r="AB196"/>
      <c r="AC196"/>
      <c r="AD196"/>
      <c r="AE196"/>
      <c r="AF196"/>
    </row>
    <row r="197" spans="11:32" ht="14.1" customHeight="1" x14ac:dyDescent="0.2">
      <c r="K197" s="130"/>
      <c r="L197" s="158"/>
      <c r="M197"/>
      <c r="N197"/>
      <c r="O197"/>
      <c r="P197"/>
      <c r="Q197"/>
      <c r="R197"/>
      <c r="S197"/>
      <c r="T197"/>
      <c r="U197"/>
      <c r="V197"/>
      <c r="W197"/>
      <c r="X197"/>
      <c r="Y197"/>
      <c r="Z197"/>
      <c r="AA197"/>
      <c r="AB197"/>
      <c r="AC197"/>
      <c r="AD197"/>
      <c r="AE197"/>
      <c r="AF197"/>
    </row>
    <row r="198" spans="11:32" ht="14.1" customHeight="1" x14ac:dyDescent="0.2">
      <c r="K198" s="130"/>
      <c r="L198" s="158"/>
      <c r="M198"/>
      <c r="N198"/>
      <c r="O198"/>
      <c r="P198"/>
      <c r="Q198"/>
      <c r="R198"/>
      <c r="S198"/>
      <c r="T198"/>
      <c r="U198"/>
      <c r="V198"/>
      <c r="W198"/>
      <c r="X198"/>
      <c r="Y198"/>
      <c r="Z198"/>
      <c r="AA198"/>
      <c r="AB198"/>
      <c r="AC198"/>
      <c r="AD198"/>
      <c r="AE198"/>
      <c r="AF198"/>
    </row>
    <row r="199" spans="11:32" ht="14.1" customHeight="1" x14ac:dyDescent="0.2">
      <c r="K199" s="130"/>
      <c r="L199" s="158"/>
      <c r="M199"/>
      <c r="N199"/>
      <c r="O199"/>
      <c r="P199"/>
      <c r="Q199"/>
      <c r="R199"/>
      <c r="S199"/>
      <c r="T199"/>
      <c r="U199"/>
      <c r="V199"/>
      <c r="W199"/>
      <c r="X199"/>
      <c r="Y199"/>
      <c r="Z199"/>
      <c r="AA199"/>
      <c r="AB199"/>
      <c r="AC199"/>
      <c r="AD199"/>
      <c r="AE199"/>
      <c r="AF199"/>
    </row>
    <row r="200" spans="11:32" ht="14.1" customHeight="1" x14ac:dyDescent="0.2">
      <c r="K200" s="130"/>
      <c r="L200" s="158"/>
      <c r="M200"/>
      <c r="N200"/>
      <c r="O200"/>
      <c r="P200"/>
      <c r="Q200"/>
      <c r="R200"/>
      <c r="S200"/>
      <c r="T200"/>
      <c r="U200"/>
      <c r="V200"/>
      <c r="W200"/>
      <c r="X200"/>
      <c r="Y200"/>
      <c r="Z200"/>
      <c r="AA200"/>
      <c r="AB200"/>
      <c r="AC200"/>
      <c r="AD200"/>
      <c r="AE200"/>
      <c r="AF200"/>
    </row>
    <row r="201" spans="11:32" ht="14.1" customHeight="1" x14ac:dyDescent="0.2">
      <c r="K201" s="130"/>
      <c r="L201" s="158"/>
      <c r="M201"/>
      <c r="N201"/>
      <c r="O201"/>
      <c r="P201"/>
      <c r="Q201"/>
      <c r="R201"/>
      <c r="S201"/>
      <c r="T201"/>
      <c r="U201"/>
      <c r="V201"/>
      <c r="W201"/>
      <c r="X201"/>
      <c r="Y201"/>
      <c r="Z201"/>
      <c r="AA201"/>
      <c r="AB201"/>
      <c r="AC201"/>
      <c r="AD201"/>
      <c r="AE201"/>
      <c r="AF201"/>
    </row>
    <row r="202" spans="11:32" ht="14.1" customHeight="1" x14ac:dyDescent="0.2">
      <c r="K202" s="130"/>
      <c r="L202" s="158"/>
      <c r="M202"/>
      <c r="N202"/>
      <c r="O202"/>
      <c r="P202"/>
      <c r="Q202"/>
      <c r="R202"/>
      <c r="S202"/>
      <c r="T202"/>
      <c r="U202"/>
      <c r="V202"/>
      <c r="W202"/>
      <c r="X202"/>
      <c r="Y202"/>
      <c r="Z202"/>
      <c r="AA202"/>
      <c r="AB202"/>
      <c r="AC202"/>
      <c r="AD202"/>
      <c r="AE202"/>
      <c r="AF202"/>
    </row>
    <row r="203" spans="11:32" ht="14.1" customHeight="1" x14ac:dyDescent="0.2">
      <c r="K203" s="130"/>
      <c r="L203" s="158"/>
      <c r="M203"/>
      <c r="N203"/>
      <c r="O203"/>
      <c r="P203"/>
      <c r="Q203"/>
      <c r="R203"/>
      <c r="S203"/>
      <c r="T203"/>
      <c r="U203"/>
      <c r="V203"/>
      <c r="W203"/>
      <c r="X203"/>
      <c r="Y203"/>
      <c r="Z203"/>
      <c r="AA203"/>
      <c r="AB203"/>
      <c r="AC203"/>
      <c r="AD203"/>
      <c r="AE203"/>
      <c r="AF203"/>
    </row>
    <row r="204" spans="11:32" ht="14.1" customHeight="1" x14ac:dyDescent="0.2">
      <c r="K204" s="130"/>
      <c r="L204" s="158"/>
      <c r="M204"/>
      <c r="N204"/>
      <c r="O204"/>
      <c r="P204"/>
      <c r="Q204"/>
      <c r="R204"/>
      <c r="S204"/>
      <c r="T204"/>
      <c r="U204"/>
      <c r="V204"/>
      <c r="W204"/>
      <c r="X204"/>
      <c r="Y204"/>
      <c r="Z204"/>
      <c r="AA204"/>
      <c r="AB204"/>
      <c r="AC204"/>
      <c r="AD204"/>
      <c r="AE204"/>
      <c r="AF204"/>
    </row>
    <row r="205" spans="11:32" ht="14.1" customHeight="1" x14ac:dyDescent="0.2">
      <c r="K205" s="130"/>
      <c r="L205" s="158"/>
      <c r="M205"/>
      <c r="N205"/>
      <c r="O205"/>
      <c r="P205"/>
      <c r="Q205"/>
      <c r="R205"/>
      <c r="S205"/>
      <c r="T205"/>
      <c r="U205"/>
      <c r="V205"/>
      <c r="W205"/>
      <c r="X205"/>
      <c r="Y205"/>
      <c r="Z205"/>
      <c r="AA205"/>
      <c r="AB205"/>
      <c r="AC205"/>
      <c r="AD205"/>
      <c r="AE205"/>
      <c r="AF205"/>
    </row>
    <row r="206" spans="11:32" ht="14.1" customHeight="1" x14ac:dyDescent="0.2">
      <c r="K206" s="130"/>
      <c r="L206" s="158"/>
      <c r="M206"/>
      <c r="N206"/>
      <c r="O206"/>
      <c r="P206"/>
      <c r="Q206"/>
      <c r="R206"/>
      <c r="S206"/>
      <c r="T206"/>
      <c r="U206"/>
      <c r="V206"/>
      <c r="W206"/>
      <c r="X206"/>
      <c r="Y206"/>
      <c r="Z206"/>
      <c r="AA206"/>
      <c r="AB206"/>
      <c r="AC206"/>
      <c r="AD206"/>
      <c r="AE206"/>
      <c r="AF206"/>
    </row>
    <row r="207" spans="11:32" ht="14.1" customHeight="1" x14ac:dyDescent="0.2">
      <c r="K207" s="130"/>
      <c r="L207" s="158"/>
      <c r="M207"/>
      <c r="N207"/>
      <c r="O207"/>
      <c r="P207"/>
      <c r="Q207"/>
      <c r="R207"/>
      <c r="S207"/>
      <c r="T207"/>
      <c r="U207"/>
      <c r="V207"/>
      <c r="W207"/>
      <c r="X207"/>
      <c r="Y207"/>
      <c r="Z207"/>
      <c r="AA207"/>
      <c r="AB207"/>
      <c r="AC207"/>
      <c r="AD207"/>
      <c r="AE207"/>
      <c r="AF207"/>
    </row>
    <row r="208" spans="11:32" ht="14.1" customHeight="1" x14ac:dyDescent="0.2">
      <c r="K208" s="130"/>
      <c r="L208" s="158"/>
      <c r="M208"/>
      <c r="N208"/>
      <c r="O208"/>
      <c r="P208"/>
      <c r="Q208"/>
      <c r="R208"/>
      <c r="S208"/>
      <c r="T208"/>
      <c r="U208"/>
      <c r="V208"/>
      <c r="W208"/>
      <c r="X208"/>
      <c r="Y208"/>
      <c r="Z208"/>
      <c r="AA208"/>
      <c r="AB208"/>
      <c r="AC208"/>
      <c r="AD208"/>
      <c r="AE208"/>
      <c r="AF208"/>
    </row>
    <row r="209" spans="11:32" ht="14.1" customHeight="1" x14ac:dyDescent="0.2">
      <c r="K209" s="130"/>
      <c r="L209" s="158"/>
      <c r="M209"/>
      <c r="N209"/>
      <c r="O209"/>
      <c r="P209"/>
      <c r="Q209"/>
      <c r="R209"/>
      <c r="S209"/>
      <c r="T209"/>
      <c r="U209"/>
      <c r="V209"/>
      <c r="W209"/>
      <c r="X209"/>
      <c r="Y209"/>
      <c r="Z209"/>
      <c r="AA209"/>
      <c r="AB209"/>
      <c r="AC209"/>
      <c r="AD209"/>
      <c r="AE209"/>
      <c r="AF209"/>
    </row>
    <row r="210" spans="11:32" ht="14.1" customHeight="1" x14ac:dyDescent="0.2">
      <c r="K210" s="130"/>
      <c r="L210" s="158"/>
      <c r="M210"/>
      <c r="N210"/>
      <c r="O210"/>
      <c r="P210"/>
      <c r="Q210"/>
      <c r="R210"/>
      <c r="S210"/>
      <c r="T210"/>
      <c r="U210"/>
      <c r="V210"/>
      <c r="W210"/>
      <c r="X210"/>
      <c r="Y210"/>
      <c r="Z210"/>
      <c r="AA210"/>
      <c r="AB210"/>
      <c r="AC210"/>
      <c r="AD210"/>
      <c r="AE210"/>
      <c r="AF210"/>
    </row>
    <row r="211" spans="11:32" ht="14.1" customHeight="1" x14ac:dyDescent="0.2">
      <c r="K211" s="130"/>
      <c r="L211" s="158"/>
      <c r="M211"/>
      <c r="N211"/>
      <c r="O211"/>
      <c r="P211"/>
      <c r="Q211"/>
      <c r="R211"/>
      <c r="S211"/>
      <c r="T211"/>
      <c r="U211"/>
      <c r="V211"/>
      <c r="W211"/>
      <c r="X211"/>
      <c r="Y211"/>
      <c r="Z211"/>
      <c r="AA211"/>
      <c r="AB211"/>
      <c r="AC211"/>
      <c r="AD211"/>
      <c r="AE211"/>
      <c r="AF211"/>
    </row>
    <row r="212" spans="11:32" ht="14.1" customHeight="1" x14ac:dyDescent="0.2">
      <c r="K212" s="130"/>
      <c r="L212" s="158"/>
      <c r="M212"/>
      <c r="N212"/>
      <c r="O212"/>
      <c r="P212"/>
      <c r="Q212"/>
      <c r="R212"/>
      <c r="S212"/>
      <c r="T212"/>
      <c r="U212"/>
      <c r="V212"/>
      <c r="W212"/>
      <c r="X212"/>
      <c r="Y212"/>
      <c r="Z212"/>
      <c r="AA212"/>
      <c r="AB212"/>
      <c r="AC212"/>
      <c r="AD212"/>
      <c r="AE212"/>
      <c r="AF212"/>
    </row>
    <row r="213" spans="11:32" ht="14.1" customHeight="1" x14ac:dyDescent="0.2">
      <c r="K213" s="130"/>
      <c r="L213" s="158"/>
      <c r="M213"/>
      <c r="N213"/>
      <c r="O213"/>
      <c r="P213"/>
      <c r="Q213"/>
      <c r="R213"/>
      <c r="S213"/>
      <c r="T213"/>
      <c r="U213"/>
      <c r="V213"/>
      <c r="W213"/>
      <c r="X213"/>
      <c r="Y213"/>
      <c r="Z213"/>
      <c r="AA213"/>
      <c r="AB213"/>
      <c r="AC213"/>
      <c r="AD213"/>
      <c r="AE213"/>
      <c r="AF213"/>
    </row>
    <row r="214" spans="11:32" ht="14.1" customHeight="1" x14ac:dyDescent="0.2">
      <c r="K214" s="130"/>
      <c r="L214" s="158"/>
      <c r="M214"/>
      <c r="N214"/>
      <c r="O214"/>
      <c r="P214"/>
      <c r="Q214"/>
      <c r="R214"/>
      <c r="S214"/>
      <c r="T214"/>
      <c r="U214"/>
      <c r="V214"/>
      <c r="W214"/>
      <c r="X214"/>
      <c r="Y214"/>
      <c r="Z214"/>
      <c r="AA214"/>
      <c r="AB214"/>
      <c r="AC214"/>
      <c r="AD214"/>
      <c r="AE214"/>
      <c r="AF214"/>
    </row>
    <row r="215" spans="11:32" ht="14.1" customHeight="1" x14ac:dyDescent="0.2">
      <c r="K215" s="130"/>
      <c r="L215" s="158"/>
      <c r="M215"/>
      <c r="N215"/>
      <c r="O215"/>
      <c r="P215"/>
      <c r="Q215"/>
      <c r="R215"/>
      <c r="S215"/>
      <c r="T215"/>
      <c r="U215"/>
      <c r="V215"/>
      <c r="W215"/>
      <c r="X215"/>
      <c r="Y215"/>
      <c r="Z215"/>
      <c r="AA215"/>
      <c r="AB215"/>
      <c r="AC215"/>
      <c r="AD215"/>
      <c r="AE215"/>
      <c r="AF215"/>
    </row>
    <row r="216" spans="11:32" ht="14.1" customHeight="1" x14ac:dyDescent="0.2">
      <c r="K216" s="130"/>
      <c r="L216" s="158"/>
      <c r="M216"/>
      <c r="N216"/>
      <c r="O216"/>
      <c r="P216"/>
      <c r="Q216"/>
      <c r="R216"/>
      <c r="S216"/>
      <c r="T216"/>
      <c r="U216"/>
      <c r="V216"/>
      <c r="W216"/>
      <c r="X216"/>
      <c r="Y216"/>
      <c r="Z216"/>
      <c r="AA216"/>
      <c r="AB216"/>
      <c r="AC216"/>
      <c r="AD216"/>
      <c r="AE216"/>
      <c r="AF216"/>
    </row>
    <row r="217" spans="11:32" ht="14.1" customHeight="1" x14ac:dyDescent="0.2">
      <c r="K217" s="130"/>
      <c r="L217" s="158"/>
      <c r="M217"/>
      <c r="N217"/>
      <c r="O217"/>
      <c r="P217"/>
      <c r="Q217"/>
      <c r="R217"/>
      <c r="S217"/>
      <c r="T217"/>
      <c r="U217"/>
      <c r="V217"/>
      <c r="W217"/>
      <c r="X217"/>
      <c r="Y217"/>
      <c r="Z217"/>
      <c r="AA217"/>
      <c r="AB217"/>
      <c r="AC217"/>
      <c r="AD217"/>
      <c r="AE217"/>
      <c r="AF217"/>
    </row>
    <row r="218" spans="11:32" ht="14.1" customHeight="1" x14ac:dyDescent="0.2">
      <c r="K218" s="130"/>
      <c r="L218" s="158"/>
      <c r="M218"/>
      <c r="N218"/>
      <c r="O218"/>
      <c r="P218"/>
      <c r="Q218"/>
      <c r="R218"/>
      <c r="S218"/>
      <c r="T218"/>
      <c r="U218"/>
      <c r="V218"/>
      <c r="W218"/>
      <c r="X218"/>
      <c r="Y218"/>
      <c r="Z218"/>
      <c r="AA218"/>
      <c r="AB218"/>
      <c r="AC218"/>
      <c r="AD218"/>
      <c r="AE218"/>
      <c r="AF218"/>
    </row>
    <row r="219" spans="11:32" ht="14.1" customHeight="1" x14ac:dyDescent="0.2">
      <c r="K219" s="130"/>
      <c r="L219" s="158"/>
      <c r="M219"/>
      <c r="N219"/>
      <c r="O219"/>
      <c r="P219"/>
      <c r="Q219"/>
      <c r="R219"/>
      <c r="S219"/>
      <c r="T219"/>
      <c r="U219"/>
      <c r="V219"/>
      <c r="W219"/>
      <c r="X219"/>
      <c r="Y219"/>
      <c r="Z219"/>
      <c r="AA219"/>
      <c r="AB219"/>
      <c r="AC219"/>
      <c r="AD219"/>
      <c r="AE219"/>
      <c r="AF219"/>
    </row>
    <row r="220" spans="11:32" ht="14.1" customHeight="1" x14ac:dyDescent="0.2">
      <c r="K220" s="130"/>
      <c r="L220" s="158"/>
      <c r="M220"/>
      <c r="N220"/>
      <c r="O220"/>
      <c r="P220"/>
      <c r="Q220"/>
      <c r="R220"/>
      <c r="S220"/>
      <c r="T220"/>
      <c r="U220"/>
      <c r="V220"/>
      <c r="W220"/>
      <c r="X220"/>
      <c r="Y220"/>
      <c r="Z220"/>
      <c r="AA220"/>
      <c r="AB220"/>
      <c r="AC220"/>
      <c r="AD220"/>
      <c r="AE220"/>
      <c r="AF220"/>
    </row>
    <row r="221" spans="11:32" ht="14.1" customHeight="1" x14ac:dyDescent="0.2">
      <c r="K221" s="130"/>
      <c r="L221" s="158"/>
      <c r="M221"/>
      <c r="N221"/>
      <c r="O221"/>
      <c r="P221"/>
      <c r="Q221"/>
      <c r="R221"/>
      <c r="S221"/>
      <c r="T221"/>
      <c r="U221"/>
      <c r="V221"/>
      <c r="W221"/>
      <c r="X221"/>
      <c r="Y221"/>
      <c r="Z221"/>
      <c r="AA221"/>
      <c r="AB221"/>
      <c r="AC221"/>
      <c r="AD221"/>
      <c r="AE221"/>
      <c r="AF221"/>
    </row>
    <row r="222" spans="11:32" ht="14.1" customHeight="1" x14ac:dyDescent="0.2">
      <c r="K222" s="130"/>
      <c r="L222" s="158"/>
      <c r="M222"/>
      <c r="N222"/>
      <c r="O222"/>
      <c r="P222"/>
      <c r="Q222"/>
      <c r="R222"/>
      <c r="S222"/>
      <c r="T222"/>
      <c r="U222"/>
      <c r="V222"/>
      <c r="W222"/>
      <c r="X222"/>
      <c r="Y222"/>
      <c r="Z222"/>
      <c r="AA222"/>
      <c r="AB222"/>
      <c r="AC222"/>
      <c r="AD222"/>
      <c r="AE222"/>
      <c r="AF222"/>
    </row>
    <row r="223" spans="11:32" ht="14.1" customHeight="1" x14ac:dyDescent="0.2">
      <c r="K223" s="130"/>
      <c r="L223" s="158"/>
      <c r="M223"/>
      <c r="N223"/>
      <c r="O223"/>
      <c r="P223"/>
      <c r="Q223"/>
      <c r="R223"/>
      <c r="S223"/>
      <c r="T223"/>
      <c r="U223"/>
      <c r="V223"/>
      <c r="W223"/>
      <c r="X223"/>
      <c r="Y223"/>
      <c r="Z223"/>
      <c r="AA223"/>
      <c r="AB223"/>
      <c r="AC223"/>
      <c r="AD223"/>
      <c r="AE223"/>
      <c r="AF223"/>
    </row>
    <row r="224" spans="11:32" ht="14.1" customHeight="1" x14ac:dyDescent="0.2">
      <c r="K224" s="130"/>
      <c r="L224" s="158"/>
      <c r="M224"/>
      <c r="N224"/>
      <c r="O224"/>
      <c r="P224"/>
      <c r="Q224"/>
      <c r="R224"/>
      <c r="S224"/>
      <c r="T224"/>
      <c r="U224"/>
      <c r="V224"/>
      <c r="W224"/>
      <c r="X224"/>
      <c r="Y224"/>
      <c r="Z224"/>
      <c r="AA224"/>
      <c r="AB224"/>
      <c r="AC224"/>
      <c r="AD224"/>
      <c r="AE224"/>
      <c r="AF224"/>
    </row>
    <row r="225" spans="11:32" ht="14.1" customHeight="1" x14ac:dyDescent="0.2">
      <c r="K225" s="130"/>
      <c r="L225" s="158"/>
      <c r="M225"/>
      <c r="N225"/>
      <c r="O225"/>
      <c r="P225"/>
      <c r="Q225"/>
      <c r="R225"/>
      <c r="S225"/>
      <c r="T225"/>
      <c r="U225"/>
      <c r="V225"/>
      <c r="W225"/>
      <c r="X225"/>
      <c r="Y225"/>
      <c r="Z225"/>
      <c r="AA225"/>
      <c r="AB225"/>
      <c r="AC225"/>
      <c r="AD225"/>
      <c r="AE225"/>
      <c r="AF225"/>
    </row>
    <row r="226" spans="11:32" ht="14.1" customHeight="1" x14ac:dyDescent="0.2">
      <c r="K226" s="130"/>
      <c r="L226" s="158"/>
      <c r="M226"/>
      <c r="N226"/>
      <c r="O226"/>
      <c r="P226"/>
      <c r="Q226"/>
      <c r="R226"/>
      <c r="S226"/>
      <c r="T226"/>
      <c r="U226"/>
      <c r="V226"/>
      <c r="W226"/>
      <c r="X226"/>
      <c r="Y226"/>
      <c r="Z226"/>
      <c r="AA226"/>
      <c r="AB226"/>
      <c r="AC226"/>
      <c r="AD226"/>
      <c r="AE226"/>
      <c r="AF226"/>
    </row>
    <row r="227" spans="11:32" ht="14.1" customHeight="1" x14ac:dyDescent="0.2">
      <c r="K227" s="130"/>
      <c r="L227" s="158"/>
      <c r="M227"/>
      <c r="N227"/>
      <c r="O227"/>
      <c r="P227"/>
      <c r="Q227"/>
      <c r="R227"/>
      <c r="S227"/>
      <c r="T227"/>
      <c r="U227"/>
      <c r="V227"/>
      <c r="W227"/>
      <c r="X227"/>
      <c r="Y227"/>
      <c r="Z227"/>
      <c r="AA227"/>
      <c r="AB227"/>
      <c r="AC227"/>
      <c r="AD227"/>
      <c r="AE227"/>
      <c r="AF227"/>
    </row>
    <row r="228" spans="11:32" ht="14.1" customHeight="1" x14ac:dyDescent="0.2">
      <c r="K228" s="130"/>
      <c r="L228" s="158"/>
      <c r="M228"/>
      <c r="N228"/>
      <c r="O228"/>
      <c r="P228"/>
      <c r="Q228"/>
      <c r="R228"/>
      <c r="S228"/>
      <c r="T228"/>
      <c r="U228"/>
      <c r="V228"/>
      <c r="W228"/>
      <c r="X228"/>
      <c r="Y228"/>
      <c r="Z228"/>
      <c r="AA228"/>
      <c r="AB228"/>
      <c r="AC228"/>
      <c r="AD228"/>
      <c r="AE228"/>
      <c r="AF228"/>
    </row>
    <row r="229" spans="11:32" ht="14.1" customHeight="1" x14ac:dyDescent="0.2">
      <c r="K229" s="130"/>
      <c r="L229" s="158"/>
      <c r="M229"/>
      <c r="N229"/>
      <c r="O229"/>
      <c r="P229"/>
      <c r="Q229"/>
      <c r="R229"/>
      <c r="S229"/>
      <c r="T229"/>
      <c r="U229"/>
      <c r="V229"/>
      <c r="W229"/>
      <c r="X229"/>
      <c r="Y229"/>
      <c r="Z229"/>
      <c r="AA229"/>
      <c r="AB229"/>
      <c r="AC229"/>
      <c r="AD229"/>
      <c r="AE229"/>
      <c r="AF229"/>
    </row>
    <row r="230" spans="11:32" ht="14.1" customHeight="1" x14ac:dyDescent="0.2">
      <c r="K230" s="130"/>
      <c r="L230" s="158"/>
      <c r="M230"/>
      <c r="N230"/>
      <c r="O230"/>
      <c r="P230"/>
      <c r="Q230"/>
      <c r="R230"/>
      <c r="S230"/>
      <c r="T230"/>
      <c r="U230"/>
      <c r="V230"/>
      <c r="W230"/>
      <c r="X230"/>
      <c r="Y230"/>
      <c r="Z230"/>
      <c r="AA230"/>
      <c r="AB230"/>
      <c r="AC230"/>
      <c r="AD230"/>
      <c r="AE230"/>
      <c r="AF230"/>
    </row>
    <row r="231" spans="11:32" ht="14.1" customHeight="1" x14ac:dyDescent="0.2">
      <c r="K231" s="130"/>
      <c r="L231" s="158"/>
      <c r="M231"/>
      <c r="N231"/>
      <c r="O231"/>
      <c r="P231"/>
      <c r="Q231"/>
      <c r="R231"/>
      <c r="S231"/>
      <c r="T231"/>
      <c r="U231"/>
      <c r="V231"/>
      <c r="W231"/>
      <c r="X231"/>
      <c r="Y231"/>
      <c r="Z231"/>
      <c r="AA231"/>
      <c r="AB231"/>
      <c r="AC231"/>
      <c r="AD231"/>
      <c r="AE231"/>
      <c r="AF231"/>
    </row>
    <row r="232" spans="11:32" ht="14.1" customHeight="1" x14ac:dyDescent="0.2">
      <c r="K232" s="130"/>
      <c r="L232" s="158"/>
      <c r="M232"/>
      <c r="N232"/>
      <c r="O232"/>
      <c r="P232"/>
      <c r="Q232"/>
      <c r="R232"/>
      <c r="S232"/>
      <c r="T232"/>
      <c r="U232"/>
      <c r="V232"/>
      <c r="W232"/>
      <c r="X232"/>
      <c r="Y232"/>
      <c r="Z232"/>
      <c r="AA232"/>
      <c r="AB232"/>
      <c r="AC232"/>
      <c r="AD232"/>
      <c r="AE232"/>
      <c r="AF232"/>
    </row>
    <row r="233" spans="11:32" ht="14.1" customHeight="1" x14ac:dyDescent="0.2">
      <c r="K233" s="130"/>
      <c r="L233" s="158"/>
      <c r="M233"/>
      <c r="N233"/>
      <c r="O233"/>
      <c r="P233"/>
      <c r="Q233"/>
      <c r="R233"/>
      <c r="S233"/>
      <c r="T233"/>
      <c r="U233"/>
      <c r="V233"/>
      <c r="W233"/>
      <c r="X233"/>
      <c r="Y233"/>
      <c r="Z233"/>
      <c r="AA233"/>
      <c r="AB233"/>
      <c r="AC233"/>
      <c r="AD233"/>
      <c r="AE233"/>
      <c r="AF233"/>
    </row>
    <row r="234" spans="11:32" ht="14.1" customHeight="1" x14ac:dyDescent="0.2">
      <c r="K234" s="130"/>
      <c r="L234" s="158"/>
      <c r="M234"/>
      <c r="N234"/>
      <c r="O234"/>
      <c r="P234"/>
      <c r="Q234"/>
      <c r="R234"/>
      <c r="S234"/>
      <c r="T234"/>
      <c r="U234"/>
      <c r="V234"/>
      <c r="W234"/>
      <c r="X234"/>
      <c r="Y234"/>
      <c r="Z234"/>
      <c r="AA234"/>
      <c r="AB234"/>
      <c r="AC234"/>
      <c r="AD234"/>
      <c r="AE234"/>
      <c r="AF234"/>
    </row>
    <row r="235" spans="11:32" ht="14.1" customHeight="1" x14ac:dyDescent="0.2">
      <c r="K235" s="130"/>
      <c r="L235" s="158"/>
      <c r="M235"/>
      <c r="N235"/>
      <c r="O235"/>
      <c r="P235"/>
      <c r="Q235"/>
      <c r="R235"/>
      <c r="S235"/>
      <c r="T235"/>
      <c r="U235"/>
      <c r="V235"/>
      <c r="W235"/>
      <c r="X235"/>
      <c r="Y235"/>
      <c r="Z235"/>
      <c r="AA235"/>
      <c r="AB235"/>
      <c r="AC235"/>
      <c r="AD235"/>
      <c r="AE235"/>
      <c r="AF235"/>
    </row>
    <row r="236" spans="11:32" ht="14.1" customHeight="1" x14ac:dyDescent="0.2">
      <c r="K236" s="130"/>
      <c r="L236" s="158"/>
      <c r="M236"/>
      <c r="N236"/>
      <c r="O236"/>
      <c r="P236"/>
      <c r="Q236"/>
      <c r="R236"/>
      <c r="S236"/>
      <c r="T236"/>
      <c r="U236"/>
      <c r="V236"/>
      <c r="W236"/>
      <c r="X236"/>
      <c r="Y236"/>
      <c r="Z236"/>
      <c r="AA236"/>
      <c r="AB236"/>
      <c r="AC236"/>
      <c r="AD236"/>
      <c r="AE236"/>
      <c r="AF236"/>
    </row>
    <row r="237" spans="11:32" ht="14.1" customHeight="1" x14ac:dyDescent="0.2">
      <c r="K237" s="130"/>
      <c r="L237" s="158"/>
      <c r="M237"/>
      <c r="N237"/>
      <c r="O237"/>
      <c r="P237"/>
      <c r="Q237"/>
      <c r="R237"/>
      <c r="S237"/>
      <c r="T237"/>
      <c r="U237"/>
      <c r="V237"/>
      <c r="W237"/>
      <c r="X237"/>
      <c r="Y237"/>
      <c r="Z237"/>
      <c r="AA237"/>
      <c r="AB237"/>
      <c r="AC237"/>
      <c r="AD237"/>
      <c r="AE237"/>
      <c r="AF237"/>
    </row>
    <row r="238" spans="11:32" ht="14.1" customHeight="1" x14ac:dyDescent="0.2">
      <c r="K238" s="130"/>
      <c r="L238" s="158"/>
      <c r="M238"/>
      <c r="N238"/>
      <c r="O238"/>
      <c r="P238"/>
      <c r="Q238"/>
      <c r="R238"/>
      <c r="S238"/>
      <c r="T238"/>
      <c r="U238"/>
      <c r="V238"/>
      <c r="W238"/>
      <c r="X238"/>
      <c r="Y238"/>
      <c r="Z238"/>
      <c r="AA238"/>
      <c r="AB238"/>
      <c r="AC238"/>
      <c r="AD238"/>
      <c r="AE238"/>
      <c r="AF238"/>
    </row>
    <row r="239" spans="11:32" ht="14.1" customHeight="1" x14ac:dyDescent="0.2">
      <c r="K239" s="130"/>
      <c r="L239" s="158"/>
      <c r="M239"/>
      <c r="N239"/>
      <c r="O239"/>
      <c r="P239"/>
      <c r="Q239"/>
      <c r="R239"/>
      <c r="S239"/>
      <c r="T239"/>
      <c r="U239"/>
      <c r="V239"/>
      <c r="W239"/>
      <c r="X239"/>
      <c r="Y239"/>
      <c r="Z239"/>
      <c r="AA239"/>
      <c r="AB239"/>
      <c r="AC239"/>
      <c r="AD239"/>
      <c r="AE239"/>
      <c r="AF239"/>
    </row>
    <row r="240" spans="11:32" ht="14.1" customHeight="1" x14ac:dyDescent="0.2">
      <c r="K240" s="130"/>
      <c r="L240" s="158"/>
      <c r="M240"/>
      <c r="N240"/>
      <c r="O240"/>
      <c r="P240"/>
      <c r="Q240"/>
      <c r="R240"/>
      <c r="S240"/>
      <c r="T240"/>
      <c r="U240"/>
      <c r="V240"/>
      <c r="W240"/>
      <c r="X240"/>
      <c r="Y240"/>
      <c r="Z240"/>
      <c r="AA240"/>
      <c r="AB240"/>
      <c r="AC240"/>
      <c r="AD240"/>
      <c r="AE240"/>
      <c r="AF240"/>
    </row>
    <row r="241" spans="11:32" ht="14.1" customHeight="1" x14ac:dyDescent="0.2">
      <c r="K241" s="130"/>
      <c r="L241" s="158"/>
      <c r="M241"/>
      <c r="N241"/>
      <c r="O241"/>
      <c r="P241"/>
      <c r="Q241"/>
      <c r="R241"/>
      <c r="S241"/>
      <c r="T241"/>
      <c r="U241"/>
      <c r="V241"/>
      <c r="W241"/>
      <c r="X241"/>
      <c r="Y241"/>
      <c r="Z241"/>
      <c r="AA241"/>
      <c r="AB241"/>
      <c r="AC241"/>
      <c r="AD241"/>
      <c r="AE241"/>
      <c r="AF241"/>
    </row>
    <row r="242" spans="11:32" ht="14.1" customHeight="1" x14ac:dyDescent="0.2">
      <c r="K242" s="130"/>
      <c r="L242" s="158"/>
      <c r="M242"/>
      <c r="N242"/>
      <c r="O242"/>
      <c r="P242"/>
      <c r="Q242"/>
      <c r="R242"/>
      <c r="S242"/>
      <c r="T242"/>
      <c r="U242"/>
      <c r="V242"/>
      <c r="W242"/>
      <c r="X242"/>
      <c r="Y242"/>
      <c r="Z242"/>
      <c r="AA242"/>
      <c r="AB242"/>
      <c r="AC242"/>
      <c r="AD242"/>
      <c r="AE242"/>
      <c r="AF242"/>
    </row>
    <row r="243" spans="11:32" ht="14.1" customHeight="1" x14ac:dyDescent="0.2">
      <c r="K243" s="130"/>
      <c r="L243" s="158"/>
      <c r="M243"/>
      <c r="N243"/>
      <c r="O243"/>
      <c r="P243"/>
      <c r="Q243"/>
      <c r="R243"/>
      <c r="S243"/>
      <c r="T243"/>
      <c r="U243"/>
      <c r="V243"/>
      <c r="W243"/>
      <c r="X243"/>
      <c r="Y243"/>
      <c r="Z243"/>
      <c r="AA243"/>
      <c r="AB243"/>
      <c r="AC243"/>
      <c r="AD243"/>
      <c r="AE243"/>
      <c r="AF243"/>
    </row>
    <row r="244" spans="11:32" ht="14.1" customHeight="1" x14ac:dyDescent="0.2">
      <c r="K244" s="130"/>
      <c r="L244" s="158"/>
      <c r="M244"/>
      <c r="N244"/>
      <c r="O244"/>
      <c r="P244"/>
      <c r="Q244"/>
      <c r="R244"/>
      <c r="S244"/>
      <c r="T244"/>
      <c r="U244"/>
      <c r="V244"/>
      <c r="W244"/>
      <c r="X244"/>
      <c r="Y244"/>
      <c r="Z244"/>
      <c r="AA244"/>
      <c r="AB244"/>
      <c r="AC244"/>
      <c r="AD244"/>
      <c r="AE244"/>
      <c r="AF244"/>
    </row>
    <row r="245" spans="11:32" ht="14.1" customHeight="1" x14ac:dyDescent="0.2">
      <c r="K245" s="130"/>
      <c r="L245" s="158"/>
      <c r="M245"/>
      <c r="N245"/>
      <c r="O245"/>
      <c r="P245"/>
      <c r="Q245"/>
      <c r="R245"/>
      <c r="S245"/>
      <c r="T245"/>
      <c r="U245"/>
      <c r="V245"/>
      <c r="W245"/>
      <c r="X245"/>
      <c r="Y245"/>
      <c r="Z245"/>
      <c r="AA245"/>
      <c r="AB245"/>
      <c r="AC245"/>
      <c r="AD245"/>
      <c r="AE245"/>
      <c r="AF245"/>
    </row>
    <row r="246" spans="11:32" ht="14.1" customHeight="1" x14ac:dyDescent="0.2">
      <c r="K246" s="130"/>
      <c r="L246" s="158"/>
      <c r="M246"/>
      <c r="N246"/>
      <c r="O246"/>
      <c r="P246"/>
      <c r="Q246"/>
      <c r="R246"/>
      <c r="S246"/>
      <c r="T246"/>
      <c r="U246"/>
      <c r="V246"/>
      <c r="W246"/>
      <c r="X246"/>
      <c r="Y246"/>
      <c r="Z246"/>
      <c r="AA246"/>
      <c r="AB246"/>
      <c r="AC246"/>
      <c r="AD246"/>
      <c r="AE246"/>
      <c r="AF246"/>
    </row>
    <row r="247" spans="11:32" ht="14.1" customHeight="1" x14ac:dyDescent="0.2">
      <c r="K247" s="130"/>
      <c r="L247" s="158"/>
      <c r="M247"/>
      <c r="N247"/>
      <c r="O247"/>
      <c r="P247"/>
      <c r="Q247"/>
      <c r="R247"/>
      <c r="S247"/>
      <c r="T247"/>
      <c r="U247"/>
      <c r="V247"/>
      <c r="W247"/>
      <c r="X247"/>
      <c r="Y247"/>
      <c r="Z247"/>
      <c r="AA247"/>
      <c r="AB247"/>
      <c r="AC247"/>
      <c r="AD247"/>
      <c r="AE247"/>
      <c r="AF247"/>
    </row>
    <row r="248" spans="11:32" ht="14.1" customHeight="1" x14ac:dyDescent="0.2">
      <c r="K248" s="130"/>
      <c r="L248" s="158"/>
      <c r="M248"/>
      <c r="N248"/>
      <c r="O248"/>
      <c r="P248"/>
      <c r="Q248"/>
      <c r="R248"/>
      <c r="S248"/>
      <c r="T248"/>
      <c r="U248"/>
      <c r="V248"/>
      <c r="W248"/>
      <c r="X248"/>
      <c r="Y248"/>
      <c r="Z248"/>
      <c r="AA248"/>
      <c r="AB248"/>
      <c r="AC248"/>
      <c r="AD248"/>
      <c r="AE248"/>
      <c r="AF248"/>
    </row>
    <row r="249" spans="11:32" ht="14.1" customHeight="1" x14ac:dyDescent="0.2">
      <c r="K249" s="130"/>
      <c r="L249" s="158"/>
      <c r="M249"/>
      <c r="N249"/>
      <c r="O249"/>
      <c r="P249"/>
      <c r="Q249"/>
      <c r="R249"/>
      <c r="S249"/>
      <c r="T249"/>
      <c r="U249"/>
      <c r="V249"/>
      <c r="W249"/>
      <c r="X249"/>
      <c r="Y249"/>
      <c r="Z249"/>
      <c r="AA249"/>
      <c r="AB249"/>
      <c r="AC249"/>
      <c r="AD249"/>
      <c r="AE249"/>
      <c r="AF249"/>
    </row>
    <row r="250" spans="11:32" ht="14.1" customHeight="1" x14ac:dyDescent="0.2">
      <c r="K250" s="130"/>
      <c r="L250" s="158"/>
      <c r="M250"/>
      <c r="N250"/>
      <c r="O250"/>
      <c r="P250"/>
      <c r="Q250"/>
      <c r="R250"/>
      <c r="S250"/>
      <c r="T250"/>
      <c r="U250"/>
      <c r="V250"/>
      <c r="W250"/>
      <c r="X250"/>
      <c r="Y250"/>
      <c r="Z250"/>
      <c r="AA250"/>
      <c r="AB250"/>
      <c r="AC250"/>
      <c r="AD250"/>
      <c r="AE250"/>
      <c r="AF250"/>
    </row>
    <row r="251" spans="11:32" ht="14.1" customHeight="1" x14ac:dyDescent="0.2">
      <c r="K251" s="130"/>
      <c r="L251" s="158"/>
      <c r="M251"/>
      <c r="N251"/>
      <c r="O251"/>
      <c r="P251"/>
      <c r="Q251"/>
      <c r="R251"/>
      <c r="S251"/>
      <c r="T251"/>
      <c r="U251"/>
      <c r="V251"/>
      <c r="W251"/>
      <c r="X251"/>
      <c r="Y251"/>
      <c r="Z251"/>
      <c r="AA251"/>
      <c r="AB251"/>
      <c r="AC251"/>
      <c r="AD251"/>
      <c r="AE251"/>
      <c r="AF251"/>
    </row>
    <row r="252" spans="11:32" ht="14.1" customHeight="1" x14ac:dyDescent="0.2">
      <c r="K252" s="130"/>
      <c r="L252" s="158"/>
      <c r="M252"/>
      <c r="N252"/>
      <c r="O252"/>
      <c r="P252"/>
      <c r="Q252"/>
      <c r="R252"/>
      <c r="S252"/>
      <c r="T252"/>
      <c r="U252"/>
      <c r="V252"/>
      <c r="W252"/>
      <c r="X252"/>
      <c r="Y252"/>
      <c r="Z252"/>
      <c r="AA252"/>
      <c r="AB252"/>
      <c r="AC252"/>
      <c r="AD252"/>
      <c r="AE252"/>
      <c r="AF252"/>
    </row>
    <row r="253" spans="11:32" ht="14.1" customHeight="1" x14ac:dyDescent="0.2">
      <c r="K253" s="130"/>
      <c r="L253" s="158"/>
      <c r="M253"/>
      <c r="N253"/>
      <c r="O253"/>
      <c r="P253"/>
      <c r="Q253"/>
      <c r="R253"/>
      <c r="S253"/>
      <c r="T253"/>
      <c r="U253"/>
      <c r="V253"/>
      <c r="W253"/>
      <c r="X253"/>
      <c r="Y253"/>
      <c r="Z253"/>
      <c r="AA253"/>
      <c r="AB253"/>
      <c r="AC253"/>
      <c r="AD253"/>
      <c r="AE253"/>
      <c r="AF253"/>
    </row>
    <row r="254" spans="11:32" ht="14.1" customHeight="1" x14ac:dyDescent="0.2">
      <c r="K254" s="130"/>
      <c r="L254" s="158"/>
      <c r="M254"/>
      <c r="N254"/>
      <c r="O254"/>
      <c r="P254"/>
      <c r="Q254"/>
      <c r="R254"/>
      <c r="S254"/>
      <c r="T254"/>
      <c r="U254"/>
      <c r="V254"/>
      <c r="W254"/>
      <c r="X254"/>
      <c r="Y254"/>
      <c r="Z254"/>
      <c r="AA254"/>
      <c r="AB254"/>
      <c r="AC254"/>
      <c r="AD254"/>
      <c r="AE254"/>
      <c r="AF254"/>
    </row>
    <row r="255" spans="11:32" ht="14.1" customHeight="1" x14ac:dyDescent="0.2">
      <c r="K255" s="130"/>
      <c r="L255" s="158"/>
      <c r="M255"/>
      <c r="N255"/>
      <c r="O255"/>
      <c r="P255"/>
      <c r="Q255"/>
      <c r="R255"/>
      <c r="S255"/>
      <c r="T255"/>
      <c r="U255"/>
      <c r="V255"/>
      <c r="W255"/>
      <c r="X255"/>
      <c r="Y255"/>
      <c r="Z255"/>
      <c r="AA255"/>
      <c r="AB255"/>
      <c r="AC255"/>
      <c r="AD255"/>
      <c r="AE255"/>
      <c r="AF255"/>
    </row>
    <row r="256" spans="11:32" ht="14.1" customHeight="1" x14ac:dyDescent="0.2">
      <c r="K256" s="130"/>
      <c r="L256" s="158"/>
      <c r="M256"/>
      <c r="N256"/>
      <c r="O256"/>
      <c r="P256"/>
      <c r="Q256"/>
      <c r="R256"/>
      <c r="S256"/>
      <c r="T256"/>
      <c r="U256"/>
      <c r="V256"/>
      <c r="W256"/>
      <c r="X256"/>
      <c r="Y256"/>
      <c r="Z256"/>
      <c r="AA256"/>
      <c r="AB256"/>
      <c r="AC256"/>
      <c r="AD256"/>
      <c r="AE256"/>
      <c r="AF256"/>
    </row>
    <row r="257" spans="11:32" ht="14.1" customHeight="1" x14ac:dyDescent="0.2">
      <c r="K257" s="130"/>
      <c r="L257" s="158"/>
      <c r="M257"/>
      <c r="N257"/>
      <c r="O257"/>
      <c r="P257"/>
      <c r="Q257"/>
      <c r="R257"/>
      <c r="S257"/>
      <c r="T257"/>
      <c r="U257"/>
      <c r="V257"/>
      <c r="W257"/>
      <c r="X257"/>
      <c r="Y257"/>
      <c r="Z257"/>
      <c r="AA257"/>
      <c r="AB257"/>
      <c r="AC257"/>
      <c r="AD257"/>
      <c r="AE257"/>
      <c r="AF257"/>
    </row>
    <row r="258" spans="11:32" ht="14.1" customHeight="1" x14ac:dyDescent="0.2">
      <c r="K258" s="130"/>
      <c r="L258" s="158"/>
      <c r="M258"/>
      <c r="N258"/>
      <c r="O258"/>
      <c r="P258"/>
      <c r="Q258"/>
      <c r="R258"/>
      <c r="S258"/>
      <c r="T258"/>
      <c r="U258"/>
      <c r="V258"/>
      <c r="W258"/>
      <c r="X258"/>
      <c r="Y258"/>
      <c r="Z258"/>
      <c r="AA258"/>
      <c r="AB258"/>
      <c r="AC258"/>
      <c r="AD258"/>
      <c r="AE258"/>
      <c r="AF258"/>
    </row>
    <row r="259" spans="11:32" ht="14.1" customHeight="1" x14ac:dyDescent="0.2">
      <c r="K259" s="130"/>
      <c r="L259" s="158"/>
      <c r="M259"/>
      <c r="N259"/>
      <c r="O259"/>
      <c r="P259"/>
      <c r="Q259"/>
      <c r="R259"/>
      <c r="S259"/>
      <c r="T259"/>
      <c r="U259"/>
      <c r="V259"/>
      <c r="W259"/>
      <c r="X259"/>
      <c r="Y259"/>
      <c r="Z259"/>
      <c r="AA259"/>
      <c r="AB259"/>
      <c r="AC259"/>
      <c r="AD259"/>
      <c r="AE259"/>
      <c r="AF259"/>
    </row>
    <row r="260" spans="11:32" ht="14.1" customHeight="1" x14ac:dyDescent="0.2">
      <c r="K260" s="130"/>
      <c r="L260" s="158"/>
      <c r="M260"/>
      <c r="N260"/>
      <c r="O260"/>
      <c r="P260"/>
      <c r="Q260"/>
      <c r="R260"/>
      <c r="S260"/>
      <c r="T260"/>
      <c r="U260"/>
      <c r="V260"/>
      <c r="W260"/>
      <c r="X260"/>
      <c r="Y260"/>
      <c r="Z260"/>
      <c r="AA260"/>
      <c r="AB260"/>
      <c r="AC260"/>
      <c r="AD260"/>
      <c r="AE260"/>
      <c r="AF260"/>
    </row>
    <row r="261" spans="11:32" ht="14.1" customHeight="1" x14ac:dyDescent="0.2">
      <c r="K261" s="130"/>
      <c r="L261" s="158"/>
      <c r="M261"/>
      <c r="N261"/>
      <c r="O261"/>
      <c r="P261"/>
      <c r="Q261"/>
      <c r="R261"/>
      <c r="S261"/>
      <c r="T261"/>
      <c r="U261"/>
      <c r="V261"/>
      <c r="W261"/>
      <c r="X261"/>
      <c r="Y261"/>
      <c r="Z261"/>
      <c r="AA261"/>
      <c r="AB261"/>
      <c r="AC261"/>
      <c r="AD261"/>
      <c r="AE261"/>
      <c r="AF261"/>
    </row>
    <row r="262" spans="11:32" ht="14.1" customHeight="1" x14ac:dyDescent="0.2">
      <c r="K262" s="130"/>
      <c r="L262" s="158"/>
      <c r="M262"/>
      <c r="N262"/>
      <c r="O262"/>
      <c r="P262"/>
      <c r="Q262"/>
      <c r="R262"/>
      <c r="S262"/>
      <c r="T262"/>
      <c r="U262"/>
      <c r="V262"/>
      <c r="W262"/>
      <c r="X262"/>
      <c r="Y262"/>
      <c r="Z262"/>
      <c r="AA262"/>
      <c r="AB262"/>
      <c r="AC262"/>
      <c r="AD262"/>
      <c r="AE262"/>
      <c r="AF262"/>
    </row>
    <row r="263" spans="11:32" ht="14.1" customHeight="1" x14ac:dyDescent="0.2">
      <c r="K263" s="130"/>
      <c r="L263" s="158"/>
      <c r="M263"/>
      <c r="N263"/>
      <c r="O263"/>
      <c r="P263"/>
      <c r="Q263"/>
      <c r="R263"/>
      <c r="S263"/>
      <c r="T263"/>
      <c r="U263"/>
      <c r="V263"/>
      <c r="W263"/>
      <c r="X263"/>
      <c r="Y263"/>
      <c r="Z263"/>
      <c r="AA263"/>
      <c r="AB263"/>
      <c r="AC263"/>
      <c r="AD263"/>
      <c r="AE263"/>
      <c r="AF263"/>
    </row>
    <row r="264" spans="11:32" ht="14.1" customHeight="1" x14ac:dyDescent="0.2">
      <c r="K264" s="130"/>
      <c r="L264" s="158"/>
      <c r="M264"/>
      <c r="N264"/>
      <c r="O264"/>
      <c r="P264"/>
      <c r="Q264"/>
      <c r="R264"/>
      <c r="S264"/>
      <c r="T264"/>
      <c r="U264"/>
      <c r="V264"/>
      <c r="W264"/>
      <c r="X264"/>
      <c r="Y264"/>
      <c r="Z264"/>
      <c r="AA264"/>
      <c r="AB264"/>
      <c r="AC264"/>
      <c r="AD264"/>
      <c r="AE264"/>
      <c r="AF264"/>
    </row>
    <row r="265" spans="11:32" ht="14.1" customHeight="1" x14ac:dyDescent="0.2">
      <c r="K265" s="130"/>
      <c r="L265" s="158"/>
      <c r="M265"/>
      <c r="N265"/>
      <c r="O265"/>
      <c r="P265"/>
      <c r="Q265"/>
      <c r="R265"/>
      <c r="S265"/>
      <c r="T265"/>
      <c r="U265"/>
      <c r="V265"/>
      <c r="W265"/>
      <c r="X265"/>
      <c r="Y265"/>
      <c r="Z265"/>
      <c r="AA265"/>
      <c r="AB265"/>
      <c r="AC265"/>
      <c r="AD265"/>
      <c r="AE265"/>
      <c r="AF265"/>
    </row>
    <row r="266" spans="11:32" ht="14.1" customHeight="1" x14ac:dyDescent="0.2">
      <c r="K266" s="130"/>
      <c r="L266" s="158"/>
      <c r="M266"/>
      <c r="N266"/>
      <c r="O266"/>
      <c r="P266"/>
      <c r="Q266"/>
      <c r="R266"/>
      <c r="S266"/>
      <c r="T266"/>
      <c r="U266"/>
      <c r="V266"/>
      <c r="W266"/>
      <c r="X266"/>
      <c r="Y266"/>
      <c r="Z266"/>
      <c r="AA266"/>
      <c r="AB266"/>
      <c r="AC266"/>
      <c r="AD266"/>
      <c r="AE266"/>
      <c r="AF266"/>
    </row>
    <row r="267" spans="11:32" ht="14.1" customHeight="1" x14ac:dyDescent="0.2">
      <c r="K267" s="130"/>
      <c r="L267" s="158"/>
      <c r="M267"/>
      <c r="N267"/>
      <c r="O267"/>
      <c r="P267"/>
      <c r="Q267"/>
      <c r="R267"/>
      <c r="S267"/>
      <c r="T267"/>
      <c r="U267"/>
      <c r="V267"/>
      <c r="W267"/>
      <c r="X267"/>
      <c r="Y267"/>
      <c r="Z267"/>
      <c r="AA267"/>
      <c r="AB267"/>
      <c r="AC267"/>
      <c r="AD267"/>
      <c r="AE267"/>
      <c r="AF267"/>
    </row>
    <row r="268" spans="11:32" ht="14.1" customHeight="1" x14ac:dyDescent="0.2">
      <c r="K268" s="130"/>
      <c r="L268" s="158"/>
      <c r="M268"/>
      <c r="N268"/>
      <c r="O268"/>
      <c r="P268"/>
      <c r="Q268"/>
      <c r="R268"/>
      <c r="S268"/>
      <c r="T268"/>
      <c r="U268"/>
      <c r="V268"/>
      <c r="W268"/>
      <c r="X268"/>
      <c r="Y268"/>
      <c r="Z268"/>
      <c r="AA268"/>
      <c r="AB268"/>
      <c r="AC268"/>
      <c r="AD268"/>
      <c r="AE268"/>
      <c r="AF268"/>
    </row>
    <row r="269" spans="11:32" ht="14.1" customHeight="1" x14ac:dyDescent="0.2">
      <c r="K269" s="130"/>
      <c r="L269" s="158"/>
      <c r="M269"/>
      <c r="N269"/>
      <c r="O269"/>
      <c r="P269"/>
      <c r="Q269"/>
      <c r="R269"/>
      <c r="S269"/>
      <c r="T269"/>
      <c r="U269"/>
      <c r="V269"/>
      <c r="W269"/>
      <c r="X269"/>
      <c r="Y269"/>
      <c r="Z269"/>
      <c r="AA269"/>
      <c r="AB269"/>
      <c r="AC269"/>
      <c r="AD269"/>
      <c r="AE269"/>
      <c r="AF269"/>
    </row>
    <row r="270" spans="11:32" ht="14.1" customHeight="1" x14ac:dyDescent="0.2">
      <c r="K270" s="130"/>
      <c r="L270" s="158"/>
      <c r="M270"/>
      <c r="N270"/>
      <c r="O270"/>
      <c r="P270"/>
      <c r="Q270"/>
      <c r="R270"/>
      <c r="S270"/>
      <c r="T270"/>
      <c r="U270"/>
      <c r="V270"/>
      <c r="W270"/>
      <c r="X270"/>
      <c r="Y270"/>
      <c r="Z270"/>
      <c r="AA270"/>
      <c r="AB270"/>
      <c r="AC270"/>
      <c r="AD270"/>
      <c r="AE270"/>
      <c r="AF270"/>
    </row>
    <row r="271" spans="11:32" ht="14.1" customHeight="1" x14ac:dyDescent="0.2">
      <c r="K271" s="130"/>
      <c r="L271" s="158"/>
      <c r="M271"/>
      <c r="N271"/>
      <c r="O271"/>
      <c r="P271"/>
      <c r="Q271"/>
      <c r="R271"/>
      <c r="S271"/>
      <c r="T271"/>
      <c r="U271"/>
      <c r="V271"/>
      <c r="W271"/>
      <c r="X271"/>
      <c r="Y271"/>
      <c r="Z271"/>
      <c r="AA271"/>
      <c r="AB271"/>
      <c r="AC271"/>
      <c r="AD271"/>
      <c r="AE271"/>
      <c r="AF271"/>
    </row>
    <row r="272" spans="11:32" ht="14.1" customHeight="1" x14ac:dyDescent="0.2">
      <c r="K272" s="130"/>
      <c r="L272" s="158"/>
      <c r="M272"/>
      <c r="N272"/>
      <c r="O272"/>
      <c r="P272"/>
      <c r="Q272"/>
      <c r="R272"/>
      <c r="S272"/>
      <c r="T272"/>
      <c r="U272"/>
      <c r="V272"/>
      <c r="W272"/>
      <c r="X272"/>
      <c r="Y272"/>
      <c r="Z272"/>
      <c r="AA272"/>
      <c r="AB272"/>
      <c r="AC272"/>
      <c r="AD272"/>
      <c r="AE272"/>
      <c r="AF272"/>
    </row>
    <row r="273" spans="11:32" ht="14.1" customHeight="1" x14ac:dyDescent="0.2">
      <c r="K273" s="130"/>
      <c r="L273" s="158"/>
      <c r="M273"/>
      <c r="N273"/>
      <c r="O273"/>
      <c r="P273"/>
      <c r="Q273"/>
      <c r="R273"/>
      <c r="S273"/>
      <c r="T273"/>
      <c r="U273"/>
      <c r="V273"/>
      <c r="W273"/>
      <c r="X273"/>
      <c r="Y273"/>
      <c r="Z273"/>
      <c r="AA273"/>
      <c r="AB273"/>
      <c r="AC273"/>
      <c r="AD273"/>
      <c r="AE273"/>
      <c r="AF273"/>
    </row>
    <row r="274" spans="11:32" ht="14.1" customHeight="1" x14ac:dyDescent="0.2">
      <c r="K274" s="130"/>
      <c r="L274" s="158"/>
      <c r="M274"/>
      <c r="N274"/>
      <c r="O274"/>
      <c r="P274"/>
      <c r="Q274"/>
      <c r="R274"/>
      <c r="S274"/>
      <c r="T274"/>
      <c r="U274"/>
      <c r="V274"/>
      <c r="W274"/>
      <c r="X274"/>
      <c r="Y274"/>
      <c r="Z274"/>
      <c r="AA274"/>
      <c r="AB274"/>
      <c r="AC274"/>
      <c r="AD274"/>
      <c r="AE274"/>
      <c r="AF274"/>
    </row>
    <row r="275" spans="11:32" ht="14.1" customHeight="1" x14ac:dyDescent="0.2">
      <c r="K275" s="130"/>
      <c r="L275" s="158"/>
      <c r="M275"/>
      <c r="N275"/>
      <c r="O275"/>
      <c r="P275"/>
      <c r="Q275"/>
      <c r="R275"/>
      <c r="S275"/>
      <c r="T275"/>
      <c r="U275"/>
      <c r="V275"/>
      <c r="W275"/>
      <c r="X275"/>
      <c r="Y275"/>
      <c r="Z275"/>
      <c r="AA275"/>
      <c r="AB275"/>
      <c r="AC275"/>
      <c r="AD275"/>
      <c r="AE275"/>
      <c r="AF275"/>
    </row>
    <row r="276" spans="11:32" ht="14.1" customHeight="1" x14ac:dyDescent="0.2">
      <c r="K276" s="130"/>
      <c r="L276" s="158"/>
      <c r="M276"/>
      <c r="N276"/>
      <c r="O276"/>
      <c r="P276"/>
      <c r="Q276"/>
      <c r="R276"/>
      <c r="S276"/>
      <c r="T276"/>
      <c r="U276"/>
      <c r="V276"/>
      <c r="W276"/>
      <c r="X276"/>
      <c r="Y276"/>
      <c r="Z276"/>
      <c r="AA276"/>
      <c r="AB276"/>
      <c r="AC276"/>
      <c r="AD276"/>
      <c r="AE276"/>
      <c r="AF276"/>
    </row>
    <row r="277" spans="11:32" ht="14.1" customHeight="1" x14ac:dyDescent="0.2">
      <c r="K277" s="130"/>
      <c r="L277" s="158"/>
      <c r="M277"/>
      <c r="N277"/>
      <c r="O277"/>
      <c r="P277"/>
      <c r="Q277"/>
      <c r="R277"/>
      <c r="S277"/>
      <c r="T277"/>
      <c r="U277"/>
      <c r="V277"/>
      <c r="W277"/>
      <c r="X277"/>
      <c r="Y277"/>
      <c r="Z277"/>
      <c r="AA277"/>
      <c r="AB277"/>
      <c r="AC277"/>
      <c r="AD277"/>
      <c r="AE277"/>
      <c r="AF277"/>
    </row>
    <row r="278" spans="11:32" ht="14.1" customHeight="1" x14ac:dyDescent="0.2">
      <c r="K278" s="130"/>
      <c r="L278" s="158"/>
      <c r="M278"/>
      <c r="N278"/>
      <c r="O278"/>
      <c r="P278"/>
      <c r="Q278"/>
      <c r="R278"/>
      <c r="S278"/>
      <c r="T278"/>
      <c r="U278"/>
      <c r="V278"/>
      <c r="W278"/>
      <c r="X278"/>
      <c r="Y278"/>
      <c r="Z278"/>
      <c r="AA278"/>
      <c r="AB278"/>
      <c r="AC278"/>
      <c r="AD278"/>
      <c r="AE278"/>
      <c r="AF278"/>
    </row>
    <row r="279" spans="11:32" ht="14.1" customHeight="1" x14ac:dyDescent="0.2">
      <c r="K279" s="130"/>
      <c r="L279" s="158"/>
      <c r="M279"/>
      <c r="N279"/>
      <c r="O279"/>
      <c r="P279"/>
      <c r="Q279"/>
      <c r="R279"/>
      <c r="S279"/>
      <c r="T279"/>
      <c r="U279"/>
      <c r="V279"/>
      <c r="W279"/>
      <c r="X279"/>
      <c r="Y279"/>
      <c r="Z279"/>
      <c r="AA279"/>
      <c r="AB279"/>
      <c r="AC279"/>
      <c r="AD279"/>
      <c r="AE279"/>
      <c r="AF279"/>
    </row>
    <row r="280" spans="11:32" ht="14.1" customHeight="1" x14ac:dyDescent="0.2">
      <c r="K280" s="130"/>
      <c r="L280" s="158"/>
      <c r="M280"/>
      <c r="N280"/>
      <c r="O280"/>
      <c r="P280"/>
      <c r="Q280"/>
      <c r="R280"/>
      <c r="S280"/>
      <c r="T280"/>
      <c r="U280"/>
      <c r="V280"/>
      <c r="W280"/>
      <c r="X280"/>
      <c r="Y280"/>
      <c r="Z280"/>
      <c r="AA280"/>
      <c r="AB280"/>
      <c r="AC280"/>
      <c r="AD280"/>
      <c r="AE280"/>
      <c r="AF280"/>
    </row>
    <row r="281" spans="11:32" ht="14.1" customHeight="1" x14ac:dyDescent="0.2">
      <c r="K281" s="130"/>
      <c r="L281" s="158"/>
      <c r="M281"/>
      <c r="N281"/>
      <c r="O281"/>
      <c r="P281"/>
      <c r="Q281"/>
      <c r="R281"/>
      <c r="S281"/>
      <c r="T281"/>
      <c r="U281"/>
      <c r="V281"/>
      <c r="W281"/>
      <c r="X281"/>
      <c r="Y281"/>
      <c r="Z281"/>
      <c r="AA281"/>
      <c r="AB281"/>
      <c r="AC281"/>
      <c r="AD281"/>
      <c r="AE281"/>
      <c r="AF281"/>
    </row>
    <row r="282" spans="11:32" ht="14.1" customHeight="1" x14ac:dyDescent="0.2">
      <c r="K282" s="130"/>
      <c r="L282" s="158"/>
      <c r="M282"/>
      <c r="N282"/>
      <c r="O282"/>
      <c r="P282"/>
      <c r="Q282"/>
      <c r="R282"/>
      <c r="S282"/>
      <c r="T282"/>
      <c r="U282"/>
      <c r="V282"/>
      <c r="W282"/>
      <c r="X282"/>
      <c r="Y282"/>
      <c r="Z282"/>
      <c r="AA282"/>
      <c r="AB282"/>
      <c r="AC282"/>
      <c r="AD282"/>
      <c r="AE282"/>
      <c r="AF282"/>
    </row>
    <row r="283" spans="11:32" ht="14.1" customHeight="1" x14ac:dyDescent="0.2">
      <c r="K283" s="130"/>
      <c r="L283" s="158"/>
      <c r="M283"/>
      <c r="N283"/>
      <c r="O283"/>
      <c r="P283"/>
      <c r="Q283"/>
      <c r="R283"/>
      <c r="S283"/>
      <c r="T283"/>
      <c r="U283"/>
      <c r="V283"/>
      <c r="W283"/>
      <c r="X283"/>
      <c r="Y283"/>
      <c r="Z283"/>
      <c r="AA283"/>
      <c r="AB283"/>
      <c r="AC283"/>
      <c r="AD283"/>
      <c r="AE283"/>
      <c r="AF283"/>
    </row>
    <row r="284" spans="11:32" ht="14.1" customHeight="1" x14ac:dyDescent="0.2">
      <c r="K284" s="130"/>
      <c r="L284" s="158"/>
      <c r="M284"/>
      <c r="N284"/>
      <c r="O284"/>
      <c r="P284"/>
      <c r="Q284"/>
      <c r="R284"/>
      <c r="S284"/>
      <c r="T284"/>
      <c r="U284"/>
      <c r="V284"/>
      <c r="W284"/>
      <c r="X284"/>
      <c r="Y284"/>
      <c r="Z284"/>
      <c r="AA284"/>
      <c r="AB284"/>
      <c r="AC284"/>
      <c r="AD284"/>
      <c r="AE284"/>
      <c r="AF284"/>
    </row>
    <row r="285" spans="11:32" ht="14.1" customHeight="1" x14ac:dyDescent="0.2">
      <c r="K285" s="130"/>
      <c r="L285" s="158"/>
      <c r="M285"/>
      <c r="N285"/>
      <c r="O285"/>
      <c r="P285"/>
      <c r="Q285"/>
      <c r="R285"/>
      <c r="S285"/>
      <c r="T285"/>
      <c r="U285"/>
      <c r="V285"/>
      <c r="W285"/>
      <c r="X285"/>
      <c r="Y285"/>
      <c r="Z285"/>
      <c r="AA285"/>
      <c r="AB285"/>
      <c r="AC285"/>
      <c r="AD285"/>
      <c r="AE285"/>
      <c r="AF285"/>
    </row>
    <row r="286" spans="11:32" ht="14.1" customHeight="1" x14ac:dyDescent="0.2">
      <c r="K286" s="130"/>
      <c r="L286" s="158"/>
      <c r="M286"/>
      <c r="N286"/>
      <c r="O286"/>
      <c r="P286"/>
      <c r="Q286"/>
      <c r="R286"/>
      <c r="S286"/>
      <c r="T286"/>
      <c r="U286"/>
      <c r="V286"/>
      <c r="W286"/>
      <c r="X286"/>
      <c r="Y286"/>
      <c r="Z286"/>
      <c r="AA286"/>
      <c r="AB286"/>
      <c r="AC286"/>
      <c r="AD286"/>
      <c r="AE286"/>
      <c r="AF286"/>
    </row>
    <row r="287" spans="11:32" ht="14.1" customHeight="1" x14ac:dyDescent="0.2">
      <c r="K287" s="130"/>
      <c r="L287" s="158"/>
      <c r="M287"/>
      <c r="N287"/>
      <c r="O287"/>
      <c r="P287"/>
      <c r="Q287"/>
      <c r="R287"/>
      <c r="S287"/>
      <c r="T287"/>
      <c r="U287"/>
      <c r="V287"/>
      <c r="W287"/>
      <c r="X287"/>
      <c r="Y287"/>
      <c r="Z287"/>
      <c r="AA287"/>
      <c r="AB287"/>
      <c r="AC287"/>
      <c r="AD287"/>
      <c r="AE287"/>
      <c r="AF287"/>
    </row>
    <row r="288" spans="11:32" ht="14.1" customHeight="1" x14ac:dyDescent="0.2">
      <c r="K288" s="130"/>
      <c r="L288" s="158"/>
      <c r="M288"/>
      <c r="N288"/>
      <c r="O288"/>
      <c r="P288"/>
      <c r="Q288"/>
      <c r="R288"/>
      <c r="S288"/>
      <c r="T288"/>
      <c r="U288"/>
      <c r="V288"/>
      <c r="W288"/>
      <c r="X288"/>
      <c r="Y288"/>
      <c r="Z288"/>
      <c r="AA288"/>
      <c r="AB288"/>
      <c r="AC288"/>
      <c r="AD288"/>
      <c r="AE288"/>
      <c r="AF288"/>
    </row>
    <row r="289" spans="11:32" ht="14.1" customHeight="1" x14ac:dyDescent="0.2">
      <c r="K289" s="130"/>
      <c r="L289" s="158"/>
      <c r="M289"/>
      <c r="N289"/>
      <c r="O289"/>
      <c r="P289"/>
      <c r="Q289"/>
      <c r="R289"/>
      <c r="S289"/>
      <c r="T289"/>
      <c r="U289"/>
      <c r="V289"/>
      <c r="W289"/>
      <c r="X289"/>
      <c r="Y289"/>
      <c r="Z289"/>
      <c r="AA289"/>
      <c r="AB289"/>
      <c r="AC289"/>
      <c r="AD289"/>
      <c r="AE289"/>
      <c r="AF289"/>
    </row>
    <row r="290" spans="11:32" ht="14.1" customHeight="1" x14ac:dyDescent="0.2">
      <c r="K290" s="130"/>
      <c r="L290" s="158"/>
      <c r="M290"/>
      <c r="N290"/>
      <c r="O290"/>
      <c r="P290"/>
      <c r="Q290"/>
      <c r="R290"/>
      <c r="S290"/>
      <c r="T290"/>
      <c r="U290"/>
      <c r="V290"/>
      <c r="W290"/>
      <c r="X290"/>
      <c r="Y290"/>
      <c r="Z290"/>
      <c r="AA290"/>
      <c r="AB290"/>
      <c r="AC290"/>
      <c r="AD290"/>
      <c r="AE290"/>
      <c r="AF290"/>
    </row>
    <row r="291" spans="11:32" ht="14.1" customHeight="1" x14ac:dyDescent="0.2">
      <c r="K291" s="130"/>
      <c r="L291" s="158"/>
      <c r="M291"/>
      <c r="N291"/>
      <c r="O291"/>
      <c r="P291"/>
      <c r="Q291"/>
      <c r="R291"/>
      <c r="S291"/>
      <c r="T291"/>
      <c r="U291"/>
      <c r="V291"/>
      <c r="W291"/>
      <c r="X291"/>
      <c r="Y291"/>
      <c r="Z291"/>
      <c r="AA291"/>
      <c r="AB291"/>
      <c r="AC291"/>
      <c r="AD291"/>
      <c r="AE291"/>
      <c r="AF291"/>
    </row>
    <row r="292" spans="11:32" ht="14.1" customHeight="1" x14ac:dyDescent="0.2">
      <c r="K292" s="130"/>
      <c r="L292" s="158"/>
      <c r="M292"/>
      <c r="N292"/>
      <c r="O292"/>
      <c r="P292"/>
      <c r="Q292"/>
      <c r="R292"/>
      <c r="S292"/>
      <c r="T292"/>
      <c r="U292"/>
      <c r="V292"/>
      <c r="W292"/>
      <c r="X292"/>
      <c r="Y292"/>
      <c r="Z292"/>
      <c r="AA292"/>
      <c r="AB292"/>
      <c r="AC292"/>
      <c r="AD292"/>
      <c r="AE292"/>
      <c r="AF292"/>
    </row>
    <row r="293" spans="11:32" ht="14.1" customHeight="1" x14ac:dyDescent="0.2">
      <c r="K293" s="130"/>
      <c r="L293" s="158"/>
      <c r="M293"/>
      <c r="N293"/>
      <c r="O293"/>
      <c r="P293"/>
      <c r="Q293"/>
      <c r="R293"/>
      <c r="S293"/>
      <c r="T293"/>
      <c r="U293"/>
      <c r="V293"/>
      <c r="W293"/>
      <c r="X293"/>
      <c r="Y293"/>
      <c r="Z293"/>
      <c r="AA293"/>
      <c r="AB293"/>
      <c r="AC293"/>
      <c r="AD293"/>
      <c r="AE293"/>
      <c r="AF293"/>
    </row>
    <row r="294" spans="11:32" ht="14.1" customHeight="1" x14ac:dyDescent="0.2">
      <c r="K294" s="130"/>
      <c r="L294" s="158"/>
      <c r="M294"/>
      <c r="N294"/>
      <c r="O294"/>
      <c r="P294"/>
      <c r="Q294"/>
      <c r="R294"/>
      <c r="S294"/>
      <c r="T294"/>
      <c r="U294"/>
      <c r="V294"/>
      <c r="W294"/>
      <c r="X294"/>
      <c r="Y294"/>
      <c r="Z294"/>
      <c r="AA294"/>
      <c r="AB294"/>
      <c r="AC294"/>
      <c r="AD294"/>
      <c r="AE294"/>
      <c r="AF294"/>
    </row>
    <row r="295" spans="11:32" ht="14.1" customHeight="1" x14ac:dyDescent="0.2">
      <c r="K295" s="130"/>
      <c r="L295" s="158"/>
      <c r="M295"/>
      <c r="N295"/>
      <c r="O295"/>
      <c r="P295"/>
      <c r="Q295"/>
      <c r="R295"/>
      <c r="S295"/>
      <c r="T295"/>
      <c r="U295"/>
      <c r="V295"/>
      <c r="W295"/>
      <c r="X295"/>
      <c r="Y295"/>
      <c r="Z295"/>
      <c r="AA295"/>
      <c r="AB295"/>
      <c r="AC295"/>
      <c r="AD295"/>
      <c r="AE295"/>
      <c r="AF295"/>
    </row>
    <row r="296" spans="11:32" ht="14.1" customHeight="1" x14ac:dyDescent="0.2">
      <c r="K296" s="130"/>
      <c r="L296" s="158"/>
      <c r="M296"/>
      <c r="N296"/>
      <c r="O296"/>
      <c r="P296"/>
      <c r="Q296"/>
      <c r="R296"/>
      <c r="S296"/>
      <c r="T296"/>
      <c r="U296"/>
      <c r="V296"/>
      <c r="W296"/>
      <c r="X296"/>
      <c r="Y296"/>
      <c r="Z296"/>
      <c r="AA296"/>
      <c r="AB296"/>
      <c r="AC296"/>
      <c r="AD296"/>
      <c r="AE296"/>
      <c r="AF296"/>
    </row>
    <row r="297" spans="11:32" ht="14.1" customHeight="1" x14ac:dyDescent="0.2">
      <c r="K297" s="130"/>
      <c r="L297" s="158"/>
      <c r="M297"/>
      <c r="N297"/>
      <c r="O297"/>
      <c r="P297"/>
      <c r="Q297"/>
      <c r="R297"/>
      <c r="S297"/>
      <c r="T297"/>
      <c r="U297"/>
      <c r="V297"/>
      <c r="W297"/>
      <c r="X297"/>
      <c r="Y297"/>
      <c r="Z297"/>
      <c r="AA297"/>
      <c r="AB297"/>
      <c r="AC297"/>
      <c r="AD297"/>
      <c r="AE297"/>
      <c r="AF297"/>
    </row>
    <row r="298" spans="11:32" ht="14.1" customHeight="1" x14ac:dyDescent="0.2">
      <c r="K298" s="130"/>
      <c r="L298" s="158"/>
      <c r="M298"/>
      <c r="N298"/>
      <c r="O298"/>
      <c r="P298"/>
      <c r="Q298"/>
      <c r="R298"/>
      <c r="S298"/>
      <c r="T298"/>
      <c r="U298"/>
      <c r="V298"/>
      <c r="W298"/>
      <c r="X298"/>
      <c r="Y298"/>
      <c r="Z298"/>
      <c r="AA298"/>
      <c r="AB298"/>
      <c r="AC298"/>
      <c r="AD298"/>
      <c r="AE298"/>
      <c r="AF298"/>
    </row>
    <row r="299" spans="11:32" ht="14.1" customHeight="1" x14ac:dyDescent="0.2">
      <c r="K299" s="130"/>
      <c r="L299" s="158"/>
      <c r="M299"/>
      <c r="N299"/>
      <c r="O299"/>
      <c r="P299"/>
      <c r="Q299"/>
      <c r="R299"/>
      <c r="S299"/>
      <c r="T299"/>
      <c r="U299"/>
      <c r="V299"/>
      <c r="W299"/>
      <c r="X299"/>
      <c r="Y299"/>
      <c r="Z299"/>
      <c r="AA299"/>
      <c r="AB299"/>
      <c r="AC299"/>
      <c r="AD299"/>
      <c r="AE299"/>
      <c r="AF299"/>
    </row>
    <row r="300" spans="11:32" ht="14.1" customHeight="1" x14ac:dyDescent="0.2">
      <c r="K300" s="130"/>
      <c r="L300" s="158"/>
      <c r="M300"/>
      <c r="N300"/>
      <c r="O300"/>
      <c r="P300"/>
      <c r="Q300"/>
      <c r="R300"/>
      <c r="S300"/>
      <c r="T300"/>
      <c r="U300"/>
      <c r="V300"/>
      <c r="W300"/>
      <c r="X300"/>
      <c r="Y300"/>
      <c r="Z300"/>
      <c r="AA300"/>
      <c r="AB300"/>
      <c r="AC300"/>
      <c r="AD300"/>
      <c r="AE300"/>
      <c r="AF300"/>
    </row>
    <row r="301" spans="11:32" ht="14.1" customHeight="1" x14ac:dyDescent="0.2">
      <c r="K301" s="130"/>
      <c r="L301" s="158"/>
      <c r="M301"/>
      <c r="N301"/>
      <c r="O301"/>
      <c r="P301"/>
      <c r="Q301"/>
      <c r="R301"/>
      <c r="S301"/>
      <c r="T301"/>
      <c r="U301"/>
      <c r="V301"/>
      <c r="W301"/>
      <c r="X301"/>
      <c r="Y301"/>
      <c r="Z301"/>
      <c r="AA301"/>
      <c r="AB301"/>
      <c r="AC301"/>
      <c r="AD301"/>
      <c r="AE301"/>
      <c r="AF301"/>
    </row>
    <row r="302" spans="11:32" ht="14.1" customHeight="1" x14ac:dyDescent="0.2">
      <c r="K302" s="130"/>
      <c r="L302" s="158"/>
      <c r="M302"/>
      <c r="N302"/>
      <c r="O302"/>
      <c r="P302"/>
      <c r="Q302"/>
      <c r="R302"/>
      <c r="S302"/>
      <c r="T302"/>
      <c r="U302"/>
      <c r="V302"/>
      <c r="W302"/>
      <c r="X302"/>
      <c r="Y302"/>
      <c r="Z302"/>
      <c r="AA302"/>
      <c r="AB302"/>
      <c r="AC302"/>
      <c r="AD302"/>
      <c r="AE302"/>
      <c r="AF302"/>
    </row>
    <row r="303" spans="11:32" ht="14.1" customHeight="1" x14ac:dyDescent="0.2">
      <c r="K303" s="130"/>
      <c r="L303" s="158"/>
      <c r="M303"/>
      <c r="N303"/>
      <c r="O303"/>
      <c r="P303"/>
      <c r="Q303"/>
      <c r="R303"/>
      <c r="S303"/>
      <c r="T303"/>
      <c r="U303"/>
      <c r="V303"/>
      <c r="W303"/>
      <c r="X303"/>
      <c r="Y303"/>
      <c r="Z303"/>
      <c r="AA303"/>
      <c r="AB303"/>
      <c r="AC303"/>
      <c r="AD303"/>
      <c r="AE303"/>
      <c r="AF303"/>
    </row>
    <row r="304" spans="11:32" ht="14.1" customHeight="1" x14ac:dyDescent="0.2">
      <c r="K304" s="130"/>
      <c r="L304" s="158"/>
      <c r="M304"/>
      <c r="N304"/>
      <c r="O304"/>
      <c r="P304"/>
      <c r="Q304"/>
      <c r="R304"/>
      <c r="S304"/>
      <c r="T304"/>
      <c r="U304"/>
      <c r="V304"/>
      <c r="W304"/>
      <c r="X304"/>
      <c r="Y304"/>
      <c r="Z304"/>
      <c r="AA304"/>
      <c r="AB304"/>
      <c r="AC304"/>
      <c r="AD304"/>
      <c r="AE304"/>
      <c r="AF304"/>
    </row>
    <row r="305" spans="11:32" ht="14.1" customHeight="1" x14ac:dyDescent="0.2">
      <c r="K305" s="130"/>
      <c r="L305" s="158"/>
      <c r="M305"/>
      <c r="N305"/>
      <c r="O305"/>
      <c r="P305"/>
      <c r="Q305"/>
      <c r="R305"/>
      <c r="S305"/>
      <c r="T305"/>
      <c r="U305"/>
      <c r="V305"/>
      <c r="W305"/>
      <c r="X305"/>
      <c r="Y305"/>
      <c r="Z305"/>
      <c r="AA305"/>
      <c r="AB305"/>
      <c r="AC305"/>
      <c r="AD305"/>
      <c r="AE305"/>
      <c r="AF305"/>
    </row>
    <row r="306" spans="11:32" ht="14.1" customHeight="1" x14ac:dyDescent="0.2">
      <c r="K306" s="130"/>
      <c r="L306" s="158"/>
      <c r="M306"/>
      <c r="N306"/>
      <c r="O306"/>
      <c r="P306"/>
      <c r="Q306"/>
      <c r="R306"/>
      <c r="S306"/>
      <c r="T306"/>
      <c r="U306"/>
      <c r="V306"/>
      <c r="W306"/>
      <c r="X306"/>
      <c r="Y306"/>
      <c r="Z306"/>
      <c r="AA306"/>
      <c r="AB306"/>
      <c r="AC306"/>
      <c r="AD306"/>
      <c r="AE306"/>
      <c r="AF306"/>
    </row>
    <row r="307" spans="11:32" ht="14.1" customHeight="1" x14ac:dyDescent="0.2">
      <c r="K307" s="130"/>
      <c r="L307" s="158"/>
      <c r="M307"/>
      <c r="N307"/>
      <c r="O307"/>
      <c r="P307"/>
      <c r="Q307"/>
      <c r="R307"/>
      <c r="S307"/>
      <c r="T307"/>
      <c r="U307"/>
      <c r="V307"/>
      <c r="W307"/>
      <c r="X307"/>
      <c r="Y307"/>
      <c r="Z307"/>
      <c r="AA307"/>
      <c r="AB307"/>
      <c r="AC307"/>
      <c r="AD307"/>
      <c r="AE307"/>
      <c r="AF307"/>
    </row>
    <row r="308" spans="11:32" ht="14.1" customHeight="1" x14ac:dyDescent="0.2">
      <c r="K308" s="130"/>
      <c r="L308" s="158"/>
      <c r="M308"/>
      <c r="N308"/>
      <c r="O308"/>
      <c r="P308"/>
      <c r="Q308"/>
      <c r="R308"/>
      <c r="S308"/>
      <c r="T308"/>
      <c r="U308"/>
      <c r="V308"/>
      <c r="W308"/>
      <c r="X308"/>
      <c r="Y308"/>
      <c r="Z308"/>
      <c r="AA308"/>
      <c r="AB308"/>
      <c r="AC308"/>
      <c r="AD308"/>
      <c r="AE308"/>
      <c r="AF308"/>
    </row>
    <row r="309" spans="11:32" ht="14.1" customHeight="1" x14ac:dyDescent="0.2">
      <c r="K309" s="130"/>
      <c r="L309" s="158"/>
      <c r="M309"/>
      <c r="N309"/>
      <c r="O309"/>
      <c r="P309"/>
      <c r="Q309"/>
      <c r="R309"/>
      <c r="S309"/>
      <c r="T309"/>
      <c r="U309"/>
      <c r="V309"/>
      <c r="W309"/>
      <c r="X309"/>
      <c r="Y309"/>
      <c r="Z309"/>
      <c r="AA309"/>
      <c r="AB309"/>
      <c r="AC309"/>
      <c r="AD309"/>
      <c r="AE309"/>
      <c r="AF309"/>
    </row>
    <row r="310" spans="11:32" ht="14.1" customHeight="1" x14ac:dyDescent="0.2">
      <c r="K310" s="130"/>
      <c r="L310" s="158"/>
      <c r="M310"/>
      <c r="N310"/>
      <c r="O310"/>
      <c r="P310"/>
      <c r="Q310"/>
      <c r="R310"/>
      <c r="S310"/>
      <c r="T310"/>
      <c r="U310"/>
      <c r="V310"/>
      <c r="W310"/>
      <c r="X310"/>
      <c r="Y310"/>
      <c r="Z310"/>
      <c r="AA310"/>
      <c r="AB310"/>
      <c r="AC310"/>
      <c r="AD310"/>
      <c r="AE310"/>
      <c r="AF310"/>
    </row>
    <row r="311" spans="11:32" ht="14.1" customHeight="1" x14ac:dyDescent="0.2">
      <c r="K311" s="130"/>
      <c r="L311" s="158"/>
      <c r="M311"/>
      <c r="N311"/>
      <c r="O311"/>
      <c r="P311"/>
      <c r="Q311"/>
      <c r="R311"/>
      <c r="S311"/>
      <c r="T311"/>
      <c r="U311"/>
      <c r="V311"/>
      <c r="W311"/>
      <c r="X311"/>
      <c r="Y311"/>
      <c r="Z311"/>
      <c r="AA311"/>
      <c r="AB311"/>
      <c r="AC311"/>
      <c r="AD311"/>
      <c r="AE311"/>
      <c r="AF311"/>
    </row>
    <row r="312" spans="11:32" ht="14.1" customHeight="1" x14ac:dyDescent="0.2">
      <c r="K312" s="130"/>
      <c r="L312" s="158"/>
      <c r="M312"/>
      <c r="N312"/>
      <c r="O312"/>
      <c r="P312"/>
      <c r="Q312"/>
      <c r="R312"/>
      <c r="S312"/>
      <c r="T312"/>
      <c r="U312"/>
      <c r="V312"/>
      <c r="W312"/>
      <c r="X312"/>
      <c r="Y312"/>
      <c r="Z312"/>
      <c r="AA312"/>
      <c r="AB312"/>
      <c r="AC312"/>
      <c r="AD312"/>
      <c r="AE312"/>
      <c r="AF312"/>
    </row>
    <row r="313" spans="11:32" ht="14.1" customHeight="1" x14ac:dyDescent="0.2">
      <c r="K313" s="130"/>
      <c r="L313" s="158"/>
      <c r="M313"/>
      <c r="N313"/>
      <c r="O313"/>
      <c r="P313"/>
      <c r="Q313"/>
      <c r="R313"/>
      <c r="S313"/>
      <c r="T313"/>
      <c r="U313"/>
      <c r="V313"/>
      <c r="W313"/>
      <c r="X313"/>
      <c r="Y313"/>
      <c r="Z313"/>
      <c r="AA313"/>
      <c r="AB313"/>
      <c r="AC313"/>
      <c r="AD313"/>
      <c r="AE313"/>
      <c r="AF313"/>
    </row>
    <row r="314" spans="11:32" ht="14.1" customHeight="1" x14ac:dyDescent="0.2">
      <c r="K314" s="130"/>
      <c r="L314" s="158"/>
      <c r="M314"/>
      <c r="N314"/>
      <c r="O314"/>
      <c r="P314"/>
      <c r="Q314"/>
      <c r="R314"/>
      <c r="S314"/>
      <c r="T314"/>
      <c r="U314"/>
      <c r="V314"/>
      <c r="W314"/>
      <c r="X314"/>
      <c r="Y314"/>
      <c r="Z314"/>
      <c r="AA314"/>
      <c r="AB314"/>
      <c r="AC314"/>
      <c r="AD314"/>
      <c r="AE314"/>
      <c r="AF314"/>
    </row>
    <row r="315" spans="11:32" ht="14.1" customHeight="1" x14ac:dyDescent="0.2">
      <c r="K315" s="130"/>
      <c r="L315" s="158"/>
      <c r="M315"/>
      <c r="N315"/>
      <c r="O315"/>
      <c r="P315"/>
      <c r="Q315"/>
      <c r="R315"/>
      <c r="S315"/>
      <c r="T315"/>
      <c r="U315"/>
      <c r="V315"/>
      <c r="W315"/>
      <c r="X315"/>
      <c r="Y315"/>
      <c r="Z315"/>
      <c r="AA315"/>
      <c r="AB315"/>
      <c r="AC315"/>
      <c r="AD315"/>
      <c r="AE315"/>
      <c r="AF315"/>
    </row>
    <row r="316" spans="11:32" ht="14.1" customHeight="1" x14ac:dyDescent="0.2">
      <c r="K316" s="130"/>
      <c r="L316" s="158"/>
      <c r="M316"/>
      <c r="N316"/>
      <c r="O316"/>
      <c r="P316"/>
      <c r="Q316"/>
      <c r="R316"/>
      <c r="S316"/>
      <c r="T316"/>
      <c r="U316"/>
      <c r="V316"/>
      <c r="W316"/>
      <c r="X316"/>
      <c r="Y316"/>
      <c r="Z316"/>
      <c r="AA316"/>
      <c r="AB316"/>
      <c r="AC316"/>
      <c r="AD316"/>
      <c r="AE316"/>
      <c r="AF316"/>
    </row>
    <row r="317" spans="11:32" ht="14.1" customHeight="1" x14ac:dyDescent="0.2">
      <c r="K317" s="130"/>
      <c r="L317" s="158"/>
      <c r="M317"/>
      <c r="N317"/>
      <c r="O317"/>
      <c r="P317"/>
      <c r="Q317"/>
      <c r="R317"/>
      <c r="S317"/>
      <c r="T317"/>
      <c r="U317"/>
      <c r="V317"/>
      <c r="W317"/>
      <c r="X317"/>
      <c r="Y317"/>
      <c r="Z317"/>
      <c r="AA317"/>
      <c r="AB317"/>
      <c r="AC317"/>
      <c r="AD317"/>
      <c r="AE317"/>
      <c r="AF317"/>
    </row>
    <row r="318" spans="11:32" ht="14.1" customHeight="1" x14ac:dyDescent="0.2">
      <c r="K318" s="130"/>
      <c r="L318" s="158"/>
      <c r="M318"/>
      <c r="N318"/>
      <c r="O318"/>
      <c r="P318"/>
      <c r="Q318"/>
      <c r="R318"/>
      <c r="S318"/>
      <c r="T318"/>
      <c r="U318"/>
      <c r="V318"/>
      <c r="W318"/>
      <c r="X318"/>
      <c r="Y318"/>
      <c r="Z318"/>
      <c r="AA318"/>
      <c r="AB318"/>
      <c r="AC318"/>
      <c r="AD318"/>
      <c r="AE318"/>
      <c r="AF318"/>
    </row>
    <row r="319" spans="11:32" ht="14.1" customHeight="1" x14ac:dyDescent="0.2">
      <c r="K319" s="130"/>
      <c r="L319" s="158"/>
      <c r="M319"/>
      <c r="N319"/>
      <c r="O319"/>
      <c r="P319"/>
      <c r="Q319"/>
      <c r="R319"/>
      <c r="S319"/>
      <c r="T319"/>
      <c r="U319"/>
      <c r="V319"/>
      <c r="W319"/>
      <c r="X319"/>
      <c r="Y319"/>
      <c r="Z319"/>
      <c r="AA319"/>
      <c r="AB319"/>
      <c r="AC319"/>
      <c r="AD319"/>
      <c r="AE319"/>
      <c r="AF319"/>
    </row>
    <row r="320" spans="11:32" ht="14.1" customHeight="1" x14ac:dyDescent="0.2">
      <c r="K320" s="130"/>
      <c r="L320" s="158"/>
      <c r="M320"/>
      <c r="N320"/>
      <c r="O320"/>
      <c r="P320"/>
      <c r="Q320"/>
      <c r="R320"/>
      <c r="S320"/>
      <c r="T320"/>
      <c r="U320"/>
      <c r="V320"/>
      <c r="W320"/>
      <c r="X320"/>
      <c r="Y320"/>
      <c r="Z320"/>
      <c r="AA320"/>
      <c r="AB320"/>
      <c r="AC320"/>
      <c r="AD320"/>
      <c r="AE320"/>
      <c r="AF320"/>
    </row>
    <row r="321" spans="11:32" ht="14.1" customHeight="1" x14ac:dyDescent="0.2">
      <c r="K321" s="130"/>
      <c r="L321" s="158"/>
      <c r="M321"/>
      <c r="N321"/>
      <c r="O321"/>
      <c r="P321"/>
      <c r="Q321"/>
      <c r="R321"/>
      <c r="S321"/>
      <c r="T321"/>
      <c r="U321"/>
      <c r="V321"/>
      <c r="W321"/>
      <c r="X321"/>
      <c r="Y321"/>
      <c r="Z321"/>
      <c r="AA321"/>
      <c r="AB321"/>
      <c r="AC321"/>
      <c r="AD321"/>
      <c r="AE321"/>
      <c r="AF321"/>
    </row>
    <row r="322" spans="11:32" ht="14.1" customHeight="1" x14ac:dyDescent="0.2">
      <c r="K322" s="130"/>
      <c r="L322" s="158"/>
      <c r="M322"/>
      <c r="N322"/>
      <c r="O322"/>
      <c r="P322"/>
      <c r="Q322"/>
      <c r="R322"/>
      <c r="S322"/>
      <c r="T322"/>
      <c r="U322"/>
      <c r="V322"/>
      <c r="W322"/>
      <c r="X322"/>
      <c r="Y322"/>
      <c r="Z322"/>
      <c r="AA322"/>
      <c r="AB322"/>
      <c r="AC322"/>
      <c r="AD322"/>
      <c r="AE322"/>
      <c r="AF322"/>
    </row>
    <row r="323" spans="11:32" ht="14.1" customHeight="1" x14ac:dyDescent="0.2">
      <c r="K323" s="130"/>
      <c r="L323" s="158"/>
      <c r="M323"/>
      <c r="N323"/>
      <c r="O323"/>
      <c r="P323"/>
      <c r="Q323"/>
      <c r="R323"/>
      <c r="S323"/>
      <c r="T323"/>
      <c r="U323"/>
      <c r="V323"/>
      <c r="W323"/>
      <c r="X323"/>
      <c r="Y323"/>
      <c r="Z323"/>
      <c r="AA323"/>
      <c r="AB323"/>
      <c r="AC323"/>
      <c r="AD323"/>
      <c r="AE323"/>
      <c r="AF323"/>
    </row>
    <row r="324" spans="11:32" ht="14.1" customHeight="1" x14ac:dyDescent="0.2">
      <c r="K324" s="130"/>
      <c r="L324" s="158"/>
      <c r="M324"/>
      <c r="N324"/>
      <c r="O324"/>
      <c r="P324"/>
      <c r="Q324"/>
      <c r="R324"/>
      <c r="S324"/>
      <c r="T324"/>
      <c r="U324"/>
      <c r="V324"/>
      <c r="W324"/>
      <c r="X324"/>
      <c r="Y324"/>
      <c r="Z324"/>
      <c r="AA324"/>
      <c r="AB324"/>
      <c r="AC324"/>
      <c r="AD324"/>
      <c r="AE324"/>
      <c r="AF324"/>
    </row>
    <row r="325" spans="11:32" ht="14.1" customHeight="1" x14ac:dyDescent="0.2">
      <c r="K325" s="130"/>
      <c r="L325" s="158"/>
      <c r="M325"/>
      <c r="N325"/>
      <c r="O325"/>
      <c r="P325"/>
      <c r="Q325"/>
      <c r="R325"/>
      <c r="S325"/>
      <c r="T325"/>
      <c r="U325"/>
      <c r="V325"/>
      <c r="W325"/>
      <c r="X325"/>
      <c r="Y325"/>
      <c r="Z325"/>
      <c r="AA325"/>
      <c r="AB325"/>
      <c r="AC325"/>
      <c r="AD325"/>
      <c r="AE325"/>
      <c r="AF325"/>
    </row>
    <row r="326" spans="11:32" ht="14.1" customHeight="1" x14ac:dyDescent="0.2">
      <c r="K326" s="130"/>
      <c r="L326" s="158"/>
      <c r="M326"/>
      <c r="N326"/>
      <c r="O326"/>
      <c r="P326"/>
      <c r="Q326"/>
      <c r="R326"/>
      <c r="S326"/>
      <c r="T326"/>
      <c r="U326"/>
      <c r="V326"/>
      <c r="W326"/>
      <c r="X326"/>
      <c r="Y326"/>
      <c r="Z326"/>
      <c r="AA326"/>
      <c r="AB326"/>
      <c r="AC326"/>
      <c r="AD326"/>
      <c r="AE326"/>
      <c r="AF326"/>
    </row>
    <row r="327" spans="11:32" ht="14.1" customHeight="1" x14ac:dyDescent="0.2">
      <c r="K327" s="130"/>
      <c r="L327" s="158"/>
      <c r="M327"/>
      <c r="N327"/>
      <c r="O327"/>
      <c r="P327"/>
      <c r="Q327"/>
      <c r="R327"/>
      <c r="S327"/>
      <c r="T327"/>
      <c r="U327"/>
      <c r="V327"/>
      <c r="W327"/>
      <c r="X327"/>
      <c r="Y327"/>
      <c r="Z327"/>
      <c r="AA327"/>
      <c r="AB327"/>
      <c r="AC327"/>
      <c r="AD327"/>
      <c r="AE327"/>
      <c r="AF327"/>
    </row>
    <row r="328" spans="11:32" ht="14.1" customHeight="1" x14ac:dyDescent="0.2">
      <c r="K328" s="130"/>
      <c r="L328" s="158"/>
      <c r="M328"/>
      <c r="N328"/>
      <c r="O328"/>
      <c r="P328"/>
      <c r="Q328"/>
      <c r="R328"/>
      <c r="S328"/>
      <c r="T328"/>
      <c r="U328"/>
      <c r="V328"/>
      <c r="W328"/>
      <c r="X328"/>
      <c r="Y328"/>
      <c r="Z328"/>
      <c r="AA328"/>
      <c r="AB328"/>
      <c r="AC328"/>
      <c r="AD328"/>
      <c r="AE328"/>
      <c r="AF328"/>
    </row>
    <row r="329" spans="11:32" ht="14.1" customHeight="1" x14ac:dyDescent="0.2">
      <c r="K329" s="130"/>
      <c r="L329" s="158"/>
      <c r="M329"/>
      <c r="N329"/>
      <c r="O329"/>
      <c r="P329"/>
      <c r="Q329"/>
      <c r="R329"/>
      <c r="S329"/>
      <c r="T329"/>
      <c r="U329"/>
      <c r="V329"/>
      <c r="W329"/>
      <c r="X329"/>
      <c r="Y329"/>
      <c r="Z329"/>
      <c r="AA329"/>
      <c r="AB329"/>
      <c r="AC329"/>
      <c r="AD329"/>
      <c r="AE329"/>
      <c r="AF329"/>
    </row>
    <row r="330" spans="11:32" ht="14.1" customHeight="1" x14ac:dyDescent="0.2">
      <c r="K330" s="130"/>
      <c r="L330" s="158"/>
      <c r="M330"/>
      <c r="N330"/>
      <c r="O330"/>
      <c r="P330"/>
      <c r="Q330"/>
      <c r="R330"/>
      <c r="S330"/>
      <c r="T330"/>
      <c r="U330"/>
      <c r="V330"/>
      <c r="W330"/>
      <c r="X330"/>
      <c r="Y330"/>
      <c r="Z330"/>
      <c r="AA330"/>
      <c r="AB330"/>
      <c r="AC330"/>
      <c r="AD330"/>
      <c r="AE330"/>
      <c r="AF330"/>
    </row>
    <row r="331" spans="11:32" ht="14.1" customHeight="1" x14ac:dyDescent="0.2">
      <c r="K331" s="130"/>
      <c r="L331" s="158"/>
      <c r="M331"/>
      <c r="N331"/>
      <c r="O331"/>
      <c r="P331"/>
      <c r="Q331"/>
      <c r="R331"/>
      <c r="S331"/>
      <c r="T331"/>
      <c r="U331"/>
      <c r="V331"/>
      <c r="W331"/>
      <c r="X331"/>
      <c r="Y331"/>
      <c r="Z331"/>
      <c r="AA331"/>
      <c r="AB331"/>
      <c r="AC331"/>
      <c r="AD331"/>
      <c r="AE331"/>
      <c r="AF331"/>
    </row>
    <row r="332" spans="11:32" ht="14.1" customHeight="1" x14ac:dyDescent="0.2">
      <c r="K332" s="130"/>
      <c r="L332" s="158"/>
      <c r="M332"/>
      <c r="N332"/>
      <c r="O332"/>
      <c r="P332"/>
      <c r="Q332"/>
      <c r="R332"/>
      <c r="S332"/>
      <c r="T332"/>
      <c r="U332"/>
      <c r="V332"/>
      <c r="W332"/>
      <c r="X332"/>
      <c r="Y332"/>
      <c r="Z332"/>
      <c r="AA332"/>
      <c r="AB332"/>
      <c r="AC332"/>
      <c r="AD332"/>
      <c r="AE332"/>
      <c r="AF332"/>
    </row>
    <row r="333" spans="11:32" ht="14.1" customHeight="1" x14ac:dyDescent="0.2">
      <c r="K333" s="130"/>
      <c r="L333" s="158"/>
      <c r="M333"/>
      <c r="N333"/>
      <c r="O333"/>
      <c r="P333"/>
      <c r="Q333"/>
      <c r="R333"/>
      <c r="S333"/>
      <c r="T333"/>
      <c r="U333"/>
      <c r="V333"/>
      <c r="W333"/>
      <c r="X333"/>
      <c r="Y333"/>
      <c r="Z333"/>
      <c r="AA333"/>
      <c r="AB333"/>
      <c r="AC333"/>
      <c r="AD333"/>
      <c r="AE333"/>
      <c r="AF333"/>
    </row>
    <row r="334" spans="11:32" ht="14.1" customHeight="1" x14ac:dyDescent="0.2">
      <c r="K334" s="130"/>
      <c r="L334" s="158"/>
      <c r="M334"/>
      <c r="N334"/>
      <c r="O334"/>
      <c r="P334"/>
      <c r="Q334"/>
      <c r="R334"/>
      <c r="S334"/>
      <c r="T334"/>
      <c r="U334"/>
      <c r="V334"/>
      <c r="W334"/>
      <c r="X334"/>
      <c r="Y334"/>
      <c r="Z334"/>
      <c r="AA334"/>
      <c r="AB334"/>
      <c r="AC334"/>
      <c r="AD334"/>
      <c r="AE334"/>
      <c r="AF334"/>
    </row>
    <row r="335" spans="11:32" ht="14.1" customHeight="1" x14ac:dyDescent="0.2">
      <c r="K335" s="130"/>
      <c r="L335" s="158"/>
      <c r="M335"/>
      <c r="N335"/>
      <c r="O335"/>
      <c r="P335"/>
      <c r="Q335"/>
      <c r="R335"/>
      <c r="S335"/>
      <c r="T335"/>
      <c r="U335"/>
      <c r="V335"/>
      <c r="W335"/>
      <c r="X335"/>
      <c r="Y335"/>
      <c r="Z335"/>
      <c r="AA335"/>
      <c r="AB335"/>
      <c r="AC335"/>
      <c r="AD335"/>
      <c r="AE335"/>
      <c r="AF335"/>
    </row>
    <row r="336" spans="11:32" ht="14.1" customHeight="1" x14ac:dyDescent="0.2">
      <c r="K336" s="130"/>
      <c r="L336" s="158"/>
      <c r="M336"/>
      <c r="N336"/>
      <c r="O336"/>
      <c r="P336"/>
      <c r="Q336"/>
      <c r="R336"/>
      <c r="S336"/>
      <c r="T336"/>
      <c r="U336"/>
      <c r="V336"/>
      <c r="W336"/>
      <c r="X336"/>
      <c r="Y336"/>
      <c r="Z336"/>
      <c r="AA336"/>
      <c r="AB336"/>
      <c r="AC336"/>
      <c r="AD336"/>
      <c r="AE336"/>
      <c r="AF336"/>
    </row>
    <row r="337" spans="11:32" ht="14.1" customHeight="1" x14ac:dyDescent="0.2">
      <c r="K337" s="130"/>
      <c r="L337" s="158"/>
      <c r="M337"/>
      <c r="N337"/>
      <c r="O337"/>
      <c r="P337"/>
      <c r="Q337"/>
      <c r="R337"/>
      <c r="S337"/>
      <c r="T337"/>
      <c r="U337"/>
      <c r="V337"/>
      <c r="W337"/>
      <c r="X337"/>
      <c r="Y337"/>
      <c r="Z337"/>
      <c r="AA337"/>
      <c r="AB337"/>
      <c r="AC337"/>
      <c r="AD337"/>
      <c r="AE337"/>
      <c r="AF337"/>
    </row>
    <row r="338" spans="11:32" ht="14.1" customHeight="1" x14ac:dyDescent="0.2">
      <c r="K338" s="130"/>
      <c r="L338" s="158"/>
      <c r="M338"/>
      <c r="N338"/>
      <c r="O338"/>
      <c r="P338"/>
      <c r="Q338"/>
      <c r="R338"/>
      <c r="S338"/>
      <c r="T338"/>
      <c r="U338"/>
      <c r="V338"/>
      <c r="W338"/>
      <c r="X338"/>
      <c r="Y338"/>
      <c r="Z338"/>
      <c r="AA338"/>
      <c r="AB338"/>
      <c r="AC338"/>
      <c r="AD338"/>
      <c r="AE338"/>
      <c r="AF338"/>
    </row>
    <row r="339" spans="11:32" ht="14.1" customHeight="1" x14ac:dyDescent="0.2">
      <c r="K339" s="130"/>
      <c r="L339" s="158"/>
      <c r="M339"/>
      <c r="N339"/>
      <c r="O339"/>
      <c r="P339"/>
      <c r="Q339"/>
      <c r="R339"/>
      <c r="S339"/>
      <c r="T339"/>
      <c r="U339"/>
      <c r="V339"/>
      <c r="W339"/>
      <c r="X339"/>
      <c r="Y339"/>
      <c r="Z339"/>
      <c r="AA339"/>
      <c r="AB339"/>
      <c r="AC339"/>
      <c r="AD339"/>
      <c r="AE339"/>
      <c r="AF339"/>
    </row>
    <row r="340" spans="11:32" ht="14.1" customHeight="1" x14ac:dyDescent="0.2">
      <c r="K340" s="130"/>
      <c r="L340" s="158"/>
      <c r="M340"/>
      <c r="N340"/>
      <c r="O340"/>
      <c r="P340"/>
      <c r="Q340"/>
      <c r="R340"/>
      <c r="S340"/>
      <c r="T340"/>
      <c r="U340"/>
      <c r="V340"/>
      <c r="W340"/>
      <c r="X340"/>
      <c r="Y340"/>
      <c r="Z340"/>
      <c r="AA340"/>
      <c r="AB340"/>
      <c r="AC340"/>
      <c r="AD340"/>
      <c r="AE340"/>
      <c r="AF340"/>
    </row>
    <row r="341" spans="11:32" ht="14.1" customHeight="1" x14ac:dyDescent="0.2">
      <c r="K341" s="130"/>
      <c r="L341" s="158"/>
      <c r="M341"/>
      <c r="N341"/>
      <c r="O341"/>
      <c r="P341"/>
      <c r="Q341"/>
      <c r="R341"/>
      <c r="S341"/>
      <c r="T341"/>
      <c r="U341"/>
      <c r="V341"/>
      <c r="W341"/>
      <c r="X341"/>
      <c r="Y341"/>
      <c r="Z341"/>
      <c r="AA341"/>
      <c r="AB341"/>
      <c r="AC341"/>
      <c r="AD341"/>
      <c r="AE341"/>
      <c r="AF341"/>
    </row>
    <row r="342" spans="11:32" ht="14.1" customHeight="1" x14ac:dyDescent="0.2">
      <c r="K342" s="130"/>
      <c r="L342" s="158"/>
      <c r="M342"/>
      <c r="N342"/>
      <c r="O342"/>
      <c r="P342"/>
      <c r="Q342"/>
      <c r="R342"/>
      <c r="S342"/>
      <c r="T342"/>
      <c r="U342"/>
      <c r="V342"/>
      <c r="W342"/>
      <c r="X342"/>
      <c r="Y342"/>
      <c r="Z342"/>
      <c r="AA342"/>
      <c r="AB342"/>
      <c r="AC342"/>
      <c r="AD342"/>
      <c r="AE342"/>
      <c r="AF342"/>
    </row>
    <row r="343" spans="11:32" ht="14.1" customHeight="1" x14ac:dyDescent="0.2">
      <c r="K343" s="130"/>
      <c r="L343" s="158"/>
      <c r="M343"/>
      <c r="N343"/>
      <c r="O343"/>
      <c r="P343"/>
      <c r="Q343"/>
      <c r="R343"/>
      <c r="S343"/>
      <c r="T343"/>
      <c r="U343"/>
      <c r="V343"/>
      <c r="W343"/>
      <c r="X343"/>
      <c r="Y343"/>
      <c r="Z343"/>
      <c r="AA343"/>
      <c r="AB343"/>
      <c r="AC343"/>
      <c r="AD343"/>
      <c r="AE343"/>
      <c r="AF343"/>
    </row>
    <row r="344" spans="11:32" ht="14.1" customHeight="1" x14ac:dyDescent="0.2">
      <c r="K344" s="130"/>
      <c r="L344" s="158"/>
      <c r="M344"/>
      <c r="N344"/>
      <c r="O344"/>
      <c r="P344"/>
      <c r="Q344"/>
      <c r="R344"/>
      <c r="S344"/>
      <c r="T344"/>
      <c r="U344"/>
      <c r="V344"/>
      <c r="W344"/>
      <c r="X344"/>
      <c r="Y344"/>
      <c r="Z344"/>
      <c r="AA344"/>
      <c r="AB344"/>
      <c r="AC344"/>
      <c r="AD344"/>
      <c r="AE344"/>
      <c r="AF344"/>
    </row>
    <row r="345" spans="11:32" ht="14.1" customHeight="1" x14ac:dyDescent="0.2">
      <c r="K345" s="130"/>
      <c r="L345" s="158"/>
      <c r="M345"/>
      <c r="N345"/>
      <c r="O345"/>
      <c r="P345"/>
      <c r="Q345"/>
      <c r="R345"/>
      <c r="S345"/>
      <c r="T345"/>
      <c r="U345"/>
      <c r="V345"/>
      <c r="W345"/>
      <c r="X345"/>
      <c r="Y345"/>
      <c r="Z345"/>
      <c r="AA345"/>
      <c r="AB345"/>
      <c r="AC345"/>
      <c r="AD345"/>
      <c r="AE345"/>
      <c r="AF345"/>
    </row>
    <row r="346" spans="11:32" ht="14.1" customHeight="1" x14ac:dyDescent="0.2">
      <c r="K346" s="130"/>
      <c r="L346" s="158"/>
      <c r="M346"/>
      <c r="N346"/>
      <c r="O346"/>
      <c r="P346"/>
      <c r="Q346"/>
      <c r="R346"/>
      <c r="S346"/>
      <c r="T346"/>
      <c r="U346"/>
      <c r="V346"/>
      <c r="W346"/>
      <c r="X346"/>
      <c r="Y346"/>
      <c r="Z346"/>
      <c r="AA346"/>
      <c r="AB346"/>
      <c r="AC346"/>
      <c r="AD346"/>
      <c r="AE346"/>
      <c r="AF346"/>
    </row>
    <row r="347" spans="11:32" ht="14.1" customHeight="1" x14ac:dyDescent="0.2">
      <c r="K347" s="130"/>
      <c r="L347" s="158"/>
      <c r="M347"/>
      <c r="N347"/>
      <c r="O347"/>
      <c r="P347"/>
      <c r="Q347"/>
      <c r="R347"/>
      <c r="S347"/>
      <c r="T347"/>
      <c r="U347"/>
      <c r="V347"/>
      <c r="W347"/>
      <c r="X347"/>
      <c r="Y347"/>
      <c r="Z347"/>
      <c r="AA347"/>
      <c r="AB347"/>
      <c r="AC347"/>
      <c r="AD347"/>
      <c r="AE347"/>
      <c r="AF347"/>
    </row>
    <row r="348" spans="11:32" ht="14.1" customHeight="1" x14ac:dyDescent="0.2">
      <c r="K348" s="130"/>
      <c r="L348" s="158"/>
      <c r="M348"/>
      <c r="N348"/>
      <c r="O348"/>
      <c r="P348"/>
      <c r="Q348"/>
      <c r="R348"/>
      <c r="S348"/>
      <c r="T348"/>
      <c r="U348"/>
      <c r="V348"/>
      <c r="W348"/>
      <c r="X348"/>
      <c r="Y348"/>
      <c r="Z348"/>
      <c r="AA348"/>
      <c r="AB348"/>
      <c r="AC348"/>
      <c r="AD348"/>
      <c r="AE348"/>
      <c r="AF348"/>
    </row>
    <row r="349" spans="11:32" ht="14.1" customHeight="1" x14ac:dyDescent="0.2">
      <c r="K349" s="130"/>
      <c r="L349" s="158"/>
      <c r="M349"/>
      <c r="N349"/>
      <c r="O349"/>
      <c r="P349"/>
      <c r="Q349"/>
      <c r="R349"/>
      <c r="S349"/>
      <c r="T349"/>
      <c r="U349"/>
      <c r="V349"/>
      <c r="W349"/>
      <c r="X349"/>
      <c r="Y349"/>
      <c r="Z349"/>
      <c r="AA349"/>
      <c r="AB349"/>
      <c r="AC349"/>
      <c r="AD349"/>
      <c r="AE349"/>
      <c r="AF349"/>
    </row>
    <row r="350" spans="11:32" ht="14.1" customHeight="1" x14ac:dyDescent="0.2">
      <c r="K350" s="130"/>
      <c r="L350" s="158"/>
      <c r="M350"/>
      <c r="N350"/>
      <c r="O350"/>
      <c r="P350"/>
      <c r="Q350"/>
      <c r="R350"/>
      <c r="S350"/>
      <c r="T350"/>
      <c r="U350"/>
      <c r="V350"/>
      <c r="W350"/>
      <c r="X350"/>
      <c r="Y350"/>
      <c r="Z350"/>
      <c r="AA350"/>
      <c r="AB350"/>
      <c r="AC350"/>
      <c r="AD350"/>
      <c r="AE350"/>
      <c r="AF350"/>
    </row>
    <row r="351" spans="11:32" ht="14.1" customHeight="1" x14ac:dyDescent="0.2">
      <c r="K351" s="130"/>
      <c r="L351" s="158"/>
      <c r="M351"/>
      <c r="N351"/>
      <c r="O351"/>
      <c r="P351"/>
      <c r="Q351"/>
      <c r="R351"/>
      <c r="S351"/>
      <c r="T351"/>
      <c r="U351"/>
      <c r="V351"/>
      <c r="W351"/>
      <c r="X351"/>
      <c r="Y351"/>
      <c r="Z351"/>
      <c r="AA351"/>
      <c r="AB351"/>
      <c r="AC351"/>
      <c r="AD351"/>
      <c r="AE351"/>
      <c r="AF351"/>
    </row>
    <row r="352" spans="11:32" ht="14.1" customHeight="1" x14ac:dyDescent="0.2">
      <c r="K352" s="130"/>
      <c r="L352" s="158"/>
      <c r="M352"/>
      <c r="N352"/>
      <c r="O352"/>
      <c r="P352"/>
      <c r="Q352"/>
      <c r="R352"/>
      <c r="S352"/>
      <c r="T352"/>
      <c r="U352"/>
      <c r="V352"/>
      <c r="W352"/>
      <c r="X352"/>
      <c r="Y352"/>
      <c r="Z352"/>
      <c r="AA352"/>
      <c r="AB352"/>
      <c r="AC352"/>
      <c r="AD352"/>
      <c r="AE352"/>
      <c r="AF352"/>
    </row>
    <row r="353" spans="11:32" ht="14.1" customHeight="1" x14ac:dyDescent="0.2">
      <c r="K353" s="130"/>
      <c r="L353" s="158"/>
      <c r="M353"/>
      <c r="N353"/>
      <c r="O353"/>
      <c r="P353"/>
      <c r="Q353"/>
      <c r="R353"/>
      <c r="S353"/>
      <c r="T353"/>
      <c r="U353"/>
      <c r="V353"/>
      <c r="W353"/>
      <c r="X353"/>
      <c r="Y353"/>
      <c r="Z353"/>
      <c r="AA353"/>
      <c r="AB353"/>
      <c r="AC353"/>
      <c r="AD353"/>
      <c r="AE353"/>
      <c r="AF353"/>
    </row>
    <row r="354" spans="11:32" ht="14.1" customHeight="1" x14ac:dyDescent="0.2">
      <c r="K354" s="130"/>
      <c r="L354" s="158"/>
      <c r="M354"/>
      <c r="N354"/>
      <c r="O354"/>
      <c r="P354"/>
      <c r="Q354"/>
      <c r="R354"/>
      <c r="S354"/>
      <c r="T354"/>
      <c r="U354"/>
      <c r="V354"/>
      <c r="W354"/>
      <c r="X354"/>
      <c r="Y354"/>
      <c r="Z354"/>
      <c r="AA354"/>
      <c r="AB354"/>
      <c r="AC354"/>
      <c r="AD354"/>
      <c r="AE354"/>
      <c r="AF354"/>
    </row>
    <row r="355" spans="11:32" ht="14.1" customHeight="1" x14ac:dyDescent="0.2">
      <c r="K355" s="130"/>
      <c r="L355" s="158"/>
      <c r="M355"/>
      <c r="N355"/>
      <c r="O355"/>
      <c r="P355"/>
      <c r="Q355"/>
      <c r="R355"/>
      <c r="S355"/>
      <c r="T355"/>
      <c r="U355"/>
      <c r="V355"/>
      <c r="W355"/>
      <c r="X355"/>
      <c r="Y355"/>
      <c r="Z355"/>
      <c r="AA355"/>
      <c r="AB355"/>
      <c r="AC355"/>
      <c r="AD355"/>
      <c r="AE355"/>
      <c r="AF355"/>
    </row>
    <row r="356" spans="11:32" ht="14.1" customHeight="1" x14ac:dyDescent="0.2">
      <c r="K356" s="130"/>
      <c r="L356" s="158"/>
      <c r="M356"/>
      <c r="N356"/>
      <c r="O356"/>
      <c r="P356"/>
      <c r="Q356"/>
      <c r="R356"/>
      <c r="S356"/>
      <c r="T356"/>
      <c r="U356"/>
      <c r="V356"/>
      <c r="W356"/>
      <c r="X356"/>
      <c r="Y356"/>
      <c r="Z356"/>
      <c r="AA356"/>
      <c r="AB356"/>
      <c r="AC356"/>
      <c r="AD356"/>
      <c r="AE356"/>
      <c r="AF356"/>
    </row>
    <row r="357" spans="11:32" ht="14.1" customHeight="1" x14ac:dyDescent="0.2">
      <c r="K357" s="130"/>
      <c r="L357" s="158"/>
      <c r="M357"/>
      <c r="N357"/>
      <c r="O357"/>
      <c r="P357"/>
      <c r="Q357"/>
      <c r="R357"/>
      <c r="S357"/>
      <c r="T357"/>
      <c r="U357"/>
      <c r="V357"/>
      <c r="W357"/>
      <c r="X357"/>
      <c r="Y357"/>
      <c r="Z357"/>
      <c r="AA357"/>
      <c r="AB357"/>
      <c r="AC357"/>
      <c r="AD357"/>
      <c r="AE357"/>
      <c r="AF357"/>
    </row>
    <row r="358" spans="11:32" ht="14.1" customHeight="1" x14ac:dyDescent="0.2">
      <c r="K358" s="130"/>
      <c r="L358" s="158"/>
      <c r="M358"/>
      <c r="N358"/>
      <c r="O358"/>
      <c r="P358"/>
      <c r="Q358"/>
      <c r="R358"/>
      <c r="S358"/>
      <c r="T358"/>
      <c r="U358"/>
      <c r="V358"/>
      <c r="W358"/>
      <c r="X358"/>
      <c r="Y358"/>
      <c r="Z358"/>
      <c r="AA358"/>
      <c r="AB358"/>
      <c r="AC358"/>
      <c r="AD358"/>
      <c r="AE358"/>
      <c r="AF358"/>
    </row>
    <row r="359" spans="11:32" ht="14.1" customHeight="1" x14ac:dyDescent="0.2">
      <c r="K359" s="130"/>
      <c r="L359" s="158"/>
      <c r="M359"/>
      <c r="N359"/>
      <c r="O359"/>
      <c r="P359"/>
      <c r="Q359"/>
      <c r="R359"/>
      <c r="S359"/>
      <c r="T359"/>
      <c r="U359"/>
      <c r="V359"/>
      <c r="W359"/>
      <c r="X359"/>
      <c r="Y359"/>
      <c r="Z359"/>
      <c r="AA359"/>
      <c r="AB359"/>
      <c r="AC359"/>
      <c r="AD359"/>
      <c r="AE359"/>
      <c r="AF359"/>
    </row>
    <row r="360" spans="11:32" ht="14.1" customHeight="1" x14ac:dyDescent="0.2">
      <c r="K360" s="130"/>
      <c r="L360" s="158"/>
      <c r="M360"/>
      <c r="N360"/>
      <c r="O360"/>
      <c r="P360"/>
      <c r="Q360"/>
      <c r="R360"/>
      <c r="S360"/>
      <c r="T360"/>
      <c r="U360"/>
      <c r="V360"/>
      <c r="W360"/>
      <c r="X360"/>
      <c r="Y360"/>
      <c r="Z360"/>
      <c r="AA360"/>
      <c r="AB360"/>
      <c r="AC360"/>
      <c r="AD360"/>
      <c r="AE360"/>
      <c r="AF360"/>
    </row>
    <row r="361" spans="11:32" ht="14.1" customHeight="1" x14ac:dyDescent="0.2">
      <c r="K361" s="130"/>
      <c r="L361" s="158"/>
      <c r="M361"/>
      <c r="N361"/>
      <c r="O361"/>
      <c r="P361"/>
      <c r="Q361"/>
      <c r="R361"/>
      <c r="S361"/>
      <c r="T361"/>
      <c r="U361"/>
      <c r="V361"/>
      <c r="W361"/>
      <c r="X361"/>
      <c r="Y361"/>
      <c r="Z361"/>
      <c r="AA361"/>
      <c r="AB361"/>
      <c r="AC361"/>
      <c r="AD361"/>
      <c r="AE361"/>
      <c r="AF361"/>
    </row>
    <row r="362" spans="11:32" ht="14.1" customHeight="1" x14ac:dyDescent="0.2">
      <c r="K362" s="130"/>
      <c r="L362" s="158"/>
      <c r="M362"/>
      <c r="N362"/>
      <c r="O362"/>
      <c r="P362"/>
      <c r="Q362"/>
      <c r="R362"/>
      <c r="S362"/>
      <c r="T362"/>
      <c r="U362"/>
      <c r="V362"/>
      <c r="W362"/>
      <c r="X362"/>
      <c r="Y362"/>
      <c r="Z362"/>
      <c r="AA362"/>
      <c r="AB362"/>
      <c r="AC362"/>
      <c r="AD362"/>
      <c r="AE362"/>
      <c r="AF362"/>
    </row>
    <row r="363" spans="11:32" ht="14.1" customHeight="1" x14ac:dyDescent="0.2">
      <c r="K363" s="130"/>
      <c r="L363" s="158"/>
      <c r="M363"/>
      <c r="N363"/>
      <c r="O363"/>
      <c r="P363"/>
      <c r="Q363"/>
      <c r="R363"/>
      <c r="S363"/>
      <c r="T363"/>
      <c r="U363"/>
      <c r="V363"/>
      <c r="W363"/>
      <c r="X363"/>
      <c r="Y363"/>
      <c r="Z363"/>
      <c r="AA363"/>
      <c r="AB363"/>
      <c r="AC363"/>
      <c r="AD363"/>
      <c r="AE363"/>
      <c r="AF363"/>
    </row>
    <row r="364" spans="11:32" ht="14.1" customHeight="1" x14ac:dyDescent="0.2">
      <c r="K364" s="130"/>
      <c r="L364" s="158"/>
      <c r="M364"/>
      <c r="N364"/>
      <c r="O364"/>
      <c r="P364"/>
      <c r="Q364"/>
      <c r="R364"/>
      <c r="S364"/>
      <c r="T364"/>
      <c r="U364"/>
      <c r="V364"/>
      <c r="W364"/>
      <c r="X364"/>
      <c r="Y364"/>
      <c r="Z364"/>
      <c r="AA364"/>
      <c r="AB364"/>
      <c r="AC364"/>
      <c r="AD364"/>
      <c r="AE364"/>
      <c r="AF364"/>
    </row>
    <row r="365" spans="11:32" ht="14.1" customHeight="1" x14ac:dyDescent="0.2">
      <c r="K365" s="130"/>
      <c r="L365" s="158"/>
      <c r="M365"/>
      <c r="N365"/>
      <c r="O365"/>
      <c r="P365"/>
      <c r="Q365"/>
      <c r="R365"/>
      <c r="S365"/>
      <c r="T365"/>
      <c r="U365"/>
      <c r="V365"/>
      <c r="W365"/>
      <c r="X365"/>
      <c r="Y365"/>
      <c r="Z365"/>
      <c r="AA365"/>
      <c r="AB365"/>
      <c r="AC365"/>
      <c r="AD365"/>
      <c r="AE365"/>
      <c r="AF365"/>
    </row>
    <row r="366" spans="11:32" ht="14.1" customHeight="1" x14ac:dyDescent="0.2">
      <c r="K366" s="130"/>
      <c r="L366" s="158"/>
      <c r="M366"/>
      <c r="N366"/>
      <c r="O366"/>
      <c r="P366"/>
      <c r="Q366"/>
      <c r="R366"/>
      <c r="S366"/>
      <c r="T366"/>
      <c r="U366"/>
      <c r="V366"/>
      <c r="W366"/>
      <c r="X366"/>
      <c r="Y366"/>
      <c r="Z366"/>
      <c r="AA366"/>
      <c r="AB366"/>
      <c r="AC366"/>
      <c r="AD366"/>
      <c r="AE366"/>
      <c r="AF366"/>
    </row>
    <row r="367" spans="11:32" ht="14.1" customHeight="1" x14ac:dyDescent="0.2">
      <c r="K367" s="130"/>
      <c r="L367" s="158"/>
      <c r="M367"/>
      <c r="N367"/>
      <c r="O367"/>
      <c r="P367"/>
      <c r="Q367"/>
      <c r="R367"/>
      <c r="S367"/>
      <c r="T367"/>
      <c r="U367"/>
      <c r="V367"/>
      <c r="W367"/>
      <c r="X367"/>
      <c r="Y367"/>
      <c r="Z367"/>
      <c r="AA367"/>
      <c r="AB367"/>
      <c r="AC367"/>
      <c r="AD367"/>
      <c r="AE367"/>
      <c r="AF367"/>
    </row>
    <row r="368" spans="11:32" ht="14.1" customHeight="1" x14ac:dyDescent="0.2">
      <c r="K368" s="130"/>
      <c r="L368" s="158"/>
      <c r="M368"/>
      <c r="N368"/>
      <c r="O368"/>
      <c r="P368"/>
      <c r="Q368"/>
      <c r="R368"/>
      <c r="S368"/>
      <c r="T368"/>
      <c r="U368"/>
      <c r="V368"/>
      <c r="W368"/>
      <c r="X368"/>
      <c r="Y368"/>
      <c r="Z368"/>
      <c r="AA368"/>
      <c r="AB368"/>
      <c r="AC368"/>
      <c r="AD368"/>
      <c r="AE368"/>
      <c r="AF368"/>
    </row>
    <row r="369" spans="11:32" ht="14.1" customHeight="1" x14ac:dyDescent="0.2">
      <c r="K369" s="130"/>
      <c r="L369" s="158"/>
      <c r="M369"/>
      <c r="N369"/>
      <c r="O369"/>
      <c r="P369"/>
      <c r="Q369"/>
      <c r="R369"/>
      <c r="S369"/>
      <c r="T369"/>
      <c r="U369"/>
      <c r="V369"/>
      <c r="W369"/>
      <c r="X369"/>
      <c r="Y369"/>
      <c r="Z369"/>
      <c r="AA369"/>
      <c r="AB369"/>
      <c r="AC369"/>
      <c r="AD369"/>
      <c r="AE369"/>
      <c r="AF369"/>
    </row>
    <row r="370" spans="11:32" ht="14.1" customHeight="1" x14ac:dyDescent="0.2">
      <c r="K370" s="130"/>
      <c r="L370" s="158"/>
      <c r="M370"/>
      <c r="N370"/>
      <c r="O370"/>
      <c r="P370"/>
      <c r="Q370"/>
      <c r="R370"/>
      <c r="S370"/>
      <c r="T370"/>
      <c r="U370"/>
      <c r="V370"/>
      <c r="W370"/>
      <c r="X370"/>
      <c r="Y370"/>
      <c r="Z370"/>
      <c r="AA370"/>
      <c r="AB370"/>
      <c r="AC370"/>
      <c r="AD370"/>
      <c r="AE370"/>
      <c r="AF370"/>
    </row>
    <row r="371" spans="11:32" ht="14.1" customHeight="1" x14ac:dyDescent="0.2">
      <c r="K371" s="130"/>
      <c r="L371" s="158"/>
      <c r="M371"/>
      <c r="N371"/>
      <c r="O371"/>
      <c r="P371"/>
      <c r="Q371"/>
      <c r="R371"/>
      <c r="S371"/>
      <c r="T371"/>
      <c r="U371"/>
      <c r="V371"/>
      <c r="W371"/>
      <c r="X371"/>
      <c r="Y371"/>
      <c r="Z371"/>
      <c r="AA371"/>
      <c r="AB371"/>
      <c r="AC371"/>
      <c r="AD371"/>
      <c r="AE371"/>
      <c r="AF371"/>
    </row>
    <row r="372" spans="11:32" ht="14.1" customHeight="1" x14ac:dyDescent="0.2">
      <c r="K372" s="130"/>
      <c r="L372" s="158"/>
      <c r="M372"/>
      <c r="N372"/>
      <c r="O372"/>
      <c r="P372"/>
      <c r="Q372"/>
      <c r="R372"/>
      <c r="S372"/>
      <c r="T372"/>
      <c r="U372"/>
      <c r="V372"/>
      <c r="W372"/>
      <c r="X372"/>
      <c r="Y372"/>
      <c r="Z372"/>
      <c r="AA372"/>
      <c r="AB372"/>
      <c r="AC372"/>
      <c r="AD372"/>
      <c r="AE372"/>
      <c r="AF372"/>
    </row>
    <row r="373" spans="11:32" ht="14.1" customHeight="1" x14ac:dyDescent="0.2">
      <c r="K373" s="130"/>
      <c r="L373" s="158"/>
      <c r="M373"/>
      <c r="N373"/>
      <c r="O373"/>
      <c r="P373"/>
      <c r="Q373"/>
      <c r="R373"/>
      <c r="S373"/>
      <c r="T373"/>
      <c r="U373"/>
      <c r="V373"/>
      <c r="W373"/>
      <c r="X373"/>
      <c r="Y373"/>
      <c r="Z373"/>
      <c r="AA373"/>
      <c r="AB373"/>
      <c r="AC373"/>
      <c r="AD373"/>
      <c r="AE373"/>
      <c r="AF373"/>
    </row>
    <row r="374" spans="11:32" ht="14.1" customHeight="1" x14ac:dyDescent="0.2">
      <c r="K374" s="130"/>
      <c r="L374" s="158"/>
      <c r="M374"/>
      <c r="N374"/>
      <c r="O374"/>
      <c r="P374"/>
      <c r="Q374"/>
      <c r="R374"/>
      <c r="S374"/>
      <c r="T374"/>
      <c r="U374"/>
      <c r="V374"/>
      <c r="W374"/>
      <c r="X374"/>
      <c r="Y374"/>
      <c r="Z374"/>
      <c r="AA374"/>
      <c r="AB374"/>
      <c r="AC374"/>
      <c r="AD374"/>
      <c r="AE374"/>
      <c r="AF374"/>
    </row>
    <row r="375" spans="11:32" ht="14.1" customHeight="1" x14ac:dyDescent="0.2">
      <c r="K375" s="130"/>
      <c r="L375" s="158"/>
      <c r="M375"/>
      <c r="N375"/>
      <c r="O375"/>
      <c r="P375"/>
      <c r="Q375"/>
      <c r="R375"/>
      <c r="S375"/>
      <c r="T375"/>
      <c r="U375"/>
      <c r="V375"/>
      <c r="W375"/>
      <c r="X375"/>
      <c r="Y375"/>
      <c r="Z375"/>
      <c r="AA375"/>
      <c r="AB375"/>
      <c r="AC375"/>
      <c r="AD375"/>
      <c r="AE375"/>
      <c r="AF375"/>
    </row>
    <row r="376" spans="11:32" ht="14.1" customHeight="1" x14ac:dyDescent="0.2">
      <c r="K376" s="130"/>
      <c r="L376" s="158"/>
      <c r="M376"/>
      <c r="N376"/>
      <c r="O376"/>
      <c r="P376"/>
      <c r="Q376"/>
      <c r="R376"/>
      <c r="S376"/>
      <c r="T376"/>
      <c r="U376"/>
      <c r="V376"/>
      <c r="W376"/>
      <c r="X376"/>
      <c r="Y376"/>
      <c r="Z376"/>
      <c r="AA376"/>
      <c r="AB376"/>
      <c r="AC376"/>
      <c r="AD376"/>
      <c r="AE376"/>
      <c r="AF376"/>
    </row>
    <row r="377" spans="11:32" ht="14.1" customHeight="1" x14ac:dyDescent="0.2">
      <c r="K377" s="130"/>
      <c r="L377" s="158"/>
      <c r="M377"/>
      <c r="N377"/>
      <c r="O377"/>
      <c r="P377"/>
      <c r="Q377"/>
      <c r="R377"/>
      <c r="S377"/>
      <c r="T377"/>
      <c r="U377"/>
      <c r="V377"/>
      <c r="W377"/>
      <c r="X377"/>
      <c r="Y377"/>
      <c r="Z377"/>
      <c r="AA377"/>
      <c r="AB377"/>
      <c r="AC377"/>
      <c r="AD377"/>
      <c r="AE377"/>
      <c r="AF377"/>
    </row>
    <row r="378" spans="11:32" ht="14.1" customHeight="1" x14ac:dyDescent="0.2">
      <c r="K378" s="130"/>
      <c r="L378" s="158"/>
      <c r="M378"/>
      <c r="N378"/>
      <c r="O378"/>
      <c r="P378"/>
      <c r="Q378"/>
      <c r="R378"/>
      <c r="S378"/>
      <c r="T378"/>
      <c r="U378"/>
      <c r="V378"/>
      <c r="W378"/>
      <c r="X378"/>
      <c r="Y378"/>
      <c r="Z378"/>
      <c r="AA378"/>
      <c r="AB378"/>
      <c r="AC378"/>
      <c r="AD378"/>
      <c r="AE378"/>
      <c r="AF378"/>
    </row>
    <row r="379" spans="11:32" ht="14.1" customHeight="1" x14ac:dyDescent="0.2">
      <c r="K379" s="130"/>
      <c r="L379" s="158"/>
      <c r="M379"/>
      <c r="N379"/>
      <c r="O379"/>
      <c r="P379"/>
      <c r="Q379"/>
      <c r="R379"/>
      <c r="S379"/>
      <c r="T379"/>
      <c r="U379"/>
      <c r="V379"/>
      <c r="W379"/>
      <c r="X379"/>
      <c r="Y379"/>
      <c r="Z379"/>
      <c r="AA379"/>
      <c r="AB379"/>
      <c r="AC379"/>
      <c r="AD379"/>
      <c r="AE379"/>
      <c r="AF379"/>
    </row>
    <row r="380" spans="11:32" ht="14.1" customHeight="1" x14ac:dyDescent="0.2">
      <c r="K380" s="130"/>
      <c r="L380" s="158"/>
      <c r="M380"/>
      <c r="N380"/>
      <c r="O380"/>
      <c r="P380"/>
      <c r="Q380"/>
      <c r="R380"/>
      <c r="S380"/>
      <c r="T380"/>
      <c r="U380"/>
      <c r="V380"/>
      <c r="W380"/>
      <c r="X380"/>
      <c r="Y380"/>
      <c r="Z380"/>
      <c r="AA380"/>
      <c r="AB380"/>
      <c r="AC380"/>
      <c r="AD380"/>
      <c r="AE380"/>
      <c r="AF380"/>
    </row>
    <row r="381" spans="11:32" ht="14.1" customHeight="1" x14ac:dyDescent="0.2">
      <c r="K381" s="130"/>
      <c r="L381" s="158"/>
      <c r="M381"/>
      <c r="N381"/>
      <c r="O381"/>
      <c r="P381"/>
      <c r="Q381"/>
      <c r="R381"/>
      <c r="S381"/>
      <c r="T381"/>
      <c r="U381"/>
      <c r="V381"/>
      <c r="W381"/>
      <c r="X381"/>
      <c r="Y381"/>
      <c r="Z381"/>
      <c r="AA381"/>
      <c r="AB381"/>
      <c r="AC381"/>
      <c r="AD381"/>
      <c r="AE381"/>
      <c r="AF381"/>
    </row>
    <row r="382" spans="11:32" ht="14.1" customHeight="1" x14ac:dyDescent="0.2">
      <c r="K382" s="130"/>
      <c r="L382" s="158"/>
      <c r="M382"/>
      <c r="N382"/>
      <c r="O382"/>
      <c r="P382"/>
      <c r="Q382"/>
      <c r="R382"/>
      <c r="S382"/>
      <c r="T382"/>
      <c r="U382"/>
      <c r="V382"/>
      <c r="W382"/>
      <c r="X382"/>
      <c r="Y382"/>
      <c r="Z382"/>
      <c r="AA382"/>
      <c r="AB382"/>
      <c r="AC382"/>
      <c r="AD382"/>
      <c r="AE382"/>
      <c r="AF382"/>
    </row>
    <row r="383" spans="11:32" ht="14.1" customHeight="1" x14ac:dyDescent="0.2">
      <c r="K383" s="130"/>
      <c r="L383" s="158"/>
      <c r="M383"/>
      <c r="N383"/>
      <c r="O383"/>
      <c r="P383"/>
      <c r="Q383"/>
      <c r="R383"/>
      <c r="S383"/>
      <c r="T383"/>
      <c r="U383"/>
      <c r="V383"/>
      <c r="W383"/>
      <c r="X383"/>
      <c r="Y383"/>
      <c r="Z383"/>
      <c r="AA383"/>
      <c r="AB383"/>
      <c r="AC383"/>
      <c r="AD383"/>
      <c r="AE383"/>
      <c r="AF383"/>
    </row>
    <row r="384" spans="11:32" ht="14.1" customHeight="1" x14ac:dyDescent="0.2">
      <c r="K384" s="130"/>
      <c r="L384" s="158"/>
      <c r="M384"/>
      <c r="N384"/>
      <c r="O384"/>
      <c r="P384"/>
      <c r="Q384"/>
      <c r="R384"/>
      <c r="S384"/>
      <c r="T384"/>
      <c r="U384"/>
      <c r="V384"/>
      <c r="W384"/>
      <c r="X384"/>
      <c r="Y384"/>
      <c r="Z384"/>
      <c r="AA384"/>
      <c r="AB384"/>
      <c r="AC384"/>
      <c r="AD384"/>
      <c r="AE384"/>
      <c r="AF384"/>
    </row>
    <row r="385" spans="11:32" ht="14.1" customHeight="1" x14ac:dyDescent="0.2">
      <c r="K385" s="130"/>
      <c r="L385" s="158"/>
      <c r="M385"/>
      <c r="N385"/>
      <c r="O385"/>
      <c r="P385"/>
      <c r="Q385"/>
      <c r="R385"/>
      <c r="S385"/>
      <c r="T385"/>
      <c r="U385"/>
      <c r="V385"/>
      <c r="W385"/>
      <c r="X385"/>
      <c r="Y385"/>
      <c r="Z385"/>
      <c r="AA385"/>
      <c r="AB385"/>
      <c r="AC385"/>
      <c r="AD385"/>
      <c r="AE385"/>
      <c r="AF385"/>
    </row>
    <row r="386" spans="11:32" ht="14.1" customHeight="1" x14ac:dyDescent="0.2">
      <c r="K386" s="130"/>
      <c r="L386" s="158"/>
      <c r="M386"/>
      <c r="N386"/>
      <c r="O386"/>
      <c r="P386"/>
      <c r="Q386"/>
      <c r="R386"/>
      <c r="S386"/>
      <c r="T386"/>
      <c r="U386"/>
      <c r="V386"/>
      <c r="W386"/>
      <c r="X386"/>
      <c r="Y386"/>
      <c r="Z386"/>
      <c r="AA386"/>
      <c r="AB386"/>
      <c r="AC386"/>
      <c r="AD386"/>
      <c r="AE386"/>
      <c r="AF386"/>
    </row>
    <row r="387" spans="11:32" ht="14.1" customHeight="1" x14ac:dyDescent="0.2">
      <c r="K387" s="130"/>
      <c r="L387" s="158"/>
      <c r="M387"/>
      <c r="N387"/>
      <c r="O387"/>
      <c r="P387"/>
      <c r="Q387"/>
      <c r="R387"/>
      <c r="S387"/>
      <c r="T387"/>
      <c r="U387"/>
      <c r="V387"/>
      <c r="W387"/>
      <c r="X387"/>
      <c r="Y387"/>
      <c r="Z387"/>
      <c r="AA387"/>
      <c r="AB387"/>
      <c r="AC387"/>
      <c r="AD387"/>
      <c r="AE387"/>
      <c r="AF387"/>
    </row>
    <row r="388" spans="11:32" ht="14.1" customHeight="1" x14ac:dyDescent="0.2">
      <c r="K388" s="130"/>
      <c r="L388" s="158"/>
      <c r="M388"/>
      <c r="N388"/>
      <c r="O388"/>
      <c r="P388"/>
      <c r="Q388"/>
      <c r="R388"/>
      <c r="S388"/>
      <c r="T388"/>
      <c r="U388"/>
      <c r="V388"/>
      <c r="W388"/>
      <c r="X388"/>
      <c r="Y388"/>
      <c r="Z388"/>
      <c r="AA388"/>
      <c r="AB388"/>
      <c r="AC388"/>
      <c r="AD388"/>
      <c r="AE388"/>
      <c r="AF388"/>
    </row>
    <row r="389" spans="11:32" ht="14.1" customHeight="1" x14ac:dyDescent="0.2">
      <c r="K389" s="130"/>
      <c r="L389" s="158"/>
      <c r="M389"/>
      <c r="N389"/>
      <c r="O389"/>
      <c r="P389"/>
      <c r="Q389"/>
      <c r="R389"/>
      <c r="S389"/>
      <c r="T389"/>
      <c r="U389"/>
      <c r="V389"/>
      <c r="W389"/>
      <c r="X389"/>
      <c r="Y389"/>
      <c r="Z389"/>
      <c r="AA389"/>
      <c r="AB389"/>
      <c r="AC389"/>
      <c r="AD389"/>
      <c r="AE389"/>
      <c r="AF389"/>
    </row>
    <row r="390" spans="11:32" ht="14.1" customHeight="1" x14ac:dyDescent="0.2">
      <c r="K390" s="130"/>
      <c r="L390" s="158"/>
      <c r="M390"/>
      <c r="N390"/>
      <c r="O390"/>
      <c r="P390"/>
      <c r="Q390"/>
      <c r="R390"/>
      <c r="S390"/>
      <c r="T390"/>
      <c r="U390"/>
      <c r="V390"/>
      <c r="W390"/>
      <c r="X390"/>
      <c r="Y390"/>
      <c r="Z390"/>
      <c r="AA390"/>
      <c r="AB390"/>
      <c r="AC390"/>
      <c r="AD390"/>
      <c r="AE390"/>
      <c r="AF390"/>
    </row>
    <row r="391" spans="11:32" ht="14.1" customHeight="1" x14ac:dyDescent="0.2">
      <c r="K391" s="130"/>
      <c r="L391" s="158"/>
      <c r="M391"/>
      <c r="N391"/>
      <c r="O391"/>
      <c r="P391"/>
      <c r="Q391"/>
      <c r="R391"/>
      <c r="S391"/>
      <c r="T391"/>
      <c r="U391"/>
      <c r="V391"/>
      <c r="W391"/>
      <c r="X391"/>
      <c r="Y391"/>
      <c r="Z391"/>
      <c r="AA391"/>
      <c r="AB391"/>
      <c r="AC391"/>
      <c r="AD391"/>
      <c r="AE391"/>
      <c r="AF391"/>
    </row>
    <row r="392" spans="11:32" ht="14.1" customHeight="1" x14ac:dyDescent="0.2">
      <c r="K392" s="130"/>
      <c r="L392" s="158"/>
      <c r="M392"/>
      <c r="N392"/>
      <c r="O392"/>
      <c r="P392"/>
      <c r="Q392"/>
      <c r="R392"/>
      <c r="S392"/>
      <c r="T392"/>
      <c r="U392"/>
      <c r="V392"/>
      <c r="W392"/>
      <c r="X392"/>
      <c r="Y392"/>
      <c r="Z392"/>
      <c r="AA392"/>
      <c r="AB392"/>
      <c r="AC392"/>
      <c r="AD392"/>
      <c r="AE392"/>
      <c r="AF392"/>
    </row>
    <row r="393" spans="11:32" ht="14.1" customHeight="1" x14ac:dyDescent="0.2">
      <c r="K393" s="130"/>
      <c r="L393" s="158"/>
      <c r="M393"/>
      <c r="N393"/>
      <c r="O393"/>
      <c r="P393"/>
      <c r="Q393"/>
      <c r="R393"/>
      <c r="S393"/>
      <c r="T393"/>
      <c r="U393"/>
      <c r="V393"/>
      <c r="W393"/>
      <c r="X393"/>
      <c r="Y393"/>
      <c r="Z393"/>
      <c r="AA393"/>
      <c r="AB393"/>
      <c r="AC393"/>
      <c r="AD393"/>
      <c r="AE393"/>
      <c r="AF393"/>
    </row>
    <row r="394" spans="11:32" ht="14.1" customHeight="1" x14ac:dyDescent="0.2">
      <c r="K394" s="130"/>
      <c r="L394" s="158"/>
      <c r="M394"/>
      <c r="N394"/>
      <c r="O394"/>
      <c r="P394"/>
      <c r="Q394"/>
      <c r="R394"/>
      <c r="S394"/>
      <c r="T394"/>
      <c r="U394"/>
      <c r="V394"/>
      <c r="W394"/>
      <c r="X394"/>
      <c r="Y394"/>
      <c r="Z394"/>
      <c r="AA394"/>
      <c r="AB394"/>
      <c r="AC394"/>
      <c r="AD394"/>
      <c r="AE394"/>
      <c r="AF394"/>
    </row>
    <row r="395" spans="11:32" ht="14.1" customHeight="1" x14ac:dyDescent="0.2">
      <c r="K395" s="130"/>
      <c r="L395" s="158"/>
      <c r="M395"/>
      <c r="N395"/>
      <c r="O395"/>
      <c r="P395"/>
      <c r="Q395"/>
      <c r="R395"/>
      <c r="S395"/>
      <c r="T395"/>
      <c r="U395"/>
      <c r="V395"/>
      <c r="W395"/>
      <c r="X395"/>
      <c r="Y395"/>
      <c r="Z395"/>
      <c r="AA395"/>
      <c r="AB395"/>
      <c r="AC395"/>
      <c r="AD395"/>
      <c r="AE395"/>
      <c r="AF395"/>
    </row>
    <row r="396" spans="11:32" ht="14.1" customHeight="1" x14ac:dyDescent="0.2">
      <c r="K396" s="130"/>
      <c r="L396" s="158"/>
      <c r="M396"/>
      <c r="N396"/>
      <c r="O396"/>
      <c r="P396"/>
      <c r="Q396"/>
      <c r="R396"/>
      <c r="S396"/>
      <c r="T396"/>
      <c r="U396"/>
      <c r="V396"/>
      <c r="W396"/>
      <c r="X396"/>
      <c r="Y396"/>
      <c r="Z396"/>
      <c r="AA396"/>
      <c r="AB396"/>
      <c r="AC396"/>
      <c r="AD396"/>
      <c r="AE396"/>
      <c r="AF396"/>
    </row>
    <row r="397" spans="11:32" ht="14.1" customHeight="1" x14ac:dyDescent="0.2">
      <c r="K397" s="130"/>
      <c r="L397" s="158"/>
      <c r="M397"/>
      <c r="N397"/>
      <c r="O397"/>
      <c r="P397"/>
      <c r="Q397"/>
      <c r="R397"/>
      <c r="S397"/>
      <c r="T397"/>
      <c r="U397"/>
      <c r="V397"/>
      <c r="W397"/>
      <c r="X397"/>
      <c r="Y397"/>
      <c r="Z397"/>
      <c r="AA397"/>
      <c r="AB397"/>
      <c r="AC397"/>
      <c r="AD397"/>
      <c r="AE397"/>
      <c r="AF397"/>
    </row>
    <row r="398" spans="11:32" ht="14.1" customHeight="1" x14ac:dyDescent="0.2">
      <c r="K398" s="130"/>
      <c r="L398" s="158"/>
      <c r="M398"/>
      <c r="N398"/>
      <c r="O398"/>
      <c r="P398"/>
      <c r="Q398"/>
      <c r="R398"/>
      <c r="S398"/>
      <c r="T398"/>
      <c r="U398"/>
      <c r="V398"/>
      <c r="W398"/>
      <c r="X398"/>
      <c r="Y398"/>
      <c r="Z398"/>
      <c r="AA398"/>
      <c r="AB398"/>
      <c r="AC398"/>
      <c r="AD398"/>
      <c r="AE398"/>
      <c r="AF398"/>
    </row>
    <row r="399" spans="11:32" ht="14.1" customHeight="1" x14ac:dyDescent="0.2">
      <c r="K399" s="130"/>
      <c r="L399" s="158"/>
      <c r="M399"/>
      <c r="N399"/>
      <c r="O399"/>
      <c r="P399"/>
      <c r="Q399"/>
      <c r="R399"/>
      <c r="S399"/>
      <c r="T399"/>
      <c r="U399"/>
      <c r="V399"/>
      <c r="W399"/>
      <c r="X399"/>
      <c r="Y399"/>
      <c r="Z399"/>
      <c r="AA399"/>
      <c r="AB399"/>
      <c r="AC399"/>
      <c r="AD399"/>
      <c r="AE399"/>
      <c r="AF399"/>
    </row>
    <row r="400" spans="11:32" ht="14.1" customHeight="1" x14ac:dyDescent="0.2">
      <c r="K400" s="130"/>
      <c r="L400" s="158"/>
      <c r="M400"/>
      <c r="N400"/>
      <c r="O400"/>
      <c r="P400"/>
      <c r="Q400"/>
      <c r="R400"/>
      <c r="S400"/>
      <c r="T400"/>
      <c r="U400"/>
      <c r="V400"/>
      <c r="W400"/>
      <c r="X400"/>
      <c r="Y400"/>
      <c r="Z400"/>
      <c r="AA400"/>
      <c r="AB400"/>
      <c r="AC400"/>
      <c r="AD400"/>
      <c r="AE400"/>
      <c r="AF400"/>
    </row>
    <row r="401" spans="11:32" ht="14.1" customHeight="1" x14ac:dyDescent="0.2">
      <c r="K401" s="130"/>
      <c r="L401" s="158"/>
      <c r="M401"/>
      <c r="N401"/>
      <c r="O401"/>
      <c r="P401"/>
      <c r="Q401"/>
      <c r="R401"/>
      <c r="S401"/>
      <c r="T401"/>
      <c r="U401"/>
      <c r="V401"/>
      <c r="W401"/>
      <c r="X401"/>
      <c r="Y401"/>
      <c r="Z401"/>
      <c r="AA401"/>
      <c r="AB401"/>
      <c r="AC401"/>
      <c r="AD401"/>
      <c r="AE401"/>
      <c r="AF401"/>
    </row>
    <row r="402" spans="11:32" ht="14.1" customHeight="1" x14ac:dyDescent="0.2">
      <c r="K402" s="130"/>
      <c r="L402" s="158"/>
      <c r="M402"/>
      <c r="N402"/>
      <c r="O402"/>
      <c r="P402"/>
      <c r="Q402"/>
      <c r="R402"/>
      <c r="S402"/>
      <c r="T402"/>
      <c r="U402"/>
      <c r="V402"/>
      <c r="W402"/>
      <c r="X402"/>
      <c r="Y402"/>
      <c r="Z402"/>
      <c r="AA402"/>
      <c r="AB402"/>
      <c r="AC402"/>
      <c r="AD402"/>
      <c r="AE402"/>
      <c r="AF402"/>
    </row>
    <row r="403" spans="11:32" ht="14.1" customHeight="1" x14ac:dyDescent="0.2">
      <c r="K403" s="130"/>
      <c r="L403" s="158"/>
      <c r="M403"/>
      <c r="N403"/>
      <c r="O403"/>
      <c r="P403"/>
      <c r="Q403"/>
      <c r="R403"/>
      <c r="S403"/>
      <c r="T403"/>
      <c r="U403"/>
      <c r="V403"/>
      <c r="W403"/>
      <c r="X403"/>
      <c r="Y403"/>
      <c r="Z403"/>
      <c r="AA403"/>
      <c r="AB403"/>
      <c r="AC403"/>
      <c r="AD403"/>
      <c r="AE403"/>
      <c r="AF403"/>
    </row>
    <row r="404" spans="11:32" ht="14.1" customHeight="1" x14ac:dyDescent="0.2">
      <c r="K404" s="130"/>
      <c r="L404" s="158"/>
      <c r="M404"/>
      <c r="N404"/>
      <c r="O404"/>
      <c r="P404"/>
      <c r="Q404"/>
      <c r="R404"/>
      <c r="S404"/>
      <c r="T404"/>
      <c r="U404"/>
      <c r="V404"/>
      <c r="W404"/>
      <c r="X404"/>
      <c r="Y404"/>
      <c r="Z404"/>
      <c r="AA404"/>
      <c r="AB404"/>
      <c r="AC404"/>
      <c r="AD404"/>
      <c r="AE404"/>
      <c r="AF404"/>
    </row>
    <row r="405" spans="11:32" ht="14.1" customHeight="1" x14ac:dyDescent="0.2">
      <c r="K405" s="130"/>
      <c r="L405" s="158"/>
      <c r="M405"/>
      <c r="N405"/>
      <c r="O405"/>
      <c r="P405"/>
      <c r="Q405"/>
      <c r="R405"/>
      <c r="S405"/>
      <c r="T405"/>
      <c r="U405"/>
      <c r="V405"/>
      <c r="W405"/>
      <c r="X405"/>
      <c r="Y405"/>
      <c r="Z405"/>
      <c r="AA405"/>
      <c r="AB405"/>
      <c r="AC405"/>
      <c r="AD405"/>
      <c r="AE405"/>
      <c r="AF405"/>
    </row>
    <row r="406" spans="11:32" ht="14.1" customHeight="1" x14ac:dyDescent="0.2">
      <c r="K406" s="130"/>
      <c r="L406" s="158"/>
      <c r="M406"/>
      <c r="N406"/>
      <c r="O406"/>
      <c r="P406"/>
      <c r="Q406"/>
      <c r="R406"/>
      <c r="S406"/>
      <c r="T406"/>
      <c r="U406"/>
      <c r="V406"/>
      <c r="W406"/>
      <c r="X406"/>
      <c r="Y406"/>
      <c r="Z406"/>
      <c r="AA406"/>
      <c r="AB406"/>
      <c r="AC406"/>
      <c r="AD406"/>
      <c r="AE406"/>
      <c r="AF406"/>
    </row>
    <row r="407" spans="11:32" ht="14.1" customHeight="1" x14ac:dyDescent="0.2">
      <c r="K407" s="130"/>
      <c r="L407" s="158"/>
      <c r="M407"/>
      <c r="N407"/>
      <c r="O407"/>
      <c r="P407"/>
      <c r="Q407"/>
      <c r="R407"/>
      <c r="S407"/>
      <c r="T407"/>
      <c r="U407"/>
      <c r="V407"/>
      <c r="W407"/>
      <c r="X407"/>
      <c r="Y407"/>
      <c r="Z407"/>
      <c r="AA407"/>
      <c r="AB407"/>
      <c r="AC407"/>
      <c r="AD407"/>
      <c r="AE407"/>
      <c r="AF407"/>
    </row>
    <row r="408" spans="11:32" ht="14.1" customHeight="1" x14ac:dyDescent="0.2">
      <c r="K408" s="130"/>
      <c r="L408" s="158"/>
      <c r="M408"/>
      <c r="N408"/>
      <c r="O408"/>
      <c r="P408"/>
      <c r="Q408"/>
      <c r="R408"/>
      <c r="S408"/>
      <c r="T408"/>
      <c r="U408"/>
      <c r="V408"/>
      <c r="W408"/>
      <c r="X408"/>
      <c r="Y408"/>
      <c r="Z408"/>
      <c r="AA408"/>
      <c r="AB408"/>
      <c r="AC408"/>
      <c r="AD408"/>
      <c r="AE408"/>
      <c r="AF408"/>
    </row>
    <row r="409" spans="11:32" ht="14.1" customHeight="1" x14ac:dyDescent="0.2">
      <c r="K409" s="130"/>
      <c r="L409" s="158"/>
      <c r="M409"/>
      <c r="N409"/>
      <c r="O409"/>
      <c r="P409"/>
      <c r="Q409"/>
      <c r="R409"/>
      <c r="S409"/>
      <c r="T409"/>
      <c r="U409"/>
      <c r="V409"/>
      <c r="W409"/>
      <c r="X409"/>
      <c r="Y409"/>
      <c r="Z409"/>
      <c r="AA409"/>
      <c r="AB409"/>
      <c r="AC409"/>
      <c r="AD409"/>
      <c r="AE409"/>
      <c r="AF409"/>
    </row>
    <row r="410" spans="11:32" ht="14.1" customHeight="1" x14ac:dyDescent="0.2">
      <c r="K410" s="130"/>
      <c r="L410" s="158"/>
      <c r="M410"/>
      <c r="N410"/>
      <c r="O410"/>
      <c r="P410"/>
      <c r="Q410"/>
      <c r="R410"/>
      <c r="S410"/>
      <c r="T410"/>
      <c r="U410"/>
      <c r="V410"/>
      <c r="W410"/>
      <c r="X410"/>
      <c r="Y410"/>
      <c r="Z410"/>
      <c r="AA410"/>
      <c r="AB410"/>
      <c r="AC410"/>
      <c r="AD410"/>
      <c r="AE410"/>
      <c r="AF410"/>
    </row>
    <row r="411" spans="11:32" ht="14.1" customHeight="1" x14ac:dyDescent="0.2">
      <c r="K411" s="130"/>
      <c r="L411" s="158"/>
      <c r="M411"/>
      <c r="N411"/>
      <c r="O411"/>
      <c r="P411"/>
      <c r="Q411"/>
      <c r="R411"/>
      <c r="S411"/>
      <c r="T411"/>
      <c r="U411"/>
      <c r="V411"/>
      <c r="W411"/>
      <c r="X411"/>
      <c r="Y411"/>
      <c r="Z411"/>
      <c r="AA411"/>
      <c r="AB411"/>
      <c r="AC411"/>
      <c r="AD411"/>
      <c r="AE411"/>
      <c r="AF411"/>
    </row>
    <row r="412" spans="11:32" ht="14.1" customHeight="1" x14ac:dyDescent="0.2">
      <c r="K412" s="130"/>
      <c r="L412" s="158"/>
      <c r="M412"/>
      <c r="N412"/>
      <c r="O412"/>
      <c r="P412"/>
      <c r="Q412"/>
      <c r="R412"/>
      <c r="S412"/>
      <c r="T412"/>
      <c r="U412"/>
      <c r="V412"/>
      <c r="W412"/>
      <c r="X412"/>
      <c r="Y412"/>
      <c r="Z412"/>
      <c r="AA412"/>
      <c r="AB412"/>
      <c r="AC412"/>
      <c r="AD412"/>
      <c r="AE412"/>
      <c r="AF412"/>
    </row>
    <row r="413" spans="11:32" ht="14.1" customHeight="1" x14ac:dyDescent="0.2">
      <c r="K413" s="130"/>
      <c r="L413" s="158"/>
      <c r="M413"/>
      <c r="N413"/>
      <c r="O413"/>
      <c r="P413"/>
      <c r="Q413"/>
      <c r="R413"/>
      <c r="S413"/>
      <c r="T413"/>
      <c r="U413"/>
      <c r="V413"/>
      <c r="W413"/>
      <c r="X413"/>
      <c r="Y413"/>
      <c r="Z413"/>
      <c r="AA413"/>
      <c r="AB413"/>
      <c r="AC413"/>
      <c r="AD413"/>
      <c r="AE413"/>
      <c r="AF413"/>
    </row>
    <row r="414" spans="11:32" ht="14.1" customHeight="1" x14ac:dyDescent="0.2">
      <c r="K414" s="130"/>
      <c r="L414" s="158"/>
      <c r="M414"/>
      <c r="N414"/>
      <c r="O414"/>
      <c r="P414"/>
      <c r="Q414"/>
      <c r="R414"/>
      <c r="S414"/>
      <c r="T414"/>
      <c r="U414"/>
      <c r="V414"/>
      <c r="W414"/>
      <c r="X414"/>
      <c r="Y414"/>
      <c r="Z414"/>
      <c r="AA414"/>
      <c r="AB414"/>
      <c r="AC414"/>
      <c r="AD414"/>
      <c r="AE414"/>
      <c r="AF414"/>
    </row>
    <row r="415" spans="11:32" ht="14.1" customHeight="1" x14ac:dyDescent="0.2">
      <c r="K415" s="130"/>
      <c r="L415" s="158"/>
      <c r="M415"/>
      <c r="N415"/>
      <c r="O415"/>
      <c r="P415"/>
      <c r="Q415"/>
      <c r="R415"/>
      <c r="S415"/>
      <c r="T415"/>
      <c r="U415"/>
      <c r="V415"/>
      <c r="W415"/>
      <c r="X415"/>
      <c r="Y415"/>
      <c r="Z415"/>
      <c r="AA415"/>
      <c r="AB415"/>
      <c r="AC415"/>
      <c r="AD415"/>
      <c r="AE415"/>
      <c r="AF415"/>
    </row>
    <row r="416" spans="11:32" ht="14.1" customHeight="1" x14ac:dyDescent="0.2">
      <c r="K416" s="130"/>
      <c r="L416" s="158"/>
      <c r="M416"/>
      <c r="N416"/>
      <c r="O416"/>
      <c r="P416"/>
      <c r="Q416"/>
      <c r="R416"/>
      <c r="S416"/>
      <c r="T416"/>
      <c r="U416"/>
      <c r="V416"/>
      <c r="W416"/>
      <c r="X416"/>
      <c r="Y416"/>
      <c r="Z416"/>
      <c r="AA416"/>
      <c r="AB416"/>
      <c r="AC416"/>
      <c r="AD416"/>
      <c r="AE416"/>
      <c r="AF416"/>
    </row>
    <row r="417" spans="11:32" ht="14.1" customHeight="1" x14ac:dyDescent="0.2">
      <c r="K417" s="130"/>
      <c r="L417" s="158"/>
      <c r="M417"/>
      <c r="N417"/>
      <c r="O417"/>
      <c r="P417"/>
      <c r="Q417"/>
      <c r="R417"/>
      <c r="S417"/>
      <c r="T417"/>
      <c r="U417"/>
      <c r="V417"/>
      <c r="W417"/>
      <c r="X417"/>
      <c r="Y417"/>
      <c r="Z417"/>
      <c r="AA417"/>
      <c r="AB417"/>
      <c r="AC417"/>
      <c r="AD417"/>
      <c r="AE417"/>
      <c r="AF417"/>
    </row>
    <row r="418" spans="11:32" ht="14.1" customHeight="1" x14ac:dyDescent="0.2">
      <c r="K418" s="130"/>
      <c r="L418" s="158"/>
      <c r="M418"/>
      <c r="N418"/>
      <c r="O418"/>
      <c r="P418"/>
      <c r="Q418"/>
      <c r="R418"/>
      <c r="S418"/>
      <c r="T418"/>
      <c r="U418"/>
      <c r="V418"/>
      <c r="W418"/>
      <c r="X418"/>
      <c r="Y418"/>
      <c r="Z418"/>
      <c r="AA418"/>
      <c r="AB418"/>
      <c r="AC418"/>
      <c r="AD418"/>
      <c r="AE418"/>
      <c r="AF418"/>
    </row>
    <row r="419" spans="11:32" ht="14.1" customHeight="1" x14ac:dyDescent="0.2">
      <c r="K419" s="130"/>
      <c r="L419" s="158"/>
      <c r="M419"/>
      <c r="N419"/>
      <c r="O419"/>
      <c r="P419"/>
      <c r="Q419"/>
      <c r="R419"/>
      <c r="S419"/>
      <c r="T419"/>
      <c r="U419"/>
      <c r="V419"/>
      <c r="W419"/>
      <c r="X419"/>
      <c r="Y419"/>
      <c r="Z419"/>
      <c r="AA419"/>
      <c r="AB419"/>
      <c r="AC419"/>
      <c r="AD419"/>
      <c r="AE419"/>
      <c r="AF419"/>
    </row>
    <row r="420" spans="11:32" ht="14.1" customHeight="1" x14ac:dyDescent="0.2">
      <c r="K420" s="130"/>
      <c r="L420" s="158"/>
      <c r="M420"/>
      <c r="N420"/>
      <c r="O420"/>
      <c r="P420"/>
      <c r="Q420"/>
      <c r="R420"/>
      <c r="S420"/>
      <c r="T420"/>
      <c r="U420"/>
      <c r="V420"/>
      <c r="W420"/>
      <c r="X420"/>
      <c r="Y420"/>
      <c r="Z420"/>
      <c r="AA420"/>
      <c r="AB420"/>
      <c r="AC420"/>
      <c r="AD420"/>
      <c r="AE420"/>
      <c r="AF420"/>
    </row>
    <row r="421" spans="11:32" ht="14.1" customHeight="1" x14ac:dyDescent="0.2">
      <c r="K421" s="130"/>
      <c r="L421" s="158"/>
      <c r="M421"/>
      <c r="N421"/>
      <c r="O421"/>
      <c r="P421"/>
      <c r="Q421"/>
      <c r="R421"/>
      <c r="S421"/>
      <c r="T421"/>
      <c r="U421"/>
      <c r="V421"/>
      <c r="W421"/>
      <c r="X421"/>
      <c r="Y421"/>
      <c r="Z421"/>
      <c r="AA421"/>
      <c r="AB421"/>
      <c r="AC421"/>
      <c r="AD421"/>
      <c r="AE421"/>
      <c r="AF421"/>
    </row>
    <row r="422" spans="11:32" ht="14.1" customHeight="1" x14ac:dyDescent="0.2">
      <c r="K422" s="130"/>
      <c r="L422" s="158"/>
      <c r="M422"/>
      <c r="N422"/>
      <c r="O422"/>
      <c r="P422"/>
      <c r="Q422"/>
      <c r="R422"/>
      <c r="S422"/>
      <c r="T422"/>
      <c r="U422"/>
      <c r="V422"/>
      <c r="W422"/>
      <c r="X422"/>
      <c r="Y422"/>
      <c r="Z422"/>
      <c r="AA422"/>
      <c r="AB422"/>
      <c r="AC422"/>
      <c r="AD422"/>
      <c r="AE422"/>
      <c r="AF422"/>
    </row>
    <row r="423" spans="11:32" ht="14.1" customHeight="1" x14ac:dyDescent="0.2">
      <c r="K423" s="130"/>
      <c r="L423" s="158"/>
      <c r="M423"/>
      <c r="N423"/>
      <c r="O423"/>
      <c r="P423"/>
      <c r="Q423"/>
      <c r="R423"/>
      <c r="S423"/>
      <c r="T423"/>
      <c r="U423"/>
      <c r="V423"/>
      <c r="W423"/>
      <c r="X423"/>
      <c r="Y423"/>
      <c r="Z423"/>
      <c r="AA423"/>
      <c r="AB423"/>
      <c r="AC423"/>
      <c r="AD423"/>
      <c r="AE423"/>
      <c r="AF423"/>
    </row>
    <row r="424" spans="11:32" ht="14.1" customHeight="1" x14ac:dyDescent="0.2">
      <c r="K424" s="130"/>
      <c r="L424" s="158"/>
      <c r="M424"/>
      <c r="N424"/>
      <c r="O424"/>
      <c r="P424"/>
      <c r="Q424"/>
      <c r="R424"/>
      <c r="S424"/>
      <c r="T424"/>
      <c r="U424"/>
      <c r="V424"/>
      <c r="W424"/>
      <c r="X424"/>
      <c r="Y424"/>
      <c r="Z424"/>
      <c r="AA424"/>
      <c r="AB424"/>
      <c r="AC424"/>
      <c r="AD424"/>
      <c r="AE424"/>
      <c r="AF424"/>
    </row>
    <row r="425" spans="11:32" ht="14.1" customHeight="1" x14ac:dyDescent="0.2">
      <c r="K425" s="130"/>
      <c r="L425" s="158"/>
      <c r="M425"/>
      <c r="N425"/>
      <c r="O425"/>
      <c r="P425"/>
      <c r="Q425"/>
      <c r="R425"/>
      <c r="S425"/>
      <c r="T425"/>
      <c r="U425"/>
      <c r="V425"/>
      <c r="W425"/>
      <c r="X425"/>
      <c r="Y425"/>
      <c r="Z425"/>
      <c r="AA425"/>
      <c r="AB425"/>
      <c r="AC425"/>
      <c r="AD425"/>
      <c r="AE425"/>
      <c r="AF425"/>
    </row>
    <row r="426" spans="11:32" ht="14.1" customHeight="1" x14ac:dyDescent="0.2">
      <c r="K426" s="130"/>
      <c r="L426" s="158"/>
      <c r="M426"/>
      <c r="N426"/>
      <c r="O426"/>
      <c r="P426"/>
      <c r="Q426"/>
      <c r="R426"/>
      <c r="S426"/>
      <c r="T426"/>
      <c r="U426"/>
      <c r="V426"/>
      <c r="W426"/>
      <c r="X426"/>
      <c r="Y426"/>
      <c r="Z426"/>
      <c r="AA426"/>
      <c r="AB426"/>
      <c r="AC426"/>
      <c r="AD426"/>
      <c r="AE426"/>
      <c r="AF426"/>
    </row>
    <row r="427" spans="11:32" ht="14.1" customHeight="1" x14ac:dyDescent="0.2">
      <c r="K427" s="130"/>
      <c r="L427" s="158"/>
      <c r="M427"/>
      <c r="N427"/>
      <c r="O427"/>
      <c r="P427"/>
      <c r="Q427"/>
      <c r="R427"/>
      <c r="S427"/>
      <c r="T427"/>
      <c r="U427"/>
      <c r="V427"/>
      <c r="W427"/>
      <c r="X427"/>
      <c r="Y427"/>
      <c r="Z427"/>
      <c r="AA427"/>
      <c r="AB427"/>
      <c r="AC427"/>
      <c r="AD427"/>
      <c r="AE427"/>
      <c r="AF427"/>
    </row>
    <row r="428" spans="11:32" ht="14.1" customHeight="1" x14ac:dyDescent="0.2">
      <c r="K428" s="130"/>
      <c r="L428" s="158"/>
      <c r="M428"/>
      <c r="N428"/>
      <c r="O428"/>
      <c r="P428"/>
      <c r="Q428"/>
      <c r="R428"/>
      <c r="S428"/>
      <c r="T428"/>
      <c r="U428"/>
      <c r="V428"/>
      <c r="W428"/>
      <c r="X428"/>
      <c r="Y428"/>
      <c r="Z428"/>
      <c r="AA428"/>
      <c r="AB428"/>
      <c r="AC428"/>
      <c r="AD428"/>
      <c r="AE428"/>
      <c r="AF428"/>
    </row>
    <row r="429" spans="11:32" ht="14.1" customHeight="1" x14ac:dyDescent="0.2">
      <c r="K429" s="130"/>
      <c r="L429" s="158"/>
      <c r="M429"/>
      <c r="N429"/>
      <c r="O429"/>
      <c r="P429"/>
      <c r="Q429"/>
      <c r="R429"/>
      <c r="S429"/>
      <c r="T429"/>
      <c r="U429"/>
      <c r="V429"/>
      <c r="W429"/>
      <c r="X429"/>
      <c r="Y429"/>
      <c r="Z429"/>
      <c r="AA429"/>
      <c r="AB429"/>
      <c r="AC429"/>
      <c r="AD429"/>
      <c r="AE429"/>
      <c r="AF429"/>
    </row>
    <row r="430" spans="11:32" ht="14.1" customHeight="1" x14ac:dyDescent="0.2">
      <c r="K430" s="130"/>
      <c r="L430" s="158"/>
      <c r="M430"/>
      <c r="N430"/>
      <c r="O430"/>
      <c r="P430"/>
      <c r="Q430"/>
      <c r="R430"/>
      <c r="S430"/>
      <c r="T430"/>
      <c r="U430"/>
      <c r="V430"/>
      <c r="W430"/>
      <c r="X430"/>
      <c r="Y430"/>
      <c r="Z430"/>
      <c r="AA430"/>
      <c r="AB430"/>
      <c r="AC430"/>
      <c r="AD430"/>
      <c r="AE430"/>
      <c r="AF430"/>
    </row>
    <row r="431" spans="11:32" ht="14.1" customHeight="1" x14ac:dyDescent="0.2">
      <c r="K431" s="130"/>
      <c r="L431" s="158"/>
      <c r="M431"/>
      <c r="N431"/>
      <c r="O431"/>
      <c r="P431"/>
      <c r="Q431"/>
      <c r="R431"/>
      <c r="S431"/>
      <c r="T431"/>
      <c r="U431"/>
      <c r="V431"/>
      <c r="W431"/>
      <c r="X431"/>
      <c r="Y431"/>
      <c r="Z431"/>
      <c r="AA431"/>
      <c r="AB431"/>
      <c r="AC431"/>
      <c r="AD431"/>
      <c r="AE431"/>
      <c r="AF431"/>
    </row>
    <row r="432" spans="11:32" ht="14.1" customHeight="1" x14ac:dyDescent="0.2">
      <c r="K432" s="130"/>
      <c r="L432" s="158"/>
      <c r="M432"/>
      <c r="N432"/>
      <c r="O432"/>
      <c r="P432"/>
      <c r="Q432"/>
      <c r="R432"/>
      <c r="S432"/>
      <c r="T432"/>
      <c r="U432"/>
      <c r="V432"/>
      <c r="W432"/>
      <c r="X432"/>
      <c r="Y432"/>
      <c r="Z432"/>
      <c r="AA432"/>
      <c r="AB432"/>
      <c r="AC432"/>
      <c r="AD432"/>
      <c r="AE432"/>
      <c r="AF432"/>
    </row>
    <row r="433" spans="11:32" ht="14.1" customHeight="1" x14ac:dyDescent="0.2">
      <c r="K433" s="130"/>
      <c r="L433" s="158"/>
      <c r="M433"/>
      <c r="N433"/>
      <c r="O433"/>
      <c r="P433"/>
      <c r="Q433"/>
      <c r="R433"/>
      <c r="S433"/>
      <c r="T433"/>
      <c r="U433"/>
      <c r="V433"/>
      <c r="W433"/>
      <c r="X433"/>
      <c r="Y433"/>
      <c r="Z433"/>
      <c r="AA433"/>
      <c r="AB433"/>
      <c r="AC433"/>
      <c r="AD433"/>
      <c r="AE433"/>
      <c r="AF433"/>
    </row>
    <row r="434" spans="11:32" ht="14.1" customHeight="1" x14ac:dyDescent="0.2">
      <c r="K434" s="130"/>
      <c r="L434" s="158"/>
      <c r="M434"/>
      <c r="N434"/>
      <c r="O434"/>
      <c r="P434"/>
      <c r="Q434"/>
      <c r="R434"/>
      <c r="S434"/>
      <c r="T434"/>
      <c r="U434"/>
      <c r="V434"/>
      <c r="W434"/>
      <c r="X434"/>
      <c r="Y434"/>
      <c r="Z434"/>
      <c r="AA434"/>
      <c r="AB434"/>
      <c r="AC434"/>
      <c r="AD434"/>
      <c r="AE434"/>
      <c r="AF434"/>
    </row>
    <row r="435" spans="11:32" ht="14.1" customHeight="1" x14ac:dyDescent="0.2">
      <c r="K435" s="130"/>
      <c r="L435" s="158"/>
      <c r="M435"/>
      <c r="N435"/>
      <c r="O435"/>
      <c r="P435"/>
      <c r="Q435"/>
      <c r="R435"/>
      <c r="S435"/>
      <c r="T435"/>
      <c r="U435"/>
      <c r="V435"/>
      <c r="W435"/>
      <c r="X435"/>
      <c r="Y435"/>
      <c r="Z435"/>
      <c r="AA435"/>
      <c r="AB435"/>
      <c r="AC435"/>
      <c r="AD435"/>
      <c r="AE435"/>
      <c r="AF435"/>
    </row>
    <row r="436" spans="11:32" ht="14.1" customHeight="1" x14ac:dyDescent="0.2">
      <c r="K436" s="130"/>
      <c r="L436" s="158"/>
      <c r="M436"/>
      <c r="N436"/>
      <c r="O436"/>
      <c r="P436"/>
      <c r="Q436"/>
      <c r="R436"/>
      <c r="S436"/>
      <c r="T436"/>
      <c r="U436"/>
      <c r="V436"/>
      <c r="W436"/>
      <c r="X436"/>
      <c r="Y436"/>
      <c r="Z436"/>
      <c r="AA436"/>
      <c r="AB436"/>
      <c r="AC436"/>
      <c r="AD436"/>
      <c r="AE436"/>
      <c r="AF436"/>
    </row>
    <row r="437" spans="11:32" ht="14.1" customHeight="1" x14ac:dyDescent="0.2">
      <c r="K437" s="130"/>
      <c r="L437" s="158"/>
      <c r="M437"/>
      <c r="N437"/>
      <c r="O437"/>
      <c r="P437"/>
      <c r="Q437"/>
      <c r="R437"/>
      <c r="S437"/>
      <c r="T437"/>
      <c r="U437"/>
      <c r="V437"/>
      <c r="W437"/>
      <c r="X437"/>
      <c r="Y437"/>
      <c r="Z437"/>
      <c r="AA437"/>
      <c r="AB437"/>
      <c r="AC437"/>
      <c r="AD437"/>
      <c r="AE437"/>
      <c r="AF437"/>
    </row>
    <row r="438" spans="11:32" ht="14.1" customHeight="1" x14ac:dyDescent="0.2">
      <c r="K438" s="130"/>
      <c r="L438" s="158"/>
      <c r="M438"/>
      <c r="N438"/>
      <c r="O438"/>
      <c r="P438"/>
      <c r="Q438"/>
      <c r="R438"/>
      <c r="S438"/>
      <c r="T438"/>
      <c r="U438"/>
      <c r="V438"/>
      <c r="W438"/>
      <c r="X438"/>
      <c r="Y438"/>
      <c r="Z438"/>
      <c r="AA438"/>
      <c r="AB438"/>
      <c r="AC438"/>
      <c r="AD438"/>
      <c r="AE438"/>
      <c r="AF438"/>
    </row>
    <row r="439" spans="11:32" ht="14.1" customHeight="1" x14ac:dyDescent="0.2">
      <c r="K439" s="130"/>
      <c r="L439" s="158"/>
      <c r="M439"/>
      <c r="N439"/>
      <c r="O439"/>
      <c r="P439"/>
      <c r="Q439"/>
      <c r="R439"/>
      <c r="S439"/>
      <c r="T439"/>
      <c r="U439"/>
      <c r="V439"/>
      <c r="W439"/>
      <c r="X439"/>
      <c r="Y439"/>
      <c r="Z439"/>
      <c r="AA439"/>
      <c r="AB439"/>
      <c r="AC439"/>
      <c r="AD439"/>
      <c r="AE439"/>
      <c r="AF439"/>
    </row>
    <row r="440" spans="11:32" ht="14.1" customHeight="1" x14ac:dyDescent="0.2">
      <c r="K440" s="130"/>
      <c r="L440" s="158"/>
      <c r="M440"/>
      <c r="N440"/>
      <c r="O440"/>
      <c r="P440"/>
      <c r="Q440"/>
      <c r="R440"/>
      <c r="S440"/>
      <c r="T440"/>
      <c r="U440"/>
      <c r="V440"/>
      <c r="W440"/>
      <c r="X440"/>
      <c r="Y440"/>
      <c r="Z440"/>
      <c r="AA440"/>
      <c r="AB440"/>
      <c r="AC440"/>
      <c r="AD440"/>
      <c r="AE440"/>
      <c r="AF440"/>
    </row>
    <row r="441" spans="11:32" ht="14.1" customHeight="1" x14ac:dyDescent="0.2">
      <c r="K441" s="130"/>
      <c r="L441" s="158"/>
      <c r="M441"/>
      <c r="N441"/>
      <c r="O441"/>
      <c r="P441"/>
      <c r="Q441"/>
      <c r="R441"/>
      <c r="S441"/>
      <c r="T441"/>
      <c r="U441"/>
      <c r="V441"/>
      <c r="W441"/>
      <c r="X441"/>
      <c r="Y441"/>
      <c r="Z441"/>
      <c r="AA441"/>
      <c r="AB441"/>
      <c r="AC441"/>
      <c r="AD441"/>
      <c r="AE441"/>
      <c r="AF441"/>
    </row>
    <row r="442" spans="11:32" ht="14.1" customHeight="1" x14ac:dyDescent="0.2">
      <c r="K442" s="130"/>
      <c r="L442" s="158"/>
      <c r="M442"/>
      <c r="N442"/>
      <c r="O442"/>
      <c r="P442"/>
      <c r="Q442"/>
      <c r="R442"/>
      <c r="S442"/>
      <c r="T442"/>
      <c r="U442"/>
      <c r="V442"/>
      <c r="W442"/>
      <c r="X442"/>
      <c r="Y442"/>
      <c r="Z442"/>
      <c r="AA442"/>
      <c r="AB442"/>
      <c r="AC442"/>
      <c r="AD442"/>
      <c r="AE442"/>
      <c r="AF442"/>
    </row>
    <row r="443" spans="11:32" ht="14.1" customHeight="1" x14ac:dyDescent="0.2">
      <c r="K443" s="130"/>
      <c r="L443" s="158"/>
      <c r="M443"/>
      <c r="N443"/>
      <c r="O443"/>
      <c r="P443"/>
      <c r="Q443"/>
      <c r="R443"/>
      <c r="S443"/>
      <c r="T443"/>
      <c r="U443"/>
      <c r="V443"/>
      <c r="W443"/>
      <c r="X443"/>
      <c r="Y443"/>
      <c r="Z443"/>
      <c r="AA443"/>
      <c r="AB443"/>
      <c r="AC443"/>
      <c r="AD443"/>
      <c r="AE443"/>
      <c r="AF443"/>
    </row>
    <row r="444" spans="11:32" ht="14.1" customHeight="1" x14ac:dyDescent="0.2">
      <c r="K444" s="130"/>
      <c r="L444" s="158"/>
      <c r="M444"/>
      <c r="N444"/>
      <c r="O444"/>
      <c r="P444"/>
      <c r="Q444"/>
      <c r="R444"/>
      <c r="S444"/>
      <c r="T444"/>
      <c r="U444"/>
      <c r="V444"/>
      <c r="W444"/>
      <c r="X444"/>
      <c r="Y444"/>
      <c r="Z444"/>
      <c r="AA444"/>
      <c r="AB444"/>
      <c r="AC444"/>
      <c r="AD444"/>
      <c r="AE444"/>
      <c r="AF444"/>
    </row>
    <row r="445" spans="11:32" ht="14.1" customHeight="1" x14ac:dyDescent="0.2">
      <c r="K445" s="130"/>
      <c r="L445" s="158"/>
      <c r="M445"/>
      <c r="N445"/>
      <c r="O445"/>
      <c r="P445"/>
      <c r="Q445"/>
      <c r="R445"/>
      <c r="S445"/>
      <c r="T445"/>
      <c r="U445"/>
      <c r="V445"/>
      <c r="W445"/>
      <c r="X445"/>
      <c r="Y445"/>
      <c r="Z445"/>
      <c r="AA445"/>
      <c r="AB445"/>
      <c r="AC445"/>
      <c r="AD445"/>
      <c r="AE445"/>
      <c r="AF445"/>
    </row>
    <row r="446" spans="11:32" ht="14.1" customHeight="1" x14ac:dyDescent="0.2">
      <c r="K446" s="130"/>
      <c r="L446" s="158"/>
      <c r="M446"/>
      <c r="N446"/>
      <c r="O446"/>
      <c r="P446"/>
      <c r="Q446"/>
      <c r="R446"/>
      <c r="S446"/>
      <c r="T446"/>
      <c r="U446"/>
      <c r="V446"/>
      <c r="W446"/>
      <c r="X446"/>
      <c r="Y446"/>
      <c r="Z446"/>
      <c r="AA446"/>
      <c r="AB446"/>
      <c r="AC446"/>
      <c r="AD446"/>
      <c r="AE446"/>
      <c r="AF446"/>
    </row>
    <row r="447" spans="11:32" ht="14.1" customHeight="1" x14ac:dyDescent="0.2">
      <c r="K447" s="130"/>
      <c r="L447" s="158"/>
      <c r="M447"/>
      <c r="N447"/>
      <c r="O447"/>
      <c r="P447"/>
      <c r="Q447"/>
      <c r="R447"/>
      <c r="S447"/>
      <c r="T447"/>
      <c r="U447"/>
      <c r="V447"/>
      <c r="W447"/>
      <c r="X447"/>
      <c r="Y447"/>
      <c r="Z447"/>
      <c r="AA447"/>
      <c r="AB447"/>
      <c r="AC447"/>
      <c r="AD447"/>
      <c r="AE447"/>
      <c r="AF447"/>
    </row>
    <row r="448" spans="11:32" ht="14.1" customHeight="1" x14ac:dyDescent="0.2">
      <c r="K448" s="130"/>
      <c r="L448" s="158"/>
      <c r="M448"/>
      <c r="N448"/>
      <c r="O448"/>
      <c r="P448"/>
      <c r="Q448"/>
      <c r="R448"/>
      <c r="S448"/>
      <c r="T448"/>
      <c r="U448"/>
      <c r="V448"/>
      <c r="W448"/>
      <c r="X448"/>
      <c r="Y448"/>
      <c r="Z448"/>
      <c r="AA448"/>
      <c r="AB448"/>
      <c r="AC448"/>
      <c r="AD448"/>
      <c r="AE448"/>
      <c r="AF448"/>
    </row>
    <row r="449" spans="11:32" ht="14.1" customHeight="1" x14ac:dyDescent="0.2">
      <c r="K449" s="130"/>
      <c r="L449" s="158"/>
      <c r="M449"/>
      <c r="N449"/>
      <c r="O449"/>
      <c r="P449"/>
      <c r="Q449"/>
      <c r="R449"/>
      <c r="S449"/>
      <c r="T449"/>
      <c r="U449"/>
      <c r="V449"/>
      <c r="W449"/>
      <c r="X449"/>
      <c r="Y449"/>
      <c r="Z449"/>
      <c r="AA449"/>
      <c r="AB449"/>
      <c r="AC449"/>
      <c r="AD449"/>
      <c r="AE449"/>
      <c r="AF449"/>
    </row>
    <row r="450" spans="11:32" ht="14.1" customHeight="1" x14ac:dyDescent="0.2">
      <c r="K450" s="130"/>
      <c r="L450" s="158"/>
      <c r="M450"/>
      <c r="N450"/>
      <c r="O450"/>
      <c r="P450"/>
      <c r="Q450"/>
      <c r="R450"/>
      <c r="S450"/>
      <c r="T450"/>
      <c r="U450"/>
      <c r="V450"/>
      <c r="W450"/>
      <c r="X450"/>
      <c r="Y450"/>
      <c r="Z450"/>
      <c r="AA450"/>
      <c r="AB450"/>
      <c r="AC450"/>
      <c r="AD450"/>
      <c r="AE450"/>
      <c r="AF450"/>
    </row>
    <row r="451" spans="11:32" ht="14.1" customHeight="1" x14ac:dyDescent="0.2">
      <c r="K451" s="130"/>
      <c r="L451" s="158"/>
      <c r="M451"/>
      <c r="N451"/>
      <c r="O451"/>
      <c r="P451"/>
      <c r="Q451"/>
      <c r="R451"/>
      <c r="S451"/>
      <c r="T451"/>
      <c r="U451"/>
      <c r="V451"/>
      <c r="W451"/>
      <c r="X451"/>
      <c r="Y451"/>
      <c r="Z451"/>
      <c r="AA451"/>
      <c r="AB451"/>
      <c r="AC451"/>
      <c r="AD451"/>
      <c r="AE451"/>
      <c r="AF451"/>
    </row>
    <row r="452" spans="11:32" ht="14.1" customHeight="1" x14ac:dyDescent="0.2">
      <c r="K452" s="130"/>
      <c r="L452" s="158"/>
      <c r="M452"/>
      <c r="N452"/>
      <c r="O452"/>
      <c r="P452"/>
      <c r="Q452"/>
      <c r="R452"/>
      <c r="S452"/>
      <c r="T452"/>
      <c r="U452"/>
      <c r="V452"/>
      <c r="W452"/>
      <c r="X452"/>
      <c r="Y452"/>
      <c r="Z452"/>
      <c r="AA452"/>
      <c r="AB452"/>
      <c r="AC452"/>
      <c r="AD452"/>
      <c r="AE452"/>
      <c r="AF452"/>
    </row>
    <row r="453" spans="11:32" ht="14.1" customHeight="1" x14ac:dyDescent="0.2">
      <c r="K453" s="130"/>
      <c r="L453" s="158"/>
      <c r="M453"/>
      <c r="N453"/>
      <c r="O453"/>
      <c r="P453"/>
      <c r="Q453"/>
      <c r="R453"/>
      <c r="S453"/>
      <c r="T453"/>
      <c r="U453"/>
      <c r="V453"/>
      <c r="W453"/>
      <c r="X453"/>
      <c r="Y453"/>
      <c r="Z453"/>
      <c r="AA453"/>
      <c r="AB453"/>
      <c r="AC453"/>
      <c r="AD453"/>
      <c r="AE453"/>
      <c r="AF453"/>
    </row>
    <row r="454" spans="11:32" ht="14.1" customHeight="1" x14ac:dyDescent="0.2">
      <c r="K454" s="130"/>
      <c r="L454" s="158"/>
      <c r="M454"/>
      <c r="N454"/>
      <c r="O454"/>
      <c r="P454"/>
      <c r="Q454"/>
      <c r="R454"/>
      <c r="S454"/>
      <c r="T454"/>
      <c r="U454"/>
      <c r="V454"/>
      <c r="W454"/>
      <c r="X454"/>
      <c r="Y454"/>
      <c r="Z454"/>
      <c r="AA454"/>
      <c r="AB454"/>
      <c r="AC454"/>
      <c r="AD454"/>
      <c r="AE454"/>
      <c r="AF454"/>
    </row>
    <row r="455" spans="11:32" ht="14.1" customHeight="1" x14ac:dyDescent="0.2">
      <c r="K455" s="130"/>
      <c r="L455" s="158"/>
      <c r="M455"/>
      <c r="N455"/>
      <c r="O455"/>
      <c r="P455"/>
      <c r="Q455"/>
      <c r="R455"/>
      <c r="S455"/>
      <c r="T455"/>
      <c r="U455"/>
      <c r="V455"/>
      <c r="W455"/>
      <c r="X455"/>
      <c r="Y455"/>
      <c r="Z455"/>
      <c r="AA455"/>
      <c r="AB455"/>
      <c r="AC455"/>
      <c r="AD455"/>
      <c r="AE455"/>
      <c r="AF455"/>
    </row>
    <row r="456" spans="11:32" ht="14.1" customHeight="1" x14ac:dyDescent="0.2">
      <c r="K456" s="130"/>
      <c r="L456" s="158"/>
      <c r="M456"/>
      <c r="N456"/>
      <c r="O456"/>
      <c r="P456"/>
      <c r="Q456"/>
      <c r="R456"/>
      <c r="S456"/>
      <c r="T456"/>
      <c r="U456"/>
      <c r="V456"/>
      <c r="W456"/>
      <c r="X456"/>
      <c r="Y456"/>
      <c r="Z456"/>
      <c r="AA456"/>
      <c r="AB456"/>
      <c r="AC456"/>
      <c r="AD456"/>
      <c r="AE456"/>
      <c r="AF456"/>
    </row>
    <row r="457" spans="11:32" ht="14.1" customHeight="1" x14ac:dyDescent="0.2">
      <c r="K457" s="130"/>
      <c r="L457" s="158"/>
      <c r="M457"/>
      <c r="N457"/>
      <c r="O457"/>
      <c r="P457"/>
      <c r="Q457"/>
      <c r="R457"/>
      <c r="S457"/>
      <c r="T457"/>
      <c r="U457"/>
      <c r="V457"/>
      <c r="W457"/>
      <c r="X457"/>
      <c r="Y457"/>
      <c r="Z457"/>
      <c r="AA457"/>
      <c r="AB457"/>
      <c r="AC457"/>
      <c r="AD457"/>
      <c r="AE457"/>
      <c r="AF457"/>
    </row>
    <row r="458" spans="11:32" ht="14.1" customHeight="1" x14ac:dyDescent="0.2">
      <c r="K458" s="130"/>
      <c r="L458" s="158"/>
      <c r="M458"/>
      <c r="N458"/>
      <c r="O458"/>
      <c r="P458"/>
      <c r="Q458"/>
      <c r="R458"/>
      <c r="S458"/>
      <c r="T458"/>
      <c r="U458"/>
      <c r="V458"/>
      <c r="W458"/>
      <c r="X458"/>
      <c r="Y458"/>
      <c r="Z458"/>
      <c r="AA458"/>
      <c r="AB458"/>
      <c r="AC458"/>
      <c r="AD458"/>
      <c r="AE458"/>
      <c r="AF458"/>
    </row>
    <row r="459" spans="11:32" ht="14.1" customHeight="1" x14ac:dyDescent="0.2">
      <c r="K459" s="130"/>
      <c r="L459" s="158"/>
      <c r="M459"/>
      <c r="N459"/>
      <c r="O459"/>
      <c r="P459"/>
      <c r="Q459"/>
      <c r="R459"/>
      <c r="S459"/>
      <c r="T459"/>
      <c r="U459"/>
      <c r="V459"/>
      <c r="W459"/>
      <c r="X459"/>
      <c r="Y459"/>
      <c r="Z459"/>
      <c r="AA459"/>
      <c r="AB459"/>
      <c r="AC459"/>
      <c r="AD459"/>
      <c r="AE459"/>
      <c r="AF459"/>
    </row>
    <row r="460" spans="11:32" ht="14.1" customHeight="1" x14ac:dyDescent="0.2">
      <c r="K460" s="130"/>
      <c r="L460" s="158"/>
      <c r="M460"/>
      <c r="N460"/>
      <c r="O460"/>
      <c r="P460"/>
      <c r="Q460"/>
      <c r="R460"/>
      <c r="S460"/>
      <c r="T460"/>
      <c r="U460"/>
      <c r="V460"/>
      <c r="W460"/>
      <c r="X460"/>
      <c r="Y460"/>
      <c r="Z460"/>
      <c r="AA460"/>
      <c r="AB460"/>
      <c r="AC460"/>
      <c r="AD460"/>
      <c r="AE460"/>
      <c r="AF460"/>
    </row>
    <row r="461" spans="11:32" ht="14.1" customHeight="1" x14ac:dyDescent="0.2">
      <c r="K461" s="130"/>
      <c r="L461" s="158"/>
      <c r="M461"/>
      <c r="N461"/>
      <c r="O461"/>
      <c r="P461"/>
      <c r="Q461"/>
      <c r="R461"/>
      <c r="S461"/>
      <c r="T461"/>
      <c r="U461"/>
      <c r="V461"/>
      <c r="W461"/>
      <c r="X461"/>
      <c r="Y461"/>
      <c r="Z461"/>
      <c r="AA461"/>
      <c r="AB461"/>
      <c r="AC461"/>
      <c r="AD461"/>
      <c r="AE461"/>
      <c r="AF461"/>
    </row>
    <row r="462" spans="11:32" ht="14.1" customHeight="1" x14ac:dyDescent="0.2">
      <c r="K462" s="130"/>
      <c r="L462" s="158"/>
      <c r="M462"/>
      <c r="N462"/>
      <c r="O462"/>
      <c r="P462"/>
      <c r="Q462"/>
      <c r="R462"/>
      <c r="S462"/>
      <c r="T462"/>
      <c r="U462"/>
      <c r="V462"/>
      <c r="W462"/>
      <c r="X462"/>
      <c r="Y462"/>
      <c r="Z462"/>
      <c r="AA462"/>
      <c r="AB462"/>
      <c r="AC462"/>
      <c r="AD462"/>
      <c r="AE462"/>
      <c r="AF462"/>
    </row>
    <row r="463" spans="11:32" ht="14.1" customHeight="1" x14ac:dyDescent="0.2">
      <c r="K463" s="130"/>
      <c r="L463" s="158"/>
      <c r="M463"/>
      <c r="N463"/>
      <c r="O463"/>
      <c r="P463"/>
      <c r="Q463"/>
      <c r="R463"/>
      <c r="S463"/>
      <c r="T463"/>
      <c r="U463"/>
      <c r="V463"/>
      <c r="W463"/>
      <c r="X463"/>
      <c r="Y463"/>
      <c r="Z463"/>
      <c r="AA463"/>
      <c r="AB463"/>
      <c r="AC463"/>
      <c r="AD463"/>
      <c r="AE463"/>
      <c r="AF463"/>
    </row>
    <row r="464" spans="11:32" ht="14.1" customHeight="1" x14ac:dyDescent="0.2">
      <c r="K464" s="130"/>
      <c r="L464" s="158"/>
      <c r="M464"/>
      <c r="N464"/>
      <c r="O464"/>
      <c r="P464"/>
      <c r="Q464"/>
      <c r="R464"/>
      <c r="S464"/>
      <c r="T464"/>
      <c r="U464"/>
      <c r="V464"/>
      <c r="W464"/>
      <c r="X464"/>
      <c r="Y464"/>
      <c r="Z464"/>
      <c r="AA464"/>
      <c r="AB464"/>
      <c r="AC464"/>
      <c r="AD464"/>
      <c r="AE464"/>
      <c r="AF464"/>
    </row>
    <row r="465" spans="11:32" ht="14.1" customHeight="1" x14ac:dyDescent="0.2">
      <c r="K465" s="130"/>
      <c r="L465" s="158"/>
      <c r="M465"/>
      <c r="N465"/>
      <c r="O465"/>
      <c r="P465"/>
      <c r="Q465"/>
      <c r="R465"/>
      <c r="S465"/>
      <c r="T465"/>
      <c r="U465"/>
      <c r="V465"/>
      <c r="W465"/>
      <c r="X465"/>
      <c r="Y465"/>
      <c r="Z465"/>
      <c r="AA465"/>
      <c r="AB465"/>
      <c r="AC465"/>
      <c r="AD465"/>
      <c r="AE465"/>
      <c r="AF465"/>
    </row>
    <row r="466" spans="11:32" ht="14.1" customHeight="1" x14ac:dyDescent="0.2">
      <c r="K466" s="130"/>
      <c r="L466" s="158"/>
      <c r="M466"/>
      <c r="N466"/>
      <c r="O466"/>
      <c r="P466"/>
      <c r="Q466"/>
      <c r="R466"/>
      <c r="S466"/>
      <c r="T466"/>
      <c r="U466"/>
      <c r="V466"/>
      <c r="W466"/>
      <c r="X466"/>
      <c r="Y466"/>
      <c r="Z466"/>
      <c r="AA466"/>
      <c r="AB466"/>
      <c r="AC466"/>
      <c r="AD466"/>
      <c r="AE466"/>
      <c r="AF466"/>
    </row>
    <row r="467" spans="11:32" ht="14.1" customHeight="1" x14ac:dyDescent="0.2">
      <c r="K467" s="130"/>
      <c r="L467" s="158"/>
      <c r="M467"/>
      <c r="N467"/>
      <c r="O467"/>
      <c r="P467"/>
      <c r="Q467"/>
      <c r="R467"/>
      <c r="S467"/>
      <c r="T467"/>
      <c r="U467"/>
      <c r="V467"/>
      <c r="W467"/>
      <c r="X467"/>
      <c r="Y467"/>
      <c r="Z467"/>
      <c r="AA467"/>
      <c r="AB467"/>
      <c r="AC467"/>
      <c r="AD467"/>
      <c r="AE467"/>
      <c r="AF467"/>
    </row>
    <row r="468" spans="11:32" ht="14.1" customHeight="1" x14ac:dyDescent="0.2">
      <c r="K468" s="130"/>
      <c r="L468" s="158"/>
      <c r="M468"/>
      <c r="N468"/>
      <c r="O468"/>
      <c r="P468"/>
      <c r="Q468"/>
      <c r="R468"/>
      <c r="S468"/>
      <c r="T468"/>
      <c r="U468"/>
      <c r="V468"/>
      <c r="W468"/>
      <c r="X468"/>
      <c r="Y468"/>
      <c r="Z468"/>
      <c r="AA468"/>
      <c r="AB468"/>
      <c r="AC468"/>
      <c r="AD468"/>
      <c r="AE468"/>
      <c r="AF468"/>
    </row>
    <row r="469" spans="11:32" ht="14.1" customHeight="1" x14ac:dyDescent="0.2">
      <c r="K469" s="130"/>
      <c r="L469" s="158"/>
      <c r="M469"/>
      <c r="N469"/>
      <c r="O469"/>
      <c r="P469"/>
      <c r="Q469"/>
      <c r="R469"/>
      <c r="S469"/>
      <c r="T469"/>
      <c r="U469"/>
      <c r="V469"/>
      <c r="W469"/>
      <c r="X469"/>
      <c r="Y469"/>
      <c r="Z469"/>
      <c r="AA469"/>
      <c r="AB469"/>
      <c r="AC469"/>
      <c r="AD469"/>
      <c r="AE469"/>
      <c r="AF469"/>
    </row>
    <row r="470" spans="11:32" ht="14.1" customHeight="1" x14ac:dyDescent="0.2">
      <c r="K470" s="130"/>
      <c r="L470" s="158"/>
      <c r="M470"/>
      <c r="N470"/>
      <c r="O470"/>
      <c r="P470"/>
      <c r="Q470"/>
      <c r="R470"/>
      <c r="S470"/>
      <c r="T470"/>
      <c r="U470"/>
      <c r="V470"/>
      <c r="W470"/>
      <c r="X470"/>
      <c r="Y470"/>
      <c r="Z470"/>
      <c r="AA470"/>
      <c r="AB470"/>
      <c r="AC470"/>
      <c r="AD470"/>
      <c r="AE470"/>
      <c r="AF470"/>
    </row>
    <row r="471" spans="11:32" ht="14.1" customHeight="1" x14ac:dyDescent="0.2">
      <c r="K471" s="130"/>
      <c r="L471" s="158"/>
      <c r="M471"/>
      <c r="N471"/>
      <c r="O471"/>
      <c r="P471"/>
      <c r="Q471"/>
      <c r="R471"/>
      <c r="S471"/>
      <c r="T471"/>
      <c r="U471"/>
      <c r="V471"/>
      <c r="W471"/>
      <c r="X471"/>
      <c r="Y471"/>
      <c r="Z471"/>
      <c r="AA471"/>
      <c r="AB471"/>
      <c r="AC471"/>
      <c r="AD471"/>
      <c r="AE471"/>
      <c r="AF471"/>
    </row>
    <row r="472" spans="11:32" ht="14.1" customHeight="1" x14ac:dyDescent="0.2">
      <c r="K472" s="130"/>
      <c r="L472" s="158"/>
      <c r="M472"/>
      <c r="N472"/>
      <c r="O472"/>
      <c r="P472"/>
      <c r="Q472"/>
      <c r="R472"/>
      <c r="S472"/>
      <c r="T472"/>
      <c r="U472"/>
      <c r="V472"/>
      <c r="W472"/>
      <c r="X472"/>
      <c r="Y472"/>
      <c r="Z472"/>
      <c r="AA472"/>
      <c r="AB472"/>
      <c r="AC472"/>
      <c r="AD472"/>
      <c r="AE472"/>
      <c r="AF472"/>
    </row>
    <row r="473" spans="11:32" ht="14.1" customHeight="1" x14ac:dyDescent="0.2">
      <c r="K473" s="130"/>
      <c r="L473" s="158"/>
      <c r="M473"/>
      <c r="N473"/>
      <c r="O473"/>
      <c r="P473"/>
      <c r="Q473"/>
      <c r="R473"/>
      <c r="S473"/>
      <c r="T473"/>
      <c r="U473"/>
      <c r="V473"/>
      <c r="W473"/>
      <c r="X473"/>
      <c r="Y473"/>
      <c r="Z473"/>
      <c r="AA473"/>
      <c r="AB473"/>
      <c r="AC473"/>
      <c r="AD473"/>
      <c r="AE473"/>
      <c r="AF473"/>
    </row>
    <row r="474" spans="11:32" ht="14.1" customHeight="1" x14ac:dyDescent="0.2">
      <c r="K474" s="130"/>
      <c r="L474" s="158"/>
      <c r="M474"/>
      <c r="N474"/>
      <c r="O474"/>
      <c r="P474"/>
      <c r="Q474"/>
      <c r="R474"/>
      <c r="S474"/>
      <c r="T474"/>
      <c r="U474"/>
      <c r="V474"/>
      <c r="W474"/>
      <c r="X474"/>
      <c r="Y474"/>
      <c r="Z474"/>
      <c r="AA474"/>
      <c r="AB474"/>
      <c r="AC474"/>
      <c r="AD474"/>
      <c r="AE474"/>
      <c r="AF474"/>
    </row>
    <row r="475" spans="11:32" ht="14.1" customHeight="1" x14ac:dyDescent="0.2">
      <c r="K475" s="130"/>
      <c r="L475" s="158"/>
      <c r="M475"/>
      <c r="N475"/>
      <c r="O475"/>
      <c r="P475"/>
      <c r="Q475"/>
      <c r="R475"/>
      <c r="S475"/>
      <c r="T475"/>
      <c r="U475"/>
      <c r="V475"/>
      <c r="W475"/>
      <c r="X475"/>
      <c r="Y475"/>
      <c r="Z475"/>
      <c r="AA475"/>
      <c r="AB475"/>
      <c r="AC475"/>
      <c r="AD475"/>
      <c r="AE475"/>
      <c r="AF475"/>
    </row>
    <row r="476" spans="11:32" ht="14.1" customHeight="1" x14ac:dyDescent="0.2">
      <c r="K476" s="130"/>
      <c r="L476" s="158"/>
      <c r="M476"/>
      <c r="N476"/>
      <c r="O476"/>
      <c r="P476"/>
      <c r="Q476"/>
      <c r="R476"/>
      <c r="S476"/>
      <c r="T476"/>
      <c r="U476"/>
      <c r="V476"/>
      <c r="W476"/>
      <c r="X476"/>
      <c r="Y476"/>
      <c r="Z476"/>
      <c r="AA476"/>
      <c r="AB476"/>
      <c r="AC476"/>
      <c r="AD476"/>
      <c r="AE476"/>
      <c r="AF476"/>
    </row>
    <row r="477" spans="11:32" ht="14.1" customHeight="1" x14ac:dyDescent="0.2">
      <c r="K477" s="130"/>
      <c r="L477" s="158"/>
      <c r="M477"/>
      <c r="N477"/>
      <c r="O477"/>
      <c r="P477"/>
      <c r="Q477"/>
      <c r="R477"/>
      <c r="S477"/>
      <c r="T477"/>
      <c r="U477"/>
      <c r="V477"/>
      <c r="W477"/>
      <c r="X477"/>
      <c r="Y477"/>
      <c r="Z477"/>
      <c r="AA477"/>
      <c r="AB477"/>
      <c r="AC477"/>
      <c r="AD477"/>
      <c r="AE477"/>
      <c r="AF477"/>
    </row>
    <row r="478" spans="11:32" ht="14.1" customHeight="1" x14ac:dyDescent="0.2">
      <c r="K478" s="130"/>
      <c r="L478" s="158"/>
      <c r="M478"/>
      <c r="N478"/>
      <c r="O478"/>
      <c r="P478"/>
      <c r="Q478"/>
      <c r="R478"/>
      <c r="S478"/>
      <c r="T478"/>
      <c r="U478"/>
      <c r="V478"/>
      <c r="W478"/>
      <c r="X478"/>
      <c r="Y478"/>
      <c r="Z478"/>
      <c r="AA478"/>
      <c r="AB478"/>
      <c r="AC478"/>
      <c r="AD478"/>
      <c r="AE478"/>
      <c r="AF478"/>
    </row>
    <row r="479" spans="11:32" ht="14.1" customHeight="1" x14ac:dyDescent="0.2">
      <c r="K479" s="130"/>
      <c r="L479" s="158"/>
      <c r="M479"/>
      <c r="N479"/>
      <c r="O479"/>
      <c r="P479"/>
      <c r="Q479"/>
      <c r="R479"/>
      <c r="S479"/>
      <c r="T479"/>
      <c r="U479"/>
      <c r="V479"/>
      <c r="W479"/>
      <c r="X479"/>
      <c r="Y479"/>
      <c r="Z479"/>
      <c r="AA479"/>
      <c r="AB479"/>
      <c r="AC479"/>
      <c r="AD479"/>
      <c r="AE479"/>
      <c r="AF479"/>
    </row>
    <row r="480" spans="11:32" ht="14.1" customHeight="1" x14ac:dyDescent="0.2">
      <c r="K480" s="158"/>
      <c r="L480" s="158"/>
      <c r="M480"/>
      <c r="N480"/>
      <c r="O480"/>
      <c r="P480"/>
      <c r="Q480"/>
      <c r="R480"/>
      <c r="S480"/>
      <c r="T480"/>
      <c r="U480"/>
      <c r="V480"/>
      <c r="W480"/>
      <c r="X480"/>
      <c r="Y480"/>
      <c r="Z480"/>
      <c r="AA480"/>
      <c r="AB480"/>
      <c r="AC480"/>
      <c r="AD480"/>
      <c r="AE480"/>
      <c r="AF480"/>
    </row>
    <row r="481" spans="11:32" ht="14.1" customHeight="1" x14ac:dyDescent="0.2">
      <c r="K481" s="158"/>
      <c r="L481" s="158"/>
      <c r="M481"/>
      <c r="N481"/>
      <c r="O481"/>
      <c r="P481"/>
      <c r="Q481"/>
      <c r="R481"/>
      <c r="S481"/>
      <c r="T481"/>
      <c r="U481"/>
      <c r="V481"/>
      <c r="W481"/>
      <c r="X481"/>
      <c r="Y481"/>
      <c r="Z481"/>
      <c r="AA481"/>
      <c r="AB481"/>
      <c r="AC481"/>
      <c r="AD481"/>
      <c r="AE481"/>
      <c r="AF481"/>
    </row>
    <row r="482" spans="11:32" ht="14.1" customHeight="1" x14ac:dyDescent="0.2">
      <c r="K482" s="158"/>
      <c r="L482" s="158"/>
      <c r="M482"/>
      <c r="N482"/>
      <c r="O482"/>
      <c r="P482"/>
      <c r="Q482"/>
      <c r="R482"/>
      <c r="S482"/>
      <c r="T482"/>
      <c r="U482"/>
      <c r="V482"/>
      <c r="W482"/>
      <c r="X482"/>
      <c r="Y482"/>
      <c r="Z482"/>
      <c r="AA482"/>
      <c r="AB482"/>
      <c r="AC482"/>
      <c r="AD482"/>
      <c r="AE482"/>
      <c r="AF482"/>
    </row>
    <row r="483" spans="11:32" ht="14.1" customHeight="1" x14ac:dyDescent="0.2">
      <c r="K483" s="158"/>
      <c r="L483" s="158"/>
      <c r="M483"/>
      <c r="N483"/>
      <c r="O483"/>
      <c r="P483"/>
      <c r="Q483"/>
      <c r="R483"/>
      <c r="S483"/>
      <c r="T483"/>
      <c r="U483"/>
      <c r="V483"/>
      <c r="W483"/>
      <c r="X483"/>
      <c r="Y483"/>
      <c r="Z483"/>
      <c r="AA483"/>
      <c r="AB483"/>
      <c r="AC483"/>
      <c r="AD483"/>
      <c r="AE483"/>
      <c r="AF483"/>
    </row>
    <row r="484" spans="11:32" ht="14.1" customHeight="1" x14ac:dyDescent="0.2">
      <c r="K484" s="158"/>
      <c r="L484" s="158"/>
      <c r="M484"/>
      <c r="N484"/>
      <c r="O484"/>
      <c r="P484"/>
      <c r="Q484"/>
      <c r="R484"/>
      <c r="S484"/>
      <c r="T484"/>
      <c r="U484"/>
      <c r="V484"/>
      <c r="W484"/>
      <c r="X484"/>
      <c r="Y484"/>
      <c r="Z484"/>
      <c r="AA484"/>
      <c r="AB484"/>
      <c r="AC484"/>
      <c r="AD484"/>
      <c r="AE484"/>
      <c r="AF484"/>
    </row>
    <row r="485" spans="11:32" ht="14.1" customHeight="1" x14ac:dyDescent="0.2">
      <c r="K485" s="158"/>
      <c r="L485" s="158"/>
      <c r="M485"/>
      <c r="N485"/>
      <c r="O485"/>
      <c r="P485"/>
      <c r="Q485"/>
      <c r="R485"/>
      <c r="S485"/>
      <c r="T485"/>
      <c r="U485"/>
      <c r="V485"/>
      <c r="W485"/>
      <c r="X485"/>
      <c r="Y485"/>
      <c r="Z485"/>
      <c r="AA485"/>
      <c r="AB485"/>
      <c r="AC485"/>
      <c r="AD485"/>
      <c r="AE485"/>
      <c r="AF485"/>
    </row>
    <row r="486" spans="11:32" ht="14.1" customHeight="1" x14ac:dyDescent="0.2">
      <c r="K486" s="158"/>
      <c r="L486" s="158"/>
      <c r="M486"/>
      <c r="N486"/>
      <c r="O486"/>
      <c r="P486"/>
      <c r="Q486"/>
      <c r="R486"/>
      <c r="S486"/>
      <c r="T486"/>
      <c r="U486"/>
      <c r="V486"/>
      <c r="W486"/>
      <c r="X486"/>
      <c r="Y486"/>
      <c r="Z486"/>
      <c r="AA486"/>
      <c r="AB486"/>
      <c r="AC486"/>
      <c r="AD486"/>
      <c r="AE486"/>
      <c r="AF486"/>
    </row>
    <row r="487" spans="11:32" ht="14.1" customHeight="1" x14ac:dyDescent="0.2">
      <c r="K487" s="158"/>
      <c r="L487" s="158"/>
      <c r="M487"/>
      <c r="N487"/>
      <c r="O487"/>
      <c r="P487"/>
      <c r="Q487"/>
      <c r="R487"/>
      <c r="S487"/>
      <c r="T487"/>
      <c r="U487"/>
      <c r="V487"/>
      <c r="W487"/>
      <c r="X487"/>
      <c r="Y487"/>
      <c r="Z487"/>
      <c r="AA487"/>
      <c r="AB487"/>
      <c r="AC487"/>
      <c r="AD487"/>
      <c r="AE487"/>
      <c r="AF487"/>
    </row>
    <row r="488" spans="11:32" ht="14.1" customHeight="1" x14ac:dyDescent="0.2">
      <c r="K488" s="158"/>
      <c r="L488" s="158"/>
      <c r="M488"/>
      <c r="N488"/>
      <c r="O488"/>
      <c r="P488"/>
      <c r="Q488"/>
      <c r="R488"/>
      <c r="S488"/>
      <c r="T488"/>
      <c r="U488"/>
      <c r="V488"/>
      <c r="W488"/>
      <c r="X488"/>
      <c r="Y488"/>
      <c r="Z488"/>
      <c r="AA488"/>
      <c r="AB488"/>
      <c r="AC488"/>
      <c r="AD488"/>
      <c r="AE488"/>
      <c r="AF488"/>
    </row>
    <row r="489" spans="11:32" ht="14.1" customHeight="1" x14ac:dyDescent="0.2">
      <c r="K489" s="158"/>
      <c r="L489" s="158"/>
      <c r="M489"/>
      <c r="N489"/>
      <c r="O489"/>
      <c r="P489"/>
      <c r="Q489"/>
      <c r="R489"/>
      <c r="S489"/>
      <c r="T489"/>
      <c r="U489"/>
      <c r="V489"/>
      <c r="W489"/>
      <c r="X489"/>
      <c r="Y489"/>
      <c r="Z489"/>
      <c r="AA489"/>
      <c r="AB489"/>
      <c r="AC489"/>
      <c r="AD489"/>
      <c r="AE489"/>
      <c r="AF489"/>
    </row>
    <row r="490" spans="11:32" ht="14.1" customHeight="1" x14ac:dyDescent="0.2">
      <c r="K490" s="158"/>
      <c r="L490" s="158"/>
      <c r="M490"/>
      <c r="N490"/>
      <c r="O490"/>
      <c r="P490"/>
      <c r="Q490"/>
      <c r="R490"/>
      <c r="S490"/>
      <c r="T490"/>
      <c r="U490"/>
      <c r="V490"/>
      <c r="W490"/>
      <c r="X490"/>
      <c r="Y490"/>
      <c r="Z490"/>
      <c r="AA490"/>
      <c r="AB490"/>
      <c r="AC490"/>
      <c r="AD490"/>
      <c r="AE490"/>
      <c r="AF490"/>
    </row>
    <row r="491" spans="11:32" ht="14.1" customHeight="1" x14ac:dyDescent="0.2">
      <c r="K491" s="158"/>
      <c r="L491" s="158"/>
      <c r="M491"/>
      <c r="N491"/>
      <c r="O491"/>
      <c r="P491"/>
      <c r="Q491"/>
      <c r="R491"/>
      <c r="S491"/>
      <c r="T491"/>
      <c r="U491"/>
      <c r="V491"/>
      <c r="W491"/>
      <c r="X491"/>
      <c r="Y491"/>
      <c r="Z491"/>
      <c r="AA491"/>
      <c r="AB491"/>
      <c r="AC491"/>
      <c r="AD491"/>
      <c r="AE491"/>
      <c r="AF491"/>
    </row>
    <row r="492" spans="11:32" ht="14.1" customHeight="1" x14ac:dyDescent="0.2">
      <c r="K492" s="158"/>
      <c r="L492" s="158"/>
      <c r="M492"/>
      <c r="N492"/>
      <c r="O492"/>
      <c r="P492"/>
      <c r="Q492"/>
      <c r="R492"/>
      <c r="S492"/>
      <c r="T492"/>
      <c r="U492"/>
      <c r="V492"/>
      <c r="W492"/>
      <c r="X492"/>
      <c r="Y492"/>
      <c r="Z492"/>
      <c r="AA492"/>
      <c r="AB492"/>
      <c r="AC492"/>
      <c r="AD492"/>
      <c r="AE492"/>
      <c r="AF492"/>
    </row>
    <row r="493" spans="11:32" ht="14.1" customHeight="1" x14ac:dyDescent="0.2">
      <c r="K493" s="158"/>
      <c r="L493" s="158"/>
      <c r="M493"/>
      <c r="N493"/>
      <c r="O493"/>
      <c r="P493"/>
      <c r="Q493"/>
      <c r="R493"/>
      <c r="S493"/>
      <c r="T493"/>
      <c r="U493"/>
      <c r="V493"/>
      <c r="W493"/>
      <c r="X493"/>
      <c r="Y493"/>
      <c r="Z493"/>
      <c r="AA493"/>
      <c r="AB493"/>
      <c r="AC493"/>
      <c r="AD493"/>
      <c r="AE493"/>
      <c r="AF493"/>
    </row>
    <row r="494" spans="11:32" ht="14.1" customHeight="1" x14ac:dyDescent="0.2">
      <c r="K494" s="158"/>
      <c r="L494" s="158"/>
      <c r="M494"/>
      <c r="N494"/>
      <c r="O494"/>
      <c r="P494"/>
      <c r="Q494"/>
      <c r="R494"/>
      <c r="S494"/>
      <c r="T494"/>
      <c r="U494"/>
      <c r="V494"/>
      <c r="W494"/>
      <c r="X494"/>
      <c r="Y494"/>
      <c r="Z494"/>
      <c r="AA494"/>
      <c r="AB494"/>
      <c r="AC494"/>
      <c r="AD494"/>
      <c r="AE494"/>
      <c r="AF494"/>
    </row>
    <row r="495" spans="11:32" ht="14.1" customHeight="1" x14ac:dyDescent="0.2">
      <c r="K495" s="158"/>
      <c r="L495" s="158"/>
      <c r="M495"/>
      <c r="N495"/>
      <c r="O495"/>
      <c r="P495"/>
      <c r="Q495"/>
      <c r="R495"/>
      <c r="S495"/>
      <c r="T495"/>
      <c r="U495"/>
      <c r="V495"/>
      <c r="W495"/>
      <c r="X495"/>
      <c r="Y495"/>
      <c r="Z495"/>
      <c r="AA495"/>
      <c r="AB495"/>
      <c r="AC495"/>
      <c r="AD495"/>
      <c r="AE495"/>
      <c r="AF495"/>
    </row>
    <row r="496" spans="11:32" ht="14.1" customHeight="1" x14ac:dyDescent="0.2">
      <c r="K496" s="158"/>
      <c r="L496" s="158"/>
      <c r="M496"/>
      <c r="N496"/>
      <c r="O496"/>
      <c r="P496"/>
      <c r="Q496"/>
      <c r="R496"/>
      <c r="S496"/>
      <c r="T496"/>
      <c r="U496"/>
      <c r="V496"/>
      <c r="W496"/>
      <c r="X496"/>
      <c r="Y496"/>
      <c r="Z496"/>
      <c r="AA496"/>
      <c r="AB496"/>
      <c r="AC496"/>
      <c r="AD496"/>
      <c r="AE496"/>
      <c r="AF496"/>
    </row>
    <row r="497" spans="11:32" ht="14.1" customHeight="1" x14ac:dyDescent="0.2">
      <c r="K497" s="158"/>
      <c r="L497" s="158"/>
      <c r="M497"/>
      <c r="N497"/>
      <c r="O497"/>
      <c r="P497"/>
      <c r="Q497"/>
      <c r="R497"/>
      <c r="S497"/>
      <c r="T497"/>
      <c r="U497"/>
      <c r="V497"/>
      <c r="W497"/>
      <c r="X497"/>
      <c r="Y497"/>
      <c r="Z497"/>
      <c r="AA497"/>
      <c r="AB497"/>
      <c r="AC497"/>
      <c r="AD497"/>
      <c r="AE497"/>
      <c r="AF497"/>
    </row>
    <row r="498" spans="11:32" ht="14.1" customHeight="1" x14ac:dyDescent="0.2">
      <c r="K498" s="158"/>
      <c r="L498" s="158"/>
      <c r="M498"/>
      <c r="N498"/>
      <c r="O498"/>
      <c r="P498"/>
      <c r="Q498"/>
      <c r="R498"/>
      <c r="S498"/>
      <c r="T498"/>
      <c r="U498"/>
      <c r="V498"/>
      <c r="W498"/>
      <c r="X498"/>
      <c r="Y498"/>
      <c r="Z498"/>
      <c r="AA498"/>
      <c r="AB498"/>
      <c r="AC498"/>
      <c r="AD498"/>
      <c r="AE498"/>
      <c r="AF498"/>
    </row>
    <row r="499" spans="11:32" ht="14.1" customHeight="1" x14ac:dyDescent="0.2">
      <c r="K499" s="158"/>
      <c r="L499" s="158"/>
      <c r="M499"/>
      <c r="N499"/>
      <c r="O499"/>
      <c r="P499"/>
      <c r="Q499"/>
      <c r="R499"/>
      <c r="S499"/>
      <c r="T499"/>
      <c r="U499"/>
      <c r="V499"/>
      <c r="W499"/>
      <c r="X499"/>
      <c r="Y499"/>
      <c r="Z499"/>
      <c r="AA499"/>
      <c r="AB499"/>
      <c r="AC499"/>
      <c r="AD499"/>
      <c r="AE499"/>
      <c r="AF499"/>
    </row>
    <row r="500" spans="11:32" ht="14.1" customHeight="1" x14ac:dyDescent="0.2">
      <c r="K500" s="158"/>
      <c r="L500" s="158"/>
      <c r="M500"/>
      <c r="N500"/>
      <c r="O500"/>
      <c r="P500"/>
      <c r="Q500"/>
      <c r="R500"/>
      <c r="S500"/>
      <c r="T500"/>
      <c r="U500"/>
      <c r="V500"/>
      <c r="W500"/>
      <c r="X500"/>
      <c r="Y500"/>
      <c r="Z500"/>
      <c r="AA500"/>
      <c r="AB500"/>
      <c r="AC500"/>
      <c r="AD500"/>
      <c r="AE500"/>
      <c r="AF500"/>
    </row>
    <row r="501" spans="11:32" ht="14.1" customHeight="1" x14ac:dyDescent="0.2">
      <c r="K501" s="158"/>
      <c r="L501" s="158"/>
      <c r="M501"/>
      <c r="N501"/>
      <c r="O501"/>
      <c r="P501"/>
      <c r="Q501"/>
      <c r="R501"/>
      <c r="S501"/>
      <c r="T501"/>
      <c r="U501"/>
      <c r="V501"/>
      <c r="W501"/>
      <c r="X501"/>
      <c r="Y501"/>
      <c r="Z501"/>
      <c r="AA501"/>
      <c r="AB501"/>
      <c r="AC501"/>
      <c r="AD501"/>
      <c r="AE501"/>
      <c r="AF501"/>
    </row>
    <row r="502" spans="11:32" ht="14.1" customHeight="1" x14ac:dyDescent="0.2">
      <c r="K502" s="158"/>
      <c r="L502" s="158"/>
      <c r="M502"/>
      <c r="N502"/>
      <c r="O502"/>
      <c r="P502"/>
      <c r="Q502"/>
      <c r="R502"/>
      <c r="S502"/>
      <c r="T502"/>
      <c r="U502"/>
      <c r="V502"/>
      <c r="W502"/>
      <c r="X502"/>
      <c r="Y502"/>
      <c r="Z502"/>
      <c r="AA502"/>
      <c r="AB502"/>
      <c r="AC502"/>
      <c r="AD502"/>
      <c r="AE502"/>
      <c r="AF502"/>
    </row>
    <row r="503" spans="11:32" ht="14.1" customHeight="1" x14ac:dyDescent="0.2">
      <c r="K503" s="158"/>
      <c r="L503" s="158"/>
      <c r="M503"/>
      <c r="N503"/>
      <c r="O503"/>
      <c r="P503"/>
      <c r="Q503"/>
      <c r="R503"/>
      <c r="S503"/>
      <c r="T503"/>
      <c r="U503"/>
      <c r="V503"/>
      <c r="W503"/>
      <c r="X503"/>
      <c r="Y503"/>
      <c r="Z503"/>
      <c r="AA503"/>
      <c r="AB503"/>
      <c r="AC503"/>
      <c r="AD503"/>
      <c r="AE503"/>
      <c r="AF503"/>
    </row>
    <row r="504" spans="11:32" ht="14.1" customHeight="1" x14ac:dyDescent="0.2">
      <c r="K504" s="158"/>
      <c r="L504" s="158"/>
      <c r="M504"/>
      <c r="N504"/>
      <c r="O504"/>
      <c r="P504"/>
      <c r="Q504"/>
      <c r="R504"/>
      <c r="S504"/>
      <c r="T504"/>
      <c r="U504"/>
      <c r="V504"/>
      <c r="W504"/>
      <c r="X504"/>
      <c r="Y504"/>
      <c r="Z504"/>
      <c r="AA504"/>
      <c r="AB504"/>
      <c r="AC504"/>
      <c r="AD504"/>
      <c r="AE504"/>
      <c r="AF504"/>
    </row>
    <row r="505" spans="11:32" ht="14.1" customHeight="1" x14ac:dyDescent="0.2">
      <c r="K505" s="158"/>
      <c r="L505" s="158"/>
      <c r="M505"/>
      <c r="N505"/>
      <c r="O505"/>
      <c r="P505"/>
      <c r="Q505"/>
      <c r="R505"/>
      <c r="S505"/>
      <c r="T505"/>
      <c r="U505"/>
      <c r="V505"/>
      <c r="W505"/>
      <c r="X505"/>
      <c r="Y505"/>
      <c r="Z505"/>
      <c r="AA505"/>
      <c r="AB505"/>
      <c r="AC505"/>
      <c r="AD505"/>
      <c r="AE505"/>
      <c r="AF505"/>
    </row>
    <row r="506" spans="11:32" ht="14.1" customHeight="1" x14ac:dyDescent="0.2">
      <c r="K506" s="158"/>
      <c r="L506" s="158"/>
      <c r="M506"/>
      <c r="N506"/>
      <c r="O506"/>
      <c r="P506"/>
      <c r="Q506"/>
      <c r="R506"/>
      <c r="S506"/>
      <c r="T506"/>
      <c r="U506"/>
      <c r="V506"/>
      <c r="W506"/>
      <c r="X506"/>
      <c r="Y506"/>
      <c r="Z506"/>
      <c r="AA506"/>
      <c r="AB506"/>
      <c r="AC506"/>
      <c r="AD506"/>
      <c r="AE506"/>
      <c r="AF506"/>
    </row>
    <row r="507" spans="11:32" ht="14.1" customHeight="1" x14ac:dyDescent="0.2">
      <c r="K507" s="158"/>
      <c r="L507" s="158"/>
      <c r="M507"/>
      <c r="N507"/>
      <c r="O507"/>
      <c r="P507"/>
      <c r="Q507"/>
      <c r="R507"/>
      <c r="S507"/>
      <c r="T507"/>
      <c r="U507"/>
      <c r="V507"/>
      <c r="W507"/>
      <c r="X507"/>
      <c r="Y507"/>
      <c r="Z507"/>
      <c r="AA507"/>
      <c r="AB507"/>
      <c r="AC507"/>
      <c r="AD507"/>
      <c r="AE507"/>
      <c r="AF507"/>
    </row>
    <row r="508" spans="11:32" ht="14.1" customHeight="1" x14ac:dyDescent="0.2">
      <c r="K508" s="158"/>
      <c r="L508" s="158"/>
      <c r="M508"/>
      <c r="N508"/>
      <c r="O508"/>
      <c r="P508"/>
      <c r="Q508"/>
      <c r="R508"/>
      <c r="S508"/>
      <c r="T508"/>
      <c r="U508"/>
      <c r="V508"/>
      <c r="W508"/>
      <c r="X508"/>
      <c r="Y508"/>
      <c r="Z508"/>
      <c r="AA508"/>
      <c r="AB508"/>
      <c r="AC508"/>
      <c r="AD508"/>
      <c r="AE508"/>
      <c r="AF508"/>
    </row>
    <row r="509" spans="11:32" ht="14.1" customHeight="1" x14ac:dyDescent="0.2">
      <c r="K509" s="158"/>
      <c r="L509" s="158"/>
      <c r="M509"/>
      <c r="N509"/>
      <c r="O509"/>
      <c r="P509"/>
      <c r="Q509"/>
      <c r="R509"/>
      <c r="S509"/>
      <c r="T509"/>
      <c r="U509"/>
      <c r="V509"/>
      <c r="W509"/>
      <c r="X509"/>
      <c r="Y509"/>
      <c r="Z509"/>
      <c r="AA509"/>
      <c r="AB509"/>
      <c r="AC509"/>
      <c r="AD509"/>
      <c r="AE509"/>
      <c r="AF509"/>
    </row>
    <row r="510" spans="11:32" ht="14.1" customHeight="1" x14ac:dyDescent="0.2">
      <c r="K510" s="158"/>
      <c r="L510" s="158"/>
      <c r="M510"/>
      <c r="N510"/>
      <c r="O510"/>
      <c r="P510"/>
      <c r="Q510"/>
      <c r="R510"/>
      <c r="S510"/>
      <c r="T510"/>
      <c r="U510"/>
      <c r="V510"/>
      <c r="W510"/>
      <c r="X510"/>
      <c r="Y510"/>
      <c r="Z510"/>
      <c r="AA510"/>
      <c r="AB510"/>
      <c r="AC510"/>
      <c r="AD510"/>
      <c r="AE510"/>
      <c r="AF510"/>
    </row>
    <row r="511" spans="11:32" ht="14.1" customHeight="1" x14ac:dyDescent="0.2">
      <c r="K511" s="158"/>
      <c r="L511" s="158"/>
      <c r="M511"/>
      <c r="N511"/>
      <c r="O511"/>
      <c r="P511"/>
      <c r="Q511"/>
      <c r="R511"/>
      <c r="S511"/>
      <c r="T511"/>
      <c r="U511"/>
      <c r="V511"/>
      <c r="W511"/>
      <c r="X511"/>
      <c r="Y511"/>
      <c r="Z511"/>
      <c r="AA511"/>
      <c r="AB511"/>
      <c r="AC511"/>
      <c r="AD511"/>
      <c r="AE511"/>
      <c r="AF511"/>
    </row>
    <row r="512" spans="11:32" ht="14.1" customHeight="1" x14ac:dyDescent="0.2">
      <c r="K512" s="158"/>
      <c r="L512" s="158"/>
      <c r="M512"/>
      <c r="N512"/>
      <c r="O512"/>
      <c r="P512"/>
      <c r="Q512"/>
      <c r="R512"/>
      <c r="S512"/>
      <c r="T512"/>
      <c r="U512"/>
      <c r="V512"/>
      <c r="W512"/>
      <c r="X512"/>
      <c r="Y512"/>
      <c r="Z512"/>
      <c r="AA512"/>
      <c r="AB512"/>
      <c r="AC512"/>
      <c r="AD512"/>
      <c r="AE512"/>
      <c r="AF512"/>
    </row>
    <row r="513" spans="11:32" ht="14.1" customHeight="1" x14ac:dyDescent="0.2">
      <c r="K513" s="158"/>
      <c r="L513" s="158"/>
      <c r="M513"/>
      <c r="N513"/>
      <c r="O513"/>
      <c r="P513"/>
      <c r="Q513"/>
      <c r="R513"/>
      <c r="S513"/>
      <c r="T513"/>
      <c r="U513"/>
      <c r="V513"/>
      <c r="W513"/>
      <c r="X513"/>
      <c r="Y513"/>
      <c r="Z513"/>
      <c r="AA513"/>
      <c r="AB513"/>
      <c r="AC513"/>
      <c r="AD513"/>
      <c r="AE513"/>
      <c r="AF513"/>
    </row>
    <row r="514" spans="11:32" ht="14.1" customHeight="1" x14ac:dyDescent="0.2">
      <c r="K514" s="158"/>
      <c r="L514" s="158"/>
      <c r="M514"/>
      <c r="N514"/>
      <c r="O514"/>
      <c r="P514"/>
      <c r="Q514"/>
      <c r="R514"/>
      <c r="S514"/>
      <c r="T514"/>
      <c r="U514"/>
      <c r="V514"/>
      <c r="W514"/>
      <c r="X514"/>
      <c r="Y514"/>
      <c r="Z514"/>
      <c r="AA514"/>
      <c r="AB514"/>
      <c r="AC514"/>
      <c r="AD514"/>
      <c r="AE514"/>
      <c r="AF514"/>
    </row>
    <row r="515" spans="11:32" ht="14.1" customHeight="1" x14ac:dyDescent="0.2">
      <c r="K515" s="158"/>
      <c r="L515" s="158"/>
      <c r="M515"/>
      <c r="N515"/>
      <c r="O515"/>
      <c r="P515"/>
      <c r="Q515"/>
      <c r="R515"/>
      <c r="S515"/>
      <c r="T515"/>
      <c r="U515"/>
      <c r="V515"/>
      <c r="W515"/>
      <c r="X515"/>
      <c r="Y515"/>
      <c r="Z515"/>
      <c r="AA515"/>
      <c r="AB515"/>
      <c r="AC515"/>
      <c r="AD515"/>
      <c r="AE515"/>
      <c r="AF515"/>
    </row>
    <row r="516" spans="11:32" ht="14.1" customHeight="1" x14ac:dyDescent="0.2">
      <c r="K516" s="158"/>
      <c r="L516" s="158"/>
      <c r="M516"/>
      <c r="N516"/>
      <c r="O516"/>
      <c r="P516"/>
      <c r="Q516"/>
      <c r="R516"/>
      <c r="S516"/>
      <c r="T516"/>
      <c r="U516"/>
      <c r="V516"/>
      <c r="W516"/>
      <c r="X516"/>
      <c r="Y516"/>
      <c r="Z516"/>
      <c r="AA516"/>
      <c r="AB516"/>
      <c r="AC516"/>
      <c r="AD516"/>
      <c r="AE516"/>
      <c r="AF516"/>
    </row>
    <row r="517" spans="11:32" ht="14.1" customHeight="1" x14ac:dyDescent="0.2">
      <c r="K517" s="158"/>
      <c r="L517" s="158"/>
      <c r="M517"/>
      <c r="N517"/>
      <c r="O517"/>
      <c r="P517"/>
      <c r="Q517"/>
      <c r="R517"/>
      <c r="S517"/>
      <c r="T517"/>
      <c r="U517"/>
      <c r="V517"/>
      <c r="W517"/>
      <c r="X517"/>
      <c r="Y517"/>
      <c r="Z517"/>
      <c r="AA517"/>
      <c r="AB517"/>
      <c r="AC517"/>
      <c r="AD517"/>
      <c r="AE517"/>
      <c r="AF517"/>
    </row>
    <row r="518" spans="11:32" ht="14.1" customHeight="1" x14ac:dyDescent="0.2">
      <c r="K518" s="158"/>
      <c r="L518" s="158"/>
      <c r="M518"/>
      <c r="N518"/>
      <c r="O518"/>
      <c r="P518"/>
      <c r="Q518"/>
      <c r="R518"/>
      <c r="S518"/>
      <c r="T518"/>
      <c r="U518"/>
      <c r="V518"/>
      <c r="W518"/>
      <c r="X518"/>
      <c r="Y518"/>
      <c r="Z518"/>
      <c r="AA518"/>
      <c r="AB518"/>
      <c r="AC518"/>
      <c r="AD518"/>
      <c r="AE518"/>
      <c r="AF518"/>
    </row>
    <row r="519" spans="11:32" ht="14.1" customHeight="1" x14ac:dyDescent="0.2">
      <c r="K519" s="158"/>
      <c r="L519" s="158"/>
      <c r="M519"/>
      <c r="N519"/>
      <c r="O519"/>
      <c r="P519"/>
      <c r="Q519"/>
      <c r="R519"/>
      <c r="S519"/>
      <c r="T519"/>
      <c r="U519"/>
      <c r="V519"/>
      <c r="W519"/>
      <c r="X519"/>
      <c r="Y519"/>
      <c r="Z519"/>
      <c r="AA519"/>
      <c r="AB519"/>
      <c r="AC519"/>
      <c r="AD519"/>
      <c r="AE519"/>
      <c r="AF519"/>
    </row>
    <row r="520" spans="11:32" ht="14.1" customHeight="1" x14ac:dyDescent="0.2">
      <c r="K520" s="158"/>
      <c r="L520" s="158"/>
      <c r="M520"/>
      <c r="N520"/>
      <c r="O520"/>
      <c r="P520"/>
      <c r="Q520"/>
      <c r="R520"/>
      <c r="S520"/>
      <c r="T520"/>
      <c r="U520"/>
      <c r="V520"/>
      <c r="W520"/>
      <c r="X520"/>
      <c r="Y520"/>
      <c r="Z520"/>
      <c r="AA520"/>
      <c r="AB520"/>
      <c r="AC520"/>
      <c r="AD520"/>
      <c r="AE520"/>
      <c r="AF520"/>
    </row>
    <row r="521" spans="11:32" ht="14.1" customHeight="1" x14ac:dyDescent="0.2">
      <c r="K521" s="158"/>
      <c r="L521" s="158"/>
      <c r="M521"/>
      <c r="N521"/>
      <c r="O521"/>
      <c r="P521"/>
      <c r="Q521"/>
      <c r="R521"/>
      <c r="S521"/>
      <c r="T521"/>
      <c r="U521"/>
      <c r="V521"/>
      <c r="W521"/>
      <c r="X521"/>
      <c r="Y521"/>
      <c r="Z521"/>
      <c r="AA521"/>
      <c r="AB521"/>
      <c r="AC521"/>
      <c r="AD521"/>
      <c r="AE521"/>
      <c r="AF521"/>
    </row>
    <row r="522" spans="11:32" ht="14.1" customHeight="1" x14ac:dyDescent="0.2">
      <c r="K522" s="158"/>
      <c r="L522" s="158"/>
      <c r="M522"/>
      <c r="N522"/>
      <c r="O522"/>
      <c r="P522"/>
      <c r="Q522"/>
      <c r="R522"/>
      <c r="S522"/>
      <c r="T522"/>
      <c r="U522"/>
      <c r="V522"/>
      <c r="W522"/>
      <c r="X522"/>
      <c r="Y522"/>
      <c r="Z522"/>
      <c r="AA522"/>
      <c r="AB522"/>
      <c r="AC522"/>
      <c r="AD522"/>
      <c r="AE522"/>
      <c r="AF522"/>
    </row>
    <row r="523" spans="11:32" ht="14.1" customHeight="1" x14ac:dyDescent="0.2">
      <c r="K523" s="158"/>
      <c r="L523" s="158"/>
      <c r="M523"/>
      <c r="N523"/>
      <c r="O523"/>
      <c r="P523"/>
      <c r="Q523"/>
      <c r="R523"/>
      <c r="S523"/>
      <c r="T523"/>
      <c r="U523"/>
      <c r="V523"/>
      <c r="W523"/>
      <c r="X523"/>
      <c r="Y523"/>
      <c r="Z523"/>
      <c r="AA523"/>
      <c r="AB523"/>
      <c r="AC523"/>
      <c r="AD523"/>
      <c r="AE523"/>
      <c r="AF523"/>
    </row>
    <row r="524" spans="11:32" ht="14.1" customHeight="1" x14ac:dyDescent="0.2">
      <c r="K524" s="158"/>
      <c r="L524" s="158"/>
      <c r="M524"/>
      <c r="N524"/>
      <c r="O524"/>
      <c r="P524"/>
      <c r="Q524"/>
      <c r="R524"/>
      <c r="S524"/>
      <c r="T524"/>
      <c r="U524"/>
      <c r="V524"/>
      <c r="W524"/>
      <c r="X524"/>
      <c r="Y524"/>
      <c r="Z524"/>
      <c r="AA524"/>
      <c r="AB524"/>
      <c r="AC524"/>
      <c r="AD524"/>
      <c r="AE524"/>
      <c r="AF524"/>
    </row>
    <row r="525" spans="11:32" ht="14.1" customHeight="1" x14ac:dyDescent="0.2">
      <c r="K525" s="158"/>
      <c r="L525" s="158"/>
      <c r="M525"/>
      <c r="N525"/>
      <c r="O525"/>
      <c r="P525"/>
      <c r="Q525"/>
      <c r="R525"/>
      <c r="S525"/>
      <c r="T525"/>
      <c r="U525"/>
      <c r="V525"/>
      <c r="W525"/>
      <c r="X525"/>
      <c r="Y525"/>
      <c r="Z525"/>
      <c r="AA525"/>
      <c r="AB525"/>
      <c r="AC525"/>
      <c r="AD525"/>
      <c r="AE525"/>
      <c r="AF525"/>
    </row>
    <row r="526" spans="11:32" ht="14.1" customHeight="1" x14ac:dyDescent="0.2">
      <c r="K526" s="158"/>
      <c r="L526" s="158"/>
      <c r="M526"/>
      <c r="N526"/>
      <c r="O526"/>
      <c r="P526"/>
      <c r="Q526"/>
      <c r="R526"/>
      <c r="S526"/>
      <c r="T526"/>
      <c r="U526"/>
      <c r="V526"/>
      <c r="W526"/>
      <c r="X526"/>
      <c r="Y526"/>
      <c r="Z526"/>
      <c r="AA526"/>
      <c r="AB526"/>
      <c r="AC526"/>
      <c r="AD526"/>
      <c r="AE526"/>
      <c r="AF526"/>
    </row>
    <row r="527" spans="11:32" ht="14.1" customHeight="1" x14ac:dyDescent="0.2">
      <c r="K527" s="158"/>
      <c r="L527" s="158"/>
      <c r="M527"/>
      <c r="N527"/>
      <c r="O527"/>
      <c r="P527"/>
      <c r="Q527"/>
      <c r="R527"/>
      <c r="S527"/>
      <c r="T527"/>
      <c r="U527"/>
      <c r="V527"/>
      <c r="W527"/>
      <c r="X527"/>
      <c r="Y527"/>
      <c r="Z527"/>
      <c r="AA527"/>
      <c r="AB527"/>
      <c r="AC527"/>
      <c r="AD527"/>
      <c r="AE527"/>
      <c r="AF527"/>
    </row>
    <row r="528" spans="11:32" ht="14.1" customHeight="1" x14ac:dyDescent="0.2">
      <c r="K528" s="158"/>
      <c r="L528" s="158"/>
      <c r="M528"/>
      <c r="N528"/>
      <c r="O528"/>
      <c r="P528"/>
      <c r="Q528"/>
      <c r="R528"/>
      <c r="S528"/>
      <c r="T528"/>
      <c r="U528"/>
      <c r="V528"/>
      <c r="W528"/>
      <c r="X528"/>
      <c r="Y528"/>
      <c r="Z528"/>
      <c r="AA528"/>
      <c r="AB528"/>
      <c r="AC528"/>
      <c r="AD528"/>
      <c r="AE528"/>
      <c r="AF528"/>
    </row>
    <row r="529" spans="11:32" ht="14.1" customHeight="1" x14ac:dyDescent="0.2">
      <c r="K529" s="158"/>
      <c r="L529" s="158"/>
      <c r="M529"/>
      <c r="N529"/>
      <c r="O529"/>
      <c r="P529"/>
      <c r="Q529"/>
      <c r="R529"/>
      <c r="S529"/>
      <c r="T529"/>
      <c r="U529"/>
      <c r="V529"/>
      <c r="W529"/>
      <c r="X529"/>
      <c r="Y529"/>
      <c r="Z529"/>
      <c r="AA529"/>
      <c r="AB529"/>
      <c r="AC529"/>
      <c r="AD529"/>
      <c r="AE529"/>
      <c r="AF529"/>
    </row>
    <row r="530" spans="11:32" ht="14.1" customHeight="1" x14ac:dyDescent="0.2">
      <c r="K530" s="158"/>
      <c r="L530" s="158"/>
      <c r="M530"/>
      <c r="N530"/>
      <c r="O530"/>
      <c r="P530"/>
      <c r="Q530"/>
      <c r="R530"/>
      <c r="S530"/>
      <c r="T530"/>
      <c r="U530"/>
      <c r="V530"/>
      <c r="W530"/>
      <c r="X530"/>
      <c r="Y530"/>
      <c r="Z530"/>
      <c r="AA530"/>
      <c r="AB530"/>
      <c r="AC530"/>
      <c r="AD530"/>
      <c r="AE530"/>
      <c r="AF530"/>
    </row>
    <row r="531" spans="11:32" ht="14.1" customHeight="1" x14ac:dyDescent="0.2">
      <c r="K531" s="158"/>
      <c r="L531" s="158"/>
      <c r="M531"/>
      <c r="N531"/>
      <c r="O531"/>
      <c r="P531"/>
      <c r="Q531"/>
      <c r="R531"/>
      <c r="S531"/>
      <c r="T531"/>
      <c r="U531"/>
      <c r="V531"/>
      <c r="W531"/>
      <c r="X531"/>
      <c r="Y531"/>
      <c r="Z531"/>
      <c r="AA531"/>
      <c r="AB531"/>
      <c r="AC531"/>
      <c r="AD531"/>
      <c r="AE531"/>
      <c r="AF531"/>
    </row>
    <row r="532" spans="11:32" ht="14.1" customHeight="1" x14ac:dyDescent="0.2">
      <c r="K532" s="158"/>
      <c r="L532" s="158"/>
      <c r="M532"/>
      <c r="N532"/>
      <c r="O532"/>
      <c r="P532"/>
      <c r="Q532"/>
      <c r="R532"/>
      <c r="S532"/>
      <c r="T532"/>
      <c r="U532"/>
      <c r="V532"/>
      <c r="W532"/>
      <c r="X532"/>
      <c r="Y532"/>
      <c r="Z532"/>
      <c r="AA532"/>
      <c r="AB532"/>
      <c r="AC532"/>
      <c r="AD532"/>
      <c r="AE532"/>
      <c r="AF532"/>
    </row>
    <row r="533" spans="11:32" ht="14.1" customHeight="1" x14ac:dyDescent="0.2">
      <c r="K533" s="158"/>
      <c r="L533" s="158"/>
      <c r="M533"/>
      <c r="N533"/>
      <c r="O533"/>
      <c r="P533"/>
      <c r="Q533"/>
      <c r="R533"/>
      <c r="S533"/>
      <c r="T533"/>
      <c r="U533"/>
      <c r="V533"/>
      <c r="W533"/>
      <c r="X533"/>
      <c r="Y533"/>
      <c r="Z533"/>
      <c r="AA533"/>
      <c r="AB533"/>
      <c r="AC533"/>
      <c r="AD533"/>
      <c r="AE533"/>
      <c r="AF533"/>
    </row>
    <row r="534" spans="11:32" ht="14.1" customHeight="1" x14ac:dyDescent="0.2">
      <c r="K534" s="158"/>
      <c r="L534" s="158"/>
      <c r="M534"/>
      <c r="N534"/>
      <c r="O534"/>
      <c r="P534"/>
      <c r="Q534"/>
      <c r="R534"/>
      <c r="S534"/>
      <c r="T534"/>
      <c r="U534"/>
      <c r="V534"/>
      <c r="W534"/>
      <c r="X534"/>
      <c r="Y534"/>
      <c r="Z534"/>
      <c r="AA534"/>
      <c r="AB534"/>
      <c r="AC534"/>
      <c r="AD534"/>
      <c r="AE534"/>
      <c r="AF534"/>
    </row>
    <row r="535" spans="11:32" ht="14.1" customHeight="1" x14ac:dyDescent="0.2">
      <c r="K535" s="158"/>
      <c r="L535" s="158"/>
      <c r="M535"/>
      <c r="N535"/>
      <c r="O535"/>
      <c r="P535"/>
      <c r="Q535"/>
      <c r="R535"/>
      <c r="S535"/>
      <c r="T535"/>
      <c r="U535"/>
      <c r="V535"/>
      <c r="W535"/>
      <c r="X535"/>
      <c r="Y535"/>
      <c r="Z535"/>
      <c r="AA535"/>
      <c r="AB535"/>
      <c r="AC535"/>
      <c r="AD535"/>
      <c r="AE535"/>
      <c r="AF535"/>
    </row>
    <row r="536" spans="11:32" ht="14.1" customHeight="1" x14ac:dyDescent="0.2">
      <c r="K536" s="158"/>
      <c r="L536" s="158"/>
      <c r="M536"/>
      <c r="N536"/>
      <c r="O536"/>
      <c r="P536"/>
      <c r="Q536"/>
      <c r="R536"/>
      <c r="S536"/>
      <c r="T536"/>
      <c r="U536"/>
      <c r="V536"/>
      <c r="W536"/>
      <c r="X536"/>
      <c r="Y536"/>
      <c r="Z536"/>
      <c r="AA536"/>
      <c r="AB536"/>
      <c r="AC536"/>
      <c r="AD536"/>
      <c r="AE536"/>
      <c r="AF536"/>
    </row>
    <row r="537" spans="11:32" ht="14.1" customHeight="1" x14ac:dyDescent="0.2">
      <c r="K537" s="158"/>
      <c r="L537" s="158"/>
      <c r="M537"/>
      <c r="N537"/>
      <c r="O537"/>
      <c r="P537"/>
      <c r="Q537"/>
      <c r="R537"/>
      <c r="S537"/>
      <c r="T537"/>
      <c r="U537"/>
      <c r="V537"/>
      <c r="W537"/>
      <c r="X537"/>
      <c r="Y537"/>
      <c r="Z537"/>
      <c r="AA537"/>
      <c r="AB537"/>
      <c r="AC537"/>
      <c r="AD537"/>
      <c r="AE537"/>
      <c r="AF537"/>
    </row>
    <row r="538" spans="11:32" ht="14.1" customHeight="1" x14ac:dyDescent="0.2">
      <c r="K538" s="158"/>
      <c r="L538" s="158"/>
      <c r="M538"/>
      <c r="N538"/>
      <c r="O538"/>
      <c r="P538"/>
      <c r="Q538"/>
      <c r="R538"/>
      <c r="S538"/>
      <c r="T538"/>
      <c r="U538"/>
      <c r="V538"/>
      <c r="W538"/>
      <c r="X538"/>
      <c r="Y538"/>
      <c r="Z538"/>
      <c r="AA538"/>
      <c r="AB538"/>
      <c r="AC538"/>
      <c r="AD538"/>
      <c r="AE538"/>
      <c r="AF538"/>
    </row>
    <row r="539" spans="11:32" ht="14.1" customHeight="1" x14ac:dyDescent="0.2">
      <c r="K539" s="158"/>
      <c r="L539" s="158"/>
      <c r="M539"/>
      <c r="N539"/>
      <c r="O539"/>
      <c r="P539"/>
      <c r="Q539"/>
      <c r="R539"/>
      <c r="S539"/>
      <c r="T539"/>
      <c r="U539"/>
      <c r="V539"/>
      <c r="W539"/>
      <c r="X539"/>
      <c r="Y539"/>
      <c r="Z539"/>
      <c r="AA539"/>
      <c r="AB539"/>
      <c r="AC539"/>
      <c r="AD539"/>
      <c r="AE539"/>
      <c r="AF539"/>
    </row>
    <row r="540" spans="11:32" ht="14.1" customHeight="1" x14ac:dyDescent="0.2">
      <c r="K540" s="158"/>
      <c r="L540" s="158"/>
      <c r="M540"/>
      <c r="N540"/>
      <c r="O540"/>
      <c r="P540"/>
      <c r="Q540"/>
      <c r="R540"/>
      <c r="S540"/>
      <c r="T540"/>
      <c r="U540"/>
      <c r="V540"/>
      <c r="W540"/>
      <c r="X540"/>
      <c r="Y540"/>
      <c r="Z540"/>
      <c r="AA540"/>
      <c r="AB540"/>
      <c r="AC540"/>
      <c r="AD540"/>
      <c r="AE540"/>
      <c r="AF540"/>
    </row>
    <row r="541" spans="11:32" ht="14.1" customHeight="1" x14ac:dyDescent="0.2">
      <c r="K541" s="158"/>
      <c r="L541" s="158"/>
      <c r="M541"/>
      <c r="N541"/>
      <c r="O541"/>
      <c r="P541"/>
      <c r="Q541"/>
      <c r="R541"/>
      <c r="S541"/>
      <c r="T541"/>
      <c r="U541"/>
      <c r="V541"/>
      <c r="W541"/>
      <c r="X541"/>
      <c r="Y541"/>
      <c r="Z541"/>
      <c r="AA541"/>
      <c r="AB541"/>
      <c r="AC541"/>
      <c r="AD541"/>
      <c r="AE541"/>
      <c r="AF541"/>
    </row>
    <row r="542" spans="11:32" ht="14.1" customHeight="1" x14ac:dyDescent="0.2">
      <c r="K542" s="158"/>
      <c r="L542" s="158"/>
      <c r="M542"/>
      <c r="N542"/>
      <c r="O542"/>
      <c r="P542"/>
      <c r="Q542"/>
      <c r="R542"/>
      <c r="S542"/>
      <c r="T542"/>
      <c r="U542"/>
      <c r="V542"/>
      <c r="W542"/>
      <c r="X542"/>
      <c r="Y542"/>
      <c r="Z542"/>
      <c r="AA542"/>
      <c r="AB542"/>
      <c r="AC542"/>
      <c r="AD542"/>
      <c r="AE542"/>
      <c r="AF542"/>
    </row>
    <row r="543" spans="11:32" ht="14.1" customHeight="1" x14ac:dyDescent="0.2">
      <c r="K543" s="158"/>
      <c r="L543" s="158"/>
      <c r="M543"/>
      <c r="N543"/>
      <c r="O543"/>
      <c r="P543"/>
      <c r="Q543"/>
      <c r="R543"/>
      <c r="S543"/>
      <c r="T543"/>
      <c r="U543"/>
      <c r="V543"/>
      <c r="W543"/>
      <c r="X543"/>
      <c r="Y543"/>
      <c r="Z543"/>
      <c r="AA543"/>
      <c r="AB543"/>
      <c r="AC543"/>
      <c r="AD543"/>
      <c r="AE543"/>
      <c r="AF543"/>
    </row>
    <row r="544" spans="11:32" ht="14.1" customHeight="1" x14ac:dyDescent="0.2">
      <c r="K544" s="158"/>
      <c r="L544" s="158"/>
      <c r="M544"/>
      <c r="N544"/>
      <c r="O544"/>
      <c r="P544"/>
      <c r="Q544"/>
      <c r="R544"/>
      <c r="S544"/>
      <c r="T544"/>
      <c r="U544"/>
      <c r="V544"/>
      <c r="W544"/>
      <c r="X544"/>
      <c r="Y544"/>
      <c r="Z544"/>
      <c r="AA544"/>
      <c r="AB544"/>
      <c r="AC544"/>
      <c r="AD544"/>
      <c r="AE544"/>
      <c r="AF544"/>
    </row>
    <row r="545" spans="11:32" ht="14.1" customHeight="1" x14ac:dyDescent="0.2">
      <c r="K545" s="158"/>
      <c r="L545" s="158"/>
      <c r="M545"/>
      <c r="N545"/>
      <c r="O545"/>
      <c r="P545"/>
      <c r="Q545"/>
      <c r="R545"/>
      <c r="S545"/>
      <c r="T545"/>
      <c r="U545"/>
      <c r="V545"/>
      <c r="W545"/>
      <c r="X545"/>
      <c r="Y545"/>
      <c r="Z545"/>
      <c r="AA545"/>
      <c r="AB545"/>
      <c r="AC545"/>
      <c r="AD545"/>
      <c r="AE545"/>
      <c r="AF545"/>
    </row>
    <row r="546" spans="11:32" ht="14.1" customHeight="1" x14ac:dyDescent="0.2">
      <c r="K546" s="158"/>
      <c r="L546" s="158"/>
      <c r="M546"/>
      <c r="N546"/>
      <c r="O546"/>
      <c r="P546"/>
      <c r="Q546"/>
      <c r="R546"/>
      <c r="S546"/>
      <c r="T546"/>
      <c r="U546"/>
      <c r="V546"/>
      <c r="W546"/>
      <c r="X546"/>
      <c r="Y546"/>
      <c r="Z546"/>
      <c r="AA546"/>
      <c r="AB546"/>
      <c r="AC546"/>
      <c r="AD546"/>
      <c r="AE546"/>
      <c r="AF546"/>
    </row>
    <row r="547" spans="11:32" ht="14.1" customHeight="1" x14ac:dyDescent="0.2">
      <c r="K547" s="158"/>
      <c r="L547" s="158"/>
      <c r="M547"/>
      <c r="N547"/>
      <c r="O547"/>
      <c r="P547"/>
      <c r="Q547"/>
      <c r="R547"/>
      <c r="S547"/>
      <c r="T547"/>
      <c r="U547"/>
      <c r="V547"/>
      <c r="W547"/>
      <c r="X547"/>
      <c r="Y547"/>
      <c r="Z547"/>
      <c r="AA547"/>
      <c r="AB547"/>
      <c r="AC547"/>
      <c r="AD547"/>
      <c r="AE547"/>
      <c r="AF547"/>
    </row>
    <row r="548" spans="11:32" ht="14.1" customHeight="1" x14ac:dyDescent="0.2">
      <c r="K548" s="158"/>
      <c r="L548" s="158"/>
      <c r="M548"/>
      <c r="N548"/>
      <c r="O548"/>
      <c r="P548"/>
      <c r="Q548"/>
      <c r="R548"/>
      <c r="S548"/>
      <c r="T548"/>
      <c r="U548"/>
      <c r="V548"/>
      <c r="W548"/>
      <c r="X548"/>
      <c r="Y548"/>
      <c r="Z548"/>
      <c r="AA548"/>
      <c r="AB548"/>
      <c r="AC548"/>
      <c r="AD548"/>
      <c r="AE548"/>
      <c r="AF548"/>
    </row>
    <row r="549" spans="11:32" ht="14.1" customHeight="1" x14ac:dyDescent="0.2">
      <c r="K549" s="158"/>
      <c r="L549" s="158"/>
      <c r="M549"/>
      <c r="N549"/>
      <c r="O549"/>
      <c r="P549"/>
      <c r="Q549"/>
      <c r="R549"/>
      <c r="S549"/>
      <c r="T549"/>
      <c r="U549"/>
      <c r="V549"/>
      <c r="W549"/>
      <c r="X549"/>
      <c r="Y549"/>
      <c r="Z549"/>
      <c r="AA549"/>
      <c r="AB549"/>
      <c r="AC549"/>
      <c r="AD549"/>
      <c r="AE549"/>
      <c r="AF549"/>
    </row>
    <row r="550" spans="11:32" ht="14.1" customHeight="1" x14ac:dyDescent="0.2">
      <c r="K550" s="158"/>
      <c r="L550" s="158"/>
      <c r="M550"/>
      <c r="N550"/>
      <c r="O550"/>
      <c r="P550"/>
      <c r="Q550"/>
      <c r="R550"/>
      <c r="S550"/>
      <c r="T550"/>
      <c r="U550"/>
      <c r="V550"/>
      <c r="W550"/>
      <c r="X550"/>
      <c r="Y550"/>
      <c r="Z550"/>
      <c r="AA550"/>
      <c r="AB550"/>
      <c r="AC550"/>
      <c r="AD550"/>
      <c r="AE550"/>
      <c r="AF550"/>
    </row>
    <row r="551" spans="11:32" ht="14.1" customHeight="1" x14ac:dyDescent="0.2">
      <c r="K551" s="158"/>
      <c r="L551" s="158"/>
      <c r="M551"/>
      <c r="N551"/>
      <c r="O551"/>
      <c r="P551"/>
      <c r="Q551"/>
      <c r="R551"/>
      <c r="S551"/>
      <c r="T551"/>
      <c r="U551"/>
      <c r="V551"/>
      <c r="W551"/>
      <c r="X551"/>
      <c r="Y551"/>
      <c r="Z551"/>
      <c r="AA551"/>
      <c r="AB551"/>
      <c r="AC551"/>
      <c r="AD551"/>
      <c r="AE551"/>
      <c r="AF551"/>
    </row>
    <row r="552" spans="11:32" ht="14.1" customHeight="1" x14ac:dyDescent="0.2">
      <c r="K552" s="158"/>
      <c r="L552" s="158"/>
      <c r="M552"/>
      <c r="N552"/>
      <c r="O552"/>
      <c r="P552"/>
      <c r="Q552"/>
      <c r="R552"/>
      <c r="S552"/>
      <c r="T552"/>
      <c r="U552"/>
      <c r="V552"/>
      <c r="W552"/>
      <c r="X552"/>
      <c r="Y552"/>
      <c r="Z552"/>
      <c r="AA552"/>
      <c r="AB552"/>
      <c r="AC552"/>
      <c r="AD552"/>
      <c r="AE552"/>
      <c r="AF552"/>
    </row>
    <row r="553" spans="11:32" ht="14.1" customHeight="1" x14ac:dyDescent="0.2">
      <c r="K553" s="158"/>
      <c r="L553" s="158"/>
      <c r="M553"/>
      <c r="N553"/>
      <c r="O553"/>
      <c r="P553"/>
      <c r="Q553"/>
      <c r="R553"/>
      <c r="S553"/>
      <c r="T553"/>
      <c r="U553"/>
      <c r="V553"/>
      <c r="W553"/>
      <c r="X553"/>
      <c r="Y553"/>
      <c r="Z553"/>
      <c r="AA553"/>
      <c r="AB553"/>
      <c r="AC553"/>
      <c r="AD553"/>
      <c r="AE553"/>
      <c r="AF553"/>
    </row>
    <row r="554" spans="11:32" ht="14.1" customHeight="1" x14ac:dyDescent="0.2">
      <c r="K554" s="158"/>
      <c r="L554" s="158"/>
      <c r="M554"/>
      <c r="N554"/>
      <c r="O554"/>
      <c r="P554"/>
      <c r="Q554"/>
      <c r="R554"/>
      <c r="S554"/>
      <c r="T554"/>
      <c r="U554"/>
      <c r="V554"/>
      <c r="W554"/>
      <c r="X554"/>
      <c r="Y554"/>
      <c r="Z554"/>
      <c r="AA554"/>
      <c r="AB554"/>
      <c r="AC554"/>
      <c r="AD554"/>
      <c r="AE554"/>
      <c r="AF554"/>
    </row>
    <row r="555" spans="11:32" ht="14.1" customHeight="1" x14ac:dyDescent="0.2">
      <c r="K555" s="158"/>
      <c r="L555" s="158"/>
      <c r="M555"/>
      <c r="N555"/>
      <c r="O555"/>
      <c r="P555"/>
      <c r="Q555"/>
      <c r="R555"/>
      <c r="S555"/>
      <c r="T555"/>
      <c r="U555"/>
      <c r="V555"/>
      <c r="W555"/>
      <c r="X555"/>
      <c r="Y555"/>
      <c r="Z555"/>
      <c r="AA555"/>
      <c r="AB555"/>
      <c r="AC555"/>
      <c r="AD555"/>
      <c r="AE555"/>
      <c r="AF555"/>
    </row>
    <row r="556" spans="11:32" ht="14.1" customHeight="1" x14ac:dyDescent="0.2">
      <c r="K556" s="158"/>
      <c r="L556" s="158"/>
      <c r="M556"/>
      <c r="N556"/>
      <c r="O556"/>
      <c r="P556"/>
      <c r="Q556"/>
      <c r="R556"/>
      <c r="S556"/>
      <c r="T556"/>
      <c r="U556"/>
      <c r="V556"/>
      <c r="W556"/>
      <c r="X556"/>
      <c r="Y556"/>
      <c r="Z556"/>
      <c r="AA556"/>
      <c r="AB556"/>
      <c r="AC556"/>
      <c r="AD556"/>
      <c r="AE556"/>
      <c r="AF556"/>
    </row>
    <row r="557" spans="11:32" ht="14.1" customHeight="1" x14ac:dyDescent="0.2">
      <c r="K557" s="158"/>
      <c r="L557" s="158"/>
      <c r="M557"/>
      <c r="N557"/>
      <c r="O557"/>
      <c r="P557"/>
      <c r="Q557"/>
      <c r="R557"/>
      <c r="S557"/>
      <c r="T557"/>
      <c r="U557"/>
      <c r="V557"/>
      <c r="W557"/>
      <c r="X557"/>
      <c r="Y557"/>
      <c r="Z557"/>
      <c r="AA557"/>
      <c r="AB557"/>
      <c r="AC557"/>
      <c r="AD557"/>
      <c r="AE557"/>
      <c r="AF557"/>
    </row>
    <row r="558" spans="11:32" ht="14.1" customHeight="1" x14ac:dyDescent="0.2">
      <c r="K558" s="158"/>
      <c r="L558" s="158"/>
      <c r="M558"/>
      <c r="N558"/>
      <c r="O558"/>
      <c r="P558"/>
      <c r="Q558"/>
      <c r="R558"/>
      <c r="S558"/>
      <c r="T558"/>
      <c r="U558"/>
      <c r="V558"/>
      <c r="W558"/>
      <c r="X558"/>
      <c r="Y558"/>
      <c r="Z558"/>
      <c r="AA558"/>
      <c r="AB558"/>
      <c r="AC558"/>
      <c r="AD558"/>
      <c r="AE558"/>
      <c r="AF558"/>
    </row>
    <row r="559" spans="11:32" ht="14.1" customHeight="1" x14ac:dyDescent="0.2">
      <c r="K559" s="158"/>
      <c r="L559" s="158"/>
      <c r="M559"/>
      <c r="N559"/>
      <c r="O559"/>
      <c r="P559"/>
      <c r="Q559"/>
      <c r="R559"/>
      <c r="S559"/>
      <c r="T559"/>
      <c r="U559"/>
      <c r="V559"/>
      <c r="W559"/>
      <c r="X559"/>
      <c r="Y559"/>
      <c r="Z559"/>
      <c r="AA559"/>
      <c r="AB559"/>
      <c r="AC559"/>
      <c r="AD559"/>
      <c r="AE559"/>
      <c r="AF559"/>
    </row>
    <row r="560" spans="11:32" ht="14.1" customHeight="1" x14ac:dyDescent="0.2">
      <c r="K560" s="158"/>
      <c r="L560" s="158"/>
      <c r="M560"/>
      <c r="N560"/>
      <c r="O560"/>
      <c r="P560"/>
      <c r="Q560"/>
      <c r="R560"/>
      <c r="S560"/>
      <c r="T560"/>
      <c r="U560"/>
      <c r="V560"/>
      <c r="W560"/>
      <c r="X560"/>
      <c r="Y560"/>
      <c r="Z560"/>
      <c r="AA560"/>
      <c r="AB560"/>
      <c r="AC560"/>
      <c r="AD560"/>
      <c r="AE560"/>
      <c r="AF560"/>
    </row>
    <row r="561" spans="11:32" ht="14.1" customHeight="1" x14ac:dyDescent="0.2">
      <c r="K561" s="158"/>
      <c r="L561" s="158"/>
      <c r="M561"/>
      <c r="N561"/>
      <c r="O561"/>
      <c r="P561"/>
      <c r="Q561"/>
      <c r="R561"/>
      <c r="S561"/>
      <c r="T561"/>
      <c r="U561"/>
      <c r="V561"/>
      <c r="W561"/>
      <c r="X561"/>
      <c r="Y561"/>
      <c r="Z561"/>
      <c r="AA561"/>
      <c r="AB561"/>
      <c r="AC561"/>
      <c r="AD561"/>
      <c r="AE561"/>
      <c r="AF561"/>
    </row>
    <row r="562" spans="11:32" ht="14.1" customHeight="1" x14ac:dyDescent="0.2">
      <c r="K562" s="158"/>
      <c r="L562" s="158"/>
      <c r="M562"/>
      <c r="N562"/>
      <c r="O562"/>
      <c r="P562"/>
      <c r="Q562"/>
      <c r="R562"/>
      <c r="S562"/>
      <c r="T562"/>
      <c r="U562"/>
      <c r="V562"/>
      <c r="W562"/>
      <c r="X562"/>
      <c r="Y562"/>
      <c r="Z562"/>
      <c r="AA562"/>
      <c r="AB562"/>
      <c r="AC562"/>
      <c r="AD562"/>
      <c r="AE562"/>
      <c r="AF562"/>
    </row>
    <row r="563" spans="11:32" ht="14.1" customHeight="1" x14ac:dyDescent="0.2">
      <c r="K563" s="158"/>
      <c r="L563" s="158"/>
      <c r="M563"/>
      <c r="N563"/>
      <c r="O563"/>
      <c r="P563"/>
      <c r="Q563"/>
      <c r="R563"/>
      <c r="S563"/>
      <c r="T563"/>
      <c r="U563"/>
      <c r="V563"/>
      <c r="W563"/>
      <c r="X563"/>
      <c r="Y563"/>
      <c r="Z563"/>
      <c r="AA563"/>
      <c r="AB563"/>
      <c r="AC563"/>
      <c r="AD563"/>
      <c r="AE563"/>
      <c r="AF563"/>
    </row>
    <row r="564" spans="11:32" ht="14.1" customHeight="1" x14ac:dyDescent="0.2">
      <c r="K564" s="158"/>
      <c r="L564" s="158"/>
      <c r="M564"/>
      <c r="N564"/>
      <c r="O564"/>
      <c r="P564"/>
      <c r="Q564"/>
      <c r="R564"/>
      <c r="S564"/>
      <c r="T564"/>
      <c r="U564"/>
      <c r="V564"/>
      <c r="W564"/>
      <c r="X564"/>
      <c r="Y564"/>
      <c r="Z564"/>
      <c r="AA564"/>
      <c r="AB564"/>
      <c r="AC564"/>
      <c r="AD564"/>
      <c r="AE564"/>
      <c r="AF564"/>
    </row>
    <row r="565" spans="11:32" ht="14.1" customHeight="1" x14ac:dyDescent="0.2">
      <c r="K565" s="158"/>
      <c r="L565" s="158"/>
      <c r="M565"/>
      <c r="N565"/>
      <c r="O565"/>
      <c r="P565"/>
      <c r="Q565"/>
      <c r="R565"/>
      <c r="S565"/>
      <c r="T565"/>
      <c r="U565"/>
      <c r="V565"/>
      <c r="W565"/>
      <c r="X565"/>
      <c r="Y565"/>
      <c r="Z565"/>
      <c r="AA565"/>
      <c r="AB565"/>
      <c r="AC565"/>
      <c r="AD565"/>
      <c r="AE565"/>
      <c r="AF565"/>
    </row>
    <row r="566" spans="11:32" ht="14.1" customHeight="1" x14ac:dyDescent="0.2">
      <c r="K566" s="158"/>
      <c r="L566" s="158"/>
      <c r="M566"/>
      <c r="N566"/>
      <c r="O566"/>
      <c r="P566"/>
      <c r="Q566"/>
      <c r="R566"/>
      <c r="S566"/>
      <c r="T566"/>
      <c r="U566"/>
      <c r="V566"/>
      <c r="W566"/>
      <c r="X566"/>
      <c r="Y566"/>
      <c r="Z566"/>
      <c r="AA566"/>
      <c r="AB566"/>
      <c r="AC566"/>
      <c r="AD566"/>
      <c r="AE566"/>
      <c r="AF566"/>
    </row>
    <row r="567" spans="11:32" ht="14.1" customHeight="1" x14ac:dyDescent="0.2">
      <c r="K567" s="158"/>
      <c r="L567" s="158"/>
      <c r="M567"/>
      <c r="N567"/>
      <c r="O567"/>
      <c r="P567"/>
      <c r="Q567"/>
      <c r="R567"/>
      <c r="S567"/>
      <c r="T567"/>
      <c r="U567"/>
      <c r="V567"/>
      <c r="W567"/>
      <c r="X567"/>
      <c r="Y567"/>
      <c r="Z567"/>
      <c r="AA567"/>
      <c r="AB567"/>
      <c r="AC567"/>
      <c r="AD567"/>
      <c r="AE567"/>
      <c r="AF567"/>
    </row>
    <row r="568" spans="11:32" ht="14.1" customHeight="1" x14ac:dyDescent="0.2">
      <c r="K568" s="158"/>
      <c r="L568" s="158"/>
      <c r="M568"/>
      <c r="N568"/>
      <c r="O568"/>
      <c r="P568"/>
      <c r="Q568"/>
      <c r="R568"/>
      <c r="S568"/>
      <c r="T568"/>
      <c r="U568"/>
      <c r="V568"/>
      <c r="W568"/>
      <c r="X568"/>
      <c r="Y568"/>
      <c r="Z568"/>
      <c r="AA568"/>
      <c r="AB568"/>
      <c r="AC568"/>
      <c r="AD568"/>
      <c r="AE568"/>
      <c r="AF568"/>
    </row>
    <row r="569" spans="11:32" ht="14.1" customHeight="1" x14ac:dyDescent="0.2">
      <c r="K569" s="158"/>
      <c r="L569" s="158"/>
      <c r="M569"/>
      <c r="N569"/>
      <c r="O569"/>
      <c r="P569"/>
      <c r="Q569"/>
      <c r="R569"/>
      <c r="S569"/>
      <c r="T569"/>
      <c r="U569"/>
      <c r="V569"/>
      <c r="W569"/>
      <c r="X569"/>
      <c r="Y569"/>
      <c r="Z569"/>
      <c r="AA569"/>
      <c r="AB569"/>
      <c r="AC569"/>
      <c r="AD569"/>
      <c r="AE569"/>
      <c r="AF569"/>
    </row>
    <row r="570" spans="11:32" ht="14.1" customHeight="1" x14ac:dyDescent="0.2">
      <c r="K570" s="158"/>
      <c r="L570" s="158"/>
      <c r="M570"/>
      <c r="N570"/>
      <c r="O570"/>
      <c r="P570"/>
      <c r="Q570"/>
      <c r="R570"/>
      <c r="S570"/>
      <c r="T570"/>
      <c r="U570"/>
      <c r="V570"/>
      <c r="W570"/>
      <c r="X570"/>
      <c r="Y570"/>
      <c r="Z570"/>
      <c r="AA570"/>
      <c r="AB570"/>
      <c r="AC570"/>
      <c r="AD570"/>
      <c r="AE570"/>
      <c r="AF570"/>
    </row>
    <row r="571" spans="11:32" ht="14.1" customHeight="1" x14ac:dyDescent="0.2">
      <c r="K571" s="158"/>
      <c r="L571" s="158"/>
      <c r="M571"/>
      <c r="N571"/>
      <c r="O571"/>
      <c r="P571"/>
      <c r="Q571"/>
      <c r="R571"/>
      <c r="S571"/>
      <c r="T571"/>
      <c r="U571"/>
      <c r="V571"/>
      <c r="W571"/>
      <c r="X571"/>
      <c r="Y571"/>
      <c r="Z571"/>
      <c r="AA571"/>
      <c r="AB571"/>
      <c r="AC571"/>
      <c r="AD571"/>
      <c r="AE571"/>
      <c r="AF571"/>
    </row>
    <row r="572" spans="11:32" ht="14.1" customHeight="1" x14ac:dyDescent="0.2">
      <c r="K572" s="158"/>
      <c r="L572" s="158"/>
      <c r="M572"/>
      <c r="N572"/>
      <c r="O572"/>
      <c r="P572"/>
      <c r="Q572"/>
      <c r="R572"/>
      <c r="S572"/>
      <c r="T572"/>
      <c r="U572"/>
      <c r="V572"/>
      <c r="W572"/>
      <c r="X572"/>
      <c r="Y572"/>
      <c r="Z572"/>
      <c r="AA572"/>
      <c r="AB572"/>
      <c r="AC572"/>
      <c r="AD572"/>
      <c r="AE572"/>
      <c r="AF572"/>
    </row>
    <row r="573" spans="11:32" ht="14.1" customHeight="1" x14ac:dyDescent="0.2">
      <c r="K573" s="158"/>
      <c r="L573" s="158"/>
      <c r="M573"/>
      <c r="N573"/>
      <c r="O573"/>
      <c r="P573"/>
      <c r="Q573"/>
      <c r="R573"/>
      <c r="S573"/>
      <c r="T573"/>
      <c r="U573"/>
      <c r="V573"/>
      <c r="W573"/>
      <c r="X573"/>
      <c r="Y573"/>
      <c r="Z573"/>
      <c r="AA573"/>
      <c r="AB573"/>
      <c r="AC573"/>
      <c r="AD573"/>
      <c r="AE573"/>
      <c r="AF573"/>
    </row>
    <row r="574" spans="11:32" ht="14.1" customHeight="1" x14ac:dyDescent="0.2">
      <c r="K574" s="158"/>
      <c r="L574" s="158"/>
      <c r="M574"/>
      <c r="N574"/>
      <c r="O574"/>
      <c r="P574"/>
      <c r="Q574"/>
      <c r="R574"/>
      <c r="S574"/>
      <c r="T574"/>
      <c r="U574"/>
      <c r="V574"/>
      <c r="W574"/>
      <c r="X574"/>
      <c r="Y574"/>
      <c r="Z574"/>
      <c r="AA574"/>
      <c r="AB574"/>
      <c r="AC574"/>
      <c r="AD574"/>
      <c r="AE574"/>
      <c r="AF574"/>
    </row>
    <row r="575" spans="11:32" ht="14.1" customHeight="1" x14ac:dyDescent="0.2">
      <c r="K575" s="158"/>
      <c r="L575" s="158"/>
      <c r="M575"/>
      <c r="N575"/>
      <c r="O575"/>
      <c r="P575"/>
      <c r="Q575"/>
      <c r="R575"/>
      <c r="S575"/>
      <c r="T575"/>
      <c r="U575"/>
      <c r="V575"/>
      <c r="W575"/>
      <c r="X575"/>
      <c r="Y575"/>
      <c r="Z575"/>
      <c r="AA575"/>
      <c r="AB575"/>
      <c r="AC575"/>
      <c r="AD575"/>
      <c r="AE575"/>
      <c r="AF575"/>
    </row>
    <row r="576" spans="11:32" ht="14.1" customHeight="1" x14ac:dyDescent="0.2">
      <c r="K576" s="158"/>
      <c r="L576" s="158"/>
      <c r="M576"/>
      <c r="N576"/>
      <c r="O576"/>
      <c r="P576"/>
      <c r="Q576"/>
      <c r="R576"/>
      <c r="S576"/>
      <c r="T576"/>
      <c r="U576"/>
      <c r="V576"/>
      <c r="W576"/>
      <c r="X576"/>
      <c r="Y576"/>
      <c r="Z576"/>
      <c r="AA576"/>
      <c r="AB576"/>
      <c r="AC576"/>
      <c r="AD576"/>
      <c r="AE576"/>
      <c r="AF576"/>
    </row>
    <row r="577" spans="11:32" ht="14.1" customHeight="1" x14ac:dyDescent="0.2">
      <c r="K577" s="158"/>
      <c r="L577" s="158"/>
      <c r="M577"/>
      <c r="N577"/>
      <c r="O577"/>
      <c r="P577"/>
      <c r="Q577"/>
      <c r="R577"/>
      <c r="S577"/>
      <c r="T577"/>
      <c r="U577"/>
      <c r="V577"/>
      <c r="W577"/>
      <c r="X577"/>
      <c r="Y577"/>
      <c r="Z577"/>
      <c r="AA577"/>
      <c r="AB577"/>
      <c r="AC577"/>
      <c r="AD577"/>
      <c r="AE577"/>
      <c r="AF577"/>
    </row>
    <row r="578" spans="11:32" ht="14.1" customHeight="1" x14ac:dyDescent="0.2">
      <c r="K578" s="158"/>
      <c r="L578" s="158"/>
      <c r="M578"/>
      <c r="N578"/>
      <c r="O578"/>
      <c r="P578"/>
      <c r="Q578"/>
      <c r="R578"/>
      <c r="S578"/>
      <c r="T578"/>
      <c r="U578"/>
      <c r="V578"/>
      <c r="W578"/>
      <c r="X578"/>
      <c r="Y578"/>
      <c r="Z578"/>
      <c r="AA578"/>
      <c r="AB578"/>
      <c r="AC578"/>
      <c r="AD578"/>
      <c r="AE578"/>
      <c r="AF578"/>
    </row>
    <row r="579" spans="11:32" ht="14.1" customHeight="1" x14ac:dyDescent="0.2">
      <c r="K579" s="158"/>
      <c r="L579" s="158"/>
      <c r="M579"/>
      <c r="N579"/>
      <c r="O579"/>
      <c r="P579"/>
      <c r="Q579"/>
      <c r="R579"/>
      <c r="S579"/>
      <c r="T579"/>
      <c r="U579"/>
      <c r="V579"/>
      <c r="W579"/>
      <c r="X579"/>
      <c r="Y579"/>
      <c r="Z579"/>
      <c r="AA579"/>
      <c r="AB579"/>
      <c r="AC579"/>
      <c r="AD579"/>
      <c r="AE579"/>
      <c r="AF579"/>
    </row>
    <row r="580" spans="11:32" ht="14.1" customHeight="1" x14ac:dyDescent="0.2">
      <c r="K580" s="158"/>
      <c r="L580" s="158"/>
      <c r="M580"/>
      <c r="N580"/>
      <c r="O580"/>
      <c r="P580"/>
      <c r="Q580"/>
      <c r="R580"/>
      <c r="S580"/>
      <c r="T580"/>
      <c r="U580"/>
      <c r="V580"/>
      <c r="W580"/>
      <c r="X580"/>
      <c r="Y580"/>
      <c r="Z580"/>
      <c r="AA580"/>
      <c r="AB580"/>
      <c r="AC580"/>
      <c r="AD580"/>
      <c r="AE580"/>
      <c r="AF580"/>
    </row>
    <row r="581" spans="11:32" ht="14.1" customHeight="1" x14ac:dyDescent="0.2">
      <c r="K581" s="158"/>
      <c r="L581" s="158"/>
      <c r="M581"/>
      <c r="N581"/>
      <c r="O581"/>
      <c r="P581"/>
      <c r="Q581"/>
      <c r="R581"/>
      <c r="S581"/>
      <c r="T581"/>
      <c r="U581"/>
      <c r="V581"/>
      <c r="W581"/>
      <c r="X581"/>
      <c r="Y581"/>
      <c r="Z581"/>
      <c r="AA581"/>
      <c r="AB581"/>
      <c r="AC581"/>
      <c r="AD581"/>
      <c r="AE581"/>
      <c r="AF581"/>
    </row>
    <row r="582" spans="11:32" ht="14.1" customHeight="1" x14ac:dyDescent="0.2">
      <c r="K582" s="158"/>
      <c r="L582" s="158"/>
      <c r="M582"/>
      <c r="N582"/>
      <c r="O582"/>
      <c r="P582"/>
      <c r="Q582"/>
      <c r="R582"/>
      <c r="S582"/>
      <c r="T582"/>
      <c r="U582"/>
      <c r="V582"/>
      <c r="W582"/>
      <c r="X582"/>
      <c r="Y582"/>
      <c r="Z582"/>
      <c r="AA582"/>
      <c r="AB582"/>
      <c r="AC582"/>
      <c r="AD582"/>
      <c r="AE582"/>
      <c r="AF582"/>
    </row>
    <row r="583" spans="11:32" ht="14.1" customHeight="1" x14ac:dyDescent="0.2">
      <c r="K583" s="158"/>
      <c r="L583" s="158"/>
      <c r="M583"/>
      <c r="N583"/>
      <c r="O583"/>
      <c r="P583"/>
      <c r="Q583"/>
      <c r="R583"/>
      <c r="S583"/>
      <c r="T583"/>
      <c r="U583"/>
      <c r="V583"/>
      <c r="W583"/>
      <c r="X583"/>
      <c r="Y583"/>
      <c r="Z583"/>
      <c r="AA583"/>
      <c r="AB583"/>
      <c r="AC583"/>
      <c r="AD583"/>
      <c r="AE583"/>
      <c r="AF583"/>
    </row>
    <row r="584" spans="11:32" ht="14.1" customHeight="1" x14ac:dyDescent="0.2">
      <c r="K584" s="158"/>
      <c r="L584" s="158"/>
      <c r="M584"/>
      <c r="N584"/>
      <c r="O584"/>
      <c r="P584"/>
      <c r="Q584"/>
      <c r="R584"/>
      <c r="S584"/>
      <c r="T584"/>
      <c r="U584"/>
      <c r="V584"/>
      <c r="W584"/>
      <c r="X584"/>
      <c r="Y584"/>
      <c r="Z584"/>
      <c r="AA584"/>
      <c r="AB584"/>
      <c r="AC584"/>
      <c r="AD584"/>
      <c r="AE584"/>
      <c r="AF584"/>
    </row>
    <row r="585" spans="11:32" ht="14.1" customHeight="1" x14ac:dyDescent="0.2">
      <c r="K585" s="158"/>
      <c r="L585" s="158"/>
      <c r="M585"/>
      <c r="N585"/>
      <c r="O585"/>
      <c r="P585"/>
      <c r="Q585"/>
      <c r="R585"/>
      <c r="S585"/>
      <c r="T585"/>
      <c r="U585"/>
      <c r="V585"/>
      <c r="W585"/>
      <c r="X585"/>
      <c r="Y585"/>
      <c r="Z585"/>
      <c r="AA585"/>
      <c r="AB585"/>
      <c r="AC585"/>
      <c r="AD585"/>
      <c r="AE585"/>
      <c r="AF585"/>
    </row>
    <row r="586" spans="11:32" ht="14.1" customHeight="1" x14ac:dyDescent="0.2">
      <c r="K586" s="158"/>
      <c r="L586" s="158"/>
      <c r="M586"/>
      <c r="N586"/>
      <c r="O586"/>
      <c r="P586"/>
      <c r="Q586"/>
      <c r="R586"/>
      <c r="S586"/>
      <c r="T586"/>
      <c r="U586"/>
      <c r="V586"/>
      <c r="W586"/>
      <c r="X586"/>
      <c r="Y586"/>
      <c r="Z586"/>
      <c r="AA586"/>
      <c r="AB586"/>
      <c r="AC586"/>
      <c r="AD586"/>
      <c r="AE586"/>
      <c r="AF586"/>
    </row>
    <row r="587" spans="11:32" ht="14.1" customHeight="1" x14ac:dyDescent="0.2">
      <c r="K587" s="158"/>
      <c r="L587" s="158"/>
      <c r="M587"/>
      <c r="N587"/>
      <c r="O587"/>
      <c r="P587"/>
      <c r="Q587"/>
      <c r="R587"/>
      <c r="S587"/>
      <c r="T587"/>
      <c r="U587"/>
      <c r="V587"/>
      <c r="W587"/>
      <c r="X587"/>
      <c r="Y587"/>
      <c r="Z587"/>
      <c r="AA587"/>
      <c r="AB587"/>
      <c r="AC587"/>
      <c r="AD587"/>
      <c r="AE587"/>
      <c r="AF587"/>
    </row>
    <row r="588" spans="11:32" ht="14.1" customHeight="1" x14ac:dyDescent="0.2">
      <c r="K588" s="158"/>
      <c r="L588" s="158"/>
      <c r="M588"/>
      <c r="N588"/>
      <c r="O588"/>
      <c r="P588"/>
      <c r="Q588"/>
      <c r="R588"/>
      <c r="S588"/>
      <c r="T588"/>
      <c r="U588"/>
      <c r="V588"/>
      <c r="W588"/>
      <c r="X588"/>
      <c r="Y588"/>
      <c r="Z588"/>
      <c r="AA588"/>
      <c r="AB588"/>
      <c r="AC588"/>
      <c r="AD588"/>
      <c r="AE588"/>
      <c r="AF588"/>
    </row>
    <row r="589" spans="11:32" ht="14.1" customHeight="1" x14ac:dyDescent="0.2">
      <c r="K589" s="158"/>
      <c r="L589" s="158"/>
      <c r="M589"/>
      <c r="N589"/>
      <c r="O589"/>
      <c r="P589"/>
      <c r="Q589"/>
      <c r="R589"/>
      <c r="S589"/>
      <c r="T589"/>
      <c r="U589"/>
      <c r="V589"/>
      <c r="W589"/>
      <c r="X589"/>
      <c r="Y589"/>
      <c r="Z589"/>
      <c r="AA589"/>
      <c r="AB589"/>
      <c r="AC589"/>
      <c r="AD589"/>
      <c r="AE589"/>
      <c r="AF589"/>
    </row>
    <row r="590" spans="11:32" ht="14.1" customHeight="1" x14ac:dyDescent="0.2">
      <c r="K590" s="158"/>
      <c r="L590" s="158"/>
      <c r="M590"/>
      <c r="N590"/>
      <c r="O590"/>
      <c r="P590"/>
      <c r="Q590"/>
      <c r="R590"/>
      <c r="S590"/>
      <c r="T590"/>
      <c r="U590"/>
      <c r="V590"/>
      <c r="W590"/>
      <c r="X590"/>
      <c r="Y590"/>
      <c r="Z590"/>
      <c r="AA590"/>
      <c r="AB590"/>
      <c r="AC590"/>
      <c r="AD590"/>
      <c r="AE590"/>
      <c r="AF590"/>
    </row>
    <row r="591" spans="11:32" ht="14.1" customHeight="1" x14ac:dyDescent="0.2">
      <c r="K591" s="158"/>
      <c r="L591" s="158"/>
      <c r="M591"/>
      <c r="N591"/>
      <c r="O591"/>
      <c r="P591"/>
      <c r="Q591"/>
      <c r="R591"/>
      <c r="S591"/>
      <c r="T591"/>
      <c r="U591"/>
      <c r="V591"/>
      <c r="W591"/>
      <c r="X591"/>
      <c r="Y591"/>
      <c r="Z591"/>
      <c r="AA591"/>
      <c r="AB591"/>
      <c r="AC591"/>
      <c r="AD591"/>
      <c r="AE591"/>
      <c r="AF591"/>
    </row>
    <row r="592" spans="11:32" ht="14.1" customHeight="1" x14ac:dyDescent="0.2">
      <c r="K592" s="158"/>
      <c r="L592" s="158"/>
      <c r="M592"/>
      <c r="N592"/>
      <c r="O592"/>
      <c r="P592"/>
      <c r="Q592"/>
      <c r="R592"/>
      <c r="S592"/>
      <c r="T592"/>
      <c r="U592"/>
      <c r="V592"/>
      <c r="W592"/>
      <c r="X592"/>
      <c r="Y592"/>
      <c r="Z592"/>
      <c r="AA592"/>
      <c r="AB592"/>
      <c r="AC592"/>
      <c r="AD592"/>
      <c r="AE592"/>
      <c r="AF592"/>
    </row>
    <row r="593" spans="11:32" ht="14.1" customHeight="1" x14ac:dyDescent="0.2">
      <c r="K593" s="158"/>
      <c r="L593" s="158"/>
      <c r="M593"/>
      <c r="N593"/>
      <c r="O593"/>
      <c r="P593"/>
      <c r="Q593"/>
      <c r="R593"/>
      <c r="S593"/>
      <c r="T593"/>
      <c r="U593"/>
      <c r="V593"/>
      <c r="W593"/>
      <c r="X593"/>
      <c r="Y593"/>
      <c r="Z593"/>
      <c r="AA593"/>
      <c r="AB593"/>
      <c r="AC593"/>
      <c r="AD593"/>
      <c r="AE593"/>
      <c r="AF593"/>
    </row>
    <row r="594" spans="11:32" ht="14.1" customHeight="1" x14ac:dyDescent="0.2">
      <c r="K594" s="158"/>
      <c r="L594" s="158"/>
      <c r="M594"/>
      <c r="N594"/>
      <c r="O594"/>
      <c r="P594"/>
      <c r="Q594"/>
      <c r="R594"/>
      <c r="S594"/>
      <c r="T594"/>
      <c r="U594"/>
      <c r="V594"/>
      <c r="W594"/>
      <c r="X594"/>
      <c r="Y594"/>
      <c r="Z594"/>
      <c r="AA594"/>
      <c r="AB594"/>
      <c r="AC594"/>
      <c r="AD594"/>
      <c r="AE594"/>
      <c r="AF594"/>
    </row>
    <row r="595" spans="11:32" ht="14.1" customHeight="1" x14ac:dyDescent="0.2">
      <c r="K595" s="158"/>
      <c r="L595" s="158"/>
      <c r="M595"/>
      <c r="N595"/>
      <c r="O595"/>
      <c r="P595"/>
      <c r="Q595"/>
      <c r="R595"/>
      <c r="S595"/>
      <c r="T595"/>
      <c r="U595"/>
      <c r="V595"/>
      <c r="W595"/>
      <c r="X595"/>
      <c r="Y595"/>
      <c r="Z595"/>
      <c r="AA595"/>
      <c r="AB595"/>
      <c r="AC595"/>
      <c r="AD595"/>
      <c r="AE595"/>
      <c r="AF595"/>
    </row>
    <row r="596" spans="11:32" ht="14.1" customHeight="1" x14ac:dyDescent="0.2">
      <c r="K596" s="158"/>
      <c r="L596" s="158"/>
      <c r="M596"/>
      <c r="N596"/>
      <c r="O596"/>
      <c r="P596"/>
      <c r="Q596"/>
      <c r="R596"/>
      <c r="S596"/>
      <c r="T596"/>
      <c r="U596"/>
      <c r="V596"/>
      <c r="W596"/>
      <c r="X596"/>
      <c r="Y596"/>
      <c r="Z596"/>
      <c r="AA596"/>
      <c r="AB596"/>
      <c r="AC596"/>
      <c r="AD596"/>
      <c r="AE596"/>
      <c r="AF596"/>
    </row>
    <row r="597" spans="11:32" ht="14.1" customHeight="1" x14ac:dyDescent="0.2">
      <c r="K597" s="158"/>
      <c r="L597" s="158"/>
      <c r="M597"/>
      <c r="N597"/>
      <c r="O597"/>
      <c r="P597"/>
      <c r="Q597"/>
      <c r="R597"/>
      <c r="S597"/>
      <c r="T597"/>
      <c r="U597"/>
      <c r="V597"/>
      <c r="W597"/>
      <c r="X597"/>
      <c r="Y597"/>
      <c r="Z597"/>
      <c r="AA597"/>
      <c r="AB597"/>
      <c r="AC597"/>
      <c r="AD597"/>
      <c r="AE597"/>
      <c r="AF597"/>
    </row>
    <row r="598" spans="11:32" ht="14.1" customHeight="1" x14ac:dyDescent="0.2">
      <c r="K598" s="158"/>
      <c r="L598" s="158"/>
      <c r="M598"/>
      <c r="N598"/>
      <c r="O598"/>
      <c r="P598"/>
      <c r="Q598"/>
      <c r="R598"/>
      <c r="S598"/>
      <c r="T598"/>
      <c r="U598"/>
      <c r="V598"/>
      <c r="W598"/>
      <c r="X598"/>
      <c r="Y598"/>
      <c r="Z598"/>
      <c r="AA598"/>
      <c r="AB598"/>
      <c r="AC598"/>
      <c r="AD598"/>
      <c r="AE598"/>
      <c r="AF598"/>
    </row>
    <row r="599" spans="11:32" ht="14.1" customHeight="1" x14ac:dyDescent="0.2">
      <c r="K599" s="158"/>
      <c r="L599" s="158"/>
      <c r="M599"/>
      <c r="N599"/>
      <c r="O599"/>
      <c r="P599"/>
      <c r="Q599"/>
      <c r="R599"/>
      <c r="S599"/>
      <c r="T599"/>
      <c r="U599"/>
      <c r="V599"/>
      <c r="W599"/>
      <c r="X599"/>
      <c r="Y599"/>
      <c r="Z599"/>
      <c r="AA599"/>
      <c r="AB599"/>
      <c r="AC599"/>
      <c r="AD599"/>
      <c r="AE599"/>
      <c r="AF599"/>
    </row>
    <row r="600" spans="11:32" ht="14.1" customHeight="1" x14ac:dyDescent="0.2">
      <c r="K600" s="158"/>
      <c r="L600" s="158"/>
      <c r="M600"/>
      <c r="N600"/>
      <c r="O600"/>
      <c r="P600"/>
      <c r="Q600"/>
      <c r="R600"/>
      <c r="S600"/>
      <c r="T600"/>
      <c r="U600"/>
      <c r="V600"/>
      <c r="W600"/>
      <c r="X600"/>
      <c r="Y600"/>
      <c r="Z600"/>
      <c r="AA600"/>
      <c r="AB600"/>
      <c r="AC600"/>
      <c r="AD600"/>
      <c r="AE600"/>
      <c r="AF600"/>
    </row>
    <row r="601" spans="11:32" ht="14.1" customHeight="1" x14ac:dyDescent="0.2">
      <c r="K601" s="158"/>
      <c r="L601" s="158"/>
      <c r="M601"/>
      <c r="N601"/>
      <c r="O601"/>
      <c r="P601"/>
      <c r="Q601"/>
      <c r="R601"/>
      <c r="S601"/>
      <c r="T601"/>
      <c r="U601"/>
      <c r="V601"/>
      <c r="W601"/>
      <c r="X601"/>
      <c r="Y601"/>
      <c r="Z601"/>
      <c r="AA601"/>
      <c r="AB601"/>
      <c r="AC601"/>
      <c r="AD601"/>
      <c r="AE601"/>
      <c r="AF601"/>
    </row>
    <row r="602" spans="11:32" ht="14.1" customHeight="1" x14ac:dyDescent="0.2">
      <c r="K602" s="158"/>
      <c r="L602" s="158"/>
      <c r="M602"/>
      <c r="N602"/>
      <c r="O602"/>
      <c r="P602"/>
      <c r="Q602"/>
      <c r="R602"/>
      <c r="S602"/>
      <c r="T602"/>
      <c r="U602"/>
      <c r="V602"/>
      <c r="W602"/>
      <c r="X602"/>
      <c r="Y602"/>
      <c r="Z602"/>
      <c r="AA602"/>
      <c r="AB602"/>
      <c r="AC602"/>
      <c r="AD602"/>
      <c r="AE602"/>
      <c r="AF602"/>
    </row>
    <row r="603" spans="11:32" ht="14.1" customHeight="1" x14ac:dyDescent="0.2">
      <c r="K603" s="158"/>
      <c r="L603" s="158"/>
      <c r="M603"/>
      <c r="N603"/>
      <c r="O603"/>
      <c r="P603"/>
      <c r="Q603"/>
      <c r="R603"/>
      <c r="S603"/>
      <c r="T603"/>
      <c r="U603"/>
      <c r="V603"/>
      <c r="W603"/>
      <c r="X603"/>
      <c r="Y603"/>
      <c r="Z603"/>
      <c r="AA603"/>
      <c r="AB603"/>
      <c r="AC603"/>
      <c r="AD603"/>
      <c r="AE603"/>
      <c r="AF603"/>
    </row>
    <row r="604" spans="11:32" ht="14.1" customHeight="1" x14ac:dyDescent="0.2">
      <c r="K604" s="158"/>
      <c r="L604" s="158"/>
      <c r="M604"/>
      <c r="N604"/>
      <c r="O604"/>
      <c r="P604"/>
      <c r="Q604"/>
      <c r="R604"/>
      <c r="S604"/>
      <c r="T604"/>
      <c r="U604"/>
      <c r="V604"/>
      <c r="W604"/>
      <c r="X604"/>
      <c r="Y604"/>
      <c r="Z604"/>
      <c r="AA604"/>
      <c r="AB604"/>
      <c r="AC604"/>
      <c r="AD604"/>
      <c r="AE604"/>
      <c r="AF604"/>
    </row>
    <row r="605" spans="11:32" ht="14.1" customHeight="1" x14ac:dyDescent="0.2">
      <c r="K605" s="158"/>
      <c r="L605" s="158"/>
      <c r="M605"/>
      <c r="N605"/>
      <c r="O605"/>
      <c r="P605"/>
      <c r="Q605"/>
      <c r="R605"/>
      <c r="S605"/>
      <c r="T605"/>
      <c r="U605"/>
      <c r="V605"/>
      <c r="W605"/>
      <c r="X605"/>
      <c r="Y605"/>
      <c r="Z605"/>
      <c r="AA605"/>
      <c r="AB605"/>
      <c r="AC605"/>
      <c r="AD605"/>
      <c r="AE605"/>
      <c r="AF605"/>
    </row>
    <row r="606" spans="11:32" ht="14.1" customHeight="1" x14ac:dyDescent="0.2">
      <c r="K606" s="158"/>
      <c r="L606" s="158"/>
      <c r="M606"/>
      <c r="N606"/>
      <c r="O606"/>
      <c r="P606"/>
      <c r="Q606"/>
      <c r="R606"/>
      <c r="S606"/>
      <c r="T606"/>
      <c r="U606"/>
      <c r="V606"/>
      <c r="W606"/>
      <c r="X606"/>
      <c r="Y606"/>
      <c r="Z606"/>
      <c r="AA606"/>
      <c r="AB606"/>
      <c r="AC606"/>
      <c r="AD606"/>
      <c r="AE606"/>
      <c r="AF606"/>
    </row>
    <row r="607" spans="11:32" ht="14.1" customHeight="1" x14ac:dyDescent="0.2">
      <c r="K607" s="158"/>
      <c r="L607" s="158"/>
      <c r="M607"/>
      <c r="N607"/>
      <c r="O607"/>
      <c r="P607"/>
      <c r="Q607"/>
      <c r="R607"/>
      <c r="S607"/>
      <c r="T607"/>
      <c r="U607"/>
      <c r="V607"/>
      <c r="W607"/>
      <c r="X607"/>
      <c r="Y607"/>
      <c r="Z607"/>
      <c r="AA607"/>
      <c r="AB607"/>
      <c r="AC607"/>
      <c r="AD607"/>
      <c r="AE607"/>
      <c r="AF607"/>
    </row>
    <row r="608" spans="11:32" ht="14.1" customHeight="1" x14ac:dyDescent="0.2">
      <c r="K608" s="158"/>
      <c r="L608" s="158"/>
      <c r="M608"/>
      <c r="N608"/>
      <c r="O608"/>
      <c r="P608"/>
      <c r="Q608"/>
      <c r="R608"/>
      <c r="S608"/>
      <c r="T608"/>
      <c r="U608"/>
      <c r="V608"/>
      <c r="W608"/>
      <c r="X608"/>
      <c r="Y608"/>
      <c r="Z608"/>
      <c r="AA608"/>
      <c r="AB608"/>
      <c r="AC608"/>
      <c r="AD608"/>
      <c r="AE608"/>
      <c r="AF608"/>
    </row>
    <row r="609" spans="11:32" ht="14.1" customHeight="1" x14ac:dyDescent="0.2">
      <c r="K609" s="158"/>
      <c r="L609" s="158"/>
      <c r="M609"/>
      <c r="N609"/>
      <c r="O609"/>
      <c r="P609"/>
      <c r="Q609"/>
      <c r="R609"/>
      <c r="S609"/>
      <c r="T609"/>
      <c r="U609"/>
      <c r="V609"/>
      <c r="W609"/>
      <c r="X609"/>
      <c r="Y609"/>
      <c r="Z609"/>
      <c r="AA609"/>
      <c r="AB609"/>
      <c r="AC609"/>
      <c r="AD609"/>
      <c r="AE609"/>
      <c r="AF609"/>
    </row>
    <row r="610" spans="11:32" ht="14.1" customHeight="1" x14ac:dyDescent="0.2">
      <c r="K610" s="158"/>
      <c r="L610" s="158"/>
      <c r="M610"/>
      <c r="N610"/>
      <c r="O610"/>
      <c r="P610"/>
      <c r="Q610"/>
      <c r="R610"/>
      <c r="S610"/>
      <c r="T610"/>
      <c r="U610"/>
      <c r="V610"/>
      <c r="W610"/>
      <c r="X610"/>
      <c r="Y610"/>
      <c r="Z610"/>
      <c r="AA610"/>
      <c r="AB610"/>
      <c r="AC610"/>
      <c r="AD610"/>
      <c r="AE610"/>
      <c r="AF610"/>
    </row>
    <row r="611" spans="11:32" ht="14.1" customHeight="1" x14ac:dyDescent="0.2">
      <c r="K611" s="158"/>
      <c r="L611" s="158"/>
      <c r="M611"/>
      <c r="N611"/>
      <c r="O611"/>
      <c r="P611"/>
      <c r="Q611"/>
      <c r="R611"/>
      <c r="S611"/>
      <c r="T611"/>
      <c r="U611"/>
      <c r="V611"/>
      <c r="W611"/>
      <c r="X611"/>
      <c r="Y611"/>
      <c r="Z611"/>
      <c r="AA611"/>
      <c r="AB611"/>
      <c r="AC611"/>
      <c r="AD611"/>
      <c r="AE611"/>
      <c r="AF611"/>
    </row>
    <row r="612" spans="11:32" ht="14.1" customHeight="1" x14ac:dyDescent="0.2">
      <c r="K612" s="158"/>
      <c r="L612" s="158"/>
      <c r="M612"/>
      <c r="N612"/>
      <c r="O612"/>
      <c r="P612"/>
      <c r="Q612"/>
      <c r="R612"/>
      <c r="S612"/>
      <c r="T612"/>
      <c r="U612"/>
      <c r="V612"/>
      <c r="W612"/>
      <c r="X612"/>
      <c r="Y612"/>
      <c r="Z612"/>
      <c r="AA612"/>
      <c r="AB612"/>
      <c r="AC612"/>
      <c r="AD612"/>
      <c r="AE612"/>
      <c r="AF612"/>
    </row>
    <row r="613" spans="11:32" ht="14.1" customHeight="1" x14ac:dyDescent="0.2">
      <c r="K613" s="158"/>
      <c r="L613" s="158"/>
      <c r="M613"/>
      <c r="N613"/>
      <c r="O613"/>
      <c r="P613"/>
      <c r="Q613"/>
      <c r="R613"/>
      <c r="S613"/>
      <c r="T613"/>
      <c r="U613"/>
      <c r="V613"/>
      <c r="W613"/>
      <c r="X613"/>
      <c r="Y613"/>
      <c r="Z613"/>
      <c r="AA613"/>
      <c r="AB613"/>
      <c r="AC613"/>
      <c r="AD613"/>
      <c r="AE613"/>
      <c r="AF613"/>
    </row>
    <row r="614" spans="11:32" ht="14.1" customHeight="1" x14ac:dyDescent="0.2">
      <c r="K614" s="158"/>
      <c r="L614" s="158"/>
      <c r="M614"/>
      <c r="N614"/>
      <c r="O614"/>
      <c r="P614"/>
      <c r="Q614"/>
      <c r="R614"/>
      <c r="S614"/>
      <c r="T614"/>
      <c r="U614"/>
      <c r="V614"/>
      <c r="W614"/>
      <c r="X614"/>
      <c r="Y614"/>
      <c r="Z614"/>
      <c r="AA614"/>
      <c r="AB614"/>
      <c r="AC614"/>
      <c r="AD614"/>
      <c r="AE614"/>
      <c r="AF614"/>
    </row>
    <row r="615" spans="11:32" ht="14.1" customHeight="1" x14ac:dyDescent="0.2">
      <c r="K615" s="158"/>
      <c r="L615" s="158"/>
      <c r="M615"/>
      <c r="N615"/>
      <c r="O615"/>
      <c r="P615"/>
      <c r="Q615"/>
      <c r="R615"/>
      <c r="S615"/>
      <c r="T615"/>
      <c r="U615"/>
      <c r="V615"/>
      <c r="W615"/>
      <c r="X615"/>
      <c r="Y615"/>
      <c r="Z615"/>
      <c r="AA615"/>
      <c r="AB615"/>
      <c r="AC615"/>
      <c r="AD615"/>
      <c r="AE615"/>
      <c r="AF615"/>
    </row>
    <row r="616" spans="11:32" ht="14.1" customHeight="1" x14ac:dyDescent="0.2">
      <c r="K616" s="158"/>
      <c r="L616" s="158"/>
      <c r="M616"/>
      <c r="N616"/>
      <c r="O616"/>
      <c r="P616"/>
      <c r="Q616"/>
      <c r="R616"/>
      <c r="S616"/>
      <c r="T616"/>
      <c r="U616"/>
      <c r="V616"/>
      <c r="W616"/>
      <c r="X616"/>
      <c r="Y616"/>
      <c r="Z616"/>
      <c r="AA616"/>
      <c r="AB616"/>
      <c r="AC616"/>
      <c r="AD616"/>
      <c r="AE616"/>
      <c r="AF616"/>
    </row>
    <row r="617" spans="11:32" ht="14.1" customHeight="1" x14ac:dyDescent="0.2">
      <c r="K617" s="158"/>
      <c r="L617" s="158"/>
      <c r="M617"/>
      <c r="N617"/>
      <c r="O617"/>
      <c r="P617"/>
      <c r="Q617"/>
      <c r="R617"/>
      <c r="S617"/>
      <c r="T617"/>
      <c r="U617"/>
      <c r="V617"/>
      <c r="W617"/>
      <c r="X617"/>
      <c r="Y617"/>
      <c r="Z617"/>
      <c r="AA617"/>
      <c r="AB617"/>
      <c r="AC617"/>
      <c r="AD617"/>
      <c r="AE617"/>
      <c r="AF617"/>
    </row>
    <row r="618" spans="11:32" ht="14.1" customHeight="1" x14ac:dyDescent="0.2">
      <c r="K618" s="158"/>
      <c r="L618" s="158"/>
      <c r="M618"/>
      <c r="N618"/>
      <c r="O618"/>
      <c r="P618"/>
      <c r="Q618"/>
      <c r="R618"/>
      <c r="S618"/>
      <c r="T618"/>
      <c r="U618"/>
      <c r="V618"/>
      <c r="W618"/>
      <c r="X618"/>
      <c r="Y618"/>
      <c r="Z618"/>
      <c r="AA618"/>
      <c r="AB618"/>
      <c r="AC618"/>
      <c r="AD618"/>
      <c r="AE618"/>
      <c r="AF618"/>
    </row>
    <row r="619" spans="11:32" ht="14.1" customHeight="1" x14ac:dyDescent="0.2">
      <c r="K619" s="158"/>
      <c r="L619" s="158"/>
      <c r="M619"/>
      <c r="N619"/>
      <c r="O619"/>
      <c r="P619"/>
      <c r="Q619"/>
      <c r="R619"/>
      <c r="S619"/>
      <c r="T619"/>
      <c r="U619"/>
      <c r="V619"/>
      <c r="W619"/>
      <c r="X619"/>
      <c r="Y619"/>
      <c r="Z619"/>
      <c r="AA619"/>
      <c r="AB619"/>
      <c r="AC619"/>
      <c r="AD619"/>
      <c r="AE619"/>
      <c r="AF619"/>
    </row>
    <row r="620" spans="11:32" ht="14.1" customHeight="1" x14ac:dyDescent="0.2">
      <c r="K620" s="158"/>
      <c r="L620" s="158"/>
      <c r="M620"/>
      <c r="N620"/>
      <c r="O620"/>
      <c r="P620"/>
      <c r="Q620"/>
      <c r="R620"/>
      <c r="S620"/>
      <c r="T620"/>
      <c r="U620"/>
      <c r="V620"/>
      <c r="W620"/>
      <c r="X620"/>
      <c r="Y620"/>
      <c r="Z620"/>
      <c r="AA620"/>
      <c r="AB620"/>
      <c r="AC620"/>
      <c r="AD620"/>
      <c r="AE620"/>
      <c r="AF620"/>
    </row>
    <row r="621" spans="11:32" ht="14.1" customHeight="1" x14ac:dyDescent="0.2">
      <c r="K621" s="158"/>
      <c r="L621" s="158"/>
      <c r="M621"/>
      <c r="N621"/>
      <c r="O621"/>
      <c r="P621"/>
      <c r="Q621"/>
      <c r="R621"/>
      <c r="S621"/>
      <c r="T621"/>
      <c r="U621"/>
      <c r="V621"/>
      <c r="W621"/>
      <c r="X621"/>
      <c r="Y621"/>
      <c r="Z621"/>
      <c r="AA621"/>
      <c r="AB621"/>
      <c r="AC621"/>
      <c r="AD621"/>
      <c r="AE621"/>
      <c r="AF621"/>
    </row>
    <row r="622" spans="11:32" ht="14.1" customHeight="1" x14ac:dyDescent="0.2">
      <c r="K622" s="158"/>
      <c r="L622" s="158"/>
      <c r="M622"/>
      <c r="N622"/>
      <c r="O622"/>
      <c r="P622"/>
      <c r="Q622"/>
      <c r="R622"/>
      <c r="S622"/>
      <c r="T622"/>
      <c r="U622"/>
      <c r="V622"/>
      <c r="W622"/>
      <c r="X622"/>
      <c r="Y622"/>
      <c r="Z622"/>
      <c r="AA622"/>
      <c r="AB622"/>
      <c r="AC622"/>
      <c r="AD622"/>
      <c r="AE622"/>
      <c r="AF622"/>
    </row>
    <row r="623" spans="11:32" ht="14.1" customHeight="1" x14ac:dyDescent="0.2">
      <c r="K623" s="158"/>
      <c r="L623" s="158"/>
      <c r="M623"/>
      <c r="N623"/>
      <c r="O623"/>
      <c r="P623"/>
      <c r="Q623"/>
      <c r="R623"/>
      <c r="S623"/>
      <c r="T623"/>
      <c r="U623"/>
      <c r="V623"/>
      <c r="W623"/>
      <c r="X623"/>
      <c r="Y623"/>
      <c r="Z623"/>
      <c r="AA623"/>
      <c r="AB623"/>
      <c r="AC623"/>
      <c r="AD623"/>
      <c r="AE623"/>
      <c r="AF623"/>
    </row>
    <row r="624" spans="11:32" ht="14.1" customHeight="1" x14ac:dyDescent="0.2">
      <c r="K624" s="158"/>
      <c r="L624" s="158"/>
      <c r="M624"/>
      <c r="N624"/>
      <c r="O624"/>
      <c r="P624"/>
      <c r="Q624"/>
      <c r="R624"/>
      <c r="S624"/>
      <c r="T624"/>
      <c r="U624"/>
      <c r="V624"/>
      <c r="W624"/>
      <c r="X624"/>
      <c r="Y624"/>
      <c r="Z624"/>
      <c r="AA624"/>
      <c r="AB624"/>
      <c r="AC624"/>
      <c r="AD624"/>
      <c r="AE624"/>
      <c r="AF624"/>
    </row>
    <row r="625" spans="11:32" ht="14.1" customHeight="1" x14ac:dyDescent="0.2">
      <c r="K625" s="158"/>
      <c r="L625" s="158"/>
      <c r="M625"/>
      <c r="N625"/>
      <c r="O625"/>
      <c r="P625"/>
      <c r="Q625"/>
      <c r="R625"/>
      <c r="S625"/>
      <c r="T625"/>
      <c r="U625"/>
      <c r="V625"/>
      <c r="W625"/>
      <c r="X625"/>
      <c r="Y625"/>
      <c r="Z625"/>
      <c r="AA625"/>
      <c r="AB625"/>
      <c r="AC625"/>
      <c r="AD625"/>
      <c r="AE625"/>
      <c r="AF625"/>
    </row>
    <row r="626" spans="11:32" ht="14.1" customHeight="1" x14ac:dyDescent="0.2">
      <c r="K626" s="158"/>
      <c r="L626" s="158"/>
      <c r="M626"/>
      <c r="N626"/>
      <c r="O626"/>
      <c r="P626"/>
      <c r="Q626"/>
      <c r="R626"/>
      <c r="S626"/>
      <c r="T626"/>
      <c r="U626"/>
      <c r="V626"/>
      <c r="W626"/>
      <c r="X626"/>
      <c r="Y626"/>
      <c r="Z626"/>
      <c r="AA626"/>
      <c r="AB626"/>
      <c r="AC626"/>
      <c r="AD626"/>
      <c r="AE626"/>
      <c r="AF626"/>
    </row>
    <row r="627" spans="11:32" ht="14.1" customHeight="1" x14ac:dyDescent="0.2">
      <c r="K627" s="158"/>
      <c r="L627" s="158"/>
      <c r="M627"/>
      <c r="N627"/>
      <c r="O627"/>
      <c r="P627"/>
      <c r="Q627"/>
      <c r="R627"/>
      <c r="S627"/>
      <c r="T627"/>
      <c r="U627"/>
      <c r="V627"/>
      <c r="W627"/>
      <c r="X627"/>
      <c r="Y627"/>
      <c r="Z627"/>
      <c r="AA627"/>
      <c r="AB627"/>
      <c r="AC627"/>
      <c r="AD627"/>
      <c r="AE627"/>
      <c r="AF627"/>
    </row>
    <row r="628" spans="11:32" ht="14.1" customHeight="1" x14ac:dyDescent="0.2">
      <c r="K628" s="158"/>
      <c r="L628" s="158"/>
      <c r="M628"/>
      <c r="N628"/>
      <c r="O628"/>
      <c r="P628"/>
      <c r="Q628"/>
      <c r="R628"/>
      <c r="S628"/>
      <c r="T628"/>
      <c r="U628"/>
      <c r="V628"/>
      <c r="W628"/>
      <c r="X628"/>
      <c r="Y628"/>
      <c r="Z628"/>
      <c r="AA628"/>
      <c r="AB628"/>
      <c r="AC628"/>
      <c r="AD628"/>
      <c r="AE628"/>
      <c r="AF628"/>
    </row>
    <row r="629" spans="11:32" ht="14.1" customHeight="1" x14ac:dyDescent="0.2">
      <c r="K629" s="158"/>
      <c r="L629" s="158"/>
      <c r="M629"/>
      <c r="N629"/>
      <c r="O629"/>
      <c r="P629"/>
      <c r="Q629"/>
      <c r="R629"/>
      <c r="S629"/>
      <c r="T629"/>
      <c r="U629"/>
      <c r="V629"/>
      <c r="W629"/>
      <c r="X629"/>
      <c r="Y629"/>
      <c r="Z629"/>
      <c r="AA629"/>
      <c r="AB629"/>
      <c r="AC629"/>
      <c r="AD629"/>
      <c r="AE629"/>
      <c r="AF629"/>
    </row>
    <row r="630" spans="11:32" ht="14.1" customHeight="1" x14ac:dyDescent="0.2">
      <c r="K630" s="158"/>
      <c r="L630" s="158"/>
      <c r="M630"/>
      <c r="N630"/>
      <c r="O630"/>
      <c r="P630"/>
      <c r="Q630"/>
      <c r="R630"/>
      <c r="S630"/>
      <c r="T630"/>
      <c r="U630"/>
      <c r="V630"/>
      <c r="W630"/>
      <c r="X630"/>
      <c r="Y630"/>
      <c r="Z630"/>
      <c r="AA630"/>
      <c r="AB630"/>
      <c r="AC630"/>
      <c r="AD630"/>
      <c r="AE630"/>
      <c r="AF630"/>
    </row>
    <row r="631" spans="11:32" ht="14.1" customHeight="1" x14ac:dyDescent="0.2">
      <c r="K631" s="158"/>
      <c r="L631" s="158"/>
      <c r="M631"/>
      <c r="N631"/>
      <c r="O631"/>
      <c r="P631"/>
      <c r="Q631"/>
      <c r="R631"/>
      <c r="S631"/>
      <c r="T631"/>
      <c r="U631"/>
      <c r="V631"/>
      <c r="W631"/>
      <c r="X631"/>
      <c r="Y631"/>
      <c r="Z631"/>
      <c r="AA631"/>
      <c r="AB631"/>
      <c r="AC631"/>
      <c r="AD631"/>
      <c r="AE631"/>
      <c r="AF631"/>
    </row>
    <row r="632" spans="11:32" ht="14.1" customHeight="1" x14ac:dyDescent="0.2">
      <c r="K632" s="158"/>
      <c r="L632" s="158"/>
      <c r="M632"/>
      <c r="N632"/>
      <c r="O632"/>
      <c r="P632"/>
      <c r="Q632"/>
      <c r="R632"/>
      <c r="S632"/>
      <c r="T632"/>
      <c r="U632"/>
      <c r="V632"/>
      <c r="W632"/>
      <c r="X632"/>
      <c r="Y632"/>
      <c r="Z632"/>
      <c r="AA632"/>
      <c r="AB632"/>
      <c r="AC632"/>
      <c r="AD632"/>
      <c r="AE632"/>
      <c r="AF632"/>
    </row>
    <row r="633" spans="11:32" ht="14.1" customHeight="1" x14ac:dyDescent="0.2">
      <c r="K633" s="158"/>
      <c r="L633" s="158"/>
      <c r="M633"/>
      <c r="N633"/>
      <c r="O633"/>
      <c r="P633"/>
      <c r="Q633"/>
      <c r="R633"/>
      <c r="S633"/>
      <c r="T633"/>
      <c r="U633"/>
      <c r="V633"/>
      <c r="W633"/>
      <c r="X633"/>
      <c r="Y633"/>
      <c r="Z633"/>
      <c r="AA633"/>
      <c r="AB633"/>
      <c r="AC633"/>
      <c r="AD633"/>
      <c r="AE633"/>
      <c r="AF633"/>
    </row>
    <row r="634" spans="11:32" ht="14.1" customHeight="1" x14ac:dyDescent="0.2">
      <c r="K634" s="158"/>
      <c r="L634" s="158"/>
      <c r="M634"/>
      <c r="N634"/>
      <c r="O634"/>
      <c r="P634"/>
      <c r="Q634"/>
      <c r="R634"/>
      <c r="S634"/>
      <c r="T634"/>
      <c r="U634"/>
      <c r="V634"/>
      <c r="W634"/>
      <c r="X634"/>
      <c r="Y634"/>
      <c r="Z634"/>
      <c r="AA634"/>
      <c r="AB634"/>
      <c r="AC634"/>
      <c r="AD634"/>
      <c r="AE634"/>
      <c r="AF634"/>
    </row>
    <row r="635" spans="11:32" ht="14.1" customHeight="1" x14ac:dyDescent="0.2">
      <c r="K635" s="158"/>
      <c r="L635" s="158"/>
      <c r="M635"/>
      <c r="N635"/>
      <c r="O635"/>
      <c r="P635"/>
      <c r="Q635"/>
      <c r="R635"/>
      <c r="S635"/>
      <c r="T635"/>
      <c r="U635"/>
      <c r="V635"/>
      <c r="W635"/>
      <c r="X635"/>
      <c r="Y635"/>
      <c r="Z635"/>
      <c r="AA635"/>
      <c r="AB635"/>
      <c r="AC635"/>
      <c r="AD635"/>
      <c r="AE635"/>
      <c r="AF635"/>
    </row>
    <row r="636" spans="11:32" ht="14.1" customHeight="1" x14ac:dyDescent="0.2">
      <c r="K636" s="158"/>
      <c r="L636" s="158"/>
      <c r="M636"/>
      <c r="N636"/>
      <c r="O636"/>
      <c r="P636"/>
      <c r="Q636"/>
      <c r="R636"/>
      <c r="S636"/>
      <c r="T636"/>
      <c r="U636"/>
      <c r="V636"/>
      <c r="W636"/>
      <c r="X636"/>
      <c r="Y636"/>
      <c r="Z636"/>
      <c r="AA636"/>
      <c r="AB636"/>
      <c r="AC636"/>
      <c r="AD636"/>
      <c r="AE636"/>
      <c r="AF636"/>
    </row>
    <row r="637" spans="11:32" ht="14.1" customHeight="1" x14ac:dyDescent="0.2">
      <c r="K637" s="158"/>
      <c r="L637" s="158"/>
      <c r="M637"/>
      <c r="N637"/>
      <c r="O637"/>
      <c r="P637"/>
      <c r="Q637"/>
      <c r="R637"/>
      <c r="S637"/>
      <c r="T637"/>
      <c r="U637"/>
      <c r="V637"/>
      <c r="W637"/>
      <c r="X637"/>
      <c r="Y637"/>
      <c r="Z637"/>
      <c r="AA637"/>
      <c r="AB637"/>
      <c r="AC637"/>
      <c r="AD637"/>
      <c r="AE637"/>
      <c r="AF637"/>
    </row>
    <row r="638" spans="11:32" ht="14.1" customHeight="1" x14ac:dyDescent="0.2">
      <c r="K638" s="158"/>
      <c r="L638" s="158"/>
      <c r="M638"/>
      <c r="N638"/>
      <c r="O638"/>
      <c r="P638"/>
      <c r="Q638"/>
      <c r="R638"/>
      <c r="S638"/>
      <c r="T638"/>
      <c r="U638"/>
      <c r="V638"/>
      <c r="W638"/>
      <c r="X638"/>
      <c r="Y638"/>
      <c r="Z638"/>
      <c r="AA638"/>
      <c r="AB638"/>
      <c r="AC638"/>
      <c r="AD638"/>
      <c r="AE638"/>
      <c r="AF638"/>
    </row>
    <row r="639" spans="11:32" ht="14.1" customHeight="1" x14ac:dyDescent="0.2">
      <c r="K639" s="158"/>
      <c r="L639" s="158"/>
      <c r="M639"/>
      <c r="N639"/>
      <c r="O639"/>
      <c r="P639"/>
      <c r="Q639"/>
      <c r="R639"/>
      <c r="S639"/>
      <c r="T639"/>
      <c r="U639"/>
      <c r="V639"/>
      <c r="W639"/>
      <c r="X639"/>
      <c r="Y639"/>
      <c r="Z639"/>
      <c r="AA639"/>
      <c r="AB639"/>
      <c r="AC639"/>
      <c r="AD639"/>
      <c r="AE639"/>
      <c r="AF639"/>
    </row>
    <row r="640" spans="11:32" ht="14.1" customHeight="1" x14ac:dyDescent="0.2">
      <c r="K640" s="158"/>
      <c r="L640" s="158"/>
      <c r="M640"/>
      <c r="N640"/>
      <c r="O640"/>
      <c r="P640"/>
      <c r="Q640"/>
      <c r="R640"/>
      <c r="S640"/>
      <c r="T640"/>
      <c r="U640"/>
      <c r="V640"/>
      <c r="W640"/>
      <c r="X640"/>
      <c r="Y640"/>
      <c r="Z640"/>
      <c r="AA640"/>
      <c r="AB640"/>
      <c r="AC640"/>
      <c r="AD640"/>
      <c r="AE640"/>
      <c r="AF640"/>
    </row>
    <row r="641" spans="11:32" ht="14.1" customHeight="1" x14ac:dyDescent="0.2">
      <c r="K641" s="158"/>
      <c r="L641" s="158"/>
      <c r="M641"/>
      <c r="N641"/>
      <c r="O641"/>
      <c r="P641"/>
      <c r="Q641"/>
      <c r="R641"/>
      <c r="S641"/>
      <c r="T641"/>
      <c r="U641"/>
      <c r="V641"/>
      <c r="W641"/>
      <c r="X641"/>
      <c r="Y641"/>
      <c r="Z641"/>
      <c r="AA641"/>
      <c r="AB641"/>
      <c r="AC641"/>
      <c r="AD641"/>
      <c r="AE641"/>
      <c r="AF641"/>
    </row>
    <row r="642" spans="11:32" ht="14.1" customHeight="1" x14ac:dyDescent="0.2">
      <c r="K642" s="158"/>
      <c r="L642" s="158"/>
      <c r="M642"/>
      <c r="N642"/>
      <c r="O642"/>
      <c r="P642"/>
      <c r="Q642"/>
      <c r="R642"/>
      <c r="S642"/>
      <c r="T642"/>
      <c r="U642"/>
      <c r="V642"/>
      <c r="W642"/>
      <c r="X642"/>
      <c r="Y642"/>
      <c r="Z642"/>
      <c r="AA642"/>
      <c r="AB642"/>
      <c r="AC642"/>
      <c r="AD642"/>
      <c r="AE642"/>
      <c r="AF642"/>
    </row>
    <row r="643" spans="11:32" ht="14.1" customHeight="1" x14ac:dyDescent="0.2">
      <c r="K643" s="158"/>
      <c r="L643" s="158"/>
      <c r="M643"/>
      <c r="N643"/>
      <c r="O643"/>
      <c r="P643"/>
      <c r="Q643"/>
      <c r="R643"/>
      <c r="S643"/>
      <c r="T643"/>
      <c r="U643"/>
      <c r="V643"/>
      <c r="W643"/>
      <c r="X643"/>
      <c r="Y643"/>
      <c r="Z643"/>
      <c r="AA643"/>
      <c r="AB643"/>
      <c r="AC643"/>
      <c r="AD643"/>
      <c r="AE643"/>
      <c r="AF643"/>
    </row>
    <row r="644" spans="11:32" ht="14.1" customHeight="1" x14ac:dyDescent="0.2">
      <c r="K644" s="158"/>
      <c r="L644" s="158"/>
      <c r="M644"/>
      <c r="N644"/>
      <c r="O644"/>
      <c r="P644"/>
      <c r="Q644"/>
      <c r="R644"/>
      <c r="S644"/>
      <c r="T644"/>
      <c r="U644"/>
      <c r="V644"/>
      <c r="W644"/>
      <c r="X644"/>
      <c r="Y644"/>
      <c r="Z644"/>
      <c r="AA644"/>
      <c r="AB644"/>
      <c r="AC644"/>
      <c r="AD644"/>
      <c r="AE644"/>
      <c r="AF644"/>
    </row>
    <row r="645" spans="11:32" ht="14.1" customHeight="1" x14ac:dyDescent="0.2">
      <c r="K645" s="158"/>
      <c r="L645" s="158"/>
      <c r="M645"/>
      <c r="N645"/>
      <c r="O645"/>
      <c r="P645"/>
      <c r="Q645"/>
      <c r="R645"/>
      <c r="S645"/>
      <c r="T645"/>
      <c r="U645"/>
      <c r="V645"/>
      <c r="W645"/>
      <c r="X645"/>
      <c r="Y645"/>
      <c r="Z645"/>
      <c r="AA645"/>
      <c r="AB645"/>
      <c r="AC645"/>
      <c r="AD645"/>
      <c r="AE645"/>
      <c r="AF645"/>
    </row>
    <row r="646" spans="11:32" ht="14.1" customHeight="1" x14ac:dyDescent="0.2">
      <c r="K646" s="158"/>
      <c r="L646" s="158"/>
      <c r="M646"/>
      <c r="N646"/>
      <c r="O646"/>
      <c r="P646"/>
      <c r="Q646"/>
      <c r="R646"/>
      <c r="S646"/>
      <c r="T646"/>
      <c r="U646"/>
      <c r="V646"/>
      <c r="W646"/>
      <c r="X646"/>
      <c r="Y646"/>
      <c r="Z646"/>
      <c r="AA646"/>
      <c r="AB646"/>
      <c r="AC646"/>
      <c r="AD646"/>
      <c r="AE646"/>
      <c r="AF646"/>
    </row>
    <row r="647" spans="11:32" ht="14.1" customHeight="1" x14ac:dyDescent="0.2">
      <c r="K647" s="158"/>
      <c r="L647" s="158"/>
      <c r="M647"/>
      <c r="N647"/>
      <c r="O647"/>
      <c r="P647"/>
      <c r="Q647"/>
      <c r="R647"/>
      <c r="S647"/>
      <c r="T647"/>
      <c r="U647"/>
      <c r="V647"/>
      <c r="W647"/>
      <c r="X647"/>
      <c r="Y647"/>
      <c r="Z647"/>
      <c r="AA647"/>
      <c r="AB647"/>
      <c r="AC647"/>
      <c r="AD647"/>
      <c r="AE647"/>
      <c r="AF647"/>
    </row>
    <row r="648" spans="11:32" ht="14.1" customHeight="1" x14ac:dyDescent="0.2">
      <c r="K648" s="158"/>
      <c r="L648" s="158"/>
      <c r="M648"/>
      <c r="N648"/>
      <c r="O648"/>
      <c r="P648"/>
      <c r="Q648"/>
      <c r="R648"/>
      <c r="S648"/>
      <c r="T648"/>
      <c r="U648"/>
      <c r="V648"/>
      <c r="W648"/>
      <c r="X648"/>
      <c r="Y648"/>
      <c r="Z648"/>
      <c r="AA648"/>
      <c r="AB648"/>
      <c r="AC648"/>
      <c r="AD648"/>
      <c r="AE648"/>
      <c r="AF648"/>
    </row>
    <row r="649" spans="11:32" ht="14.1" customHeight="1" x14ac:dyDescent="0.2">
      <c r="K649" s="158"/>
      <c r="L649" s="158"/>
      <c r="M649"/>
      <c r="N649"/>
      <c r="O649"/>
      <c r="P649"/>
      <c r="Q649"/>
      <c r="R649"/>
      <c r="S649"/>
      <c r="T649"/>
      <c r="U649"/>
      <c r="V649"/>
      <c r="W649"/>
      <c r="X649"/>
      <c r="Y649"/>
      <c r="Z649"/>
      <c r="AA649"/>
      <c r="AB649"/>
      <c r="AC649"/>
      <c r="AD649"/>
      <c r="AE649"/>
      <c r="AF649"/>
    </row>
    <row r="650" spans="11:32" ht="14.1" customHeight="1" x14ac:dyDescent="0.2">
      <c r="K650" s="158"/>
      <c r="L650" s="158"/>
      <c r="M650"/>
      <c r="N650"/>
      <c r="O650"/>
      <c r="P650"/>
      <c r="Q650"/>
      <c r="R650"/>
      <c r="S650"/>
      <c r="T650"/>
      <c r="U650"/>
      <c r="V650"/>
      <c r="W650"/>
      <c r="X650"/>
      <c r="Y650"/>
      <c r="Z650"/>
      <c r="AA650"/>
      <c r="AB650"/>
      <c r="AC650"/>
      <c r="AD650"/>
      <c r="AE650"/>
      <c r="AF650"/>
    </row>
    <row r="651" spans="11:32" ht="14.1" customHeight="1" x14ac:dyDescent="0.2">
      <c r="K651" s="158"/>
      <c r="L651" s="158"/>
      <c r="M651"/>
      <c r="N651"/>
      <c r="O651"/>
      <c r="P651"/>
      <c r="Q651"/>
      <c r="R651"/>
      <c r="S651"/>
      <c r="T651"/>
      <c r="U651"/>
      <c r="V651"/>
      <c r="W651"/>
      <c r="X651"/>
      <c r="Y651"/>
      <c r="Z651"/>
      <c r="AA651"/>
      <c r="AB651"/>
      <c r="AC651"/>
      <c r="AD651"/>
      <c r="AE651"/>
      <c r="AF651"/>
    </row>
    <row r="652" spans="11:32" ht="14.1" customHeight="1" x14ac:dyDescent="0.2">
      <c r="K652" s="158"/>
      <c r="L652" s="158"/>
      <c r="M652"/>
      <c r="N652"/>
      <c r="O652"/>
      <c r="P652"/>
      <c r="Q652"/>
      <c r="R652"/>
      <c r="S652"/>
      <c r="T652"/>
      <c r="U652"/>
      <c r="V652"/>
      <c r="W652"/>
      <c r="X652"/>
      <c r="Y652"/>
      <c r="Z652"/>
      <c r="AA652"/>
      <c r="AB652"/>
      <c r="AC652"/>
      <c r="AD652"/>
      <c r="AE652"/>
      <c r="AF652"/>
    </row>
    <row r="653" spans="11:32" ht="14.1" customHeight="1" x14ac:dyDescent="0.2">
      <c r="K653" s="158"/>
      <c r="L653" s="158"/>
      <c r="M653"/>
      <c r="N653"/>
      <c r="O653"/>
      <c r="P653"/>
      <c r="Q653"/>
      <c r="R653"/>
      <c r="S653"/>
      <c r="T653"/>
      <c r="U653"/>
      <c r="V653"/>
      <c r="W653"/>
      <c r="X653"/>
      <c r="Y653"/>
      <c r="Z653"/>
      <c r="AA653"/>
      <c r="AB653"/>
      <c r="AC653"/>
      <c r="AD653"/>
      <c r="AE653"/>
      <c r="AF653"/>
    </row>
    <row r="654" spans="11:32" ht="14.1" customHeight="1" x14ac:dyDescent="0.2">
      <c r="K654" s="158"/>
      <c r="L654" s="158"/>
      <c r="M654"/>
      <c r="N654"/>
      <c r="O654"/>
      <c r="P654"/>
      <c r="Q654"/>
      <c r="R654"/>
      <c r="S654"/>
      <c r="T654"/>
      <c r="U654"/>
      <c r="V654"/>
      <c r="W654"/>
      <c r="X654"/>
      <c r="Y654"/>
      <c r="Z654"/>
      <c r="AA654"/>
      <c r="AB654"/>
      <c r="AC654"/>
      <c r="AD654"/>
      <c r="AE654"/>
      <c r="AF654"/>
    </row>
    <row r="655" spans="11:32" ht="14.1" customHeight="1" x14ac:dyDescent="0.2">
      <c r="K655" s="158"/>
      <c r="L655" s="158"/>
      <c r="M655"/>
      <c r="N655"/>
      <c r="O655"/>
      <c r="P655"/>
      <c r="Q655"/>
      <c r="R655"/>
      <c r="S655"/>
      <c r="T655"/>
      <c r="U655"/>
      <c r="V655"/>
      <c r="W655"/>
      <c r="X655"/>
      <c r="Y655"/>
      <c r="Z655"/>
      <c r="AA655"/>
      <c r="AB655"/>
      <c r="AC655"/>
      <c r="AD655"/>
      <c r="AE655"/>
      <c r="AF655"/>
    </row>
    <row r="656" spans="11:32" ht="14.1" customHeight="1" x14ac:dyDescent="0.2">
      <c r="K656" s="158"/>
      <c r="L656" s="158"/>
      <c r="M656"/>
      <c r="N656"/>
      <c r="O656"/>
      <c r="P656"/>
      <c r="Q656"/>
      <c r="R656"/>
      <c r="S656"/>
      <c r="T656"/>
      <c r="U656"/>
      <c r="V656"/>
      <c r="W656"/>
      <c r="X656"/>
      <c r="Y656"/>
      <c r="Z656"/>
      <c r="AA656"/>
      <c r="AB656"/>
      <c r="AC656"/>
      <c r="AD656"/>
      <c r="AE656"/>
      <c r="AF656"/>
    </row>
    <row r="657" spans="11:32" ht="14.1" customHeight="1" x14ac:dyDescent="0.2">
      <c r="K657" s="158"/>
      <c r="L657" s="158"/>
      <c r="M657"/>
      <c r="N657"/>
      <c r="O657"/>
      <c r="P657"/>
      <c r="Q657"/>
      <c r="R657"/>
      <c r="S657"/>
      <c r="T657"/>
      <c r="U657"/>
      <c r="V657"/>
      <c r="W657"/>
      <c r="X657"/>
      <c r="Y657"/>
      <c r="Z657"/>
      <c r="AA657"/>
      <c r="AB657"/>
      <c r="AC657"/>
      <c r="AD657"/>
      <c r="AE657"/>
      <c r="AF657"/>
    </row>
    <row r="658" spans="11:32" ht="14.1" customHeight="1" x14ac:dyDescent="0.2">
      <c r="K658" s="158"/>
      <c r="L658" s="158"/>
      <c r="M658"/>
      <c r="N658"/>
      <c r="O658"/>
      <c r="P658"/>
      <c r="Q658"/>
      <c r="R658"/>
      <c r="S658"/>
      <c r="T658"/>
      <c r="U658"/>
      <c r="V658"/>
      <c r="W658"/>
      <c r="X658"/>
      <c r="Y658"/>
      <c r="Z658"/>
      <c r="AA658"/>
      <c r="AB658"/>
      <c r="AC658"/>
      <c r="AD658"/>
      <c r="AE658"/>
      <c r="AF658"/>
    </row>
    <row r="659" spans="11:32" ht="14.1" customHeight="1" x14ac:dyDescent="0.2">
      <c r="K659" s="158"/>
      <c r="L659" s="158"/>
      <c r="M659"/>
      <c r="N659"/>
      <c r="O659"/>
      <c r="P659"/>
      <c r="Q659"/>
      <c r="R659"/>
      <c r="S659"/>
      <c r="T659"/>
      <c r="U659"/>
      <c r="V659"/>
      <c r="W659"/>
      <c r="X659"/>
      <c r="Y659"/>
      <c r="Z659"/>
      <c r="AA659"/>
      <c r="AB659"/>
      <c r="AC659"/>
      <c r="AD659"/>
      <c r="AE659"/>
      <c r="AF659"/>
    </row>
    <row r="660" spans="11:32" ht="14.1" customHeight="1" x14ac:dyDescent="0.2">
      <c r="K660" s="158"/>
      <c r="L660" s="158"/>
      <c r="M660"/>
      <c r="N660"/>
      <c r="O660"/>
      <c r="P660"/>
      <c r="Q660"/>
      <c r="R660"/>
      <c r="S660"/>
      <c r="T660"/>
      <c r="U660"/>
      <c r="V660"/>
      <c r="W660"/>
      <c r="X660"/>
      <c r="Y660"/>
      <c r="Z660"/>
      <c r="AA660"/>
      <c r="AB660"/>
      <c r="AC660"/>
      <c r="AD660"/>
      <c r="AE660"/>
      <c r="AF660"/>
    </row>
    <row r="661" spans="11:32" ht="14.1" customHeight="1" x14ac:dyDescent="0.2">
      <c r="K661" s="158"/>
      <c r="L661" s="158"/>
      <c r="M661"/>
      <c r="N661"/>
      <c r="O661"/>
      <c r="P661"/>
      <c r="Q661"/>
      <c r="R661"/>
      <c r="S661"/>
      <c r="T661"/>
      <c r="U661"/>
      <c r="V661"/>
      <c r="W661"/>
      <c r="X661"/>
      <c r="Y661"/>
      <c r="Z661"/>
      <c r="AA661"/>
      <c r="AB661"/>
      <c r="AC661"/>
      <c r="AD661"/>
      <c r="AE661"/>
      <c r="AF661"/>
    </row>
    <row r="662" spans="11:32" ht="14.1" customHeight="1" x14ac:dyDescent="0.2">
      <c r="K662" s="158"/>
      <c r="L662" s="158"/>
      <c r="M662"/>
      <c r="N662"/>
      <c r="O662"/>
      <c r="P662"/>
      <c r="Q662"/>
      <c r="R662"/>
      <c r="S662"/>
      <c r="T662"/>
      <c r="U662"/>
      <c r="V662"/>
      <c r="W662"/>
      <c r="X662"/>
      <c r="Y662"/>
      <c r="Z662"/>
      <c r="AA662"/>
      <c r="AB662"/>
      <c r="AC662"/>
      <c r="AD662"/>
      <c r="AE662"/>
      <c r="AF662"/>
    </row>
    <row r="663" spans="11:32" ht="14.1" customHeight="1" x14ac:dyDescent="0.2">
      <c r="K663" s="158"/>
      <c r="L663" s="158"/>
      <c r="M663"/>
      <c r="N663"/>
      <c r="O663"/>
      <c r="P663"/>
      <c r="Q663"/>
      <c r="R663"/>
      <c r="S663"/>
      <c r="T663"/>
      <c r="U663"/>
      <c r="V663"/>
      <c r="W663"/>
      <c r="X663"/>
      <c r="Y663"/>
      <c r="Z663"/>
      <c r="AA663"/>
      <c r="AB663"/>
      <c r="AC663"/>
      <c r="AD663"/>
      <c r="AE663"/>
      <c r="AF663"/>
    </row>
    <row r="664" spans="11:32" ht="14.1" customHeight="1" x14ac:dyDescent="0.2">
      <c r="K664" s="158"/>
      <c r="L664" s="158"/>
      <c r="M664"/>
      <c r="N664"/>
      <c r="O664"/>
      <c r="P664"/>
      <c r="Q664"/>
      <c r="R664"/>
      <c r="S664"/>
      <c r="T664"/>
      <c r="U664"/>
      <c r="V664"/>
      <c r="W664"/>
      <c r="X664"/>
      <c r="Y664"/>
      <c r="Z664"/>
      <c r="AA664"/>
      <c r="AB664"/>
      <c r="AC664"/>
      <c r="AD664"/>
      <c r="AE664"/>
      <c r="AF664"/>
    </row>
    <row r="665" spans="11:32" ht="14.1" customHeight="1" x14ac:dyDescent="0.2">
      <c r="K665" s="158"/>
      <c r="L665" s="158"/>
      <c r="M665"/>
      <c r="N665"/>
      <c r="O665"/>
      <c r="P665"/>
      <c r="Q665"/>
      <c r="R665"/>
      <c r="S665"/>
      <c r="T665"/>
      <c r="U665"/>
      <c r="V665"/>
      <c r="W665"/>
      <c r="X665"/>
      <c r="Y665"/>
      <c r="Z665"/>
      <c r="AA665"/>
      <c r="AB665"/>
      <c r="AC665"/>
      <c r="AD665"/>
      <c r="AE665"/>
      <c r="AF665"/>
    </row>
    <row r="666" spans="11:32" ht="14.1" customHeight="1" x14ac:dyDescent="0.2">
      <c r="K666" s="158"/>
      <c r="L666" s="158"/>
      <c r="M666"/>
      <c r="N666"/>
      <c r="O666"/>
      <c r="P666"/>
      <c r="Q666"/>
      <c r="R666"/>
      <c r="S666"/>
      <c r="T666"/>
      <c r="U666"/>
      <c r="V666"/>
      <c r="W666"/>
      <c r="X666"/>
      <c r="Y666"/>
      <c r="Z666"/>
      <c r="AA666"/>
      <c r="AB666"/>
      <c r="AC666"/>
      <c r="AD666"/>
      <c r="AE666"/>
      <c r="AF666"/>
    </row>
    <row r="667" spans="11:32" ht="14.1" customHeight="1" x14ac:dyDescent="0.2">
      <c r="K667" s="158"/>
      <c r="L667" s="158"/>
      <c r="M667"/>
      <c r="N667"/>
      <c r="O667"/>
      <c r="P667"/>
      <c r="Q667"/>
      <c r="R667"/>
      <c r="S667"/>
      <c r="T667"/>
      <c r="U667"/>
      <c r="V667"/>
      <c r="W667"/>
      <c r="X667"/>
      <c r="Y667"/>
      <c r="Z667"/>
      <c r="AA667"/>
      <c r="AB667"/>
      <c r="AC667"/>
      <c r="AD667"/>
      <c r="AE667"/>
      <c r="AF667"/>
    </row>
    <row r="668" spans="11:32" ht="14.1" customHeight="1" x14ac:dyDescent="0.2">
      <c r="K668" s="158"/>
      <c r="L668" s="158"/>
      <c r="M668"/>
      <c r="N668"/>
      <c r="O668"/>
      <c r="P668"/>
      <c r="Q668"/>
      <c r="R668"/>
      <c r="S668"/>
      <c r="T668"/>
      <c r="U668"/>
      <c r="V668"/>
      <c r="W668"/>
      <c r="X668"/>
      <c r="Y668"/>
      <c r="Z668"/>
      <c r="AA668"/>
      <c r="AB668"/>
      <c r="AC668"/>
      <c r="AD668"/>
      <c r="AE668"/>
      <c r="AF668"/>
    </row>
    <row r="669" spans="11:32" ht="14.1" customHeight="1" x14ac:dyDescent="0.2">
      <c r="K669" s="158"/>
      <c r="L669" s="158"/>
      <c r="M669"/>
      <c r="N669"/>
      <c r="O669"/>
      <c r="P669"/>
      <c r="Q669"/>
      <c r="R669"/>
      <c r="S669"/>
      <c r="T669"/>
      <c r="U669"/>
      <c r="V669"/>
      <c r="W669"/>
      <c r="X669"/>
      <c r="Y669"/>
      <c r="Z669"/>
      <c r="AA669"/>
      <c r="AB669"/>
      <c r="AC669"/>
      <c r="AD669"/>
      <c r="AE669"/>
      <c r="AF669"/>
    </row>
    <row r="670" spans="11:32" ht="14.1" customHeight="1" x14ac:dyDescent="0.2">
      <c r="K670" s="158"/>
      <c r="L670" s="158"/>
      <c r="M670"/>
      <c r="N670"/>
      <c r="O670"/>
      <c r="P670"/>
      <c r="Q670"/>
      <c r="R670"/>
      <c r="S670"/>
      <c r="T670"/>
      <c r="U670"/>
      <c r="V670"/>
      <c r="W670"/>
      <c r="X670"/>
      <c r="Y670"/>
      <c r="Z670"/>
      <c r="AA670"/>
      <c r="AB670"/>
      <c r="AC670"/>
      <c r="AD670"/>
      <c r="AE670"/>
      <c r="AF670"/>
    </row>
    <row r="671" spans="11:32" ht="14.1" customHeight="1" x14ac:dyDescent="0.2">
      <c r="K671" s="158"/>
      <c r="L671" s="158"/>
      <c r="M671"/>
      <c r="N671"/>
      <c r="O671"/>
      <c r="P671"/>
      <c r="Q671"/>
      <c r="R671"/>
      <c r="S671"/>
      <c r="T671"/>
      <c r="U671"/>
      <c r="V671"/>
      <c r="W671"/>
      <c r="X671"/>
      <c r="Y671"/>
      <c r="Z671"/>
      <c r="AA671"/>
      <c r="AB671"/>
      <c r="AC671"/>
      <c r="AD671"/>
      <c r="AE671"/>
      <c r="AF671"/>
    </row>
    <row r="672" spans="11:32" ht="14.1" customHeight="1" x14ac:dyDescent="0.2">
      <c r="K672" s="158"/>
      <c r="L672" s="158"/>
      <c r="M672"/>
      <c r="N672"/>
      <c r="O672"/>
      <c r="P672"/>
      <c r="Q672"/>
      <c r="R672"/>
      <c r="S672"/>
      <c r="T672"/>
      <c r="U672"/>
      <c r="V672"/>
      <c r="W672"/>
      <c r="X672"/>
      <c r="Y672"/>
      <c r="Z672"/>
      <c r="AA672"/>
      <c r="AB672"/>
      <c r="AC672"/>
      <c r="AD672"/>
      <c r="AE672"/>
      <c r="AF672"/>
    </row>
    <row r="673" spans="11:32" ht="14.1" customHeight="1" x14ac:dyDescent="0.2">
      <c r="K673" s="158"/>
      <c r="L673" s="158"/>
      <c r="M673"/>
      <c r="N673"/>
      <c r="O673"/>
      <c r="P673"/>
      <c r="Q673"/>
      <c r="R673"/>
      <c r="S673"/>
      <c r="T673"/>
      <c r="U673"/>
      <c r="V673"/>
      <c r="W673"/>
      <c r="X673"/>
      <c r="Y673"/>
      <c r="Z673"/>
      <c r="AA673"/>
      <c r="AB673"/>
      <c r="AC673"/>
      <c r="AD673"/>
      <c r="AE673"/>
      <c r="AF673"/>
    </row>
    <row r="674" spans="11:32" ht="14.1" customHeight="1" x14ac:dyDescent="0.2">
      <c r="K674" s="158"/>
      <c r="L674" s="158"/>
      <c r="M674"/>
      <c r="N674"/>
      <c r="O674"/>
      <c r="P674"/>
      <c r="Q674"/>
      <c r="R674"/>
      <c r="S674"/>
      <c r="T674"/>
      <c r="U674"/>
      <c r="V674"/>
      <c r="W674"/>
      <c r="X674"/>
      <c r="Y674"/>
      <c r="Z674"/>
      <c r="AA674"/>
      <c r="AB674"/>
      <c r="AC674"/>
      <c r="AD674"/>
      <c r="AE674"/>
      <c r="AF674"/>
    </row>
    <row r="675" spans="11:32" ht="14.1" customHeight="1" x14ac:dyDescent="0.2">
      <c r="K675" s="158"/>
      <c r="L675" s="158"/>
      <c r="M675"/>
      <c r="N675"/>
      <c r="O675"/>
      <c r="P675"/>
      <c r="Q675"/>
      <c r="R675"/>
      <c r="S675"/>
      <c r="T675"/>
      <c r="U675"/>
      <c r="V675"/>
      <c r="W675"/>
      <c r="X675"/>
      <c r="Y675"/>
      <c r="Z675"/>
      <c r="AA675"/>
      <c r="AB675"/>
      <c r="AC675"/>
      <c r="AD675"/>
      <c r="AE675"/>
      <c r="AF675"/>
    </row>
    <row r="676" spans="11:32" ht="14.1" customHeight="1" x14ac:dyDescent="0.2">
      <c r="K676" s="158"/>
      <c r="L676" s="158"/>
      <c r="M676"/>
      <c r="N676"/>
      <c r="O676"/>
      <c r="P676"/>
      <c r="Q676"/>
      <c r="R676"/>
      <c r="S676"/>
      <c r="T676"/>
      <c r="U676"/>
      <c r="V676"/>
      <c r="W676"/>
      <c r="X676"/>
      <c r="Y676"/>
      <c r="Z676"/>
      <c r="AA676"/>
      <c r="AB676"/>
      <c r="AC676"/>
      <c r="AD676"/>
      <c r="AE676"/>
      <c r="AF676"/>
    </row>
    <row r="677" spans="11:32" ht="14.1" customHeight="1" x14ac:dyDescent="0.2">
      <c r="K677" s="158"/>
      <c r="L677" s="158"/>
      <c r="M677"/>
      <c r="N677"/>
      <c r="O677"/>
      <c r="P677"/>
      <c r="Q677"/>
      <c r="R677"/>
      <c r="S677"/>
      <c r="T677"/>
      <c r="U677"/>
      <c r="V677"/>
      <c r="W677"/>
      <c r="X677"/>
      <c r="Y677"/>
      <c r="Z677"/>
      <c r="AA677"/>
      <c r="AB677"/>
      <c r="AC677"/>
      <c r="AD677"/>
      <c r="AE677"/>
      <c r="AF677"/>
    </row>
    <row r="678" spans="11:32" ht="14.1" customHeight="1" x14ac:dyDescent="0.2">
      <c r="K678" s="158"/>
      <c r="L678" s="158"/>
      <c r="M678"/>
      <c r="N678"/>
      <c r="O678"/>
      <c r="P678"/>
      <c r="Q678"/>
      <c r="R678"/>
      <c r="S678"/>
      <c r="T678"/>
      <c r="U678"/>
      <c r="V678"/>
      <c r="W678"/>
      <c r="X678"/>
      <c r="Y678"/>
      <c r="Z678"/>
      <c r="AA678"/>
      <c r="AB678"/>
      <c r="AC678"/>
      <c r="AD678"/>
      <c r="AE678"/>
      <c r="AF678"/>
    </row>
    <row r="679" spans="11:32" ht="14.1" customHeight="1" x14ac:dyDescent="0.2">
      <c r="K679" s="158"/>
      <c r="L679" s="158"/>
      <c r="M679"/>
      <c r="N679"/>
      <c r="O679"/>
      <c r="P679"/>
      <c r="Q679"/>
      <c r="R679"/>
      <c r="S679"/>
      <c r="T679"/>
      <c r="U679"/>
      <c r="V679"/>
      <c r="W679"/>
      <c r="X679"/>
      <c r="Y679"/>
      <c r="Z679"/>
      <c r="AA679"/>
      <c r="AB679"/>
      <c r="AC679"/>
      <c r="AD679"/>
      <c r="AE679"/>
      <c r="AF679"/>
    </row>
    <row r="680" spans="11:32" ht="14.1" customHeight="1" x14ac:dyDescent="0.2">
      <c r="K680" s="158"/>
      <c r="L680" s="158"/>
      <c r="M680"/>
      <c r="N680"/>
      <c r="O680"/>
      <c r="P680"/>
      <c r="Q680"/>
      <c r="R680"/>
      <c r="S680"/>
      <c r="T680"/>
      <c r="U680"/>
      <c r="V680"/>
      <c r="W680"/>
      <c r="X680"/>
      <c r="Y680"/>
      <c r="Z680"/>
      <c r="AA680"/>
      <c r="AB680"/>
      <c r="AC680"/>
      <c r="AD680"/>
      <c r="AE680"/>
      <c r="AF680"/>
    </row>
    <row r="681" spans="11:32" ht="14.1" customHeight="1" x14ac:dyDescent="0.2">
      <c r="K681" s="158"/>
      <c r="L681" s="158"/>
      <c r="M681"/>
      <c r="N681"/>
      <c r="O681"/>
      <c r="P681"/>
      <c r="Q681"/>
      <c r="R681"/>
      <c r="S681"/>
      <c r="T681"/>
      <c r="U681"/>
      <c r="V681"/>
      <c r="W681"/>
      <c r="X681"/>
      <c r="Y681"/>
      <c r="Z681"/>
      <c r="AA681"/>
      <c r="AB681"/>
      <c r="AC681"/>
      <c r="AD681"/>
      <c r="AE681"/>
      <c r="AF681"/>
    </row>
    <row r="682" spans="11:32" ht="14.1" customHeight="1" x14ac:dyDescent="0.2">
      <c r="K682" s="158"/>
      <c r="L682" s="158"/>
      <c r="M682"/>
      <c r="N682"/>
      <c r="O682"/>
      <c r="P682"/>
      <c r="Q682"/>
      <c r="R682"/>
      <c r="S682"/>
      <c r="T682"/>
      <c r="U682"/>
      <c r="V682"/>
      <c r="W682"/>
      <c r="X682"/>
      <c r="Y682"/>
      <c r="Z682"/>
      <c r="AA682"/>
      <c r="AB682"/>
      <c r="AC682"/>
      <c r="AD682"/>
      <c r="AE682"/>
      <c r="AF682"/>
    </row>
    <row r="683" spans="11:32" ht="14.1" customHeight="1" x14ac:dyDescent="0.2">
      <c r="K683" s="158"/>
      <c r="L683" s="158"/>
      <c r="M683"/>
      <c r="N683"/>
      <c r="O683"/>
      <c r="P683"/>
      <c r="Q683"/>
      <c r="R683"/>
      <c r="S683"/>
      <c r="T683"/>
      <c r="U683"/>
      <c r="V683"/>
      <c r="W683"/>
      <c r="X683"/>
      <c r="Y683"/>
      <c r="Z683"/>
      <c r="AA683"/>
      <c r="AB683"/>
      <c r="AC683"/>
      <c r="AD683"/>
      <c r="AE683"/>
      <c r="AF683"/>
    </row>
    <row r="684" spans="11:32" ht="14.1" customHeight="1" x14ac:dyDescent="0.2">
      <c r="K684" s="158"/>
      <c r="L684" s="158"/>
      <c r="M684"/>
      <c r="N684"/>
      <c r="O684"/>
      <c r="P684"/>
      <c r="Q684"/>
      <c r="R684"/>
      <c r="S684"/>
      <c r="T684"/>
      <c r="U684"/>
      <c r="V684"/>
      <c r="W684"/>
      <c r="X684"/>
      <c r="Y684"/>
      <c r="Z684"/>
      <c r="AA684"/>
      <c r="AB684"/>
      <c r="AC684"/>
      <c r="AD684"/>
      <c r="AE684"/>
      <c r="AF684"/>
    </row>
    <row r="685" spans="11:32" ht="14.1" customHeight="1" x14ac:dyDescent="0.2">
      <c r="K685" s="158"/>
      <c r="L685" s="158"/>
      <c r="M685"/>
      <c r="N685"/>
      <c r="O685"/>
      <c r="P685"/>
      <c r="Q685"/>
      <c r="R685"/>
      <c r="S685"/>
      <c r="T685"/>
      <c r="U685"/>
      <c r="V685"/>
      <c r="W685"/>
      <c r="X685"/>
      <c r="Y685"/>
      <c r="Z685"/>
      <c r="AA685"/>
      <c r="AB685"/>
      <c r="AC685"/>
      <c r="AD685"/>
      <c r="AE685"/>
      <c r="AF685"/>
    </row>
    <row r="686" spans="11:32" ht="14.1" customHeight="1" x14ac:dyDescent="0.2">
      <c r="K686" s="158"/>
      <c r="L686" s="158"/>
      <c r="M686"/>
      <c r="N686"/>
      <c r="O686"/>
      <c r="P686"/>
      <c r="Q686"/>
      <c r="R686"/>
      <c r="S686"/>
      <c r="T686"/>
      <c r="U686"/>
      <c r="V686"/>
      <c r="W686"/>
      <c r="X686"/>
      <c r="Y686"/>
      <c r="Z686"/>
      <c r="AA686"/>
      <c r="AB686"/>
      <c r="AC686"/>
      <c r="AD686"/>
      <c r="AE686"/>
      <c r="AF686"/>
    </row>
    <row r="687" spans="11:32" ht="14.1" customHeight="1" x14ac:dyDescent="0.2">
      <c r="K687" s="158"/>
      <c r="L687" s="158"/>
      <c r="M687"/>
      <c r="N687"/>
      <c r="O687"/>
      <c r="P687"/>
      <c r="Q687"/>
      <c r="R687"/>
      <c r="S687"/>
      <c r="T687"/>
      <c r="U687"/>
      <c r="V687"/>
      <c r="W687"/>
      <c r="X687"/>
      <c r="Y687"/>
      <c r="Z687"/>
      <c r="AA687"/>
      <c r="AB687"/>
      <c r="AC687"/>
      <c r="AD687"/>
      <c r="AE687"/>
      <c r="AF687"/>
    </row>
    <row r="688" spans="11:32" ht="14.1" customHeight="1" x14ac:dyDescent="0.2">
      <c r="K688" s="158"/>
      <c r="L688" s="158"/>
      <c r="M688"/>
      <c r="N688"/>
      <c r="O688"/>
      <c r="P688"/>
      <c r="Q688"/>
      <c r="R688"/>
      <c r="S688"/>
      <c r="T688"/>
      <c r="U688"/>
      <c r="V688"/>
      <c r="W688"/>
      <c r="X688"/>
      <c r="Y688"/>
      <c r="Z688"/>
      <c r="AA688"/>
      <c r="AB688"/>
      <c r="AC688"/>
      <c r="AD688"/>
      <c r="AE688"/>
      <c r="AF688"/>
    </row>
    <row r="689" spans="11:32" ht="14.1" customHeight="1" x14ac:dyDescent="0.2">
      <c r="K689" s="158"/>
      <c r="L689" s="158"/>
      <c r="M689"/>
      <c r="N689"/>
      <c r="O689"/>
      <c r="P689"/>
      <c r="Q689"/>
      <c r="R689"/>
      <c r="S689"/>
      <c r="T689"/>
      <c r="U689"/>
      <c r="V689"/>
      <c r="W689"/>
      <c r="X689"/>
      <c r="Y689"/>
      <c r="Z689"/>
      <c r="AA689"/>
      <c r="AB689"/>
      <c r="AC689"/>
      <c r="AD689"/>
      <c r="AE689"/>
      <c r="AF689"/>
    </row>
    <row r="690" spans="11:32" ht="14.1" customHeight="1" x14ac:dyDescent="0.2">
      <c r="K690" s="158"/>
      <c r="L690" s="158"/>
      <c r="M690"/>
      <c r="N690"/>
      <c r="O690"/>
      <c r="P690"/>
      <c r="Q690"/>
      <c r="R690"/>
      <c r="S690"/>
      <c r="T690"/>
      <c r="U690"/>
      <c r="V690"/>
      <c r="W690"/>
      <c r="X690"/>
      <c r="Y690"/>
      <c r="Z690"/>
      <c r="AA690"/>
      <c r="AB690"/>
      <c r="AC690"/>
      <c r="AD690"/>
      <c r="AE690"/>
      <c r="AF690"/>
    </row>
    <row r="691" spans="11:32" ht="14.1" customHeight="1" x14ac:dyDescent="0.2">
      <c r="K691" s="158"/>
      <c r="L691" s="158"/>
      <c r="M691"/>
      <c r="N691"/>
      <c r="O691"/>
      <c r="P691"/>
      <c r="Q691"/>
      <c r="R691"/>
      <c r="S691"/>
      <c r="T691"/>
      <c r="U691"/>
      <c r="V691"/>
      <c r="W691"/>
      <c r="X691"/>
      <c r="Y691"/>
      <c r="Z691"/>
      <c r="AA691"/>
      <c r="AB691"/>
      <c r="AC691"/>
      <c r="AD691"/>
      <c r="AE691"/>
      <c r="AF691"/>
    </row>
    <row r="692" spans="11:32" ht="14.1" customHeight="1" x14ac:dyDescent="0.2">
      <c r="K692" s="158"/>
      <c r="L692" s="158"/>
      <c r="M692"/>
      <c r="N692"/>
      <c r="O692"/>
      <c r="P692"/>
      <c r="Q692"/>
      <c r="R692"/>
      <c r="S692"/>
      <c r="T692"/>
      <c r="U692"/>
      <c r="V692"/>
      <c r="W692"/>
      <c r="X692"/>
      <c r="Y692"/>
      <c r="Z692"/>
      <c r="AA692"/>
      <c r="AB692"/>
      <c r="AC692"/>
      <c r="AD692"/>
      <c r="AE692"/>
      <c r="AF692"/>
    </row>
    <row r="693" spans="11:32" ht="14.1" customHeight="1" x14ac:dyDescent="0.2">
      <c r="K693" s="158"/>
      <c r="L693" s="158"/>
      <c r="M693"/>
      <c r="N693"/>
      <c r="O693"/>
      <c r="P693"/>
      <c r="Q693"/>
      <c r="R693"/>
      <c r="S693"/>
      <c r="T693"/>
      <c r="U693"/>
      <c r="V693"/>
      <c r="W693"/>
      <c r="X693"/>
      <c r="Y693"/>
      <c r="Z693"/>
      <c r="AA693"/>
      <c r="AB693"/>
      <c r="AC693"/>
      <c r="AD693"/>
      <c r="AE693"/>
      <c r="AF693"/>
    </row>
    <row r="694" spans="11:32" ht="14.1" customHeight="1" x14ac:dyDescent="0.2">
      <c r="K694" s="158"/>
      <c r="L694" s="158"/>
      <c r="M694"/>
      <c r="N694"/>
      <c r="O694"/>
      <c r="P694"/>
      <c r="Q694"/>
      <c r="R694"/>
      <c r="S694"/>
      <c r="T694"/>
      <c r="U694"/>
      <c r="V694"/>
      <c r="W694"/>
      <c r="X694"/>
      <c r="Y694"/>
      <c r="Z694"/>
      <c r="AA694"/>
      <c r="AB694"/>
      <c r="AC694"/>
      <c r="AD694"/>
      <c r="AE694"/>
      <c r="AF694"/>
    </row>
    <row r="695" spans="11:32" ht="14.1" customHeight="1" x14ac:dyDescent="0.2">
      <c r="K695" s="158"/>
      <c r="L695" s="158"/>
      <c r="M695"/>
      <c r="N695"/>
      <c r="O695"/>
      <c r="P695"/>
      <c r="Q695"/>
      <c r="R695"/>
      <c r="S695"/>
      <c r="T695"/>
      <c r="U695"/>
      <c r="V695"/>
      <c r="W695"/>
      <c r="X695"/>
      <c r="Y695"/>
      <c r="Z695"/>
      <c r="AA695"/>
      <c r="AB695"/>
      <c r="AC695"/>
      <c r="AD695"/>
      <c r="AE695"/>
      <c r="AF695"/>
    </row>
    <row r="696" spans="11:32" ht="14.1" customHeight="1" x14ac:dyDescent="0.2">
      <c r="K696" s="158"/>
      <c r="L696" s="158"/>
      <c r="M696"/>
      <c r="N696"/>
      <c r="O696"/>
      <c r="P696"/>
      <c r="Q696"/>
      <c r="R696"/>
      <c r="S696"/>
      <c r="T696"/>
      <c r="U696"/>
      <c r="V696"/>
      <c r="W696"/>
      <c r="X696"/>
      <c r="Y696"/>
      <c r="Z696"/>
      <c r="AA696"/>
      <c r="AB696"/>
      <c r="AC696"/>
      <c r="AD696"/>
      <c r="AE696"/>
      <c r="AF696"/>
    </row>
    <row r="697" spans="11:32" ht="14.1" customHeight="1" x14ac:dyDescent="0.2">
      <c r="K697" s="158"/>
      <c r="L697" s="158"/>
      <c r="M697"/>
      <c r="N697"/>
      <c r="O697"/>
      <c r="P697"/>
      <c r="Q697"/>
      <c r="R697"/>
      <c r="S697"/>
      <c r="T697"/>
      <c r="U697"/>
      <c r="V697"/>
      <c r="W697"/>
      <c r="X697"/>
      <c r="Y697"/>
      <c r="Z697"/>
      <c r="AA697"/>
      <c r="AB697"/>
      <c r="AC697"/>
      <c r="AD697"/>
      <c r="AE697"/>
      <c r="AF697"/>
    </row>
    <row r="698" spans="11:32" ht="14.1" customHeight="1" x14ac:dyDescent="0.2">
      <c r="K698" s="158"/>
      <c r="L698" s="158"/>
      <c r="M698"/>
      <c r="N698"/>
      <c r="O698"/>
      <c r="P698"/>
      <c r="Q698"/>
      <c r="R698"/>
      <c r="S698"/>
      <c r="T698"/>
      <c r="U698"/>
      <c r="V698"/>
      <c r="W698"/>
      <c r="X698"/>
      <c r="Y698"/>
      <c r="Z698"/>
      <c r="AA698"/>
      <c r="AB698"/>
      <c r="AC698"/>
      <c r="AD698"/>
      <c r="AE698"/>
      <c r="AF698"/>
    </row>
    <row r="699" spans="11:32" ht="14.1" customHeight="1" x14ac:dyDescent="0.2">
      <c r="K699" s="158"/>
      <c r="L699" s="158"/>
      <c r="M699"/>
      <c r="N699"/>
      <c r="O699"/>
      <c r="P699"/>
      <c r="Q699"/>
      <c r="R699"/>
      <c r="S699"/>
      <c r="T699"/>
      <c r="U699"/>
      <c r="V699"/>
      <c r="W699"/>
      <c r="X699"/>
      <c r="Y699"/>
      <c r="Z699"/>
      <c r="AA699"/>
      <c r="AB699"/>
      <c r="AC699"/>
      <c r="AD699"/>
      <c r="AE699"/>
      <c r="AF699"/>
    </row>
    <row r="700" spans="11:32" ht="14.1" customHeight="1" x14ac:dyDescent="0.2">
      <c r="K700" s="158"/>
      <c r="L700" s="158"/>
      <c r="M700"/>
      <c r="N700"/>
      <c r="O700"/>
      <c r="P700"/>
      <c r="Q700"/>
      <c r="R700"/>
      <c r="S700"/>
      <c r="T700"/>
      <c r="U700"/>
      <c r="V700"/>
      <c r="W700"/>
      <c r="X700"/>
      <c r="Y700"/>
      <c r="Z700"/>
      <c r="AA700"/>
      <c r="AB700"/>
      <c r="AC700"/>
      <c r="AD700"/>
      <c r="AE700"/>
      <c r="AF700"/>
    </row>
    <row r="701" spans="11:32" ht="14.1" customHeight="1" x14ac:dyDescent="0.2">
      <c r="K701" s="158"/>
      <c r="L701" s="158"/>
      <c r="M701"/>
      <c r="N701"/>
      <c r="O701"/>
      <c r="P701"/>
      <c r="Q701"/>
      <c r="R701"/>
      <c r="S701"/>
      <c r="T701"/>
      <c r="U701"/>
      <c r="V701"/>
      <c r="W701"/>
      <c r="X701"/>
      <c r="Y701"/>
      <c r="Z701"/>
      <c r="AA701"/>
      <c r="AB701"/>
      <c r="AC701"/>
      <c r="AD701"/>
      <c r="AE701"/>
      <c r="AF701"/>
    </row>
    <row r="702" spans="11:32" ht="14.1" customHeight="1" x14ac:dyDescent="0.2">
      <c r="K702" s="158"/>
      <c r="L702" s="158"/>
      <c r="M702"/>
      <c r="N702"/>
      <c r="O702"/>
      <c r="P702"/>
      <c r="Q702"/>
      <c r="R702"/>
      <c r="S702"/>
      <c r="T702"/>
      <c r="U702"/>
      <c r="V702"/>
      <c r="W702"/>
      <c r="X702"/>
      <c r="Y702"/>
      <c r="Z702"/>
      <c r="AA702"/>
      <c r="AB702"/>
      <c r="AC702"/>
      <c r="AD702"/>
      <c r="AE702"/>
      <c r="AF702"/>
    </row>
    <row r="703" spans="11:32" ht="14.1" customHeight="1" x14ac:dyDescent="0.2">
      <c r="K703" s="158"/>
      <c r="L703" s="158"/>
      <c r="M703"/>
      <c r="N703"/>
      <c r="O703"/>
      <c r="P703"/>
      <c r="Q703"/>
      <c r="R703"/>
      <c r="S703"/>
      <c r="T703"/>
      <c r="U703"/>
      <c r="V703"/>
      <c r="W703"/>
      <c r="X703"/>
      <c r="Y703"/>
      <c r="Z703"/>
      <c r="AA703"/>
      <c r="AB703"/>
      <c r="AC703"/>
      <c r="AD703"/>
      <c r="AE703"/>
      <c r="AF703"/>
    </row>
    <row r="704" spans="11:32" ht="14.1" customHeight="1" x14ac:dyDescent="0.2">
      <c r="K704" s="158"/>
      <c r="L704" s="158"/>
      <c r="M704"/>
      <c r="N704"/>
      <c r="O704"/>
      <c r="P704"/>
      <c r="Q704"/>
      <c r="R704"/>
      <c r="S704"/>
      <c r="T704"/>
      <c r="U704"/>
      <c r="V704"/>
      <c r="W704"/>
      <c r="X704"/>
      <c r="Y704"/>
      <c r="Z704"/>
      <c r="AA704"/>
      <c r="AB704"/>
      <c r="AC704"/>
      <c r="AD704"/>
      <c r="AE704"/>
      <c r="AF704"/>
    </row>
    <row r="705" spans="11:32" ht="14.1" customHeight="1" x14ac:dyDescent="0.2">
      <c r="K705" s="158"/>
      <c r="L705" s="158"/>
      <c r="M705"/>
      <c r="N705"/>
      <c r="O705"/>
      <c r="P705"/>
      <c r="Q705"/>
      <c r="R705"/>
      <c r="S705"/>
      <c r="T705"/>
      <c r="U705"/>
      <c r="V705"/>
      <c r="W705"/>
      <c r="X705"/>
      <c r="Y705"/>
      <c r="Z705"/>
      <c r="AA705"/>
      <c r="AB705"/>
      <c r="AC705"/>
      <c r="AD705"/>
      <c r="AE705"/>
      <c r="AF705"/>
    </row>
    <row r="706" spans="11:32" ht="14.1" customHeight="1" x14ac:dyDescent="0.2">
      <c r="K706" s="158"/>
      <c r="L706" s="158"/>
      <c r="M706"/>
      <c r="N706"/>
      <c r="O706"/>
      <c r="P706"/>
      <c r="Q706"/>
      <c r="R706"/>
      <c r="S706"/>
      <c r="T706"/>
      <c r="U706"/>
      <c r="V706"/>
      <c r="W706"/>
      <c r="X706"/>
      <c r="Y706"/>
      <c r="Z706"/>
      <c r="AA706"/>
      <c r="AB706"/>
      <c r="AC706"/>
      <c r="AD706"/>
      <c r="AE706"/>
      <c r="AF706"/>
    </row>
    <row r="707" spans="11:32" ht="14.1" customHeight="1" x14ac:dyDescent="0.2">
      <c r="K707" s="158"/>
      <c r="L707" s="158"/>
      <c r="M707"/>
      <c r="N707"/>
      <c r="O707"/>
      <c r="P707"/>
      <c r="Q707"/>
      <c r="R707"/>
      <c r="S707"/>
      <c r="T707"/>
      <c r="U707"/>
      <c r="V707"/>
      <c r="W707"/>
      <c r="X707"/>
      <c r="Y707"/>
      <c r="Z707"/>
      <c r="AA707"/>
      <c r="AB707"/>
      <c r="AC707"/>
      <c r="AD707"/>
      <c r="AE707"/>
      <c r="AF707"/>
    </row>
    <row r="708" spans="11:32" ht="14.1" customHeight="1" x14ac:dyDescent="0.2">
      <c r="K708" s="158"/>
      <c r="L708" s="158"/>
      <c r="M708"/>
      <c r="N708"/>
      <c r="O708"/>
      <c r="P708"/>
      <c r="Q708"/>
      <c r="R708"/>
      <c r="S708"/>
      <c r="T708"/>
      <c r="U708"/>
      <c r="V708"/>
      <c r="W708"/>
      <c r="X708"/>
      <c r="Y708"/>
      <c r="Z708"/>
      <c r="AA708"/>
      <c r="AB708"/>
      <c r="AC708"/>
      <c r="AD708"/>
      <c r="AE708"/>
      <c r="AF708"/>
    </row>
    <row r="709" spans="11:32" ht="14.1" customHeight="1" x14ac:dyDescent="0.2">
      <c r="K709" s="158"/>
      <c r="L709" s="158"/>
      <c r="M709"/>
      <c r="N709"/>
      <c r="O709"/>
      <c r="P709"/>
      <c r="Q709"/>
      <c r="R709"/>
      <c r="S709"/>
      <c r="T709"/>
      <c r="U709"/>
      <c r="V709"/>
      <c r="W709"/>
      <c r="X709"/>
      <c r="Y709"/>
      <c r="Z709"/>
      <c r="AA709"/>
      <c r="AB709"/>
      <c r="AC709"/>
      <c r="AD709"/>
      <c r="AE709"/>
      <c r="AF709"/>
    </row>
    <row r="710" spans="11:32" ht="14.1" customHeight="1" x14ac:dyDescent="0.2">
      <c r="K710" s="158"/>
      <c r="L710" s="158"/>
      <c r="M710"/>
      <c r="N710"/>
      <c r="O710"/>
      <c r="P710"/>
      <c r="Q710"/>
      <c r="R710"/>
      <c r="S710"/>
      <c r="T710"/>
      <c r="U710"/>
      <c r="V710"/>
      <c r="W710"/>
      <c r="X710"/>
      <c r="Y710"/>
      <c r="Z710"/>
      <c r="AA710"/>
      <c r="AB710"/>
      <c r="AC710"/>
      <c r="AD710"/>
      <c r="AE710"/>
      <c r="AF710"/>
    </row>
    <row r="711" spans="11:32" ht="14.1" customHeight="1" x14ac:dyDescent="0.2">
      <c r="K711" s="158"/>
      <c r="L711" s="158"/>
      <c r="M711"/>
      <c r="N711"/>
      <c r="O711"/>
      <c r="P711"/>
      <c r="Q711"/>
      <c r="R711"/>
      <c r="S711"/>
      <c r="T711"/>
      <c r="U711"/>
      <c r="V711"/>
      <c r="W711"/>
      <c r="X711"/>
      <c r="Y711"/>
      <c r="Z711"/>
      <c r="AA711"/>
      <c r="AB711"/>
      <c r="AC711"/>
      <c r="AD711"/>
      <c r="AE711"/>
      <c r="AF711"/>
    </row>
    <row r="712" spans="11:32" ht="14.1" customHeight="1" x14ac:dyDescent="0.2">
      <c r="K712" s="158"/>
      <c r="L712" s="158"/>
      <c r="M712"/>
      <c r="N712"/>
      <c r="O712"/>
      <c r="P712"/>
      <c r="Q712"/>
      <c r="R712"/>
      <c r="S712"/>
      <c r="T712"/>
      <c r="U712"/>
      <c r="V712"/>
      <c r="W712"/>
      <c r="X712"/>
      <c r="Y712"/>
      <c r="Z712"/>
      <c r="AA712"/>
      <c r="AB712"/>
      <c r="AC712"/>
      <c r="AD712"/>
      <c r="AE712"/>
      <c r="AF712"/>
    </row>
    <row r="713" spans="11:32" ht="14.1" customHeight="1" x14ac:dyDescent="0.2">
      <c r="K713" s="158"/>
      <c r="L713" s="158"/>
      <c r="M713"/>
      <c r="N713"/>
      <c r="O713"/>
      <c r="P713"/>
      <c r="Q713"/>
      <c r="R713"/>
      <c r="S713"/>
      <c r="T713"/>
      <c r="U713"/>
      <c r="V713"/>
      <c r="W713"/>
      <c r="X713"/>
      <c r="Y713"/>
      <c r="Z713"/>
      <c r="AA713"/>
      <c r="AB713"/>
      <c r="AC713"/>
      <c r="AD713"/>
      <c r="AE713"/>
      <c r="AF713"/>
    </row>
    <row r="714" spans="11:32" ht="14.1" customHeight="1" x14ac:dyDescent="0.2">
      <c r="K714" s="158"/>
      <c r="L714" s="158"/>
      <c r="M714"/>
      <c r="N714"/>
      <c r="O714"/>
      <c r="P714"/>
      <c r="Q714"/>
      <c r="R714"/>
      <c r="S714"/>
      <c r="T714"/>
      <c r="U714"/>
      <c r="V714"/>
      <c r="W714"/>
      <c r="X714"/>
      <c r="Y714"/>
      <c r="Z714"/>
      <c r="AA714"/>
      <c r="AB714"/>
      <c r="AC714"/>
      <c r="AD714"/>
      <c r="AE714"/>
      <c r="AF714"/>
    </row>
    <row r="715" spans="11:32" ht="14.1" customHeight="1" x14ac:dyDescent="0.2">
      <c r="K715" s="158"/>
      <c r="L715" s="158"/>
      <c r="M715"/>
      <c r="N715"/>
      <c r="O715"/>
      <c r="P715"/>
      <c r="Q715"/>
      <c r="R715"/>
      <c r="S715"/>
      <c r="T715"/>
      <c r="U715"/>
      <c r="V715"/>
      <c r="W715"/>
      <c r="X715"/>
      <c r="Y715"/>
      <c r="Z715"/>
      <c r="AA715"/>
      <c r="AB715"/>
      <c r="AC715"/>
      <c r="AD715"/>
      <c r="AE715"/>
      <c r="AF715"/>
    </row>
    <row r="716" spans="11:32" ht="14.1" customHeight="1" x14ac:dyDescent="0.2">
      <c r="K716" s="158"/>
      <c r="L716" s="158"/>
      <c r="M716"/>
      <c r="N716"/>
      <c r="O716"/>
      <c r="P716"/>
      <c r="Q716"/>
      <c r="R716"/>
      <c r="S716"/>
      <c r="T716"/>
      <c r="U716"/>
      <c r="V716"/>
      <c r="W716"/>
      <c r="X716"/>
      <c r="Y716"/>
      <c r="Z716"/>
      <c r="AA716"/>
      <c r="AB716"/>
      <c r="AC716"/>
      <c r="AD716"/>
      <c r="AE716"/>
      <c r="AF716"/>
    </row>
    <row r="717" spans="11:32" ht="14.1" customHeight="1" x14ac:dyDescent="0.2">
      <c r="K717" s="158"/>
      <c r="L717" s="158"/>
      <c r="M717"/>
      <c r="N717"/>
      <c r="O717"/>
      <c r="P717"/>
      <c r="Q717"/>
      <c r="R717"/>
      <c r="S717"/>
      <c r="T717"/>
      <c r="U717"/>
      <c r="V717"/>
      <c r="W717"/>
      <c r="X717"/>
      <c r="Y717"/>
      <c r="Z717"/>
      <c r="AA717"/>
      <c r="AB717"/>
      <c r="AC717"/>
      <c r="AD717"/>
      <c r="AE717"/>
      <c r="AF717"/>
    </row>
    <row r="718" spans="11:32" ht="14.1" customHeight="1" x14ac:dyDescent="0.2">
      <c r="K718" s="158"/>
      <c r="L718" s="158"/>
      <c r="M718"/>
      <c r="N718"/>
      <c r="O718"/>
      <c r="P718"/>
      <c r="Q718"/>
      <c r="R718"/>
      <c r="S718"/>
      <c r="T718"/>
      <c r="U718"/>
      <c r="V718"/>
      <c r="W718"/>
      <c r="X718"/>
      <c r="Y718"/>
      <c r="Z718"/>
      <c r="AA718"/>
      <c r="AB718"/>
      <c r="AC718"/>
      <c r="AD718"/>
      <c r="AE718"/>
      <c r="AF718"/>
    </row>
    <row r="719" spans="11:32" ht="14.1" customHeight="1" x14ac:dyDescent="0.2">
      <c r="K719" s="158"/>
      <c r="L719" s="158"/>
      <c r="M719"/>
      <c r="N719"/>
      <c r="O719"/>
      <c r="P719"/>
      <c r="Q719"/>
      <c r="R719"/>
      <c r="S719"/>
      <c r="T719"/>
      <c r="U719"/>
      <c r="V719"/>
      <c r="W719"/>
      <c r="X719"/>
      <c r="Y719"/>
      <c r="Z719"/>
      <c r="AA719"/>
      <c r="AB719"/>
      <c r="AC719"/>
      <c r="AD719"/>
      <c r="AE719"/>
      <c r="AF719"/>
    </row>
    <row r="720" spans="11:32" ht="14.1" customHeight="1" x14ac:dyDescent="0.2">
      <c r="K720" s="158"/>
      <c r="L720" s="158"/>
      <c r="M720"/>
      <c r="N720"/>
      <c r="O720"/>
      <c r="P720"/>
      <c r="Q720"/>
      <c r="R720"/>
      <c r="S720"/>
      <c r="T720"/>
      <c r="U720"/>
      <c r="V720"/>
      <c r="W720"/>
      <c r="X720"/>
      <c r="Y720"/>
      <c r="Z720"/>
      <c r="AA720"/>
      <c r="AB720"/>
      <c r="AC720"/>
      <c r="AD720"/>
      <c r="AE720"/>
      <c r="AF720"/>
    </row>
    <row r="721" spans="11:32" ht="14.1" customHeight="1" x14ac:dyDescent="0.2">
      <c r="K721" s="158"/>
      <c r="L721" s="158"/>
      <c r="M721"/>
      <c r="N721"/>
      <c r="O721"/>
      <c r="P721"/>
      <c r="Q721"/>
      <c r="R721"/>
      <c r="S721"/>
      <c r="T721"/>
      <c r="U721"/>
      <c r="V721"/>
      <c r="W721"/>
      <c r="X721"/>
      <c r="Y721"/>
      <c r="Z721"/>
      <c r="AA721"/>
      <c r="AB721"/>
      <c r="AC721"/>
      <c r="AD721"/>
      <c r="AE721"/>
      <c r="AF721"/>
    </row>
    <row r="722" spans="11:32" ht="14.1" customHeight="1" x14ac:dyDescent="0.2">
      <c r="K722" s="158"/>
      <c r="L722" s="158"/>
      <c r="M722"/>
      <c r="N722"/>
      <c r="O722"/>
      <c r="P722"/>
      <c r="Q722"/>
      <c r="R722"/>
      <c r="S722"/>
      <c r="T722"/>
      <c r="U722"/>
      <c r="V722"/>
      <c r="W722"/>
      <c r="X722"/>
      <c r="Y722"/>
      <c r="Z722"/>
      <c r="AA722"/>
      <c r="AB722"/>
      <c r="AC722"/>
      <c r="AD722"/>
      <c r="AE722"/>
      <c r="AF722"/>
    </row>
    <row r="723" spans="11:32" ht="14.1" customHeight="1" x14ac:dyDescent="0.2">
      <c r="K723" s="158"/>
      <c r="L723" s="158"/>
      <c r="M723"/>
      <c r="N723"/>
      <c r="O723"/>
      <c r="P723"/>
      <c r="Q723"/>
      <c r="R723"/>
      <c r="S723"/>
      <c r="T723"/>
      <c r="U723"/>
      <c r="V723"/>
      <c r="W723"/>
      <c r="X723"/>
      <c r="Y723"/>
      <c r="Z723"/>
      <c r="AA723"/>
      <c r="AB723"/>
      <c r="AC723"/>
      <c r="AD723"/>
      <c r="AE723"/>
      <c r="AF723"/>
    </row>
    <row r="724" spans="11:32" ht="14.1" customHeight="1" x14ac:dyDescent="0.2">
      <c r="K724" s="158"/>
      <c r="L724" s="158"/>
      <c r="M724"/>
      <c r="N724"/>
      <c r="O724"/>
      <c r="P724"/>
      <c r="Q724"/>
      <c r="R724"/>
      <c r="S724"/>
      <c r="T724"/>
      <c r="U724"/>
      <c r="V724"/>
      <c r="W724"/>
      <c r="X724"/>
      <c r="Y724"/>
      <c r="Z724"/>
      <c r="AA724"/>
      <c r="AB724"/>
      <c r="AC724"/>
      <c r="AD724"/>
      <c r="AE724"/>
      <c r="AF724"/>
    </row>
    <row r="725" spans="11:32" ht="14.1" customHeight="1" x14ac:dyDescent="0.2">
      <c r="K725" s="158"/>
      <c r="L725" s="158"/>
      <c r="M725"/>
      <c r="N725"/>
      <c r="O725"/>
      <c r="P725"/>
      <c r="Q725"/>
      <c r="R725"/>
      <c r="S725"/>
      <c r="T725"/>
      <c r="U725"/>
      <c r="V725"/>
      <c r="W725"/>
      <c r="X725"/>
      <c r="Y725"/>
      <c r="Z725"/>
      <c r="AA725"/>
      <c r="AB725"/>
      <c r="AC725"/>
      <c r="AD725"/>
      <c r="AE725"/>
      <c r="AF725"/>
    </row>
    <row r="726" spans="11:32" ht="14.1" customHeight="1" x14ac:dyDescent="0.2">
      <c r="K726" s="158"/>
      <c r="L726" s="158"/>
      <c r="M726"/>
      <c r="N726"/>
      <c r="O726"/>
      <c r="P726"/>
      <c r="Q726"/>
      <c r="R726"/>
      <c r="S726"/>
      <c r="T726"/>
      <c r="U726"/>
      <c r="V726"/>
      <c r="W726"/>
      <c r="X726"/>
      <c r="Y726"/>
      <c r="Z726"/>
      <c r="AA726"/>
      <c r="AB726"/>
      <c r="AC726"/>
      <c r="AD726"/>
      <c r="AE726"/>
      <c r="AF726"/>
    </row>
    <row r="727" spans="11:32" ht="14.1" customHeight="1" x14ac:dyDescent="0.2">
      <c r="K727" s="158"/>
      <c r="L727" s="158"/>
      <c r="M727"/>
      <c r="N727"/>
      <c r="O727"/>
      <c r="P727"/>
      <c r="Q727"/>
      <c r="R727"/>
      <c r="S727"/>
      <c r="T727"/>
      <c r="U727"/>
      <c r="V727"/>
      <c r="W727"/>
      <c r="X727"/>
      <c r="Y727"/>
      <c r="Z727"/>
      <c r="AA727"/>
      <c r="AB727"/>
      <c r="AC727"/>
      <c r="AD727"/>
      <c r="AE727"/>
      <c r="AF727"/>
    </row>
    <row r="728" spans="11:32" ht="14.1" customHeight="1" x14ac:dyDescent="0.2">
      <c r="K728" s="158"/>
      <c r="L728" s="158"/>
      <c r="M728"/>
      <c r="N728"/>
      <c r="O728"/>
      <c r="P728"/>
      <c r="Q728"/>
      <c r="R728"/>
      <c r="S728"/>
      <c r="T728"/>
      <c r="U728"/>
      <c r="V728"/>
      <c r="W728"/>
      <c r="X728"/>
      <c r="Y728"/>
      <c r="Z728"/>
      <c r="AA728"/>
      <c r="AB728"/>
      <c r="AC728"/>
      <c r="AD728"/>
      <c r="AE728"/>
      <c r="AF728"/>
    </row>
    <row r="729" spans="11:32" ht="14.1" customHeight="1" x14ac:dyDescent="0.2">
      <c r="K729" s="158"/>
      <c r="L729" s="158"/>
      <c r="M729"/>
      <c r="N729"/>
      <c r="O729"/>
      <c r="P729"/>
      <c r="Q729"/>
      <c r="R729"/>
      <c r="S729"/>
      <c r="T729"/>
      <c r="U729"/>
      <c r="V729"/>
      <c r="W729"/>
      <c r="X729"/>
      <c r="Y729"/>
      <c r="Z729"/>
      <c r="AA729"/>
      <c r="AB729"/>
      <c r="AC729"/>
      <c r="AD729"/>
      <c r="AE729"/>
      <c r="AF729"/>
    </row>
    <row r="730" spans="11:32" ht="14.1" customHeight="1" x14ac:dyDescent="0.2">
      <c r="K730" s="158"/>
      <c r="L730" s="158"/>
      <c r="M730"/>
      <c r="N730"/>
      <c r="O730"/>
      <c r="P730"/>
      <c r="Q730"/>
      <c r="R730"/>
      <c r="S730"/>
      <c r="T730"/>
      <c r="U730"/>
      <c r="V730"/>
      <c r="W730"/>
      <c r="X730"/>
      <c r="Y730"/>
      <c r="Z730"/>
      <c r="AA730"/>
      <c r="AB730"/>
      <c r="AC730"/>
      <c r="AD730"/>
      <c r="AE730"/>
      <c r="AF730"/>
    </row>
    <row r="731" spans="11:32" ht="14.1" customHeight="1" x14ac:dyDescent="0.2">
      <c r="K731" s="158"/>
      <c r="L731" s="158"/>
      <c r="M731"/>
      <c r="N731"/>
      <c r="O731"/>
      <c r="P731"/>
      <c r="Q731"/>
      <c r="R731"/>
      <c r="S731"/>
      <c r="T731"/>
      <c r="U731"/>
      <c r="V731"/>
      <c r="W731"/>
      <c r="X731"/>
      <c r="Y731"/>
      <c r="Z731"/>
      <c r="AA731"/>
      <c r="AB731"/>
      <c r="AC731"/>
      <c r="AD731"/>
      <c r="AE731"/>
      <c r="AF731"/>
    </row>
    <row r="732" spans="11:32" ht="14.1" customHeight="1" x14ac:dyDescent="0.2">
      <c r="K732" s="158"/>
      <c r="L732" s="158"/>
      <c r="M732"/>
      <c r="N732"/>
      <c r="O732"/>
      <c r="P732"/>
      <c r="Q732"/>
      <c r="R732"/>
      <c r="S732"/>
      <c r="T732"/>
      <c r="U732"/>
      <c r="V732"/>
      <c r="W732"/>
      <c r="X732"/>
      <c r="Y732"/>
      <c r="Z732"/>
      <c r="AA732"/>
      <c r="AB732"/>
      <c r="AC732"/>
      <c r="AD732"/>
      <c r="AE732"/>
      <c r="AF732"/>
    </row>
    <row r="733" spans="11:32" ht="14.1" customHeight="1" x14ac:dyDescent="0.2">
      <c r="K733" s="158"/>
      <c r="L733" s="158"/>
      <c r="M733"/>
      <c r="N733"/>
      <c r="O733"/>
      <c r="P733"/>
      <c r="Q733"/>
      <c r="R733"/>
      <c r="S733"/>
      <c r="T733"/>
      <c r="U733"/>
      <c r="V733"/>
      <c r="W733"/>
      <c r="X733"/>
      <c r="Y733"/>
      <c r="Z733"/>
      <c r="AA733"/>
      <c r="AB733"/>
      <c r="AC733"/>
      <c r="AD733"/>
      <c r="AE733"/>
      <c r="AF733"/>
    </row>
    <row r="734" spans="11:32" ht="14.1" customHeight="1" x14ac:dyDescent="0.2">
      <c r="K734" s="158"/>
      <c r="L734" s="158"/>
      <c r="M734"/>
      <c r="N734"/>
      <c r="O734"/>
      <c r="P734"/>
      <c r="Q734"/>
      <c r="R734"/>
      <c r="S734"/>
      <c r="T734"/>
      <c r="U734"/>
      <c r="V734"/>
      <c r="W734"/>
      <c r="X734"/>
      <c r="Y734"/>
      <c r="Z734"/>
      <c r="AA734"/>
      <c r="AB734"/>
      <c r="AC734"/>
      <c r="AD734"/>
      <c r="AE734"/>
      <c r="AF734"/>
    </row>
    <row r="735" spans="11:32" ht="14.1" customHeight="1" x14ac:dyDescent="0.2">
      <c r="K735" s="158"/>
      <c r="L735" s="158"/>
      <c r="M735"/>
      <c r="N735"/>
      <c r="O735"/>
      <c r="P735"/>
      <c r="Q735"/>
      <c r="R735"/>
      <c r="S735"/>
      <c r="T735"/>
      <c r="U735"/>
      <c r="V735"/>
      <c r="W735"/>
      <c r="X735"/>
      <c r="Y735"/>
      <c r="Z735"/>
      <c r="AA735"/>
      <c r="AB735"/>
      <c r="AC735"/>
      <c r="AD735"/>
      <c r="AE735"/>
      <c r="AF735"/>
    </row>
    <row r="736" spans="11:32" ht="14.1" customHeight="1" x14ac:dyDescent="0.2">
      <c r="K736" s="158"/>
      <c r="L736" s="158"/>
      <c r="M736"/>
      <c r="N736"/>
      <c r="O736"/>
      <c r="P736"/>
      <c r="Q736"/>
      <c r="R736"/>
      <c r="S736"/>
      <c r="T736"/>
      <c r="U736"/>
      <c r="V736"/>
      <c r="W736"/>
      <c r="X736"/>
      <c r="Y736"/>
      <c r="Z736"/>
      <c r="AA736"/>
      <c r="AB736"/>
      <c r="AC736"/>
      <c r="AD736"/>
      <c r="AE736"/>
      <c r="AF736"/>
    </row>
    <row r="737" spans="11:32" ht="14.1" customHeight="1" x14ac:dyDescent="0.2">
      <c r="K737" s="158"/>
      <c r="L737" s="158"/>
      <c r="M737"/>
      <c r="N737"/>
      <c r="O737"/>
      <c r="P737"/>
      <c r="Q737"/>
      <c r="R737"/>
      <c r="S737"/>
      <c r="T737"/>
      <c r="U737"/>
      <c r="V737"/>
      <c r="W737"/>
      <c r="X737"/>
      <c r="Y737"/>
      <c r="Z737"/>
      <c r="AA737"/>
      <c r="AB737"/>
      <c r="AC737"/>
      <c r="AD737"/>
      <c r="AE737"/>
      <c r="AF737"/>
    </row>
    <row r="738" spans="11:32" ht="14.1" customHeight="1" x14ac:dyDescent="0.2">
      <c r="K738" s="158"/>
      <c r="L738" s="158"/>
      <c r="M738"/>
      <c r="N738"/>
      <c r="O738"/>
      <c r="P738"/>
      <c r="Q738"/>
      <c r="R738"/>
      <c r="S738"/>
      <c r="T738"/>
      <c r="U738"/>
      <c r="V738"/>
      <c r="W738"/>
      <c r="X738"/>
      <c r="Y738"/>
      <c r="Z738"/>
      <c r="AA738"/>
      <c r="AB738"/>
      <c r="AC738"/>
      <c r="AD738"/>
      <c r="AE738"/>
      <c r="AF738"/>
    </row>
    <row r="739" spans="11:32" ht="14.1" customHeight="1" x14ac:dyDescent="0.2">
      <c r="K739" s="158"/>
      <c r="L739" s="158"/>
      <c r="M739"/>
      <c r="N739"/>
      <c r="O739"/>
      <c r="P739"/>
      <c r="Q739"/>
      <c r="R739"/>
      <c r="S739"/>
      <c r="T739"/>
      <c r="U739"/>
      <c r="V739"/>
      <c r="W739"/>
      <c r="X739"/>
      <c r="Y739"/>
      <c r="Z739"/>
      <c r="AA739"/>
      <c r="AB739"/>
      <c r="AC739"/>
      <c r="AD739"/>
      <c r="AE739"/>
      <c r="AF739"/>
    </row>
    <row r="740" spans="11:32" ht="14.1" customHeight="1" x14ac:dyDescent="0.2">
      <c r="K740" s="158"/>
      <c r="L740" s="158"/>
      <c r="M740"/>
      <c r="N740"/>
      <c r="O740"/>
      <c r="P740"/>
      <c r="Q740"/>
      <c r="R740"/>
      <c r="S740"/>
      <c r="T740"/>
      <c r="U740"/>
      <c r="V740"/>
      <c r="W740"/>
      <c r="X740"/>
      <c r="Y740"/>
      <c r="Z740"/>
      <c r="AA740"/>
      <c r="AB740"/>
      <c r="AC740"/>
      <c r="AD740"/>
      <c r="AE740"/>
      <c r="AF740"/>
    </row>
    <row r="741" spans="11:32" ht="14.1" customHeight="1" x14ac:dyDescent="0.2">
      <c r="K741" s="158"/>
      <c r="L741" s="158"/>
      <c r="M741"/>
      <c r="N741"/>
      <c r="O741"/>
      <c r="P741"/>
      <c r="Q741"/>
      <c r="R741"/>
      <c r="S741"/>
      <c r="T741"/>
      <c r="U741"/>
      <c r="V741"/>
      <c r="W741"/>
      <c r="X741"/>
      <c r="Y741"/>
      <c r="Z741"/>
      <c r="AA741"/>
      <c r="AB741"/>
      <c r="AC741"/>
      <c r="AD741"/>
      <c r="AE741"/>
      <c r="AF741"/>
    </row>
    <row r="742" spans="11:32" ht="14.1" customHeight="1" x14ac:dyDescent="0.2">
      <c r="K742" s="158"/>
      <c r="L742" s="158"/>
      <c r="M742"/>
      <c r="N742"/>
      <c r="O742"/>
      <c r="P742"/>
      <c r="Q742"/>
      <c r="R742"/>
      <c r="S742"/>
      <c r="T742"/>
      <c r="U742"/>
      <c r="V742"/>
      <c r="W742"/>
      <c r="X742"/>
      <c r="Y742"/>
      <c r="Z742"/>
      <c r="AA742"/>
      <c r="AB742"/>
      <c r="AC742"/>
      <c r="AD742"/>
      <c r="AE742"/>
      <c r="AF742"/>
    </row>
    <row r="743" spans="11:32" ht="14.1" customHeight="1" x14ac:dyDescent="0.2">
      <c r="K743" s="158"/>
      <c r="L743" s="158"/>
      <c r="M743"/>
      <c r="N743"/>
      <c r="O743"/>
      <c r="P743"/>
      <c r="Q743"/>
      <c r="R743"/>
      <c r="S743"/>
      <c r="T743"/>
      <c r="U743"/>
      <c r="V743"/>
      <c r="W743"/>
      <c r="X743"/>
      <c r="Y743"/>
      <c r="Z743"/>
      <c r="AA743"/>
      <c r="AB743"/>
      <c r="AC743"/>
      <c r="AD743"/>
      <c r="AE743"/>
      <c r="AF743"/>
    </row>
    <row r="744" spans="11:32" ht="14.1" customHeight="1" x14ac:dyDescent="0.2">
      <c r="K744" s="158"/>
      <c r="L744" s="158"/>
      <c r="M744"/>
      <c r="N744"/>
      <c r="O744"/>
      <c r="P744"/>
      <c r="Q744"/>
      <c r="R744"/>
      <c r="S744"/>
      <c r="T744"/>
      <c r="U744"/>
      <c r="V744"/>
      <c r="W744"/>
      <c r="X744"/>
      <c r="Y744"/>
      <c r="Z744"/>
      <c r="AA744"/>
      <c r="AB744"/>
      <c r="AC744"/>
      <c r="AD744"/>
      <c r="AE744"/>
      <c r="AF744"/>
    </row>
    <row r="745" spans="11:32" ht="14.1" customHeight="1" x14ac:dyDescent="0.2">
      <c r="K745" s="158"/>
      <c r="L745" s="158"/>
      <c r="M745"/>
      <c r="N745"/>
      <c r="O745"/>
      <c r="P745"/>
      <c r="Q745"/>
      <c r="R745"/>
      <c r="S745"/>
      <c r="T745"/>
      <c r="U745"/>
      <c r="V745"/>
      <c r="W745"/>
      <c r="X745"/>
      <c r="Y745"/>
      <c r="Z745"/>
      <c r="AA745"/>
      <c r="AB745"/>
      <c r="AC745"/>
      <c r="AD745"/>
      <c r="AE745"/>
      <c r="AF745"/>
    </row>
    <row r="746" spans="11:32" ht="14.1" customHeight="1" x14ac:dyDescent="0.2">
      <c r="K746" s="158"/>
      <c r="L746" s="158"/>
      <c r="M746"/>
      <c r="N746"/>
      <c r="O746"/>
      <c r="P746"/>
      <c r="Q746"/>
      <c r="R746"/>
      <c r="S746"/>
      <c r="T746"/>
      <c r="U746"/>
      <c r="V746"/>
      <c r="W746"/>
      <c r="X746"/>
      <c r="Y746"/>
      <c r="Z746"/>
      <c r="AA746"/>
      <c r="AB746"/>
      <c r="AC746"/>
      <c r="AD746"/>
      <c r="AE746"/>
      <c r="AF746"/>
    </row>
    <row r="747" spans="11:32" ht="14.1" customHeight="1" x14ac:dyDescent="0.2">
      <c r="K747" s="158"/>
      <c r="L747" s="158"/>
      <c r="M747"/>
      <c r="N747"/>
      <c r="O747"/>
      <c r="P747"/>
      <c r="Q747"/>
      <c r="R747"/>
      <c r="S747"/>
      <c r="T747"/>
      <c r="U747"/>
      <c r="V747"/>
      <c r="W747"/>
      <c r="X747"/>
      <c r="Y747"/>
      <c r="Z747"/>
      <c r="AA747"/>
      <c r="AB747"/>
      <c r="AC747"/>
      <c r="AD747"/>
      <c r="AE747"/>
      <c r="AF747"/>
    </row>
    <row r="748" spans="11:32" ht="14.1" customHeight="1" x14ac:dyDescent="0.2">
      <c r="K748" s="158"/>
      <c r="L748" s="158"/>
      <c r="M748"/>
      <c r="N748"/>
      <c r="O748"/>
      <c r="P748"/>
      <c r="Q748"/>
      <c r="R748"/>
      <c r="S748"/>
      <c r="T748"/>
      <c r="U748"/>
      <c r="V748"/>
      <c r="W748"/>
      <c r="X748"/>
      <c r="Y748"/>
      <c r="Z748"/>
      <c r="AA748"/>
      <c r="AB748"/>
      <c r="AC748"/>
      <c r="AD748"/>
      <c r="AE748"/>
      <c r="AF748"/>
    </row>
    <row r="749" spans="11:32" ht="14.1" customHeight="1" x14ac:dyDescent="0.2">
      <c r="K749" s="158"/>
      <c r="L749" s="158"/>
      <c r="M749"/>
      <c r="N749"/>
      <c r="O749"/>
      <c r="P749"/>
      <c r="Q749"/>
      <c r="R749"/>
      <c r="S749"/>
      <c r="T749"/>
      <c r="U749"/>
      <c r="V749"/>
      <c r="W749"/>
      <c r="X749"/>
      <c r="Y749"/>
      <c r="Z749"/>
      <c r="AA749"/>
      <c r="AB749"/>
      <c r="AC749"/>
      <c r="AD749"/>
      <c r="AE749"/>
      <c r="AF749"/>
    </row>
    <row r="750" spans="11:32" ht="14.1" customHeight="1" x14ac:dyDescent="0.2">
      <c r="K750" s="158"/>
      <c r="L750" s="158"/>
      <c r="M750"/>
      <c r="N750"/>
      <c r="O750"/>
      <c r="P750"/>
      <c r="Q750"/>
      <c r="R750"/>
      <c r="S750"/>
      <c r="T750"/>
      <c r="U750"/>
      <c r="V750"/>
      <c r="W750"/>
      <c r="X750"/>
      <c r="Y750"/>
      <c r="Z750"/>
      <c r="AA750"/>
      <c r="AB750"/>
      <c r="AC750"/>
      <c r="AD750"/>
      <c r="AE750"/>
      <c r="AF750"/>
    </row>
    <row r="751" spans="11:32" ht="14.1" customHeight="1" x14ac:dyDescent="0.2">
      <c r="K751" s="158"/>
      <c r="L751" s="158"/>
      <c r="M751"/>
      <c r="N751"/>
      <c r="O751"/>
      <c r="P751"/>
      <c r="Q751"/>
      <c r="R751"/>
      <c r="S751"/>
      <c r="T751"/>
      <c r="U751"/>
      <c r="V751"/>
      <c r="W751"/>
      <c r="X751"/>
      <c r="Y751"/>
      <c r="Z751"/>
      <c r="AA751"/>
      <c r="AB751"/>
      <c r="AC751"/>
      <c r="AD751"/>
      <c r="AE751"/>
      <c r="AF751"/>
    </row>
    <row r="752" spans="11:32" ht="14.1" customHeight="1" x14ac:dyDescent="0.2">
      <c r="K752" s="158"/>
      <c r="L752" s="158"/>
      <c r="M752"/>
      <c r="N752"/>
      <c r="O752"/>
      <c r="P752"/>
      <c r="Q752"/>
      <c r="R752"/>
      <c r="S752"/>
      <c r="T752"/>
      <c r="U752"/>
      <c r="V752"/>
      <c r="W752"/>
      <c r="X752"/>
      <c r="Y752"/>
      <c r="Z752"/>
      <c r="AA752"/>
      <c r="AB752"/>
      <c r="AC752"/>
      <c r="AD752"/>
      <c r="AE752"/>
      <c r="AF752"/>
    </row>
    <row r="753" spans="11:32" ht="14.1" customHeight="1" x14ac:dyDescent="0.2">
      <c r="K753" s="158"/>
      <c r="L753" s="158"/>
      <c r="M753"/>
      <c r="N753"/>
      <c r="O753"/>
      <c r="P753"/>
      <c r="Q753"/>
      <c r="R753"/>
      <c r="S753"/>
      <c r="T753"/>
      <c r="U753"/>
      <c r="V753"/>
      <c r="W753"/>
      <c r="X753"/>
      <c r="Y753"/>
      <c r="Z753"/>
      <c r="AA753"/>
      <c r="AB753"/>
      <c r="AC753"/>
      <c r="AD753"/>
      <c r="AE753"/>
      <c r="AF753"/>
    </row>
    <row r="754" spans="11:32" ht="14.1" customHeight="1" x14ac:dyDescent="0.2">
      <c r="K754" s="158"/>
      <c r="L754" s="158"/>
      <c r="M754"/>
      <c r="N754"/>
      <c r="O754"/>
      <c r="P754"/>
      <c r="Q754"/>
      <c r="R754"/>
      <c r="S754"/>
      <c r="T754"/>
      <c r="U754"/>
      <c r="V754"/>
      <c r="W754"/>
      <c r="X754"/>
      <c r="Y754"/>
      <c r="Z754"/>
      <c r="AA754"/>
      <c r="AB754"/>
      <c r="AC754"/>
      <c r="AD754"/>
      <c r="AE754"/>
      <c r="AF754"/>
    </row>
    <row r="755" spans="11:32" ht="14.1" customHeight="1" x14ac:dyDescent="0.2">
      <c r="K755" s="158"/>
      <c r="L755" s="158"/>
      <c r="M755"/>
      <c r="N755"/>
      <c r="O755"/>
      <c r="P755"/>
      <c r="Q755"/>
      <c r="R755"/>
      <c r="S755"/>
      <c r="T755"/>
      <c r="U755"/>
      <c r="V755"/>
      <c r="W755"/>
      <c r="X755"/>
      <c r="Y755"/>
      <c r="Z755"/>
      <c r="AA755"/>
      <c r="AB755"/>
      <c r="AC755"/>
      <c r="AD755"/>
      <c r="AE755"/>
      <c r="AF755"/>
    </row>
    <row r="756" spans="11:32" ht="14.1" customHeight="1" x14ac:dyDescent="0.2">
      <c r="K756" s="158"/>
      <c r="L756" s="158"/>
      <c r="M756"/>
      <c r="N756"/>
      <c r="O756"/>
      <c r="P756"/>
      <c r="Q756"/>
      <c r="R756"/>
      <c r="S756"/>
      <c r="T756"/>
      <c r="U756"/>
      <c r="V756"/>
      <c r="W756"/>
      <c r="X756"/>
      <c r="Y756"/>
      <c r="Z756"/>
      <c r="AA756"/>
      <c r="AB756"/>
      <c r="AC756"/>
      <c r="AD756"/>
      <c r="AE756"/>
      <c r="AF756"/>
    </row>
    <row r="757" spans="11:32" ht="14.1" customHeight="1" x14ac:dyDescent="0.2">
      <c r="K757" s="158"/>
      <c r="L757" s="158"/>
      <c r="M757"/>
      <c r="N757"/>
      <c r="O757"/>
      <c r="P757"/>
      <c r="Q757"/>
      <c r="R757"/>
      <c r="S757"/>
      <c r="T757"/>
      <c r="U757"/>
      <c r="V757"/>
      <c r="W757"/>
      <c r="X757"/>
      <c r="Y757"/>
      <c r="Z757"/>
      <c r="AA757"/>
      <c r="AB757"/>
      <c r="AC757"/>
      <c r="AD757"/>
      <c r="AE757"/>
      <c r="AF757"/>
    </row>
    <row r="758" spans="11:32" ht="14.1" customHeight="1" x14ac:dyDescent="0.2">
      <c r="K758" s="158"/>
      <c r="L758" s="158"/>
      <c r="M758"/>
      <c r="N758"/>
      <c r="O758"/>
      <c r="P758"/>
      <c r="Q758"/>
      <c r="R758"/>
      <c r="S758"/>
      <c r="T758"/>
      <c r="U758"/>
      <c r="V758"/>
      <c r="W758"/>
      <c r="X758"/>
      <c r="Y758"/>
      <c r="Z758"/>
      <c r="AA758"/>
      <c r="AB758"/>
      <c r="AC758"/>
      <c r="AD758"/>
      <c r="AE758"/>
      <c r="AF758"/>
    </row>
    <row r="759" spans="11:32" ht="14.1" customHeight="1" x14ac:dyDescent="0.2">
      <c r="K759" s="158"/>
      <c r="L759" s="158"/>
      <c r="M759"/>
      <c r="N759"/>
      <c r="O759"/>
      <c r="P759"/>
      <c r="Q759"/>
      <c r="R759"/>
      <c r="S759"/>
      <c r="T759"/>
      <c r="U759"/>
      <c r="V759"/>
      <c r="W759"/>
      <c r="X759"/>
      <c r="Y759"/>
      <c r="Z759"/>
      <c r="AA759"/>
      <c r="AB759"/>
      <c r="AC759"/>
      <c r="AD759"/>
      <c r="AE759"/>
      <c r="AF759"/>
    </row>
    <row r="760" spans="11:32" ht="14.1" customHeight="1" x14ac:dyDescent="0.2">
      <c r="K760" s="158"/>
      <c r="L760" s="158"/>
      <c r="M760"/>
      <c r="N760"/>
      <c r="O760"/>
      <c r="P760"/>
      <c r="Q760"/>
      <c r="R760"/>
      <c r="S760"/>
      <c r="T760"/>
      <c r="U760"/>
      <c r="V760"/>
      <c r="W760"/>
      <c r="X760"/>
      <c r="Y760"/>
      <c r="Z760"/>
      <c r="AA760"/>
      <c r="AB760"/>
      <c r="AC760"/>
      <c r="AD760"/>
      <c r="AE760"/>
      <c r="AF760"/>
    </row>
    <row r="761" spans="11:32" ht="14.1" customHeight="1" x14ac:dyDescent="0.2">
      <c r="K761" s="158"/>
      <c r="L761" s="158"/>
      <c r="M761"/>
      <c r="N761"/>
      <c r="O761"/>
      <c r="P761"/>
      <c r="Q761"/>
      <c r="R761"/>
      <c r="S761"/>
      <c r="T761"/>
      <c r="U761"/>
      <c r="V761"/>
      <c r="W761"/>
      <c r="X761"/>
      <c r="Y761"/>
      <c r="Z761"/>
      <c r="AA761"/>
      <c r="AB761"/>
      <c r="AC761"/>
      <c r="AD761"/>
      <c r="AE761"/>
      <c r="AF761"/>
    </row>
    <row r="762" spans="11:32" ht="14.1" customHeight="1" x14ac:dyDescent="0.2">
      <c r="K762" s="158"/>
      <c r="L762" s="158"/>
      <c r="M762"/>
      <c r="N762"/>
      <c r="O762"/>
      <c r="P762"/>
      <c r="Q762"/>
      <c r="R762"/>
      <c r="S762"/>
      <c r="T762"/>
      <c r="U762"/>
      <c r="V762"/>
      <c r="W762"/>
      <c r="X762"/>
      <c r="Y762"/>
      <c r="Z762"/>
      <c r="AA762"/>
      <c r="AB762"/>
      <c r="AC762"/>
      <c r="AD762"/>
      <c r="AE762"/>
      <c r="AF762"/>
    </row>
    <row r="763" spans="11:32" ht="14.1" customHeight="1" x14ac:dyDescent="0.2">
      <c r="K763" s="158"/>
      <c r="L763" s="158"/>
      <c r="M763"/>
      <c r="N763"/>
      <c r="O763"/>
      <c r="P763"/>
      <c r="Q763"/>
      <c r="R763"/>
      <c r="S763"/>
      <c r="T763"/>
      <c r="U763"/>
      <c r="V763"/>
      <c r="W763"/>
      <c r="X763"/>
      <c r="Y763"/>
      <c r="Z763"/>
      <c r="AA763"/>
      <c r="AB763"/>
      <c r="AC763"/>
      <c r="AD763"/>
      <c r="AE763"/>
      <c r="AF763"/>
    </row>
    <row r="764" spans="11:32" ht="14.1" customHeight="1" x14ac:dyDescent="0.2">
      <c r="K764" s="158"/>
      <c r="L764" s="158"/>
      <c r="M764"/>
      <c r="N764"/>
      <c r="O764"/>
      <c r="P764"/>
      <c r="Q764"/>
      <c r="R764"/>
      <c r="S764"/>
      <c r="T764"/>
      <c r="U764"/>
      <c r="V764"/>
      <c r="W764"/>
      <c r="X764"/>
      <c r="Y764"/>
      <c r="Z764"/>
      <c r="AA764"/>
      <c r="AB764"/>
      <c r="AC764"/>
      <c r="AD764"/>
      <c r="AE764"/>
      <c r="AF764"/>
    </row>
    <row r="765" spans="11:32" ht="14.1" customHeight="1" x14ac:dyDescent="0.2">
      <c r="K765" s="158"/>
      <c r="L765" s="158"/>
      <c r="M765"/>
      <c r="N765"/>
      <c r="O765"/>
      <c r="P765"/>
      <c r="Q765"/>
      <c r="R765"/>
      <c r="S765"/>
      <c r="T765"/>
      <c r="U765"/>
      <c r="V765"/>
      <c r="W765"/>
      <c r="X765"/>
      <c r="Y765"/>
      <c r="Z765"/>
      <c r="AA765"/>
      <c r="AB765"/>
      <c r="AC765"/>
      <c r="AD765"/>
      <c r="AE765"/>
      <c r="AF765"/>
    </row>
    <row r="766" spans="11:32" ht="14.1" customHeight="1" x14ac:dyDescent="0.2">
      <c r="K766" s="158"/>
      <c r="L766" s="158"/>
      <c r="M766"/>
      <c r="N766"/>
      <c r="O766"/>
      <c r="P766"/>
      <c r="Q766"/>
      <c r="R766"/>
      <c r="S766"/>
      <c r="T766"/>
      <c r="U766"/>
      <c r="V766"/>
      <c r="W766"/>
      <c r="X766"/>
      <c r="Y766"/>
      <c r="Z766"/>
      <c r="AA766"/>
      <c r="AB766"/>
      <c r="AC766"/>
      <c r="AD766"/>
      <c r="AE766"/>
      <c r="AF766"/>
    </row>
    <row r="767" spans="11:32" ht="14.1" customHeight="1" x14ac:dyDescent="0.2">
      <c r="K767" s="158"/>
      <c r="L767" s="158"/>
      <c r="M767"/>
      <c r="N767"/>
      <c r="O767"/>
      <c r="P767"/>
      <c r="Q767"/>
      <c r="R767"/>
      <c r="S767"/>
      <c r="T767"/>
      <c r="U767"/>
      <c r="V767"/>
      <c r="W767"/>
      <c r="X767"/>
      <c r="Y767"/>
      <c r="Z767"/>
      <c r="AA767"/>
      <c r="AB767"/>
      <c r="AC767"/>
      <c r="AD767"/>
      <c r="AE767"/>
      <c r="AF767"/>
    </row>
    <row r="768" spans="11:32" ht="14.1" customHeight="1" x14ac:dyDescent="0.2">
      <c r="K768" s="158"/>
      <c r="L768" s="158"/>
      <c r="M768"/>
      <c r="N768"/>
      <c r="O768"/>
      <c r="P768"/>
      <c r="Q768"/>
      <c r="R768"/>
      <c r="S768"/>
      <c r="T768"/>
      <c r="U768"/>
      <c r="V768"/>
      <c r="W768"/>
      <c r="X768"/>
      <c r="Y768"/>
      <c r="Z768"/>
      <c r="AA768"/>
      <c r="AB768"/>
      <c r="AC768"/>
      <c r="AD768"/>
      <c r="AE768"/>
      <c r="AF768"/>
    </row>
    <row r="769" spans="11:32" ht="14.1" customHeight="1" x14ac:dyDescent="0.2">
      <c r="K769" s="158"/>
      <c r="L769" s="158"/>
      <c r="M769"/>
      <c r="N769"/>
      <c r="O769"/>
      <c r="P769"/>
      <c r="Q769"/>
      <c r="R769"/>
      <c r="S769"/>
      <c r="T769"/>
      <c r="U769"/>
      <c r="V769"/>
      <c r="W769"/>
      <c r="X769"/>
      <c r="Y769"/>
      <c r="Z769"/>
      <c r="AA769"/>
      <c r="AB769"/>
      <c r="AC769"/>
      <c r="AD769"/>
      <c r="AE769"/>
      <c r="AF769"/>
    </row>
    <row r="770" spans="11:32" ht="14.1" customHeight="1" x14ac:dyDescent="0.2">
      <c r="K770" s="158"/>
      <c r="L770" s="158"/>
      <c r="M770"/>
      <c r="N770"/>
      <c r="O770"/>
      <c r="P770"/>
      <c r="Q770"/>
      <c r="R770"/>
      <c r="S770"/>
      <c r="T770"/>
      <c r="U770"/>
      <c r="V770"/>
      <c r="W770"/>
      <c r="X770"/>
      <c r="Y770"/>
      <c r="Z770"/>
      <c r="AA770"/>
      <c r="AB770"/>
      <c r="AC770"/>
      <c r="AD770"/>
      <c r="AE770"/>
      <c r="AF770"/>
    </row>
    <row r="771" spans="11:32" ht="14.1" customHeight="1" x14ac:dyDescent="0.2">
      <c r="K771" s="158"/>
      <c r="L771" s="158"/>
      <c r="M771"/>
      <c r="N771"/>
      <c r="O771"/>
      <c r="P771"/>
      <c r="Q771"/>
      <c r="R771"/>
      <c r="S771"/>
      <c r="T771"/>
      <c r="U771"/>
      <c r="V771"/>
      <c r="W771"/>
      <c r="X771"/>
      <c r="Y771"/>
      <c r="Z771"/>
      <c r="AA771"/>
      <c r="AB771"/>
      <c r="AC771"/>
      <c r="AD771"/>
      <c r="AE771"/>
      <c r="AF771"/>
    </row>
    <row r="772" spans="11:32" ht="14.1" customHeight="1" x14ac:dyDescent="0.2">
      <c r="K772" s="158"/>
      <c r="L772" s="158"/>
      <c r="M772"/>
      <c r="N772"/>
      <c r="O772"/>
      <c r="P772"/>
      <c r="Q772"/>
      <c r="R772"/>
      <c r="S772"/>
      <c r="T772"/>
      <c r="U772"/>
      <c r="V772"/>
      <c r="W772"/>
      <c r="X772"/>
      <c r="Y772"/>
      <c r="Z772"/>
      <c r="AA772"/>
      <c r="AB772"/>
      <c r="AC772"/>
      <c r="AD772"/>
      <c r="AE772"/>
      <c r="AF772"/>
    </row>
    <row r="773" spans="11:32" ht="14.1" customHeight="1" x14ac:dyDescent="0.2">
      <c r="K773" s="158"/>
      <c r="L773" s="158"/>
      <c r="M773"/>
      <c r="N773"/>
      <c r="O773"/>
      <c r="P773"/>
      <c r="Q773"/>
      <c r="R773"/>
      <c r="S773"/>
      <c r="T773"/>
      <c r="U773"/>
      <c r="V773"/>
      <c r="W773"/>
      <c r="X773"/>
      <c r="Y773"/>
      <c r="Z773"/>
      <c r="AA773"/>
      <c r="AB773"/>
      <c r="AC773"/>
      <c r="AD773"/>
      <c r="AE773"/>
      <c r="AF773"/>
    </row>
    <row r="774" spans="11:32" ht="14.1" customHeight="1" x14ac:dyDescent="0.2">
      <c r="M774"/>
      <c r="N774"/>
      <c r="O774"/>
      <c r="P774"/>
      <c r="Q774"/>
      <c r="R774"/>
      <c r="S774"/>
      <c r="T774"/>
      <c r="U774"/>
      <c r="V774"/>
      <c r="W774"/>
      <c r="X774"/>
      <c r="Y774"/>
      <c r="Z774"/>
      <c r="AA774"/>
      <c r="AB774"/>
      <c r="AC774"/>
      <c r="AD774"/>
      <c r="AE774"/>
      <c r="AF774"/>
    </row>
    <row r="775" spans="11:32" ht="14.1" customHeight="1" x14ac:dyDescent="0.2">
      <c r="M775"/>
      <c r="N775"/>
      <c r="O775"/>
      <c r="P775"/>
      <c r="Q775"/>
      <c r="R775"/>
      <c r="S775"/>
      <c r="T775"/>
      <c r="U775"/>
      <c r="V775"/>
      <c r="W775"/>
      <c r="X775"/>
      <c r="Y775"/>
      <c r="Z775"/>
      <c r="AA775"/>
      <c r="AB775"/>
      <c r="AC775"/>
      <c r="AD775"/>
      <c r="AE775"/>
      <c r="AF775"/>
    </row>
    <row r="776" spans="11:32" ht="14.1" customHeight="1" x14ac:dyDescent="0.2">
      <c r="M776"/>
      <c r="N776"/>
      <c r="O776"/>
      <c r="P776"/>
      <c r="Q776"/>
      <c r="R776"/>
      <c r="S776"/>
      <c r="T776"/>
      <c r="U776"/>
      <c r="V776"/>
      <c r="W776"/>
      <c r="X776"/>
      <c r="Y776"/>
      <c r="Z776"/>
      <c r="AA776"/>
      <c r="AB776"/>
      <c r="AC776"/>
      <c r="AD776"/>
      <c r="AE776"/>
      <c r="AF776"/>
    </row>
    <row r="777" spans="11:32" ht="14.1" customHeight="1" x14ac:dyDescent="0.2">
      <c r="M777"/>
      <c r="N777"/>
      <c r="O777"/>
      <c r="P777"/>
      <c r="Q777"/>
      <c r="R777"/>
      <c r="S777"/>
      <c r="T777"/>
      <c r="U777"/>
      <c r="V777"/>
      <c r="W777"/>
      <c r="X777"/>
      <c r="Y777"/>
      <c r="Z777"/>
      <c r="AA777"/>
      <c r="AB777"/>
      <c r="AC777"/>
      <c r="AD777"/>
      <c r="AE777"/>
      <c r="AF777"/>
    </row>
    <row r="778" spans="11:32" ht="14.1" customHeight="1" x14ac:dyDescent="0.2">
      <c r="M778"/>
      <c r="N778"/>
      <c r="O778"/>
      <c r="P778"/>
      <c r="Q778"/>
      <c r="R778"/>
      <c r="S778"/>
      <c r="T778"/>
      <c r="U778"/>
      <c r="V778"/>
      <c r="W778"/>
      <c r="X778"/>
      <c r="Y778"/>
      <c r="Z778"/>
      <c r="AA778"/>
      <c r="AB778"/>
      <c r="AC778"/>
      <c r="AD778"/>
      <c r="AE778"/>
      <c r="AF778"/>
    </row>
    <row r="779" spans="11:32" ht="14.1" customHeight="1" x14ac:dyDescent="0.2">
      <c r="M779"/>
      <c r="N779"/>
      <c r="O779"/>
      <c r="P779"/>
      <c r="Q779"/>
      <c r="R779"/>
      <c r="S779"/>
      <c r="T779"/>
      <c r="U779"/>
      <c r="V779"/>
      <c r="W779"/>
      <c r="X779"/>
      <c r="Y779"/>
      <c r="Z779"/>
      <c r="AA779"/>
      <c r="AB779"/>
      <c r="AC779"/>
      <c r="AD779"/>
      <c r="AE779"/>
      <c r="AF779"/>
    </row>
    <row r="780" spans="11:32" ht="14.1" customHeight="1" x14ac:dyDescent="0.2">
      <c r="M780"/>
      <c r="N780"/>
      <c r="O780"/>
      <c r="P780"/>
      <c r="Q780"/>
      <c r="R780"/>
      <c r="S780"/>
      <c r="T780"/>
      <c r="U780"/>
      <c r="V780"/>
      <c r="W780"/>
      <c r="X780"/>
      <c r="Y780"/>
      <c r="Z780"/>
      <c r="AA780"/>
      <c r="AB780"/>
      <c r="AC780"/>
      <c r="AD780"/>
      <c r="AE780"/>
      <c r="AF780"/>
    </row>
    <row r="781" spans="11:32" ht="14.1" customHeight="1" x14ac:dyDescent="0.2">
      <c r="M781"/>
      <c r="N781"/>
      <c r="O781"/>
      <c r="P781"/>
      <c r="Q781"/>
      <c r="R781"/>
      <c r="S781"/>
      <c r="T781"/>
      <c r="U781"/>
      <c r="V781"/>
      <c r="W781"/>
      <c r="X781"/>
      <c r="Y781"/>
      <c r="Z781"/>
      <c r="AA781"/>
      <c r="AB781"/>
      <c r="AC781"/>
      <c r="AD781"/>
      <c r="AE781"/>
      <c r="AF781"/>
    </row>
    <row r="782" spans="11:32" ht="14.1" customHeight="1" x14ac:dyDescent="0.2">
      <c r="M782"/>
      <c r="N782"/>
      <c r="O782"/>
      <c r="P782"/>
      <c r="Q782"/>
      <c r="R782"/>
      <c r="S782"/>
      <c r="T782"/>
      <c r="U782"/>
      <c r="V782"/>
      <c r="W782"/>
      <c r="X782"/>
      <c r="Y782"/>
      <c r="Z782"/>
      <c r="AA782"/>
      <c r="AB782"/>
      <c r="AC782"/>
      <c r="AD782"/>
      <c r="AE782"/>
      <c r="AF782"/>
    </row>
    <row r="783" spans="11:32" ht="14.1" customHeight="1" x14ac:dyDescent="0.2">
      <c r="M783"/>
      <c r="N783"/>
      <c r="O783"/>
      <c r="P783"/>
      <c r="Q783"/>
      <c r="R783"/>
      <c r="S783"/>
      <c r="T783"/>
      <c r="U783"/>
      <c r="V783"/>
      <c r="W783"/>
      <c r="X783"/>
      <c r="Y783"/>
      <c r="Z783"/>
      <c r="AA783"/>
      <c r="AB783"/>
      <c r="AC783"/>
      <c r="AD783"/>
      <c r="AE783"/>
      <c r="AF783"/>
    </row>
    <row r="784" spans="11:32" ht="14.1" customHeight="1" x14ac:dyDescent="0.2">
      <c r="M784"/>
      <c r="N784"/>
      <c r="O784"/>
      <c r="P784"/>
      <c r="Q784"/>
      <c r="R784"/>
      <c r="S784"/>
      <c r="T784"/>
      <c r="U784"/>
      <c r="V784"/>
      <c r="W784"/>
      <c r="X784"/>
      <c r="Y784"/>
      <c r="Z784"/>
      <c r="AA784"/>
      <c r="AB784"/>
      <c r="AC784"/>
      <c r="AD784"/>
      <c r="AE784"/>
      <c r="AF784"/>
    </row>
    <row r="785" spans="13:32" ht="14.1" customHeight="1" x14ac:dyDescent="0.2">
      <c r="M785"/>
      <c r="N785"/>
      <c r="O785"/>
      <c r="P785"/>
      <c r="Q785"/>
      <c r="R785"/>
      <c r="S785"/>
      <c r="T785"/>
      <c r="U785"/>
      <c r="V785"/>
      <c r="W785"/>
      <c r="X785"/>
      <c r="Y785"/>
      <c r="Z785"/>
      <c r="AA785"/>
      <c r="AB785"/>
      <c r="AC785"/>
      <c r="AD785"/>
      <c r="AE785"/>
      <c r="AF785"/>
    </row>
    <row r="786" spans="13:32" ht="14.1" customHeight="1" x14ac:dyDescent="0.2">
      <c r="M786"/>
      <c r="N786"/>
      <c r="O786"/>
      <c r="P786"/>
      <c r="Q786"/>
      <c r="R786"/>
      <c r="S786"/>
      <c r="T786"/>
      <c r="U786"/>
      <c r="V786"/>
      <c r="W786"/>
      <c r="X786"/>
      <c r="Y786"/>
      <c r="Z786"/>
      <c r="AA786"/>
      <c r="AB786"/>
      <c r="AC786"/>
      <c r="AD786"/>
      <c r="AE786"/>
      <c r="AF786"/>
    </row>
    <row r="787" spans="13:32" ht="14.1" customHeight="1" x14ac:dyDescent="0.2">
      <c r="M787"/>
      <c r="N787"/>
      <c r="O787"/>
      <c r="P787"/>
      <c r="Q787"/>
      <c r="R787"/>
      <c r="S787"/>
      <c r="T787"/>
      <c r="U787"/>
      <c r="V787"/>
      <c r="W787"/>
      <c r="X787"/>
      <c r="Y787"/>
      <c r="Z787"/>
      <c r="AA787"/>
      <c r="AB787"/>
      <c r="AC787"/>
      <c r="AD787"/>
      <c r="AE787"/>
      <c r="AF787"/>
    </row>
    <row r="788" spans="13:32" ht="14.1" customHeight="1" x14ac:dyDescent="0.2">
      <c r="M788"/>
      <c r="N788"/>
      <c r="O788"/>
      <c r="P788"/>
      <c r="Q788"/>
      <c r="R788"/>
      <c r="S788"/>
      <c r="T788"/>
      <c r="U788"/>
      <c r="V788"/>
      <c r="W788"/>
      <c r="X788"/>
      <c r="Y788"/>
      <c r="Z788"/>
      <c r="AA788"/>
      <c r="AB788"/>
      <c r="AC788"/>
      <c r="AD788"/>
      <c r="AE788"/>
      <c r="AF788"/>
    </row>
    <row r="789" spans="13:32" ht="14.1" customHeight="1" x14ac:dyDescent="0.2">
      <c r="M789"/>
      <c r="N789"/>
      <c r="O789"/>
      <c r="P789"/>
      <c r="Q789"/>
      <c r="R789"/>
      <c r="S789"/>
      <c r="T789"/>
      <c r="U789"/>
      <c r="V789"/>
      <c r="W789"/>
      <c r="X789"/>
      <c r="Y789"/>
      <c r="Z789"/>
      <c r="AA789"/>
      <c r="AB789"/>
      <c r="AC789"/>
      <c r="AD789"/>
      <c r="AE789"/>
      <c r="AF789"/>
    </row>
    <row r="790" spans="13:32" ht="14.1" customHeight="1" x14ac:dyDescent="0.2">
      <c r="M790"/>
      <c r="N790"/>
      <c r="O790"/>
      <c r="P790"/>
      <c r="Q790"/>
      <c r="R790"/>
      <c r="S790"/>
      <c r="T790"/>
      <c r="U790"/>
      <c r="V790"/>
      <c r="W790"/>
      <c r="X790"/>
      <c r="Y790"/>
      <c r="Z790"/>
      <c r="AA790"/>
      <c r="AB790"/>
      <c r="AC790"/>
      <c r="AD790"/>
      <c r="AE790"/>
      <c r="AF790"/>
    </row>
    <row r="791" spans="13:32" ht="14.1" customHeight="1" x14ac:dyDescent="0.2">
      <c r="M791"/>
      <c r="N791"/>
      <c r="O791"/>
      <c r="P791"/>
      <c r="Q791"/>
      <c r="R791"/>
      <c r="S791"/>
      <c r="T791"/>
      <c r="U791"/>
      <c r="V791"/>
      <c r="W791"/>
      <c r="X791"/>
      <c r="Y791"/>
      <c r="Z791"/>
      <c r="AA791"/>
      <c r="AB791"/>
      <c r="AC791"/>
      <c r="AD791"/>
      <c r="AE791"/>
      <c r="AF791"/>
    </row>
    <row r="792" spans="13:32" ht="14.1" customHeight="1" x14ac:dyDescent="0.2">
      <c r="M792"/>
      <c r="N792"/>
      <c r="O792"/>
      <c r="P792"/>
      <c r="Q792"/>
      <c r="R792"/>
      <c r="S792"/>
      <c r="T792"/>
      <c r="U792"/>
      <c r="V792"/>
      <c r="W792"/>
      <c r="X792"/>
      <c r="Y792"/>
      <c r="Z792"/>
      <c r="AA792"/>
      <c r="AB792"/>
      <c r="AC792"/>
      <c r="AD792"/>
      <c r="AE792"/>
      <c r="AF792"/>
    </row>
    <row r="793" spans="13:32" ht="14.1" customHeight="1" x14ac:dyDescent="0.2">
      <c r="M793"/>
      <c r="N793"/>
      <c r="O793"/>
      <c r="P793"/>
      <c r="Q793"/>
      <c r="R793"/>
      <c r="S793"/>
      <c r="T793"/>
      <c r="U793"/>
      <c r="V793"/>
      <c r="W793"/>
      <c r="X793"/>
      <c r="Y793"/>
      <c r="Z793"/>
      <c r="AA793"/>
      <c r="AB793"/>
      <c r="AC793"/>
      <c r="AD793"/>
      <c r="AE793"/>
      <c r="AF793"/>
    </row>
    <row r="794" spans="13:32" ht="14.1" customHeight="1" x14ac:dyDescent="0.2">
      <c r="M794"/>
      <c r="N794"/>
      <c r="O794"/>
      <c r="P794"/>
      <c r="Q794"/>
      <c r="R794"/>
      <c r="S794"/>
      <c r="T794"/>
      <c r="U794"/>
      <c r="V794"/>
      <c r="W794"/>
      <c r="X794"/>
      <c r="Y794"/>
      <c r="Z794"/>
      <c r="AA794"/>
      <c r="AB794"/>
      <c r="AC794"/>
      <c r="AD794"/>
      <c r="AE794"/>
      <c r="AF794"/>
    </row>
    <row r="795" spans="13:32" ht="14.1" customHeight="1" x14ac:dyDescent="0.2">
      <c r="M795"/>
      <c r="N795"/>
      <c r="O795"/>
      <c r="P795"/>
      <c r="Q795"/>
      <c r="R795"/>
      <c r="S795"/>
      <c r="T795"/>
      <c r="U795"/>
      <c r="V795"/>
      <c r="W795"/>
      <c r="X795"/>
      <c r="Y795"/>
      <c r="Z795"/>
      <c r="AA795"/>
      <c r="AB795"/>
      <c r="AC795"/>
      <c r="AD795"/>
      <c r="AE795"/>
      <c r="AF795"/>
    </row>
    <row r="796" spans="13:32" ht="14.1" customHeight="1" x14ac:dyDescent="0.2">
      <c r="M796"/>
      <c r="N796"/>
      <c r="O796"/>
      <c r="P796"/>
      <c r="Q796"/>
      <c r="R796"/>
      <c r="S796"/>
      <c r="T796"/>
      <c r="U796"/>
      <c r="V796"/>
      <c r="W796"/>
      <c r="X796"/>
      <c r="Y796"/>
      <c r="Z796"/>
      <c r="AA796"/>
      <c r="AB796"/>
      <c r="AC796"/>
      <c r="AD796"/>
      <c r="AE796"/>
      <c r="AF796"/>
    </row>
    <row r="797" spans="13:32" ht="14.1" customHeight="1" x14ac:dyDescent="0.2">
      <c r="M797"/>
      <c r="N797"/>
      <c r="O797"/>
      <c r="P797"/>
      <c r="Q797"/>
      <c r="R797"/>
      <c r="S797"/>
      <c r="T797"/>
      <c r="U797"/>
      <c r="V797"/>
      <c r="W797"/>
      <c r="X797"/>
      <c r="Y797"/>
      <c r="Z797"/>
      <c r="AA797"/>
      <c r="AB797"/>
      <c r="AC797"/>
      <c r="AD797"/>
      <c r="AE797"/>
      <c r="AF797"/>
    </row>
    <row r="798" spans="13:32" ht="14.1" customHeight="1" x14ac:dyDescent="0.2">
      <c r="M798"/>
      <c r="N798"/>
      <c r="O798"/>
      <c r="P798"/>
      <c r="Q798"/>
      <c r="R798"/>
      <c r="S798"/>
      <c r="T798"/>
      <c r="U798"/>
      <c r="V798"/>
      <c r="W798"/>
      <c r="X798"/>
      <c r="Y798"/>
      <c r="Z798"/>
      <c r="AA798"/>
      <c r="AB798"/>
      <c r="AC798"/>
      <c r="AD798"/>
      <c r="AE798"/>
      <c r="AF798"/>
    </row>
    <row r="799" spans="13:32" ht="14.1" customHeight="1" x14ac:dyDescent="0.2">
      <c r="M799"/>
      <c r="N799"/>
      <c r="O799"/>
      <c r="P799"/>
      <c r="Q799"/>
      <c r="R799"/>
      <c r="S799"/>
      <c r="T799"/>
      <c r="U799"/>
      <c r="V799"/>
      <c r="W799"/>
      <c r="X799"/>
      <c r="Y799"/>
      <c r="Z799"/>
      <c r="AA799"/>
      <c r="AB799"/>
      <c r="AC799"/>
      <c r="AD799"/>
      <c r="AE799"/>
      <c r="AF799"/>
    </row>
    <row r="800" spans="13:32" ht="14.1" customHeight="1" x14ac:dyDescent="0.2">
      <c r="M800"/>
      <c r="N800"/>
      <c r="O800"/>
      <c r="P800"/>
      <c r="Q800"/>
      <c r="R800"/>
      <c r="S800"/>
      <c r="T800"/>
      <c r="U800"/>
      <c r="V800"/>
      <c r="W800"/>
      <c r="X800"/>
      <c r="Y800"/>
      <c r="Z800"/>
      <c r="AA800"/>
      <c r="AB800"/>
      <c r="AC800"/>
      <c r="AD800"/>
      <c r="AE800"/>
      <c r="AF800"/>
    </row>
    <row r="801" spans="13:32" ht="14.1" customHeight="1" x14ac:dyDescent="0.2">
      <c r="M801"/>
      <c r="N801"/>
      <c r="O801"/>
      <c r="P801"/>
      <c r="Q801"/>
      <c r="R801"/>
      <c r="S801"/>
      <c r="T801"/>
      <c r="U801"/>
      <c r="V801"/>
      <c r="W801"/>
      <c r="X801"/>
      <c r="Y801"/>
      <c r="Z801"/>
      <c r="AA801"/>
      <c r="AB801"/>
      <c r="AC801"/>
      <c r="AD801"/>
      <c r="AE801"/>
      <c r="AF801"/>
    </row>
    <row r="802" spans="13:32" ht="14.1" customHeight="1" x14ac:dyDescent="0.2">
      <c r="M802"/>
      <c r="N802"/>
      <c r="O802"/>
      <c r="P802"/>
      <c r="Q802"/>
      <c r="R802"/>
      <c r="S802"/>
      <c r="T802"/>
      <c r="U802"/>
      <c r="V802"/>
      <c r="W802"/>
      <c r="X802"/>
      <c r="Y802"/>
      <c r="Z802"/>
      <c r="AA802"/>
      <c r="AB802"/>
      <c r="AC802"/>
      <c r="AD802"/>
      <c r="AE802"/>
      <c r="AF802"/>
    </row>
    <row r="803" spans="13:32" ht="14.1" customHeight="1" x14ac:dyDescent="0.2">
      <c r="M803"/>
      <c r="N803"/>
      <c r="O803"/>
      <c r="P803"/>
      <c r="Q803"/>
      <c r="R803"/>
      <c r="S803"/>
      <c r="T803"/>
      <c r="U803"/>
      <c r="V803"/>
      <c r="W803"/>
      <c r="X803"/>
      <c r="Y803"/>
      <c r="Z803"/>
      <c r="AA803"/>
      <c r="AB803"/>
      <c r="AC803"/>
      <c r="AD803"/>
      <c r="AE803"/>
      <c r="AF803"/>
    </row>
    <row r="804" spans="13:32" ht="14.1" customHeight="1" x14ac:dyDescent="0.2">
      <c r="M804"/>
      <c r="N804"/>
      <c r="O804"/>
      <c r="P804"/>
      <c r="Q804"/>
      <c r="R804"/>
      <c r="S804"/>
      <c r="T804"/>
      <c r="U804"/>
      <c r="V804"/>
      <c r="W804"/>
      <c r="X804"/>
      <c r="Y804"/>
      <c r="Z804"/>
      <c r="AA804"/>
      <c r="AB804"/>
      <c r="AC804"/>
      <c r="AD804"/>
      <c r="AE804"/>
      <c r="AF804"/>
    </row>
    <row r="805" spans="13:32" ht="14.1" customHeight="1" x14ac:dyDescent="0.2">
      <c r="M805"/>
      <c r="N805"/>
      <c r="O805"/>
      <c r="P805"/>
      <c r="Q805"/>
      <c r="R805"/>
      <c r="S805"/>
      <c r="T805"/>
      <c r="U805"/>
      <c r="V805"/>
      <c r="W805"/>
      <c r="X805"/>
      <c r="Y805"/>
      <c r="Z805"/>
      <c r="AA805"/>
      <c r="AB805"/>
      <c r="AC805"/>
      <c r="AD805"/>
      <c r="AE805"/>
      <c r="AF805"/>
    </row>
    <row r="806" spans="13:32" ht="14.1" customHeight="1" x14ac:dyDescent="0.2">
      <c r="M806"/>
      <c r="N806"/>
      <c r="O806"/>
      <c r="P806"/>
      <c r="Q806"/>
      <c r="R806"/>
      <c r="S806"/>
      <c r="T806"/>
      <c r="U806"/>
      <c r="V806"/>
      <c r="W806"/>
      <c r="X806"/>
      <c r="Y806"/>
      <c r="Z806"/>
      <c r="AA806"/>
      <c r="AB806"/>
      <c r="AC806"/>
      <c r="AD806"/>
      <c r="AE806"/>
      <c r="AF806"/>
    </row>
    <row r="807" spans="13:32" ht="14.1" customHeight="1" x14ac:dyDescent="0.2">
      <c r="M807"/>
      <c r="N807"/>
      <c r="O807"/>
      <c r="P807"/>
      <c r="Q807"/>
      <c r="R807"/>
      <c r="S807"/>
      <c r="T807"/>
      <c r="U807"/>
      <c r="V807"/>
      <c r="W807"/>
      <c r="X807"/>
      <c r="Y807"/>
      <c r="Z807"/>
      <c r="AA807"/>
      <c r="AB807"/>
      <c r="AC807"/>
      <c r="AD807"/>
      <c r="AE807"/>
      <c r="AF807"/>
    </row>
    <row r="808" spans="13:32" ht="14.1" customHeight="1" x14ac:dyDescent="0.2">
      <c r="M808"/>
      <c r="N808"/>
      <c r="O808"/>
      <c r="P808"/>
      <c r="Q808"/>
      <c r="R808"/>
      <c r="S808"/>
      <c r="T808"/>
      <c r="U808"/>
      <c r="V808"/>
      <c r="W808"/>
      <c r="X808"/>
      <c r="Y808"/>
      <c r="Z808"/>
      <c r="AA808"/>
      <c r="AB808"/>
      <c r="AC808"/>
      <c r="AD808"/>
      <c r="AE808"/>
      <c r="AF808"/>
    </row>
    <row r="809" spans="13:32" ht="14.1" customHeight="1" x14ac:dyDescent="0.2">
      <c r="M809"/>
      <c r="N809"/>
      <c r="O809"/>
      <c r="P809"/>
      <c r="Q809"/>
      <c r="R809"/>
      <c r="S809"/>
      <c r="T809"/>
      <c r="U809"/>
      <c r="V809"/>
      <c r="W809"/>
      <c r="X809"/>
      <c r="Y809"/>
      <c r="Z809"/>
      <c r="AA809"/>
      <c r="AB809"/>
      <c r="AC809"/>
      <c r="AD809"/>
      <c r="AE809"/>
      <c r="AF809"/>
    </row>
    <row r="810" spans="13:32" ht="14.1" customHeight="1" x14ac:dyDescent="0.2">
      <c r="M810"/>
      <c r="N810"/>
      <c r="O810"/>
      <c r="P810"/>
      <c r="Q810"/>
      <c r="R810"/>
      <c r="S810"/>
      <c r="T810"/>
      <c r="U810"/>
      <c r="V810"/>
      <c r="W810"/>
      <c r="X810"/>
      <c r="Y810"/>
      <c r="Z810"/>
      <c r="AA810"/>
      <c r="AB810"/>
      <c r="AC810"/>
      <c r="AD810"/>
      <c r="AE810"/>
      <c r="AF810"/>
    </row>
    <row r="811" spans="13:32" ht="14.1" customHeight="1" x14ac:dyDescent="0.2">
      <c r="M811"/>
      <c r="N811"/>
      <c r="O811"/>
      <c r="P811"/>
      <c r="Q811"/>
      <c r="R811"/>
      <c r="S811"/>
      <c r="T811"/>
      <c r="U811"/>
      <c r="V811"/>
      <c r="W811"/>
      <c r="X811"/>
      <c r="Y811"/>
      <c r="Z811"/>
      <c r="AA811"/>
      <c r="AB811"/>
      <c r="AC811"/>
      <c r="AD811"/>
      <c r="AE811"/>
      <c r="AF811"/>
    </row>
    <row r="812" spans="13:32" ht="14.1" customHeight="1" x14ac:dyDescent="0.2">
      <c r="M812"/>
      <c r="N812"/>
      <c r="O812"/>
      <c r="P812"/>
      <c r="Q812"/>
      <c r="R812"/>
      <c r="S812"/>
      <c r="T812"/>
      <c r="U812"/>
      <c r="V812"/>
      <c r="W812"/>
      <c r="X812"/>
      <c r="Y812"/>
      <c r="Z812"/>
      <c r="AA812"/>
      <c r="AB812"/>
      <c r="AC812"/>
      <c r="AD812"/>
      <c r="AE812"/>
      <c r="AF812"/>
    </row>
    <row r="813" spans="13:32" ht="14.1" customHeight="1" x14ac:dyDescent="0.2">
      <c r="M813"/>
      <c r="N813"/>
      <c r="O813"/>
      <c r="P813"/>
      <c r="Q813"/>
      <c r="R813"/>
      <c r="S813"/>
      <c r="T813"/>
      <c r="U813"/>
      <c r="V813"/>
      <c r="W813"/>
      <c r="X813"/>
      <c r="Y813"/>
      <c r="Z813"/>
      <c r="AA813"/>
      <c r="AB813"/>
      <c r="AC813"/>
      <c r="AD813"/>
      <c r="AE813"/>
      <c r="AF813"/>
    </row>
    <row r="814" spans="13:32" ht="14.1" customHeight="1" x14ac:dyDescent="0.2">
      <c r="M814"/>
      <c r="N814"/>
      <c r="O814"/>
      <c r="P814"/>
      <c r="Q814"/>
      <c r="R814"/>
      <c r="S814"/>
      <c r="T814"/>
      <c r="U814"/>
      <c r="V814"/>
      <c r="W814"/>
      <c r="X814"/>
      <c r="Y814"/>
      <c r="Z814"/>
      <c r="AA814"/>
      <c r="AB814"/>
      <c r="AC814"/>
      <c r="AD814"/>
      <c r="AE814"/>
      <c r="AF814"/>
    </row>
    <row r="815" spans="13:32" ht="14.1" customHeight="1" x14ac:dyDescent="0.2">
      <c r="M815"/>
      <c r="N815"/>
      <c r="O815"/>
      <c r="P815"/>
      <c r="Q815"/>
      <c r="R815"/>
      <c r="S815"/>
      <c r="T815"/>
      <c r="U815"/>
      <c r="V815"/>
      <c r="W815"/>
      <c r="X815"/>
      <c r="Y815"/>
      <c r="Z815"/>
      <c r="AA815"/>
      <c r="AB815"/>
      <c r="AC815"/>
      <c r="AD815"/>
      <c r="AE815"/>
      <c r="AF815"/>
    </row>
    <row r="816" spans="13:32" ht="14.1" customHeight="1" x14ac:dyDescent="0.2">
      <c r="M816"/>
      <c r="N816"/>
      <c r="O816"/>
      <c r="P816"/>
      <c r="Q816"/>
      <c r="R816"/>
      <c r="S816"/>
      <c r="T816"/>
      <c r="U816"/>
      <c r="V816"/>
      <c r="W816"/>
      <c r="X816"/>
      <c r="Y816"/>
      <c r="Z816"/>
      <c r="AA816"/>
      <c r="AB816"/>
      <c r="AC816"/>
      <c r="AD816"/>
      <c r="AE816"/>
      <c r="AF816"/>
    </row>
    <row r="817" spans="1:32" ht="14.1" customHeight="1" x14ac:dyDescent="0.2">
      <c r="M817"/>
      <c r="N817"/>
      <c r="O817"/>
      <c r="P817"/>
      <c r="Q817"/>
      <c r="R817"/>
      <c r="S817"/>
      <c r="T817"/>
      <c r="U817"/>
      <c r="V817"/>
      <c r="W817"/>
      <c r="X817"/>
      <c r="Y817"/>
      <c r="Z817"/>
      <c r="AA817"/>
      <c r="AB817"/>
      <c r="AC817"/>
      <c r="AD817"/>
      <c r="AE817"/>
      <c r="AF817"/>
    </row>
    <row r="818" spans="1:32" ht="14.1" customHeight="1" x14ac:dyDescent="0.2">
      <c r="M818"/>
      <c r="N818"/>
      <c r="O818"/>
      <c r="P818"/>
      <c r="Q818"/>
      <c r="R818"/>
      <c r="S818"/>
      <c r="T818"/>
      <c r="U818"/>
      <c r="V818"/>
      <c r="W818"/>
      <c r="X818"/>
      <c r="Y818"/>
      <c r="Z818"/>
      <c r="AA818"/>
      <c r="AB818"/>
      <c r="AC818"/>
      <c r="AD818"/>
      <c r="AE818"/>
      <c r="AF818"/>
    </row>
    <row r="819" spans="1:32" ht="14.1" customHeight="1" x14ac:dyDescent="0.2">
      <c r="M819"/>
      <c r="N819"/>
      <c r="O819"/>
      <c r="P819"/>
      <c r="Q819"/>
      <c r="R819"/>
      <c r="S819"/>
      <c r="T819"/>
      <c r="U819"/>
      <c r="V819"/>
      <c r="W819"/>
      <c r="X819"/>
      <c r="Y819"/>
      <c r="Z819"/>
      <c r="AA819"/>
      <c r="AB819"/>
      <c r="AC819"/>
      <c r="AD819"/>
      <c r="AE819"/>
      <c r="AF819"/>
    </row>
    <row r="820" spans="1:32" ht="14.1" customHeight="1" x14ac:dyDescent="0.2">
      <c r="A820"/>
      <c r="B820"/>
      <c r="C820"/>
      <c r="D820"/>
      <c r="E820"/>
      <c r="F820"/>
      <c r="G820"/>
      <c r="H820"/>
      <c r="I820"/>
      <c r="J820"/>
      <c r="K820"/>
      <c r="L820"/>
      <c r="M820"/>
      <c r="N820"/>
      <c r="O820"/>
      <c r="P820"/>
      <c r="Q820"/>
      <c r="R820"/>
      <c r="S820"/>
      <c r="T820"/>
      <c r="U820"/>
      <c r="V820"/>
      <c r="W820"/>
      <c r="X820"/>
      <c r="Y820"/>
      <c r="Z820"/>
      <c r="AA820"/>
      <c r="AB820"/>
      <c r="AC820"/>
      <c r="AD820"/>
      <c r="AE820"/>
      <c r="AF820"/>
    </row>
    <row r="821" spans="1:32" ht="14.1" customHeight="1" x14ac:dyDescent="0.2">
      <c r="A821"/>
      <c r="B821"/>
      <c r="C821"/>
      <c r="D821"/>
      <c r="E821"/>
      <c r="F821"/>
      <c r="G821"/>
      <c r="H821"/>
      <c r="I821"/>
      <c r="J821"/>
      <c r="K821"/>
      <c r="L821"/>
      <c r="M821"/>
      <c r="N821"/>
      <c r="O821"/>
      <c r="P821"/>
      <c r="Q821"/>
      <c r="R821"/>
      <c r="S821"/>
      <c r="T821"/>
      <c r="U821"/>
      <c r="V821"/>
      <c r="W821"/>
      <c r="X821"/>
      <c r="Y821"/>
      <c r="Z821"/>
      <c r="AA821"/>
      <c r="AB821"/>
      <c r="AC821"/>
      <c r="AD821"/>
      <c r="AE821"/>
      <c r="AF821"/>
    </row>
    <row r="822" spans="1:32" ht="14.1" customHeight="1" x14ac:dyDescent="0.2">
      <c r="A822"/>
      <c r="B822"/>
      <c r="C822"/>
      <c r="D822"/>
      <c r="E822"/>
      <c r="F822"/>
      <c r="G822"/>
      <c r="H822"/>
      <c r="I822"/>
      <c r="J822"/>
      <c r="K822"/>
      <c r="L822"/>
      <c r="M822"/>
      <c r="N822"/>
      <c r="O822"/>
      <c r="P822"/>
      <c r="Q822"/>
      <c r="R822"/>
      <c r="S822"/>
      <c r="T822"/>
      <c r="U822"/>
      <c r="V822"/>
      <c r="W822"/>
      <c r="X822"/>
      <c r="Y822"/>
      <c r="Z822"/>
      <c r="AA822"/>
      <c r="AB822"/>
      <c r="AC822"/>
      <c r="AD822"/>
      <c r="AE822"/>
      <c r="AF822"/>
    </row>
    <row r="823" spans="1:32" ht="14.1" customHeight="1" x14ac:dyDescent="0.2">
      <c r="A823"/>
      <c r="B823"/>
      <c r="C823"/>
      <c r="D823"/>
      <c r="E823"/>
      <c r="F823"/>
      <c r="G823"/>
      <c r="H823"/>
      <c r="I823"/>
      <c r="J823"/>
      <c r="K823"/>
      <c r="L823"/>
      <c r="M823"/>
      <c r="N823"/>
      <c r="O823"/>
      <c r="P823"/>
      <c r="Q823"/>
      <c r="R823"/>
      <c r="S823"/>
      <c r="T823"/>
      <c r="U823"/>
      <c r="V823"/>
      <c r="W823"/>
      <c r="X823"/>
      <c r="Y823"/>
      <c r="Z823"/>
      <c r="AA823"/>
      <c r="AB823"/>
      <c r="AC823"/>
      <c r="AD823"/>
      <c r="AE823"/>
      <c r="AF823"/>
    </row>
    <row r="824" spans="1:32" ht="14.1" customHeight="1" x14ac:dyDescent="0.2">
      <c r="A824"/>
      <c r="B824"/>
      <c r="C824"/>
      <c r="D824"/>
      <c r="E824"/>
      <c r="F824"/>
      <c r="G824"/>
      <c r="H824"/>
      <c r="I824"/>
      <c r="J824"/>
      <c r="K824"/>
      <c r="L824"/>
      <c r="M824"/>
      <c r="N824"/>
      <c r="O824"/>
      <c r="P824"/>
      <c r="Q824"/>
      <c r="R824"/>
      <c r="S824"/>
      <c r="T824"/>
      <c r="U824"/>
      <c r="V824"/>
      <c r="W824"/>
      <c r="X824"/>
      <c r="Y824"/>
      <c r="Z824"/>
      <c r="AA824"/>
      <c r="AB824"/>
      <c r="AC824"/>
      <c r="AD824"/>
      <c r="AE824"/>
      <c r="AF824"/>
    </row>
    <row r="825" spans="1:32" ht="14.1" customHeight="1" x14ac:dyDescent="0.2">
      <c r="A825"/>
      <c r="B825"/>
      <c r="C825"/>
      <c r="D825"/>
      <c r="E825"/>
      <c r="F825"/>
      <c r="G825"/>
      <c r="H825"/>
      <c r="I825"/>
      <c r="J825"/>
      <c r="K825"/>
      <c r="L825"/>
      <c r="M825"/>
      <c r="N825"/>
      <c r="O825"/>
      <c r="P825"/>
      <c r="Q825"/>
      <c r="R825"/>
      <c r="S825"/>
      <c r="T825"/>
      <c r="U825"/>
      <c r="V825"/>
      <c r="W825"/>
      <c r="X825"/>
      <c r="Y825"/>
      <c r="Z825"/>
      <c r="AA825"/>
      <c r="AB825"/>
      <c r="AC825"/>
      <c r="AD825"/>
      <c r="AE825"/>
      <c r="AF825"/>
    </row>
    <row r="826" spans="1:32" ht="14.1" customHeight="1" x14ac:dyDescent="0.2">
      <c r="A826"/>
      <c r="B826"/>
      <c r="C826"/>
      <c r="D826"/>
      <c r="E826"/>
      <c r="F826"/>
      <c r="G826"/>
      <c r="H826"/>
      <c r="I826"/>
      <c r="J826"/>
      <c r="K826"/>
      <c r="L826"/>
      <c r="M826"/>
      <c r="N826"/>
      <c r="O826"/>
      <c r="P826"/>
      <c r="Q826"/>
      <c r="R826"/>
      <c r="S826"/>
      <c r="T826"/>
      <c r="U826"/>
      <c r="V826"/>
      <c r="W826"/>
      <c r="X826"/>
      <c r="Y826"/>
      <c r="Z826"/>
      <c r="AA826"/>
      <c r="AB826"/>
      <c r="AC826"/>
      <c r="AD826"/>
      <c r="AE826"/>
      <c r="AF826"/>
    </row>
    <row r="827" spans="1:32" ht="14.1" customHeight="1" x14ac:dyDescent="0.2">
      <c r="A827"/>
      <c r="B827"/>
      <c r="C827"/>
      <c r="D827"/>
      <c r="E827"/>
      <c r="F827"/>
      <c r="G827"/>
      <c r="H827"/>
      <c r="I827"/>
      <c r="J827"/>
      <c r="K827"/>
      <c r="L827"/>
      <c r="M827"/>
      <c r="N827"/>
      <c r="O827"/>
      <c r="P827"/>
      <c r="Q827"/>
      <c r="R827"/>
      <c r="S827"/>
      <c r="T827"/>
      <c r="U827"/>
      <c r="V827"/>
      <c r="W827"/>
      <c r="X827"/>
      <c r="Y827"/>
      <c r="Z827"/>
      <c r="AA827"/>
      <c r="AB827"/>
      <c r="AC827"/>
      <c r="AD827"/>
      <c r="AE827"/>
      <c r="AF827"/>
    </row>
    <row r="828" spans="1:32" ht="14.1" customHeight="1" x14ac:dyDescent="0.2">
      <c r="A828"/>
      <c r="B828"/>
      <c r="C828"/>
      <c r="D828"/>
      <c r="E828"/>
      <c r="F828"/>
      <c r="G828"/>
      <c r="H828"/>
      <c r="I828"/>
      <c r="J828"/>
      <c r="K828"/>
      <c r="L828"/>
      <c r="M828"/>
      <c r="N828"/>
      <c r="O828"/>
      <c r="P828"/>
      <c r="Q828"/>
      <c r="R828"/>
      <c r="S828"/>
      <c r="T828"/>
      <c r="U828"/>
      <c r="V828"/>
      <c r="W828"/>
      <c r="X828"/>
      <c r="Y828"/>
      <c r="Z828"/>
      <c r="AA828"/>
      <c r="AB828"/>
      <c r="AC828"/>
      <c r="AD828"/>
      <c r="AE828"/>
      <c r="AF828"/>
    </row>
    <row r="829" spans="1:32" ht="14.1" customHeight="1" x14ac:dyDescent="0.2">
      <c r="A829"/>
      <c r="B829"/>
      <c r="C829"/>
      <c r="D829"/>
      <c r="E829"/>
      <c r="F829"/>
      <c r="G829"/>
      <c r="H829"/>
      <c r="I829"/>
      <c r="J829"/>
      <c r="K829"/>
      <c r="L829"/>
      <c r="M829"/>
      <c r="N829"/>
      <c r="O829"/>
      <c r="P829"/>
      <c r="Q829"/>
      <c r="R829"/>
      <c r="S829"/>
      <c r="T829"/>
      <c r="U829"/>
      <c r="V829"/>
      <c r="W829"/>
      <c r="X829"/>
      <c r="Y829"/>
      <c r="Z829"/>
      <c r="AA829"/>
      <c r="AB829"/>
      <c r="AC829"/>
      <c r="AD829"/>
      <c r="AE829"/>
      <c r="AF829"/>
    </row>
    <row r="830" spans="1:32" ht="14.1" customHeight="1" x14ac:dyDescent="0.2">
      <c r="A830"/>
      <c r="B830"/>
      <c r="C830"/>
      <c r="D830"/>
      <c r="E830"/>
      <c r="F830"/>
      <c r="G830"/>
      <c r="H830"/>
      <c r="I830"/>
      <c r="J830"/>
      <c r="K830"/>
      <c r="L830"/>
      <c r="M830"/>
      <c r="N830"/>
      <c r="O830"/>
      <c r="P830"/>
      <c r="Q830"/>
      <c r="R830"/>
      <c r="S830"/>
      <c r="T830"/>
      <c r="U830"/>
      <c r="V830"/>
      <c r="W830"/>
      <c r="X830"/>
      <c r="Y830"/>
      <c r="Z830"/>
      <c r="AA830"/>
      <c r="AB830"/>
      <c r="AC830"/>
      <c r="AD830"/>
      <c r="AE830"/>
      <c r="AF830"/>
    </row>
    <row r="831" spans="1:32" ht="14.1" customHeight="1" x14ac:dyDescent="0.2">
      <c r="A831"/>
      <c r="B831"/>
      <c r="C831"/>
      <c r="D831"/>
      <c r="E831"/>
      <c r="F831"/>
      <c r="G831"/>
      <c r="H831"/>
      <c r="I831"/>
      <c r="J831"/>
      <c r="K831"/>
      <c r="L831"/>
      <c r="M831"/>
      <c r="N831"/>
      <c r="O831"/>
      <c r="P831"/>
      <c r="Q831"/>
      <c r="R831"/>
      <c r="S831"/>
      <c r="T831"/>
      <c r="U831"/>
      <c r="V831"/>
      <c r="W831"/>
      <c r="X831"/>
      <c r="Y831"/>
      <c r="Z831"/>
      <c r="AA831"/>
      <c r="AB831"/>
      <c r="AC831"/>
      <c r="AD831"/>
      <c r="AE831"/>
      <c r="AF831"/>
    </row>
    <row r="832" spans="1:32" ht="14.1" customHeight="1" x14ac:dyDescent="0.2">
      <c r="A832"/>
      <c r="B832"/>
      <c r="C832"/>
      <c r="D832"/>
      <c r="E832"/>
      <c r="F832"/>
      <c r="G832"/>
      <c r="H832"/>
      <c r="I832"/>
      <c r="J832"/>
      <c r="K832"/>
      <c r="L832"/>
      <c r="M832"/>
      <c r="N832"/>
      <c r="O832"/>
      <c r="P832"/>
      <c r="Q832"/>
      <c r="R832"/>
      <c r="S832"/>
      <c r="T832"/>
      <c r="U832"/>
      <c r="V832"/>
      <c r="W832"/>
      <c r="X832"/>
      <c r="Y832"/>
      <c r="Z832"/>
      <c r="AA832"/>
      <c r="AB832"/>
      <c r="AC832"/>
      <c r="AD832"/>
      <c r="AE832"/>
      <c r="AF832"/>
    </row>
  </sheetData>
  <autoFilter ref="A7:L819" xr:uid="{F3CD7070-5B6A-4D8C-AA04-C490F6D004DF}"/>
  <mergeCells count="1">
    <mergeCell ref="A6:J6"/>
  </mergeCells>
  <conditionalFormatting sqref="A85:B85 G85 A139:D147 J11:J56 H58:J79 G59:G79 A78:F79 I83:J84 A86:J86 A87:G97 H87:H113 J95:J97 A98:B101 G99:G101 G103:G109 C106:F109 C110:G113 A115:J132 A134:J138 A151:J181">
    <cfRule type="expression" dxfId="20287" priority="39">
      <formula>$B11="SUBETAPA"</formula>
    </cfRule>
  </conditionalFormatting>
  <conditionalFormatting sqref="A102:B113">
    <cfRule type="expression" dxfId="20286" priority="54">
      <formula>$B102="SUBETAPA"</formula>
    </cfRule>
  </conditionalFormatting>
  <conditionalFormatting sqref="A98:C101">
    <cfRule type="expression" dxfId="20285" priority="118">
      <formula>$B98="ETAPA"</formula>
    </cfRule>
  </conditionalFormatting>
  <conditionalFormatting sqref="A102:C105">
    <cfRule type="expression" dxfId="20284" priority="52">
      <formula>$B102="ETAPA"</formula>
    </cfRule>
  </conditionalFormatting>
  <conditionalFormatting sqref="A77:D79">
    <cfRule type="expression" dxfId="20283" priority="160">
      <formula>$B77="ETAPA"</formula>
    </cfRule>
  </conditionalFormatting>
  <conditionalFormatting sqref="A85:D85">
    <cfRule type="expression" dxfId="20282" priority="38">
      <formula>$B85="ETAPA"</formula>
    </cfRule>
  </conditionalFormatting>
  <conditionalFormatting sqref="A139:D147">
    <cfRule type="expression" dxfId="20281" priority="108">
      <formula>$B139="ETAPA"</formula>
    </cfRule>
  </conditionalFormatting>
  <conditionalFormatting sqref="A144:D147">
    <cfRule type="expression" dxfId="20280" priority="16">
      <formula>$B144="CÉLULA CONSTRUTIVA"</formula>
    </cfRule>
  </conditionalFormatting>
  <conditionalFormatting sqref="A150:D150 G59:G79 I87:J97 F108:F109 F110:G113">
    <cfRule type="expression" dxfId="20279" priority="94">
      <formula>$B59="CÉLULA CONSTRUTIVA"</formula>
    </cfRule>
  </conditionalFormatting>
  <conditionalFormatting sqref="A83:E84">
    <cfRule type="expression" dxfId="20278" priority="146">
      <formula>$B83="SUBETAPA"</formula>
    </cfRule>
  </conditionalFormatting>
  <conditionalFormatting sqref="A85:E85">
    <cfRule type="expression" dxfId="20277" priority="32">
      <formula>$B85="CÉLULA CONSTRUTIVA"</formula>
    </cfRule>
  </conditionalFormatting>
  <conditionalFormatting sqref="A150:E150">
    <cfRule type="expression" dxfId="20276" priority="57">
      <formula>$B150="SUBETAPA"</formula>
    </cfRule>
  </conditionalFormatting>
  <conditionalFormatting sqref="A59:F77">
    <cfRule type="expression" dxfId="20275" priority="191">
      <formula>$B59="SUBETAPA"</formula>
    </cfRule>
    <cfRule type="expression" dxfId="20274" priority="192">
      <formula>$B59="CÉLULA CONSTRUTIVA"</formula>
    </cfRule>
  </conditionalFormatting>
  <conditionalFormatting sqref="A58:G58">
    <cfRule type="expression" dxfId="20273" priority="166">
      <formula>$B58="SUBETAPA"</formula>
    </cfRule>
    <cfRule type="expression" dxfId="20272" priority="167">
      <formula>$B58="CÉLULA CONSTRUTIVA"</formula>
    </cfRule>
    <cfRule type="expression" dxfId="20271" priority="170">
      <formula>$B58="ETAPA"</formula>
    </cfRule>
  </conditionalFormatting>
  <conditionalFormatting sqref="A83:G84">
    <cfRule type="expression" dxfId="20270" priority="78">
      <formula>$B83="CÉLULA CONSTRUTIVA"</formula>
    </cfRule>
  </conditionalFormatting>
  <conditionalFormatting sqref="A87:G98">
    <cfRule type="expression" dxfId="20269" priority="106">
      <formula>$B87="CÉLULA CONSTRUTIVA"</formula>
    </cfRule>
  </conditionalFormatting>
  <conditionalFormatting sqref="A102:G102">
    <cfRule type="expression" dxfId="20268" priority="51">
      <formula>$B102="CÉLULA CONSTRUTIVA"</formula>
    </cfRule>
  </conditionalFormatting>
  <conditionalFormatting sqref="A114:G114">
    <cfRule type="expression" dxfId="20267" priority="122">
      <formula>$B114="CÉLULA CONSTRUTIVA"</formula>
    </cfRule>
    <cfRule type="expression" dxfId="20266" priority="123">
      <formula>$B114="ETAPA"</formula>
    </cfRule>
  </conditionalFormatting>
  <conditionalFormatting sqref="A148:G148">
    <cfRule type="expression" dxfId="20265" priority="92">
      <formula>$B148="CÉLULA CONSTRUTIVA"</formula>
    </cfRule>
    <cfRule type="expression" dxfId="20264" priority="93">
      <formula>$B148="ETAPA"</formula>
    </cfRule>
  </conditionalFormatting>
  <conditionalFormatting sqref="A8:H56">
    <cfRule type="expression" dxfId="20263" priority="133">
      <formula>$B8="SUBETAPA"</formula>
    </cfRule>
  </conditionalFormatting>
  <conditionalFormatting sqref="A11:H19">
    <cfRule type="expression" dxfId="20262" priority="48">
      <formula>$B11="CÉLULA CONSTRUTIVA"</formula>
    </cfRule>
    <cfRule type="expression" dxfId="20261" priority="49">
      <formula>$B11="ETAPA"</formula>
    </cfRule>
  </conditionalFormatting>
  <conditionalFormatting sqref="A114:H114">
    <cfRule type="expression" dxfId="20260" priority="124">
      <formula>$B114="SUBETAPA"</formula>
    </cfRule>
  </conditionalFormatting>
  <conditionalFormatting sqref="A133:H133">
    <cfRule type="expression" dxfId="20259" priority="120">
      <formula>$B133="CÉLULA CONSTRUTIVA"</formula>
    </cfRule>
  </conditionalFormatting>
  <conditionalFormatting sqref="A8:J10">
    <cfRule type="expression" dxfId="20258" priority="215">
      <formula>$B8="ETAPA"</formula>
    </cfRule>
  </conditionalFormatting>
  <conditionalFormatting sqref="A57:J57">
    <cfRule type="expression" dxfId="20257" priority="188">
      <formula>$B57="SUBETAPA"</formula>
    </cfRule>
    <cfRule type="expression" dxfId="20256" priority="189">
      <formula>$B57="CÉLULA CONSTRUTIVA"</formula>
    </cfRule>
    <cfRule type="expression" dxfId="20255" priority="190">
      <formula>$B57="ETAPA"</formula>
    </cfRule>
  </conditionalFormatting>
  <conditionalFormatting sqref="A80:J82">
    <cfRule type="expression" dxfId="20254" priority="148">
      <formula>$B80="SUBETAPA"</formula>
    </cfRule>
    <cfRule type="expression" dxfId="20253" priority="149">
      <formula>$B80="CÉLULA CONSTRUTIVA"</formula>
    </cfRule>
    <cfRule type="expression" dxfId="20252" priority="150">
      <formula>$B80="ETAPA"</formula>
    </cfRule>
  </conditionalFormatting>
  <conditionalFormatting sqref="A115:J132">
    <cfRule type="expression" dxfId="20251" priority="112">
      <formula>$B115="ETAPA"</formula>
    </cfRule>
  </conditionalFormatting>
  <conditionalFormatting sqref="A133:J133">
    <cfRule type="expression" dxfId="20250" priority="119">
      <formula>$B133="SUBETAPA"</formula>
    </cfRule>
  </conditionalFormatting>
  <conditionalFormatting sqref="A133:J138">
    <cfRule type="expression" dxfId="20249" priority="132">
      <formula>$B133="ETAPA"</formula>
    </cfRule>
  </conditionalFormatting>
  <conditionalFormatting sqref="A148:J149">
    <cfRule type="expression" dxfId="20248" priority="81">
      <formula>$B148="SUBETAPA"</formula>
    </cfRule>
  </conditionalFormatting>
  <conditionalFormatting sqref="A149:J149">
    <cfRule type="expression" dxfId="20247" priority="103">
      <formula>$B149="CÉLULA CONSTRUTIVA"</formula>
    </cfRule>
    <cfRule type="expression" dxfId="20246" priority="104">
      <formula>$B149="ETAPA"</formula>
    </cfRule>
  </conditionalFormatting>
  <conditionalFormatting sqref="C106:C108">
    <cfRule type="expression" dxfId="20245" priority="129">
      <formula>$B106="ETAPA"</formula>
    </cfRule>
  </conditionalFormatting>
  <conditionalFormatting sqref="C85:E85">
    <cfRule type="expression" dxfId="20244" priority="23">
      <formula>$B85="SUBETAPA"</formula>
    </cfRule>
  </conditionalFormatting>
  <conditionalFormatting sqref="C99:E101">
    <cfRule type="expression" dxfId="20243" priority="8">
      <formula>$B99="SUBETAPA"</formula>
    </cfRule>
  </conditionalFormatting>
  <conditionalFormatting sqref="C103:E105">
    <cfRule type="expression" dxfId="20242" priority="5">
      <formula>$B103="SUBETAPA"</formula>
    </cfRule>
  </conditionalFormatting>
  <conditionalFormatting sqref="C98:G98">
    <cfRule type="expression" dxfId="20241" priority="105">
      <formula>$B98="SUBETAPA"</formula>
    </cfRule>
  </conditionalFormatting>
  <conditionalFormatting sqref="C102:G102">
    <cfRule type="expression" dxfId="20240" priority="50">
      <formula>$B102="SUBETAPA"</formula>
    </cfRule>
  </conditionalFormatting>
  <conditionalFormatting sqref="D85">
    <cfRule type="expression" dxfId="20239" priority="31">
      <formula>$B85="ETAPA"</formula>
    </cfRule>
  </conditionalFormatting>
  <conditionalFormatting sqref="D108:E108">
    <cfRule type="expression" dxfId="20238" priority="128">
      <formula>$B108="ETAPA"</formula>
    </cfRule>
  </conditionalFormatting>
  <conditionalFormatting sqref="D99:F101">
    <cfRule type="expression" dxfId="20237" priority="10">
      <formula>$B99="ETAPA"</formula>
    </cfRule>
  </conditionalFormatting>
  <conditionalFormatting sqref="D103:F105">
    <cfRule type="expression" dxfId="20236" priority="7">
      <formula>$B103="ETAPA"</formula>
    </cfRule>
  </conditionalFormatting>
  <conditionalFormatting sqref="D106:F107">
    <cfRule type="expression" dxfId="20235" priority="127">
      <formula>$B106="ETAPA"</formula>
    </cfRule>
  </conditionalFormatting>
  <conditionalFormatting sqref="D102:G102">
    <cfRule type="expression" dxfId="20234" priority="53">
      <formula>$B102="ETAPA"</formula>
    </cfRule>
  </conditionalFormatting>
  <conditionalFormatting sqref="E83">
    <cfRule type="expression" dxfId="20233" priority="139">
      <formula>$B83="ETAPA"</formula>
    </cfRule>
  </conditionalFormatting>
  <conditionalFormatting sqref="E99:E101">
    <cfRule type="expression" dxfId="20232" priority="9">
      <formula>$B99="CÉLULA CONSTRUTIVA"</formula>
    </cfRule>
  </conditionalFormatting>
  <conditionalFormatting sqref="E103:F105">
    <cfRule type="expression" dxfId="20231" priority="6">
      <formula>$B103="CÉLULA CONSTRUTIVA"</formula>
    </cfRule>
  </conditionalFormatting>
  <conditionalFormatting sqref="E139:G147">
    <cfRule type="expression" dxfId="20230" priority="2">
      <formula>$B139="ETAPA"</formula>
    </cfRule>
    <cfRule type="expression" dxfId="20229" priority="4">
      <formula>$B139="CÉLULA CONSTRUTIVA"</formula>
    </cfRule>
  </conditionalFormatting>
  <conditionalFormatting sqref="E150:G150">
    <cfRule type="expression" dxfId="20228" priority="55">
      <formula>$B150="CÉLULA CONSTRUTIVA"</formula>
    </cfRule>
    <cfRule type="expression" dxfId="20227" priority="56">
      <formula>$B150="ETAPA"</formula>
    </cfRule>
  </conditionalFormatting>
  <conditionalFormatting sqref="E139:J147">
    <cfRule type="expression" dxfId="20226" priority="3">
      <formula>$B139="SUBETAPA"</formula>
    </cfRule>
  </conditionalFormatting>
  <conditionalFormatting sqref="F83:F84 F103:F105">
    <cfRule type="expression" dxfId="20225" priority="76">
      <formula>$B83="ETAPA"</formula>
    </cfRule>
    <cfRule type="expression" dxfId="20224" priority="77">
      <formula>$B83="SUBETAPA"</formula>
    </cfRule>
  </conditionalFormatting>
  <conditionalFormatting sqref="F83:F85">
    <cfRule type="expression" dxfId="20223" priority="26">
      <formula>$B83="CÉLULA CONSTRUTIVA"</formula>
    </cfRule>
    <cfRule type="expression" dxfId="20222" priority="27">
      <formula>$B83="ETAPA"</formula>
    </cfRule>
  </conditionalFormatting>
  <conditionalFormatting sqref="F85">
    <cfRule type="expression" dxfId="20221" priority="24">
      <formula>$B85="CÉLULA CONSTRUTIVA"</formula>
    </cfRule>
    <cfRule type="expression" dxfId="20220" priority="25">
      <formula>$B85="ETAPA"</formula>
    </cfRule>
    <cfRule type="expression" dxfId="20219" priority="28">
      <formula>$B85="SUBETAPA"</formula>
    </cfRule>
  </conditionalFormatting>
  <conditionalFormatting sqref="F99:F101">
    <cfRule type="expression" dxfId="20218" priority="67">
      <formula>$B99="CÉLULA CONSTRUTIVA"</formula>
    </cfRule>
    <cfRule type="expression" dxfId="20217" priority="68">
      <formula>$B99="ETAPA"</formula>
    </cfRule>
    <cfRule type="expression" dxfId="20216" priority="69">
      <formula>$B99="SUBETAPA"</formula>
    </cfRule>
  </conditionalFormatting>
  <conditionalFormatting sqref="F103:F105 F83:F84">
    <cfRule type="expression" dxfId="20215" priority="75">
      <formula>$B83="CÉLULA CONSTRUTIVA"</formula>
    </cfRule>
  </conditionalFormatting>
  <conditionalFormatting sqref="F103:F105">
    <cfRule type="expression" dxfId="20214" priority="70">
      <formula>$B103="CÉLULA CONSTRUTIVA"</formula>
    </cfRule>
    <cfRule type="expression" dxfId="20213" priority="71">
      <formula>$B103="ETAPA"</formula>
    </cfRule>
  </conditionalFormatting>
  <conditionalFormatting sqref="F83:G84">
    <cfRule type="expression" dxfId="20212" priority="79">
      <formula>$B83="ETAPA"</formula>
    </cfRule>
  </conditionalFormatting>
  <conditionalFormatting sqref="F85:G85">
    <cfRule type="expression" dxfId="20211" priority="30">
      <formula>$B85="ETAPA"</formula>
    </cfRule>
  </conditionalFormatting>
  <conditionalFormatting sqref="F139:G147">
    <cfRule type="expression" dxfId="20210" priority="1">
      <formula>$B139="CÉLULA CONSTRUTIVA"</formula>
    </cfRule>
  </conditionalFormatting>
  <conditionalFormatting sqref="F150:G150">
    <cfRule type="expression" dxfId="20209" priority="58">
      <formula>$B150="CÉLULA CONSTRUTIVA"</formula>
    </cfRule>
    <cfRule type="expression" dxfId="20208" priority="59">
      <formula>$B150="ETAPA"</formula>
    </cfRule>
  </conditionalFormatting>
  <conditionalFormatting sqref="F85:H85">
    <cfRule type="expression" dxfId="20207" priority="29">
      <formula>$B85="CÉLULA CONSTRUTIVA"</formula>
    </cfRule>
  </conditionalFormatting>
  <conditionalFormatting sqref="F150:H150">
    <cfRule type="expression" dxfId="20206" priority="60">
      <formula>$B150="SUBETAPA"</formula>
    </cfRule>
    <cfRule type="expression" dxfId="20205" priority="61">
      <formula>$B150="CÉLULA CONSTRUTIVA"</formula>
    </cfRule>
    <cfRule type="expression" dxfId="20204" priority="62">
      <formula>$B150="ETAPA"</formula>
    </cfRule>
  </conditionalFormatting>
  <conditionalFormatting sqref="G11:G19">
    <cfRule type="expression" dxfId="20203" priority="63">
      <formula>$B11="CÉLULA CONSTRUTIVA"</formula>
    </cfRule>
    <cfRule type="expression" dxfId="20202" priority="64">
      <formula>$B11="ETAPA"</formula>
    </cfRule>
    <cfRule type="expression" dxfId="20201" priority="65">
      <formula>$B11="CÉLULA CONSTRUTIVA"</formula>
    </cfRule>
    <cfRule type="expression" dxfId="20200" priority="66">
      <formula>$B11="ETAPA"</formula>
    </cfRule>
  </conditionalFormatting>
  <conditionalFormatting sqref="G42:G45">
    <cfRule type="expression" dxfId="20199" priority="89">
      <formula>$B42="CÉLULA CONSTRUTIVA"</formula>
    </cfRule>
    <cfRule type="expression" dxfId="20198" priority="90">
      <formula>$B42="ETAPA"</formula>
    </cfRule>
  </conditionalFormatting>
  <conditionalFormatting sqref="G47:G56">
    <cfRule type="expression" dxfId="20197" priority="46">
      <formula>$B47="CÉLULA CONSTRUTIVA"</formula>
    </cfRule>
    <cfRule type="expression" dxfId="20196" priority="47">
      <formula>$B47="ETAPA"</formula>
    </cfRule>
  </conditionalFormatting>
  <conditionalFormatting sqref="G59:G79 I87:J97 F108:F109 F110:G113 A150:D150">
    <cfRule type="expression" dxfId="20195" priority="95">
      <formula>$B59="ETAPA"</formula>
    </cfRule>
  </conditionalFormatting>
  <conditionalFormatting sqref="G59:G79 J95:J97 C106:F109 C110:G113 A20:H56 G83:G85 F99:G101 A103:D105 A106:B113 A78:F79 A86:J86 H87:H114 A99:D101 G103:G109 A115:J132 A134:J138 A139:D143 A151:J181 A8:J10">
    <cfRule type="expression" dxfId="20194" priority="107">
      <formula>$B8="CÉLULA CONSTRUTIVA"</formula>
    </cfRule>
  </conditionalFormatting>
  <conditionalFormatting sqref="G83:G85">
    <cfRule type="expression" dxfId="20193" priority="187">
      <formula>$B83="ETAPA"</formula>
    </cfRule>
  </conditionalFormatting>
  <conditionalFormatting sqref="G103:G109 G83:G85 F108:F109 F110:G113">
    <cfRule type="expression" dxfId="20192" priority="184">
      <formula>$B83="ETAPA"</formula>
    </cfRule>
  </conditionalFormatting>
  <conditionalFormatting sqref="G103:G109">
    <cfRule type="expression" dxfId="20191" priority="182">
      <formula>$B103="ETAPA"</formula>
    </cfRule>
    <cfRule type="expression" dxfId="20190" priority="183">
      <formula>$B103="CÉLULA CONSTRUTIVA"</formula>
    </cfRule>
  </conditionalFormatting>
  <conditionalFormatting sqref="G187">
    <cfRule type="expression" dxfId="20189" priority="203">
      <formula>$B184="SUBETAPA"</formula>
    </cfRule>
    <cfRule type="expression" dxfId="20188" priority="204">
      <formula>$B184="CÉLULA CONSTRUTIVA"</formula>
    </cfRule>
    <cfRule type="expression" dxfId="20187" priority="205">
      <formula>$B184="ETAPA"</formula>
    </cfRule>
  </conditionalFormatting>
  <conditionalFormatting sqref="G83:H84">
    <cfRule type="expression" dxfId="20186" priority="185">
      <formula>$B83="SUBETAPA"</formula>
    </cfRule>
    <cfRule type="expression" dxfId="20185" priority="186">
      <formula>$B83="CÉLULA CONSTRUTIVA"</formula>
    </cfRule>
  </conditionalFormatting>
  <conditionalFormatting sqref="G183:H187">
    <cfRule type="expression" dxfId="20184" priority="200">
      <formula>$B183="SUBETAPA"</formula>
    </cfRule>
    <cfRule type="expression" dxfId="20183" priority="201">
      <formula>$B183="CÉLULA CONSTRUTIVA"</formula>
    </cfRule>
    <cfRule type="expression" dxfId="20182" priority="202">
      <formula>$B183="ETAPA"</formula>
    </cfRule>
  </conditionalFormatting>
  <conditionalFormatting sqref="H77:H79">
    <cfRule type="expression" dxfId="20181" priority="159">
      <formula>$B77="ETAPA"</formula>
    </cfRule>
  </conditionalFormatting>
  <conditionalFormatting sqref="H84:H85">
    <cfRule type="expression" dxfId="20180" priority="40">
      <formula>$B84="ETAPA"</formula>
    </cfRule>
  </conditionalFormatting>
  <conditionalFormatting sqref="H58:J79">
    <cfRule type="expression" dxfId="20179" priority="147">
      <formula>$B58="CÉLULA CONSTRUTIVA"</formula>
    </cfRule>
  </conditionalFormatting>
  <conditionalFormatting sqref="H85:J85">
    <cfRule type="expression" dxfId="20178" priority="20">
      <formula>$B85="SUBETAPA"</formula>
    </cfRule>
  </conditionalFormatting>
  <conditionalFormatting sqref="H139:J148">
    <cfRule type="expression" dxfId="20177" priority="82">
      <formula>$B139="CÉLULA CONSTRUTIVA"</formula>
    </cfRule>
    <cfRule type="expression" dxfId="20176" priority="83">
      <formula>$B139="ETAPA"</formula>
    </cfRule>
  </conditionalFormatting>
  <conditionalFormatting sqref="I11:I56">
    <cfRule type="expression" dxfId="20175" priority="156">
      <formula>$B11="ETAPA"</formula>
    </cfRule>
    <cfRule type="expression" dxfId="20174" priority="157">
      <formula>$B11="SUBETAPA"</formula>
    </cfRule>
    <cfRule type="expression" dxfId="20173" priority="158">
      <formula>$B11="CÉLULA CONSTRUTIVA"</formula>
    </cfRule>
  </conditionalFormatting>
  <conditionalFormatting sqref="I150">
    <cfRule type="expression" dxfId="20172" priority="17">
      <formula>$B150="SUBETAPA"</formula>
    </cfRule>
  </conditionalFormatting>
  <conditionalFormatting sqref="I8:J10">
    <cfRule type="expression" dxfId="20171" priority="232">
      <formula>$B8="SUBETAPA"</formula>
    </cfRule>
  </conditionalFormatting>
  <conditionalFormatting sqref="I77:J79">
    <cfRule type="expression" dxfId="20170" priority="80">
      <formula>$B77="ETAPA"</formula>
    </cfRule>
  </conditionalFormatting>
  <conditionalFormatting sqref="I83:J84">
    <cfRule type="expression" dxfId="20169" priority="73">
      <formula>$B83="CÉLULA CONSTRUTIVA"</formula>
    </cfRule>
    <cfRule type="expression" dxfId="20168" priority="74">
      <formula>$B83="ETAPA"</formula>
    </cfRule>
  </conditionalFormatting>
  <conditionalFormatting sqref="I85:J85">
    <cfRule type="expression" dxfId="20167" priority="21">
      <formula>$B85="CÉLULA CONSTRUTIVA"</formula>
    </cfRule>
    <cfRule type="expression" dxfId="20166" priority="22">
      <formula>$B85="ETAPA"</formula>
    </cfRule>
  </conditionalFormatting>
  <conditionalFormatting sqref="I87:J114">
    <cfRule type="expression" dxfId="20165" priority="109">
      <formula>$B87="SUBETAPA"</formula>
    </cfRule>
  </conditionalFormatting>
  <conditionalFormatting sqref="I98:J114">
    <cfRule type="expression" dxfId="20164" priority="110">
      <formula>$B98="CÉLULA CONSTRUTIVA"</formula>
    </cfRule>
    <cfRule type="expression" dxfId="20163" priority="121">
      <formula>$B98="ETAPA"</formula>
    </cfRule>
  </conditionalFormatting>
  <conditionalFormatting sqref="I133:J133">
    <cfRule type="expression" dxfId="20162" priority="111">
      <formula>$B133="CÉLULA CONSTRUTIVA"</formula>
    </cfRule>
  </conditionalFormatting>
  <conditionalFormatting sqref="I150:J150">
    <cfRule type="expression" dxfId="20161" priority="18">
      <formula>$B150="CÉLULA CONSTRUTIVA"</formula>
    </cfRule>
    <cfRule type="expression" dxfId="20160" priority="19">
      <formula>$B150="ETAPA"</formula>
    </cfRule>
  </conditionalFormatting>
  <conditionalFormatting sqref="J11:J40 J42:J45 J47:J56 A59:F75 A76:D76 E76:F79 H83 H58:J76 A83:D84 E84:E85 A20:H56 H87:H114 J95:J97 G59:G79 A86:J86 F99:G101 D103:D105 A106:B113 C109:E113 A151:J181 A87:G97 D98:G98">
    <cfRule type="expression" dxfId="20159" priority="226">
      <formula>$B11="ETAPA"</formula>
    </cfRule>
  </conditionalFormatting>
  <conditionalFormatting sqref="J11:J56">
    <cfRule type="expression" dxfId="20158" priority="214">
      <formula>$B11="CÉLULA CONSTRUTIVA"</formula>
    </cfRule>
  </conditionalFormatting>
  <conditionalFormatting sqref="J41">
    <cfRule type="expression" dxfId="20157" priority="199">
      <formula>$B41="ETAPA"</formula>
    </cfRule>
  </conditionalFormatting>
  <conditionalFormatting sqref="J46">
    <cfRule type="expression" dxfId="20156" priority="198">
      <formula>$B46="ETAPA"</formula>
    </cfRule>
  </conditionalFormatting>
  <conditionalFormatting sqref="J150">
    <cfRule type="expression" dxfId="20155" priority="96">
      <formula>$B150="SUBETAPA"</formula>
    </cfRule>
  </conditionalFormatting>
  <dataValidations count="4">
    <dataValidation type="list" allowBlank="1" showInputMessage="1" showErrorMessage="1" sqref="B8:B181" xr:uid="{336A0F9B-18BE-4DBB-9FDB-FD387C55512E}">
      <formula1>"UNIDADE CONSTRUTIVA,CÉLULA CONSTRUTIVA,ETAPA,SUBETAPA,SERVIÇO"</formula1>
    </dataValidation>
    <dataValidation type="list" allowBlank="1" showInputMessage="1" showErrorMessage="1" sqref="J154:J161 J21:J57 J59:J74 J76:J80 J11:J19 J172:J181 J163:J170 J82:J150" xr:uid="{45F193D8-EDB5-4BDE-ACA2-7BBEDCC4A3A8}">
      <formula1>"Finalizado, Em Andamento, Pendente, N/A,Lançado ERP"</formula1>
    </dataValidation>
    <dataValidation type="list" allowBlank="1" showInputMessage="1" showErrorMessage="1" sqref="J10 J20" xr:uid="{00E6D81F-F5F0-4974-8A6C-E0F96B052B3F}">
      <formula1>#REF!</formula1>
    </dataValidation>
    <dataValidation type="list" allowBlank="1" showInputMessage="1" showErrorMessage="1" sqref="J75:J76 J58" xr:uid="{DC41F5E2-A859-4D31-8469-46DA90A7843B}">
      <formula1>$K$2:$K$5</formula1>
    </dataValidation>
  </dataValidations>
  <hyperlinks>
    <hyperlink ref="I87" location="'EPC''s'!A1" display="EPC'S" xr:uid="{8A169550-5C8E-4914-836C-2E9BB1DEF2CF}"/>
    <hyperlink ref="I88:I97" location="'EPC''s'!A1" display="EPC'S" xr:uid="{8D618FE4-B489-4FF5-A743-BBCA7B73BE75}"/>
    <hyperlink ref="I92" location="'EPC''s'!A1" display="EPC'S" xr:uid="{6347D4D7-3B2E-4C57-A791-AA0CCEF4A8E3}"/>
    <hyperlink ref="I91" location="'EPC''s'!A1" display="EPC'S" xr:uid="{07B54C9A-D432-49FC-A343-7C5563730BD9}"/>
    <hyperlink ref="I95" location="'EPC''s'!A1" display="EPC'S" xr:uid="{C662AAB9-C0BA-4EA6-807E-9E6607677800}"/>
  </hyperlinks>
  <printOptions horizontalCentered="1"/>
  <pageMargins left="0.51181102362204722" right="0.51181102362204722" top="0.78740157480314965" bottom="0.78740157480314965" header="0.31496062992125984" footer="0.31496062992125984"/>
  <pageSetup paperSize="9" scale="1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Planilha6">
    <tabColor theme="1"/>
    <outlinePr summaryBelow="0"/>
    <pageSetUpPr fitToPage="1"/>
  </sheetPr>
  <dimension ref="A1:P8173"/>
  <sheetViews>
    <sheetView showGridLines="0" topLeftCell="F1" zoomScaleNormal="100" workbookViewId="0">
      <pane ySplit="7" topLeftCell="A8" activePane="bottomLeft" state="frozen"/>
      <selection pane="bottomLeft" activeCell="J11" sqref="J11"/>
    </sheetView>
  </sheetViews>
  <sheetFormatPr defaultColWidth="12.5703125" defaultRowHeight="15" customHeight="1" outlineLevelRow="3" x14ac:dyDescent="0.2"/>
  <cols>
    <col min="1" max="5" width="4" hidden="1" customWidth="1"/>
    <col min="6" max="6" width="3.140625" style="1" customWidth="1" collapsed="1"/>
    <col min="7" max="7" width="6.7109375" customWidth="1"/>
    <col min="8" max="8" width="8.5703125" customWidth="1"/>
    <col min="9" max="9" width="12.28515625" customWidth="1"/>
    <col min="10" max="10" width="75.5703125" customWidth="1"/>
    <col min="11" max="11" width="6.85546875" customWidth="1"/>
    <col min="12" max="12" width="10.28515625" bestFit="1" customWidth="1"/>
    <col min="13" max="13" width="15.140625" bestFit="1" customWidth="1"/>
    <col min="14" max="14" width="15" customWidth="1"/>
    <col min="15" max="15" width="76.7109375" customWidth="1"/>
    <col min="16" max="16" width="17.5703125" customWidth="1"/>
    <col min="17" max="17" width="14.28515625" bestFit="1" customWidth="1"/>
    <col min="18" max="18" width="19.42578125" bestFit="1" customWidth="1"/>
    <col min="19" max="19" width="15.85546875" customWidth="1"/>
    <col min="20" max="20" width="17.7109375" customWidth="1"/>
    <col min="21" max="21" width="16.85546875" bestFit="1" customWidth="1"/>
  </cols>
  <sheetData>
    <row r="1" spans="1:16" ht="6.75" customHeight="1" x14ac:dyDescent="0.2">
      <c r="A1" s="19"/>
      <c r="B1" s="19"/>
      <c r="C1" s="19"/>
      <c r="D1" s="19"/>
      <c r="E1" s="19"/>
      <c r="F1" s="19"/>
      <c r="G1" s="20"/>
      <c r="H1" s="20"/>
      <c r="I1" s="20"/>
      <c r="J1" s="22"/>
      <c r="K1" s="21"/>
      <c r="L1" s="22"/>
      <c r="M1" s="22"/>
      <c r="N1" s="23"/>
      <c r="O1" s="22"/>
      <c r="P1" s="24"/>
    </row>
    <row r="2" spans="1:16" ht="17.25" customHeight="1" x14ac:dyDescent="0.2">
      <c r="A2" s="25"/>
      <c r="B2" s="25"/>
      <c r="C2" s="25"/>
      <c r="D2" s="25"/>
      <c r="E2" s="25"/>
      <c r="F2" s="25"/>
      <c r="G2" s="26"/>
      <c r="H2" s="27"/>
      <c r="I2" s="27"/>
      <c r="J2" s="27"/>
      <c r="K2" s="28"/>
      <c r="L2" s="28"/>
      <c r="M2" s="28"/>
      <c r="N2" s="29"/>
      <c r="O2" s="30"/>
      <c r="P2" s="31"/>
    </row>
    <row r="3" spans="1:16" ht="18" customHeight="1" x14ac:dyDescent="0.2">
      <c r="A3" s="25"/>
      <c r="B3" s="25"/>
      <c r="C3" s="25"/>
      <c r="D3" s="25"/>
      <c r="E3" s="25"/>
      <c r="F3" s="25"/>
      <c r="G3" s="32"/>
      <c r="H3" s="33"/>
      <c r="I3" s="33"/>
      <c r="J3" s="33"/>
      <c r="K3" s="34"/>
      <c r="L3" s="34"/>
      <c r="M3" s="34"/>
      <c r="N3" s="35"/>
      <c r="O3" s="36"/>
      <c r="P3" s="37"/>
    </row>
    <row r="4" spans="1:16" ht="15" customHeight="1" x14ac:dyDescent="0.2">
      <c r="A4" s="3"/>
      <c r="B4" s="3"/>
      <c r="C4" s="3"/>
      <c r="D4" s="3"/>
      <c r="E4" s="3"/>
      <c r="F4" s="3"/>
      <c r="G4" s="38"/>
      <c r="H4" s="39" t="s">
        <v>1222</v>
      </c>
      <c r="I4" s="2" t="s">
        <v>5789</v>
      </c>
      <c r="J4" s="2"/>
      <c r="K4" s="3"/>
      <c r="L4" s="3"/>
      <c r="M4" s="3"/>
      <c r="N4" s="40"/>
      <c r="O4" s="39" t="s">
        <v>1223</v>
      </c>
      <c r="P4" s="41" t="s">
        <v>1224</v>
      </c>
    </row>
    <row r="5" spans="1:16" ht="15" customHeight="1" x14ac:dyDescent="0.2">
      <c r="A5" s="2"/>
      <c r="B5" s="2"/>
      <c r="C5" s="2"/>
      <c r="D5" s="2"/>
      <c r="E5" s="2"/>
      <c r="F5" s="2"/>
      <c r="G5" s="42"/>
      <c r="H5" s="43" t="s">
        <v>1225</v>
      </c>
      <c r="I5" s="2" t="s">
        <v>5788</v>
      </c>
      <c r="J5" s="2"/>
      <c r="K5" s="2"/>
      <c r="L5" s="2"/>
      <c r="M5" s="2"/>
      <c r="N5" s="44"/>
      <c r="O5" s="45" t="s">
        <v>1247</v>
      </c>
      <c r="P5" s="46"/>
    </row>
    <row r="6" spans="1:16" ht="18" customHeight="1" x14ac:dyDescent="0.2">
      <c r="A6" s="47" t="s">
        <v>1226</v>
      </c>
      <c r="B6" s="47" t="s">
        <v>1227</v>
      </c>
      <c r="C6" s="47" t="s">
        <v>66</v>
      </c>
      <c r="D6" s="47" t="s">
        <v>1228</v>
      </c>
      <c r="E6" s="47" t="s">
        <v>68</v>
      </c>
      <c r="F6" s="2"/>
      <c r="G6" s="1897" t="s">
        <v>10</v>
      </c>
      <c r="H6" s="1898"/>
      <c r="I6" s="1898"/>
      <c r="J6" s="1898"/>
      <c r="K6" s="1898"/>
      <c r="L6" s="1898"/>
      <c r="M6" s="1898"/>
      <c r="N6" s="1898"/>
      <c r="O6" s="1898"/>
      <c r="P6" s="1899"/>
    </row>
    <row r="7" spans="1:16" ht="24" customHeight="1" x14ac:dyDescent="0.2">
      <c r="A7" s="48">
        <v>0</v>
      </c>
      <c r="B7" s="48">
        <v>0</v>
      </c>
      <c r="C7" s="48">
        <v>0</v>
      </c>
      <c r="D7" s="49">
        <v>0</v>
      </c>
      <c r="E7" s="49">
        <v>0</v>
      </c>
      <c r="G7" s="50" t="s">
        <v>2261</v>
      </c>
      <c r="H7" s="51" t="s">
        <v>1230</v>
      </c>
      <c r="I7" s="52" t="s">
        <v>1231</v>
      </c>
      <c r="J7" s="53" t="s">
        <v>60</v>
      </c>
      <c r="K7" s="54" t="s">
        <v>1220</v>
      </c>
      <c r="L7" s="55" t="s">
        <v>1232</v>
      </c>
      <c r="M7" s="55" t="s">
        <v>1233</v>
      </c>
      <c r="N7" s="55" t="s">
        <v>1234</v>
      </c>
      <c r="O7" s="56" t="s">
        <v>1235</v>
      </c>
      <c r="P7" s="57" t="s">
        <v>1236</v>
      </c>
    </row>
    <row r="8" spans="1:16" ht="13.5" customHeight="1" x14ac:dyDescent="0.2">
      <c r="A8" s="459">
        <v>0</v>
      </c>
      <c r="B8" s="459">
        <v>1</v>
      </c>
      <c r="C8" s="459">
        <v>0</v>
      </c>
      <c r="D8" s="460">
        <v>0</v>
      </c>
      <c r="E8" s="460">
        <v>0</v>
      </c>
      <c r="F8" s="474"/>
      <c r="G8" s="1726"/>
      <c r="H8" s="1727" t="s">
        <v>1237</v>
      </c>
      <c r="I8" s="1728" t="s">
        <v>5790</v>
      </c>
      <c r="J8" s="1729" t="s">
        <v>41</v>
      </c>
      <c r="K8" s="1730"/>
      <c r="L8" s="1731"/>
      <c r="M8" s="1731"/>
      <c r="N8" s="1732"/>
      <c r="O8" s="1723"/>
      <c r="P8" s="1718"/>
    </row>
    <row r="9" spans="1:16" ht="13.5" customHeight="1" outlineLevel="1" x14ac:dyDescent="0.2">
      <c r="A9" s="459">
        <v>0</v>
      </c>
      <c r="B9" s="459">
        <v>1</v>
      </c>
      <c r="C9" s="459">
        <v>1</v>
      </c>
      <c r="D9" s="460">
        <v>0</v>
      </c>
      <c r="E9" s="460">
        <v>0</v>
      </c>
      <c r="G9" s="1733"/>
      <c r="H9" s="1734" t="s">
        <v>39</v>
      </c>
      <c r="I9" s="1735" t="s">
        <v>5791</v>
      </c>
      <c r="J9" s="1736" t="s">
        <v>2446</v>
      </c>
      <c r="K9" s="1737"/>
      <c r="L9" s="1738"/>
      <c r="M9" s="1738"/>
      <c r="N9" s="1739">
        <v>26235.3138666667</v>
      </c>
      <c r="O9" s="1722">
        <v>1.56631825383226</v>
      </c>
      <c r="P9" s="1719"/>
    </row>
    <row r="10" spans="1:16" ht="13.5" customHeight="1" outlineLevel="2" x14ac:dyDescent="0.2">
      <c r="A10" s="459">
        <v>0</v>
      </c>
      <c r="B10" s="459">
        <v>1</v>
      </c>
      <c r="C10" s="459">
        <v>1</v>
      </c>
      <c r="D10" s="460">
        <v>1</v>
      </c>
      <c r="E10" s="460">
        <v>0</v>
      </c>
      <c r="G10" s="1740"/>
      <c r="H10" s="1741" t="s">
        <v>1238</v>
      </c>
      <c r="I10" s="1742" t="s">
        <v>5792</v>
      </c>
      <c r="J10" s="1743" t="s">
        <v>2459</v>
      </c>
      <c r="K10" s="1744"/>
      <c r="L10" s="1745"/>
      <c r="M10" s="1745"/>
      <c r="N10" s="1746">
        <v>26235.3138666667</v>
      </c>
      <c r="O10" s="1747">
        <v>1.56631825383226</v>
      </c>
      <c r="P10" s="1720"/>
    </row>
    <row r="11" spans="1:16" ht="13.5" customHeight="1" outlineLevel="3" x14ac:dyDescent="0.2">
      <c r="A11" s="459">
        <v>0</v>
      </c>
      <c r="B11" s="459">
        <v>1</v>
      </c>
      <c r="C11" s="459">
        <v>1</v>
      </c>
      <c r="D11" s="460">
        <v>1</v>
      </c>
      <c r="E11" s="460">
        <v>1</v>
      </c>
      <c r="G11" s="1748" t="s">
        <v>41</v>
      </c>
      <c r="H11" s="1749" t="s">
        <v>1239</v>
      </c>
      <c r="I11" s="1750" t="s">
        <v>5793</v>
      </c>
      <c r="J11" s="1751" t="s">
        <v>110</v>
      </c>
      <c r="K11" s="1752" t="s">
        <v>642</v>
      </c>
      <c r="L11" s="1753"/>
      <c r="M11" s="1753"/>
      <c r="N11" s="1754">
        <v>26235.3138666667</v>
      </c>
      <c r="O11" s="1755"/>
      <c r="P11" s="1721" t="s">
        <v>9611</v>
      </c>
    </row>
    <row r="12" spans="1:16" ht="13.5" customHeight="1" outlineLevel="1" x14ac:dyDescent="0.2">
      <c r="A12" s="459">
        <v>0</v>
      </c>
      <c r="B12" s="459">
        <v>1</v>
      </c>
      <c r="C12" s="459">
        <v>2</v>
      </c>
      <c r="D12" s="460">
        <v>0</v>
      </c>
      <c r="E12" s="460">
        <v>1</v>
      </c>
      <c r="G12" s="1733"/>
      <c r="H12" s="1734" t="s">
        <v>39</v>
      </c>
      <c r="I12" s="1735" t="s">
        <v>5794</v>
      </c>
      <c r="J12" s="1756" t="s">
        <v>2071</v>
      </c>
      <c r="K12" s="1757"/>
      <c r="L12" s="1738"/>
      <c r="M12" s="1738"/>
      <c r="N12" s="1739"/>
      <c r="O12" s="1722"/>
      <c r="P12" s="1719"/>
    </row>
    <row r="13" spans="1:16" ht="13.5" customHeight="1" outlineLevel="2" x14ac:dyDescent="0.2">
      <c r="A13" s="459">
        <v>0</v>
      </c>
      <c r="B13" s="459">
        <v>1</v>
      </c>
      <c r="C13" s="459">
        <v>2</v>
      </c>
      <c r="D13" s="460">
        <v>1</v>
      </c>
      <c r="E13" s="460">
        <v>0</v>
      </c>
      <c r="G13" s="1740"/>
      <c r="H13" s="1741" t="s">
        <v>1238</v>
      </c>
      <c r="I13" s="1742" t="s">
        <v>5795</v>
      </c>
      <c r="J13" s="1758" t="s">
        <v>3502</v>
      </c>
      <c r="K13" s="1759"/>
      <c r="L13" s="1745"/>
      <c r="M13" s="1745"/>
      <c r="N13" s="1746"/>
      <c r="O13" s="1747"/>
      <c r="P13" s="1720"/>
    </row>
    <row r="14" spans="1:16" ht="13.5" customHeight="1" outlineLevel="3" x14ac:dyDescent="0.2">
      <c r="A14" s="459">
        <v>0</v>
      </c>
      <c r="B14" s="459">
        <v>1</v>
      </c>
      <c r="C14" s="459">
        <v>2</v>
      </c>
      <c r="D14" s="460">
        <v>1</v>
      </c>
      <c r="E14" s="460">
        <v>1</v>
      </c>
      <c r="G14" s="1748" t="s">
        <v>41</v>
      </c>
      <c r="H14" s="1749" t="s">
        <v>1239</v>
      </c>
      <c r="I14" s="1750" t="s">
        <v>5796</v>
      </c>
      <c r="J14" s="1760" t="s">
        <v>2072</v>
      </c>
      <c r="K14" s="1761" t="s">
        <v>642</v>
      </c>
      <c r="L14" s="1753"/>
      <c r="M14" s="1753"/>
      <c r="N14" s="1754"/>
      <c r="O14" s="1761"/>
      <c r="P14" s="1721" t="s">
        <v>9611</v>
      </c>
    </row>
    <row r="15" spans="1:16" ht="13.5" customHeight="1" outlineLevel="3" x14ac:dyDescent="0.2">
      <c r="A15" s="459">
        <v>0</v>
      </c>
      <c r="B15" s="459">
        <v>1</v>
      </c>
      <c r="C15" s="459">
        <v>2</v>
      </c>
      <c r="D15" s="460">
        <v>1</v>
      </c>
      <c r="E15" s="460">
        <v>2</v>
      </c>
      <c r="G15" s="1748" t="s">
        <v>41</v>
      </c>
      <c r="H15" s="1749" t="s">
        <v>1239</v>
      </c>
      <c r="I15" s="1750" t="s">
        <v>5797</v>
      </c>
      <c r="J15" s="1760" t="s">
        <v>2040</v>
      </c>
      <c r="K15" s="1761"/>
      <c r="L15" s="1753"/>
      <c r="M15" s="1753"/>
      <c r="N15" s="1754"/>
      <c r="O15" s="1761"/>
      <c r="P15" s="1721" t="s">
        <v>9611</v>
      </c>
    </row>
    <row r="16" spans="1:16" ht="13.5" customHeight="1" outlineLevel="2" x14ac:dyDescent="0.2">
      <c r="A16" s="459">
        <v>0</v>
      </c>
      <c r="B16" s="459">
        <v>1</v>
      </c>
      <c r="C16" s="459">
        <v>2</v>
      </c>
      <c r="D16" s="460">
        <v>2</v>
      </c>
      <c r="E16" s="460">
        <v>0</v>
      </c>
      <c r="G16" s="1740"/>
      <c r="H16" s="1741" t="s">
        <v>1238</v>
      </c>
      <c r="I16" s="1742" t="s">
        <v>5798</v>
      </c>
      <c r="J16" s="1758" t="s">
        <v>3503</v>
      </c>
      <c r="K16" s="1759"/>
      <c r="L16" s="1762"/>
      <c r="M16" s="1762"/>
      <c r="N16" s="1746"/>
      <c r="O16" s="1747"/>
      <c r="P16" s="1720"/>
    </row>
    <row r="17" spans="1:16" ht="13.5" customHeight="1" outlineLevel="3" x14ac:dyDescent="0.2">
      <c r="A17" s="459">
        <v>0</v>
      </c>
      <c r="B17" s="459">
        <v>1</v>
      </c>
      <c r="C17" s="459">
        <v>2</v>
      </c>
      <c r="D17" s="460">
        <v>2</v>
      </c>
      <c r="E17" s="460">
        <v>1</v>
      </c>
      <c r="G17" s="1748" t="s">
        <v>41</v>
      </c>
      <c r="H17" s="1749" t="s">
        <v>1239</v>
      </c>
      <c r="I17" s="1750" t="s">
        <v>5799</v>
      </c>
      <c r="J17" s="1760" t="s">
        <v>3503</v>
      </c>
      <c r="K17" s="1761" t="s">
        <v>1130</v>
      </c>
      <c r="L17" s="1761"/>
      <c r="M17" s="1761"/>
      <c r="N17" s="1754"/>
      <c r="O17" s="1761"/>
      <c r="P17" s="1721" t="s">
        <v>9611</v>
      </c>
    </row>
    <row r="18" spans="1:16" ht="13.5" customHeight="1" outlineLevel="1" x14ac:dyDescent="0.2">
      <c r="A18" s="459">
        <v>0</v>
      </c>
      <c r="B18" s="459">
        <v>1</v>
      </c>
      <c r="C18" s="459">
        <v>3</v>
      </c>
      <c r="D18" s="460">
        <v>0</v>
      </c>
      <c r="E18" s="460">
        <v>1</v>
      </c>
      <c r="G18" s="1763"/>
      <c r="H18" s="1734" t="s">
        <v>39</v>
      </c>
      <c r="I18" s="1735" t="s">
        <v>5800</v>
      </c>
      <c r="J18" s="1736" t="s">
        <v>2447</v>
      </c>
      <c r="K18" s="1737"/>
      <c r="L18" s="1738"/>
      <c r="M18" s="1738"/>
      <c r="N18" s="1739">
        <v>271126.18986759399</v>
      </c>
      <c r="O18" s="1722">
        <v>16.186957108264998</v>
      </c>
      <c r="P18" s="1719"/>
    </row>
    <row r="19" spans="1:16" ht="13.5" customHeight="1" outlineLevel="2" x14ac:dyDescent="0.2">
      <c r="A19" s="459">
        <v>0</v>
      </c>
      <c r="B19" s="459">
        <v>1</v>
      </c>
      <c r="C19" s="459">
        <v>3</v>
      </c>
      <c r="D19" s="460">
        <v>1</v>
      </c>
      <c r="E19" s="460">
        <v>0</v>
      </c>
      <c r="G19" s="1764"/>
      <c r="H19" s="1741" t="s">
        <v>1238</v>
      </c>
      <c r="I19" s="1742" t="s">
        <v>5801</v>
      </c>
      <c r="J19" s="1743" t="s">
        <v>3438</v>
      </c>
      <c r="K19" s="1744"/>
      <c r="L19" s="1745"/>
      <c r="M19" s="1745"/>
      <c r="N19" s="1746">
        <v>271126.18986759399</v>
      </c>
      <c r="O19" s="1747">
        <v>16.186957108264998</v>
      </c>
      <c r="P19" s="1720"/>
    </row>
    <row r="20" spans="1:16" ht="13.5" customHeight="1" outlineLevel="3" x14ac:dyDescent="0.2">
      <c r="A20" s="459">
        <v>0</v>
      </c>
      <c r="B20" s="459">
        <v>1</v>
      </c>
      <c r="C20" s="459">
        <v>3</v>
      </c>
      <c r="D20" s="460">
        <v>1</v>
      </c>
      <c r="E20" s="460">
        <v>1</v>
      </c>
      <c r="G20" s="1748" t="s">
        <v>41</v>
      </c>
      <c r="H20" s="1749" t="s">
        <v>1239</v>
      </c>
      <c r="I20" s="1750" t="s">
        <v>5802</v>
      </c>
      <c r="J20" s="1751" t="s">
        <v>9610</v>
      </c>
      <c r="K20" s="1752" t="s">
        <v>1130</v>
      </c>
      <c r="L20" s="1753"/>
      <c r="M20" s="1753"/>
      <c r="N20" s="1754">
        <v>233000</v>
      </c>
      <c r="O20" s="1761"/>
      <c r="P20" s="1721" t="s">
        <v>9611</v>
      </c>
    </row>
    <row r="21" spans="1:16" ht="13.5" customHeight="1" outlineLevel="1" x14ac:dyDescent="0.2">
      <c r="A21" s="459">
        <v>0</v>
      </c>
      <c r="B21" s="459">
        <v>1</v>
      </c>
      <c r="C21" s="459">
        <v>4</v>
      </c>
      <c r="D21" s="460">
        <v>0</v>
      </c>
      <c r="E21" s="460">
        <v>2</v>
      </c>
      <c r="G21" s="1733"/>
      <c r="H21" s="1734" t="s">
        <v>39</v>
      </c>
      <c r="I21" s="1735" t="s">
        <v>5803</v>
      </c>
      <c r="J21" s="1736" t="s">
        <v>3440</v>
      </c>
      <c r="K21" s="1737"/>
      <c r="L21" s="1738"/>
      <c r="M21" s="1738"/>
      <c r="N21" s="1739">
        <v>80000</v>
      </c>
      <c r="O21" s="1722">
        <v>4.77621350151973</v>
      </c>
      <c r="P21" s="1722"/>
    </row>
    <row r="22" spans="1:16" ht="13.5" customHeight="1" outlineLevel="2" x14ac:dyDescent="0.2">
      <c r="A22" s="459">
        <v>0</v>
      </c>
      <c r="B22" s="459">
        <v>1</v>
      </c>
      <c r="C22" s="459">
        <v>4</v>
      </c>
      <c r="D22" s="460">
        <v>1</v>
      </c>
      <c r="E22" s="460">
        <v>0</v>
      </c>
      <c r="G22" s="1764"/>
      <c r="H22" s="1741" t="s">
        <v>1238</v>
      </c>
      <c r="I22" s="1742" t="s">
        <v>5804</v>
      </c>
      <c r="J22" s="1743" t="s">
        <v>2460</v>
      </c>
      <c r="K22" s="1744"/>
      <c r="L22" s="1745"/>
      <c r="M22" s="1745"/>
      <c r="N22" s="1746">
        <v>80000</v>
      </c>
      <c r="O22" s="1747">
        <v>4.77621350151973</v>
      </c>
      <c r="P22" s="1720"/>
    </row>
    <row r="23" spans="1:16" ht="13.5" customHeight="1" outlineLevel="3" x14ac:dyDescent="0.2">
      <c r="A23" s="459">
        <v>0</v>
      </c>
      <c r="B23" s="459">
        <v>1</v>
      </c>
      <c r="C23" s="459">
        <v>4</v>
      </c>
      <c r="D23" s="460">
        <v>1</v>
      </c>
      <c r="E23" s="460">
        <v>1</v>
      </c>
      <c r="G23" s="1748" t="s">
        <v>41</v>
      </c>
      <c r="H23" s="1749" t="s">
        <v>1239</v>
      </c>
      <c r="I23" s="1750" t="s">
        <v>5805</v>
      </c>
      <c r="J23" s="1751" t="s">
        <v>144</v>
      </c>
      <c r="K23" s="1752" t="s">
        <v>1130</v>
      </c>
      <c r="L23" s="1753"/>
      <c r="M23" s="1753"/>
      <c r="N23" s="1754">
        <v>80000</v>
      </c>
      <c r="O23" s="1761"/>
      <c r="P23" s="1721" t="s">
        <v>9611</v>
      </c>
    </row>
    <row r="24" spans="1:16" ht="13.5" customHeight="1" collapsed="1" x14ac:dyDescent="0.2">
      <c r="A24" s="459">
        <v>0</v>
      </c>
      <c r="B24" s="459">
        <v>2</v>
      </c>
      <c r="C24" s="459">
        <v>0</v>
      </c>
      <c r="D24" s="460">
        <v>1</v>
      </c>
      <c r="E24" s="460">
        <v>1</v>
      </c>
      <c r="F24" s="474"/>
      <c r="G24" s="1726"/>
      <c r="H24" s="1727" t="s">
        <v>1237</v>
      </c>
      <c r="I24" s="1728" t="s">
        <v>5806</v>
      </c>
      <c r="J24" s="1729" t="s">
        <v>1686</v>
      </c>
      <c r="K24" s="1730"/>
      <c r="L24" s="1731"/>
      <c r="M24" s="1731"/>
      <c r="N24" s="1732">
        <v>772006.62631222699</v>
      </c>
      <c r="O24" s="1723">
        <v>46.090855898189503</v>
      </c>
      <c r="P24" s="1723"/>
    </row>
    <row r="25" spans="1:16" ht="13.5" hidden="1" customHeight="1" outlineLevel="1" x14ac:dyDescent="0.2">
      <c r="A25" s="459">
        <v>0</v>
      </c>
      <c r="B25" s="459">
        <v>2</v>
      </c>
      <c r="C25" s="459">
        <v>1</v>
      </c>
      <c r="D25" s="460">
        <v>0</v>
      </c>
      <c r="E25" s="460">
        <v>1</v>
      </c>
      <c r="G25" s="1733"/>
      <c r="H25" s="1734" t="s">
        <v>39</v>
      </c>
      <c r="I25" s="1735" t="s">
        <v>5807</v>
      </c>
      <c r="J25" s="1736" t="s">
        <v>2448</v>
      </c>
      <c r="K25" s="1737"/>
      <c r="L25" s="1738"/>
      <c r="M25" s="1738"/>
      <c r="N25" s="1739">
        <v>18739.388998006099</v>
      </c>
      <c r="O25" s="1722">
        <v>1.1187915342813399</v>
      </c>
      <c r="P25" s="1719"/>
    </row>
    <row r="26" spans="1:16" ht="13.5" hidden="1" customHeight="1" outlineLevel="2" x14ac:dyDescent="0.2">
      <c r="A26" s="459">
        <v>0</v>
      </c>
      <c r="B26" s="459">
        <v>2</v>
      </c>
      <c r="C26" s="459">
        <v>1</v>
      </c>
      <c r="D26" s="460">
        <v>1</v>
      </c>
      <c r="E26" s="460">
        <v>0</v>
      </c>
      <c r="G26" s="1740"/>
      <c r="H26" s="1741" t="s">
        <v>1238</v>
      </c>
      <c r="I26" s="1742" t="s">
        <v>5808</v>
      </c>
      <c r="J26" s="1743" t="s">
        <v>16</v>
      </c>
      <c r="K26" s="1744"/>
      <c r="L26" s="1745"/>
      <c r="M26" s="1745"/>
      <c r="N26" s="1746">
        <v>6673.94364470857</v>
      </c>
      <c r="O26" s="1747">
        <v>0.39845224680298602</v>
      </c>
      <c r="P26" s="1720"/>
    </row>
    <row r="27" spans="1:16" ht="13.5" hidden="1" customHeight="1" outlineLevel="3" x14ac:dyDescent="0.2">
      <c r="A27" s="459">
        <v>0</v>
      </c>
      <c r="B27" s="459">
        <v>2</v>
      </c>
      <c r="C27" s="459">
        <v>1</v>
      </c>
      <c r="D27" s="460">
        <v>1</v>
      </c>
      <c r="E27" s="460">
        <v>1</v>
      </c>
      <c r="G27" s="1748" t="s">
        <v>1686</v>
      </c>
      <c r="H27" s="1749" t="s">
        <v>1239</v>
      </c>
      <c r="I27" s="1750" t="s">
        <v>5809</v>
      </c>
      <c r="J27" s="1751" t="s">
        <v>231</v>
      </c>
      <c r="K27" s="1752" t="s">
        <v>642</v>
      </c>
      <c r="L27" s="1753">
        <v>111.31359999999998</v>
      </c>
      <c r="M27" s="1753">
        <v>59.956228571428568</v>
      </c>
      <c r="N27" s="1754">
        <v>6673.94364470857</v>
      </c>
      <c r="O27" s="1755"/>
      <c r="P27" s="1721" t="s">
        <v>9611</v>
      </c>
    </row>
    <row r="28" spans="1:16" ht="13.5" hidden="1" customHeight="1" outlineLevel="2" x14ac:dyDescent="0.2">
      <c r="A28" s="459">
        <v>0</v>
      </c>
      <c r="B28" s="459">
        <v>2</v>
      </c>
      <c r="C28" s="459">
        <v>1</v>
      </c>
      <c r="D28" s="460">
        <v>2</v>
      </c>
      <c r="E28" s="460">
        <v>0</v>
      </c>
      <c r="G28" s="1740"/>
      <c r="H28" s="1741" t="s">
        <v>1238</v>
      </c>
      <c r="I28" s="1742" t="s">
        <v>5810</v>
      </c>
      <c r="J28" s="1743" t="s">
        <v>13</v>
      </c>
      <c r="K28" s="1744"/>
      <c r="L28" s="1745"/>
      <c r="M28" s="1745"/>
      <c r="N28" s="1746">
        <v>4318.73060538557</v>
      </c>
      <c r="O28" s="1747">
        <v>0.25783974283586297</v>
      </c>
      <c r="P28" s="1720"/>
    </row>
    <row r="29" spans="1:16" ht="13.5" hidden="1" customHeight="1" outlineLevel="3" x14ac:dyDescent="0.2">
      <c r="A29" s="459">
        <v>0</v>
      </c>
      <c r="B29" s="459">
        <v>2</v>
      </c>
      <c r="C29" s="459">
        <v>1</v>
      </c>
      <c r="D29" s="460">
        <v>2</v>
      </c>
      <c r="E29" s="460">
        <v>1</v>
      </c>
      <c r="G29" s="1748" t="s">
        <v>1686</v>
      </c>
      <c r="H29" s="1749" t="s">
        <v>1239</v>
      </c>
      <c r="I29" s="1750" t="s">
        <v>5811</v>
      </c>
      <c r="J29" s="1751" t="s">
        <v>263</v>
      </c>
      <c r="K29" s="1752" t="s">
        <v>534</v>
      </c>
      <c r="L29" s="1753">
        <v>670.31999999999982</v>
      </c>
      <c r="M29" s="1753">
        <v>6.0795673937956973</v>
      </c>
      <c r="N29" s="1754">
        <v>4075.2556154091299</v>
      </c>
      <c r="O29" s="1755"/>
      <c r="P29" s="1721" t="s">
        <v>9611</v>
      </c>
    </row>
    <row r="30" spans="1:16" ht="13.15" hidden="1" customHeight="1" outlineLevel="3" x14ac:dyDescent="0.2">
      <c r="A30" s="459">
        <v>0</v>
      </c>
      <c r="B30" s="459">
        <v>2</v>
      </c>
      <c r="C30" s="459">
        <v>1</v>
      </c>
      <c r="D30" s="460">
        <v>2</v>
      </c>
      <c r="E30" s="460">
        <v>2</v>
      </c>
      <c r="G30" s="1748" t="s">
        <v>1686</v>
      </c>
      <c r="H30" s="1749" t="s">
        <v>1239</v>
      </c>
      <c r="I30" s="1750" t="s">
        <v>5812</v>
      </c>
      <c r="J30" s="1751" t="s">
        <v>266</v>
      </c>
      <c r="K30" s="1752" t="s">
        <v>534</v>
      </c>
      <c r="L30" s="1753">
        <v>41.601600000000005</v>
      </c>
      <c r="M30" s="1753">
        <v>5.8525390844687308</v>
      </c>
      <c r="N30" s="1754">
        <v>243.47498997643399</v>
      </c>
      <c r="O30" s="1755"/>
      <c r="P30" s="1721" t="s">
        <v>9611</v>
      </c>
    </row>
    <row r="31" spans="1:16" ht="13.5" hidden="1" customHeight="1" outlineLevel="2" x14ac:dyDescent="0.2">
      <c r="A31" s="459">
        <v>0</v>
      </c>
      <c r="B31" s="459">
        <v>2</v>
      </c>
      <c r="C31" s="459">
        <v>1</v>
      </c>
      <c r="D31" s="460">
        <v>3</v>
      </c>
      <c r="E31" s="460">
        <v>0</v>
      </c>
      <c r="G31" s="1740"/>
      <c r="H31" s="1741" t="s">
        <v>1238</v>
      </c>
      <c r="I31" s="1742" t="s">
        <v>5813</v>
      </c>
      <c r="J31" s="1743" t="s">
        <v>14</v>
      </c>
      <c r="K31" s="1744"/>
      <c r="L31" s="1745"/>
      <c r="M31" s="1745"/>
      <c r="N31" s="1746">
        <v>7746.7147479120003</v>
      </c>
      <c r="O31" s="1747">
        <v>0.46249954464249099</v>
      </c>
      <c r="P31" s="1720"/>
    </row>
    <row r="32" spans="1:16" ht="13.5" hidden="1" customHeight="1" outlineLevel="3" x14ac:dyDescent="0.2">
      <c r="A32" s="459">
        <v>0</v>
      </c>
      <c r="B32" s="459">
        <v>2</v>
      </c>
      <c r="C32" s="459">
        <v>1</v>
      </c>
      <c r="D32" s="460">
        <v>3</v>
      </c>
      <c r="E32" s="460">
        <v>1</v>
      </c>
      <c r="G32" s="1748" t="s">
        <v>1686</v>
      </c>
      <c r="H32" s="1749" t="s">
        <v>1239</v>
      </c>
      <c r="I32" s="1750" t="s">
        <v>5814</v>
      </c>
      <c r="J32" s="1751" t="s">
        <v>254</v>
      </c>
      <c r="K32" s="1752" t="s">
        <v>1248</v>
      </c>
      <c r="L32" s="1753">
        <v>11.390452</v>
      </c>
      <c r="M32" s="1753">
        <v>680.10600000000011</v>
      </c>
      <c r="N32" s="1754">
        <v>7746.7147479120003</v>
      </c>
      <c r="O32" s="1755"/>
      <c r="P32" s="1721" t="s">
        <v>9611</v>
      </c>
    </row>
    <row r="33" spans="1:16" ht="13.5" hidden="1" customHeight="1" outlineLevel="1" x14ac:dyDescent="0.2">
      <c r="A33" s="459">
        <v>0</v>
      </c>
      <c r="B33" s="459">
        <v>2</v>
      </c>
      <c r="C33" s="459">
        <v>2</v>
      </c>
      <c r="D33" s="460">
        <v>0</v>
      </c>
      <c r="E33" s="460">
        <v>1</v>
      </c>
      <c r="G33" s="1733"/>
      <c r="H33" s="1734" t="s">
        <v>39</v>
      </c>
      <c r="I33" s="1735" t="s">
        <v>5815</v>
      </c>
      <c r="J33" s="1736" t="s">
        <v>2449</v>
      </c>
      <c r="K33" s="1737"/>
      <c r="L33" s="1738"/>
      <c r="M33" s="1738"/>
      <c r="N33" s="1739">
        <v>331865.22625000001</v>
      </c>
      <c r="O33" s="1722">
        <v>19.813239678751899</v>
      </c>
      <c r="P33" s="1719"/>
    </row>
    <row r="34" spans="1:16" ht="13.5" hidden="1" customHeight="1" outlineLevel="2" x14ac:dyDescent="0.2">
      <c r="A34" s="459">
        <v>0</v>
      </c>
      <c r="B34" s="459">
        <v>2</v>
      </c>
      <c r="C34" s="459">
        <v>2</v>
      </c>
      <c r="D34" s="460">
        <v>1</v>
      </c>
      <c r="E34" s="460">
        <v>0</v>
      </c>
      <c r="G34" s="1740"/>
      <c r="H34" s="1741" t="s">
        <v>1238</v>
      </c>
      <c r="I34" s="1742" t="s">
        <v>5816</v>
      </c>
      <c r="J34" s="1743" t="s">
        <v>13</v>
      </c>
      <c r="K34" s="1744"/>
      <c r="L34" s="1745"/>
      <c r="M34" s="1745"/>
      <c r="N34" s="1746">
        <v>155967.96625</v>
      </c>
      <c r="O34" s="1747">
        <v>9.3117038275977997</v>
      </c>
      <c r="P34" s="1720"/>
    </row>
    <row r="35" spans="1:16" ht="13.5" hidden="1" customHeight="1" outlineLevel="3" x14ac:dyDescent="0.2">
      <c r="A35" s="459">
        <v>0</v>
      </c>
      <c r="B35" s="459">
        <v>2</v>
      </c>
      <c r="C35" s="459">
        <v>2</v>
      </c>
      <c r="D35" s="460">
        <v>1</v>
      </c>
      <c r="E35" s="460">
        <v>1</v>
      </c>
      <c r="G35" s="1748" t="s">
        <v>1686</v>
      </c>
      <c r="H35" s="1749" t="s">
        <v>1239</v>
      </c>
      <c r="I35" s="1750" t="s">
        <v>5817</v>
      </c>
      <c r="J35" s="1751" t="s">
        <v>3441</v>
      </c>
      <c r="K35" s="1752" t="s">
        <v>534</v>
      </c>
      <c r="L35" s="1753">
        <v>2282</v>
      </c>
      <c r="M35" s="1753">
        <v>8.9641450000000003</v>
      </c>
      <c r="N35" s="1754">
        <v>20456.178889999999</v>
      </c>
      <c r="O35" s="1755"/>
      <c r="P35" s="1721" t="s">
        <v>9611</v>
      </c>
    </row>
    <row r="36" spans="1:16" ht="12.75" hidden="1" outlineLevel="3" x14ac:dyDescent="0.2">
      <c r="A36" s="459">
        <v>0</v>
      </c>
      <c r="B36" s="459">
        <v>2</v>
      </c>
      <c r="C36" s="459">
        <v>2</v>
      </c>
      <c r="D36" s="460">
        <v>1</v>
      </c>
      <c r="E36" s="460">
        <v>2</v>
      </c>
      <c r="G36" s="1748" t="s">
        <v>1686</v>
      </c>
      <c r="H36" s="1749" t="s">
        <v>1239</v>
      </c>
      <c r="I36" s="1750" t="s">
        <v>5818</v>
      </c>
      <c r="J36" s="1751" t="s">
        <v>3442</v>
      </c>
      <c r="K36" s="1752" t="s">
        <v>534</v>
      </c>
      <c r="L36" s="1753">
        <v>77</v>
      </c>
      <c r="M36" s="1753">
        <v>8.9641450000000003</v>
      </c>
      <c r="N36" s="1754">
        <v>690.23916499999996</v>
      </c>
      <c r="O36" s="1755"/>
      <c r="P36" s="1721" t="s">
        <v>9611</v>
      </c>
    </row>
    <row r="37" spans="1:16" ht="13.5" hidden="1" customHeight="1" outlineLevel="3" x14ac:dyDescent="0.2">
      <c r="A37" s="459">
        <v>0</v>
      </c>
      <c r="B37" s="459">
        <v>2</v>
      </c>
      <c r="C37" s="459">
        <v>2</v>
      </c>
      <c r="D37" s="460">
        <v>1</v>
      </c>
      <c r="E37" s="460">
        <v>3</v>
      </c>
      <c r="G37" s="1748" t="s">
        <v>1686</v>
      </c>
      <c r="H37" s="1749" t="s">
        <v>1239</v>
      </c>
      <c r="I37" s="1750" t="s">
        <v>5819</v>
      </c>
      <c r="J37" s="1751" t="s">
        <v>3443</v>
      </c>
      <c r="K37" s="1752" t="s">
        <v>534</v>
      </c>
      <c r="L37" s="1753">
        <v>3884</v>
      </c>
      <c r="M37" s="1753">
        <v>8.4841449999999998</v>
      </c>
      <c r="N37" s="1754">
        <v>32952.419179999997</v>
      </c>
      <c r="O37" s="1755"/>
      <c r="P37" s="1721" t="s">
        <v>9611</v>
      </c>
    </row>
    <row r="38" spans="1:16" ht="13.5" hidden="1" customHeight="1" outlineLevel="3" x14ac:dyDescent="0.2">
      <c r="A38" s="459">
        <v>0</v>
      </c>
      <c r="B38" s="459">
        <v>2</v>
      </c>
      <c r="C38" s="459">
        <v>2</v>
      </c>
      <c r="D38" s="460">
        <v>1</v>
      </c>
      <c r="E38" s="460">
        <v>4</v>
      </c>
      <c r="G38" s="1748" t="s">
        <v>1686</v>
      </c>
      <c r="H38" s="1749" t="s">
        <v>1239</v>
      </c>
      <c r="I38" s="1750" t="s">
        <v>5820</v>
      </c>
      <c r="J38" s="1751" t="s">
        <v>3444</v>
      </c>
      <c r="K38" s="1752" t="s">
        <v>534</v>
      </c>
      <c r="L38" s="1753">
        <v>12007</v>
      </c>
      <c r="M38" s="1753">
        <v>8.4841449999999998</v>
      </c>
      <c r="N38" s="1754">
        <v>101869.129015</v>
      </c>
      <c r="O38" s="1755"/>
      <c r="P38" s="1721" t="s">
        <v>9611</v>
      </c>
    </row>
    <row r="39" spans="1:16" ht="13.5" hidden="1" customHeight="1" outlineLevel="2" x14ac:dyDescent="0.2">
      <c r="A39" s="459">
        <v>0</v>
      </c>
      <c r="B39" s="459">
        <v>2</v>
      </c>
      <c r="C39" s="459">
        <v>2</v>
      </c>
      <c r="D39" s="460">
        <v>2</v>
      </c>
      <c r="E39" s="460">
        <v>0</v>
      </c>
      <c r="G39" s="1740"/>
      <c r="H39" s="1741" t="s">
        <v>1238</v>
      </c>
      <c r="I39" s="1742" t="s">
        <v>5821</v>
      </c>
      <c r="J39" s="1743" t="s">
        <v>14</v>
      </c>
      <c r="K39" s="1744"/>
      <c r="L39" s="1745"/>
      <c r="M39" s="1745"/>
      <c r="N39" s="1746">
        <v>175897.26</v>
      </c>
      <c r="O39" s="1747">
        <v>10.501535851154101</v>
      </c>
      <c r="P39" s="1720"/>
    </row>
    <row r="40" spans="1:16" ht="13.5" hidden="1" customHeight="1" outlineLevel="3" x14ac:dyDescent="0.2">
      <c r="A40" s="459">
        <v>0</v>
      </c>
      <c r="B40" s="459">
        <v>2</v>
      </c>
      <c r="C40" s="459">
        <v>2</v>
      </c>
      <c r="D40" s="460">
        <v>2</v>
      </c>
      <c r="E40" s="460">
        <v>1</v>
      </c>
      <c r="G40" s="1748" t="s">
        <v>1686</v>
      </c>
      <c r="H40" s="1749" t="s">
        <v>1239</v>
      </c>
      <c r="I40" s="1750" t="s">
        <v>5822</v>
      </c>
      <c r="J40" s="1751" t="s">
        <v>3445</v>
      </c>
      <c r="K40" s="1752" t="s">
        <v>1248</v>
      </c>
      <c r="L40" s="1753">
        <v>210</v>
      </c>
      <c r="M40" s="1753">
        <v>837.60600000000011</v>
      </c>
      <c r="N40" s="1754">
        <v>175897.26</v>
      </c>
      <c r="O40" s="1755"/>
      <c r="P40" s="1721" t="s">
        <v>9611</v>
      </c>
    </row>
    <row r="41" spans="1:16" ht="13.5" hidden="1" customHeight="1" outlineLevel="1" x14ac:dyDescent="0.2">
      <c r="A41" s="459">
        <v>0</v>
      </c>
      <c r="B41" s="459">
        <v>2</v>
      </c>
      <c r="C41" s="459">
        <v>3</v>
      </c>
      <c r="D41" s="460">
        <v>0</v>
      </c>
      <c r="E41" s="460">
        <v>1</v>
      </c>
      <c r="G41" s="1733"/>
      <c r="H41" s="1734" t="s">
        <v>39</v>
      </c>
      <c r="I41" s="1735" t="s">
        <v>5823</v>
      </c>
      <c r="J41" s="1736" t="s">
        <v>2461</v>
      </c>
      <c r="K41" s="1737"/>
      <c r="L41" s="1738"/>
      <c r="M41" s="1738"/>
      <c r="N41" s="1739">
        <v>37645.991064220798</v>
      </c>
      <c r="O41" s="1722">
        <v>2.24756613498778</v>
      </c>
      <c r="P41" s="1719"/>
    </row>
    <row r="42" spans="1:16" ht="13.5" hidden="1" customHeight="1" outlineLevel="2" x14ac:dyDescent="0.2">
      <c r="A42" s="459">
        <v>0</v>
      </c>
      <c r="B42" s="459">
        <v>2</v>
      </c>
      <c r="C42" s="459">
        <v>3</v>
      </c>
      <c r="D42" s="460">
        <v>1</v>
      </c>
      <c r="E42" s="460">
        <v>0</v>
      </c>
      <c r="G42" s="1740"/>
      <c r="H42" s="1741" t="s">
        <v>1238</v>
      </c>
      <c r="I42" s="1742" t="s">
        <v>5824</v>
      </c>
      <c r="J42" s="1743" t="s">
        <v>16</v>
      </c>
      <c r="K42" s="1744"/>
      <c r="L42" s="1745"/>
      <c r="M42" s="1745"/>
      <c r="N42" s="1746">
        <v>2482.1878628571399</v>
      </c>
      <c r="O42" s="1747">
        <v>0.14819323979858401</v>
      </c>
      <c r="P42" s="1720"/>
    </row>
    <row r="43" spans="1:16" ht="13.5" hidden="1" customHeight="1" outlineLevel="3" x14ac:dyDescent="0.2">
      <c r="A43" s="459">
        <v>0</v>
      </c>
      <c r="B43" s="459">
        <v>2</v>
      </c>
      <c r="C43" s="459">
        <v>3</v>
      </c>
      <c r="D43" s="460">
        <v>1</v>
      </c>
      <c r="E43" s="460">
        <v>1</v>
      </c>
      <c r="G43" s="1748" t="s">
        <v>1686</v>
      </c>
      <c r="H43" s="1749" t="s">
        <v>1239</v>
      </c>
      <c r="I43" s="1750" t="s">
        <v>5825</v>
      </c>
      <c r="J43" s="1751" t="s">
        <v>231</v>
      </c>
      <c r="K43" s="1752" t="s">
        <v>642</v>
      </c>
      <c r="L43" s="1753">
        <v>41.400000000000006</v>
      </c>
      <c r="M43" s="1753">
        <v>59.956228571428568</v>
      </c>
      <c r="N43" s="1754">
        <v>2482.1878628571399</v>
      </c>
      <c r="O43" s="1755"/>
      <c r="P43" s="1721" t="s">
        <v>9611</v>
      </c>
    </row>
    <row r="44" spans="1:16" ht="13.5" hidden="1" customHeight="1" outlineLevel="2" x14ac:dyDescent="0.2">
      <c r="A44" s="459">
        <v>0</v>
      </c>
      <c r="B44" s="459">
        <v>2</v>
      </c>
      <c r="C44" s="459">
        <v>3</v>
      </c>
      <c r="D44" s="460">
        <v>2</v>
      </c>
      <c r="E44" s="460">
        <v>0</v>
      </c>
      <c r="G44" s="1740"/>
      <c r="H44" s="1741" t="s">
        <v>1238</v>
      </c>
      <c r="I44" s="1742" t="s">
        <v>5826</v>
      </c>
      <c r="J44" s="1743" t="s">
        <v>13</v>
      </c>
      <c r="K44" s="1744"/>
      <c r="L44" s="1745"/>
      <c r="M44" s="1745"/>
      <c r="N44" s="1746">
        <v>23057.9164013636</v>
      </c>
      <c r="O44" s="1747">
        <v>1.3766191454138299</v>
      </c>
      <c r="P44" s="1720"/>
    </row>
    <row r="45" spans="1:16" ht="13.5" hidden="1" customHeight="1" outlineLevel="3" x14ac:dyDescent="0.2">
      <c r="A45" s="459">
        <v>0</v>
      </c>
      <c r="B45" s="459">
        <v>2</v>
      </c>
      <c r="C45" s="459">
        <v>3</v>
      </c>
      <c r="D45" s="460">
        <v>2</v>
      </c>
      <c r="E45" s="460">
        <v>1</v>
      </c>
      <c r="G45" s="1748" t="s">
        <v>1686</v>
      </c>
      <c r="H45" s="1749" t="s">
        <v>1239</v>
      </c>
      <c r="I45" s="1750" t="s">
        <v>5827</v>
      </c>
      <c r="J45" s="1751" t="s">
        <v>3442</v>
      </c>
      <c r="K45" s="1752" t="s">
        <v>1106</v>
      </c>
      <c r="L45" s="1753">
        <v>913.36363636363626</v>
      </c>
      <c r="M45" s="1753">
        <v>8.9641450000000003</v>
      </c>
      <c r="N45" s="1754">
        <v>8187.5240740909103</v>
      </c>
      <c r="O45" s="1755"/>
      <c r="P45" s="1721" t="s">
        <v>9611</v>
      </c>
    </row>
    <row r="46" spans="1:16" ht="13.5" hidden="1" customHeight="1" outlineLevel="3" x14ac:dyDescent="0.2">
      <c r="A46" s="459">
        <v>0</v>
      </c>
      <c r="B46" s="459">
        <v>2</v>
      </c>
      <c r="C46" s="459">
        <v>3</v>
      </c>
      <c r="D46" s="460">
        <v>2</v>
      </c>
      <c r="E46" s="460">
        <v>2</v>
      </c>
      <c r="G46" s="1748" t="s">
        <v>1686</v>
      </c>
      <c r="H46" s="1749" t="s">
        <v>1239</v>
      </c>
      <c r="I46" s="1750" t="s">
        <v>5828</v>
      </c>
      <c r="J46" s="1751" t="s">
        <v>3443</v>
      </c>
      <c r="K46" s="1752" t="s">
        <v>1106</v>
      </c>
      <c r="L46" s="1753">
        <v>45.36363636363636</v>
      </c>
      <c r="M46" s="1753">
        <v>8.4841449999999998</v>
      </c>
      <c r="N46" s="1754">
        <v>384.87166863636401</v>
      </c>
      <c r="O46" s="1755"/>
      <c r="P46" s="1721" t="s">
        <v>9611</v>
      </c>
    </row>
    <row r="47" spans="1:16" ht="13.5" hidden="1" customHeight="1" outlineLevel="3" x14ac:dyDescent="0.2">
      <c r="A47" s="459">
        <v>0</v>
      </c>
      <c r="B47" s="459">
        <v>2</v>
      </c>
      <c r="C47" s="459">
        <v>3</v>
      </c>
      <c r="D47" s="460">
        <v>2</v>
      </c>
      <c r="E47" s="460">
        <v>3</v>
      </c>
      <c r="G47" s="1748" t="s">
        <v>1686</v>
      </c>
      <c r="H47" s="1749" t="s">
        <v>1239</v>
      </c>
      <c r="I47" s="1750" t="s">
        <v>5829</v>
      </c>
      <c r="J47" s="1751" t="s">
        <v>5349</v>
      </c>
      <c r="K47" s="1752" t="s">
        <v>1106</v>
      </c>
      <c r="L47" s="1753">
        <v>1277.2727272727273</v>
      </c>
      <c r="M47" s="1753">
        <v>8.4841449999999998</v>
      </c>
      <c r="N47" s="1754">
        <v>10836.5670227273</v>
      </c>
      <c r="O47" s="1755"/>
      <c r="P47" s="1721" t="s">
        <v>9611</v>
      </c>
    </row>
    <row r="48" spans="1:16" ht="13.5" hidden="1" customHeight="1" outlineLevel="3" x14ac:dyDescent="0.2">
      <c r="A48" s="459">
        <v>0</v>
      </c>
      <c r="B48" s="459">
        <v>2</v>
      </c>
      <c r="C48" s="459">
        <v>3</v>
      </c>
      <c r="D48" s="460">
        <v>2</v>
      </c>
      <c r="E48" s="460">
        <v>4</v>
      </c>
      <c r="G48" s="1748" t="s">
        <v>1686</v>
      </c>
      <c r="H48" s="1749" t="s">
        <v>1239</v>
      </c>
      <c r="I48" s="1750" t="s">
        <v>5830</v>
      </c>
      <c r="J48" s="1751" t="s">
        <v>5351</v>
      </c>
      <c r="K48" s="1752" t="s">
        <v>1106</v>
      </c>
      <c r="L48" s="1753">
        <v>430.09090909090907</v>
      </c>
      <c r="M48" s="1753">
        <v>8.4841449999999998</v>
      </c>
      <c r="N48" s="1754">
        <v>3648.9536359090898</v>
      </c>
      <c r="O48" s="1755"/>
      <c r="P48" s="1721" t="s">
        <v>9611</v>
      </c>
    </row>
    <row r="49" spans="1:16" ht="13.5" hidden="1" customHeight="1" outlineLevel="2" x14ac:dyDescent="0.2">
      <c r="A49" s="459">
        <v>0</v>
      </c>
      <c r="B49" s="459">
        <v>2</v>
      </c>
      <c r="C49" s="459">
        <v>3</v>
      </c>
      <c r="D49" s="460">
        <v>3</v>
      </c>
      <c r="E49" s="460">
        <v>0</v>
      </c>
      <c r="G49" s="1740"/>
      <c r="H49" s="1741" t="s">
        <v>1238</v>
      </c>
      <c r="I49" s="1742" t="s">
        <v>5831</v>
      </c>
      <c r="J49" s="1743" t="s">
        <v>14</v>
      </c>
      <c r="K49" s="1744"/>
      <c r="L49" s="1745"/>
      <c r="M49" s="1745"/>
      <c r="N49" s="1746">
        <v>12105.8868</v>
      </c>
      <c r="O49" s="1747"/>
      <c r="P49" s="1720"/>
    </row>
    <row r="50" spans="1:16" ht="13.5" hidden="1" customHeight="1" outlineLevel="3" x14ac:dyDescent="0.2">
      <c r="A50" s="459">
        <v>0</v>
      </c>
      <c r="B50" s="459">
        <v>2</v>
      </c>
      <c r="C50" s="459">
        <v>3</v>
      </c>
      <c r="D50" s="460">
        <v>3</v>
      </c>
      <c r="E50" s="460">
        <v>1</v>
      </c>
      <c r="G50" s="1748" t="s">
        <v>1686</v>
      </c>
      <c r="H50" s="1749" t="s">
        <v>1239</v>
      </c>
      <c r="I50" s="1750" t="s">
        <v>5832</v>
      </c>
      <c r="J50" s="1751" t="s">
        <v>254</v>
      </c>
      <c r="K50" s="1752" t="s">
        <v>1248</v>
      </c>
      <c r="L50" s="1753">
        <v>17.8</v>
      </c>
      <c r="M50" s="1753">
        <v>680.10600000000011</v>
      </c>
      <c r="N50" s="1754">
        <v>12105.8868</v>
      </c>
      <c r="O50" s="1755"/>
      <c r="P50" s="1721" t="s">
        <v>9611</v>
      </c>
    </row>
    <row r="51" spans="1:16" ht="13.5" hidden="1" customHeight="1" outlineLevel="1" x14ac:dyDescent="0.2">
      <c r="A51" s="459">
        <v>0</v>
      </c>
      <c r="B51" s="459">
        <v>2</v>
      </c>
      <c r="C51" s="459">
        <v>4</v>
      </c>
      <c r="D51" s="460">
        <v>0</v>
      </c>
      <c r="E51" s="460">
        <v>1</v>
      </c>
      <c r="G51" s="1733"/>
      <c r="H51" s="1734" t="s">
        <v>39</v>
      </c>
      <c r="I51" s="1735" t="s">
        <v>5833</v>
      </c>
      <c r="J51" s="1736" t="s">
        <v>2462</v>
      </c>
      <c r="K51" s="1737"/>
      <c r="L51" s="1738"/>
      <c r="M51" s="1738"/>
      <c r="N51" s="1739">
        <v>243756</v>
      </c>
      <c r="O51" s="1722">
        <v>14.5528837284555</v>
      </c>
      <c r="P51" s="1719"/>
    </row>
    <row r="52" spans="1:16" ht="13.5" hidden="1" customHeight="1" outlineLevel="2" x14ac:dyDescent="0.2">
      <c r="A52" s="459">
        <v>0</v>
      </c>
      <c r="B52" s="459">
        <v>2</v>
      </c>
      <c r="C52" s="459">
        <v>4</v>
      </c>
      <c r="D52" s="460">
        <v>1</v>
      </c>
      <c r="E52" s="460">
        <v>0</v>
      </c>
      <c r="G52" s="1740"/>
      <c r="H52" s="1741" t="s">
        <v>1238</v>
      </c>
      <c r="I52" s="1742" t="s">
        <v>5834</v>
      </c>
      <c r="J52" s="1743" t="s">
        <v>2450</v>
      </c>
      <c r="K52" s="1744"/>
      <c r="L52" s="1745"/>
      <c r="M52" s="1745"/>
      <c r="N52" s="1746">
        <v>243756</v>
      </c>
      <c r="O52" s="1747">
        <v>14.5528837284555</v>
      </c>
      <c r="P52" s="1720"/>
    </row>
    <row r="53" spans="1:16" ht="13.5" hidden="1" customHeight="1" outlineLevel="3" x14ac:dyDescent="0.2">
      <c r="A53" s="459">
        <v>0</v>
      </c>
      <c r="B53" s="459">
        <v>2</v>
      </c>
      <c r="C53" s="459">
        <v>4</v>
      </c>
      <c r="D53" s="460">
        <v>1</v>
      </c>
      <c r="E53" s="460">
        <v>1</v>
      </c>
      <c r="G53" s="1748" t="s">
        <v>1686</v>
      </c>
      <c r="H53" s="1749" t="s">
        <v>1239</v>
      </c>
      <c r="I53" s="1750" t="s">
        <v>5835</v>
      </c>
      <c r="J53" s="1751" t="s">
        <v>3446</v>
      </c>
      <c r="K53" s="1752" t="s">
        <v>642</v>
      </c>
      <c r="L53" s="1753">
        <v>492.8</v>
      </c>
      <c r="M53" s="1753">
        <v>470.28409090909088</v>
      </c>
      <c r="N53" s="1754">
        <v>231756</v>
      </c>
      <c r="O53" s="1755" t="s">
        <v>3447</v>
      </c>
      <c r="P53" s="1721" t="s">
        <v>9611</v>
      </c>
    </row>
    <row r="54" spans="1:16" ht="13.5" hidden="1" customHeight="1" outlineLevel="3" x14ac:dyDescent="0.2">
      <c r="A54" s="459">
        <v>0</v>
      </c>
      <c r="B54" s="459">
        <v>2</v>
      </c>
      <c r="C54" s="459">
        <v>4</v>
      </c>
      <c r="D54" s="460">
        <v>1</v>
      </c>
      <c r="E54" s="460">
        <v>2</v>
      </c>
      <c r="G54" s="1748" t="s">
        <v>1686</v>
      </c>
      <c r="H54" s="1749" t="s">
        <v>1239</v>
      </c>
      <c r="I54" s="1750" t="s">
        <v>5836</v>
      </c>
      <c r="J54" s="1751" t="s">
        <v>3448</v>
      </c>
      <c r="K54" s="1752" t="s">
        <v>1130</v>
      </c>
      <c r="L54" s="1753">
        <v>1</v>
      </c>
      <c r="M54" s="1753">
        <v>12000</v>
      </c>
      <c r="N54" s="1754">
        <v>12000</v>
      </c>
      <c r="O54" s="1755"/>
      <c r="P54" s="1721" t="s">
        <v>9611</v>
      </c>
    </row>
    <row r="55" spans="1:16" ht="13.5" hidden="1" customHeight="1" outlineLevel="1" x14ac:dyDescent="0.2">
      <c r="A55" s="459">
        <v>0</v>
      </c>
      <c r="B55" s="459">
        <v>2</v>
      </c>
      <c r="C55" s="459">
        <v>5</v>
      </c>
      <c r="D55" s="460">
        <v>0</v>
      </c>
      <c r="E55" s="460">
        <v>2</v>
      </c>
      <c r="G55" s="1733"/>
      <c r="H55" s="1734" t="s">
        <v>39</v>
      </c>
      <c r="I55" s="1735" t="s">
        <v>5837</v>
      </c>
      <c r="J55" s="1736" t="s">
        <v>2463</v>
      </c>
      <c r="K55" s="1737"/>
      <c r="L55" s="1738"/>
      <c r="M55" s="1738"/>
      <c r="N55" s="1739">
        <v>140000.01999999999</v>
      </c>
      <c r="O55" s="1722">
        <v>8.3583748217128999</v>
      </c>
      <c r="P55" s="1719"/>
    </row>
    <row r="56" spans="1:16" ht="13.5" hidden="1" customHeight="1" outlineLevel="2" x14ac:dyDescent="0.2">
      <c r="A56" s="459">
        <v>0</v>
      </c>
      <c r="B56" s="459">
        <v>2</v>
      </c>
      <c r="C56" s="459">
        <v>5</v>
      </c>
      <c r="D56" s="460">
        <v>1</v>
      </c>
      <c r="E56" s="460">
        <v>0</v>
      </c>
      <c r="G56" s="1740"/>
      <c r="H56" s="1741" t="s">
        <v>1238</v>
      </c>
      <c r="I56" s="1742" t="s">
        <v>5838</v>
      </c>
      <c r="J56" s="1743" t="s">
        <v>1249</v>
      </c>
      <c r="K56" s="1744"/>
      <c r="L56" s="1745"/>
      <c r="M56" s="1745"/>
      <c r="N56" s="1746">
        <v>140000.01999999999</v>
      </c>
      <c r="O56" s="1747">
        <v>8.3583748217128999</v>
      </c>
      <c r="P56" s="1720"/>
    </row>
    <row r="57" spans="1:16" ht="13.5" hidden="1" customHeight="1" outlineLevel="3" x14ac:dyDescent="0.2">
      <c r="A57" s="459">
        <v>0</v>
      </c>
      <c r="B57" s="459">
        <v>2</v>
      </c>
      <c r="C57" s="459">
        <v>5</v>
      </c>
      <c r="D57" s="460">
        <v>1</v>
      </c>
      <c r="E57" s="460">
        <v>1</v>
      </c>
      <c r="G57" s="1748" t="s">
        <v>1686</v>
      </c>
      <c r="H57" s="1749" t="s">
        <v>1239</v>
      </c>
      <c r="I57" s="1750" t="s">
        <v>5839</v>
      </c>
      <c r="J57" s="1751" t="s">
        <v>3449</v>
      </c>
      <c r="K57" s="1752" t="s">
        <v>642</v>
      </c>
      <c r="L57" s="1753">
        <v>525</v>
      </c>
      <c r="M57" s="1753">
        <v>266.66670476190473</v>
      </c>
      <c r="N57" s="1754">
        <v>140000.01999999999</v>
      </c>
      <c r="O57" s="1755" t="s">
        <v>3450</v>
      </c>
      <c r="P57" s="1721" t="s">
        <v>9611</v>
      </c>
    </row>
    <row r="58" spans="1:16" ht="13.5" customHeight="1" collapsed="1" x14ac:dyDescent="0.2">
      <c r="A58" s="459">
        <v>0</v>
      </c>
      <c r="B58" s="459">
        <v>3</v>
      </c>
      <c r="C58" s="459">
        <v>0</v>
      </c>
      <c r="D58" s="460">
        <v>1</v>
      </c>
      <c r="E58" s="460">
        <v>1</v>
      </c>
      <c r="F58" s="474"/>
      <c r="G58" s="1726"/>
      <c r="H58" s="1727" t="s">
        <v>1237</v>
      </c>
      <c r="I58" s="1728" t="s">
        <v>5840</v>
      </c>
      <c r="J58" s="1729" t="s">
        <v>3</v>
      </c>
      <c r="K58" s="1730"/>
      <c r="L58" s="1731"/>
      <c r="M58" s="1731"/>
      <c r="N58" s="1732">
        <v>4572490.0275754603</v>
      </c>
      <c r="O58" s="1723">
        <v>272.98985756587803</v>
      </c>
      <c r="P58" s="1723"/>
    </row>
    <row r="59" spans="1:16" ht="13.5" hidden="1" customHeight="1" outlineLevel="1" x14ac:dyDescent="0.2">
      <c r="A59" s="459">
        <v>0</v>
      </c>
      <c r="B59" s="459">
        <v>3</v>
      </c>
      <c r="C59" s="459">
        <v>1</v>
      </c>
      <c r="D59" s="460">
        <v>0</v>
      </c>
      <c r="E59" s="460">
        <v>1</v>
      </c>
      <c r="G59" s="1733"/>
      <c r="H59" s="1734" t="s">
        <v>39</v>
      </c>
      <c r="I59" s="1735" t="s">
        <v>5841</v>
      </c>
      <c r="J59" s="1736" t="s">
        <v>3451</v>
      </c>
      <c r="K59" s="1737"/>
      <c r="L59" s="1738"/>
      <c r="M59" s="1738"/>
      <c r="N59" s="1739">
        <v>3041540.5196917998</v>
      </c>
      <c r="O59" s="1722">
        <v>181.58808619464099</v>
      </c>
      <c r="P59" s="1719"/>
    </row>
    <row r="60" spans="1:16" ht="13.5" hidden="1" customHeight="1" outlineLevel="2" x14ac:dyDescent="0.2">
      <c r="A60" s="459">
        <v>0</v>
      </c>
      <c r="B60" s="459">
        <v>3</v>
      </c>
      <c r="C60" s="459">
        <v>1</v>
      </c>
      <c r="D60" s="460">
        <v>1</v>
      </c>
      <c r="E60" s="460">
        <v>0</v>
      </c>
      <c r="G60" s="1740"/>
      <c r="H60" s="1741" t="s">
        <v>1238</v>
      </c>
      <c r="I60" s="1742" t="s">
        <v>5842</v>
      </c>
      <c r="J60" s="1743" t="s">
        <v>12</v>
      </c>
      <c r="K60" s="1744"/>
      <c r="L60" s="1745"/>
      <c r="M60" s="1745"/>
      <c r="N60" s="1746">
        <v>950000</v>
      </c>
      <c r="O60" s="1747">
        <v>56.717535330546802</v>
      </c>
      <c r="P60" s="1720"/>
    </row>
    <row r="61" spans="1:16" ht="13.5" hidden="1" customHeight="1" outlineLevel="3" x14ac:dyDescent="0.2">
      <c r="A61" s="459">
        <v>0</v>
      </c>
      <c r="B61" s="459">
        <v>3</v>
      </c>
      <c r="C61" s="459">
        <v>1</v>
      </c>
      <c r="D61" s="460">
        <v>1</v>
      </c>
      <c r="E61" s="460">
        <v>1</v>
      </c>
      <c r="G61" s="1748" t="s">
        <v>3</v>
      </c>
      <c r="H61" s="1749" t="s">
        <v>1239</v>
      </c>
      <c r="I61" s="1750" t="s">
        <v>5843</v>
      </c>
      <c r="J61" s="1751" t="s">
        <v>183</v>
      </c>
      <c r="K61" s="1752" t="s">
        <v>788</v>
      </c>
      <c r="L61" s="1753">
        <v>6732</v>
      </c>
      <c r="M61" s="1753">
        <v>137.48633176818674</v>
      </c>
      <c r="N61" s="1754">
        <v>925557.98546343297</v>
      </c>
      <c r="O61" s="1761" t="s">
        <v>5354</v>
      </c>
      <c r="P61" s="1721" t="s">
        <v>9611</v>
      </c>
    </row>
    <row r="62" spans="1:16" ht="13.5" hidden="1" customHeight="1" outlineLevel="3" x14ac:dyDescent="0.2">
      <c r="A62" s="459">
        <v>0</v>
      </c>
      <c r="B62" s="459">
        <v>3</v>
      </c>
      <c r="C62" s="459">
        <v>1</v>
      </c>
      <c r="D62" s="460">
        <v>1</v>
      </c>
      <c r="E62" s="460">
        <v>2</v>
      </c>
      <c r="G62" s="1748" t="s">
        <v>3</v>
      </c>
      <c r="H62" s="1749" t="s">
        <v>1239</v>
      </c>
      <c r="I62" s="1750" t="s">
        <v>5844</v>
      </c>
      <c r="J62" s="1751" t="s">
        <v>1754</v>
      </c>
      <c r="K62" s="1752" t="s">
        <v>1130</v>
      </c>
      <c r="L62" s="1753">
        <v>1</v>
      </c>
      <c r="M62" s="1753">
        <v>24442.014536566567</v>
      </c>
      <c r="N62" s="1754">
        <v>24442.014536566599</v>
      </c>
      <c r="O62" s="1761" t="s">
        <v>5354</v>
      </c>
      <c r="P62" s="1721" t="s">
        <v>9611</v>
      </c>
    </row>
    <row r="63" spans="1:16" ht="13.5" hidden="1" customHeight="1" outlineLevel="2" x14ac:dyDescent="0.2">
      <c r="A63" s="459">
        <v>0</v>
      </c>
      <c r="B63" s="459">
        <v>3</v>
      </c>
      <c r="C63" s="459">
        <v>1</v>
      </c>
      <c r="D63" s="460">
        <v>2</v>
      </c>
      <c r="E63" s="460">
        <v>0</v>
      </c>
      <c r="G63" s="1740"/>
      <c r="H63" s="1741" t="s">
        <v>1238</v>
      </c>
      <c r="I63" s="1742" t="s">
        <v>5845</v>
      </c>
      <c r="J63" s="1743" t="s">
        <v>13</v>
      </c>
      <c r="K63" s="1744"/>
      <c r="L63" s="1745"/>
      <c r="M63" s="1745"/>
      <c r="N63" s="1746">
        <v>298834.77862499998</v>
      </c>
      <c r="O63" s="1747">
        <v>17.8412338049048</v>
      </c>
      <c r="P63" s="1720"/>
    </row>
    <row r="64" spans="1:16" ht="13.5" hidden="1" customHeight="1" outlineLevel="3" x14ac:dyDescent="0.2">
      <c r="A64" s="459">
        <v>0</v>
      </c>
      <c r="B64" s="459">
        <v>3</v>
      </c>
      <c r="C64" s="459">
        <v>1</v>
      </c>
      <c r="D64" s="460">
        <v>2</v>
      </c>
      <c r="E64" s="460">
        <v>1</v>
      </c>
      <c r="G64" s="1748" t="s">
        <v>3</v>
      </c>
      <c r="H64" s="1749" t="s">
        <v>1239</v>
      </c>
      <c r="I64" s="1750" t="s">
        <v>5846</v>
      </c>
      <c r="J64" s="1751" t="s">
        <v>5355</v>
      </c>
      <c r="K64" s="1752" t="s">
        <v>534</v>
      </c>
      <c r="L64" s="1753">
        <v>3495</v>
      </c>
      <c r="M64" s="1753">
        <v>8.9641450000000003</v>
      </c>
      <c r="N64" s="1754">
        <v>31329.686774999998</v>
      </c>
      <c r="O64" s="1755"/>
      <c r="P64" s="1721" t="s">
        <v>9611</v>
      </c>
    </row>
    <row r="65" spans="1:16" ht="13.5" hidden="1" customHeight="1" outlineLevel="3" x14ac:dyDescent="0.2">
      <c r="A65" s="459">
        <v>0</v>
      </c>
      <c r="B65" s="459">
        <v>3</v>
      </c>
      <c r="C65" s="459">
        <v>1</v>
      </c>
      <c r="D65" s="460">
        <v>2</v>
      </c>
      <c r="E65" s="460">
        <v>2</v>
      </c>
      <c r="G65" s="1748" t="s">
        <v>3</v>
      </c>
      <c r="H65" s="1749" t="s">
        <v>1239</v>
      </c>
      <c r="I65" s="1750" t="s">
        <v>5847</v>
      </c>
      <c r="J65" s="1751" t="s">
        <v>5356</v>
      </c>
      <c r="K65" s="1752" t="s">
        <v>534</v>
      </c>
      <c r="L65" s="1753">
        <v>31530</v>
      </c>
      <c r="M65" s="1753">
        <v>8.4841449999999998</v>
      </c>
      <c r="N65" s="1754">
        <v>267505.09185000003</v>
      </c>
      <c r="O65" s="1755"/>
      <c r="P65" s="1721" t="s">
        <v>9611</v>
      </c>
    </row>
    <row r="66" spans="1:16" ht="13.5" hidden="1" customHeight="1" outlineLevel="2" x14ac:dyDescent="0.2">
      <c r="A66" s="459">
        <v>0</v>
      </c>
      <c r="B66" s="459">
        <v>3</v>
      </c>
      <c r="C66" s="459">
        <v>1</v>
      </c>
      <c r="D66" s="460">
        <v>3</v>
      </c>
      <c r="E66" s="460">
        <v>0</v>
      </c>
      <c r="G66" s="1740"/>
      <c r="H66" s="1741" t="s">
        <v>1238</v>
      </c>
      <c r="I66" s="1742" t="s">
        <v>5848</v>
      </c>
      <c r="J66" s="1743" t="s">
        <v>14</v>
      </c>
      <c r="K66" s="1744"/>
      <c r="L66" s="1745"/>
      <c r="M66" s="1745"/>
      <c r="N66" s="1746">
        <v>1792705.7410668</v>
      </c>
      <c r="O66" s="1747">
        <v>107.02931705919001</v>
      </c>
      <c r="P66" s="1720"/>
    </row>
    <row r="67" spans="1:16" ht="13.5" hidden="1" customHeight="1" outlineLevel="3" x14ac:dyDescent="0.2">
      <c r="A67" s="459">
        <v>0</v>
      </c>
      <c r="B67" s="459">
        <v>3</v>
      </c>
      <c r="C67" s="459">
        <v>1</v>
      </c>
      <c r="D67" s="460">
        <v>3</v>
      </c>
      <c r="E67" s="460">
        <v>1</v>
      </c>
      <c r="G67" s="1748" t="s">
        <v>3</v>
      </c>
      <c r="H67" s="1749" t="s">
        <v>1239</v>
      </c>
      <c r="I67" s="1750" t="s">
        <v>5849</v>
      </c>
      <c r="J67" s="1751" t="s">
        <v>3452</v>
      </c>
      <c r="K67" s="1752" t="s">
        <v>1248</v>
      </c>
      <c r="L67" s="1753">
        <v>1903.4281569569839</v>
      </c>
      <c r="M67" s="1753">
        <v>941.83</v>
      </c>
      <c r="N67" s="1754">
        <v>1792705.7410668</v>
      </c>
      <c r="O67" s="1755"/>
      <c r="P67" s="1721" t="s">
        <v>9611</v>
      </c>
    </row>
    <row r="68" spans="1:16" ht="13.5" hidden="1" customHeight="1" outlineLevel="2" collapsed="1" x14ac:dyDescent="0.2">
      <c r="A68" s="459">
        <v>0</v>
      </c>
      <c r="B68" s="459">
        <v>3</v>
      </c>
      <c r="C68" s="459">
        <v>1</v>
      </c>
      <c r="D68" s="460">
        <v>4</v>
      </c>
      <c r="E68" s="460">
        <v>0</v>
      </c>
      <c r="G68" s="1740"/>
      <c r="H68" s="1741" t="s">
        <v>1238</v>
      </c>
      <c r="I68" s="1742" t="s">
        <v>5850</v>
      </c>
      <c r="J68" s="1743" t="s">
        <v>1249</v>
      </c>
      <c r="K68" s="1744"/>
      <c r="L68" s="1745"/>
      <c r="M68" s="1745"/>
      <c r="N68" s="1746">
        <v>0</v>
      </c>
      <c r="O68" s="1747">
        <v>0</v>
      </c>
      <c r="P68" s="1720"/>
    </row>
    <row r="69" spans="1:16" ht="13.5" hidden="1" customHeight="1" outlineLevel="1" x14ac:dyDescent="0.2">
      <c r="A69" s="459">
        <v>0</v>
      </c>
      <c r="B69" s="459">
        <v>3</v>
      </c>
      <c r="C69" s="459">
        <v>2</v>
      </c>
      <c r="D69" s="460">
        <v>0</v>
      </c>
      <c r="E69" s="460">
        <v>0</v>
      </c>
      <c r="G69" s="1733"/>
      <c r="H69" s="1734" t="s">
        <v>39</v>
      </c>
      <c r="I69" s="1735" t="s">
        <v>5851</v>
      </c>
      <c r="J69" s="1736" t="s">
        <v>2464</v>
      </c>
      <c r="K69" s="1737"/>
      <c r="L69" s="1738"/>
      <c r="M69" s="1738"/>
      <c r="N69" s="1739">
        <v>1056067.4444474</v>
      </c>
      <c r="O69" s="1722">
        <v>63.050044833564002</v>
      </c>
      <c r="P69" s="1719"/>
    </row>
    <row r="70" spans="1:16" ht="13.5" hidden="1" customHeight="1" outlineLevel="2" x14ac:dyDescent="0.2">
      <c r="A70" s="459">
        <v>0</v>
      </c>
      <c r="B70" s="459">
        <v>3</v>
      </c>
      <c r="C70" s="459">
        <v>2</v>
      </c>
      <c r="D70" s="460">
        <v>1</v>
      </c>
      <c r="E70" s="460">
        <v>0</v>
      </c>
      <c r="G70" s="1740"/>
      <c r="H70" s="1741" t="s">
        <v>1238</v>
      </c>
      <c r="I70" s="1742" t="s">
        <v>5852</v>
      </c>
      <c r="J70" s="1743" t="s">
        <v>16</v>
      </c>
      <c r="K70" s="1744"/>
      <c r="L70" s="1745"/>
      <c r="M70" s="1745"/>
      <c r="N70" s="1746">
        <v>15723.5209428571</v>
      </c>
      <c r="O70" s="1747">
        <v>0.93873616273378202</v>
      </c>
      <c r="P70" s="1720"/>
    </row>
    <row r="71" spans="1:16" ht="13.5" hidden="1" customHeight="1" outlineLevel="3" x14ac:dyDescent="0.2">
      <c r="A71" s="459">
        <v>0</v>
      </c>
      <c r="B71" s="459">
        <v>3</v>
      </c>
      <c r="C71" s="459">
        <v>2</v>
      </c>
      <c r="D71" s="460">
        <v>1</v>
      </c>
      <c r="E71" s="460">
        <v>1</v>
      </c>
      <c r="G71" s="1748" t="s">
        <v>3</v>
      </c>
      <c r="H71" s="1749" t="s">
        <v>1239</v>
      </c>
      <c r="I71" s="1750" t="s">
        <v>5853</v>
      </c>
      <c r="J71" s="1751" t="s">
        <v>231</v>
      </c>
      <c r="K71" s="1752" t="s">
        <v>642</v>
      </c>
      <c r="L71" s="1753">
        <v>262.25</v>
      </c>
      <c r="M71" s="1753">
        <v>59.956228571428568</v>
      </c>
      <c r="N71" s="1754">
        <v>15723.5209428571</v>
      </c>
      <c r="O71" s="1755" t="s">
        <v>3453</v>
      </c>
      <c r="P71" s="1721" t="s">
        <v>9611</v>
      </c>
    </row>
    <row r="72" spans="1:16" ht="13.5" hidden="1" customHeight="1" outlineLevel="2" x14ac:dyDescent="0.2">
      <c r="A72" s="459">
        <v>0</v>
      </c>
      <c r="B72" s="459">
        <v>3</v>
      </c>
      <c r="C72" s="459">
        <v>2</v>
      </c>
      <c r="D72" s="460">
        <v>2</v>
      </c>
      <c r="E72" s="460">
        <v>0</v>
      </c>
      <c r="G72" s="1740"/>
      <c r="H72" s="1741" t="s">
        <v>1238</v>
      </c>
      <c r="I72" s="1742" t="s">
        <v>5854</v>
      </c>
      <c r="J72" s="1743" t="s">
        <v>13</v>
      </c>
      <c r="K72" s="1744"/>
      <c r="L72" s="1745"/>
      <c r="M72" s="1745"/>
      <c r="N72" s="1746">
        <v>592494.12250454503</v>
      </c>
      <c r="O72" s="1747">
        <v>35.373480343466198</v>
      </c>
      <c r="P72" s="1720"/>
    </row>
    <row r="73" spans="1:16" ht="13.5" hidden="1" customHeight="1" outlineLevel="3" x14ac:dyDescent="0.2">
      <c r="A73" s="459">
        <v>0</v>
      </c>
      <c r="B73" s="459">
        <v>3</v>
      </c>
      <c r="C73" s="459">
        <v>2</v>
      </c>
      <c r="D73" s="460">
        <v>2</v>
      </c>
      <c r="E73" s="460">
        <v>1</v>
      </c>
      <c r="G73" s="1748" t="s">
        <v>3</v>
      </c>
      <c r="H73" s="1749" t="s">
        <v>1239</v>
      </c>
      <c r="I73" s="1750" t="s">
        <v>5855</v>
      </c>
      <c r="J73" s="1751" t="s">
        <v>5357</v>
      </c>
      <c r="K73" s="1752" t="s">
        <v>1106</v>
      </c>
      <c r="L73" s="1753">
        <v>528.18181818181813</v>
      </c>
      <c r="M73" s="1753">
        <v>8.4841449999999998</v>
      </c>
      <c r="N73" s="1754">
        <v>4481.1711318181797</v>
      </c>
      <c r="O73" s="1755"/>
      <c r="P73" s="1721" t="s">
        <v>9611</v>
      </c>
    </row>
    <row r="74" spans="1:16" ht="13.5" hidden="1" customHeight="1" outlineLevel="3" x14ac:dyDescent="0.2">
      <c r="A74" s="459">
        <v>0</v>
      </c>
      <c r="B74" s="459">
        <v>3</v>
      </c>
      <c r="C74" s="459">
        <v>2</v>
      </c>
      <c r="D74" s="460">
        <v>2</v>
      </c>
      <c r="E74" s="460">
        <v>2</v>
      </c>
      <c r="G74" s="1748" t="s">
        <v>3</v>
      </c>
      <c r="H74" s="1749" t="s">
        <v>1239</v>
      </c>
      <c r="I74" s="1750" t="s">
        <v>5856</v>
      </c>
      <c r="J74" s="1751" t="s">
        <v>5358</v>
      </c>
      <c r="K74" s="1752" t="s">
        <v>1106</v>
      </c>
      <c r="L74" s="1753">
        <v>7331.8181818181811</v>
      </c>
      <c r="M74" s="1753">
        <v>8.4841449999999998</v>
      </c>
      <c r="N74" s="1754">
        <v>62204.208568181799</v>
      </c>
      <c r="O74" s="1755"/>
      <c r="P74" s="1721" t="s">
        <v>9611</v>
      </c>
    </row>
    <row r="75" spans="1:16" ht="13.5" hidden="1" customHeight="1" outlineLevel="3" x14ac:dyDescent="0.2">
      <c r="A75" s="459">
        <v>0</v>
      </c>
      <c r="B75" s="459">
        <v>3</v>
      </c>
      <c r="C75" s="459">
        <v>2</v>
      </c>
      <c r="D75" s="460">
        <v>2</v>
      </c>
      <c r="E75" s="460">
        <v>3</v>
      </c>
      <c r="G75" s="1748" t="s">
        <v>3</v>
      </c>
      <c r="H75" s="1749" t="s">
        <v>1239</v>
      </c>
      <c r="I75" s="1750" t="s">
        <v>5857</v>
      </c>
      <c r="J75" s="1751" t="s">
        <v>5359</v>
      </c>
      <c r="K75" s="1752" t="s">
        <v>1106</v>
      </c>
      <c r="L75" s="1753">
        <v>1318.181818181818</v>
      </c>
      <c r="M75" s="1753">
        <v>8.4841449999999998</v>
      </c>
      <c r="N75" s="1754">
        <v>11183.6456818182</v>
      </c>
      <c r="O75" s="1755"/>
      <c r="P75" s="1721" t="s">
        <v>9611</v>
      </c>
    </row>
    <row r="76" spans="1:16" ht="13.5" hidden="1" customHeight="1" outlineLevel="3" x14ac:dyDescent="0.2">
      <c r="A76" s="459">
        <v>0</v>
      </c>
      <c r="B76" s="459">
        <v>3</v>
      </c>
      <c r="C76" s="459">
        <v>2</v>
      </c>
      <c r="D76" s="460">
        <v>2</v>
      </c>
      <c r="E76" s="460">
        <v>4</v>
      </c>
      <c r="G76" s="1748" t="s">
        <v>3</v>
      </c>
      <c r="H76" s="1749" t="s">
        <v>1239</v>
      </c>
      <c r="I76" s="1750" t="s">
        <v>5858</v>
      </c>
      <c r="J76" s="1751" t="s">
        <v>5360</v>
      </c>
      <c r="K76" s="1752" t="s">
        <v>1106</v>
      </c>
      <c r="L76" s="1753">
        <v>60657.272727272721</v>
      </c>
      <c r="M76" s="1753">
        <v>8.4841449999999998</v>
      </c>
      <c r="N76" s="1754">
        <v>514625.09712272702</v>
      </c>
      <c r="O76" s="1755"/>
      <c r="P76" s="1721" t="s">
        <v>9611</v>
      </c>
    </row>
    <row r="77" spans="1:16" ht="13.5" hidden="1" customHeight="1" outlineLevel="2" x14ac:dyDescent="0.2">
      <c r="A77" s="459">
        <v>0</v>
      </c>
      <c r="B77" s="459">
        <v>3</v>
      </c>
      <c r="C77" s="459">
        <v>2</v>
      </c>
      <c r="D77" s="460">
        <v>3</v>
      </c>
      <c r="E77" s="460">
        <v>0</v>
      </c>
      <c r="G77" s="1740"/>
      <c r="H77" s="1741" t="s">
        <v>1238</v>
      </c>
      <c r="I77" s="1742" t="s">
        <v>5859</v>
      </c>
      <c r="J77" s="1743" t="s">
        <v>14</v>
      </c>
      <c r="K77" s="1744"/>
      <c r="L77" s="1745"/>
      <c r="M77" s="1745"/>
      <c r="N77" s="1746">
        <v>447849.80099999998</v>
      </c>
      <c r="O77" s="1747">
        <v>26.737828327364099</v>
      </c>
      <c r="P77" s="1720"/>
    </row>
    <row r="78" spans="1:16" ht="13.5" hidden="1" customHeight="1" outlineLevel="3" x14ac:dyDescent="0.2">
      <c r="A78" s="459">
        <v>0</v>
      </c>
      <c r="B78" s="459">
        <v>3</v>
      </c>
      <c r="C78" s="459">
        <v>2</v>
      </c>
      <c r="D78" s="460">
        <v>3</v>
      </c>
      <c r="E78" s="460">
        <v>1</v>
      </c>
      <c r="G78" s="1748" t="s">
        <v>3</v>
      </c>
      <c r="H78" s="1749" t="s">
        <v>1239</v>
      </c>
      <c r="I78" s="1750" t="s">
        <v>5860</v>
      </c>
      <c r="J78" s="1751" t="s">
        <v>254</v>
      </c>
      <c r="K78" s="1752" t="s">
        <v>1248</v>
      </c>
      <c r="L78" s="1753">
        <v>658.5</v>
      </c>
      <c r="M78" s="1753">
        <v>680.10600000000011</v>
      </c>
      <c r="N78" s="1754">
        <v>447849.80099999998</v>
      </c>
      <c r="O78" s="1755" t="s">
        <v>3454</v>
      </c>
      <c r="P78" s="1721" t="s">
        <v>9611</v>
      </c>
    </row>
    <row r="79" spans="1:16" ht="13.5" hidden="1" customHeight="1" outlineLevel="2" collapsed="1" x14ac:dyDescent="0.2">
      <c r="A79" s="459">
        <v>0</v>
      </c>
      <c r="B79" s="459">
        <v>3</v>
      </c>
      <c r="C79" s="459">
        <v>2</v>
      </c>
      <c r="D79" s="460">
        <v>4</v>
      </c>
      <c r="E79" s="460">
        <v>0</v>
      </c>
      <c r="G79" s="1740"/>
      <c r="H79" s="1741" t="s">
        <v>1238</v>
      </c>
      <c r="I79" s="1742" t="s">
        <v>5861</v>
      </c>
      <c r="J79" s="1743" t="s">
        <v>1249</v>
      </c>
      <c r="K79" s="1744"/>
      <c r="L79" s="1745"/>
      <c r="M79" s="1745"/>
      <c r="N79" s="1746">
        <v>0</v>
      </c>
      <c r="O79" s="1747">
        <v>0</v>
      </c>
      <c r="P79" s="1720"/>
    </row>
    <row r="80" spans="1:16" ht="13.5" hidden="1" customHeight="1" outlineLevel="1" x14ac:dyDescent="0.2">
      <c r="A80" s="459">
        <v>0</v>
      </c>
      <c r="B80" s="459">
        <v>3</v>
      </c>
      <c r="C80" s="459">
        <v>3</v>
      </c>
      <c r="D80" s="460">
        <v>0</v>
      </c>
      <c r="E80" s="460">
        <v>0</v>
      </c>
      <c r="G80" s="1733"/>
      <c r="H80" s="1734" t="s">
        <v>39</v>
      </c>
      <c r="I80" s="1735" t="s">
        <v>5862</v>
      </c>
      <c r="J80" s="1736" t="s">
        <v>2465</v>
      </c>
      <c r="K80" s="1737"/>
      <c r="L80" s="1738"/>
      <c r="M80" s="1738"/>
      <c r="N80" s="1739">
        <v>474882.06343626202</v>
      </c>
      <c r="O80" s="1722">
        <v>28.3517265376728</v>
      </c>
      <c r="P80" s="1719"/>
    </row>
    <row r="81" spans="1:16" ht="13.5" hidden="1" customHeight="1" outlineLevel="2" x14ac:dyDescent="0.2">
      <c r="A81" s="459">
        <v>0</v>
      </c>
      <c r="B81" s="459">
        <v>3</v>
      </c>
      <c r="C81" s="459">
        <v>3</v>
      </c>
      <c r="D81" s="460">
        <v>1</v>
      </c>
      <c r="E81" s="460">
        <v>0</v>
      </c>
      <c r="G81" s="1740"/>
      <c r="H81" s="1741" t="s">
        <v>1238</v>
      </c>
      <c r="I81" s="1742" t="s">
        <v>5863</v>
      </c>
      <c r="J81" s="1743" t="s">
        <v>16</v>
      </c>
      <c r="K81" s="1744"/>
      <c r="L81" s="1745"/>
      <c r="M81" s="1745"/>
      <c r="N81" s="1746">
        <v>9996.6219021714296</v>
      </c>
      <c r="O81" s="1747">
        <v>0.59682500623423795</v>
      </c>
      <c r="P81" s="1720"/>
    </row>
    <row r="82" spans="1:16" ht="13.5" hidden="1" customHeight="1" outlineLevel="3" x14ac:dyDescent="0.2">
      <c r="A82" s="459">
        <v>0</v>
      </c>
      <c r="B82" s="459">
        <v>3</v>
      </c>
      <c r="C82" s="459">
        <v>3</v>
      </c>
      <c r="D82" s="460">
        <v>1</v>
      </c>
      <c r="E82" s="460">
        <v>1</v>
      </c>
      <c r="G82" s="1748" t="s">
        <v>3</v>
      </c>
      <c r="H82" s="1749" t="s">
        <v>1239</v>
      </c>
      <c r="I82" s="1750" t="s">
        <v>5864</v>
      </c>
      <c r="J82" s="1751" t="s">
        <v>231</v>
      </c>
      <c r="K82" s="1752" t="s">
        <v>642</v>
      </c>
      <c r="L82" s="1753">
        <v>166.732</v>
      </c>
      <c r="M82" s="1753">
        <v>59.956228571428568</v>
      </c>
      <c r="N82" s="1754">
        <v>9996.6219021714296</v>
      </c>
      <c r="O82" s="1755" t="s">
        <v>1250</v>
      </c>
      <c r="P82" s="1721" t="s">
        <v>9611</v>
      </c>
    </row>
    <row r="83" spans="1:16" ht="13.5" hidden="1" customHeight="1" outlineLevel="2" x14ac:dyDescent="0.2">
      <c r="A83" s="459">
        <v>0</v>
      </c>
      <c r="B83" s="459">
        <v>3</v>
      </c>
      <c r="C83" s="459">
        <v>3</v>
      </c>
      <c r="D83" s="460">
        <v>2</v>
      </c>
      <c r="E83" s="460">
        <v>0</v>
      </c>
      <c r="G83" s="1740"/>
      <c r="H83" s="1741" t="s">
        <v>1238</v>
      </c>
      <c r="I83" s="1742" t="s">
        <v>5865</v>
      </c>
      <c r="J83" s="1743" t="s">
        <v>13</v>
      </c>
      <c r="K83" s="1744"/>
      <c r="L83" s="1745"/>
      <c r="M83" s="1745"/>
      <c r="N83" s="1746">
        <v>430167.92772983102</v>
      </c>
      <c r="O83" s="1747">
        <v>25.682173304299798</v>
      </c>
      <c r="P83" s="1720"/>
    </row>
    <row r="84" spans="1:16" ht="13.5" hidden="1" customHeight="1" outlineLevel="3" x14ac:dyDescent="0.2">
      <c r="A84" s="459">
        <v>0</v>
      </c>
      <c r="B84" s="459">
        <v>3</v>
      </c>
      <c r="C84" s="459">
        <v>3</v>
      </c>
      <c r="D84" s="460">
        <v>2</v>
      </c>
      <c r="E84" s="460">
        <v>1</v>
      </c>
      <c r="G84" s="1748" t="s">
        <v>3</v>
      </c>
      <c r="H84" s="1749" t="s">
        <v>1239</v>
      </c>
      <c r="I84" s="1750" t="s">
        <v>5866</v>
      </c>
      <c r="J84" s="1751" t="s">
        <v>5363</v>
      </c>
      <c r="K84" s="1752" t="s">
        <v>1106</v>
      </c>
      <c r="L84" s="1753">
        <v>52</v>
      </c>
      <c r="M84" s="1753">
        <v>8.9641450000000003</v>
      </c>
      <c r="N84" s="1754">
        <v>466.13553999999999</v>
      </c>
      <c r="O84" s="1755" t="s">
        <v>3455</v>
      </c>
      <c r="P84" s="1721" t="s">
        <v>9611</v>
      </c>
    </row>
    <row r="85" spans="1:16" ht="13.5" hidden="1" customHeight="1" outlineLevel="3" x14ac:dyDescent="0.2">
      <c r="A85" s="459">
        <v>0</v>
      </c>
      <c r="B85" s="459">
        <v>3</v>
      </c>
      <c r="C85" s="459">
        <v>3</v>
      </c>
      <c r="D85" s="460">
        <v>2</v>
      </c>
      <c r="E85" s="460">
        <v>2</v>
      </c>
      <c r="G85" s="1748" t="s">
        <v>3</v>
      </c>
      <c r="H85" s="1749" t="s">
        <v>1239</v>
      </c>
      <c r="I85" s="1750" t="s">
        <v>5867</v>
      </c>
      <c r="J85" s="1751" t="s">
        <v>5364</v>
      </c>
      <c r="K85" s="1752" t="s">
        <v>1106</v>
      </c>
      <c r="L85" s="1753">
        <v>130.27272727272728</v>
      </c>
      <c r="M85" s="1753">
        <v>8.9641450000000003</v>
      </c>
      <c r="N85" s="1754">
        <v>1167.78361681818</v>
      </c>
      <c r="O85" s="1755" t="s">
        <v>3455</v>
      </c>
      <c r="P85" s="1721" t="s">
        <v>9611</v>
      </c>
    </row>
    <row r="86" spans="1:16" ht="13.5" hidden="1" customHeight="1" outlineLevel="3" x14ac:dyDescent="0.2">
      <c r="A86" s="459">
        <v>0</v>
      </c>
      <c r="B86" s="459">
        <v>3</v>
      </c>
      <c r="C86" s="459">
        <v>3</v>
      </c>
      <c r="D86" s="460">
        <v>2</v>
      </c>
      <c r="E86" s="460">
        <v>3</v>
      </c>
      <c r="G86" s="1748" t="s">
        <v>3</v>
      </c>
      <c r="H86" s="1749" t="s">
        <v>1239</v>
      </c>
      <c r="I86" s="1750" t="s">
        <v>5868</v>
      </c>
      <c r="J86" s="1751" t="s">
        <v>5365</v>
      </c>
      <c r="K86" s="1752" t="s">
        <v>1106</v>
      </c>
      <c r="L86" s="1753">
        <v>982.63636363636363</v>
      </c>
      <c r="M86" s="1753">
        <v>8.9641450000000003</v>
      </c>
      <c r="N86" s="1754">
        <v>8808.4948459090901</v>
      </c>
      <c r="O86" s="1755" t="s">
        <v>3455</v>
      </c>
      <c r="P86" s="1721" t="s">
        <v>9611</v>
      </c>
    </row>
    <row r="87" spans="1:16" ht="13.5" hidden="1" customHeight="1" outlineLevel="3" x14ac:dyDescent="0.2">
      <c r="A87" s="459">
        <v>0</v>
      </c>
      <c r="B87" s="459">
        <v>3</v>
      </c>
      <c r="C87" s="459">
        <v>3</v>
      </c>
      <c r="D87" s="460">
        <v>2</v>
      </c>
      <c r="E87" s="460">
        <v>4</v>
      </c>
      <c r="G87" s="1748" t="s">
        <v>3</v>
      </c>
      <c r="H87" s="1749" t="s">
        <v>1239</v>
      </c>
      <c r="I87" s="1750" t="s">
        <v>5869</v>
      </c>
      <c r="J87" s="1751" t="s">
        <v>5366</v>
      </c>
      <c r="K87" s="1752" t="s">
        <v>1106</v>
      </c>
      <c r="L87" s="1753">
        <v>7011.636363636364</v>
      </c>
      <c r="M87" s="1753">
        <v>8.9641450000000003</v>
      </c>
      <c r="N87" s="1754">
        <v>62853.325050909101</v>
      </c>
      <c r="O87" s="1755" t="s">
        <v>3455</v>
      </c>
      <c r="P87" s="1721" t="s">
        <v>9611</v>
      </c>
    </row>
    <row r="88" spans="1:16" ht="13.5" hidden="1" customHeight="1" outlineLevel="3" x14ac:dyDescent="0.2">
      <c r="A88" s="459">
        <v>0</v>
      </c>
      <c r="B88" s="459">
        <v>3</v>
      </c>
      <c r="C88" s="459">
        <v>3</v>
      </c>
      <c r="D88" s="460">
        <v>2</v>
      </c>
      <c r="E88" s="460">
        <v>5</v>
      </c>
      <c r="G88" s="1748" t="s">
        <v>3</v>
      </c>
      <c r="H88" s="1749" t="s">
        <v>1239</v>
      </c>
      <c r="I88" s="1750" t="s">
        <v>5870</v>
      </c>
      <c r="J88" s="1751" t="s">
        <v>5357</v>
      </c>
      <c r="K88" s="1752" t="s">
        <v>1106</v>
      </c>
      <c r="L88" s="1753">
        <v>6007.818181818182</v>
      </c>
      <c r="M88" s="1753">
        <v>8.4841449999999998</v>
      </c>
      <c r="N88" s="1754">
        <v>50971.200588181797</v>
      </c>
      <c r="O88" s="1755" t="s">
        <v>3455</v>
      </c>
      <c r="P88" s="1721" t="s">
        <v>9611</v>
      </c>
    </row>
    <row r="89" spans="1:16" ht="13.5" hidden="1" customHeight="1" outlineLevel="3" x14ac:dyDescent="0.2">
      <c r="A89" s="459">
        <v>0</v>
      </c>
      <c r="B89" s="459">
        <v>3</v>
      </c>
      <c r="C89" s="459">
        <v>3</v>
      </c>
      <c r="D89" s="460">
        <v>2</v>
      </c>
      <c r="E89" s="460">
        <v>6</v>
      </c>
      <c r="G89" s="1748" t="s">
        <v>3</v>
      </c>
      <c r="H89" s="1749" t="s">
        <v>1239</v>
      </c>
      <c r="I89" s="1750" t="s">
        <v>5871</v>
      </c>
      <c r="J89" s="1751" t="s">
        <v>5358</v>
      </c>
      <c r="K89" s="1752" t="s">
        <v>1106</v>
      </c>
      <c r="L89" s="1753">
        <v>1269.7272727272725</v>
      </c>
      <c r="M89" s="1753">
        <v>8.4841449999999998</v>
      </c>
      <c r="N89" s="1754">
        <v>10772.550292272699</v>
      </c>
      <c r="O89" s="1755" t="s">
        <v>3455</v>
      </c>
      <c r="P89" s="1721" t="s">
        <v>9611</v>
      </c>
    </row>
    <row r="90" spans="1:16" ht="13.5" hidden="1" customHeight="1" outlineLevel="3" x14ac:dyDescent="0.2">
      <c r="A90" s="459">
        <v>0</v>
      </c>
      <c r="B90" s="459">
        <v>3</v>
      </c>
      <c r="C90" s="459">
        <v>3</v>
      </c>
      <c r="D90" s="460">
        <v>2</v>
      </c>
      <c r="E90" s="460">
        <v>7</v>
      </c>
      <c r="G90" s="1748" t="s">
        <v>3</v>
      </c>
      <c r="H90" s="1749" t="s">
        <v>1239</v>
      </c>
      <c r="I90" s="1750" t="s">
        <v>5872</v>
      </c>
      <c r="J90" s="1751" t="s">
        <v>5359</v>
      </c>
      <c r="K90" s="1752" t="s">
        <v>1106</v>
      </c>
      <c r="L90" s="1753">
        <v>902</v>
      </c>
      <c r="M90" s="1753">
        <v>8.4841449999999998</v>
      </c>
      <c r="N90" s="1754">
        <v>7652.6987900000004</v>
      </c>
      <c r="O90" s="1755" t="s">
        <v>3455</v>
      </c>
      <c r="P90" s="1721" t="s">
        <v>9611</v>
      </c>
    </row>
    <row r="91" spans="1:16" ht="13.5" hidden="1" customHeight="1" outlineLevel="3" x14ac:dyDescent="0.2">
      <c r="A91" s="459">
        <v>0</v>
      </c>
      <c r="B91" s="459">
        <v>3</v>
      </c>
      <c r="C91" s="459">
        <v>3</v>
      </c>
      <c r="D91" s="460">
        <v>2</v>
      </c>
      <c r="E91" s="460">
        <v>8</v>
      </c>
      <c r="G91" s="1748" t="s">
        <v>3</v>
      </c>
      <c r="H91" s="1749" t="s">
        <v>1239</v>
      </c>
      <c r="I91" s="1750" t="s">
        <v>5873</v>
      </c>
      <c r="J91" s="1751" t="s">
        <v>5360</v>
      </c>
      <c r="K91" s="1752" t="s">
        <v>1106</v>
      </c>
      <c r="L91" s="1753">
        <v>4680</v>
      </c>
      <c r="M91" s="1753">
        <v>8.4841449999999998</v>
      </c>
      <c r="N91" s="1754">
        <v>39705.798600000002</v>
      </c>
      <c r="O91" s="1755" t="s">
        <v>3455</v>
      </c>
      <c r="P91" s="1721" t="s">
        <v>9611</v>
      </c>
    </row>
    <row r="92" spans="1:16" ht="13.5" hidden="1" customHeight="1" outlineLevel="3" x14ac:dyDescent="0.2">
      <c r="A92" s="459">
        <v>0</v>
      </c>
      <c r="B92" s="459">
        <v>3</v>
      </c>
      <c r="C92" s="459">
        <v>3</v>
      </c>
      <c r="D92" s="460">
        <v>2</v>
      </c>
      <c r="E92" s="460">
        <v>9</v>
      </c>
      <c r="G92" s="1748" t="s">
        <v>3</v>
      </c>
      <c r="H92" s="1749" t="s">
        <v>1239</v>
      </c>
      <c r="I92" s="1750" t="s">
        <v>5874</v>
      </c>
      <c r="J92" s="1751" t="s">
        <v>5367</v>
      </c>
      <c r="K92" s="1752" t="s">
        <v>1106</v>
      </c>
      <c r="L92" s="1753">
        <v>27316</v>
      </c>
      <c r="M92" s="1753">
        <v>9.0705059454436991</v>
      </c>
      <c r="N92" s="1754">
        <v>247769.94040574</v>
      </c>
      <c r="O92" s="1755" t="s">
        <v>3455</v>
      </c>
      <c r="P92" s="1721" t="s">
        <v>9611</v>
      </c>
    </row>
    <row r="93" spans="1:16" ht="13.5" hidden="1" customHeight="1" outlineLevel="2" x14ac:dyDescent="0.2">
      <c r="A93" s="459">
        <v>0</v>
      </c>
      <c r="B93" s="459">
        <v>3</v>
      </c>
      <c r="C93" s="459">
        <v>3</v>
      </c>
      <c r="D93" s="460">
        <v>3</v>
      </c>
      <c r="E93" s="460">
        <v>0</v>
      </c>
      <c r="G93" s="1740"/>
      <c r="H93" s="1741" t="s">
        <v>1238</v>
      </c>
      <c r="I93" s="1742" t="s">
        <v>5875</v>
      </c>
      <c r="J93" s="1743" t="s">
        <v>14</v>
      </c>
      <c r="K93" s="1744"/>
      <c r="L93" s="1745"/>
      <c r="M93" s="1745"/>
      <c r="N93" s="1746">
        <v>34717.513804260001</v>
      </c>
      <c r="O93" s="1747">
        <v>2.0727282271387999</v>
      </c>
      <c r="P93" s="1720"/>
    </row>
    <row r="94" spans="1:16" ht="13.5" hidden="1" customHeight="1" outlineLevel="3" x14ac:dyDescent="0.2">
      <c r="A94" s="459">
        <v>0</v>
      </c>
      <c r="B94" s="459">
        <v>3</v>
      </c>
      <c r="C94" s="459">
        <v>3</v>
      </c>
      <c r="D94" s="460">
        <v>3</v>
      </c>
      <c r="E94" s="460">
        <v>1</v>
      </c>
      <c r="G94" s="1748" t="s">
        <v>3</v>
      </c>
      <c r="H94" s="1749" t="s">
        <v>1239</v>
      </c>
      <c r="I94" s="1750" t="s">
        <v>5876</v>
      </c>
      <c r="J94" s="1751" t="s">
        <v>254</v>
      </c>
      <c r="K94" s="1752" t="s">
        <v>1248</v>
      </c>
      <c r="L94" s="1753">
        <v>51.047209999999993</v>
      </c>
      <c r="M94" s="1753">
        <v>680.10600000000011</v>
      </c>
      <c r="N94" s="1754">
        <v>34717.513804260001</v>
      </c>
      <c r="O94" s="1755" t="s">
        <v>3456</v>
      </c>
      <c r="P94" s="1721" t="s">
        <v>9611</v>
      </c>
    </row>
    <row r="95" spans="1:16" ht="13.5" hidden="1" customHeight="1" outlineLevel="2" x14ac:dyDescent="0.2">
      <c r="A95" s="459">
        <v>0</v>
      </c>
      <c r="B95" s="459">
        <v>3</v>
      </c>
      <c r="C95" s="459">
        <v>3</v>
      </c>
      <c r="D95" s="460">
        <v>4</v>
      </c>
      <c r="E95" s="460">
        <v>0</v>
      </c>
      <c r="G95" s="1740"/>
      <c r="H95" s="1741" t="s">
        <v>1238</v>
      </c>
      <c r="I95" s="1742" t="s">
        <v>5877</v>
      </c>
      <c r="J95" s="1743" t="s">
        <v>1249</v>
      </c>
      <c r="K95" s="1744"/>
      <c r="L95" s="1745"/>
      <c r="M95" s="1745"/>
      <c r="N95" s="1746">
        <v>0</v>
      </c>
      <c r="O95" s="1747">
        <v>0</v>
      </c>
      <c r="P95" s="1720"/>
    </row>
    <row r="96" spans="1:16" ht="13.5" customHeight="1" collapsed="1" x14ac:dyDescent="0.2">
      <c r="A96" s="459">
        <v>0</v>
      </c>
      <c r="B96" s="459">
        <v>4</v>
      </c>
      <c r="C96" s="459">
        <v>0</v>
      </c>
      <c r="D96" s="460">
        <v>4</v>
      </c>
      <c r="E96" s="460">
        <v>0</v>
      </c>
      <c r="F96" s="474"/>
      <c r="G96" s="1726"/>
      <c r="H96" s="1727" t="s">
        <v>1237</v>
      </c>
      <c r="I96" s="1728" t="s">
        <v>5878</v>
      </c>
      <c r="J96" s="1729" t="s">
        <v>42</v>
      </c>
      <c r="K96" s="1730"/>
      <c r="L96" s="1731"/>
      <c r="M96" s="1731"/>
      <c r="N96" s="1732">
        <v>20793270.798319701</v>
      </c>
      <c r="O96" s="1723">
        <v>1241.41375909613</v>
      </c>
      <c r="P96" s="1718"/>
    </row>
    <row r="97" spans="1:16" ht="13.5" hidden="1" customHeight="1" outlineLevel="1" x14ac:dyDescent="0.2">
      <c r="A97" s="459">
        <v>0</v>
      </c>
      <c r="B97" s="459">
        <v>4</v>
      </c>
      <c r="C97" s="459">
        <v>1</v>
      </c>
      <c r="D97" s="460">
        <v>0</v>
      </c>
      <c r="E97" s="460">
        <v>0</v>
      </c>
      <c r="G97" s="1733"/>
      <c r="H97" s="1734" t="s">
        <v>39</v>
      </c>
      <c r="I97" s="1735" t="s">
        <v>5879</v>
      </c>
      <c r="J97" s="1736" t="s">
        <v>3457</v>
      </c>
      <c r="K97" s="1737"/>
      <c r="L97" s="1738"/>
      <c r="M97" s="1738"/>
      <c r="N97" s="1739">
        <v>19428.044562999999</v>
      </c>
      <c r="O97" s="1722">
        <v>1.1599061093741001</v>
      </c>
      <c r="P97" s="1719"/>
    </row>
    <row r="98" spans="1:16" ht="13.5" hidden="1" customHeight="1" outlineLevel="2" x14ac:dyDescent="0.2">
      <c r="A98" s="459">
        <v>0</v>
      </c>
      <c r="B98" s="459">
        <v>4</v>
      </c>
      <c r="C98" s="459">
        <v>1</v>
      </c>
      <c r="D98" s="460">
        <v>1</v>
      </c>
      <c r="E98" s="460">
        <v>0</v>
      </c>
      <c r="G98" s="1740"/>
      <c r="H98" s="1741" t="s">
        <v>1238</v>
      </c>
      <c r="I98" s="1742" t="s">
        <v>5880</v>
      </c>
      <c r="J98" s="1743" t="s">
        <v>2451</v>
      </c>
      <c r="K98" s="1744"/>
      <c r="L98" s="1745"/>
      <c r="M98" s="1745"/>
      <c r="N98" s="1746">
        <v>19428.044562999999</v>
      </c>
      <c r="O98" s="1747">
        <v>1.1599061093741001</v>
      </c>
      <c r="P98" s="1720"/>
    </row>
    <row r="99" spans="1:16" ht="13.5" hidden="1" customHeight="1" outlineLevel="3" x14ac:dyDescent="0.2">
      <c r="A99" s="459">
        <v>0</v>
      </c>
      <c r="B99" s="459">
        <v>4</v>
      </c>
      <c r="C99" s="459">
        <v>1</v>
      </c>
      <c r="D99" s="460">
        <v>1</v>
      </c>
      <c r="E99" s="460">
        <v>1</v>
      </c>
      <c r="G99" s="1748" t="s">
        <v>42</v>
      </c>
      <c r="H99" s="1749" t="s">
        <v>1239</v>
      </c>
      <c r="I99" s="1750" t="s">
        <v>5881</v>
      </c>
      <c r="J99" s="1751" t="s">
        <v>3458</v>
      </c>
      <c r="K99" s="1752" t="s">
        <v>1248</v>
      </c>
      <c r="L99" s="1753">
        <v>39.229000000000006</v>
      </c>
      <c r="M99" s="1753">
        <v>495.24700000000001</v>
      </c>
      <c r="N99" s="1754">
        <v>19428.044562999999</v>
      </c>
      <c r="O99" s="1755" t="s">
        <v>3459</v>
      </c>
      <c r="P99" s="1721" t="s">
        <v>9611</v>
      </c>
    </row>
    <row r="100" spans="1:16" ht="13.5" hidden="1" customHeight="1" outlineLevel="1" x14ac:dyDescent="0.2">
      <c r="A100" s="459">
        <v>0</v>
      </c>
      <c r="B100" s="459">
        <v>4</v>
      </c>
      <c r="C100" s="459">
        <v>2</v>
      </c>
      <c r="D100" s="460">
        <v>0</v>
      </c>
      <c r="E100" s="460">
        <v>1</v>
      </c>
      <c r="G100" s="1733"/>
      <c r="H100" s="1734" t="s">
        <v>39</v>
      </c>
      <c r="I100" s="1735" t="s">
        <v>5882</v>
      </c>
      <c r="J100" s="1736" t="s">
        <v>1738</v>
      </c>
      <c r="K100" s="1737"/>
      <c r="L100" s="1738"/>
      <c r="M100" s="1738"/>
      <c r="N100" s="1739">
        <v>1435614.9877436601</v>
      </c>
      <c r="O100" s="1722">
        <v>85.710046093066794</v>
      </c>
      <c r="P100" s="1719"/>
    </row>
    <row r="101" spans="1:16" ht="13.5" hidden="1" customHeight="1" outlineLevel="2" x14ac:dyDescent="0.2">
      <c r="A101" s="459">
        <v>0</v>
      </c>
      <c r="B101" s="459">
        <v>4</v>
      </c>
      <c r="C101" s="459">
        <v>2</v>
      </c>
      <c r="D101" s="460">
        <v>1</v>
      </c>
      <c r="E101" s="460">
        <v>0</v>
      </c>
      <c r="G101" s="1740"/>
      <c r="H101" s="1741" t="s">
        <v>1238</v>
      </c>
      <c r="I101" s="1742" t="s">
        <v>5883</v>
      </c>
      <c r="J101" s="1743" t="s">
        <v>2452</v>
      </c>
      <c r="K101" s="1744"/>
      <c r="L101" s="1745"/>
      <c r="M101" s="1745"/>
      <c r="N101" s="1746">
        <v>529090.66747543099</v>
      </c>
      <c r="O101" s="1747">
        <v>31.588124869053001</v>
      </c>
      <c r="P101" s="1720"/>
    </row>
    <row r="102" spans="1:16" ht="13.5" hidden="1" customHeight="1" outlineLevel="3" x14ac:dyDescent="0.2">
      <c r="A102" s="459">
        <v>0</v>
      </c>
      <c r="B102" s="459">
        <v>4</v>
      </c>
      <c r="C102" s="459">
        <v>2</v>
      </c>
      <c r="D102" s="460">
        <v>1</v>
      </c>
      <c r="E102" s="460">
        <v>1</v>
      </c>
      <c r="G102" s="1748" t="s">
        <v>42</v>
      </c>
      <c r="H102" s="1749" t="s">
        <v>1239</v>
      </c>
      <c r="I102" s="1750" t="s">
        <v>5884</v>
      </c>
      <c r="J102" s="1751" t="s">
        <v>1305</v>
      </c>
      <c r="K102" s="1752" t="s">
        <v>642</v>
      </c>
      <c r="L102" s="1753">
        <v>4874.3226000000004</v>
      </c>
      <c r="M102" s="1753">
        <v>108.03522595041321</v>
      </c>
      <c r="N102" s="1754">
        <v>526598.54344620602</v>
      </c>
      <c r="O102" s="1755" t="s">
        <v>3460</v>
      </c>
      <c r="P102" s="1721" t="s">
        <v>9611</v>
      </c>
    </row>
    <row r="103" spans="1:16" ht="13.5" hidden="1" customHeight="1" outlineLevel="3" x14ac:dyDescent="0.2">
      <c r="A103" s="459">
        <v>0</v>
      </c>
      <c r="B103" s="459">
        <v>4</v>
      </c>
      <c r="C103" s="459">
        <v>2</v>
      </c>
      <c r="D103" s="460">
        <v>1</v>
      </c>
      <c r="E103" s="460">
        <v>2</v>
      </c>
      <c r="G103" s="1748" t="s">
        <v>42</v>
      </c>
      <c r="H103" s="1749" t="s">
        <v>1239</v>
      </c>
      <c r="I103" s="1750" t="s">
        <v>5885</v>
      </c>
      <c r="J103" s="1751" t="s">
        <v>1306</v>
      </c>
      <c r="K103" s="1752" t="s">
        <v>642</v>
      </c>
      <c r="L103" s="1753">
        <v>626.57920000000001</v>
      </c>
      <c r="M103" s="1753">
        <v>3.9773487999999997</v>
      </c>
      <c r="N103" s="1754">
        <v>2492.1240292249599</v>
      </c>
      <c r="O103" s="1755"/>
      <c r="P103" s="1721" t="s">
        <v>9611</v>
      </c>
    </row>
    <row r="104" spans="1:16" ht="13.5" hidden="1" customHeight="1" outlineLevel="2" x14ac:dyDescent="0.2">
      <c r="A104" s="459">
        <v>0</v>
      </c>
      <c r="B104" s="459">
        <v>4</v>
      </c>
      <c r="C104" s="459">
        <v>2</v>
      </c>
      <c r="D104" s="460">
        <v>2</v>
      </c>
      <c r="E104" s="460">
        <v>0</v>
      </c>
      <c r="G104" s="1740"/>
      <c r="H104" s="1741" t="s">
        <v>1238</v>
      </c>
      <c r="I104" s="1742" t="s">
        <v>5886</v>
      </c>
      <c r="J104" s="1743" t="s">
        <v>3461</v>
      </c>
      <c r="K104" s="1744"/>
      <c r="L104" s="1745"/>
      <c r="M104" s="1745"/>
      <c r="N104" s="1746">
        <v>5458.0131426409598</v>
      </c>
      <c r="O104" s="1747">
        <v>0.32585795079192398</v>
      </c>
      <c r="P104" s="1720"/>
    </row>
    <row r="105" spans="1:16" ht="13.5" hidden="1" customHeight="1" outlineLevel="3" x14ac:dyDescent="0.2">
      <c r="A105" s="459">
        <v>0</v>
      </c>
      <c r="B105" s="459">
        <v>4</v>
      </c>
      <c r="C105" s="459">
        <v>2</v>
      </c>
      <c r="D105" s="460">
        <v>2</v>
      </c>
      <c r="E105" s="460">
        <v>1</v>
      </c>
      <c r="G105" s="1748" t="s">
        <v>42</v>
      </c>
      <c r="H105" s="1749" t="s">
        <v>1239</v>
      </c>
      <c r="I105" s="1750" t="s">
        <v>5887</v>
      </c>
      <c r="J105" s="1751" t="s">
        <v>1306</v>
      </c>
      <c r="K105" s="1752" t="s">
        <v>642</v>
      </c>
      <c r="L105" s="1753">
        <v>1372.2742000000001</v>
      </c>
      <c r="M105" s="1753">
        <v>3.9773487999999997</v>
      </c>
      <c r="N105" s="1754">
        <v>5458.0131426409598</v>
      </c>
      <c r="O105" s="1755"/>
      <c r="P105" s="1721" t="s">
        <v>9611</v>
      </c>
    </row>
    <row r="106" spans="1:16" ht="13.5" hidden="1" customHeight="1" outlineLevel="2" x14ac:dyDescent="0.2">
      <c r="A106" s="459">
        <v>0</v>
      </c>
      <c r="B106" s="459">
        <v>4</v>
      </c>
      <c r="C106" s="459">
        <v>2</v>
      </c>
      <c r="D106" s="460">
        <v>3</v>
      </c>
      <c r="E106" s="460">
        <v>0</v>
      </c>
      <c r="G106" s="1740"/>
      <c r="H106" s="1741" t="s">
        <v>1238</v>
      </c>
      <c r="I106" s="1742" t="s">
        <v>5888</v>
      </c>
      <c r="J106" s="1743" t="s">
        <v>2467</v>
      </c>
      <c r="K106" s="1744"/>
      <c r="L106" s="1745"/>
      <c r="M106" s="1745"/>
      <c r="N106" s="1746">
        <v>6043.1893350083201</v>
      </c>
      <c r="O106" s="1747">
        <v>0.36079453117633498</v>
      </c>
      <c r="P106" s="1720"/>
    </row>
    <row r="107" spans="1:16" ht="13.5" hidden="1" customHeight="1" outlineLevel="3" x14ac:dyDescent="0.2">
      <c r="A107" s="459">
        <v>0</v>
      </c>
      <c r="B107" s="459">
        <v>4</v>
      </c>
      <c r="C107" s="459">
        <v>2</v>
      </c>
      <c r="D107" s="460">
        <v>3</v>
      </c>
      <c r="E107" s="460">
        <v>1</v>
      </c>
      <c r="G107" s="1748" t="s">
        <v>42</v>
      </c>
      <c r="H107" s="1749" t="s">
        <v>1239</v>
      </c>
      <c r="I107" s="1750" t="s">
        <v>5889</v>
      </c>
      <c r="J107" s="1751" t="s">
        <v>1306</v>
      </c>
      <c r="K107" s="1752" t="s">
        <v>642</v>
      </c>
      <c r="L107" s="1753">
        <v>1519.4014000000002</v>
      </c>
      <c r="M107" s="1753">
        <v>3.9773487999999997</v>
      </c>
      <c r="N107" s="1754">
        <v>6043.1893350083201</v>
      </c>
      <c r="O107" s="1755"/>
      <c r="P107" s="1721" t="s">
        <v>9611</v>
      </c>
    </row>
    <row r="108" spans="1:16" ht="13.5" hidden="1" customHeight="1" outlineLevel="2" x14ac:dyDescent="0.2">
      <c r="A108" s="459">
        <v>0</v>
      </c>
      <c r="B108" s="459">
        <v>4</v>
      </c>
      <c r="C108" s="459">
        <v>2</v>
      </c>
      <c r="D108" s="460">
        <v>4</v>
      </c>
      <c r="E108" s="460">
        <v>0</v>
      </c>
      <c r="G108" s="1740"/>
      <c r="H108" s="1741" t="s">
        <v>1238</v>
      </c>
      <c r="I108" s="1742" t="s">
        <v>5890</v>
      </c>
      <c r="J108" s="1743" t="s">
        <v>2470</v>
      </c>
      <c r="K108" s="1744"/>
      <c r="L108" s="1745"/>
      <c r="M108" s="1745"/>
      <c r="N108" s="1746">
        <v>6025.3906991283202</v>
      </c>
      <c r="O108" s="1747">
        <v>0.359731905113851</v>
      </c>
      <c r="P108" s="1720"/>
    </row>
    <row r="109" spans="1:16" ht="13.5" hidden="1" customHeight="1" outlineLevel="3" x14ac:dyDescent="0.2">
      <c r="A109" s="459">
        <v>0</v>
      </c>
      <c r="B109" s="459">
        <v>4</v>
      </c>
      <c r="C109" s="459">
        <v>2</v>
      </c>
      <c r="D109" s="460">
        <v>4</v>
      </c>
      <c r="E109" s="460">
        <v>1</v>
      </c>
      <c r="G109" s="1748" t="s">
        <v>42</v>
      </c>
      <c r="H109" s="1749" t="s">
        <v>1239</v>
      </c>
      <c r="I109" s="1750" t="s">
        <v>5891</v>
      </c>
      <c r="J109" s="1751" t="s">
        <v>1306</v>
      </c>
      <c r="K109" s="1752" t="s">
        <v>642</v>
      </c>
      <c r="L109" s="1753">
        <v>1514.9263999999998</v>
      </c>
      <c r="M109" s="1753">
        <v>3.9773487999999997</v>
      </c>
      <c r="N109" s="1754">
        <v>6025.3906991283202</v>
      </c>
      <c r="O109" s="1755"/>
      <c r="P109" s="1721" t="s">
        <v>9611</v>
      </c>
    </row>
    <row r="110" spans="1:16" ht="13.5" hidden="1" customHeight="1" outlineLevel="2" x14ac:dyDescent="0.2">
      <c r="A110" s="459">
        <v>0</v>
      </c>
      <c r="B110" s="459">
        <v>4</v>
      </c>
      <c r="C110" s="459">
        <v>2</v>
      </c>
      <c r="D110" s="460">
        <v>5</v>
      </c>
      <c r="E110" s="460">
        <v>0</v>
      </c>
      <c r="G110" s="1740"/>
      <c r="H110" s="1741" t="s">
        <v>1238</v>
      </c>
      <c r="I110" s="1742" t="s">
        <v>5892</v>
      </c>
      <c r="J110" s="1743" t="s">
        <v>3462</v>
      </c>
      <c r="K110" s="1744"/>
      <c r="L110" s="1745"/>
      <c r="M110" s="1745"/>
      <c r="N110" s="1746">
        <v>6027.7771084083197</v>
      </c>
      <c r="O110" s="1747">
        <v>0.35987438011664202</v>
      </c>
      <c r="P110" s="1720"/>
    </row>
    <row r="111" spans="1:16" ht="13.5" hidden="1" customHeight="1" outlineLevel="3" x14ac:dyDescent="0.2">
      <c r="A111" s="459">
        <v>0</v>
      </c>
      <c r="B111" s="459">
        <v>4</v>
      </c>
      <c r="C111" s="459">
        <v>2</v>
      </c>
      <c r="D111" s="460">
        <v>5</v>
      </c>
      <c r="E111" s="460">
        <v>1</v>
      </c>
      <c r="G111" s="1748" t="s">
        <v>42</v>
      </c>
      <c r="H111" s="1749" t="s">
        <v>1239</v>
      </c>
      <c r="I111" s="1750" t="s">
        <v>5893</v>
      </c>
      <c r="J111" s="1751" t="s">
        <v>1306</v>
      </c>
      <c r="K111" s="1752" t="s">
        <v>642</v>
      </c>
      <c r="L111" s="1753">
        <v>1515.5263999999997</v>
      </c>
      <c r="M111" s="1753">
        <v>3.9773487999999997</v>
      </c>
      <c r="N111" s="1754">
        <v>6027.7771084083197</v>
      </c>
      <c r="O111" s="1755"/>
      <c r="P111" s="1721" t="s">
        <v>9611</v>
      </c>
    </row>
    <row r="112" spans="1:16" ht="13.5" hidden="1" customHeight="1" outlineLevel="2" x14ac:dyDescent="0.2">
      <c r="A112" s="459">
        <v>0</v>
      </c>
      <c r="B112" s="459">
        <v>4</v>
      </c>
      <c r="C112" s="459">
        <v>2</v>
      </c>
      <c r="D112" s="460">
        <v>6</v>
      </c>
      <c r="E112" s="460">
        <v>0</v>
      </c>
      <c r="G112" s="1740"/>
      <c r="H112" s="1741" t="s">
        <v>1238</v>
      </c>
      <c r="I112" s="1742" t="s">
        <v>5894</v>
      </c>
      <c r="J112" s="1743" t="s">
        <v>3463</v>
      </c>
      <c r="K112" s="1744"/>
      <c r="L112" s="1745"/>
      <c r="M112" s="1745"/>
      <c r="N112" s="1746">
        <v>6126.0176237683199</v>
      </c>
      <c r="O112" s="1747">
        <v>0.36573960106487602</v>
      </c>
      <c r="P112" s="1720"/>
    </row>
    <row r="113" spans="1:16" ht="13.5" hidden="1" customHeight="1" outlineLevel="3" x14ac:dyDescent="0.2">
      <c r="A113" s="459">
        <v>0</v>
      </c>
      <c r="B113" s="459">
        <v>4</v>
      </c>
      <c r="C113" s="459">
        <v>2</v>
      </c>
      <c r="D113" s="460">
        <v>6</v>
      </c>
      <c r="E113" s="460">
        <v>1</v>
      </c>
      <c r="G113" s="1748" t="s">
        <v>42</v>
      </c>
      <c r="H113" s="1749" t="s">
        <v>1239</v>
      </c>
      <c r="I113" s="1750" t="s">
        <v>5895</v>
      </c>
      <c r="J113" s="1751" t="s">
        <v>1306</v>
      </c>
      <c r="K113" s="1752" t="s">
        <v>642</v>
      </c>
      <c r="L113" s="1753">
        <v>1540.2264</v>
      </c>
      <c r="M113" s="1753">
        <v>3.9773487999999997</v>
      </c>
      <c r="N113" s="1754">
        <v>6126.0176237683199</v>
      </c>
      <c r="O113" s="1755"/>
      <c r="P113" s="1721" t="s">
        <v>9611</v>
      </c>
    </row>
    <row r="114" spans="1:16" ht="13.5" hidden="1" customHeight="1" outlineLevel="2" x14ac:dyDescent="0.2">
      <c r="A114" s="459">
        <v>0</v>
      </c>
      <c r="B114" s="459">
        <v>4</v>
      </c>
      <c r="C114" s="459">
        <v>2</v>
      </c>
      <c r="D114" s="460">
        <v>7</v>
      </c>
      <c r="E114" s="460">
        <v>0</v>
      </c>
      <c r="G114" s="1740"/>
      <c r="H114" s="1741" t="s">
        <v>1238</v>
      </c>
      <c r="I114" s="1742" t="s">
        <v>5896</v>
      </c>
      <c r="J114" s="1743" t="s">
        <v>2473</v>
      </c>
      <c r="K114" s="1744"/>
      <c r="L114" s="1745"/>
      <c r="M114" s="1745"/>
      <c r="N114" s="1746">
        <v>7083.7632148083203</v>
      </c>
      <c r="O114" s="1747">
        <v>0.42291956885170401</v>
      </c>
      <c r="P114" s="1720"/>
    </row>
    <row r="115" spans="1:16" ht="13.5" hidden="1" customHeight="1" outlineLevel="3" x14ac:dyDescent="0.2">
      <c r="A115" s="459">
        <v>0</v>
      </c>
      <c r="B115" s="459">
        <v>4</v>
      </c>
      <c r="C115" s="459">
        <v>2</v>
      </c>
      <c r="D115" s="460">
        <v>7</v>
      </c>
      <c r="E115" s="460">
        <v>1</v>
      </c>
      <c r="G115" s="1748" t="s">
        <v>42</v>
      </c>
      <c r="H115" s="1749" t="s">
        <v>1239</v>
      </c>
      <c r="I115" s="1750" t="s">
        <v>5897</v>
      </c>
      <c r="J115" s="1751" t="s">
        <v>1306</v>
      </c>
      <c r="K115" s="1752" t="s">
        <v>642</v>
      </c>
      <c r="L115" s="1753">
        <v>1781.0264000000002</v>
      </c>
      <c r="M115" s="1753">
        <v>3.9773487999999997</v>
      </c>
      <c r="N115" s="1754">
        <v>7083.7632148083203</v>
      </c>
      <c r="O115" s="1755"/>
      <c r="P115" s="1721" t="s">
        <v>9611</v>
      </c>
    </row>
    <row r="116" spans="1:16" ht="13.5" hidden="1" customHeight="1" outlineLevel="2" x14ac:dyDescent="0.2">
      <c r="A116" s="459">
        <v>0</v>
      </c>
      <c r="B116" s="459">
        <v>4</v>
      </c>
      <c r="C116" s="459">
        <v>2</v>
      </c>
      <c r="D116" s="460">
        <v>8</v>
      </c>
      <c r="E116" s="460">
        <v>0</v>
      </c>
      <c r="G116" s="1740"/>
      <c r="H116" s="1741" t="s">
        <v>1238</v>
      </c>
      <c r="I116" s="1742" t="s">
        <v>5898</v>
      </c>
      <c r="J116" s="1743" t="s">
        <v>3464</v>
      </c>
      <c r="K116" s="1744"/>
      <c r="L116" s="1745"/>
      <c r="M116" s="1745"/>
      <c r="N116" s="1746">
        <v>2257.64818088832</v>
      </c>
      <c r="O116" s="1747">
        <v>0.134787621540503</v>
      </c>
      <c r="P116" s="1720"/>
    </row>
    <row r="117" spans="1:16" ht="13.5" hidden="1" customHeight="1" outlineLevel="3" x14ac:dyDescent="0.2">
      <c r="A117" s="459">
        <v>0</v>
      </c>
      <c r="B117" s="459">
        <v>4</v>
      </c>
      <c r="C117" s="459">
        <v>2</v>
      </c>
      <c r="D117" s="460">
        <v>8</v>
      </c>
      <c r="E117" s="460">
        <v>1</v>
      </c>
      <c r="G117" s="1748" t="s">
        <v>42</v>
      </c>
      <c r="H117" s="1749" t="s">
        <v>1239</v>
      </c>
      <c r="I117" s="1750" t="s">
        <v>5899</v>
      </c>
      <c r="J117" s="1751" t="s">
        <v>1306</v>
      </c>
      <c r="K117" s="1752" t="s">
        <v>642</v>
      </c>
      <c r="L117" s="1753">
        <v>567.62639999999999</v>
      </c>
      <c r="M117" s="1753">
        <v>3.9773487999999997</v>
      </c>
      <c r="N117" s="1754">
        <v>2257.64818088832</v>
      </c>
      <c r="O117" s="1755"/>
      <c r="P117" s="1721" t="s">
        <v>9611</v>
      </c>
    </row>
    <row r="118" spans="1:16" ht="13.5" hidden="1" customHeight="1" outlineLevel="2" x14ac:dyDescent="0.2">
      <c r="A118" s="459">
        <v>0</v>
      </c>
      <c r="B118" s="459">
        <v>4</v>
      </c>
      <c r="C118" s="459">
        <v>2</v>
      </c>
      <c r="D118" s="460">
        <v>9</v>
      </c>
      <c r="E118" s="460">
        <v>0</v>
      </c>
      <c r="G118" s="1740"/>
      <c r="H118" s="1741" t="s">
        <v>1238</v>
      </c>
      <c r="I118" s="1742" t="s">
        <v>5900</v>
      </c>
      <c r="J118" s="1743" t="s">
        <v>2474</v>
      </c>
      <c r="K118" s="1744"/>
      <c r="L118" s="1745"/>
      <c r="M118" s="1745"/>
      <c r="N118" s="1746">
        <v>5314.6384685683197</v>
      </c>
      <c r="O118" s="1747">
        <v>0.31729810011590198</v>
      </c>
      <c r="P118" s="1720"/>
    </row>
    <row r="119" spans="1:16" ht="13.5" hidden="1" customHeight="1" outlineLevel="3" x14ac:dyDescent="0.2">
      <c r="A119" s="459">
        <v>0</v>
      </c>
      <c r="B119" s="459">
        <v>4</v>
      </c>
      <c r="C119" s="459">
        <v>2</v>
      </c>
      <c r="D119" s="460">
        <v>9</v>
      </c>
      <c r="E119" s="460">
        <v>1</v>
      </c>
      <c r="G119" s="1748" t="s">
        <v>42</v>
      </c>
      <c r="H119" s="1749" t="s">
        <v>1239</v>
      </c>
      <c r="I119" s="1750" t="s">
        <v>5901</v>
      </c>
      <c r="J119" s="1751" t="s">
        <v>1306</v>
      </c>
      <c r="K119" s="1752" t="s">
        <v>642</v>
      </c>
      <c r="L119" s="1753">
        <v>1336.2264</v>
      </c>
      <c r="M119" s="1753">
        <v>3.9773487999999997</v>
      </c>
      <c r="N119" s="1754">
        <v>5314.6384685683197</v>
      </c>
      <c r="O119" s="1755"/>
      <c r="P119" s="1721" t="s">
        <v>9611</v>
      </c>
    </row>
    <row r="120" spans="1:16" ht="13.5" hidden="1" customHeight="1" outlineLevel="2" x14ac:dyDescent="0.2">
      <c r="A120" s="459">
        <v>0</v>
      </c>
      <c r="B120" s="459">
        <v>4</v>
      </c>
      <c r="C120" s="459">
        <v>2</v>
      </c>
      <c r="D120" s="460">
        <v>10</v>
      </c>
      <c r="E120" s="460">
        <v>0</v>
      </c>
      <c r="G120" s="1740"/>
      <c r="H120" s="1741" t="s">
        <v>1238</v>
      </c>
      <c r="I120" s="1742" t="s">
        <v>5902</v>
      </c>
      <c r="J120" s="1743" t="s">
        <v>2475</v>
      </c>
      <c r="K120" s="1744"/>
      <c r="L120" s="1745"/>
      <c r="M120" s="1745"/>
      <c r="N120" s="1746">
        <v>3960.5102961203202</v>
      </c>
      <c r="O120" s="1747">
        <v>0.23645303436547199</v>
      </c>
      <c r="P120" s="1720"/>
    </row>
    <row r="121" spans="1:16" ht="13.5" hidden="1" customHeight="1" outlineLevel="3" x14ac:dyDescent="0.2">
      <c r="A121" s="459">
        <v>0</v>
      </c>
      <c r="B121" s="459">
        <v>4</v>
      </c>
      <c r="C121" s="459">
        <v>2</v>
      </c>
      <c r="D121" s="460">
        <v>10</v>
      </c>
      <c r="E121" s="460">
        <v>1</v>
      </c>
      <c r="G121" s="1748" t="s">
        <v>42</v>
      </c>
      <c r="H121" s="1749" t="s">
        <v>1239</v>
      </c>
      <c r="I121" s="1750" t="s">
        <v>5903</v>
      </c>
      <c r="J121" s="1751" t="s">
        <v>1306</v>
      </c>
      <c r="K121" s="1752" t="s">
        <v>642</v>
      </c>
      <c r="L121" s="1753">
        <v>995.76639999999998</v>
      </c>
      <c r="M121" s="1753">
        <v>3.9773487999999997</v>
      </c>
      <c r="N121" s="1754">
        <v>3960.5102961203202</v>
      </c>
      <c r="O121" s="1755"/>
      <c r="P121" s="1721" t="s">
        <v>9611</v>
      </c>
    </row>
    <row r="122" spans="1:16" ht="13.5" hidden="1" customHeight="1" outlineLevel="2" x14ac:dyDescent="0.2">
      <c r="A122" s="459">
        <v>0</v>
      </c>
      <c r="B122" s="459">
        <v>4</v>
      </c>
      <c r="C122" s="459">
        <v>2</v>
      </c>
      <c r="D122" s="460">
        <v>11</v>
      </c>
      <c r="E122" s="460">
        <v>0</v>
      </c>
      <c r="G122" s="1740"/>
      <c r="H122" s="1741" t="s">
        <v>1238</v>
      </c>
      <c r="I122" s="1742" t="s">
        <v>5904</v>
      </c>
      <c r="J122" s="1743" t="s">
        <v>2477</v>
      </c>
      <c r="K122" s="1744"/>
      <c r="L122" s="1745"/>
      <c r="M122" s="1745"/>
      <c r="N122" s="1746">
        <v>220303.086282773</v>
      </c>
      <c r="O122" s="1747">
        <v>13.1526821891281</v>
      </c>
      <c r="P122" s="1720"/>
    </row>
    <row r="123" spans="1:16" ht="13.5" hidden="1" customHeight="1" outlineLevel="3" x14ac:dyDescent="0.2">
      <c r="A123" s="459">
        <v>0</v>
      </c>
      <c r="B123" s="459">
        <v>4</v>
      </c>
      <c r="C123" s="459">
        <v>2</v>
      </c>
      <c r="D123" s="460">
        <v>11</v>
      </c>
      <c r="E123" s="460">
        <v>1</v>
      </c>
      <c r="G123" s="1748" t="s">
        <v>42</v>
      </c>
      <c r="H123" s="1749" t="s">
        <v>1239</v>
      </c>
      <c r="I123" s="1750" t="s">
        <v>5905</v>
      </c>
      <c r="J123" s="1751" t="s">
        <v>1305</v>
      </c>
      <c r="K123" s="1752" t="s">
        <v>642</v>
      </c>
      <c r="L123" s="1753">
        <v>1777.4315999999999</v>
      </c>
      <c r="M123" s="1753">
        <v>108.03522595041321</v>
      </c>
      <c r="N123" s="1754">
        <v>192025.22451740401</v>
      </c>
      <c r="O123" s="1755" t="s">
        <v>3465</v>
      </c>
      <c r="P123" s="1721" t="s">
        <v>9611</v>
      </c>
    </row>
    <row r="124" spans="1:16" ht="13.5" hidden="1" customHeight="1" outlineLevel="3" x14ac:dyDescent="0.2">
      <c r="A124" s="459">
        <v>0</v>
      </c>
      <c r="B124" s="459">
        <v>4</v>
      </c>
      <c r="C124" s="459">
        <v>2</v>
      </c>
      <c r="D124" s="460">
        <v>11</v>
      </c>
      <c r="E124" s="460">
        <v>2</v>
      </c>
      <c r="G124" s="1748" t="s">
        <v>42</v>
      </c>
      <c r="H124" s="1749" t="s">
        <v>1239</v>
      </c>
      <c r="I124" s="1750" t="s">
        <v>5906</v>
      </c>
      <c r="J124" s="1751" t="s">
        <v>1306</v>
      </c>
      <c r="K124" s="1752" t="s">
        <v>642</v>
      </c>
      <c r="L124" s="1753">
        <v>7109.7264000000005</v>
      </c>
      <c r="M124" s="1753">
        <v>3.9773487999999997</v>
      </c>
      <c r="N124" s="1754">
        <v>28277.8617653683</v>
      </c>
      <c r="O124" s="1755"/>
      <c r="P124" s="1721" t="s">
        <v>9611</v>
      </c>
    </row>
    <row r="125" spans="1:16" ht="13.5" hidden="1" customHeight="1" outlineLevel="2" x14ac:dyDescent="0.2">
      <c r="A125" s="459">
        <v>0</v>
      </c>
      <c r="B125" s="459">
        <v>4</v>
      </c>
      <c r="C125" s="459">
        <v>2</v>
      </c>
      <c r="D125" s="460">
        <v>12</v>
      </c>
      <c r="E125" s="460">
        <v>0</v>
      </c>
      <c r="G125" s="1740"/>
      <c r="H125" s="1741" t="s">
        <v>1238</v>
      </c>
      <c r="I125" s="1742" t="s">
        <v>5907</v>
      </c>
      <c r="J125" s="1743" t="s">
        <v>2479</v>
      </c>
      <c r="K125" s="1744"/>
      <c r="L125" s="1745"/>
      <c r="M125" s="1745"/>
      <c r="N125" s="1746">
        <v>367376.964117422</v>
      </c>
      <c r="O125" s="1747">
        <v>21.933385202061999</v>
      </c>
      <c r="P125" s="1720"/>
    </row>
    <row r="126" spans="1:16" ht="13.5" hidden="1" customHeight="1" outlineLevel="3" x14ac:dyDescent="0.2">
      <c r="A126" s="459">
        <v>0</v>
      </c>
      <c r="B126" s="459">
        <v>4</v>
      </c>
      <c r="C126" s="459">
        <v>2</v>
      </c>
      <c r="D126" s="460">
        <v>12</v>
      </c>
      <c r="E126" s="460">
        <v>1</v>
      </c>
      <c r="G126" s="1748" t="s">
        <v>42</v>
      </c>
      <c r="H126" s="1749" t="s">
        <v>1239</v>
      </c>
      <c r="I126" s="1750" t="s">
        <v>5908</v>
      </c>
      <c r="J126" s="1751" t="s">
        <v>1305</v>
      </c>
      <c r="K126" s="1752" t="s">
        <v>642</v>
      </c>
      <c r="L126" s="1753">
        <v>2677.6268181818182</v>
      </c>
      <c r="M126" s="1753">
        <v>108.03522595041321</v>
      </c>
      <c r="N126" s="1754">
        <v>289278.018313159</v>
      </c>
      <c r="O126" s="1755" t="s">
        <v>3460</v>
      </c>
      <c r="P126" s="1721" t="s">
        <v>9611</v>
      </c>
    </row>
    <row r="127" spans="1:16" ht="13.5" hidden="1" customHeight="1" outlineLevel="3" x14ac:dyDescent="0.2">
      <c r="A127" s="459">
        <v>0</v>
      </c>
      <c r="B127" s="459">
        <v>4</v>
      </c>
      <c r="C127" s="459">
        <v>2</v>
      </c>
      <c r="D127" s="460">
        <v>12</v>
      </c>
      <c r="E127" s="460">
        <v>2</v>
      </c>
      <c r="G127" s="1748" t="s">
        <v>42</v>
      </c>
      <c r="H127" s="1749" t="s">
        <v>1239</v>
      </c>
      <c r="I127" s="1750" t="s">
        <v>5909</v>
      </c>
      <c r="J127" s="1751" t="s">
        <v>1306</v>
      </c>
      <c r="K127" s="1752" t="s">
        <v>642</v>
      </c>
      <c r="L127" s="1753">
        <v>19635.930800000013</v>
      </c>
      <c r="M127" s="1753">
        <v>3.9773487999999997</v>
      </c>
      <c r="N127" s="1754">
        <v>78098.945804263101</v>
      </c>
      <c r="O127" s="1755"/>
      <c r="P127" s="1721" t="s">
        <v>9611</v>
      </c>
    </row>
    <row r="128" spans="1:16" ht="13.5" hidden="1" customHeight="1" outlineLevel="2" x14ac:dyDescent="0.2">
      <c r="A128" s="459">
        <v>0</v>
      </c>
      <c r="B128" s="459">
        <v>4</v>
      </c>
      <c r="C128" s="459">
        <v>2</v>
      </c>
      <c r="D128" s="460">
        <v>13</v>
      </c>
      <c r="E128" s="460">
        <v>0</v>
      </c>
      <c r="G128" s="1740"/>
      <c r="H128" s="1741" t="s">
        <v>1238</v>
      </c>
      <c r="I128" s="1742" t="s">
        <v>5910</v>
      </c>
      <c r="J128" s="1743" t="s">
        <v>3466</v>
      </c>
      <c r="K128" s="1744"/>
      <c r="L128" s="1745"/>
      <c r="M128" s="1745"/>
      <c r="N128" s="1746">
        <v>102875.305782753</v>
      </c>
      <c r="O128" s="1747">
        <v>6.1419303056569401</v>
      </c>
      <c r="P128" s="1720"/>
    </row>
    <row r="129" spans="1:16" ht="13.5" hidden="1" customHeight="1" outlineLevel="3" x14ac:dyDescent="0.2">
      <c r="A129" s="459">
        <v>0</v>
      </c>
      <c r="B129" s="459">
        <v>4</v>
      </c>
      <c r="C129" s="459">
        <v>2</v>
      </c>
      <c r="D129" s="460">
        <v>13</v>
      </c>
      <c r="E129" s="460">
        <v>1</v>
      </c>
      <c r="G129" s="1748" t="s">
        <v>42</v>
      </c>
      <c r="H129" s="1749" t="s">
        <v>1239</v>
      </c>
      <c r="I129" s="1750" t="s">
        <v>5911</v>
      </c>
      <c r="J129" s="1751" t="s">
        <v>1305</v>
      </c>
      <c r="K129" s="1752" t="s">
        <v>642</v>
      </c>
      <c r="L129" s="1753">
        <v>918.42639999999994</v>
      </c>
      <c r="M129" s="1753">
        <v>108.03522595041321</v>
      </c>
      <c r="N129" s="1754">
        <v>99222.403642824604</v>
      </c>
      <c r="O129" s="1755" t="s">
        <v>3467</v>
      </c>
      <c r="P129" s="1721" t="s">
        <v>9611</v>
      </c>
    </row>
    <row r="130" spans="1:16" ht="13.5" hidden="1" customHeight="1" outlineLevel="3" x14ac:dyDescent="0.2">
      <c r="A130" s="459">
        <v>0</v>
      </c>
      <c r="B130" s="459">
        <v>4</v>
      </c>
      <c r="C130" s="459">
        <v>2</v>
      </c>
      <c r="D130" s="460">
        <v>13</v>
      </c>
      <c r="E130" s="460">
        <v>2</v>
      </c>
      <c r="G130" s="1748" t="s">
        <v>42</v>
      </c>
      <c r="H130" s="1749" t="s">
        <v>1239</v>
      </c>
      <c r="I130" s="1750" t="s">
        <v>5912</v>
      </c>
      <c r="J130" s="1751" t="s">
        <v>1306</v>
      </c>
      <c r="K130" s="1752" t="s">
        <v>642</v>
      </c>
      <c r="L130" s="1753">
        <v>918.42639999999994</v>
      </c>
      <c r="M130" s="1753">
        <v>3.9773487999999997</v>
      </c>
      <c r="N130" s="1754">
        <v>3652.9021399283201</v>
      </c>
      <c r="O130" s="1755"/>
      <c r="P130" s="1721" t="s">
        <v>9611</v>
      </c>
    </row>
    <row r="131" spans="1:16" ht="13.5" hidden="1" customHeight="1" outlineLevel="2" x14ac:dyDescent="0.2">
      <c r="A131" s="459">
        <v>0</v>
      </c>
      <c r="B131" s="459">
        <v>4</v>
      </c>
      <c r="C131" s="459">
        <v>2</v>
      </c>
      <c r="D131" s="460">
        <v>14</v>
      </c>
      <c r="E131" s="460">
        <v>0</v>
      </c>
      <c r="G131" s="1740"/>
      <c r="H131" s="1741" t="s">
        <v>1238</v>
      </c>
      <c r="I131" s="1742" t="s">
        <v>5913</v>
      </c>
      <c r="J131" s="1743" t="s">
        <v>3468</v>
      </c>
      <c r="K131" s="1744"/>
      <c r="L131" s="1745"/>
      <c r="M131" s="1745"/>
      <c r="N131" s="1746">
        <v>3290.6054377363198</v>
      </c>
      <c r="O131" s="1747">
        <v>0.196457926498631</v>
      </c>
      <c r="P131" s="1720"/>
    </row>
    <row r="132" spans="1:16" ht="13.5" hidden="1" customHeight="1" outlineLevel="3" x14ac:dyDescent="0.2">
      <c r="A132" s="459">
        <v>0</v>
      </c>
      <c r="B132" s="459">
        <v>4</v>
      </c>
      <c r="C132" s="459">
        <v>2</v>
      </c>
      <c r="D132" s="460">
        <v>14</v>
      </c>
      <c r="E132" s="460">
        <v>1</v>
      </c>
      <c r="G132" s="1748" t="s">
        <v>42</v>
      </c>
      <c r="H132" s="1749" t="s">
        <v>1239</v>
      </c>
      <c r="I132" s="1750" t="s">
        <v>5914</v>
      </c>
      <c r="J132" s="1751" t="s">
        <v>1306</v>
      </c>
      <c r="K132" s="1752" t="s">
        <v>642</v>
      </c>
      <c r="L132" s="1753">
        <v>827.33640000000003</v>
      </c>
      <c r="M132" s="1753">
        <v>3.9773487999999997</v>
      </c>
      <c r="N132" s="1754">
        <v>3290.6054377363198</v>
      </c>
      <c r="O132" s="1755"/>
      <c r="P132" s="1721" t="s">
        <v>9611</v>
      </c>
    </row>
    <row r="133" spans="1:16" ht="13.5" hidden="1" customHeight="1" outlineLevel="2" x14ac:dyDescent="0.2">
      <c r="A133" s="459">
        <v>0</v>
      </c>
      <c r="B133" s="459">
        <v>4</v>
      </c>
      <c r="C133" s="459">
        <v>2</v>
      </c>
      <c r="D133" s="460">
        <v>15</v>
      </c>
      <c r="E133" s="460">
        <v>0</v>
      </c>
      <c r="G133" s="1740"/>
      <c r="H133" s="1741" t="s">
        <v>1238</v>
      </c>
      <c r="I133" s="1742" t="s">
        <v>5915</v>
      </c>
      <c r="J133" s="1743" t="s">
        <v>2481</v>
      </c>
      <c r="K133" s="1744"/>
      <c r="L133" s="1745"/>
      <c r="M133" s="1745"/>
      <c r="N133" s="1746">
        <v>105163.722684904</v>
      </c>
      <c r="O133" s="1747">
        <v>6.2785549019714297</v>
      </c>
      <c r="P133" s="1720"/>
    </row>
    <row r="134" spans="1:16" ht="13.5" hidden="1" customHeight="1" outlineLevel="3" x14ac:dyDescent="0.2">
      <c r="A134" s="459">
        <v>0</v>
      </c>
      <c r="B134" s="459">
        <v>4</v>
      </c>
      <c r="C134" s="459">
        <v>2</v>
      </c>
      <c r="D134" s="460">
        <v>15</v>
      </c>
      <c r="E134" s="460">
        <v>1</v>
      </c>
      <c r="G134" s="1748" t="s">
        <v>42</v>
      </c>
      <c r="H134" s="1749" t="s">
        <v>1239</v>
      </c>
      <c r="I134" s="1750" t="s">
        <v>5916</v>
      </c>
      <c r="J134" s="1751" t="s">
        <v>1305</v>
      </c>
      <c r="K134" s="1752" t="s">
        <v>642</v>
      </c>
      <c r="L134" s="1753">
        <v>938.85639999999989</v>
      </c>
      <c r="M134" s="1753">
        <v>108.03522595041321</v>
      </c>
      <c r="N134" s="1754">
        <v>101429.563308992</v>
      </c>
      <c r="O134" s="1755" t="s">
        <v>3469</v>
      </c>
      <c r="P134" s="1721" t="s">
        <v>9611</v>
      </c>
    </row>
    <row r="135" spans="1:16" ht="13.5" hidden="1" customHeight="1" outlineLevel="3" x14ac:dyDescent="0.2">
      <c r="A135" s="459">
        <v>0</v>
      </c>
      <c r="B135" s="459">
        <v>4</v>
      </c>
      <c r="C135" s="459">
        <v>2</v>
      </c>
      <c r="D135" s="460">
        <v>15</v>
      </c>
      <c r="E135" s="460">
        <v>2</v>
      </c>
      <c r="G135" s="1748" t="s">
        <v>42</v>
      </c>
      <c r="H135" s="1749" t="s">
        <v>1239</v>
      </c>
      <c r="I135" s="1750" t="s">
        <v>5917</v>
      </c>
      <c r="J135" s="1751" t="s">
        <v>1306</v>
      </c>
      <c r="K135" s="1752" t="s">
        <v>642</v>
      </c>
      <c r="L135" s="1753">
        <v>938.85639999999989</v>
      </c>
      <c r="M135" s="1753">
        <v>3.9773487999999997</v>
      </c>
      <c r="N135" s="1754">
        <v>3734.1593759123198</v>
      </c>
      <c r="O135" s="1755"/>
      <c r="P135" s="1721" t="s">
        <v>9611</v>
      </c>
    </row>
    <row r="136" spans="1:16" ht="13.5" hidden="1" customHeight="1" outlineLevel="2" x14ac:dyDescent="0.2">
      <c r="A136" s="459">
        <v>0</v>
      </c>
      <c r="B136" s="459">
        <v>4</v>
      </c>
      <c r="C136" s="459">
        <v>2</v>
      </c>
      <c r="D136" s="460">
        <v>16</v>
      </c>
      <c r="E136" s="460">
        <v>0</v>
      </c>
      <c r="G136" s="1740"/>
      <c r="H136" s="1741" t="s">
        <v>1238</v>
      </c>
      <c r="I136" s="1742" t="s">
        <v>5918</v>
      </c>
      <c r="J136" s="1743" t="s">
        <v>2482</v>
      </c>
      <c r="K136" s="1744"/>
      <c r="L136" s="1745"/>
      <c r="M136" s="1745"/>
      <c r="N136" s="1746">
        <v>59217.687893301001</v>
      </c>
      <c r="O136" s="1747">
        <v>3.5354540055595698</v>
      </c>
      <c r="P136" s="1720"/>
    </row>
    <row r="137" spans="1:16" ht="13.5" hidden="1" customHeight="1" outlineLevel="3" x14ac:dyDescent="0.2">
      <c r="A137" s="459">
        <v>0</v>
      </c>
      <c r="B137" s="459">
        <v>4</v>
      </c>
      <c r="C137" s="459">
        <v>2</v>
      </c>
      <c r="D137" s="460">
        <v>16</v>
      </c>
      <c r="E137" s="460">
        <v>1</v>
      </c>
      <c r="G137" s="1748" t="s">
        <v>42</v>
      </c>
      <c r="H137" s="1749" t="s">
        <v>1239</v>
      </c>
      <c r="I137" s="1750" t="s">
        <v>5919</v>
      </c>
      <c r="J137" s="1751" t="s">
        <v>1305</v>
      </c>
      <c r="K137" s="1752" t="s">
        <v>642</v>
      </c>
      <c r="L137" s="1753">
        <v>528.67000000000007</v>
      </c>
      <c r="M137" s="1753">
        <v>108.03522595041321</v>
      </c>
      <c r="N137" s="1754">
        <v>57114.982903204997</v>
      </c>
      <c r="O137" s="1755" t="s">
        <v>3469</v>
      </c>
      <c r="P137" s="1721" t="s">
        <v>9611</v>
      </c>
    </row>
    <row r="138" spans="1:16" ht="13.5" hidden="1" customHeight="1" outlineLevel="3" x14ac:dyDescent="0.2">
      <c r="A138" s="459">
        <v>0</v>
      </c>
      <c r="B138" s="459">
        <v>4</v>
      </c>
      <c r="C138" s="459">
        <v>2</v>
      </c>
      <c r="D138" s="460">
        <v>16</v>
      </c>
      <c r="E138" s="460">
        <v>2</v>
      </c>
      <c r="G138" s="1748" t="s">
        <v>42</v>
      </c>
      <c r="H138" s="1749" t="s">
        <v>1239</v>
      </c>
      <c r="I138" s="1750" t="s">
        <v>5920</v>
      </c>
      <c r="J138" s="1751" t="s">
        <v>1306</v>
      </c>
      <c r="K138" s="1752" t="s">
        <v>642</v>
      </c>
      <c r="L138" s="1753">
        <v>528.67000000000007</v>
      </c>
      <c r="M138" s="1753">
        <v>3.9773487999999997</v>
      </c>
      <c r="N138" s="1754">
        <v>2102.7049900960001</v>
      </c>
      <c r="O138" s="1755"/>
      <c r="P138" s="1721" t="s">
        <v>9611</v>
      </c>
    </row>
    <row r="139" spans="1:16" ht="13.5" hidden="1" customHeight="1" outlineLevel="1" x14ac:dyDescent="0.2">
      <c r="A139" s="459">
        <v>0</v>
      </c>
      <c r="B139" s="459">
        <v>4</v>
      </c>
      <c r="C139" s="459">
        <v>3</v>
      </c>
      <c r="D139" s="460">
        <v>0</v>
      </c>
      <c r="E139" s="460">
        <v>2</v>
      </c>
      <c r="G139" s="1733"/>
      <c r="H139" s="1734" t="s">
        <v>39</v>
      </c>
      <c r="I139" s="1735" t="s">
        <v>5921</v>
      </c>
      <c r="J139" s="1736" t="s">
        <v>1739</v>
      </c>
      <c r="K139" s="1737"/>
      <c r="L139" s="1738"/>
      <c r="M139" s="1738"/>
      <c r="N139" s="1739">
        <v>7497705.1095954003</v>
      </c>
      <c r="O139" s="1722">
        <v>447.63300468578802</v>
      </c>
      <c r="P139" s="1719"/>
    </row>
    <row r="140" spans="1:16" ht="13.5" hidden="1" customHeight="1" outlineLevel="2" x14ac:dyDescent="0.2">
      <c r="A140" s="459">
        <v>0</v>
      </c>
      <c r="B140" s="459">
        <v>4</v>
      </c>
      <c r="C140" s="459">
        <v>3</v>
      </c>
      <c r="D140" s="460">
        <v>1</v>
      </c>
      <c r="E140" s="460">
        <v>0</v>
      </c>
      <c r="G140" s="1740"/>
      <c r="H140" s="1741" t="s">
        <v>1238</v>
      </c>
      <c r="I140" s="1742" t="s">
        <v>5922</v>
      </c>
      <c r="J140" s="1743" t="s">
        <v>2453</v>
      </c>
      <c r="K140" s="1744"/>
      <c r="L140" s="1745"/>
      <c r="M140" s="1745"/>
      <c r="N140" s="1746">
        <v>197948.80245818201</v>
      </c>
      <c r="O140" s="1747">
        <v>11.818071786380401</v>
      </c>
      <c r="P140" s="1720"/>
    </row>
    <row r="141" spans="1:16" ht="13.5" hidden="1" customHeight="1" outlineLevel="3" x14ac:dyDescent="0.2">
      <c r="A141" s="459">
        <v>0</v>
      </c>
      <c r="B141" s="459">
        <v>4</v>
      </c>
      <c r="C141" s="459">
        <v>3</v>
      </c>
      <c r="D141" s="460">
        <v>1</v>
      </c>
      <c r="E141" s="460">
        <v>1</v>
      </c>
      <c r="G141" s="1748" t="s">
        <v>42</v>
      </c>
      <c r="H141" s="1749" t="s">
        <v>1239</v>
      </c>
      <c r="I141" s="1750" t="s">
        <v>5923</v>
      </c>
      <c r="J141" s="1751" t="s">
        <v>5370</v>
      </c>
      <c r="K141" s="1752" t="s">
        <v>1106</v>
      </c>
      <c r="L141" s="1753">
        <v>5080.181818181818</v>
      </c>
      <c r="M141" s="1753">
        <v>8.9649650000000012</v>
      </c>
      <c r="N141" s="1754">
        <v>45543.652193636401</v>
      </c>
      <c r="O141" s="1755" t="s">
        <v>1308</v>
      </c>
      <c r="P141" s="1721" t="s">
        <v>9611</v>
      </c>
    </row>
    <row r="142" spans="1:16" ht="13.5" hidden="1" customHeight="1" outlineLevel="3" x14ac:dyDescent="0.2">
      <c r="A142" s="459">
        <v>0</v>
      </c>
      <c r="B142" s="459">
        <v>4</v>
      </c>
      <c r="C142" s="459">
        <v>3</v>
      </c>
      <c r="D142" s="460">
        <v>1</v>
      </c>
      <c r="E142" s="460">
        <v>2</v>
      </c>
      <c r="G142" s="1748" t="s">
        <v>42</v>
      </c>
      <c r="H142" s="1749" t="s">
        <v>1239</v>
      </c>
      <c r="I142" s="1750" t="s">
        <v>5924</v>
      </c>
      <c r="J142" s="1751" t="s">
        <v>5371</v>
      </c>
      <c r="K142" s="1752" t="s">
        <v>1106</v>
      </c>
      <c r="L142" s="1753">
        <v>2357.272727272727</v>
      </c>
      <c r="M142" s="1753">
        <v>8.9649650000000012</v>
      </c>
      <c r="N142" s="1754">
        <v>21132.867495454499</v>
      </c>
      <c r="O142" s="1755" t="s">
        <v>1308</v>
      </c>
      <c r="P142" s="1721" t="s">
        <v>9611</v>
      </c>
    </row>
    <row r="143" spans="1:16" ht="13.5" hidden="1" customHeight="1" outlineLevel="3" x14ac:dyDescent="0.2">
      <c r="A143" s="459">
        <v>0</v>
      </c>
      <c r="B143" s="459">
        <v>4</v>
      </c>
      <c r="C143" s="459">
        <v>3</v>
      </c>
      <c r="D143" s="460">
        <v>1</v>
      </c>
      <c r="E143" s="460">
        <v>3</v>
      </c>
      <c r="G143" s="1748" t="s">
        <v>42</v>
      </c>
      <c r="H143" s="1749" t="s">
        <v>1239</v>
      </c>
      <c r="I143" s="1750" t="s">
        <v>5925</v>
      </c>
      <c r="J143" s="1751" t="s">
        <v>5372</v>
      </c>
      <c r="K143" s="1752" t="s">
        <v>1106</v>
      </c>
      <c r="L143" s="1753">
        <v>2151.4545454545455</v>
      </c>
      <c r="M143" s="1753">
        <v>8.9649650000000012</v>
      </c>
      <c r="N143" s="1754">
        <v>19287.714699090899</v>
      </c>
      <c r="O143" s="1755" t="s">
        <v>1308</v>
      </c>
      <c r="P143" s="1721" t="s">
        <v>9611</v>
      </c>
    </row>
    <row r="144" spans="1:16" ht="13.5" hidden="1" customHeight="1" outlineLevel="3" x14ac:dyDescent="0.2">
      <c r="A144" s="459">
        <v>0</v>
      </c>
      <c r="B144" s="459">
        <v>4</v>
      </c>
      <c r="C144" s="459">
        <v>3</v>
      </c>
      <c r="D144" s="460">
        <v>1</v>
      </c>
      <c r="E144" s="460">
        <v>4</v>
      </c>
      <c r="G144" s="1748" t="s">
        <v>42</v>
      </c>
      <c r="H144" s="1749" t="s">
        <v>1239</v>
      </c>
      <c r="I144" s="1750" t="s">
        <v>5926</v>
      </c>
      <c r="J144" s="1751" t="s">
        <v>5373</v>
      </c>
      <c r="K144" s="1752" t="s">
        <v>1106</v>
      </c>
      <c r="L144" s="1753">
        <v>1370</v>
      </c>
      <c r="M144" s="1753">
        <v>8.4849650000000008</v>
      </c>
      <c r="N144" s="1754">
        <v>11624.402050000001</v>
      </c>
      <c r="O144" s="1755" t="s">
        <v>1308</v>
      </c>
      <c r="P144" s="1721" t="s">
        <v>9611</v>
      </c>
    </row>
    <row r="145" spans="1:16" ht="13.5" hidden="1" customHeight="1" outlineLevel="3" x14ac:dyDescent="0.2">
      <c r="A145" s="459">
        <v>0</v>
      </c>
      <c r="B145" s="459">
        <v>4</v>
      </c>
      <c r="C145" s="459">
        <v>3</v>
      </c>
      <c r="D145" s="460">
        <v>1</v>
      </c>
      <c r="E145" s="460">
        <v>5</v>
      </c>
      <c r="G145" s="1748" t="s">
        <v>42</v>
      </c>
      <c r="H145" s="1749" t="s">
        <v>1239</v>
      </c>
      <c r="I145" s="1750" t="s">
        <v>5927</v>
      </c>
      <c r="J145" s="1751" t="s">
        <v>5374</v>
      </c>
      <c r="K145" s="1752" t="s">
        <v>1106</v>
      </c>
      <c r="L145" s="1753">
        <v>1274</v>
      </c>
      <c r="M145" s="1753">
        <v>8.4849650000000008</v>
      </c>
      <c r="N145" s="1754">
        <v>10809.84541</v>
      </c>
      <c r="O145" s="1755" t="s">
        <v>1308</v>
      </c>
      <c r="P145" s="1721" t="s">
        <v>9611</v>
      </c>
    </row>
    <row r="146" spans="1:16" ht="13.5" hidden="1" customHeight="1" outlineLevel="3" x14ac:dyDescent="0.2">
      <c r="A146" s="459">
        <v>0</v>
      </c>
      <c r="B146" s="459">
        <v>4</v>
      </c>
      <c r="C146" s="459">
        <v>3</v>
      </c>
      <c r="D146" s="460">
        <v>1</v>
      </c>
      <c r="E146" s="460">
        <v>6</v>
      </c>
      <c r="G146" s="1748" t="s">
        <v>42</v>
      </c>
      <c r="H146" s="1749" t="s">
        <v>1239</v>
      </c>
      <c r="I146" s="1750" t="s">
        <v>5928</v>
      </c>
      <c r="J146" s="1751" t="s">
        <v>5375</v>
      </c>
      <c r="K146" s="1752" t="s">
        <v>1106</v>
      </c>
      <c r="L146" s="1753">
        <v>3719</v>
      </c>
      <c r="M146" s="1753">
        <v>8.4849650000000008</v>
      </c>
      <c r="N146" s="1754">
        <v>31555.584835000001</v>
      </c>
      <c r="O146" s="1755" t="s">
        <v>1308</v>
      </c>
      <c r="P146" s="1721" t="s">
        <v>9611</v>
      </c>
    </row>
    <row r="147" spans="1:16" ht="13.5" hidden="1" customHeight="1" outlineLevel="3" x14ac:dyDescent="0.2">
      <c r="A147" s="459">
        <v>0</v>
      </c>
      <c r="B147" s="459">
        <v>4</v>
      </c>
      <c r="C147" s="459">
        <v>3</v>
      </c>
      <c r="D147" s="460">
        <v>1</v>
      </c>
      <c r="E147" s="460">
        <v>7</v>
      </c>
      <c r="G147" s="1748" t="s">
        <v>42</v>
      </c>
      <c r="H147" s="1749" t="s">
        <v>1239</v>
      </c>
      <c r="I147" s="1750" t="s">
        <v>5929</v>
      </c>
      <c r="J147" s="1751" t="s">
        <v>5376</v>
      </c>
      <c r="K147" s="1752" t="s">
        <v>1106</v>
      </c>
      <c r="L147" s="1753">
        <v>6835</v>
      </c>
      <c r="M147" s="1753">
        <v>8.4849650000000008</v>
      </c>
      <c r="N147" s="1754">
        <v>57994.735775000001</v>
      </c>
      <c r="O147" s="1755" t="s">
        <v>1308</v>
      </c>
      <c r="P147" s="1721" t="s">
        <v>9611</v>
      </c>
    </row>
    <row r="148" spans="1:16" ht="13.5" hidden="1" customHeight="1" outlineLevel="2" x14ac:dyDescent="0.2">
      <c r="A148" s="459">
        <v>0</v>
      </c>
      <c r="B148" s="459">
        <v>4</v>
      </c>
      <c r="C148" s="459">
        <v>3</v>
      </c>
      <c r="D148" s="460">
        <v>2</v>
      </c>
      <c r="E148" s="460">
        <v>0</v>
      </c>
      <c r="G148" s="1740"/>
      <c r="H148" s="1741" t="s">
        <v>1238</v>
      </c>
      <c r="I148" s="1742" t="s">
        <v>5930</v>
      </c>
      <c r="J148" s="1743" t="s">
        <v>3470</v>
      </c>
      <c r="K148" s="1744"/>
      <c r="L148" s="1745"/>
      <c r="M148" s="1745"/>
      <c r="N148" s="1746">
        <v>541257.66377151594</v>
      </c>
      <c r="O148" s="1747">
        <v>32.314527018831797</v>
      </c>
      <c r="P148" s="1720"/>
    </row>
    <row r="149" spans="1:16" ht="13.5" hidden="1" customHeight="1" outlineLevel="3" x14ac:dyDescent="0.2">
      <c r="A149" s="459">
        <v>0</v>
      </c>
      <c r="B149" s="459">
        <v>4</v>
      </c>
      <c r="C149" s="459">
        <v>3</v>
      </c>
      <c r="D149" s="460">
        <v>2</v>
      </c>
      <c r="E149" s="460">
        <v>1</v>
      </c>
      <c r="G149" s="1748" t="s">
        <v>42</v>
      </c>
      <c r="H149" s="1749" t="s">
        <v>1239</v>
      </c>
      <c r="I149" s="1750" t="s">
        <v>5931</v>
      </c>
      <c r="J149" s="1751" t="s">
        <v>5369</v>
      </c>
      <c r="K149" s="1752" t="s">
        <v>1106</v>
      </c>
      <c r="L149" s="1753">
        <v>5</v>
      </c>
      <c r="M149" s="1753">
        <v>8.9649650000000012</v>
      </c>
      <c r="N149" s="1754">
        <v>44.824824999999997</v>
      </c>
      <c r="O149" s="1755" t="s">
        <v>1308</v>
      </c>
      <c r="P149" s="1721" t="s">
        <v>9611</v>
      </c>
    </row>
    <row r="150" spans="1:16" ht="13.5" hidden="1" customHeight="1" outlineLevel="3" x14ac:dyDescent="0.2">
      <c r="A150" s="459">
        <v>0</v>
      </c>
      <c r="B150" s="459">
        <v>4</v>
      </c>
      <c r="C150" s="459">
        <v>3</v>
      </c>
      <c r="D150" s="460">
        <v>2</v>
      </c>
      <c r="E150" s="460">
        <v>2</v>
      </c>
      <c r="G150" s="1748" t="s">
        <v>42</v>
      </c>
      <c r="H150" s="1749" t="s">
        <v>1239</v>
      </c>
      <c r="I150" s="1750" t="s">
        <v>5932</v>
      </c>
      <c r="J150" s="1751" t="s">
        <v>5370</v>
      </c>
      <c r="K150" s="1752" t="s">
        <v>1106</v>
      </c>
      <c r="L150" s="1753">
        <v>1050.4545454545453</v>
      </c>
      <c r="M150" s="1753">
        <v>8.9649650000000012</v>
      </c>
      <c r="N150" s="1754">
        <v>9417.2882340909091</v>
      </c>
      <c r="O150" s="1755" t="s">
        <v>1308</v>
      </c>
      <c r="P150" s="1721" t="s">
        <v>9611</v>
      </c>
    </row>
    <row r="151" spans="1:16" ht="13.5" hidden="1" customHeight="1" outlineLevel="3" x14ac:dyDescent="0.2">
      <c r="A151" s="459">
        <v>0</v>
      </c>
      <c r="B151" s="459">
        <v>4</v>
      </c>
      <c r="C151" s="459">
        <v>3</v>
      </c>
      <c r="D151" s="460">
        <v>2</v>
      </c>
      <c r="E151" s="460">
        <v>3</v>
      </c>
      <c r="G151" s="1748" t="s">
        <v>42</v>
      </c>
      <c r="H151" s="1749" t="s">
        <v>1239</v>
      </c>
      <c r="I151" s="1750" t="s">
        <v>5933</v>
      </c>
      <c r="J151" s="1751" t="s">
        <v>5371</v>
      </c>
      <c r="K151" s="1752" t="s">
        <v>1106</v>
      </c>
      <c r="L151" s="1753">
        <v>5136.272727272727</v>
      </c>
      <c r="M151" s="1753">
        <v>8.9649650000000012</v>
      </c>
      <c r="N151" s="1754">
        <v>46046.505230454502</v>
      </c>
      <c r="O151" s="1755" t="s">
        <v>1308</v>
      </c>
      <c r="P151" s="1721" t="s">
        <v>9611</v>
      </c>
    </row>
    <row r="152" spans="1:16" ht="13.5" hidden="1" customHeight="1" outlineLevel="3" x14ac:dyDescent="0.2">
      <c r="A152" s="459">
        <v>0</v>
      </c>
      <c r="B152" s="459">
        <v>4</v>
      </c>
      <c r="C152" s="459">
        <v>3</v>
      </c>
      <c r="D152" s="460">
        <v>2</v>
      </c>
      <c r="E152" s="460">
        <v>4</v>
      </c>
      <c r="G152" s="1748" t="s">
        <v>42</v>
      </c>
      <c r="H152" s="1749" t="s">
        <v>1239</v>
      </c>
      <c r="I152" s="1750" t="s">
        <v>5934</v>
      </c>
      <c r="J152" s="1751" t="s">
        <v>5372</v>
      </c>
      <c r="K152" s="1752" t="s">
        <v>1106</v>
      </c>
      <c r="L152" s="1753">
        <v>8109.454545454545</v>
      </c>
      <c r="M152" s="1753">
        <v>8.9649650000000012</v>
      </c>
      <c r="N152" s="1754">
        <v>72700.976169090907</v>
      </c>
      <c r="O152" s="1755" t="s">
        <v>1308</v>
      </c>
      <c r="P152" s="1721" t="s">
        <v>9611</v>
      </c>
    </row>
    <row r="153" spans="1:16" ht="13.5" hidden="1" customHeight="1" outlineLevel="3" x14ac:dyDescent="0.2">
      <c r="A153" s="459">
        <v>0</v>
      </c>
      <c r="B153" s="459">
        <v>4</v>
      </c>
      <c r="C153" s="459">
        <v>3</v>
      </c>
      <c r="D153" s="460">
        <v>2</v>
      </c>
      <c r="E153" s="460">
        <v>5</v>
      </c>
      <c r="G153" s="1748" t="s">
        <v>42</v>
      </c>
      <c r="H153" s="1749" t="s">
        <v>1239</v>
      </c>
      <c r="I153" s="1750" t="s">
        <v>5935</v>
      </c>
      <c r="J153" s="1751" t="s">
        <v>5373</v>
      </c>
      <c r="K153" s="1752" t="s">
        <v>1106</v>
      </c>
      <c r="L153" s="1753">
        <v>9698.0909090909099</v>
      </c>
      <c r="M153" s="1753">
        <v>8.4849650000000008</v>
      </c>
      <c r="N153" s="1754">
        <v>82287.961930454607</v>
      </c>
      <c r="O153" s="1755" t="s">
        <v>1308</v>
      </c>
      <c r="P153" s="1721" t="s">
        <v>9611</v>
      </c>
    </row>
    <row r="154" spans="1:16" ht="13.5" hidden="1" customHeight="1" outlineLevel="3" x14ac:dyDescent="0.2">
      <c r="A154" s="459">
        <v>0</v>
      </c>
      <c r="B154" s="459">
        <v>4</v>
      </c>
      <c r="C154" s="459">
        <v>3</v>
      </c>
      <c r="D154" s="460">
        <v>2</v>
      </c>
      <c r="E154" s="460">
        <v>6</v>
      </c>
      <c r="G154" s="1748" t="s">
        <v>42</v>
      </c>
      <c r="H154" s="1749" t="s">
        <v>1239</v>
      </c>
      <c r="I154" s="1750" t="s">
        <v>5936</v>
      </c>
      <c r="J154" s="1751" t="s">
        <v>5374</v>
      </c>
      <c r="K154" s="1752" t="s">
        <v>1106</v>
      </c>
      <c r="L154" s="1753">
        <v>2976.181818181818</v>
      </c>
      <c r="M154" s="1753">
        <v>8.4849650000000008</v>
      </c>
      <c r="N154" s="1754">
        <v>25252.798560909101</v>
      </c>
      <c r="O154" s="1755" t="s">
        <v>1308</v>
      </c>
      <c r="P154" s="1721" t="s">
        <v>9611</v>
      </c>
    </row>
    <row r="155" spans="1:16" ht="13.5" hidden="1" customHeight="1" outlineLevel="3" x14ac:dyDescent="0.2">
      <c r="A155" s="459">
        <v>0</v>
      </c>
      <c r="B155" s="459">
        <v>4</v>
      </c>
      <c r="C155" s="459">
        <v>3</v>
      </c>
      <c r="D155" s="460">
        <v>2</v>
      </c>
      <c r="E155" s="460">
        <v>7</v>
      </c>
      <c r="G155" s="1748" t="s">
        <v>42</v>
      </c>
      <c r="H155" s="1749" t="s">
        <v>1239</v>
      </c>
      <c r="I155" s="1750" t="s">
        <v>5937</v>
      </c>
      <c r="J155" s="1751" t="s">
        <v>5375</v>
      </c>
      <c r="K155" s="1752" t="s">
        <v>1106</v>
      </c>
      <c r="L155" s="1753">
        <v>2261</v>
      </c>
      <c r="M155" s="1753">
        <v>8.4849650000000008</v>
      </c>
      <c r="N155" s="1754">
        <v>19184.505864999999</v>
      </c>
      <c r="O155" s="1755" t="s">
        <v>1308</v>
      </c>
      <c r="P155" s="1721" t="s">
        <v>9611</v>
      </c>
    </row>
    <row r="156" spans="1:16" ht="13.5" hidden="1" customHeight="1" outlineLevel="3" x14ac:dyDescent="0.2">
      <c r="A156" s="459">
        <v>0</v>
      </c>
      <c r="B156" s="459">
        <v>4</v>
      </c>
      <c r="C156" s="459">
        <v>3</v>
      </c>
      <c r="D156" s="460">
        <v>2</v>
      </c>
      <c r="E156" s="460">
        <v>8</v>
      </c>
      <c r="G156" s="1748" t="s">
        <v>42</v>
      </c>
      <c r="H156" s="1749" t="s">
        <v>1239</v>
      </c>
      <c r="I156" s="1750" t="s">
        <v>5938</v>
      </c>
      <c r="J156" s="1751" t="s">
        <v>5376</v>
      </c>
      <c r="K156" s="1752" t="s">
        <v>1106</v>
      </c>
      <c r="L156" s="1753">
        <v>9744</v>
      </c>
      <c r="M156" s="1753">
        <v>8.4849650000000008</v>
      </c>
      <c r="N156" s="1754">
        <v>82677.498959999997</v>
      </c>
      <c r="O156" s="1755" t="s">
        <v>1308</v>
      </c>
      <c r="P156" s="1721" t="s">
        <v>9611</v>
      </c>
    </row>
    <row r="157" spans="1:16" ht="13.5" hidden="1" customHeight="1" outlineLevel="3" x14ac:dyDescent="0.2">
      <c r="A157" s="459">
        <v>0</v>
      </c>
      <c r="B157" s="459">
        <v>4</v>
      </c>
      <c r="C157" s="459">
        <v>3</v>
      </c>
      <c r="D157" s="460">
        <v>2</v>
      </c>
      <c r="E157" s="460">
        <v>9</v>
      </c>
      <c r="G157" s="1748" t="s">
        <v>42</v>
      </c>
      <c r="H157" s="1749" t="s">
        <v>1239</v>
      </c>
      <c r="I157" s="1750" t="s">
        <v>5939</v>
      </c>
      <c r="J157" s="1751" t="s">
        <v>5377</v>
      </c>
      <c r="K157" s="1752" t="s">
        <v>1106</v>
      </c>
      <c r="L157" s="1753">
        <v>20469</v>
      </c>
      <c r="M157" s="1753">
        <v>9.9489620399880714</v>
      </c>
      <c r="N157" s="1754">
        <v>203645.30399651601</v>
      </c>
      <c r="O157" s="1755" t="s">
        <v>1308</v>
      </c>
      <c r="P157" s="1721" t="s">
        <v>9611</v>
      </c>
    </row>
    <row r="158" spans="1:16" ht="13.5" hidden="1" customHeight="1" outlineLevel="2" x14ac:dyDescent="0.2">
      <c r="A158" s="459">
        <v>0</v>
      </c>
      <c r="B158" s="459">
        <v>4</v>
      </c>
      <c r="C158" s="459">
        <v>3</v>
      </c>
      <c r="D158" s="460">
        <v>3</v>
      </c>
      <c r="E158" s="460">
        <v>0</v>
      </c>
      <c r="G158" s="1740"/>
      <c r="H158" s="1741" t="s">
        <v>1238</v>
      </c>
      <c r="I158" s="1742" t="s">
        <v>5940</v>
      </c>
      <c r="J158" s="1743" t="s">
        <v>2483</v>
      </c>
      <c r="K158" s="1744"/>
      <c r="L158" s="1745"/>
      <c r="M158" s="1745"/>
      <c r="N158" s="1746">
        <v>441888.15905238403</v>
      </c>
      <c r="O158" s="1747">
        <v>26.3819023928462</v>
      </c>
      <c r="P158" s="1720"/>
    </row>
    <row r="159" spans="1:16" ht="13.5" hidden="1" customHeight="1" outlineLevel="3" x14ac:dyDescent="0.2">
      <c r="A159" s="459">
        <v>0</v>
      </c>
      <c r="B159" s="459">
        <v>4</v>
      </c>
      <c r="C159" s="459">
        <v>3</v>
      </c>
      <c r="D159" s="460">
        <v>3</v>
      </c>
      <c r="E159" s="460">
        <v>1</v>
      </c>
      <c r="G159" s="1748" t="s">
        <v>42</v>
      </c>
      <c r="H159" s="1749" t="s">
        <v>1239</v>
      </c>
      <c r="I159" s="1750" t="s">
        <v>5941</v>
      </c>
      <c r="J159" s="1751" t="s">
        <v>5369</v>
      </c>
      <c r="K159" s="1752" t="s">
        <v>1106</v>
      </c>
      <c r="L159" s="1753">
        <v>1</v>
      </c>
      <c r="M159" s="1753">
        <v>8.9649650000000012</v>
      </c>
      <c r="N159" s="1754">
        <v>8.9649649999999994</v>
      </c>
      <c r="O159" s="1755" t="s">
        <v>1308</v>
      </c>
      <c r="P159" s="1721" t="s">
        <v>9611</v>
      </c>
    </row>
    <row r="160" spans="1:16" ht="13.5" hidden="1" customHeight="1" outlineLevel="3" x14ac:dyDescent="0.2">
      <c r="A160" s="459">
        <v>0</v>
      </c>
      <c r="B160" s="459">
        <v>4</v>
      </c>
      <c r="C160" s="459">
        <v>3</v>
      </c>
      <c r="D160" s="460">
        <v>3</v>
      </c>
      <c r="E160" s="460">
        <v>2</v>
      </c>
      <c r="G160" s="1748" t="s">
        <v>42</v>
      </c>
      <c r="H160" s="1749" t="s">
        <v>1239</v>
      </c>
      <c r="I160" s="1750" t="s">
        <v>5942</v>
      </c>
      <c r="J160" s="1751" t="s">
        <v>5370</v>
      </c>
      <c r="K160" s="1752" t="s">
        <v>1106</v>
      </c>
      <c r="L160" s="1753">
        <v>1571.1818181818182</v>
      </c>
      <c r="M160" s="1753">
        <v>8.9649650000000012</v>
      </c>
      <c r="N160" s="1754">
        <v>14085.5900086364</v>
      </c>
      <c r="O160" s="1755" t="s">
        <v>1308</v>
      </c>
      <c r="P160" s="1721" t="s">
        <v>9611</v>
      </c>
    </row>
    <row r="161" spans="1:16" ht="13.5" hidden="1" customHeight="1" outlineLevel="3" x14ac:dyDescent="0.2">
      <c r="A161" s="459">
        <v>0</v>
      </c>
      <c r="B161" s="459">
        <v>4</v>
      </c>
      <c r="C161" s="459">
        <v>3</v>
      </c>
      <c r="D161" s="460">
        <v>3</v>
      </c>
      <c r="E161" s="460">
        <v>3</v>
      </c>
      <c r="G161" s="1748" t="s">
        <v>42</v>
      </c>
      <c r="H161" s="1749" t="s">
        <v>1239</v>
      </c>
      <c r="I161" s="1750" t="s">
        <v>5943</v>
      </c>
      <c r="J161" s="1751" t="s">
        <v>5371</v>
      </c>
      <c r="K161" s="1752" t="s">
        <v>1106</v>
      </c>
      <c r="L161" s="1753">
        <v>8053.363636363636</v>
      </c>
      <c r="M161" s="1753">
        <v>8.9649650000000012</v>
      </c>
      <c r="N161" s="1754">
        <v>72198.123132272696</v>
      </c>
      <c r="O161" s="1755" t="s">
        <v>1308</v>
      </c>
      <c r="P161" s="1721" t="s">
        <v>9611</v>
      </c>
    </row>
    <row r="162" spans="1:16" ht="13.5" hidden="1" customHeight="1" outlineLevel="3" x14ac:dyDescent="0.2">
      <c r="A162" s="459">
        <v>0</v>
      </c>
      <c r="B162" s="459">
        <v>4</v>
      </c>
      <c r="C162" s="459">
        <v>3</v>
      </c>
      <c r="D162" s="460">
        <v>3</v>
      </c>
      <c r="E162" s="460">
        <v>4</v>
      </c>
      <c r="G162" s="1748" t="s">
        <v>42</v>
      </c>
      <c r="H162" s="1749" t="s">
        <v>1239</v>
      </c>
      <c r="I162" s="1750" t="s">
        <v>5944</v>
      </c>
      <c r="J162" s="1751" t="s">
        <v>5372</v>
      </c>
      <c r="K162" s="1752" t="s">
        <v>1106</v>
      </c>
      <c r="L162" s="1753">
        <v>6913.727272727273</v>
      </c>
      <c r="M162" s="1753">
        <v>8.9649650000000012</v>
      </c>
      <c r="N162" s="1754">
        <v>61981.323019545503</v>
      </c>
      <c r="O162" s="1755" t="s">
        <v>1308</v>
      </c>
      <c r="P162" s="1721" t="s">
        <v>9611</v>
      </c>
    </row>
    <row r="163" spans="1:16" ht="13.5" hidden="1" customHeight="1" outlineLevel="3" x14ac:dyDescent="0.2">
      <c r="A163" s="459">
        <v>0</v>
      </c>
      <c r="B163" s="459">
        <v>4</v>
      </c>
      <c r="C163" s="459">
        <v>3</v>
      </c>
      <c r="D163" s="460">
        <v>3</v>
      </c>
      <c r="E163" s="460">
        <v>5</v>
      </c>
      <c r="G163" s="1748" t="s">
        <v>42</v>
      </c>
      <c r="H163" s="1749" t="s">
        <v>1239</v>
      </c>
      <c r="I163" s="1750" t="s">
        <v>5945</v>
      </c>
      <c r="J163" s="1751" t="s">
        <v>5373</v>
      </c>
      <c r="K163" s="1752" t="s">
        <v>1106</v>
      </c>
      <c r="L163" s="1753">
        <v>5969.545454545455</v>
      </c>
      <c r="M163" s="1753">
        <v>8.4849650000000008</v>
      </c>
      <c r="N163" s="1754">
        <v>50651.384247727299</v>
      </c>
      <c r="O163" s="1755" t="s">
        <v>1308</v>
      </c>
      <c r="P163" s="1721" t="s">
        <v>9611</v>
      </c>
    </row>
    <row r="164" spans="1:16" ht="13.5" hidden="1" customHeight="1" outlineLevel="3" x14ac:dyDescent="0.2">
      <c r="A164" s="459">
        <v>0</v>
      </c>
      <c r="B164" s="459">
        <v>4</v>
      </c>
      <c r="C164" s="459">
        <v>3</v>
      </c>
      <c r="D164" s="460">
        <v>3</v>
      </c>
      <c r="E164" s="460">
        <v>6</v>
      </c>
      <c r="G164" s="1748" t="s">
        <v>42</v>
      </c>
      <c r="H164" s="1749" t="s">
        <v>1239</v>
      </c>
      <c r="I164" s="1750" t="s">
        <v>5946</v>
      </c>
      <c r="J164" s="1751" t="s">
        <v>5374</v>
      </c>
      <c r="K164" s="1752" t="s">
        <v>1106</v>
      </c>
      <c r="L164" s="1753">
        <v>4418.272727272727</v>
      </c>
      <c r="M164" s="1753">
        <v>8.4849650000000008</v>
      </c>
      <c r="N164" s="1754">
        <v>37488.889451363597</v>
      </c>
      <c r="O164" s="1755" t="s">
        <v>1308</v>
      </c>
      <c r="P164" s="1721" t="s">
        <v>9611</v>
      </c>
    </row>
    <row r="165" spans="1:16" ht="13.5" hidden="1" customHeight="1" outlineLevel="3" x14ac:dyDescent="0.2">
      <c r="A165" s="459">
        <v>0</v>
      </c>
      <c r="B165" s="459">
        <v>4</v>
      </c>
      <c r="C165" s="459">
        <v>3</v>
      </c>
      <c r="D165" s="460">
        <v>3</v>
      </c>
      <c r="E165" s="460">
        <v>7</v>
      </c>
      <c r="G165" s="1748" t="s">
        <v>42</v>
      </c>
      <c r="H165" s="1749" t="s">
        <v>1239</v>
      </c>
      <c r="I165" s="1750" t="s">
        <v>5947</v>
      </c>
      <c r="J165" s="1751" t="s">
        <v>5375</v>
      </c>
      <c r="K165" s="1752" t="s">
        <v>1106</v>
      </c>
      <c r="L165" s="1753">
        <v>1396</v>
      </c>
      <c r="M165" s="1753">
        <v>8.4849650000000008</v>
      </c>
      <c r="N165" s="1754">
        <v>11845.011140000001</v>
      </c>
      <c r="O165" s="1755" t="s">
        <v>1308</v>
      </c>
      <c r="P165" s="1721" t="s">
        <v>9611</v>
      </c>
    </row>
    <row r="166" spans="1:16" ht="13.5" hidden="1" customHeight="1" outlineLevel="3" x14ac:dyDescent="0.2">
      <c r="A166" s="459">
        <v>0</v>
      </c>
      <c r="B166" s="459">
        <v>4</v>
      </c>
      <c r="C166" s="459">
        <v>3</v>
      </c>
      <c r="D166" s="460">
        <v>3</v>
      </c>
      <c r="E166" s="460">
        <v>8</v>
      </c>
      <c r="G166" s="1748" t="s">
        <v>42</v>
      </c>
      <c r="H166" s="1749" t="s">
        <v>1239</v>
      </c>
      <c r="I166" s="1750" t="s">
        <v>5948</v>
      </c>
      <c r="J166" s="1751" t="s">
        <v>5376</v>
      </c>
      <c r="K166" s="1752" t="s">
        <v>1106</v>
      </c>
      <c r="L166" s="1753">
        <v>6903</v>
      </c>
      <c r="M166" s="1753">
        <v>8.4849650000000008</v>
      </c>
      <c r="N166" s="1754">
        <v>58571.713394999999</v>
      </c>
      <c r="O166" s="1755" t="s">
        <v>1308</v>
      </c>
      <c r="P166" s="1721" t="s">
        <v>9611</v>
      </c>
    </row>
    <row r="167" spans="1:16" ht="13.5" hidden="1" customHeight="1" outlineLevel="3" x14ac:dyDescent="0.2">
      <c r="A167" s="459">
        <v>0</v>
      </c>
      <c r="B167" s="459">
        <v>4</v>
      </c>
      <c r="C167" s="459">
        <v>3</v>
      </c>
      <c r="D167" s="460">
        <v>3</v>
      </c>
      <c r="E167" s="460">
        <v>9</v>
      </c>
      <c r="G167" s="1748" t="s">
        <v>42</v>
      </c>
      <c r="H167" s="1749" t="s">
        <v>1239</v>
      </c>
      <c r="I167" s="1750" t="s">
        <v>5949</v>
      </c>
      <c r="J167" s="1751" t="s">
        <v>5377</v>
      </c>
      <c r="K167" s="1752" t="s">
        <v>1106</v>
      </c>
      <c r="L167" s="1753">
        <v>13575</v>
      </c>
      <c r="M167" s="1753">
        <v>9.9489620399880714</v>
      </c>
      <c r="N167" s="1754">
        <v>135057.159692838</v>
      </c>
      <c r="O167" s="1755" t="s">
        <v>1308</v>
      </c>
      <c r="P167" s="1721" t="s">
        <v>9611</v>
      </c>
    </row>
    <row r="168" spans="1:16" ht="13.5" hidden="1" customHeight="1" outlineLevel="2" x14ac:dyDescent="0.2">
      <c r="A168" s="459">
        <v>0</v>
      </c>
      <c r="B168" s="459">
        <v>4</v>
      </c>
      <c r="C168" s="459">
        <v>3</v>
      </c>
      <c r="D168" s="460">
        <v>4</v>
      </c>
      <c r="E168" s="460">
        <v>0</v>
      </c>
      <c r="G168" s="1740"/>
      <c r="H168" s="1741" t="s">
        <v>1238</v>
      </c>
      <c r="I168" s="1742" t="s">
        <v>5950</v>
      </c>
      <c r="J168" s="1743" t="s">
        <v>2484</v>
      </c>
      <c r="K168" s="1744"/>
      <c r="L168" s="1745"/>
      <c r="M168" s="1745"/>
      <c r="N168" s="1746">
        <v>315085.527446319</v>
      </c>
      <c r="O168" s="1747">
        <v>18.8114468790322</v>
      </c>
      <c r="P168" s="1720"/>
    </row>
    <row r="169" spans="1:16" ht="13.5" hidden="1" customHeight="1" outlineLevel="3" x14ac:dyDescent="0.2">
      <c r="A169" s="459">
        <v>0</v>
      </c>
      <c r="B169" s="459">
        <v>4</v>
      </c>
      <c r="C169" s="459">
        <v>3</v>
      </c>
      <c r="D169" s="460">
        <v>4</v>
      </c>
      <c r="E169" s="460">
        <v>1</v>
      </c>
      <c r="G169" s="1748" t="s">
        <v>42</v>
      </c>
      <c r="H169" s="1749" t="s">
        <v>1239</v>
      </c>
      <c r="I169" s="1750" t="s">
        <v>5951</v>
      </c>
      <c r="J169" s="1751" t="s">
        <v>5369</v>
      </c>
      <c r="K169" s="1752" t="s">
        <v>1106</v>
      </c>
      <c r="L169" s="1753">
        <v>206.46531827016534</v>
      </c>
      <c r="M169" s="1753">
        <v>8.9649650000000012</v>
      </c>
      <c r="N169" s="1754">
        <v>1850.9543520058901</v>
      </c>
      <c r="O169" s="1755" t="s">
        <v>1308</v>
      </c>
      <c r="P169" s="1721" t="s">
        <v>9611</v>
      </c>
    </row>
    <row r="170" spans="1:16" ht="13.5" hidden="1" customHeight="1" outlineLevel="3" x14ac:dyDescent="0.2">
      <c r="A170" s="459">
        <v>0</v>
      </c>
      <c r="B170" s="459">
        <v>4</v>
      </c>
      <c r="C170" s="459">
        <v>3</v>
      </c>
      <c r="D170" s="460">
        <v>4</v>
      </c>
      <c r="E170" s="460">
        <v>2</v>
      </c>
      <c r="G170" s="1748" t="s">
        <v>42</v>
      </c>
      <c r="H170" s="1749" t="s">
        <v>1239</v>
      </c>
      <c r="I170" s="1750" t="s">
        <v>5952</v>
      </c>
      <c r="J170" s="1751" t="s">
        <v>5370</v>
      </c>
      <c r="K170" s="1752" t="s">
        <v>1106</v>
      </c>
      <c r="L170" s="1753">
        <v>2315.6793610301261</v>
      </c>
      <c r="M170" s="1753">
        <v>8.9649650000000012</v>
      </c>
      <c r="N170" s="1754">
        <v>20759.9844228574</v>
      </c>
      <c r="O170" s="1755" t="s">
        <v>1308</v>
      </c>
      <c r="P170" s="1721" t="s">
        <v>9611</v>
      </c>
    </row>
    <row r="171" spans="1:16" ht="13.5" hidden="1" customHeight="1" outlineLevel="3" x14ac:dyDescent="0.2">
      <c r="A171" s="459">
        <v>0</v>
      </c>
      <c r="B171" s="459">
        <v>4</v>
      </c>
      <c r="C171" s="459">
        <v>3</v>
      </c>
      <c r="D171" s="460">
        <v>4</v>
      </c>
      <c r="E171" s="460">
        <v>3</v>
      </c>
      <c r="G171" s="1748" t="s">
        <v>42</v>
      </c>
      <c r="H171" s="1749" t="s">
        <v>1239</v>
      </c>
      <c r="I171" s="1750" t="s">
        <v>5953</v>
      </c>
      <c r="J171" s="1751" t="s">
        <v>5371</v>
      </c>
      <c r="K171" s="1752" t="s">
        <v>1106</v>
      </c>
      <c r="L171" s="1753">
        <v>2559.2787293488818</v>
      </c>
      <c r="M171" s="1753">
        <v>8.9649650000000012</v>
      </c>
      <c r="N171" s="1754">
        <v>22943.844233857199</v>
      </c>
      <c r="O171" s="1755" t="s">
        <v>1308</v>
      </c>
      <c r="P171" s="1721" t="s">
        <v>9611</v>
      </c>
    </row>
    <row r="172" spans="1:16" ht="13.5" hidden="1" customHeight="1" outlineLevel="3" x14ac:dyDescent="0.2">
      <c r="A172" s="459">
        <v>0</v>
      </c>
      <c r="B172" s="459">
        <v>4</v>
      </c>
      <c r="C172" s="459">
        <v>3</v>
      </c>
      <c r="D172" s="460">
        <v>4</v>
      </c>
      <c r="E172" s="460">
        <v>4</v>
      </c>
      <c r="G172" s="1748" t="s">
        <v>42</v>
      </c>
      <c r="H172" s="1749" t="s">
        <v>1239</v>
      </c>
      <c r="I172" s="1750" t="s">
        <v>5954</v>
      </c>
      <c r="J172" s="1751" t="s">
        <v>5372</v>
      </c>
      <c r="K172" s="1752" t="s">
        <v>1106</v>
      </c>
      <c r="L172" s="1753">
        <v>2909.824161807579</v>
      </c>
      <c r="M172" s="1753">
        <v>8.9649650000000012</v>
      </c>
      <c r="N172" s="1754">
        <v>26086.471766759299</v>
      </c>
      <c r="O172" s="1755" t="s">
        <v>1308</v>
      </c>
      <c r="P172" s="1721" t="s">
        <v>9611</v>
      </c>
    </row>
    <row r="173" spans="1:16" ht="13.5" hidden="1" customHeight="1" outlineLevel="3" x14ac:dyDescent="0.2">
      <c r="A173" s="459">
        <v>0</v>
      </c>
      <c r="B173" s="459">
        <v>4</v>
      </c>
      <c r="C173" s="459">
        <v>3</v>
      </c>
      <c r="D173" s="460">
        <v>4</v>
      </c>
      <c r="E173" s="460">
        <v>5</v>
      </c>
      <c r="G173" s="1748" t="s">
        <v>42</v>
      </c>
      <c r="H173" s="1749" t="s">
        <v>1239</v>
      </c>
      <c r="I173" s="1750" t="s">
        <v>5955</v>
      </c>
      <c r="J173" s="1751" t="s">
        <v>5373</v>
      </c>
      <c r="K173" s="1752" t="s">
        <v>1106</v>
      </c>
      <c r="L173" s="1753">
        <v>3293.0475583090379</v>
      </c>
      <c r="M173" s="1753">
        <v>8.4849650000000008</v>
      </c>
      <c r="N173" s="1754">
        <v>27941.393275587601</v>
      </c>
      <c r="O173" s="1755" t="s">
        <v>1308</v>
      </c>
      <c r="P173" s="1721" t="s">
        <v>9611</v>
      </c>
    </row>
    <row r="174" spans="1:16" ht="13.5" hidden="1" customHeight="1" outlineLevel="3" x14ac:dyDescent="0.2">
      <c r="A174" s="459">
        <v>0</v>
      </c>
      <c r="B174" s="459">
        <v>4</v>
      </c>
      <c r="C174" s="459">
        <v>3</v>
      </c>
      <c r="D174" s="460">
        <v>4</v>
      </c>
      <c r="E174" s="460">
        <v>6</v>
      </c>
      <c r="G174" s="1748" t="s">
        <v>42</v>
      </c>
      <c r="H174" s="1749" t="s">
        <v>1239</v>
      </c>
      <c r="I174" s="1750" t="s">
        <v>5956</v>
      </c>
      <c r="J174" s="1751" t="s">
        <v>5374</v>
      </c>
      <c r="K174" s="1752" t="s">
        <v>1106</v>
      </c>
      <c r="L174" s="1753">
        <v>1103.6239674441204</v>
      </c>
      <c r="M174" s="1753">
        <v>8.4849650000000008</v>
      </c>
      <c r="N174" s="1754">
        <v>9364.2107369245005</v>
      </c>
      <c r="O174" s="1755" t="s">
        <v>1308</v>
      </c>
      <c r="P174" s="1721" t="s">
        <v>9611</v>
      </c>
    </row>
    <row r="175" spans="1:16" ht="13.5" hidden="1" customHeight="1" outlineLevel="3" x14ac:dyDescent="0.2">
      <c r="A175" s="459">
        <v>0</v>
      </c>
      <c r="B175" s="459">
        <v>4</v>
      </c>
      <c r="C175" s="459">
        <v>3</v>
      </c>
      <c r="D175" s="460">
        <v>4</v>
      </c>
      <c r="E175" s="460">
        <v>7</v>
      </c>
      <c r="G175" s="1748" t="s">
        <v>42</v>
      </c>
      <c r="H175" s="1749" t="s">
        <v>1239</v>
      </c>
      <c r="I175" s="1750" t="s">
        <v>5957</v>
      </c>
      <c r="J175" s="1751" t="s">
        <v>5375</v>
      </c>
      <c r="K175" s="1752" t="s">
        <v>1106</v>
      </c>
      <c r="L175" s="1753">
        <v>4219.9134475218652</v>
      </c>
      <c r="M175" s="1753">
        <v>8.4849650000000008</v>
      </c>
      <c r="N175" s="1754">
        <v>35805.817905252399</v>
      </c>
      <c r="O175" s="1755" t="s">
        <v>1308</v>
      </c>
      <c r="P175" s="1721" t="s">
        <v>9611</v>
      </c>
    </row>
    <row r="176" spans="1:16" ht="13.5" hidden="1" customHeight="1" outlineLevel="3" x14ac:dyDescent="0.2">
      <c r="A176" s="459">
        <v>0</v>
      </c>
      <c r="B176" s="459">
        <v>4</v>
      </c>
      <c r="C176" s="459">
        <v>3</v>
      </c>
      <c r="D176" s="460">
        <v>4</v>
      </c>
      <c r="E176" s="460">
        <v>8</v>
      </c>
      <c r="G176" s="1748" t="s">
        <v>42</v>
      </c>
      <c r="H176" s="1749" t="s">
        <v>1239</v>
      </c>
      <c r="I176" s="1750" t="s">
        <v>5958</v>
      </c>
      <c r="J176" s="1751" t="s">
        <v>5376</v>
      </c>
      <c r="K176" s="1752" t="s">
        <v>1106</v>
      </c>
      <c r="L176" s="1753">
        <v>20074.66745626822</v>
      </c>
      <c r="M176" s="1753">
        <v>8.4849650000000008</v>
      </c>
      <c r="N176" s="1754">
        <v>170332.85075307501</v>
      </c>
      <c r="O176" s="1755" t="s">
        <v>1308</v>
      </c>
      <c r="P176" s="1721" t="s">
        <v>9611</v>
      </c>
    </row>
    <row r="177" spans="1:16" ht="13.5" hidden="1" customHeight="1" outlineLevel="2" x14ac:dyDescent="0.2">
      <c r="A177" s="459">
        <v>0</v>
      </c>
      <c r="B177" s="459">
        <v>4</v>
      </c>
      <c r="C177" s="459">
        <v>3</v>
      </c>
      <c r="D177" s="460">
        <v>5</v>
      </c>
      <c r="E177" s="460">
        <v>0</v>
      </c>
      <c r="G177" s="1740"/>
      <c r="H177" s="1741" t="s">
        <v>1238</v>
      </c>
      <c r="I177" s="1742" t="s">
        <v>5959</v>
      </c>
      <c r="J177" s="1743" t="s">
        <v>3471</v>
      </c>
      <c r="K177" s="1744"/>
      <c r="L177" s="1745"/>
      <c r="M177" s="1745"/>
      <c r="N177" s="1746">
        <v>315085.527446319</v>
      </c>
      <c r="O177" s="1747">
        <v>18.8114468790322</v>
      </c>
      <c r="P177" s="1720"/>
    </row>
    <row r="178" spans="1:16" ht="13.5" hidden="1" customHeight="1" outlineLevel="3" x14ac:dyDescent="0.2">
      <c r="A178" s="459">
        <v>0</v>
      </c>
      <c r="B178" s="459">
        <v>4</v>
      </c>
      <c r="C178" s="459">
        <v>3</v>
      </c>
      <c r="D178" s="460">
        <v>5</v>
      </c>
      <c r="E178" s="460">
        <v>1</v>
      </c>
      <c r="G178" s="1748" t="s">
        <v>42</v>
      </c>
      <c r="H178" s="1749" t="s">
        <v>1239</v>
      </c>
      <c r="I178" s="1750" t="s">
        <v>5960</v>
      </c>
      <c r="J178" s="1751" t="s">
        <v>5369</v>
      </c>
      <c r="K178" s="1752" t="s">
        <v>1106</v>
      </c>
      <c r="L178" s="1753">
        <v>206.46531827016534</v>
      </c>
      <c r="M178" s="1753">
        <v>8.9649650000000012</v>
      </c>
      <c r="N178" s="1754">
        <v>1850.9543520058901</v>
      </c>
      <c r="O178" s="1755" t="s">
        <v>1308</v>
      </c>
      <c r="P178" s="1721" t="s">
        <v>9611</v>
      </c>
    </row>
    <row r="179" spans="1:16" ht="13.5" hidden="1" customHeight="1" outlineLevel="3" x14ac:dyDescent="0.2">
      <c r="A179" s="459">
        <v>0</v>
      </c>
      <c r="B179" s="459">
        <v>4</v>
      </c>
      <c r="C179" s="459">
        <v>3</v>
      </c>
      <c r="D179" s="460">
        <v>5</v>
      </c>
      <c r="E179" s="460">
        <v>2</v>
      </c>
      <c r="G179" s="1748" t="s">
        <v>42</v>
      </c>
      <c r="H179" s="1749" t="s">
        <v>1239</v>
      </c>
      <c r="I179" s="1750" t="s">
        <v>5961</v>
      </c>
      <c r="J179" s="1751" t="s">
        <v>5370</v>
      </c>
      <c r="K179" s="1752" t="s">
        <v>1106</v>
      </c>
      <c r="L179" s="1753">
        <v>2315.6793610301261</v>
      </c>
      <c r="M179" s="1753">
        <v>8.9649650000000012</v>
      </c>
      <c r="N179" s="1754">
        <v>20759.9844228574</v>
      </c>
      <c r="O179" s="1755" t="s">
        <v>1308</v>
      </c>
      <c r="P179" s="1721" t="s">
        <v>9611</v>
      </c>
    </row>
    <row r="180" spans="1:16" ht="13.5" hidden="1" customHeight="1" outlineLevel="3" x14ac:dyDescent="0.2">
      <c r="A180" s="459">
        <v>0</v>
      </c>
      <c r="B180" s="459">
        <v>4</v>
      </c>
      <c r="C180" s="459">
        <v>3</v>
      </c>
      <c r="D180" s="460">
        <v>5</v>
      </c>
      <c r="E180" s="460">
        <v>3</v>
      </c>
      <c r="G180" s="1748" t="s">
        <v>42</v>
      </c>
      <c r="H180" s="1749" t="s">
        <v>1239</v>
      </c>
      <c r="I180" s="1750" t="s">
        <v>5962</v>
      </c>
      <c r="J180" s="1751" t="s">
        <v>5371</v>
      </c>
      <c r="K180" s="1752" t="s">
        <v>1106</v>
      </c>
      <c r="L180" s="1753">
        <v>2559.2787293488818</v>
      </c>
      <c r="M180" s="1753">
        <v>8.9649650000000012</v>
      </c>
      <c r="N180" s="1754">
        <v>22943.844233857199</v>
      </c>
      <c r="O180" s="1755" t="s">
        <v>1308</v>
      </c>
      <c r="P180" s="1721" t="s">
        <v>9611</v>
      </c>
    </row>
    <row r="181" spans="1:16" ht="13.5" hidden="1" customHeight="1" outlineLevel="3" x14ac:dyDescent="0.2">
      <c r="A181" s="459">
        <v>0</v>
      </c>
      <c r="B181" s="459">
        <v>4</v>
      </c>
      <c r="C181" s="459">
        <v>3</v>
      </c>
      <c r="D181" s="460">
        <v>5</v>
      </c>
      <c r="E181" s="460">
        <v>4</v>
      </c>
      <c r="G181" s="1748" t="s">
        <v>42</v>
      </c>
      <c r="H181" s="1749" t="s">
        <v>1239</v>
      </c>
      <c r="I181" s="1750" t="s">
        <v>5963</v>
      </c>
      <c r="J181" s="1751" t="s">
        <v>5372</v>
      </c>
      <c r="K181" s="1752" t="s">
        <v>1106</v>
      </c>
      <c r="L181" s="1753">
        <v>2909.824161807579</v>
      </c>
      <c r="M181" s="1753">
        <v>8.9649650000000012</v>
      </c>
      <c r="N181" s="1754">
        <v>26086.471766759299</v>
      </c>
      <c r="O181" s="1755" t="s">
        <v>1308</v>
      </c>
      <c r="P181" s="1721" t="s">
        <v>9611</v>
      </c>
    </row>
    <row r="182" spans="1:16" ht="13.5" hidden="1" customHeight="1" outlineLevel="3" x14ac:dyDescent="0.2">
      <c r="A182" s="459">
        <v>0</v>
      </c>
      <c r="B182" s="459">
        <v>4</v>
      </c>
      <c r="C182" s="459">
        <v>3</v>
      </c>
      <c r="D182" s="460">
        <v>5</v>
      </c>
      <c r="E182" s="460">
        <v>5</v>
      </c>
      <c r="G182" s="1748" t="s">
        <v>42</v>
      </c>
      <c r="H182" s="1749" t="s">
        <v>1239</v>
      </c>
      <c r="I182" s="1750" t="s">
        <v>5964</v>
      </c>
      <c r="J182" s="1751" t="s">
        <v>5373</v>
      </c>
      <c r="K182" s="1752" t="s">
        <v>1106</v>
      </c>
      <c r="L182" s="1753">
        <v>3293.0475583090379</v>
      </c>
      <c r="M182" s="1753">
        <v>8.4849650000000008</v>
      </c>
      <c r="N182" s="1754">
        <v>27941.393275587601</v>
      </c>
      <c r="O182" s="1755" t="s">
        <v>1308</v>
      </c>
      <c r="P182" s="1721" t="s">
        <v>9611</v>
      </c>
    </row>
    <row r="183" spans="1:16" ht="13.5" hidden="1" customHeight="1" outlineLevel="3" x14ac:dyDescent="0.2">
      <c r="A183" s="459">
        <v>0</v>
      </c>
      <c r="B183" s="459">
        <v>4</v>
      </c>
      <c r="C183" s="459">
        <v>3</v>
      </c>
      <c r="D183" s="460">
        <v>5</v>
      </c>
      <c r="E183" s="460">
        <v>6</v>
      </c>
      <c r="G183" s="1748" t="s">
        <v>42</v>
      </c>
      <c r="H183" s="1749" t="s">
        <v>1239</v>
      </c>
      <c r="I183" s="1750" t="s">
        <v>5965</v>
      </c>
      <c r="J183" s="1751" t="s">
        <v>5374</v>
      </c>
      <c r="K183" s="1752" t="s">
        <v>1106</v>
      </c>
      <c r="L183" s="1753">
        <v>1103.6239674441204</v>
      </c>
      <c r="M183" s="1753">
        <v>8.4849650000000008</v>
      </c>
      <c r="N183" s="1754">
        <v>9364.2107369245005</v>
      </c>
      <c r="O183" s="1755" t="s">
        <v>1308</v>
      </c>
      <c r="P183" s="1721" t="s">
        <v>9611</v>
      </c>
    </row>
    <row r="184" spans="1:16" ht="13.5" hidden="1" customHeight="1" outlineLevel="3" x14ac:dyDescent="0.2">
      <c r="A184" s="459">
        <v>0</v>
      </c>
      <c r="B184" s="459">
        <v>4</v>
      </c>
      <c r="C184" s="459">
        <v>3</v>
      </c>
      <c r="D184" s="460">
        <v>5</v>
      </c>
      <c r="E184" s="460">
        <v>7</v>
      </c>
      <c r="G184" s="1748" t="s">
        <v>42</v>
      </c>
      <c r="H184" s="1749" t="s">
        <v>1239</v>
      </c>
      <c r="I184" s="1750" t="s">
        <v>5966</v>
      </c>
      <c r="J184" s="1751" t="s">
        <v>5375</v>
      </c>
      <c r="K184" s="1752" t="s">
        <v>1106</v>
      </c>
      <c r="L184" s="1753">
        <v>4219.9134475218652</v>
      </c>
      <c r="M184" s="1753">
        <v>8.4849650000000008</v>
      </c>
      <c r="N184" s="1754">
        <v>35805.817905252399</v>
      </c>
      <c r="O184" s="1755" t="s">
        <v>1308</v>
      </c>
      <c r="P184" s="1721" t="s">
        <v>9611</v>
      </c>
    </row>
    <row r="185" spans="1:16" ht="13.5" hidden="1" customHeight="1" outlineLevel="3" x14ac:dyDescent="0.2">
      <c r="A185" s="459">
        <v>0</v>
      </c>
      <c r="B185" s="459">
        <v>4</v>
      </c>
      <c r="C185" s="459">
        <v>3</v>
      </c>
      <c r="D185" s="460">
        <v>5</v>
      </c>
      <c r="E185" s="460">
        <v>8</v>
      </c>
      <c r="G185" s="1748" t="s">
        <v>42</v>
      </c>
      <c r="H185" s="1749" t="s">
        <v>1239</v>
      </c>
      <c r="I185" s="1750" t="s">
        <v>5967</v>
      </c>
      <c r="J185" s="1751" t="s">
        <v>5376</v>
      </c>
      <c r="K185" s="1752" t="s">
        <v>1106</v>
      </c>
      <c r="L185" s="1753">
        <v>20074.66745626822</v>
      </c>
      <c r="M185" s="1753">
        <v>8.4849650000000008</v>
      </c>
      <c r="N185" s="1754">
        <v>170332.85075307501</v>
      </c>
      <c r="O185" s="1755" t="s">
        <v>1308</v>
      </c>
      <c r="P185" s="1721" t="s">
        <v>9611</v>
      </c>
    </row>
    <row r="186" spans="1:16" ht="13.5" hidden="1" customHeight="1" outlineLevel="2" x14ac:dyDescent="0.2">
      <c r="A186" s="459">
        <v>0</v>
      </c>
      <c r="B186" s="459">
        <v>4</v>
      </c>
      <c r="C186" s="459">
        <v>3</v>
      </c>
      <c r="D186" s="460">
        <v>6</v>
      </c>
      <c r="E186" s="460">
        <v>0</v>
      </c>
      <c r="G186" s="1740"/>
      <c r="H186" s="1741" t="s">
        <v>1238</v>
      </c>
      <c r="I186" s="1742" t="s">
        <v>5968</v>
      </c>
      <c r="J186" s="1743" t="s">
        <v>3472</v>
      </c>
      <c r="K186" s="1744"/>
      <c r="L186" s="1745"/>
      <c r="M186" s="1745"/>
      <c r="N186" s="1746">
        <v>377458.41799498501</v>
      </c>
      <c r="O186" s="1747">
        <v>22.535274903624099</v>
      </c>
      <c r="P186" s="1720"/>
    </row>
    <row r="187" spans="1:16" ht="13.5" hidden="1" customHeight="1" outlineLevel="3" x14ac:dyDescent="0.2">
      <c r="A187" s="459">
        <v>0</v>
      </c>
      <c r="B187" s="459">
        <v>4</v>
      </c>
      <c r="C187" s="459">
        <v>3</v>
      </c>
      <c r="D187" s="460">
        <v>6</v>
      </c>
      <c r="E187" s="460">
        <v>1</v>
      </c>
      <c r="G187" s="1748" t="s">
        <v>42</v>
      </c>
      <c r="H187" s="1749" t="s">
        <v>1239</v>
      </c>
      <c r="I187" s="1750" t="s">
        <v>5969</v>
      </c>
      <c r="J187" s="1751" t="s">
        <v>5369</v>
      </c>
      <c r="K187" s="1752" t="s">
        <v>1106</v>
      </c>
      <c r="L187" s="1753">
        <v>247.33624878522858</v>
      </c>
      <c r="M187" s="1753">
        <v>8.9649650000000012</v>
      </c>
      <c r="N187" s="1754">
        <v>2217.3608135908698</v>
      </c>
      <c r="O187" s="1755" t="s">
        <v>1308</v>
      </c>
      <c r="P187" s="1721" t="s">
        <v>9611</v>
      </c>
    </row>
    <row r="188" spans="1:16" ht="13.5" hidden="1" customHeight="1" outlineLevel="3" x14ac:dyDescent="0.2">
      <c r="A188" s="459">
        <v>0</v>
      </c>
      <c r="B188" s="459">
        <v>4</v>
      </c>
      <c r="C188" s="459">
        <v>3</v>
      </c>
      <c r="D188" s="460">
        <v>6</v>
      </c>
      <c r="E188" s="460">
        <v>2</v>
      </c>
      <c r="G188" s="1748" t="s">
        <v>42</v>
      </c>
      <c r="H188" s="1749" t="s">
        <v>1239</v>
      </c>
      <c r="I188" s="1750" t="s">
        <v>5970</v>
      </c>
      <c r="J188" s="1751" t="s">
        <v>5370</v>
      </c>
      <c r="K188" s="1752" t="s">
        <v>1106</v>
      </c>
      <c r="L188" s="1753">
        <v>2774.080660835763</v>
      </c>
      <c r="M188" s="1753">
        <v>8.9649650000000012</v>
      </c>
      <c r="N188" s="1754">
        <v>24869.5360315695</v>
      </c>
      <c r="O188" s="1755" t="s">
        <v>1308</v>
      </c>
      <c r="P188" s="1721" t="s">
        <v>9611</v>
      </c>
    </row>
    <row r="189" spans="1:16" ht="13.5" hidden="1" customHeight="1" outlineLevel="3" x14ac:dyDescent="0.2">
      <c r="A189" s="459">
        <v>0</v>
      </c>
      <c r="B189" s="459">
        <v>4</v>
      </c>
      <c r="C189" s="459">
        <v>3</v>
      </c>
      <c r="D189" s="460">
        <v>6</v>
      </c>
      <c r="E189" s="460">
        <v>3</v>
      </c>
      <c r="G189" s="1748" t="s">
        <v>42</v>
      </c>
      <c r="H189" s="1749" t="s">
        <v>1239</v>
      </c>
      <c r="I189" s="1750" t="s">
        <v>5971</v>
      </c>
      <c r="J189" s="1751" t="s">
        <v>5371</v>
      </c>
      <c r="K189" s="1752" t="s">
        <v>1106</v>
      </c>
      <c r="L189" s="1753">
        <v>3065.9018464528672</v>
      </c>
      <c r="M189" s="1753">
        <v>8.9649650000000012</v>
      </c>
      <c r="N189" s="1754">
        <v>27485.702746885301</v>
      </c>
      <c r="O189" s="1755" t="s">
        <v>1308</v>
      </c>
      <c r="P189" s="1721" t="s">
        <v>9611</v>
      </c>
    </row>
    <row r="190" spans="1:16" ht="13.5" hidden="1" customHeight="1" outlineLevel="3" x14ac:dyDescent="0.2">
      <c r="A190" s="459">
        <v>0</v>
      </c>
      <c r="B190" s="459">
        <v>4</v>
      </c>
      <c r="C190" s="459">
        <v>3</v>
      </c>
      <c r="D190" s="460">
        <v>6</v>
      </c>
      <c r="E190" s="460">
        <v>4</v>
      </c>
      <c r="G190" s="1748" t="s">
        <v>42</v>
      </c>
      <c r="H190" s="1749" t="s">
        <v>1239</v>
      </c>
      <c r="I190" s="1750" t="s">
        <v>5972</v>
      </c>
      <c r="J190" s="1751" t="s">
        <v>5372</v>
      </c>
      <c r="K190" s="1752" t="s">
        <v>1106</v>
      </c>
      <c r="L190" s="1753">
        <v>3485.8396501457719</v>
      </c>
      <c r="M190" s="1753">
        <v>8.9649650000000012</v>
      </c>
      <c r="N190" s="1754">
        <v>31250.4304591691</v>
      </c>
      <c r="O190" s="1755" t="s">
        <v>1308</v>
      </c>
      <c r="P190" s="1721" t="s">
        <v>9611</v>
      </c>
    </row>
    <row r="191" spans="1:16" ht="13.5" hidden="1" customHeight="1" outlineLevel="3" x14ac:dyDescent="0.2">
      <c r="A191" s="459">
        <v>0</v>
      </c>
      <c r="B191" s="459">
        <v>4</v>
      </c>
      <c r="C191" s="459">
        <v>3</v>
      </c>
      <c r="D191" s="460">
        <v>6</v>
      </c>
      <c r="E191" s="460">
        <v>5</v>
      </c>
      <c r="G191" s="1748" t="s">
        <v>42</v>
      </c>
      <c r="H191" s="1749" t="s">
        <v>1239</v>
      </c>
      <c r="I191" s="1750" t="s">
        <v>5973</v>
      </c>
      <c r="J191" s="1751" t="s">
        <v>5373</v>
      </c>
      <c r="K191" s="1752" t="s">
        <v>1106</v>
      </c>
      <c r="L191" s="1753">
        <v>3944.9241982507297</v>
      </c>
      <c r="M191" s="1753">
        <v>8.4849650000000008</v>
      </c>
      <c r="N191" s="1754">
        <v>33472.543749810502</v>
      </c>
      <c r="O191" s="1755" t="s">
        <v>1308</v>
      </c>
      <c r="P191" s="1721" t="s">
        <v>9611</v>
      </c>
    </row>
    <row r="192" spans="1:16" ht="13.5" hidden="1" customHeight="1" outlineLevel="3" x14ac:dyDescent="0.2">
      <c r="A192" s="459">
        <v>0</v>
      </c>
      <c r="B192" s="459">
        <v>4</v>
      </c>
      <c r="C192" s="459">
        <v>3</v>
      </c>
      <c r="D192" s="460">
        <v>6</v>
      </c>
      <c r="E192" s="460">
        <v>6</v>
      </c>
      <c r="G192" s="1748" t="s">
        <v>42</v>
      </c>
      <c r="H192" s="1749" t="s">
        <v>1239</v>
      </c>
      <c r="I192" s="1750" t="s">
        <v>5974</v>
      </c>
      <c r="J192" s="1751" t="s">
        <v>5374</v>
      </c>
      <c r="K192" s="1752" t="s">
        <v>1106</v>
      </c>
      <c r="L192" s="1753">
        <v>1322.0923226433433</v>
      </c>
      <c r="M192" s="1753">
        <v>8.4849650000000008</v>
      </c>
      <c r="N192" s="1754">
        <v>11217.907084397501</v>
      </c>
      <c r="O192" s="1755" t="s">
        <v>1308</v>
      </c>
      <c r="P192" s="1721" t="s">
        <v>9611</v>
      </c>
    </row>
    <row r="193" spans="1:16" ht="13.5" hidden="1" customHeight="1" outlineLevel="3" x14ac:dyDescent="0.2">
      <c r="A193" s="459">
        <v>0</v>
      </c>
      <c r="B193" s="459">
        <v>4</v>
      </c>
      <c r="C193" s="459">
        <v>3</v>
      </c>
      <c r="D193" s="460">
        <v>6</v>
      </c>
      <c r="E193" s="460">
        <v>7</v>
      </c>
      <c r="G193" s="1748" t="s">
        <v>42</v>
      </c>
      <c r="H193" s="1749" t="s">
        <v>1239</v>
      </c>
      <c r="I193" s="1750" t="s">
        <v>5975</v>
      </c>
      <c r="J193" s="1751" t="s">
        <v>5375</v>
      </c>
      <c r="K193" s="1752" t="s">
        <v>1106</v>
      </c>
      <c r="L193" s="1753">
        <v>5055.2682215743434</v>
      </c>
      <c r="M193" s="1753">
        <v>8.4849650000000008</v>
      </c>
      <c r="N193" s="1754">
        <v>42893.773925670597</v>
      </c>
      <c r="O193" s="1755" t="s">
        <v>1308</v>
      </c>
      <c r="P193" s="1721" t="s">
        <v>9611</v>
      </c>
    </row>
    <row r="194" spans="1:16" ht="13.5" hidden="1" customHeight="1" outlineLevel="3" x14ac:dyDescent="0.2">
      <c r="A194" s="459">
        <v>0</v>
      </c>
      <c r="B194" s="459">
        <v>4</v>
      </c>
      <c r="C194" s="459">
        <v>3</v>
      </c>
      <c r="D194" s="460">
        <v>6</v>
      </c>
      <c r="E194" s="460">
        <v>8</v>
      </c>
      <c r="G194" s="1748" t="s">
        <v>42</v>
      </c>
      <c r="H194" s="1749" t="s">
        <v>1239</v>
      </c>
      <c r="I194" s="1750" t="s">
        <v>5976</v>
      </c>
      <c r="J194" s="1751" t="s">
        <v>5376</v>
      </c>
      <c r="K194" s="1752" t="s">
        <v>1106</v>
      </c>
      <c r="L194" s="1753">
        <v>24048.556851311954</v>
      </c>
      <c r="M194" s="1753">
        <v>8.4849650000000008</v>
      </c>
      <c r="N194" s="1754">
        <v>204051.163183892</v>
      </c>
      <c r="O194" s="1755" t="s">
        <v>1308</v>
      </c>
      <c r="P194" s="1721" t="s">
        <v>9611</v>
      </c>
    </row>
    <row r="195" spans="1:16" ht="13.5" hidden="1" customHeight="1" outlineLevel="2" x14ac:dyDescent="0.2">
      <c r="A195" s="459">
        <v>0</v>
      </c>
      <c r="B195" s="459">
        <v>4</v>
      </c>
      <c r="C195" s="459">
        <v>3</v>
      </c>
      <c r="D195" s="460">
        <v>7</v>
      </c>
      <c r="E195" s="460">
        <v>0</v>
      </c>
      <c r="G195" s="1740"/>
      <c r="H195" s="1741" t="s">
        <v>1238</v>
      </c>
      <c r="I195" s="1742" t="s">
        <v>5977</v>
      </c>
      <c r="J195" s="1743" t="s">
        <v>2485</v>
      </c>
      <c r="K195" s="1744"/>
      <c r="L195" s="1745"/>
      <c r="M195" s="1745"/>
      <c r="N195" s="1746">
        <v>377458.41799498501</v>
      </c>
      <c r="O195" s="1747">
        <v>22.535274903624099</v>
      </c>
      <c r="P195" s="1720"/>
    </row>
    <row r="196" spans="1:16" ht="13.5" hidden="1" customHeight="1" outlineLevel="3" x14ac:dyDescent="0.2">
      <c r="A196" s="459">
        <v>0</v>
      </c>
      <c r="B196" s="459">
        <v>4</v>
      </c>
      <c r="C196" s="459">
        <v>3</v>
      </c>
      <c r="D196" s="460">
        <v>7</v>
      </c>
      <c r="E196" s="460">
        <v>1</v>
      </c>
      <c r="G196" s="1748" t="s">
        <v>42</v>
      </c>
      <c r="H196" s="1749" t="s">
        <v>1239</v>
      </c>
      <c r="I196" s="1750" t="s">
        <v>5978</v>
      </c>
      <c r="J196" s="1751" t="s">
        <v>5369</v>
      </c>
      <c r="K196" s="1752" t="s">
        <v>1106</v>
      </c>
      <c r="L196" s="1753">
        <v>247.33624878522858</v>
      </c>
      <c r="M196" s="1753">
        <v>8.9649650000000012</v>
      </c>
      <c r="N196" s="1754">
        <v>2217.3608135908698</v>
      </c>
      <c r="O196" s="1755" t="s">
        <v>1308</v>
      </c>
      <c r="P196" s="1721" t="s">
        <v>9611</v>
      </c>
    </row>
    <row r="197" spans="1:16" ht="13.5" hidden="1" customHeight="1" outlineLevel="3" x14ac:dyDescent="0.2">
      <c r="A197" s="459">
        <v>0</v>
      </c>
      <c r="B197" s="459">
        <v>4</v>
      </c>
      <c r="C197" s="459">
        <v>3</v>
      </c>
      <c r="D197" s="460">
        <v>7</v>
      </c>
      <c r="E197" s="460">
        <v>2</v>
      </c>
      <c r="G197" s="1748" t="s">
        <v>42</v>
      </c>
      <c r="H197" s="1749" t="s">
        <v>1239</v>
      </c>
      <c r="I197" s="1750" t="s">
        <v>5979</v>
      </c>
      <c r="J197" s="1751" t="s">
        <v>5370</v>
      </c>
      <c r="K197" s="1752" t="s">
        <v>1106</v>
      </c>
      <c r="L197" s="1753">
        <v>2774.080660835763</v>
      </c>
      <c r="M197" s="1753">
        <v>8.9649650000000012</v>
      </c>
      <c r="N197" s="1754">
        <v>24869.5360315695</v>
      </c>
      <c r="O197" s="1755" t="s">
        <v>1308</v>
      </c>
      <c r="P197" s="1721" t="s">
        <v>9611</v>
      </c>
    </row>
    <row r="198" spans="1:16" ht="13.5" hidden="1" customHeight="1" outlineLevel="3" x14ac:dyDescent="0.2">
      <c r="A198" s="459">
        <v>0</v>
      </c>
      <c r="B198" s="459">
        <v>4</v>
      </c>
      <c r="C198" s="459">
        <v>3</v>
      </c>
      <c r="D198" s="460">
        <v>7</v>
      </c>
      <c r="E198" s="460">
        <v>3</v>
      </c>
      <c r="G198" s="1748" t="s">
        <v>42</v>
      </c>
      <c r="H198" s="1749" t="s">
        <v>1239</v>
      </c>
      <c r="I198" s="1750" t="s">
        <v>5980</v>
      </c>
      <c r="J198" s="1751" t="s">
        <v>5371</v>
      </c>
      <c r="K198" s="1752" t="s">
        <v>1106</v>
      </c>
      <c r="L198" s="1753">
        <v>3065.9018464528672</v>
      </c>
      <c r="M198" s="1753">
        <v>8.9649650000000012</v>
      </c>
      <c r="N198" s="1754">
        <v>27485.702746885301</v>
      </c>
      <c r="O198" s="1755" t="s">
        <v>1308</v>
      </c>
      <c r="P198" s="1721" t="s">
        <v>9611</v>
      </c>
    </row>
    <row r="199" spans="1:16" ht="13.5" hidden="1" customHeight="1" outlineLevel="3" x14ac:dyDescent="0.2">
      <c r="A199" s="459">
        <v>0</v>
      </c>
      <c r="B199" s="459">
        <v>4</v>
      </c>
      <c r="C199" s="459">
        <v>3</v>
      </c>
      <c r="D199" s="460">
        <v>7</v>
      </c>
      <c r="E199" s="460">
        <v>4</v>
      </c>
      <c r="G199" s="1748" t="s">
        <v>42</v>
      </c>
      <c r="H199" s="1749" t="s">
        <v>1239</v>
      </c>
      <c r="I199" s="1750" t="s">
        <v>5981</v>
      </c>
      <c r="J199" s="1751" t="s">
        <v>5372</v>
      </c>
      <c r="K199" s="1752" t="s">
        <v>1106</v>
      </c>
      <c r="L199" s="1753">
        <v>3485.8396501457719</v>
      </c>
      <c r="M199" s="1753">
        <v>8.9649650000000012</v>
      </c>
      <c r="N199" s="1754">
        <v>31250.4304591691</v>
      </c>
      <c r="O199" s="1755" t="s">
        <v>1308</v>
      </c>
      <c r="P199" s="1721" t="s">
        <v>9611</v>
      </c>
    </row>
    <row r="200" spans="1:16" ht="13.5" hidden="1" customHeight="1" outlineLevel="3" x14ac:dyDescent="0.2">
      <c r="A200" s="459">
        <v>0</v>
      </c>
      <c r="B200" s="459">
        <v>4</v>
      </c>
      <c r="C200" s="459">
        <v>3</v>
      </c>
      <c r="D200" s="460">
        <v>7</v>
      </c>
      <c r="E200" s="460">
        <v>5</v>
      </c>
      <c r="G200" s="1748" t="s">
        <v>42</v>
      </c>
      <c r="H200" s="1749" t="s">
        <v>1239</v>
      </c>
      <c r="I200" s="1750" t="s">
        <v>5982</v>
      </c>
      <c r="J200" s="1751" t="s">
        <v>5373</v>
      </c>
      <c r="K200" s="1752" t="s">
        <v>1106</v>
      </c>
      <c r="L200" s="1753">
        <v>3944.9241982507297</v>
      </c>
      <c r="M200" s="1753">
        <v>8.4849650000000008</v>
      </c>
      <c r="N200" s="1754">
        <v>33472.543749810502</v>
      </c>
      <c r="O200" s="1755" t="s">
        <v>1308</v>
      </c>
      <c r="P200" s="1721" t="s">
        <v>9611</v>
      </c>
    </row>
    <row r="201" spans="1:16" ht="13.5" hidden="1" customHeight="1" outlineLevel="3" x14ac:dyDescent="0.2">
      <c r="A201" s="459">
        <v>0</v>
      </c>
      <c r="B201" s="459">
        <v>4</v>
      </c>
      <c r="C201" s="459">
        <v>3</v>
      </c>
      <c r="D201" s="460">
        <v>7</v>
      </c>
      <c r="E201" s="460">
        <v>6</v>
      </c>
      <c r="G201" s="1748" t="s">
        <v>42</v>
      </c>
      <c r="H201" s="1749" t="s">
        <v>1239</v>
      </c>
      <c r="I201" s="1750" t="s">
        <v>5983</v>
      </c>
      <c r="J201" s="1751" t="s">
        <v>5374</v>
      </c>
      <c r="K201" s="1752" t="s">
        <v>1106</v>
      </c>
      <c r="L201" s="1753">
        <v>1322.0923226433433</v>
      </c>
      <c r="M201" s="1753">
        <v>8.4849650000000008</v>
      </c>
      <c r="N201" s="1754">
        <v>11217.907084397501</v>
      </c>
      <c r="O201" s="1755" t="s">
        <v>1308</v>
      </c>
      <c r="P201" s="1721" t="s">
        <v>9611</v>
      </c>
    </row>
    <row r="202" spans="1:16" ht="13.5" hidden="1" customHeight="1" outlineLevel="3" x14ac:dyDescent="0.2">
      <c r="A202" s="459">
        <v>0</v>
      </c>
      <c r="B202" s="459">
        <v>4</v>
      </c>
      <c r="C202" s="459">
        <v>3</v>
      </c>
      <c r="D202" s="460">
        <v>7</v>
      </c>
      <c r="E202" s="460">
        <v>7</v>
      </c>
      <c r="G202" s="1748" t="s">
        <v>42</v>
      </c>
      <c r="H202" s="1749" t="s">
        <v>1239</v>
      </c>
      <c r="I202" s="1750" t="s">
        <v>5984</v>
      </c>
      <c r="J202" s="1751" t="s">
        <v>5375</v>
      </c>
      <c r="K202" s="1752" t="s">
        <v>1106</v>
      </c>
      <c r="L202" s="1753">
        <v>5055.2682215743434</v>
      </c>
      <c r="M202" s="1753">
        <v>8.4849650000000008</v>
      </c>
      <c r="N202" s="1754">
        <v>42893.773925670597</v>
      </c>
      <c r="O202" s="1755" t="s">
        <v>1308</v>
      </c>
      <c r="P202" s="1721" t="s">
        <v>9611</v>
      </c>
    </row>
    <row r="203" spans="1:16" ht="13.5" hidden="1" customHeight="1" outlineLevel="3" x14ac:dyDescent="0.2">
      <c r="A203" s="459">
        <v>0</v>
      </c>
      <c r="B203" s="459">
        <v>4</v>
      </c>
      <c r="C203" s="459">
        <v>3</v>
      </c>
      <c r="D203" s="460">
        <v>7</v>
      </c>
      <c r="E203" s="460">
        <v>8</v>
      </c>
      <c r="G203" s="1748" t="s">
        <v>42</v>
      </c>
      <c r="H203" s="1749" t="s">
        <v>1239</v>
      </c>
      <c r="I203" s="1750" t="s">
        <v>5985</v>
      </c>
      <c r="J203" s="1751" t="s">
        <v>5376</v>
      </c>
      <c r="K203" s="1752" t="s">
        <v>1106</v>
      </c>
      <c r="L203" s="1753">
        <v>24048.556851311954</v>
      </c>
      <c r="M203" s="1753">
        <v>8.4849650000000008</v>
      </c>
      <c r="N203" s="1754">
        <v>204051.163183892</v>
      </c>
      <c r="O203" s="1755" t="s">
        <v>1308</v>
      </c>
      <c r="P203" s="1721" t="s">
        <v>9611</v>
      </c>
    </row>
    <row r="204" spans="1:16" ht="13.5" hidden="1" customHeight="1" outlineLevel="2" x14ac:dyDescent="0.2">
      <c r="A204" s="459">
        <v>0</v>
      </c>
      <c r="B204" s="459">
        <v>4</v>
      </c>
      <c r="C204" s="459">
        <v>3</v>
      </c>
      <c r="D204" s="460">
        <v>8</v>
      </c>
      <c r="E204" s="460">
        <v>0</v>
      </c>
      <c r="G204" s="1740"/>
      <c r="H204" s="1741" t="s">
        <v>1238</v>
      </c>
      <c r="I204" s="1742" t="s">
        <v>5986</v>
      </c>
      <c r="J204" s="1743" t="s">
        <v>3473</v>
      </c>
      <c r="K204" s="1744"/>
      <c r="L204" s="1745"/>
      <c r="M204" s="1745"/>
      <c r="N204" s="1746">
        <v>217499.84824458501</v>
      </c>
      <c r="O204" s="1747">
        <v>12.9853213970535</v>
      </c>
      <c r="P204" s="1720"/>
    </row>
    <row r="205" spans="1:16" ht="13.5" hidden="1" customHeight="1" outlineLevel="3" x14ac:dyDescent="0.2">
      <c r="A205" s="459">
        <v>0</v>
      </c>
      <c r="B205" s="459">
        <v>4</v>
      </c>
      <c r="C205" s="459">
        <v>3</v>
      </c>
      <c r="D205" s="460">
        <v>8</v>
      </c>
      <c r="E205" s="460">
        <v>1</v>
      </c>
      <c r="G205" s="1748" t="s">
        <v>42</v>
      </c>
      <c r="H205" s="1749" t="s">
        <v>1239</v>
      </c>
      <c r="I205" s="1750" t="s">
        <v>5987</v>
      </c>
      <c r="J205" s="1751" t="s">
        <v>5369</v>
      </c>
      <c r="K205" s="1752" t="s">
        <v>1106</v>
      </c>
      <c r="L205" s="1753">
        <v>142.52059037900884</v>
      </c>
      <c r="M205" s="1753">
        <v>8.9649650000000012</v>
      </c>
      <c r="N205" s="1754">
        <v>1277.6921045271499</v>
      </c>
      <c r="O205" s="1755" t="s">
        <v>1308</v>
      </c>
      <c r="P205" s="1721" t="s">
        <v>9611</v>
      </c>
    </row>
    <row r="206" spans="1:16" ht="13.5" hidden="1" customHeight="1" outlineLevel="3" x14ac:dyDescent="0.2">
      <c r="A206" s="459">
        <v>0</v>
      </c>
      <c r="B206" s="459">
        <v>4</v>
      </c>
      <c r="C206" s="459">
        <v>3</v>
      </c>
      <c r="D206" s="460">
        <v>8</v>
      </c>
      <c r="E206" s="460">
        <v>2</v>
      </c>
      <c r="G206" s="1748" t="s">
        <v>42</v>
      </c>
      <c r="H206" s="1749" t="s">
        <v>1239</v>
      </c>
      <c r="I206" s="1750" t="s">
        <v>5988</v>
      </c>
      <c r="J206" s="1751" t="s">
        <v>5370</v>
      </c>
      <c r="K206" s="1752" t="s">
        <v>1106</v>
      </c>
      <c r="L206" s="1753">
        <v>1598.486333819242</v>
      </c>
      <c r="M206" s="1753">
        <v>8.9649650000000012</v>
      </c>
      <c r="N206" s="1754">
        <v>14330.374035667801</v>
      </c>
      <c r="O206" s="1755" t="s">
        <v>1308</v>
      </c>
      <c r="P206" s="1721" t="s">
        <v>9611</v>
      </c>
    </row>
    <row r="207" spans="1:16" ht="13.5" hidden="1" customHeight="1" outlineLevel="3" x14ac:dyDescent="0.2">
      <c r="A207" s="459">
        <v>0</v>
      </c>
      <c r="B207" s="459">
        <v>4</v>
      </c>
      <c r="C207" s="459">
        <v>3</v>
      </c>
      <c r="D207" s="460">
        <v>8</v>
      </c>
      <c r="E207" s="460">
        <v>3</v>
      </c>
      <c r="G207" s="1748" t="s">
        <v>42</v>
      </c>
      <c r="H207" s="1749" t="s">
        <v>1239</v>
      </c>
      <c r="I207" s="1750" t="s">
        <v>5989</v>
      </c>
      <c r="J207" s="1751" t="s">
        <v>5371</v>
      </c>
      <c r="K207" s="1752" t="s">
        <v>1106</v>
      </c>
      <c r="L207" s="1753">
        <v>1766.6401239067059</v>
      </c>
      <c r="M207" s="1753">
        <v>8.9649650000000012</v>
      </c>
      <c r="N207" s="1754">
        <v>15837.8668784193</v>
      </c>
      <c r="O207" s="1755" t="s">
        <v>1308</v>
      </c>
      <c r="P207" s="1721" t="s">
        <v>9611</v>
      </c>
    </row>
    <row r="208" spans="1:16" ht="13.5" hidden="1" customHeight="1" outlineLevel="3" x14ac:dyDescent="0.2">
      <c r="A208" s="459">
        <v>0</v>
      </c>
      <c r="B208" s="459">
        <v>4</v>
      </c>
      <c r="C208" s="459">
        <v>3</v>
      </c>
      <c r="D208" s="460">
        <v>8</v>
      </c>
      <c r="E208" s="460">
        <v>4</v>
      </c>
      <c r="G208" s="1748" t="s">
        <v>42</v>
      </c>
      <c r="H208" s="1749" t="s">
        <v>1239</v>
      </c>
      <c r="I208" s="1750" t="s">
        <v>5990</v>
      </c>
      <c r="J208" s="1751" t="s">
        <v>5372</v>
      </c>
      <c r="K208" s="1752" t="s">
        <v>1106</v>
      </c>
      <c r="L208" s="1753">
        <v>2008.6175291545187</v>
      </c>
      <c r="M208" s="1753">
        <v>8.9649650000000012</v>
      </c>
      <c r="N208" s="1754">
        <v>18007.1858472567</v>
      </c>
      <c r="O208" s="1755" t="s">
        <v>1308</v>
      </c>
      <c r="P208" s="1721" t="s">
        <v>9611</v>
      </c>
    </row>
    <row r="209" spans="1:16" ht="13.5" hidden="1" customHeight="1" outlineLevel="3" x14ac:dyDescent="0.2">
      <c r="A209" s="459">
        <v>0</v>
      </c>
      <c r="B209" s="459">
        <v>4</v>
      </c>
      <c r="C209" s="459">
        <v>3</v>
      </c>
      <c r="D209" s="460">
        <v>8</v>
      </c>
      <c r="E209" s="460">
        <v>5</v>
      </c>
      <c r="G209" s="1748" t="s">
        <v>42</v>
      </c>
      <c r="H209" s="1749" t="s">
        <v>1239</v>
      </c>
      <c r="I209" s="1750" t="s">
        <v>5991</v>
      </c>
      <c r="J209" s="1751" t="s">
        <v>5373</v>
      </c>
      <c r="K209" s="1752" t="s">
        <v>1106</v>
      </c>
      <c r="L209" s="1753">
        <v>2273.1521501457728</v>
      </c>
      <c r="M209" s="1753">
        <v>8.4849650000000008</v>
      </c>
      <c r="N209" s="1754">
        <v>19287.616433661598</v>
      </c>
      <c r="O209" s="1755" t="s">
        <v>1308</v>
      </c>
      <c r="P209" s="1721" t="s">
        <v>9611</v>
      </c>
    </row>
    <row r="210" spans="1:16" ht="13.5" hidden="1" customHeight="1" outlineLevel="3" x14ac:dyDescent="0.2">
      <c r="A210" s="459">
        <v>0</v>
      </c>
      <c r="B210" s="459">
        <v>4</v>
      </c>
      <c r="C210" s="459">
        <v>3</v>
      </c>
      <c r="D210" s="460">
        <v>8</v>
      </c>
      <c r="E210" s="460">
        <v>6</v>
      </c>
      <c r="G210" s="1748" t="s">
        <v>42</v>
      </c>
      <c r="H210" s="1749" t="s">
        <v>1239</v>
      </c>
      <c r="I210" s="1750" t="s">
        <v>5992</v>
      </c>
      <c r="J210" s="1751" t="s">
        <v>5374</v>
      </c>
      <c r="K210" s="1752" t="s">
        <v>1106</v>
      </c>
      <c r="L210" s="1753">
        <v>761.8186953352772</v>
      </c>
      <c r="M210" s="1753">
        <v>8.4849650000000008</v>
      </c>
      <c r="N210" s="1754">
        <v>6464.0049662654901</v>
      </c>
      <c r="O210" s="1755" t="s">
        <v>1308</v>
      </c>
      <c r="P210" s="1721" t="s">
        <v>9611</v>
      </c>
    </row>
    <row r="211" spans="1:16" ht="13.5" hidden="1" customHeight="1" outlineLevel="3" x14ac:dyDescent="0.2">
      <c r="A211" s="459">
        <v>0</v>
      </c>
      <c r="B211" s="459">
        <v>4</v>
      </c>
      <c r="C211" s="459">
        <v>3</v>
      </c>
      <c r="D211" s="460">
        <v>8</v>
      </c>
      <c r="E211" s="460">
        <v>7</v>
      </c>
      <c r="G211" s="1748" t="s">
        <v>42</v>
      </c>
      <c r="H211" s="1749" t="s">
        <v>1239</v>
      </c>
      <c r="I211" s="1750" t="s">
        <v>5993</v>
      </c>
      <c r="J211" s="1751" t="s">
        <v>5375</v>
      </c>
      <c r="K211" s="1752" t="s">
        <v>1106</v>
      </c>
      <c r="L211" s="1753">
        <v>2912.9568148688049</v>
      </c>
      <c r="M211" s="1753">
        <v>8.4849650000000008</v>
      </c>
      <c r="N211" s="1754">
        <v>24716.336620673301</v>
      </c>
      <c r="O211" s="1755" t="s">
        <v>1308</v>
      </c>
      <c r="P211" s="1721" t="s">
        <v>9611</v>
      </c>
    </row>
    <row r="212" spans="1:16" ht="13.5" hidden="1" customHeight="1" outlineLevel="3" x14ac:dyDescent="0.2">
      <c r="A212" s="459">
        <v>0</v>
      </c>
      <c r="B212" s="459">
        <v>4</v>
      </c>
      <c r="C212" s="459">
        <v>3</v>
      </c>
      <c r="D212" s="460">
        <v>8</v>
      </c>
      <c r="E212" s="460">
        <v>8</v>
      </c>
      <c r="G212" s="1748" t="s">
        <v>42</v>
      </c>
      <c r="H212" s="1749" t="s">
        <v>1239</v>
      </c>
      <c r="I212" s="1750" t="s">
        <v>5994</v>
      </c>
      <c r="J212" s="1751" t="s">
        <v>5376</v>
      </c>
      <c r="K212" s="1752" t="s">
        <v>1106</v>
      </c>
      <c r="L212" s="1753">
        <v>13857.307762390672</v>
      </c>
      <c r="M212" s="1753">
        <v>8.4849650000000008</v>
      </c>
      <c r="N212" s="1754">
        <v>117578.77135811299</v>
      </c>
      <c r="O212" s="1755" t="s">
        <v>1308</v>
      </c>
      <c r="P212" s="1721" t="s">
        <v>9611</v>
      </c>
    </row>
    <row r="213" spans="1:16" ht="13.5" hidden="1" customHeight="1" outlineLevel="2" x14ac:dyDescent="0.2">
      <c r="A213" s="459">
        <v>0</v>
      </c>
      <c r="B213" s="459">
        <v>4</v>
      </c>
      <c r="C213" s="459">
        <v>3</v>
      </c>
      <c r="D213" s="460">
        <v>9</v>
      </c>
      <c r="E213" s="460">
        <v>0</v>
      </c>
      <c r="G213" s="1740"/>
      <c r="H213" s="1741" t="s">
        <v>1238</v>
      </c>
      <c r="I213" s="1742" t="s">
        <v>5995</v>
      </c>
      <c r="J213" s="1743" t="s">
        <v>2486</v>
      </c>
      <c r="K213" s="1744"/>
      <c r="L213" s="1745"/>
      <c r="M213" s="1745"/>
      <c r="N213" s="1746">
        <v>217499.84824458501</v>
      </c>
      <c r="O213" s="1747">
        <v>12.9853213970535</v>
      </c>
      <c r="P213" s="1720"/>
    </row>
    <row r="214" spans="1:16" ht="13.5" hidden="1" customHeight="1" outlineLevel="3" x14ac:dyDescent="0.2">
      <c r="A214" s="459">
        <v>0</v>
      </c>
      <c r="B214" s="459">
        <v>4</v>
      </c>
      <c r="C214" s="459">
        <v>3</v>
      </c>
      <c r="D214" s="460">
        <v>9</v>
      </c>
      <c r="E214" s="460">
        <v>1</v>
      </c>
      <c r="G214" s="1748" t="s">
        <v>42</v>
      </c>
      <c r="H214" s="1749" t="s">
        <v>1239</v>
      </c>
      <c r="I214" s="1750" t="s">
        <v>5996</v>
      </c>
      <c r="J214" s="1751" t="s">
        <v>5369</v>
      </c>
      <c r="K214" s="1752" t="s">
        <v>1106</v>
      </c>
      <c r="L214" s="1753">
        <v>142.52059037900884</v>
      </c>
      <c r="M214" s="1753">
        <v>8.9649650000000012</v>
      </c>
      <c r="N214" s="1754">
        <v>1277.6921045271499</v>
      </c>
      <c r="O214" s="1755" t="s">
        <v>1308</v>
      </c>
      <c r="P214" s="1721" t="s">
        <v>9611</v>
      </c>
    </row>
    <row r="215" spans="1:16" ht="13.5" hidden="1" customHeight="1" outlineLevel="3" x14ac:dyDescent="0.2">
      <c r="A215" s="459">
        <v>0</v>
      </c>
      <c r="B215" s="459">
        <v>4</v>
      </c>
      <c r="C215" s="459">
        <v>3</v>
      </c>
      <c r="D215" s="460">
        <v>9</v>
      </c>
      <c r="E215" s="460">
        <v>2</v>
      </c>
      <c r="G215" s="1748" t="s">
        <v>42</v>
      </c>
      <c r="H215" s="1749" t="s">
        <v>1239</v>
      </c>
      <c r="I215" s="1750" t="s">
        <v>5997</v>
      </c>
      <c r="J215" s="1751" t="s">
        <v>5370</v>
      </c>
      <c r="K215" s="1752" t="s">
        <v>1106</v>
      </c>
      <c r="L215" s="1753">
        <v>1598.486333819242</v>
      </c>
      <c r="M215" s="1753">
        <v>8.9649650000000012</v>
      </c>
      <c r="N215" s="1754">
        <v>14330.374035667801</v>
      </c>
      <c r="O215" s="1755" t="s">
        <v>1308</v>
      </c>
      <c r="P215" s="1721" t="s">
        <v>9611</v>
      </c>
    </row>
    <row r="216" spans="1:16" ht="13.5" hidden="1" customHeight="1" outlineLevel="3" x14ac:dyDescent="0.2">
      <c r="A216" s="459">
        <v>0</v>
      </c>
      <c r="B216" s="459">
        <v>4</v>
      </c>
      <c r="C216" s="459">
        <v>3</v>
      </c>
      <c r="D216" s="460">
        <v>9</v>
      </c>
      <c r="E216" s="460">
        <v>3</v>
      </c>
      <c r="G216" s="1748" t="s">
        <v>42</v>
      </c>
      <c r="H216" s="1749" t="s">
        <v>1239</v>
      </c>
      <c r="I216" s="1750" t="s">
        <v>5998</v>
      </c>
      <c r="J216" s="1751" t="s">
        <v>5371</v>
      </c>
      <c r="K216" s="1752" t="s">
        <v>1106</v>
      </c>
      <c r="L216" s="1753">
        <v>1766.6401239067059</v>
      </c>
      <c r="M216" s="1753">
        <v>8.9649650000000012</v>
      </c>
      <c r="N216" s="1754">
        <v>15837.8668784193</v>
      </c>
      <c r="O216" s="1755" t="s">
        <v>1308</v>
      </c>
      <c r="P216" s="1721" t="s">
        <v>9611</v>
      </c>
    </row>
    <row r="217" spans="1:16" ht="13.5" hidden="1" customHeight="1" outlineLevel="3" x14ac:dyDescent="0.2">
      <c r="A217" s="459">
        <v>0</v>
      </c>
      <c r="B217" s="459">
        <v>4</v>
      </c>
      <c r="C217" s="459">
        <v>3</v>
      </c>
      <c r="D217" s="460">
        <v>9</v>
      </c>
      <c r="E217" s="460">
        <v>4</v>
      </c>
      <c r="G217" s="1748" t="s">
        <v>42</v>
      </c>
      <c r="H217" s="1749" t="s">
        <v>1239</v>
      </c>
      <c r="I217" s="1750" t="s">
        <v>5999</v>
      </c>
      <c r="J217" s="1751" t="s">
        <v>5372</v>
      </c>
      <c r="K217" s="1752" t="s">
        <v>1106</v>
      </c>
      <c r="L217" s="1753">
        <v>2008.6175291545187</v>
      </c>
      <c r="M217" s="1753">
        <v>8.9649650000000012</v>
      </c>
      <c r="N217" s="1754">
        <v>18007.1858472567</v>
      </c>
      <c r="O217" s="1755" t="s">
        <v>1308</v>
      </c>
      <c r="P217" s="1721" t="s">
        <v>9611</v>
      </c>
    </row>
    <row r="218" spans="1:16" ht="13.5" hidden="1" customHeight="1" outlineLevel="3" x14ac:dyDescent="0.2">
      <c r="A218" s="459">
        <v>0</v>
      </c>
      <c r="B218" s="459">
        <v>4</v>
      </c>
      <c r="C218" s="459">
        <v>3</v>
      </c>
      <c r="D218" s="460">
        <v>9</v>
      </c>
      <c r="E218" s="460">
        <v>5</v>
      </c>
      <c r="G218" s="1748" t="s">
        <v>42</v>
      </c>
      <c r="H218" s="1749" t="s">
        <v>1239</v>
      </c>
      <c r="I218" s="1750" t="s">
        <v>6000</v>
      </c>
      <c r="J218" s="1751" t="s">
        <v>5373</v>
      </c>
      <c r="K218" s="1752" t="s">
        <v>1106</v>
      </c>
      <c r="L218" s="1753">
        <v>2273.1521501457728</v>
      </c>
      <c r="M218" s="1753">
        <v>8.4849650000000008</v>
      </c>
      <c r="N218" s="1754">
        <v>19287.616433661598</v>
      </c>
      <c r="O218" s="1755" t="s">
        <v>1308</v>
      </c>
      <c r="P218" s="1721" t="s">
        <v>9611</v>
      </c>
    </row>
    <row r="219" spans="1:16" ht="13.5" hidden="1" customHeight="1" outlineLevel="3" x14ac:dyDescent="0.2">
      <c r="A219" s="459">
        <v>0</v>
      </c>
      <c r="B219" s="459">
        <v>4</v>
      </c>
      <c r="C219" s="459">
        <v>3</v>
      </c>
      <c r="D219" s="460">
        <v>9</v>
      </c>
      <c r="E219" s="460">
        <v>6</v>
      </c>
      <c r="G219" s="1748" t="s">
        <v>42</v>
      </c>
      <c r="H219" s="1749" t="s">
        <v>1239</v>
      </c>
      <c r="I219" s="1750" t="s">
        <v>6001</v>
      </c>
      <c r="J219" s="1751" t="s">
        <v>5374</v>
      </c>
      <c r="K219" s="1752" t="s">
        <v>1106</v>
      </c>
      <c r="L219" s="1753">
        <v>761.8186953352772</v>
      </c>
      <c r="M219" s="1753">
        <v>8.4849650000000008</v>
      </c>
      <c r="N219" s="1754">
        <v>6464.0049662654901</v>
      </c>
      <c r="O219" s="1755" t="s">
        <v>1308</v>
      </c>
      <c r="P219" s="1721" t="s">
        <v>9611</v>
      </c>
    </row>
    <row r="220" spans="1:16" ht="13.5" hidden="1" customHeight="1" outlineLevel="3" x14ac:dyDescent="0.2">
      <c r="A220" s="459">
        <v>0</v>
      </c>
      <c r="B220" s="459">
        <v>4</v>
      </c>
      <c r="C220" s="459">
        <v>3</v>
      </c>
      <c r="D220" s="460">
        <v>9</v>
      </c>
      <c r="E220" s="460">
        <v>7</v>
      </c>
      <c r="G220" s="1748" t="s">
        <v>42</v>
      </c>
      <c r="H220" s="1749" t="s">
        <v>1239</v>
      </c>
      <c r="I220" s="1750" t="s">
        <v>6002</v>
      </c>
      <c r="J220" s="1751" t="s">
        <v>5375</v>
      </c>
      <c r="K220" s="1752" t="s">
        <v>1106</v>
      </c>
      <c r="L220" s="1753">
        <v>2912.9568148688049</v>
      </c>
      <c r="M220" s="1753">
        <v>8.4849650000000008</v>
      </c>
      <c r="N220" s="1754">
        <v>24716.336620673301</v>
      </c>
      <c r="O220" s="1755" t="s">
        <v>1308</v>
      </c>
      <c r="P220" s="1721" t="s">
        <v>9611</v>
      </c>
    </row>
    <row r="221" spans="1:16" ht="13.5" hidden="1" customHeight="1" outlineLevel="3" x14ac:dyDescent="0.2">
      <c r="A221" s="459">
        <v>0</v>
      </c>
      <c r="B221" s="459">
        <v>4</v>
      </c>
      <c r="C221" s="459">
        <v>3</v>
      </c>
      <c r="D221" s="460">
        <v>9</v>
      </c>
      <c r="E221" s="460">
        <v>8</v>
      </c>
      <c r="G221" s="1748" t="s">
        <v>42</v>
      </c>
      <c r="H221" s="1749" t="s">
        <v>1239</v>
      </c>
      <c r="I221" s="1750" t="s">
        <v>6003</v>
      </c>
      <c r="J221" s="1751" t="s">
        <v>5376</v>
      </c>
      <c r="K221" s="1752" t="s">
        <v>1106</v>
      </c>
      <c r="L221" s="1753">
        <v>13857.307762390672</v>
      </c>
      <c r="M221" s="1753">
        <v>8.4849650000000008</v>
      </c>
      <c r="N221" s="1754">
        <v>117578.77135811299</v>
      </c>
      <c r="O221" s="1755" t="s">
        <v>1308</v>
      </c>
      <c r="P221" s="1721" t="s">
        <v>9611</v>
      </c>
    </row>
    <row r="222" spans="1:16" ht="13.5" hidden="1" customHeight="1" outlineLevel="2" x14ac:dyDescent="0.2">
      <c r="A222" s="459">
        <v>0</v>
      </c>
      <c r="B222" s="459">
        <v>4</v>
      </c>
      <c r="C222" s="459">
        <v>3</v>
      </c>
      <c r="D222" s="460">
        <v>10</v>
      </c>
      <c r="E222" s="460">
        <v>0</v>
      </c>
      <c r="G222" s="1740"/>
      <c r="H222" s="1741" t="s">
        <v>1238</v>
      </c>
      <c r="I222" s="1742" t="s">
        <v>6004</v>
      </c>
      <c r="J222" s="1743" t="s">
        <v>2487</v>
      </c>
      <c r="K222" s="1744"/>
      <c r="L222" s="1745"/>
      <c r="M222" s="1745"/>
      <c r="N222" s="1746">
        <v>231024.06723086501</v>
      </c>
      <c r="O222" s="1747">
        <v>13.7927533635507</v>
      </c>
      <c r="P222" s="1720"/>
    </row>
    <row r="223" spans="1:16" ht="13.5" hidden="1" customHeight="1" outlineLevel="3" x14ac:dyDescent="0.2">
      <c r="A223" s="459">
        <v>0</v>
      </c>
      <c r="B223" s="459">
        <v>4</v>
      </c>
      <c r="C223" s="459">
        <v>3</v>
      </c>
      <c r="D223" s="460">
        <v>10</v>
      </c>
      <c r="E223" s="460">
        <v>1</v>
      </c>
      <c r="G223" s="1748" t="s">
        <v>42</v>
      </c>
      <c r="H223" s="1749" t="s">
        <v>1239</v>
      </c>
      <c r="I223" s="1750" t="s">
        <v>6005</v>
      </c>
      <c r="J223" s="1751" t="s">
        <v>5369</v>
      </c>
      <c r="K223" s="1752" t="s">
        <v>1106</v>
      </c>
      <c r="L223" s="1753">
        <v>151.38257207644975</v>
      </c>
      <c r="M223" s="1753">
        <v>8.9649650000000012</v>
      </c>
      <c r="N223" s="1754">
        <v>1357.1394602753501</v>
      </c>
      <c r="O223" s="1755" t="s">
        <v>1308</v>
      </c>
      <c r="P223" s="1721" t="s">
        <v>9611</v>
      </c>
    </row>
    <row r="224" spans="1:16" ht="13.5" hidden="1" customHeight="1" outlineLevel="3" x14ac:dyDescent="0.2">
      <c r="A224" s="459">
        <v>0</v>
      </c>
      <c r="B224" s="459">
        <v>4</v>
      </c>
      <c r="C224" s="459">
        <v>3</v>
      </c>
      <c r="D224" s="460">
        <v>10</v>
      </c>
      <c r="E224" s="460">
        <v>2</v>
      </c>
      <c r="G224" s="1748" t="s">
        <v>42</v>
      </c>
      <c r="H224" s="1749" t="s">
        <v>1239</v>
      </c>
      <c r="I224" s="1750" t="s">
        <v>6006</v>
      </c>
      <c r="J224" s="1751" t="s">
        <v>5370</v>
      </c>
      <c r="K224" s="1752" t="s">
        <v>1106</v>
      </c>
      <c r="L224" s="1753">
        <v>1697.8807904114026</v>
      </c>
      <c r="M224" s="1753">
        <v>8.9649650000000012</v>
      </c>
      <c r="N224" s="1754">
        <v>15221.4418602106</v>
      </c>
      <c r="O224" s="1755" t="s">
        <v>1308</v>
      </c>
      <c r="P224" s="1721" t="s">
        <v>9611</v>
      </c>
    </row>
    <row r="225" spans="1:16" ht="13.5" hidden="1" customHeight="1" outlineLevel="3" x14ac:dyDescent="0.2">
      <c r="A225" s="459">
        <v>0</v>
      </c>
      <c r="B225" s="459">
        <v>4</v>
      </c>
      <c r="C225" s="459">
        <v>3</v>
      </c>
      <c r="D225" s="460">
        <v>10</v>
      </c>
      <c r="E225" s="460">
        <v>3</v>
      </c>
      <c r="G225" s="1748" t="s">
        <v>42</v>
      </c>
      <c r="H225" s="1749" t="s">
        <v>1239</v>
      </c>
      <c r="I225" s="1750" t="s">
        <v>6007</v>
      </c>
      <c r="J225" s="1751" t="s">
        <v>5371</v>
      </c>
      <c r="K225" s="1752" t="s">
        <v>1106</v>
      </c>
      <c r="L225" s="1753">
        <v>1876.4904437965665</v>
      </c>
      <c r="M225" s="1753">
        <v>8.9649650000000012</v>
      </c>
      <c r="N225" s="1754">
        <v>16822.671151470699</v>
      </c>
      <c r="O225" s="1755" t="s">
        <v>1308</v>
      </c>
      <c r="P225" s="1721" t="s">
        <v>9611</v>
      </c>
    </row>
    <row r="226" spans="1:16" ht="13.5" hidden="1" customHeight="1" outlineLevel="3" x14ac:dyDescent="0.2">
      <c r="A226" s="459">
        <v>0</v>
      </c>
      <c r="B226" s="459">
        <v>4</v>
      </c>
      <c r="C226" s="459">
        <v>3</v>
      </c>
      <c r="D226" s="460">
        <v>10</v>
      </c>
      <c r="E226" s="460">
        <v>4</v>
      </c>
      <c r="G226" s="1748" t="s">
        <v>42</v>
      </c>
      <c r="H226" s="1749" t="s">
        <v>1239</v>
      </c>
      <c r="I226" s="1750" t="s">
        <v>6008</v>
      </c>
      <c r="J226" s="1751" t="s">
        <v>5372</v>
      </c>
      <c r="K226" s="1752" t="s">
        <v>1106</v>
      </c>
      <c r="L226" s="1753">
        <v>2133.5140913508258</v>
      </c>
      <c r="M226" s="1753">
        <v>8.9649650000000012</v>
      </c>
      <c r="N226" s="1754">
        <v>19126.879155966999</v>
      </c>
      <c r="O226" s="1755" t="s">
        <v>1308</v>
      </c>
      <c r="P226" s="1721" t="s">
        <v>9611</v>
      </c>
    </row>
    <row r="227" spans="1:16" ht="13.5" hidden="1" customHeight="1" outlineLevel="3" x14ac:dyDescent="0.2">
      <c r="A227" s="459">
        <v>0</v>
      </c>
      <c r="B227" s="459">
        <v>4</v>
      </c>
      <c r="C227" s="459">
        <v>3</v>
      </c>
      <c r="D227" s="460">
        <v>10</v>
      </c>
      <c r="E227" s="460">
        <v>5</v>
      </c>
      <c r="G227" s="1748" t="s">
        <v>42</v>
      </c>
      <c r="H227" s="1749" t="s">
        <v>1239</v>
      </c>
      <c r="I227" s="1750" t="s">
        <v>6009</v>
      </c>
      <c r="J227" s="1751" t="s">
        <v>5373</v>
      </c>
      <c r="K227" s="1752" t="s">
        <v>1106</v>
      </c>
      <c r="L227" s="1753">
        <v>2414.4975704567541</v>
      </c>
      <c r="M227" s="1753">
        <v>8.4849650000000008</v>
      </c>
      <c r="N227" s="1754">
        <v>20486.927377910601</v>
      </c>
      <c r="O227" s="1755" t="s">
        <v>1308</v>
      </c>
      <c r="P227" s="1721" t="s">
        <v>9611</v>
      </c>
    </row>
    <row r="228" spans="1:16" ht="13.5" hidden="1" customHeight="1" outlineLevel="3" x14ac:dyDescent="0.2">
      <c r="A228" s="459">
        <v>0</v>
      </c>
      <c r="B228" s="459">
        <v>4</v>
      </c>
      <c r="C228" s="459">
        <v>3</v>
      </c>
      <c r="D228" s="460">
        <v>10</v>
      </c>
      <c r="E228" s="460">
        <v>6</v>
      </c>
      <c r="G228" s="1748" t="s">
        <v>42</v>
      </c>
      <c r="H228" s="1749" t="s">
        <v>1239</v>
      </c>
      <c r="I228" s="1750" t="s">
        <v>6010</v>
      </c>
      <c r="J228" s="1751" t="s">
        <v>5374</v>
      </c>
      <c r="K228" s="1752" t="s">
        <v>1106</v>
      </c>
      <c r="L228" s="1753">
        <v>809.18885649497906</v>
      </c>
      <c r="M228" s="1753">
        <v>8.4849650000000008</v>
      </c>
      <c r="N228" s="1754">
        <v>6865.9391257499201</v>
      </c>
      <c r="O228" s="1755" t="s">
        <v>1308</v>
      </c>
      <c r="P228" s="1721" t="s">
        <v>9611</v>
      </c>
    </row>
    <row r="229" spans="1:16" ht="13.5" hidden="1" customHeight="1" outlineLevel="3" x14ac:dyDescent="0.2">
      <c r="A229" s="459">
        <v>0</v>
      </c>
      <c r="B229" s="459">
        <v>4</v>
      </c>
      <c r="C229" s="459">
        <v>3</v>
      </c>
      <c r="D229" s="460">
        <v>10</v>
      </c>
      <c r="E229" s="460">
        <v>7</v>
      </c>
      <c r="G229" s="1748" t="s">
        <v>42</v>
      </c>
      <c r="H229" s="1749" t="s">
        <v>1239</v>
      </c>
      <c r="I229" s="1750" t="s">
        <v>6011</v>
      </c>
      <c r="J229" s="1751" t="s">
        <v>5375</v>
      </c>
      <c r="K229" s="1752" t="s">
        <v>1106</v>
      </c>
      <c r="L229" s="1753">
        <v>3094.0855199222547</v>
      </c>
      <c r="M229" s="1753">
        <v>8.4849650000000008</v>
      </c>
      <c r="N229" s="1754">
        <v>26253.207343547099</v>
      </c>
      <c r="O229" s="1755" t="s">
        <v>1308</v>
      </c>
      <c r="P229" s="1721" t="s">
        <v>9611</v>
      </c>
    </row>
    <row r="230" spans="1:16" ht="13.5" hidden="1" customHeight="1" outlineLevel="3" x14ac:dyDescent="0.2">
      <c r="A230" s="459">
        <v>0</v>
      </c>
      <c r="B230" s="459">
        <v>4</v>
      </c>
      <c r="C230" s="459">
        <v>3</v>
      </c>
      <c r="D230" s="460">
        <v>10</v>
      </c>
      <c r="E230" s="460">
        <v>8</v>
      </c>
      <c r="G230" s="1748" t="s">
        <v>42</v>
      </c>
      <c r="H230" s="1749" t="s">
        <v>1239</v>
      </c>
      <c r="I230" s="1750" t="s">
        <v>6012</v>
      </c>
      <c r="J230" s="1751" t="s">
        <v>5376</v>
      </c>
      <c r="K230" s="1752" t="s">
        <v>1106</v>
      </c>
      <c r="L230" s="1753">
        <v>14718.960155490769</v>
      </c>
      <c r="M230" s="1753">
        <v>8.4849650000000008</v>
      </c>
      <c r="N230" s="1754">
        <v>124889.861755734</v>
      </c>
      <c r="O230" s="1755" t="s">
        <v>1308</v>
      </c>
      <c r="P230" s="1721" t="s">
        <v>9611</v>
      </c>
    </row>
    <row r="231" spans="1:16" ht="13.5" hidden="1" customHeight="1" outlineLevel="2" x14ac:dyDescent="0.2">
      <c r="A231" s="459">
        <v>0</v>
      </c>
      <c r="B231" s="459">
        <v>4</v>
      </c>
      <c r="C231" s="459">
        <v>3</v>
      </c>
      <c r="D231" s="460">
        <v>11</v>
      </c>
      <c r="E231" s="460">
        <v>0</v>
      </c>
      <c r="G231" s="1740"/>
      <c r="H231" s="1741" t="s">
        <v>1238</v>
      </c>
      <c r="I231" s="1742" t="s">
        <v>6013</v>
      </c>
      <c r="J231" s="1743" t="s">
        <v>2488</v>
      </c>
      <c r="K231" s="1744"/>
      <c r="L231" s="1745"/>
      <c r="M231" s="1745"/>
      <c r="N231" s="1746">
        <v>1409224.4773236699</v>
      </c>
      <c r="O231" s="1747">
        <v>84.134462190817402</v>
      </c>
      <c r="P231" s="1720"/>
    </row>
    <row r="232" spans="1:16" ht="13.5" hidden="1" customHeight="1" outlineLevel="3" x14ac:dyDescent="0.2">
      <c r="A232" s="459">
        <v>0</v>
      </c>
      <c r="B232" s="459">
        <v>4</v>
      </c>
      <c r="C232" s="459">
        <v>3</v>
      </c>
      <c r="D232" s="460">
        <v>11</v>
      </c>
      <c r="E232" s="460">
        <v>1</v>
      </c>
      <c r="G232" s="1748" t="s">
        <v>42</v>
      </c>
      <c r="H232" s="1749" t="s">
        <v>1239</v>
      </c>
      <c r="I232" s="1750" t="s">
        <v>6014</v>
      </c>
      <c r="J232" s="1751" t="s">
        <v>5369</v>
      </c>
      <c r="K232" s="1752" t="s">
        <v>1106</v>
      </c>
      <c r="L232" s="1753">
        <v>923.41905571752568</v>
      </c>
      <c r="M232" s="1753">
        <v>8.9649650000000012</v>
      </c>
      <c r="N232" s="1754">
        <v>8278.4195148406707</v>
      </c>
      <c r="O232" s="1755" t="s">
        <v>1308</v>
      </c>
      <c r="P232" s="1721" t="s">
        <v>9611</v>
      </c>
    </row>
    <row r="233" spans="1:16" ht="13.5" hidden="1" customHeight="1" outlineLevel="3" x14ac:dyDescent="0.2">
      <c r="A233" s="459">
        <v>0</v>
      </c>
      <c r="B233" s="459">
        <v>4</v>
      </c>
      <c r="C233" s="459">
        <v>3</v>
      </c>
      <c r="D233" s="460">
        <v>11</v>
      </c>
      <c r="E233" s="460">
        <v>2</v>
      </c>
      <c r="G233" s="1748" t="s">
        <v>42</v>
      </c>
      <c r="H233" s="1749" t="s">
        <v>1239</v>
      </c>
      <c r="I233" s="1750" t="s">
        <v>6015</v>
      </c>
      <c r="J233" s="1751" t="s">
        <v>5370</v>
      </c>
      <c r="K233" s="1752" t="s">
        <v>1106</v>
      </c>
      <c r="L233" s="1753">
        <v>10356.908689666339</v>
      </c>
      <c r="M233" s="1753">
        <v>8.9649650000000012</v>
      </c>
      <c r="N233" s="1754">
        <v>92849.323911054598</v>
      </c>
      <c r="O233" s="1755" t="s">
        <v>1308</v>
      </c>
      <c r="P233" s="1721" t="s">
        <v>9611</v>
      </c>
    </row>
    <row r="234" spans="1:16" ht="13.5" hidden="1" customHeight="1" outlineLevel="3" x14ac:dyDescent="0.2">
      <c r="A234" s="459">
        <v>0</v>
      </c>
      <c r="B234" s="459">
        <v>4</v>
      </c>
      <c r="C234" s="459">
        <v>3</v>
      </c>
      <c r="D234" s="460">
        <v>11</v>
      </c>
      <c r="E234" s="460">
        <v>3</v>
      </c>
      <c r="G234" s="1748" t="s">
        <v>42</v>
      </c>
      <c r="H234" s="1749" t="s">
        <v>1239</v>
      </c>
      <c r="I234" s="1750" t="s">
        <v>6016</v>
      </c>
      <c r="J234" s="1751" t="s">
        <v>5371</v>
      </c>
      <c r="K234" s="1752" t="s">
        <v>1106</v>
      </c>
      <c r="L234" s="1753">
        <v>11446.41030936184</v>
      </c>
      <c r="M234" s="1753">
        <v>8.9649650000000012</v>
      </c>
      <c r="N234" s="1754">
        <v>102616.667799068</v>
      </c>
      <c r="O234" s="1755" t="s">
        <v>1308</v>
      </c>
      <c r="P234" s="1721" t="s">
        <v>9611</v>
      </c>
    </row>
    <row r="235" spans="1:16" ht="13.5" hidden="1" customHeight="1" outlineLevel="3" x14ac:dyDescent="0.2">
      <c r="A235" s="459">
        <v>0</v>
      </c>
      <c r="B235" s="459">
        <v>4</v>
      </c>
      <c r="C235" s="459">
        <v>3</v>
      </c>
      <c r="D235" s="460">
        <v>11</v>
      </c>
      <c r="E235" s="460">
        <v>4</v>
      </c>
      <c r="G235" s="1748" t="s">
        <v>42</v>
      </c>
      <c r="H235" s="1749" t="s">
        <v>1239</v>
      </c>
      <c r="I235" s="1750" t="s">
        <v>6017</v>
      </c>
      <c r="J235" s="1751" t="s">
        <v>5372</v>
      </c>
      <c r="K235" s="1752" t="s">
        <v>1106</v>
      </c>
      <c r="L235" s="1753">
        <v>13014.229713313896</v>
      </c>
      <c r="M235" s="1753">
        <v>8.9649650000000012</v>
      </c>
      <c r="N235" s="1754">
        <v>116672.11388181899</v>
      </c>
      <c r="O235" s="1755" t="s">
        <v>1308</v>
      </c>
      <c r="P235" s="1721" t="s">
        <v>9611</v>
      </c>
    </row>
    <row r="236" spans="1:16" ht="13.5" hidden="1" customHeight="1" outlineLevel="3" x14ac:dyDescent="0.2">
      <c r="A236" s="459">
        <v>0</v>
      </c>
      <c r="B236" s="459">
        <v>4</v>
      </c>
      <c r="C236" s="459">
        <v>3</v>
      </c>
      <c r="D236" s="460">
        <v>11</v>
      </c>
      <c r="E236" s="460">
        <v>5</v>
      </c>
      <c r="G236" s="1748" t="s">
        <v>42</v>
      </c>
      <c r="H236" s="1749" t="s">
        <v>1239</v>
      </c>
      <c r="I236" s="1750" t="s">
        <v>6018</v>
      </c>
      <c r="J236" s="1751" t="s">
        <v>5373</v>
      </c>
      <c r="K236" s="1752" t="s">
        <v>1106</v>
      </c>
      <c r="L236" s="1753">
        <v>14728.201773566565</v>
      </c>
      <c r="M236" s="1753">
        <v>8.4849650000000008</v>
      </c>
      <c r="N236" s="1754">
        <v>124968.27656165</v>
      </c>
      <c r="O236" s="1755" t="s">
        <v>1308</v>
      </c>
      <c r="P236" s="1721" t="s">
        <v>9611</v>
      </c>
    </row>
    <row r="237" spans="1:16" ht="13.5" hidden="1" customHeight="1" outlineLevel="3" x14ac:dyDescent="0.2">
      <c r="A237" s="459">
        <v>0</v>
      </c>
      <c r="B237" s="459">
        <v>4</v>
      </c>
      <c r="C237" s="459">
        <v>3</v>
      </c>
      <c r="D237" s="460">
        <v>11</v>
      </c>
      <c r="E237" s="460">
        <v>6</v>
      </c>
      <c r="G237" s="1748" t="s">
        <v>42</v>
      </c>
      <c r="H237" s="1749" t="s">
        <v>1239</v>
      </c>
      <c r="I237" s="1750" t="s">
        <v>6019</v>
      </c>
      <c r="J237" s="1751" t="s">
        <v>5374</v>
      </c>
      <c r="K237" s="1752" t="s">
        <v>1106</v>
      </c>
      <c r="L237" s="1753">
        <v>4935.9738014253335</v>
      </c>
      <c r="M237" s="1753">
        <v>8.4849650000000008</v>
      </c>
      <c r="N237" s="1754">
        <v>41881.564946010898</v>
      </c>
      <c r="O237" s="1755" t="s">
        <v>1308</v>
      </c>
      <c r="P237" s="1721" t="s">
        <v>9611</v>
      </c>
    </row>
    <row r="238" spans="1:16" ht="13.5" hidden="1" customHeight="1" outlineLevel="3" x14ac:dyDescent="0.2">
      <c r="A238" s="459">
        <v>0</v>
      </c>
      <c r="B238" s="459">
        <v>4</v>
      </c>
      <c r="C238" s="459">
        <v>3</v>
      </c>
      <c r="D238" s="460">
        <v>11</v>
      </c>
      <c r="E238" s="460">
        <v>7</v>
      </c>
      <c r="G238" s="1748" t="s">
        <v>42</v>
      </c>
      <c r="H238" s="1749" t="s">
        <v>1239</v>
      </c>
      <c r="I238" s="1750" t="s">
        <v>6020</v>
      </c>
      <c r="J238" s="1751" t="s">
        <v>5375</v>
      </c>
      <c r="K238" s="1752" t="s">
        <v>1106</v>
      </c>
      <c r="L238" s="1753">
        <v>18873.622570456751</v>
      </c>
      <c r="M238" s="1753">
        <v>8.4849650000000008</v>
      </c>
      <c r="N238" s="1754">
        <v>160142.02693353599</v>
      </c>
      <c r="O238" s="1755" t="s">
        <v>1308</v>
      </c>
      <c r="P238" s="1721" t="s">
        <v>9611</v>
      </c>
    </row>
    <row r="239" spans="1:16" ht="13.5" hidden="1" customHeight="1" outlineLevel="3" x14ac:dyDescent="0.2">
      <c r="A239" s="459">
        <v>0</v>
      </c>
      <c r="B239" s="459">
        <v>4</v>
      </c>
      <c r="C239" s="459">
        <v>3</v>
      </c>
      <c r="D239" s="460">
        <v>11</v>
      </c>
      <c r="E239" s="460">
        <v>8</v>
      </c>
      <c r="G239" s="1748" t="s">
        <v>42</v>
      </c>
      <c r="H239" s="1749" t="s">
        <v>1239</v>
      </c>
      <c r="I239" s="1750" t="s">
        <v>6021</v>
      </c>
      <c r="J239" s="1751" t="s">
        <v>5376</v>
      </c>
      <c r="K239" s="1752" t="s">
        <v>1106</v>
      </c>
      <c r="L239" s="1753">
        <v>89784.234086491706</v>
      </c>
      <c r="M239" s="1753">
        <v>8.4849650000000008</v>
      </c>
      <c r="N239" s="1754">
        <v>761816.08377568901</v>
      </c>
      <c r="O239" s="1755" t="s">
        <v>1308</v>
      </c>
      <c r="P239" s="1721" t="s">
        <v>9611</v>
      </c>
    </row>
    <row r="240" spans="1:16" ht="13.5" hidden="1" customHeight="1" outlineLevel="2" x14ac:dyDescent="0.2">
      <c r="A240" s="459">
        <v>0</v>
      </c>
      <c r="B240" s="459">
        <v>4</v>
      </c>
      <c r="C240" s="459">
        <v>3</v>
      </c>
      <c r="D240" s="460">
        <v>12</v>
      </c>
      <c r="E240" s="460">
        <v>0</v>
      </c>
      <c r="G240" s="1740"/>
      <c r="H240" s="1741" t="s">
        <v>1238</v>
      </c>
      <c r="I240" s="1742" t="s">
        <v>6022</v>
      </c>
      <c r="J240" s="1743" t="s">
        <v>2489</v>
      </c>
      <c r="K240" s="1744"/>
      <c r="L240" s="1745"/>
      <c r="M240" s="1745"/>
      <c r="N240" s="1746">
        <v>2546701.9136381601</v>
      </c>
      <c r="O240" s="1747">
        <v>152.04490080330899</v>
      </c>
      <c r="P240" s="1720"/>
    </row>
    <row r="241" spans="1:16" ht="13.5" hidden="1" customHeight="1" outlineLevel="3" x14ac:dyDescent="0.2">
      <c r="A241" s="459">
        <v>0</v>
      </c>
      <c r="B241" s="459">
        <v>4</v>
      </c>
      <c r="C241" s="459">
        <v>3</v>
      </c>
      <c r="D241" s="460">
        <v>12</v>
      </c>
      <c r="E241" s="460">
        <v>1</v>
      </c>
      <c r="G241" s="1748" t="s">
        <v>42</v>
      </c>
      <c r="H241" s="1749" t="s">
        <v>1239</v>
      </c>
      <c r="I241" s="1750" t="s">
        <v>6023</v>
      </c>
      <c r="J241" s="1751" t="s">
        <v>5369</v>
      </c>
      <c r="K241" s="1752" t="s">
        <v>1106</v>
      </c>
      <c r="L241" s="1753">
        <v>1668.7710965338531</v>
      </c>
      <c r="M241" s="1753">
        <v>8.9649650000000012</v>
      </c>
      <c r="N241" s="1754">
        <v>14960.4744734376</v>
      </c>
      <c r="O241" s="1755" t="s">
        <v>1308</v>
      </c>
      <c r="P241" s="1721" t="s">
        <v>9611</v>
      </c>
    </row>
    <row r="242" spans="1:16" ht="13.5" hidden="1" customHeight="1" outlineLevel="3" x14ac:dyDescent="0.2">
      <c r="A242" s="459">
        <v>0</v>
      </c>
      <c r="B242" s="459">
        <v>4</v>
      </c>
      <c r="C242" s="459">
        <v>3</v>
      </c>
      <c r="D242" s="460">
        <v>12</v>
      </c>
      <c r="E242" s="460">
        <v>2</v>
      </c>
      <c r="G242" s="1748" t="s">
        <v>42</v>
      </c>
      <c r="H242" s="1749" t="s">
        <v>1239</v>
      </c>
      <c r="I242" s="1750" t="s">
        <v>6024</v>
      </c>
      <c r="J242" s="1751" t="s">
        <v>5370</v>
      </c>
      <c r="K242" s="1752" t="s">
        <v>1106</v>
      </c>
      <c r="L242" s="1753">
        <v>18716.648485584705</v>
      </c>
      <c r="M242" s="1753">
        <v>8.9649650000000012</v>
      </c>
      <c r="N242" s="1754">
        <v>167794.09859057001</v>
      </c>
      <c r="O242" s="1755" t="s">
        <v>1308</v>
      </c>
      <c r="P242" s="1721" t="s">
        <v>9611</v>
      </c>
    </row>
    <row r="243" spans="1:16" ht="13.5" hidden="1" customHeight="1" outlineLevel="3" x14ac:dyDescent="0.2">
      <c r="A243" s="459">
        <v>0</v>
      </c>
      <c r="B243" s="459">
        <v>4</v>
      </c>
      <c r="C243" s="459">
        <v>3</v>
      </c>
      <c r="D243" s="460">
        <v>12</v>
      </c>
      <c r="E243" s="460">
        <v>3</v>
      </c>
      <c r="G243" s="1748" t="s">
        <v>42</v>
      </c>
      <c r="H243" s="1749" t="s">
        <v>1239</v>
      </c>
      <c r="I243" s="1750" t="s">
        <v>6025</v>
      </c>
      <c r="J243" s="1751" t="s">
        <v>5371</v>
      </c>
      <c r="K243" s="1752" t="s">
        <v>1106</v>
      </c>
      <c r="L243" s="1753">
        <v>20685.558268545497</v>
      </c>
      <c r="M243" s="1753">
        <v>8.9649650000000012</v>
      </c>
      <c r="N243" s="1754">
        <v>185445.30588297101</v>
      </c>
      <c r="O243" s="1755" t="s">
        <v>1308</v>
      </c>
      <c r="P243" s="1721" t="s">
        <v>9611</v>
      </c>
    </row>
    <row r="244" spans="1:16" ht="13.5" hidden="1" customHeight="1" outlineLevel="3" x14ac:dyDescent="0.2">
      <c r="A244" s="459">
        <v>0</v>
      </c>
      <c r="B244" s="459">
        <v>4</v>
      </c>
      <c r="C244" s="459">
        <v>3</v>
      </c>
      <c r="D244" s="460">
        <v>12</v>
      </c>
      <c r="E244" s="460">
        <v>4</v>
      </c>
      <c r="G244" s="1748" t="s">
        <v>42</v>
      </c>
      <c r="H244" s="1749" t="s">
        <v>1239</v>
      </c>
      <c r="I244" s="1750" t="s">
        <v>6026</v>
      </c>
      <c r="J244" s="1751" t="s">
        <v>5372</v>
      </c>
      <c r="K244" s="1752" t="s">
        <v>1106</v>
      </c>
      <c r="L244" s="1753">
        <v>23518.867468415934</v>
      </c>
      <c r="M244" s="1753">
        <v>8.9649650000000012</v>
      </c>
      <c r="N244" s="1754">
        <v>210845.82369398701</v>
      </c>
      <c r="O244" s="1755" t="s">
        <v>1308</v>
      </c>
      <c r="P244" s="1721" t="s">
        <v>9611</v>
      </c>
    </row>
    <row r="245" spans="1:16" ht="13.5" hidden="1" customHeight="1" outlineLevel="3" x14ac:dyDescent="0.2">
      <c r="A245" s="459">
        <v>0</v>
      </c>
      <c r="B245" s="459">
        <v>4</v>
      </c>
      <c r="C245" s="459">
        <v>3</v>
      </c>
      <c r="D245" s="460">
        <v>12</v>
      </c>
      <c r="E245" s="460">
        <v>5</v>
      </c>
      <c r="G245" s="1748" t="s">
        <v>42</v>
      </c>
      <c r="H245" s="1749" t="s">
        <v>1239</v>
      </c>
      <c r="I245" s="1750" t="s">
        <v>6027</v>
      </c>
      <c r="J245" s="1751" t="s">
        <v>5373</v>
      </c>
      <c r="K245" s="1752" t="s">
        <v>1106</v>
      </c>
      <c r="L245" s="1753">
        <v>26616.298712342083</v>
      </c>
      <c r="M245" s="1753">
        <v>8.4849650000000008</v>
      </c>
      <c r="N245" s="1754">
        <v>225838.363003768</v>
      </c>
      <c r="O245" s="1755" t="s">
        <v>1308</v>
      </c>
      <c r="P245" s="1721" t="s">
        <v>9611</v>
      </c>
    </row>
    <row r="246" spans="1:16" ht="13.5" hidden="1" customHeight="1" outlineLevel="3" x14ac:dyDescent="0.2">
      <c r="A246" s="459">
        <v>0</v>
      </c>
      <c r="B246" s="459">
        <v>4</v>
      </c>
      <c r="C246" s="459">
        <v>3</v>
      </c>
      <c r="D246" s="460">
        <v>12</v>
      </c>
      <c r="E246" s="460">
        <v>6</v>
      </c>
      <c r="G246" s="1748" t="s">
        <v>42</v>
      </c>
      <c r="H246" s="1749" t="s">
        <v>1239</v>
      </c>
      <c r="I246" s="1750" t="s">
        <v>6028</v>
      </c>
      <c r="J246" s="1751" t="s">
        <v>5374</v>
      </c>
      <c r="K246" s="1752" t="s">
        <v>1106</v>
      </c>
      <c r="L246" s="1753">
        <v>8920.1217606090067</v>
      </c>
      <c r="M246" s="1753">
        <v>8.4849650000000008</v>
      </c>
      <c r="N246" s="1754">
        <v>75686.920934505804</v>
      </c>
      <c r="O246" s="1755" t="s">
        <v>1308</v>
      </c>
      <c r="P246" s="1721" t="s">
        <v>9611</v>
      </c>
    </row>
    <row r="247" spans="1:16" ht="13.5" hidden="1" customHeight="1" outlineLevel="3" x14ac:dyDescent="0.2">
      <c r="A247" s="459">
        <v>0</v>
      </c>
      <c r="B247" s="459">
        <v>4</v>
      </c>
      <c r="C247" s="459">
        <v>3</v>
      </c>
      <c r="D247" s="460">
        <v>12</v>
      </c>
      <c r="E247" s="460">
        <v>7</v>
      </c>
      <c r="G247" s="1748" t="s">
        <v>42</v>
      </c>
      <c r="H247" s="1749" t="s">
        <v>1239</v>
      </c>
      <c r="I247" s="1750" t="s">
        <v>6029</v>
      </c>
      <c r="J247" s="1751" t="s">
        <v>5375</v>
      </c>
      <c r="K247" s="1752" t="s">
        <v>1106</v>
      </c>
      <c r="L247" s="1753">
        <v>34107.760325558782</v>
      </c>
      <c r="M247" s="1753">
        <v>8.4849650000000008</v>
      </c>
      <c r="N247" s="1754">
        <v>289403.15259075502</v>
      </c>
      <c r="O247" s="1755" t="s">
        <v>1308</v>
      </c>
      <c r="P247" s="1721" t="s">
        <v>9611</v>
      </c>
    </row>
    <row r="248" spans="1:16" ht="13.5" hidden="1" customHeight="1" outlineLevel="3" x14ac:dyDescent="0.2">
      <c r="A248" s="459">
        <v>0</v>
      </c>
      <c r="B248" s="459">
        <v>4</v>
      </c>
      <c r="C248" s="459">
        <v>3</v>
      </c>
      <c r="D248" s="460">
        <v>12</v>
      </c>
      <c r="E248" s="460">
        <v>8</v>
      </c>
      <c r="G248" s="1748" t="s">
        <v>42</v>
      </c>
      <c r="H248" s="1749" t="s">
        <v>1239</v>
      </c>
      <c r="I248" s="1750" t="s">
        <v>6030</v>
      </c>
      <c r="J248" s="1751" t="s">
        <v>5376</v>
      </c>
      <c r="K248" s="1752" t="s">
        <v>1106</v>
      </c>
      <c r="L248" s="1753">
        <v>162254.97388241006</v>
      </c>
      <c r="M248" s="1753">
        <v>8.4849650000000008</v>
      </c>
      <c r="N248" s="1754">
        <v>1376727.77446816</v>
      </c>
      <c r="O248" s="1755" t="s">
        <v>1308</v>
      </c>
      <c r="P248" s="1721" t="s">
        <v>9611</v>
      </c>
    </row>
    <row r="249" spans="1:16" ht="13.5" hidden="1" customHeight="1" outlineLevel="2" x14ac:dyDescent="0.2">
      <c r="A249" s="459">
        <v>0</v>
      </c>
      <c r="B249" s="459">
        <v>4</v>
      </c>
      <c r="C249" s="459">
        <v>3</v>
      </c>
      <c r="D249" s="460">
        <v>13</v>
      </c>
      <c r="E249" s="460">
        <v>0</v>
      </c>
      <c r="G249" s="1740"/>
      <c r="H249" s="1741" t="s">
        <v>1238</v>
      </c>
      <c r="I249" s="1742" t="s">
        <v>6031</v>
      </c>
      <c r="J249" s="1743" t="s">
        <v>3474</v>
      </c>
      <c r="K249" s="1744"/>
      <c r="L249" s="1745"/>
      <c r="M249" s="1745"/>
      <c r="N249" s="1746">
        <v>80629.941965204096</v>
      </c>
      <c r="O249" s="1747">
        <v>4.8138227180120001</v>
      </c>
      <c r="P249" s="1720"/>
    </row>
    <row r="250" spans="1:16" ht="13.5" hidden="1" customHeight="1" outlineLevel="3" x14ac:dyDescent="0.2">
      <c r="A250" s="459">
        <v>0</v>
      </c>
      <c r="B250" s="459">
        <v>4</v>
      </c>
      <c r="C250" s="459">
        <v>3</v>
      </c>
      <c r="D250" s="460">
        <v>13</v>
      </c>
      <c r="E250" s="460">
        <v>1</v>
      </c>
      <c r="G250" s="1748" t="s">
        <v>42</v>
      </c>
      <c r="H250" s="1749" t="s">
        <v>1239</v>
      </c>
      <c r="I250" s="1750" t="s">
        <v>6032</v>
      </c>
      <c r="J250" s="1751" t="s">
        <v>5369</v>
      </c>
      <c r="K250" s="1752" t="s">
        <v>1106</v>
      </c>
      <c r="L250" s="1753">
        <v>52.834183673469418</v>
      </c>
      <c r="M250" s="1753">
        <v>8.9649650000000012</v>
      </c>
      <c r="N250" s="1754">
        <v>473.65660743622499</v>
      </c>
      <c r="O250" s="1755" t="s">
        <v>1308</v>
      </c>
      <c r="P250" s="1721" t="s">
        <v>9611</v>
      </c>
    </row>
    <row r="251" spans="1:16" ht="13.5" hidden="1" customHeight="1" outlineLevel="3" x14ac:dyDescent="0.2">
      <c r="A251" s="459">
        <v>0</v>
      </c>
      <c r="B251" s="459">
        <v>4</v>
      </c>
      <c r="C251" s="459">
        <v>3</v>
      </c>
      <c r="D251" s="460">
        <v>13</v>
      </c>
      <c r="E251" s="460">
        <v>2</v>
      </c>
      <c r="G251" s="1748" t="s">
        <v>42</v>
      </c>
      <c r="H251" s="1749" t="s">
        <v>1239</v>
      </c>
      <c r="I251" s="1750" t="s">
        <v>6033</v>
      </c>
      <c r="J251" s="1751" t="s">
        <v>5370</v>
      </c>
      <c r="K251" s="1752" t="s">
        <v>1106</v>
      </c>
      <c r="L251" s="1753">
        <v>592.5790816326529</v>
      </c>
      <c r="M251" s="1753">
        <v>8.9649650000000012</v>
      </c>
      <c r="N251" s="1754">
        <v>5312.4507265688799</v>
      </c>
      <c r="O251" s="1755" t="s">
        <v>1308</v>
      </c>
      <c r="P251" s="1721" t="s">
        <v>9611</v>
      </c>
    </row>
    <row r="252" spans="1:16" ht="13.5" hidden="1" customHeight="1" outlineLevel="3" x14ac:dyDescent="0.2">
      <c r="A252" s="459">
        <v>0</v>
      </c>
      <c r="B252" s="459">
        <v>4</v>
      </c>
      <c r="C252" s="459">
        <v>3</v>
      </c>
      <c r="D252" s="460">
        <v>13</v>
      </c>
      <c r="E252" s="460">
        <v>3</v>
      </c>
      <c r="G252" s="1748" t="s">
        <v>42</v>
      </c>
      <c r="H252" s="1749" t="s">
        <v>1239</v>
      </c>
      <c r="I252" s="1750" t="s">
        <v>6034</v>
      </c>
      <c r="J252" s="1751" t="s">
        <v>5371</v>
      </c>
      <c r="K252" s="1752" t="s">
        <v>1106</v>
      </c>
      <c r="L252" s="1753">
        <v>654.91581632653049</v>
      </c>
      <c r="M252" s="1753">
        <v>8.9649650000000012</v>
      </c>
      <c r="N252" s="1754">
        <v>5871.2973713137799</v>
      </c>
      <c r="O252" s="1755" t="s">
        <v>1308</v>
      </c>
      <c r="P252" s="1721" t="s">
        <v>9611</v>
      </c>
    </row>
    <row r="253" spans="1:16" ht="13.5" hidden="1" customHeight="1" outlineLevel="3" x14ac:dyDescent="0.2">
      <c r="A253" s="459">
        <v>0</v>
      </c>
      <c r="B253" s="459">
        <v>4</v>
      </c>
      <c r="C253" s="459">
        <v>3</v>
      </c>
      <c r="D253" s="460">
        <v>13</v>
      </c>
      <c r="E253" s="460">
        <v>4</v>
      </c>
      <c r="G253" s="1748" t="s">
        <v>42</v>
      </c>
      <c r="H253" s="1749" t="s">
        <v>1239</v>
      </c>
      <c r="I253" s="1750" t="s">
        <v>6035</v>
      </c>
      <c r="J253" s="1751" t="s">
        <v>5372</v>
      </c>
      <c r="K253" s="1752" t="s">
        <v>1106</v>
      </c>
      <c r="L253" s="1753">
        <v>744.61989795918328</v>
      </c>
      <c r="M253" s="1753">
        <v>8.9649650000000012</v>
      </c>
      <c r="N253" s="1754">
        <v>6675.4913235076501</v>
      </c>
      <c r="O253" s="1755" t="s">
        <v>1308</v>
      </c>
      <c r="P253" s="1721" t="s">
        <v>9611</v>
      </c>
    </row>
    <row r="254" spans="1:16" ht="13.5" hidden="1" customHeight="1" outlineLevel="3" x14ac:dyDescent="0.2">
      <c r="A254" s="459">
        <v>0</v>
      </c>
      <c r="B254" s="459">
        <v>4</v>
      </c>
      <c r="C254" s="459">
        <v>3</v>
      </c>
      <c r="D254" s="460">
        <v>13</v>
      </c>
      <c r="E254" s="460">
        <v>5</v>
      </c>
      <c r="G254" s="1748" t="s">
        <v>42</v>
      </c>
      <c r="H254" s="1749" t="s">
        <v>1239</v>
      </c>
      <c r="I254" s="1750" t="s">
        <v>6036</v>
      </c>
      <c r="J254" s="1751" t="s">
        <v>5373</v>
      </c>
      <c r="K254" s="1752" t="s">
        <v>1106</v>
      </c>
      <c r="L254" s="1753">
        <v>842.68622448979579</v>
      </c>
      <c r="M254" s="1753">
        <v>8.4849650000000008</v>
      </c>
      <c r="N254" s="1754">
        <v>7150.1631207780601</v>
      </c>
      <c r="O254" s="1755" t="s">
        <v>1308</v>
      </c>
      <c r="P254" s="1721" t="s">
        <v>9611</v>
      </c>
    </row>
    <row r="255" spans="1:16" ht="13.5" hidden="1" customHeight="1" outlineLevel="3" x14ac:dyDescent="0.2">
      <c r="A255" s="459">
        <v>0</v>
      </c>
      <c r="B255" s="459">
        <v>4</v>
      </c>
      <c r="C255" s="459">
        <v>3</v>
      </c>
      <c r="D255" s="460">
        <v>13</v>
      </c>
      <c r="E255" s="460">
        <v>6</v>
      </c>
      <c r="G255" s="1748" t="s">
        <v>42</v>
      </c>
      <c r="H255" s="1749" t="s">
        <v>1239</v>
      </c>
      <c r="I255" s="1750" t="s">
        <v>6037</v>
      </c>
      <c r="J255" s="1751" t="s">
        <v>5374</v>
      </c>
      <c r="K255" s="1752" t="s">
        <v>1106</v>
      </c>
      <c r="L255" s="1753">
        <v>282.4158163265306</v>
      </c>
      <c r="M255" s="1753">
        <v>8.4849650000000008</v>
      </c>
      <c r="N255" s="1754">
        <v>2396.2883169770398</v>
      </c>
      <c r="O255" s="1755" t="s">
        <v>1308</v>
      </c>
      <c r="P255" s="1721" t="s">
        <v>9611</v>
      </c>
    </row>
    <row r="256" spans="1:16" ht="13.5" hidden="1" customHeight="1" outlineLevel="3" x14ac:dyDescent="0.2">
      <c r="A256" s="459">
        <v>0</v>
      </c>
      <c r="B256" s="459">
        <v>4</v>
      </c>
      <c r="C256" s="459">
        <v>3</v>
      </c>
      <c r="D256" s="460">
        <v>13</v>
      </c>
      <c r="E256" s="460">
        <v>7</v>
      </c>
      <c r="G256" s="1748" t="s">
        <v>42</v>
      </c>
      <c r="H256" s="1749" t="s">
        <v>1239</v>
      </c>
      <c r="I256" s="1750" t="s">
        <v>6038</v>
      </c>
      <c r="J256" s="1751" t="s">
        <v>5375</v>
      </c>
      <c r="K256" s="1752" t="s">
        <v>1106</v>
      </c>
      <c r="L256" s="1753">
        <v>1079.8698979591834</v>
      </c>
      <c r="M256" s="1753">
        <v>8.4849650000000008</v>
      </c>
      <c r="N256" s="1754">
        <v>9162.6582887372406</v>
      </c>
      <c r="O256" s="1755" t="s">
        <v>1308</v>
      </c>
      <c r="P256" s="1721" t="s">
        <v>9611</v>
      </c>
    </row>
    <row r="257" spans="1:16" ht="13.5" hidden="1" customHeight="1" outlineLevel="3" x14ac:dyDescent="0.2">
      <c r="A257" s="459">
        <v>0</v>
      </c>
      <c r="B257" s="459">
        <v>4</v>
      </c>
      <c r="C257" s="459">
        <v>3</v>
      </c>
      <c r="D257" s="460">
        <v>13</v>
      </c>
      <c r="E257" s="460">
        <v>8</v>
      </c>
      <c r="G257" s="1748" t="s">
        <v>42</v>
      </c>
      <c r="H257" s="1749" t="s">
        <v>1239</v>
      </c>
      <c r="I257" s="1750" t="s">
        <v>6039</v>
      </c>
      <c r="J257" s="1751" t="s">
        <v>5376</v>
      </c>
      <c r="K257" s="1752" t="s">
        <v>1106</v>
      </c>
      <c r="L257" s="1753">
        <v>5137.0790816326526</v>
      </c>
      <c r="M257" s="1753">
        <v>8.4849650000000008</v>
      </c>
      <c r="N257" s="1754">
        <v>43587.9362098852</v>
      </c>
      <c r="O257" s="1755" t="s">
        <v>1308</v>
      </c>
      <c r="P257" s="1721" t="s">
        <v>9611</v>
      </c>
    </row>
    <row r="258" spans="1:16" ht="13.5" hidden="1" customHeight="1" outlineLevel="2" x14ac:dyDescent="0.2">
      <c r="A258" s="459">
        <v>0</v>
      </c>
      <c r="B258" s="459">
        <v>4</v>
      </c>
      <c r="C258" s="459">
        <v>3</v>
      </c>
      <c r="D258" s="460">
        <v>14</v>
      </c>
      <c r="E258" s="460">
        <v>0</v>
      </c>
      <c r="G258" s="1740"/>
      <c r="H258" s="1741" t="s">
        <v>1238</v>
      </c>
      <c r="I258" s="1742" t="s">
        <v>6040</v>
      </c>
      <c r="J258" s="1743" t="s">
        <v>3475</v>
      </c>
      <c r="K258" s="1744"/>
      <c r="L258" s="1745"/>
      <c r="M258" s="1745"/>
      <c r="N258" s="1746">
        <v>69386.243868639503</v>
      </c>
      <c r="O258" s="1747">
        <v>4.1425439348142099</v>
      </c>
      <c r="P258" s="1720"/>
    </row>
    <row r="259" spans="1:16" ht="13.5" hidden="1" customHeight="1" outlineLevel="3" x14ac:dyDescent="0.2">
      <c r="A259" s="459">
        <v>0</v>
      </c>
      <c r="B259" s="459">
        <v>4</v>
      </c>
      <c r="C259" s="459">
        <v>3</v>
      </c>
      <c r="D259" s="460">
        <v>14</v>
      </c>
      <c r="E259" s="460">
        <v>1</v>
      </c>
      <c r="G259" s="1748" t="s">
        <v>42</v>
      </c>
      <c r="H259" s="1749" t="s">
        <v>1239</v>
      </c>
      <c r="I259" s="1750" t="s">
        <v>6041</v>
      </c>
      <c r="J259" s="1751" t="s">
        <v>5369</v>
      </c>
      <c r="K259" s="1752" t="s">
        <v>1106</v>
      </c>
      <c r="L259" s="1753">
        <v>45.466553287981888</v>
      </c>
      <c r="M259" s="1753">
        <v>8.9649650000000012</v>
      </c>
      <c r="N259" s="1754">
        <v>407.60605889739298</v>
      </c>
      <c r="O259" s="1755" t="s">
        <v>1308</v>
      </c>
      <c r="P259" s="1721" t="s">
        <v>9611</v>
      </c>
    </row>
    <row r="260" spans="1:16" ht="13.5" hidden="1" customHeight="1" outlineLevel="3" x14ac:dyDescent="0.2">
      <c r="A260" s="459">
        <v>0</v>
      </c>
      <c r="B260" s="459">
        <v>4</v>
      </c>
      <c r="C260" s="459">
        <v>3</v>
      </c>
      <c r="D260" s="460">
        <v>14</v>
      </c>
      <c r="E260" s="460">
        <v>2</v>
      </c>
      <c r="G260" s="1748" t="s">
        <v>42</v>
      </c>
      <c r="H260" s="1749" t="s">
        <v>1239</v>
      </c>
      <c r="I260" s="1750" t="s">
        <v>6042</v>
      </c>
      <c r="J260" s="1751" t="s">
        <v>5370</v>
      </c>
      <c r="K260" s="1752" t="s">
        <v>1106</v>
      </c>
      <c r="L260" s="1753">
        <v>509.94501133786838</v>
      </c>
      <c r="M260" s="1753">
        <v>8.9649650000000012</v>
      </c>
      <c r="N260" s="1754">
        <v>4571.6391785685901</v>
      </c>
      <c r="O260" s="1755" t="s">
        <v>1308</v>
      </c>
      <c r="P260" s="1721" t="s">
        <v>9611</v>
      </c>
    </row>
    <row r="261" spans="1:16" ht="13.5" hidden="1" customHeight="1" outlineLevel="3" x14ac:dyDescent="0.2">
      <c r="A261" s="459">
        <v>0</v>
      </c>
      <c r="B261" s="459">
        <v>4</v>
      </c>
      <c r="C261" s="459">
        <v>3</v>
      </c>
      <c r="D261" s="460">
        <v>14</v>
      </c>
      <c r="E261" s="460">
        <v>3</v>
      </c>
      <c r="G261" s="1748" t="s">
        <v>42</v>
      </c>
      <c r="H261" s="1749" t="s">
        <v>1239</v>
      </c>
      <c r="I261" s="1750" t="s">
        <v>6043</v>
      </c>
      <c r="J261" s="1751" t="s">
        <v>5371</v>
      </c>
      <c r="K261" s="1752" t="s">
        <v>1106</v>
      </c>
      <c r="L261" s="1753">
        <v>563.58900226757362</v>
      </c>
      <c r="M261" s="1753">
        <v>8.9649650000000012</v>
      </c>
      <c r="N261" s="1754">
        <v>5052.5556797137197</v>
      </c>
      <c r="O261" s="1755" t="s">
        <v>1308</v>
      </c>
      <c r="P261" s="1721" t="s">
        <v>9611</v>
      </c>
    </row>
    <row r="262" spans="1:16" ht="13.5" hidden="1" customHeight="1" outlineLevel="3" x14ac:dyDescent="0.2">
      <c r="A262" s="459">
        <v>0</v>
      </c>
      <c r="B262" s="459">
        <v>4</v>
      </c>
      <c r="C262" s="459">
        <v>3</v>
      </c>
      <c r="D262" s="460">
        <v>14</v>
      </c>
      <c r="E262" s="460">
        <v>4</v>
      </c>
      <c r="G262" s="1748" t="s">
        <v>42</v>
      </c>
      <c r="H262" s="1749" t="s">
        <v>1239</v>
      </c>
      <c r="I262" s="1750" t="s">
        <v>6044</v>
      </c>
      <c r="J262" s="1751" t="s">
        <v>5372</v>
      </c>
      <c r="K262" s="1752" t="s">
        <v>1106</v>
      </c>
      <c r="L262" s="1753">
        <v>640.78401360544194</v>
      </c>
      <c r="M262" s="1753">
        <v>8.9649650000000012</v>
      </c>
      <c r="N262" s="1754">
        <v>5744.6062545323102</v>
      </c>
      <c r="O262" s="1755" t="s">
        <v>1308</v>
      </c>
      <c r="P262" s="1721" t="s">
        <v>9611</v>
      </c>
    </row>
    <row r="263" spans="1:16" ht="13.5" hidden="1" customHeight="1" outlineLevel="3" x14ac:dyDescent="0.2">
      <c r="A263" s="459">
        <v>0</v>
      </c>
      <c r="B263" s="459">
        <v>4</v>
      </c>
      <c r="C263" s="459">
        <v>3</v>
      </c>
      <c r="D263" s="460">
        <v>14</v>
      </c>
      <c r="E263" s="460">
        <v>5</v>
      </c>
      <c r="G263" s="1748" t="s">
        <v>42</v>
      </c>
      <c r="H263" s="1749" t="s">
        <v>1239</v>
      </c>
      <c r="I263" s="1750" t="s">
        <v>6045</v>
      </c>
      <c r="J263" s="1751" t="s">
        <v>5373</v>
      </c>
      <c r="K263" s="1752" t="s">
        <v>1106</v>
      </c>
      <c r="L263" s="1753">
        <v>725.175170068027</v>
      </c>
      <c r="M263" s="1753">
        <v>8.4849650000000008</v>
      </c>
      <c r="N263" s="1754">
        <v>6153.0859368962601</v>
      </c>
      <c r="O263" s="1755" t="s">
        <v>1308</v>
      </c>
      <c r="P263" s="1721" t="s">
        <v>9611</v>
      </c>
    </row>
    <row r="264" spans="1:16" ht="13.5" hidden="1" customHeight="1" outlineLevel="3" x14ac:dyDescent="0.2">
      <c r="A264" s="459">
        <v>0</v>
      </c>
      <c r="B264" s="459">
        <v>4</v>
      </c>
      <c r="C264" s="459">
        <v>3</v>
      </c>
      <c r="D264" s="460">
        <v>14</v>
      </c>
      <c r="E264" s="460">
        <v>6</v>
      </c>
      <c r="G264" s="1748" t="s">
        <v>42</v>
      </c>
      <c r="H264" s="1749" t="s">
        <v>1239</v>
      </c>
      <c r="I264" s="1750" t="s">
        <v>6046</v>
      </c>
      <c r="J264" s="1751" t="s">
        <v>5374</v>
      </c>
      <c r="K264" s="1752" t="s">
        <v>1106</v>
      </c>
      <c r="L264" s="1753">
        <v>243.0334467120181</v>
      </c>
      <c r="M264" s="1753">
        <v>8.4849650000000008</v>
      </c>
      <c r="N264" s="1754">
        <v>2062.13028918084</v>
      </c>
      <c r="O264" s="1755" t="s">
        <v>1308</v>
      </c>
      <c r="P264" s="1721" t="s">
        <v>9611</v>
      </c>
    </row>
    <row r="265" spans="1:16" ht="13.5" hidden="1" customHeight="1" outlineLevel="3" x14ac:dyDescent="0.2">
      <c r="A265" s="459">
        <v>0</v>
      </c>
      <c r="B265" s="459">
        <v>4</v>
      </c>
      <c r="C265" s="459">
        <v>3</v>
      </c>
      <c r="D265" s="460">
        <v>14</v>
      </c>
      <c r="E265" s="460">
        <v>7</v>
      </c>
      <c r="G265" s="1748" t="s">
        <v>42</v>
      </c>
      <c r="H265" s="1749" t="s">
        <v>1239</v>
      </c>
      <c r="I265" s="1750" t="s">
        <v>6047</v>
      </c>
      <c r="J265" s="1751" t="s">
        <v>5375</v>
      </c>
      <c r="K265" s="1752" t="s">
        <v>1106</v>
      </c>
      <c r="L265" s="1753">
        <v>929.28401360544194</v>
      </c>
      <c r="M265" s="1753">
        <v>8.4849650000000008</v>
      </c>
      <c r="N265" s="1754">
        <v>7884.9423305016999</v>
      </c>
      <c r="O265" s="1755" t="s">
        <v>1308</v>
      </c>
      <c r="P265" s="1721" t="s">
        <v>9611</v>
      </c>
    </row>
    <row r="266" spans="1:16" ht="13.5" hidden="1" customHeight="1" outlineLevel="3" x14ac:dyDescent="0.2">
      <c r="A266" s="459">
        <v>0</v>
      </c>
      <c r="B266" s="459">
        <v>4</v>
      </c>
      <c r="C266" s="459">
        <v>3</v>
      </c>
      <c r="D266" s="460">
        <v>14</v>
      </c>
      <c r="E266" s="460">
        <v>8</v>
      </c>
      <c r="G266" s="1748" t="s">
        <v>42</v>
      </c>
      <c r="H266" s="1749" t="s">
        <v>1239</v>
      </c>
      <c r="I266" s="1750" t="s">
        <v>6048</v>
      </c>
      <c r="J266" s="1751" t="s">
        <v>5376</v>
      </c>
      <c r="K266" s="1752" t="s">
        <v>1106</v>
      </c>
      <c r="L266" s="1753">
        <v>4420.7227891156463</v>
      </c>
      <c r="M266" s="1753">
        <v>8.4849650000000008</v>
      </c>
      <c r="N266" s="1754">
        <v>37509.678140348602</v>
      </c>
      <c r="O266" s="1755" t="s">
        <v>1308</v>
      </c>
      <c r="P266" s="1721" t="s">
        <v>9611</v>
      </c>
    </row>
    <row r="267" spans="1:16" ht="13.5" hidden="1" customHeight="1" outlineLevel="2" x14ac:dyDescent="0.2">
      <c r="A267" s="459">
        <v>0</v>
      </c>
      <c r="B267" s="459">
        <v>4</v>
      </c>
      <c r="C267" s="459">
        <v>3</v>
      </c>
      <c r="D267" s="460">
        <v>15</v>
      </c>
      <c r="E267" s="460">
        <v>0</v>
      </c>
      <c r="G267" s="1740"/>
      <c r="H267" s="1741" t="s">
        <v>1238</v>
      </c>
      <c r="I267" s="1742" t="s">
        <v>6049</v>
      </c>
      <c r="J267" s="1743" t="s">
        <v>2490</v>
      </c>
      <c r="K267" s="1744"/>
      <c r="L267" s="1745"/>
      <c r="M267" s="1745"/>
      <c r="N267" s="1746">
        <v>90253.364795000001</v>
      </c>
      <c r="O267" s="1747">
        <v>5.38836674364331</v>
      </c>
      <c r="P267" s="1720"/>
    </row>
    <row r="268" spans="1:16" ht="13.5" hidden="1" customHeight="1" outlineLevel="3" x14ac:dyDescent="0.2">
      <c r="A268" s="459">
        <v>0</v>
      </c>
      <c r="B268" s="459">
        <v>4</v>
      </c>
      <c r="C268" s="459">
        <v>3</v>
      </c>
      <c r="D268" s="460">
        <v>15</v>
      </c>
      <c r="E268" s="460">
        <v>1</v>
      </c>
      <c r="G268" s="1748" t="s">
        <v>42</v>
      </c>
      <c r="H268" s="1749" t="s">
        <v>1239</v>
      </c>
      <c r="I268" s="1750" t="s">
        <v>6050</v>
      </c>
      <c r="J268" s="1751" t="s">
        <v>5369</v>
      </c>
      <c r="K268" s="1752" t="s">
        <v>1106</v>
      </c>
      <c r="L268" s="1753">
        <v>1699.3620000000001</v>
      </c>
      <c r="M268" s="1753">
        <v>8.9649650000000012</v>
      </c>
      <c r="N268" s="1754">
        <v>15234.72085233</v>
      </c>
      <c r="O268" s="1755" t="s">
        <v>1308</v>
      </c>
      <c r="P268" s="1721" t="s">
        <v>9611</v>
      </c>
    </row>
    <row r="269" spans="1:16" ht="13.5" hidden="1" customHeight="1" outlineLevel="3" x14ac:dyDescent="0.2">
      <c r="A269" s="459">
        <v>0</v>
      </c>
      <c r="B269" s="459">
        <v>4</v>
      </c>
      <c r="C269" s="459">
        <v>3</v>
      </c>
      <c r="D269" s="460">
        <v>15</v>
      </c>
      <c r="E269" s="460">
        <v>2</v>
      </c>
      <c r="G269" s="1748" t="s">
        <v>42</v>
      </c>
      <c r="H269" s="1749" t="s">
        <v>1239</v>
      </c>
      <c r="I269" s="1750" t="s">
        <v>6051</v>
      </c>
      <c r="J269" s="1751" t="s">
        <v>5370</v>
      </c>
      <c r="K269" s="1752" t="s">
        <v>1106</v>
      </c>
      <c r="L269" s="1753">
        <v>862</v>
      </c>
      <c r="M269" s="1753">
        <v>8.9649650000000012</v>
      </c>
      <c r="N269" s="1754">
        <v>7727.7998299999999</v>
      </c>
      <c r="O269" s="1755" t="s">
        <v>1308</v>
      </c>
      <c r="P269" s="1721" t="s">
        <v>9611</v>
      </c>
    </row>
    <row r="270" spans="1:16" ht="13.5" hidden="1" customHeight="1" outlineLevel="3" x14ac:dyDescent="0.2">
      <c r="A270" s="459">
        <v>0</v>
      </c>
      <c r="B270" s="459">
        <v>4</v>
      </c>
      <c r="C270" s="459">
        <v>3</v>
      </c>
      <c r="D270" s="460">
        <v>15</v>
      </c>
      <c r="E270" s="460">
        <v>3</v>
      </c>
      <c r="G270" s="1748" t="s">
        <v>42</v>
      </c>
      <c r="H270" s="1749" t="s">
        <v>1239</v>
      </c>
      <c r="I270" s="1750" t="s">
        <v>6052</v>
      </c>
      <c r="J270" s="1751" t="s">
        <v>5371</v>
      </c>
      <c r="K270" s="1752" t="s">
        <v>1106</v>
      </c>
      <c r="L270" s="1753">
        <v>14</v>
      </c>
      <c r="M270" s="1753">
        <v>8.9649650000000012</v>
      </c>
      <c r="N270" s="1754">
        <v>125.50951000000001</v>
      </c>
      <c r="O270" s="1755" t="s">
        <v>1308</v>
      </c>
      <c r="P270" s="1721" t="s">
        <v>9611</v>
      </c>
    </row>
    <row r="271" spans="1:16" ht="13.5" hidden="1" customHeight="1" outlineLevel="3" x14ac:dyDescent="0.2">
      <c r="A271" s="459">
        <v>0</v>
      </c>
      <c r="B271" s="459">
        <v>4</v>
      </c>
      <c r="C271" s="459">
        <v>3</v>
      </c>
      <c r="D271" s="460">
        <v>15</v>
      </c>
      <c r="E271" s="460">
        <v>4</v>
      </c>
      <c r="G271" s="1748" t="s">
        <v>42</v>
      </c>
      <c r="H271" s="1749" t="s">
        <v>1239</v>
      </c>
      <c r="I271" s="1750" t="s">
        <v>6053</v>
      </c>
      <c r="J271" s="1751" t="s">
        <v>5372</v>
      </c>
      <c r="K271" s="1752" t="s">
        <v>1106</v>
      </c>
      <c r="L271" s="1753">
        <v>1629.25</v>
      </c>
      <c r="M271" s="1753">
        <v>8.9649650000000012</v>
      </c>
      <c r="N271" s="1754">
        <v>14606.16922625</v>
      </c>
      <c r="O271" s="1755" t="s">
        <v>1308</v>
      </c>
      <c r="P271" s="1721" t="s">
        <v>9611</v>
      </c>
    </row>
    <row r="272" spans="1:16" ht="13.5" hidden="1" customHeight="1" outlineLevel="3" x14ac:dyDescent="0.2">
      <c r="A272" s="459">
        <v>0</v>
      </c>
      <c r="B272" s="459">
        <v>4</v>
      </c>
      <c r="C272" s="459">
        <v>3</v>
      </c>
      <c r="D272" s="460">
        <v>15</v>
      </c>
      <c r="E272" s="460">
        <v>5</v>
      </c>
      <c r="G272" s="1748" t="s">
        <v>42</v>
      </c>
      <c r="H272" s="1749" t="s">
        <v>1239</v>
      </c>
      <c r="I272" s="1750" t="s">
        <v>6054</v>
      </c>
      <c r="J272" s="1751" t="s">
        <v>5373</v>
      </c>
      <c r="K272" s="1752" t="s">
        <v>1106</v>
      </c>
      <c r="L272" s="1753">
        <v>5502.3879999999999</v>
      </c>
      <c r="M272" s="1753">
        <v>8.4849650000000008</v>
      </c>
      <c r="N272" s="1754">
        <v>46687.569596419999</v>
      </c>
      <c r="O272" s="1755" t="s">
        <v>1308</v>
      </c>
      <c r="P272" s="1721" t="s">
        <v>9611</v>
      </c>
    </row>
    <row r="273" spans="1:16" ht="13.5" hidden="1" customHeight="1" outlineLevel="3" x14ac:dyDescent="0.2">
      <c r="A273" s="459">
        <v>0</v>
      </c>
      <c r="B273" s="459">
        <v>4</v>
      </c>
      <c r="C273" s="459">
        <v>3</v>
      </c>
      <c r="D273" s="460">
        <v>15</v>
      </c>
      <c r="E273" s="460">
        <v>6</v>
      </c>
      <c r="G273" s="1748" t="s">
        <v>42</v>
      </c>
      <c r="H273" s="1749" t="s">
        <v>1239</v>
      </c>
      <c r="I273" s="1750" t="s">
        <v>6055</v>
      </c>
      <c r="J273" s="1751" t="s">
        <v>5374</v>
      </c>
      <c r="K273" s="1752" t="s">
        <v>1106</v>
      </c>
      <c r="L273" s="1753">
        <v>692</v>
      </c>
      <c r="M273" s="1753">
        <v>8.4849650000000008</v>
      </c>
      <c r="N273" s="1754">
        <v>5871.5957799999996</v>
      </c>
      <c r="O273" s="1755" t="s">
        <v>1308</v>
      </c>
      <c r="P273" s="1721" t="s">
        <v>9611</v>
      </c>
    </row>
    <row r="274" spans="1:16" ht="13.5" hidden="1" customHeight="1" outlineLevel="2" x14ac:dyDescent="0.2">
      <c r="A274" s="459">
        <v>0</v>
      </c>
      <c r="B274" s="459">
        <v>4</v>
      </c>
      <c r="C274" s="459">
        <v>3</v>
      </c>
      <c r="D274" s="460">
        <v>16</v>
      </c>
      <c r="E274" s="460">
        <v>0</v>
      </c>
      <c r="G274" s="1740"/>
      <c r="H274" s="1741" t="s">
        <v>1238</v>
      </c>
      <c r="I274" s="1742" t="s">
        <v>6056</v>
      </c>
      <c r="J274" s="1743" t="s">
        <v>2491</v>
      </c>
      <c r="K274" s="1744"/>
      <c r="L274" s="1745"/>
      <c r="M274" s="1745"/>
      <c r="N274" s="1746">
        <v>69302.888120000003</v>
      </c>
      <c r="O274" s="1747">
        <v>4.13756737416319</v>
      </c>
      <c r="P274" s="1720"/>
    </row>
    <row r="275" spans="1:16" ht="13.5" hidden="1" customHeight="1" outlineLevel="3" x14ac:dyDescent="0.2">
      <c r="A275" s="459">
        <v>0</v>
      </c>
      <c r="B275" s="459">
        <v>4</v>
      </c>
      <c r="C275" s="459">
        <v>3</v>
      </c>
      <c r="D275" s="460">
        <v>16</v>
      </c>
      <c r="E275" s="460">
        <v>1</v>
      </c>
      <c r="G275" s="1748" t="s">
        <v>42</v>
      </c>
      <c r="H275" s="1749" t="s">
        <v>1239</v>
      </c>
      <c r="I275" s="1750" t="s">
        <v>6057</v>
      </c>
      <c r="J275" s="1751" t="s">
        <v>5369</v>
      </c>
      <c r="K275" s="1752" t="s">
        <v>1106</v>
      </c>
      <c r="L275" s="1753">
        <v>1514</v>
      </c>
      <c r="M275" s="1753">
        <v>8.9649650000000012</v>
      </c>
      <c r="N275" s="1754">
        <v>13572.95701</v>
      </c>
      <c r="O275" s="1755" t="s">
        <v>1308</v>
      </c>
      <c r="P275" s="1721" t="s">
        <v>9611</v>
      </c>
    </row>
    <row r="276" spans="1:16" ht="13.5" hidden="1" customHeight="1" outlineLevel="3" x14ac:dyDescent="0.2">
      <c r="A276" s="459">
        <v>0</v>
      </c>
      <c r="B276" s="459">
        <v>4</v>
      </c>
      <c r="C276" s="459">
        <v>3</v>
      </c>
      <c r="D276" s="460">
        <v>16</v>
      </c>
      <c r="E276" s="460">
        <v>2</v>
      </c>
      <c r="G276" s="1748" t="s">
        <v>42</v>
      </c>
      <c r="H276" s="1749" t="s">
        <v>1239</v>
      </c>
      <c r="I276" s="1750" t="s">
        <v>6058</v>
      </c>
      <c r="J276" s="1751" t="s">
        <v>5370</v>
      </c>
      <c r="K276" s="1752" t="s">
        <v>1106</v>
      </c>
      <c r="L276" s="1753">
        <v>120</v>
      </c>
      <c r="M276" s="1753">
        <v>8.9649650000000012</v>
      </c>
      <c r="N276" s="1754">
        <v>1075.7958000000001</v>
      </c>
      <c r="O276" s="1755" t="s">
        <v>1308</v>
      </c>
      <c r="P276" s="1721" t="s">
        <v>9611</v>
      </c>
    </row>
    <row r="277" spans="1:16" ht="13.5" hidden="1" customHeight="1" outlineLevel="3" x14ac:dyDescent="0.2">
      <c r="A277" s="459">
        <v>0</v>
      </c>
      <c r="B277" s="459">
        <v>4</v>
      </c>
      <c r="C277" s="459">
        <v>3</v>
      </c>
      <c r="D277" s="460">
        <v>16</v>
      </c>
      <c r="E277" s="460">
        <v>3</v>
      </c>
      <c r="G277" s="1748" t="s">
        <v>42</v>
      </c>
      <c r="H277" s="1749" t="s">
        <v>1239</v>
      </c>
      <c r="I277" s="1750" t="s">
        <v>6059</v>
      </c>
      <c r="J277" s="1751" t="s">
        <v>5372</v>
      </c>
      <c r="K277" s="1752" t="s">
        <v>1106</v>
      </c>
      <c r="L277" s="1753">
        <v>5432</v>
      </c>
      <c r="M277" s="1753">
        <v>8.9649650000000012</v>
      </c>
      <c r="N277" s="1754">
        <v>48697.689879999998</v>
      </c>
      <c r="O277" s="1755" t="s">
        <v>1308</v>
      </c>
      <c r="P277" s="1721" t="s">
        <v>9611</v>
      </c>
    </row>
    <row r="278" spans="1:16" ht="13.5" hidden="1" customHeight="1" outlineLevel="3" x14ac:dyDescent="0.2">
      <c r="A278" s="459">
        <v>0</v>
      </c>
      <c r="B278" s="459">
        <v>4</v>
      </c>
      <c r="C278" s="459">
        <v>3</v>
      </c>
      <c r="D278" s="460">
        <v>16</v>
      </c>
      <c r="E278" s="460">
        <v>4</v>
      </c>
      <c r="G278" s="1748" t="s">
        <v>42</v>
      </c>
      <c r="H278" s="1749" t="s">
        <v>1239</v>
      </c>
      <c r="I278" s="1750" t="s">
        <v>6060</v>
      </c>
      <c r="J278" s="1751" t="s">
        <v>5373</v>
      </c>
      <c r="K278" s="1752" t="s">
        <v>1106</v>
      </c>
      <c r="L278" s="1753">
        <v>372</v>
      </c>
      <c r="M278" s="1753">
        <v>8.4849650000000008</v>
      </c>
      <c r="N278" s="1754">
        <v>3156.4069800000002</v>
      </c>
      <c r="O278" s="1755" t="s">
        <v>1308</v>
      </c>
      <c r="P278" s="1721" t="s">
        <v>9611</v>
      </c>
    </row>
    <row r="279" spans="1:16" ht="13.5" hidden="1" customHeight="1" outlineLevel="3" x14ac:dyDescent="0.2">
      <c r="A279" s="459">
        <v>0</v>
      </c>
      <c r="B279" s="459">
        <v>4</v>
      </c>
      <c r="C279" s="459">
        <v>3</v>
      </c>
      <c r="D279" s="460">
        <v>16</v>
      </c>
      <c r="E279" s="460">
        <v>5</v>
      </c>
      <c r="G279" s="1748" t="s">
        <v>42</v>
      </c>
      <c r="H279" s="1749" t="s">
        <v>1239</v>
      </c>
      <c r="I279" s="1750" t="s">
        <v>6061</v>
      </c>
      <c r="J279" s="1751" t="s">
        <v>5374</v>
      </c>
      <c r="K279" s="1752" t="s">
        <v>1106</v>
      </c>
      <c r="L279" s="1753">
        <v>330</v>
      </c>
      <c r="M279" s="1753">
        <v>8.4849650000000008</v>
      </c>
      <c r="N279" s="1754">
        <v>2800.03845</v>
      </c>
      <c r="O279" s="1755" t="s">
        <v>1308</v>
      </c>
      <c r="P279" s="1721" t="s">
        <v>9611</v>
      </c>
    </row>
    <row r="280" spans="1:16" ht="13.5" hidden="1" customHeight="1" outlineLevel="1" x14ac:dyDescent="0.2">
      <c r="A280" s="459">
        <v>0</v>
      </c>
      <c r="B280" s="459">
        <v>4</v>
      </c>
      <c r="C280" s="459">
        <v>4</v>
      </c>
      <c r="D280" s="460">
        <v>0</v>
      </c>
      <c r="E280" s="460">
        <v>5</v>
      </c>
      <c r="G280" s="1733"/>
      <c r="H280" s="1734" t="s">
        <v>39</v>
      </c>
      <c r="I280" s="1735" t="s">
        <v>6062</v>
      </c>
      <c r="J280" s="1736" t="s">
        <v>1380</v>
      </c>
      <c r="K280" s="1737"/>
      <c r="L280" s="1738"/>
      <c r="M280" s="1738"/>
      <c r="N280" s="1739">
        <v>4228107.6534635704</v>
      </c>
      <c r="O280" s="1722">
        <v>252.429310754395</v>
      </c>
      <c r="P280" s="1719"/>
    </row>
    <row r="281" spans="1:16" ht="13.5" hidden="1" customHeight="1" outlineLevel="2" x14ac:dyDescent="0.2">
      <c r="A281" s="459">
        <v>0</v>
      </c>
      <c r="B281" s="459">
        <v>4</v>
      </c>
      <c r="C281" s="459">
        <v>4</v>
      </c>
      <c r="D281" s="460">
        <v>1</v>
      </c>
      <c r="E281" s="460">
        <v>0</v>
      </c>
      <c r="G281" s="1740"/>
      <c r="H281" s="1741" t="s">
        <v>1238</v>
      </c>
      <c r="I281" s="1742" t="s">
        <v>6063</v>
      </c>
      <c r="J281" s="1743" t="s">
        <v>2454</v>
      </c>
      <c r="K281" s="1744"/>
      <c r="L281" s="1745"/>
      <c r="M281" s="1745"/>
      <c r="N281" s="1746">
        <v>141892.47440000001</v>
      </c>
      <c r="O281" s="1747">
        <v>8.4713593999165404</v>
      </c>
      <c r="P281" s="1720"/>
    </row>
    <row r="282" spans="1:16" ht="12.75" hidden="1" customHeight="1" outlineLevel="3" x14ac:dyDescent="0.2">
      <c r="A282" s="459">
        <v>0</v>
      </c>
      <c r="B282" s="459">
        <v>4</v>
      </c>
      <c r="C282" s="459">
        <v>4</v>
      </c>
      <c r="D282" s="460">
        <v>1</v>
      </c>
      <c r="E282" s="460">
        <v>1</v>
      </c>
      <c r="G282" s="1748" t="s">
        <v>42</v>
      </c>
      <c r="H282" s="1749" t="s">
        <v>1239</v>
      </c>
      <c r="I282" s="1750" t="s">
        <v>6064</v>
      </c>
      <c r="J282" s="1751" t="s">
        <v>304</v>
      </c>
      <c r="K282" s="1752" t="s">
        <v>1248</v>
      </c>
      <c r="L282" s="1753">
        <v>208.4</v>
      </c>
      <c r="M282" s="1753">
        <v>680.8660000000001</v>
      </c>
      <c r="N282" s="1754">
        <v>141892.47440000001</v>
      </c>
      <c r="O282" s="1761"/>
      <c r="P282" s="1721" t="s">
        <v>9611</v>
      </c>
    </row>
    <row r="283" spans="1:16" ht="13.5" hidden="1" customHeight="1" outlineLevel="2" x14ac:dyDescent="0.2">
      <c r="A283" s="459">
        <v>0</v>
      </c>
      <c r="B283" s="459">
        <v>4</v>
      </c>
      <c r="C283" s="459">
        <v>4</v>
      </c>
      <c r="D283" s="460">
        <v>2</v>
      </c>
      <c r="E283" s="460">
        <v>0</v>
      </c>
      <c r="G283" s="1740"/>
      <c r="H283" s="1741" t="s">
        <v>1238</v>
      </c>
      <c r="I283" s="1742" t="s">
        <v>6065</v>
      </c>
      <c r="J283" s="1743" t="s">
        <v>3476</v>
      </c>
      <c r="K283" s="1744"/>
      <c r="L283" s="1745"/>
      <c r="M283" s="1745"/>
      <c r="N283" s="1746">
        <v>166812.17000000001</v>
      </c>
      <c r="O283" s="1747">
        <v>9.9591317321475596</v>
      </c>
      <c r="P283" s="1720"/>
    </row>
    <row r="284" spans="1:16" ht="12.75" hidden="1" customHeight="1" outlineLevel="3" x14ac:dyDescent="0.2">
      <c r="A284" s="459">
        <v>0</v>
      </c>
      <c r="B284" s="459">
        <v>4</v>
      </c>
      <c r="C284" s="459">
        <v>4</v>
      </c>
      <c r="D284" s="460">
        <v>2</v>
      </c>
      <c r="E284" s="460">
        <v>1</v>
      </c>
      <c r="G284" s="1748" t="s">
        <v>42</v>
      </c>
      <c r="H284" s="1749" t="s">
        <v>1239</v>
      </c>
      <c r="I284" s="1750" t="s">
        <v>6066</v>
      </c>
      <c r="J284" s="1751" t="s">
        <v>304</v>
      </c>
      <c r="K284" s="1752" t="s">
        <v>1248</v>
      </c>
      <c r="L284" s="1753">
        <v>245</v>
      </c>
      <c r="M284" s="1753">
        <v>680.8660000000001</v>
      </c>
      <c r="N284" s="1754">
        <v>166812.17000000001</v>
      </c>
      <c r="O284" s="1761"/>
      <c r="P284" s="1721" t="s">
        <v>9611</v>
      </c>
    </row>
    <row r="285" spans="1:16" ht="13.5" hidden="1" customHeight="1" outlineLevel="2" x14ac:dyDescent="0.2">
      <c r="A285" s="459">
        <v>0</v>
      </c>
      <c r="B285" s="459">
        <v>4</v>
      </c>
      <c r="C285" s="459">
        <v>4</v>
      </c>
      <c r="D285" s="460">
        <v>3</v>
      </c>
      <c r="E285" s="460">
        <v>0</v>
      </c>
      <c r="G285" s="1740"/>
      <c r="H285" s="1741" t="s">
        <v>1238</v>
      </c>
      <c r="I285" s="1742" t="s">
        <v>6067</v>
      </c>
      <c r="J285" s="1743" t="s">
        <v>2492</v>
      </c>
      <c r="K285" s="1744"/>
      <c r="L285" s="1745"/>
      <c r="M285" s="1745"/>
      <c r="N285" s="1746">
        <v>191799.9522</v>
      </c>
      <c r="O285" s="1747">
        <v>11.450969016106001</v>
      </c>
      <c r="P285" s="1720"/>
    </row>
    <row r="286" spans="1:16" ht="12.75" hidden="1" customHeight="1" outlineLevel="3" x14ac:dyDescent="0.2">
      <c r="A286" s="459">
        <v>0</v>
      </c>
      <c r="B286" s="459">
        <v>4</v>
      </c>
      <c r="C286" s="459">
        <v>4</v>
      </c>
      <c r="D286" s="460">
        <v>3</v>
      </c>
      <c r="E286" s="460">
        <v>1</v>
      </c>
      <c r="G286" s="1748" t="s">
        <v>42</v>
      </c>
      <c r="H286" s="1749" t="s">
        <v>1239</v>
      </c>
      <c r="I286" s="1750" t="s">
        <v>6068</v>
      </c>
      <c r="J286" s="1751" t="s">
        <v>304</v>
      </c>
      <c r="K286" s="1752" t="s">
        <v>1248</v>
      </c>
      <c r="L286" s="1753">
        <v>281.70000000000005</v>
      </c>
      <c r="M286" s="1753">
        <v>680.8660000000001</v>
      </c>
      <c r="N286" s="1754">
        <v>191799.9522</v>
      </c>
      <c r="O286" s="1761"/>
      <c r="P286" s="1721" t="s">
        <v>9611</v>
      </c>
    </row>
    <row r="287" spans="1:16" ht="13.5" hidden="1" customHeight="1" outlineLevel="2" x14ac:dyDescent="0.2">
      <c r="A287" s="459">
        <v>0</v>
      </c>
      <c r="B287" s="459">
        <v>4</v>
      </c>
      <c r="C287" s="459">
        <v>4</v>
      </c>
      <c r="D287" s="460">
        <v>4</v>
      </c>
      <c r="E287" s="460">
        <v>0</v>
      </c>
      <c r="G287" s="1740"/>
      <c r="H287" s="1741" t="s">
        <v>1238</v>
      </c>
      <c r="I287" s="1742" t="s">
        <v>6069</v>
      </c>
      <c r="J287" s="1743" t="s">
        <v>2493</v>
      </c>
      <c r="K287" s="1744"/>
      <c r="L287" s="1745"/>
      <c r="M287" s="1745"/>
      <c r="N287" s="1746">
        <v>193297.85740000001</v>
      </c>
      <c r="O287" s="1747">
        <v>11.540397954108901</v>
      </c>
      <c r="P287" s="1720"/>
    </row>
    <row r="288" spans="1:16" ht="12.75" hidden="1" customHeight="1" outlineLevel="3" x14ac:dyDescent="0.2">
      <c r="A288" s="459">
        <v>0</v>
      </c>
      <c r="B288" s="459">
        <v>4</v>
      </c>
      <c r="C288" s="459">
        <v>4</v>
      </c>
      <c r="D288" s="460">
        <v>4</v>
      </c>
      <c r="E288" s="460">
        <v>1</v>
      </c>
      <c r="G288" s="1748" t="s">
        <v>42</v>
      </c>
      <c r="H288" s="1749" t="s">
        <v>1239</v>
      </c>
      <c r="I288" s="1750" t="s">
        <v>6070</v>
      </c>
      <c r="J288" s="1751" t="s">
        <v>304</v>
      </c>
      <c r="K288" s="1752" t="s">
        <v>1248</v>
      </c>
      <c r="L288" s="1753">
        <v>283.90000000000003</v>
      </c>
      <c r="M288" s="1753">
        <v>680.8660000000001</v>
      </c>
      <c r="N288" s="1754">
        <v>193297.85740000001</v>
      </c>
      <c r="O288" s="1761"/>
      <c r="P288" s="1721" t="s">
        <v>9611</v>
      </c>
    </row>
    <row r="289" spans="1:16" ht="13.5" hidden="1" customHeight="1" outlineLevel="2" x14ac:dyDescent="0.2">
      <c r="A289" s="459">
        <v>0</v>
      </c>
      <c r="B289" s="459">
        <v>4</v>
      </c>
      <c r="C289" s="459">
        <v>4</v>
      </c>
      <c r="D289" s="460">
        <v>5</v>
      </c>
      <c r="E289" s="460">
        <v>0</v>
      </c>
      <c r="G289" s="1740"/>
      <c r="H289" s="1741" t="s">
        <v>1238</v>
      </c>
      <c r="I289" s="1742" t="s">
        <v>6071</v>
      </c>
      <c r="J289" s="1743" t="s">
        <v>3477</v>
      </c>
      <c r="K289" s="1744"/>
      <c r="L289" s="1745"/>
      <c r="M289" s="1745"/>
      <c r="N289" s="1746">
        <v>193428.436604944</v>
      </c>
      <c r="O289" s="1747">
        <v>11.5481938811298</v>
      </c>
      <c r="P289" s="1720"/>
    </row>
    <row r="290" spans="1:16" ht="12.75" hidden="1" customHeight="1" outlineLevel="3" x14ac:dyDescent="0.2">
      <c r="A290" s="459">
        <v>0</v>
      </c>
      <c r="B290" s="459">
        <v>4</v>
      </c>
      <c r="C290" s="459">
        <v>4</v>
      </c>
      <c r="D290" s="460">
        <v>5</v>
      </c>
      <c r="E290" s="460">
        <v>1</v>
      </c>
      <c r="G290" s="1748" t="s">
        <v>42</v>
      </c>
      <c r="H290" s="1749" t="s">
        <v>1239</v>
      </c>
      <c r="I290" s="1750" t="s">
        <v>6072</v>
      </c>
      <c r="J290" s="1751" t="s">
        <v>304</v>
      </c>
      <c r="K290" s="1752" t="s">
        <v>1248</v>
      </c>
      <c r="L290" s="1753">
        <v>284.09178400000002</v>
      </c>
      <c r="M290" s="1753">
        <v>680.8660000000001</v>
      </c>
      <c r="N290" s="1754">
        <v>193428.436604944</v>
      </c>
      <c r="O290" s="1761"/>
      <c r="P290" s="1721" t="s">
        <v>9611</v>
      </c>
    </row>
    <row r="291" spans="1:16" ht="13.5" hidden="1" customHeight="1" outlineLevel="2" x14ac:dyDescent="0.2">
      <c r="A291" s="459">
        <v>0</v>
      </c>
      <c r="B291" s="459">
        <v>4</v>
      </c>
      <c r="C291" s="459">
        <v>4</v>
      </c>
      <c r="D291" s="460">
        <v>6</v>
      </c>
      <c r="E291" s="460">
        <v>0</v>
      </c>
      <c r="G291" s="1740"/>
      <c r="H291" s="1741" t="s">
        <v>1238</v>
      </c>
      <c r="I291" s="1742" t="s">
        <v>6073</v>
      </c>
      <c r="J291" s="1743" t="s">
        <v>3478</v>
      </c>
      <c r="K291" s="1744"/>
      <c r="L291" s="1745"/>
      <c r="M291" s="1745"/>
      <c r="N291" s="1746">
        <v>195471.034604944</v>
      </c>
      <c r="O291" s="1747">
        <v>11.670142432952099</v>
      </c>
      <c r="P291" s="1720"/>
    </row>
    <row r="292" spans="1:16" ht="12.75" hidden="1" customHeight="1" outlineLevel="3" x14ac:dyDescent="0.2">
      <c r="A292" s="459">
        <v>0</v>
      </c>
      <c r="B292" s="459">
        <v>4</v>
      </c>
      <c r="C292" s="459">
        <v>4</v>
      </c>
      <c r="D292" s="460">
        <v>6</v>
      </c>
      <c r="E292" s="460">
        <v>1</v>
      </c>
      <c r="G292" s="1748" t="s">
        <v>42</v>
      </c>
      <c r="H292" s="1749" t="s">
        <v>1239</v>
      </c>
      <c r="I292" s="1750" t="s">
        <v>6074</v>
      </c>
      <c r="J292" s="1751" t="s">
        <v>304</v>
      </c>
      <c r="K292" s="1752" t="s">
        <v>1248</v>
      </c>
      <c r="L292" s="1753">
        <v>287.09178400000002</v>
      </c>
      <c r="M292" s="1753">
        <v>680.8660000000001</v>
      </c>
      <c r="N292" s="1754">
        <v>195471.034604944</v>
      </c>
      <c r="O292" s="1761"/>
      <c r="P292" s="1721" t="s">
        <v>9611</v>
      </c>
    </row>
    <row r="293" spans="1:16" ht="13.5" hidden="1" customHeight="1" outlineLevel="2" x14ac:dyDescent="0.2">
      <c r="A293" s="459">
        <v>0</v>
      </c>
      <c r="B293" s="459">
        <v>4</v>
      </c>
      <c r="C293" s="459">
        <v>4</v>
      </c>
      <c r="D293" s="460">
        <v>7</v>
      </c>
      <c r="E293" s="460">
        <v>0</v>
      </c>
      <c r="G293" s="1740"/>
      <c r="H293" s="1741" t="s">
        <v>1238</v>
      </c>
      <c r="I293" s="1742" t="s">
        <v>6075</v>
      </c>
      <c r="J293" s="1743" t="s">
        <v>2494</v>
      </c>
      <c r="K293" s="1744"/>
      <c r="L293" s="1745"/>
      <c r="M293" s="1745"/>
      <c r="N293" s="1746">
        <v>204118.032804944</v>
      </c>
      <c r="O293" s="1747">
        <v>12.186391302332799</v>
      </c>
      <c r="P293" s="1720"/>
    </row>
    <row r="294" spans="1:16" ht="12.75" hidden="1" customHeight="1" outlineLevel="3" x14ac:dyDescent="0.2">
      <c r="A294" s="459">
        <v>0</v>
      </c>
      <c r="B294" s="459">
        <v>4</v>
      </c>
      <c r="C294" s="459">
        <v>4</v>
      </c>
      <c r="D294" s="460">
        <v>7</v>
      </c>
      <c r="E294" s="460">
        <v>1</v>
      </c>
      <c r="G294" s="1748" t="s">
        <v>42</v>
      </c>
      <c r="H294" s="1749" t="s">
        <v>1239</v>
      </c>
      <c r="I294" s="1750" t="s">
        <v>6076</v>
      </c>
      <c r="J294" s="1751" t="s">
        <v>304</v>
      </c>
      <c r="K294" s="1752" t="s">
        <v>1248</v>
      </c>
      <c r="L294" s="1753">
        <v>299.79178400000006</v>
      </c>
      <c r="M294" s="1753">
        <v>680.8660000000001</v>
      </c>
      <c r="N294" s="1754">
        <v>204118.032804944</v>
      </c>
      <c r="O294" s="1761"/>
      <c r="P294" s="1721" t="s">
        <v>9611</v>
      </c>
    </row>
    <row r="295" spans="1:16" ht="13.5" hidden="1" customHeight="1" outlineLevel="2" x14ac:dyDescent="0.2">
      <c r="A295" s="459">
        <v>0</v>
      </c>
      <c r="B295" s="459">
        <v>4</v>
      </c>
      <c r="C295" s="459">
        <v>4</v>
      </c>
      <c r="D295" s="460">
        <v>8</v>
      </c>
      <c r="E295" s="460">
        <v>0</v>
      </c>
      <c r="G295" s="1740"/>
      <c r="H295" s="1741" t="s">
        <v>1238</v>
      </c>
      <c r="I295" s="1742" t="s">
        <v>6077</v>
      </c>
      <c r="J295" s="1743" t="s">
        <v>3479</v>
      </c>
      <c r="K295" s="1744"/>
      <c r="L295" s="1745"/>
      <c r="M295" s="1745"/>
      <c r="N295" s="1746">
        <v>55280.725204943999</v>
      </c>
      <c r="O295" s="1747">
        <v>3.3004068262207</v>
      </c>
      <c r="P295" s="1720"/>
    </row>
    <row r="296" spans="1:16" ht="12.75" hidden="1" customHeight="1" outlineLevel="3" x14ac:dyDescent="0.2">
      <c r="A296" s="459">
        <v>0</v>
      </c>
      <c r="B296" s="459">
        <v>4</v>
      </c>
      <c r="C296" s="459">
        <v>4</v>
      </c>
      <c r="D296" s="460">
        <v>8</v>
      </c>
      <c r="E296" s="460">
        <v>1</v>
      </c>
      <c r="G296" s="1748" t="s">
        <v>42</v>
      </c>
      <c r="H296" s="1749" t="s">
        <v>1239</v>
      </c>
      <c r="I296" s="1750" t="s">
        <v>6078</v>
      </c>
      <c r="J296" s="1751" t="s">
        <v>304</v>
      </c>
      <c r="K296" s="1752" t="s">
        <v>1248</v>
      </c>
      <c r="L296" s="1753">
        <v>81.191784000000013</v>
      </c>
      <c r="M296" s="1753">
        <v>680.8660000000001</v>
      </c>
      <c r="N296" s="1754">
        <v>55280.725204943999</v>
      </c>
      <c r="O296" s="1761"/>
      <c r="P296" s="1721" t="s">
        <v>9611</v>
      </c>
    </row>
    <row r="297" spans="1:16" ht="13.5" hidden="1" customHeight="1" outlineLevel="2" x14ac:dyDescent="0.2">
      <c r="A297" s="459">
        <v>0</v>
      </c>
      <c r="B297" s="459">
        <v>4</v>
      </c>
      <c r="C297" s="459">
        <v>4</v>
      </c>
      <c r="D297" s="460">
        <v>9</v>
      </c>
      <c r="E297" s="460">
        <v>0</v>
      </c>
      <c r="G297" s="1740"/>
      <c r="H297" s="1741" t="s">
        <v>1238</v>
      </c>
      <c r="I297" s="1742" t="s">
        <v>6079</v>
      </c>
      <c r="J297" s="1743" t="s">
        <v>2495</v>
      </c>
      <c r="K297" s="1744"/>
      <c r="L297" s="1745"/>
      <c r="M297" s="1745"/>
      <c r="N297" s="1746">
        <v>148763.62700494399</v>
      </c>
      <c r="O297" s="1747">
        <v>8.8815855479507402</v>
      </c>
      <c r="P297" s="1720"/>
    </row>
    <row r="298" spans="1:16" ht="12.75" hidden="1" customHeight="1" outlineLevel="3" x14ac:dyDescent="0.2">
      <c r="A298" s="459">
        <v>0</v>
      </c>
      <c r="B298" s="459">
        <v>4</v>
      </c>
      <c r="C298" s="459">
        <v>4</v>
      </c>
      <c r="D298" s="460">
        <v>9</v>
      </c>
      <c r="E298" s="460">
        <v>1</v>
      </c>
      <c r="G298" s="1748" t="s">
        <v>42</v>
      </c>
      <c r="H298" s="1749" t="s">
        <v>1239</v>
      </c>
      <c r="I298" s="1750" t="s">
        <v>6080</v>
      </c>
      <c r="J298" s="1751" t="s">
        <v>304</v>
      </c>
      <c r="K298" s="1752" t="s">
        <v>1248</v>
      </c>
      <c r="L298" s="1753">
        <v>218.491784</v>
      </c>
      <c r="M298" s="1753">
        <v>680.8660000000001</v>
      </c>
      <c r="N298" s="1754">
        <v>148763.62700494399</v>
      </c>
      <c r="O298" s="1761"/>
      <c r="P298" s="1721" t="s">
        <v>9611</v>
      </c>
    </row>
    <row r="299" spans="1:16" ht="13.5" hidden="1" customHeight="1" outlineLevel="2" x14ac:dyDescent="0.2">
      <c r="A299" s="459">
        <v>0</v>
      </c>
      <c r="B299" s="459">
        <v>4</v>
      </c>
      <c r="C299" s="459">
        <v>4</v>
      </c>
      <c r="D299" s="460">
        <v>10</v>
      </c>
      <c r="E299" s="460">
        <v>0</v>
      </c>
      <c r="G299" s="1740"/>
      <c r="H299" s="1741" t="s">
        <v>1238</v>
      </c>
      <c r="I299" s="1742" t="s">
        <v>6081</v>
      </c>
      <c r="J299" s="1743" t="s">
        <v>2496</v>
      </c>
      <c r="K299" s="1744"/>
      <c r="L299" s="1745"/>
      <c r="M299" s="1745"/>
      <c r="N299" s="1746">
        <v>95193.090124944007</v>
      </c>
      <c r="O299" s="1747">
        <v>5.6832815288267797</v>
      </c>
      <c r="P299" s="1720"/>
    </row>
    <row r="300" spans="1:16" ht="12.75" hidden="1" customHeight="1" outlineLevel="3" x14ac:dyDescent="0.2">
      <c r="A300" s="459">
        <v>0</v>
      </c>
      <c r="B300" s="459">
        <v>4</v>
      </c>
      <c r="C300" s="459">
        <v>4</v>
      </c>
      <c r="D300" s="460">
        <v>10</v>
      </c>
      <c r="E300" s="460">
        <v>1</v>
      </c>
      <c r="G300" s="1748" t="s">
        <v>42</v>
      </c>
      <c r="H300" s="1749" t="s">
        <v>1239</v>
      </c>
      <c r="I300" s="1750" t="s">
        <v>6082</v>
      </c>
      <c r="J300" s="1751" t="s">
        <v>304</v>
      </c>
      <c r="K300" s="1752" t="s">
        <v>1248</v>
      </c>
      <c r="L300" s="1753">
        <v>139.81178399999999</v>
      </c>
      <c r="M300" s="1753">
        <v>680.8660000000001</v>
      </c>
      <c r="N300" s="1754">
        <v>95193.090124944007</v>
      </c>
      <c r="O300" s="1761"/>
      <c r="P300" s="1721" t="s">
        <v>9611</v>
      </c>
    </row>
    <row r="301" spans="1:16" ht="13.5" hidden="1" customHeight="1" outlineLevel="2" x14ac:dyDescent="0.2">
      <c r="A301" s="459">
        <v>0</v>
      </c>
      <c r="B301" s="459">
        <v>4</v>
      </c>
      <c r="C301" s="459">
        <v>4</v>
      </c>
      <c r="D301" s="460">
        <v>11</v>
      </c>
      <c r="E301" s="460">
        <v>0</v>
      </c>
      <c r="G301" s="1740"/>
      <c r="H301" s="1741" t="s">
        <v>1238</v>
      </c>
      <c r="I301" s="1742" t="s">
        <v>6083</v>
      </c>
      <c r="J301" s="1743" t="s">
        <v>2497</v>
      </c>
      <c r="K301" s="1744"/>
      <c r="L301" s="1745"/>
      <c r="M301" s="1745"/>
      <c r="N301" s="1746">
        <v>626754.87041608803</v>
      </c>
      <c r="O301" s="1747">
        <v>37.418938427807099</v>
      </c>
      <c r="P301" s="1720"/>
    </row>
    <row r="302" spans="1:16" ht="12.75" hidden="1" customHeight="1" outlineLevel="3" x14ac:dyDescent="0.2">
      <c r="A302" s="459">
        <v>0</v>
      </c>
      <c r="B302" s="459">
        <v>4</v>
      </c>
      <c r="C302" s="459">
        <v>4</v>
      </c>
      <c r="D302" s="460">
        <v>11</v>
      </c>
      <c r="E302" s="460">
        <v>1</v>
      </c>
      <c r="G302" s="1748" t="s">
        <v>42</v>
      </c>
      <c r="H302" s="1749" t="s">
        <v>1239</v>
      </c>
      <c r="I302" s="1750" t="s">
        <v>6084</v>
      </c>
      <c r="J302" s="1751" t="s">
        <v>3480</v>
      </c>
      <c r="K302" s="1752" t="s">
        <v>1248</v>
      </c>
      <c r="L302" s="1753">
        <v>1010.2317839999999</v>
      </c>
      <c r="M302" s="1753">
        <v>620.40700000000004</v>
      </c>
      <c r="N302" s="1754">
        <v>626754.87041608803</v>
      </c>
      <c r="O302" s="1761"/>
      <c r="P302" s="1721" t="s">
        <v>9611</v>
      </c>
    </row>
    <row r="303" spans="1:16" ht="13.5" hidden="1" customHeight="1" outlineLevel="2" x14ac:dyDescent="0.2">
      <c r="A303" s="459">
        <v>0</v>
      </c>
      <c r="B303" s="459">
        <v>4</v>
      </c>
      <c r="C303" s="459">
        <v>4</v>
      </c>
      <c r="D303" s="460">
        <v>12</v>
      </c>
      <c r="E303" s="460">
        <v>0</v>
      </c>
      <c r="G303" s="1740"/>
      <c r="H303" s="1741" t="s">
        <v>1238</v>
      </c>
      <c r="I303" s="1742" t="s">
        <v>6085</v>
      </c>
      <c r="J303" s="1743" t="s">
        <v>2498</v>
      </c>
      <c r="K303" s="1744"/>
      <c r="L303" s="1745"/>
      <c r="M303" s="1745"/>
      <c r="N303" s="1746">
        <v>1732746.6518939401</v>
      </c>
      <c r="O303" s="1747">
        <v>103.449599418612</v>
      </c>
      <c r="P303" s="1720"/>
    </row>
    <row r="304" spans="1:16" ht="12.75" hidden="1" customHeight="1" outlineLevel="3" x14ac:dyDescent="0.2">
      <c r="A304" s="459">
        <v>0</v>
      </c>
      <c r="B304" s="459">
        <v>4</v>
      </c>
      <c r="C304" s="459">
        <v>4</v>
      </c>
      <c r="D304" s="460">
        <v>12</v>
      </c>
      <c r="E304" s="460">
        <v>1</v>
      </c>
      <c r="G304" s="1748" t="s">
        <v>42</v>
      </c>
      <c r="H304" s="1749" t="s">
        <v>1239</v>
      </c>
      <c r="I304" s="1750" t="s">
        <v>6086</v>
      </c>
      <c r="J304" s="1751" t="s">
        <v>3480</v>
      </c>
      <c r="K304" s="1752" t="s">
        <v>1248</v>
      </c>
      <c r="L304" s="1753">
        <v>2792.9192480000002</v>
      </c>
      <c r="M304" s="1753">
        <v>620.40700000000004</v>
      </c>
      <c r="N304" s="1754">
        <v>1732746.6518939401</v>
      </c>
      <c r="O304" s="1761"/>
      <c r="P304" s="1721" t="s">
        <v>9611</v>
      </c>
    </row>
    <row r="305" spans="1:16" ht="13.5" hidden="1" customHeight="1" outlineLevel="2" x14ac:dyDescent="0.2">
      <c r="A305" s="459">
        <v>0</v>
      </c>
      <c r="B305" s="459">
        <v>4</v>
      </c>
      <c r="C305" s="459">
        <v>4</v>
      </c>
      <c r="D305" s="460">
        <v>13</v>
      </c>
      <c r="E305" s="460">
        <v>0</v>
      </c>
      <c r="G305" s="1740"/>
      <c r="H305" s="1741" t="s">
        <v>1238</v>
      </c>
      <c r="I305" s="1742" t="s">
        <v>6087</v>
      </c>
      <c r="J305" s="1743" t="s">
        <v>3481</v>
      </c>
      <c r="K305" s="1744"/>
      <c r="L305" s="1745"/>
      <c r="M305" s="1745"/>
      <c r="N305" s="1746">
        <v>77910.599709903996</v>
      </c>
      <c r="O305" s="1747">
        <v>4.6514707280742797</v>
      </c>
      <c r="P305" s="1720"/>
    </row>
    <row r="306" spans="1:16" ht="12.75" hidden="1" customHeight="1" outlineLevel="3" x14ac:dyDescent="0.2">
      <c r="A306" s="459">
        <v>0</v>
      </c>
      <c r="B306" s="459">
        <v>4</v>
      </c>
      <c r="C306" s="459">
        <v>4</v>
      </c>
      <c r="D306" s="460">
        <v>13</v>
      </c>
      <c r="E306" s="460">
        <v>1</v>
      </c>
      <c r="G306" s="1748" t="s">
        <v>42</v>
      </c>
      <c r="H306" s="1749" t="s">
        <v>1239</v>
      </c>
      <c r="I306" s="1750" t="s">
        <v>6088</v>
      </c>
      <c r="J306" s="1751" t="s">
        <v>302</v>
      </c>
      <c r="K306" s="1752" t="s">
        <v>1248</v>
      </c>
      <c r="L306" s="1753">
        <v>123.411784</v>
      </c>
      <c r="M306" s="1753">
        <v>631.30600000000004</v>
      </c>
      <c r="N306" s="1754">
        <v>77910.599709903996</v>
      </c>
      <c r="O306" s="1761"/>
      <c r="P306" s="1721" t="s">
        <v>9611</v>
      </c>
    </row>
    <row r="307" spans="1:16" ht="13.5" hidden="1" customHeight="1" outlineLevel="2" x14ac:dyDescent="0.2">
      <c r="A307" s="459">
        <v>0</v>
      </c>
      <c r="B307" s="459">
        <v>4</v>
      </c>
      <c r="C307" s="459">
        <v>4</v>
      </c>
      <c r="D307" s="460">
        <v>14</v>
      </c>
      <c r="E307" s="460">
        <v>0</v>
      </c>
      <c r="G307" s="1740"/>
      <c r="H307" s="1741" t="s">
        <v>1238</v>
      </c>
      <c r="I307" s="1742" t="s">
        <v>6089</v>
      </c>
      <c r="J307" s="1743" t="s">
        <v>3482</v>
      </c>
      <c r="K307" s="1744"/>
      <c r="L307" s="1745"/>
      <c r="M307" s="1745"/>
      <c r="N307" s="1746">
        <v>72127.836749904003</v>
      </c>
      <c r="O307" s="1747">
        <v>4.3062243465037797</v>
      </c>
      <c r="P307" s="1720"/>
    </row>
    <row r="308" spans="1:16" ht="12.75" hidden="1" customHeight="1" outlineLevel="3" x14ac:dyDescent="0.2">
      <c r="A308" s="459">
        <v>0</v>
      </c>
      <c r="B308" s="459">
        <v>4</v>
      </c>
      <c r="C308" s="459">
        <v>4</v>
      </c>
      <c r="D308" s="460">
        <v>14</v>
      </c>
      <c r="E308" s="460">
        <v>1</v>
      </c>
      <c r="G308" s="1748" t="s">
        <v>42</v>
      </c>
      <c r="H308" s="1749" t="s">
        <v>1239</v>
      </c>
      <c r="I308" s="1750" t="s">
        <v>6090</v>
      </c>
      <c r="J308" s="1751" t="s">
        <v>302</v>
      </c>
      <c r="K308" s="1752" t="s">
        <v>1248</v>
      </c>
      <c r="L308" s="1753">
        <v>114.251784</v>
      </c>
      <c r="M308" s="1753">
        <v>631.30600000000004</v>
      </c>
      <c r="N308" s="1754">
        <v>72127.836749904003</v>
      </c>
      <c r="O308" s="1761"/>
      <c r="P308" s="1721" t="s">
        <v>9611</v>
      </c>
    </row>
    <row r="309" spans="1:16" ht="13.5" hidden="1" customHeight="1" outlineLevel="2" x14ac:dyDescent="0.2">
      <c r="A309" s="459">
        <v>0</v>
      </c>
      <c r="B309" s="459">
        <v>4</v>
      </c>
      <c r="C309" s="459">
        <v>4</v>
      </c>
      <c r="D309" s="460">
        <v>15</v>
      </c>
      <c r="E309" s="460">
        <v>0</v>
      </c>
      <c r="G309" s="1740"/>
      <c r="H309" s="1741" t="s">
        <v>1238</v>
      </c>
      <c r="I309" s="1742" t="s">
        <v>6091</v>
      </c>
      <c r="J309" s="1743" t="s">
        <v>2499</v>
      </c>
      <c r="K309" s="1744"/>
      <c r="L309" s="1745"/>
      <c r="M309" s="1745"/>
      <c r="N309" s="1746">
        <v>85340.529944075999</v>
      </c>
      <c r="O309" s="1747">
        <v>5.0950573918218103</v>
      </c>
      <c r="P309" s="1720"/>
    </row>
    <row r="310" spans="1:16" ht="12.75" hidden="1" customHeight="1" outlineLevel="3" x14ac:dyDescent="0.2">
      <c r="A310" s="459">
        <v>0</v>
      </c>
      <c r="B310" s="459">
        <v>4</v>
      </c>
      <c r="C310" s="459">
        <v>4</v>
      </c>
      <c r="D310" s="460">
        <v>15</v>
      </c>
      <c r="E310" s="460">
        <v>1</v>
      </c>
      <c r="G310" s="1748" t="s">
        <v>42</v>
      </c>
      <c r="H310" s="1749" t="s">
        <v>1239</v>
      </c>
      <c r="I310" s="1750" t="s">
        <v>6092</v>
      </c>
      <c r="J310" s="1751" t="s">
        <v>1767</v>
      </c>
      <c r="K310" s="1752" t="s">
        <v>1248</v>
      </c>
      <c r="L310" s="1753">
        <v>125.921784</v>
      </c>
      <c r="M310" s="1753">
        <v>677.72649999999999</v>
      </c>
      <c r="N310" s="1754">
        <v>85340.529944075999</v>
      </c>
      <c r="O310" s="1761"/>
      <c r="P310" s="1721" t="s">
        <v>9611</v>
      </c>
    </row>
    <row r="311" spans="1:16" ht="13.5" hidden="1" customHeight="1" outlineLevel="2" x14ac:dyDescent="0.2">
      <c r="A311" s="459">
        <v>0</v>
      </c>
      <c r="B311" s="459">
        <v>4</v>
      </c>
      <c r="C311" s="459">
        <v>4</v>
      </c>
      <c r="D311" s="460">
        <v>16</v>
      </c>
      <c r="E311" s="460">
        <v>0</v>
      </c>
      <c r="G311" s="1740"/>
      <c r="H311" s="1741" t="s">
        <v>1238</v>
      </c>
      <c r="I311" s="1742" t="s">
        <v>6093</v>
      </c>
      <c r="J311" s="1743" t="s">
        <v>2500</v>
      </c>
      <c r="K311" s="1744"/>
      <c r="L311" s="1745"/>
      <c r="M311" s="1745"/>
      <c r="N311" s="1746">
        <v>47169.7644</v>
      </c>
      <c r="O311" s="1747">
        <v>2.8161608198848098</v>
      </c>
      <c r="P311" s="1720"/>
    </row>
    <row r="312" spans="1:16" ht="12.75" hidden="1" customHeight="1" outlineLevel="3" x14ac:dyDescent="0.2">
      <c r="A312" s="459">
        <v>0</v>
      </c>
      <c r="B312" s="459">
        <v>4</v>
      </c>
      <c r="C312" s="459">
        <v>4</v>
      </c>
      <c r="D312" s="460">
        <v>16</v>
      </c>
      <c r="E312" s="460">
        <v>1</v>
      </c>
      <c r="G312" s="1748" t="s">
        <v>42</v>
      </c>
      <c r="H312" s="1749" t="s">
        <v>1239</v>
      </c>
      <c r="I312" s="1750" t="s">
        <v>6094</v>
      </c>
      <c r="J312" s="1751" t="s">
        <v>1767</v>
      </c>
      <c r="K312" s="1752" t="s">
        <v>1248</v>
      </c>
      <c r="L312" s="1753">
        <v>69.599999999999994</v>
      </c>
      <c r="M312" s="1753">
        <v>677.72649999999999</v>
      </c>
      <c r="N312" s="1754">
        <v>47169.7644</v>
      </c>
      <c r="O312" s="1765"/>
      <c r="P312" s="1721" t="s">
        <v>9611</v>
      </c>
    </row>
    <row r="313" spans="1:16" ht="13.5" hidden="1" customHeight="1" outlineLevel="1" x14ac:dyDescent="0.2">
      <c r="A313" s="459">
        <v>0</v>
      </c>
      <c r="B313" s="459">
        <v>4</v>
      </c>
      <c r="C313" s="459">
        <v>5</v>
      </c>
      <c r="D313" s="460">
        <v>0</v>
      </c>
      <c r="E313" s="460">
        <v>1</v>
      </c>
      <c r="G313" s="1733"/>
      <c r="H313" s="1734" t="s">
        <v>39</v>
      </c>
      <c r="I313" s="1735" t="s">
        <v>6095</v>
      </c>
      <c r="J313" s="1736" t="s">
        <v>2326</v>
      </c>
      <c r="K313" s="1737"/>
      <c r="L313" s="1738"/>
      <c r="M313" s="1738"/>
      <c r="N313" s="1739">
        <v>303185.25295403501</v>
      </c>
      <c r="O313" s="1722">
        <v>18.100968732759199</v>
      </c>
      <c r="P313" s="1719"/>
    </row>
    <row r="314" spans="1:16" ht="12.6" hidden="1" customHeight="1" outlineLevel="2" x14ac:dyDescent="0.2">
      <c r="A314" s="459">
        <v>0</v>
      </c>
      <c r="B314" s="459">
        <v>4</v>
      </c>
      <c r="C314" s="459">
        <v>5</v>
      </c>
      <c r="D314" s="460">
        <v>1</v>
      </c>
      <c r="E314" s="460">
        <v>0</v>
      </c>
      <c r="G314" s="1740"/>
      <c r="H314" s="1741" t="s">
        <v>1238</v>
      </c>
      <c r="I314" s="1742" t="s">
        <v>6096</v>
      </c>
      <c r="J314" s="1743" t="s">
        <v>2455</v>
      </c>
      <c r="K314" s="1744"/>
      <c r="L314" s="1745"/>
      <c r="M314" s="1745"/>
      <c r="N314" s="1746">
        <v>14412.694544125099</v>
      </c>
      <c r="O314" s="1747">
        <v>0.86047632843662802</v>
      </c>
      <c r="P314" s="1720"/>
    </row>
    <row r="315" spans="1:16" ht="12.6" hidden="1" customHeight="1" outlineLevel="3" x14ac:dyDescent="0.2">
      <c r="A315" s="459">
        <v>0</v>
      </c>
      <c r="B315" s="459">
        <v>4</v>
      </c>
      <c r="C315" s="459">
        <v>5</v>
      </c>
      <c r="D315" s="460">
        <v>1</v>
      </c>
      <c r="E315" s="460">
        <v>1</v>
      </c>
      <c r="G315" s="1748" t="s">
        <v>42</v>
      </c>
      <c r="H315" s="1749" t="s">
        <v>1239</v>
      </c>
      <c r="I315" s="1750" t="s">
        <v>6097</v>
      </c>
      <c r="J315" s="1751" t="s">
        <v>330</v>
      </c>
      <c r="K315" s="1752" t="s">
        <v>642</v>
      </c>
      <c r="L315" s="1753">
        <v>784.58</v>
      </c>
      <c r="M315" s="1753">
        <v>18.36994894609235</v>
      </c>
      <c r="N315" s="1754">
        <v>14412.694544125099</v>
      </c>
      <c r="O315" s="1761" t="s">
        <v>5378</v>
      </c>
      <c r="P315" s="1721" t="s">
        <v>9611</v>
      </c>
    </row>
    <row r="316" spans="1:16" ht="12.6" hidden="1" customHeight="1" outlineLevel="2" x14ac:dyDescent="0.2">
      <c r="A316" s="459">
        <v>0</v>
      </c>
      <c r="B316" s="459">
        <v>4</v>
      </c>
      <c r="C316" s="459">
        <v>5</v>
      </c>
      <c r="D316" s="460">
        <v>2</v>
      </c>
      <c r="E316" s="460">
        <v>0</v>
      </c>
      <c r="G316" s="1740"/>
      <c r="H316" s="1741" t="s">
        <v>1238</v>
      </c>
      <c r="I316" s="1742" t="s">
        <v>6098</v>
      </c>
      <c r="J316" s="1743" t="s">
        <v>3483</v>
      </c>
      <c r="K316" s="1744"/>
      <c r="L316" s="1745"/>
      <c r="M316" s="1745"/>
      <c r="N316" s="1746">
        <v>14717.0845981619</v>
      </c>
      <c r="O316" s="1747">
        <v>0.87864922700936099</v>
      </c>
      <c r="P316" s="1720"/>
    </row>
    <row r="317" spans="1:16" ht="12.6" hidden="1" customHeight="1" outlineLevel="3" x14ac:dyDescent="0.2">
      <c r="A317" s="459">
        <v>0</v>
      </c>
      <c r="B317" s="459">
        <v>4</v>
      </c>
      <c r="C317" s="459">
        <v>5</v>
      </c>
      <c r="D317" s="460">
        <v>2</v>
      </c>
      <c r="E317" s="460">
        <v>1</v>
      </c>
      <c r="G317" s="1748" t="s">
        <v>42</v>
      </c>
      <c r="H317" s="1749" t="s">
        <v>1239</v>
      </c>
      <c r="I317" s="1750" t="s">
        <v>6099</v>
      </c>
      <c r="J317" s="1751" t="s">
        <v>330</v>
      </c>
      <c r="K317" s="1752" t="s">
        <v>642</v>
      </c>
      <c r="L317" s="1753">
        <v>801.15</v>
      </c>
      <c r="M317" s="1753">
        <v>18.369948946092357</v>
      </c>
      <c r="N317" s="1754">
        <v>14717.0845981619</v>
      </c>
      <c r="O317" s="1761" t="s">
        <v>5378</v>
      </c>
      <c r="P317" s="1721" t="s">
        <v>9611</v>
      </c>
    </row>
    <row r="318" spans="1:16" ht="12.6" hidden="1" customHeight="1" outlineLevel="2" x14ac:dyDescent="0.2">
      <c r="A318" s="459">
        <v>0</v>
      </c>
      <c r="B318" s="459">
        <v>4</v>
      </c>
      <c r="C318" s="459">
        <v>5</v>
      </c>
      <c r="D318" s="460">
        <v>3</v>
      </c>
      <c r="E318" s="460">
        <v>0</v>
      </c>
      <c r="G318" s="1740"/>
      <c r="H318" s="1741" t="s">
        <v>1238</v>
      </c>
      <c r="I318" s="1742" t="s">
        <v>6100</v>
      </c>
      <c r="J318" s="1743" t="s">
        <v>2501</v>
      </c>
      <c r="K318" s="1744"/>
      <c r="L318" s="1745"/>
      <c r="M318" s="1745"/>
      <c r="N318" s="1746">
        <v>16138.000149142201</v>
      </c>
      <c r="O318" s="1747">
        <v>0.96348167749825397</v>
      </c>
      <c r="P318" s="1720"/>
    </row>
    <row r="319" spans="1:16" ht="12.6" hidden="1" customHeight="1" outlineLevel="3" x14ac:dyDescent="0.2">
      <c r="A319" s="459">
        <v>0</v>
      </c>
      <c r="B319" s="459">
        <v>4</v>
      </c>
      <c r="C319" s="459">
        <v>5</v>
      </c>
      <c r="D319" s="460">
        <v>3</v>
      </c>
      <c r="E319" s="460">
        <v>1</v>
      </c>
      <c r="G319" s="1748" t="s">
        <v>42</v>
      </c>
      <c r="H319" s="1749" t="s">
        <v>1239</v>
      </c>
      <c r="I319" s="1750" t="s">
        <v>6101</v>
      </c>
      <c r="J319" s="1751" t="s">
        <v>330</v>
      </c>
      <c r="K319" s="1752" t="s">
        <v>642</v>
      </c>
      <c r="L319" s="1753">
        <v>878.5</v>
      </c>
      <c r="M319" s="1753">
        <v>18.369948946092403</v>
      </c>
      <c r="N319" s="1754">
        <v>16138.000149142201</v>
      </c>
      <c r="O319" s="1761" t="s">
        <v>5378</v>
      </c>
      <c r="P319" s="1721" t="s">
        <v>9611</v>
      </c>
    </row>
    <row r="320" spans="1:16" ht="12.6" hidden="1" customHeight="1" outlineLevel="2" x14ac:dyDescent="0.2">
      <c r="A320" s="459">
        <v>0</v>
      </c>
      <c r="B320" s="459">
        <v>4</v>
      </c>
      <c r="C320" s="459">
        <v>5</v>
      </c>
      <c r="D320" s="460">
        <v>4</v>
      </c>
      <c r="E320" s="460">
        <v>0</v>
      </c>
      <c r="G320" s="1740"/>
      <c r="H320" s="1741" t="s">
        <v>1238</v>
      </c>
      <c r="I320" s="1742" t="s">
        <v>6102</v>
      </c>
      <c r="J320" s="1743" t="s">
        <v>2502</v>
      </c>
      <c r="K320" s="1744"/>
      <c r="L320" s="1745"/>
      <c r="M320" s="1745"/>
      <c r="N320" s="1746">
        <v>16138.000149142201</v>
      </c>
      <c r="O320" s="1747">
        <v>0.96348167749825397</v>
      </c>
      <c r="P320" s="1720"/>
    </row>
    <row r="321" spans="1:16" ht="12.6" hidden="1" customHeight="1" outlineLevel="3" x14ac:dyDescent="0.2">
      <c r="A321" s="459">
        <v>0</v>
      </c>
      <c r="B321" s="459">
        <v>4</v>
      </c>
      <c r="C321" s="459">
        <v>5</v>
      </c>
      <c r="D321" s="460">
        <v>4</v>
      </c>
      <c r="E321" s="460">
        <v>1</v>
      </c>
      <c r="G321" s="1748" t="s">
        <v>42</v>
      </c>
      <c r="H321" s="1749" t="s">
        <v>1239</v>
      </c>
      <c r="I321" s="1750" t="s">
        <v>6103</v>
      </c>
      <c r="J321" s="1751" t="s">
        <v>330</v>
      </c>
      <c r="K321" s="1752" t="s">
        <v>642</v>
      </c>
      <c r="L321" s="1753">
        <v>878.5</v>
      </c>
      <c r="M321" s="1753">
        <v>18.369948946092403</v>
      </c>
      <c r="N321" s="1754">
        <v>16138.000149142201</v>
      </c>
      <c r="O321" s="1761" t="s">
        <v>5378</v>
      </c>
      <c r="P321" s="1721" t="s">
        <v>9611</v>
      </c>
    </row>
    <row r="322" spans="1:16" ht="12.6" hidden="1" customHeight="1" outlineLevel="2" x14ac:dyDescent="0.2">
      <c r="A322" s="459">
        <v>0</v>
      </c>
      <c r="B322" s="459">
        <v>4</v>
      </c>
      <c r="C322" s="459">
        <v>5</v>
      </c>
      <c r="D322" s="460">
        <v>5</v>
      </c>
      <c r="E322" s="460">
        <v>0</v>
      </c>
      <c r="G322" s="1740"/>
      <c r="H322" s="1741" t="s">
        <v>1238</v>
      </c>
      <c r="I322" s="1742" t="s">
        <v>6104</v>
      </c>
      <c r="J322" s="1743" t="s">
        <v>3484</v>
      </c>
      <c r="K322" s="1744"/>
      <c r="L322" s="1745"/>
      <c r="M322" s="1745"/>
      <c r="N322" s="1746">
        <v>16138.000149142201</v>
      </c>
      <c r="O322" s="1747">
        <v>0.96348167749825397</v>
      </c>
      <c r="P322" s="1720"/>
    </row>
    <row r="323" spans="1:16" ht="12.6" hidden="1" customHeight="1" outlineLevel="3" x14ac:dyDescent="0.2">
      <c r="A323" s="459">
        <v>0</v>
      </c>
      <c r="B323" s="459">
        <v>4</v>
      </c>
      <c r="C323" s="459">
        <v>5</v>
      </c>
      <c r="D323" s="460">
        <v>5</v>
      </c>
      <c r="E323" s="460">
        <v>1</v>
      </c>
      <c r="G323" s="1748" t="s">
        <v>42</v>
      </c>
      <c r="H323" s="1749" t="s">
        <v>1239</v>
      </c>
      <c r="I323" s="1750" t="s">
        <v>6105</v>
      </c>
      <c r="J323" s="1751" t="s">
        <v>330</v>
      </c>
      <c r="K323" s="1752" t="s">
        <v>642</v>
      </c>
      <c r="L323" s="1753">
        <v>878.5</v>
      </c>
      <c r="M323" s="1753">
        <v>18.369948946092403</v>
      </c>
      <c r="N323" s="1754">
        <v>16138.000149142201</v>
      </c>
      <c r="O323" s="1761" t="s">
        <v>5378</v>
      </c>
      <c r="P323" s="1721" t="s">
        <v>9611</v>
      </c>
    </row>
    <row r="324" spans="1:16" ht="12.6" hidden="1" customHeight="1" outlineLevel="2" x14ac:dyDescent="0.2">
      <c r="A324" s="459">
        <v>0</v>
      </c>
      <c r="B324" s="459">
        <v>4</v>
      </c>
      <c r="C324" s="459">
        <v>5</v>
      </c>
      <c r="D324" s="460">
        <v>6</v>
      </c>
      <c r="E324" s="460">
        <v>0</v>
      </c>
      <c r="G324" s="1740"/>
      <c r="H324" s="1741" t="s">
        <v>1238</v>
      </c>
      <c r="I324" s="1742" t="s">
        <v>6106</v>
      </c>
      <c r="J324" s="1743" t="s">
        <v>3485</v>
      </c>
      <c r="K324" s="1744"/>
      <c r="L324" s="1745"/>
      <c r="M324" s="1745"/>
      <c r="N324" s="1746">
        <v>16394.2609369401</v>
      </c>
      <c r="O324" s="1747">
        <v>0.97878113043063697</v>
      </c>
      <c r="P324" s="1720"/>
    </row>
    <row r="325" spans="1:16" ht="12.6" hidden="1" customHeight="1" outlineLevel="3" x14ac:dyDescent="0.2">
      <c r="A325" s="459">
        <v>0</v>
      </c>
      <c r="B325" s="459">
        <v>4</v>
      </c>
      <c r="C325" s="459">
        <v>5</v>
      </c>
      <c r="D325" s="460">
        <v>6</v>
      </c>
      <c r="E325" s="460">
        <v>1</v>
      </c>
      <c r="G325" s="1748" t="s">
        <v>42</v>
      </c>
      <c r="H325" s="1749" t="s">
        <v>1239</v>
      </c>
      <c r="I325" s="1750" t="s">
        <v>6107</v>
      </c>
      <c r="J325" s="1751" t="s">
        <v>330</v>
      </c>
      <c r="K325" s="1752" t="s">
        <v>642</v>
      </c>
      <c r="L325" s="1753">
        <v>892.45</v>
      </c>
      <c r="M325" s="1753">
        <v>18.369948946092361</v>
      </c>
      <c r="N325" s="1754">
        <v>16394.2609369401</v>
      </c>
      <c r="O325" s="1761" t="s">
        <v>5378</v>
      </c>
      <c r="P325" s="1721" t="s">
        <v>9611</v>
      </c>
    </row>
    <row r="326" spans="1:16" ht="12.6" hidden="1" customHeight="1" outlineLevel="2" x14ac:dyDescent="0.2">
      <c r="A326" s="459">
        <v>0</v>
      </c>
      <c r="B326" s="459">
        <v>4</v>
      </c>
      <c r="C326" s="459">
        <v>5</v>
      </c>
      <c r="D326" s="460">
        <v>7</v>
      </c>
      <c r="E326" s="460">
        <v>0</v>
      </c>
      <c r="G326" s="1740"/>
      <c r="H326" s="1741" t="s">
        <v>1238</v>
      </c>
      <c r="I326" s="1742" t="s">
        <v>6108</v>
      </c>
      <c r="J326" s="1743" t="s">
        <v>2503</v>
      </c>
      <c r="K326" s="1744"/>
      <c r="L326" s="1745"/>
      <c r="M326" s="1745"/>
      <c r="N326" s="1746">
        <v>714.59101400299403</v>
      </c>
      <c r="O326" s="1747">
        <v>4.2662990614322202E-2</v>
      </c>
      <c r="P326" s="1720"/>
    </row>
    <row r="327" spans="1:16" ht="12.6" hidden="1" customHeight="1" outlineLevel="3" x14ac:dyDescent="0.2">
      <c r="A327" s="459">
        <v>0</v>
      </c>
      <c r="B327" s="459">
        <v>4</v>
      </c>
      <c r="C327" s="459">
        <v>5</v>
      </c>
      <c r="D327" s="460">
        <v>7</v>
      </c>
      <c r="E327" s="460">
        <v>1</v>
      </c>
      <c r="G327" s="1748" t="s">
        <v>42</v>
      </c>
      <c r="H327" s="1749" t="s">
        <v>1239</v>
      </c>
      <c r="I327" s="1750" t="s">
        <v>6109</v>
      </c>
      <c r="J327" s="1751" t="s">
        <v>330</v>
      </c>
      <c r="K327" s="1752" t="s">
        <v>642</v>
      </c>
      <c r="L327" s="1753">
        <v>38.9</v>
      </c>
      <c r="M327" s="1753">
        <v>18.369948946092393</v>
      </c>
      <c r="N327" s="1754">
        <v>714.59101400299403</v>
      </c>
      <c r="O327" s="1761" t="s">
        <v>5378</v>
      </c>
      <c r="P327" s="1721" t="s">
        <v>9611</v>
      </c>
    </row>
    <row r="328" spans="1:16" ht="12.6" hidden="1" customHeight="1" outlineLevel="2" x14ac:dyDescent="0.2">
      <c r="A328" s="459">
        <v>0</v>
      </c>
      <c r="B328" s="459">
        <v>4</v>
      </c>
      <c r="C328" s="459">
        <v>5</v>
      </c>
      <c r="D328" s="460">
        <v>8</v>
      </c>
      <c r="E328" s="460">
        <v>0</v>
      </c>
      <c r="G328" s="1740"/>
      <c r="H328" s="1741" t="s">
        <v>1238</v>
      </c>
      <c r="I328" s="1742" t="s">
        <v>6110</v>
      </c>
      <c r="J328" s="1743" t="s">
        <v>3486</v>
      </c>
      <c r="K328" s="1744"/>
      <c r="L328" s="1745"/>
      <c r="M328" s="1745"/>
      <c r="N328" s="1746">
        <v>6347.36845934331</v>
      </c>
      <c r="O328" s="1747">
        <v>0.37895483668294999</v>
      </c>
      <c r="P328" s="1720"/>
    </row>
    <row r="329" spans="1:16" ht="12.6" hidden="1" customHeight="1" outlineLevel="3" x14ac:dyDescent="0.2">
      <c r="A329" s="459">
        <v>0</v>
      </c>
      <c r="B329" s="459">
        <v>4</v>
      </c>
      <c r="C329" s="459">
        <v>5</v>
      </c>
      <c r="D329" s="460">
        <v>8</v>
      </c>
      <c r="E329" s="460">
        <v>1</v>
      </c>
      <c r="G329" s="1748" t="s">
        <v>42</v>
      </c>
      <c r="H329" s="1749" t="s">
        <v>1239</v>
      </c>
      <c r="I329" s="1750" t="s">
        <v>6111</v>
      </c>
      <c r="J329" s="1751" t="s">
        <v>330</v>
      </c>
      <c r="K329" s="1752" t="s">
        <v>642</v>
      </c>
      <c r="L329" s="1753">
        <v>345.53</v>
      </c>
      <c r="M329" s="1753">
        <v>18.3699489460924</v>
      </c>
      <c r="N329" s="1754">
        <v>6347.36845934331</v>
      </c>
      <c r="O329" s="1761" t="s">
        <v>5378</v>
      </c>
      <c r="P329" s="1721" t="s">
        <v>9611</v>
      </c>
    </row>
    <row r="330" spans="1:16" ht="12.6" hidden="1" customHeight="1" outlineLevel="2" x14ac:dyDescent="0.2">
      <c r="A330" s="459">
        <v>0</v>
      </c>
      <c r="B330" s="459">
        <v>4</v>
      </c>
      <c r="C330" s="459">
        <v>5</v>
      </c>
      <c r="D330" s="460">
        <v>9</v>
      </c>
      <c r="E330" s="460">
        <v>0</v>
      </c>
      <c r="G330" s="1740"/>
      <c r="H330" s="1741" t="s">
        <v>1238</v>
      </c>
      <c r="I330" s="1742" t="s">
        <v>6112</v>
      </c>
      <c r="J330" s="1743" t="s">
        <v>2504</v>
      </c>
      <c r="K330" s="1744"/>
      <c r="L330" s="1745"/>
      <c r="M330" s="1745"/>
      <c r="N330" s="1746">
        <v>5700</v>
      </c>
      <c r="O330" s="1747">
        <v>0.34030521198328101</v>
      </c>
      <c r="P330" s="1720"/>
    </row>
    <row r="331" spans="1:16" ht="12.6" hidden="1" customHeight="1" outlineLevel="3" x14ac:dyDescent="0.2">
      <c r="A331" s="459">
        <v>0</v>
      </c>
      <c r="B331" s="459">
        <v>4</v>
      </c>
      <c r="C331" s="459">
        <v>5</v>
      </c>
      <c r="D331" s="460">
        <v>9</v>
      </c>
      <c r="E331" s="460">
        <v>1</v>
      </c>
      <c r="G331" s="1748" t="s">
        <v>42</v>
      </c>
      <c r="H331" s="1749" t="s">
        <v>1239</v>
      </c>
      <c r="I331" s="1750" t="s">
        <v>6113</v>
      </c>
      <c r="J331" s="1751" t="s">
        <v>330</v>
      </c>
      <c r="K331" s="1752" t="s">
        <v>642</v>
      </c>
      <c r="L331" s="1753">
        <v>499.27</v>
      </c>
      <c r="M331" s="1753">
        <v>11.416668335770225</v>
      </c>
      <c r="N331" s="1754">
        <v>5700</v>
      </c>
      <c r="O331" s="1761" t="s">
        <v>5379</v>
      </c>
      <c r="P331" s="1721" t="s">
        <v>9611</v>
      </c>
    </row>
    <row r="332" spans="1:16" ht="12.6" hidden="1" customHeight="1" outlineLevel="2" x14ac:dyDescent="0.2">
      <c r="A332" s="459">
        <v>0</v>
      </c>
      <c r="B332" s="459">
        <v>4</v>
      </c>
      <c r="C332" s="459">
        <v>5</v>
      </c>
      <c r="D332" s="460">
        <v>10</v>
      </c>
      <c r="E332" s="460">
        <v>0</v>
      </c>
      <c r="G332" s="1740"/>
      <c r="H332" s="1741" t="s">
        <v>1238</v>
      </c>
      <c r="I332" s="1742" t="s">
        <v>6114</v>
      </c>
      <c r="J332" s="1743" t="s">
        <v>2505</v>
      </c>
      <c r="K332" s="1744"/>
      <c r="L332" s="1745"/>
      <c r="M332" s="1745"/>
      <c r="N332" s="1746">
        <v>5700</v>
      </c>
      <c r="O332" s="1747">
        <v>0.34030521198328101</v>
      </c>
      <c r="P332" s="1720"/>
    </row>
    <row r="333" spans="1:16" ht="12.6" hidden="1" customHeight="1" outlineLevel="3" x14ac:dyDescent="0.2">
      <c r="A333" s="459">
        <v>0</v>
      </c>
      <c r="B333" s="459">
        <v>4</v>
      </c>
      <c r="C333" s="459">
        <v>5</v>
      </c>
      <c r="D333" s="460">
        <v>10</v>
      </c>
      <c r="E333" s="460">
        <v>1</v>
      </c>
      <c r="G333" s="1748" t="s">
        <v>42</v>
      </c>
      <c r="H333" s="1749" t="s">
        <v>1239</v>
      </c>
      <c r="I333" s="1750" t="s">
        <v>6115</v>
      </c>
      <c r="J333" s="1751" t="s">
        <v>330</v>
      </c>
      <c r="K333" s="1752" t="s">
        <v>642</v>
      </c>
      <c r="L333" s="1753">
        <v>345.53</v>
      </c>
      <c r="M333" s="1753">
        <v>16.496396839637658</v>
      </c>
      <c r="N333" s="1754">
        <v>5700</v>
      </c>
      <c r="O333" s="1761" t="s">
        <v>5379</v>
      </c>
      <c r="P333" s="1721" t="s">
        <v>9611</v>
      </c>
    </row>
    <row r="334" spans="1:16" ht="12.6" hidden="1" customHeight="1" outlineLevel="2" x14ac:dyDescent="0.2">
      <c r="A334" s="459">
        <v>0</v>
      </c>
      <c r="B334" s="459">
        <v>4</v>
      </c>
      <c r="C334" s="459">
        <v>5</v>
      </c>
      <c r="D334" s="460">
        <v>11</v>
      </c>
      <c r="E334" s="460">
        <v>0</v>
      </c>
      <c r="G334" s="1740"/>
      <c r="H334" s="1741" t="s">
        <v>1238</v>
      </c>
      <c r="I334" s="1742" t="s">
        <v>6116</v>
      </c>
      <c r="J334" s="1743" t="s">
        <v>2506</v>
      </c>
      <c r="K334" s="1744"/>
      <c r="L334" s="1745"/>
      <c r="M334" s="1745"/>
      <c r="N334" s="1746">
        <v>45600</v>
      </c>
      <c r="O334" s="1747">
        <v>2.7224416958662498</v>
      </c>
      <c r="P334" s="1720"/>
    </row>
    <row r="335" spans="1:16" ht="12.6" hidden="1" customHeight="1" outlineLevel="3" x14ac:dyDescent="0.2">
      <c r="A335" s="459">
        <v>0</v>
      </c>
      <c r="B335" s="459">
        <v>4</v>
      </c>
      <c r="C335" s="459">
        <v>5</v>
      </c>
      <c r="D335" s="460">
        <v>11</v>
      </c>
      <c r="E335" s="460">
        <v>1</v>
      </c>
      <c r="G335" s="1748" t="s">
        <v>42</v>
      </c>
      <c r="H335" s="1749" t="s">
        <v>1239</v>
      </c>
      <c r="I335" s="1750" t="s">
        <v>6117</v>
      </c>
      <c r="J335" s="1751" t="s">
        <v>330</v>
      </c>
      <c r="K335" s="1752" t="s">
        <v>642</v>
      </c>
      <c r="L335" s="1753">
        <v>2427.2800000000002</v>
      </c>
      <c r="M335" s="1753">
        <v>18.786460564912165</v>
      </c>
      <c r="N335" s="1754">
        <v>45600</v>
      </c>
      <c r="O335" s="1761" t="s">
        <v>5379</v>
      </c>
      <c r="P335" s="1721" t="s">
        <v>9611</v>
      </c>
    </row>
    <row r="336" spans="1:16" ht="12.6" hidden="1" customHeight="1" outlineLevel="2" x14ac:dyDescent="0.2">
      <c r="A336" s="459">
        <v>0</v>
      </c>
      <c r="B336" s="459">
        <v>4</v>
      </c>
      <c r="C336" s="459">
        <v>5</v>
      </c>
      <c r="D336" s="460">
        <v>12</v>
      </c>
      <c r="E336" s="460">
        <v>0</v>
      </c>
      <c r="G336" s="1740"/>
      <c r="H336" s="1741" t="s">
        <v>1238</v>
      </c>
      <c r="I336" s="1742" t="s">
        <v>6118</v>
      </c>
      <c r="J336" s="1743" t="s">
        <v>2507</v>
      </c>
      <c r="K336" s="1744"/>
      <c r="L336" s="1745"/>
      <c r="M336" s="1745"/>
      <c r="N336" s="1746">
        <v>125400</v>
      </c>
      <c r="O336" s="1747">
        <v>7.4867146636321804</v>
      </c>
      <c r="P336" s="1720"/>
    </row>
    <row r="337" spans="1:16" ht="12.6" hidden="1" customHeight="1" outlineLevel="3" x14ac:dyDescent="0.2">
      <c r="A337" s="459">
        <v>0</v>
      </c>
      <c r="B337" s="459">
        <v>4</v>
      </c>
      <c r="C337" s="459">
        <v>5</v>
      </c>
      <c r="D337" s="460">
        <v>12</v>
      </c>
      <c r="E337" s="460">
        <v>1</v>
      </c>
      <c r="G337" s="1748" t="s">
        <v>42</v>
      </c>
      <c r="H337" s="1749" t="s">
        <v>1239</v>
      </c>
      <c r="I337" s="1750" t="s">
        <v>6119</v>
      </c>
      <c r="J337" s="1751" t="s">
        <v>330</v>
      </c>
      <c r="K337" s="1752" t="s">
        <v>642</v>
      </c>
      <c r="L337" s="1753">
        <v>6374.97</v>
      </c>
      <c r="M337" s="1753">
        <v>19.67068080320378</v>
      </c>
      <c r="N337" s="1754">
        <v>125400</v>
      </c>
      <c r="O337" s="1761" t="s">
        <v>5379</v>
      </c>
      <c r="P337" s="1721" t="s">
        <v>9611</v>
      </c>
    </row>
    <row r="338" spans="1:16" ht="12.6" hidden="1" customHeight="1" outlineLevel="2" x14ac:dyDescent="0.2">
      <c r="A338" s="459">
        <v>0</v>
      </c>
      <c r="B338" s="459">
        <v>4</v>
      </c>
      <c r="C338" s="459">
        <v>5</v>
      </c>
      <c r="D338" s="460">
        <v>13</v>
      </c>
      <c r="E338" s="460">
        <v>0</v>
      </c>
      <c r="G338" s="1740"/>
      <c r="H338" s="1741" t="s">
        <v>1238</v>
      </c>
      <c r="I338" s="1742" t="s">
        <v>6120</v>
      </c>
      <c r="J338" s="1743" t="s">
        <v>3487</v>
      </c>
      <c r="K338" s="1744"/>
      <c r="L338" s="1745"/>
      <c r="M338" s="1745"/>
      <c r="N338" s="1746">
        <v>5700</v>
      </c>
      <c r="O338" s="1747">
        <v>0.34030521198328101</v>
      </c>
      <c r="P338" s="1720"/>
    </row>
    <row r="339" spans="1:16" ht="12.6" hidden="1" customHeight="1" outlineLevel="3" x14ac:dyDescent="0.2">
      <c r="A339" s="459">
        <v>0</v>
      </c>
      <c r="B339" s="459">
        <v>4</v>
      </c>
      <c r="C339" s="459">
        <v>5</v>
      </c>
      <c r="D339" s="460">
        <v>13</v>
      </c>
      <c r="E339" s="460">
        <v>1</v>
      </c>
      <c r="G339" s="1748" t="s">
        <v>42</v>
      </c>
      <c r="H339" s="1749" t="s">
        <v>1239</v>
      </c>
      <c r="I339" s="1750" t="s">
        <v>6121</v>
      </c>
      <c r="J339" s="1751" t="s">
        <v>330</v>
      </c>
      <c r="K339" s="1752" t="s">
        <v>642</v>
      </c>
      <c r="L339" s="1753">
        <v>303.57</v>
      </c>
      <c r="M339" s="1753">
        <v>18.776558948512701</v>
      </c>
      <c r="N339" s="1754">
        <v>5700</v>
      </c>
      <c r="O339" s="1761" t="s">
        <v>5379</v>
      </c>
      <c r="P339" s="1721" t="s">
        <v>9611</v>
      </c>
    </row>
    <row r="340" spans="1:16" ht="12.6" hidden="1" customHeight="1" outlineLevel="2" x14ac:dyDescent="0.2">
      <c r="A340" s="459">
        <v>0</v>
      </c>
      <c r="B340" s="459">
        <v>4</v>
      </c>
      <c r="C340" s="459">
        <v>5</v>
      </c>
      <c r="D340" s="460">
        <v>14</v>
      </c>
      <c r="E340" s="460">
        <v>0</v>
      </c>
      <c r="G340" s="1740"/>
      <c r="H340" s="1741" t="s">
        <v>1238</v>
      </c>
      <c r="I340" s="1742" t="s">
        <v>6122</v>
      </c>
      <c r="J340" s="1743" t="s">
        <v>3488</v>
      </c>
      <c r="K340" s="1744"/>
      <c r="L340" s="1745"/>
      <c r="M340" s="1745"/>
      <c r="N340" s="1746">
        <v>5700</v>
      </c>
      <c r="O340" s="1747">
        <v>0.34030521198328101</v>
      </c>
      <c r="P340" s="1720"/>
    </row>
    <row r="341" spans="1:16" ht="12.6" hidden="1" customHeight="1" outlineLevel="3" x14ac:dyDescent="0.2">
      <c r="A341" s="459">
        <v>0</v>
      </c>
      <c r="B341" s="459">
        <v>4</v>
      </c>
      <c r="C341" s="459">
        <v>5</v>
      </c>
      <c r="D341" s="460">
        <v>14</v>
      </c>
      <c r="E341" s="460">
        <v>1</v>
      </c>
      <c r="G341" s="1748" t="s">
        <v>42</v>
      </c>
      <c r="H341" s="1749" t="s">
        <v>1239</v>
      </c>
      <c r="I341" s="1750" t="s">
        <v>6123</v>
      </c>
      <c r="J341" s="1751" t="s">
        <v>330</v>
      </c>
      <c r="K341" s="1752" t="s">
        <v>642</v>
      </c>
      <c r="L341" s="1753">
        <v>292.95999999999998</v>
      </c>
      <c r="M341" s="1753">
        <v>19.456581103222284</v>
      </c>
      <c r="N341" s="1754">
        <v>5700</v>
      </c>
      <c r="O341" s="1761" t="s">
        <v>5379</v>
      </c>
      <c r="P341" s="1721" t="s">
        <v>9611</v>
      </c>
    </row>
    <row r="342" spans="1:16" ht="12.6" hidden="1" customHeight="1" outlineLevel="2" x14ac:dyDescent="0.2">
      <c r="A342" s="459">
        <v>0</v>
      </c>
      <c r="B342" s="459">
        <v>4</v>
      </c>
      <c r="C342" s="459">
        <v>5</v>
      </c>
      <c r="D342" s="460">
        <v>15</v>
      </c>
      <c r="E342" s="460">
        <v>0</v>
      </c>
      <c r="G342" s="1740"/>
      <c r="H342" s="1741" t="s">
        <v>1238</v>
      </c>
      <c r="I342" s="1742" t="s">
        <v>6124</v>
      </c>
      <c r="J342" s="1743" t="s">
        <v>2508</v>
      </c>
      <c r="K342" s="1744"/>
      <c r="L342" s="1745"/>
      <c r="M342" s="1745"/>
      <c r="N342" s="1746">
        <v>5700</v>
      </c>
      <c r="O342" s="1747">
        <v>0.34030521198328101</v>
      </c>
      <c r="P342" s="1720"/>
    </row>
    <row r="343" spans="1:16" ht="12.6" hidden="1" customHeight="1" outlineLevel="3" x14ac:dyDescent="0.2">
      <c r="A343" s="459">
        <v>0</v>
      </c>
      <c r="B343" s="459">
        <v>4</v>
      </c>
      <c r="C343" s="459">
        <v>5</v>
      </c>
      <c r="D343" s="460">
        <v>15</v>
      </c>
      <c r="E343" s="460">
        <v>1</v>
      </c>
      <c r="G343" s="1748" t="s">
        <v>42</v>
      </c>
      <c r="H343" s="1749" t="s">
        <v>1239</v>
      </c>
      <c r="I343" s="1750" t="s">
        <v>6125</v>
      </c>
      <c r="J343" s="1751" t="s">
        <v>330</v>
      </c>
      <c r="K343" s="1752" t="s">
        <v>642</v>
      </c>
      <c r="L343" s="1753">
        <v>426.24</v>
      </c>
      <c r="M343" s="1753">
        <v>13.372747747747747</v>
      </c>
      <c r="N343" s="1754">
        <v>5700</v>
      </c>
      <c r="O343" s="1761" t="s">
        <v>5379</v>
      </c>
      <c r="P343" s="1721" t="s">
        <v>9611</v>
      </c>
    </row>
    <row r="344" spans="1:16" ht="12.6" hidden="1" customHeight="1" outlineLevel="2" x14ac:dyDescent="0.2">
      <c r="A344" s="459">
        <v>0</v>
      </c>
      <c r="B344" s="459">
        <v>4</v>
      </c>
      <c r="C344" s="459">
        <v>5</v>
      </c>
      <c r="D344" s="460">
        <v>16</v>
      </c>
      <c r="E344" s="460">
        <v>0</v>
      </c>
      <c r="G344" s="1740"/>
      <c r="H344" s="1741" t="s">
        <v>1238</v>
      </c>
      <c r="I344" s="1742" t="s">
        <v>6126</v>
      </c>
      <c r="J344" s="1743" t="s">
        <v>2509</v>
      </c>
      <c r="K344" s="1744"/>
      <c r="L344" s="1745"/>
      <c r="M344" s="1745"/>
      <c r="N344" s="1746">
        <v>2685.2529540349101</v>
      </c>
      <c r="O344" s="1747">
        <v>0.16031676767571601</v>
      </c>
      <c r="P344" s="1720"/>
    </row>
    <row r="345" spans="1:16" ht="12.6" hidden="1" customHeight="1" outlineLevel="3" x14ac:dyDescent="0.2">
      <c r="A345" s="459">
        <v>0</v>
      </c>
      <c r="B345" s="459">
        <v>4</v>
      </c>
      <c r="C345" s="459">
        <v>5</v>
      </c>
      <c r="D345" s="460">
        <v>16</v>
      </c>
      <c r="E345" s="460">
        <v>1</v>
      </c>
      <c r="G345" s="1748" t="s">
        <v>42</v>
      </c>
      <c r="H345" s="1749" t="s">
        <v>1239</v>
      </c>
      <c r="I345" s="1750" t="s">
        <v>6127</v>
      </c>
      <c r="J345" s="1751" t="s">
        <v>330</v>
      </c>
      <c r="K345" s="1752" t="s">
        <v>642</v>
      </c>
      <c r="L345" s="1753">
        <v>73.72</v>
      </c>
      <c r="M345" s="1753">
        <v>36.425026506170724</v>
      </c>
      <c r="N345" s="1754">
        <v>2685.2529540349101</v>
      </c>
      <c r="O345" s="1755"/>
      <c r="P345" s="1721" t="s">
        <v>9611</v>
      </c>
    </row>
    <row r="346" spans="1:16" ht="13.5" hidden="1" customHeight="1" outlineLevel="1" x14ac:dyDescent="0.2">
      <c r="A346" s="459">
        <v>0</v>
      </c>
      <c r="B346" s="459">
        <v>4</v>
      </c>
      <c r="C346" s="459">
        <v>6</v>
      </c>
      <c r="D346" s="460">
        <v>0</v>
      </c>
      <c r="E346" s="460">
        <v>1</v>
      </c>
      <c r="G346" s="1733"/>
      <c r="H346" s="1734" t="s">
        <v>39</v>
      </c>
      <c r="I346" s="1735" t="s">
        <v>6128</v>
      </c>
      <c r="J346" s="1736" t="s">
        <v>1441</v>
      </c>
      <c r="K346" s="1737"/>
      <c r="L346" s="1738"/>
      <c r="M346" s="1738"/>
      <c r="N346" s="1739"/>
      <c r="O346" s="1722"/>
      <c r="P346" s="1719"/>
    </row>
    <row r="347" spans="1:16" ht="13.5" hidden="1" customHeight="1" outlineLevel="2" x14ac:dyDescent="0.2">
      <c r="A347" s="459">
        <v>0</v>
      </c>
      <c r="B347" s="459">
        <v>4</v>
      </c>
      <c r="C347" s="459">
        <v>6</v>
      </c>
      <c r="D347" s="460">
        <v>1</v>
      </c>
      <c r="E347" s="460">
        <v>0</v>
      </c>
      <c r="G347" s="1740"/>
      <c r="H347" s="1741" t="s">
        <v>1238</v>
      </c>
      <c r="I347" s="1742" t="s">
        <v>6129</v>
      </c>
      <c r="J347" s="1743" t="s">
        <v>2456</v>
      </c>
      <c r="K347" s="1744"/>
      <c r="L347" s="1745"/>
      <c r="M347" s="1745"/>
      <c r="N347" s="1746"/>
      <c r="O347" s="1747"/>
      <c r="P347" s="1720"/>
    </row>
    <row r="348" spans="1:16" ht="12.75" hidden="1" customHeight="1" outlineLevel="3" x14ac:dyDescent="0.2">
      <c r="A348" s="459">
        <v>0</v>
      </c>
      <c r="B348" s="459">
        <v>4</v>
      </c>
      <c r="C348" s="459">
        <v>6</v>
      </c>
      <c r="D348" s="460">
        <v>1</v>
      </c>
      <c r="E348" s="460">
        <v>1</v>
      </c>
      <c r="G348" s="1748" t="s">
        <v>42</v>
      </c>
      <c r="H348" s="1749" t="s">
        <v>1239</v>
      </c>
      <c r="I348" s="1750" t="s">
        <v>6130</v>
      </c>
      <c r="J348" s="1751" t="s">
        <v>338</v>
      </c>
      <c r="K348" s="1752" t="s">
        <v>1130</v>
      </c>
      <c r="L348" s="1753">
        <v>1</v>
      </c>
      <c r="M348" s="1753" t="e">
        <v>#REF!</v>
      </c>
      <c r="N348" s="1754"/>
      <c r="O348" s="1761" t="s">
        <v>5381</v>
      </c>
      <c r="P348" s="1721" t="s">
        <v>9611</v>
      </c>
    </row>
    <row r="349" spans="1:16" ht="13.5" hidden="1" customHeight="1" outlineLevel="2" x14ac:dyDescent="0.2">
      <c r="A349" s="459">
        <v>0</v>
      </c>
      <c r="B349" s="459">
        <v>4</v>
      </c>
      <c r="C349" s="459">
        <v>6</v>
      </c>
      <c r="D349" s="460">
        <v>2</v>
      </c>
      <c r="E349" s="460">
        <v>0</v>
      </c>
      <c r="G349" s="1740"/>
      <c r="H349" s="1741" t="s">
        <v>1238</v>
      </c>
      <c r="I349" s="1742" t="s">
        <v>6131</v>
      </c>
      <c r="J349" s="1743" t="s">
        <v>2510</v>
      </c>
      <c r="K349" s="1744"/>
      <c r="L349" s="1745"/>
      <c r="M349" s="1745"/>
      <c r="N349" s="1746"/>
      <c r="O349" s="1747"/>
      <c r="P349" s="1720"/>
    </row>
    <row r="350" spans="1:16" ht="12.75" hidden="1" customHeight="1" outlineLevel="3" x14ac:dyDescent="0.2">
      <c r="A350" s="459">
        <v>0</v>
      </c>
      <c r="B350" s="459">
        <v>4</v>
      </c>
      <c r="C350" s="459">
        <v>6</v>
      </c>
      <c r="D350" s="460">
        <v>2</v>
      </c>
      <c r="E350" s="460">
        <v>1</v>
      </c>
      <c r="G350" s="1748" t="s">
        <v>42</v>
      </c>
      <c r="H350" s="1749" t="s">
        <v>1239</v>
      </c>
      <c r="I350" s="1750" t="s">
        <v>6132</v>
      </c>
      <c r="J350" s="1751" t="s">
        <v>338</v>
      </c>
      <c r="K350" s="1752" t="s">
        <v>1130</v>
      </c>
      <c r="L350" s="1753">
        <v>1</v>
      </c>
      <c r="M350" s="1753" t="e">
        <v>#REF!</v>
      </c>
      <c r="N350" s="1754"/>
      <c r="O350" s="1761" t="s">
        <v>5382</v>
      </c>
      <c r="P350" s="1721" t="s">
        <v>9611</v>
      </c>
    </row>
    <row r="351" spans="1:16" ht="13.5" hidden="1" customHeight="1" outlineLevel="2" x14ac:dyDescent="0.2">
      <c r="A351" s="459">
        <v>0</v>
      </c>
      <c r="B351" s="459">
        <v>4</v>
      </c>
      <c r="C351" s="459">
        <v>6</v>
      </c>
      <c r="D351" s="460">
        <v>3</v>
      </c>
      <c r="E351" s="460">
        <v>0</v>
      </c>
      <c r="G351" s="1740"/>
      <c r="H351" s="1741" t="s">
        <v>1238</v>
      </c>
      <c r="I351" s="1742" t="s">
        <v>6133</v>
      </c>
      <c r="J351" s="1743" t="s">
        <v>2511</v>
      </c>
      <c r="K351" s="1744"/>
      <c r="L351" s="1745"/>
      <c r="M351" s="1745"/>
      <c r="N351" s="1746"/>
      <c r="O351" s="1747"/>
      <c r="P351" s="1720"/>
    </row>
    <row r="352" spans="1:16" ht="12.75" hidden="1" customHeight="1" outlineLevel="3" x14ac:dyDescent="0.2">
      <c r="A352" s="459">
        <v>0</v>
      </c>
      <c r="B352" s="459">
        <v>4</v>
      </c>
      <c r="C352" s="459">
        <v>6</v>
      </c>
      <c r="D352" s="460">
        <v>3</v>
      </c>
      <c r="E352" s="460">
        <v>1</v>
      </c>
      <c r="G352" s="1748" t="s">
        <v>42</v>
      </c>
      <c r="H352" s="1749" t="s">
        <v>1239</v>
      </c>
      <c r="I352" s="1750" t="s">
        <v>6134</v>
      </c>
      <c r="J352" s="1751" t="s">
        <v>338</v>
      </c>
      <c r="K352" s="1752" t="s">
        <v>1130</v>
      </c>
      <c r="L352" s="1753">
        <v>1</v>
      </c>
      <c r="M352" s="1753" t="e">
        <v>#REF!</v>
      </c>
      <c r="N352" s="1754"/>
      <c r="O352" s="1765" t="s">
        <v>5383</v>
      </c>
      <c r="P352" s="1721" t="s">
        <v>9611</v>
      </c>
    </row>
    <row r="353" spans="1:16" ht="13.5" hidden="1" customHeight="1" outlineLevel="2" x14ac:dyDescent="0.2">
      <c r="A353" s="459">
        <v>0</v>
      </c>
      <c r="B353" s="459">
        <v>4</v>
      </c>
      <c r="C353" s="459">
        <v>6</v>
      </c>
      <c r="D353" s="460">
        <v>4</v>
      </c>
      <c r="E353" s="460">
        <v>0</v>
      </c>
      <c r="G353" s="1740"/>
      <c r="H353" s="1741" t="s">
        <v>1238</v>
      </c>
      <c r="I353" s="1742" t="s">
        <v>6135</v>
      </c>
      <c r="J353" s="1743" t="s">
        <v>3489</v>
      </c>
      <c r="K353" s="1744"/>
      <c r="L353" s="1745"/>
      <c r="M353" s="1745"/>
      <c r="N353" s="1746"/>
      <c r="O353" s="1747"/>
      <c r="P353" s="1720"/>
    </row>
    <row r="354" spans="1:16" ht="12.75" hidden="1" customHeight="1" outlineLevel="3" x14ac:dyDescent="0.2">
      <c r="A354" s="459">
        <v>0</v>
      </c>
      <c r="B354" s="459">
        <v>4</v>
      </c>
      <c r="C354" s="459">
        <v>6</v>
      </c>
      <c r="D354" s="460">
        <v>4</v>
      </c>
      <c r="E354" s="460">
        <v>1</v>
      </c>
      <c r="G354" s="1748" t="s">
        <v>42</v>
      </c>
      <c r="H354" s="1749" t="s">
        <v>1239</v>
      </c>
      <c r="I354" s="1750" t="s">
        <v>6136</v>
      </c>
      <c r="J354" s="1751" t="s">
        <v>338</v>
      </c>
      <c r="K354" s="1752" t="s">
        <v>1130</v>
      </c>
      <c r="L354" s="1753">
        <v>1</v>
      </c>
      <c r="M354" s="1753" t="e">
        <v>#REF!</v>
      </c>
      <c r="N354" s="1754"/>
      <c r="O354" s="1765" t="s">
        <v>5383</v>
      </c>
      <c r="P354" s="1721" t="s">
        <v>9611</v>
      </c>
    </row>
    <row r="355" spans="1:16" ht="13.5" hidden="1" customHeight="1" outlineLevel="2" x14ac:dyDescent="0.2">
      <c r="A355" s="459">
        <v>0</v>
      </c>
      <c r="B355" s="459">
        <v>4</v>
      </c>
      <c r="C355" s="459">
        <v>6</v>
      </c>
      <c r="D355" s="460">
        <v>5</v>
      </c>
      <c r="E355" s="460">
        <v>0</v>
      </c>
      <c r="G355" s="1740"/>
      <c r="H355" s="1741" t="s">
        <v>1238</v>
      </c>
      <c r="I355" s="1742" t="s">
        <v>6137</v>
      </c>
      <c r="J355" s="1743" t="s">
        <v>2512</v>
      </c>
      <c r="K355" s="1744"/>
      <c r="L355" s="1745"/>
      <c r="M355" s="1745"/>
      <c r="N355" s="1746"/>
      <c r="O355" s="1747"/>
      <c r="P355" s="1720"/>
    </row>
    <row r="356" spans="1:16" ht="12.75" hidden="1" customHeight="1" outlineLevel="3" x14ac:dyDescent="0.2">
      <c r="A356" s="459">
        <v>0</v>
      </c>
      <c r="B356" s="459">
        <v>4</v>
      </c>
      <c r="C356" s="459">
        <v>6</v>
      </c>
      <c r="D356" s="460">
        <v>5</v>
      </c>
      <c r="E356" s="460">
        <v>1</v>
      </c>
      <c r="G356" s="1748" t="s">
        <v>42</v>
      </c>
      <c r="H356" s="1749" t="s">
        <v>1239</v>
      </c>
      <c r="I356" s="1750" t="s">
        <v>6138</v>
      </c>
      <c r="J356" s="1751" t="s">
        <v>338</v>
      </c>
      <c r="K356" s="1752" t="s">
        <v>1130</v>
      </c>
      <c r="L356" s="1753">
        <v>1</v>
      </c>
      <c r="M356" s="1753" t="e">
        <v>#REF!</v>
      </c>
      <c r="N356" s="1754"/>
      <c r="O356" s="1765" t="s">
        <v>5383</v>
      </c>
      <c r="P356" s="1721" t="s">
        <v>9611</v>
      </c>
    </row>
    <row r="357" spans="1:16" ht="13.5" hidden="1" customHeight="1" outlineLevel="2" x14ac:dyDescent="0.2">
      <c r="A357" s="459">
        <v>0</v>
      </c>
      <c r="B357" s="459">
        <v>4</v>
      </c>
      <c r="C357" s="459">
        <v>6</v>
      </c>
      <c r="D357" s="460">
        <v>6</v>
      </c>
      <c r="E357" s="460">
        <v>0</v>
      </c>
      <c r="G357" s="1740"/>
      <c r="H357" s="1741" t="s">
        <v>1238</v>
      </c>
      <c r="I357" s="1742" t="s">
        <v>6139</v>
      </c>
      <c r="J357" s="1743" t="s">
        <v>3490</v>
      </c>
      <c r="K357" s="1744"/>
      <c r="L357" s="1745"/>
      <c r="M357" s="1745"/>
      <c r="N357" s="1746"/>
      <c r="O357" s="1747"/>
      <c r="P357" s="1720"/>
    </row>
    <row r="358" spans="1:16" ht="12.75" hidden="1" customHeight="1" outlineLevel="3" x14ac:dyDescent="0.2">
      <c r="A358" s="459">
        <v>0</v>
      </c>
      <c r="B358" s="459">
        <v>4</v>
      </c>
      <c r="C358" s="459">
        <v>6</v>
      </c>
      <c r="D358" s="460">
        <v>6</v>
      </c>
      <c r="E358" s="460">
        <v>1</v>
      </c>
      <c r="G358" s="1748" t="s">
        <v>42</v>
      </c>
      <c r="H358" s="1749" t="s">
        <v>1239</v>
      </c>
      <c r="I358" s="1750" t="s">
        <v>6140</v>
      </c>
      <c r="J358" s="1751" t="s">
        <v>338</v>
      </c>
      <c r="K358" s="1752" t="s">
        <v>1130</v>
      </c>
      <c r="L358" s="1753">
        <v>1</v>
      </c>
      <c r="M358" s="1753" t="e">
        <v>#REF!</v>
      </c>
      <c r="N358" s="1754"/>
      <c r="O358" s="1765" t="s">
        <v>5383</v>
      </c>
      <c r="P358" s="1721" t="s">
        <v>9611</v>
      </c>
    </row>
    <row r="359" spans="1:16" ht="13.5" hidden="1" customHeight="1" outlineLevel="2" x14ac:dyDescent="0.2">
      <c r="A359" s="459">
        <v>0</v>
      </c>
      <c r="B359" s="459">
        <v>4</v>
      </c>
      <c r="C359" s="459">
        <v>6</v>
      </c>
      <c r="D359" s="460">
        <v>7</v>
      </c>
      <c r="E359" s="460">
        <v>0</v>
      </c>
      <c r="G359" s="1740"/>
      <c r="H359" s="1741" t="s">
        <v>1238</v>
      </c>
      <c r="I359" s="1742" t="s">
        <v>6141</v>
      </c>
      <c r="J359" s="1743" t="s">
        <v>2513</v>
      </c>
      <c r="K359" s="1744"/>
      <c r="L359" s="1745"/>
      <c r="M359" s="1745"/>
      <c r="N359" s="1746"/>
      <c r="O359" s="1747"/>
      <c r="P359" s="1720"/>
    </row>
    <row r="360" spans="1:16" ht="12.75" hidden="1" customHeight="1" outlineLevel="3" x14ac:dyDescent="0.2">
      <c r="A360" s="459">
        <v>0</v>
      </c>
      <c r="B360" s="459">
        <v>4</v>
      </c>
      <c r="C360" s="459">
        <v>6</v>
      </c>
      <c r="D360" s="460">
        <v>7</v>
      </c>
      <c r="E360" s="460">
        <v>1</v>
      </c>
      <c r="G360" s="1748" t="s">
        <v>42</v>
      </c>
      <c r="H360" s="1749" t="s">
        <v>1239</v>
      </c>
      <c r="I360" s="1750" t="s">
        <v>6142</v>
      </c>
      <c r="J360" s="1751" t="s">
        <v>338</v>
      </c>
      <c r="K360" s="1752" t="s">
        <v>1130</v>
      </c>
      <c r="L360" s="1753">
        <v>1</v>
      </c>
      <c r="M360" s="1753" t="e">
        <v>#REF!</v>
      </c>
      <c r="N360" s="1754"/>
      <c r="O360" s="1765" t="s">
        <v>5383</v>
      </c>
      <c r="P360" s="1721" t="s">
        <v>9611</v>
      </c>
    </row>
    <row r="361" spans="1:16" ht="13.5" hidden="1" customHeight="1" outlineLevel="2" x14ac:dyDescent="0.2">
      <c r="A361" s="459">
        <v>0</v>
      </c>
      <c r="B361" s="459">
        <v>4</v>
      </c>
      <c r="C361" s="459">
        <v>6</v>
      </c>
      <c r="D361" s="460">
        <v>8</v>
      </c>
      <c r="E361" s="460">
        <v>0</v>
      </c>
      <c r="G361" s="1740"/>
      <c r="H361" s="1741" t="s">
        <v>1238</v>
      </c>
      <c r="I361" s="1742" t="s">
        <v>6143</v>
      </c>
      <c r="J361" s="1743" t="s">
        <v>2513</v>
      </c>
      <c r="K361" s="1744"/>
      <c r="L361" s="1745"/>
      <c r="M361" s="1745"/>
      <c r="N361" s="1746"/>
      <c r="O361" s="1747"/>
      <c r="P361" s="1720"/>
    </row>
    <row r="362" spans="1:16" ht="12.75" hidden="1" customHeight="1" outlineLevel="3" x14ac:dyDescent="0.2">
      <c r="A362" s="459">
        <v>0</v>
      </c>
      <c r="B362" s="459">
        <v>4</v>
      </c>
      <c r="C362" s="459">
        <v>6</v>
      </c>
      <c r="D362" s="460">
        <v>8</v>
      </c>
      <c r="E362" s="460">
        <v>1</v>
      </c>
      <c r="G362" s="1748" t="s">
        <v>42</v>
      </c>
      <c r="H362" s="1749" t="s">
        <v>1239</v>
      </c>
      <c r="I362" s="1750" t="s">
        <v>6144</v>
      </c>
      <c r="J362" s="1751" t="s">
        <v>338</v>
      </c>
      <c r="K362" s="1752" t="s">
        <v>1130</v>
      </c>
      <c r="L362" s="1753">
        <v>1</v>
      </c>
      <c r="M362" s="1753" t="e">
        <v>#REF!</v>
      </c>
      <c r="N362" s="1754"/>
      <c r="O362" s="1765" t="s">
        <v>5383</v>
      </c>
      <c r="P362" s="1721" t="s">
        <v>9611</v>
      </c>
    </row>
    <row r="363" spans="1:16" ht="13.5" hidden="1" customHeight="1" outlineLevel="2" x14ac:dyDescent="0.2">
      <c r="A363" s="459">
        <v>0</v>
      </c>
      <c r="B363" s="459">
        <v>4</v>
      </c>
      <c r="C363" s="459">
        <v>6</v>
      </c>
      <c r="D363" s="460">
        <v>9</v>
      </c>
      <c r="E363" s="460">
        <v>0</v>
      </c>
      <c r="G363" s="1740"/>
      <c r="H363" s="1741" t="s">
        <v>1238</v>
      </c>
      <c r="I363" s="1742" t="s">
        <v>6145</v>
      </c>
      <c r="J363" s="1743" t="s">
        <v>2514</v>
      </c>
      <c r="K363" s="1744"/>
      <c r="L363" s="1745"/>
      <c r="M363" s="1745"/>
      <c r="N363" s="1746"/>
      <c r="O363" s="1747"/>
      <c r="P363" s="1720"/>
    </row>
    <row r="364" spans="1:16" ht="12.75" hidden="1" customHeight="1" outlineLevel="3" x14ac:dyDescent="0.2">
      <c r="A364" s="459">
        <v>0</v>
      </c>
      <c r="B364" s="459">
        <v>4</v>
      </c>
      <c r="C364" s="459">
        <v>6</v>
      </c>
      <c r="D364" s="460">
        <v>9</v>
      </c>
      <c r="E364" s="460">
        <v>1</v>
      </c>
      <c r="G364" s="1748" t="s">
        <v>42</v>
      </c>
      <c r="H364" s="1749" t="s">
        <v>1239</v>
      </c>
      <c r="I364" s="1750" t="s">
        <v>6146</v>
      </c>
      <c r="J364" s="1751" t="s">
        <v>338</v>
      </c>
      <c r="K364" s="1752" t="s">
        <v>1130</v>
      </c>
      <c r="L364" s="1753">
        <v>1</v>
      </c>
      <c r="M364" s="1753" t="e">
        <v>#REF!</v>
      </c>
      <c r="N364" s="1754"/>
      <c r="O364" s="1765" t="s">
        <v>5383</v>
      </c>
      <c r="P364" s="1721" t="s">
        <v>9611</v>
      </c>
    </row>
    <row r="365" spans="1:16" ht="13.5" hidden="1" customHeight="1" outlineLevel="2" x14ac:dyDescent="0.2">
      <c r="A365" s="459">
        <v>0</v>
      </c>
      <c r="B365" s="459">
        <v>4</v>
      </c>
      <c r="C365" s="459">
        <v>6</v>
      </c>
      <c r="D365" s="460">
        <v>10</v>
      </c>
      <c r="E365" s="460">
        <v>0</v>
      </c>
      <c r="G365" s="1740"/>
      <c r="H365" s="1741" t="s">
        <v>1238</v>
      </c>
      <c r="I365" s="1742" t="s">
        <v>6147</v>
      </c>
      <c r="J365" s="1743" t="s">
        <v>2515</v>
      </c>
      <c r="K365" s="1744"/>
      <c r="L365" s="1745"/>
      <c r="M365" s="1745"/>
      <c r="N365" s="1746"/>
      <c r="O365" s="1747"/>
      <c r="P365" s="1720"/>
    </row>
    <row r="366" spans="1:16" ht="12.75" hidden="1" customHeight="1" outlineLevel="3" x14ac:dyDescent="0.2">
      <c r="A366" s="459">
        <v>0</v>
      </c>
      <c r="B366" s="459">
        <v>4</v>
      </c>
      <c r="C366" s="459">
        <v>6</v>
      </c>
      <c r="D366" s="460">
        <v>10</v>
      </c>
      <c r="E366" s="460">
        <v>1</v>
      </c>
      <c r="G366" s="1748" t="s">
        <v>42</v>
      </c>
      <c r="H366" s="1749" t="s">
        <v>1239</v>
      </c>
      <c r="I366" s="1750" t="s">
        <v>6148</v>
      </c>
      <c r="J366" s="1751" t="s">
        <v>338</v>
      </c>
      <c r="K366" s="1752" t="s">
        <v>1130</v>
      </c>
      <c r="L366" s="1753">
        <v>1</v>
      </c>
      <c r="M366" s="1753" t="e">
        <v>#REF!</v>
      </c>
      <c r="N366" s="1754"/>
      <c r="O366" s="1765" t="s">
        <v>5383</v>
      </c>
      <c r="P366" s="1721" t="s">
        <v>9611</v>
      </c>
    </row>
    <row r="367" spans="1:16" ht="13.5" hidden="1" customHeight="1" outlineLevel="2" x14ac:dyDescent="0.2">
      <c r="A367" s="459">
        <v>0</v>
      </c>
      <c r="B367" s="459">
        <v>4</v>
      </c>
      <c r="C367" s="459">
        <v>6</v>
      </c>
      <c r="D367" s="460">
        <v>11</v>
      </c>
      <c r="E367" s="460">
        <v>0</v>
      </c>
      <c r="G367" s="1740"/>
      <c r="H367" s="1741" t="s">
        <v>1238</v>
      </c>
      <c r="I367" s="1742" t="s">
        <v>6149</v>
      </c>
      <c r="J367" s="1743" t="s">
        <v>2516</v>
      </c>
      <c r="K367" s="1744"/>
      <c r="L367" s="1745"/>
      <c r="M367" s="1745"/>
      <c r="N367" s="1746"/>
      <c r="O367" s="1747"/>
      <c r="P367" s="1720"/>
    </row>
    <row r="368" spans="1:16" ht="12.75" hidden="1" customHeight="1" outlineLevel="3" x14ac:dyDescent="0.2">
      <c r="A368" s="459">
        <v>0</v>
      </c>
      <c r="B368" s="459">
        <v>4</v>
      </c>
      <c r="C368" s="459">
        <v>6</v>
      </c>
      <c r="D368" s="460">
        <v>11</v>
      </c>
      <c r="E368" s="460">
        <v>1</v>
      </c>
      <c r="G368" s="1748" t="s">
        <v>42</v>
      </c>
      <c r="H368" s="1749" t="s">
        <v>1239</v>
      </c>
      <c r="I368" s="1750" t="s">
        <v>6150</v>
      </c>
      <c r="J368" s="1751" t="s">
        <v>338</v>
      </c>
      <c r="K368" s="1752" t="s">
        <v>1130</v>
      </c>
      <c r="L368" s="1753">
        <v>1</v>
      </c>
      <c r="M368" s="1753" t="e">
        <v>#REF!</v>
      </c>
      <c r="N368" s="1754"/>
      <c r="O368" s="1765" t="s">
        <v>5383</v>
      </c>
      <c r="P368" s="1721" t="s">
        <v>9611</v>
      </c>
    </row>
    <row r="369" spans="1:16" ht="13.5" hidden="1" customHeight="1" outlineLevel="2" x14ac:dyDescent="0.2">
      <c r="A369" s="459">
        <v>0</v>
      </c>
      <c r="B369" s="459">
        <v>4</v>
      </c>
      <c r="C369" s="459">
        <v>6</v>
      </c>
      <c r="D369" s="460">
        <v>12</v>
      </c>
      <c r="E369" s="460">
        <v>0</v>
      </c>
      <c r="G369" s="1740"/>
      <c r="H369" s="1741" t="s">
        <v>1238</v>
      </c>
      <c r="I369" s="1742" t="s">
        <v>6151</v>
      </c>
      <c r="J369" s="1743" t="s">
        <v>2517</v>
      </c>
      <c r="K369" s="1744"/>
      <c r="L369" s="1745"/>
      <c r="M369" s="1745"/>
      <c r="N369" s="1746"/>
      <c r="O369" s="1747"/>
      <c r="P369" s="1720"/>
    </row>
    <row r="370" spans="1:16" ht="12.75" hidden="1" customHeight="1" outlineLevel="3" x14ac:dyDescent="0.2">
      <c r="A370" s="459">
        <v>0</v>
      </c>
      <c r="B370" s="459">
        <v>4</v>
      </c>
      <c r="C370" s="459">
        <v>6</v>
      </c>
      <c r="D370" s="460">
        <v>12</v>
      </c>
      <c r="E370" s="460">
        <v>1</v>
      </c>
      <c r="G370" s="1748" t="s">
        <v>42</v>
      </c>
      <c r="H370" s="1749" t="s">
        <v>1239</v>
      </c>
      <c r="I370" s="1750" t="s">
        <v>6152</v>
      </c>
      <c r="J370" s="1751" t="s">
        <v>338</v>
      </c>
      <c r="K370" s="1752" t="s">
        <v>1130</v>
      </c>
      <c r="L370" s="1753">
        <v>1</v>
      </c>
      <c r="M370" s="1753" t="e">
        <v>#REF!</v>
      </c>
      <c r="N370" s="1754"/>
      <c r="O370" s="1765" t="s">
        <v>5383</v>
      </c>
      <c r="P370" s="1721" t="s">
        <v>9611</v>
      </c>
    </row>
    <row r="371" spans="1:16" ht="13.5" hidden="1" customHeight="1" outlineLevel="2" x14ac:dyDescent="0.2">
      <c r="A371" s="459">
        <v>0</v>
      </c>
      <c r="B371" s="459">
        <v>4</v>
      </c>
      <c r="C371" s="459">
        <v>6</v>
      </c>
      <c r="D371" s="460">
        <v>13</v>
      </c>
      <c r="E371" s="460">
        <v>0</v>
      </c>
      <c r="G371" s="1740"/>
      <c r="H371" s="1741" t="s">
        <v>1238</v>
      </c>
      <c r="I371" s="1742" t="s">
        <v>6153</v>
      </c>
      <c r="J371" s="1743" t="s">
        <v>3491</v>
      </c>
      <c r="K371" s="1744"/>
      <c r="L371" s="1745"/>
      <c r="M371" s="1745"/>
      <c r="N371" s="1746"/>
      <c r="O371" s="1747"/>
      <c r="P371" s="1720"/>
    </row>
    <row r="372" spans="1:16" ht="12.75" hidden="1" customHeight="1" outlineLevel="3" x14ac:dyDescent="0.2">
      <c r="A372" s="459">
        <v>0</v>
      </c>
      <c r="B372" s="459">
        <v>4</v>
      </c>
      <c r="C372" s="459">
        <v>6</v>
      </c>
      <c r="D372" s="460">
        <v>13</v>
      </c>
      <c r="E372" s="460">
        <v>1</v>
      </c>
      <c r="G372" s="1748" t="s">
        <v>42</v>
      </c>
      <c r="H372" s="1749" t="s">
        <v>1239</v>
      </c>
      <c r="I372" s="1750" t="s">
        <v>6154</v>
      </c>
      <c r="J372" s="1751" t="s">
        <v>338</v>
      </c>
      <c r="K372" s="1752" t="s">
        <v>1130</v>
      </c>
      <c r="L372" s="1753">
        <v>1</v>
      </c>
      <c r="M372" s="1753" t="e">
        <v>#REF!</v>
      </c>
      <c r="N372" s="1754"/>
      <c r="O372" s="1765" t="s">
        <v>5383</v>
      </c>
      <c r="P372" s="1721" t="s">
        <v>9611</v>
      </c>
    </row>
    <row r="373" spans="1:16" ht="13.5" hidden="1" customHeight="1" outlineLevel="2" x14ac:dyDescent="0.2">
      <c r="A373" s="459">
        <v>0</v>
      </c>
      <c r="B373" s="459">
        <v>4</v>
      </c>
      <c r="C373" s="459">
        <v>6</v>
      </c>
      <c r="D373" s="460">
        <v>14</v>
      </c>
      <c r="E373" s="460">
        <v>0</v>
      </c>
      <c r="G373" s="1740"/>
      <c r="H373" s="1741" t="s">
        <v>1238</v>
      </c>
      <c r="I373" s="1742" t="s">
        <v>6155</v>
      </c>
      <c r="J373" s="1743" t="s">
        <v>3492</v>
      </c>
      <c r="K373" s="1744"/>
      <c r="L373" s="1745"/>
      <c r="M373" s="1745"/>
      <c r="N373" s="1746"/>
      <c r="O373" s="1747"/>
      <c r="P373" s="1720"/>
    </row>
    <row r="374" spans="1:16" ht="12.75" hidden="1" customHeight="1" outlineLevel="3" x14ac:dyDescent="0.2">
      <c r="A374" s="459">
        <v>0</v>
      </c>
      <c r="B374" s="459">
        <v>4</v>
      </c>
      <c r="C374" s="459">
        <v>6</v>
      </c>
      <c r="D374" s="460">
        <v>14</v>
      </c>
      <c r="E374" s="460">
        <v>1</v>
      </c>
      <c r="G374" s="1748" t="s">
        <v>42</v>
      </c>
      <c r="H374" s="1749" t="s">
        <v>1239</v>
      </c>
      <c r="I374" s="1750" t="s">
        <v>6156</v>
      </c>
      <c r="J374" s="1751" t="s">
        <v>338</v>
      </c>
      <c r="K374" s="1752" t="s">
        <v>1130</v>
      </c>
      <c r="L374" s="1753">
        <v>1</v>
      </c>
      <c r="M374" s="1753" t="e">
        <v>#REF!</v>
      </c>
      <c r="N374" s="1754"/>
      <c r="O374" s="1765" t="s">
        <v>5383</v>
      </c>
      <c r="P374" s="1721" t="s">
        <v>9611</v>
      </c>
    </row>
    <row r="375" spans="1:16" ht="13.5" hidden="1" customHeight="1" outlineLevel="2" x14ac:dyDescent="0.2">
      <c r="A375" s="459">
        <v>0</v>
      </c>
      <c r="B375" s="459">
        <v>4</v>
      </c>
      <c r="C375" s="459">
        <v>6</v>
      </c>
      <c r="D375" s="460">
        <v>15</v>
      </c>
      <c r="E375" s="460">
        <v>0</v>
      </c>
      <c r="G375" s="1740"/>
      <c r="H375" s="1741" t="s">
        <v>1238</v>
      </c>
      <c r="I375" s="1742" t="s">
        <v>6157</v>
      </c>
      <c r="J375" s="1743" t="s">
        <v>2518</v>
      </c>
      <c r="K375" s="1744"/>
      <c r="L375" s="1745"/>
      <c r="M375" s="1745"/>
      <c r="N375" s="1746"/>
      <c r="O375" s="1747"/>
      <c r="P375" s="1720"/>
    </row>
    <row r="376" spans="1:16" ht="12.75" hidden="1" customHeight="1" outlineLevel="3" x14ac:dyDescent="0.2">
      <c r="A376" s="459">
        <v>0</v>
      </c>
      <c r="B376" s="459">
        <v>4</v>
      </c>
      <c r="C376" s="459">
        <v>6</v>
      </c>
      <c r="D376" s="460">
        <v>15</v>
      </c>
      <c r="E376" s="460">
        <v>1</v>
      </c>
      <c r="G376" s="1748" t="s">
        <v>42</v>
      </c>
      <c r="H376" s="1749" t="s">
        <v>1239</v>
      </c>
      <c r="I376" s="1750" t="s">
        <v>6158</v>
      </c>
      <c r="J376" s="1751" t="s">
        <v>338</v>
      </c>
      <c r="K376" s="1752" t="s">
        <v>1130</v>
      </c>
      <c r="L376" s="1753">
        <v>1</v>
      </c>
      <c r="M376" s="1753" t="e">
        <v>#REF!</v>
      </c>
      <c r="N376" s="1754"/>
      <c r="O376" s="1765" t="s">
        <v>5383</v>
      </c>
      <c r="P376" s="1721" t="s">
        <v>9611</v>
      </c>
    </row>
    <row r="377" spans="1:16" ht="13.5" hidden="1" customHeight="1" outlineLevel="2" x14ac:dyDescent="0.2">
      <c r="A377" s="459">
        <v>0</v>
      </c>
      <c r="B377" s="459">
        <v>4</v>
      </c>
      <c r="C377" s="459">
        <v>6</v>
      </c>
      <c r="D377" s="460">
        <v>16</v>
      </c>
      <c r="E377" s="460">
        <v>0</v>
      </c>
      <c r="G377" s="1740"/>
      <c r="H377" s="1741" t="s">
        <v>1238</v>
      </c>
      <c r="I377" s="1742" t="s">
        <v>6159</v>
      </c>
      <c r="J377" s="1743" t="s">
        <v>2519</v>
      </c>
      <c r="K377" s="1744"/>
      <c r="L377" s="1745"/>
      <c r="M377" s="1745"/>
      <c r="N377" s="1746"/>
      <c r="O377" s="1747"/>
      <c r="P377" s="1720"/>
    </row>
    <row r="378" spans="1:16" ht="12.75" hidden="1" customHeight="1" outlineLevel="3" x14ac:dyDescent="0.2">
      <c r="A378" s="459">
        <v>0</v>
      </c>
      <c r="B378" s="459">
        <v>4</v>
      </c>
      <c r="C378" s="459">
        <v>6</v>
      </c>
      <c r="D378" s="460">
        <v>16</v>
      </c>
      <c r="E378" s="460">
        <v>1</v>
      </c>
      <c r="G378" s="1748" t="s">
        <v>42</v>
      </c>
      <c r="H378" s="1749" t="s">
        <v>1239</v>
      </c>
      <c r="I378" s="1750" t="s">
        <v>6160</v>
      </c>
      <c r="J378" s="1751" t="s">
        <v>338</v>
      </c>
      <c r="K378" s="1752" t="s">
        <v>1130</v>
      </c>
      <c r="L378" s="1753">
        <v>1</v>
      </c>
      <c r="M378" s="1753" t="e">
        <v>#REF!</v>
      </c>
      <c r="N378" s="1754"/>
      <c r="O378" s="1765" t="s">
        <v>5383</v>
      </c>
      <c r="P378" s="1721" t="s">
        <v>9611</v>
      </c>
    </row>
    <row r="379" spans="1:16" ht="13.5" customHeight="1" collapsed="1" x14ac:dyDescent="0.2">
      <c r="A379" s="459">
        <v>0</v>
      </c>
      <c r="B379" s="459">
        <v>5</v>
      </c>
      <c r="C379" s="459">
        <v>0</v>
      </c>
      <c r="D379" s="460">
        <v>16</v>
      </c>
      <c r="E379" s="460">
        <v>1</v>
      </c>
      <c r="F379" s="474"/>
      <c r="G379" s="1726"/>
      <c r="H379" s="1766" t="s">
        <v>1237</v>
      </c>
      <c r="I379" s="1767" t="s">
        <v>6161</v>
      </c>
      <c r="J379" s="1729" t="s">
        <v>340</v>
      </c>
      <c r="K379" s="1768"/>
      <c r="L379" s="1769"/>
      <c r="M379" s="1769"/>
      <c r="N379" s="1732"/>
      <c r="O379" s="1770"/>
      <c r="P379" s="1718"/>
    </row>
    <row r="380" spans="1:16" ht="13.5" hidden="1" customHeight="1" outlineLevel="1" x14ac:dyDescent="0.2">
      <c r="A380" s="459">
        <v>0</v>
      </c>
      <c r="B380" s="459">
        <v>5</v>
      </c>
      <c r="C380" s="459">
        <v>1</v>
      </c>
      <c r="D380" s="460">
        <v>0</v>
      </c>
      <c r="E380" s="460">
        <v>1</v>
      </c>
      <c r="G380" s="1733"/>
      <c r="H380" s="1771" t="s">
        <v>39</v>
      </c>
      <c r="I380" s="1772" t="s">
        <v>6162</v>
      </c>
      <c r="J380" s="1773" t="s">
        <v>2757</v>
      </c>
      <c r="K380" s="1774"/>
      <c r="L380" s="1775"/>
      <c r="M380" s="1775"/>
      <c r="N380" s="1739"/>
      <c r="O380" s="1776"/>
      <c r="P380" s="1719"/>
    </row>
    <row r="381" spans="1:16" ht="13.5" hidden="1" customHeight="1" outlineLevel="2" x14ac:dyDescent="0.2">
      <c r="A381" s="459">
        <v>0</v>
      </c>
      <c r="B381" s="459">
        <v>5</v>
      </c>
      <c r="C381" s="459">
        <v>1</v>
      </c>
      <c r="D381" s="460">
        <v>1</v>
      </c>
      <c r="E381" s="460">
        <v>0</v>
      </c>
      <c r="G381" s="1740"/>
      <c r="H381" s="1777" t="s">
        <v>1238</v>
      </c>
      <c r="I381" s="1778" t="s">
        <v>6163</v>
      </c>
      <c r="J381" s="1779" t="s">
        <v>2756</v>
      </c>
      <c r="K381" s="1780"/>
      <c r="L381" s="1781"/>
      <c r="M381" s="1781"/>
      <c r="N381" s="1746"/>
      <c r="O381" s="1782"/>
      <c r="P381" s="1720"/>
    </row>
    <row r="382" spans="1:16" ht="13.5" hidden="1" customHeight="1" outlineLevel="3" x14ac:dyDescent="0.2">
      <c r="A382" s="459">
        <v>0</v>
      </c>
      <c r="B382" s="459">
        <v>5</v>
      </c>
      <c r="C382" s="459">
        <v>1</v>
      </c>
      <c r="D382" s="460">
        <v>1</v>
      </c>
      <c r="E382" s="460">
        <v>1</v>
      </c>
      <c r="G382" s="1748" t="s">
        <v>43</v>
      </c>
      <c r="H382" s="1783" t="s">
        <v>1239</v>
      </c>
      <c r="I382" s="1784" t="s">
        <v>6164</v>
      </c>
      <c r="J382" s="1785" t="s">
        <v>2753</v>
      </c>
      <c r="K382" s="1786" t="s">
        <v>642</v>
      </c>
      <c r="L382" s="1787" t="e">
        <v>#REF!</v>
      </c>
      <c r="M382" s="1787">
        <v>22.36</v>
      </c>
      <c r="N382" s="1754"/>
      <c r="O382" s="1788"/>
      <c r="P382" s="1721" t="s">
        <v>9611</v>
      </c>
    </row>
    <row r="383" spans="1:16" ht="13.5" hidden="1" customHeight="1" outlineLevel="3" x14ac:dyDescent="0.2">
      <c r="A383" s="459">
        <v>0</v>
      </c>
      <c r="B383" s="459">
        <v>5</v>
      </c>
      <c r="C383" s="459">
        <v>1</v>
      </c>
      <c r="D383" s="460">
        <v>1</v>
      </c>
      <c r="E383" s="460">
        <v>2</v>
      </c>
      <c r="G383" s="1748" t="s">
        <v>43</v>
      </c>
      <c r="H383" s="1783" t="s">
        <v>1239</v>
      </c>
      <c r="I383" s="1784" t="s">
        <v>6165</v>
      </c>
      <c r="J383" s="1785" t="s">
        <v>2751</v>
      </c>
      <c r="K383" s="1786" t="s">
        <v>642</v>
      </c>
      <c r="L383" s="1787" t="e">
        <v>#REF!</v>
      </c>
      <c r="M383" s="1787">
        <v>35.099999999999994</v>
      </c>
      <c r="N383" s="1754"/>
      <c r="O383" s="1788"/>
      <c r="P383" s="1721" t="s">
        <v>9611</v>
      </c>
    </row>
    <row r="384" spans="1:16" ht="13.5" hidden="1" customHeight="1" outlineLevel="3" x14ac:dyDescent="0.2">
      <c r="A384" s="459">
        <v>0</v>
      </c>
      <c r="B384" s="459">
        <v>5</v>
      </c>
      <c r="C384" s="459">
        <v>1</v>
      </c>
      <c r="D384" s="460">
        <v>1</v>
      </c>
      <c r="E384" s="460">
        <v>3</v>
      </c>
      <c r="G384" s="1748" t="s">
        <v>43</v>
      </c>
      <c r="H384" s="1783" t="s">
        <v>1239</v>
      </c>
      <c r="I384" s="1784" t="s">
        <v>6166</v>
      </c>
      <c r="J384" s="1785" t="s">
        <v>1728</v>
      </c>
      <c r="K384" s="1786" t="s">
        <v>642</v>
      </c>
      <c r="L384" s="1787" t="e">
        <v>#REF!</v>
      </c>
      <c r="M384" s="1787">
        <v>127.5</v>
      </c>
      <c r="N384" s="1754"/>
      <c r="O384" s="1788"/>
      <c r="P384" s="1721" t="s">
        <v>9611</v>
      </c>
    </row>
    <row r="385" spans="1:16" ht="13.5" hidden="1" customHeight="1" outlineLevel="2" x14ac:dyDescent="0.2">
      <c r="A385" s="459">
        <v>0</v>
      </c>
      <c r="B385" s="459">
        <v>5</v>
      </c>
      <c r="C385" s="459">
        <v>1</v>
      </c>
      <c r="D385" s="460">
        <v>2</v>
      </c>
      <c r="E385" s="460">
        <v>0</v>
      </c>
      <c r="G385" s="1740"/>
      <c r="H385" s="1777" t="s">
        <v>1238</v>
      </c>
      <c r="I385" s="1778" t="s">
        <v>6167</v>
      </c>
      <c r="J385" s="1789" t="s">
        <v>1313</v>
      </c>
      <c r="K385" s="1780"/>
      <c r="L385" s="1781"/>
      <c r="M385" s="1781"/>
      <c r="N385" s="1746"/>
      <c r="O385" s="1782"/>
      <c r="P385" s="1720"/>
    </row>
    <row r="386" spans="1:16" ht="13.5" hidden="1" customHeight="1" outlineLevel="3" x14ac:dyDescent="0.2">
      <c r="A386" s="459">
        <v>0</v>
      </c>
      <c r="B386" s="459">
        <v>5</v>
      </c>
      <c r="C386" s="459">
        <v>1</v>
      </c>
      <c r="D386" s="460">
        <v>2</v>
      </c>
      <c r="E386" s="460">
        <v>1</v>
      </c>
      <c r="G386" s="1748" t="s">
        <v>43</v>
      </c>
      <c r="H386" s="1783" t="s">
        <v>1239</v>
      </c>
      <c r="I386" s="1784" t="s">
        <v>6168</v>
      </c>
      <c r="J386" s="1785" t="s">
        <v>1326</v>
      </c>
      <c r="K386" s="1786" t="s">
        <v>642</v>
      </c>
      <c r="L386" s="1787" t="e">
        <v>#REF!</v>
      </c>
      <c r="M386" s="1787">
        <v>82.960000000000008</v>
      </c>
      <c r="N386" s="1754"/>
      <c r="O386" s="1788"/>
      <c r="P386" s="1721" t="s">
        <v>9611</v>
      </c>
    </row>
    <row r="387" spans="1:16" ht="13.5" hidden="1" customHeight="1" outlineLevel="2" x14ac:dyDescent="0.2">
      <c r="A387" s="459">
        <v>0</v>
      </c>
      <c r="B387" s="459">
        <v>5</v>
      </c>
      <c r="C387" s="459">
        <v>1</v>
      </c>
      <c r="D387" s="460">
        <v>3</v>
      </c>
      <c r="E387" s="460">
        <v>0</v>
      </c>
      <c r="G387" s="1740"/>
      <c r="H387" s="1777" t="s">
        <v>1238</v>
      </c>
      <c r="I387" s="1778" t="s">
        <v>6169</v>
      </c>
      <c r="J387" s="1779" t="s">
        <v>1252</v>
      </c>
      <c r="K387" s="1780"/>
      <c r="L387" s="1781"/>
      <c r="M387" s="1781"/>
      <c r="N387" s="1746"/>
      <c r="O387" s="1782"/>
      <c r="P387" s="1720"/>
    </row>
    <row r="388" spans="1:16" ht="13.5" hidden="1" customHeight="1" outlineLevel="3" x14ac:dyDescent="0.2">
      <c r="A388" s="459">
        <v>0</v>
      </c>
      <c r="B388" s="459">
        <v>5</v>
      </c>
      <c r="C388" s="459">
        <v>1</v>
      </c>
      <c r="D388" s="460">
        <v>3</v>
      </c>
      <c r="E388" s="460">
        <v>1</v>
      </c>
      <c r="G388" s="1748" t="s">
        <v>43</v>
      </c>
      <c r="H388" s="1783" t="s">
        <v>1239</v>
      </c>
      <c r="I388" s="1784" t="s">
        <v>6170</v>
      </c>
      <c r="J388" s="1785" t="s">
        <v>1253</v>
      </c>
      <c r="K388" s="1786" t="s">
        <v>788</v>
      </c>
      <c r="L388" s="1787" t="e">
        <v>#REF!</v>
      </c>
      <c r="M388" s="1787">
        <v>14.787500000000001</v>
      </c>
      <c r="N388" s="1754"/>
      <c r="O388" s="1788"/>
      <c r="P388" s="1721" t="s">
        <v>9611</v>
      </c>
    </row>
    <row r="389" spans="1:16" ht="13.5" hidden="1" customHeight="1" outlineLevel="3" x14ac:dyDescent="0.2">
      <c r="A389" s="459">
        <v>0</v>
      </c>
      <c r="B389" s="459">
        <v>5</v>
      </c>
      <c r="C389" s="459">
        <v>1</v>
      </c>
      <c r="D389" s="460">
        <v>3</v>
      </c>
      <c r="E389" s="460">
        <v>2</v>
      </c>
      <c r="G389" s="1748" t="s">
        <v>43</v>
      </c>
      <c r="H389" s="1783" t="s">
        <v>1239</v>
      </c>
      <c r="I389" s="1784" t="s">
        <v>6171</v>
      </c>
      <c r="J389" s="1785" t="s">
        <v>393</v>
      </c>
      <c r="K389" s="1786" t="s">
        <v>534</v>
      </c>
      <c r="L389" s="1787" t="e">
        <v>#REF!</v>
      </c>
      <c r="M389" s="1787">
        <v>4.1071999999999997</v>
      </c>
      <c r="N389" s="1754"/>
      <c r="O389" s="1788"/>
      <c r="P389" s="1721" t="s">
        <v>9611</v>
      </c>
    </row>
    <row r="390" spans="1:16" ht="13.5" hidden="1" customHeight="1" outlineLevel="3" x14ac:dyDescent="0.2">
      <c r="A390" s="459">
        <v>0</v>
      </c>
      <c r="B390" s="459">
        <v>5</v>
      </c>
      <c r="C390" s="459">
        <v>1</v>
      </c>
      <c r="D390" s="460">
        <v>3</v>
      </c>
      <c r="E390" s="460">
        <v>3</v>
      </c>
      <c r="G390" s="1748" t="s">
        <v>43</v>
      </c>
      <c r="H390" s="1783" t="s">
        <v>1239</v>
      </c>
      <c r="I390" s="1784" t="s">
        <v>6172</v>
      </c>
      <c r="J390" s="1785" t="s">
        <v>397</v>
      </c>
      <c r="K390" s="1786" t="s">
        <v>788</v>
      </c>
      <c r="L390" s="1787" t="e">
        <v>#REF!</v>
      </c>
      <c r="M390" s="1787">
        <v>79.403675710539517</v>
      </c>
      <c r="N390" s="1754"/>
      <c r="O390" s="1788"/>
      <c r="P390" s="1721" t="s">
        <v>9611</v>
      </c>
    </row>
    <row r="391" spans="1:16" ht="13.5" hidden="1" customHeight="1" outlineLevel="2" x14ac:dyDescent="0.2">
      <c r="A391" s="459">
        <v>0</v>
      </c>
      <c r="B391" s="459">
        <v>5</v>
      </c>
      <c r="C391" s="459">
        <v>1</v>
      </c>
      <c r="D391" s="460">
        <v>4</v>
      </c>
      <c r="E391" s="460">
        <v>0</v>
      </c>
      <c r="G391" s="1740"/>
      <c r="H391" s="1777" t="s">
        <v>1238</v>
      </c>
      <c r="I391" s="1778" t="s">
        <v>6173</v>
      </c>
      <c r="J391" s="1779" t="s">
        <v>1330</v>
      </c>
      <c r="K391" s="1780"/>
      <c r="L391" s="1781"/>
      <c r="M391" s="1781"/>
      <c r="N391" s="1746"/>
      <c r="O391" s="1782"/>
      <c r="P391" s="1720"/>
    </row>
    <row r="392" spans="1:16" ht="13.5" hidden="1" customHeight="1" outlineLevel="3" x14ac:dyDescent="0.2">
      <c r="A392" s="459">
        <v>0</v>
      </c>
      <c r="B392" s="459">
        <v>5</v>
      </c>
      <c r="C392" s="459">
        <v>1</v>
      </c>
      <c r="D392" s="460">
        <v>4</v>
      </c>
      <c r="E392" s="460">
        <v>1</v>
      </c>
      <c r="G392" s="1748" t="s">
        <v>43</v>
      </c>
      <c r="H392" s="1783" t="s">
        <v>1239</v>
      </c>
      <c r="I392" s="1784" t="s">
        <v>6174</v>
      </c>
      <c r="J392" s="1751" t="s">
        <v>3511</v>
      </c>
      <c r="K392" s="1752" t="s">
        <v>642</v>
      </c>
      <c r="L392" s="1753" t="e">
        <v>#REF!</v>
      </c>
      <c r="M392" s="1787">
        <v>103.175377</v>
      </c>
      <c r="N392" s="1754"/>
      <c r="O392" s="1788"/>
      <c r="P392" s="1721" t="s">
        <v>9611</v>
      </c>
    </row>
    <row r="393" spans="1:16" ht="13.5" hidden="1" customHeight="1" outlineLevel="3" x14ac:dyDescent="0.2">
      <c r="A393" s="459">
        <v>0</v>
      </c>
      <c r="B393" s="459">
        <v>5</v>
      </c>
      <c r="C393" s="459">
        <v>1</v>
      </c>
      <c r="D393" s="460">
        <v>4</v>
      </c>
      <c r="E393" s="460">
        <v>2</v>
      </c>
      <c r="G393" s="1748" t="s">
        <v>43</v>
      </c>
      <c r="H393" s="1783" t="s">
        <v>1239</v>
      </c>
      <c r="I393" s="1784" t="s">
        <v>6175</v>
      </c>
      <c r="J393" s="1751" t="s">
        <v>3512</v>
      </c>
      <c r="K393" s="1752" t="s">
        <v>642</v>
      </c>
      <c r="L393" s="1753" t="e">
        <v>#REF!</v>
      </c>
      <c r="M393" s="1787">
        <v>95.867556999999991</v>
      </c>
      <c r="N393" s="1754"/>
      <c r="O393" s="1788"/>
      <c r="P393" s="1721" t="s">
        <v>9611</v>
      </c>
    </row>
    <row r="394" spans="1:16" ht="13.5" hidden="1" customHeight="1" outlineLevel="3" x14ac:dyDescent="0.2">
      <c r="A394" s="459">
        <v>0</v>
      </c>
      <c r="B394" s="459">
        <v>5</v>
      </c>
      <c r="C394" s="459">
        <v>1</v>
      </c>
      <c r="D394" s="460">
        <v>4</v>
      </c>
      <c r="E394" s="460">
        <v>3</v>
      </c>
      <c r="G394" s="1748" t="s">
        <v>43</v>
      </c>
      <c r="H394" s="1783" t="s">
        <v>1239</v>
      </c>
      <c r="I394" s="1784" t="s">
        <v>6176</v>
      </c>
      <c r="J394" s="1751" t="s">
        <v>3516</v>
      </c>
      <c r="K394" s="1752" t="s">
        <v>642</v>
      </c>
      <c r="L394" s="1753" t="e">
        <v>#REF!</v>
      </c>
      <c r="M394" s="1787">
        <v>165.70309900000001</v>
      </c>
      <c r="N394" s="1754"/>
      <c r="O394" s="1788"/>
      <c r="P394" s="1721" t="s">
        <v>9611</v>
      </c>
    </row>
    <row r="395" spans="1:16" ht="13.5" hidden="1" customHeight="1" outlineLevel="2" x14ac:dyDescent="0.2">
      <c r="A395" s="459">
        <v>0</v>
      </c>
      <c r="B395" s="459">
        <v>5</v>
      </c>
      <c r="C395" s="459">
        <v>1</v>
      </c>
      <c r="D395" s="460">
        <v>5</v>
      </c>
      <c r="E395" s="460">
        <v>0</v>
      </c>
      <c r="G395" s="1740"/>
      <c r="H395" s="1777" t="s">
        <v>1238</v>
      </c>
      <c r="I395" s="1778" t="s">
        <v>6177</v>
      </c>
      <c r="J395" s="1779" t="s">
        <v>15</v>
      </c>
      <c r="K395" s="1780"/>
      <c r="L395" s="1781"/>
      <c r="M395" s="1781"/>
      <c r="N395" s="1746"/>
      <c r="O395" s="1782"/>
      <c r="P395" s="1720"/>
    </row>
    <row r="396" spans="1:16" ht="13.5" hidden="1" customHeight="1" outlineLevel="3" x14ac:dyDescent="0.2">
      <c r="A396" s="459">
        <v>0</v>
      </c>
      <c r="B396" s="459">
        <v>5</v>
      </c>
      <c r="C396" s="459">
        <v>1</v>
      </c>
      <c r="D396" s="460">
        <v>5</v>
      </c>
      <c r="E396" s="460">
        <v>1</v>
      </c>
      <c r="G396" s="1748" t="s">
        <v>43</v>
      </c>
      <c r="H396" s="1783" t="s">
        <v>1239</v>
      </c>
      <c r="I396" s="1784" t="s">
        <v>6178</v>
      </c>
      <c r="J396" s="1785" t="s">
        <v>432</v>
      </c>
      <c r="K396" s="1786" t="s">
        <v>642</v>
      </c>
      <c r="L396" s="1787" t="e">
        <v>#REF!</v>
      </c>
      <c r="M396" s="1787">
        <v>47</v>
      </c>
      <c r="N396" s="1754"/>
      <c r="O396" s="1788"/>
      <c r="P396" s="1721" t="s">
        <v>9611</v>
      </c>
    </row>
    <row r="397" spans="1:16" ht="13.5" hidden="1" customHeight="1" outlineLevel="3" x14ac:dyDescent="0.2">
      <c r="A397" s="459">
        <v>0</v>
      </c>
      <c r="B397" s="459">
        <v>5</v>
      </c>
      <c r="C397" s="459">
        <v>1</v>
      </c>
      <c r="D397" s="460">
        <v>5</v>
      </c>
      <c r="E397" s="460">
        <v>2</v>
      </c>
      <c r="G397" s="1748" t="s">
        <v>43</v>
      </c>
      <c r="H397" s="1783" t="s">
        <v>1239</v>
      </c>
      <c r="I397" s="1784" t="s">
        <v>6179</v>
      </c>
      <c r="J397" s="1785" t="s">
        <v>434</v>
      </c>
      <c r="K397" s="1786" t="s">
        <v>642</v>
      </c>
      <c r="L397" s="1787" t="e">
        <v>#REF!</v>
      </c>
      <c r="M397" s="1787">
        <v>47</v>
      </c>
      <c r="N397" s="1754"/>
      <c r="O397" s="1788"/>
      <c r="P397" s="1721" t="s">
        <v>9611</v>
      </c>
    </row>
    <row r="398" spans="1:16" ht="13.5" hidden="1" customHeight="1" outlineLevel="3" x14ac:dyDescent="0.2">
      <c r="A398" s="459">
        <v>0</v>
      </c>
      <c r="B398" s="459">
        <v>5</v>
      </c>
      <c r="C398" s="459">
        <v>1</v>
      </c>
      <c r="D398" s="460">
        <v>5</v>
      </c>
      <c r="E398" s="460">
        <v>3</v>
      </c>
      <c r="G398" s="1748" t="s">
        <v>43</v>
      </c>
      <c r="H398" s="1783" t="s">
        <v>1239</v>
      </c>
      <c r="I398" s="1784" t="s">
        <v>6180</v>
      </c>
      <c r="J398" s="1751" t="s">
        <v>3522</v>
      </c>
      <c r="K398" s="1786" t="s">
        <v>642</v>
      </c>
      <c r="L398" s="1753" t="e">
        <v>#REF!</v>
      </c>
      <c r="M398" s="1787" t="e">
        <v>#REF!</v>
      </c>
      <c r="N398" s="1754"/>
      <c r="O398" s="1755"/>
      <c r="P398" s="1721" t="s">
        <v>9611</v>
      </c>
    </row>
    <row r="399" spans="1:16" ht="13.5" hidden="1" customHeight="1" outlineLevel="1" x14ac:dyDescent="0.2">
      <c r="A399" s="459">
        <v>0</v>
      </c>
      <c r="B399" s="459">
        <v>5</v>
      </c>
      <c r="C399" s="459">
        <v>2</v>
      </c>
      <c r="D399" s="460">
        <v>0</v>
      </c>
      <c r="E399" s="460">
        <v>3</v>
      </c>
      <c r="G399" s="1733"/>
      <c r="H399" s="1771" t="s">
        <v>39</v>
      </c>
      <c r="I399" s="1772" t="s">
        <v>6181</v>
      </c>
      <c r="J399" s="1773" t="s">
        <v>2772</v>
      </c>
      <c r="K399" s="1774"/>
      <c r="L399" s="1775"/>
      <c r="M399" s="1775"/>
      <c r="N399" s="1739"/>
      <c r="O399" s="1776"/>
      <c r="P399" s="1719"/>
    </row>
    <row r="400" spans="1:16" ht="13.5" hidden="1" customHeight="1" outlineLevel="2" x14ac:dyDescent="0.2">
      <c r="A400" s="459">
        <v>0</v>
      </c>
      <c r="B400" s="459">
        <v>5</v>
      </c>
      <c r="C400" s="459">
        <v>2</v>
      </c>
      <c r="D400" s="460">
        <v>1</v>
      </c>
      <c r="E400" s="460">
        <v>0</v>
      </c>
      <c r="G400" s="1740"/>
      <c r="H400" s="1777" t="s">
        <v>1238</v>
      </c>
      <c r="I400" s="1778" t="s">
        <v>6182</v>
      </c>
      <c r="J400" s="1779" t="s">
        <v>2756</v>
      </c>
      <c r="K400" s="1780"/>
      <c r="L400" s="1781"/>
      <c r="M400" s="1781"/>
      <c r="N400" s="1746"/>
      <c r="O400" s="1782"/>
      <c r="P400" s="1720"/>
    </row>
    <row r="401" spans="1:16" ht="13.5" hidden="1" customHeight="1" outlineLevel="3" x14ac:dyDescent="0.2">
      <c r="A401" s="459">
        <v>0</v>
      </c>
      <c r="B401" s="459">
        <v>5</v>
      </c>
      <c r="C401" s="459">
        <v>2</v>
      </c>
      <c r="D401" s="460">
        <v>1</v>
      </c>
      <c r="E401" s="460">
        <v>1</v>
      </c>
      <c r="G401" s="1748" t="s">
        <v>43</v>
      </c>
      <c r="H401" s="1783" t="s">
        <v>1239</v>
      </c>
      <c r="I401" s="1784" t="s">
        <v>6183</v>
      </c>
      <c r="J401" s="1785" t="s">
        <v>2751</v>
      </c>
      <c r="K401" s="1786" t="s">
        <v>642</v>
      </c>
      <c r="L401" s="1787" t="e">
        <v>#REF!</v>
      </c>
      <c r="M401" s="1787">
        <v>35.099999999999994</v>
      </c>
      <c r="N401" s="1754"/>
      <c r="O401" s="1788"/>
      <c r="P401" s="1721" t="s">
        <v>9611</v>
      </c>
    </row>
    <row r="402" spans="1:16" ht="13.5" hidden="1" customHeight="1" outlineLevel="2" x14ac:dyDescent="0.2">
      <c r="A402" s="459">
        <v>0</v>
      </c>
      <c r="B402" s="459">
        <v>5</v>
      </c>
      <c r="C402" s="459">
        <v>2</v>
      </c>
      <c r="D402" s="460">
        <v>2</v>
      </c>
      <c r="E402" s="460">
        <v>0</v>
      </c>
      <c r="G402" s="1740"/>
      <c r="H402" s="1777" t="s">
        <v>1238</v>
      </c>
      <c r="I402" s="1778" t="s">
        <v>6184</v>
      </c>
      <c r="J402" s="1779" t="s">
        <v>1313</v>
      </c>
      <c r="K402" s="1780"/>
      <c r="L402" s="1781"/>
      <c r="M402" s="1781"/>
      <c r="N402" s="1746"/>
      <c r="O402" s="1782"/>
      <c r="P402" s="1720"/>
    </row>
    <row r="403" spans="1:16" ht="13.5" hidden="1" customHeight="1" outlineLevel="3" x14ac:dyDescent="0.2">
      <c r="A403" s="459">
        <v>0</v>
      </c>
      <c r="B403" s="459">
        <v>5</v>
      </c>
      <c r="C403" s="459">
        <v>2</v>
      </c>
      <c r="D403" s="460">
        <v>2</v>
      </c>
      <c r="E403" s="460">
        <v>1</v>
      </c>
      <c r="G403" s="1748" t="s">
        <v>43</v>
      </c>
      <c r="H403" s="1783" t="s">
        <v>1239</v>
      </c>
      <c r="I403" s="1784" t="s">
        <v>6185</v>
      </c>
      <c r="J403" s="1785" t="s">
        <v>1326</v>
      </c>
      <c r="K403" s="1786" t="s">
        <v>642</v>
      </c>
      <c r="L403" s="1787" t="e">
        <v>#REF!</v>
      </c>
      <c r="M403" s="1787">
        <v>82.960000000000008</v>
      </c>
      <c r="N403" s="1754"/>
      <c r="O403" s="1788"/>
      <c r="P403" s="1721" t="s">
        <v>9611</v>
      </c>
    </row>
    <row r="404" spans="1:16" ht="13.5" hidden="1" customHeight="1" outlineLevel="2" x14ac:dyDescent="0.2">
      <c r="A404" s="459">
        <v>0</v>
      </c>
      <c r="B404" s="459">
        <v>5</v>
      </c>
      <c r="C404" s="459">
        <v>2</v>
      </c>
      <c r="D404" s="460">
        <v>3</v>
      </c>
      <c r="E404" s="460">
        <v>0</v>
      </c>
      <c r="G404" s="1740"/>
      <c r="H404" s="1777" t="s">
        <v>1238</v>
      </c>
      <c r="I404" s="1778" t="s">
        <v>6186</v>
      </c>
      <c r="J404" s="1779" t="s">
        <v>1252</v>
      </c>
      <c r="K404" s="1780"/>
      <c r="L404" s="1781"/>
      <c r="M404" s="1781"/>
      <c r="N404" s="1746"/>
      <c r="O404" s="1782"/>
      <c r="P404" s="1720"/>
    </row>
    <row r="405" spans="1:16" ht="13.5" hidden="1" customHeight="1" outlineLevel="3" x14ac:dyDescent="0.2">
      <c r="A405" s="459">
        <v>0</v>
      </c>
      <c r="B405" s="459">
        <v>5</v>
      </c>
      <c r="C405" s="459">
        <v>2</v>
      </c>
      <c r="D405" s="460">
        <v>3</v>
      </c>
      <c r="E405" s="460">
        <v>1</v>
      </c>
      <c r="G405" s="1748" t="s">
        <v>43</v>
      </c>
      <c r="H405" s="1783" t="s">
        <v>1239</v>
      </c>
      <c r="I405" s="1784" t="s">
        <v>6187</v>
      </c>
      <c r="J405" s="1785" t="s">
        <v>1253</v>
      </c>
      <c r="K405" s="1786" t="s">
        <v>788</v>
      </c>
      <c r="L405" s="1787" t="e">
        <v>#REF!</v>
      </c>
      <c r="M405" s="1787">
        <v>14.787500000000001</v>
      </c>
      <c r="N405" s="1754"/>
      <c r="O405" s="1788"/>
      <c r="P405" s="1721" t="s">
        <v>9611</v>
      </c>
    </row>
    <row r="406" spans="1:16" ht="13.5" hidden="1" customHeight="1" outlineLevel="3" x14ac:dyDescent="0.2">
      <c r="A406" s="459">
        <v>0</v>
      </c>
      <c r="B406" s="459">
        <v>5</v>
      </c>
      <c r="C406" s="459">
        <v>2</v>
      </c>
      <c r="D406" s="460">
        <v>3</v>
      </c>
      <c r="E406" s="460">
        <v>2</v>
      </c>
      <c r="G406" s="1748" t="s">
        <v>43</v>
      </c>
      <c r="H406" s="1783" t="s">
        <v>1239</v>
      </c>
      <c r="I406" s="1784" t="s">
        <v>6188</v>
      </c>
      <c r="J406" s="1785" t="s">
        <v>393</v>
      </c>
      <c r="K406" s="1786" t="s">
        <v>534</v>
      </c>
      <c r="L406" s="1787" t="e">
        <v>#REF!</v>
      </c>
      <c r="M406" s="1787">
        <v>4.1071999999999997</v>
      </c>
      <c r="N406" s="1754"/>
      <c r="O406" s="1788"/>
      <c r="P406" s="1721" t="s">
        <v>9611</v>
      </c>
    </row>
    <row r="407" spans="1:16" ht="13.5" hidden="1" customHeight="1" outlineLevel="3" x14ac:dyDescent="0.2">
      <c r="A407" s="459">
        <v>0</v>
      </c>
      <c r="B407" s="459">
        <v>5</v>
      </c>
      <c r="C407" s="459">
        <v>2</v>
      </c>
      <c r="D407" s="460">
        <v>3</v>
      </c>
      <c r="E407" s="460">
        <v>3</v>
      </c>
      <c r="G407" s="1748" t="s">
        <v>43</v>
      </c>
      <c r="H407" s="1783" t="s">
        <v>1239</v>
      </c>
      <c r="I407" s="1784" t="s">
        <v>6189</v>
      </c>
      <c r="J407" s="1785" t="s">
        <v>397</v>
      </c>
      <c r="K407" s="1786" t="s">
        <v>788</v>
      </c>
      <c r="L407" s="1787" t="e">
        <v>#REF!</v>
      </c>
      <c r="M407" s="1787">
        <v>79.403675710539517</v>
      </c>
      <c r="N407" s="1754"/>
      <c r="O407" s="1788"/>
      <c r="P407" s="1721" t="s">
        <v>9611</v>
      </c>
    </row>
    <row r="408" spans="1:16" ht="13.5" hidden="1" customHeight="1" outlineLevel="2" x14ac:dyDescent="0.2">
      <c r="A408" s="459">
        <v>0</v>
      </c>
      <c r="B408" s="459">
        <v>5</v>
      </c>
      <c r="C408" s="459">
        <v>2</v>
      </c>
      <c r="D408" s="460">
        <v>4</v>
      </c>
      <c r="E408" s="460">
        <v>0</v>
      </c>
      <c r="G408" s="1740"/>
      <c r="H408" s="1777" t="s">
        <v>1238</v>
      </c>
      <c r="I408" s="1778" t="s">
        <v>6190</v>
      </c>
      <c r="J408" s="1779" t="s">
        <v>1330</v>
      </c>
      <c r="K408" s="1780"/>
      <c r="L408" s="1781"/>
      <c r="M408" s="1781"/>
      <c r="N408" s="1746"/>
      <c r="O408" s="1782"/>
      <c r="P408" s="1720"/>
    </row>
    <row r="409" spans="1:16" ht="13.5" hidden="1" customHeight="1" outlineLevel="3" x14ac:dyDescent="0.2">
      <c r="A409" s="459">
        <v>0</v>
      </c>
      <c r="B409" s="459">
        <v>5</v>
      </c>
      <c r="C409" s="459">
        <v>2</v>
      </c>
      <c r="D409" s="460">
        <v>4</v>
      </c>
      <c r="E409" s="460">
        <v>1</v>
      </c>
      <c r="G409" s="1748" t="s">
        <v>43</v>
      </c>
      <c r="H409" s="1783" t="s">
        <v>1239</v>
      </c>
      <c r="I409" s="1784" t="s">
        <v>6191</v>
      </c>
      <c r="J409" s="1751" t="s">
        <v>3512</v>
      </c>
      <c r="K409" s="1752" t="s">
        <v>642</v>
      </c>
      <c r="L409" s="1753" t="e">
        <v>#REF!</v>
      </c>
      <c r="M409" s="1787">
        <v>95.867556999999991</v>
      </c>
      <c r="N409" s="1754"/>
      <c r="O409" s="1788"/>
      <c r="P409" s="1721" t="s">
        <v>9611</v>
      </c>
    </row>
    <row r="410" spans="1:16" ht="13.5" hidden="1" customHeight="1" outlineLevel="3" x14ac:dyDescent="0.2">
      <c r="A410" s="459">
        <v>0</v>
      </c>
      <c r="B410" s="459">
        <v>5</v>
      </c>
      <c r="C410" s="459">
        <v>2</v>
      </c>
      <c r="D410" s="460">
        <v>4</v>
      </c>
      <c r="E410" s="460">
        <v>2</v>
      </c>
      <c r="G410" s="1748" t="s">
        <v>43</v>
      </c>
      <c r="H410" s="1783" t="s">
        <v>1239</v>
      </c>
      <c r="I410" s="1784" t="s">
        <v>6192</v>
      </c>
      <c r="J410" s="1751" t="s">
        <v>3513</v>
      </c>
      <c r="K410" s="1752" t="s">
        <v>642</v>
      </c>
      <c r="L410" s="1753" t="e">
        <v>#REF!</v>
      </c>
      <c r="M410" s="1787">
        <v>96.523220999999992</v>
      </c>
      <c r="N410" s="1754"/>
      <c r="O410" s="1788"/>
      <c r="P410" s="1721" t="s">
        <v>9611</v>
      </c>
    </row>
    <row r="411" spans="1:16" ht="13.5" hidden="1" customHeight="1" outlineLevel="3" x14ac:dyDescent="0.2">
      <c r="A411" s="459">
        <v>0</v>
      </c>
      <c r="B411" s="459">
        <v>5</v>
      </c>
      <c r="C411" s="459">
        <v>2</v>
      </c>
      <c r="D411" s="460">
        <v>4</v>
      </c>
      <c r="E411" s="460">
        <v>3</v>
      </c>
      <c r="G411" s="1748" t="s">
        <v>43</v>
      </c>
      <c r="H411" s="1783" t="s">
        <v>1239</v>
      </c>
      <c r="I411" s="1784" t="s">
        <v>6193</v>
      </c>
      <c r="J411" s="1751" t="s">
        <v>3516</v>
      </c>
      <c r="K411" s="1752" t="s">
        <v>642</v>
      </c>
      <c r="L411" s="1753" t="e">
        <v>#REF!</v>
      </c>
      <c r="M411" s="1787">
        <v>165.70309900000001</v>
      </c>
      <c r="N411" s="1754"/>
      <c r="O411" s="1788"/>
      <c r="P411" s="1721" t="s">
        <v>9611</v>
      </c>
    </row>
    <row r="412" spans="1:16" ht="13.5" hidden="1" customHeight="1" outlineLevel="2" x14ac:dyDescent="0.2">
      <c r="A412" s="459">
        <v>0</v>
      </c>
      <c r="B412" s="459">
        <v>5</v>
      </c>
      <c r="C412" s="459">
        <v>2</v>
      </c>
      <c r="D412" s="460">
        <v>5</v>
      </c>
      <c r="E412" s="460">
        <v>0</v>
      </c>
      <c r="G412" s="1740"/>
      <c r="H412" s="1777" t="s">
        <v>1238</v>
      </c>
      <c r="I412" s="1778" t="s">
        <v>6194</v>
      </c>
      <c r="J412" s="1779" t="s">
        <v>15</v>
      </c>
      <c r="K412" s="1780"/>
      <c r="L412" s="1781"/>
      <c r="M412" s="1781"/>
      <c r="N412" s="1746"/>
      <c r="O412" s="1782"/>
      <c r="P412" s="1720"/>
    </row>
    <row r="413" spans="1:16" ht="13.5" hidden="1" customHeight="1" outlineLevel="3" x14ac:dyDescent="0.2">
      <c r="A413" s="459">
        <v>0</v>
      </c>
      <c r="B413" s="459">
        <v>5</v>
      </c>
      <c r="C413" s="459">
        <v>2</v>
      </c>
      <c r="D413" s="460">
        <v>5</v>
      </c>
      <c r="E413" s="460">
        <v>1</v>
      </c>
      <c r="G413" s="1748" t="s">
        <v>43</v>
      </c>
      <c r="H413" s="1783" t="s">
        <v>1239</v>
      </c>
      <c r="I413" s="1784" t="s">
        <v>6195</v>
      </c>
      <c r="J413" s="1785" t="s">
        <v>432</v>
      </c>
      <c r="K413" s="1786" t="s">
        <v>642</v>
      </c>
      <c r="L413" s="1787" t="e">
        <v>#REF!</v>
      </c>
      <c r="M413" s="1787">
        <v>47</v>
      </c>
      <c r="N413" s="1754"/>
      <c r="O413" s="1788"/>
      <c r="P413" s="1721" t="s">
        <v>9611</v>
      </c>
    </row>
    <row r="414" spans="1:16" ht="13.5" hidden="1" customHeight="1" outlineLevel="3" x14ac:dyDescent="0.2">
      <c r="A414" s="459">
        <v>0</v>
      </c>
      <c r="B414" s="459">
        <v>5</v>
      </c>
      <c r="C414" s="459">
        <v>2</v>
      </c>
      <c r="D414" s="460">
        <v>5</v>
      </c>
      <c r="E414" s="460">
        <v>2</v>
      </c>
      <c r="G414" s="1748" t="s">
        <v>43</v>
      </c>
      <c r="H414" s="1783" t="s">
        <v>1239</v>
      </c>
      <c r="I414" s="1784" t="s">
        <v>6196</v>
      </c>
      <c r="J414" s="1785" t="s">
        <v>434</v>
      </c>
      <c r="K414" s="1786" t="s">
        <v>642</v>
      </c>
      <c r="L414" s="1787" t="e">
        <v>#REF!</v>
      </c>
      <c r="M414" s="1787">
        <v>47</v>
      </c>
      <c r="N414" s="1754"/>
      <c r="O414" s="1788"/>
      <c r="P414" s="1721" t="s">
        <v>9611</v>
      </c>
    </row>
    <row r="415" spans="1:16" ht="13.5" hidden="1" customHeight="1" outlineLevel="3" x14ac:dyDescent="0.2">
      <c r="A415" s="459">
        <v>0</v>
      </c>
      <c r="B415" s="459">
        <v>5</v>
      </c>
      <c r="C415" s="459">
        <v>2</v>
      </c>
      <c r="D415" s="460">
        <v>5</v>
      </c>
      <c r="E415" s="460">
        <v>3</v>
      </c>
      <c r="G415" s="1748" t="s">
        <v>43</v>
      </c>
      <c r="H415" s="1783" t="s">
        <v>1239</v>
      </c>
      <c r="I415" s="1784" t="s">
        <v>6197</v>
      </c>
      <c r="J415" s="1751" t="s">
        <v>3522</v>
      </c>
      <c r="K415" s="1786" t="s">
        <v>642</v>
      </c>
      <c r="L415" s="1753" t="e">
        <v>#REF!</v>
      </c>
      <c r="M415" s="1787" t="e">
        <v>#REF!</v>
      </c>
      <c r="N415" s="1754"/>
      <c r="O415" s="1788"/>
      <c r="P415" s="1721" t="s">
        <v>9611</v>
      </c>
    </row>
    <row r="416" spans="1:16" ht="13.5" hidden="1" customHeight="1" outlineLevel="1" x14ac:dyDescent="0.2">
      <c r="A416" s="459">
        <v>0</v>
      </c>
      <c r="B416" s="459">
        <v>5</v>
      </c>
      <c r="C416" s="459">
        <v>3</v>
      </c>
      <c r="D416" s="460">
        <v>0</v>
      </c>
      <c r="E416" s="460">
        <v>3</v>
      </c>
      <c r="G416" s="1733"/>
      <c r="H416" s="1771" t="s">
        <v>39</v>
      </c>
      <c r="I416" s="1772" t="s">
        <v>6198</v>
      </c>
      <c r="J416" s="1773" t="s">
        <v>2773</v>
      </c>
      <c r="K416" s="1774"/>
      <c r="L416" s="1775"/>
      <c r="M416" s="1775"/>
      <c r="N416" s="1739"/>
      <c r="O416" s="1776"/>
      <c r="P416" s="1719"/>
    </row>
    <row r="417" spans="1:16" ht="13.5" hidden="1" customHeight="1" outlineLevel="2" x14ac:dyDescent="0.2">
      <c r="A417" s="459">
        <v>0</v>
      </c>
      <c r="B417" s="459">
        <v>5</v>
      </c>
      <c r="C417" s="459">
        <v>3</v>
      </c>
      <c r="D417" s="460">
        <v>1</v>
      </c>
      <c r="E417" s="460">
        <v>0</v>
      </c>
      <c r="G417" s="1740"/>
      <c r="H417" s="1777" t="s">
        <v>1238</v>
      </c>
      <c r="I417" s="1778" t="s">
        <v>6199</v>
      </c>
      <c r="J417" s="1779" t="s">
        <v>2756</v>
      </c>
      <c r="K417" s="1780"/>
      <c r="L417" s="1781"/>
      <c r="M417" s="1781"/>
      <c r="N417" s="1746"/>
      <c r="O417" s="1782"/>
      <c r="P417" s="1720"/>
    </row>
    <row r="418" spans="1:16" ht="13.5" hidden="1" customHeight="1" outlineLevel="3" x14ac:dyDescent="0.2">
      <c r="A418" s="459">
        <v>0</v>
      </c>
      <c r="B418" s="459">
        <v>5</v>
      </c>
      <c r="C418" s="459">
        <v>3</v>
      </c>
      <c r="D418" s="460">
        <v>1</v>
      </c>
      <c r="E418" s="460">
        <v>1</v>
      </c>
      <c r="G418" s="1748" t="s">
        <v>43</v>
      </c>
      <c r="H418" s="1783" t="s">
        <v>1239</v>
      </c>
      <c r="I418" s="1784" t="s">
        <v>6200</v>
      </c>
      <c r="J418" s="1785" t="s">
        <v>2751</v>
      </c>
      <c r="K418" s="1786" t="s">
        <v>642</v>
      </c>
      <c r="L418" s="1787" t="e">
        <v>#REF!</v>
      </c>
      <c r="M418" s="1787">
        <v>35.099999999999994</v>
      </c>
      <c r="N418" s="1754"/>
      <c r="O418" s="1788"/>
      <c r="P418" s="1721" t="s">
        <v>9611</v>
      </c>
    </row>
    <row r="419" spans="1:16" ht="13.5" hidden="1" customHeight="1" outlineLevel="2" x14ac:dyDescent="0.2">
      <c r="A419" s="459">
        <v>0</v>
      </c>
      <c r="B419" s="459">
        <v>5</v>
      </c>
      <c r="C419" s="459">
        <v>3</v>
      </c>
      <c r="D419" s="460">
        <v>2</v>
      </c>
      <c r="E419" s="460">
        <v>0</v>
      </c>
      <c r="G419" s="1740"/>
      <c r="H419" s="1777" t="s">
        <v>1238</v>
      </c>
      <c r="I419" s="1778" t="s">
        <v>6201</v>
      </c>
      <c r="J419" s="1779" t="s">
        <v>1313</v>
      </c>
      <c r="K419" s="1780"/>
      <c r="L419" s="1781"/>
      <c r="M419" s="1781"/>
      <c r="N419" s="1746"/>
      <c r="O419" s="1782"/>
      <c r="P419" s="1720"/>
    </row>
    <row r="420" spans="1:16" ht="13.5" hidden="1" customHeight="1" outlineLevel="3" x14ac:dyDescent="0.2">
      <c r="A420" s="459">
        <v>0</v>
      </c>
      <c r="B420" s="459">
        <v>5</v>
      </c>
      <c r="C420" s="459">
        <v>3</v>
      </c>
      <c r="D420" s="460">
        <v>2</v>
      </c>
      <c r="E420" s="460">
        <v>1</v>
      </c>
      <c r="G420" s="1748" t="s">
        <v>43</v>
      </c>
      <c r="H420" s="1783" t="s">
        <v>1239</v>
      </c>
      <c r="I420" s="1784" t="s">
        <v>6202</v>
      </c>
      <c r="J420" s="1785" t="s">
        <v>1326</v>
      </c>
      <c r="K420" s="1786" t="s">
        <v>642</v>
      </c>
      <c r="L420" s="1787" t="e">
        <v>#REF!</v>
      </c>
      <c r="M420" s="1787">
        <v>82.960000000000008</v>
      </c>
      <c r="N420" s="1754"/>
      <c r="O420" s="1788"/>
      <c r="P420" s="1721" t="s">
        <v>9611</v>
      </c>
    </row>
    <row r="421" spans="1:16" ht="13.5" hidden="1" customHeight="1" outlineLevel="2" x14ac:dyDescent="0.2">
      <c r="A421" s="459">
        <v>0</v>
      </c>
      <c r="B421" s="459">
        <v>5</v>
      </c>
      <c r="C421" s="459">
        <v>3</v>
      </c>
      <c r="D421" s="460">
        <v>3</v>
      </c>
      <c r="E421" s="460">
        <v>0</v>
      </c>
      <c r="G421" s="1740"/>
      <c r="H421" s="1777" t="s">
        <v>1238</v>
      </c>
      <c r="I421" s="1778" t="s">
        <v>6203</v>
      </c>
      <c r="J421" s="1779" t="s">
        <v>1252</v>
      </c>
      <c r="K421" s="1780"/>
      <c r="L421" s="1781"/>
      <c r="M421" s="1781"/>
      <c r="N421" s="1746"/>
      <c r="O421" s="1782"/>
      <c r="P421" s="1720"/>
    </row>
    <row r="422" spans="1:16" ht="13.5" hidden="1" customHeight="1" outlineLevel="3" x14ac:dyDescent="0.2">
      <c r="A422" s="459">
        <v>0</v>
      </c>
      <c r="B422" s="459">
        <v>5</v>
      </c>
      <c r="C422" s="459">
        <v>3</v>
      </c>
      <c r="D422" s="460">
        <v>3</v>
      </c>
      <c r="E422" s="460">
        <v>1</v>
      </c>
      <c r="G422" s="1748" t="s">
        <v>43</v>
      </c>
      <c r="H422" s="1783" t="s">
        <v>1239</v>
      </c>
      <c r="I422" s="1784" t="s">
        <v>6204</v>
      </c>
      <c r="J422" s="1785" t="s">
        <v>1253</v>
      </c>
      <c r="K422" s="1786" t="s">
        <v>788</v>
      </c>
      <c r="L422" s="1787" t="e">
        <v>#REF!</v>
      </c>
      <c r="M422" s="1787">
        <v>14.787500000000001</v>
      </c>
      <c r="N422" s="1754"/>
      <c r="O422" s="1788"/>
      <c r="P422" s="1721" t="s">
        <v>9611</v>
      </c>
    </row>
    <row r="423" spans="1:16" ht="13.5" hidden="1" customHeight="1" outlineLevel="3" x14ac:dyDescent="0.2">
      <c r="A423" s="459">
        <v>0</v>
      </c>
      <c r="B423" s="459">
        <v>5</v>
      </c>
      <c r="C423" s="459">
        <v>3</v>
      </c>
      <c r="D423" s="460">
        <v>3</v>
      </c>
      <c r="E423" s="460">
        <v>2</v>
      </c>
      <c r="G423" s="1748" t="s">
        <v>43</v>
      </c>
      <c r="H423" s="1783" t="s">
        <v>1239</v>
      </c>
      <c r="I423" s="1784" t="s">
        <v>6205</v>
      </c>
      <c r="J423" s="1785" t="s">
        <v>393</v>
      </c>
      <c r="K423" s="1786" t="s">
        <v>534</v>
      </c>
      <c r="L423" s="1787" t="e">
        <v>#REF!</v>
      </c>
      <c r="M423" s="1787">
        <v>4.1071999999999997</v>
      </c>
      <c r="N423" s="1754"/>
      <c r="O423" s="1788"/>
      <c r="P423" s="1721" t="s">
        <v>9611</v>
      </c>
    </row>
    <row r="424" spans="1:16" ht="13.5" hidden="1" customHeight="1" outlineLevel="3" x14ac:dyDescent="0.2">
      <c r="A424" s="459">
        <v>0</v>
      </c>
      <c r="B424" s="459">
        <v>5</v>
      </c>
      <c r="C424" s="459">
        <v>3</v>
      </c>
      <c r="D424" s="460">
        <v>3</v>
      </c>
      <c r="E424" s="460">
        <v>3</v>
      </c>
      <c r="G424" s="1748" t="s">
        <v>43</v>
      </c>
      <c r="H424" s="1783" t="s">
        <v>1239</v>
      </c>
      <c r="I424" s="1784" t="s">
        <v>6206</v>
      </c>
      <c r="J424" s="1785" t="s">
        <v>397</v>
      </c>
      <c r="K424" s="1786" t="s">
        <v>788</v>
      </c>
      <c r="L424" s="1787" t="e">
        <v>#REF!</v>
      </c>
      <c r="M424" s="1787">
        <v>79.403675710539517</v>
      </c>
      <c r="N424" s="1754"/>
      <c r="O424" s="1788"/>
      <c r="P424" s="1721" t="s">
        <v>9611</v>
      </c>
    </row>
    <row r="425" spans="1:16" ht="13.5" hidden="1" customHeight="1" outlineLevel="2" x14ac:dyDescent="0.2">
      <c r="A425" s="459">
        <v>0</v>
      </c>
      <c r="B425" s="459">
        <v>5</v>
      </c>
      <c r="C425" s="459">
        <v>3</v>
      </c>
      <c r="D425" s="460">
        <v>4</v>
      </c>
      <c r="E425" s="460">
        <v>0</v>
      </c>
      <c r="G425" s="1740"/>
      <c r="H425" s="1777" t="s">
        <v>1238</v>
      </c>
      <c r="I425" s="1778" t="s">
        <v>6207</v>
      </c>
      <c r="J425" s="1779" t="s">
        <v>1330</v>
      </c>
      <c r="K425" s="1780"/>
      <c r="L425" s="1781"/>
      <c r="M425" s="1781"/>
      <c r="N425" s="1746"/>
      <c r="O425" s="1782"/>
      <c r="P425" s="1720"/>
    </row>
    <row r="426" spans="1:16" ht="13.5" hidden="1" customHeight="1" outlineLevel="3" x14ac:dyDescent="0.2">
      <c r="A426" s="459">
        <v>0</v>
      </c>
      <c r="B426" s="459">
        <v>5</v>
      </c>
      <c r="C426" s="459">
        <v>3</v>
      </c>
      <c r="D426" s="460">
        <v>4</v>
      </c>
      <c r="E426" s="460">
        <v>1</v>
      </c>
      <c r="G426" s="1748" t="s">
        <v>43</v>
      </c>
      <c r="H426" s="1783" t="s">
        <v>1239</v>
      </c>
      <c r="I426" s="1784" t="s">
        <v>6208</v>
      </c>
      <c r="J426" s="1751" t="s">
        <v>3512</v>
      </c>
      <c r="K426" s="1786" t="s">
        <v>642</v>
      </c>
      <c r="L426" s="1787" t="e">
        <v>#REF!</v>
      </c>
      <c r="M426" s="1787">
        <v>95.867556999999991</v>
      </c>
      <c r="N426" s="1754"/>
      <c r="O426" s="1788"/>
      <c r="P426" s="1721" t="s">
        <v>9611</v>
      </c>
    </row>
    <row r="427" spans="1:16" ht="13.5" hidden="1" customHeight="1" outlineLevel="3" x14ac:dyDescent="0.2">
      <c r="A427" s="459">
        <v>0</v>
      </c>
      <c r="B427" s="459">
        <v>5</v>
      </c>
      <c r="C427" s="459">
        <v>3</v>
      </c>
      <c r="D427" s="460">
        <v>4</v>
      </c>
      <c r="E427" s="460">
        <v>2</v>
      </c>
      <c r="G427" s="1748" t="s">
        <v>43</v>
      </c>
      <c r="H427" s="1783" t="s">
        <v>1239</v>
      </c>
      <c r="I427" s="1784" t="s">
        <v>6209</v>
      </c>
      <c r="J427" s="1751" t="s">
        <v>3516</v>
      </c>
      <c r="K427" s="1786" t="s">
        <v>642</v>
      </c>
      <c r="L427" s="1787" t="e">
        <v>#REF!</v>
      </c>
      <c r="M427" s="1787">
        <v>165.70309900000001</v>
      </c>
      <c r="N427" s="1754"/>
      <c r="O427" s="1788"/>
      <c r="P427" s="1721" t="s">
        <v>9611</v>
      </c>
    </row>
    <row r="428" spans="1:16" ht="13.5" hidden="1" customHeight="1" outlineLevel="2" x14ac:dyDescent="0.2">
      <c r="A428" s="459">
        <v>0</v>
      </c>
      <c r="B428" s="459">
        <v>5</v>
      </c>
      <c r="C428" s="459">
        <v>3</v>
      </c>
      <c r="D428" s="460">
        <v>5</v>
      </c>
      <c r="E428" s="460">
        <v>0</v>
      </c>
      <c r="G428" s="1740"/>
      <c r="H428" s="1777" t="s">
        <v>1238</v>
      </c>
      <c r="I428" s="1778" t="s">
        <v>6210</v>
      </c>
      <c r="J428" s="1779" t="s">
        <v>15</v>
      </c>
      <c r="K428" s="1780"/>
      <c r="L428" s="1781"/>
      <c r="M428" s="1781"/>
      <c r="N428" s="1746"/>
      <c r="O428" s="1782"/>
      <c r="P428" s="1720"/>
    </row>
    <row r="429" spans="1:16" ht="13.5" hidden="1" customHeight="1" outlineLevel="3" x14ac:dyDescent="0.2">
      <c r="A429" s="459">
        <v>0</v>
      </c>
      <c r="B429" s="459">
        <v>5</v>
      </c>
      <c r="C429" s="459">
        <v>3</v>
      </c>
      <c r="D429" s="460">
        <v>5</v>
      </c>
      <c r="E429" s="460">
        <v>1</v>
      </c>
      <c r="G429" s="1748" t="s">
        <v>43</v>
      </c>
      <c r="H429" s="1783" t="s">
        <v>1239</v>
      </c>
      <c r="I429" s="1784" t="s">
        <v>6211</v>
      </c>
      <c r="J429" s="1785" t="s">
        <v>432</v>
      </c>
      <c r="K429" s="1786" t="s">
        <v>642</v>
      </c>
      <c r="L429" s="1787" t="e">
        <v>#REF!</v>
      </c>
      <c r="M429" s="1787">
        <v>47</v>
      </c>
      <c r="N429" s="1754"/>
      <c r="O429" s="1788"/>
      <c r="P429" s="1721" t="s">
        <v>9611</v>
      </c>
    </row>
    <row r="430" spans="1:16" ht="13.5" hidden="1" customHeight="1" outlineLevel="3" x14ac:dyDescent="0.2">
      <c r="A430" s="459">
        <v>0</v>
      </c>
      <c r="B430" s="459">
        <v>5</v>
      </c>
      <c r="C430" s="459">
        <v>3</v>
      </c>
      <c r="D430" s="460">
        <v>5</v>
      </c>
      <c r="E430" s="460">
        <v>2</v>
      </c>
      <c r="G430" s="1748" t="s">
        <v>43</v>
      </c>
      <c r="H430" s="1783" t="s">
        <v>1239</v>
      </c>
      <c r="I430" s="1784" t="s">
        <v>6212</v>
      </c>
      <c r="J430" s="1785" t="s">
        <v>434</v>
      </c>
      <c r="K430" s="1786" t="s">
        <v>642</v>
      </c>
      <c r="L430" s="1787" t="e">
        <v>#REF!</v>
      </c>
      <c r="M430" s="1787">
        <v>47</v>
      </c>
      <c r="N430" s="1754"/>
      <c r="O430" s="1788"/>
      <c r="P430" s="1721" t="s">
        <v>9611</v>
      </c>
    </row>
    <row r="431" spans="1:16" ht="13.5" hidden="1" customHeight="1" outlineLevel="3" x14ac:dyDescent="0.2">
      <c r="A431" s="459">
        <v>0</v>
      </c>
      <c r="B431" s="459">
        <v>5</v>
      </c>
      <c r="C431" s="459">
        <v>3</v>
      </c>
      <c r="D431" s="460">
        <v>5</v>
      </c>
      <c r="E431" s="460">
        <v>3</v>
      </c>
      <c r="G431" s="1748" t="s">
        <v>43</v>
      </c>
      <c r="H431" s="1783" t="s">
        <v>1239</v>
      </c>
      <c r="I431" s="1784" t="s">
        <v>6213</v>
      </c>
      <c r="J431" s="1751" t="s">
        <v>3522</v>
      </c>
      <c r="K431" s="1786" t="s">
        <v>642</v>
      </c>
      <c r="L431" s="1753" t="e">
        <v>#REF!</v>
      </c>
      <c r="M431" s="1787" t="e">
        <v>#REF!</v>
      </c>
      <c r="N431" s="1754"/>
      <c r="O431" s="1788"/>
      <c r="P431" s="1721" t="s">
        <v>9611</v>
      </c>
    </row>
    <row r="432" spans="1:16" ht="13.5" hidden="1" customHeight="1" outlineLevel="1" x14ac:dyDescent="0.2">
      <c r="A432" s="459">
        <v>0</v>
      </c>
      <c r="B432" s="459">
        <v>5</v>
      </c>
      <c r="C432" s="459">
        <v>4</v>
      </c>
      <c r="D432" s="460">
        <v>0</v>
      </c>
      <c r="E432" s="460">
        <v>3</v>
      </c>
      <c r="G432" s="1733"/>
      <c r="H432" s="1771" t="s">
        <v>39</v>
      </c>
      <c r="I432" s="1772" t="s">
        <v>6214</v>
      </c>
      <c r="J432" s="1773" t="s">
        <v>2774</v>
      </c>
      <c r="K432" s="1774"/>
      <c r="L432" s="1775"/>
      <c r="M432" s="1775"/>
      <c r="N432" s="1739"/>
      <c r="O432" s="1776"/>
      <c r="P432" s="1719"/>
    </row>
    <row r="433" spans="1:16" ht="13.5" hidden="1" customHeight="1" outlineLevel="2" x14ac:dyDescent="0.2">
      <c r="A433" s="459">
        <v>0</v>
      </c>
      <c r="B433" s="459">
        <v>5</v>
      </c>
      <c r="C433" s="459">
        <v>4</v>
      </c>
      <c r="D433" s="460">
        <v>1</v>
      </c>
      <c r="E433" s="460">
        <v>0</v>
      </c>
      <c r="G433" s="1740"/>
      <c r="H433" s="1777" t="s">
        <v>1238</v>
      </c>
      <c r="I433" s="1778" t="s">
        <v>6215</v>
      </c>
      <c r="J433" s="1779" t="s">
        <v>2756</v>
      </c>
      <c r="K433" s="1780"/>
      <c r="L433" s="1781"/>
      <c r="M433" s="1781"/>
      <c r="N433" s="1746"/>
      <c r="O433" s="1782"/>
      <c r="P433" s="1720"/>
    </row>
    <row r="434" spans="1:16" ht="13.5" hidden="1" customHeight="1" outlineLevel="3" x14ac:dyDescent="0.2">
      <c r="A434" s="459">
        <v>0</v>
      </c>
      <c r="B434" s="459">
        <v>5</v>
      </c>
      <c r="C434" s="459">
        <v>4</v>
      </c>
      <c r="D434" s="460">
        <v>1</v>
      </c>
      <c r="E434" s="460">
        <v>1</v>
      </c>
      <c r="G434" s="1748" t="s">
        <v>43</v>
      </c>
      <c r="H434" s="1783" t="s">
        <v>1239</v>
      </c>
      <c r="I434" s="1784" t="s">
        <v>6216</v>
      </c>
      <c r="J434" s="1785" t="s">
        <v>2751</v>
      </c>
      <c r="K434" s="1786" t="s">
        <v>642</v>
      </c>
      <c r="L434" s="1787" t="e">
        <v>#REF!</v>
      </c>
      <c r="M434" s="1787">
        <v>35.099999999999994</v>
      </c>
      <c r="N434" s="1754"/>
      <c r="O434" s="1788"/>
      <c r="P434" s="1721" t="s">
        <v>9611</v>
      </c>
    </row>
    <row r="435" spans="1:16" ht="13.5" hidden="1" customHeight="1" outlineLevel="2" x14ac:dyDescent="0.2">
      <c r="A435" s="459">
        <v>0</v>
      </c>
      <c r="B435" s="459">
        <v>5</v>
      </c>
      <c r="C435" s="459">
        <v>4</v>
      </c>
      <c r="D435" s="460">
        <v>2</v>
      </c>
      <c r="E435" s="460">
        <v>0</v>
      </c>
      <c r="G435" s="1740"/>
      <c r="H435" s="1777" t="s">
        <v>1238</v>
      </c>
      <c r="I435" s="1778" t="s">
        <v>6217</v>
      </c>
      <c r="J435" s="1779" t="s">
        <v>1313</v>
      </c>
      <c r="K435" s="1780"/>
      <c r="L435" s="1781"/>
      <c r="M435" s="1781"/>
      <c r="N435" s="1746"/>
      <c r="O435" s="1782"/>
      <c r="P435" s="1720"/>
    </row>
    <row r="436" spans="1:16" ht="13.5" hidden="1" customHeight="1" outlineLevel="3" x14ac:dyDescent="0.2">
      <c r="A436" s="459">
        <v>0</v>
      </c>
      <c r="B436" s="459">
        <v>5</v>
      </c>
      <c r="C436" s="459">
        <v>4</v>
      </c>
      <c r="D436" s="460">
        <v>2</v>
      </c>
      <c r="E436" s="460">
        <v>1</v>
      </c>
      <c r="G436" s="1748" t="s">
        <v>43</v>
      </c>
      <c r="H436" s="1783" t="s">
        <v>1239</v>
      </c>
      <c r="I436" s="1784" t="s">
        <v>6218</v>
      </c>
      <c r="J436" s="1785" t="s">
        <v>1326</v>
      </c>
      <c r="K436" s="1786" t="s">
        <v>642</v>
      </c>
      <c r="L436" s="1787" t="e">
        <v>#REF!</v>
      </c>
      <c r="M436" s="1787">
        <v>82.960000000000008</v>
      </c>
      <c r="N436" s="1754"/>
      <c r="O436" s="1788"/>
      <c r="P436" s="1721" t="s">
        <v>9611</v>
      </c>
    </row>
    <row r="437" spans="1:16" ht="13.5" hidden="1" customHeight="1" outlineLevel="2" x14ac:dyDescent="0.2">
      <c r="A437" s="459">
        <v>0</v>
      </c>
      <c r="B437" s="459">
        <v>5</v>
      </c>
      <c r="C437" s="459">
        <v>4</v>
      </c>
      <c r="D437" s="460">
        <v>3</v>
      </c>
      <c r="E437" s="460">
        <v>0</v>
      </c>
      <c r="G437" s="1740"/>
      <c r="H437" s="1777" t="s">
        <v>1238</v>
      </c>
      <c r="I437" s="1778" t="s">
        <v>6219</v>
      </c>
      <c r="J437" s="1779" t="s">
        <v>1252</v>
      </c>
      <c r="K437" s="1780"/>
      <c r="L437" s="1781"/>
      <c r="M437" s="1781"/>
      <c r="N437" s="1746"/>
      <c r="O437" s="1782"/>
      <c r="P437" s="1720"/>
    </row>
    <row r="438" spans="1:16" ht="13.5" hidden="1" customHeight="1" outlineLevel="3" x14ac:dyDescent="0.2">
      <c r="A438" s="459">
        <v>0</v>
      </c>
      <c r="B438" s="459">
        <v>5</v>
      </c>
      <c r="C438" s="459">
        <v>4</v>
      </c>
      <c r="D438" s="460">
        <v>3</v>
      </c>
      <c r="E438" s="460">
        <v>1</v>
      </c>
      <c r="G438" s="1748" t="s">
        <v>43</v>
      </c>
      <c r="H438" s="1783" t="s">
        <v>1239</v>
      </c>
      <c r="I438" s="1784" t="s">
        <v>6220</v>
      </c>
      <c r="J438" s="1785" t="s">
        <v>1253</v>
      </c>
      <c r="K438" s="1786" t="s">
        <v>788</v>
      </c>
      <c r="L438" s="1787" t="e">
        <v>#REF!</v>
      </c>
      <c r="M438" s="1787">
        <v>14.787500000000001</v>
      </c>
      <c r="N438" s="1754"/>
      <c r="O438" s="1788"/>
      <c r="P438" s="1721" t="s">
        <v>9611</v>
      </c>
    </row>
    <row r="439" spans="1:16" ht="13.5" hidden="1" customHeight="1" outlineLevel="3" x14ac:dyDescent="0.2">
      <c r="A439" s="459">
        <v>0</v>
      </c>
      <c r="B439" s="459">
        <v>5</v>
      </c>
      <c r="C439" s="459">
        <v>4</v>
      </c>
      <c r="D439" s="460">
        <v>3</v>
      </c>
      <c r="E439" s="460">
        <v>2</v>
      </c>
      <c r="G439" s="1748" t="s">
        <v>43</v>
      </c>
      <c r="H439" s="1783" t="s">
        <v>1239</v>
      </c>
      <c r="I439" s="1784" t="s">
        <v>6221</v>
      </c>
      <c r="J439" s="1785" t="s">
        <v>393</v>
      </c>
      <c r="K439" s="1786" t="s">
        <v>534</v>
      </c>
      <c r="L439" s="1787" t="e">
        <v>#REF!</v>
      </c>
      <c r="M439" s="1787">
        <v>4.1071999999999997</v>
      </c>
      <c r="N439" s="1754"/>
      <c r="O439" s="1788"/>
      <c r="P439" s="1721" t="s">
        <v>9611</v>
      </c>
    </row>
    <row r="440" spans="1:16" ht="13.5" hidden="1" customHeight="1" outlineLevel="3" x14ac:dyDescent="0.2">
      <c r="A440" s="459">
        <v>0</v>
      </c>
      <c r="B440" s="459">
        <v>5</v>
      </c>
      <c r="C440" s="459">
        <v>4</v>
      </c>
      <c r="D440" s="460">
        <v>3</v>
      </c>
      <c r="E440" s="460">
        <v>3</v>
      </c>
      <c r="G440" s="1748" t="s">
        <v>43</v>
      </c>
      <c r="H440" s="1783" t="s">
        <v>1239</v>
      </c>
      <c r="I440" s="1784" t="s">
        <v>6222</v>
      </c>
      <c r="J440" s="1785" t="s">
        <v>397</v>
      </c>
      <c r="K440" s="1786" t="s">
        <v>788</v>
      </c>
      <c r="L440" s="1787" t="e">
        <v>#REF!</v>
      </c>
      <c r="M440" s="1787">
        <v>79.403675710539517</v>
      </c>
      <c r="N440" s="1754"/>
      <c r="O440" s="1788"/>
      <c r="P440" s="1721" t="s">
        <v>9611</v>
      </c>
    </row>
    <row r="441" spans="1:16" ht="13.5" hidden="1" customHeight="1" outlineLevel="2" x14ac:dyDescent="0.2">
      <c r="A441" s="459">
        <v>0</v>
      </c>
      <c r="B441" s="459">
        <v>5</v>
      </c>
      <c r="C441" s="459">
        <v>4</v>
      </c>
      <c r="D441" s="460">
        <v>4</v>
      </c>
      <c r="E441" s="460">
        <v>0</v>
      </c>
      <c r="G441" s="1740"/>
      <c r="H441" s="1777" t="s">
        <v>1238</v>
      </c>
      <c r="I441" s="1778" t="s">
        <v>6223</v>
      </c>
      <c r="J441" s="1779" t="s">
        <v>1330</v>
      </c>
      <c r="K441" s="1780"/>
      <c r="L441" s="1781"/>
      <c r="M441" s="1781"/>
      <c r="N441" s="1746"/>
      <c r="O441" s="1782"/>
      <c r="P441" s="1720"/>
    </row>
    <row r="442" spans="1:16" ht="13.5" hidden="1" customHeight="1" outlineLevel="3" x14ac:dyDescent="0.2">
      <c r="A442" s="459">
        <v>0</v>
      </c>
      <c r="B442" s="459">
        <v>5</v>
      </c>
      <c r="C442" s="459">
        <v>4</v>
      </c>
      <c r="D442" s="460">
        <v>4</v>
      </c>
      <c r="E442" s="460">
        <v>1</v>
      </c>
      <c r="G442" s="1748" t="s">
        <v>43</v>
      </c>
      <c r="H442" s="1783" t="s">
        <v>1239</v>
      </c>
      <c r="I442" s="1784" t="s">
        <v>6224</v>
      </c>
      <c r="J442" s="1751" t="s">
        <v>3512</v>
      </c>
      <c r="K442" s="1786" t="s">
        <v>642</v>
      </c>
      <c r="L442" s="1787" t="e">
        <v>#REF!</v>
      </c>
      <c r="M442" s="1787">
        <v>95.867556999999991</v>
      </c>
      <c r="N442" s="1754"/>
      <c r="O442" s="1788"/>
      <c r="P442" s="1721" t="s">
        <v>9611</v>
      </c>
    </row>
    <row r="443" spans="1:16" ht="13.5" hidden="1" customHeight="1" outlineLevel="3" x14ac:dyDescent="0.2">
      <c r="A443" s="459">
        <v>0</v>
      </c>
      <c r="B443" s="459">
        <v>5</v>
      </c>
      <c r="C443" s="459">
        <v>4</v>
      </c>
      <c r="D443" s="460">
        <v>4</v>
      </c>
      <c r="E443" s="460">
        <v>2</v>
      </c>
      <c r="G443" s="1748" t="s">
        <v>43</v>
      </c>
      <c r="H443" s="1783" t="s">
        <v>1239</v>
      </c>
      <c r="I443" s="1784" t="s">
        <v>6225</v>
      </c>
      <c r="J443" s="1751" t="s">
        <v>3516</v>
      </c>
      <c r="K443" s="1786" t="s">
        <v>642</v>
      </c>
      <c r="L443" s="1787" t="e">
        <v>#REF!</v>
      </c>
      <c r="M443" s="1787">
        <v>165.70309900000001</v>
      </c>
      <c r="N443" s="1754"/>
      <c r="O443" s="1788"/>
      <c r="P443" s="1721" t="s">
        <v>9611</v>
      </c>
    </row>
    <row r="444" spans="1:16" ht="13.5" hidden="1" customHeight="1" outlineLevel="2" x14ac:dyDescent="0.2">
      <c r="A444" s="459">
        <v>0</v>
      </c>
      <c r="B444" s="459">
        <v>5</v>
      </c>
      <c r="C444" s="459">
        <v>4</v>
      </c>
      <c r="D444" s="460">
        <v>5</v>
      </c>
      <c r="E444" s="460">
        <v>0</v>
      </c>
      <c r="G444" s="1740"/>
      <c r="H444" s="1777" t="s">
        <v>1238</v>
      </c>
      <c r="I444" s="1778" t="s">
        <v>6226</v>
      </c>
      <c r="J444" s="1779" t="s">
        <v>15</v>
      </c>
      <c r="K444" s="1780"/>
      <c r="L444" s="1781"/>
      <c r="M444" s="1781"/>
      <c r="N444" s="1746"/>
      <c r="O444" s="1782"/>
      <c r="P444" s="1720"/>
    </row>
    <row r="445" spans="1:16" ht="13.5" hidden="1" customHeight="1" outlineLevel="3" x14ac:dyDescent="0.2">
      <c r="A445" s="459">
        <v>0</v>
      </c>
      <c r="B445" s="459">
        <v>5</v>
      </c>
      <c r="C445" s="459">
        <v>4</v>
      </c>
      <c r="D445" s="460">
        <v>5</v>
      </c>
      <c r="E445" s="460">
        <v>1</v>
      </c>
      <c r="G445" s="1748" t="s">
        <v>43</v>
      </c>
      <c r="H445" s="1783" t="s">
        <v>1239</v>
      </c>
      <c r="I445" s="1784" t="s">
        <v>6227</v>
      </c>
      <c r="J445" s="1785" t="s">
        <v>432</v>
      </c>
      <c r="K445" s="1786" t="s">
        <v>642</v>
      </c>
      <c r="L445" s="1787" t="e">
        <v>#REF!</v>
      </c>
      <c r="M445" s="1787">
        <v>47</v>
      </c>
      <c r="N445" s="1754"/>
      <c r="O445" s="1788"/>
      <c r="P445" s="1721" t="s">
        <v>9611</v>
      </c>
    </row>
    <row r="446" spans="1:16" ht="13.5" hidden="1" customHeight="1" outlineLevel="3" x14ac:dyDescent="0.2">
      <c r="A446" s="459">
        <v>0</v>
      </c>
      <c r="B446" s="459">
        <v>5</v>
      </c>
      <c r="C446" s="459">
        <v>4</v>
      </c>
      <c r="D446" s="460">
        <v>5</v>
      </c>
      <c r="E446" s="460">
        <v>2</v>
      </c>
      <c r="G446" s="1748" t="s">
        <v>43</v>
      </c>
      <c r="H446" s="1783" t="s">
        <v>1239</v>
      </c>
      <c r="I446" s="1784" t="s">
        <v>6228</v>
      </c>
      <c r="J446" s="1785" t="s">
        <v>434</v>
      </c>
      <c r="K446" s="1786" t="s">
        <v>642</v>
      </c>
      <c r="L446" s="1787" t="e">
        <v>#REF!</v>
      </c>
      <c r="M446" s="1787">
        <v>47</v>
      </c>
      <c r="N446" s="1754"/>
      <c r="O446" s="1788"/>
      <c r="P446" s="1721" t="s">
        <v>9611</v>
      </c>
    </row>
    <row r="447" spans="1:16" ht="13.5" hidden="1" customHeight="1" outlineLevel="3" x14ac:dyDescent="0.2">
      <c r="A447" s="459">
        <v>0</v>
      </c>
      <c r="B447" s="459">
        <v>5</v>
      </c>
      <c r="C447" s="459">
        <v>4</v>
      </c>
      <c r="D447" s="460">
        <v>5</v>
      </c>
      <c r="E447" s="460">
        <v>3</v>
      </c>
      <c r="G447" s="1748" t="s">
        <v>43</v>
      </c>
      <c r="H447" s="1783" t="s">
        <v>1239</v>
      </c>
      <c r="I447" s="1784" t="s">
        <v>6229</v>
      </c>
      <c r="J447" s="1751" t="s">
        <v>3522</v>
      </c>
      <c r="K447" s="1786" t="s">
        <v>642</v>
      </c>
      <c r="L447" s="1753" t="e">
        <v>#REF!</v>
      </c>
      <c r="M447" s="1787" t="e">
        <v>#REF!</v>
      </c>
      <c r="N447" s="1754"/>
      <c r="O447" s="1788"/>
      <c r="P447" s="1721" t="s">
        <v>9611</v>
      </c>
    </row>
    <row r="448" spans="1:16" ht="13.5" hidden="1" customHeight="1" outlineLevel="1" x14ac:dyDescent="0.2">
      <c r="A448" s="459">
        <v>0</v>
      </c>
      <c r="B448" s="459">
        <v>5</v>
      </c>
      <c r="C448" s="459">
        <v>5</v>
      </c>
      <c r="D448" s="460">
        <v>0</v>
      </c>
      <c r="E448" s="460">
        <v>3</v>
      </c>
      <c r="G448" s="1733"/>
      <c r="H448" s="1771" t="s">
        <v>39</v>
      </c>
      <c r="I448" s="1772" t="s">
        <v>6230</v>
      </c>
      <c r="J448" s="1773" t="s">
        <v>2775</v>
      </c>
      <c r="K448" s="1774"/>
      <c r="L448" s="1775"/>
      <c r="M448" s="1775"/>
      <c r="N448" s="1739"/>
      <c r="O448" s="1776"/>
      <c r="P448" s="1719"/>
    </row>
    <row r="449" spans="1:16" ht="13.5" hidden="1" customHeight="1" outlineLevel="2" x14ac:dyDescent="0.2">
      <c r="A449" s="459">
        <v>0</v>
      </c>
      <c r="B449" s="459">
        <v>5</v>
      </c>
      <c r="C449" s="459">
        <v>5</v>
      </c>
      <c r="D449" s="460">
        <v>1</v>
      </c>
      <c r="E449" s="460">
        <v>0</v>
      </c>
      <c r="G449" s="1740"/>
      <c r="H449" s="1777" t="s">
        <v>1238</v>
      </c>
      <c r="I449" s="1778" t="s">
        <v>6231</v>
      </c>
      <c r="J449" s="1779" t="s">
        <v>2756</v>
      </c>
      <c r="K449" s="1780"/>
      <c r="L449" s="1781"/>
      <c r="M449" s="1781"/>
      <c r="N449" s="1746"/>
      <c r="O449" s="1782"/>
      <c r="P449" s="1720"/>
    </row>
    <row r="450" spans="1:16" ht="13.5" hidden="1" customHeight="1" outlineLevel="3" x14ac:dyDescent="0.2">
      <c r="A450" s="459">
        <v>0</v>
      </c>
      <c r="B450" s="459">
        <v>5</v>
      </c>
      <c r="C450" s="459">
        <v>5</v>
      </c>
      <c r="D450" s="460">
        <v>1</v>
      </c>
      <c r="E450" s="460">
        <v>1</v>
      </c>
      <c r="G450" s="1748" t="s">
        <v>43</v>
      </c>
      <c r="H450" s="1783" t="s">
        <v>1239</v>
      </c>
      <c r="I450" s="1784" t="s">
        <v>6232</v>
      </c>
      <c r="J450" s="1785" t="s">
        <v>2751</v>
      </c>
      <c r="K450" s="1786" t="s">
        <v>642</v>
      </c>
      <c r="L450" s="1787" t="e">
        <v>#REF!</v>
      </c>
      <c r="M450" s="1787">
        <v>35.099999999999994</v>
      </c>
      <c r="N450" s="1754"/>
      <c r="O450" s="1788"/>
      <c r="P450" s="1721" t="s">
        <v>9611</v>
      </c>
    </row>
    <row r="451" spans="1:16" ht="13.5" hidden="1" customHeight="1" outlineLevel="2" x14ac:dyDescent="0.2">
      <c r="A451" s="459">
        <v>0</v>
      </c>
      <c r="B451" s="459">
        <v>5</v>
      </c>
      <c r="C451" s="459">
        <v>5</v>
      </c>
      <c r="D451" s="460">
        <v>2</v>
      </c>
      <c r="E451" s="460">
        <v>0</v>
      </c>
      <c r="G451" s="1740"/>
      <c r="H451" s="1777" t="s">
        <v>1238</v>
      </c>
      <c r="I451" s="1778" t="s">
        <v>6233</v>
      </c>
      <c r="J451" s="1779" t="s">
        <v>1313</v>
      </c>
      <c r="K451" s="1780"/>
      <c r="L451" s="1781"/>
      <c r="M451" s="1781"/>
      <c r="N451" s="1746"/>
      <c r="O451" s="1782"/>
      <c r="P451" s="1720"/>
    </row>
    <row r="452" spans="1:16" ht="13.5" hidden="1" customHeight="1" outlineLevel="3" x14ac:dyDescent="0.2">
      <c r="A452" s="459">
        <v>0</v>
      </c>
      <c r="B452" s="459">
        <v>5</v>
      </c>
      <c r="C452" s="459">
        <v>5</v>
      </c>
      <c r="D452" s="460">
        <v>2</v>
      </c>
      <c r="E452" s="460">
        <v>1</v>
      </c>
      <c r="G452" s="1748" t="s">
        <v>43</v>
      </c>
      <c r="H452" s="1783" t="s">
        <v>1239</v>
      </c>
      <c r="I452" s="1784" t="s">
        <v>6234</v>
      </c>
      <c r="J452" s="1785" t="s">
        <v>1326</v>
      </c>
      <c r="K452" s="1786" t="s">
        <v>642</v>
      </c>
      <c r="L452" s="1787" t="e">
        <v>#REF!</v>
      </c>
      <c r="M452" s="1787">
        <v>82.960000000000008</v>
      </c>
      <c r="N452" s="1754"/>
      <c r="O452" s="1788"/>
      <c r="P452" s="1721" t="s">
        <v>9611</v>
      </c>
    </row>
    <row r="453" spans="1:16" ht="13.5" hidden="1" customHeight="1" outlineLevel="2" x14ac:dyDescent="0.2">
      <c r="A453" s="459">
        <v>0</v>
      </c>
      <c r="B453" s="459">
        <v>5</v>
      </c>
      <c r="C453" s="459">
        <v>5</v>
      </c>
      <c r="D453" s="460">
        <v>3</v>
      </c>
      <c r="E453" s="460">
        <v>0</v>
      </c>
      <c r="G453" s="1740"/>
      <c r="H453" s="1777" t="s">
        <v>1238</v>
      </c>
      <c r="I453" s="1778" t="s">
        <v>6235</v>
      </c>
      <c r="J453" s="1779" t="s">
        <v>1252</v>
      </c>
      <c r="K453" s="1780"/>
      <c r="L453" s="1781"/>
      <c r="M453" s="1781"/>
      <c r="N453" s="1746"/>
      <c r="O453" s="1782"/>
      <c r="P453" s="1720"/>
    </row>
    <row r="454" spans="1:16" ht="13.5" hidden="1" customHeight="1" outlineLevel="3" x14ac:dyDescent="0.2">
      <c r="A454" s="459">
        <v>0</v>
      </c>
      <c r="B454" s="459">
        <v>5</v>
      </c>
      <c r="C454" s="459">
        <v>5</v>
      </c>
      <c r="D454" s="460">
        <v>3</v>
      </c>
      <c r="E454" s="460">
        <v>1</v>
      </c>
      <c r="G454" s="1748" t="s">
        <v>43</v>
      </c>
      <c r="H454" s="1783" t="s">
        <v>1239</v>
      </c>
      <c r="I454" s="1784" t="s">
        <v>6236</v>
      </c>
      <c r="J454" s="1785" t="s">
        <v>1253</v>
      </c>
      <c r="K454" s="1786" t="s">
        <v>788</v>
      </c>
      <c r="L454" s="1787" t="e">
        <v>#REF!</v>
      </c>
      <c r="M454" s="1787">
        <v>14.787500000000001</v>
      </c>
      <c r="N454" s="1754"/>
      <c r="O454" s="1788"/>
      <c r="P454" s="1721" t="s">
        <v>9611</v>
      </c>
    </row>
    <row r="455" spans="1:16" ht="13.5" hidden="1" customHeight="1" outlineLevel="3" x14ac:dyDescent="0.2">
      <c r="A455" s="459">
        <v>0</v>
      </c>
      <c r="B455" s="459">
        <v>5</v>
      </c>
      <c r="C455" s="459">
        <v>5</v>
      </c>
      <c r="D455" s="460">
        <v>3</v>
      </c>
      <c r="E455" s="460">
        <v>2</v>
      </c>
      <c r="G455" s="1748" t="s">
        <v>43</v>
      </c>
      <c r="H455" s="1783" t="s">
        <v>1239</v>
      </c>
      <c r="I455" s="1784" t="s">
        <v>6237</v>
      </c>
      <c r="J455" s="1785" t="s">
        <v>393</v>
      </c>
      <c r="K455" s="1786" t="s">
        <v>534</v>
      </c>
      <c r="L455" s="1787" t="e">
        <v>#REF!</v>
      </c>
      <c r="M455" s="1787">
        <v>4.1071999999999997</v>
      </c>
      <c r="N455" s="1754"/>
      <c r="O455" s="1788"/>
      <c r="P455" s="1721" t="s">
        <v>9611</v>
      </c>
    </row>
    <row r="456" spans="1:16" ht="13.5" hidden="1" customHeight="1" outlineLevel="3" x14ac:dyDescent="0.2">
      <c r="A456" s="459">
        <v>0</v>
      </c>
      <c r="B456" s="459">
        <v>5</v>
      </c>
      <c r="C456" s="459">
        <v>5</v>
      </c>
      <c r="D456" s="460">
        <v>3</v>
      </c>
      <c r="E456" s="460">
        <v>3</v>
      </c>
      <c r="G456" s="1748" t="s">
        <v>43</v>
      </c>
      <c r="H456" s="1783" t="s">
        <v>1239</v>
      </c>
      <c r="I456" s="1784" t="s">
        <v>6238</v>
      </c>
      <c r="J456" s="1785" t="s">
        <v>397</v>
      </c>
      <c r="K456" s="1786" t="s">
        <v>788</v>
      </c>
      <c r="L456" s="1787" t="e">
        <v>#REF!</v>
      </c>
      <c r="M456" s="1787">
        <v>79.403675710539517</v>
      </c>
      <c r="N456" s="1754"/>
      <c r="O456" s="1788"/>
      <c r="P456" s="1721" t="s">
        <v>9611</v>
      </c>
    </row>
    <row r="457" spans="1:16" ht="13.5" hidden="1" customHeight="1" outlineLevel="2" x14ac:dyDescent="0.2">
      <c r="A457" s="459">
        <v>0</v>
      </c>
      <c r="B457" s="459">
        <v>5</v>
      </c>
      <c r="C457" s="459">
        <v>5</v>
      </c>
      <c r="D457" s="460">
        <v>4</v>
      </c>
      <c r="E457" s="460">
        <v>0</v>
      </c>
      <c r="G457" s="1740"/>
      <c r="H457" s="1777" t="s">
        <v>1238</v>
      </c>
      <c r="I457" s="1778" t="s">
        <v>6239</v>
      </c>
      <c r="J457" s="1779" t="s">
        <v>1330</v>
      </c>
      <c r="K457" s="1780"/>
      <c r="L457" s="1781"/>
      <c r="M457" s="1781"/>
      <c r="N457" s="1746"/>
      <c r="O457" s="1782"/>
      <c r="P457" s="1720"/>
    </row>
    <row r="458" spans="1:16" ht="13.5" hidden="1" customHeight="1" outlineLevel="3" x14ac:dyDescent="0.2">
      <c r="A458" s="459">
        <v>0</v>
      </c>
      <c r="B458" s="459">
        <v>5</v>
      </c>
      <c r="C458" s="459">
        <v>5</v>
      </c>
      <c r="D458" s="460">
        <v>4</v>
      </c>
      <c r="E458" s="460">
        <v>1</v>
      </c>
      <c r="G458" s="1748" t="s">
        <v>43</v>
      </c>
      <c r="H458" s="1783" t="s">
        <v>1239</v>
      </c>
      <c r="I458" s="1784" t="s">
        <v>6240</v>
      </c>
      <c r="J458" s="1751" t="s">
        <v>3512</v>
      </c>
      <c r="K458" s="1786" t="s">
        <v>642</v>
      </c>
      <c r="L458" s="1787" t="e">
        <v>#REF!</v>
      </c>
      <c r="M458" s="1787">
        <v>95.867556999999991</v>
      </c>
      <c r="N458" s="1754"/>
      <c r="O458" s="1788"/>
      <c r="P458" s="1721" t="s">
        <v>9611</v>
      </c>
    </row>
    <row r="459" spans="1:16" ht="13.5" hidden="1" customHeight="1" outlineLevel="3" x14ac:dyDescent="0.2">
      <c r="A459" s="459">
        <v>0</v>
      </c>
      <c r="B459" s="459">
        <v>5</v>
      </c>
      <c r="C459" s="459">
        <v>5</v>
      </c>
      <c r="D459" s="460">
        <v>4</v>
      </c>
      <c r="E459" s="460">
        <v>2</v>
      </c>
      <c r="G459" s="1748" t="s">
        <v>43</v>
      </c>
      <c r="H459" s="1783" t="s">
        <v>1239</v>
      </c>
      <c r="I459" s="1784" t="s">
        <v>6241</v>
      </c>
      <c r="J459" s="1751" t="s">
        <v>3513</v>
      </c>
      <c r="K459" s="1786" t="s">
        <v>642</v>
      </c>
      <c r="L459" s="1787" t="e">
        <v>#REF!</v>
      </c>
      <c r="M459" s="1787">
        <v>96.523220999999992</v>
      </c>
      <c r="N459" s="1754"/>
      <c r="O459" s="1788"/>
      <c r="P459" s="1721" t="s">
        <v>9611</v>
      </c>
    </row>
    <row r="460" spans="1:16" ht="13.5" hidden="1" customHeight="1" outlineLevel="3" x14ac:dyDescent="0.2">
      <c r="A460" s="459">
        <v>0</v>
      </c>
      <c r="B460" s="459">
        <v>5</v>
      </c>
      <c r="C460" s="459">
        <v>5</v>
      </c>
      <c r="D460" s="460">
        <v>4</v>
      </c>
      <c r="E460" s="460">
        <v>3</v>
      </c>
      <c r="G460" s="1748" t="s">
        <v>43</v>
      </c>
      <c r="H460" s="1783" t="s">
        <v>1239</v>
      </c>
      <c r="I460" s="1784" t="s">
        <v>6242</v>
      </c>
      <c r="J460" s="1751" t="s">
        <v>3516</v>
      </c>
      <c r="K460" s="1786" t="s">
        <v>642</v>
      </c>
      <c r="L460" s="1787" t="e">
        <v>#REF!</v>
      </c>
      <c r="M460" s="1787">
        <v>165.70309900000001</v>
      </c>
      <c r="N460" s="1754"/>
      <c r="O460" s="1788"/>
      <c r="P460" s="1721" t="s">
        <v>9611</v>
      </c>
    </row>
    <row r="461" spans="1:16" ht="13.5" hidden="1" customHeight="1" outlineLevel="2" x14ac:dyDescent="0.2">
      <c r="A461" s="459">
        <v>0</v>
      </c>
      <c r="B461" s="459">
        <v>5</v>
      </c>
      <c r="C461" s="459">
        <v>5</v>
      </c>
      <c r="D461" s="460">
        <v>5</v>
      </c>
      <c r="E461" s="460">
        <v>0</v>
      </c>
      <c r="G461" s="1740"/>
      <c r="H461" s="1777" t="s">
        <v>1238</v>
      </c>
      <c r="I461" s="1778" t="s">
        <v>6243</v>
      </c>
      <c r="J461" s="1779" t="s">
        <v>15</v>
      </c>
      <c r="K461" s="1780"/>
      <c r="L461" s="1781"/>
      <c r="M461" s="1781"/>
      <c r="N461" s="1746"/>
      <c r="O461" s="1782"/>
      <c r="P461" s="1720"/>
    </row>
    <row r="462" spans="1:16" ht="13.5" hidden="1" customHeight="1" outlineLevel="3" x14ac:dyDescent="0.2">
      <c r="A462" s="459">
        <v>0</v>
      </c>
      <c r="B462" s="459">
        <v>5</v>
      </c>
      <c r="C462" s="459">
        <v>5</v>
      </c>
      <c r="D462" s="460">
        <v>5</v>
      </c>
      <c r="E462" s="460">
        <v>1</v>
      </c>
      <c r="G462" s="1748" t="s">
        <v>43</v>
      </c>
      <c r="H462" s="1783" t="s">
        <v>1239</v>
      </c>
      <c r="I462" s="1784" t="s">
        <v>6244</v>
      </c>
      <c r="J462" s="1785" t="s">
        <v>432</v>
      </c>
      <c r="K462" s="1786" t="s">
        <v>642</v>
      </c>
      <c r="L462" s="1787" t="e">
        <v>#REF!</v>
      </c>
      <c r="M462" s="1787">
        <v>47</v>
      </c>
      <c r="N462" s="1754"/>
      <c r="O462" s="1788"/>
      <c r="P462" s="1721" t="s">
        <v>9611</v>
      </c>
    </row>
    <row r="463" spans="1:16" ht="13.5" hidden="1" customHeight="1" outlineLevel="3" x14ac:dyDescent="0.2">
      <c r="A463" s="459">
        <v>0</v>
      </c>
      <c r="B463" s="459">
        <v>5</v>
      </c>
      <c r="C463" s="459">
        <v>5</v>
      </c>
      <c r="D463" s="460">
        <v>5</v>
      </c>
      <c r="E463" s="460">
        <v>2</v>
      </c>
      <c r="G463" s="1748" t="s">
        <v>43</v>
      </c>
      <c r="H463" s="1783" t="s">
        <v>1239</v>
      </c>
      <c r="I463" s="1784" t="s">
        <v>6245</v>
      </c>
      <c r="J463" s="1785" t="s">
        <v>434</v>
      </c>
      <c r="K463" s="1786" t="s">
        <v>642</v>
      </c>
      <c r="L463" s="1787" t="e">
        <v>#REF!</v>
      </c>
      <c r="M463" s="1787">
        <v>47</v>
      </c>
      <c r="N463" s="1754"/>
      <c r="O463" s="1788"/>
      <c r="P463" s="1721" t="s">
        <v>9611</v>
      </c>
    </row>
    <row r="464" spans="1:16" ht="13.5" hidden="1" customHeight="1" outlineLevel="3" x14ac:dyDescent="0.2">
      <c r="A464" s="459">
        <v>0</v>
      </c>
      <c r="B464" s="459">
        <v>5</v>
      </c>
      <c r="C464" s="459">
        <v>5</v>
      </c>
      <c r="D464" s="460">
        <v>5</v>
      </c>
      <c r="E464" s="460">
        <v>3</v>
      </c>
      <c r="G464" s="1748" t="s">
        <v>43</v>
      </c>
      <c r="H464" s="1783" t="s">
        <v>1239</v>
      </c>
      <c r="I464" s="1784" t="s">
        <v>6246</v>
      </c>
      <c r="J464" s="1751" t="s">
        <v>3522</v>
      </c>
      <c r="K464" s="1786" t="s">
        <v>642</v>
      </c>
      <c r="L464" s="1753" t="e">
        <v>#REF!</v>
      </c>
      <c r="M464" s="1787" t="e">
        <v>#REF!</v>
      </c>
      <c r="N464" s="1754"/>
      <c r="O464" s="1788"/>
      <c r="P464" s="1721" t="s">
        <v>9611</v>
      </c>
    </row>
    <row r="465" spans="1:16" ht="13.5" hidden="1" customHeight="1" outlineLevel="1" x14ac:dyDescent="0.2">
      <c r="A465" s="459">
        <v>0</v>
      </c>
      <c r="B465" s="459">
        <v>5</v>
      </c>
      <c r="C465" s="459">
        <v>6</v>
      </c>
      <c r="D465" s="460">
        <v>0</v>
      </c>
      <c r="E465" s="460">
        <v>3</v>
      </c>
      <c r="G465" s="1733"/>
      <c r="H465" s="1771" t="s">
        <v>39</v>
      </c>
      <c r="I465" s="1772" t="s">
        <v>6247</v>
      </c>
      <c r="J465" s="1773" t="s">
        <v>2776</v>
      </c>
      <c r="K465" s="1774"/>
      <c r="L465" s="1775"/>
      <c r="M465" s="1775"/>
      <c r="N465" s="1739"/>
      <c r="O465" s="1776"/>
      <c r="P465" s="1719"/>
    </row>
    <row r="466" spans="1:16" ht="13.5" hidden="1" customHeight="1" outlineLevel="2" x14ac:dyDescent="0.2">
      <c r="A466" s="459">
        <v>0</v>
      </c>
      <c r="B466" s="459">
        <v>5</v>
      </c>
      <c r="C466" s="459">
        <v>6</v>
      </c>
      <c r="D466" s="460">
        <v>1</v>
      </c>
      <c r="E466" s="460">
        <v>0</v>
      </c>
      <c r="G466" s="1740"/>
      <c r="H466" s="1777" t="s">
        <v>1238</v>
      </c>
      <c r="I466" s="1778" t="s">
        <v>6248</v>
      </c>
      <c r="J466" s="1779" t="s">
        <v>2756</v>
      </c>
      <c r="K466" s="1780"/>
      <c r="L466" s="1781"/>
      <c r="M466" s="1781"/>
      <c r="N466" s="1746"/>
      <c r="O466" s="1782"/>
      <c r="P466" s="1720"/>
    </row>
    <row r="467" spans="1:16" ht="13.5" hidden="1" customHeight="1" outlineLevel="3" x14ac:dyDescent="0.2">
      <c r="A467" s="459">
        <v>0</v>
      </c>
      <c r="B467" s="459">
        <v>5</v>
      </c>
      <c r="C467" s="459">
        <v>6</v>
      </c>
      <c r="D467" s="460">
        <v>1</v>
      </c>
      <c r="E467" s="460">
        <v>1</v>
      </c>
      <c r="G467" s="1748" t="s">
        <v>43</v>
      </c>
      <c r="H467" s="1783" t="s">
        <v>1239</v>
      </c>
      <c r="I467" s="1784" t="s">
        <v>6249</v>
      </c>
      <c r="J467" s="1785" t="s">
        <v>2751</v>
      </c>
      <c r="K467" s="1786" t="s">
        <v>642</v>
      </c>
      <c r="L467" s="1787" t="e">
        <v>#REF!</v>
      </c>
      <c r="M467" s="1787">
        <v>35.099999999999994</v>
      </c>
      <c r="N467" s="1754"/>
      <c r="O467" s="1788"/>
      <c r="P467" s="1721" t="s">
        <v>9611</v>
      </c>
    </row>
    <row r="468" spans="1:16" ht="13.5" hidden="1" customHeight="1" outlineLevel="2" x14ac:dyDescent="0.2">
      <c r="A468" s="459">
        <v>0</v>
      </c>
      <c r="B468" s="459">
        <v>5</v>
      </c>
      <c r="C468" s="459">
        <v>6</v>
      </c>
      <c r="D468" s="460">
        <v>2</v>
      </c>
      <c r="E468" s="460">
        <v>0</v>
      </c>
      <c r="G468" s="1740"/>
      <c r="H468" s="1777" t="s">
        <v>1238</v>
      </c>
      <c r="I468" s="1778" t="s">
        <v>6250</v>
      </c>
      <c r="J468" s="1779" t="s">
        <v>1313</v>
      </c>
      <c r="K468" s="1780"/>
      <c r="L468" s="1781"/>
      <c r="M468" s="1781"/>
      <c r="N468" s="1746"/>
      <c r="O468" s="1782"/>
      <c r="P468" s="1720"/>
    </row>
    <row r="469" spans="1:16" ht="13.5" hidden="1" customHeight="1" outlineLevel="3" x14ac:dyDescent="0.2">
      <c r="A469" s="459">
        <v>0</v>
      </c>
      <c r="B469" s="459">
        <v>5</v>
      </c>
      <c r="C469" s="459">
        <v>6</v>
      </c>
      <c r="D469" s="460">
        <v>2</v>
      </c>
      <c r="E469" s="460">
        <v>1</v>
      </c>
      <c r="G469" s="1748" t="s">
        <v>43</v>
      </c>
      <c r="H469" s="1783" t="s">
        <v>1239</v>
      </c>
      <c r="I469" s="1784" t="s">
        <v>6251</v>
      </c>
      <c r="J469" s="1785" t="s">
        <v>1326</v>
      </c>
      <c r="K469" s="1786" t="s">
        <v>642</v>
      </c>
      <c r="L469" s="1787" t="e">
        <v>#REF!</v>
      </c>
      <c r="M469" s="1787">
        <v>82.960000000000008</v>
      </c>
      <c r="N469" s="1754"/>
      <c r="O469" s="1788"/>
      <c r="P469" s="1721" t="s">
        <v>9611</v>
      </c>
    </row>
    <row r="470" spans="1:16" ht="13.5" hidden="1" customHeight="1" outlineLevel="2" x14ac:dyDescent="0.2">
      <c r="A470" s="459">
        <v>0</v>
      </c>
      <c r="B470" s="459">
        <v>5</v>
      </c>
      <c r="C470" s="459">
        <v>6</v>
      </c>
      <c r="D470" s="460">
        <v>3</v>
      </c>
      <c r="E470" s="460">
        <v>0</v>
      </c>
      <c r="G470" s="1740"/>
      <c r="H470" s="1777" t="s">
        <v>1238</v>
      </c>
      <c r="I470" s="1778" t="s">
        <v>6252</v>
      </c>
      <c r="J470" s="1779" t="s">
        <v>1252</v>
      </c>
      <c r="K470" s="1780"/>
      <c r="L470" s="1781"/>
      <c r="M470" s="1781"/>
      <c r="N470" s="1746"/>
      <c r="O470" s="1782"/>
      <c r="P470" s="1720"/>
    </row>
    <row r="471" spans="1:16" ht="13.5" hidden="1" customHeight="1" outlineLevel="3" x14ac:dyDescent="0.2">
      <c r="A471" s="459">
        <v>0</v>
      </c>
      <c r="B471" s="459">
        <v>5</v>
      </c>
      <c r="C471" s="459">
        <v>6</v>
      </c>
      <c r="D471" s="460">
        <v>3</v>
      </c>
      <c r="E471" s="460">
        <v>1</v>
      </c>
      <c r="G471" s="1748" t="s">
        <v>43</v>
      </c>
      <c r="H471" s="1783" t="s">
        <v>1239</v>
      </c>
      <c r="I471" s="1784" t="s">
        <v>6253</v>
      </c>
      <c r="J471" s="1785" t="s">
        <v>1253</v>
      </c>
      <c r="K471" s="1786" t="s">
        <v>788</v>
      </c>
      <c r="L471" s="1787" t="e">
        <v>#REF!</v>
      </c>
      <c r="M471" s="1787">
        <v>14.787500000000001</v>
      </c>
      <c r="N471" s="1754"/>
      <c r="O471" s="1788"/>
      <c r="P471" s="1721" t="s">
        <v>9611</v>
      </c>
    </row>
    <row r="472" spans="1:16" ht="13.5" hidden="1" customHeight="1" outlineLevel="3" x14ac:dyDescent="0.2">
      <c r="A472" s="459">
        <v>0</v>
      </c>
      <c r="B472" s="459">
        <v>5</v>
      </c>
      <c r="C472" s="459">
        <v>6</v>
      </c>
      <c r="D472" s="460">
        <v>3</v>
      </c>
      <c r="E472" s="460">
        <v>2</v>
      </c>
      <c r="G472" s="1748" t="s">
        <v>43</v>
      </c>
      <c r="H472" s="1783" t="s">
        <v>1239</v>
      </c>
      <c r="I472" s="1784" t="s">
        <v>6254</v>
      </c>
      <c r="J472" s="1785" t="s">
        <v>393</v>
      </c>
      <c r="K472" s="1786" t="s">
        <v>534</v>
      </c>
      <c r="L472" s="1787" t="e">
        <v>#REF!</v>
      </c>
      <c r="M472" s="1787">
        <v>4.1071999999999997</v>
      </c>
      <c r="N472" s="1754"/>
      <c r="O472" s="1788"/>
      <c r="P472" s="1721" t="s">
        <v>9611</v>
      </c>
    </row>
    <row r="473" spans="1:16" ht="13.5" hidden="1" customHeight="1" outlineLevel="3" x14ac:dyDescent="0.2">
      <c r="A473" s="459">
        <v>0</v>
      </c>
      <c r="B473" s="459">
        <v>5</v>
      </c>
      <c r="C473" s="459">
        <v>6</v>
      </c>
      <c r="D473" s="460">
        <v>3</v>
      </c>
      <c r="E473" s="460">
        <v>3</v>
      </c>
      <c r="G473" s="1748" t="s">
        <v>43</v>
      </c>
      <c r="H473" s="1783" t="s">
        <v>1239</v>
      </c>
      <c r="I473" s="1784" t="s">
        <v>6255</v>
      </c>
      <c r="J473" s="1785" t="s">
        <v>397</v>
      </c>
      <c r="K473" s="1786" t="s">
        <v>788</v>
      </c>
      <c r="L473" s="1787" t="e">
        <v>#REF!</v>
      </c>
      <c r="M473" s="1787">
        <v>79.403675710539517</v>
      </c>
      <c r="N473" s="1754"/>
      <c r="O473" s="1788"/>
      <c r="P473" s="1721" t="s">
        <v>9611</v>
      </c>
    </row>
    <row r="474" spans="1:16" ht="13.5" hidden="1" customHeight="1" outlineLevel="2" x14ac:dyDescent="0.2">
      <c r="A474" s="459">
        <v>0</v>
      </c>
      <c r="B474" s="459">
        <v>5</v>
      </c>
      <c r="C474" s="459">
        <v>6</v>
      </c>
      <c r="D474" s="460">
        <v>4</v>
      </c>
      <c r="E474" s="460">
        <v>0</v>
      </c>
      <c r="G474" s="1740"/>
      <c r="H474" s="1777" t="s">
        <v>1238</v>
      </c>
      <c r="I474" s="1778" t="s">
        <v>6256</v>
      </c>
      <c r="J474" s="1779" t="s">
        <v>1330</v>
      </c>
      <c r="K474" s="1780"/>
      <c r="L474" s="1781"/>
      <c r="M474" s="1781"/>
      <c r="N474" s="1746"/>
      <c r="O474" s="1782"/>
      <c r="P474" s="1720"/>
    </row>
    <row r="475" spans="1:16" ht="13.5" hidden="1" customHeight="1" outlineLevel="3" x14ac:dyDescent="0.2">
      <c r="A475" s="459">
        <v>0</v>
      </c>
      <c r="B475" s="459">
        <v>5</v>
      </c>
      <c r="C475" s="459">
        <v>6</v>
      </c>
      <c r="D475" s="460">
        <v>4</v>
      </c>
      <c r="E475" s="460">
        <v>1</v>
      </c>
      <c r="G475" s="1748" t="s">
        <v>43</v>
      </c>
      <c r="H475" s="1783" t="s">
        <v>1239</v>
      </c>
      <c r="I475" s="1784" t="s">
        <v>6257</v>
      </c>
      <c r="J475" s="1751" t="s">
        <v>3512</v>
      </c>
      <c r="K475" s="1786" t="s">
        <v>642</v>
      </c>
      <c r="L475" s="1787" t="e">
        <v>#REF!</v>
      </c>
      <c r="M475" s="1787">
        <v>95.867556999999991</v>
      </c>
      <c r="N475" s="1754"/>
      <c r="O475" s="1788"/>
      <c r="P475" s="1721" t="s">
        <v>9611</v>
      </c>
    </row>
    <row r="476" spans="1:16" ht="13.5" hidden="1" customHeight="1" outlineLevel="3" x14ac:dyDescent="0.2">
      <c r="A476" s="459">
        <v>0</v>
      </c>
      <c r="B476" s="459">
        <v>5</v>
      </c>
      <c r="C476" s="459">
        <v>6</v>
      </c>
      <c r="D476" s="460">
        <v>4</v>
      </c>
      <c r="E476" s="460">
        <v>2</v>
      </c>
      <c r="G476" s="1748" t="s">
        <v>43</v>
      </c>
      <c r="H476" s="1783" t="s">
        <v>1239</v>
      </c>
      <c r="I476" s="1784" t="s">
        <v>6258</v>
      </c>
      <c r="J476" s="1751" t="s">
        <v>3513</v>
      </c>
      <c r="K476" s="1786" t="s">
        <v>642</v>
      </c>
      <c r="L476" s="1787" t="e">
        <v>#REF!</v>
      </c>
      <c r="M476" s="1787">
        <v>96.523220999999992</v>
      </c>
      <c r="N476" s="1754"/>
      <c r="O476" s="1788"/>
      <c r="P476" s="1721" t="s">
        <v>9611</v>
      </c>
    </row>
    <row r="477" spans="1:16" ht="13.5" hidden="1" customHeight="1" outlineLevel="3" x14ac:dyDescent="0.2">
      <c r="A477" s="459">
        <v>0</v>
      </c>
      <c r="B477" s="459">
        <v>5</v>
      </c>
      <c r="C477" s="459">
        <v>6</v>
      </c>
      <c r="D477" s="460">
        <v>4</v>
      </c>
      <c r="E477" s="460">
        <v>3</v>
      </c>
      <c r="G477" s="1748" t="s">
        <v>43</v>
      </c>
      <c r="H477" s="1783" t="s">
        <v>1239</v>
      </c>
      <c r="I477" s="1784" t="s">
        <v>6259</v>
      </c>
      <c r="J477" s="1751" t="s">
        <v>3516</v>
      </c>
      <c r="K477" s="1786" t="s">
        <v>642</v>
      </c>
      <c r="L477" s="1787" t="e">
        <v>#REF!</v>
      </c>
      <c r="M477" s="1787">
        <v>165.70309900000001</v>
      </c>
      <c r="N477" s="1754"/>
      <c r="O477" s="1788"/>
      <c r="P477" s="1721" t="s">
        <v>9611</v>
      </c>
    </row>
    <row r="478" spans="1:16" ht="13.5" hidden="1" customHeight="1" outlineLevel="2" x14ac:dyDescent="0.2">
      <c r="A478" s="459">
        <v>0</v>
      </c>
      <c r="B478" s="459">
        <v>5</v>
      </c>
      <c r="C478" s="459">
        <v>6</v>
      </c>
      <c r="D478" s="460">
        <v>5</v>
      </c>
      <c r="E478" s="460">
        <v>0</v>
      </c>
      <c r="G478" s="1740"/>
      <c r="H478" s="1777" t="s">
        <v>1238</v>
      </c>
      <c r="I478" s="1778" t="s">
        <v>6260</v>
      </c>
      <c r="J478" s="1779" t="s">
        <v>15</v>
      </c>
      <c r="K478" s="1780"/>
      <c r="L478" s="1781"/>
      <c r="M478" s="1781"/>
      <c r="N478" s="1746"/>
      <c r="O478" s="1782"/>
      <c r="P478" s="1720"/>
    </row>
    <row r="479" spans="1:16" ht="13.5" hidden="1" customHeight="1" outlineLevel="3" x14ac:dyDescent="0.2">
      <c r="A479" s="459">
        <v>0</v>
      </c>
      <c r="B479" s="459">
        <v>5</v>
      </c>
      <c r="C479" s="459">
        <v>6</v>
      </c>
      <c r="D479" s="460">
        <v>5</v>
      </c>
      <c r="E479" s="460">
        <v>1</v>
      </c>
      <c r="G479" s="1748" t="s">
        <v>43</v>
      </c>
      <c r="H479" s="1783" t="s">
        <v>1239</v>
      </c>
      <c r="I479" s="1784" t="s">
        <v>6261</v>
      </c>
      <c r="J479" s="1785" t="s">
        <v>432</v>
      </c>
      <c r="K479" s="1786" t="s">
        <v>642</v>
      </c>
      <c r="L479" s="1787" t="e">
        <v>#REF!</v>
      </c>
      <c r="M479" s="1787">
        <v>47</v>
      </c>
      <c r="N479" s="1754"/>
      <c r="O479" s="1788"/>
      <c r="P479" s="1721" t="s">
        <v>9611</v>
      </c>
    </row>
    <row r="480" spans="1:16" ht="13.5" hidden="1" customHeight="1" outlineLevel="3" x14ac:dyDescent="0.2">
      <c r="A480" s="459">
        <v>0</v>
      </c>
      <c r="B480" s="459">
        <v>5</v>
      </c>
      <c r="C480" s="459">
        <v>6</v>
      </c>
      <c r="D480" s="460">
        <v>5</v>
      </c>
      <c r="E480" s="460">
        <v>2</v>
      </c>
      <c r="G480" s="1748" t="s">
        <v>43</v>
      </c>
      <c r="H480" s="1783" t="s">
        <v>1239</v>
      </c>
      <c r="I480" s="1784" t="s">
        <v>6262</v>
      </c>
      <c r="J480" s="1785" t="s">
        <v>434</v>
      </c>
      <c r="K480" s="1786" t="s">
        <v>642</v>
      </c>
      <c r="L480" s="1787" t="e">
        <v>#REF!</v>
      </c>
      <c r="M480" s="1787">
        <v>47</v>
      </c>
      <c r="N480" s="1754"/>
      <c r="O480" s="1788"/>
      <c r="P480" s="1721" t="s">
        <v>9611</v>
      </c>
    </row>
    <row r="481" spans="1:16" ht="13.5" hidden="1" customHeight="1" outlineLevel="3" x14ac:dyDescent="0.2">
      <c r="A481" s="459">
        <v>0</v>
      </c>
      <c r="B481" s="459">
        <v>5</v>
      </c>
      <c r="C481" s="459">
        <v>6</v>
      </c>
      <c r="D481" s="460">
        <v>5</v>
      </c>
      <c r="E481" s="460">
        <v>3</v>
      </c>
      <c r="G481" s="1748" t="s">
        <v>43</v>
      </c>
      <c r="H481" s="1783" t="s">
        <v>1239</v>
      </c>
      <c r="I481" s="1784" t="s">
        <v>6263</v>
      </c>
      <c r="J481" s="1751" t="s">
        <v>3522</v>
      </c>
      <c r="K481" s="1786" t="s">
        <v>642</v>
      </c>
      <c r="L481" s="1753" t="e">
        <v>#REF!</v>
      </c>
      <c r="M481" s="1787" t="e">
        <v>#REF!</v>
      </c>
      <c r="N481" s="1754"/>
      <c r="O481" s="1788"/>
      <c r="P481" s="1721" t="s">
        <v>9611</v>
      </c>
    </row>
    <row r="482" spans="1:16" ht="13.5" hidden="1" customHeight="1" outlineLevel="1" x14ac:dyDescent="0.2">
      <c r="A482" s="459">
        <v>0</v>
      </c>
      <c r="B482" s="459">
        <v>5</v>
      </c>
      <c r="C482" s="459">
        <v>7</v>
      </c>
      <c r="D482" s="460">
        <v>0</v>
      </c>
      <c r="E482" s="460">
        <v>3</v>
      </c>
      <c r="G482" s="1733"/>
      <c r="H482" s="1771" t="s">
        <v>39</v>
      </c>
      <c r="I482" s="1772" t="s">
        <v>6264</v>
      </c>
      <c r="J482" s="1773" t="s">
        <v>2777</v>
      </c>
      <c r="K482" s="1774"/>
      <c r="L482" s="1775"/>
      <c r="M482" s="1775"/>
      <c r="N482" s="1739"/>
      <c r="O482" s="1776"/>
      <c r="P482" s="1719"/>
    </row>
    <row r="483" spans="1:16" ht="13.5" hidden="1" customHeight="1" outlineLevel="2" x14ac:dyDescent="0.2">
      <c r="A483" s="459">
        <v>0</v>
      </c>
      <c r="B483" s="459">
        <v>5</v>
      </c>
      <c r="C483" s="459">
        <v>7</v>
      </c>
      <c r="D483" s="460">
        <v>1</v>
      </c>
      <c r="E483" s="460">
        <v>0</v>
      </c>
      <c r="G483" s="1740"/>
      <c r="H483" s="1777" t="s">
        <v>1238</v>
      </c>
      <c r="I483" s="1778" t="s">
        <v>6265</v>
      </c>
      <c r="J483" s="1779" t="s">
        <v>2756</v>
      </c>
      <c r="K483" s="1780"/>
      <c r="L483" s="1781"/>
      <c r="M483" s="1781"/>
      <c r="N483" s="1746"/>
      <c r="O483" s="1782"/>
      <c r="P483" s="1720"/>
    </row>
    <row r="484" spans="1:16" ht="13.5" hidden="1" customHeight="1" outlineLevel="3" x14ac:dyDescent="0.2">
      <c r="A484" s="459">
        <v>0</v>
      </c>
      <c r="B484" s="459">
        <v>5</v>
      </c>
      <c r="C484" s="459">
        <v>7</v>
      </c>
      <c r="D484" s="460">
        <v>1</v>
      </c>
      <c r="E484" s="460">
        <v>1</v>
      </c>
      <c r="G484" s="1748" t="s">
        <v>43</v>
      </c>
      <c r="H484" s="1783" t="s">
        <v>1239</v>
      </c>
      <c r="I484" s="1784" t="s">
        <v>6266</v>
      </c>
      <c r="J484" s="1785" t="s">
        <v>2751</v>
      </c>
      <c r="K484" s="1786" t="s">
        <v>642</v>
      </c>
      <c r="L484" s="1787" t="e">
        <v>#REF!</v>
      </c>
      <c r="M484" s="1787">
        <v>35.099999999999994</v>
      </c>
      <c r="N484" s="1754"/>
      <c r="O484" s="1788"/>
      <c r="P484" s="1721" t="s">
        <v>9611</v>
      </c>
    </row>
    <row r="485" spans="1:16" ht="13.5" hidden="1" customHeight="1" outlineLevel="2" x14ac:dyDescent="0.2">
      <c r="A485" s="459">
        <v>0</v>
      </c>
      <c r="B485" s="459">
        <v>5</v>
      </c>
      <c r="C485" s="459">
        <v>7</v>
      </c>
      <c r="D485" s="460">
        <v>2</v>
      </c>
      <c r="E485" s="460">
        <v>0</v>
      </c>
      <c r="G485" s="1740"/>
      <c r="H485" s="1777" t="s">
        <v>1238</v>
      </c>
      <c r="I485" s="1778" t="s">
        <v>6267</v>
      </c>
      <c r="J485" s="1779" t="s">
        <v>1313</v>
      </c>
      <c r="K485" s="1780"/>
      <c r="L485" s="1781"/>
      <c r="M485" s="1781"/>
      <c r="N485" s="1746"/>
      <c r="O485" s="1782"/>
      <c r="P485" s="1720"/>
    </row>
    <row r="486" spans="1:16" ht="13.5" hidden="1" customHeight="1" outlineLevel="3" x14ac:dyDescent="0.2">
      <c r="A486" s="459">
        <v>0</v>
      </c>
      <c r="B486" s="459">
        <v>5</v>
      </c>
      <c r="C486" s="459">
        <v>7</v>
      </c>
      <c r="D486" s="460">
        <v>2</v>
      </c>
      <c r="E486" s="460">
        <v>1</v>
      </c>
      <c r="G486" s="1748" t="s">
        <v>43</v>
      </c>
      <c r="H486" s="1783" t="s">
        <v>1239</v>
      </c>
      <c r="I486" s="1784" t="s">
        <v>6268</v>
      </c>
      <c r="J486" s="1785" t="s">
        <v>1326</v>
      </c>
      <c r="K486" s="1786" t="s">
        <v>642</v>
      </c>
      <c r="L486" s="1787" t="e">
        <v>#REF!</v>
      </c>
      <c r="M486" s="1787">
        <v>82.960000000000008</v>
      </c>
      <c r="N486" s="1754"/>
      <c r="O486" s="1788"/>
      <c r="P486" s="1721" t="s">
        <v>9611</v>
      </c>
    </row>
    <row r="487" spans="1:16" ht="13.5" hidden="1" customHeight="1" outlineLevel="2" x14ac:dyDescent="0.2">
      <c r="A487" s="459">
        <v>0</v>
      </c>
      <c r="B487" s="459">
        <v>5</v>
      </c>
      <c r="C487" s="459">
        <v>7</v>
      </c>
      <c r="D487" s="460">
        <v>3</v>
      </c>
      <c r="E487" s="460">
        <v>0</v>
      </c>
      <c r="G487" s="1740"/>
      <c r="H487" s="1777" t="s">
        <v>1238</v>
      </c>
      <c r="I487" s="1778" t="s">
        <v>6269</v>
      </c>
      <c r="J487" s="1779" t="s">
        <v>1252</v>
      </c>
      <c r="K487" s="1780"/>
      <c r="L487" s="1781"/>
      <c r="M487" s="1781"/>
      <c r="N487" s="1746"/>
      <c r="O487" s="1782"/>
      <c r="P487" s="1720"/>
    </row>
    <row r="488" spans="1:16" ht="13.5" hidden="1" customHeight="1" outlineLevel="3" x14ac:dyDescent="0.2">
      <c r="A488" s="459">
        <v>0</v>
      </c>
      <c r="B488" s="459">
        <v>5</v>
      </c>
      <c r="C488" s="459">
        <v>7</v>
      </c>
      <c r="D488" s="460">
        <v>3</v>
      </c>
      <c r="E488" s="460">
        <v>1</v>
      </c>
      <c r="G488" s="1748" t="s">
        <v>43</v>
      </c>
      <c r="H488" s="1783" t="s">
        <v>1239</v>
      </c>
      <c r="I488" s="1784" t="s">
        <v>6270</v>
      </c>
      <c r="J488" s="1785" t="s">
        <v>1253</v>
      </c>
      <c r="K488" s="1786" t="s">
        <v>788</v>
      </c>
      <c r="L488" s="1787" t="e">
        <v>#REF!</v>
      </c>
      <c r="M488" s="1787">
        <v>14.787500000000001</v>
      </c>
      <c r="N488" s="1754"/>
      <c r="O488" s="1788"/>
      <c r="P488" s="1721" t="s">
        <v>9611</v>
      </c>
    </row>
    <row r="489" spans="1:16" ht="13.5" hidden="1" customHeight="1" outlineLevel="3" x14ac:dyDescent="0.2">
      <c r="A489" s="459">
        <v>0</v>
      </c>
      <c r="B489" s="459">
        <v>5</v>
      </c>
      <c r="C489" s="459">
        <v>7</v>
      </c>
      <c r="D489" s="460">
        <v>3</v>
      </c>
      <c r="E489" s="460">
        <v>2</v>
      </c>
      <c r="G489" s="1748" t="s">
        <v>43</v>
      </c>
      <c r="H489" s="1783" t="s">
        <v>1239</v>
      </c>
      <c r="I489" s="1784" t="s">
        <v>6271</v>
      </c>
      <c r="J489" s="1785" t="s">
        <v>393</v>
      </c>
      <c r="K489" s="1786" t="s">
        <v>534</v>
      </c>
      <c r="L489" s="1787" t="e">
        <v>#REF!</v>
      </c>
      <c r="M489" s="1787">
        <v>4.1071999999999997</v>
      </c>
      <c r="N489" s="1754"/>
      <c r="O489" s="1788"/>
      <c r="P489" s="1721" t="s">
        <v>9611</v>
      </c>
    </row>
    <row r="490" spans="1:16" ht="13.5" hidden="1" customHeight="1" outlineLevel="3" x14ac:dyDescent="0.2">
      <c r="A490" s="459">
        <v>0</v>
      </c>
      <c r="B490" s="459">
        <v>5</v>
      </c>
      <c r="C490" s="459">
        <v>7</v>
      </c>
      <c r="D490" s="460">
        <v>3</v>
      </c>
      <c r="E490" s="460">
        <v>3</v>
      </c>
      <c r="G490" s="1748" t="s">
        <v>43</v>
      </c>
      <c r="H490" s="1783" t="s">
        <v>1239</v>
      </c>
      <c r="I490" s="1784" t="s">
        <v>6272</v>
      </c>
      <c r="J490" s="1785" t="s">
        <v>397</v>
      </c>
      <c r="K490" s="1786" t="s">
        <v>788</v>
      </c>
      <c r="L490" s="1787" t="e">
        <v>#REF!</v>
      </c>
      <c r="M490" s="1787">
        <v>79.403675710539517</v>
      </c>
      <c r="N490" s="1754"/>
      <c r="O490" s="1788"/>
      <c r="P490" s="1721" t="s">
        <v>9611</v>
      </c>
    </row>
    <row r="491" spans="1:16" ht="13.5" hidden="1" customHeight="1" outlineLevel="2" x14ac:dyDescent="0.2">
      <c r="A491" s="459">
        <v>0</v>
      </c>
      <c r="B491" s="459">
        <v>5</v>
      </c>
      <c r="C491" s="459">
        <v>7</v>
      </c>
      <c r="D491" s="460">
        <v>4</v>
      </c>
      <c r="E491" s="460">
        <v>0</v>
      </c>
      <c r="G491" s="1740"/>
      <c r="H491" s="1777" t="s">
        <v>1238</v>
      </c>
      <c r="I491" s="1778" t="s">
        <v>6273</v>
      </c>
      <c r="J491" s="1779" t="s">
        <v>1330</v>
      </c>
      <c r="K491" s="1780"/>
      <c r="L491" s="1781"/>
      <c r="M491" s="1781"/>
      <c r="N491" s="1746"/>
      <c r="O491" s="1782"/>
      <c r="P491" s="1720"/>
    </row>
    <row r="492" spans="1:16" ht="13.5" hidden="1" customHeight="1" outlineLevel="3" x14ac:dyDescent="0.2">
      <c r="A492" s="459">
        <v>0</v>
      </c>
      <c r="B492" s="459">
        <v>5</v>
      </c>
      <c r="C492" s="459">
        <v>7</v>
      </c>
      <c r="D492" s="460">
        <v>4</v>
      </c>
      <c r="E492" s="460">
        <v>1</v>
      </c>
      <c r="G492" s="1748" t="s">
        <v>43</v>
      </c>
      <c r="H492" s="1783" t="s">
        <v>1239</v>
      </c>
      <c r="I492" s="1784" t="s">
        <v>6274</v>
      </c>
      <c r="J492" s="1751" t="s">
        <v>3512</v>
      </c>
      <c r="K492" s="1786" t="s">
        <v>642</v>
      </c>
      <c r="L492" s="1787" t="e">
        <v>#REF!</v>
      </c>
      <c r="M492" s="1787">
        <v>95.867556999999991</v>
      </c>
      <c r="N492" s="1754"/>
      <c r="O492" s="1788"/>
      <c r="P492" s="1721" t="s">
        <v>9611</v>
      </c>
    </row>
    <row r="493" spans="1:16" ht="13.5" hidden="1" customHeight="1" outlineLevel="3" x14ac:dyDescent="0.2">
      <c r="A493" s="459">
        <v>0</v>
      </c>
      <c r="B493" s="459">
        <v>5</v>
      </c>
      <c r="C493" s="459">
        <v>7</v>
      </c>
      <c r="D493" s="460">
        <v>4</v>
      </c>
      <c r="E493" s="460">
        <v>2</v>
      </c>
      <c r="G493" s="1748" t="s">
        <v>43</v>
      </c>
      <c r="H493" s="1783" t="s">
        <v>1239</v>
      </c>
      <c r="I493" s="1784" t="s">
        <v>6275</v>
      </c>
      <c r="J493" s="1751" t="s">
        <v>3513</v>
      </c>
      <c r="K493" s="1786" t="s">
        <v>642</v>
      </c>
      <c r="L493" s="1787" t="e">
        <v>#REF!</v>
      </c>
      <c r="M493" s="1787">
        <v>96.523220999999992</v>
      </c>
      <c r="N493" s="1754"/>
      <c r="O493" s="1788"/>
      <c r="P493" s="1721" t="s">
        <v>9611</v>
      </c>
    </row>
    <row r="494" spans="1:16" ht="13.5" hidden="1" customHeight="1" outlineLevel="3" x14ac:dyDescent="0.2">
      <c r="A494" s="459">
        <v>0</v>
      </c>
      <c r="B494" s="459">
        <v>5</v>
      </c>
      <c r="C494" s="459">
        <v>7</v>
      </c>
      <c r="D494" s="460">
        <v>4</v>
      </c>
      <c r="E494" s="460">
        <v>3</v>
      </c>
      <c r="G494" s="1748" t="s">
        <v>43</v>
      </c>
      <c r="H494" s="1783" t="s">
        <v>1239</v>
      </c>
      <c r="I494" s="1784" t="s">
        <v>6276</v>
      </c>
      <c r="J494" s="1751" t="s">
        <v>3516</v>
      </c>
      <c r="K494" s="1786" t="s">
        <v>642</v>
      </c>
      <c r="L494" s="1787" t="e">
        <v>#REF!</v>
      </c>
      <c r="M494" s="1787">
        <v>165.70309900000001</v>
      </c>
      <c r="N494" s="1754"/>
      <c r="O494" s="1788"/>
      <c r="P494" s="1721" t="s">
        <v>9611</v>
      </c>
    </row>
    <row r="495" spans="1:16" ht="13.5" hidden="1" customHeight="1" outlineLevel="2" x14ac:dyDescent="0.2">
      <c r="A495" s="459">
        <v>0</v>
      </c>
      <c r="B495" s="459">
        <v>5</v>
      </c>
      <c r="C495" s="459">
        <v>7</v>
      </c>
      <c r="D495" s="460">
        <v>5</v>
      </c>
      <c r="E495" s="460">
        <v>0</v>
      </c>
      <c r="G495" s="1740"/>
      <c r="H495" s="1777" t="s">
        <v>1238</v>
      </c>
      <c r="I495" s="1778" t="s">
        <v>6277</v>
      </c>
      <c r="J495" s="1779" t="s">
        <v>15</v>
      </c>
      <c r="K495" s="1780"/>
      <c r="L495" s="1781"/>
      <c r="M495" s="1781"/>
      <c r="N495" s="1746"/>
      <c r="O495" s="1782"/>
      <c r="P495" s="1720"/>
    </row>
    <row r="496" spans="1:16" ht="13.5" hidden="1" customHeight="1" outlineLevel="3" x14ac:dyDescent="0.2">
      <c r="A496" s="459">
        <v>0</v>
      </c>
      <c r="B496" s="459">
        <v>5</v>
      </c>
      <c r="C496" s="459">
        <v>7</v>
      </c>
      <c r="D496" s="460">
        <v>5</v>
      </c>
      <c r="E496" s="460">
        <v>1</v>
      </c>
      <c r="G496" s="1748" t="s">
        <v>43</v>
      </c>
      <c r="H496" s="1783" t="s">
        <v>1239</v>
      </c>
      <c r="I496" s="1784" t="s">
        <v>6278</v>
      </c>
      <c r="J496" s="1785" t="s">
        <v>432</v>
      </c>
      <c r="K496" s="1786" t="s">
        <v>642</v>
      </c>
      <c r="L496" s="1787" t="e">
        <v>#REF!</v>
      </c>
      <c r="M496" s="1787">
        <v>47</v>
      </c>
      <c r="N496" s="1754"/>
      <c r="O496" s="1788"/>
      <c r="P496" s="1721" t="s">
        <v>9611</v>
      </c>
    </row>
    <row r="497" spans="1:16" ht="13.5" hidden="1" customHeight="1" outlineLevel="3" x14ac:dyDescent="0.2">
      <c r="A497" s="459">
        <v>0</v>
      </c>
      <c r="B497" s="459">
        <v>5</v>
      </c>
      <c r="C497" s="459">
        <v>7</v>
      </c>
      <c r="D497" s="460">
        <v>5</v>
      </c>
      <c r="E497" s="460">
        <v>2</v>
      </c>
      <c r="G497" s="1748" t="s">
        <v>43</v>
      </c>
      <c r="H497" s="1783" t="s">
        <v>1239</v>
      </c>
      <c r="I497" s="1784" t="s">
        <v>6279</v>
      </c>
      <c r="J497" s="1785" t="s">
        <v>434</v>
      </c>
      <c r="K497" s="1786" t="s">
        <v>642</v>
      </c>
      <c r="L497" s="1787" t="e">
        <v>#REF!</v>
      </c>
      <c r="M497" s="1787">
        <v>47</v>
      </c>
      <c r="N497" s="1754"/>
      <c r="O497" s="1788"/>
      <c r="P497" s="1721" t="s">
        <v>9611</v>
      </c>
    </row>
    <row r="498" spans="1:16" ht="13.5" hidden="1" customHeight="1" outlineLevel="3" x14ac:dyDescent="0.2">
      <c r="A498" s="459">
        <v>0</v>
      </c>
      <c r="B498" s="459">
        <v>5</v>
      </c>
      <c r="C498" s="459">
        <v>7</v>
      </c>
      <c r="D498" s="460">
        <v>5</v>
      </c>
      <c r="E498" s="460">
        <v>3</v>
      </c>
      <c r="G498" s="1748" t="s">
        <v>43</v>
      </c>
      <c r="H498" s="1783" t="s">
        <v>1239</v>
      </c>
      <c r="I498" s="1784" t="s">
        <v>6280</v>
      </c>
      <c r="J498" s="1751" t="s">
        <v>3522</v>
      </c>
      <c r="K498" s="1786" t="s">
        <v>642</v>
      </c>
      <c r="L498" s="1753" t="e">
        <v>#REF!</v>
      </c>
      <c r="M498" s="1787" t="e">
        <v>#REF!</v>
      </c>
      <c r="N498" s="1754"/>
      <c r="O498" s="1788"/>
      <c r="P498" s="1721" t="s">
        <v>9611</v>
      </c>
    </row>
    <row r="499" spans="1:16" ht="13.5" hidden="1" customHeight="1" outlineLevel="1" x14ac:dyDescent="0.2">
      <c r="A499" s="459">
        <v>0</v>
      </c>
      <c r="B499" s="459">
        <v>5</v>
      </c>
      <c r="C499" s="459">
        <v>8</v>
      </c>
      <c r="D499" s="460">
        <v>0</v>
      </c>
      <c r="E499" s="460">
        <v>3</v>
      </c>
      <c r="G499" s="1733"/>
      <c r="H499" s="1771" t="s">
        <v>39</v>
      </c>
      <c r="I499" s="1772" t="s">
        <v>6281</v>
      </c>
      <c r="J499" s="1773" t="s">
        <v>2778</v>
      </c>
      <c r="K499" s="1774"/>
      <c r="L499" s="1775"/>
      <c r="M499" s="1775"/>
      <c r="N499" s="1739"/>
      <c r="O499" s="1776"/>
      <c r="P499" s="1719"/>
    </row>
    <row r="500" spans="1:16" ht="13.5" hidden="1" customHeight="1" outlineLevel="2" x14ac:dyDescent="0.2">
      <c r="A500" s="459">
        <v>0</v>
      </c>
      <c r="B500" s="459">
        <v>5</v>
      </c>
      <c r="C500" s="459">
        <v>8</v>
      </c>
      <c r="D500" s="460">
        <v>1</v>
      </c>
      <c r="E500" s="460">
        <v>0</v>
      </c>
      <c r="G500" s="1740"/>
      <c r="H500" s="1777" t="s">
        <v>1238</v>
      </c>
      <c r="I500" s="1778" t="s">
        <v>6282</v>
      </c>
      <c r="J500" s="1779" t="s">
        <v>2756</v>
      </c>
      <c r="K500" s="1780"/>
      <c r="L500" s="1781"/>
      <c r="M500" s="1781"/>
      <c r="N500" s="1746"/>
      <c r="O500" s="1782"/>
      <c r="P500" s="1720"/>
    </row>
    <row r="501" spans="1:16" ht="13.5" hidden="1" customHeight="1" outlineLevel="3" x14ac:dyDescent="0.2">
      <c r="A501" s="459">
        <v>0</v>
      </c>
      <c r="B501" s="459">
        <v>5</v>
      </c>
      <c r="C501" s="459">
        <v>8</v>
      </c>
      <c r="D501" s="460">
        <v>1</v>
      </c>
      <c r="E501" s="460">
        <v>1</v>
      </c>
      <c r="G501" s="1748" t="s">
        <v>43</v>
      </c>
      <c r="H501" s="1783" t="s">
        <v>1239</v>
      </c>
      <c r="I501" s="1784" t="s">
        <v>6283</v>
      </c>
      <c r="J501" s="1785" t="s">
        <v>2751</v>
      </c>
      <c r="K501" s="1786" t="s">
        <v>642</v>
      </c>
      <c r="L501" s="1787" t="e">
        <v>#REF!</v>
      </c>
      <c r="M501" s="1787">
        <v>35.099999999999994</v>
      </c>
      <c r="N501" s="1754"/>
      <c r="O501" s="1788"/>
      <c r="P501" s="1721" t="s">
        <v>9611</v>
      </c>
    </row>
    <row r="502" spans="1:16" ht="13.5" hidden="1" customHeight="1" outlineLevel="2" x14ac:dyDescent="0.2">
      <c r="A502" s="459">
        <v>0</v>
      </c>
      <c r="B502" s="459">
        <v>5</v>
      </c>
      <c r="C502" s="459">
        <v>8</v>
      </c>
      <c r="D502" s="460">
        <v>2</v>
      </c>
      <c r="E502" s="460">
        <v>0</v>
      </c>
      <c r="G502" s="1740"/>
      <c r="H502" s="1777" t="s">
        <v>1238</v>
      </c>
      <c r="I502" s="1778" t="s">
        <v>6284</v>
      </c>
      <c r="J502" s="1779" t="s">
        <v>1313</v>
      </c>
      <c r="K502" s="1780"/>
      <c r="L502" s="1781"/>
      <c r="M502" s="1781"/>
      <c r="N502" s="1746"/>
      <c r="O502" s="1782"/>
      <c r="P502" s="1720"/>
    </row>
    <row r="503" spans="1:16" ht="13.5" hidden="1" customHeight="1" outlineLevel="3" x14ac:dyDescent="0.2">
      <c r="A503" s="459">
        <v>0</v>
      </c>
      <c r="B503" s="459">
        <v>5</v>
      </c>
      <c r="C503" s="459">
        <v>8</v>
      </c>
      <c r="D503" s="460">
        <v>2</v>
      </c>
      <c r="E503" s="460">
        <v>1</v>
      </c>
      <c r="G503" s="1748" t="s">
        <v>43</v>
      </c>
      <c r="H503" s="1783" t="s">
        <v>1239</v>
      </c>
      <c r="I503" s="1784" t="s">
        <v>6285</v>
      </c>
      <c r="J503" s="1785" t="s">
        <v>1326</v>
      </c>
      <c r="K503" s="1786" t="s">
        <v>642</v>
      </c>
      <c r="L503" s="1787" t="e">
        <v>#REF!</v>
      </c>
      <c r="M503" s="1787">
        <v>82.960000000000008</v>
      </c>
      <c r="N503" s="1754"/>
      <c r="O503" s="1788"/>
      <c r="P503" s="1721" t="s">
        <v>9611</v>
      </c>
    </row>
    <row r="504" spans="1:16" ht="13.5" hidden="1" customHeight="1" outlineLevel="2" x14ac:dyDescent="0.2">
      <c r="A504" s="459">
        <v>0</v>
      </c>
      <c r="B504" s="459">
        <v>5</v>
      </c>
      <c r="C504" s="459">
        <v>8</v>
      </c>
      <c r="D504" s="460">
        <v>3</v>
      </c>
      <c r="E504" s="460">
        <v>0</v>
      </c>
      <c r="G504" s="1740"/>
      <c r="H504" s="1777" t="s">
        <v>1238</v>
      </c>
      <c r="I504" s="1778" t="s">
        <v>6286</v>
      </c>
      <c r="J504" s="1779" t="s">
        <v>1252</v>
      </c>
      <c r="K504" s="1780"/>
      <c r="L504" s="1781"/>
      <c r="M504" s="1781"/>
      <c r="N504" s="1746"/>
      <c r="O504" s="1782"/>
      <c r="P504" s="1720"/>
    </row>
    <row r="505" spans="1:16" ht="13.5" hidden="1" customHeight="1" outlineLevel="3" x14ac:dyDescent="0.2">
      <c r="A505" s="459">
        <v>0</v>
      </c>
      <c r="B505" s="459">
        <v>5</v>
      </c>
      <c r="C505" s="459">
        <v>8</v>
      </c>
      <c r="D505" s="460">
        <v>3</v>
      </c>
      <c r="E505" s="460">
        <v>1</v>
      </c>
      <c r="G505" s="1748" t="s">
        <v>43</v>
      </c>
      <c r="H505" s="1783" t="s">
        <v>1239</v>
      </c>
      <c r="I505" s="1784" t="s">
        <v>6287</v>
      </c>
      <c r="J505" s="1785" t="s">
        <v>1253</v>
      </c>
      <c r="K505" s="1786" t="s">
        <v>788</v>
      </c>
      <c r="L505" s="1787" t="e">
        <v>#REF!</v>
      </c>
      <c r="M505" s="1787">
        <v>14.787500000000001</v>
      </c>
      <c r="N505" s="1754"/>
      <c r="O505" s="1788"/>
      <c r="P505" s="1721" t="s">
        <v>9611</v>
      </c>
    </row>
    <row r="506" spans="1:16" ht="13.5" hidden="1" customHeight="1" outlineLevel="3" x14ac:dyDescent="0.2">
      <c r="A506" s="459">
        <v>0</v>
      </c>
      <c r="B506" s="459">
        <v>5</v>
      </c>
      <c r="C506" s="459">
        <v>8</v>
      </c>
      <c r="D506" s="460">
        <v>3</v>
      </c>
      <c r="E506" s="460">
        <v>2</v>
      </c>
      <c r="G506" s="1748" t="s">
        <v>43</v>
      </c>
      <c r="H506" s="1783" t="s">
        <v>1239</v>
      </c>
      <c r="I506" s="1784" t="s">
        <v>6288</v>
      </c>
      <c r="J506" s="1785" t="s">
        <v>393</v>
      </c>
      <c r="K506" s="1786" t="s">
        <v>534</v>
      </c>
      <c r="L506" s="1787" t="e">
        <v>#REF!</v>
      </c>
      <c r="M506" s="1787">
        <v>4.1071999999999997</v>
      </c>
      <c r="N506" s="1754"/>
      <c r="O506" s="1788"/>
      <c r="P506" s="1721" t="s">
        <v>9611</v>
      </c>
    </row>
    <row r="507" spans="1:16" ht="13.5" hidden="1" customHeight="1" outlineLevel="3" x14ac:dyDescent="0.2">
      <c r="A507" s="459">
        <v>0</v>
      </c>
      <c r="B507" s="459">
        <v>5</v>
      </c>
      <c r="C507" s="459">
        <v>8</v>
      </c>
      <c r="D507" s="460">
        <v>3</v>
      </c>
      <c r="E507" s="460">
        <v>3</v>
      </c>
      <c r="G507" s="1748" t="s">
        <v>43</v>
      </c>
      <c r="H507" s="1783" t="s">
        <v>1239</v>
      </c>
      <c r="I507" s="1784" t="s">
        <v>6289</v>
      </c>
      <c r="J507" s="1785" t="s">
        <v>397</v>
      </c>
      <c r="K507" s="1786" t="s">
        <v>788</v>
      </c>
      <c r="L507" s="1787" t="e">
        <v>#REF!</v>
      </c>
      <c r="M507" s="1787">
        <v>79.403675710539517</v>
      </c>
      <c r="N507" s="1754"/>
      <c r="O507" s="1788"/>
      <c r="P507" s="1721" t="s">
        <v>9611</v>
      </c>
    </row>
    <row r="508" spans="1:16" ht="13.5" hidden="1" customHeight="1" outlineLevel="3" x14ac:dyDescent="0.2">
      <c r="A508" s="459">
        <v>0</v>
      </c>
      <c r="B508" s="459">
        <v>5</v>
      </c>
      <c r="C508" s="459">
        <v>8</v>
      </c>
      <c r="D508" s="460">
        <v>3</v>
      </c>
      <c r="E508" s="460">
        <v>4</v>
      </c>
      <c r="G508" s="1748" t="s">
        <v>43</v>
      </c>
      <c r="H508" s="1783" t="s">
        <v>1239</v>
      </c>
      <c r="I508" s="1784" t="s">
        <v>6290</v>
      </c>
      <c r="J508" s="1785" t="s">
        <v>440</v>
      </c>
      <c r="K508" s="1786" t="s">
        <v>534</v>
      </c>
      <c r="L508" s="1787">
        <v>1</v>
      </c>
      <c r="M508" s="1787">
        <v>1800</v>
      </c>
      <c r="N508" s="1754">
        <v>1800</v>
      </c>
      <c r="O508" s="1788"/>
      <c r="P508" s="1721" t="s">
        <v>9611</v>
      </c>
    </row>
    <row r="509" spans="1:16" ht="13.5" hidden="1" customHeight="1" outlineLevel="2" x14ac:dyDescent="0.2">
      <c r="A509" s="459">
        <v>0</v>
      </c>
      <c r="B509" s="459">
        <v>5</v>
      </c>
      <c r="C509" s="459">
        <v>8</v>
      </c>
      <c r="D509" s="460">
        <v>4</v>
      </c>
      <c r="E509" s="460">
        <v>0</v>
      </c>
      <c r="G509" s="1740"/>
      <c r="H509" s="1777" t="s">
        <v>1238</v>
      </c>
      <c r="I509" s="1778" t="s">
        <v>6291</v>
      </c>
      <c r="J509" s="1779" t="s">
        <v>1330</v>
      </c>
      <c r="K509" s="1780"/>
      <c r="L509" s="1781"/>
      <c r="M509" s="1781"/>
      <c r="N509" s="1746"/>
      <c r="O509" s="1782"/>
      <c r="P509" s="1720"/>
    </row>
    <row r="510" spans="1:16" ht="13.5" hidden="1" customHeight="1" outlineLevel="3" x14ac:dyDescent="0.2">
      <c r="A510" s="459">
        <v>0</v>
      </c>
      <c r="B510" s="459">
        <v>5</v>
      </c>
      <c r="C510" s="459">
        <v>8</v>
      </c>
      <c r="D510" s="460">
        <v>4</v>
      </c>
      <c r="E510" s="460">
        <v>1</v>
      </c>
      <c r="G510" s="1748" t="s">
        <v>43</v>
      </c>
      <c r="H510" s="1783" t="s">
        <v>1239</v>
      </c>
      <c r="I510" s="1784" t="s">
        <v>6292</v>
      </c>
      <c r="J510" s="1751" t="s">
        <v>3512</v>
      </c>
      <c r="K510" s="1786" t="s">
        <v>642</v>
      </c>
      <c r="L510" s="1787" t="e">
        <v>#REF!</v>
      </c>
      <c r="M510" s="1787">
        <v>95.867556999999991</v>
      </c>
      <c r="N510" s="1754"/>
      <c r="O510" s="1788"/>
      <c r="P510" s="1721" t="s">
        <v>9611</v>
      </c>
    </row>
    <row r="511" spans="1:16" ht="13.5" hidden="1" customHeight="1" outlineLevel="3" x14ac:dyDescent="0.2">
      <c r="A511" s="459">
        <v>0</v>
      </c>
      <c r="B511" s="459">
        <v>5</v>
      </c>
      <c r="C511" s="459">
        <v>8</v>
      </c>
      <c r="D511" s="460">
        <v>4</v>
      </c>
      <c r="E511" s="460">
        <v>2</v>
      </c>
      <c r="G511" s="1748" t="s">
        <v>43</v>
      </c>
      <c r="H511" s="1783" t="s">
        <v>1239</v>
      </c>
      <c r="I511" s="1784" t="s">
        <v>6293</v>
      </c>
      <c r="J511" s="1751" t="s">
        <v>3513</v>
      </c>
      <c r="K511" s="1786" t="s">
        <v>642</v>
      </c>
      <c r="L511" s="1787" t="e">
        <v>#REF!</v>
      </c>
      <c r="M511" s="1787">
        <v>96.523220999999992</v>
      </c>
      <c r="N511" s="1754"/>
      <c r="O511" s="1788"/>
      <c r="P511" s="1721" t="s">
        <v>9611</v>
      </c>
    </row>
    <row r="512" spans="1:16" ht="13.5" hidden="1" customHeight="1" outlineLevel="3" x14ac:dyDescent="0.2">
      <c r="A512" s="459">
        <v>0</v>
      </c>
      <c r="B512" s="459">
        <v>5</v>
      </c>
      <c r="C512" s="459">
        <v>8</v>
      </c>
      <c r="D512" s="460">
        <v>4</v>
      </c>
      <c r="E512" s="460">
        <v>3</v>
      </c>
      <c r="G512" s="1748" t="s">
        <v>43</v>
      </c>
      <c r="H512" s="1783" t="s">
        <v>1239</v>
      </c>
      <c r="I512" s="1784" t="s">
        <v>6294</v>
      </c>
      <c r="J512" s="1751" t="s">
        <v>3516</v>
      </c>
      <c r="K512" s="1786" t="s">
        <v>642</v>
      </c>
      <c r="L512" s="1787" t="e">
        <v>#REF!</v>
      </c>
      <c r="M512" s="1787">
        <v>165.70309900000001</v>
      </c>
      <c r="N512" s="1754"/>
      <c r="O512" s="1788"/>
      <c r="P512" s="1721" t="s">
        <v>9611</v>
      </c>
    </row>
    <row r="513" spans="1:16" ht="13.5" hidden="1" customHeight="1" outlineLevel="2" x14ac:dyDescent="0.2">
      <c r="A513" s="459">
        <v>0</v>
      </c>
      <c r="B513" s="459">
        <v>5</v>
      </c>
      <c r="C513" s="459">
        <v>8</v>
      </c>
      <c r="D513" s="460">
        <v>5</v>
      </c>
      <c r="E513" s="460">
        <v>0</v>
      </c>
      <c r="G513" s="1740"/>
      <c r="H513" s="1777" t="s">
        <v>1238</v>
      </c>
      <c r="I513" s="1778" t="s">
        <v>6295</v>
      </c>
      <c r="J513" s="1779" t="s">
        <v>15</v>
      </c>
      <c r="K513" s="1780"/>
      <c r="L513" s="1781"/>
      <c r="M513" s="1781"/>
      <c r="N513" s="1746"/>
      <c r="O513" s="1782"/>
      <c r="P513" s="1720"/>
    </row>
    <row r="514" spans="1:16" ht="13.5" hidden="1" customHeight="1" outlineLevel="3" x14ac:dyDescent="0.2">
      <c r="A514" s="459">
        <v>0</v>
      </c>
      <c r="B514" s="459">
        <v>5</v>
      </c>
      <c r="C514" s="459">
        <v>8</v>
      </c>
      <c r="D514" s="460">
        <v>5</v>
      </c>
      <c r="E514" s="460">
        <v>1</v>
      </c>
      <c r="G514" s="1748" t="s">
        <v>43</v>
      </c>
      <c r="H514" s="1783" t="s">
        <v>1239</v>
      </c>
      <c r="I514" s="1784" t="s">
        <v>6296</v>
      </c>
      <c r="J514" s="1785" t="s">
        <v>432</v>
      </c>
      <c r="K514" s="1786" t="s">
        <v>642</v>
      </c>
      <c r="L514" s="1787" t="e">
        <v>#REF!</v>
      </c>
      <c r="M514" s="1787">
        <v>47</v>
      </c>
      <c r="N514" s="1754"/>
      <c r="O514" s="1788"/>
      <c r="P514" s="1721" t="s">
        <v>9611</v>
      </c>
    </row>
    <row r="515" spans="1:16" ht="13.5" hidden="1" customHeight="1" outlineLevel="3" x14ac:dyDescent="0.2">
      <c r="A515" s="459">
        <v>0</v>
      </c>
      <c r="B515" s="459">
        <v>5</v>
      </c>
      <c r="C515" s="459">
        <v>8</v>
      </c>
      <c r="D515" s="460">
        <v>5</v>
      </c>
      <c r="E515" s="460">
        <v>2</v>
      </c>
      <c r="G515" s="1748" t="s">
        <v>43</v>
      </c>
      <c r="H515" s="1783" t="s">
        <v>1239</v>
      </c>
      <c r="I515" s="1784" t="s">
        <v>6297</v>
      </c>
      <c r="J515" s="1785" t="s">
        <v>434</v>
      </c>
      <c r="K515" s="1786" t="s">
        <v>642</v>
      </c>
      <c r="L515" s="1787" t="e">
        <v>#REF!</v>
      </c>
      <c r="M515" s="1787">
        <v>47</v>
      </c>
      <c r="N515" s="1754"/>
      <c r="O515" s="1788"/>
      <c r="P515" s="1721" t="s">
        <v>9611</v>
      </c>
    </row>
    <row r="516" spans="1:16" ht="13.5" hidden="1" customHeight="1" outlineLevel="3" x14ac:dyDescent="0.2">
      <c r="A516" s="459">
        <v>0</v>
      </c>
      <c r="B516" s="459">
        <v>5</v>
      </c>
      <c r="C516" s="459">
        <v>8</v>
      </c>
      <c r="D516" s="460">
        <v>5</v>
      </c>
      <c r="E516" s="460">
        <v>3</v>
      </c>
      <c r="G516" s="1748" t="s">
        <v>43</v>
      </c>
      <c r="H516" s="1783" t="s">
        <v>1239</v>
      </c>
      <c r="I516" s="1784" t="s">
        <v>6298</v>
      </c>
      <c r="J516" s="1751" t="s">
        <v>3522</v>
      </c>
      <c r="K516" s="1786" t="s">
        <v>642</v>
      </c>
      <c r="L516" s="1753" t="e">
        <v>#REF!</v>
      </c>
      <c r="M516" s="1787" t="e">
        <v>#REF!</v>
      </c>
      <c r="N516" s="1754"/>
      <c r="O516" s="1788"/>
      <c r="P516" s="1721" t="s">
        <v>9611</v>
      </c>
    </row>
    <row r="517" spans="1:16" ht="13.5" hidden="1" customHeight="1" outlineLevel="1" x14ac:dyDescent="0.2">
      <c r="A517" s="459">
        <v>0</v>
      </c>
      <c r="B517" s="459">
        <v>5</v>
      </c>
      <c r="C517" s="459">
        <v>9</v>
      </c>
      <c r="D517" s="460">
        <v>0</v>
      </c>
      <c r="E517" s="460">
        <v>3</v>
      </c>
      <c r="G517" s="1733"/>
      <c r="H517" s="1771" t="s">
        <v>39</v>
      </c>
      <c r="I517" s="1772" t="s">
        <v>6299</v>
      </c>
      <c r="J517" s="1773" t="s">
        <v>2779</v>
      </c>
      <c r="K517" s="1774"/>
      <c r="L517" s="1775"/>
      <c r="M517" s="1775"/>
      <c r="N517" s="1739"/>
      <c r="O517" s="1776"/>
      <c r="P517" s="1719"/>
    </row>
    <row r="518" spans="1:16" ht="13.5" hidden="1" customHeight="1" outlineLevel="2" x14ac:dyDescent="0.2">
      <c r="A518" s="459">
        <v>0</v>
      </c>
      <c r="B518" s="459">
        <v>5</v>
      </c>
      <c r="C518" s="459">
        <v>9</v>
      </c>
      <c r="D518" s="460">
        <v>1</v>
      </c>
      <c r="E518" s="460">
        <v>0</v>
      </c>
      <c r="G518" s="1740"/>
      <c r="H518" s="1777" t="s">
        <v>1238</v>
      </c>
      <c r="I518" s="1778" t="s">
        <v>6300</v>
      </c>
      <c r="J518" s="1779" t="s">
        <v>2756</v>
      </c>
      <c r="K518" s="1780"/>
      <c r="L518" s="1781"/>
      <c r="M518" s="1781"/>
      <c r="N518" s="1746"/>
      <c r="O518" s="1782"/>
      <c r="P518" s="1720"/>
    </row>
    <row r="519" spans="1:16" ht="13.5" hidden="1" customHeight="1" outlineLevel="3" x14ac:dyDescent="0.2">
      <c r="A519" s="459">
        <v>0</v>
      </c>
      <c r="B519" s="459">
        <v>5</v>
      </c>
      <c r="C519" s="459">
        <v>9</v>
      </c>
      <c r="D519" s="460">
        <v>1</v>
      </c>
      <c r="E519" s="460">
        <v>1</v>
      </c>
      <c r="G519" s="1748" t="s">
        <v>43</v>
      </c>
      <c r="H519" s="1783" t="s">
        <v>1239</v>
      </c>
      <c r="I519" s="1784" t="s">
        <v>6301</v>
      </c>
      <c r="J519" s="1785" t="s">
        <v>2751</v>
      </c>
      <c r="K519" s="1786" t="s">
        <v>642</v>
      </c>
      <c r="L519" s="1787" t="e">
        <v>#REF!</v>
      </c>
      <c r="M519" s="1787">
        <v>35.099999999999994</v>
      </c>
      <c r="N519" s="1754"/>
      <c r="O519" s="1788"/>
      <c r="P519" s="1721" t="s">
        <v>9611</v>
      </c>
    </row>
    <row r="520" spans="1:16" ht="13.5" hidden="1" customHeight="1" outlineLevel="2" x14ac:dyDescent="0.2">
      <c r="A520" s="459">
        <v>0</v>
      </c>
      <c r="B520" s="459">
        <v>5</v>
      </c>
      <c r="C520" s="459">
        <v>9</v>
      </c>
      <c r="D520" s="460">
        <v>2</v>
      </c>
      <c r="E520" s="460">
        <v>0</v>
      </c>
      <c r="G520" s="1740"/>
      <c r="H520" s="1777" t="s">
        <v>1238</v>
      </c>
      <c r="I520" s="1778" t="s">
        <v>6302</v>
      </c>
      <c r="J520" s="1779" t="s">
        <v>1313</v>
      </c>
      <c r="K520" s="1780"/>
      <c r="L520" s="1781"/>
      <c r="M520" s="1781"/>
      <c r="N520" s="1746"/>
      <c r="O520" s="1782"/>
      <c r="P520" s="1720"/>
    </row>
    <row r="521" spans="1:16" ht="13.5" hidden="1" customHeight="1" outlineLevel="3" x14ac:dyDescent="0.2">
      <c r="A521" s="459">
        <v>0</v>
      </c>
      <c r="B521" s="459">
        <v>5</v>
      </c>
      <c r="C521" s="459">
        <v>9</v>
      </c>
      <c r="D521" s="460">
        <v>2</v>
      </c>
      <c r="E521" s="460">
        <v>1</v>
      </c>
      <c r="G521" s="1748" t="s">
        <v>43</v>
      </c>
      <c r="H521" s="1783" t="s">
        <v>1239</v>
      </c>
      <c r="I521" s="1784" t="s">
        <v>6303</v>
      </c>
      <c r="J521" s="1785" t="s">
        <v>1326</v>
      </c>
      <c r="K521" s="1786" t="s">
        <v>642</v>
      </c>
      <c r="L521" s="1787" t="e">
        <v>#REF!</v>
      </c>
      <c r="M521" s="1787">
        <v>82.960000000000008</v>
      </c>
      <c r="N521" s="1754"/>
      <c r="O521" s="1788"/>
      <c r="P521" s="1721" t="s">
        <v>9611</v>
      </c>
    </row>
    <row r="522" spans="1:16" ht="13.5" hidden="1" customHeight="1" outlineLevel="2" x14ac:dyDescent="0.2">
      <c r="A522" s="459">
        <v>0</v>
      </c>
      <c r="B522" s="459">
        <v>5</v>
      </c>
      <c r="C522" s="459">
        <v>9</v>
      </c>
      <c r="D522" s="460">
        <v>3</v>
      </c>
      <c r="E522" s="460">
        <v>0</v>
      </c>
      <c r="G522" s="1740"/>
      <c r="H522" s="1777" t="s">
        <v>1238</v>
      </c>
      <c r="I522" s="1778" t="s">
        <v>6304</v>
      </c>
      <c r="J522" s="1779" t="s">
        <v>1252</v>
      </c>
      <c r="K522" s="1780"/>
      <c r="L522" s="1781"/>
      <c r="M522" s="1781"/>
      <c r="N522" s="1746"/>
      <c r="O522" s="1782"/>
      <c r="P522" s="1720"/>
    </row>
    <row r="523" spans="1:16" ht="13.5" hidden="1" customHeight="1" outlineLevel="3" x14ac:dyDescent="0.2">
      <c r="A523" s="459">
        <v>0</v>
      </c>
      <c r="B523" s="459">
        <v>5</v>
      </c>
      <c r="C523" s="459">
        <v>9</v>
      </c>
      <c r="D523" s="460">
        <v>3</v>
      </c>
      <c r="E523" s="460">
        <v>1</v>
      </c>
      <c r="G523" s="1748" t="s">
        <v>43</v>
      </c>
      <c r="H523" s="1783" t="s">
        <v>1239</v>
      </c>
      <c r="I523" s="1784" t="s">
        <v>6305</v>
      </c>
      <c r="J523" s="1785" t="s">
        <v>1253</v>
      </c>
      <c r="K523" s="1786" t="s">
        <v>788</v>
      </c>
      <c r="L523" s="1787" t="e">
        <v>#REF!</v>
      </c>
      <c r="M523" s="1787">
        <v>14.787500000000001</v>
      </c>
      <c r="N523" s="1754"/>
      <c r="O523" s="1788"/>
      <c r="P523" s="1721" t="s">
        <v>9611</v>
      </c>
    </row>
    <row r="524" spans="1:16" ht="13.5" hidden="1" customHeight="1" outlineLevel="3" x14ac:dyDescent="0.2">
      <c r="A524" s="459">
        <v>0</v>
      </c>
      <c r="B524" s="459">
        <v>5</v>
      </c>
      <c r="C524" s="459">
        <v>9</v>
      </c>
      <c r="D524" s="460">
        <v>3</v>
      </c>
      <c r="E524" s="460">
        <v>2</v>
      </c>
      <c r="G524" s="1748" t="s">
        <v>43</v>
      </c>
      <c r="H524" s="1783" t="s">
        <v>1239</v>
      </c>
      <c r="I524" s="1784" t="s">
        <v>6306</v>
      </c>
      <c r="J524" s="1785" t="s">
        <v>393</v>
      </c>
      <c r="K524" s="1786" t="s">
        <v>534</v>
      </c>
      <c r="L524" s="1787" t="e">
        <v>#REF!</v>
      </c>
      <c r="M524" s="1787">
        <v>4.1071999999999997</v>
      </c>
      <c r="N524" s="1754"/>
      <c r="O524" s="1788"/>
      <c r="P524" s="1721" t="s">
        <v>9611</v>
      </c>
    </row>
    <row r="525" spans="1:16" ht="13.5" hidden="1" customHeight="1" outlineLevel="3" x14ac:dyDescent="0.2">
      <c r="A525" s="459">
        <v>0</v>
      </c>
      <c r="B525" s="459">
        <v>5</v>
      </c>
      <c r="C525" s="459">
        <v>9</v>
      </c>
      <c r="D525" s="460">
        <v>3</v>
      </c>
      <c r="E525" s="460">
        <v>3</v>
      </c>
      <c r="G525" s="1748" t="s">
        <v>43</v>
      </c>
      <c r="H525" s="1783" t="s">
        <v>1239</v>
      </c>
      <c r="I525" s="1784" t="s">
        <v>6307</v>
      </c>
      <c r="J525" s="1785" t="s">
        <v>397</v>
      </c>
      <c r="K525" s="1786" t="s">
        <v>788</v>
      </c>
      <c r="L525" s="1787" t="e">
        <v>#REF!</v>
      </c>
      <c r="M525" s="1787">
        <v>79.403675710539517</v>
      </c>
      <c r="N525" s="1754"/>
      <c r="O525" s="1788"/>
      <c r="P525" s="1721" t="s">
        <v>9611</v>
      </c>
    </row>
    <row r="526" spans="1:16" ht="13.5" hidden="1" customHeight="1" outlineLevel="3" x14ac:dyDescent="0.2">
      <c r="A526" s="459">
        <v>0</v>
      </c>
      <c r="B526" s="459">
        <v>5</v>
      </c>
      <c r="C526" s="459">
        <v>9</v>
      </c>
      <c r="D526" s="460">
        <v>3</v>
      </c>
      <c r="E526" s="460">
        <v>4</v>
      </c>
      <c r="G526" s="1748" t="s">
        <v>43</v>
      </c>
      <c r="H526" s="1783" t="s">
        <v>1239</v>
      </c>
      <c r="I526" s="1784" t="s">
        <v>6308</v>
      </c>
      <c r="J526" s="1785" t="s">
        <v>440</v>
      </c>
      <c r="K526" s="1786" t="s">
        <v>534</v>
      </c>
      <c r="L526" s="1787">
        <v>2</v>
      </c>
      <c r="M526" s="1787">
        <v>1800</v>
      </c>
      <c r="N526" s="1754">
        <v>3600</v>
      </c>
      <c r="O526" s="1788"/>
      <c r="P526" s="1721" t="s">
        <v>9611</v>
      </c>
    </row>
    <row r="527" spans="1:16" ht="13.5" hidden="1" customHeight="1" outlineLevel="2" x14ac:dyDescent="0.2">
      <c r="A527" s="459">
        <v>0</v>
      </c>
      <c r="B527" s="459">
        <v>5</v>
      </c>
      <c r="C527" s="459">
        <v>9</v>
      </c>
      <c r="D527" s="460">
        <v>4</v>
      </c>
      <c r="E527" s="460">
        <v>0</v>
      </c>
      <c r="G527" s="1740"/>
      <c r="H527" s="1777" t="s">
        <v>1238</v>
      </c>
      <c r="I527" s="1778" t="s">
        <v>6309</v>
      </c>
      <c r="J527" s="1779" t="s">
        <v>1330</v>
      </c>
      <c r="K527" s="1780"/>
      <c r="L527" s="1781"/>
      <c r="M527" s="1781"/>
      <c r="N527" s="1746"/>
      <c r="O527" s="1782"/>
      <c r="P527" s="1720"/>
    </row>
    <row r="528" spans="1:16" ht="13.5" hidden="1" customHeight="1" outlineLevel="3" x14ac:dyDescent="0.2">
      <c r="A528" s="459">
        <v>0</v>
      </c>
      <c r="B528" s="459">
        <v>5</v>
      </c>
      <c r="C528" s="459">
        <v>9</v>
      </c>
      <c r="D528" s="460">
        <v>4</v>
      </c>
      <c r="E528" s="460">
        <v>1</v>
      </c>
      <c r="G528" s="1748" t="s">
        <v>43</v>
      </c>
      <c r="H528" s="1783" t="s">
        <v>1239</v>
      </c>
      <c r="I528" s="1784" t="s">
        <v>6310</v>
      </c>
      <c r="J528" s="1751" t="s">
        <v>3511</v>
      </c>
      <c r="K528" s="1786" t="s">
        <v>642</v>
      </c>
      <c r="L528" s="1787" t="e">
        <v>#REF!</v>
      </c>
      <c r="M528" s="1787">
        <v>103.175377</v>
      </c>
      <c r="N528" s="1754"/>
      <c r="O528" s="1788"/>
      <c r="P528" s="1721" t="s">
        <v>9611</v>
      </c>
    </row>
    <row r="529" spans="1:16" ht="13.5" hidden="1" customHeight="1" outlineLevel="3" x14ac:dyDescent="0.2">
      <c r="A529" s="459">
        <v>0</v>
      </c>
      <c r="B529" s="459">
        <v>5</v>
      </c>
      <c r="C529" s="459">
        <v>9</v>
      </c>
      <c r="D529" s="460">
        <v>4</v>
      </c>
      <c r="E529" s="460">
        <v>2</v>
      </c>
      <c r="G529" s="1748" t="s">
        <v>43</v>
      </c>
      <c r="H529" s="1783" t="s">
        <v>1239</v>
      </c>
      <c r="I529" s="1784" t="s">
        <v>6311</v>
      </c>
      <c r="J529" s="1751" t="s">
        <v>3512</v>
      </c>
      <c r="K529" s="1786" t="s">
        <v>642</v>
      </c>
      <c r="L529" s="1787" t="e">
        <v>#REF!</v>
      </c>
      <c r="M529" s="1787">
        <v>95.867556999999991</v>
      </c>
      <c r="N529" s="1754"/>
      <c r="O529" s="1788"/>
      <c r="P529" s="1721" t="s">
        <v>9611</v>
      </c>
    </row>
    <row r="530" spans="1:16" ht="13.5" hidden="1" customHeight="1" outlineLevel="3" x14ac:dyDescent="0.2">
      <c r="A530" s="459">
        <v>0</v>
      </c>
      <c r="B530" s="459">
        <v>5</v>
      </c>
      <c r="C530" s="459">
        <v>9</v>
      </c>
      <c r="D530" s="460">
        <v>4</v>
      </c>
      <c r="E530" s="460">
        <v>3</v>
      </c>
      <c r="G530" s="1748" t="s">
        <v>43</v>
      </c>
      <c r="H530" s="1783" t="s">
        <v>1239</v>
      </c>
      <c r="I530" s="1784" t="s">
        <v>6312</v>
      </c>
      <c r="J530" s="1751" t="s">
        <v>3516</v>
      </c>
      <c r="K530" s="1786" t="s">
        <v>642</v>
      </c>
      <c r="L530" s="1787" t="e">
        <v>#REF!</v>
      </c>
      <c r="M530" s="1787">
        <v>165.70309900000001</v>
      </c>
      <c r="N530" s="1754"/>
      <c r="O530" s="1788"/>
      <c r="P530" s="1721" t="s">
        <v>9611</v>
      </c>
    </row>
    <row r="531" spans="1:16" ht="13.5" hidden="1" customHeight="1" outlineLevel="2" x14ac:dyDescent="0.2">
      <c r="A531" s="459">
        <v>0</v>
      </c>
      <c r="B531" s="459">
        <v>5</v>
      </c>
      <c r="C531" s="459">
        <v>9</v>
      </c>
      <c r="D531" s="460">
        <v>5</v>
      </c>
      <c r="E531" s="460">
        <v>0</v>
      </c>
      <c r="G531" s="1740"/>
      <c r="H531" s="1777" t="s">
        <v>1238</v>
      </c>
      <c r="I531" s="1778" t="s">
        <v>6313</v>
      </c>
      <c r="J531" s="1779" t="s">
        <v>15</v>
      </c>
      <c r="K531" s="1780"/>
      <c r="L531" s="1781"/>
      <c r="M531" s="1781"/>
      <c r="N531" s="1746"/>
      <c r="O531" s="1782"/>
      <c r="P531" s="1720"/>
    </row>
    <row r="532" spans="1:16" ht="13.5" hidden="1" customHeight="1" outlineLevel="3" x14ac:dyDescent="0.2">
      <c r="A532" s="459">
        <v>0</v>
      </c>
      <c r="B532" s="459">
        <v>5</v>
      </c>
      <c r="C532" s="459">
        <v>9</v>
      </c>
      <c r="D532" s="460">
        <v>5</v>
      </c>
      <c r="E532" s="460">
        <v>1</v>
      </c>
      <c r="G532" s="1748" t="s">
        <v>43</v>
      </c>
      <c r="H532" s="1783" t="s">
        <v>1239</v>
      </c>
      <c r="I532" s="1784" t="s">
        <v>6314</v>
      </c>
      <c r="J532" s="1785" t="s">
        <v>432</v>
      </c>
      <c r="K532" s="1786" t="s">
        <v>642</v>
      </c>
      <c r="L532" s="1787" t="e">
        <v>#REF!</v>
      </c>
      <c r="M532" s="1787">
        <v>47</v>
      </c>
      <c r="N532" s="1754"/>
      <c r="O532" s="1788"/>
      <c r="P532" s="1721" t="s">
        <v>9611</v>
      </c>
    </row>
    <row r="533" spans="1:16" ht="13.5" hidden="1" customHeight="1" outlineLevel="3" x14ac:dyDescent="0.2">
      <c r="A533" s="459">
        <v>0</v>
      </c>
      <c r="B533" s="459">
        <v>5</v>
      </c>
      <c r="C533" s="459">
        <v>9</v>
      </c>
      <c r="D533" s="460">
        <v>5</v>
      </c>
      <c r="E533" s="460">
        <v>2</v>
      </c>
      <c r="G533" s="1748" t="s">
        <v>43</v>
      </c>
      <c r="H533" s="1783" t="s">
        <v>1239</v>
      </c>
      <c r="I533" s="1784" t="s">
        <v>6315</v>
      </c>
      <c r="J533" s="1785" t="s">
        <v>434</v>
      </c>
      <c r="K533" s="1786" t="s">
        <v>642</v>
      </c>
      <c r="L533" s="1787" t="e">
        <v>#REF!</v>
      </c>
      <c r="M533" s="1787">
        <v>47</v>
      </c>
      <c r="N533" s="1754"/>
      <c r="O533" s="1788"/>
      <c r="P533" s="1721" t="s">
        <v>9611</v>
      </c>
    </row>
    <row r="534" spans="1:16" ht="13.5" hidden="1" customHeight="1" outlineLevel="3" x14ac:dyDescent="0.2">
      <c r="A534" s="459">
        <v>0</v>
      </c>
      <c r="B534" s="459">
        <v>5</v>
      </c>
      <c r="C534" s="459">
        <v>9</v>
      </c>
      <c r="D534" s="460">
        <v>5</v>
      </c>
      <c r="E534" s="460">
        <v>3</v>
      </c>
      <c r="G534" s="1748" t="s">
        <v>43</v>
      </c>
      <c r="H534" s="1783" t="s">
        <v>1239</v>
      </c>
      <c r="I534" s="1784" t="s">
        <v>6316</v>
      </c>
      <c r="J534" s="1751" t="s">
        <v>3522</v>
      </c>
      <c r="K534" s="1786" t="s">
        <v>642</v>
      </c>
      <c r="L534" s="1753" t="e">
        <v>#REF!</v>
      </c>
      <c r="M534" s="1787" t="e">
        <v>#REF!</v>
      </c>
      <c r="N534" s="1754"/>
      <c r="O534" s="1788"/>
      <c r="P534" s="1721" t="s">
        <v>9611</v>
      </c>
    </row>
    <row r="535" spans="1:16" ht="13.5" hidden="1" customHeight="1" outlineLevel="1" x14ac:dyDescent="0.2">
      <c r="A535" s="459">
        <v>0</v>
      </c>
      <c r="B535" s="459">
        <v>5</v>
      </c>
      <c r="C535" s="459">
        <v>10</v>
      </c>
      <c r="D535" s="460">
        <v>0</v>
      </c>
      <c r="E535" s="460">
        <v>3</v>
      </c>
      <c r="G535" s="1733"/>
      <c r="H535" s="1771" t="s">
        <v>39</v>
      </c>
      <c r="I535" s="1772" t="s">
        <v>6317</v>
      </c>
      <c r="J535" s="1773" t="s">
        <v>2780</v>
      </c>
      <c r="K535" s="1774"/>
      <c r="L535" s="1775"/>
      <c r="M535" s="1775"/>
      <c r="N535" s="1739"/>
      <c r="O535" s="1776"/>
      <c r="P535" s="1719"/>
    </row>
    <row r="536" spans="1:16" ht="13.5" hidden="1" customHeight="1" outlineLevel="2" x14ac:dyDescent="0.2">
      <c r="A536" s="459">
        <v>0</v>
      </c>
      <c r="B536" s="459">
        <v>5</v>
      </c>
      <c r="C536" s="459">
        <v>10</v>
      </c>
      <c r="D536" s="460">
        <v>1</v>
      </c>
      <c r="E536" s="460">
        <v>0</v>
      </c>
      <c r="G536" s="1740"/>
      <c r="H536" s="1777" t="s">
        <v>1238</v>
      </c>
      <c r="I536" s="1778" t="s">
        <v>6318</v>
      </c>
      <c r="J536" s="1779" t="s">
        <v>2756</v>
      </c>
      <c r="K536" s="1780"/>
      <c r="L536" s="1781"/>
      <c r="M536" s="1781"/>
      <c r="N536" s="1746"/>
      <c r="O536" s="1782"/>
      <c r="P536" s="1720"/>
    </row>
    <row r="537" spans="1:16" ht="13.5" hidden="1" customHeight="1" outlineLevel="3" x14ac:dyDescent="0.2">
      <c r="A537" s="459">
        <v>0</v>
      </c>
      <c r="B537" s="459">
        <v>5</v>
      </c>
      <c r="C537" s="459">
        <v>10</v>
      </c>
      <c r="D537" s="460">
        <v>1</v>
      </c>
      <c r="E537" s="460">
        <v>1</v>
      </c>
      <c r="G537" s="1748" t="s">
        <v>43</v>
      </c>
      <c r="H537" s="1783" t="s">
        <v>1239</v>
      </c>
      <c r="I537" s="1784" t="s">
        <v>6319</v>
      </c>
      <c r="J537" s="1785" t="s">
        <v>2751</v>
      </c>
      <c r="K537" s="1786" t="s">
        <v>642</v>
      </c>
      <c r="L537" s="1787" t="e">
        <v>#REF!</v>
      </c>
      <c r="M537" s="1787">
        <v>35.099999999999994</v>
      </c>
      <c r="N537" s="1754"/>
      <c r="O537" s="1788"/>
      <c r="P537" s="1721" t="s">
        <v>9611</v>
      </c>
    </row>
    <row r="538" spans="1:16" ht="13.5" hidden="1" customHeight="1" outlineLevel="2" x14ac:dyDescent="0.2">
      <c r="A538" s="459">
        <v>0</v>
      </c>
      <c r="B538" s="459">
        <v>5</v>
      </c>
      <c r="C538" s="459">
        <v>10</v>
      </c>
      <c r="D538" s="460">
        <v>2</v>
      </c>
      <c r="E538" s="460">
        <v>0</v>
      </c>
      <c r="G538" s="1740"/>
      <c r="H538" s="1777" t="s">
        <v>1238</v>
      </c>
      <c r="I538" s="1778" t="s">
        <v>6320</v>
      </c>
      <c r="J538" s="1779" t="s">
        <v>1313</v>
      </c>
      <c r="K538" s="1780"/>
      <c r="L538" s="1781"/>
      <c r="M538" s="1781"/>
      <c r="N538" s="1746"/>
      <c r="O538" s="1782"/>
      <c r="P538" s="1720"/>
    </row>
    <row r="539" spans="1:16" ht="13.5" hidden="1" customHeight="1" outlineLevel="3" x14ac:dyDescent="0.2">
      <c r="A539" s="459">
        <v>0</v>
      </c>
      <c r="B539" s="459">
        <v>5</v>
      </c>
      <c r="C539" s="459">
        <v>10</v>
      </c>
      <c r="D539" s="460">
        <v>2</v>
      </c>
      <c r="E539" s="460">
        <v>1</v>
      </c>
      <c r="G539" s="1748" t="s">
        <v>43</v>
      </c>
      <c r="H539" s="1783" t="s">
        <v>1239</v>
      </c>
      <c r="I539" s="1784" t="s">
        <v>6321</v>
      </c>
      <c r="J539" s="1785" t="s">
        <v>1326</v>
      </c>
      <c r="K539" s="1786" t="s">
        <v>642</v>
      </c>
      <c r="L539" s="1787" t="e">
        <v>#REF!</v>
      </c>
      <c r="M539" s="1787">
        <v>82.960000000000008</v>
      </c>
      <c r="N539" s="1754"/>
      <c r="O539" s="1788"/>
      <c r="P539" s="1721" t="s">
        <v>9611</v>
      </c>
    </row>
    <row r="540" spans="1:16" ht="13.5" hidden="1" customHeight="1" outlineLevel="2" x14ac:dyDescent="0.2">
      <c r="A540" s="459">
        <v>0</v>
      </c>
      <c r="B540" s="459">
        <v>5</v>
      </c>
      <c r="C540" s="459">
        <v>10</v>
      </c>
      <c r="D540" s="460">
        <v>3</v>
      </c>
      <c r="E540" s="460">
        <v>0</v>
      </c>
      <c r="G540" s="1740"/>
      <c r="H540" s="1777" t="s">
        <v>1238</v>
      </c>
      <c r="I540" s="1778" t="s">
        <v>6322</v>
      </c>
      <c r="J540" s="1779" t="s">
        <v>1252</v>
      </c>
      <c r="K540" s="1780"/>
      <c r="L540" s="1781"/>
      <c r="M540" s="1781"/>
      <c r="N540" s="1746"/>
      <c r="O540" s="1782"/>
      <c r="P540" s="1720"/>
    </row>
    <row r="541" spans="1:16" ht="13.5" hidden="1" customHeight="1" outlineLevel="3" x14ac:dyDescent="0.2">
      <c r="A541" s="459">
        <v>0</v>
      </c>
      <c r="B541" s="459">
        <v>5</v>
      </c>
      <c r="C541" s="459">
        <v>10</v>
      </c>
      <c r="D541" s="460">
        <v>3</v>
      </c>
      <c r="E541" s="460">
        <v>1</v>
      </c>
      <c r="G541" s="1748" t="s">
        <v>43</v>
      </c>
      <c r="H541" s="1783" t="s">
        <v>1239</v>
      </c>
      <c r="I541" s="1784" t="s">
        <v>6323</v>
      </c>
      <c r="J541" s="1785" t="s">
        <v>1253</v>
      </c>
      <c r="K541" s="1786" t="s">
        <v>788</v>
      </c>
      <c r="L541" s="1787" t="e">
        <v>#REF!</v>
      </c>
      <c r="M541" s="1787">
        <v>14.787500000000001</v>
      </c>
      <c r="N541" s="1754"/>
      <c r="O541" s="1788"/>
      <c r="P541" s="1721" t="s">
        <v>9611</v>
      </c>
    </row>
    <row r="542" spans="1:16" ht="13.5" hidden="1" customHeight="1" outlineLevel="3" x14ac:dyDescent="0.2">
      <c r="A542" s="459">
        <v>0</v>
      </c>
      <c r="B542" s="459">
        <v>5</v>
      </c>
      <c r="C542" s="459">
        <v>10</v>
      </c>
      <c r="D542" s="460">
        <v>3</v>
      </c>
      <c r="E542" s="460">
        <v>2</v>
      </c>
      <c r="G542" s="1748" t="s">
        <v>43</v>
      </c>
      <c r="H542" s="1783" t="s">
        <v>1239</v>
      </c>
      <c r="I542" s="1784" t="s">
        <v>6324</v>
      </c>
      <c r="J542" s="1785" t="s">
        <v>393</v>
      </c>
      <c r="K542" s="1786" t="s">
        <v>534</v>
      </c>
      <c r="L542" s="1787" t="e">
        <v>#REF!</v>
      </c>
      <c r="M542" s="1787">
        <v>4.1071999999999997</v>
      </c>
      <c r="N542" s="1754"/>
      <c r="O542" s="1788"/>
      <c r="P542" s="1721" t="s">
        <v>9611</v>
      </c>
    </row>
    <row r="543" spans="1:16" ht="13.5" hidden="1" customHeight="1" outlineLevel="3" x14ac:dyDescent="0.2">
      <c r="A543" s="459">
        <v>0</v>
      </c>
      <c r="B543" s="459">
        <v>5</v>
      </c>
      <c r="C543" s="459">
        <v>10</v>
      </c>
      <c r="D543" s="460">
        <v>3</v>
      </c>
      <c r="E543" s="460">
        <v>3</v>
      </c>
      <c r="G543" s="1748" t="s">
        <v>43</v>
      </c>
      <c r="H543" s="1783" t="s">
        <v>1239</v>
      </c>
      <c r="I543" s="1784" t="s">
        <v>6325</v>
      </c>
      <c r="J543" s="1785" t="s">
        <v>397</v>
      </c>
      <c r="K543" s="1786" t="s">
        <v>788</v>
      </c>
      <c r="L543" s="1787" t="e">
        <v>#REF!</v>
      </c>
      <c r="M543" s="1787">
        <v>79.403675710539517</v>
      </c>
      <c r="N543" s="1754"/>
      <c r="O543" s="1788"/>
      <c r="P543" s="1721" t="s">
        <v>9611</v>
      </c>
    </row>
    <row r="544" spans="1:16" ht="13.5" hidden="1" customHeight="1" outlineLevel="3" x14ac:dyDescent="0.2">
      <c r="A544" s="459">
        <v>0</v>
      </c>
      <c r="B544" s="459">
        <v>5</v>
      </c>
      <c r="C544" s="459">
        <v>10</v>
      </c>
      <c r="D544" s="460">
        <v>3</v>
      </c>
      <c r="E544" s="460">
        <v>4</v>
      </c>
      <c r="G544" s="1748" t="s">
        <v>43</v>
      </c>
      <c r="H544" s="1783" t="s">
        <v>1239</v>
      </c>
      <c r="I544" s="1784" t="s">
        <v>6326</v>
      </c>
      <c r="J544" s="1785" t="s">
        <v>440</v>
      </c>
      <c r="K544" s="1786" t="s">
        <v>534</v>
      </c>
      <c r="L544" s="1787">
        <v>16</v>
      </c>
      <c r="M544" s="1787">
        <v>1800</v>
      </c>
      <c r="N544" s="1754">
        <v>28800</v>
      </c>
      <c r="O544" s="1788"/>
      <c r="P544" s="1721" t="s">
        <v>9611</v>
      </c>
    </row>
    <row r="545" spans="1:16" ht="13.5" hidden="1" customHeight="1" outlineLevel="2" x14ac:dyDescent="0.2">
      <c r="A545" s="459">
        <v>0</v>
      </c>
      <c r="B545" s="459">
        <v>5</v>
      </c>
      <c r="C545" s="459">
        <v>10</v>
      </c>
      <c r="D545" s="460">
        <v>4</v>
      </c>
      <c r="E545" s="460">
        <v>0</v>
      </c>
      <c r="G545" s="1740"/>
      <c r="H545" s="1777" t="s">
        <v>1238</v>
      </c>
      <c r="I545" s="1778" t="s">
        <v>6327</v>
      </c>
      <c r="J545" s="1779" t="s">
        <v>1330</v>
      </c>
      <c r="K545" s="1780"/>
      <c r="L545" s="1781"/>
      <c r="M545" s="1781"/>
      <c r="N545" s="1746"/>
      <c r="O545" s="1782"/>
      <c r="P545" s="1720"/>
    </row>
    <row r="546" spans="1:16" ht="13.5" hidden="1" customHeight="1" outlineLevel="3" x14ac:dyDescent="0.2">
      <c r="A546" s="459">
        <v>0</v>
      </c>
      <c r="B546" s="459">
        <v>5</v>
      </c>
      <c r="C546" s="459">
        <v>10</v>
      </c>
      <c r="D546" s="460">
        <v>4</v>
      </c>
      <c r="E546" s="460">
        <v>1</v>
      </c>
      <c r="G546" s="1748" t="s">
        <v>43</v>
      </c>
      <c r="H546" s="1783" t="s">
        <v>1239</v>
      </c>
      <c r="I546" s="1784" t="s">
        <v>6328</v>
      </c>
      <c r="J546" s="1751" t="s">
        <v>3511</v>
      </c>
      <c r="K546" s="1786" t="s">
        <v>642</v>
      </c>
      <c r="L546" s="1787" t="e">
        <v>#REF!</v>
      </c>
      <c r="M546" s="1787">
        <v>103.175377</v>
      </c>
      <c r="N546" s="1754"/>
      <c r="O546" s="1788"/>
      <c r="P546" s="1721" t="s">
        <v>9611</v>
      </c>
    </row>
    <row r="547" spans="1:16" ht="13.5" hidden="1" customHeight="1" outlineLevel="3" x14ac:dyDescent="0.2">
      <c r="A547" s="459">
        <v>0</v>
      </c>
      <c r="B547" s="459">
        <v>5</v>
      </c>
      <c r="C547" s="459">
        <v>10</v>
      </c>
      <c r="D547" s="460">
        <v>4</v>
      </c>
      <c r="E547" s="460">
        <v>2</v>
      </c>
      <c r="G547" s="1748" t="s">
        <v>43</v>
      </c>
      <c r="H547" s="1783" t="s">
        <v>1239</v>
      </c>
      <c r="I547" s="1784" t="s">
        <v>6329</v>
      </c>
      <c r="J547" s="1751" t="s">
        <v>3512</v>
      </c>
      <c r="K547" s="1786" t="s">
        <v>642</v>
      </c>
      <c r="L547" s="1787" t="e">
        <v>#REF!</v>
      </c>
      <c r="M547" s="1787">
        <v>95.867556999999991</v>
      </c>
      <c r="N547" s="1754"/>
      <c r="O547" s="1788"/>
      <c r="P547" s="1721" t="s">
        <v>9611</v>
      </c>
    </row>
    <row r="548" spans="1:16" ht="13.5" hidden="1" customHeight="1" outlineLevel="3" x14ac:dyDescent="0.2">
      <c r="A548" s="459">
        <v>0</v>
      </c>
      <c r="B548" s="459">
        <v>5</v>
      </c>
      <c r="C548" s="459">
        <v>10</v>
      </c>
      <c r="D548" s="460">
        <v>4</v>
      </c>
      <c r="E548" s="460">
        <v>3</v>
      </c>
      <c r="G548" s="1748" t="s">
        <v>43</v>
      </c>
      <c r="H548" s="1783" t="s">
        <v>1239</v>
      </c>
      <c r="I548" s="1784" t="s">
        <v>6330</v>
      </c>
      <c r="J548" s="1751" t="s">
        <v>3516</v>
      </c>
      <c r="K548" s="1786" t="s">
        <v>642</v>
      </c>
      <c r="L548" s="1787" t="e">
        <v>#REF!</v>
      </c>
      <c r="M548" s="1787">
        <v>165.70309900000001</v>
      </c>
      <c r="N548" s="1754"/>
      <c r="O548" s="1788"/>
      <c r="P548" s="1721" t="s">
        <v>9611</v>
      </c>
    </row>
    <row r="549" spans="1:16" ht="13.5" hidden="1" customHeight="1" outlineLevel="2" x14ac:dyDescent="0.2">
      <c r="A549" s="459">
        <v>0</v>
      </c>
      <c r="B549" s="459">
        <v>5</v>
      </c>
      <c r="C549" s="459">
        <v>10</v>
      </c>
      <c r="D549" s="460">
        <v>5</v>
      </c>
      <c r="E549" s="460">
        <v>0</v>
      </c>
      <c r="G549" s="1740"/>
      <c r="H549" s="1777" t="s">
        <v>1238</v>
      </c>
      <c r="I549" s="1778" t="s">
        <v>6331</v>
      </c>
      <c r="J549" s="1779" t="s">
        <v>15</v>
      </c>
      <c r="K549" s="1780"/>
      <c r="L549" s="1781"/>
      <c r="M549" s="1781"/>
      <c r="N549" s="1746"/>
      <c r="O549" s="1782"/>
      <c r="P549" s="1720"/>
    </row>
    <row r="550" spans="1:16" ht="13.5" hidden="1" customHeight="1" outlineLevel="3" x14ac:dyDescent="0.2">
      <c r="A550" s="459">
        <v>0</v>
      </c>
      <c r="B550" s="459">
        <v>5</v>
      </c>
      <c r="C550" s="459">
        <v>10</v>
      </c>
      <c r="D550" s="460">
        <v>5</v>
      </c>
      <c r="E550" s="460">
        <v>1</v>
      </c>
      <c r="G550" s="1748" t="s">
        <v>43</v>
      </c>
      <c r="H550" s="1783" t="s">
        <v>1239</v>
      </c>
      <c r="I550" s="1784" t="s">
        <v>6332</v>
      </c>
      <c r="J550" s="1785" t="s">
        <v>432</v>
      </c>
      <c r="K550" s="1786" t="s">
        <v>642</v>
      </c>
      <c r="L550" s="1787" t="e">
        <v>#REF!</v>
      </c>
      <c r="M550" s="1787">
        <v>47</v>
      </c>
      <c r="N550" s="1754"/>
      <c r="O550" s="1788"/>
      <c r="P550" s="1721" t="s">
        <v>9611</v>
      </c>
    </row>
    <row r="551" spans="1:16" ht="13.5" hidden="1" customHeight="1" outlineLevel="3" x14ac:dyDescent="0.2">
      <c r="A551" s="459">
        <v>0</v>
      </c>
      <c r="B551" s="459">
        <v>5</v>
      </c>
      <c r="C551" s="459">
        <v>10</v>
      </c>
      <c r="D551" s="460">
        <v>5</v>
      </c>
      <c r="E551" s="460">
        <v>2</v>
      </c>
      <c r="G551" s="1748" t="s">
        <v>43</v>
      </c>
      <c r="H551" s="1783" t="s">
        <v>1239</v>
      </c>
      <c r="I551" s="1784" t="s">
        <v>6333</v>
      </c>
      <c r="J551" s="1785" t="s">
        <v>434</v>
      </c>
      <c r="K551" s="1786" t="s">
        <v>642</v>
      </c>
      <c r="L551" s="1787" t="e">
        <v>#REF!</v>
      </c>
      <c r="M551" s="1787">
        <v>47</v>
      </c>
      <c r="N551" s="1754"/>
      <c r="O551" s="1788"/>
      <c r="P551" s="1721" t="s">
        <v>9611</v>
      </c>
    </row>
    <row r="552" spans="1:16" ht="13.5" hidden="1" customHeight="1" outlineLevel="3" x14ac:dyDescent="0.2">
      <c r="A552" s="459">
        <v>0</v>
      </c>
      <c r="B552" s="459">
        <v>5</v>
      </c>
      <c r="C552" s="459">
        <v>10</v>
      </c>
      <c r="D552" s="460">
        <v>5</v>
      </c>
      <c r="E552" s="460">
        <v>3</v>
      </c>
      <c r="G552" s="1748" t="s">
        <v>43</v>
      </c>
      <c r="H552" s="1783" t="s">
        <v>1239</v>
      </c>
      <c r="I552" s="1784" t="s">
        <v>6334</v>
      </c>
      <c r="J552" s="1751" t="s">
        <v>3522</v>
      </c>
      <c r="K552" s="1786" t="s">
        <v>642</v>
      </c>
      <c r="L552" s="1753" t="e">
        <v>#REF!</v>
      </c>
      <c r="M552" s="1787" t="e">
        <v>#REF!</v>
      </c>
      <c r="N552" s="1754"/>
      <c r="O552" s="1788"/>
      <c r="P552" s="1721" t="s">
        <v>9611</v>
      </c>
    </row>
    <row r="553" spans="1:16" ht="13.5" hidden="1" customHeight="1" outlineLevel="1" x14ac:dyDescent="0.2">
      <c r="A553" s="459">
        <v>0</v>
      </c>
      <c r="B553" s="459">
        <v>5</v>
      </c>
      <c r="C553" s="459">
        <v>11</v>
      </c>
      <c r="D553" s="460">
        <v>0</v>
      </c>
      <c r="E553" s="460">
        <v>3</v>
      </c>
      <c r="G553" s="1733"/>
      <c r="H553" s="1771" t="s">
        <v>39</v>
      </c>
      <c r="I553" s="1772" t="s">
        <v>6335</v>
      </c>
      <c r="J553" s="1773" t="s">
        <v>2781</v>
      </c>
      <c r="K553" s="1774"/>
      <c r="L553" s="1775"/>
      <c r="M553" s="1775"/>
      <c r="N553" s="1739"/>
      <c r="O553" s="1776"/>
      <c r="P553" s="1719"/>
    </row>
    <row r="554" spans="1:16" ht="13.5" hidden="1" customHeight="1" outlineLevel="2" x14ac:dyDescent="0.2">
      <c r="A554" s="459">
        <v>0</v>
      </c>
      <c r="B554" s="459">
        <v>5</v>
      </c>
      <c r="C554" s="459">
        <v>11</v>
      </c>
      <c r="D554" s="460">
        <v>1</v>
      </c>
      <c r="E554" s="460">
        <v>0</v>
      </c>
      <c r="G554" s="1740"/>
      <c r="H554" s="1777" t="s">
        <v>1238</v>
      </c>
      <c r="I554" s="1778" t="s">
        <v>6336</v>
      </c>
      <c r="J554" s="1779" t="s">
        <v>2756</v>
      </c>
      <c r="K554" s="1780"/>
      <c r="L554" s="1781"/>
      <c r="M554" s="1781"/>
      <c r="N554" s="1746"/>
      <c r="O554" s="1782"/>
      <c r="P554" s="1720"/>
    </row>
    <row r="555" spans="1:16" ht="13.5" hidden="1" customHeight="1" outlineLevel="3" x14ac:dyDescent="0.2">
      <c r="A555" s="459">
        <v>0</v>
      </c>
      <c r="B555" s="459">
        <v>5</v>
      </c>
      <c r="C555" s="459">
        <v>11</v>
      </c>
      <c r="D555" s="460">
        <v>1</v>
      </c>
      <c r="E555" s="460">
        <v>1</v>
      </c>
      <c r="G555" s="1748" t="s">
        <v>43</v>
      </c>
      <c r="H555" s="1783" t="s">
        <v>1239</v>
      </c>
      <c r="I555" s="1784" t="s">
        <v>6337</v>
      </c>
      <c r="J555" s="1785" t="s">
        <v>2751</v>
      </c>
      <c r="K555" s="1786" t="s">
        <v>642</v>
      </c>
      <c r="L555" s="1787" t="e">
        <v>#REF!</v>
      </c>
      <c r="M555" s="1787">
        <v>35.099999999999994</v>
      </c>
      <c r="N555" s="1754"/>
      <c r="O555" s="1788"/>
      <c r="P555" s="1721" t="s">
        <v>9611</v>
      </c>
    </row>
    <row r="556" spans="1:16" ht="13.5" hidden="1" customHeight="1" outlineLevel="2" x14ac:dyDescent="0.2">
      <c r="A556" s="459">
        <v>0</v>
      </c>
      <c r="B556" s="459">
        <v>5</v>
      </c>
      <c r="C556" s="459">
        <v>11</v>
      </c>
      <c r="D556" s="460">
        <v>2</v>
      </c>
      <c r="E556" s="460">
        <v>0</v>
      </c>
      <c r="G556" s="1740"/>
      <c r="H556" s="1777" t="s">
        <v>1238</v>
      </c>
      <c r="I556" s="1778" t="s">
        <v>6338</v>
      </c>
      <c r="J556" s="1779" t="s">
        <v>1313</v>
      </c>
      <c r="K556" s="1780"/>
      <c r="L556" s="1781"/>
      <c r="M556" s="1781"/>
      <c r="N556" s="1746"/>
      <c r="O556" s="1782"/>
      <c r="P556" s="1720"/>
    </row>
    <row r="557" spans="1:16" ht="13.5" hidden="1" customHeight="1" outlineLevel="3" x14ac:dyDescent="0.2">
      <c r="A557" s="459">
        <v>0</v>
      </c>
      <c r="B557" s="459">
        <v>5</v>
      </c>
      <c r="C557" s="459">
        <v>11</v>
      </c>
      <c r="D557" s="460">
        <v>2</v>
      </c>
      <c r="E557" s="460">
        <v>1</v>
      </c>
      <c r="G557" s="1748" t="s">
        <v>43</v>
      </c>
      <c r="H557" s="1783" t="s">
        <v>1239</v>
      </c>
      <c r="I557" s="1784" t="s">
        <v>6339</v>
      </c>
      <c r="J557" s="1785" t="s">
        <v>1326</v>
      </c>
      <c r="K557" s="1786" t="s">
        <v>642</v>
      </c>
      <c r="L557" s="1787" t="e">
        <v>#REF!</v>
      </c>
      <c r="M557" s="1787">
        <v>82.960000000000008</v>
      </c>
      <c r="N557" s="1754"/>
      <c r="O557" s="1788"/>
      <c r="P557" s="1721" t="s">
        <v>9611</v>
      </c>
    </row>
    <row r="558" spans="1:16" ht="13.5" hidden="1" customHeight="1" outlineLevel="2" x14ac:dyDescent="0.2">
      <c r="A558" s="459">
        <v>0</v>
      </c>
      <c r="B558" s="459">
        <v>5</v>
      </c>
      <c r="C558" s="459">
        <v>11</v>
      </c>
      <c r="D558" s="460">
        <v>3</v>
      </c>
      <c r="E558" s="460">
        <v>0</v>
      </c>
      <c r="G558" s="1740"/>
      <c r="H558" s="1777" t="s">
        <v>1238</v>
      </c>
      <c r="I558" s="1778" t="s">
        <v>6340</v>
      </c>
      <c r="J558" s="1779" t="s">
        <v>1252</v>
      </c>
      <c r="K558" s="1780"/>
      <c r="L558" s="1781"/>
      <c r="M558" s="1781"/>
      <c r="N558" s="1746"/>
      <c r="O558" s="1782"/>
      <c r="P558" s="1720"/>
    </row>
    <row r="559" spans="1:16" ht="13.5" hidden="1" customHeight="1" outlineLevel="3" x14ac:dyDescent="0.2">
      <c r="A559" s="459">
        <v>0</v>
      </c>
      <c r="B559" s="459">
        <v>5</v>
      </c>
      <c r="C559" s="459">
        <v>11</v>
      </c>
      <c r="D559" s="460">
        <v>3</v>
      </c>
      <c r="E559" s="460">
        <v>1</v>
      </c>
      <c r="G559" s="1748" t="s">
        <v>43</v>
      </c>
      <c r="H559" s="1783" t="s">
        <v>1239</v>
      </c>
      <c r="I559" s="1784" t="s">
        <v>6341</v>
      </c>
      <c r="J559" s="1785" t="s">
        <v>1253</v>
      </c>
      <c r="K559" s="1786" t="s">
        <v>788</v>
      </c>
      <c r="L559" s="1787" t="e">
        <v>#REF!</v>
      </c>
      <c r="M559" s="1787">
        <v>14.787500000000001</v>
      </c>
      <c r="N559" s="1754"/>
      <c r="O559" s="1788"/>
      <c r="P559" s="1721" t="s">
        <v>9611</v>
      </c>
    </row>
    <row r="560" spans="1:16" ht="13.5" hidden="1" customHeight="1" outlineLevel="3" x14ac:dyDescent="0.2">
      <c r="A560" s="459">
        <v>0</v>
      </c>
      <c r="B560" s="459">
        <v>5</v>
      </c>
      <c r="C560" s="459">
        <v>11</v>
      </c>
      <c r="D560" s="460">
        <v>3</v>
      </c>
      <c r="E560" s="460">
        <v>2</v>
      </c>
      <c r="G560" s="1748" t="s">
        <v>43</v>
      </c>
      <c r="H560" s="1783" t="s">
        <v>1239</v>
      </c>
      <c r="I560" s="1784" t="s">
        <v>6342</v>
      </c>
      <c r="J560" s="1785" t="s">
        <v>393</v>
      </c>
      <c r="K560" s="1786" t="s">
        <v>534</v>
      </c>
      <c r="L560" s="1787" t="e">
        <v>#REF!</v>
      </c>
      <c r="M560" s="1787">
        <v>4.1071999999999997</v>
      </c>
      <c r="N560" s="1754"/>
      <c r="O560" s="1788"/>
      <c r="P560" s="1721" t="s">
        <v>9611</v>
      </c>
    </row>
    <row r="561" spans="1:16" ht="13.5" hidden="1" customHeight="1" outlineLevel="3" x14ac:dyDescent="0.2">
      <c r="A561" s="459">
        <v>0</v>
      </c>
      <c r="B561" s="459">
        <v>5</v>
      </c>
      <c r="C561" s="459">
        <v>11</v>
      </c>
      <c r="D561" s="460">
        <v>3</v>
      </c>
      <c r="E561" s="460">
        <v>3</v>
      </c>
      <c r="G561" s="1748" t="s">
        <v>43</v>
      </c>
      <c r="H561" s="1783" t="s">
        <v>1239</v>
      </c>
      <c r="I561" s="1784" t="s">
        <v>6343</v>
      </c>
      <c r="J561" s="1785" t="s">
        <v>397</v>
      </c>
      <c r="K561" s="1786" t="s">
        <v>788</v>
      </c>
      <c r="L561" s="1787" t="e">
        <v>#REF!</v>
      </c>
      <c r="M561" s="1787">
        <v>79.403675710539517</v>
      </c>
      <c r="N561" s="1754"/>
      <c r="O561" s="1788"/>
      <c r="P561" s="1721" t="s">
        <v>9611</v>
      </c>
    </row>
    <row r="562" spans="1:16" ht="13.5" hidden="1" customHeight="1" outlineLevel="3" x14ac:dyDescent="0.2">
      <c r="A562" s="459">
        <v>0</v>
      </c>
      <c r="B562" s="459">
        <v>5</v>
      </c>
      <c r="C562" s="459">
        <v>11</v>
      </c>
      <c r="D562" s="460">
        <v>3</v>
      </c>
      <c r="E562" s="460">
        <v>4</v>
      </c>
      <c r="G562" s="1748" t="s">
        <v>43</v>
      </c>
      <c r="H562" s="1783" t="s">
        <v>1239</v>
      </c>
      <c r="I562" s="1784" t="s">
        <v>6344</v>
      </c>
      <c r="J562" s="1785" t="s">
        <v>440</v>
      </c>
      <c r="K562" s="1786" t="s">
        <v>534</v>
      </c>
      <c r="L562" s="1787">
        <v>22</v>
      </c>
      <c r="M562" s="1787">
        <v>1800</v>
      </c>
      <c r="N562" s="1754">
        <v>39600</v>
      </c>
      <c r="O562" s="1788"/>
      <c r="P562" s="1721" t="s">
        <v>9611</v>
      </c>
    </row>
    <row r="563" spans="1:16" ht="13.5" hidden="1" customHeight="1" outlineLevel="2" x14ac:dyDescent="0.2">
      <c r="A563" s="459">
        <v>0</v>
      </c>
      <c r="B563" s="459">
        <v>5</v>
      </c>
      <c r="C563" s="459">
        <v>11</v>
      </c>
      <c r="D563" s="460">
        <v>4</v>
      </c>
      <c r="E563" s="460">
        <v>0</v>
      </c>
      <c r="G563" s="1740"/>
      <c r="H563" s="1777" t="s">
        <v>1238</v>
      </c>
      <c r="I563" s="1778" t="s">
        <v>6345</v>
      </c>
      <c r="J563" s="1779" t="s">
        <v>1330</v>
      </c>
      <c r="K563" s="1780"/>
      <c r="L563" s="1781"/>
      <c r="M563" s="1781"/>
      <c r="N563" s="1746"/>
      <c r="O563" s="1782"/>
      <c r="P563" s="1720"/>
    </row>
    <row r="564" spans="1:16" ht="13.5" hidden="1" customHeight="1" outlineLevel="3" x14ac:dyDescent="0.2">
      <c r="A564" s="459">
        <v>0</v>
      </c>
      <c r="B564" s="459">
        <v>5</v>
      </c>
      <c r="C564" s="459">
        <v>11</v>
      </c>
      <c r="D564" s="460">
        <v>4</v>
      </c>
      <c r="E564" s="460">
        <v>1</v>
      </c>
      <c r="G564" s="1748" t="s">
        <v>43</v>
      </c>
      <c r="H564" s="1783" t="s">
        <v>1239</v>
      </c>
      <c r="I564" s="1784" t="s">
        <v>6346</v>
      </c>
      <c r="J564" s="1751" t="s">
        <v>3511</v>
      </c>
      <c r="K564" s="1786" t="s">
        <v>642</v>
      </c>
      <c r="L564" s="1787" t="e">
        <v>#REF!</v>
      </c>
      <c r="M564" s="1787">
        <v>103.175377</v>
      </c>
      <c r="N564" s="1754"/>
      <c r="O564" s="1788"/>
      <c r="P564" s="1721" t="s">
        <v>9611</v>
      </c>
    </row>
    <row r="565" spans="1:16" ht="13.5" hidden="1" customHeight="1" outlineLevel="3" x14ac:dyDescent="0.2">
      <c r="A565" s="459">
        <v>0</v>
      </c>
      <c r="B565" s="459">
        <v>5</v>
      </c>
      <c r="C565" s="459">
        <v>11</v>
      </c>
      <c r="D565" s="460">
        <v>4</v>
      </c>
      <c r="E565" s="460">
        <v>2</v>
      </c>
      <c r="G565" s="1748" t="s">
        <v>43</v>
      </c>
      <c r="H565" s="1783" t="s">
        <v>1239</v>
      </c>
      <c r="I565" s="1784" t="s">
        <v>6347</v>
      </c>
      <c r="J565" s="1751" t="s">
        <v>3512</v>
      </c>
      <c r="K565" s="1786" t="s">
        <v>642</v>
      </c>
      <c r="L565" s="1787" t="e">
        <v>#REF!</v>
      </c>
      <c r="M565" s="1787">
        <v>95.867556999999991</v>
      </c>
      <c r="N565" s="1754"/>
      <c r="O565" s="1788"/>
      <c r="P565" s="1721" t="s">
        <v>9611</v>
      </c>
    </row>
    <row r="566" spans="1:16" ht="13.5" hidden="1" customHeight="1" outlineLevel="3" x14ac:dyDescent="0.2">
      <c r="A566" s="459">
        <v>0</v>
      </c>
      <c r="B566" s="459">
        <v>5</v>
      </c>
      <c r="C566" s="459">
        <v>11</v>
      </c>
      <c r="D566" s="460">
        <v>4</v>
      </c>
      <c r="E566" s="460">
        <v>3</v>
      </c>
      <c r="G566" s="1748" t="s">
        <v>43</v>
      </c>
      <c r="H566" s="1783" t="s">
        <v>1239</v>
      </c>
      <c r="I566" s="1784" t="s">
        <v>6348</v>
      </c>
      <c r="J566" s="1751" t="s">
        <v>3516</v>
      </c>
      <c r="K566" s="1786" t="s">
        <v>642</v>
      </c>
      <c r="L566" s="1787" t="e">
        <v>#REF!</v>
      </c>
      <c r="M566" s="1787">
        <v>165.70309900000001</v>
      </c>
      <c r="N566" s="1754"/>
      <c r="O566" s="1788"/>
      <c r="P566" s="1721" t="s">
        <v>9611</v>
      </c>
    </row>
    <row r="567" spans="1:16" ht="13.5" hidden="1" customHeight="1" outlineLevel="2" x14ac:dyDescent="0.2">
      <c r="A567" s="459">
        <v>0</v>
      </c>
      <c r="B567" s="459">
        <v>5</v>
      </c>
      <c r="C567" s="459">
        <v>11</v>
      </c>
      <c r="D567" s="460">
        <v>5</v>
      </c>
      <c r="E567" s="460">
        <v>0</v>
      </c>
      <c r="G567" s="1740"/>
      <c r="H567" s="1777" t="s">
        <v>1238</v>
      </c>
      <c r="I567" s="1778" t="s">
        <v>6349</v>
      </c>
      <c r="J567" s="1779" t="s">
        <v>15</v>
      </c>
      <c r="K567" s="1780"/>
      <c r="L567" s="1781"/>
      <c r="M567" s="1781"/>
      <c r="N567" s="1746"/>
      <c r="O567" s="1782"/>
      <c r="P567" s="1720"/>
    </row>
    <row r="568" spans="1:16" ht="13.5" hidden="1" customHeight="1" outlineLevel="3" x14ac:dyDescent="0.2">
      <c r="A568" s="459">
        <v>0</v>
      </c>
      <c r="B568" s="459">
        <v>5</v>
      </c>
      <c r="C568" s="459">
        <v>11</v>
      </c>
      <c r="D568" s="460">
        <v>5</v>
      </c>
      <c r="E568" s="460">
        <v>1</v>
      </c>
      <c r="G568" s="1748" t="s">
        <v>43</v>
      </c>
      <c r="H568" s="1783" t="s">
        <v>1239</v>
      </c>
      <c r="I568" s="1784" t="s">
        <v>6350</v>
      </c>
      <c r="J568" s="1785" t="s">
        <v>432</v>
      </c>
      <c r="K568" s="1786" t="s">
        <v>642</v>
      </c>
      <c r="L568" s="1787" t="e">
        <v>#REF!</v>
      </c>
      <c r="M568" s="1787">
        <v>47</v>
      </c>
      <c r="N568" s="1754"/>
      <c r="O568" s="1788"/>
      <c r="P568" s="1721" t="s">
        <v>9611</v>
      </c>
    </row>
    <row r="569" spans="1:16" ht="13.5" hidden="1" customHeight="1" outlineLevel="3" x14ac:dyDescent="0.2">
      <c r="A569" s="459">
        <v>0</v>
      </c>
      <c r="B569" s="459">
        <v>5</v>
      </c>
      <c r="C569" s="459">
        <v>11</v>
      </c>
      <c r="D569" s="460">
        <v>5</v>
      </c>
      <c r="E569" s="460">
        <v>2</v>
      </c>
      <c r="G569" s="1748" t="s">
        <v>43</v>
      </c>
      <c r="H569" s="1783" t="s">
        <v>1239</v>
      </c>
      <c r="I569" s="1784" t="s">
        <v>6351</v>
      </c>
      <c r="J569" s="1785" t="s">
        <v>434</v>
      </c>
      <c r="K569" s="1786" t="s">
        <v>642</v>
      </c>
      <c r="L569" s="1787" t="e">
        <v>#REF!</v>
      </c>
      <c r="M569" s="1787">
        <v>47</v>
      </c>
      <c r="N569" s="1754"/>
      <c r="O569" s="1788"/>
      <c r="P569" s="1721" t="s">
        <v>9611</v>
      </c>
    </row>
    <row r="570" spans="1:16" ht="13.5" hidden="1" customHeight="1" outlineLevel="3" x14ac:dyDescent="0.2">
      <c r="A570" s="459">
        <v>0</v>
      </c>
      <c r="B570" s="459">
        <v>5</v>
      </c>
      <c r="C570" s="459">
        <v>11</v>
      </c>
      <c r="D570" s="460">
        <v>5</v>
      </c>
      <c r="E570" s="460">
        <v>3</v>
      </c>
      <c r="G570" s="1748" t="s">
        <v>43</v>
      </c>
      <c r="H570" s="1783" t="s">
        <v>1239</v>
      </c>
      <c r="I570" s="1784" t="s">
        <v>6352</v>
      </c>
      <c r="J570" s="1751" t="s">
        <v>3522</v>
      </c>
      <c r="K570" s="1786" t="s">
        <v>642</v>
      </c>
      <c r="L570" s="1753" t="e">
        <v>#REF!</v>
      </c>
      <c r="M570" s="1787" t="e">
        <v>#REF!</v>
      </c>
      <c r="N570" s="1754"/>
      <c r="O570" s="1788"/>
      <c r="P570" s="1721" t="s">
        <v>9611</v>
      </c>
    </row>
    <row r="571" spans="1:16" ht="13.5" hidden="1" customHeight="1" outlineLevel="1" x14ac:dyDescent="0.2">
      <c r="A571" s="459">
        <v>0</v>
      </c>
      <c r="B571" s="459">
        <v>5</v>
      </c>
      <c r="C571" s="459">
        <v>12</v>
      </c>
      <c r="D571" s="460">
        <v>0</v>
      </c>
      <c r="E571" s="460">
        <v>3</v>
      </c>
      <c r="G571" s="1733"/>
      <c r="H571" s="1771" t="s">
        <v>39</v>
      </c>
      <c r="I571" s="1772" t="s">
        <v>6353</v>
      </c>
      <c r="J571" s="1773" t="s">
        <v>2782</v>
      </c>
      <c r="K571" s="1774"/>
      <c r="L571" s="1775"/>
      <c r="M571" s="1775"/>
      <c r="N571" s="1739"/>
      <c r="O571" s="1776"/>
      <c r="P571" s="1719"/>
    </row>
    <row r="572" spans="1:16" ht="13.5" hidden="1" customHeight="1" outlineLevel="2" x14ac:dyDescent="0.2">
      <c r="A572" s="459">
        <v>0</v>
      </c>
      <c r="B572" s="459">
        <v>5</v>
      </c>
      <c r="C572" s="459">
        <v>12</v>
      </c>
      <c r="D572" s="460">
        <v>1</v>
      </c>
      <c r="E572" s="460">
        <v>0</v>
      </c>
      <c r="G572" s="1740"/>
      <c r="H572" s="1777" t="s">
        <v>1238</v>
      </c>
      <c r="I572" s="1778" t="s">
        <v>6354</v>
      </c>
      <c r="J572" s="1779" t="s">
        <v>2756</v>
      </c>
      <c r="K572" s="1780"/>
      <c r="L572" s="1781"/>
      <c r="M572" s="1781"/>
      <c r="N572" s="1746"/>
      <c r="O572" s="1782"/>
      <c r="P572" s="1720"/>
    </row>
    <row r="573" spans="1:16" ht="13.5" hidden="1" customHeight="1" outlineLevel="3" x14ac:dyDescent="0.2">
      <c r="A573" s="459">
        <v>0</v>
      </c>
      <c r="B573" s="459">
        <v>5</v>
      </c>
      <c r="C573" s="459">
        <v>12</v>
      </c>
      <c r="D573" s="460">
        <v>1</v>
      </c>
      <c r="E573" s="460">
        <v>1</v>
      </c>
      <c r="G573" s="1748" t="s">
        <v>43</v>
      </c>
      <c r="H573" s="1783" t="s">
        <v>1239</v>
      </c>
      <c r="I573" s="1784" t="s">
        <v>6355</v>
      </c>
      <c r="J573" s="1785" t="s">
        <v>2751</v>
      </c>
      <c r="K573" s="1786" t="s">
        <v>642</v>
      </c>
      <c r="L573" s="1787" t="e">
        <v>#REF!</v>
      </c>
      <c r="M573" s="1787">
        <v>35.099999999999994</v>
      </c>
      <c r="N573" s="1754"/>
      <c r="O573" s="1788"/>
      <c r="P573" s="1721" t="s">
        <v>9611</v>
      </c>
    </row>
    <row r="574" spans="1:16" ht="13.5" hidden="1" customHeight="1" outlineLevel="2" x14ac:dyDescent="0.2">
      <c r="A574" s="459">
        <v>0</v>
      </c>
      <c r="B574" s="459">
        <v>5</v>
      </c>
      <c r="C574" s="459">
        <v>12</v>
      </c>
      <c r="D574" s="460">
        <v>2</v>
      </c>
      <c r="E574" s="460">
        <v>0</v>
      </c>
      <c r="G574" s="1740"/>
      <c r="H574" s="1777" t="s">
        <v>1238</v>
      </c>
      <c r="I574" s="1778" t="s">
        <v>6356</v>
      </c>
      <c r="J574" s="1779" t="s">
        <v>1313</v>
      </c>
      <c r="K574" s="1780"/>
      <c r="L574" s="1781"/>
      <c r="M574" s="1781"/>
      <c r="N574" s="1746"/>
      <c r="O574" s="1782"/>
      <c r="P574" s="1720"/>
    </row>
    <row r="575" spans="1:16" ht="13.5" hidden="1" customHeight="1" outlineLevel="3" x14ac:dyDescent="0.2">
      <c r="A575" s="459">
        <v>0</v>
      </c>
      <c r="B575" s="459">
        <v>5</v>
      </c>
      <c r="C575" s="459">
        <v>12</v>
      </c>
      <c r="D575" s="460">
        <v>2</v>
      </c>
      <c r="E575" s="460">
        <v>1</v>
      </c>
      <c r="G575" s="1748" t="s">
        <v>43</v>
      </c>
      <c r="H575" s="1783" t="s">
        <v>1239</v>
      </c>
      <c r="I575" s="1784" t="s">
        <v>6357</v>
      </c>
      <c r="J575" s="1785" t="s">
        <v>1326</v>
      </c>
      <c r="K575" s="1786" t="s">
        <v>642</v>
      </c>
      <c r="L575" s="1787" t="e">
        <v>#REF!</v>
      </c>
      <c r="M575" s="1787">
        <v>82.960000000000008</v>
      </c>
      <c r="N575" s="1754"/>
      <c r="O575" s="1788"/>
      <c r="P575" s="1721" t="s">
        <v>9611</v>
      </c>
    </row>
    <row r="576" spans="1:16" ht="13.5" hidden="1" customHeight="1" outlineLevel="2" x14ac:dyDescent="0.2">
      <c r="A576" s="459">
        <v>0</v>
      </c>
      <c r="B576" s="459">
        <v>5</v>
      </c>
      <c r="C576" s="459">
        <v>12</v>
      </c>
      <c r="D576" s="460">
        <v>3</v>
      </c>
      <c r="E576" s="460">
        <v>0</v>
      </c>
      <c r="G576" s="1740"/>
      <c r="H576" s="1777" t="s">
        <v>1238</v>
      </c>
      <c r="I576" s="1778" t="s">
        <v>6358</v>
      </c>
      <c r="J576" s="1779" t="s">
        <v>1252</v>
      </c>
      <c r="K576" s="1780"/>
      <c r="L576" s="1781"/>
      <c r="M576" s="1781"/>
      <c r="N576" s="1746"/>
      <c r="O576" s="1782"/>
      <c r="P576" s="1720"/>
    </row>
    <row r="577" spans="1:16" ht="13.5" hidden="1" customHeight="1" outlineLevel="3" x14ac:dyDescent="0.2">
      <c r="A577" s="459">
        <v>0</v>
      </c>
      <c r="B577" s="459">
        <v>5</v>
      </c>
      <c r="C577" s="459">
        <v>12</v>
      </c>
      <c r="D577" s="460">
        <v>3</v>
      </c>
      <c r="E577" s="460">
        <v>1</v>
      </c>
      <c r="G577" s="1748" t="s">
        <v>43</v>
      </c>
      <c r="H577" s="1783" t="s">
        <v>1239</v>
      </c>
      <c r="I577" s="1784" t="s">
        <v>6359</v>
      </c>
      <c r="J577" s="1785" t="s">
        <v>1253</v>
      </c>
      <c r="K577" s="1786" t="s">
        <v>788</v>
      </c>
      <c r="L577" s="1787" t="e">
        <v>#REF!</v>
      </c>
      <c r="M577" s="1787">
        <v>14.787500000000001</v>
      </c>
      <c r="N577" s="1754"/>
      <c r="O577" s="1788"/>
      <c r="P577" s="1721" t="s">
        <v>9611</v>
      </c>
    </row>
    <row r="578" spans="1:16" ht="13.5" hidden="1" customHeight="1" outlineLevel="3" x14ac:dyDescent="0.2">
      <c r="A578" s="459">
        <v>0</v>
      </c>
      <c r="B578" s="459">
        <v>5</v>
      </c>
      <c r="C578" s="459">
        <v>12</v>
      </c>
      <c r="D578" s="460">
        <v>3</v>
      </c>
      <c r="E578" s="460">
        <v>2</v>
      </c>
      <c r="G578" s="1748" t="s">
        <v>43</v>
      </c>
      <c r="H578" s="1783" t="s">
        <v>1239</v>
      </c>
      <c r="I578" s="1784" t="s">
        <v>6360</v>
      </c>
      <c r="J578" s="1785" t="s">
        <v>393</v>
      </c>
      <c r="K578" s="1786" t="s">
        <v>534</v>
      </c>
      <c r="L578" s="1787" t="e">
        <v>#REF!</v>
      </c>
      <c r="M578" s="1787">
        <v>4.1071999999999997</v>
      </c>
      <c r="N578" s="1754"/>
      <c r="O578" s="1788"/>
      <c r="P578" s="1721" t="s">
        <v>9611</v>
      </c>
    </row>
    <row r="579" spans="1:16" ht="13.5" hidden="1" customHeight="1" outlineLevel="3" x14ac:dyDescent="0.2">
      <c r="A579" s="459">
        <v>0</v>
      </c>
      <c r="B579" s="459">
        <v>5</v>
      </c>
      <c r="C579" s="459">
        <v>12</v>
      </c>
      <c r="D579" s="460">
        <v>3</v>
      </c>
      <c r="E579" s="460">
        <v>3</v>
      </c>
      <c r="G579" s="1748" t="s">
        <v>43</v>
      </c>
      <c r="H579" s="1783" t="s">
        <v>1239</v>
      </c>
      <c r="I579" s="1784" t="s">
        <v>6361</v>
      </c>
      <c r="J579" s="1785" t="s">
        <v>397</v>
      </c>
      <c r="K579" s="1786" t="s">
        <v>788</v>
      </c>
      <c r="L579" s="1787" t="e">
        <v>#REF!</v>
      </c>
      <c r="M579" s="1787">
        <v>79.403675710539517</v>
      </c>
      <c r="N579" s="1754"/>
      <c r="O579" s="1788"/>
      <c r="P579" s="1721" t="s">
        <v>9611</v>
      </c>
    </row>
    <row r="580" spans="1:16" ht="13.5" hidden="1" customHeight="1" outlineLevel="2" x14ac:dyDescent="0.2">
      <c r="A580" s="459">
        <v>0</v>
      </c>
      <c r="B580" s="459">
        <v>5</v>
      </c>
      <c r="C580" s="459">
        <v>12</v>
      </c>
      <c r="D580" s="460">
        <v>4</v>
      </c>
      <c r="E580" s="460">
        <v>0</v>
      </c>
      <c r="G580" s="1740"/>
      <c r="H580" s="1777" t="s">
        <v>1238</v>
      </c>
      <c r="I580" s="1778" t="s">
        <v>6362</v>
      </c>
      <c r="J580" s="1779" t="s">
        <v>1330</v>
      </c>
      <c r="K580" s="1780"/>
      <c r="L580" s="1781"/>
      <c r="M580" s="1781"/>
      <c r="N580" s="1746"/>
      <c r="O580" s="1782"/>
      <c r="P580" s="1720"/>
    </row>
    <row r="581" spans="1:16" ht="13.5" hidden="1" customHeight="1" outlineLevel="3" x14ac:dyDescent="0.2">
      <c r="A581" s="459">
        <v>0</v>
      </c>
      <c r="B581" s="459">
        <v>5</v>
      </c>
      <c r="C581" s="459">
        <v>12</v>
      </c>
      <c r="D581" s="460">
        <v>4</v>
      </c>
      <c r="E581" s="460">
        <v>1</v>
      </c>
      <c r="G581" s="1748" t="s">
        <v>43</v>
      </c>
      <c r="H581" s="1783" t="s">
        <v>1239</v>
      </c>
      <c r="I581" s="1784" t="s">
        <v>6363</v>
      </c>
      <c r="J581" s="1751" t="s">
        <v>3511</v>
      </c>
      <c r="K581" s="1786" t="s">
        <v>642</v>
      </c>
      <c r="L581" s="1787" t="e">
        <v>#REF!</v>
      </c>
      <c r="M581" s="1787">
        <v>103.175377</v>
      </c>
      <c r="N581" s="1754"/>
      <c r="O581" s="1788"/>
      <c r="P581" s="1721" t="s">
        <v>9611</v>
      </c>
    </row>
    <row r="582" spans="1:16" ht="13.5" hidden="1" customHeight="1" outlineLevel="3" x14ac:dyDescent="0.2">
      <c r="A582" s="459">
        <v>0</v>
      </c>
      <c r="B582" s="459">
        <v>5</v>
      </c>
      <c r="C582" s="459">
        <v>12</v>
      </c>
      <c r="D582" s="460">
        <v>4</v>
      </c>
      <c r="E582" s="460">
        <v>2</v>
      </c>
      <c r="G582" s="1748" t="s">
        <v>43</v>
      </c>
      <c r="H582" s="1783" t="s">
        <v>1239</v>
      </c>
      <c r="I582" s="1784" t="s">
        <v>6364</v>
      </c>
      <c r="J582" s="1751" t="s">
        <v>3516</v>
      </c>
      <c r="K582" s="1786" t="s">
        <v>642</v>
      </c>
      <c r="L582" s="1787" t="e">
        <v>#REF!</v>
      </c>
      <c r="M582" s="1787">
        <v>165.70309900000001</v>
      </c>
      <c r="N582" s="1754"/>
      <c r="O582" s="1788"/>
      <c r="P582" s="1721" t="s">
        <v>9611</v>
      </c>
    </row>
    <row r="583" spans="1:16" ht="13.5" hidden="1" customHeight="1" outlineLevel="2" x14ac:dyDescent="0.2">
      <c r="A583" s="459">
        <v>0</v>
      </c>
      <c r="B583" s="459">
        <v>5</v>
      </c>
      <c r="C583" s="459">
        <v>12</v>
      </c>
      <c r="D583" s="460">
        <v>5</v>
      </c>
      <c r="E583" s="460">
        <v>0</v>
      </c>
      <c r="G583" s="1740"/>
      <c r="H583" s="1777" t="s">
        <v>1238</v>
      </c>
      <c r="I583" s="1778" t="s">
        <v>6365</v>
      </c>
      <c r="J583" s="1779" t="s">
        <v>15</v>
      </c>
      <c r="K583" s="1780"/>
      <c r="L583" s="1781"/>
      <c r="M583" s="1781"/>
      <c r="N583" s="1746"/>
      <c r="O583" s="1782"/>
      <c r="P583" s="1720"/>
    </row>
    <row r="584" spans="1:16" ht="13.5" hidden="1" customHeight="1" outlineLevel="3" x14ac:dyDescent="0.2">
      <c r="A584" s="459">
        <v>0</v>
      </c>
      <c r="B584" s="459">
        <v>5</v>
      </c>
      <c r="C584" s="459">
        <v>12</v>
      </c>
      <c r="D584" s="460">
        <v>5</v>
      </c>
      <c r="E584" s="460">
        <v>1</v>
      </c>
      <c r="G584" s="1748" t="s">
        <v>43</v>
      </c>
      <c r="H584" s="1783" t="s">
        <v>1239</v>
      </c>
      <c r="I584" s="1784" t="s">
        <v>6366</v>
      </c>
      <c r="J584" s="1785" t="s">
        <v>432</v>
      </c>
      <c r="K584" s="1786" t="s">
        <v>642</v>
      </c>
      <c r="L584" s="1787" t="e">
        <v>#REF!</v>
      </c>
      <c r="M584" s="1787">
        <v>47</v>
      </c>
      <c r="N584" s="1754"/>
      <c r="O584" s="1788"/>
      <c r="P584" s="1721" t="s">
        <v>9611</v>
      </c>
    </row>
    <row r="585" spans="1:16" ht="13.5" hidden="1" customHeight="1" outlineLevel="3" x14ac:dyDescent="0.2">
      <c r="A585" s="459">
        <v>0</v>
      </c>
      <c r="B585" s="459">
        <v>5</v>
      </c>
      <c r="C585" s="459">
        <v>12</v>
      </c>
      <c r="D585" s="460">
        <v>5</v>
      </c>
      <c r="E585" s="460">
        <v>2</v>
      </c>
      <c r="G585" s="1748" t="s">
        <v>43</v>
      </c>
      <c r="H585" s="1783" t="s">
        <v>1239</v>
      </c>
      <c r="I585" s="1784" t="s">
        <v>6367</v>
      </c>
      <c r="J585" s="1785" t="s">
        <v>434</v>
      </c>
      <c r="K585" s="1786" t="s">
        <v>642</v>
      </c>
      <c r="L585" s="1787" t="e">
        <v>#REF!</v>
      </c>
      <c r="M585" s="1787">
        <v>47</v>
      </c>
      <c r="N585" s="1754"/>
      <c r="O585" s="1788"/>
      <c r="P585" s="1721" t="s">
        <v>9611</v>
      </c>
    </row>
    <row r="586" spans="1:16" ht="13.5" hidden="1" customHeight="1" outlineLevel="3" x14ac:dyDescent="0.2">
      <c r="A586" s="459">
        <v>0</v>
      </c>
      <c r="B586" s="459">
        <v>5</v>
      </c>
      <c r="C586" s="459">
        <v>12</v>
      </c>
      <c r="D586" s="460">
        <v>5</v>
      </c>
      <c r="E586" s="460">
        <v>3</v>
      </c>
      <c r="G586" s="1748" t="s">
        <v>43</v>
      </c>
      <c r="H586" s="1783" t="s">
        <v>1239</v>
      </c>
      <c r="I586" s="1784" t="s">
        <v>6368</v>
      </c>
      <c r="J586" s="1751" t="s">
        <v>3522</v>
      </c>
      <c r="K586" s="1786" t="s">
        <v>642</v>
      </c>
      <c r="L586" s="1753" t="e">
        <v>#REF!</v>
      </c>
      <c r="M586" s="1787" t="e">
        <v>#REF!</v>
      </c>
      <c r="N586" s="1754"/>
      <c r="O586" s="1788"/>
      <c r="P586" s="1721" t="s">
        <v>9611</v>
      </c>
    </row>
    <row r="587" spans="1:16" ht="13.5" hidden="1" customHeight="1" outlineLevel="1" x14ac:dyDescent="0.2">
      <c r="A587" s="459">
        <v>0</v>
      </c>
      <c r="B587" s="459">
        <v>5</v>
      </c>
      <c r="C587" s="459">
        <v>13</v>
      </c>
      <c r="D587" s="460">
        <v>0</v>
      </c>
      <c r="E587" s="460">
        <v>3</v>
      </c>
      <c r="G587" s="1733"/>
      <c r="H587" s="1771" t="s">
        <v>39</v>
      </c>
      <c r="I587" s="1772" t="s">
        <v>6369</v>
      </c>
      <c r="J587" s="1773" t="s">
        <v>2783</v>
      </c>
      <c r="K587" s="1774"/>
      <c r="L587" s="1775"/>
      <c r="M587" s="1775"/>
      <c r="N587" s="1739"/>
      <c r="O587" s="1776"/>
      <c r="P587" s="1719"/>
    </row>
    <row r="588" spans="1:16" ht="13.5" hidden="1" customHeight="1" outlineLevel="2" x14ac:dyDescent="0.2">
      <c r="A588" s="459">
        <v>0</v>
      </c>
      <c r="B588" s="459">
        <v>5</v>
      </c>
      <c r="C588" s="459">
        <v>13</v>
      </c>
      <c r="D588" s="460">
        <v>1</v>
      </c>
      <c r="E588" s="460">
        <v>0</v>
      </c>
      <c r="G588" s="1740"/>
      <c r="H588" s="1777" t="s">
        <v>1238</v>
      </c>
      <c r="I588" s="1778" t="s">
        <v>6370</v>
      </c>
      <c r="J588" s="1779" t="s">
        <v>2756</v>
      </c>
      <c r="K588" s="1780"/>
      <c r="L588" s="1781"/>
      <c r="M588" s="1781"/>
      <c r="N588" s="1746"/>
      <c r="O588" s="1782"/>
      <c r="P588" s="1720"/>
    </row>
    <row r="589" spans="1:16" ht="13.5" hidden="1" customHeight="1" outlineLevel="3" x14ac:dyDescent="0.2">
      <c r="A589" s="459">
        <v>0</v>
      </c>
      <c r="B589" s="459">
        <v>5</v>
      </c>
      <c r="C589" s="459">
        <v>13</v>
      </c>
      <c r="D589" s="460">
        <v>1</v>
      </c>
      <c r="E589" s="460">
        <v>1</v>
      </c>
      <c r="G589" s="1748" t="s">
        <v>43</v>
      </c>
      <c r="H589" s="1783" t="s">
        <v>1239</v>
      </c>
      <c r="I589" s="1784" t="s">
        <v>6371</v>
      </c>
      <c r="J589" s="1785" t="s">
        <v>2752</v>
      </c>
      <c r="K589" s="1786" t="s">
        <v>642</v>
      </c>
      <c r="L589" s="1787" t="e">
        <v>#REF!</v>
      </c>
      <c r="M589" s="1787">
        <v>24.599999999999998</v>
      </c>
      <c r="N589" s="1754"/>
      <c r="O589" s="1788"/>
      <c r="P589" s="1721" t="s">
        <v>9611</v>
      </c>
    </row>
    <row r="590" spans="1:16" ht="13.5" hidden="1" customHeight="1" outlineLevel="3" x14ac:dyDescent="0.2">
      <c r="A590" s="459">
        <v>0</v>
      </c>
      <c r="B590" s="459">
        <v>5</v>
      </c>
      <c r="C590" s="459">
        <v>13</v>
      </c>
      <c r="D590" s="460">
        <v>1</v>
      </c>
      <c r="E590" s="460">
        <v>2</v>
      </c>
      <c r="G590" s="1748" t="s">
        <v>43</v>
      </c>
      <c r="H590" s="1783" t="s">
        <v>1239</v>
      </c>
      <c r="I590" s="1784" t="s">
        <v>6372</v>
      </c>
      <c r="J590" s="1785" t="s">
        <v>2751</v>
      </c>
      <c r="K590" s="1786" t="s">
        <v>642</v>
      </c>
      <c r="L590" s="1787" t="e">
        <v>#REF!</v>
      </c>
      <c r="M590" s="1787">
        <v>35.099999999999994</v>
      </c>
      <c r="N590" s="1754"/>
      <c r="O590" s="1788"/>
      <c r="P590" s="1721" t="s">
        <v>9611</v>
      </c>
    </row>
    <row r="591" spans="1:16" ht="13.5" hidden="1" customHeight="1" outlineLevel="2" x14ac:dyDescent="0.2">
      <c r="A591" s="459">
        <v>0</v>
      </c>
      <c r="B591" s="459">
        <v>5</v>
      </c>
      <c r="C591" s="459">
        <v>13</v>
      </c>
      <c r="D591" s="460">
        <v>2</v>
      </c>
      <c r="E591" s="460">
        <v>0</v>
      </c>
      <c r="G591" s="1740"/>
      <c r="H591" s="1777" t="s">
        <v>1238</v>
      </c>
      <c r="I591" s="1778" t="s">
        <v>6373</v>
      </c>
      <c r="J591" s="1779" t="s">
        <v>1313</v>
      </c>
      <c r="K591" s="1780"/>
      <c r="L591" s="1781"/>
      <c r="M591" s="1781"/>
      <c r="N591" s="1746"/>
      <c r="O591" s="1782"/>
      <c r="P591" s="1720"/>
    </row>
    <row r="592" spans="1:16" ht="13.5" hidden="1" customHeight="1" outlineLevel="3" x14ac:dyDescent="0.2">
      <c r="A592" s="459">
        <v>0</v>
      </c>
      <c r="B592" s="459">
        <v>5</v>
      </c>
      <c r="C592" s="459">
        <v>13</v>
      </c>
      <c r="D592" s="460">
        <v>2</v>
      </c>
      <c r="E592" s="460">
        <v>1</v>
      </c>
      <c r="G592" s="1748" t="s">
        <v>43</v>
      </c>
      <c r="H592" s="1783" t="s">
        <v>1239</v>
      </c>
      <c r="I592" s="1784" t="s">
        <v>6374</v>
      </c>
      <c r="J592" s="1785" t="s">
        <v>1326</v>
      </c>
      <c r="K592" s="1786" t="s">
        <v>642</v>
      </c>
      <c r="L592" s="1787" t="e">
        <v>#REF!</v>
      </c>
      <c r="M592" s="1787">
        <v>82.960000000000008</v>
      </c>
      <c r="N592" s="1754"/>
      <c r="O592" s="1788"/>
      <c r="P592" s="1721" t="s">
        <v>9611</v>
      </c>
    </row>
    <row r="593" spans="1:16" ht="13.5" hidden="1" customHeight="1" outlineLevel="2" x14ac:dyDescent="0.2">
      <c r="A593" s="459">
        <v>0</v>
      </c>
      <c r="B593" s="459">
        <v>5</v>
      </c>
      <c r="C593" s="459">
        <v>13</v>
      </c>
      <c r="D593" s="460">
        <v>3</v>
      </c>
      <c r="E593" s="460">
        <v>0</v>
      </c>
      <c r="G593" s="1740"/>
      <c r="H593" s="1777" t="s">
        <v>1238</v>
      </c>
      <c r="I593" s="1778" t="s">
        <v>6375</v>
      </c>
      <c r="J593" s="1779" t="s">
        <v>1252</v>
      </c>
      <c r="K593" s="1780"/>
      <c r="L593" s="1781"/>
      <c r="M593" s="1781"/>
      <c r="N593" s="1746"/>
      <c r="O593" s="1782"/>
      <c r="P593" s="1720"/>
    </row>
    <row r="594" spans="1:16" ht="13.5" hidden="1" customHeight="1" outlineLevel="3" x14ac:dyDescent="0.2">
      <c r="A594" s="459">
        <v>0</v>
      </c>
      <c r="B594" s="459">
        <v>5</v>
      </c>
      <c r="C594" s="459">
        <v>13</v>
      </c>
      <c r="D594" s="460">
        <v>3</v>
      </c>
      <c r="E594" s="460">
        <v>1</v>
      </c>
      <c r="G594" s="1748" t="s">
        <v>43</v>
      </c>
      <c r="H594" s="1783" t="s">
        <v>1239</v>
      </c>
      <c r="I594" s="1784" t="s">
        <v>6376</v>
      </c>
      <c r="J594" s="1785" t="s">
        <v>1253</v>
      </c>
      <c r="K594" s="1786" t="s">
        <v>788</v>
      </c>
      <c r="L594" s="1787" t="e">
        <v>#REF!</v>
      </c>
      <c r="M594" s="1787">
        <v>14.787500000000001</v>
      </c>
      <c r="N594" s="1754"/>
      <c r="O594" s="1788"/>
      <c r="P594" s="1721" t="s">
        <v>9611</v>
      </c>
    </row>
    <row r="595" spans="1:16" ht="13.5" hidden="1" customHeight="1" outlineLevel="3" x14ac:dyDescent="0.2">
      <c r="A595" s="459">
        <v>0</v>
      </c>
      <c r="B595" s="459">
        <v>5</v>
      </c>
      <c r="C595" s="459">
        <v>13</v>
      </c>
      <c r="D595" s="460">
        <v>3</v>
      </c>
      <c r="E595" s="460">
        <v>2</v>
      </c>
      <c r="G595" s="1748" t="s">
        <v>43</v>
      </c>
      <c r="H595" s="1783" t="s">
        <v>1239</v>
      </c>
      <c r="I595" s="1784" t="s">
        <v>6377</v>
      </c>
      <c r="J595" s="1785" t="s">
        <v>393</v>
      </c>
      <c r="K595" s="1786" t="s">
        <v>534</v>
      </c>
      <c r="L595" s="1787" t="e">
        <v>#REF!</v>
      </c>
      <c r="M595" s="1787">
        <v>4.1071999999999997</v>
      </c>
      <c r="N595" s="1754"/>
      <c r="O595" s="1788"/>
      <c r="P595" s="1721" t="s">
        <v>9611</v>
      </c>
    </row>
    <row r="596" spans="1:16" ht="13.5" hidden="1" customHeight="1" outlineLevel="3" x14ac:dyDescent="0.2">
      <c r="A596" s="459">
        <v>0</v>
      </c>
      <c r="B596" s="459">
        <v>5</v>
      </c>
      <c r="C596" s="459">
        <v>13</v>
      </c>
      <c r="D596" s="460">
        <v>3</v>
      </c>
      <c r="E596" s="460">
        <v>3</v>
      </c>
      <c r="G596" s="1748" t="s">
        <v>43</v>
      </c>
      <c r="H596" s="1783" t="s">
        <v>1239</v>
      </c>
      <c r="I596" s="1784" t="s">
        <v>6378</v>
      </c>
      <c r="J596" s="1785" t="s">
        <v>397</v>
      </c>
      <c r="K596" s="1786" t="s">
        <v>788</v>
      </c>
      <c r="L596" s="1787" t="e">
        <v>#REF!</v>
      </c>
      <c r="M596" s="1787">
        <v>79.403675710539517</v>
      </c>
      <c r="N596" s="1754"/>
      <c r="O596" s="1788"/>
      <c r="P596" s="1721" t="s">
        <v>9611</v>
      </c>
    </row>
    <row r="597" spans="1:16" ht="13.5" hidden="1" customHeight="1" outlineLevel="3" x14ac:dyDescent="0.2">
      <c r="A597" s="459">
        <v>0</v>
      </c>
      <c r="B597" s="459">
        <v>5</v>
      </c>
      <c r="C597" s="459">
        <v>13</v>
      </c>
      <c r="D597" s="460">
        <v>3</v>
      </c>
      <c r="E597" s="460">
        <v>4</v>
      </c>
      <c r="G597" s="1748" t="s">
        <v>43</v>
      </c>
      <c r="H597" s="1783" t="s">
        <v>1239</v>
      </c>
      <c r="I597" s="1784" t="s">
        <v>6379</v>
      </c>
      <c r="J597" s="1785" t="s">
        <v>440</v>
      </c>
      <c r="K597" s="1786" t="s">
        <v>534</v>
      </c>
      <c r="L597" s="1787">
        <v>1</v>
      </c>
      <c r="M597" s="1787">
        <v>1800</v>
      </c>
      <c r="N597" s="1754">
        <v>1800</v>
      </c>
      <c r="O597" s="1788"/>
      <c r="P597" s="1721" t="s">
        <v>9611</v>
      </c>
    </row>
    <row r="598" spans="1:16" ht="13.5" hidden="1" customHeight="1" outlineLevel="2" x14ac:dyDescent="0.2">
      <c r="A598" s="459">
        <v>0</v>
      </c>
      <c r="B598" s="459">
        <v>5</v>
      </c>
      <c r="C598" s="459">
        <v>13</v>
      </c>
      <c r="D598" s="460">
        <v>4</v>
      </c>
      <c r="E598" s="460">
        <v>0</v>
      </c>
      <c r="G598" s="1740"/>
      <c r="H598" s="1777" t="s">
        <v>1238</v>
      </c>
      <c r="I598" s="1778" t="s">
        <v>6380</v>
      </c>
      <c r="J598" s="1779" t="s">
        <v>1330</v>
      </c>
      <c r="K598" s="1780"/>
      <c r="L598" s="1781"/>
      <c r="M598" s="1781"/>
      <c r="N598" s="1746"/>
      <c r="O598" s="1782"/>
      <c r="P598" s="1720"/>
    </row>
    <row r="599" spans="1:16" ht="13.5" hidden="1" customHeight="1" outlineLevel="3" x14ac:dyDescent="0.2">
      <c r="A599" s="459">
        <v>0</v>
      </c>
      <c r="B599" s="459">
        <v>5</v>
      </c>
      <c r="C599" s="459">
        <v>13</v>
      </c>
      <c r="D599" s="460">
        <v>4</v>
      </c>
      <c r="E599" s="460">
        <v>1</v>
      </c>
      <c r="G599" s="1748" t="s">
        <v>43</v>
      </c>
      <c r="H599" s="1783" t="s">
        <v>1239</v>
      </c>
      <c r="I599" s="1784" t="s">
        <v>6381</v>
      </c>
      <c r="J599" s="1751" t="s">
        <v>3511</v>
      </c>
      <c r="K599" s="1786" t="s">
        <v>642</v>
      </c>
      <c r="L599" s="1787" t="e">
        <v>#REF!</v>
      </c>
      <c r="M599" s="1787">
        <v>103.175377</v>
      </c>
      <c r="N599" s="1754"/>
      <c r="O599" s="1788"/>
      <c r="P599" s="1721" t="s">
        <v>9611</v>
      </c>
    </row>
    <row r="600" spans="1:16" ht="13.5" hidden="1" customHeight="1" outlineLevel="3" x14ac:dyDescent="0.2">
      <c r="A600" s="459">
        <v>0</v>
      </c>
      <c r="B600" s="459">
        <v>5</v>
      </c>
      <c r="C600" s="459">
        <v>13</v>
      </c>
      <c r="D600" s="460">
        <v>4</v>
      </c>
      <c r="E600" s="460">
        <v>2</v>
      </c>
      <c r="G600" s="1748" t="s">
        <v>43</v>
      </c>
      <c r="H600" s="1783" t="s">
        <v>1239</v>
      </c>
      <c r="I600" s="1784" t="s">
        <v>6382</v>
      </c>
      <c r="J600" s="1751" t="s">
        <v>3512</v>
      </c>
      <c r="K600" s="1786" t="s">
        <v>642</v>
      </c>
      <c r="L600" s="1787" t="e">
        <v>#REF!</v>
      </c>
      <c r="M600" s="1787">
        <v>95.867556999999991</v>
      </c>
      <c r="N600" s="1754"/>
      <c r="O600" s="1788"/>
      <c r="P600" s="1721" t="s">
        <v>9611</v>
      </c>
    </row>
    <row r="601" spans="1:16" ht="13.5" hidden="1" customHeight="1" outlineLevel="3" x14ac:dyDescent="0.2">
      <c r="A601" s="459">
        <v>0</v>
      </c>
      <c r="B601" s="459">
        <v>5</v>
      </c>
      <c r="C601" s="459">
        <v>13</v>
      </c>
      <c r="D601" s="460">
        <v>4</v>
      </c>
      <c r="E601" s="460">
        <v>3</v>
      </c>
      <c r="G601" s="1748" t="s">
        <v>43</v>
      </c>
      <c r="H601" s="1783" t="s">
        <v>1239</v>
      </c>
      <c r="I601" s="1784" t="s">
        <v>6383</v>
      </c>
      <c r="J601" s="1751" t="s">
        <v>3516</v>
      </c>
      <c r="K601" s="1786" t="s">
        <v>642</v>
      </c>
      <c r="L601" s="1787" t="e">
        <v>#REF!</v>
      </c>
      <c r="M601" s="1787">
        <v>165.70309900000001</v>
      </c>
      <c r="N601" s="1754"/>
      <c r="O601" s="1788"/>
      <c r="P601" s="1721" t="s">
        <v>9611</v>
      </c>
    </row>
    <row r="602" spans="1:16" ht="13.5" hidden="1" customHeight="1" outlineLevel="2" x14ac:dyDescent="0.2">
      <c r="A602" s="459">
        <v>0</v>
      </c>
      <c r="B602" s="459">
        <v>5</v>
      </c>
      <c r="C602" s="459">
        <v>13</v>
      </c>
      <c r="D602" s="460">
        <v>5</v>
      </c>
      <c r="E602" s="460">
        <v>0</v>
      </c>
      <c r="G602" s="1740"/>
      <c r="H602" s="1777" t="s">
        <v>1238</v>
      </c>
      <c r="I602" s="1778" t="s">
        <v>6384</v>
      </c>
      <c r="J602" s="1779" t="s">
        <v>15</v>
      </c>
      <c r="K602" s="1780"/>
      <c r="L602" s="1781"/>
      <c r="M602" s="1781"/>
      <c r="N602" s="1746"/>
      <c r="O602" s="1782"/>
      <c r="P602" s="1720"/>
    </row>
    <row r="603" spans="1:16" ht="13.5" hidden="1" customHeight="1" outlineLevel="3" x14ac:dyDescent="0.2">
      <c r="A603" s="459">
        <v>0</v>
      </c>
      <c r="B603" s="459">
        <v>5</v>
      </c>
      <c r="C603" s="459">
        <v>13</v>
      </c>
      <c r="D603" s="460">
        <v>5</v>
      </c>
      <c r="E603" s="460">
        <v>1</v>
      </c>
      <c r="G603" s="1748" t="s">
        <v>43</v>
      </c>
      <c r="H603" s="1783" t="s">
        <v>1239</v>
      </c>
      <c r="I603" s="1784" t="s">
        <v>6385</v>
      </c>
      <c r="J603" s="1785" t="s">
        <v>432</v>
      </c>
      <c r="K603" s="1786" t="s">
        <v>642</v>
      </c>
      <c r="L603" s="1787" t="e">
        <v>#REF!</v>
      </c>
      <c r="M603" s="1787">
        <v>47</v>
      </c>
      <c r="N603" s="1754"/>
      <c r="O603" s="1788"/>
      <c r="P603" s="1721" t="s">
        <v>9611</v>
      </c>
    </row>
    <row r="604" spans="1:16" ht="13.5" hidden="1" customHeight="1" outlineLevel="3" x14ac:dyDescent="0.2">
      <c r="A604" s="459">
        <v>0</v>
      </c>
      <c r="B604" s="459">
        <v>5</v>
      </c>
      <c r="C604" s="459">
        <v>13</v>
      </c>
      <c r="D604" s="460">
        <v>5</v>
      </c>
      <c r="E604" s="460">
        <v>2</v>
      </c>
      <c r="G604" s="1748" t="s">
        <v>43</v>
      </c>
      <c r="H604" s="1783" t="s">
        <v>1239</v>
      </c>
      <c r="I604" s="1784" t="s">
        <v>6386</v>
      </c>
      <c r="J604" s="1785" t="s">
        <v>434</v>
      </c>
      <c r="K604" s="1786" t="s">
        <v>642</v>
      </c>
      <c r="L604" s="1787" t="e">
        <v>#REF!</v>
      </c>
      <c r="M604" s="1787">
        <v>47</v>
      </c>
      <c r="N604" s="1754"/>
      <c r="O604" s="1788"/>
      <c r="P604" s="1721" t="s">
        <v>9611</v>
      </c>
    </row>
    <row r="605" spans="1:16" ht="13.5" hidden="1" customHeight="1" outlineLevel="3" x14ac:dyDescent="0.2">
      <c r="A605" s="459">
        <v>0</v>
      </c>
      <c r="B605" s="459">
        <v>5</v>
      </c>
      <c r="C605" s="459">
        <v>13</v>
      </c>
      <c r="D605" s="460">
        <v>5</v>
      </c>
      <c r="E605" s="460">
        <v>3</v>
      </c>
      <c r="G605" s="1748" t="s">
        <v>43</v>
      </c>
      <c r="H605" s="1783" t="s">
        <v>1239</v>
      </c>
      <c r="I605" s="1784" t="s">
        <v>6387</v>
      </c>
      <c r="J605" s="1751" t="s">
        <v>3522</v>
      </c>
      <c r="K605" s="1786" t="s">
        <v>642</v>
      </c>
      <c r="L605" s="1753" t="e">
        <v>#REF!</v>
      </c>
      <c r="M605" s="1787" t="e">
        <v>#REF!</v>
      </c>
      <c r="N605" s="1754"/>
      <c r="O605" s="1788"/>
      <c r="P605" s="1721" t="s">
        <v>9611</v>
      </c>
    </row>
    <row r="606" spans="1:16" ht="13.5" hidden="1" customHeight="1" outlineLevel="1" x14ac:dyDescent="0.2">
      <c r="A606" s="459">
        <v>0</v>
      </c>
      <c r="B606" s="459">
        <v>5</v>
      </c>
      <c r="C606" s="459">
        <v>14</v>
      </c>
      <c r="D606" s="460">
        <v>0</v>
      </c>
      <c r="E606" s="460">
        <v>3</v>
      </c>
      <c r="G606" s="1733"/>
      <c r="H606" s="1771" t="s">
        <v>39</v>
      </c>
      <c r="I606" s="1772" t="s">
        <v>6388</v>
      </c>
      <c r="J606" s="1773" t="s">
        <v>2784</v>
      </c>
      <c r="K606" s="1774"/>
      <c r="L606" s="1775"/>
      <c r="M606" s="1775"/>
      <c r="N606" s="1739"/>
      <c r="O606" s="1776"/>
      <c r="P606" s="1719"/>
    </row>
    <row r="607" spans="1:16" ht="13.5" hidden="1" customHeight="1" outlineLevel="2" x14ac:dyDescent="0.2">
      <c r="A607" s="459">
        <v>0</v>
      </c>
      <c r="B607" s="459">
        <v>5</v>
      </c>
      <c r="C607" s="459">
        <v>14</v>
      </c>
      <c r="D607" s="460">
        <v>1</v>
      </c>
      <c r="E607" s="460">
        <v>0</v>
      </c>
      <c r="G607" s="1740"/>
      <c r="H607" s="1777" t="s">
        <v>1238</v>
      </c>
      <c r="I607" s="1778" t="s">
        <v>6389</v>
      </c>
      <c r="J607" s="1779" t="s">
        <v>2756</v>
      </c>
      <c r="K607" s="1780"/>
      <c r="L607" s="1781"/>
      <c r="M607" s="1781"/>
      <c r="N607" s="1746"/>
      <c r="O607" s="1782"/>
      <c r="P607" s="1720"/>
    </row>
    <row r="608" spans="1:16" ht="13.5" hidden="1" customHeight="1" outlineLevel="3" x14ac:dyDescent="0.2">
      <c r="A608" s="459">
        <v>0</v>
      </c>
      <c r="B608" s="459">
        <v>5</v>
      </c>
      <c r="C608" s="459">
        <v>14</v>
      </c>
      <c r="D608" s="460">
        <v>1</v>
      </c>
      <c r="E608" s="460">
        <v>1</v>
      </c>
      <c r="G608" s="1748" t="s">
        <v>43</v>
      </c>
      <c r="H608" s="1783" t="s">
        <v>1239</v>
      </c>
      <c r="I608" s="1784" t="s">
        <v>6390</v>
      </c>
      <c r="J608" s="1785" t="s">
        <v>2752</v>
      </c>
      <c r="K608" s="1786" t="s">
        <v>642</v>
      </c>
      <c r="L608" s="1787" t="e">
        <v>#REF!</v>
      </c>
      <c r="M608" s="1787">
        <v>24.599999999999998</v>
      </c>
      <c r="N608" s="1754"/>
      <c r="O608" s="1788"/>
      <c r="P608" s="1721" t="s">
        <v>9611</v>
      </c>
    </row>
    <row r="609" spans="1:16" ht="13.5" hidden="1" customHeight="1" outlineLevel="3" x14ac:dyDescent="0.2">
      <c r="A609" s="459">
        <v>0</v>
      </c>
      <c r="B609" s="459">
        <v>5</v>
      </c>
      <c r="C609" s="459">
        <v>14</v>
      </c>
      <c r="D609" s="460">
        <v>1</v>
      </c>
      <c r="E609" s="460">
        <v>2</v>
      </c>
      <c r="G609" s="1748" t="s">
        <v>43</v>
      </c>
      <c r="H609" s="1783" t="s">
        <v>1239</v>
      </c>
      <c r="I609" s="1784" t="s">
        <v>6391</v>
      </c>
      <c r="J609" s="1785" t="s">
        <v>2751</v>
      </c>
      <c r="K609" s="1786" t="s">
        <v>642</v>
      </c>
      <c r="L609" s="1787" t="e">
        <v>#REF!</v>
      </c>
      <c r="M609" s="1787">
        <v>35.099999999999994</v>
      </c>
      <c r="N609" s="1754"/>
      <c r="O609" s="1788"/>
      <c r="P609" s="1721" t="s">
        <v>9611</v>
      </c>
    </row>
    <row r="610" spans="1:16" ht="13.5" hidden="1" customHeight="1" outlineLevel="2" x14ac:dyDescent="0.2">
      <c r="A610" s="459">
        <v>0</v>
      </c>
      <c r="B610" s="459">
        <v>5</v>
      </c>
      <c r="C610" s="459">
        <v>14</v>
      </c>
      <c r="D610" s="460">
        <v>2</v>
      </c>
      <c r="E610" s="460">
        <v>0</v>
      </c>
      <c r="G610" s="1740"/>
      <c r="H610" s="1777" t="s">
        <v>1238</v>
      </c>
      <c r="I610" s="1778" t="s">
        <v>6392</v>
      </c>
      <c r="J610" s="1779" t="s">
        <v>1252</v>
      </c>
      <c r="K610" s="1780"/>
      <c r="L610" s="1781"/>
      <c r="M610" s="1781"/>
      <c r="N610" s="1746"/>
      <c r="O610" s="1782"/>
      <c r="P610" s="1720"/>
    </row>
    <row r="611" spans="1:16" ht="13.5" hidden="1" customHeight="1" outlineLevel="3" x14ac:dyDescent="0.2">
      <c r="A611" s="459">
        <v>0</v>
      </c>
      <c r="B611" s="459">
        <v>5</v>
      </c>
      <c r="C611" s="459">
        <v>14</v>
      </c>
      <c r="D611" s="460">
        <v>2</v>
      </c>
      <c r="E611" s="460">
        <v>1</v>
      </c>
      <c r="G611" s="1748" t="s">
        <v>43</v>
      </c>
      <c r="H611" s="1783" t="s">
        <v>1239</v>
      </c>
      <c r="I611" s="1784" t="s">
        <v>6393</v>
      </c>
      <c r="J611" s="1785" t="s">
        <v>1253</v>
      </c>
      <c r="K611" s="1786" t="s">
        <v>788</v>
      </c>
      <c r="L611" s="1787" t="e">
        <v>#REF!</v>
      </c>
      <c r="M611" s="1787">
        <v>14.787500000000001</v>
      </c>
      <c r="N611" s="1754"/>
      <c r="O611" s="1788"/>
      <c r="P611" s="1721" t="s">
        <v>9611</v>
      </c>
    </row>
    <row r="612" spans="1:16" ht="13.5" hidden="1" customHeight="1" outlineLevel="3" x14ac:dyDescent="0.2">
      <c r="A612" s="459">
        <v>0</v>
      </c>
      <c r="B612" s="459">
        <v>5</v>
      </c>
      <c r="C612" s="459">
        <v>14</v>
      </c>
      <c r="D612" s="460">
        <v>2</v>
      </c>
      <c r="E612" s="460">
        <v>2</v>
      </c>
      <c r="G612" s="1748" t="s">
        <v>43</v>
      </c>
      <c r="H612" s="1783" t="s">
        <v>1239</v>
      </c>
      <c r="I612" s="1784" t="s">
        <v>6394</v>
      </c>
      <c r="J612" s="1785" t="s">
        <v>393</v>
      </c>
      <c r="K612" s="1786" t="s">
        <v>534</v>
      </c>
      <c r="L612" s="1787" t="e">
        <v>#REF!</v>
      </c>
      <c r="M612" s="1787">
        <v>4.1071999999999997</v>
      </c>
      <c r="N612" s="1754"/>
      <c r="O612" s="1788"/>
      <c r="P612" s="1721" t="s">
        <v>9611</v>
      </c>
    </row>
    <row r="613" spans="1:16" ht="13.5" hidden="1" customHeight="1" outlineLevel="3" x14ac:dyDescent="0.2">
      <c r="A613" s="459">
        <v>0</v>
      </c>
      <c r="B613" s="459">
        <v>5</v>
      </c>
      <c r="C613" s="459">
        <v>14</v>
      </c>
      <c r="D613" s="460">
        <v>2</v>
      </c>
      <c r="E613" s="460">
        <v>3</v>
      </c>
      <c r="G613" s="1748" t="s">
        <v>43</v>
      </c>
      <c r="H613" s="1783" t="s">
        <v>1239</v>
      </c>
      <c r="I613" s="1784" t="s">
        <v>6395</v>
      </c>
      <c r="J613" s="1785" t="s">
        <v>397</v>
      </c>
      <c r="K613" s="1786" t="s">
        <v>788</v>
      </c>
      <c r="L613" s="1787" t="e">
        <v>#REF!</v>
      </c>
      <c r="M613" s="1787">
        <v>79.403675710539517</v>
      </c>
      <c r="N613" s="1754"/>
      <c r="O613" s="1788"/>
      <c r="P613" s="1721" t="s">
        <v>9611</v>
      </c>
    </row>
    <row r="614" spans="1:16" ht="13.5" hidden="1" customHeight="1" outlineLevel="2" x14ac:dyDescent="0.2">
      <c r="A614" s="459">
        <v>0</v>
      </c>
      <c r="B614" s="459">
        <v>5</v>
      </c>
      <c r="C614" s="459">
        <v>14</v>
      </c>
      <c r="D614" s="460">
        <v>3</v>
      </c>
      <c r="E614" s="460">
        <v>0</v>
      </c>
      <c r="G614" s="1740"/>
      <c r="H614" s="1777" t="s">
        <v>1238</v>
      </c>
      <c r="I614" s="1778" t="s">
        <v>6396</v>
      </c>
      <c r="J614" s="1779" t="s">
        <v>1330</v>
      </c>
      <c r="K614" s="1780"/>
      <c r="L614" s="1781"/>
      <c r="M614" s="1781"/>
      <c r="N614" s="1746"/>
      <c r="O614" s="1782"/>
      <c r="P614" s="1720"/>
    </row>
    <row r="615" spans="1:16" ht="13.5" hidden="1" customHeight="1" outlineLevel="3" x14ac:dyDescent="0.2">
      <c r="A615" s="459">
        <v>0</v>
      </c>
      <c r="B615" s="459">
        <v>5</v>
      </c>
      <c r="C615" s="459">
        <v>14</v>
      </c>
      <c r="D615" s="460">
        <v>3</v>
      </c>
      <c r="E615" s="460">
        <v>1</v>
      </c>
      <c r="G615" s="1748" t="s">
        <v>43</v>
      </c>
      <c r="H615" s="1783" t="s">
        <v>1239</v>
      </c>
      <c r="I615" s="1784" t="s">
        <v>6397</v>
      </c>
      <c r="J615" s="1751" t="s">
        <v>3512</v>
      </c>
      <c r="K615" s="1786" t="s">
        <v>642</v>
      </c>
      <c r="L615" s="1787" t="e">
        <v>#REF!</v>
      </c>
      <c r="M615" s="1787">
        <v>95.867556999999991</v>
      </c>
      <c r="N615" s="1754"/>
      <c r="O615" s="1788"/>
      <c r="P615" s="1721" t="s">
        <v>9611</v>
      </c>
    </row>
    <row r="616" spans="1:16" ht="13.5" hidden="1" customHeight="1" outlineLevel="2" x14ac:dyDescent="0.2">
      <c r="A616" s="459">
        <v>0</v>
      </c>
      <c r="B616" s="459">
        <v>5</v>
      </c>
      <c r="C616" s="459">
        <v>14</v>
      </c>
      <c r="D616" s="460">
        <v>4</v>
      </c>
      <c r="E616" s="460">
        <v>0</v>
      </c>
      <c r="G616" s="1740"/>
      <c r="H616" s="1777" t="s">
        <v>1238</v>
      </c>
      <c r="I616" s="1778" t="s">
        <v>6398</v>
      </c>
      <c r="J616" s="1779" t="s">
        <v>15</v>
      </c>
      <c r="K616" s="1780"/>
      <c r="L616" s="1781"/>
      <c r="M616" s="1781"/>
      <c r="N616" s="1746"/>
      <c r="O616" s="1782"/>
      <c r="P616" s="1720"/>
    </row>
    <row r="617" spans="1:16" ht="13.5" hidden="1" customHeight="1" outlineLevel="3" x14ac:dyDescent="0.2">
      <c r="A617" s="459">
        <v>0</v>
      </c>
      <c r="B617" s="459">
        <v>5</v>
      </c>
      <c r="C617" s="459">
        <v>14</v>
      </c>
      <c r="D617" s="460">
        <v>4</v>
      </c>
      <c r="E617" s="460">
        <v>1</v>
      </c>
      <c r="G617" s="1748" t="s">
        <v>43</v>
      </c>
      <c r="H617" s="1783" t="s">
        <v>1239</v>
      </c>
      <c r="I617" s="1784" t="s">
        <v>6399</v>
      </c>
      <c r="J617" s="1785" t="s">
        <v>432</v>
      </c>
      <c r="K617" s="1786" t="s">
        <v>642</v>
      </c>
      <c r="L617" s="1787" t="e">
        <v>#REF!</v>
      </c>
      <c r="M617" s="1787">
        <v>47</v>
      </c>
      <c r="N617" s="1754"/>
      <c r="O617" s="1788"/>
      <c r="P617" s="1721" t="s">
        <v>9611</v>
      </c>
    </row>
    <row r="618" spans="1:16" ht="13.5" hidden="1" customHeight="1" outlineLevel="3" x14ac:dyDescent="0.2">
      <c r="A618" s="459">
        <v>0</v>
      </c>
      <c r="B618" s="459">
        <v>5</v>
      </c>
      <c r="C618" s="459">
        <v>14</v>
      </c>
      <c r="D618" s="460">
        <v>4</v>
      </c>
      <c r="E618" s="460">
        <v>2</v>
      </c>
      <c r="G618" s="1748" t="s">
        <v>43</v>
      </c>
      <c r="H618" s="1783" t="s">
        <v>1239</v>
      </c>
      <c r="I618" s="1784" t="s">
        <v>6400</v>
      </c>
      <c r="J618" s="1751" t="s">
        <v>3522</v>
      </c>
      <c r="K618" s="1786" t="s">
        <v>642</v>
      </c>
      <c r="L618" s="1753" t="e">
        <v>#REF!</v>
      </c>
      <c r="M618" s="1787" t="e">
        <v>#REF!</v>
      </c>
      <c r="N618" s="1754"/>
      <c r="O618" s="1788"/>
      <c r="P618" s="1721" t="s">
        <v>9611</v>
      </c>
    </row>
    <row r="619" spans="1:16" ht="13.9" customHeight="1" collapsed="1" x14ac:dyDescent="0.2">
      <c r="A619" s="459">
        <v>0</v>
      </c>
      <c r="B619" s="459">
        <v>6</v>
      </c>
      <c r="C619" s="459">
        <v>0</v>
      </c>
      <c r="D619" s="460">
        <v>4</v>
      </c>
      <c r="E619" s="460">
        <v>2</v>
      </c>
      <c r="F619" s="474"/>
      <c r="G619" s="1726"/>
      <c r="H619" s="1727" t="s">
        <v>1237</v>
      </c>
      <c r="I619" s="1728" t="s">
        <v>6401</v>
      </c>
      <c r="J619" s="1729" t="s">
        <v>17</v>
      </c>
      <c r="K619" s="1730"/>
      <c r="L619" s="1731"/>
      <c r="M619" s="1731"/>
      <c r="N619" s="1732">
        <v>3569163.7245956999</v>
      </c>
      <c r="O619" s="1770">
        <v>213.088599631856</v>
      </c>
      <c r="P619" s="1724"/>
    </row>
    <row r="620" spans="1:16" ht="13.9" hidden="1" customHeight="1" outlineLevel="1" x14ac:dyDescent="0.2">
      <c r="A620" s="459">
        <v>0</v>
      </c>
      <c r="B620" s="459">
        <v>6</v>
      </c>
      <c r="C620" s="459">
        <v>1</v>
      </c>
      <c r="D620" s="460">
        <v>0</v>
      </c>
      <c r="E620" s="460">
        <v>2</v>
      </c>
      <c r="G620" s="1733"/>
      <c r="H620" s="1734" t="s">
        <v>39</v>
      </c>
      <c r="I620" s="1735" t="s">
        <v>6402</v>
      </c>
      <c r="J620" s="1736" t="s">
        <v>3270</v>
      </c>
      <c r="K620" s="1737"/>
      <c r="L620" s="1738"/>
      <c r="M620" s="1738"/>
      <c r="N620" s="1739">
        <v>1732378.9793951199</v>
      </c>
      <c r="O620" s="1722"/>
      <c r="P620" s="1725"/>
    </row>
    <row r="621" spans="1:16" ht="13.9" hidden="1" customHeight="1" outlineLevel="2" x14ac:dyDescent="0.2">
      <c r="A621" s="459">
        <v>0</v>
      </c>
      <c r="B621" s="459">
        <v>6</v>
      </c>
      <c r="C621" s="459">
        <v>1</v>
      </c>
      <c r="D621" s="460">
        <v>1</v>
      </c>
      <c r="E621" s="460">
        <v>0</v>
      </c>
      <c r="G621" s="1740"/>
      <c r="H621" s="1741" t="s">
        <v>1238</v>
      </c>
      <c r="I621" s="1742" t="s">
        <v>6403</v>
      </c>
      <c r="J621" s="1743" t="s">
        <v>2789</v>
      </c>
      <c r="K621" s="1744"/>
      <c r="L621" s="1745"/>
      <c r="M621" s="1745"/>
      <c r="N621" s="1746">
        <v>443271.64880000002</v>
      </c>
      <c r="O621" s="1747"/>
      <c r="P621" s="1720"/>
    </row>
    <row r="622" spans="1:16" ht="13.9" hidden="1" customHeight="1" outlineLevel="3" x14ac:dyDescent="0.2">
      <c r="A622" s="459">
        <v>0</v>
      </c>
      <c r="B622" s="459">
        <v>6</v>
      </c>
      <c r="C622" s="459">
        <v>1</v>
      </c>
      <c r="D622" s="460">
        <v>1</v>
      </c>
      <c r="E622" s="460">
        <v>1</v>
      </c>
      <c r="G622" s="1790" t="s">
        <v>17</v>
      </c>
      <c r="H622" s="1749" t="s">
        <v>1239</v>
      </c>
      <c r="I622" s="1750" t="s">
        <v>6404</v>
      </c>
      <c r="J622" s="1751" t="s">
        <v>2789</v>
      </c>
      <c r="K622" s="1752" t="s">
        <v>1130</v>
      </c>
      <c r="L622" s="1753">
        <v>1</v>
      </c>
      <c r="M622" s="1753">
        <v>443271.64879999997</v>
      </c>
      <c r="N622" s="1754">
        <v>443271.64880000002</v>
      </c>
      <c r="O622" s="1755" t="s">
        <v>3285</v>
      </c>
      <c r="P622" s="1721" t="s">
        <v>9611</v>
      </c>
    </row>
    <row r="623" spans="1:16" ht="13.9" hidden="1" customHeight="1" outlineLevel="2" x14ac:dyDescent="0.2">
      <c r="A623" s="459">
        <v>0</v>
      </c>
      <c r="B623" s="459">
        <v>6</v>
      </c>
      <c r="C623" s="459">
        <v>1</v>
      </c>
      <c r="D623" s="460">
        <v>2</v>
      </c>
      <c r="E623" s="460">
        <v>0</v>
      </c>
      <c r="G623" s="1740"/>
      <c r="H623" s="1741" t="s">
        <v>1238</v>
      </c>
      <c r="I623" s="1742" t="s">
        <v>6405</v>
      </c>
      <c r="J623" s="1743" t="s">
        <v>3269</v>
      </c>
      <c r="K623" s="1744"/>
      <c r="L623" s="1745"/>
      <c r="M623" s="1745"/>
      <c r="N623" s="1746">
        <v>641526.71</v>
      </c>
      <c r="O623" s="1747"/>
      <c r="P623" s="1720"/>
    </row>
    <row r="624" spans="1:16" ht="13.9" hidden="1" customHeight="1" outlineLevel="3" x14ac:dyDescent="0.2">
      <c r="A624" s="459">
        <v>0</v>
      </c>
      <c r="B624" s="459">
        <v>6</v>
      </c>
      <c r="C624" s="459">
        <v>1</v>
      </c>
      <c r="D624" s="460">
        <v>2</v>
      </c>
      <c r="E624" s="460">
        <v>1</v>
      </c>
      <c r="G624" s="1790" t="s">
        <v>17</v>
      </c>
      <c r="H624" s="1749" t="s">
        <v>1239</v>
      </c>
      <c r="I624" s="1750" t="s">
        <v>6406</v>
      </c>
      <c r="J624" s="1751" t="s">
        <v>3269</v>
      </c>
      <c r="K624" s="1752" t="s">
        <v>1130</v>
      </c>
      <c r="L624" s="1753">
        <v>1</v>
      </c>
      <c r="M624" s="1753">
        <v>641526.71</v>
      </c>
      <c r="N624" s="1754">
        <v>641526.71</v>
      </c>
      <c r="O624" s="1755" t="s">
        <v>3285</v>
      </c>
      <c r="P624" s="1721" t="s">
        <v>9611</v>
      </c>
    </row>
    <row r="625" spans="1:16" ht="13.9" hidden="1" customHeight="1" outlineLevel="2" x14ac:dyDescent="0.2">
      <c r="A625" s="459">
        <v>0</v>
      </c>
      <c r="B625" s="459">
        <v>6</v>
      </c>
      <c r="C625" s="459">
        <v>1</v>
      </c>
      <c r="D625" s="460">
        <v>3</v>
      </c>
      <c r="E625" s="460">
        <v>0</v>
      </c>
      <c r="G625" s="1740"/>
      <c r="H625" s="1741" t="s">
        <v>1238</v>
      </c>
      <c r="I625" s="1742" t="s">
        <v>6407</v>
      </c>
      <c r="J625" s="1743" t="s">
        <v>2520</v>
      </c>
      <c r="K625" s="1744"/>
      <c r="L625" s="1745"/>
      <c r="M625" s="1745"/>
      <c r="N625" s="1746">
        <v>249995</v>
      </c>
      <c r="O625" s="1747"/>
      <c r="P625" s="1720"/>
    </row>
    <row r="626" spans="1:16" ht="13.9" hidden="1" customHeight="1" outlineLevel="3" x14ac:dyDescent="0.2">
      <c r="A626" s="459">
        <v>0</v>
      </c>
      <c r="B626" s="459">
        <v>6</v>
      </c>
      <c r="C626" s="459">
        <v>1</v>
      </c>
      <c r="D626" s="460">
        <v>3</v>
      </c>
      <c r="E626" s="460">
        <v>1</v>
      </c>
      <c r="G626" s="1790" t="s">
        <v>17</v>
      </c>
      <c r="H626" s="1749" t="s">
        <v>1239</v>
      </c>
      <c r="I626" s="1750" t="s">
        <v>6408</v>
      </c>
      <c r="J626" s="1751" t="s">
        <v>2520</v>
      </c>
      <c r="K626" s="1752" t="s">
        <v>1130</v>
      </c>
      <c r="L626" s="1753">
        <v>1</v>
      </c>
      <c r="M626" s="1753">
        <v>249995</v>
      </c>
      <c r="N626" s="1754">
        <v>249995</v>
      </c>
      <c r="O626" s="1755" t="s">
        <v>3285</v>
      </c>
      <c r="P626" s="1721" t="s">
        <v>9611</v>
      </c>
    </row>
    <row r="627" spans="1:16" ht="13.9" hidden="1" customHeight="1" outlineLevel="2" x14ac:dyDescent="0.2">
      <c r="A627" s="459">
        <v>0</v>
      </c>
      <c r="B627" s="459">
        <v>6</v>
      </c>
      <c r="C627" s="459">
        <v>1</v>
      </c>
      <c r="D627" s="460">
        <v>4</v>
      </c>
      <c r="E627" s="460">
        <v>0</v>
      </c>
      <c r="G627" s="1740"/>
      <c r="H627" s="1741" t="s">
        <v>1238</v>
      </c>
      <c r="I627" s="1742" t="s">
        <v>6409</v>
      </c>
      <c r="J627" s="1743" t="s">
        <v>2790</v>
      </c>
      <c r="K627" s="1744"/>
      <c r="L627" s="1745"/>
      <c r="M627" s="1745"/>
      <c r="N627" s="1746">
        <v>6551.71</v>
      </c>
      <c r="O627" s="1747"/>
      <c r="P627" s="1720"/>
    </row>
    <row r="628" spans="1:16" ht="13.9" hidden="1" customHeight="1" outlineLevel="3" x14ac:dyDescent="0.2">
      <c r="A628" s="459">
        <v>0</v>
      </c>
      <c r="B628" s="459">
        <v>6</v>
      </c>
      <c r="C628" s="459">
        <v>1</v>
      </c>
      <c r="D628" s="460">
        <v>4</v>
      </c>
      <c r="E628" s="460">
        <v>1</v>
      </c>
      <c r="G628" s="1790" t="s">
        <v>17</v>
      </c>
      <c r="H628" s="1749" t="s">
        <v>1239</v>
      </c>
      <c r="I628" s="1750" t="s">
        <v>6410</v>
      </c>
      <c r="J628" s="1751" t="s">
        <v>2790</v>
      </c>
      <c r="K628" s="1752" t="s">
        <v>1130</v>
      </c>
      <c r="L628" s="1753">
        <v>1</v>
      </c>
      <c r="M628" s="1753">
        <v>6551.71</v>
      </c>
      <c r="N628" s="1754">
        <v>6551.71</v>
      </c>
      <c r="O628" s="1755" t="s">
        <v>3285</v>
      </c>
      <c r="P628" s="1721" t="s">
        <v>9611</v>
      </c>
    </row>
    <row r="629" spans="1:16" ht="13.9" hidden="1" customHeight="1" outlineLevel="2" x14ac:dyDescent="0.2">
      <c r="A629" s="459">
        <v>0</v>
      </c>
      <c r="B629" s="459">
        <v>6</v>
      </c>
      <c r="C629" s="459">
        <v>1</v>
      </c>
      <c r="D629" s="460">
        <v>5</v>
      </c>
      <c r="E629" s="460">
        <v>0</v>
      </c>
      <c r="G629" s="1740"/>
      <c r="H629" s="1741" t="s">
        <v>1238</v>
      </c>
      <c r="I629" s="1742" t="s">
        <v>6411</v>
      </c>
      <c r="J629" s="1743" t="s">
        <v>2792</v>
      </c>
      <c r="K629" s="1744"/>
      <c r="L629" s="1745"/>
      <c r="M629" s="1745"/>
      <c r="N629" s="1746">
        <v>2334.0500000000002</v>
      </c>
      <c r="O629" s="1747"/>
      <c r="P629" s="1720"/>
    </row>
    <row r="630" spans="1:16" ht="13.9" hidden="1" customHeight="1" outlineLevel="3" x14ac:dyDescent="0.2">
      <c r="A630" s="459">
        <v>0</v>
      </c>
      <c r="B630" s="459">
        <v>6</v>
      </c>
      <c r="C630" s="459">
        <v>1</v>
      </c>
      <c r="D630" s="460">
        <v>5</v>
      </c>
      <c r="E630" s="460">
        <v>1</v>
      </c>
      <c r="G630" s="1790" t="s">
        <v>17</v>
      </c>
      <c r="H630" s="1749" t="s">
        <v>1239</v>
      </c>
      <c r="I630" s="1750" t="s">
        <v>6412</v>
      </c>
      <c r="J630" s="1751" t="s">
        <v>2792</v>
      </c>
      <c r="K630" s="1752" t="s">
        <v>1130</v>
      </c>
      <c r="L630" s="1753">
        <v>1</v>
      </c>
      <c r="M630" s="1753">
        <v>2334.0500000000002</v>
      </c>
      <c r="N630" s="1754">
        <v>2334.0500000000002</v>
      </c>
      <c r="O630" s="1755" t="s">
        <v>3285</v>
      </c>
      <c r="P630" s="1721" t="s">
        <v>9611</v>
      </c>
    </row>
    <row r="631" spans="1:16" ht="13.9" hidden="1" customHeight="1" outlineLevel="2" x14ac:dyDescent="0.2">
      <c r="A631" s="459">
        <v>0</v>
      </c>
      <c r="B631" s="459">
        <v>6</v>
      </c>
      <c r="C631" s="459">
        <v>1</v>
      </c>
      <c r="D631" s="460">
        <v>6</v>
      </c>
      <c r="E631" s="460">
        <v>0</v>
      </c>
      <c r="G631" s="1740"/>
      <c r="H631" s="1741" t="s">
        <v>1238</v>
      </c>
      <c r="I631" s="1742" t="s">
        <v>6413</v>
      </c>
      <c r="J631" s="1743" t="s">
        <v>2793</v>
      </c>
      <c r="K631" s="1744"/>
      <c r="L631" s="1745"/>
      <c r="M631" s="1745"/>
      <c r="N631" s="1746">
        <v>247400.663</v>
      </c>
      <c r="O631" s="1747"/>
      <c r="P631" s="1720"/>
    </row>
    <row r="632" spans="1:16" ht="13.9" hidden="1" customHeight="1" outlineLevel="3" x14ac:dyDescent="0.2">
      <c r="A632" s="459">
        <v>0</v>
      </c>
      <c r="B632" s="459">
        <v>6</v>
      </c>
      <c r="C632" s="459">
        <v>1</v>
      </c>
      <c r="D632" s="460">
        <v>6</v>
      </c>
      <c r="E632" s="460">
        <v>1</v>
      </c>
      <c r="G632" s="1790" t="s">
        <v>17</v>
      </c>
      <c r="H632" s="1749" t="s">
        <v>1239</v>
      </c>
      <c r="I632" s="1750" t="s">
        <v>6414</v>
      </c>
      <c r="J632" s="1751" t="s">
        <v>2793</v>
      </c>
      <c r="K632" s="1752" t="s">
        <v>1130</v>
      </c>
      <c r="L632" s="1753">
        <v>1</v>
      </c>
      <c r="M632" s="1753">
        <v>247400.663</v>
      </c>
      <c r="N632" s="1754">
        <v>247400.663</v>
      </c>
      <c r="O632" s="1755" t="s">
        <v>3285</v>
      </c>
      <c r="P632" s="1721" t="s">
        <v>9611</v>
      </c>
    </row>
    <row r="633" spans="1:16" ht="13.9" hidden="1" customHeight="1" outlineLevel="2" x14ac:dyDescent="0.2">
      <c r="A633" s="459">
        <v>0</v>
      </c>
      <c r="B633" s="459">
        <v>6</v>
      </c>
      <c r="C633" s="459">
        <v>1</v>
      </c>
      <c r="D633" s="460">
        <v>7</v>
      </c>
      <c r="E633" s="460">
        <v>0</v>
      </c>
      <c r="G633" s="1740"/>
      <c r="H633" s="1741" t="s">
        <v>1238</v>
      </c>
      <c r="I633" s="1742" t="s">
        <v>6415</v>
      </c>
      <c r="J633" s="1743" t="s">
        <v>2794</v>
      </c>
      <c r="K633" s="1744"/>
      <c r="L633" s="1745"/>
      <c r="M633" s="1745"/>
      <c r="N633" s="1746">
        <v>3653.25</v>
      </c>
      <c r="O633" s="1747"/>
      <c r="P633" s="1720"/>
    </row>
    <row r="634" spans="1:16" ht="13.9" hidden="1" customHeight="1" outlineLevel="3" x14ac:dyDescent="0.2">
      <c r="A634" s="459">
        <v>0</v>
      </c>
      <c r="B634" s="459">
        <v>6</v>
      </c>
      <c r="C634" s="459">
        <v>1</v>
      </c>
      <c r="D634" s="460">
        <v>7</v>
      </c>
      <c r="E634" s="460">
        <v>1</v>
      </c>
      <c r="G634" s="1790" t="s">
        <v>17</v>
      </c>
      <c r="H634" s="1749" t="s">
        <v>1239</v>
      </c>
      <c r="I634" s="1750" t="s">
        <v>6416</v>
      </c>
      <c r="J634" s="1751" t="s">
        <v>2794</v>
      </c>
      <c r="K634" s="1752" t="s">
        <v>1130</v>
      </c>
      <c r="L634" s="1753">
        <v>1</v>
      </c>
      <c r="M634" s="1753">
        <v>3653.25</v>
      </c>
      <c r="N634" s="1754">
        <v>3653.25</v>
      </c>
      <c r="O634" s="1755" t="s">
        <v>3285</v>
      </c>
      <c r="P634" s="1721" t="s">
        <v>9611</v>
      </c>
    </row>
    <row r="635" spans="1:16" ht="13.9" hidden="1" customHeight="1" outlineLevel="2" x14ac:dyDescent="0.2">
      <c r="A635" s="459">
        <v>0</v>
      </c>
      <c r="B635" s="459">
        <v>6</v>
      </c>
      <c r="C635" s="459">
        <v>1</v>
      </c>
      <c r="D635" s="460">
        <v>8</v>
      </c>
      <c r="E635" s="460">
        <v>0</v>
      </c>
      <c r="G635" s="1740"/>
      <c r="H635" s="1741" t="s">
        <v>1238</v>
      </c>
      <c r="I635" s="1742" t="s">
        <v>6417</v>
      </c>
      <c r="J635" s="1743" t="s">
        <v>2795</v>
      </c>
      <c r="K635" s="1744"/>
      <c r="L635" s="1745"/>
      <c r="M635" s="1745"/>
      <c r="N635" s="1746">
        <v>8750.9875951209797</v>
      </c>
      <c r="O635" s="1747"/>
      <c r="P635" s="1720"/>
    </row>
    <row r="636" spans="1:16" ht="13.9" hidden="1" customHeight="1" outlineLevel="3" x14ac:dyDescent="0.2">
      <c r="A636" s="459">
        <v>0</v>
      </c>
      <c r="B636" s="459">
        <v>6</v>
      </c>
      <c r="C636" s="459">
        <v>1</v>
      </c>
      <c r="D636" s="460">
        <v>8</v>
      </c>
      <c r="E636" s="460">
        <v>1</v>
      </c>
      <c r="G636" s="1790" t="s">
        <v>17</v>
      </c>
      <c r="H636" s="1749" t="s">
        <v>1239</v>
      </c>
      <c r="I636" s="1750" t="s">
        <v>6418</v>
      </c>
      <c r="J636" s="1751" t="s">
        <v>2795</v>
      </c>
      <c r="K636" s="1752" t="s">
        <v>1130</v>
      </c>
      <c r="L636" s="1753">
        <v>1</v>
      </c>
      <c r="M636" s="1753">
        <v>8750.9875951209779</v>
      </c>
      <c r="N636" s="1754">
        <v>8750.9875951209797</v>
      </c>
      <c r="O636" s="1755" t="s">
        <v>3284</v>
      </c>
      <c r="P636" s="1721" t="s">
        <v>9611</v>
      </c>
    </row>
    <row r="637" spans="1:16" ht="13.9" hidden="1" customHeight="1" outlineLevel="2" x14ac:dyDescent="0.2">
      <c r="A637" s="459">
        <v>0</v>
      </c>
      <c r="B637" s="459">
        <v>6</v>
      </c>
      <c r="C637" s="459">
        <v>1</v>
      </c>
      <c r="D637" s="460">
        <v>9</v>
      </c>
      <c r="E637" s="460">
        <v>0</v>
      </c>
      <c r="G637" s="1740"/>
      <c r="H637" s="1741" t="s">
        <v>1238</v>
      </c>
      <c r="I637" s="1742" t="s">
        <v>6419</v>
      </c>
      <c r="J637" s="1743" t="s">
        <v>1254</v>
      </c>
      <c r="K637" s="1744"/>
      <c r="L637" s="1745"/>
      <c r="M637" s="1745"/>
      <c r="N637" s="1746">
        <v>128894.96</v>
      </c>
      <c r="O637" s="1747"/>
      <c r="P637" s="1720"/>
    </row>
    <row r="638" spans="1:16" ht="13.9" hidden="1" customHeight="1" outlineLevel="3" x14ac:dyDescent="0.2">
      <c r="A638" s="459">
        <v>0</v>
      </c>
      <c r="B638" s="459">
        <v>6</v>
      </c>
      <c r="C638" s="459">
        <v>1</v>
      </c>
      <c r="D638" s="460">
        <v>9</v>
      </c>
      <c r="E638" s="460">
        <v>1</v>
      </c>
      <c r="G638" s="1790" t="s">
        <v>17</v>
      </c>
      <c r="H638" s="1749" t="s">
        <v>1239</v>
      </c>
      <c r="I638" s="1750" t="s">
        <v>6420</v>
      </c>
      <c r="J638" s="1751" t="s">
        <v>1255</v>
      </c>
      <c r="K638" s="1752" t="s">
        <v>1130</v>
      </c>
      <c r="L638" s="1753">
        <v>1</v>
      </c>
      <c r="M638" s="1753">
        <v>128894.95999999999</v>
      </c>
      <c r="N638" s="1754">
        <v>128894.96</v>
      </c>
      <c r="O638" s="1755" t="s">
        <v>3268</v>
      </c>
      <c r="P638" s="1721" t="s">
        <v>9611</v>
      </c>
    </row>
    <row r="639" spans="1:16" ht="13.9" hidden="1" customHeight="1" outlineLevel="1" x14ac:dyDescent="0.2">
      <c r="A639" s="459">
        <v>0</v>
      </c>
      <c r="B639" s="459">
        <v>6</v>
      </c>
      <c r="C639" s="459">
        <v>2</v>
      </c>
      <c r="D639" s="460">
        <v>0</v>
      </c>
      <c r="E639" s="460">
        <v>1</v>
      </c>
      <c r="G639" s="1733"/>
      <c r="H639" s="1734" t="s">
        <v>39</v>
      </c>
      <c r="I639" s="1735" t="s">
        <v>6421</v>
      </c>
      <c r="J639" s="1736" t="s">
        <v>3271</v>
      </c>
      <c r="K639" s="1737"/>
      <c r="L639" s="1738"/>
      <c r="M639" s="1738"/>
      <c r="N639" s="1739">
        <v>72484.843776862996</v>
      </c>
      <c r="O639" s="1722"/>
      <c r="P639" s="1725"/>
    </row>
    <row r="640" spans="1:16" ht="13.9" hidden="1" customHeight="1" outlineLevel="2" x14ac:dyDescent="0.2">
      <c r="A640" s="459">
        <v>0</v>
      </c>
      <c r="B640" s="459">
        <v>6</v>
      </c>
      <c r="C640" s="459">
        <v>2</v>
      </c>
      <c r="D640" s="460">
        <v>1</v>
      </c>
      <c r="E640" s="460">
        <v>0</v>
      </c>
      <c r="G640" s="1740"/>
      <c r="H640" s="1741" t="s">
        <v>1238</v>
      </c>
      <c r="I640" s="1742" t="s">
        <v>6422</v>
      </c>
      <c r="J640" s="1743" t="s">
        <v>2790</v>
      </c>
      <c r="K640" s="1744"/>
      <c r="L640" s="1745"/>
      <c r="M640" s="1745"/>
      <c r="N640" s="1746">
        <v>973.32</v>
      </c>
      <c r="O640" s="1747"/>
      <c r="P640" s="1720"/>
    </row>
    <row r="641" spans="1:16" ht="13.9" hidden="1" customHeight="1" outlineLevel="3" x14ac:dyDescent="0.2">
      <c r="A641" s="459">
        <v>0</v>
      </c>
      <c r="B641" s="459">
        <v>6</v>
      </c>
      <c r="C641" s="459">
        <v>2</v>
      </c>
      <c r="D641" s="460">
        <v>1</v>
      </c>
      <c r="E641" s="460">
        <v>1</v>
      </c>
      <c r="G641" s="1790" t="s">
        <v>17</v>
      </c>
      <c r="H641" s="1749" t="s">
        <v>1239</v>
      </c>
      <c r="I641" s="1750" t="s">
        <v>6423</v>
      </c>
      <c r="J641" s="1751" t="s">
        <v>2790</v>
      </c>
      <c r="K641" s="1752" t="s">
        <v>1130</v>
      </c>
      <c r="L641" s="1753">
        <v>1</v>
      </c>
      <c r="M641" s="1753">
        <v>973.31999999999994</v>
      </c>
      <c r="N641" s="1754">
        <v>973.32</v>
      </c>
      <c r="O641" s="1755" t="s">
        <v>3285</v>
      </c>
      <c r="P641" s="1721" t="s">
        <v>9611</v>
      </c>
    </row>
    <row r="642" spans="1:16" ht="13.9" hidden="1" customHeight="1" outlineLevel="2" x14ac:dyDescent="0.2">
      <c r="A642" s="459">
        <v>0</v>
      </c>
      <c r="B642" s="459">
        <v>6</v>
      </c>
      <c r="C642" s="459">
        <v>2</v>
      </c>
      <c r="D642" s="460">
        <v>2</v>
      </c>
      <c r="E642" s="460">
        <v>0</v>
      </c>
      <c r="G642" s="1740"/>
      <c r="H642" s="1741" t="s">
        <v>1238</v>
      </c>
      <c r="I642" s="1742" t="s">
        <v>6424</v>
      </c>
      <c r="J642" s="1743" t="s">
        <v>2792</v>
      </c>
      <c r="K642" s="1744"/>
      <c r="L642" s="1745"/>
      <c r="M642" s="1745"/>
      <c r="N642" s="1746">
        <v>2608.4499999999998</v>
      </c>
      <c r="O642" s="1747"/>
      <c r="P642" s="1720"/>
    </row>
    <row r="643" spans="1:16" ht="13.9" hidden="1" customHeight="1" outlineLevel="3" x14ac:dyDescent="0.2">
      <c r="A643" s="459">
        <v>0</v>
      </c>
      <c r="B643" s="459">
        <v>6</v>
      </c>
      <c r="C643" s="459">
        <v>2</v>
      </c>
      <c r="D643" s="460">
        <v>2</v>
      </c>
      <c r="E643" s="460">
        <v>1</v>
      </c>
      <c r="G643" s="1790" t="s">
        <v>17</v>
      </c>
      <c r="H643" s="1749" t="s">
        <v>1239</v>
      </c>
      <c r="I643" s="1750" t="s">
        <v>6425</v>
      </c>
      <c r="J643" s="1751" t="s">
        <v>2792</v>
      </c>
      <c r="K643" s="1752" t="s">
        <v>1130</v>
      </c>
      <c r="L643" s="1753">
        <v>1</v>
      </c>
      <c r="M643" s="1753">
        <v>2608.4500000000003</v>
      </c>
      <c r="N643" s="1754">
        <v>2608.4499999999998</v>
      </c>
      <c r="O643" s="1755" t="s">
        <v>3285</v>
      </c>
      <c r="P643" s="1721" t="s">
        <v>9611</v>
      </c>
    </row>
    <row r="644" spans="1:16" ht="13.9" hidden="1" customHeight="1" outlineLevel="2" x14ac:dyDescent="0.2">
      <c r="A644" s="459">
        <v>0</v>
      </c>
      <c r="B644" s="459">
        <v>6</v>
      </c>
      <c r="C644" s="459">
        <v>2</v>
      </c>
      <c r="D644" s="460">
        <v>3</v>
      </c>
      <c r="E644" s="460">
        <v>0</v>
      </c>
      <c r="G644" s="1740"/>
      <c r="H644" s="1741" t="s">
        <v>1238</v>
      </c>
      <c r="I644" s="1742" t="s">
        <v>6426</v>
      </c>
      <c r="J644" s="1743" t="s">
        <v>2793</v>
      </c>
      <c r="K644" s="1744"/>
      <c r="L644" s="1745"/>
      <c r="M644" s="1745"/>
      <c r="N644" s="1746">
        <v>7968.7790000000005</v>
      </c>
      <c r="O644" s="1747"/>
      <c r="P644" s="1720"/>
    </row>
    <row r="645" spans="1:16" ht="13.9" hidden="1" customHeight="1" outlineLevel="3" x14ac:dyDescent="0.2">
      <c r="A645" s="459">
        <v>0</v>
      </c>
      <c r="B645" s="459">
        <v>6</v>
      </c>
      <c r="C645" s="459">
        <v>2</v>
      </c>
      <c r="D645" s="460">
        <v>3</v>
      </c>
      <c r="E645" s="460">
        <v>1</v>
      </c>
      <c r="G645" s="1790" t="s">
        <v>17</v>
      </c>
      <c r="H645" s="1749" t="s">
        <v>1239</v>
      </c>
      <c r="I645" s="1750" t="s">
        <v>6427</v>
      </c>
      <c r="J645" s="1751" t="s">
        <v>2793</v>
      </c>
      <c r="K645" s="1752" t="s">
        <v>1130</v>
      </c>
      <c r="L645" s="1753">
        <v>1</v>
      </c>
      <c r="M645" s="1753">
        <v>7968.7789999999986</v>
      </c>
      <c r="N645" s="1754">
        <v>7968.7790000000005</v>
      </c>
      <c r="O645" s="1755" t="s">
        <v>3285</v>
      </c>
      <c r="P645" s="1721" t="s">
        <v>9611</v>
      </c>
    </row>
    <row r="646" spans="1:16" ht="13.9" hidden="1" customHeight="1" outlineLevel="2" x14ac:dyDescent="0.2">
      <c r="A646" s="459">
        <v>0</v>
      </c>
      <c r="B646" s="459">
        <v>6</v>
      </c>
      <c r="C646" s="459">
        <v>2</v>
      </c>
      <c r="D646" s="460">
        <v>4</v>
      </c>
      <c r="E646" s="460">
        <v>0</v>
      </c>
      <c r="G646" s="1740"/>
      <c r="H646" s="1741" t="s">
        <v>1238</v>
      </c>
      <c r="I646" s="1742" t="s">
        <v>6428</v>
      </c>
      <c r="J646" s="1743" t="s">
        <v>2794</v>
      </c>
      <c r="K646" s="1744"/>
      <c r="L646" s="1745"/>
      <c r="M646" s="1745"/>
      <c r="N646" s="1746">
        <v>2070.85</v>
      </c>
      <c r="O646" s="1747"/>
      <c r="P646" s="1720"/>
    </row>
    <row r="647" spans="1:16" ht="13.9" hidden="1" customHeight="1" outlineLevel="3" x14ac:dyDescent="0.2">
      <c r="A647" s="459">
        <v>0</v>
      </c>
      <c r="B647" s="459">
        <v>6</v>
      </c>
      <c r="C647" s="459">
        <v>2</v>
      </c>
      <c r="D647" s="460">
        <v>4</v>
      </c>
      <c r="E647" s="460">
        <v>1</v>
      </c>
      <c r="G647" s="1790" t="s">
        <v>17</v>
      </c>
      <c r="H647" s="1749" t="s">
        <v>1239</v>
      </c>
      <c r="I647" s="1750" t="s">
        <v>6429</v>
      </c>
      <c r="J647" s="1751" t="s">
        <v>2794</v>
      </c>
      <c r="K647" s="1752" t="s">
        <v>1130</v>
      </c>
      <c r="L647" s="1753">
        <v>1</v>
      </c>
      <c r="M647" s="1753">
        <v>2070.85</v>
      </c>
      <c r="N647" s="1754">
        <v>2070.85</v>
      </c>
      <c r="O647" s="1755" t="s">
        <v>3285</v>
      </c>
      <c r="P647" s="1721" t="s">
        <v>9611</v>
      </c>
    </row>
    <row r="648" spans="1:16" ht="13.9" hidden="1" customHeight="1" outlineLevel="2" x14ac:dyDescent="0.2">
      <c r="A648" s="459">
        <v>0</v>
      </c>
      <c r="B648" s="459">
        <v>6</v>
      </c>
      <c r="C648" s="459">
        <v>2</v>
      </c>
      <c r="D648" s="460">
        <v>5</v>
      </c>
      <c r="E648" s="460">
        <v>0</v>
      </c>
      <c r="G648" s="1740"/>
      <c r="H648" s="1741" t="s">
        <v>1238</v>
      </c>
      <c r="I648" s="1742" t="s">
        <v>6430</v>
      </c>
      <c r="J648" s="1743" t="s">
        <v>2795</v>
      </c>
      <c r="K648" s="1744"/>
      <c r="L648" s="1745"/>
      <c r="M648" s="1745"/>
      <c r="N648" s="1746">
        <v>8935.8047768630004</v>
      </c>
      <c r="O648" s="1747"/>
      <c r="P648" s="1720"/>
    </row>
    <row r="649" spans="1:16" ht="13.9" hidden="1" customHeight="1" outlineLevel="3" x14ac:dyDescent="0.2">
      <c r="A649" s="459">
        <v>0</v>
      </c>
      <c r="B649" s="459">
        <v>6</v>
      </c>
      <c r="C649" s="459">
        <v>2</v>
      </c>
      <c r="D649" s="460">
        <v>5</v>
      </c>
      <c r="E649" s="460">
        <v>1</v>
      </c>
      <c r="G649" s="1790" t="s">
        <v>17</v>
      </c>
      <c r="H649" s="1749" t="s">
        <v>1239</v>
      </c>
      <c r="I649" s="1750" t="s">
        <v>6431</v>
      </c>
      <c r="J649" s="1751" t="s">
        <v>2795</v>
      </c>
      <c r="K649" s="1752" t="s">
        <v>1130</v>
      </c>
      <c r="L649" s="1753">
        <v>1</v>
      </c>
      <c r="M649" s="1753">
        <v>8935.8047768629986</v>
      </c>
      <c r="N649" s="1754">
        <v>8935.8047768630004</v>
      </c>
      <c r="O649" s="1755" t="s">
        <v>3284</v>
      </c>
      <c r="P649" s="1721" t="s">
        <v>9611</v>
      </c>
    </row>
    <row r="650" spans="1:16" ht="13.9" hidden="1" customHeight="1" outlineLevel="2" x14ac:dyDescent="0.2">
      <c r="A650" s="459">
        <v>0</v>
      </c>
      <c r="B650" s="459">
        <v>6</v>
      </c>
      <c r="C650" s="459">
        <v>2</v>
      </c>
      <c r="D650" s="460">
        <v>6</v>
      </c>
      <c r="E650" s="460">
        <v>0</v>
      </c>
      <c r="G650" s="1740"/>
      <c r="H650" s="1741" t="s">
        <v>1238</v>
      </c>
      <c r="I650" s="1742" t="s">
        <v>6432</v>
      </c>
      <c r="J650" s="1743" t="s">
        <v>1254</v>
      </c>
      <c r="K650" s="1744"/>
      <c r="L650" s="1745"/>
      <c r="M650" s="1745"/>
      <c r="N650" s="1746">
        <v>49927.64</v>
      </c>
      <c r="O650" s="1747"/>
      <c r="P650" s="1720"/>
    </row>
    <row r="651" spans="1:16" ht="13.9" hidden="1" customHeight="1" outlineLevel="3" x14ac:dyDescent="0.2">
      <c r="A651" s="459">
        <v>0</v>
      </c>
      <c r="B651" s="459">
        <v>6</v>
      </c>
      <c r="C651" s="459">
        <v>2</v>
      </c>
      <c r="D651" s="460">
        <v>6</v>
      </c>
      <c r="E651" s="460">
        <v>1</v>
      </c>
      <c r="G651" s="1790" t="s">
        <v>17</v>
      </c>
      <c r="H651" s="1749" t="s">
        <v>1239</v>
      </c>
      <c r="I651" s="1750" t="s">
        <v>6433</v>
      </c>
      <c r="J651" s="1751" t="s">
        <v>1255</v>
      </c>
      <c r="K651" s="1752" t="s">
        <v>1130</v>
      </c>
      <c r="L651" s="1753">
        <v>1</v>
      </c>
      <c r="M651" s="1753">
        <v>49927.64</v>
      </c>
      <c r="N651" s="1754">
        <v>49927.64</v>
      </c>
      <c r="O651" s="1755" t="s">
        <v>3268</v>
      </c>
      <c r="P651" s="1721" t="s">
        <v>9611</v>
      </c>
    </row>
    <row r="652" spans="1:16" ht="13.9" hidden="1" customHeight="1" outlineLevel="1" x14ac:dyDescent="0.2">
      <c r="A652" s="459">
        <v>0</v>
      </c>
      <c r="B652" s="459">
        <v>6</v>
      </c>
      <c r="C652" s="459">
        <v>3</v>
      </c>
      <c r="D652" s="460">
        <v>0</v>
      </c>
      <c r="E652" s="460">
        <v>1</v>
      </c>
      <c r="G652" s="1733"/>
      <c r="H652" s="1734" t="s">
        <v>39</v>
      </c>
      <c r="I652" s="1735" t="s">
        <v>6434</v>
      </c>
      <c r="J652" s="1736" t="s">
        <v>3272</v>
      </c>
      <c r="K652" s="1737"/>
      <c r="L652" s="1738"/>
      <c r="M652" s="1738"/>
      <c r="N652" s="1739">
        <v>69814.526211850694</v>
      </c>
      <c r="O652" s="1722"/>
      <c r="P652" s="1725"/>
    </row>
    <row r="653" spans="1:16" ht="13.9" hidden="1" customHeight="1" outlineLevel="2" x14ac:dyDescent="0.2">
      <c r="A653" s="459">
        <v>0</v>
      </c>
      <c r="B653" s="459">
        <v>6</v>
      </c>
      <c r="C653" s="459">
        <v>3</v>
      </c>
      <c r="D653" s="460">
        <v>1</v>
      </c>
      <c r="E653" s="460">
        <v>0</v>
      </c>
      <c r="G653" s="1740"/>
      <c r="H653" s="1741" t="s">
        <v>1238</v>
      </c>
      <c r="I653" s="1742" t="s">
        <v>6435</v>
      </c>
      <c r="J653" s="1743" t="s">
        <v>2790</v>
      </c>
      <c r="K653" s="1744"/>
      <c r="L653" s="1745"/>
      <c r="M653" s="1745"/>
      <c r="N653" s="1746">
        <v>960.27</v>
      </c>
      <c r="O653" s="1747"/>
      <c r="P653" s="1720"/>
    </row>
    <row r="654" spans="1:16" ht="13.9" hidden="1" customHeight="1" outlineLevel="3" x14ac:dyDescent="0.2">
      <c r="A654" s="459">
        <v>0</v>
      </c>
      <c r="B654" s="459">
        <v>6</v>
      </c>
      <c r="C654" s="459">
        <v>3</v>
      </c>
      <c r="D654" s="460">
        <v>1</v>
      </c>
      <c r="E654" s="460">
        <v>1</v>
      </c>
      <c r="G654" s="1790" t="s">
        <v>17</v>
      </c>
      <c r="H654" s="1749" t="s">
        <v>1239</v>
      </c>
      <c r="I654" s="1750" t="s">
        <v>6436</v>
      </c>
      <c r="J654" s="1751" t="s">
        <v>2790</v>
      </c>
      <c r="K654" s="1752" t="s">
        <v>1130</v>
      </c>
      <c r="L654" s="1753">
        <v>1</v>
      </c>
      <c r="M654" s="1753">
        <v>960.27</v>
      </c>
      <c r="N654" s="1754">
        <v>960.27</v>
      </c>
      <c r="O654" s="1755" t="s">
        <v>3285</v>
      </c>
      <c r="P654" s="1721" t="s">
        <v>9611</v>
      </c>
    </row>
    <row r="655" spans="1:16" ht="13.9" hidden="1" customHeight="1" outlineLevel="2" x14ac:dyDescent="0.2">
      <c r="A655" s="459">
        <v>0</v>
      </c>
      <c r="B655" s="459">
        <v>6</v>
      </c>
      <c r="C655" s="459">
        <v>3</v>
      </c>
      <c r="D655" s="460">
        <v>2</v>
      </c>
      <c r="E655" s="460">
        <v>0</v>
      </c>
      <c r="G655" s="1740"/>
      <c r="H655" s="1741" t="s">
        <v>1238</v>
      </c>
      <c r="I655" s="1742" t="s">
        <v>6437</v>
      </c>
      <c r="J655" s="1743" t="s">
        <v>2792</v>
      </c>
      <c r="K655" s="1744"/>
      <c r="L655" s="1745"/>
      <c r="M655" s="1745"/>
      <c r="N655" s="1746">
        <v>952.95</v>
      </c>
      <c r="O655" s="1747"/>
      <c r="P655" s="1720"/>
    </row>
    <row r="656" spans="1:16" ht="13.9" hidden="1" customHeight="1" outlineLevel="3" x14ac:dyDescent="0.2">
      <c r="A656" s="459">
        <v>0</v>
      </c>
      <c r="B656" s="459">
        <v>6</v>
      </c>
      <c r="C656" s="459">
        <v>3</v>
      </c>
      <c r="D656" s="460">
        <v>2</v>
      </c>
      <c r="E656" s="460">
        <v>1</v>
      </c>
      <c r="G656" s="1790" t="s">
        <v>17</v>
      </c>
      <c r="H656" s="1749" t="s">
        <v>1239</v>
      </c>
      <c r="I656" s="1750" t="s">
        <v>6438</v>
      </c>
      <c r="J656" s="1751" t="s">
        <v>2792</v>
      </c>
      <c r="K656" s="1752" t="s">
        <v>1130</v>
      </c>
      <c r="L656" s="1753">
        <v>1</v>
      </c>
      <c r="M656" s="1753">
        <v>952.94999999999993</v>
      </c>
      <c r="N656" s="1754">
        <v>952.95</v>
      </c>
      <c r="O656" s="1755" t="s">
        <v>3285</v>
      </c>
      <c r="P656" s="1721" t="s">
        <v>9611</v>
      </c>
    </row>
    <row r="657" spans="1:16" ht="13.9" hidden="1" customHeight="1" outlineLevel="2" x14ac:dyDescent="0.2">
      <c r="A657" s="459">
        <v>0</v>
      </c>
      <c r="B657" s="459">
        <v>6</v>
      </c>
      <c r="C657" s="459">
        <v>3</v>
      </c>
      <c r="D657" s="460">
        <v>3</v>
      </c>
      <c r="E657" s="460">
        <v>0</v>
      </c>
      <c r="G657" s="1740"/>
      <c r="H657" s="1741" t="s">
        <v>1238</v>
      </c>
      <c r="I657" s="1742" t="s">
        <v>6439</v>
      </c>
      <c r="J657" s="1743" t="s">
        <v>2793</v>
      </c>
      <c r="K657" s="1744"/>
      <c r="L657" s="1745"/>
      <c r="M657" s="1745"/>
      <c r="N657" s="1746">
        <v>2280.8510000000001</v>
      </c>
      <c r="O657" s="1747"/>
      <c r="P657" s="1720"/>
    </row>
    <row r="658" spans="1:16" ht="13.9" hidden="1" customHeight="1" outlineLevel="3" x14ac:dyDescent="0.2">
      <c r="A658" s="459">
        <v>0</v>
      </c>
      <c r="B658" s="459">
        <v>6</v>
      </c>
      <c r="C658" s="459">
        <v>3</v>
      </c>
      <c r="D658" s="460">
        <v>3</v>
      </c>
      <c r="E658" s="460">
        <v>1</v>
      </c>
      <c r="G658" s="1790" t="s">
        <v>17</v>
      </c>
      <c r="H658" s="1749" t="s">
        <v>1239</v>
      </c>
      <c r="I658" s="1750" t="s">
        <v>6440</v>
      </c>
      <c r="J658" s="1751" t="s">
        <v>2793</v>
      </c>
      <c r="K658" s="1752" t="s">
        <v>1130</v>
      </c>
      <c r="L658" s="1753">
        <v>1</v>
      </c>
      <c r="M658" s="1753">
        <v>2280.8509999999997</v>
      </c>
      <c r="N658" s="1754">
        <v>2280.8510000000001</v>
      </c>
      <c r="O658" s="1755" t="s">
        <v>3285</v>
      </c>
      <c r="P658" s="1721" t="s">
        <v>9611</v>
      </c>
    </row>
    <row r="659" spans="1:16" ht="13.9" hidden="1" customHeight="1" outlineLevel="2" x14ac:dyDescent="0.2">
      <c r="A659" s="459">
        <v>0</v>
      </c>
      <c r="B659" s="459">
        <v>6</v>
      </c>
      <c r="C659" s="459">
        <v>3</v>
      </c>
      <c r="D659" s="460">
        <v>4</v>
      </c>
      <c r="E659" s="460">
        <v>0</v>
      </c>
      <c r="G659" s="1740"/>
      <c r="H659" s="1741" t="s">
        <v>1238</v>
      </c>
      <c r="I659" s="1742" t="s">
        <v>6441</v>
      </c>
      <c r="J659" s="1743" t="s">
        <v>2794</v>
      </c>
      <c r="K659" s="1744"/>
      <c r="L659" s="1745"/>
      <c r="M659" s="1745"/>
      <c r="N659" s="1746">
        <v>1073.75</v>
      </c>
      <c r="O659" s="1747"/>
      <c r="P659" s="1720"/>
    </row>
    <row r="660" spans="1:16" ht="13.9" hidden="1" customHeight="1" outlineLevel="3" x14ac:dyDescent="0.2">
      <c r="A660" s="459">
        <v>0</v>
      </c>
      <c r="B660" s="459">
        <v>6</v>
      </c>
      <c r="C660" s="459">
        <v>3</v>
      </c>
      <c r="D660" s="460">
        <v>4</v>
      </c>
      <c r="E660" s="460">
        <v>1</v>
      </c>
      <c r="G660" s="1790" t="s">
        <v>17</v>
      </c>
      <c r="H660" s="1749" t="s">
        <v>1239</v>
      </c>
      <c r="I660" s="1750" t="s">
        <v>6442</v>
      </c>
      <c r="J660" s="1751" t="s">
        <v>2794</v>
      </c>
      <c r="K660" s="1752" t="s">
        <v>1130</v>
      </c>
      <c r="L660" s="1753">
        <v>1</v>
      </c>
      <c r="M660" s="1753">
        <v>1073.75</v>
      </c>
      <c r="N660" s="1754">
        <v>1073.75</v>
      </c>
      <c r="O660" s="1755" t="s">
        <v>3285</v>
      </c>
      <c r="P660" s="1721" t="s">
        <v>9611</v>
      </c>
    </row>
    <row r="661" spans="1:16" ht="13.9" hidden="1" customHeight="1" outlineLevel="2" x14ac:dyDescent="0.2">
      <c r="A661" s="459">
        <v>0</v>
      </c>
      <c r="B661" s="459">
        <v>6</v>
      </c>
      <c r="C661" s="459">
        <v>3</v>
      </c>
      <c r="D661" s="460">
        <v>5</v>
      </c>
      <c r="E661" s="460">
        <v>0</v>
      </c>
      <c r="G661" s="1740"/>
      <c r="H661" s="1741" t="s">
        <v>1238</v>
      </c>
      <c r="I661" s="1742" t="s">
        <v>6443</v>
      </c>
      <c r="J661" s="1743" t="s">
        <v>2795</v>
      </c>
      <c r="K661" s="1744"/>
      <c r="L661" s="1745"/>
      <c r="M661" s="1745"/>
      <c r="N661" s="1746">
        <v>9798.5452118506491</v>
      </c>
      <c r="O661" s="1747"/>
      <c r="P661" s="1720"/>
    </row>
    <row r="662" spans="1:16" ht="13.9" hidden="1" customHeight="1" outlineLevel="3" x14ac:dyDescent="0.2">
      <c r="A662" s="459">
        <v>0</v>
      </c>
      <c r="B662" s="459">
        <v>6</v>
      </c>
      <c r="C662" s="459">
        <v>3</v>
      </c>
      <c r="D662" s="460">
        <v>5</v>
      </c>
      <c r="E662" s="460">
        <v>1</v>
      </c>
      <c r="G662" s="1790" t="s">
        <v>17</v>
      </c>
      <c r="H662" s="1749" t="s">
        <v>1239</v>
      </c>
      <c r="I662" s="1750" t="s">
        <v>6444</v>
      </c>
      <c r="J662" s="1751" t="s">
        <v>2795</v>
      </c>
      <c r="K662" s="1752" t="s">
        <v>1130</v>
      </c>
      <c r="L662" s="1753">
        <v>1</v>
      </c>
      <c r="M662" s="1753">
        <v>9798.5452118506455</v>
      </c>
      <c r="N662" s="1754">
        <v>9798.5452118506491</v>
      </c>
      <c r="O662" s="1755" t="s">
        <v>3284</v>
      </c>
      <c r="P662" s="1721" t="s">
        <v>9611</v>
      </c>
    </row>
    <row r="663" spans="1:16" ht="13.9" hidden="1" customHeight="1" outlineLevel="2" x14ac:dyDescent="0.2">
      <c r="A663" s="459">
        <v>0</v>
      </c>
      <c r="B663" s="459">
        <v>6</v>
      </c>
      <c r="C663" s="459">
        <v>3</v>
      </c>
      <c r="D663" s="460">
        <v>6</v>
      </c>
      <c r="E663" s="460">
        <v>0</v>
      </c>
      <c r="G663" s="1740"/>
      <c r="H663" s="1741" t="s">
        <v>1238</v>
      </c>
      <c r="I663" s="1742" t="s">
        <v>6445</v>
      </c>
      <c r="J663" s="1743" t="s">
        <v>1254</v>
      </c>
      <c r="K663" s="1744"/>
      <c r="L663" s="1745"/>
      <c r="M663" s="1745"/>
      <c r="N663" s="1746">
        <v>54748.160000000003</v>
      </c>
      <c r="O663" s="1747"/>
      <c r="P663" s="1720"/>
    </row>
    <row r="664" spans="1:16" ht="13.9" hidden="1" customHeight="1" outlineLevel="3" x14ac:dyDescent="0.2">
      <c r="A664" s="459">
        <v>0</v>
      </c>
      <c r="B664" s="459">
        <v>6</v>
      </c>
      <c r="C664" s="459">
        <v>3</v>
      </c>
      <c r="D664" s="460">
        <v>6</v>
      </c>
      <c r="E664" s="460">
        <v>1</v>
      </c>
      <c r="G664" s="1790" t="s">
        <v>17</v>
      </c>
      <c r="H664" s="1749" t="s">
        <v>1239</v>
      </c>
      <c r="I664" s="1750" t="s">
        <v>6446</v>
      </c>
      <c r="J664" s="1751" t="s">
        <v>1255</v>
      </c>
      <c r="K664" s="1752" t="s">
        <v>1130</v>
      </c>
      <c r="L664" s="1753">
        <v>1</v>
      </c>
      <c r="M664" s="1753">
        <v>54748.160000000003</v>
      </c>
      <c r="N664" s="1754">
        <v>54748.160000000003</v>
      </c>
      <c r="O664" s="1755" t="s">
        <v>3268</v>
      </c>
      <c r="P664" s="1721" t="s">
        <v>9611</v>
      </c>
    </row>
    <row r="665" spans="1:16" ht="13.9" hidden="1" customHeight="1" outlineLevel="1" x14ac:dyDescent="0.2">
      <c r="A665" s="459">
        <v>0</v>
      </c>
      <c r="B665" s="459">
        <v>6</v>
      </c>
      <c r="C665" s="459">
        <v>4</v>
      </c>
      <c r="D665" s="460">
        <v>0</v>
      </c>
      <c r="E665" s="460">
        <v>1</v>
      </c>
      <c r="G665" s="1733"/>
      <c r="H665" s="1734" t="s">
        <v>39</v>
      </c>
      <c r="I665" s="1735" t="s">
        <v>6447</v>
      </c>
      <c r="J665" s="1736" t="s">
        <v>3273</v>
      </c>
      <c r="K665" s="1737"/>
      <c r="L665" s="1738"/>
      <c r="M665" s="1738"/>
      <c r="N665" s="1739">
        <v>69573.492211850695</v>
      </c>
      <c r="O665" s="1722"/>
      <c r="P665" s="1725"/>
    </row>
    <row r="666" spans="1:16" ht="13.9" hidden="1" customHeight="1" outlineLevel="2" x14ac:dyDescent="0.2">
      <c r="A666" s="459">
        <v>0</v>
      </c>
      <c r="B666" s="459">
        <v>6</v>
      </c>
      <c r="C666" s="459">
        <v>4</v>
      </c>
      <c r="D666" s="460">
        <v>1</v>
      </c>
      <c r="E666" s="460">
        <v>0</v>
      </c>
      <c r="G666" s="1740"/>
      <c r="H666" s="1741" t="s">
        <v>1238</v>
      </c>
      <c r="I666" s="1742" t="s">
        <v>6448</v>
      </c>
      <c r="J666" s="1743" t="s">
        <v>2790</v>
      </c>
      <c r="K666" s="1744"/>
      <c r="L666" s="1745"/>
      <c r="M666" s="1745"/>
      <c r="N666" s="1746">
        <v>960.27</v>
      </c>
      <c r="O666" s="1747"/>
      <c r="P666" s="1720"/>
    </row>
    <row r="667" spans="1:16" ht="13.9" hidden="1" customHeight="1" outlineLevel="3" x14ac:dyDescent="0.2">
      <c r="A667" s="459">
        <v>0</v>
      </c>
      <c r="B667" s="459">
        <v>6</v>
      </c>
      <c r="C667" s="459">
        <v>4</v>
      </c>
      <c r="D667" s="460">
        <v>1</v>
      </c>
      <c r="E667" s="460">
        <v>1</v>
      </c>
      <c r="G667" s="1790" t="s">
        <v>17</v>
      </c>
      <c r="H667" s="1749" t="s">
        <v>1239</v>
      </c>
      <c r="I667" s="1750" t="s">
        <v>6449</v>
      </c>
      <c r="J667" s="1751" t="s">
        <v>2790</v>
      </c>
      <c r="K667" s="1752" t="s">
        <v>1130</v>
      </c>
      <c r="L667" s="1753">
        <v>1</v>
      </c>
      <c r="M667" s="1753">
        <v>960.27</v>
      </c>
      <c r="N667" s="1754">
        <v>960.27</v>
      </c>
      <c r="O667" s="1755" t="s">
        <v>3285</v>
      </c>
      <c r="P667" s="1721" t="s">
        <v>9611</v>
      </c>
    </row>
    <row r="668" spans="1:16" ht="13.9" hidden="1" customHeight="1" outlineLevel="2" x14ac:dyDescent="0.2">
      <c r="A668" s="459">
        <v>0</v>
      </c>
      <c r="B668" s="459">
        <v>6</v>
      </c>
      <c r="C668" s="459">
        <v>4</v>
      </c>
      <c r="D668" s="460">
        <v>2</v>
      </c>
      <c r="E668" s="460">
        <v>0</v>
      </c>
      <c r="G668" s="1740"/>
      <c r="H668" s="1741" t="s">
        <v>1238</v>
      </c>
      <c r="I668" s="1742" t="s">
        <v>6450</v>
      </c>
      <c r="J668" s="1743" t="s">
        <v>2792</v>
      </c>
      <c r="K668" s="1744"/>
      <c r="L668" s="1745"/>
      <c r="M668" s="1745"/>
      <c r="N668" s="1746">
        <v>890.55</v>
      </c>
      <c r="O668" s="1747"/>
      <c r="P668" s="1720"/>
    </row>
    <row r="669" spans="1:16" ht="13.9" hidden="1" customHeight="1" outlineLevel="3" x14ac:dyDescent="0.2">
      <c r="A669" s="459">
        <v>0</v>
      </c>
      <c r="B669" s="459">
        <v>6</v>
      </c>
      <c r="C669" s="459">
        <v>4</v>
      </c>
      <c r="D669" s="460">
        <v>2</v>
      </c>
      <c r="E669" s="460">
        <v>1</v>
      </c>
      <c r="G669" s="1790" t="s">
        <v>17</v>
      </c>
      <c r="H669" s="1749" t="s">
        <v>1239</v>
      </c>
      <c r="I669" s="1750" t="s">
        <v>6451</v>
      </c>
      <c r="J669" s="1751" t="s">
        <v>2792</v>
      </c>
      <c r="K669" s="1752" t="s">
        <v>1130</v>
      </c>
      <c r="L669" s="1753">
        <v>1</v>
      </c>
      <c r="M669" s="1753">
        <v>890.55000000000007</v>
      </c>
      <c r="N669" s="1754">
        <v>890.55</v>
      </c>
      <c r="O669" s="1755" t="s">
        <v>3285</v>
      </c>
      <c r="P669" s="1721" t="s">
        <v>9611</v>
      </c>
    </row>
    <row r="670" spans="1:16" ht="13.9" hidden="1" customHeight="1" outlineLevel="2" x14ac:dyDescent="0.2">
      <c r="A670" s="459">
        <v>0</v>
      </c>
      <c r="B670" s="459">
        <v>6</v>
      </c>
      <c r="C670" s="459">
        <v>4</v>
      </c>
      <c r="D670" s="460">
        <v>3</v>
      </c>
      <c r="E670" s="460">
        <v>0</v>
      </c>
      <c r="G670" s="1740"/>
      <c r="H670" s="1741" t="s">
        <v>1238</v>
      </c>
      <c r="I670" s="1742" t="s">
        <v>6452</v>
      </c>
      <c r="J670" s="1743" t="s">
        <v>2793</v>
      </c>
      <c r="K670" s="1744"/>
      <c r="L670" s="1745"/>
      <c r="M670" s="1745"/>
      <c r="N670" s="1746">
        <v>2132.0169999999998</v>
      </c>
      <c r="O670" s="1747"/>
      <c r="P670" s="1720"/>
    </row>
    <row r="671" spans="1:16" ht="13.9" hidden="1" customHeight="1" outlineLevel="3" x14ac:dyDescent="0.2">
      <c r="A671" s="459">
        <v>0</v>
      </c>
      <c r="B671" s="459">
        <v>6</v>
      </c>
      <c r="C671" s="459">
        <v>4</v>
      </c>
      <c r="D671" s="460">
        <v>3</v>
      </c>
      <c r="E671" s="460">
        <v>1</v>
      </c>
      <c r="G671" s="1790" t="s">
        <v>17</v>
      </c>
      <c r="H671" s="1749" t="s">
        <v>1239</v>
      </c>
      <c r="I671" s="1750" t="s">
        <v>6453</v>
      </c>
      <c r="J671" s="1751" t="s">
        <v>2793</v>
      </c>
      <c r="K671" s="1752" t="s">
        <v>1130</v>
      </c>
      <c r="L671" s="1753">
        <v>1</v>
      </c>
      <c r="M671" s="1753">
        <v>2132.0169999999998</v>
      </c>
      <c r="N671" s="1754">
        <v>2132.0169999999998</v>
      </c>
      <c r="O671" s="1755" t="s">
        <v>3285</v>
      </c>
      <c r="P671" s="1721" t="s">
        <v>9611</v>
      </c>
    </row>
    <row r="672" spans="1:16" ht="13.9" hidden="1" customHeight="1" outlineLevel="2" x14ac:dyDescent="0.2">
      <c r="A672" s="459">
        <v>0</v>
      </c>
      <c r="B672" s="459">
        <v>6</v>
      </c>
      <c r="C672" s="459">
        <v>4</v>
      </c>
      <c r="D672" s="460">
        <v>4</v>
      </c>
      <c r="E672" s="460">
        <v>0</v>
      </c>
      <c r="G672" s="1740"/>
      <c r="H672" s="1741" t="s">
        <v>1238</v>
      </c>
      <c r="I672" s="1742" t="s">
        <v>6454</v>
      </c>
      <c r="J672" s="1743" t="s">
        <v>2794</v>
      </c>
      <c r="K672" s="1744"/>
      <c r="L672" s="1745"/>
      <c r="M672" s="1745"/>
      <c r="N672" s="1746">
        <v>1043.95</v>
      </c>
      <c r="O672" s="1747"/>
      <c r="P672" s="1720"/>
    </row>
    <row r="673" spans="1:16" ht="13.9" hidden="1" customHeight="1" outlineLevel="3" x14ac:dyDescent="0.2">
      <c r="A673" s="459">
        <v>0</v>
      </c>
      <c r="B673" s="459">
        <v>6</v>
      </c>
      <c r="C673" s="459">
        <v>4</v>
      </c>
      <c r="D673" s="460">
        <v>4</v>
      </c>
      <c r="E673" s="460">
        <v>1</v>
      </c>
      <c r="G673" s="1790" t="s">
        <v>17</v>
      </c>
      <c r="H673" s="1749" t="s">
        <v>1239</v>
      </c>
      <c r="I673" s="1750" t="s">
        <v>6455</v>
      </c>
      <c r="J673" s="1751" t="s">
        <v>2794</v>
      </c>
      <c r="K673" s="1752" t="s">
        <v>1130</v>
      </c>
      <c r="L673" s="1753">
        <v>1</v>
      </c>
      <c r="M673" s="1753">
        <v>1043.9499999999998</v>
      </c>
      <c r="N673" s="1754">
        <v>1043.95</v>
      </c>
      <c r="O673" s="1755" t="s">
        <v>3285</v>
      </c>
      <c r="P673" s="1721" t="s">
        <v>9611</v>
      </c>
    </row>
    <row r="674" spans="1:16" ht="13.9" hidden="1" customHeight="1" outlineLevel="2" x14ac:dyDescent="0.2">
      <c r="A674" s="459">
        <v>0</v>
      </c>
      <c r="B674" s="459">
        <v>6</v>
      </c>
      <c r="C674" s="459">
        <v>4</v>
      </c>
      <c r="D674" s="460">
        <v>5</v>
      </c>
      <c r="E674" s="460">
        <v>0</v>
      </c>
      <c r="G674" s="1740"/>
      <c r="H674" s="1741" t="s">
        <v>1238</v>
      </c>
      <c r="I674" s="1742" t="s">
        <v>6456</v>
      </c>
      <c r="J674" s="1743" t="s">
        <v>2795</v>
      </c>
      <c r="K674" s="1744"/>
      <c r="L674" s="1745"/>
      <c r="M674" s="1745"/>
      <c r="N674" s="1746">
        <v>9798.5452118506491</v>
      </c>
      <c r="O674" s="1747"/>
      <c r="P674" s="1720"/>
    </row>
    <row r="675" spans="1:16" ht="13.9" hidden="1" customHeight="1" outlineLevel="3" x14ac:dyDescent="0.2">
      <c r="A675" s="459">
        <v>0</v>
      </c>
      <c r="B675" s="459">
        <v>6</v>
      </c>
      <c r="C675" s="459">
        <v>4</v>
      </c>
      <c r="D675" s="460">
        <v>5</v>
      </c>
      <c r="E675" s="460">
        <v>1</v>
      </c>
      <c r="G675" s="1790" t="s">
        <v>17</v>
      </c>
      <c r="H675" s="1749" t="s">
        <v>1239</v>
      </c>
      <c r="I675" s="1750" t="s">
        <v>6457</v>
      </c>
      <c r="J675" s="1751" t="s">
        <v>2795</v>
      </c>
      <c r="K675" s="1752" t="s">
        <v>1130</v>
      </c>
      <c r="L675" s="1753">
        <v>1</v>
      </c>
      <c r="M675" s="1753">
        <v>9798.5452118506455</v>
      </c>
      <c r="N675" s="1754">
        <v>9798.5452118506491</v>
      </c>
      <c r="O675" s="1755" t="s">
        <v>3284</v>
      </c>
      <c r="P675" s="1721" t="s">
        <v>9611</v>
      </c>
    </row>
    <row r="676" spans="1:16" ht="13.9" hidden="1" customHeight="1" outlineLevel="2" x14ac:dyDescent="0.2">
      <c r="A676" s="459">
        <v>0</v>
      </c>
      <c r="B676" s="459">
        <v>6</v>
      </c>
      <c r="C676" s="459">
        <v>4</v>
      </c>
      <c r="D676" s="460">
        <v>6</v>
      </c>
      <c r="E676" s="460">
        <v>0</v>
      </c>
      <c r="G676" s="1740"/>
      <c r="H676" s="1741" t="s">
        <v>1238</v>
      </c>
      <c r="I676" s="1742" t="s">
        <v>6458</v>
      </c>
      <c r="J676" s="1743" t="s">
        <v>1254</v>
      </c>
      <c r="K676" s="1744"/>
      <c r="L676" s="1745"/>
      <c r="M676" s="1745"/>
      <c r="N676" s="1746">
        <v>54748.160000000003</v>
      </c>
      <c r="O676" s="1747"/>
      <c r="P676" s="1720"/>
    </row>
    <row r="677" spans="1:16" ht="13.9" hidden="1" customHeight="1" outlineLevel="3" x14ac:dyDescent="0.2">
      <c r="A677" s="459">
        <v>0</v>
      </c>
      <c r="B677" s="459">
        <v>6</v>
      </c>
      <c r="C677" s="459">
        <v>4</v>
      </c>
      <c r="D677" s="460">
        <v>6</v>
      </c>
      <c r="E677" s="460">
        <v>1</v>
      </c>
      <c r="G677" s="1790" t="s">
        <v>17</v>
      </c>
      <c r="H677" s="1749" t="s">
        <v>1239</v>
      </c>
      <c r="I677" s="1750" t="s">
        <v>6459</v>
      </c>
      <c r="J677" s="1751" t="s">
        <v>1255</v>
      </c>
      <c r="K677" s="1752" t="s">
        <v>1130</v>
      </c>
      <c r="L677" s="1753">
        <v>1</v>
      </c>
      <c r="M677" s="1753">
        <v>54748.160000000003</v>
      </c>
      <c r="N677" s="1754">
        <v>54748.160000000003</v>
      </c>
      <c r="O677" s="1755" t="s">
        <v>3268</v>
      </c>
      <c r="P677" s="1721" t="s">
        <v>9611</v>
      </c>
    </row>
    <row r="678" spans="1:16" ht="13.9" hidden="1" customHeight="1" outlineLevel="1" x14ac:dyDescent="0.2">
      <c r="A678" s="459">
        <v>0</v>
      </c>
      <c r="B678" s="459">
        <v>6</v>
      </c>
      <c r="C678" s="459">
        <v>5</v>
      </c>
      <c r="D678" s="460">
        <v>0</v>
      </c>
      <c r="E678" s="460">
        <v>1</v>
      </c>
      <c r="G678" s="1733"/>
      <c r="H678" s="1734" t="s">
        <v>39</v>
      </c>
      <c r="I678" s="1735" t="s">
        <v>6460</v>
      </c>
      <c r="J678" s="1736" t="s">
        <v>3274</v>
      </c>
      <c r="K678" s="1737"/>
      <c r="L678" s="1738"/>
      <c r="M678" s="1738"/>
      <c r="N678" s="1739">
        <v>70327.788211850697</v>
      </c>
      <c r="O678" s="1722"/>
      <c r="P678" s="1725"/>
    </row>
    <row r="679" spans="1:16" ht="13.9" hidden="1" customHeight="1" outlineLevel="2" x14ac:dyDescent="0.2">
      <c r="A679" s="459">
        <v>0</v>
      </c>
      <c r="B679" s="459">
        <v>6</v>
      </c>
      <c r="C679" s="459">
        <v>5</v>
      </c>
      <c r="D679" s="460">
        <v>1</v>
      </c>
      <c r="E679" s="460">
        <v>0</v>
      </c>
      <c r="G679" s="1740"/>
      <c r="H679" s="1741" t="s">
        <v>1238</v>
      </c>
      <c r="I679" s="1742" t="s">
        <v>6461</v>
      </c>
      <c r="J679" s="1743" t="s">
        <v>2790</v>
      </c>
      <c r="K679" s="1744"/>
      <c r="L679" s="1745"/>
      <c r="M679" s="1745"/>
      <c r="N679" s="1746">
        <v>973.32</v>
      </c>
      <c r="O679" s="1747"/>
      <c r="P679" s="1720"/>
    </row>
    <row r="680" spans="1:16" ht="13.9" hidden="1" customHeight="1" outlineLevel="3" x14ac:dyDescent="0.2">
      <c r="A680" s="459">
        <v>0</v>
      </c>
      <c r="B680" s="459">
        <v>6</v>
      </c>
      <c r="C680" s="459">
        <v>5</v>
      </c>
      <c r="D680" s="460">
        <v>1</v>
      </c>
      <c r="E680" s="460">
        <v>1</v>
      </c>
      <c r="G680" s="1790" t="s">
        <v>17</v>
      </c>
      <c r="H680" s="1749" t="s">
        <v>1239</v>
      </c>
      <c r="I680" s="1750" t="s">
        <v>6462</v>
      </c>
      <c r="J680" s="1751" t="s">
        <v>2790</v>
      </c>
      <c r="K680" s="1752" t="s">
        <v>1130</v>
      </c>
      <c r="L680" s="1753">
        <v>1</v>
      </c>
      <c r="M680" s="1753">
        <v>973.31999999999994</v>
      </c>
      <c r="N680" s="1754">
        <v>973.32</v>
      </c>
      <c r="O680" s="1755" t="s">
        <v>3285</v>
      </c>
      <c r="P680" s="1721" t="s">
        <v>9611</v>
      </c>
    </row>
    <row r="681" spans="1:16" ht="13.9" hidden="1" customHeight="1" outlineLevel="2" x14ac:dyDescent="0.2">
      <c r="A681" s="459">
        <v>0</v>
      </c>
      <c r="B681" s="459">
        <v>6</v>
      </c>
      <c r="C681" s="459">
        <v>5</v>
      </c>
      <c r="D681" s="460">
        <v>2</v>
      </c>
      <c r="E681" s="460">
        <v>0</v>
      </c>
      <c r="G681" s="1740"/>
      <c r="H681" s="1741" t="s">
        <v>1238</v>
      </c>
      <c r="I681" s="1742" t="s">
        <v>6463</v>
      </c>
      <c r="J681" s="1743" t="s">
        <v>2792</v>
      </c>
      <c r="K681" s="1744"/>
      <c r="L681" s="1745"/>
      <c r="M681" s="1745"/>
      <c r="N681" s="1746">
        <v>917.8</v>
      </c>
      <c r="O681" s="1747"/>
      <c r="P681" s="1720"/>
    </row>
    <row r="682" spans="1:16" ht="13.9" hidden="1" customHeight="1" outlineLevel="3" x14ac:dyDescent="0.2">
      <c r="A682" s="459">
        <v>0</v>
      </c>
      <c r="B682" s="459">
        <v>6</v>
      </c>
      <c r="C682" s="459">
        <v>5</v>
      </c>
      <c r="D682" s="460">
        <v>2</v>
      </c>
      <c r="E682" s="460">
        <v>1</v>
      </c>
      <c r="G682" s="1790" t="s">
        <v>17</v>
      </c>
      <c r="H682" s="1749" t="s">
        <v>1239</v>
      </c>
      <c r="I682" s="1750" t="s">
        <v>6464</v>
      </c>
      <c r="J682" s="1751" t="s">
        <v>2792</v>
      </c>
      <c r="K682" s="1752" t="s">
        <v>1130</v>
      </c>
      <c r="L682" s="1753">
        <v>1</v>
      </c>
      <c r="M682" s="1753">
        <v>917.80000000000007</v>
      </c>
      <c r="N682" s="1754">
        <v>917.8</v>
      </c>
      <c r="O682" s="1755" t="s">
        <v>3285</v>
      </c>
      <c r="P682" s="1721" t="s">
        <v>9611</v>
      </c>
    </row>
    <row r="683" spans="1:16" ht="13.9" hidden="1" customHeight="1" outlineLevel="2" x14ac:dyDescent="0.2">
      <c r="A683" s="459">
        <v>0</v>
      </c>
      <c r="B683" s="459">
        <v>6</v>
      </c>
      <c r="C683" s="459">
        <v>5</v>
      </c>
      <c r="D683" s="460">
        <v>3</v>
      </c>
      <c r="E683" s="460">
        <v>0</v>
      </c>
      <c r="G683" s="1740"/>
      <c r="H683" s="1741" t="s">
        <v>1238</v>
      </c>
      <c r="I683" s="1742" t="s">
        <v>6465</v>
      </c>
      <c r="J683" s="1743" t="s">
        <v>2793</v>
      </c>
      <c r="K683" s="1744"/>
      <c r="L683" s="1745"/>
      <c r="M683" s="1745"/>
      <c r="N683" s="1746">
        <v>2104.623</v>
      </c>
      <c r="O683" s="1747"/>
      <c r="P683" s="1720"/>
    </row>
    <row r="684" spans="1:16" ht="13.9" hidden="1" customHeight="1" outlineLevel="3" x14ac:dyDescent="0.2">
      <c r="A684" s="459">
        <v>0</v>
      </c>
      <c r="B684" s="459">
        <v>6</v>
      </c>
      <c r="C684" s="459">
        <v>5</v>
      </c>
      <c r="D684" s="460">
        <v>3</v>
      </c>
      <c r="E684" s="460">
        <v>1</v>
      </c>
      <c r="G684" s="1790" t="s">
        <v>17</v>
      </c>
      <c r="H684" s="1749" t="s">
        <v>1239</v>
      </c>
      <c r="I684" s="1750" t="s">
        <v>6466</v>
      </c>
      <c r="J684" s="1751" t="s">
        <v>2793</v>
      </c>
      <c r="K684" s="1752" t="s">
        <v>1130</v>
      </c>
      <c r="L684" s="1753">
        <v>1</v>
      </c>
      <c r="M684" s="1753">
        <v>2104.623</v>
      </c>
      <c r="N684" s="1754">
        <v>2104.623</v>
      </c>
      <c r="O684" s="1755" t="s">
        <v>3285</v>
      </c>
      <c r="P684" s="1721" t="s">
        <v>9611</v>
      </c>
    </row>
    <row r="685" spans="1:16" ht="13.9" hidden="1" customHeight="1" outlineLevel="2" x14ac:dyDescent="0.2">
      <c r="A685" s="459">
        <v>0</v>
      </c>
      <c r="B685" s="459">
        <v>6</v>
      </c>
      <c r="C685" s="459">
        <v>5</v>
      </c>
      <c r="D685" s="460">
        <v>4</v>
      </c>
      <c r="E685" s="460">
        <v>0</v>
      </c>
      <c r="G685" s="1740"/>
      <c r="H685" s="1741" t="s">
        <v>1238</v>
      </c>
      <c r="I685" s="1742" t="s">
        <v>6467</v>
      </c>
      <c r="J685" s="1743" t="s">
        <v>2794</v>
      </c>
      <c r="K685" s="1744"/>
      <c r="L685" s="1745"/>
      <c r="M685" s="1745"/>
      <c r="N685" s="1746">
        <v>1117.7</v>
      </c>
      <c r="O685" s="1747"/>
      <c r="P685" s="1720"/>
    </row>
    <row r="686" spans="1:16" ht="13.9" hidden="1" customHeight="1" outlineLevel="3" x14ac:dyDescent="0.2">
      <c r="A686" s="459">
        <v>0</v>
      </c>
      <c r="B686" s="459">
        <v>6</v>
      </c>
      <c r="C686" s="459">
        <v>5</v>
      </c>
      <c r="D686" s="460">
        <v>4</v>
      </c>
      <c r="E686" s="460">
        <v>1</v>
      </c>
      <c r="G686" s="1790" t="s">
        <v>17</v>
      </c>
      <c r="H686" s="1749" t="s">
        <v>1239</v>
      </c>
      <c r="I686" s="1750" t="s">
        <v>6468</v>
      </c>
      <c r="J686" s="1751" t="s">
        <v>2794</v>
      </c>
      <c r="K686" s="1752" t="s">
        <v>1130</v>
      </c>
      <c r="L686" s="1753">
        <v>1</v>
      </c>
      <c r="M686" s="1753">
        <v>1117.7</v>
      </c>
      <c r="N686" s="1754">
        <v>1117.7</v>
      </c>
      <c r="O686" s="1755" t="s">
        <v>3285</v>
      </c>
      <c r="P686" s="1721" t="s">
        <v>9611</v>
      </c>
    </row>
    <row r="687" spans="1:16" ht="13.9" hidden="1" customHeight="1" outlineLevel="2" x14ac:dyDescent="0.2">
      <c r="A687" s="459">
        <v>0</v>
      </c>
      <c r="B687" s="459">
        <v>6</v>
      </c>
      <c r="C687" s="459">
        <v>5</v>
      </c>
      <c r="D687" s="460">
        <v>5</v>
      </c>
      <c r="E687" s="460">
        <v>0</v>
      </c>
      <c r="G687" s="1740"/>
      <c r="H687" s="1741" t="s">
        <v>1238</v>
      </c>
      <c r="I687" s="1742" t="s">
        <v>6469</v>
      </c>
      <c r="J687" s="1743" t="s">
        <v>2795</v>
      </c>
      <c r="K687" s="1744"/>
      <c r="L687" s="1745"/>
      <c r="M687" s="1745"/>
      <c r="N687" s="1746">
        <v>9798.5452118506491</v>
      </c>
      <c r="O687" s="1747"/>
      <c r="P687" s="1720"/>
    </row>
    <row r="688" spans="1:16" ht="13.9" hidden="1" customHeight="1" outlineLevel="3" x14ac:dyDescent="0.2">
      <c r="A688" s="459">
        <v>0</v>
      </c>
      <c r="B688" s="459">
        <v>6</v>
      </c>
      <c r="C688" s="459">
        <v>5</v>
      </c>
      <c r="D688" s="460">
        <v>5</v>
      </c>
      <c r="E688" s="460">
        <v>1</v>
      </c>
      <c r="G688" s="1790" t="s">
        <v>17</v>
      </c>
      <c r="H688" s="1749" t="s">
        <v>1239</v>
      </c>
      <c r="I688" s="1750" t="s">
        <v>6470</v>
      </c>
      <c r="J688" s="1751" t="s">
        <v>2795</v>
      </c>
      <c r="K688" s="1752" t="s">
        <v>1130</v>
      </c>
      <c r="L688" s="1753">
        <v>1</v>
      </c>
      <c r="M688" s="1753">
        <v>9798.5452118506455</v>
      </c>
      <c r="N688" s="1754">
        <v>9798.5452118506491</v>
      </c>
      <c r="O688" s="1755" t="s">
        <v>3284</v>
      </c>
      <c r="P688" s="1721" t="s">
        <v>9611</v>
      </c>
    </row>
    <row r="689" spans="1:16" ht="13.9" hidden="1" customHeight="1" outlineLevel="2" x14ac:dyDescent="0.2">
      <c r="A689" s="459">
        <v>0</v>
      </c>
      <c r="B689" s="459">
        <v>6</v>
      </c>
      <c r="C689" s="459">
        <v>5</v>
      </c>
      <c r="D689" s="460">
        <v>6</v>
      </c>
      <c r="E689" s="460">
        <v>0</v>
      </c>
      <c r="G689" s="1740"/>
      <c r="H689" s="1741" t="s">
        <v>1238</v>
      </c>
      <c r="I689" s="1742" t="s">
        <v>6471</v>
      </c>
      <c r="J689" s="1743" t="s">
        <v>1254</v>
      </c>
      <c r="K689" s="1744"/>
      <c r="L689" s="1745"/>
      <c r="M689" s="1745"/>
      <c r="N689" s="1746">
        <v>55415.8</v>
      </c>
      <c r="O689" s="1747"/>
      <c r="P689" s="1720"/>
    </row>
    <row r="690" spans="1:16" ht="13.9" hidden="1" customHeight="1" outlineLevel="3" x14ac:dyDescent="0.2">
      <c r="A690" s="459">
        <v>0</v>
      </c>
      <c r="B690" s="459">
        <v>6</v>
      </c>
      <c r="C690" s="459">
        <v>5</v>
      </c>
      <c r="D690" s="460">
        <v>6</v>
      </c>
      <c r="E690" s="460">
        <v>1</v>
      </c>
      <c r="G690" s="1790" t="s">
        <v>17</v>
      </c>
      <c r="H690" s="1749" t="s">
        <v>1239</v>
      </c>
      <c r="I690" s="1750" t="s">
        <v>6472</v>
      </c>
      <c r="J690" s="1751" t="s">
        <v>1255</v>
      </c>
      <c r="K690" s="1752" t="s">
        <v>1130</v>
      </c>
      <c r="L690" s="1753">
        <v>1</v>
      </c>
      <c r="M690" s="1753">
        <v>55415.8</v>
      </c>
      <c r="N690" s="1754">
        <v>55415.8</v>
      </c>
      <c r="O690" s="1755" t="s">
        <v>3268</v>
      </c>
      <c r="P690" s="1721" t="s">
        <v>9611</v>
      </c>
    </row>
    <row r="691" spans="1:16" ht="13.9" hidden="1" customHeight="1" outlineLevel="1" x14ac:dyDescent="0.2">
      <c r="A691" s="459">
        <v>0</v>
      </c>
      <c r="B691" s="459">
        <v>6</v>
      </c>
      <c r="C691" s="459">
        <v>6</v>
      </c>
      <c r="D691" s="460">
        <v>0</v>
      </c>
      <c r="E691" s="460">
        <v>1</v>
      </c>
      <c r="G691" s="1733"/>
      <c r="H691" s="1734" t="s">
        <v>39</v>
      </c>
      <c r="I691" s="1735" t="s">
        <v>6473</v>
      </c>
      <c r="J691" s="1736" t="s">
        <v>3275</v>
      </c>
      <c r="K691" s="1737"/>
      <c r="L691" s="1738"/>
      <c r="M691" s="1738"/>
      <c r="N691" s="1739">
        <v>72359.732640655799</v>
      </c>
      <c r="O691" s="1722"/>
      <c r="P691" s="1725"/>
    </row>
    <row r="692" spans="1:16" ht="13.9" hidden="1" customHeight="1" outlineLevel="2" x14ac:dyDescent="0.2">
      <c r="A692" s="459">
        <v>0</v>
      </c>
      <c r="B692" s="459">
        <v>6</v>
      </c>
      <c r="C692" s="459">
        <v>6</v>
      </c>
      <c r="D692" s="460">
        <v>1</v>
      </c>
      <c r="E692" s="460">
        <v>0</v>
      </c>
      <c r="G692" s="1740"/>
      <c r="H692" s="1741" t="s">
        <v>1238</v>
      </c>
      <c r="I692" s="1742" t="s">
        <v>6474</v>
      </c>
      <c r="J692" s="1743" t="s">
        <v>2790</v>
      </c>
      <c r="K692" s="1744"/>
      <c r="L692" s="1745"/>
      <c r="M692" s="1745"/>
      <c r="N692" s="1746">
        <v>929.27</v>
      </c>
      <c r="O692" s="1747"/>
      <c r="P692" s="1720"/>
    </row>
    <row r="693" spans="1:16" ht="13.9" hidden="1" customHeight="1" outlineLevel="3" x14ac:dyDescent="0.2">
      <c r="A693" s="459">
        <v>0</v>
      </c>
      <c r="B693" s="459">
        <v>6</v>
      </c>
      <c r="C693" s="459">
        <v>6</v>
      </c>
      <c r="D693" s="460">
        <v>1</v>
      </c>
      <c r="E693" s="460">
        <v>1</v>
      </c>
      <c r="G693" s="1790" t="s">
        <v>17</v>
      </c>
      <c r="H693" s="1749" t="s">
        <v>1239</v>
      </c>
      <c r="I693" s="1750" t="s">
        <v>6475</v>
      </c>
      <c r="J693" s="1751" t="s">
        <v>2790</v>
      </c>
      <c r="K693" s="1752" t="s">
        <v>1130</v>
      </c>
      <c r="L693" s="1753">
        <v>1</v>
      </c>
      <c r="M693" s="1753">
        <v>929.27</v>
      </c>
      <c r="N693" s="1754">
        <v>929.27</v>
      </c>
      <c r="O693" s="1755" t="s">
        <v>3285</v>
      </c>
      <c r="P693" s="1721" t="s">
        <v>9611</v>
      </c>
    </row>
    <row r="694" spans="1:16" ht="13.9" hidden="1" customHeight="1" outlineLevel="2" x14ac:dyDescent="0.2">
      <c r="A694" s="459">
        <v>0</v>
      </c>
      <c r="B694" s="459">
        <v>6</v>
      </c>
      <c r="C694" s="459">
        <v>6</v>
      </c>
      <c r="D694" s="460">
        <v>2</v>
      </c>
      <c r="E694" s="460">
        <v>0</v>
      </c>
      <c r="G694" s="1740"/>
      <c r="H694" s="1741" t="s">
        <v>1238</v>
      </c>
      <c r="I694" s="1742" t="s">
        <v>6476</v>
      </c>
      <c r="J694" s="1743" t="s">
        <v>2792</v>
      </c>
      <c r="K694" s="1744"/>
      <c r="L694" s="1745"/>
      <c r="M694" s="1745"/>
      <c r="N694" s="1746">
        <v>1000.55</v>
      </c>
      <c r="O694" s="1747"/>
      <c r="P694" s="1720"/>
    </row>
    <row r="695" spans="1:16" ht="13.9" hidden="1" customHeight="1" outlineLevel="3" x14ac:dyDescent="0.2">
      <c r="A695" s="459">
        <v>0</v>
      </c>
      <c r="B695" s="459">
        <v>6</v>
      </c>
      <c r="C695" s="459">
        <v>6</v>
      </c>
      <c r="D695" s="460">
        <v>2</v>
      </c>
      <c r="E695" s="460">
        <v>1</v>
      </c>
      <c r="G695" s="1790" t="s">
        <v>17</v>
      </c>
      <c r="H695" s="1749" t="s">
        <v>1239</v>
      </c>
      <c r="I695" s="1750" t="s">
        <v>6477</v>
      </c>
      <c r="J695" s="1751" t="s">
        <v>2792</v>
      </c>
      <c r="K695" s="1752" t="s">
        <v>1130</v>
      </c>
      <c r="L695" s="1753">
        <v>1</v>
      </c>
      <c r="M695" s="1753">
        <v>1000.5500000000001</v>
      </c>
      <c r="N695" s="1754">
        <v>1000.55</v>
      </c>
      <c r="O695" s="1755" t="s">
        <v>3285</v>
      </c>
      <c r="P695" s="1721" t="s">
        <v>9611</v>
      </c>
    </row>
    <row r="696" spans="1:16" ht="13.9" hidden="1" customHeight="1" outlineLevel="2" x14ac:dyDescent="0.2">
      <c r="A696" s="459">
        <v>0</v>
      </c>
      <c r="B696" s="459">
        <v>6</v>
      </c>
      <c r="C696" s="459">
        <v>6</v>
      </c>
      <c r="D696" s="460">
        <v>3</v>
      </c>
      <c r="E696" s="460">
        <v>0</v>
      </c>
      <c r="G696" s="1740"/>
      <c r="H696" s="1741" t="s">
        <v>1238</v>
      </c>
      <c r="I696" s="1742" t="s">
        <v>6478</v>
      </c>
      <c r="J696" s="1743" t="s">
        <v>2793</v>
      </c>
      <c r="K696" s="1744"/>
      <c r="L696" s="1745"/>
      <c r="M696" s="1745"/>
      <c r="N696" s="1746">
        <v>3038.7930000000001</v>
      </c>
      <c r="O696" s="1747"/>
      <c r="P696" s="1720"/>
    </row>
    <row r="697" spans="1:16" ht="13.9" hidden="1" customHeight="1" outlineLevel="3" x14ac:dyDescent="0.2">
      <c r="A697" s="459">
        <v>0</v>
      </c>
      <c r="B697" s="459">
        <v>6</v>
      </c>
      <c r="C697" s="459">
        <v>6</v>
      </c>
      <c r="D697" s="460">
        <v>3</v>
      </c>
      <c r="E697" s="460">
        <v>1</v>
      </c>
      <c r="G697" s="1790" t="s">
        <v>17</v>
      </c>
      <c r="H697" s="1749" t="s">
        <v>1239</v>
      </c>
      <c r="I697" s="1750" t="s">
        <v>6479</v>
      </c>
      <c r="J697" s="1751" t="s">
        <v>2793</v>
      </c>
      <c r="K697" s="1752" t="s">
        <v>1130</v>
      </c>
      <c r="L697" s="1753">
        <v>1</v>
      </c>
      <c r="M697" s="1753">
        <v>3038.7930000000001</v>
      </c>
      <c r="N697" s="1754">
        <v>3038.7930000000001</v>
      </c>
      <c r="O697" s="1755" t="s">
        <v>3285</v>
      </c>
      <c r="P697" s="1721" t="s">
        <v>9611</v>
      </c>
    </row>
    <row r="698" spans="1:16" ht="13.9" hidden="1" customHeight="1" outlineLevel="2" x14ac:dyDescent="0.2">
      <c r="A698" s="459">
        <v>0</v>
      </c>
      <c r="B698" s="459">
        <v>6</v>
      </c>
      <c r="C698" s="459">
        <v>6</v>
      </c>
      <c r="D698" s="460">
        <v>4</v>
      </c>
      <c r="E698" s="460">
        <v>0</v>
      </c>
      <c r="G698" s="1740"/>
      <c r="H698" s="1741" t="s">
        <v>1238</v>
      </c>
      <c r="I698" s="1742" t="s">
        <v>6480</v>
      </c>
      <c r="J698" s="1743" t="s">
        <v>2794</v>
      </c>
      <c r="K698" s="1744"/>
      <c r="L698" s="1745"/>
      <c r="M698" s="1745"/>
      <c r="N698" s="1746">
        <v>1005.6</v>
      </c>
      <c r="O698" s="1747"/>
      <c r="P698" s="1720"/>
    </row>
    <row r="699" spans="1:16" ht="13.9" hidden="1" customHeight="1" outlineLevel="3" x14ac:dyDescent="0.2">
      <c r="A699" s="459">
        <v>0</v>
      </c>
      <c r="B699" s="459">
        <v>6</v>
      </c>
      <c r="C699" s="459">
        <v>6</v>
      </c>
      <c r="D699" s="460">
        <v>4</v>
      </c>
      <c r="E699" s="460">
        <v>1</v>
      </c>
      <c r="G699" s="1790" t="s">
        <v>17</v>
      </c>
      <c r="H699" s="1749" t="s">
        <v>1239</v>
      </c>
      <c r="I699" s="1750" t="s">
        <v>6481</v>
      </c>
      <c r="J699" s="1751" t="s">
        <v>2794</v>
      </c>
      <c r="K699" s="1752" t="s">
        <v>1130</v>
      </c>
      <c r="L699" s="1753">
        <v>1</v>
      </c>
      <c r="M699" s="1753">
        <v>1005.5999999999999</v>
      </c>
      <c r="N699" s="1754">
        <v>1005.6</v>
      </c>
      <c r="O699" s="1755" t="s">
        <v>3285</v>
      </c>
      <c r="P699" s="1721" t="s">
        <v>9611</v>
      </c>
    </row>
    <row r="700" spans="1:16" ht="13.9" hidden="1" customHeight="1" outlineLevel="2" x14ac:dyDescent="0.2">
      <c r="A700" s="459">
        <v>0</v>
      </c>
      <c r="B700" s="459">
        <v>6</v>
      </c>
      <c r="C700" s="459">
        <v>6</v>
      </c>
      <c r="D700" s="460">
        <v>5</v>
      </c>
      <c r="E700" s="460">
        <v>0</v>
      </c>
      <c r="G700" s="1740"/>
      <c r="H700" s="1741" t="s">
        <v>1238</v>
      </c>
      <c r="I700" s="1742" t="s">
        <v>6482</v>
      </c>
      <c r="J700" s="1743" t="s">
        <v>2795</v>
      </c>
      <c r="K700" s="1744"/>
      <c r="L700" s="1745"/>
      <c r="M700" s="1745"/>
      <c r="N700" s="1746">
        <v>9954.1396406557906</v>
      </c>
      <c r="O700" s="1747"/>
      <c r="P700" s="1720"/>
    </row>
    <row r="701" spans="1:16" ht="13.9" hidden="1" customHeight="1" outlineLevel="3" x14ac:dyDescent="0.2">
      <c r="A701" s="459">
        <v>0</v>
      </c>
      <c r="B701" s="459">
        <v>6</v>
      </c>
      <c r="C701" s="459">
        <v>6</v>
      </c>
      <c r="D701" s="460">
        <v>5</v>
      </c>
      <c r="E701" s="460">
        <v>1</v>
      </c>
      <c r="G701" s="1790" t="s">
        <v>17</v>
      </c>
      <c r="H701" s="1749" t="s">
        <v>1239</v>
      </c>
      <c r="I701" s="1750" t="s">
        <v>6483</v>
      </c>
      <c r="J701" s="1751" t="s">
        <v>2795</v>
      </c>
      <c r="K701" s="1752" t="s">
        <v>1130</v>
      </c>
      <c r="L701" s="1753">
        <v>1</v>
      </c>
      <c r="M701" s="1753">
        <v>9954.1396406557869</v>
      </c>
      <c r="N701" s="1754">
        <v>9954.1396406557906</v>
      </c>
      <c r="O701" s="1755" t="s">
        <v>3284</v>
      </c>
      <c r="P701" s="1721" t="s">
        <v>9611</v>
      </c>
    </row>
    <row r="702" spans="1:16" ht="13.9" hidden="1" customHeight="1" outlineLevel="2" x14ac:dyDescent="0.2">
      <c r="A702" s="459">
        <v>0</v>
      </c>
      <c r="B702" s="459">
        <v>6</v>
      </c>
      <c r="C702" s="459">
        <v>6</v>
      </c>
      <c r="D702" s="460">
        <v>6</v>
      </c>
      <c r="E702" s="460">
        <v>0</v>
      </c>
      <c r="G702" s="1740"/>
      <c r="H702" s="1741" t="s">
        <v>1238</v>
      </c>
      <c r="I702" s="1742" t="s">
        <v>6484</v>
      </c>
      <c r="J702" s="1743" t="s">
        <v>1254</v>
      </c>
      <c r="K702" s="1744"/>
      <c r="L702" s="1745"/>
      <c r="M702" s="1745"/>
      <c r="N702" s="1746">
        <v>56431.38</v>
      </c>
      <c r="O702" s="1747"/>
      <c r="P702" s="1720"/>
    </row>
    <row r="703" spans="1:16" ht="13.9" hidden="1" customHeight="1" outlineLevel="3" x14ac:dyDescent="0.2">
      <c r="A703" s="459">
        <v>0</v>
      </c>
      <c r="B703" s="459">
        <v>6</v>
      </c>
      <c r="C703" s="459">
        <v>6</v>
      </c>
      <c r="D703" s="460">
        <v>6</v>
      </c>
      <c r="E703" s="460">
        <v>1</v>
      </c>
      <c r="G703" s="1790" t="s">
        <v>17</v>
      </c>
      <c r="H703" s="1749" t="s">
        <v>1239</v>
      </c>
      <c r="I703" s="1750" t="s">
        <v>6485</v>
      </c>
      <c r="J703" s="1751" t="s">
        <v>1255</v>
      </c>
      <c r="K703" s="1752" t="s">
        <v>1130</v>
      </c>
      <c r="L703" s="1753">
        <v>1</v>
      </c>
      <c r="M703" s="1753">
        <v>56431.38</v>
      </c>
      <c r="N703" s="1754">
        <v>56431.38</v>
      </c>
      <c r="O703" s="1755" t="s">
        <v>3268</v>
      </c>
      <c r="P703" s="1721" t="s">
        <v>9611</v>
      </c>
    </row>
    <row r="704" spans="1:16" ht="13.9" hidden="1" customHeight="1" outlineLevel="1" x14ac:dyDescent="0.2">
      <c r="A704" s="459">
        <v>0</v>
      </c>
      <c r="B704" s="459">
        <v>6</v>
      </c>
      <c r="C704" s="459">
        <v>7</v>
      </c>
      <c r="D704" s="460">
        <v>0</v>
      </c>
      <c r="E704" s="460">
        <v>1</v>
      </c>
      <c r="G704" s="1733"/>
      <c r="H704" s="1734" t="s">
        <v>39</v>
      </c>
      <c r="I704" s="1735" t="s">
        <v>6486</v>
      </c>
      <c r="J704" s="1736" t="s">
        <v>3276</v>
      </c>
      <c r="K704" s="1737"/>
      <c r="L704" s="1738"/>
      <c r="M704" s="1738"/>
      <c r="N704" s="1739">
        <v>81697.706640655801</v>
      </c>
      <c r="O704" s="1722"/>
      <c r="P704" s="1725"/>
    </row>
    <row r="705" spans="1:16" ht="13.9" hidden="1" customHeight="1" outlineLevel="2" x14ac:dyDescent="0.2">
      <c r="A705" s="459">
        <v>0</v>
      </c>
      <c r="B705" s="459">
        <v>6</v>
      </c>
      <c r="C705" s="459">
        <v>7</v>
      </c>
      <c r="D705" s="460">
        <v>1</v>
      </c>
      <c r="E705" s="460">
        <v>0</v>
      </c>
      <c r="G705" s="1740"/>
      <c r="H705" s="1741" t="s">
        <v>1238</v>
      </c>
      <c r="I705" s="1742" t="s">
        <v>6487</v>
      </c>
      <c r="J705" s="1743" t="s">
        <v>2790</v>
      </c>
      <c r="K705" s="1744"/>
      <c r="L705" s="1745"/>
      <c r="M705" s="1745"/>
      <c r="N705" s="1746">
        <v>2807.64</v>
      </c>
      <c r="O705" s="1747"/>
      <c r="P705" s="1720"/>
    </row>
    <row r="706" spans="1:16" ht="13.9" hidden="1" customHeight="1" outlineLevel="3" x14ac:dyDescent="0.2">
      <c r="A706" s="459">
        <v>0</v>
      </c>
      <c r="B706" s="459">
        <v>6</v>
      </c>
      <c r="C706" s="459">
        <v>7</v>
      </c>
      <c r="D706" s="460">
        <v>1</v>
      </c>
      <c r="E706" s="460">
        <v>1</v>
      </c>
      <c r="G706" s="1790" t="s">
        <v>17</v>
      </c>
      <c r="H706" s="1749" t="s">
        <v>1239</v>
      </c>
      <c r="I706" s="1750" t="s">
        <v>6488</v>
      </c>
      <c r="J706" s="1751" t="s">
        <v>2790</v>
      </c>
      <c r="K706" s="1752" t="s">
        <v>1130</v>
      </c>
      <c r="L706" s="1753">
        <v>1</v>
      </c>
      <c r="M706" s="1753">
        <v>2807.6400000000003</v>
      </c>
      <c r="N706" s="1754">
        <v>2807.64</v>
      </c>
      <c r="O706" s="1755" t="s">
        <v>3285</v>
      </c>
      <c r="P706" s="1721" t="s">
        <v>9611</v>
      </c>
    </row>
    <row r="707" spans="1:16" ht="13.9" hidden="1" customHeight="1" outlineLevel="2" x14ac:dyDescent="0.2">
      <c r="A707" s="459">
        <v>0</v>
      </c>
      <c r="B707" s="459">
        <v>6</v>
      </c>
      <c r="C707" s="459">
        <v>7</v>
      </c>
      <c r="D707" s="460">
        <v>2</v>
      </c>
      <c r="E707" s="460">
        <v>0</v>
      </c>
      <c r="G707" s="1740"/>
      <c r="H707" s="1741" t="s">
        <v>1238</v>
      </c>
      <c r="I707" s="1742" t="s">
        <v>6489</v>
      </c>
      <c r="J707" s="1743" t="s">
        <v>2792</v>
      </c>
      <c r="K707" s="1744"/>
      <c r="L707" s="1745"/>
      <c r="M707" s="1745"/>
      <c r="N707" s="1746">
        <v>2979.55</v>
      </c>
      <c r="O707" s="1747"/>
      <c r="P707" s="1720"/>
    </row>
    <row r="708" spans="1:16" ht="13.9" hidden="1" customHeight="1" outlineLevel="3" x14ac:dyDescent="0.2">
      <c r="A708" s="459">
        <v>0</v>
      </c>
      <c r="B708" s="459">
        <v>6</v>
      </c>
      <c r="C708" s="459">
        <v>7</v>
      </c>
      <c r="D708" s="460">
        <v>2</v>
      </c>
      <c r="E708" s="460">
        <v>1</v>
      </c>
      <c r="G708" s="1790" t="s">
        <v>17</v>
      </c>
      <c r="H708" s="1749" t="s">
        <v>1239</v>
      </c>
      <c r="I708" s="1750" t="s">
        <v>6490</v>
      </c>
      <c r="J708" s="1751" t="s">
        <v>2792</v>
      </c>
      <c r="K708" s="1752" t="s">
        <v>1130</v>
      </c>
      <c r="L708" s="1753">
        <v>1</v>
      </c>
      <c r="M708" s="1753">
        <v>2979.5499999999997</v>
      </c>
      <c r="N708" s="1754">
        <v>2979.55</v>
      </c>
      <c r="O708" s="1755" t="s">
        <v>3285</v>
      </c>
      <c r="P708" s="1721" t="s">
        <v>9611</v>
      </c>
    </row>
    <row r="709" spans="1:16" ht="13.9" hidden="1" customHeight="1" outlineLevel="2" x14ac:dyDescent="0.2">
      <c r="A709" s="459">
        <v>0</v>
      </c>
      <c r="B709" s="459">
        <v>6</v>
      </c>
      <c r="C709" s="459">
        <v>7</v>
      </c>
      <c r="D709" s="460">
        <v>3</v>
      </c>
      <c r="E709" s="460">
        <v>0</v>
      </c>
      <c r="G709" s="1740"/>
      <c r="H709" s="1741" t="s">
        <v>1238</v>
      </c>
      <c r="I709" s="1742" t="s">
        <v>6491</v>
      </c>
      <c r="J709" s="1743" t="s">
        <v>2793</v>
      </c>
      <c r="K709" s="1744"/>
      <c r="L709" s="1745"/>
      <c r="M709" s="1745"/>
      <c r="N709" s="1746">
        <v>7370.9470000000001</v>
      </c>
      <c r="O709" s="1747"/>
      <c r="P709" s="1720"/>
    </row>
    <row r="710" spans="1:16" ht="13.9" hidden="1" customHeight="1" outlineLevel="3" x14ac:dyDescent="0.2">
      <c r="A710" s="459">
        <v>0</v>
      </c>
      <c r="B710" s="459">
        <v>6</v>
      </c>
      <c r="C710" s="459">
        <v>7</v>
      </c>
      <c r="D710" s="460">
        <v>3</v>
      </c>
      <c r="E710" s="460">
        <v>1</v>
      </c>
      <c r="G710" s="1790" t="s">
        <v>17</v>
      </c>
      <c r="H710" s="1749" t="s">
        <v>1239</v>
      </c>
      <c r="I710" s="1750" t="s">
        <v>6492</v>
      </c>
      <c r="J710" s="1751" t="s">
        <v>2793</v>
      </c>
      <c r="K710" s="1752" t="s">
        <v>1130</v>
      </c>
      <c r="L710" s="1753">
        <v>1</v>
      </c>
      <c r="M710" s="1753">
        <v>7370.9469999999992</v>
      </c>
      <c r="N710" s="1754">
        <v>7370.9470000000001</v>
      </c>
      <c r="O710" s="1755" t="s">
        <v>3285</v>
      </c>
      <c r="P710" s="1721" t="s">
        <v>9611</v>
      </c>
    </row>
    <row r="711" spans="1:16" ht="13.9" hidden="1" customHeight="1" outlineLevel="2" x14ac:dyDescent="0.2">
      <c r="A711" s="459">
        <v>0</v>
      </c>
      <c r="B711" s="459">
        <v>6</v>
      </c>
      <c r="C711" s="459">
        <v>7</v>
      </c>
      <c r="D711" s="460">
        <v>4</v>
      </c>
      <c r="E711" s="460">
        <v>0</v>
      </c>
      <c r="G711" s="1740"/>
      <c r="H711" s="1741" t="s">
        <v>1238</v>
      </c>
      <c r="I711" s="1742" t="s">
        <v>6493</v>
      </c>
      <c r="J711" s="1743" t="s">
        <v>2794</v>
      </c>
      <c r="K711" s="1744"/>
      <c r="L711" s="1745"/>
      <c r="M711" s="1745"/>
      <c r="N711" s="1746">
        <v>2289.69</v>
      </c>
      <c r="O711" s="1747"/>
      <c r="P711" s="1720"/>
    </row>
    <row r="712" spans="1:16" ht="13.9" hidden="1" customHeight="1" outlineLevel="3" x14ac:dyDescent="0.2">
      <c r="A712" s="459">
        <v>0</v>
      </c>
      <c r="B712" s="459">
        <v>6</v>
      </c>
      <c r="C712" s="459">
        <v>7</v>
      </c>
      <c r="D712" s="460">
        <v>4</v>
      </c>
      <c r="E712" s="460">
        <v>1</v>
      </c>
      <c r="G712" s="1790" t="s">
        <v>17</v>
      </c>
      <c r="H712" s="1749" t="s">
        <v>1239</v>
      </c>
      <c r="I712" s="1750" t="s">
        <v>6494</v>
      </c>
      <c r="J712" s="1751" t="s">
        <v>2794</v>
      </c>
      <c r="K712" s="1752" t="s">
        <v>1130</v>
      </c>
      <c r="L712" s="1753">
        <v>1</v>
      </c>
      <c r="M712" s="1753">
        <v>2289.69</v>
      </c>
      <c r="N712" s="1754">
        <v>2289.69</v>
      </c>
      <c r="O712" s="1755" t="s">
        <v>3285</v>
      </c>
      <c r="P712" s="1721" t="s">
        <v>9611</v>
      </c>
    </row>
    <row r="713" spans="1:16" ht="13.9" hidden="1" customHeight="1" outlineLevel="2" x14ac:dyDescent="0.2">
      <c r="A713" s="459">
        <v>0</v>
      </c>
      <c r="B713" s="459">
        <v>6</v>
      </c>
      <c r="C713" s="459">
        <v>7</v>
      </c>
      <c r="D713" s="460">
        <v>5</v>
      </c>
      <c r="E713" s="460">
        <v>0</v>
      </c>
      <c r="G713" s="1740"/>
      <c r="H713" s="1741" t="s">
        <v>1238</v>
      </c>
      <c r="I713" s="1742" t="s">
        <v>6495</v>
      </c>
      <c r="J713" s="1743" t="s">
        <v>2795</v>
      </c>
      <c r="K713" s="1744"/>
      <c r="L713" s="1745"/>
      <c r="M713" s="1745"/>
      <c r="N713" s="1746">
        <v>9954.1396406557906</v>
      </c>
      <c r="O713" s="1747"/>
      <c r="P713" s="1720"/>
    </row>
    <row r="714" spans="1:16" ht="13.9" hidden="1" customHeight="1" outlineLevel="3" x14ac:dyDescent="0.2">
      <c r="A714" s="459">
        <v>0</v>
      </c>
      <c r="B714" s="459">
        <v>6</v>
      </c>
      <c r="C714" s="459">
        <v>7</v>
      </c>
      <c r="D714" s="460">
        <v>5</v>
      </c>
      <c r="E714" s="460">
        <v>1</v>
      </c>
      <c r="G714" s="1790" t="s">
        <v>17</v>
      </c>
      <c r="H714" s="1749" t="s">
        <v>1239</v>
      </c>
      <c r="I714" s="1750" t="s">
        <v>6496</v>
      </c>
      <c r="J714" s="1751" t="s">
        <v>2795</v>
      </c>
      <c r="K714" s="1752" t="s">
        <v>1130</v>
      </c>
      <c r="L714" s="1753">
        <v>1</v>
      </c>
      <c r="M714" s="1753">
        <v>9954.1396406557869</v>
      </c>
      <c r="N714" s="1754">
        <v>9954.1396406557906</v>
      </c>
      <c r="O714" s="1755" t="s">
        <v>3284</v>
      </c>
      <c r="P714" s="1721" t="s">
        <v>9611</v>
      </c>
    </row>
    <row r="715" spans="1:16" ht="13.9" hidden="1" customHeight="1" outlineLevel="2" x14ac:dyDescent="0.2">
      <c r="A715" s="459">
        <v>0</v>
      </c>
      <c r="B715" s="459">
        <v>6</v>
      </c>
      <c r="C715" s="459">
        <v>7</v>
      </c>
      <c r="D715" s="460">
        <v>6</v>
      </c>
      <c r="E715" s="460">
        <v>0</v>
      </c>
      <c r="G715" s="1740"/>
      <c r="H715" s="1741" t="s">
        <v>1238</v>
      </c>
      <c r="I715" s="1742" t="s">
        <v>6497</v>
      </c>
      <c r="J715" s="1743" t="s">
        <v>1254</v>
      </c>
      <c r="K715" s="1744"/>
      <c r="L715" s="1745"/>
      <c r="M715" s="1745"/>
      <c r="N715" s="1746">
        <v>56295.74</v>
      </c>
      <c r="O715" s="1747"/>
      <c r="P715" s="1720"/>
    </row>
    <row r="716" spans="1:16" ht="13.9" hidden="1" customHeight="1" outlineLevel="3" x14ac:dyDescent="0.2">
      <c r="A716" s="459">
        <v>0</v>
      </c>
      <c r="B716" s="459">
        <v>6</v>
      </c>
      <c r="C716" s="459">
        <v>7</v>
      </c>
      <c r="D716" s="460">
        <v>6</v>
      </c>
      <c r="E716" s="460">
        <v>1</v>
      </c>
      <c r="G716" s="1790" t="s">
        <v>17</v>
      </c>
      <c r="H716" s="1749" t="s">
        <v>1239</v>
      </c>
      <c r="I716" s="1750" t="s">
        <v>6498</v>
      </c>
      <c r="J716" s="1751" t="s">
        <v>1255</v>
      </c>
      <c r="K716" s="1752" t="s">
        <v>1130</v>
      </c>
      <c r="L716" s="1753">
        <v>1</v>
      </c>
      <c r="M716" s="1753">
        <v>56295.74</v>
      </c>
      <c r="N716" s="1754">
        <v>56295.74</v>
      </c>
      <c r="O716" s="1755" t="s">
        <v>3268</v>
      </c>
      <c r="P716" s="1721" t="s">
        <v>9611</v>
      </c>
    </row>
    <row r="717" spans="1:16" ht="13.9" hidden="1" customHeight="1" outlineLevel="1" x14ac:dyDescent="0.2">
      <c r="A717" s="459">
        <v>0</v>
      </c>
      <c r="B717" s="459">
        <v>6</v>
      </c>
      <c r="C717" s="459">
        <v>8</v>
      </c>
      <c r="D717" s="460">
        <v>0</v>
      </c>
      <c r="E717" s="460">
        <v>1</v>
      </c>
      <c r="G717" s="1733"/>
      <c r="H717" s="1734" t="s">
        <v>39</v>
      </c>
      <c r="I717" s="1735" t="s">
        <v>6499</v>
      </c>
      <c r="J717" s="1736" t="s">
        <v>3277</v>
      </c>
      <c r="K717" s="1737"/>
      <c r="L717" s="1738"/>
      <c r="M717" s="1738"/>
      <c r="N717" s="1739">
        <v>59626.110030074698</v>
      </c>
      <c r="O717" s="1722"/>
      <c r="P717" s="1725"/>
    </row>
    <row r="718" spans="1:16" ht="13.9" hidden="1" customHeight="1" outlineLevel="2" x14ac:dyDescent="0.2">
      <c r="A718" s="459">
        <v>0</v>
      </c>
      <c r="B718" s="459">
        <v>6</v>
      </c>
      <c r="C718" s="459">
        <v>8</v>
      </c>
      <c r="D718" s="460">
        <v>1</v>
      </c>
      <c r="E718" s="460">
        <v>0</v>
      </c>
      <c r="G718" s="1740"/>
      <c r="H718" s="1741" t="s">
        <v>1238</v>
      </c>
      <c r="I718" s="1742" t="s">
        <v>6500</v>
      </c>
      <c r="J718" s="1743" t="s">
        <v>2790</v>
      </c>
      <c r="K718" s="1744"/>
      <c r="L718" s="1745"/>
      <c r="M718" s="1745"/>
      <c r="N718" s="1746">
        <v>2101.14</v>
      </c>
      <c r="O718" s="1747"/>
      <c r="P718" s="1720"/>
    </row>
    <row r="719" spans="1:16" ht="13.9" hidden="1" customHeight="1" outlineLevel="3" x14ac:dyDescent="0.2">
      <c r="A719" s="459">
        <v>0</v>
      </c>
      <c r="B719" s="459">
        <v>6</v>
      </c>
      <c r="C719" s="459">
        <v>8</v>
      </c>
      <c r="D719" s="460">
        <v>1</v>
      </c>
      <c r="E719" s="460">
        <v>1</v>
      </c>
      <c r="G719" s="1790" t="s">
        <v>17</v>
      </c>
      <c r="H719" s="1749" t="s">
        <v>1239</v>
      </c>
      <c r="I719" s="1750" t="s">
        <v>6501</v>
      </c>
      <c r="J719" s="1751" t="s">
        <v>2790</v>
      </c>
      <c r="K719" s="1752" t="s">
        <v>1130</v>
      </c>
      <c r="L719" s="1753">
        <v>1</v>
      </c>
      <c r="M719" s="1753">
        <v>2101.14</v>
      </c>
      <c r="N719" s="1754">
        <v>2101.14</v>
      </c>
      <c r="O719" s="1755" t="s">
        <v>3285</v>
      </c>
      <c r="P719" s="1721" t="s">
        <v>9611</v>
      </c>
    </row>
    <row r="720" spans="1:16" ht="13.9" hidden="1" customHeight="1" outlineLevel="2" x14ac:dyDescent="0.2">
      <c r="A720" s="459">
        <v>0</v>
      </c>
      <c r="B720" s="459">
        <v>6</v>
      </c>
      <c r="C720" s="459">
        <v>8</v>
      </c>
      <c r="D720" s="460">
        <v>2</v>
      </c>
      <c r="E720" s="460">
        <v>0</v>
      </c>
      <c r="G720" s="1740"/>
      <c r="H720" s="1741" t="s">
        <v>1238</v>
      </c>
      <c r="I720" s="1742" t="s">
        <v>6502</v>
      </c>
      <c r="J720" s="1743" t="s">
        <v>2792</v>
      </c>
      <c r="K720" s="1744"/>
      <c r="L720" s="1745"/>
      <c r="M720" s="1745"/>
      <c r="N720" s="1746">
        <v>2863.95</v>
      </c>
      <c r="O720" s="1747"/>
      <c r="P720" s="1720"/>
    </row>
    <row r="721" spans="1:16" ht="13.9" hidden="1" customHeight="1" outlineLevel="3" x14ac:dyDescent="0.2">
      <c r="A721" s="459">
        <v>0</v>
      </c>
      <c r="B721" s="459">
        <v>6</v>
      </c>
      <c r="C721" s="459">
        <v>8</v>
      </c>
      <c r="D721" s="460">
        <v>2</v>
      </c>
      <c r="E721" s="460">
        <v>1</v>
      </c>
      <c r="G721" s="1790" t="s">
        <v>17</v>
      </c>
      <c r="H721" s="1749" t="s">
        <v>1239</v>
      </c>
      <c r="I721" s="1750" t="s">
        <v>6503</v>
      </c>
      <c r="J721" s="1751" t="s">
        <v>2792</v>
      </c>
      <c r="K721" s="1752" t="s">
        <v>1130</v>
      </c>
      <c r="L721" s="1753">
        <v>1</v>
      </c>
      <c r="M721" s="1753">
        <v>2863.9500000000003</v>
      </c>
      <c r="N721" s="1754">
        <v>2863.95</v>
      </c>
      <c r="O721" s="1755" t="s">
        <v>3285</v>
      </c>
      <c r="P721" s="1721" t="s">
        <v>9611</v>
      </c>
    </row>
    <row r="722" spans="1:16" ht="13.9" hidden="1" customHeight="1" outlineLevel="2" x14ac:dyDescent="0.2">
      <c r="A722" s="459">
        <v>0</v>
      </c>
      <c r="B722" s="459">
        <v>6</v>
      </c>
      <c r="C722" s="459">
        <v>8</v>
      </c>
      <c r="D722" s="460">
        <v>3</v>
      </c>
      <c r="E722" s="460">
        <v>0</v>
      </c>
      <c r="G722" s="1740"/>
      <c r="H722" s="1741" t="s">
        <v>1238</v>
      </c>
      <c r="I722" s="1742" t="s">
        <v>6504</v>
      </c>
      <c r="J722" s="1743" t="s">
        <v>2793</v>
      </c>
      <c r="K722" s="1744"/>
      <c r="L722" s="1745"/>
      <c r="M722" s="1745"/>
      <c r="N722" s="1746">
        <v>8164.3810000000003</v>
      </c>
      <c r="O722" s="1747"/>
      <c r="P722" s="1720"/>
    </row>
    <row r="723" spans="1:16" ht="13.9" hidden="1" customHeight="1" outlineLevel="3" x14ac:dyDescent="0.2">
      <c r="A723" s="459">
        <v>0</v>
      </c>
      <c r="B723" s="459">
        <v>6</v>
      </c>
      <c r="C723" s="459">
        <v>8</v>
      </c>
      <c r="D723" s="460">
        <v>3</v>
      </c>
      <c r="E723" s="460">
        <v>1</v>
      </c>
      <c r="G723" s="1790" t="s">
        <v>17</v>
      </c>
      <c r="H723" s="1749" t="s">
        <v>1239</v>
      </c>
      <c r="I723" s="1750" t="s">
        <v>6505</v>
      </c>
      <c r="J723" s="1751" t="s">
        <v>2793</v>
      </c>
      <c r="K723" s="1752" t="s">
        <v>1130</v>
      </c>
      <c r="L723" s="1753">
        <v>1</v>
      </c>
      <c r="M723" s="1753">
        <v>8164.3809999999994</v>
      </c>
      <c r="N723" s="1754">
        <v>8164.3810000000003</v>
      </c>
      <c r="O723" s="1755" t="s">
        <v>3285</v>
      </c>
      <c r="P723" s="1721" t="s">
        <v>9611</v>
      </c>
    </row>
    <row r="724" spans="1:16" ht="13.9" hidden="1" customHeight="1" outlineLevel="2" x14ac:dyDescent="0.2">
      <c r="A724" s="459">
        <v>0</v>
      </c>
      <c r="B724" s="459">
        <v>6</v>
      </c>
      <c r="C724" s="459">
        <v>8</v>
      </c>
      <c r="D724" s="460">
        <v>4</v>
      </c>
      <c r="E724" s="460">
        <v>0</v>
      </c>
      <c r="G724" s="1740"/>
      <c r="H724" s="1741" t="s">
        <v>1238</v>
      </c>
      <c r="I724" s="1742" t="s">
        <v>6506</v>
      </c>
      <c r="J724" s="1743" t="s">
        <v>2794</v>
      </c>
      <c r="K724" s="1744"/>
      <c r="L724" s="1745"/>
      <c r="M724" s="1745"/>
      <c r="N724" s="1746">
        <v>2983.4</v>
      </c>
      <c r="O724" s="1747"/>
      <c r="P724" s="1720"/>
    </row>
    <row r="725" spans="1:16" ht="13.9" hidden="1" customHeight="1" outlineLevel="3" x14ac:dyDescent="0.2">
      <c r="A725" s="459">
        <v>0</v>
      </c>
      <c r="B725" s="459">
        <v>6</v>
      </c>
      <c r="C725" s="459">
        <v>8</v>
      </c>
      <c r="D725" s="460">
        <v>4</v>
      </c>
      <c r="E725" s="460">
        <v>1</v>
      </c>
      <c r="G725" s="1790" t="s">
        <v>17</v>
      </c>
      <c r="H725" s="1749" t="s">
        <v>1239</v>
      </c>
      <c r="I725" s="1750" t="s">
        <v>6507</v>
      </c>
      <c r="J725" s="1751" t="s">
        <v>2794</v>
      </c>
      <c r="K725" s="1752" t="s">
        <v>1130</v>
      </c>
      <c r="L725" s="1753">
        <v>1</v>
      </c>
      <c r="M725" s="1753">
        <v>2983.4000000000005</v>
      </c>
      <c r="N725" s="1754">
        <v>2983.4</v>
      </c>
      <c r="O725" s="1755" t="s">
        <v>3285</v>
      </c>
      <c r="P725" s="1721" t="s">
        <v>9611</v>
      </c>
    </row>
    <row r="726" spans="1:16" ht="13.9" hidden="1" customHeight="1" outlineLevel="2" x14ac:dyDescent="0.2">
      <c r="A726" s="459">
        <v>0</v>
      </c>
      <c r="B726" s="459">
        <v>6</v>
      </c>
      <c r="C726" s="459">
        <v>8</v>
      </c>
      <c r="D726" s="460">
        <v>5</v>
      </c>
      <c r="E726" s="460">
        <v>0</v>
      </c>
      <c r="G726" s="1740"/>
      <c r="H726" s="1741" t="s">
        <v>1238</v>
      </c>
      <c r="I726" s="1742" t="s">
        <v>6508</v>
      </c>
      <c r="J726" s="1743" t="s">
        <v>2795</v>
      </c>
      <c r="K726" s="1744"/>
      <c r="L726" s="1745"/>
      <c r="M726" s="1745"/>
      <c r="N726" s="1746">
        <v>5568.7190300747498</v>
      </c>
      <c r="O726" s="1747"/>
      <c r="P726" s="1720"/>
    </row>
    <row r="727" spans="1:16" ht="13.9" hidden="1" customHeight="1" outlineLevel="3" x14ac:dyDescent="0.2">
      <c r="A727" s="459">
        <v>0</v>
      </c>
      <c r="B727" s="459">
        <v>6</v>
      </c>
      <c r="C727" s="459">
        <v>8</v>
      </c>
      <c r="D727" s="460">
        <v>5</v>
      </c>
      <c r="E727" s="460">
        <v>1</v>
      </c>
      <c r="G727" s="1790" t="s">
        <v>17</v>
      </c>
      <c r="H727" s="1749" t="s">
        <v>1239</v>
      </c>
      <c r="I727" s="1750" t="s">
        <v>6509</v>
      </c>
      <c r="J727" s="1751" t="s">
        <v>2795</v>
      </c>
      <c r="K727" s="1752" t="s">
        <v>1130</v>
      </c>
      <c r="L727" s="1753">
        <v>1</v>
      </c>
      <c r="M727" s="1753">
        <v>5568.7190300747534</v>
      </c>
      <c r="N727" s="1754">
        <v>5568.7190300747498</v>
      </c>
      <c r="O727" s="1755" t="s">
        <v>3284</v>
      </c>
      <c r="P727" s="1721" t="s">
        <v>9611</v>
      </c>
    </row>
    <row r="728" spans="1:16" ht="13.9" hidden="1" customHeight="1" outlineLevel="2" x14ac:dyDescent="0.2">
      <c r="A728" s="459">
        <v>0</v>
      </c>
      <c r="B728" s="459">
        <v>6</v>
      </c>
      <c r="C728" s="459">
        <v>8</v>
      </c>
      <c r="D728" s="460">
        <v>6</v>
      </c>
      <c r="E728" s="460">
        <v>0</v>
      </c>
      <c r="G728" s="1740"/>
      <c r="H728" s="1741" t="s">
        <v>1238</v>
      </c>
      <c r="I728" s="1742" t="s">
        <v>6510</v>
      </c>
      <c r="J728" s="1743" t="s">
        <v>1254</v>
      </c>
      <c r="K728" s="1744"/>
      <c r="L728" s="1745"/>
      <c r="M728" s="1745"/>
      <c r="N728" s="1746">
        <v>37944.519999999997</v>
      </c>
      <c r="O728" s="1747"/>
      <c r="P728" s="1720"/>
    </row>
    <row r="729" spans="1:16" ht="13.9" hidden="1" customHeight="1" outlineLevel="3" x14ac:dyDescent="0.2">
      <c r="A729" s="459">
        <v>0</v>
      </c>
      <c r="B729" s="459">
        <v>6</v>
      </c>
      <c r="C729" s="459">
        <v>8</v>
      </c>
      <c r="D729" s="460">
        <v>6</v>
      </c>
      <c r="E729" s="460">
        <v>1</v>
      </c>
      <c r="G729" s="1790" t="s">
        <v>17</v>
      </c>
      <c r="H729" s="1749" t="s">
        <v>1239</v>
      </c>
      <c r="I729" s="1750" t="s">
        <v>6511</v>
      </c>
      <c r="J729" s="1751" t="s">
        <v>1255</v>
      </c>
      <c r="K729" s="1752" t="s">
        <v>1130</v>
      </c>
      <c r="L729" s="1753">
        <v>1</v>
      </c>
      <c r="M729" s="1753">
        <v>37944.519999999997</v>
      </c>
      <c r="N729" s="1754">
        <v>37944.519999999997</v>
      </c>
      <c r="O729" s="1755" t="s">
        <v>3268</v>
      </c>
      <c r="P729" s="1721" t="s">
        <v>9611</v>
      </c>
    </row>
    <row r="730" spans="1:16" ht="13.9" hidden="1" customHeight="1" outlineLevel="1" x14ac:dyDescent="0.2">
      <c r="A730" s="459">
        <v>0</v>
      </c>
      <c r="B730" s="459">
        <v>6</v>
      </c>
      <c r="C730" s="459">
        <v>9</v>
      </c>
      <c r="D730" s="460">
        <v>0</v>
      </c>
      <c r="E730" s="460">
        <v>1</v>
      </c>
      <c r="G730" s="1733"/>
      <c r="H730" s="1734" t="s">
        <v>39</v>
      </c>
      <c r="I730" s="1735" t="s">
        <v>6512</v>
      </c>
      <c r="J730" s="1736" t="s">
        <v>3278</v>
      </c>
      <c r="K730" s="1737"/>
      <c r="L730" s="1738"/>
      <c r="M730" s="1738"/>
      <c r="N730" s="1739">
        <v>48631.154733694697</v>
      </c>
      <c r="O730" s="1722"/>
      <c r="P730" s="1725"/>
    </row>
    <row r="731" spans="1:16" ht="13.9" hidden="1" customHeight="1" outlineLevel="2" x14ac:dyDescent="0.2">
      <c r="A731" s="459">
        <v>0</v>
      </c>
      <c r="B731" s="459">
        <v>6</v>
      </c>
      <c r="C731" s="459">
        <v>9</v>
      </c>
      <c r="D731" s="460">
        <v>1</v>
      </c>
      <c r="E731" s="460">
        <v>0</v>
      </c>
      <c r="G731" s="1740"/>
      <c r="H731" s="1741" t="s">
        <v>1238</v>
      </c>
      <c r="I731" s="1742" t="s">
        <v>6513</v>
      </c>
      <c r="J731" s="1743" t="s">
        <v>2790</v>
      </c>
      <c r="K731" s="1744"/>
      <c r="L731" s="1745"/>
      <c r="M731" s="1745"/>
      <c r="N731" s="1746">
        <v>3445.31</v>
      </c>
      <c r="O731" s="1747"/>
      <c r="P731" s="1720"/>
    </row>
    <row r="732" spans="1:16" ht="13.9" hidden="1" customHeight="1" outlineLevel="3" x14ac:dyDescent="0.2">
      <c r="A732" s="459">
        <v>0</v>
      </c>
      <c r="B732" s="459">
        <v>6</v>
      </c>
      <c r="C732" s="459">
        <v>9</v>
      </c>
      <c r="D732" s="460">
        <v>1</v>
      </c>
      <c r="E732" s="460">
        <v>1</v>
      </c>
      <c r="G732" s="1790" t="s">
        <v>17</v>
      </c>
      <c r="H732" s="1749" t="s">
        <v>1239</v>
      </c>
      <c r="I732" s="1750" t="s">
        <v>6514</v>
      </c>
      <c r="J732" s="1751" t="s">
        <v>2790</v>
      </c>
      <c r="K732" s="1752" t="s">
        <v>1130</v>
      </c>
      <c r="L732" s="1753">
        <v>1</v>
      </c>
      <c r="M732" s="1753">
        <v>3445.31</v>
      </c>
      <c r="N732" s="1754">
        <v>3445.31</v>
      </c>
      <c r="O732" s="1755" t="s">
        <v>3285</v>
      </c>
      <c r="P732" s="1721" t="s">
        <v>9611</v>
      </c>
    </row>
    <row r="733" spans="1:16" ht="13.9" hidden="1" customHeight="1" outlineLevel="2" x14ac:dyDescent="0.2">
      <c r="A733" s="459">
        <v>0</v>
      </c>
      <c r="B733" s="459">
        <v>6</v>
      </c>
      <c r="C733" s="459">
        <v>9</v>
      </c>
      <c r="D733" s="460">
        <v>2</v>
      </c>
      <c r="E733" s="460">
        <v>0</v>
      </c>
      <c r="G733" s="1740"/>
      <c r="H733" s="1741" t="s">
        <v>1238</v>
      </c>
      <c r="I733" s="1742" t="s">
        <v>6515</v>
      </c>
      <c r="J733" s="1743" t="s">
        <v>2792</v>
      </c>
      <c r="K733" s="1744"/>
      <c r="L733" s="1745"/>
      <c r="M733" s="1745"/>
      <c r="N733" s="1746">
        <v>2741.05</v>
      </c>
      <c r="O733" s="1747"/>
      <c r="P733" s="1720"/>
    </row>
    <row r="734" spans="1:16" ht="13.9" hidden="1" customHeight="1" outlineLevel="3" x14ac:dyDescent="0.2">
      <c r="A734" s="459">
        <v>0</v>
      </c>
      <c r="B734" s="459">
        <v>6</v>
      </c>
      <c r="C734" s="459">
        <v>9</v>
      </c>
      <c r="D734" s="460">
        <v>2</v>
      </c>
      <c r="E734" s="460">
        <v>1</v>
      </c>
      <c r="G734" s="1790" t="s">
        <v>17</v>
      </c>
      <c r="H734" s="1749" t="s">
        <v>1239</v>
      </c>
      <c r="I734" s="1750" t="s">
        <v>6516</v>
      </c>
      <c r="J734" s="1751" t="s">
        <v>2792</v>
      </c>
      <c r="K734" s="1752" t="s">
        <v>1130</v>
      </c>
      <c r="L734" s="1753">
        <v>1</v>
      </c>
      <c r="M734" s="1753">
        <v>2741.0499999999997</v>
      </c>
      <c r="N734" s="1754">
        <v>2741.05</v>
      </c>
      <c r="O734" s="1755" t="s">
        <v>3285</v>
      </c>
      <c r="P734" s="1721" t="s">
        <v>9611</v>
      </c>
    </row>
    <row r="735" spans="1:16" ht="13.9" hidden="1" customHeight="1" outlineLevel="2" x14ac:dyDescent="0.2">
      <c r="A735" s="459">
        <v>0</v>
      </c>
      <c r="B735" s="459">
        <v>6</v>
      </c>
      <c r="C735" s="459">
        <v>9</v>
      </c>
      <c r="D735" s="460">
        <v>3</v>
      </c>
      <c r="E735" s="460">
        <v>0</v>
      </c>
      <c r="G735" s="1740"/>
      <c r="H735" s="1741" t="s">
        <v>1238</v>
      </c>
      <c r="I735" s="1742" t="s">
        <v>6517</v>
      </c>
      <c r="J735" s="1743" t="s">
        <v>2793</v>
      </c>
      <c r="K735" s="1744"/>
      <c r="L735" s="1745"/>
      <c r="M735" s="1745"/>
      <c r="N735" s="1746">
        <v>7421.7190000000001</v>
      </c>
      <c r="O735" s="1747"/>
      <c r="P735" s="1720"/>
    </row>
    <row r="736" spans="1:16" ht="13.9" hidden="1" customHeight="1" outlineLevel="3" x14ac:dyDescent="0.2">
      <c r="A736" s="459">
        <v>0</v>
      </c>
      <c r="B736" s="459">
        <v>6</v>
      </c>
      <c r="C736" s="459">
        <v>9</v>
      </c>
      <c r="D736" s="460">
        <v>3</v>
      </c>
      <c r="E736" s="460">
        <v>1</v>
      </c>
      <c r="G736" s="1790" t="s">
        <v>17</v>
      </c>
      <c r="H736" s="1749" t="s">
        <v>1239</v>
      </c>
      <c r="I736" s="1750" t="s">
        <v>6518</v>
      </c>
      <c r="J736" s="1751" t="s">
        <v>2793</v>
      </c>
      <c r="K736" s="1752" t="s">
        <v>1130</v>
      </c>
      <c r="L736" s="1753">
        <v>1</v>
      </c>
      <c r="M736" s="1753">
        <v>7421.7189999999991</v>
      </c>
      <c r="N736" s="1754">
        <v>7421.7190000000001</v>
      </c>
      <c r="O736" s="1755" t="s">
        <v>3285</v>
      </c>
      <c r="P736" s="1721" t="s">
        <v>9611</v>
      </c>
    </row>
    <row r="737" spans="1:16" ht="13.9" hidden="1" customHeight="1" outlineLevel="2" x14ac:dyDescent="0.2">
      <c r="A737" s="459">
        <v>0</v>
      </c>
      <c r="B737" s="459">
        <v>6</v>
      </c>
      <c r="C737" s="459">
        <v>9</v>
      </c>
      <c r="D737" s="460">
        <v>4</v>
      </c>
      <c r="E737" s="460">
        <v>0</v>
      </c>
      <c r="G737" s="1740"/>
      <c r="H737" s="1741" t="s">
        <v>1238</v>
      </c>
      <c r="I737" s="1742" t="s">
        <v>6519</v>
      </c>
      <c r="J737" s="1743" t="s">
        <v>2794</v>
      </c>
      <c r="K737" s="1744"/>
      <c r="L737" s="1745"/>
      <c r="M737" s="1745"/>
      <c r="N737" s="1746">
        <v>4908.8500000000004</v>
      </c>
      <c r="O737" s="1747"/>
      <c r="P737" s="1720"/>
    </row>
    <row r="738" spans="1:16" ht="13.9" hidden="1" customHeight="1" outlineLevel="3" x14ac:dyDescent="0.2">
      <c r="A738" s="459">
        <v>0</v>
      </c>
      <c r="B738" s="459">
        <v>6</v>
      </c>
      <c r="C738" s="459">
        <v>9</v>
      </c>
      <c r="D738" s="460">
        <v>4</v>
      </c>
      <c r="E738" s="460">
        <v>1</v>
      </c>
      <c r="G738" s="1790" t="s">
        <v>17</v>
      </c>
      <c r="H738" s="1749" t="s">
        <v>1239</v>
      </c>
      <c r="I738" s="1750" t="s">
        <v>6520</v>
      </c>
      <c r="J738" s="1751" t="s">
        <v>2794</v>
      </c>
      <c r="K738" s="1752" t="s">
        <v>1130</v>
      </c>
      <c r="L738" s="1753">
        <v>1</v>
      </c>
      <c r="M738" s="1753">
        <v>4908.8500000000004</v>
      </c>
      <c r="N738" s="1754">
        <v>4908.8500000000004</v>
      </c>
      <c r="O738" s="1755" t="s">
        <v>3285</v>
      </c>
      <c r="P738" s="1721" t="s">
        <v>9611</v>
      </c>
    </row>
    <row r="739" spans="1:16" ht="13.9" hidden="1" customHeight="1" outlineLevel="2" x14ac:dyDescent="0.2">
      <c r="A739" s="459">
        <v>0</v>
      </c>
      <c r="B739" s="459">
        <v>6</v>
      </c>
      <c r="C739" s="459">
        <v>9</v>
      </c>
      <c r="D739" s="460">
        <v>5</v>
      </c>
      <c r="E739" s="460">
        <v>0</v>
      </c>
      <c r="G739" s="1740"/>
      <c r="H739" s="1741" t="s">
        <v>1238</v>
      </c>
      <c r="I739" s="1742" t="s">
        <v>6521</v>
      </c>
      <c r="J739" s="1743" t="s">
        <v>2795</v>
      </c>
      <c r="K739" s="1744"/>
      <c r="L739" s="1745"/>
      <c r="M739" s="1745"/>
      <c r="N739" s="1746">
        <v>3853.9457336946498</v>
      </c>
      <c r="O739" s="1747"/>
      <c r="P739" s="1720"/>
    </row>
    <row r="740" spans="1:16" ht="13.9" hidden="1" customHeight="1" outlineLevel="3" x14ac:dyDescent="0.2">
      <c r="A740" s="459">
        <v>0</v>
      </c>
      <c r="B740" s="459">
        <v>6</v>
      </c>
      <c r="C740" s="459">
        <v>9</v>
      </c>
      <c r="D740" s="460">
        <v>5</v>
      </c>
      <c r="E740" s="460">
        <v>1</v>
      </c>
      <c r="G740" s="1790" t="s">
        <v>17</v>
      </c>
      <c r="H740" s="1749" t="s">
        <v>1239</v>
      </c>
      <c r="I740" s="1750" t="s">
        <v>6522</v>
      </c>
      <c r="J740" s="1751" t="s">
        <v>2795</v>
      </c>
      <c r="K740" s="1752" t="s">
        <v>1130</v>
      </c>
      <c r="L740" s="1753">
        <v>1</v>
      </c>
      <c r="M740" s="1753">
        <v>3853.9457336946534</v>
      </c>
      <c r="N740" s="1754">
        <v>3853.9457336946498</v>
      </c>
      <c r="O740" s="1755" t="s">
        <v>3284</v>
      </c>
      <c r="P740" s="1721" t="s">
        <v>9611</v>
      </c>
    </row>
    <row r="741" spans="1:16" ht="13.9" hidden="1" customHeight="1" outlineLevel="2" x14ac:dyDescent="0.2">
      <c r="A741" s="459">
        <v>0</v>
      </c>
      <c r="B741" s="459">
        <v>6</v>
      </c>
      <c r="C741" s="459">
        <v>9</v>
      </c>
      <c r="D741" s="460">
        <v>6</v>
      </c>
      <c r="E741" s="460">
        <v>0</v>
      </c>
      <c r="G741" s="1740"/>
      <c r="H741" s="1741" t="s">
        <v>1238</v>
      </c>
      <c r="I741" s="1742" t="s">
        <v>6523</v>
      </c>
      <c r="J741" s="1743" t="s">
        <v>1254</v>
      </c>
      <c r="K741" s="1744"/>
      <c r="L741" s="1745"/>
      <c r="M741" s="1745"/>
      <c r="N741" s="1746">
        <v>26260.28</v>
      </c>
      <c r="O741" s="1747"/>
      <c r="P741" s="1720"/>
    </row>
    <row r="742" spans="1:16" ht="13.9" hidden="1" customHeight="1" outlineLevel="3" x14ac:dyDescent="0.2">
      <c r="A742" s="459">
        <v>0</v>
      </c>
      <c r="B742" s="459">
        <v>6</v>
      </c>
      <c r="C742" s="459">
        <v>9</v>
      </c>
      <c r="D742" s="460">
        <v>6</v>
      </c>
      <c r="E742" s="460">
        <v>1</v>
      </c>
      <c r="G742" s="1790" t="s">
        <v>17</v>
      </c>
      <c r="H742" s="1749" t="s">
        <v>1239</v>
      </c>
      <c r="I742" s="1750" t="s">
        <v>6524</v>
      </c>
      <c r="J742" s="1751" t="s">
        <v>1255</v>
      </c>
      <c r="K742" s="1752" t="s">
        <v>1130</v>
      </c>
      <c r="L742" s="1753">
        <v>1</v>
      </c>
      <c r="M742" s="1753">
        <v>26260.280000000002</v>
      </c>
      <c r="N742" s="1754">
        <v>26260.28</v>
      </c>
      <c r="O742" s="1755" t="s">
        <v>3268</v>
      </c>
      <c r="P742" s="1721" t="s">
        <v>9611</v>
      </c>
    </row>
    <row r="743" spans="1:16" ht="13.9" hidden="1" customHeight="1" outlineLevel="1" x14ac:dyDescent="0.2">
      <c r="A743" s="459">
        <v>0</v>
      </c>
      <c r="B743" s="459">
        <v>6</v>
      </c>
      <c r="C743" s="459">
        <v>10</v>
      </c>
      <c r="D743" s="460">
        <v>0</v>
      </c>
      <c r="E743" s="460">
        <v>1</v>
      </c>
      <c r="G743" s="1733"/>
      <c r="H743" s="1734" t="s">
        <v>39</v>
      </c>
      <c r="I743" s="1735" t="s">
        <v>6525</v>
      </c>
      <c r="J743" s="1736" t="s">
        <v>3279</v>
      </c>
      <c r="K743" s="1737"/>
      <c r="L743" s="1738"/>
      <c r="M743" s="1738"/>
      <c r="N743" s="1739">
        <v>337780.159537645</v>
      </c>
      <c r="O743" s="1722"/>
      <c r="P743" s="1725"/>
    </row>
    <row r="744" spans="1:16" ht="13.9" hidden="1" customHeight="1" outlineLevel="2" x14ac:dyDescent="0.2">
      <c r="A744" s="459">
        <v>0</v>
      </c>
      <c r="B744" s="459">
        <v>6</v>
      </c>
      <c r="C744" s="459">
        <v>10</v>
      </c>
      <c r="D744" s="460">
        <v>1</v>
      </c>
      <c r="E744" s="460">
        <v>0</v>
      </c>
      <c r="G744" s="1740"/>
      <c r="H744" s="1741" t="s">
        <v>1238</v>
      </c>
      <c r="I744" s="1742" t="s">
        <v>6526</v>
      </c>
      <c r="J744" s="1743" t="s">
        <v>2790</v>
      </c>
      <c r="K744" s="1744"/>
      <c r="L744" s="1745"/>
      <c r="M744" s="1745"/>
      <c r="N744" s="1746">
        <v>19590.34</v>
      </c>
      <c r="O744" s="1747"/>
      <c r="P744" s="1720"/>
    </row>
    <row r="745" spans="1:16" ht="13.9" hidden="1" customHeight="1" outlineLevel="3" x14ac:dyDescent="0.2">
      <c r="A745" s="459">
        <v>0</v>
      </c>
      <c r="B745" s="459">
        <v>6</v>
      </c>
      <c r="C745" s="459">
        <v>10</v>
      </c>
      <c r="D745" s="460">
        <v>1</v>
      </c>
      <c r="E745" s="460">
        <v>1</v>
      </c>
      <c r="G745" s="1790" t="s">
        <v>17</v>
      </c>
      <c r="H745" s="1749" t="s">
        <v>1239</v>
      </c>
      <c r="I745" s="1750" t="s">
        <v>6527</v>
      </c>
      <c r="J745" s="1751" t="s">
        <v>2790</v>
      </c>
      <c r="K745" s="1752" t="s">
        <v>1130</v>
      </c>
      <c r="L745" s="1753">
        <v>1</v>
      </c>
      <c r="M745" s="1753">
        <v>19590.34</v>
      </c>
      <c r="N745" s="1754">
        <v>19590.34</v>
      </c>
      <c r="O745" s="1755" t="s">
        <v>3285</v>
      </c>
      <c r="P745" s="1721" t="s">
        <v>9611</v>
      </c>
    </row>
    <row r="746" spans="1:16" ht="13.9" hidden="1" customHeight="1" outlineLevel="2" x14ac:dyDescent="0.2">
      <c r="A746" s="459">
        <v>0</v>
      </c>
      <c r="B746" s="459">
        <v>6</v>
      </c>
      <c r="C746" s="459">
        <v>10</v>
      </c>
      <c r="D746" s="460">
        <v>2</v>
      </c>
      <c r="E746" s="460">
        <v>0</v>
      </c>
      <c r="G746" s="1740"/>
      <c r="H746" s="1741" t="s">
        <v>1238</v>
      </c>
      <c r="I746" s="1742" t="s">
        <v>6528</v>
      </c>
      <c r="J746" s="1743" t="s">
        <v>2792</v>
      </c>
      <c r="K746" s="1744"/>
      <c r="L746" s="1745"/>
      <c r="M746" s="1745"/>
      <c r="N746" s="1746">
        <v>18686.150000000001</v>
      </c>
      <c r="O746" s="1747"/>
      <c r="P746" s="1720"/>
    </row>
    <row r="747" spans="1:16" ht="13.9" hidden="1" customHeight="1" outlineLevel="3" x14ac:dyDescent="0.2">
      <c r="A747" s="459">
        <v>0</v>
      </c>
      <c r="B747" s="459">
        <v>6</v>
      </c>
      <c r="C747" s="459">
        <v>10</v>
      </c>
      <c r="D747" s="460">
        <v>2</v>
      </c>
      <c r="E747" s="460">
        <v>1</v>
      </c>
      <c r="G747" s="1790" t="s">
        <v>17</v>
      </c>
      <c r="H747" s="1749" t="s">
        <v>1239</v>
      </c>
      <c r="I747" s="1750" t="s">
        <v>6529</v>
      </c>
      <c r="J747" s="1751" t="s">
        <v>2792</v>
      </c>
      <c r="K747" s="1752" t="s">
        <v>1130</v>
      </c>
      <c r="L747" s="1753">
        <v>1</v>
      </c>
      <c r="M747" s="1753">
        <v>18686.150000000001</v>
      </c>
      <c r="N747" s="1754">
        <v>18686.150000000001</v>
      </c>
      <c r="O747" s="1755" t="s">
        <v>3285</v>
      </c>
      <c r="P747" s="1721" t="s">
        <v>9611</v>
      </c>
    </row>
    <row r="748" spans="1:16" ht="13.9" hidden="1" customHeight="1" outlineLevel="2" x14ac:dyDescent="0.2">
      <c r="A748" s="459">
        <v>0</v>
      </c>
      <c r="B748" s="459">
        <v>6</v>
      </c>
      <c r="C748" s="459">
        <v>10</v>
      </c>
      <c r="D748" s="460">
        <v>3</v>
      </c>
      <c r="E748" s="460">
        <v>0</v>
      </c>
      <c r="G748" s="1740"/>
      <c r="H748" s="1741" t="s">
        <v>1238</v>
      </c>
      <c r="I748" s="1742" t="s">
        <v>6530</v>
      </c>
      <c r="J748" s="1743" t="s">
        <v>2793</v>
      </c>
      <c r="K748" s="1744"/>
      <c r="L748" s="1745"/>
      <c r="M748" s="1745"/>
      <c r="N748" s="1746">
        <v>54396.061999999998</v>
      </c>
      <c r="O748" s="1747"/>
      <c r="P748" s="1720"/>
    </row>
    <row r="749" spans="1:16" ht="13.9" hidden="1" customHeight="1" outlineLevel="3" x14ac:dyDescent="0.2">
      <c r="A749" s="459">
        <v>0</v>
      </c>
      <c r="B749" s="459">
        <v>6</v>
      </c>
      <c r="C749" s="459">
        <v>10</v>
      </c>
      <c r="D749" s="460">
        <v>3</v>
      </c>
      <c r="E749" s="460">
        <v>1</v>
      </c>
      <c r="G749" s="1790" t="s">
        <v>17</v>
      </c>
      <c r="H749" s="1749" t="s">
        <v>1239</v>
      </c>
      <c r="I749" s="1750" t="s">
        <v>6531</v>
      </c>
      <c r="J749" s="1751" t="s">
        <v>2793</v>
      </c>
      <c r="K749" s="1752" t="s">
        <v>1130</v>
      </c>
      <c r="L749" s="1753">
        <v>1</v>
      </c>
      <c r="M749" s="1753">
        <v>54396.061999999998</v>
      </c>
      <c r="N749" s="1754">
        <v>54396.061999999998</v>
      </c>
      <c r="O749" s="1755" t="s">
        <v>3285</v>
      </c>
      <c r="P749" s="1721" t="s">
        <v>9611</v>
      </c>
    </row>
    <row r="750" spans="1:16" ht="13.9" hidden="1" customHeight="1" outlineLevel="2" x14ac:dyDescent="0.2">
      <c r="A750" s="459">
        <v>0</v>
      </c>
      <c r="B750" s="459">
        <v>6</v>
      </c>
      <c r="C750" s="459">
        <v>10</v>
      </c>
      <c r="D750" s="460">
        <v>4</v>
      </c>
      <c r="E750" s="460">
        <v>0</v>
      </c>
      <c r="G750" s="1740"/>
      <c r="H750" s="1741" t="s">
        <v>1238</v>
      </c>
      <c r="I750" s="1742" t="s">
        <v>6532</v>
      </c>
      <c r="J750" s="1743" t="s">
        <v>2794</v>
      </c>
      <c r="K750" s="1744"/>
      <c r="L750" s="1745"/>
      <c r="M750" s="1745"/>
      <c r="N750" s="1746">
        <v>33560.800000000003</v>
      </c>
      <c r="O750" s="1747"/>
      <c r="P750" s="1720"/>
    </row>
    <row r="751" spans="1:16" ht="13.9" hidden="1" customHeight="1" outlineLevel="3" x14ac:dyDescent="0.2">
      <c r="A751" s="459">
        <v>0</v>
      </c>
      <c r="B751" s="459">
        <v>6</v>
      </c>
      <c r="C751" s="459">
        <v>10</v>
      </c>
      <c r="D751" s="460">
        <v>4</v>
      </c>
      <c r="E751" s="460">
        <v>1</v>
      </c>
      <c r="G751" s="1790" t="s">
        <v>17</v>
      </c>
      <c r="H751" s="1749" t="s">
        <v>1239</v>
      </c>
      <c r="I751" s="1750" t="s">
        <v>6533</v>
      </c>
      <c r="J751" s="1751" t="s">
        <v>2794</v>
      </c>
      <c r="K751" s="1752" t="s">
        <v>1130</v>
      </c>
      <c r="L751" s="1753">
        <v>1</v>
      </c>
      <c r="M751" s="1753">
        <v>33560.800000000003</v>
      </c>
      <c r="N751" s="1754">
        <v>33560.800000000003</v>
      </c>
      <c r="O751" s="1755" t="s">
        <v>3285</v>
      </c>
      <c r="P751" s="1721" t="s">
        <v>9611</v>
      </c>
    </row>
    <row r="752" spans="1:16" ht="13.9" hidden="1" customHeight="1" outlineLevel="2" x14ac:dyDescent="0.2">
      <c r="A752" s="459">
        <v>0</v>
      </c>
      <c r="B752" s="459">
        <v>6</v>
      </c>
      <c r="C752" s="459">
        <v>10</v>
      </c>
      <c r="D752" s="460">
        <v>5</v>
      </c>
      <c r="E752" s="460">
        <v>0</v>
      </c>
      <c r="G752" s="1740"/>
      <c r="H752" s="1741" t="s">
        <v>1238</v>
      </c>
      <c r="I752" s="1742" t="s">
        <v>6534</v>
      </c>
      <c r="J752" s="1743" t="s">
        <v>2795</v>
      </c>
      <c r="K752" s="1744"/>
      <c r="L752" s="1745"/>
      <c r="M752" s="1745"/>
      <c r="N752" s="1746">
        <v>27073.207537644699</v>
      </c>
      <c r="O752" s="1747"/>
      <c r="P752" s="1720"/>
    </row>
    <row r="753" spans="1:16" ht="13.9" hidden="1" customHeight="1" outlineLevel="3" x14ac:dyDescent="0.2">
      <c r="A753" s="459">
        <v>0</v>
      </c>
      <c r="B753" s="459">
        <v>6</v>
      </c>
      <c r="C753" s="459">
        <v>10</v>
      </c>
      <c r="D753" s="460">
        <v>5</v>
      </c>
      <c r="E753" s="460">
        <v>1</v>
      </c>
      <c r="G753" s="1790" t="s">
        <v>17</v>
      </c>
      <c r="H753" s="1749" t="s">
        <v>1239</v>
      </c>
      <c r="I753" s="1750" t="s">
        <v>6535</v>
      </c>
      <c r="J753" s="1751" t="s">
        <v>2795</v>
      </c>
      <c r="K753" s="1752" t="s">
        <v>1130</v>
      </c>
      <c r="L753" s="1753">
        <v>1</v>
      </c>
      <c r="M753" s="1753">
        <v>27073.207537644663</v>
      </c>
      <c r="N753" s="1754">
        <v>27073.207537644699</v>
      </c>
      <c r="O753" s="1755" t="s">
        <v>3284</v>
      </c>
      <c r="P753" s="1721" t="s">
        <v>9611</v>
      </c>
    </row>
    <row r="754" spans="1:16" ht="13.9" hidden="1" customHeight="1" outlineLevel="2" x14ac:dyDescent="0.2">
      <c r="A754" s="459">
        <v>0</v>
      </c>
      <c r="B754" s="459">
        <v>6</v>
      </c>
      <c r="C754" s="459">
        <v>10</v>
      </c>
      <c r="D754" s="460">
        <v>6</v>
      </c>
      <c r="E754" s="460">
        <v>0</v>
      </c>
      <c r="G754" s="1740"/>
      <c r="H754" s="1741" t="s">
        <v>1238</v>
      </c>
      <c r="I754" s="1742" t="s">
        <v>6536</v>
      </c>
      <c r="J754" s="1743" t="s">
        <v>1254</v>
      </c>
      <c r="K754" s="1744"/>
      <c r="L754" s="1745"/>
      <c r="M754" s="1745"/>
      <c r="N754" s="1746">
        <v>184473.60000000001</v>
      </c>
      <c r="O754" s="1747"/>
      <c r="P754" s="1720"/>
    </row>
    <row r="755" spans="1:16" ht="13.9" hidden="1" customHeight="1" outlineLevel="3" x14ac:dyDescent="0.2">
      <c r="A755" s="459">
        <v>0</v>
      </c>
      <c r="B755" s="459">
        <v>6</v>
      </c>
      <c r="C755" s="459">
        <v>10</v>
      </c>
      <c r="D755" s="460">
        <v>6</v>
      </c>
      <c r="E755" s="460">
        <v>1</v>
      </c>
      <c r="G755" s="1790" t="s">
        <v>17</v>
      </c>
      <c r="H755" s="1749" t="s">
        <v>1239</v>
      </c>
      <c r="I755" s="1750" t="s">
        <v>6537</v>
      </c>
      <c r="J755" s="1751" t="s">
        <v>1255</v>
      </c>
      <c r="K755" s="1752" t="s">
        <v>1130</v>
      </c>
      <c r="L755" s="1753">
        <v>1</v>
      </c>
      <c r="M755" s="1753">
        <v>184473.60000000006</v>
      </c>
      <c r="N755" s="1754">
        <v>184473.60000000001</v>
      </c>
      <c r="O755" s="1755" t="s">
        <v>3268</v>
      </c>
      <c r="P755" s="1721" t="s">
        <v>9611</v>
      </c>
    </row>
    <row r="756" spans="1:16" ht="13.9" hidden="1" customHeight="1" outlineLevel="1" x14ac:dyDescent="0.2">
      <c r="A756" s="459">
        <v>0</v>
      </c>
      <c r="B756" s="459">
        <v>6</v>
      </c>
      <c r="C756" s="459">
        <v>11</v>
      </c>
      <c r="D756" s="460">
        <v>0</v>
      </c>
      <c r="E756" s="460">
        <v>1</v>
      </c>
      <c r="G756" s="1733"/>
      <c r="H756" s="1734" t="s">
        <v>39</v>
      </c>
      <c r="I756" s="1735" t="s">
        <v>6538</v>
      </c>
      <c r="J756" s="1736" t="s">
        <v>3280</v>
      </c>
      <c r="K756" s="1737"/>
      <c r="L756" s="1738"/>
      <c r="M756" s="1738"/>
      <c r="N756" s="1739">
        <v>857673.05429390003</v>
      </c>
      <c r="O756" s="1722"/>
      <c r="P756" s="1725"/>
    </row>
    <row r="757" spans="1:16" ht="13.9" hidden="1" customHeight="1" outlineLevel="2" x14ac:dyDescent="0.2">
      <c r="A757" s="459">
        <v>0</v>
      </c>
      <c r="B757" s="459">
        <v>6</v>
      </c>
      <c r="C757" s="459">
        <v>11</v>
      </c>
      <c r="D757" s="460">
        <v>1</v>
      </c>
      <c r="E757" s="460">
        <v>0</v>
      </c>
      <c r="G757" s="1740"/>
      <c r="H757" s="1741" t="s">
        <v>1238</v>
      </c>
      <c r="I757" s="1742" t="s">
        <v>6539</v>
      </c>
      <c r="J757" s="1743" t="s">
        <v>2790</v>
      </c>
      <c r="K757" s="1744"/>
      <c r="L757" s="1745"/>
      <c r="M757" s="1745"/>
      <c r="N757" s="1746">
        <v>40511.230000000003</v>
      </c>
      <c r="O757" s="1747"/>
      <c r="P757" s="1720"/>
    </row>
    <row r="758" spans="1:16" ht="13.9" hidden="1" customHeight="1" outlineLevel="3" x14ac:dyDescent="0.2">
      <c r="A758" s="459">
        <v>0</v>
      </c>
      <c r="B758" s="459">
        <v>6</v>
      </c>
      <c r="C758" s="459">
        <v>11</v>
      </c>
      <c r="D758" s="460">
        <v>1</v>
      </c>
      <c r="E758" s="460">
        <v>1</v>
      </c>
      <c r="G758" s="1790" t="s">
        <v>17</v>
      </c>
      <c r="H758" s="1749" t="s">
        <v>1239</v>
      </c>
      <c r="I758" s="1750" t="s">
        <v>6540</v>
      </c>
      <c r="J758" s="1751" t="s">
        <v>2790</v>
      </c>
      <c r="K758" s="1752" t="s">
        <v>1130</v>
      </c>
      <c r="L758" s="1753">
        <v>1</v>
      </c>
      <c r="M758" s="1753">
        <v>40511.229999999996</v>
      </c>
      <c r="N758" s="1754">
        <v>40511.230000000003</v>
      </c>
      <c r="O758" s="1755" t="s">
        <v>3285</v>
      </c>
      <c r="P758" s="1721" t="s">
        <v>9611</v>
      </c>
    </row>
    <row r="759" spans="1:16" ht="13.9" hidden="1" customHeight="1" outlineLevel="2" x14ac:dyDescent="0.2">
      <c r="A759" s="459">
        <v>0</v>
      </c>
      <c r="B759" s="459">
        <v>6</v>
      </c>
      <c r="C759" s="459">
        <v>11</v>
      </c>
      <c r="D759" s="460">
        <v>2</v>
      </c>
      <c r="E759" s="460">
        <v>0</v>
      </c>
      <c r="G759" s="1740"/>
      <c r="H759" s="1741" t="s">
        <v>1238</v>
      </c>
      <c r="I759" s="1742" t="s">
        <v>6541</v>
      </c>
      <c r="J759" s="1743" t="s">
        <v>2792</v>
      </c>
      <c r="K759" s="1744"/>
      <c r="L759" s="1745"/>
      <c r="M759" s="1745"/>
      <c r="N759" s="1746">
        <v>44290.7</v>
      </c>
      <c r="O759" s="1747"/>
      <c r="P759" s="1720"/>
    </row>
    <row r="760" spans="1:16" ht="13.9" hidden="1" customHeight="1" outlineLevel="3" x14ac:dyDescent="0.2">
      <c r="A760" s="459">
        <v>0</v>
      </c>
      <c r="B760" s="459">
        <v>6</v>
      </c>
      <c r="C760" s="459">
        <v>11</v>
      </c>
      <c r="D760" s="460">
        <v>2</v>
      </c>
      <c r="E760" s="460">
        <v>1</v>
      </c>
      <c r="G760" s="1790" t="s">
        <v>17</v>
      </c>
      <c r="H760" s="1749" t="s">
        <v>1239</v>
      </c>
      <c r="I760" s="1750" t="s">
        <v>6542</v>
      </c>
      <c r="J760" s="1751" t="s">
        <v>2792</v>
      </c>
      <c r="K760" s="1752" t="s">
        <v>1130</v>
      </c>
      <c r="L760" s="1753">
        <v>1</v>
      </c>
      <c r="M760" s="1753">
        <v>44290.7</v>
      </c>
      <c r="N760" s="1754">
        <v>44290.7</v>
      </c>
      <c r="O760" s="1755" t="s">
        <v>3285</v>
      </c>
      <c r="P760" s="1721" t="s">
        <v>9611</v>
      </c>
    </row>
    <row r="761" spans="1:16" ht="13.9" hidden="1" customHeight="1" outlineLevel="2" x14ac:dyDescent="0.2">
      <c r="A761" s="459">
        <v>0</v>
      </c>
      <c r="B761" s="459">
        <v>6</v>
      </c>
      <c r="C761" s="459">
        <v>11</v>
      </c>
      <c r="D761" s="460">
        <v>3</v>
      </c>
      <c r="E761" s="460">
        <v>0</v>
      </c>
      <c r="G761" s="1740"/>
      <c r="H761" s="1741" t="s">
        <v>1238</v>
      </c>
      <c r="I761" s="1742" t="s">
        <v>6543</v>
      </c>
      <c r="J761" s="1743" t="s">
        <v>2793</v>
      </c>
      <c r="K761" s="1744"/>
      <c r="L761" s="1745"/>
      <c r="M761" s="1745"/>
      <c r="N761" s="1746">
        <v>121966.558</v>
      </c>
      <c r="O761" s="1747"/>
      <c r="P761" s="1720"/>
    </row>
    <row r="762" spans="1:16" ht="13.9" hidden="1" customHeight="1" outlineLevel="3" x14ac:dyDescent="0.2">
      <c r="A762" s="459">
        <v>0</v>
      </c>
      <c r="B762" s="459">
        <v>6</v>
      </c>
      <c r="C762" s="459">
        <v>11</v>
      </c>
      <c r="D762" s="460">
        <v>3</v>
      </c>
      <c r="E762" s="460">
        <v>1</v>
      </c>
      <c r="G762" s="1790" t="s">
        <v>17</v>
      </c>
      <c r="H762" s="1749" t="s">
        <v>1239</v>
      </c>
      <c r="I762" s="1750" t="s">
        <v>6544</v>
      </c>
      <c r="J762" s="1751" t="s">
        <v>2793</v>
      </c>
      <c r="K762" s="1752" t="s">
        <v>1130</v>
      </c>
      <c r="L762" s="1753">
        <v>1</v>
      </c>
      <c r="M762" s="1753">
        <v>121966.55800000002</v>
      </c>
      <c r="N762" s="1754">
        <v>121966.558</v>
      </c>
      <c r="O762" s="1755" t="s">
        <v>3285</v>
      </c>
      <c r="P762" s="1721" t="s">
        <v>9611</v>
      </c>
    </row>
    <row r="763" spans="1:16" ht="13.9" hidden="1" customHeight="1" outlineLevel="2" x14ac:dyDescent="0.2">
      <c r="A763" s="459">
        <v>0</v>
      </c>
      <c r="B763" s="459">
        <v>6</v>
      </c>
      <c r="C763" s="459">
        <v>11</v>
      </c>
      <c r="D763" s="460">
        <v>4</v>
      </c>
      <c r="E763" s="460">
        <v>0</v>
      </c>
      <c r="G763" s="1740"/>
      <c r="H763" s="1741" t="s">
        <v>1238</v>
      </c>
      <c r="I763" s="1742" t="s">
        <v>6545</v>
      </c>
      <c r="J763" s="1743" t="s">
        <v>2794</v>
      </c>
      <c r="K763" s="1744"/>
      <c r="L763" s="1745"/>
      <c r="M763" s="1745"/>
      <c r="N763" s="1746">
        <v>72230.44</v>
      </c>
      <c r="O763" s="1747"/>
      <c r="P763" s="1720"/>
    </row>
    <row r="764" spans="1:16" ht="13.9" hidden="1" customHeight="1" outlineLevel="3" x14ac:dyDescent="0.2">
      <c r="A764" s="459">
        <v>0</v>
      </c>
      <c r="B764" s="459">
        <v>6</v>
      </c>
      <c r="C764" s="459">
        <v>11</v>
      </c>
      <c r="D764" s="460">
        <v>4</v>
      </c>
      <c r="E764" s="460">
        <v>1</v>
      </c>
      <c r="G764" s="1790" t="s">
        <v>17</v>
      </c>
      <c r="H764" s="1749" t="s">
        <v>1239</v>
      </c>
      <c r="I764" s="1750" t="s">
        <v>6546</v>
      </c>
      <c r="J764" s="1751" t="s">
        <v>2794</v>
      </c>
      <c r="K764" s="1752" t="s">
        <v>1130</v>
      </c>
      <c r="L764" s="1753">
        <v>1</v>
      </c>
      <c r="M764" s="1753">
        <v>72230.44</v>
      </c>
      <c r="N764" s="1754">
        <v>72230.44</v>
      </c>
      <c r="O764" s="1755" t="s">
        <v>3285</v>
      </c>
      <c r="P764" s="1721" t="s">
        <v>9611</v>
      </c>
    </row>
    <row r="765" spans="1:16" ht="13.9" hidden="1" customHeight="1" outlineLevel="2" x14ac:dyDescent="0.2">
      <c r="A765" s="459">
        <v>0</v>
      </c>
      <c r="B765" s="459">
        <v>6</v>
      </c>
      <c r="C765" s="459">
        <v>11</v>
      </c>
      <c r="D765" s="460">
        <v>5</v>
      </c>
      <c r="E765" s="460">
        <v>0</v>
      </c>
      <c r="G765" s="1740"/>
      <c r="H765" s="1741" t="s">
        <v>1238</v>
      </c>
      <c r="I765" s="1742" t="s">
        <v>6547</v>
      </c>
      <c r="J765" s="1743" t="s">
        <v>2795</v>
      </c>
      <c r="K765" s="1744"/>
      <c r="L765" s="1745"/>
      <c r="M765" s="1745"/>
      <c r="N765" s="1746">
        <v>71104.646293900398</v>
      </c>
      <c r="O765" s="1747"/>
      <c r="P765" s="1720"/>
    </row>
    <row r="766" spans="1:16" ht="13.9" hidden="1" customHeight="1" outlineLevel="3" x14ac:dyDescent="0.2">
      <c r="A766" s="459">
        <v>0</v>
      </c>
      <c r="B766" s="459">
        <v>6</v>
      </c>
      <c r="C766" s="459">
        <v>11</v>
      </c>
      <c r="D766" s="460">
        <v>5</v>
      </c>
      <c r="E766" s="460">
        <v>1</v>
      </c>
      <c r="G766" s="1790" t="s">
        <v>17</v>
      </c>
      <c r="H766" s="1749" t="s">
        <v>1239</v>
      </c>
      <c r="I766" s="1750" t="s">
        <v>6548</v>
      </c>
      <c r="J766" s="1751" t="s">
        <v>2795</v>
      </c>
      <c r="K766" s="1752" t="s">
        <v>1130</v>
      </c>
      <c r="L766" s="1753">
        <v>1</v>
      </c>
      <c r="M766" s="1753">
        <v>71104.646293900412</v>
      </c>
      <c r="N766" s="1754">
        <v>71104.646293900398</v>
      </c>
      <c r="O766" s="1755" t="s">
        <v>3284</v>
      </c>
      <c r="P766" s="1721" t="s">
        <v>9611</v>
      </c>
    </row>
    <row r="767" spans="1:16" ht="13.9" hidden="1" customHeight="1" outlineLevel="2" x14ac:dyDescent="0.2">
      <c r="A767" s="459">
        <v>0</v>
      </c>
      <c r="B767" s="459">
        <v>6</v>
      </c>
      <c r="C767" s="459">
        <v>11</v>
      </c>
      <c r="D767" s="460">
        <v>6</v>
      </c>
      <c r="E767" s="460">
        <v>0</v>
      </c>
      <c r="G767" s="1740"/>
      <c r="H767" s="1741" t="s">
        <v>1238</v>
      </c>
      <c r="I767" s="1742" t="s">
        <v>6549</v>
      </c>
      <c r="J767" s="1743" t="s">
        <v>1254</v>
      </c>
      <c r="K767" s="1744"/>
      <c r="L767" s="1745"/>
      <c r="M767" s="1745"/>
      <c r="N767" s="1746">
        <v>507569.48</v>
      </c>
      <c r="O767" s="1747"/>
      <c r="P767" s="1720"/>
    </row>
    <row r="768" spans="1:16" ht="13.9" hidden="1" customHeight="1" outlineLevel="3" x14ac:dyDescent="0.2">
      <c r="A768" s="459">
        <v>0</v>
      </c>
      <c r="B768" s="459">
        <v>6</v>
      </c>
      <c r="C768" s="459">
        <v>11</v>
      </c>
      <c r="D768" s="460">
        <v>6</v>
      </c>
      <c r="E768" s="460">
        <v>1</v>
      </c>
      <c r="G768" s="1790" t="s">
        <v>17</v>
      </c>
      <c r="H768" s="1749" t="s">
        <v>1239</v>
      </c>
      <c r="I768" s="1750" t="s">
        <v>6550</v>
      </c>
      <c r="J768" s="1751" t="s">
        <v>1255</v>
      </c>
      <c r="K768" s="1752" t="s">
        <v>1130</v>
      </c>
      <c r="L768" s="1753">
        <v>1</v>
      </c>
      <c r="M768" s="1753">
        <v>507569.47999999963</v>
      </c>
      <c r="N768" s="1754">
        <v>507569.48</v>
      </c>
      <c r="O768" s="1755" t="s">
        <v>3268</v>
      </c>
      <c r="P768" s="1721" t="s">
        <v>9611</v>
      </c>
    </row>
    <row r="769" spans="1:16" ht="13.9" hidden="1" customHeight="1" outlineLevel="1" x14ac:dyDescent="0.2">
      <c r="A769" s="459">
        <v>0</v>
      </c>
      <c r="B769" s="459">
        <v>6</v>
      </c>
      <c r="C769" s="459">
        <v>12</v>
      </c>
      <c r="D769" s="460">
        <v>0</v>
      </c>
      <c r="E769" s="460">
        <v>1</v>
      </c>
      <c r="G769" s="1733"/>
      <c r="H769" s="1734" t="s">
        <v>39</v>
      </c>
      <c r="I769" s="1735" t="s">
        <v>6551</v>
      </c>
      <c r="J769" s="1736" t="s">
        <v>3281</v>
      </c>
      <c r="K769" s="1737"/>
      <c r="L769" s="1738"/>
      <c r="M769" s="1738"/>
      <c r="N769" s="1739">
        <v>38786.3015378048</v>
      </c>
      <c r="O769" s="1722"/>
      <c r="P769" s="1725"/>
    </row>
    <row r="770" spans="1:16" ht="13.9" hidden="1" customHeight="1" outlineLevel="2" x14ac:dyDescent="0.2">
      <c r="A770" s="459">
        <v>0</v>
      </c>
      <c r="B770" s="459">
        <v>6</v>
      </c>
      <c r="C770" s="459">
        <v>12</v>
      </c>
      <c r="D770" s="460">
        <v>1</v>
      </c>
      <c r="E770" s="460">
        <v>0</v>
      </c>
      <c r="G770" s="1740"/>
      <c r="H770" s="1741" t="s">
        <v>1238</v>
      </c>
      <c r="I770" s="1742" t="s">
        <v>6552</v>
      </c>
      <c r="J770" s="1743" t="s">
        <v>2790</v>
      </c>
      <c r="K770" s="1744"/>
      <c r="L770" s="1745"/>
      <c r="M770" s="1745"/>
      <c r="N770" s="1746">
        <v>1688.57</v>
      </c>
      <c r="O770" s="1747"/>
      <c r="P770" s="1720"/>
    </row>
    <row r="771" spans="1:16" ht="13.9" hidden="1" customHeight="1" outlineLevel="3" x14ac:dyDescent="0.2">
      <c r="A771" s="459">
        <v>0</v>
      </c>
      <c r="B771" s="459">
        <v>6</v>
      </c>
      <c r="C771" s="459">
        <v>12</v>
      </c>
      <c r="D771" s="460">
        <v>1</v>
      </c>
      <c r="E771" s="460">
        <v>1</v>
      </c>
      <c r="G771" s="1790" t="s">
        <v>17</v>
      </c>
      <c r="H771" s="1749" t="s">
        <v>1239</v>
      </c>
      <c r="I771" s="1750" t="s">
        <v>6553</v>
      </c>
      <c r="J771" s="1751" t="s">
        <v>2790</v>
      </c>
      <c r="K771" s="1752" t="s">
        <v>1130</v>
      </c>
      <c r="L771" s="1753">
        <v>1</v>
      </c>
      <c r="M771" s="1753">
        <v>1688.5700000000002</v>
      </c>
      <c r="N771" s="1754">
        <v>1688.57</v>
      </c>
      <c r="O771" s="1755" t="s">
        <v>3285</v>
      </c>
      <c r="P771" s="1721" t="s">
        <v>9611</v>
      </c>
    </row>
    <row r="772" spans="1:16" ht="13.9" hidden="1" customHeight="1" outlineLevel="2" x14ac:dyDescent="0.2">
      <c r="A772" s="459">
        <v>0</v>
      </c>
      <c r="B772" s="459">
        <v>6</v>
      </c>
      <c r="C772" s="459">
        <v>12</v>
      </c>
      <c r="D772" s="460">
        <v>2</v>
      </c>
      <c r="E772" s="460">
        <v>0</v>
      </c>
      <c r="G772" s="1740"/>
      <c r="H772" s="1741" t="s">
        <v>1238</v>
      </c>
      <c r="I772" s="1742" t="s">
        <v>6554</v>
      </c>
      <c r="J772" s="1743" t="s">
        <v>2792</v>
      </c>
      <c r="K772" s="1744"/>
      <c r="L772" s="1745"/>
      <c r="M772" s="1745"/>
      <c r="N772" s="1746">
        <v>2018.1</v>
      </c>
      <c r="O772" s="1747"/>
      <c r="P772" s="1720"/>
    </row>
    <row r="773" spans="1:16" ht="13.9" hidden="1" customHeight="1" outlineLevel="3" x14ac:dyDescent="0.2">
      <c r="A773" s="459">
        <v>0</v>
      </c>
      <c r="B773" s="459">
        <v>6</v>
      </c>
      <c r="C773" s="459">
        <v>12</v>
      </c>
      <c r="D773" s="460">
        <v>2</v>
      </c>
      <c r="E773" s="460">
        <v>1</v>
      </c>
      <c r="G773" s="1790" t="s">
        <v>17</v>
      </c>
      <c r="H773" s="1749" t="s">
        <v>1239</v>
      </c>
      <c r="I773" s="1750" t="s">
        <v>6555</v>
      </c>
      <c r="J773" s="1751" t="s">
        <v>2792</v>
      </c>
      <c r="K773" s="1752" t="s">
        <v>1130</v>
      </c>
      <c r="L773" s="1753">
        <v>1</v>
      </c>
      <c r="M773" s="1753">
        <v>2018.1000000000001</v>
      </c>
      <c r="N773" s="1754">
        <v>2018.1</v>
      </c>
      <c r="O773" s="1755" t="s">
        <v>3285</v>
      </c>
      <c r="P773" s="1721" t="s">
        <v>9611</v>
      </c>
    </row>
    <row r="774" spans="1:16" ht="13.9" hidden="1" customHeight="1" outlineLevel="2" x14ac:dyDescent="0.2">
      <c r="A774" s="459">
        <v>0</v>
      </c>
      <c r="B774" s="459">
        <v>6</v>
      </c>
      <c r="C774" s="459">
        <v>12</v>
      </c>
      <c r="D774" s="460">
        <v>3</v>
      </c>
      <c r="E774" s="460">
        <v>0</v>
      </c>
      <c r="G774" s="1740"/>
      <c r="H774" s="1741" t="s">
        <v>1238</v>
      </c>
      <c r="I774" s="1742" t="s">
        <v>6556</v>
      </c>
      <c r="J774" s="1743" t="s">
        <v>2793</v>
      </c>
      <c r="K774" s="1744"/>
      <c r="L774" s="1745"/>
      <c r="M774" s="1745"/>
      <c r="N774" s="1746">
        <v>6066.4459999999999</v>
      </c>
      <c r="O774" s="1747"/>
      <c r="P774" s="1720"/>
    </row>
    <row r="775" spans="1:16" ht="13.9" hidden="1" customHeight="1" outlineLevel="3" x14ac:dyDescent="0.2">
      <c r="A775" s="459">
        <v>0</v>
      </c>
      <c r="B775" s="459">
        <v>6</v>
      </c>
      <c r="C775" s="459">
        <v>12</v>
      </c>
      <c r="D775" s="460">
        <v>3</v>
      </c>
      <c r="E775" s="460">
        <v>1</v>
      </c>
      <c r="G775" s="1790" t="s">
        <v>17</v>
      </c>
      <c r="H775" s="1749" t="s">
        <v>1239</v>
      </c>
      <c r="I775" s="1750" t="s">
        <v>6557</v>
      </c>
      <c r="J775" s="1751" t="s">
        <v>2793</v>
      </c>
      <c r="K775" s="1752" t="s">
        <v>1130</v>
      </c>
      <c r="L775" s="1753">
        <v>1</v>
      </c>
      <c r="M775" s="1753">
        <v>6066.4460000000008</v>
      </c>
      <c r="N775" s="1754">
        <v>6066.4459999999999</v>
      </c>
      <c r="O775" s="1755" t="s">
        <v>3285</v>
      </c>
      <c r="P775" s="1721" t="s">
        <v>9611</v>
      </c>
    </row>
    <row r="776" spans="1:16" ht="13.9" hidden="1" customHeight="1" outlineLevel="2" x14ac:dyDescent="0.2">
      <c r="A776" s="459">
        <v>0</v>
      </c>
      <c r="B776" s="459">
        <v>6</v>
      </c>
      <c r="C776" s="459">
        <v>12</v>
      </c>
      <c r="D776" s="460">
        <v>4</v>
      </c>
      <c r="E776" s="460">
        <v>0</v>
      </c>
      <c r="G776" s="1740"/>
      <c r="H776" s="1741" t="s">
        <v>1238</v>
      </c>
      <c r="I776" s="1742" t="s">
        <v>6558</v>
      </c>
      <c r="J776" s="1743" t="s">
        <v>2794</v>
      </c>
      <c r="K776" s="1744"/>
      <c r="L776" s="1745"/>
      <c r="M776" s="1745"/>
      <c r="N776" s="1746">
        <v>3362.31</v>
      </c>
      <c r="O776" s="1747"/>
      <c r="P776" s="1720"/>
    </row>
    <row r="777" spans="1:16" ht="13.9" hidden="1" customHeight="1" outlineLevel="3" x14ac:dyDescent="0.2">
      <c r="A777" s="459">
        <v>0</v>
      </c>
      <c r="B777" s="459">
        <v>6</v>
      </c>
      <c r="C777" s="459">
        <v>12</v>
      </c>
      <c r="D777" s="460">
        <v>4</v>
      </c>
      <c r="E777" s="460">
        <v>1</v>
      </c>
      <c r="G777" s="1790" t="s">
        <v>17</v>
      </c>
      <c r="H777" s="1749" t="s">
        <v>1239</v>
      </c>
      <c r="I777" s="1750" t="s">
        <v>6559</v>
      </c>
      <c r="J777" s="1751" t="s">
        <v>2794</v>
      </c>
      <c r="K777" s="1752" t="s">
        <v>1130</v>
      </c>
      <c r="L777" s="1753">
        <v>1</v>
      </c>
      <c r="M777" s="1753">
        <v>3362.3100000000004</v>
      </c>
      <c r="N777" s="1754">
        <v>3362.31</v>
      </c>
      <c r="O777" s="1755" t="s">
        <v>3285</v>
      </c>
      <c r="P777" s="1721" t="s">
        <v>9611</v>
      </c>
    </row>
    <row r="778" spans="1:16" ht="13.9" hidden="1" customHeight="1" outlineLevel="2" x14ac:dyDescent="0.2">
      <c r="A778" s="459">
        <v>0</v>
      </c>
      <c r="B778" s="459">
        <v>6</v>
      </c>
      <c r="C778" s="459">
        <v>12</v>
      </c>
      <c r="D778" s="460">
        <v>5</v>
      </c>
      <c r="E778" s="460">
        <v>0</v>
      </c>
      <c r="G778" s="1740"/>
      <c r="H778" s="1741" t="s">
        <v>1238</v>
      </c>
      <c r="I778" s="1742" t="s">
        <v>6560</v>
      </c>
      <c r="J778" s="1743" t="s">
        <v>2795</v>
      </c>
      <c r="K778" s="1744"/>
      <c r="L778" s="1745"/>
      <c r="M778" s="1745"/>
      <c r="N778" s="1746">
        <v>3385.9355378047799</v>
      </c>
      <c r="O778" s="1747"/>
      <c r="P778" s="1720"/>
    </row>
    <row r="779" spans="1:16" ht="13.9" hidden="1" customHeight="1" outlineLevel="3" x14ac:dyDescent="0.2">
      <c r="A779" s="459">
        <v>0</v>
      </c>
      <c r="B779" s="459">
        <v>6</v>
      </c>
      <c r="C779" s="459">
        <v>12</v>
      </c>
      <c r="D779" s="460">
        <v>5</v>
      </c>
      <c r="E779" s="460">
        <v>1</v>
      </c>
      <c r="G779" s="1790" t="s">
        <v>17</v>
      </c>
      <c r="H779" s="1749" t="s">
        <v>1239</v>
      </c>
      <c r="I779" s="1750" t="s">
        <v>6561</v>
      </c>
      <c r="J779" s="1751" t="s">
        <v>2795</v>
      </c>
      <c r="K779" s="1752" t="s">
        <v>1130</v>
      </c>
      <c r="L779" s="1753">
        <v>1</v>
      </c>
      <c r="M779" s="1753">
        <v>3385.9355378047812</v>
      </c>
      <c r="N779" s="1754">
        <v>3385.9355378047799</v>
      </c>
      <c r="O779" s="1755" t="s">
        <v>3284</v>
      </c>
      <c r="P779" s="1721" t="s">
        <v>9611</v>
      </c>
    </row>
    <row r="780" spans="1:16" ht="13.9" hidden="1" customHeight="1" outlineLevel="2" x14ac:dyDescent="0.2">
      <c r="A780" s="459">
        <v>0</v>
      </c>
      <c r="B780" s="459">
        <v>6</v>
      </c>
      <c r="C780" s="459">
        <v>12</v>
      </c>
      <c r="D780" s="460">
        <v>6</v>
      </c>
      <c r="E780" s="460">
        <v>0</v>
      </c>
      <c r="G780" s="1740"/>
      <c r="H780" s="1741" t="s">
        <v>1238</v>
      </c>
      <c r="I780" s="1742" t="s">
        <v>6562</v>
      </c>
      <c r="J780" s="1743" t="s">
        <v>1254</v>
      </c>
      <c r="K780" s="1744"/>
      <c r="L780" s="1745"/>
      <c r="M780" s="1745"/>
      <c r="N780" s="1746">
        <v>22264.94</v>
      </c>
      <c r="O780" s="1747"/>
      <c r="P780" s="1720"/>
    </row>
    <row r="781" spans="1:16" ht="13.9" hidden="1" customHeight="1" outlineLevel="3" x14ac:dyDescent="0.2">
      <c r="A781" s="459">
        <v>0</v>
      </c>
      <c r="B781" s="459">
        <v>6</v>
      </c>
      <c r="C781" s="459">
        <v>12</v>
      </c>
      <c r="D781" s="460">
        <v>6</v>
      </c>
      <c r="E781" s="460">
        <v>1</v>
      </c>
      <c r="G781" s="1790" t="s">
        <v>17</v>
      </c>
      <c r="H781" s="1749" t="s">
        <v>1239</v>
      </c>
      <c r="I781" s="1750" t="s">
        <v>6563</v>
      </c>
      <c r="J781" s="1751" t="s">
        <v>1255</v>
      </c>
      <c r="K781" s="1752" t="s">
        <v>1130</v>
      </c>
      <c r="L781" s="1753">
        <v>1</v>
      </c>
      <c r="M781" s="1753">
        <v>22264.94</v>
      </c>
      <c r="N781" s="1754">
        <v>22264.94</v>
      </c>
      <c r="O781" s="1755" t="s">
        <v>3268</v>
      </c>
      <c r="P781" s="1721" t="s">
        <v>9611</v>
      </c>
    </row>
    <row r="782" spans="1:16" ht="13.9" hidden="1" customHeight="1" outlineLevel="1" x14ac:dyDescent="0.2">
      <c r="A782" s="459">
        <v>0</v>
      </c>
      <c r="B782" s="459">
        <v>6</v>
      </c>
      <c r="C782" s="459">
        <v>13</v>
      </c>
      <c r="D782" s="460">
        <v>0</v>
      </c>
      <c r="E782" s="460">
        <v>1</v>
      </c>
      <c r="G782" s="1733"/>
      <c r="H782" s="1734" t="s">
        <v>39</v>
      </c>
      <c r="I782" s="1735" t="s">
        <v>6564</v>
      </c>
      <c r="J782" s="1736" t="s">
        <v>3282</v>
      </c>
      <c r="K782" s="1737"/>
      <c r="L782" s="1738"/>
      <c r="M782" s="1738"/>
      <c r="N782" s="1739">
        <v>35206.863542132902</v>
      </c>
      <c r="O782" s="1722"/>
      <c r="P782" s="1725"/>
    </row>
    <row r="783" spans="1:16" ht="13.9" hidden="1" customHeight="1" outlineLevel="2" x14ac:dyDescent="0.2">
      <c r="A783" s="459">
        <v>0</v>
      </c>
      <c r="B783" s="459">
        <v>6</v>
      </c>
      <c r="C783" s="459">
        <v>13</v>
      </c>
      <c r="D783" s="460">
        <v>1</v>
      </c>
      <c r="E783" s="460">
        <v>0</v>
      </c>
      <c r="G783" s="1740"/>
      <c r="H783" s="1741" t="s">
        <v>1238</v>
      </c>
      <c r="I783" s="1742" t="s">
        <v>6565</v>
      </c>
      <c r="J783" s="1743" t="s">
        <v>2790</v>
      </c>
      <c r="K783" s="1744"/>
      <c r="L783" s="1745"/>
      <c r="M783" s="1745"/>
      <c r="N783" s="1746">
        <v>1914.35</v>
      </c>
      <c r="O783" s="1747"/>
      <c r="P783" s="1720"/>
    </row>
    <row r="784" spans="1:16" ht="13.9" hidden="1" customHeight="1" outlineLevel="3" x14ac:dyDescent="0.2">
      <c r="A784" s="459">
        <v>0</v>
      </c>
      <c r="B784" s="459">
        <v>6</v>
      </c>
      <c r="C784" s="459">
        <v>13</v>
      </c>
      <c r="D784" s="460">
        <v>1</v>
      </c>
      <c r="E784" s="460">
        <v>1</v>
      </c>
      <c r="G784" s="1790" t="s">
        <v>17</v>
      </c>
      <c r="H784" s="1749" t="s">
        <v>1239</v>
      </c>
      <c r="I784" s="1750" t="s">
        <v>6566</v>
      </c>
      <c r="J784" s="1751" t="s">
        <v>2790</v>
      </c>
      <c r="K784" s="1752" t="s">
        <v>1130</v>
      </c>
      <c r="L784" s="1753">
        <v>1</v>
      </c>
      <c r="M784" s="1753">
        <v>1914.35</v>
      </c>
      <c r="N784" s="1754">
        <v>1914.35</v>
      </c>
      <c r="O784" s="1755" t="s">
        <v>3285</v>
      </c>
      <c r="P784" s="1721" t="s">
        <v>9611</v>
      </c>
    </row>
    <row r="785" spans="1:16" ht="13.9" hidden="1" customHeight="1" outlineLevel="2" x14ac:dyDescent="0.2">
      <c r="A785" s="459">
        <v>0</v>
      </c>
      <c r="B785" s="459">
        <v>6</v>
      </c>
      <c r="C785" s="459">
        <v>13</v>
      </c>
      <c r="D785" s="460">
        <v>2</v>
      </c>
      <c r="E785" s="460">
        <v>0</v>
      </c>
      <c r="G785" s="1740"/>
      <c r="H785" s="1741" t="s">
        <v>1238</v>
      </c>
      <c r="I785" s="1742" t="s">
        <v>6567</v>
      </c>
      <c r="J785" s="1743" t="s">
        <v>2792</v>
      </c>
      <c r="K785" s="1744"/>
      <c r="L785" s="1745"/>
      <c r="M785" s="1745"/>
      <c r="N785" s="1746">
        <v>1498.65</v>
      </c>
      <c r="O785" s="1747"/>
      <c r="P785" s="1720"/>
    </row>
    <row r="786" spans="1:16" ht="13.9" hidden="1" customHeight="1" outlineLevel="3" x14ac:dyDescent="0.2">
      <c r="A786" s="459">
        <v>0</v>
      </c>
      <c r="B786" s="459">
        <v>6</v>
      </c>
      <c r="C786" s="459">
        <v>13</v>
      </c>
      <c r="D786" s="460">
        <v>2</v>
      </c>
      <c r="E786" s="460">
        <v>1</v>
      </c>
      <c r="G786" s="1790" t="s">
        <v>17</v>
      </c>
      <c r="H786" s="1749" t="s">
        <v>1239</v>
      </c>
      <c r="I786" s="1750" t="s">
        <v>6568</v>
      </c>
      <c r="J786" s="1751" t="s">
        <v>2792</v>
      </c>
      <c r="K786" s="1752" t="s">
        <v>1130</v>
      </c>
      <c r="L786" s="1753">
        <v>1</v>
      </c>
      <c r="M786" s="1753">
        <v>1498.6499999999999</v>
      </c>
      <c r="N786" s="1754">
        <v>1498.65</v>
      </c>
      <c r="O786" s="1755" t="s">
        <v>3285</v>
      </c>
      <c r="P786" s="1721" t="s">
        <v>9611</v>
      </c>
    </row>
    <row r="787" spans="1:16" ht="13.9" hidden="1" customHeight="1" outlineLevel="2" x14ac:dyDescent="0.2">
      <c r="A787" s="459">
        <v>0</v>
      </c>
      <c r="B787" s="459">
        <v>6</v>
      </c>
      <c r="C787" s="459">
        <v>13</v>
      </c>
      <c r="D787" s="460">
        <v>3</v>
      </c>
      <c r="E787" s="460">
        <v>0</v>
      </c>
      <c r="G787" s="1740"/>
      <c r="H787" s="1741" t="s">
        <v>1238</v>
      </c>
      <c r="I787" s="1742" t="s">
        <v>6569</v>
      </c>
      <c r="J787" s="1743" t="s">
        <v>2793</v>
      </c>
      <c r="K787" s="1744"/>
      <c r="L787" s="1745"/>
      <c r="M787" s="1745"/>
      <c r="N787" s="1746">
        <v>5058.5389999999998</v>
      </c>
      <c r="O787" s="1747"/>
      <c r="P787" s="1720"/>
    </row>
    <row r="788" spans="1:16" ht="13.9" hidden="1" customHeight="1" outlineLevel="3" x14ac:dyDescent="0.2">
      <c r="A788" s="459">
        <v>0</v>
      </c>
      <c r="B788" s="459">
        <v>6</v>
      </c>
      <c r="C788" s="459">
        <v>13</v>
      </c>
      <c r="D788" s="460">
        <v>3</v>
      </c>
      <c r="E788" s="460">
        <v>1</v>
      </c>
      <c r="G788" s="1790" t="s">
        <v>17</v>
      </c>
      <c r="H788" s="1749" t="s">
        <v>1239</v>
      </c>
      <c r="I788" s="1750" t="s">
        <v>6570</v>
      </c>
      <c r="J788" s="1751" t="s">
        <v>2793</v>
      </c>
      <c r="K788" s="1752" t="s">
        <v>1130</v>
      </c>
      <c r="L788" s="1753">
        <v>1</v>
      </c>
      <c r="M788" s="1753">
        <v>5058.5390000000025</v>
      </c>
      <c r="N788" s="1754">
        <v>5058.5389999999998</v>
      </c>
      <c r="O788" s="1755" t="s">
        <v>3285</v>
      </c>
      <c r="P788" s="1721" t="s">
        <v>9611</v>
      </c>
    </row>
    <row r="789" spans="1:16" ht="13.9" hidden="1" customHeight="1" outlineLevel="2" x14ac:dyDescent="0.2">
      <c r="A789" s="459">
        <v>0</v>
      </c>
      <c r="B789" s="459">
        <v>6</v>
      </c>
      <c r="C789" s="459">
        <v>13</v>
      </c>
      <c r="D789" s="460">
        <v>4</v>
      </c>
      <c r="E789" s="460">
        <v>0</v>
      </c>
      <c r="G789" s="1740"/>
      <c r="H789" s="1741" t="s">
        <v>1238</v>
      </c>
      <c r="I789" s="1742" t="s">
        <v>6571</v>
      </c>
      <c r="J789" s="1743" t="s">
        <v>2794</v>
      </c>
      <c r="K789" s="1744"/>
      <c r="L789" s="1745"/>
      <c r="M789" s="1745"/>
      <c r="N789" s="1746">
        <v>2278.9299999999998</v>
      </c>
      <c r="O789" s="1747"/>
      <c r="P789" s="1720"/>
    </row>
    <row r="790" spans="1:16" ht="13.9" hidden="1" customHeight="1" outlineLevel="3" x14ac:dyDescent="0.2">
      <c r="A790" s="459">
        <v>0</v>
      </c>
      <c r="B790" s="459">
        <v>6</v>
      </c>
      <c r="C790" s="459">
        <v>13</v>
      </c>
      <c r="D790" s="460">
        <v>4</v>
      </c>
      <c r="E790" s="460">
        <v>1</v>
      </c>
      <c r="G790" s="1790" t="s">
        <v>17</v>
      </c>
      <c r="H790" s="1749" t="s">
        <v>1239</v>
      </c>
      <c r="I790" s="1750" t="s">
        <v>6572</v>
      </c>
      <c r="J790" s="1751" t="s">
        <v>2794</v>
      </c>
      <c r="K790" s="1752" t="s">
        <v>1130</v>
      </c>
      <c r="L790" s="1753">
        <v>1</v>
      </c>
      <c r="M790" s="1753">
        <v>2278.9300000000003</v>
      </c>
      <c r="N790" s="1754">
        <v>2278.9299999999998</v>
      </c>
      <c r="O790" s="1755" t="s">
        <v>3285</v>
      </c>
      <c r="P790" s="1721" t="s">
        <v>9611</v>
      </c>
    </row>
    <row r="791" spans="1:16" ht="13.9" hidden="1" customHeight="1" outlineLevel="2" x14ac:dyDescent="0.2">
      <c r="A791" s="459">
        <v>0</v>
      </c>
      <c r="B791" s="459">
        <v>6</v>
      </c>
      <c r="C791" s="459">
        <v>13</v>
      </c>
      <c r="D791" s="460">
        <v>5</v>
      </c>
      <c r="E791" s="460">
        <v>0</v>
      </c>
      <c r="G791" s="1740"/>
      <c r="H791" s="1741" t="s">
        <v>1238</v>
      </c>
      <c r="I791" s="1742" t="s">
        <v>6573</v>
      </c>
      <c r="J791" s="1743" t="s">
        <v>2795</v>
      </c>
      <c r="K791" s="1744"/>
      <c r="L791" s="1745"/>
      <c r="M791" s="1745"/>
      <c r="N791" s="1746">
        <v>3267.5945421329102</v>
      </c>
      <c r="O791" s="1747"/>
      <c r="P791" s="1720"/>
    </row>
    <row r="792" spans="1:16" ht="13.9" hidden="1" customHeight="1" outlineLevel="3" x14ac:dyDescent="0.2">
      <c r="A792" s="459">
        <v>0</v>
      </c>
      <c r="B792" s="459">
        <v>6</v>
      </c>
      <c r="C792" s="459">
        <v>13</v>
      </c>
      <c r="D792" s="460">
        <v>5</v>
      </c>
      <c r="E792" s="460">
        <v>1</v>
      </c>
      <c r="G792" s="1790" t="s">
        <v>17</v>
      </c>
      <c r="H792" s="1749" t="s">
        <v>1239</v>
      </c>
      <c r="I792" s="1750" t="s">
        <v>6574</v>
      </c>
      <c r="J792" s="1751" t="s">
        <v>2795</v>
      </c>
      <c r="K792" s="1752" t="s">
        <v>1130</v>
      </c>
      <c r="L792" s="1753">
        <v>1</v>
      </c>
      <c r="M792" s="1753">
        <v>3267.5945421329138</v>
      </c>
      <c r="N792" s="1754">
        <v>3267.5945421329102</v>
      </c>
      <c r="O792" s="1755" t="s">
        <v>3284</v>
      </c>
      <c r="P792" s="1721" t="s">
        <v>9611</v>
      </c>
    </row>
    <row r="793" spans="1:16" ht="13.9" hidden="1" customHeight="1" outlineLevel="2" x14ac:dyDescent="0.2">
      <c r="A793" s="459">
        <v>0</v>
      </c>
      <c r="B793" s="459">
        <v>6</v>
      </c>
      <c r="C793" s="459">
        <v>13</v>
      </c>
      <c r="D793" s="460">
        <v>6</v>
      </c>
      <c r="E793" s="460">
        <v>0</v>
      </c>
      <c r="G793" s="1740"/>
      <c r="H793" s="1741" t="s">
        <v>1238</v>
      </c>
      <c r="I793" s="1742" t="s">
        <v>6575</v>
      </c>
      <c r="J793" s="1743" t="s">
        <v>1254</v>
      </c>
      <c r="K793" s="1744"/>
      <c r="L793" s="1745"/>
      <c r="M793" s="1745"/>
      <c r="N793" s="1746">
        <v>21188.799999999999</v>
      </c>
      <c r="O793" s="1747"/>
      <c r="P793" s="1720"/>
    </row>
    <row r="794" spans="1:16" ht="13.9" hidden="1" customHeight="1" outlineLevel="3" x14ac:dyDescent="0.2">
      <c r="A794" s="459">
        <v>0</v>
      </c>
      <c r="B794" s="459">
        <v>6</v>
      </c>
      <c r="C794" s="459">
        <v>13</v>
      </c>
      <c r="D794" s="460">
        <v>6</v>
      </c>
      <c r="E794" s="460">
        <v>1</v>
      </c>
      <c r="G794" s="1790" t="s">
        <v>17</v>
      </c>
      <c r="H794" s="1749" t="s">
        <v>1239</v>
      </c>
      <c r="I794" s="1750" t="s">
        <v>6576</v>
      </c>
      <c r="J794" s="1751" t="s">
        <v>1255</v>
      </c>
      <c r="K794" s="1752" t="s">
        <v>1130</v>
      </c>
      <c r="L794" s="1753">
        <v>1</v>
      </c>
      <c r="M794" s="1753">
        <v>21188.799999999999</v>
      </c>
      <c r="N794" s="1754">
        <v>21188.799999999999</v>
      </c>
      <c r="O794" s="1755" t="s">
        <v>3268</v>
      </c>
      <c r="P794" s="1721" t="s">
        <v>9611</v>
      </c>
    </row>
    <row r="795" spans="1:16" ht="13.9" hidden="1" customHeight="1" outlineLevel="1" x14ac:dyDescent="0.2">
      <c r="A795" s="459">
        <v>0</v>
      </c>
      <c r="B795" s="459">
        <v>6</v>
      </c>
      <c r="C795" s="459">
        <v>14</v>
      </c>
      <c r="D795" s="460">
        <v>0</v>
      </c>
      <c r="E795" s="460">
        <v>1</v>
      </c>
      <c r="G795" s="1733"/>
      <c r="H795" s="1734" t="s">
        <v>39</v>
      </c>
      <c r="I795" s="1735" t="s">
        <v>6577</v>
      </c>
      <c r="J795" s="1736" t="s">
        <v>3283</v>
      </c>
      <c r="K795" s="1737"/>
      <c r="L795" s="1738"/>
      <c r="M795" s="1738"/>
      <c r="N795" s="1739">
        <v>22823.011831603799</v>
      </c>
      <c r="O795" s="1722"/>
      <c r="P795" s="1725"/>
    </row>
    <row r="796" spans="1:16" ht="13.9" hidden="1" customHeight="1" outlineLevel="2" x14ac:dyDescent="0.2">
      <c r="A796" s="459">
        <v>0</v>
      </c>
      <c r="B796" s="459">
        <v>6</v>
      </c>
      <c r="C796" s="459">
        <v>14</v>
      </c>
      <c r="D796" s="460">
        <v>1</v>
      </c>
      <c r="E796" s="460">
        <v>0</v>
      </c>
      <c r="G796" s="1740"/>
      <c r="H796" s="1741" t="s">
        <v>1238</v>
      </c>
      <c r="I796" s="1742" t="s">
        <v>6578</v>
      </c>
      <c r="J796" s="1743" t="s">
        <v>2790</v>
      </c>
      <c r="K796" s="1744"/>
      <c r="L796" s="1745"/>
      <c r="M796" s="1745"/>
      <c r="N796" s="1746">
        <v>949.52</v>
      </c>
      <c r="O796" s="1747"/>
      <c r="P796" s="1720"/>
    </row>
    <row r="797" spans="1:16" ht="13.9" hidden="1" customHeight="1" outlineLevel="3" x14ac:dyDescent="0.2">
      <c r="A797" s="459">
        <v>0</v>
      </c>
      <c r="B797" s="459">
        <v>6</v>
      </c>
      <c r="C797" s="459">
        <v>14</v>
      </c>
      <c r="D797" s="460">
        <v>1</v>
      </c>
      <c r="E797" s="460">
        <v>1</v>
      </c>
      <c r="G797" s="1790" t="s">
        <v>17</v>
      </c>
      <c r="H797" s="1749" t="s">
        <v>1239</v>
      </c>
      <c r="I797" s="1750" t="s">
        <v>6579</v>
      </c>
      <c r="J797" s="1751" t="s">
        <v>2790</v>
      </c>
      <c r="K797" s="1752" t="s">
        <v>1130</v>
      </c>
      <c r="L797" s="1753">
        <v>1</v>
      </c>
      <c r="M797" s="1753">
        <v>949.52</v>
      </c>
      <c r="N797" s="1754">
        <v>949.52</v>
      </c>
      <c r="O797" s="1755" t="s">
        <v>3285</v>
      </c>
      <c r="P797" s="1721" t="s">
        <v>9611</v>
      </c>
    </row>
    <row r="798" spans="1:16" ht="13.9" hidden="1" customHeight="1" outlineLevel="2" x14ac:dyDescent="0.2">
      <c r="A798" s="459">
        <v>0</v>
      </c>
      <c r="B798" s="459">
        <v>6</v>
      </c>
      <c r="C798" s="459">
        <v>14</v>
      </c>
      <c r="D798" s="460">
        <v>2</v>
      </c>
      <c r="E798" s="460">
        <v>0</v>
      </c>
      <c r="G798" s="1740"/>
      <c r="H798" s="1741" t="s">
        <v>1238</v>
      </c>
      <c r="I798" s="1742" t="s">
        <v>6580</v>
      </c>
      <c r="J798" s="1743" t="s">
        <v>2792</v>
      </c>
      <c r="K798" s="1744"/>
      <c r="L798" s="1745"/>
      <c r="M798" s="1745"/>
      <c r="N798" s="1746">
        <v>353.1</v>
      </c>
      <c r="O798" s="1747"/>
      <c r="P798" s="1720"/>
    </row>
    <row r="799" spans="1:16" ht="13.9" hidden="1" customHeight="1" outlineLevel="3" x14ac:dyDescent="0.2">
      <c r="A799" s="459">
        <v>0</v>
      </c>
      <c r="B799" s="459">
        <v>6</v>
      </c>
      <c r="C799" s="459">
        <v>14</v>
      </c>
      <c r="D799" s="460">
        <v>2</v>
      </c>
      <c r="E799" s="460">
        <v>1</v>
      </c>
      <c r="G799" s="1790" t="s">
        <v>17</v>
      </c>
      <c r="H799" s="1749" t="s">
        <v>1239</v>
      </c>
      <c r="I799" s="1750" t="s">
        <v>6581</v>
      </c>
      <c r="J799" s="1751" t="s">
        <v>2792</v>
      </c>
      <c r="K799" s="1752" t="s">
        <v>1130</v>
      </c>
      <c r="L799" s="1753">
        <v>1</v>
      </c>
      <c r="M799" s="1753">
        <v>353.09999999999997</v>
      </c>
      <c r="N799" s="1754">
        <v>353.1</v>
      </c>
      <c r="O799" s="1755" t="s">
        <v>3285</v>
      </c>
      <c r="P799" s="1721" t="s">
        <v>9611</v>
      </c>
    </row>
    <row r="800" spans="1:16" ht="13.9" hidden="1" customHeight="1" outlineLevel="2" x14ac:dyDescent="0.2">
      <c r="A800" s="459">
        <v>0</v>
      </c>
      <c r="B800" s="459">
        <v>6</v>
      </c>
      <c r="C800" s="459">
        <v>14</v>
      </c>
      <c r="D800" s="460">
        <v>3</v>
      </c>
      <c r="E800" s="460">
        <v>0</v>
      </c>
      <c r="G800" s="1740"/>
      <c r="H800" s="1741" t="s">
        <v>1238</v>
      </c>
      <c r="I800" s="1742" t="s">
        <v>6582</v>
      </c>
      <c r="J800" s="1743" t="s">
        <v>2793</v>
      </c>
      <c r="K800" s="1744"/>
      <c r="L800" s="1745"/>
      <c r="M800" s="1745"/>
      <c r="N800" s="1746">
        <v>1230.2239999999999</v>
      </c>
      <c r="O800" s="1747"/>
      <c r="P800" s="1720"/>
    </row>
    <row r="801" spans="1:16" ht="13.9" hidden="1" customHeight="1" outlineLevel="3" x14ac:dyDescent="0.2">
      <c r="A801" s="459">
        <v>0</v>
      </c>
      <c r="B801" s="459">
        <v>6</v>
      </c>
      <c r="C801" s="459">
        <v>14</v>
      </c>
      <c r="D801" s="460">
        <v>3</v>
      </c>
      <c r="E801" s="460">
        <v>1</v>
      </c>
      <c r="G801" s="1790" t="s">
        <v>17</v>
      </c>
      <c r="H801" s="1749" t="s">
        <v>1239</v>
      </c>
      <c r="I801" s="1750" t="s">
        <v>6583</v>
      </c>
      <c r="J801" s="1751" t="s">
        <v>2793</v>
      </c>
      <c r="K801" s="1752" t="s">
        <v>1130</v>
      </c>
      <c r="L801" s="1753">
        <v>1</v>
      </c>
      <c r="M801" s="1753">
        <v>1230.2239999999999</v>
      </c>
      <c r="N801" s="1754">
        <v>1230.2239999999999</v>
      </c>
      <c r="O801" s="1755" t="s">
        <v>3285</v>
      </c>
      <c r="P801" s="1721" t="s">
        <v>9611</v>
      </c>
    </row>
    <row r="802" spans="1:16" ht="13.9" hidden="1" customHeight="1" outlineLevel="2" x14ac:dyDescent="0.2">
      <c r="A802" s="459">
        <v>0</v>
      </c>
      <c r="B802" s="459">
        <v>6</v>
      </c>
      <c r="C802" s="459">
        <v>14</v>
      </c>
      <c r="D802" s="460">
        <v>4</v>
      </c>
      <c r="E802" s="460">
        <v>0</v>
      </c>
      <c r="G802" s="1740"/>
      <c r="H802" s="1741" t="s">
        <v>1238</v>
      </c>
      <c r="I802" s="1742" t="s">
        <v>6584</v>
      </c>
      <c r="J802" s="1743" t="s">
        <v>2794</v>
      </c>
      <c r="K802" s="1744"/>
      <c r="L802" s="1745"/>
      <c r="M802" s="1745"/>
      <c r="N802" s="1746">
        <v>369.05</v>
      </c>
      <c r="O802" s="1747"/>
      <c r="P802" s="1720"/>
    </row>
    <row r="803" spans="1:16" ht="13.9" hidden="1" customHeight="1" outlineLevel="3" x14ac:dyDescent="0.2">
      <c r="A803" s="459">
        <v>0</v>
      </c>
      <c r="B803" s="459">
        <v>6</v>
      </c>
      <c r="C803" s="459">
        <v>14</v>
      </c>
      <c r="D803" s="460">
        <v>4</v>
      </c>
      <c r="E803" s="460">
        <v>1</v>
      </c>
      <c r="G803" s="1790" t="s">
        <v>17</v>
      </c>
      <c r="H803" s="1749" t="s">
        <v>1239</v>
      </c>
      <c r="I803" s="1750" t="s">
        <v>6585</v>
      </c>
      <c r="J803" s="1751" t="s">
        <v>2794</v>
      </c>
      <c r="K803" s="1752" t="s">
        <v>1130</v>
      </c>
      <c r="L803" s="1753">
        <v>1</v>
      </c>
      <c r="M803" s="1753">
        <v>369.04999999999995</v>
      </c>
      <c r="N803" s="1754">
        <v>369.05</v>
      </c>
      <c r="O803" s="1755" t="s">
        <v>3285</v>
      </c>
      <c r="P803" s="1721" t="s">
        <v>9611</v>
      </c>
    </row>
    <row r="804" spans="1:16" ht="13.9" hidden="1" customHeight="1" outlineLevel="2" x14ac:dyDescent="0.2">
      <c r="A804" s="459">
        <v>0</v>
      </c>
      <c r="B804" s="459">
        <v>6</v>
      </c>
      <c r="C804" s="459">
        <v>14</v>
      </c>
      <c r="D804" s="460">
        <v>5</v>
      </c>
      <c r="E804" s="460">
        <v>0</v>
      </c>
      <c r="G804" s="1740"/>
      <c r="H804" s="1741" t="s">
        <v>1238</v>
      </c>
      <c r="I804" s="1742" t="s">
        <v>6586</v>
      </c>
      <c r="J804" s="1743" t="s">
        <v>2795</v>
      </c>
      <c r="K804" s="1744"/>
      <c r="L804" s="1745"/>
      <c r="M804" s="1745"/>
      <c r="N804" s="1746">
        <v>3109.6578316038199</v>
      </c>
      <c r="O804" s="1747"/>
      <c r="P804" s="1720"/>
    </row>
    <row r="805" spans="1:16" ht="13.9" hidden="1" customHeight="1" outlineLevel="3" x14ac:dyDescent="0.2">
      <c r="A805" s="459">
        <v>0</v>
      </c>
      <c r="B805" s="459">
        <v>6</v>
      </c>
      <c r="C805" s="459">
        <v>14</v>
      </c>
      <c r="D805" s="460">
        <v>5</v>
      </c>
      <c r="E805" s="460">
        <v>1</v>
      </c>
      <c r="G805" s="1790" t="s">
        <v>17</v>
      </c>
      <c r="H805" s="1749" t="s">
        <v>1239</v>
      </c>
      <c r="I805" s="1750" t="s">
        <v>6587</v>
      </c>
      <c r="J805" s="1751" t="s">
        <v>2795</v>
      </c>
      <c r="K805" s="1752" t="s">
        <v>1130</v>
      </c>
      <c r="L805" s="1753">
        <v>1</v>
      </c>
      <c r="M805" s="1753">
        <v>3109.6578316038244</v>
      </c>
      <c r="N805" s="1754">
        <v>3109.6578316038199</v>
      </c>
      <c r="O805" s="1755" t="s">
        <v>3284</v>
      </c>
      <c r="P805" s="1721" t="s">
        <v>9611</v>
      </c>
    </row>
    <row r="806" spans="1:16" ht="13.9" hidden="1" customHeight="1" outlineLevel="2" x14ac:dyDescent="0.2">
      <c r="A806" s="459">
        <v>0</v>
      </c>
      <c r="B806" s="459">
        <v>6</v>
      </c>
      <c r="C806" s="459">
        <v>14</v>
      </c>
      <c r="D806" s="460">
        <v>6</v>
      </c>
      <c r="E806" s="460">
        <v>0</v>
      </c>
      <c r="G806" s="1740"/>
      <c r="H806" s="1741" t="s">
        <v>1238</v>
      </c>
      <c r="I806" s="1742" t="s">
        <v>6588</v>
      </c>
      <c r="J806" s="1743" t="s">
        <v>1254</v>
      </c>
      <c r="K806" s="1744"/>
      <c r="L806" s="1745"/>
      <c r="M806" s="1745"/>
      <c r="N806" s="1746">
        <v>16811.46</v>
      </c>
      <c r="O806" s="1747"/>
      <c r="P806" s="1720"/>
    </row>
    <row r="807" spans="1:16" ht="13.9" hidden="1" customHeight="1" outlineLevel="3" x14ac:dyDescent="0.2">
      <c r="A807" s="459">
        <v>0</v>
      </c>
      <c r="B807" s="459">
        <v>6</v>
      </c>
      <c r="C807" s="459">
        <v>14</v>
      </c>
      <c r="D807" s="460">
        <v>6</v>
      </c>
      <c r="E807" s="460">
        <v>1</v>
      </c>
      <c r="G807" s="1790" t="s">
        <v>17</v>
      </c>
      <c r="H807" s="1749" t="s">
        <v>1239</v>
      </c>
      <c r="I807" s="1750" t="s">
        <v>6589</v>
      </c>
      <c r="J807" s="1751" t="s">
        <v>1255</v>
      </c>
      <c r="K807" s="1752" t="s">
        <v>1130</v>
      </c>
      <c r="L807" s="1753">
        <v>1</v>
      </c>
      <c r="M807" s="1753">
        <v>16811.46</v>
      </c>
      <c r="N807" s="1754">
        <v>16811.46</v>
      </c>
      <c r="O807" s="1755" t="s">
        <v>3268</v>
      </c>
      <c r="P807" s="1721" t="s">
        <v>9611</v>
      </c>
    </row>
    <row r="808" spans="1:16" ht="13.9" customHeight="1" collapsed="1" x14ac:dyDescent="0.2">
      <c r="A808" s="459">
        <v>0</v>
      </c>
      <c r="B808" s="459">
        <v>7</v>
      </c>
      <c r="C808" s="459">
        <v>0</v>
      </c>
      <c r="D808" s="460">
        <v>6</v>
      </c>
      <c r="E808" s="460">
        <v>1</v>
      </c>
      <c r="F808" s="474"/>
      <c r="G808" s="1791"/>
      <c r="H808" s="1727" t="s">
        <v>1237</v>
      </c>
      <c r="I808" s="1728" t="s">
        <v>6590</v>
      </c>
      <c r="J808" s="1729" t="s">
        <v>18</v>
      </c>
      <c r="K808" s="1730"/>
      <c r="L808" s="1731"/>
      <c r="M808" s="1731"/>
      <c r="N808" s="1732">
        <v>2801537.89336211</v>
      </c>
      <c r="O808" s="1770">
        <v>167.25928889119101</v>
      </c>
      <c r="P808" s="1724"/>
    </row>
    <row r="809" spans="1:16" ht="13.9" hidden="1" customHeight="1" outlineLevel="1" x14ac:dyDescent="0.2">
      <c r="A809" s="459">
        <v>0</v>
      </c>
      <c r="B809" s="459">
        <v>7</v>
      </c>
      <c r="C809" s="459">
        <v>1</v>
      </c>
      <c r="D809" s="460">
        <v>0</v>
      </c>
      <c r="E809" s="460">
        <v>1</v>
      </c>
      <c r="G809" s="1733"/>
      <c r="H809" s="1734" t="s">
        <v>39</v>
      </c>
      <c r="I809" s="1735" t="s">
        <v>6591</v>
      </c>
      <c r="J809" s="1736" t="s">
        <v>3286</v>
      </c>
      <c r="K809" s="1737"/>
      <c r="L809" s="1738"/>
      <c r="M809" s="1738"/>
      <c r="N809" s="1739">
        <v>299058.90349076298</v>
      </c>
      <c r="O809" s="1722"/>
      <c r="P809" s="1725"/>
    </row>
    <row r="810" spans="1:16" ht="13.9" hidden="1" customHeight="1" outlineLevel="2" x14ac:dyDescent="0.2">
      <c r="A810" s="459">
        <v>0</v>
      </c>
      <c r="B810" s="459">
        <v>7</v>
      </c>
      <c r="C810" s="459">
        <v>1</v>
      </c>
      <c r="D810" s="460">
        <v>1</v>
      </c>
      <c r="E810" s="460">
        <v>0</v>
      </c>
      <c r="G810" s="1764"/>
      <c r="H810" s="1741" t="s">
        <v>1238</v>
      </c>
      <c r="I810" s="1742" t="s">
        <v>6592</v>
      </c>
      <c r="J810" s="1743" t="s">
        <v>2521</v>
      </c>
      <c r="K810" s="1744"/>
      <c r="L810" s="1745"/>
      <c r="M810" s="1745"/>
      <c r="N810" s="1746">
        <v>139834.96731661999</v>
      </c>
      <c r="O810" s="1747"/>
      <c r="P810" s="1720"/>
    </row>
    <row r="811" spans="1:16" ht="13.9" hidden="1" customHeight="1" outlineLevel="3" x14ac:dyDescent="0.2">
      <c r="A811" s="459">
        <v>0</v>
      </c>
      <c r="B811" s="459">
        <v>7</v>
      </c>
      <c r="C811" s="459">
        <v>1</v>
      </c>
      <c r="D811" s="460">
        <v>1</v>
      </c>
      <c r="E811" s="460">
        <v>1</v>
      </c>
      <c r="G811" s="1748" t="s">
        <v>18</v>
      </c>
      <c r="H811" s="1749" t="s">
        <v>1239</v>
      </c>
      <c r="I811" s="1750" t="s">
        <v>6593</v>
      </c>
      <c r="J811" s="1751" t="s">
        <v>3287</v>
      </c>
      <c r="K811" s="1752" t="s">
        <v>1130</v>
      </c>
      <c r="L811" s="1753">
        <v>1</v>
      </c>
      <c r="M811" s="1753">
        <v>139834.96731661988</v>
      </c>
      <c r="N811" s="1754">
        <v>139834.96731661999</v>
      </c>
      <c r="O811" s="1755" t="s">
        <v>3285</v>
      </c>
      <c r="P811" s="1721" t="s">
        <v>9611</v>
      </c>
    </row>
    <row r="812" spans="1:16" ht="13.9" hidden="1" customHeight="1" outlineLevel="2" x14ac:dyDescent="0.2">
      <c r="A812" s="459">
        <v>0</v>
      </c>
      <c r="B812" s="459">
        <v>7</v>
      </c>
      <c r="C812" s="459">
        <v>1</v>
      </c>
      <c r="D812" s="460">
        <v>2</v>
      </c>
      <c r="E812" s="460">
        <v>0</v>
      </c>
      <c r="G812" s="1764"/>
      <c r="H812" s="1741" t="s">
        <v>1238</v>
      </c>
      <c r="I812" s="1742" t="s">
        <v>6594</v>
      </c>
      <c r="J812" s="1743" t="s">
        <v>2796</v>
      </c>
      <c r="K812" s="1744"/>
      <c r="L812" s="1745"/>
      <c r="M812" s="1745"/>
      <c r="N812" s="1746">
        <v>40168.446174143297</v>
      </c>
      <c r="O812" s="1747"/>
      <c r="P812" s="1720"/>
    </row>
    <row r="813" spans="1:16" ht="13.9" hidden="1" customHeight="1" outlineLevel="3" x14ac:dyDescent="0.2">
      <c r="A813" s="459">
        <v>0</v>
      </c>
      <c r="B813" s="459">
        <v>7</v>
      </c>
      <c r="C813" s="459">
        <v>1</v>
      </c>
      <c r="D813" s="460">
        <v>2</v>
      </c>
      <c r="E813" s="460">
        <v>1</v>
      </c>
      <c r="G813" s="1748" t="s">
        <v>18</v>
      </c>
      <c r="H813" s="1749" t="s">
        <v>1239</v>
      </c>
      <c r="I813" s="1750" t="s">
        <v>6595</v>
      </c>
      <c r="J813" s="1751" t="s">
        <v>2796</v>
      </c>
      <c r="K813" s="1752" t="s">
        <v>1130</v>
      </c>
      <c r="L813" s="1753">
        <v>1</v>
      </c>
      <c r="M813" s="1753">
        <v>40168.446174143312</v>
      </c>
      <c r="N813" s="1754">
        <v>40168.446174143297</v>
      </c>
      <c r="O813" s="1755" t="s">
        <v>3285</v>
      </c>
      <c r="P813" s="1721" t="s">
        <v>9611</v>
      </c>
    </row>
    <row r="814" spans="1:16" ht="13.9" hidden="1" customHeight="1" outlineLevel="2" x14ac:dyDescent="0.2">
      <c r="A814" s="459">
        <v>0</v>
      </c>
      <c r="B814" s="459">
        <v>7</v>
      </c>
      <c r="C814" s="459">
        <v>1</v>
      </c>
      <c r="D814" s="460">
        <v>3</v>
      </c>
      <c r="E814" s="460">
        <v>0</v>
      </c>
      <c r="G814" s="1764"/>
      <c r="H814" s="1741" t="s">
        <v>1238</v>
      </c>
      <c r="I814" s="1742" t="s">
        <v>6596</v>
      </c>
      <c r="J814" s="1743" t="s">
        <v>2797</v>
      </c>
      <c r="K814" s="1744"/>
      <c r="L814" s="1745"/>
      <c r="M814" s="1745"/>
      <c r="N814" s="1746">
        <v>252</v>
      </c>
      <c r="O814" s="1747"/>
      <c r="P814" s="1720"/>
    </row>
    <row r="815" spans="1:16" ht="13.9" hidden="1" customHeight="1" outlineLevel="3" x14ac:dyDescent="0.2">
      <c r="A815" s="459">
        <v>0</v>
      </c>
      <c r="B815" s="459">
        <v>7</v>
      </c>
      <c r="C815" s="459">
        <v>1</v>
      </c>
      <c r="D815" s="460">
        <v>3</v>
      </c>
      <c r="E815" s="460">
        <v>1</v>
      </c>
      <c r="G815" s="1748" t="s">
        <v>18</v>
      </c>
      <c r="H815" s="1749" t="s">
        <v>1239</v>
      </c>
      <c r="I815" s="1750" t="s">
        <v>6597</v>
      </c>
      <c r="J815" s="1751" t="s">
        <v>2797</v>
      </c>
      <c r="K815" s="1752" t="s">
        <v>1130</v>
      </c>
      <c r="L815" s="1753">
        <v>1</v>
      </c>
      <c r="M815" s="1753">
        <v>252</v>
      </c>
      <c r="N815" s="1754">
        <v>252</v>
      </c>
      <c r="O815" s="1755" t="s">
        <v>3288</v>
      </c>
      <c r="P815" s="1721" t="s">
        <v>9611</v>
      </c>
    </row>
    <row r="816" spans="1:16" ht="13.9" hidden="1" customHeight="1" outlineLevel="2" x14ac:dyDescent="0.2">
      <c r="A816" s="459">
        <v>0</v>
      </c>
      <c r="B816" s="459">
        <v>7</v>
      </c>
      <c r="C816" s="459">
        <v>1</v>
      </c>
      <c r="D816" s="460">
        <v>4</v>
      </c>
      <c r="E816" s="460">
        <v>0</v>
      </c>
      <c r="G816" s="1764"/>
      <c r="H816" s="1741" t="s">
        <v>1238</v>
      </c>
      <c r="I816" s="1742" t="s">
        <v>6598</v>
      </c>
      <c r="J816" s="1743" t="s">
        <v>2522</v>
      </c>
      <c r="K816" s="1744"/>
      <c r="L816" s="1745"/>
      <c r="M816" s="1745"/>
      <c r="N816" s="1746">
        <v>73297.850000000006</v>
      </c>
      <c r="O816" s="1747"/>
      <c r="P816" s="1720"/>
    </row>
    <row r="817" spans="1:16" ht="13.9" hidden="1" customHeight="1" outlineLevel="3" x14ac:dyDescent="0.2">
      <c r="A817" s="459">
        <v>0</v>
      </c>
      <c r="B817" s="459">
        <v>7</v>
      </c>
      <c r="C817" s="459">
        <v>1</v>
      </c>
      <c r="D817" s="460">
        <v>4</v>
      </c>
      <c r="E817" s="460">
        <v>1</v>
      </c>
      <c r="G817" s="1748" t="s">
        <v>18</v>
      </c>
      <c r="H817" s="1749" t="s">
        <v>1239</v>
      </c>
      <c r="I817" s="1750" t="s">
        <v>6599</v>
      </c>
      <c r="J817" s="1751" t="s">
        <v>2522</v>
      </c>
      <c r="K817" s="1752" t="s">
        <v>1130</v>
      </c>
      <c r="L817" s="1753">
        <v>1</v>
      </c>
      <c r="M817" s="1753">
        <v>73297.850000000006</v>
      </c>
      <c r="N817" s="1754">
        <v>73297.850000000006</v>
      </c>
      <c r="O817" s="1755" t="s">
        <v>3289</v>
      </c>
      <c r="P817" s="1721" t="s">
        <v>9611</v>
      </c>
    </row>
    <row r="818" spans="1:16" ht="13.9" hidden="1" customHeight="1" outlineLevel="2" x14ac:dyDescent="0.2">
      <c r="A818" s="459">
        <v>0</v>
      </c>
      <c r="B818" s="459">
        <v>7</v>
      </c>
      <c r="C818" s="459">
        <v>1</v>
      </c>
      <c r="D818" s="460">
        <v>5</v>
      </c>
      <c r="E818" s="460">
        <v>0</v>
      </c>
      <c r="G818" s="1764"/>
      <c r="H818" s="1741" t="s">
        <v>1238</v>
      </c>
      <c r="I818" s="1742" t="s">
        <v>6600</v>
      </c>
      <c r="J818" s="1743" t="s">
        <v>1256</v>
      </c>
      <c r="K818" s="1744"/>
      <c r="L818" s="1745"/>
      <c r="M818" s="1745"/>
      <c r="N818" s="1746">
        <v>45505.64</v>
      </c>
      <c r="O818" s="1747"/>
      <c r="P818" s="1720"/>
    </row>
    <row r="819" spans="1:16" ht="13.9" hidden="1" customHeight="1" outlineLevel="3" x14ac:dyDescent="0.2">
      <c r="A819" s="459">
        <v>0</v>
      </c>
      <c r="B819" s="459">
        <v>7</v>
      </c>
      <c r="C819" s="459">
        <v>1</v>
      </c>
      <c r="D819" s="460">
        <v>5</v>
      </c>
      <c r="E819" s="460">
        <v>1</v>
      </c>
      <c r="G819" s="1748" t="s">
        <v>18</v>
      </c>
      <c r="H819" s="1749" t="s">
        <v>1239</v>
      </c>
      <c r="I819" s="1750" t="s">
        <v>6601</v>
      </c>
      <c r="J819" s="1751" t="s">
        <v>1257</v>
      </c>
      <c r="K819" s="1752" t="s">
        <v>1130</v>
      </c>
      <c r="L819" s="1753">
        <v>1</v>
      </c>
      <c r="M819" s="1753">
        <v>45505.64</v>
      </c>
      <c r="N819" s="1754">
        <v>45505.64</v>
      </c>
      <c r="O819" s="1761" t="s">
        <v>5458</v>
      </c>
      <c r="P819" s="1721" t="s">
        <v>9611</v>
      </c>
    </row>
    <row r="820" spans="1:16" ht="13.9" hidden="1" customHeight="1" outlineLevel="1" x14ac:dyDescent="0.2">
      <c r="A820" s="459">
        <v>0</v>
      </c>
      <c r="B820" s="459">
        <v>7</v>
      </c>
      <c r="C820" s="459">
        <v>2</v>
      </c>
      <c r="D820" s="460">
        <v>0</v>
      </c>
      <c r="E820" s="460">
        <v>1</v>
      </c>
      <c r="G820" s="1733"/>
      <c r="H820" s="1734" t="s">
        <v>39</v>
      </c>
      <c r="I820" s="1735" t="s">
        <v>6602</v>
      </c>
      <c r="J820" s="1736" t="s">
        <v>3290</v>
      </c>
      <c r="K820" s="1737"/>
      <c r="L820" s="1738"/>
      <c r="M820" s="1738"/>
      <c r="N820" s="1739">
        <v>56495.390199930902</v>
      </c>
      <c r="O820" s="1722"/>
      <c r="P820" s="1725"/>
    </row>
    <row r="821" spans="1:16" ht="13.9" hidden="1" customHeight="1" outlineLevel="2" x14ac:dyDescent="0.2">
      <c r="A821" s="459">
        <v>0</v>
      </c>
      <c r="B821" s="459">
        <v>7</v>
      </c>
      <c r="C821" s="459">
        <v>2</v>
      </c>
      <c r="D821" s="460">
        <v>1</v>
      </c>
      <c r="E821" s="460">
        <v>0</v>
      </c>
      <c r="G821" s="1764"/>
      <c r="H821" s="1741" t="s">
        <v>1238</v>
      </c>
      <c r="I821" s="1742" t="s">
        <v>6603</v>
      </c>
      <c r="J821" s="1743" t="s">
        <v>2521</v>
      </c>
      <c r="K821" s="1744"/>
      <c r="L821" s="1745"/>
      <c r="M821" s="1745"/>
      <c r="N821" s="1746">
        <v>1924.7411999999999</v>
      </c>
      <c r="O821" s="1747"/>
      <c r="P821" s="1720"/>
    </row>
    <row r="822" spans="1:16" ht="13.9" hidden="1" customHeight="1" outlineLevel="3" x14ac:dyDescent="0.2">
      <c r="A822" s="459">
        <v>0</v>
      </c>
      <c r="B822" s="459">
        <v>7</v>
      </c>
      <c r="C822" s="459">
        <v>2</v>
      </c>
      <c r="D822" s="460">
        <v>1</v>
      </c>
      <c r="E822" s="460">
        <v>1</v>
      </c>
      <c r="G822" s="1748" t="s">
        <v>18</v>
      </c>
      <c r="H822" s="1749" t="s">
        <v>1239</v>
      </c>
      <c r="I822" s="1750" t="s">
        <v>6604</v>
      </c>
      <c r="J822" s="1751" t="s">
        <v>3287</v>
      </c>
      <c r="K822" s="1752" t="s">
        <v>1130</v>
      </c>
      <c r="L822" s="1753">
        <v>1</v>
      </c>
      <c r="M822" s="1753">
        <v>1924.7411999999999</v>
      </c>
      <c r="N822" s="1754">
        <v>1924.7411999999999</v>
      </c>
      <c r="O822" s="1755" t="s">
        <v>3285</v>
      </c>
      <c r="P822" s="1721" t="s">
        <v>9611</v>
      </c>
    </row>
    <row r="823" spans="1:16" ht="13.9" hidden="1" customHeight="1" outlineLevel="2" x14ac:dyDescent="0.2">
      <c r="A823" s="459">
        <v>0</v>
      </c>
      <c r="B823" s="459">
        <v>7</v>
      </c>
      <c r="C823" s="459">
        <v>2</v>
      </c>
      <c r="D823" s="460">
        <v>2</v>
      </c>
      <c r="E823" s="460">
        <v>0</v>
      </c>
      <c r="G823" s="1764"/>
      <c r="H823" s="1741" t="s">
        <v>1238</v>
      </c>
      <c r="I823" s="1742" t="s">
        <v>6605</v>
      </c>
      <c r="J823" s="1743" t="s">
        <v>2796</v>
      </c>
      <c r="K823" s="1744"/>
      <c r="L823" s="1745"/>
      <c r="M823" s="1745"/>
      <c r="N823" s="1746">
        <v>7851.9489999308698</v>
      </c>
      <c r="O823" s="1747"/>
      <c r="P823" s="1720"/>
    </row>
    <row r="824" spans="1:16" ht="13.9" hidden="1" customHeight="1" outlineLevel="3" x14ac:dyDescent="0.2">
      <c r="A824" s="459">
        <v>0</v>
      </c>
      <c r="B824" s="459">
        <v>7</v>
      </c>
      <c r="C824" s="459">
        <v>2</v>
      </c>
      <c r="D824" s="460">
        <v>2</v>
      </c>
      <c r="E824" s="460">
        <v>1</v>
      </c>
      <c r="G824" s="1748" t="s">
        <v>18</v>
      </c>
      <c r="H824" s="1749" t="s">
        <v>1239</v>
      </c>
      <c r="I824" s="1750" t="s">
        <v>6606</v>
      </c>
      <c r="J824" s="1751" t="s">
        <v>2796</v>
      </c>
      <c r="K824" s="1752" t="s">
        <v>1130</v>
      </c>
      <c r="L824" s="1753">
        <v>1</v>
      </c>
      <c r="M824" s="1753">
        <v>7851.9489999308698</v>
      </c>
      <c r="N824" s="1754">
        <v>7851.9489999308698</v>
      </c>
      <c r="O824" s="1755" t="s">
        <v>3285</v>
      </c>
      <c r="P824" s="1721" t="s">
        <v>9611</v>
      </c>
    </row>
    <row r="825" spans="1:16" ht="13.9" hidden="1" customHeight="1" outlineLevel="2" x14ac:dyDescent="0.2">
      <c r="A825" s="459">
        <v>0</v>
      </c>
      <c r="B825" s="459">
        <v>7</v>
      </c>
      <c r="C825" s="459">
        <v>2</v>
      </c>
      <c r="D825" s="460">
        <v>3</v>
      </c>
      <c r="E825" s="460">
        <v>0</v>
      </c>
      <c r="G825" s="1764"/>
      <c r="H825" s="1741" t="s">
        <v>1238</v>
      </c>
      <c r="I825" s="1742" t="s">
        <v>6607</v>
      </c>
      <c r="J825" s="1743" t="s">
        <v>2797</v>
      </c>
      <c r="K825" s="1744"/>
      <c r="L825" s="1745"/>
      <c r="M825" s="1745"/>
      <c r="N825" s="1746">
        <v>252</v>
      </c>
      <c r="O825" s="1747"/>
      <c r="P825" s="1720"/>
    </row>
    <row r="826" spans="1:16" ht="13.9" hidden="1" customHeight="1" outlineLevel="3" x14ac:dyDescent="0.2">
      <c r="A826" s="459">
        <v>0</v>
      </c>
      <c r="B826" s="459">
        <v>7</v>
      </c>
      <c r="C826" s="459">
        <v>2</v>
      </c>
      <c r="D826" s="460">
        <v>3</v>
      </c>
      <c r="E826" s="460">
        <v>1</v>
      </c>
      <c r="G826" s="1748" t="s">
        <v>18</v>
      </c>
      <c r="H826" s="1749" t="s">
        <v>1239</v>
      </c>
      <c r="I826" s="1750" t="s">
        <v>6608</v>
      </c>
      <c r="J826" s="1751" t="s">
        <v>2797</v>
      </c>
      <c r="K826" s="1752" t="s">
        <v>1130</v>
      </c>
      <c r="L826" s="1753">
        <v>1</v>
      </c>
      <c r="M826" s="1753">
        <v>252</v>
      </c>
      <c r="N826" s="1754">
        <v>252</v>
      </c>
      <c r="O826" s="1755" t="s">
        <v>3288</v>
      </c>
      <c r="P826" s="1721" t="s">
        <v>9611</v>
      </c>
    </row>
    <row r="827" spans="1:16" ht="13.9" hidden="1" customHeight="1" outlineLevel="2" x14ac:dyDescent="0.2">
      <c r="A827" s="459">
        <v>0</v>
      </c>
      <c r="B827" s="459">
        <v>7</v>
      </c>
      <c r="C827" s="459">
        <v>2</v>
      </c>
      <c r="D827" s="460">
        <v>4</v>
      </c>
      <c r="E827" s="460">
        <v>0</v>
      </c>
      <c r="G827" s="1764"/>
      <c r="H827" s="1741" t="s">
        <v>1238</v>
      </c>
      <c r="I827" s="1742" t="s">
        <v>6609</v>
      </c>
      <c r="J827" s="1743" t="s">
        <v>1256</v>
      </c>
      <c r="K827" s="1744"/>
      <c r="L827" s="1745"/>
      <c r="M827" s="1745"/>
      <c r="N827" s="1746">
        <v>46466.7</v>
      </c>
      <c r="O827" s="1747"/>
      <c r="P827" s="1720"/>
    </row>
    <row r="828" spans="1:16" ht="13.9" hidden="1" customHeight="1" outlineLevel="3" x14ac:dyDescent="0.2">
      <c r="A828" s="459">
        <v>0</v>
      </c>
      <c r="B828" s="459">
        <v>7</v>
      </c>
      <c r="C828" s="459">
        <v>2</v>
      </c>
      <c r="D828" s="460">
        <v>4</v>
      </c>
      <c r="E828" s="460">
        <v>1</v>
      </c>
      <c r="G828" s="1748" t="s">
        <v>18</v>
      </c>
      <c r="H828" s="1749" t="s">
        <v>1239</v>
      </c>
      <c r="I828" s="1750" t="s">
        <v>6610</v>
      </c>
      <c r="J828" s="1751" t="s">
        <v>1257</v>
      </c>
      <c r="K828" s="1752" t="s">
        <v>1130</v>
      </c>
      <c r="L828" s="1753">
        <v>1</v>
      </c>
      <c r="M828" s="1753">
        <v>46466.7</v>
      </c>
      <c r="N828" s="1754">
        <v>46466.7</v>
      </c>
      <c r="O828" s="1761" t="s">
        <v>5458</v>
      </c>
      <c r="P828" s="1721" t="s">
        <v>9611</v>
      </c>
    </row>
    <row r="829" spans="1:16" ht="13.9" hidden="1" customHeight="1" outlineLevel="1" x14ac:dyDescent="0.2">
      <c r="A829" s="459">
        <v>0</v>
      </c>
      <c r="B829" s="459">
        <v>7</v>
      </c>
      <c r="C829" s="459">
        <v>3</v>
      </c>
      <c r="D829" s="460">
        <v>0</v>
      </c>
      <c r="E829" s="460">
        <v>1</v>
      </c>
      <c r="G829" s="1733"/>
      <c r="H829" s="1734" t="s">
        <v>39</v>
      </c>
      <c r="I829" s="1735" t="s">
        <v>6611</v>
      </c>
      <c r="J829" s="1736" t="s">
        <v>3291</v>
      </c>
      <c r="K829" s="1737"/>
      <c r="L829" s="1738"/>
      <c r="M829" s="1738"/>
      <c r="N829" s="1739">
        <v>58401.67</v>
      </c>
      <c r="O829" s="1722"/>
      <c r="P829" s="1725"/>
    </row>
    <row r="830" spans="1:16" ht="13.9" hidden="1" customHeight="1" outlineLevel="2" x14ac:dyDescent="0.2">
      <c r="A830" s="459">
        <v>0</v>
      </c>
      <c r="B830" s="459">
        <v>7</v>
      </c>
      <c r="C830" s="459">
        <v>3</v>
      </c>
      <c r="D830" s="460">
        <v>1</v>
      </c>
      <c r="E830" s="460">
        <v>0</v>
      </c>
      <c r="G830" s="1764"/>
      <c r="H830" s="1741" t="s">
        <v>1238</v>
      </c>
      <c r="I830" s="1742" t="s">
        <v>6612</v>
      </c>
      <c r="J830" s="1743" t="s">
        <v>2521</v>
      </c>
      <c r="K830" s="1744"/>
      <c r="L830" s="1745"/>
      <c r="M830" s="1745"/>
      <c r="N830" s="1746">
        <v>5667.7969999999996</v>
      </c>
      <c r="O830" s="1747"/>
      <c r="P830" s="1720"/>
    </row>
    <row r="831" spans="1:16" ht="13.9" hidden="1" customHeight="1" outlineLevel="3" x14ac:dyDescent="0.2">
      <c r="A831" s="459">
        <v>0</v>
      </c>
      <c r="B831" s="459">
        <v>7</v>
      </c>
      <c r="C831" s="459">
        <v>3</v>
      </c>
      <c r="D831" s="460">
        <v>1</v>
      </c>
      <c r="E831" s="460">
        <v>1</v>
      </c>
      <c r="G831" s="1748" t="s">
        <v>18</v>
      </c>
      <c r="H831" s="1749" t="s">
        <v>1239</v>
      </c>
      <c r="I831" s="1750" t="s">
        <v>6613</v>
      </c>
      <c r="J831" s="1751" t="s">
        <v>3287</v>
      </c>
      <c r="K831" s="1752" t="s">
        <v>1130</v>
      </c>
      <c r="L831" s="1753">
        <v>1</v>
      </c>
      <c r="M831" s="1753">
        <v>5667.7970000000005</v>
      </c>
      <c r="N831" s="1754">
        <v>5667.7969999999996</v>
      </c>
      <c r="O831" s="1755" t="s">
        <v>3285</v>
      </c>
      <c r="P831" s="1721" t="s">
        <v>9611</v>
      </c>
    </row>
    <row r="832" spans="1:16" ht="13.9" hidden="1" customHeight="1" outlineLevel="2" x14ac:dyDescent="0.2">
      <c r="A832" s="459">
        <v>0</v>
      </c>
      <c r="B832" s="459">
        <v>7</v>
      </c>
      <c r="C832" s="459">
        <v>3</v>
      </c>
      <c r="D832" s="460">
        <v>2</v>
      </c>
      <c r="E832" s="460">
        <v>0</v>
      </c>
      <c r="G832" s="1764"/>
      <c r="H832" s="1741" t="s">
        <v>1238</v>
      </c>
      <c r="I832" s="1742" t="s">
        <v>6614</v>
      </c>
      <c r="J832" s="1743" t="s">
        <v>2796</v>
      </c>
      <c r="K832" s="1744"/>
      <c r="L832" s="1745"/>
      <c r="M832" s="1745"/>
      <c r="N832" s="1746">
        <v>1528.873</v>
      </c>
      <c r="O832" s="1747"/>
      <c r="P832" s="1720"/>
    </row>
    <row r="833" spans="1:16" ht="13.9" hidden="1" customHeight="1" outlineLevel="3" x14ac:dyDescent="0.2">
      <c r="A833" s="459">
        <v>0</v>
      </c>
      <c r="B833" s="459">
        <v>7</v>
      </c>
      <c r="C833" s="459">
        <v>3</v>
      </c>
      <c r="D833" s="460">
        <v>2</v>
      </c>
      <c r="E833" s="460">
        <v>1</v>
      </c>
      <c r="G833" s="1748" t="s">
        <v>18</v>
      </c>
      <c r="H833" s="1749" t="s">
        <v>1239</v>
      </c>
      <c r="I833" s="1750" t="s">
        <v>6615</v>
      </c>
      <c r="J833" s="1751" t="s">
        <v>2796</v>
      </c>
      <c r="K833" s="1752" t="s">
        <v>1130</v>
      </c>
      <c r="L833" s="1753">
        <v>1</v>
      </c>
      <c r="M833" s="1753">
        <v>1528.8729999999998</v>
      </c>
      <c r="N833" s="1754">
        <v>1528.873</v>
      </c>
      <c r="O833" s="1755" t="s">
        <v>3285</v>
      </c>
      <c r="P833" s="1721" t="s">
        <v>9611</v>
      </c>
    </row>
    <row r="834" spans="1:16" ht="13.9" hidden="1" customHeight="1" outlineLevel="2" x14ac:dyDescent="0.2">
      <c r="A834" s="459">
        <v>0</v>
      </c>
      <c r="B834" s="459">
        <v>7</v>
      </c>
      <c r="C834" s="459">
        <v>3</v>
      </c>
      <c r="D834" s="460">
        <v>3</v>
      </c>
      <c r="E834" s="460">
        <v>0</v>
      </c>
      <c r="G834" s="1764"/>
      <c r="H834" s="1741" t="s">
        <v>1238</v>
      </c>
      <c r="I834" s="1742" t="s">
        <v>6616</v>
      </c>
      <c r="J834" s="1743" t="s">
        <v>2797</v>
      </c>
      <c r="K834" s="1744"/>
      <c r="L834" s="1745"/>
      <c r="M834" s="1745"/>
      <c r="N834" s="1746">
        <v>252</v>
      </c>
      <c r="O834" s="1747"/>
      <c r="P834" s="1720"/>
    </row>
    <row r="835" spans="1:16" ht="13.9" hidden="1" customHeight="1" outlineLevel="3" x14ac:dyDescent="0.2">
      <c r="A835" s="459">
        <v>0</v>
      </c>
      <c r="B835" s="459">
        <v>7</v>
      </c>
      <c r="C835" s="459">
        <v>3</v>
      </c>
      <c r="D835" s="460">
        <v>3</v>
      </c>
      <c r="E835" s="460">
        <v>1</v>
      </c>
      <c r="G835" s="1748" t="s">
        <v>18</v>
      </c>
      <c r="H835" s="1749" t="s">
        <v>1239</v>
      </c>
      <c r="I835" s="1750" t="s">
        <v>6617</v>
      </c>
      <c r="J835" s="1751" t="s">
        <v>2797</v>
      </c>
      <c r="K835" s="1752" t="s">
        <v>1130</v>
      </c>
      <c r="L835" s="1753">
        <v>1</v>
      </c>
      <c r="M835" s="1753">
        <v>252</v>
      </c>
      <c r="N835" s="1754">
        <v>252</v>
      </c>
      <c r="O835" s="1755" t="s">
        <v>3288</v>
      </c>
      <c r="P835" s="1721" t="s">
        <v>9611</v>
      </c>
    </row>
    <row r="836" spans="1:16" ht="13.9" hidden="1" customHeight="1" outlineLevel="2" x14ac:dyDescent="0.2">
      <c r="A836" s="459">
        <v>0</v>
      </c>
      <c r="B836" s="459">
        <v>7</v>
      </c>
      <c r="C836" s="459">
        <v>3</v>
      </c>
      <c r="D836" s="460">
        <v>4</v>
      </c>
      <c r="E836" s="460">
        <v>0</v>
      </c>
      <c r="G836" s="1764"/>
      <c r="H836" s="1741" t="s">
        <v>1238</v>
      </c>
      <c r="I836" s="1742" t="s">
        <v>6618</v>
      </c>
      <c r="J836" s="1743" t="s">
        <v>1256</v>
      </c>
      <c r="K836" s="1744"/>
      <c r="L836" s="1745"/>
      <c r="M836" s="1745"/>
      <c r="N836" s="1746">
        <v>50953</v>
      </c>
      <c r="O836" s="1747"/>
      <c r="P836" s="1720"/>
    </row>
    <row r="837" spans="1:16" ht="13.9" hidden="1" customHeight="1" outlineLevel="3" x14ac:dyDescent="0.2">
      <c r="A837" s="459">
        <v>0</v>
      </c>
      <c r="B837" s="459">
        <v>7</v>
      </c>
      <c r="C837" s="459">
        <v>3</v>
      </c>
      <c r="D837" s="460">
        <v>4</v>
      </c>
      <c r="E837" s="460">
        <v>1</v>
      </c>
      <c r="G837" s="1748" t="s">
        <v>18</v>
      </c>
      <c r="H837" s="1749" t="s">
        <v>1239</v>
      </c>
      <c r="I837" s="1750" t="s">
        <v>6619</v>
      </c>
      <c r="J837" s="1751" t="s">
        <v>1257</v>
      </c>
      <c r="K837" s="1752" t="s">
        <v>1130</v>
      </c>
      <c r="L837" s="1753">
        <v>1</v>
      </c>
      <c r="M837" s="1753">
        <v>50953</v>
      </c>
      <c r="N837" s="1754">
        <v>50953</v>
      </c>
      <c r="O837" s="1761" t="s">
        <v>5458</v>
      </c>
      <c r="P837" s="1721" t="s">
        <v>9611</v>
      </c>
    </row>
    <row r="838" spans="1:16" ht="13.9" hidden="1" customHeight="1" outlineLevel="1" x14ac:dyDescent="0.2">
      <c r="A838" s="459">
        <v>0</v>
      </c>
      <c r="B838" s="459">
        <v>7</v>
      </c>
      <c r="C838" s="459">
        <v>4</v>
      </c>
      <c r="D838" s="460">
        <v>0</v>
      </c>
      <c r="E838" s="460">
        <v>1</v>
      </c>
      <c r="G838" s="1733"/>
      <c r="H838" s="1734" t="s">
        <v>39</v>
      </c>
      <c r="I838" s="1735" t="s">
        <v>6620</v>
      </c>
      <c r="J838" s="1736" t="s">
        <v>3292</v>
      </c>
      <c r="K838" s="1737"/>
      <c r="L838" s="1738"/>
      <c r="M838" s="1738"/>
      <c r="N838" s="1739">
        <v>62749.544399999999</v>
      </c>
      <c r="O838" s="1722"/>
      <c r="P838" s="1725"/>
    </row>
    <row r="839" spans="1:16" ht="13.9" hidden="1" customHeight="1" outlineLevel="2" x14ac:dyDescent="0.2">
      <c r="A839" s="459">
        <v>0</v>
      </c>
      <c r="B839" s="459">
        <v>7</v>
      </c>
      <c r="C839" s="459">
        <v>4</v>
      </c>
      <c r="D839" s="460">
        <v>1</v>
      </c>
      <c r="E839" s="460">
        <v>0</v>
      </c>
      <c r="G839" s="1764"/>
      <c r="H839" s="1741" t="s">
        <v>1238</v>
      </c>
      <c r="I839" s="1742" t="s">
        <v>6621</v>
      </c>
      <c r="J839" s="1743" t="s">
        <v>2521</v>
      </c>
      <c r="K839" s="1744"/>
      <c r="L839" s="1745"/>
      <c r="M839" s="1745"/>
      <c r="N839" s="1746">
        <v>5933.3770000000004</v>
      </c>
      <c r="O839" s="1747"/>
      <c r="P839" s="1720"/>
    </row>
    <row r="840" spans="1:16" ht="13.9" hidden="1" customHeight="1" outlineLevel="3" x14ac:dyDescent="0.2">
      <c r="A840" s="459">
        <v>0</v>
      </c>
      <c r="B840" s="459">
        <v>7</v>
      </c>
      <c r="C840" s="459">
        <v>4</v>
      </c>
      <c r="D840" s="460">
        <v>1</v>
      </c>
      <c r="E840" s="460">
        <v>1</v>
      </c>
      <c r="G840" s="1748" t="s">
        <v>18</v>
      </c>
      <c r="H840" s="1749" t="s">
        <v>1239</v>
      </c>
      <c r="I840" s="1750" t="s">
        <v>6622</v>
      </c>
      <c r="J840" s="1751" t="s">
        <v>3287</v>
      </c>
      <c r="K840" s="1752" t="s">
        <v>1130</v>
      </c>
      <c r="L840" s="1753">
        <v>1</v>
      </c>
      <c r="M840" s="1753">
        <v>5933.3770000000004</v>
      </c>
      <c r="N840" s="1754">
        <v>5933.3770000000004</v>
      </c>
      <c r="O840" s="1755" t="s">
        <v>3285</v>
      </c>
      <c r="P840" s="1721" t="s">
        <v>9611</v>
      </c>
    </row>
    <row r="841" spans="1:16" ht="13.9" hidden="1" customHeight="1" outlineLevel="2" x14ac:dyDescent="0.2">
      <c r="A841" s="459">
        <v>0</v>
      </c>
      <c r="B841" s="459">
        <v>7</v>
      </c>
      <c r="C841" s="459">
        <v>4</v>
      </c>
      <c r="D841" s="460">
        <v>2</v>
      </c>
      <c r="E841" s="460">
        <v>0</v>
      </c>
      <c r="G841" s="1764"/>
      <c r="H841" s="1741" t="s">
        <v>1238</v>
      </c>
      <c r="I841" s="1742" t="s">
        <v>6623</v>
      </c>
      <c r="J841" s="1743" t="s">
        <v>2796</v>
      </c>
      <c r="K841" s="1744"/>
      <c r="L841" s="1745"/>
      <c r="M841" s="1745"/>
      <c r="N841" s="1746">
        <v>5611.1674000000003</v>
      </c>
      <c r="O841" s="1747"/>
      <c r="P841" s="1720"/>
    </row>
    <row r="842" spans="1:16" ht="13.9" hidden="1" customHeight="1" outlineLevel="3" x14ac:dyDescent="0.2">
      <c r="A842" s="459">
        <v>0</v>
      </c>
      <c r="B842" s="459">
        <v>7</v>
      </c>
      <c r="C842" s="459">
        <v>4</v>
      </c>
      <c r="D842" s="460">
        <v>2</v>
      </c>
      <c r="E842" s="460">
        <v>1</v>
      </c>
      <c r="G842" s="1748" t="s">
        <v>18</v>
      </c>
      <c r="H842" s="1749" t="s">
        <v>1239</v>
      </c>
      <c r="I842" s="1750" t="s">
        <v>6624</v>
      </c>
      <c r="J842" s="1751" t="s">
        <v>2796</v>
      </c>
      <c r="K842" s="1752" t="s">
        <v>1130</v>
      </c>
      <c r="L842" s="1753">
        <v>1</v>
      </c>
      <c r="M842" s="1753">
        <v>5611.1674000000003</v>
      </c>
      <c r="N842" s="1754">
        <v>5611.1674000000003</v>
      </c>
      <c r="O842" s="1755" t="s">
        <v>3285</v>
      </c>
      <c r="P842" s="1721" t="s">
        <v>9611</v>
      </c>
    </row>
    <row r="843" spans="1:16" ht="13.9" hidden="1" customHeight="1" outlineLevel="2" x14ac:dyDescent="0.2">
      <c r="A843" s="459">
        <v>0</v>
      </c>
      <c r="B843" s="459">
        <v>7</v>
      </c>
      <c r="C843" s="459">
        <v>4</v>
      </c>
      <c r="D843" s="460">
        <v>3</v>
      </c>
      <c r="E843" s="460">
        <v>0</v>
      </c>
      <c r="G843" s="1764"/>
      <c r="H843" s="1741" t="s">
        <v>1238</v>
      </c>
      <c r="I843" s="1742" t="s">
        <v>6625</v>
      </c>
      <c r="J843" s="1743" t="s">
        <v>2797</v>
      </c>
      <c r="K843" s="1744"/>
      <c r="L843" s="1745"/>
      <c r="M843" s="1745"/>
      <c r="N843" s="1746">
        <v>252</v>
      </c>
      <c r="O843" s="1747"/>
      <c r="P843" s="1720"/>
    </row>
    <row r="844" spans="1:16" ht="13.9" hidden="1" customHeight="1" outlineLevel="3" x14ac:dyDescent="0.2">
      <c r="A844" s="459">
        <v>0</v>
      </c>
      <c r="B844" s="459">
        <v>7</v>
      </c>
      <c r="C844" s="459">
        <v>4</v>
      </c>
      <c r="D844" s="460">
        <v>3</v>
      </c>
      <c r="E844" s="460">
        <v>1</v>
      </c>
      <c r="G844" s="1748" t="s">
        <v>18</v>
      </c>
      <c r="H844" s="1749" t="s">
        <v>1239</v>
      </c>
      <c r="I844" s="1750" t="s">
        <v>6626</v>
      </c>
      <c r="J844" s="1751" t="s">
        <v>2797</v>
      </c>
      <c r="K844" s="1752" t="s">
        <v>1130</v>
      </c>
      <c r="L844" s="1753">
        <v>1</v>
      </c>
      <c r="M844" s="1753">
        <v>252</v>
      </c>
      <c r="N844" s="1754">
        <v>252</v>
      </c>
      <c r="O844" s="1755" t="s">
        <v>3288</v>
      </c>
      <c r="P844" s="1721" t="s">
        <v>9611</v>
      </c>
    </row>
    <row r="845" spans="1:16" ht="13.9" hidden="1" customHeight="1" outlineLevel="2" x14ac:dyDescent="0.2">
      <c r="A845" s="459">
        <v>0</v>
      </c>
      <c r="B845" s="459">
        <v>7</v>
      </c>
      <c r="C845" s="459">
        <v>4</v>
      </c>
      <c r="D845" s="460">
        <v>4</v>
      </c>
      <c r="E845" s="460">
        <v>0</v>
      </c>
      <c r="G845" s="1764"/>
      <c r="H845" s="1741" t="s">
        <v>1238</v>
      </c>
      <c r="I845" s="1742" t="s">
        <v>6627</v>
      </c>
      <c r="J845" s="1743" t="s">
        <v>1256</v>
      </c>
      <c r="K845" s="1744"/>
      <c r="L845" s="1745"/>
      <c r="M845" s="1745"/>
      <c r="N845" s="1746">
        <v>50953</v>
      </c>
      <c r="O845" s="1747"/>
      <c r="P845" s="1720"/>
    </row>
    <row r="846" spans="1:16" ht="13.9" hidden="1" customHeight="1" outlineLevel="3" x14ac:dyDescent="0.2">
      <c r="A846" s="459">
        <v>0</v>
      </c>
      <c r="B846" s="459">
        <v>7</v>
      </c>
      <c r="C846" s="459">
        <v>4</v>
      </c>
      <c r="D846" s="460">
        <v>4</v>
      </c>
      <c r="E846" s="460">
        <v>1</v>
      </c>
      <c r="G846" s="1748" t="s">
        <v>18</v>
      </c>
      <c r="H846" s="1749" t="s">
        <v>1239</v>
      </c>
      <c r="I846" s="1750" t="s">
        <v>6628</v>
      </c>
      <c r="J846" s="1751" t="s">
        <v>1257</v>
      </c>
      <c r="K846" s="1752" t="s">
        <v>1130</v>
      </c>
      <c r="L846" s="1753">
        <v>1</v>
      </c>
      <c r="M846" s="1753">
        <v>50953</v>
      </c>
      <c r="N846" s="1754">
        <v>50953</v>
      </c>
      <c r="O846" s="1761" t="s">
        <v>5458</v>
      </c>
      <c r="P846" s="1721" t="s">
        <v>9611</v>
      </c>
    </row>
    <row r="847" spans="1:16" ht="13.9" hidden="1" customHeight="1" outlineLevel="1" x14ac:dyDescent="0.2">
      <c r="A847" s="459">
        <v>0</v>
      </c>
      <c r="B847" s="459">
        <v>7</v>
      </c>
      <c r="C847" s="459">
        <v>5</v>
      </c>
      <c r="D847" s="460">
        <v>0</v>
      </c>
      <c r="E847" s="460">
        <v>1</v>
      </c>
      <c r="G847" s="1733"/>
      <c r="H847" s="1734" t="s">
        <v>39</v>
      </c>
      <c r="I847" s="1735" t="s">
        <v>6629</v>
      </c>
      <c r="J847" s="1736" t="s">
        <v>3293</v>
      </c>
      <c r="K847" s="1737"/>
      <c r="L847" s="1738"/>
      <c r="M847" s="1738"/>
      <c r="N847" s="1739">
        <v>54662.768300000003</v>
      </c>
      <c r="O847" s="1722"/>
      <c r="P847" s="1725"/>
    </row>
    <row r="848" spans="1:16" ht="13.9" hidden="1" customHeight="1" outlineLevel="2" x14ac:dyDescent="0.2">
      <c r="A848" s="459">
        <v>0</v>
      </c>
      <c r="B848" s="459">
        <v>7</v>
      </c>
      <c r="C848" s="459">
        <v>5</v>
      </c>
      <c r="D848" s="460">
        <v>1</v>
      </c>
      <c r="E848" s="460">
        <v>0</v>
      </c>
      <c r="G848" s="1764"/>
      <c r="H848" s="1741" t="s">
        <v>1238</v>
      </c>
      <c r="I848" s="1742" t="s">
        <v>6630</v>
      </c>
      <c r="J848" s="1743" t="s">
        <v>2521</v>
      </c>
      <c r="K848" s="1744"/>
      <c r="L848" s="1745"/>
      <c r="M848" s="1745"/>
      <c r="N848" s="1746">
        <v>943.60789999999997</v>
      </c>
      <c r="O848" s="1747"/>
      <c r="P848" s="1720"/>
    </row>
    <row r="849" spans="1:16" ht="13.9" hidden="1" customHeight="1" outlineLevel="3" x14ac:dyDescent="0.2">
      <c r="A849" s="459">
        <v>0</v>
      </c>
      <c r="B849" s="459">
        <v>7</v>
      </c>
      <c r="C849" s="459">
        <v>5</v>
      </c>
      <c r="D849" s="460">
        <v>1</v>
      </c>
      <c r="E849" s="460">
        <v>1</v>
      </c>
      <c r="G849" s="1748" t="s">
        <v>18</v>
      </c>
      <c r="H849" s="1749" t="s">
        <v>1239</v>
      </c>
      <c r="I849" s="1750" t="s">
        <v>6631</v>
      </c>
      <c r="J849" s="1751" t="s">
        <v>3287</v>
      </c>
      <c r="K849" s="1752" t="s">
        <v>1130</v>
      </c>
      <c r="L849" s="1753">
        <v>1</v>
      </c>
      <c r="M849" s="1753">
        <v>943.60789999999997</v>
      </c>
      <c r="N849" s="1754">
        <v>943.60789999999997</v>
      </c>
      <c r="O849" s="1755" t="s">
        <v>3285</v>
      </c>
      <c r="P849" s="1721" t="s">
        <v>9611</v>
      </c>
    </row>
    <row r="850" spans="1:16" ht="13.9" hidden="1" customHeight="1" outlineLevel="2" x14ac:dyDescent="0.2">
      <c r="A850" s="459">
        <v>0</v>
      </c>
      <c r="B850" s="459">
        <v>7</v>
      </c>
      <c r="C850" s="459">
        <v>5</v>
      </c>
      <c r="D850" s="460">
        <v>2</v>
      </c>
      <c r="E850" s="460">
        <v>0</v>
      </c>
      <c r="G850" s="1764"/>
      <c r="H850" s="1741" t="s">
        <v>1238</v>
      </c>
      <c r="I850" s="1742" t="s">
        <v>6632</v>
      </c>
      <c r="J850" s="1743" t="s">
        <v>2796</v>
      </c>
      <c r="K850" s="1744"/>
      <c r="L850" s="1745"/>
      <c r="M850" s="1745"/>
      <c r="N850" s="1746">
        <v>2514.1604000000002</v>
      </c>
      <c r="O850" s="1747"/>
      <c r="P850" s="1720"/>
    </row>
    <row r="851" spans="1:16" ht="13.9" hidden="1" customHeight="1" outlineLevel="3" x14ac:dyDescent="0.2">
      <c r="A851" s="459">
        <v>0</v>
      </c>
      <c r="B851" s="459">
        <v>7</v>
      </c>
      <c r="C851" s="459">
        <v>5</v>
      </c>
      <c r="D851" s="460">
        <v>2</v>
      </c>
      <c r="E851" s="460">
        <v>1</v>
      </c>
      <c r="G851" s="1748" t="s">
        <v>18</v>
      </c>
      <c r="H851" s="1749" t="s">
        <v>1239</v>
      </c>
      <c r="I851" s="1750" t="s">
        <v>6633</v>
      </c>
      <c r="J851" s="1751" t="s">
        <v>2796</v>
      </c>
      <c r="K851" s="1752" t="s">
        <v>1130</v>
      </c>
      <c r="L851" s="1753">
        <v>1</v>
      </c>
      <c r="M851" s="1753">
        <v>2514.1604000000002</v>
      </c>
      <c r="N851" s="1754">
        <v>2514.1604000000002</v>
      </c>
      <c r="O851" s="1755" t="s">
        <v>3285</v>
      </c>
      <c r="P851" s="1721" t="s">
        <v>9611</v>
      </c>
    </row>
    <row r="852" spans="1:16" ht="13.9" hidden="1" customHeight="1" outlineLevel="2" x14ac:dyDescent="0.2">
      <c r="A852" s="459">
        <v>0</v>
      </c>
      <c r="B852" s="459">
        <v>7</v>
      </c>
      <c r="C852" s="459">
        <v>5</v>
      </c>
      <c r="D852" s="460">
        <v>3</v>
      </c>
      <c r="E852" s="460">
        <v>0</v>
      </c>
      <c r="G852" s="1764"/>
      <c r="H852" s="1741" t="s">
        <v>1238</v>
      </c>
      <c r="I852" s="1742" t="s">
        <v>6634</v>
      </c>
      <c r="J852" s="1743" t="s">
        <v>2797</v>
      </c>
      <c r="K852" s="1744"/>
      <c r="L852" s="1745"/>
      <c r="M852" s="1745"/>
      <c r="N852" s="1746">
        <v>252</v>
      </c>
      <c r="O852" s="1747"/>
      <c r="P852" s="1720"/>
    </row>
    <row r="853" spans="1:16" ht="13.9" hidden="1" customHeight="1" outlineLevel="3" x14ac:dyDescent="0.2">
      <c r="A853" s="459">
        <v>0</v>
      </c>
      <c r="B853" s="459">
        <v>7</v>
      </c>
      <c r="C853" s="459">
        <v>5</v>
      </c>
      <c r="D853" s="460">
        <v>3</v>
      </c>
      <c r="E853" s="460">
        <v>1</v>
      </c>
      <c r="G853" s="1748" t="s">
        <v>18</v>
      </c>
      <c r="H853" s="1749" t="s">
        <v>1239</v>
      </c>
      <c r="I853" s="1750" t="s">
        <v>6635</v>
      </c>
      <c r="J853" s="1751" t="s">
        <v>2797</v>
      </c>
      <c r="K853" s="1752" t="s">
        <v>1130</v>
      </c>
      <c r="L853" s="1753">
        <v>1</v>
      </c>
      <c r="M853" s="1753">
        <v>252</v>
      </c>
      <c r="N853" s="1754">
        <v>252</v>
      </c>
      <c r="O853" s="1755" t="s">
        <v>3288</v>
      </c>
      <c r="P853" s="1721" t="s">
        <v>9611</v>
      </c>
    </row>
    <row r="854" spans="1:16" ht="13.9" hidden="1" customHeight="1" outlineLevel="2" x14ac:dyDescent="0.2">
      <c r="A854" s="459">
        <v>0</v>
      </c>
      <c r="B854" s="459">
        <v>7</v>
      </c>
      <c r="C854" s="459">
        <v>5</v>
      </c>
      <c r="D854" s="460">
        <v>4</v>
      </c>
      <c r="E854" s="460">
        <v>0</v>
      </c>
      <c r="G854" s="1764"/>
      <c r="H854" s="1741" t="s">
        <v>1238</v>
      </c>
      <c r="I854" s="1742" t="s">
        <v>6636</v>
      </c>
      <c r="J854" s="1743" t="s">
        <v>1256</v>
      </c>
      <c r="K854" s="1744"/>
      <c r="L854" s="1745"/>
      <c r="M854" s="1745"/>
      <c r="N854" s="1746">
        <v>50953</v>
      </c>
      <c r="O854" s="1747"/>
      <c r="P854" s="1720"/>
    </row>
    <row r="855" spans="1:16" ht="13.9" hidden="1" customHeight="1" outlineLevel="3" x14ac:dyDescent="0.2">
      <c r="A855" s="459">
        <v>0</v>
      </c>
      <c r="B855" s="459">
        <v>7</v>
      </c>
      <c r="C855" s="459">
        <v>5</v>
      </c>
      <c r="D855" s="460">
        <v>4</v>
      </c>
      <c r="E855" s="460">
        <v>1</v>
      </c>
      <c r="G855" s="1748" t="s">
        <v>18</v>
      </c>
      <c r="H855" s="1749" t="s">
        <v>1239</v>
      </c>
      <c r="I855" s="1750" t="s">
        <v>6637</v>
      </c>
      <c r="J855" s="1751" t="s">
        <v>1257</v>
      </c>
      <c r="K855" s="1752" t="s">
        <v>1130</v>
      </c>
      <c r="L855" s="1753">
        <v>1</v>
      </c>
      <c r="M855" s="1753">
        <v>50953</v>
      </c>
      <c r="N855" s="1754">
        <v>50953</v>
      </c>
      <c r="O855" s="1761" t="s">
        <v>5458</v>
      </c>
      <c r="P855" s="1721" t="s">
        <v>9611</v>
      </c>
    </row>
    <row r="856" spans="1:16" ht="13.9" hidden="1" customHeight="1" outlineLevel="1" x14ac:dyDescent="0.2">
      <c r="A856" s="459">
        <v>0</v>
      </c>
      <c r="B856" s="459">
        <v>7</v>
      </c>
      <c r="C856" s="459">
        <v>6</v>
      </c>
      <c r="D856" s="460">
        <v>0</v>
      </c>
      <c r="E856" s="460">
        <v>1</v>
      </c>
      <c r="G856" s="1733"/>
      <c r="H856" s="1734" t="s">
        <v>39</v>
      </c>
      <c r="I856" s="1735" t="s">
        <v>6638</v>
      </c>
      <c r="J856" s="1736" t="s">
        <v>3294</v>
      </c>
      <c r="K856" s="1737"/>
      <c r="L856" s="1738"/>
      <c r="M856" s="1738"/>
      <c r="N856" s="1739">
        <v>62630.867707647398</v>
      </c>
      <c r="O856" s="1722"/>
      <c r="P856" s="1725"/>
    </row>
    <row r="857" spans="1:16" ht="13.9" hidden="1" customHeight="1" outlineLevel="2" x14ac:dyDescent="0.2">
      <c r="A857" s="459">
        <v>0</v>
      </c>
      <c r="B857" s="459">
        <v>7</v>
      </c>
      <c r="C857" s="459">
        <v>6</v>
      </c>
      <c r="D857" s="460">
        <v>1</v>
      </c>
      <c r="E857" s="460">
        <v>0</v>
      </c>
      <c r="G857" s="1764"/>
      <c r="H857" s="1741" t="s">
        <v>1238</v>
      </c>
      <c r="I857" s="1742" t="s">
        <v>6639</v>
      </c>
      <c r="J857" s="1743" t="s">
        <v>2521</v>
      </c>
      <c r="K857" s="1744"/>
      <c r="L857" s="1745"/>
      <c r="M857" s="1745"/>
      <c r="N857" s="1746">
        <v>2324.1990000000001</v>
      </c>
      <c r="O857" s="1747"/>
      <c r="P857" s="1720"/>
    </row>
    <row r="858" spans="1:16" ht="13.9" hidden="1" customHeight="1" outlineLevel="3" x14ac:dyDescent="0.2">
      <c r="A858" s="459">
        <v>0</v>
      </c>
      <c r="B858" s="459">
        <v>7</v>
      </c>
      <c r="C858" s="459">
        <v>6</v>
      </c>
      <c r="D858" s="460">
        <v>1</v>
      </c>
      <c r="E858" s="460">
        <v>1</v>
      </c>
      <c r="G858" s="1748" t="s">
        <v>18</v>
      </c>
      <c r="H858" s="1749" t="s">
        <v>1239</v>
      </c>
      <c r="I858" s="1750" t="s">
        <v>6640</v>
      </c>
      <c r="J858" s="1751" t="s">
        <v>3287</v>
      </c>
      <c r="K858" s="1752" t="s">
        <v>1130</v>
      </c>
      <c r="L858" s="1753">
        <v>1</v>
      </c>
      <c r="M858" s="1753">
        <v>2324.1989999999996</v>
      </c>
      <c r="N858" s="1754">
        <v>2324.1990000000001</v>
      </c>
      <c r="O858" s="1755" t="s">
        <v>3285</v>
      </c>
      <c r="P858" s="1721" t="s">
        <v>9611</v>
      </c>
    </row>
    <row r="859" spans="1:16" ht="13.9" hidden="1" customHeight="1" outlineLevel="2" x14ac:dyDescent="0.2">
      <c r="A859" s="459">
        <v>0</v>
      </c>
      <c r="B859" s="459">
        <v>7</v>
      </c>
      <c r="C859" s="459">
        <v>6</v>
      </c>
      <c r="D859" s="460">
        <v>2</v>
      </c>
      <c r="E859" s="460">
        <v>0</v>
      </c>
      <c r="G859" s="1764"/>
      <c r="H859" s="1741" t="s">
        <v>1238</v>
      </c>
      <c r="I859" s="1742" t="s">
        <v>6641</v>
      </c>
      <c r="J859" s="1743" t="s">
        <v>2796</v>
      </c>
      <c r="K859" s="1744"/>
      <c r="L859" s="1745"/>
      <c r="M859" s="1745"/>
      <c r="N859" s="1746">
        <v>8292.5687076473696</v>
      </c>
      <c r="O859" s="1747"/>
      <c r="P859" s="1720"/>
    </row>
    <row r="860" spans="1:16" ht="13.9" hidden="1" customHeight="1" outlineLevel="3" x14ac:dyDescent="0.2">
      <c r="A860" s="459">
        <v>0</v>
      </c>
      <c r="B860" s="459">
        <v>7</v>
      </c>
      <c r="C860" s="459">
        <v>6</v>
      </c>
      <c r="D860" s="460">
        <v>2</v>
      </c>
      <c r="E860" s="460">
        <v>1</v>
      </c>
      <c r="G860" s="1748" t="s">
        <v>18</v>
      </c>
      <c r="H860" s="1749" t="s">
        <v>1239</v>
      </c>
      <c r="I860" s="1750" t="s">
        <v>6642</v>
      </c>
      <c r="J860" s="1751" t="s">
        <v>2796</v>
      </c>
      <c r="K860" s="1752" t="s">
        <v>1130</v>
      </c>
      <c r="L860" s="1753">
        <v>1</v>
      </c>
      <c r="M860" s="1753">
        <v>8292.5687076473714</v>
      </c>
      <c r="N860" s="1754">
        <v>8292.5687076473696</v>
      </c>
      <c r="O860" s="1755" t="s">
        <v>3285</v>
      </c>
      <c r="P860" s="1721" t="s">
        <v>9611</v>
      </c>
    </row>
    <row r="861" spans="1:16" ht="13.9" hidden="1" customHeight="1" outlineLevel="2" x14ac:dyDescent="0.2">
      <c r="A861" s="459">
        <v>0</v>
      </c>
      <c r="B861" s="459">
        <v>7</v>
      </c>
      <c r="C861" s="459">
        <v>6</v>
      </c>
      <c r="D861" s="460">
        <v>3</v>
      </c>
      <c r="E861" s="460">
        <v>0</v>
      </c>
      <c r="G861" s="1764"/>
      <c r="H861" s="1741" t="s">
        <v>1238</v>
      </c>
      <c r="I861" s="1742" t="s">
        <v>6643</v>
      </c>
      <c r="J861" s="1743" t="s">
        <v>2797</v>
      </c>
      <c r="K861" s="1744"/>
      <c r="L861" s="1745"/>
      <c r="M861" s="1745"/>
      <c r="N861" s="1746">
        <v>252</v>
      </c>
      <c r="O861" s="1747"/>
      <c r="P861" s="1720"/>
    </row>
    <row r="862" spans="1:16" ht="13.9" hidden="1" customHeight="1" outlineLevel="3" x14ac:dyDescent="0.2">
      <c r="A862" s="459">
        <v>0</v>
      </c>
      <c r="B862" s="459">
        <v>7</v>
      </c>
      <c r="C862" s="459">
        <v>6</v>
      </c>
      <c r="D862" s="460">
        <v>3</v>
      </c>
      <c r="E862" s="460">
        <v>1</v>
      </c>
      <c r="G862" s="1748" t="s">
        <v>18</v>
      </c>
      <c r="H862" s="1749" t="s">
        <v>1239</v>
      </c>
      <c r="I862" s="1750" t="s">
        <v>6644</v>
      </c>
      <c r="J862" s="1751" t="s">
        <v>2797</v>
      </c>
      <c r="K862" s="1752" t="s">
        <v>1130</v>
      </c>
      <c r="L862" s="1753">
        <v>1</v>
      </c>
      <c r="M862" s="1753">
        <v>252</v>
      </c>
      <c r="N862" s="1754">
        <v>252</v>
      </c>
      <c r="O862" s="1755" t="s">
        <v>3288</v>
      </c>
      <c r="P862" s="1721" t="s">
        <v>9611</v>
      </c>
    </row>
    <row r="863" spans="1:16" ht="13.9" hidden="1" customHeight="1" outlineLevel="2" x14ac:dyDescent="0.2">
      <c r="A863" s="459">
        <v>0</v>
      </c>
      <c r="B863" s="459">
        <v>7</v>
      </c>
      <c r="C863" s="459">
        <v>6</v>
      </c>
      <c r="D863" s="460">
        <v>4</v>
      </c>
      <c r="E863" s="460">
        <v>0</v>
      </c>
      <c r="G863" s="1764"/>
      <c r="H863" s="1741" t="s">
        <v>1238</v>
      </c>
      <c r="I863" s="1742" t="s">
        <v>6645</v>
      </c>
      <c r="J863" s="1743" t="s">
        <v>1256</v>
      </c>
      <c r="K863" s="1744"/>
      <c r="L863" s="1745"/>
      <c r="M863" s="1745"/>
      <c r="N863" s="1746">
        <v>51762.1</v>
      </c>
      <c r="O863" s="1747"/>
      <c r="P863" s="1720"/>
    </row>
    <row r="864" spans="1:16" ht="13.9" hidden="1" customHeight="1" outlineLevel="3" x14ac:dyDescent="0.2">
      <c r="A864" s="459">
        <v>0</v>
      </c>
      <c r="B864" s="459">
        <v>7</v>
      </c>
      <c r="C864" s="459">
        <v>6</v>
      </c>
      <c r="D864" s="460">
        <v>4</v>
      </c>
      <c r="E864" s="460">
        <v>1</v>
      </c>
      <c r="G864" s="1748" t="s">
        <v>18</v>
      </c>
      <c r="H864" s="1749" t="s">
        <v>1239</v>
      </c>
      <c r="I864" s="1750" t="s">
        <v>6646</v>
      </c>
      <c r="J864" s="1751" t="s">
        <v>1257</v>
      </c>
      <c r="K864" s="1752" t="s">
        <v>1130</v>
      </c>
      <c r="L864" s="1753">
        <v>1</v>
      </c>
      <c r="M864" s="1753">
        <v>51762.100000000006</v>
      </c>
      <c r="N864" s="1754">
        <v>51762.1</v>
      </c>
      <c r="O864" s="1761" t="s">
        <v>5458</v>
      </c>
      <c r="P864" s="1721" t="s">
        <v>9611</v>
      </c>
    </row>
    <row r="865" spans="1:16" ht="13.9" hidden="1" customHeight="1" outlineLevel="1" x14ac:dyDescent="0.2">
      <c r="A865" s="459">
        <v>0</v>
      </c>
      <c r="B865" s="459">
        <v>7</v>
      </c>
      <c r="C865" s="459">
        <v>7</v>
      </c>
      <c r="D865" s="460">
        <v>0</v>
      </c>
      <c r="E865" s="460">
        <v>1</v>
      </c>
      <c r="G865" s="1733"/>
      <c r="H865" s="1734" t="s">
        <v>39</v>
      </c>
      <c r="I865" s="1735" t="s">
        <v>6647</v>
      </c>
      <c r="J865" s="1736" t="s">
        <v>3295</v>
      </c>
      <c r="K865" s="1737"/>
      <c r="L865" s="1738"/>
      <c r="M865" s="1738"/>
      <c r="N865" s="1739">
        <v>68292.702774485297</v>
      </c>
      <c r="O865" s="1722"/>
      <c r="P865" s="1725"/>
    </row>
    <row r="866" spans="1:16" ht="13.9" hidden="1" customHeight="1" outlineLevel="2" x14ac:dyDescent="0.2">
      <c r="A866" s="459">
        <v>0</v>
      </c>
      <c r="B866" s="459">
        <v>7</v>
      </c>
      <c r="C866" s="459">
        <v>7</v>
      </c>
      <c r="D866" s="460">
        <v>1</v>
      </c>
      <c r="E866" s="460">
        <v>0</v>
      </c>
      <c r="G866" s="1764"/>
      <c r="H866" s="1741" t="s">
        <v>1238</v>
      </c>
      <c r="I866" s="1742" t="s">
        <v>6648</v>
      </c>
      <c r="J866" s="1743" t="s">
        <v>2521</v>
      </c>
      <c r="K866" s="1744"/>
      <c r="L866" s="1745"/>
      <c r="M866" s="1745"/>
      <c r="N866" s="1746">
        <v>1836.40446821347</v>
      </c>
      <c r="O866" s="1747"/>
      <c r="P866" s="1720"/>
    </row>
    <row r="867" spans="1:16" ht="13.9" hidden="1" customHeight="1" outlineLevel="3" x14ac:dyDescent="0.2">
      <c r="A867" s="459">
        <v>0</v>
      </c>
      <c r="B867" s="459">
        <v>7</v>
      </c>
      <c r="C867" s="459">
        <v>7</v>
      </c>
      <c r="D867" s="460">
        <v>1</v>
      </c>
      <c r="E867" s="460">
        <v>1</v>
      </c>
      <c r="G867" s="1748" t="s">
        <v>18</v>
      </c>
      <c r="H867" s="1749" t="s">
        <v>1239</v>
      </c>
      <c r="I867" s="1750" t="s">
        <v>6649</v>
      </c>
      <c r="J867" s="1751" t="s">
        <v>3287</v>
      </c>
      <c r="K867" s="1752" t="s">
        <v>1130</v>
      </c>
      <c r="L867" s="1753">
        <v>1</v>
      </c>
      <c r="M867" s="1753">
        <v>1836.404468213474</v>
      </c>
      <c r="N867" s="1754">
        <v>1836.40446821347</v>
      </c>
      <c r="O867" s="1755" t="s">
        <v>3285</v>
      </c>
      <c r="P867" s="1721" t="s">
        <v>9611</v>
      </c>
    </row>
    <row r="868" spans="1:16" ht="13.9" hidden="1" customHeight="1" outlineLevel="2" x14ac:dyDescent="0.2">
      <c r="A868" s="459">
        <v>0</v>
      </c>
      <c r="B868" s="459">
        <v>7</v>
      </c>
      <c r="C868" s="459">
        <v>7</v>
      </c>
      <c r="D868" s="460">
        <v>2</v>
      </c>
      <c r="E868" s="460">
        <v>0</v>
      </c>
      <c r="G868" s="1764"/>
      <c r="H868" s="1741" t="s">
        <v>1238</v>
      </c>
      <c r="I868" s="1742" t="s">
        <v>6650</v>
      </c>
      <c r="J868" s="1743" t="s">
        <v>2796</v>
      </c>
      <c r="K868" s="1744"/>
      <c r="L868" s="1745"/>
      <c r="M868" s="1745"/>
      <c r="N868" s="1746">
        <v>14442.198306271801</v>
      </c>
      <c r="O868" s="1747"/>
      <c r="P868" s="1720"/>
    </row>
    <row r="869" spans="1:16" ht="13.9" hidden="1" customHeight="1" outlineLevel="3" x14ac:dyDescent="0.2">
      <c r="A869" s="459">
        <v>0</v>
      </c>
      <c r="B869" s="459">
        <v>7</v>
      </c>
      <c r="C869" s="459">
        <v>7</v>
      </c>
      <c r="D869" s="460">
        <v>2</v>
      </c>
      <c r="E869" s="460">
        <v>1</v>
      </c>
      <c r="G869" s="1748" t="s">
        <v>18</v>
      </c>
      <c r="H869" s="1749" t="s">
        <v>1239</v>
      </c>
      <c r="I869" s="1750" t="s">
        <v>6651</v>
      </c>
      <c r="J869" s="1751" t="s">
        <v>2796</v>
      </c>
      <c r="K869" s="1752" t="s">
        <v>1130</v>
      </c>
      <c r="L869" s="1753">
        <v>1</v>
      </c>
      <c r="M869" s="1753">
        <v>14442.198306271848</v>
      </c>
      <c r="N869" s="1754">
        <v>14442.198306271801</v>
      </c>
      <c r="O869" s="1755" t="s">
        <v>3285</v>
      </c>
      <c r="P869" s="1721" t="s">
        <v>9611</v>
      </c>
    </row>
    <row r="870" spans="1:16" ht="13.9" hidden="1" customHeight="1" outlineLevel="2" x14ac:dyDescent="0.2">
      <c r="A870" s="459">
        <v>0</v>
      </c>
      <c r="B870" s="459">
        <v>7</v>
      </c>
      <c r="C870" s="459">
        <v>7</v>
      </c>
      <c r="D870" s="460">
        <v>3</v>
      </c>
      <c r="E870" s="460">
        <v>0</v>
      </c>
      <c r="G870" s="1764"/>
      <c r="H870" s="1741" t="s">
        <v>1238</v>
      </c>
      <c r="I870" s="1742" t="s">
        <v>6652</v>
      </c>
      <c r="J870" s="1743" t="s">
        <v>2797</v>
      </c>
      <c r="K870" s="1744"/>
      <c r="L870" s="1745"/>
      <c r="M870" s="1745"/>
      <c r="N870" s="1746">
        <v>252</v>
      </c>
      <c r="O870" s="1747"/>
      <c r="P870" s="1720"/>
    </row>
    <row r="871" spans="1:16" ht="13.9" hidden="1" customHeight="1" outlineLevel="3" x14ac:dyDescent="0.2">
      <c r="A871" s="459">
        <v>0</v>
      </c>
      <c r="B871" s="459">
        <v>7</v>
      </c>
      <c r="C871" s="459">
        <v>7</v>
      </c>
      <c r="D871" s="460">
        <v>3</v>
      </c>
      <c r="E871" s="460">
        <v>1</v>
      </c>
      <c r="G871" s="1748" t="s">
        <v>18</v>
      </c>
      <c r="H871" s="1749" t="s">
        <v>1239</v>
      </c>
      <c r="I871" s="1750" t="s">
        <v>6653</v>
      </c>
      <c r="J871" s="1751" t="s">
        <v>2797</v>
      </c>
      <c r="K871" s="1752" t="s">
        <v>1130</v>
      </c>
      <c r="L871" s="1753">
        <v>1</v>
      </c>
      <c r="M871" s="1753">
        <v>252</v>
      </c>
      <c r="N871" s="1754">
        <v>252</v>
      </c>
      <c r="O871" s="1755" t="s">
        <v>3288</v>
      </c>
      <c r="P871" s="1721" t="s">
        <v>9611</v>
      </c>
    </row>
    <row r="872" spans="1:16" ht="13.9" hidden="1" customHeight="1" outlineLevel="2" x14ac:dyDescent="0.2">
      <c r="A872" s="459">
        <v>0</v>
      </c>
      <c r="B872" s="459">
        <v>7</v>
      </c>
      <c r="C872" s="459">
        <v>7</v>
      </c>
      <c r="D872" s="460">
        <v>4</v>
      </c>
      <c r="E872" s="460">
        <v>0</v>
      </c>
      <c r="G872" s="1764"/>
      <c r="H872" s="1741" t="s">
        <v>1238</v>
      </c>
      <c r="I872" s="1742" t="s">
        <v>6654</v>
      </c>
      <c r="J872" s="1743" t="s">
        <v>1256</v>
      </c>
      <c r="K872" s="1744"/>
      <c r="L872" s="1745"/>
      <c r="M872" s="1745"/>
      <c r="N872" s="1746">
        <v>51762.1</v>
      </c>
      <c r="O872" s="1747"/>
      <c r="P872" s="1720"/>
    </row>
    <row r="873" spans="1:16" ht="13.9" hidden="1" customHeight="1" outlineLevel="3" x14ac:dyDescent="0.2">
      <c r="A873" s="459">
        <v>0</v>
      </c>
      <c r="B873" s="459">
        <v>7</v>
      </c>
      <c r="C873" s="459">
        <v>7</v>
      </c>
      <c r="D873" s="460">
        <v>4</v>
      </c>
      <c r="E873" s="460">
        <v>1</v>
      </c>
      <c r="G873" s="1748" t="s">
        <v>18</v>
      </c>
      <c r="H873" s="1749" t="s">
        <v>1239</v>
      </c>
      <c r="I873" s="1750" t="s">
        <v>6655</v>
      </c>
      <c r="J873" s="1751" t="s">
        <v>1257</v>
      </c>
      <c r="K873" s="1752" t="s">
        <v>1130</v>
      </c>
      <c r="L873" s="1753">
        <v>1</v>
      </c>
      <c r="M873" s="1753">
        <v>51762.100000000006</v>
      </c>
      <c r="N873" s="1754">
        <v>51762.1</v>
      </c>
      <c r="O873" s="1761" t="s">
        <v>5458</v>
      </c>
      <c r="P873" s="1721" t="s">
        <v>9611</v>
      </c>
    </row>
    <row r="874" spans="1:16" ht="13.9" hidden="1" customHeight="1" outlineLevel="1" x14ac:dyDescent="0.2">
      <c r="A874" s="459">
        <v>0</v>
      </c>
      <c r="B874" s="459">
        <v>7</v>
      </c>
      <c r="C874" s="459">
        <v>8</v>
      </c>
      <c r="D874" s="460">
        <v>0</v>
      </c>
      <c r="E874" s="460">
        <v>1</v>
      </c>
      <c r="G874" s="1733"/>
      <c r="H874" s="1734" t="s">
        <v>39</v>
      </c>
      <c r="I874" s="1735" t="s">
        <v>6656</v>
      </c>
      <c r="J874" s="1736" t="s">
        <v>3296</v>
      </c>
      <c r="K874" s="1737"/>
      <c r="L874" s="1738"/>
      <c r="M874" s="1738"/>
      <c r="N874" s="1739">
        <v>105736.117348628</v>
      </c>
      <c r="O874" s="1722"/>
      <c r="P874" s="1725"/>
    </row>
    <row r="875" spans="1:16" ht="13.9" hidden="1" customHeight="1" outlineLevel="2" x14ac:dyDescent="0.2">
      <c r="A875" s="459">
        <v>0</v>
      </c>
      <c r="B875" s="459">
        <v>7</v>
      </c>
      <c r="C875" s="459">
        <v>8</v>
      </c>
      <c r="D875" s="460">
        <v>1</v>
      </c>
      <c r="E875" s="460">
        <v>0</v>
      </c>
      <c r="G875" s="1764"/>
      <c r="H875" s="1741" t="s">
        <v>1238</v>
      </c>
      <c r="I875" s="1742" t="s">
        <v>6657</v>
      </c>
      <c r="J875" s="1743" t="s">
        <v>2521</v>
      </c>
      <c r="K875" s="1744"/>
      <c r="L875" s="1745"/>
      <c r="M875" s="1745"/>
      <c r="N875" s="1746">
        <v>1549.0139525003301</v>
      </c>
      <c r="O875" s="1747"/>
      <c r="P875" s="1720"/>
    </row>
    <row r="876" spans="1:16" ht="13.9" hidden="1" customHeight="1" outlineLevel="3" x14ac:dyDescent="0.2">
      <c r="A876" s="459">
        <v>0</v>
      </c>
      <c r="B876" s="459">
        <v>7</v>
      </c>
      <c r="C876" s="459">
        <v>8</v>
      </c>
      <c r="D876" s="460">
        <v>1</v>
      </c>
      <c r="E876" s="460">
        <v>1</v>
      </c>
      <c r="G876" s="1748" t="s">
        <v>18</v>
      </c>
      <c r="H876" s="1749" t="s">
        <v>1239</v>
      </c>
      <c r="I876" s="1750" t="s">
        <v>6658</v>
      </c>
      <c r="J876" s="1751" t="s">
        <v>3287</v>
      </c>
      <c r="K876" s="1752" t="s">
        <v>1130</v>
      </c>
      <c r="L876" s="1753">
        <v>1</v>
      </c>
      <c r="M876" s="1753">
        <v>1549.0139525003278</v>
      </c>
      <c r="N876" s="1754">
        <v>1549.0139525003301</v>
      </c>
      <c r="O876" s="1755" t="s">
        <v>3285</v>
      </c>
      <c r="P876" s="1721" t="s">
        <v>9611</v>
      </c>
    </row>
    <row r="877" spans="1:16" ht="13.9" hidden="1" customHeight="1" outlineLevel="2" x14ac:dyDescent="0.2">
      <c r="A877" s="459">
        <v>0</v>
      </c>
      <c r="B877" s="459">
        <v>7</v>
      </c>
      <c r="C877" s="459">
        <v>8</v>
      </c>
      <c r="D877" s="460">
        <v>2</v>
      </c>
      <c r="E877" s="460">
        <v>0</v>
      </c>
      <c r="G877" s="1764"/>
      <c r="H877" s="1741" t="s">
        <v>1238</v>
      </c>
      <c r="I877" s="1742" t="s">
        <v>6659</v>
      </c>
      <c r="J877" s="1743" t="s">
        <v>2796</v>
      </c>
      <c r="K877" s="1744"/>
      <c r="L877" s="1745"/>
      <c r="M877" s="1745"/>
      <c r="N877" s="1746">
        <v>74977.443396127797</v>
      </c>
      <c r="O877" s="1747"/>
      <c r="P877" s="1720"/>
    </row>
    <row r="878" spans="1:16" ht="13.9" hidden="1" customHeight="1" outlineLevel="3" x14ac:dyDescent="0.2">
      <c r="A878" s="459">
        <v>0</v>
      </c>
      <c r="B878" s="459">
        <v>7</v>
      </c>
      <c r="C878" s="459">
        <v>8</v>
      </c>
      <c r="D878" s="460">
        <v>2</v>
      </c>
      <c r="E878" s="460">
        <v>1</v>
      </c>
      <c r="G878" s="1748" t="s">
        <v>18</v>
      </c>
      <c r="H878" s="1749" t="s">
        <v>1239</v>
      </c>
      <c r="I878" s="1750" t="s">
        <v>6660</v>
      </c>
      <c r="J878" s="1751" t="s">
        <v>2796</v>
      </c>
      <c r="K878" s="1752" t="s">
        <v>1130</v>
      </c>
      <c r="L878" s="1753">
        <v>1</v>
      </c>
      <c r="M878" s="1753">
        <v>74977.443396127797</v>
      </c>
      <c r="N878" s="1754">
        <v>74977.443396127797</v>
      </c>
      <c r="O878" s="1755" t="s">
        <v>3285</v>
      </c>
      <c r="P878" s="1721" t="s">
        <v>9611</v>
      </c>
    </row>
    <row r="879" spans="1:16" ht="13.9" hidden="1" customHeight="1" outlineLevel="2" x14ac:dyDescent="0.2">
      <c r="A879" s="459">
        <v>0</v>
      </c>
      <c r="B879" s="459">
        <v>7</v>
      </c>
      <c r="C879" s="459">
        <v>8</v>
      </c>
      <c r="D879" s="460">
        <v>3</v>
      </c>
      <c r="E879" s="460">
        <v>0</v>
      </c>
      <c r="G879" s="1764"/>
      <c r="H879" s="1741" t="s">
        <v>1238</v>
      </c>
      <c r="I879" s="1742" t="s">
        <v>6661</v>
      </c>
      <c r="J879" s="1743" t="s">
        <v>2797</v>
      </c>
      <c r="K879" s="1744"/>
      <c r="L879" s="1745"/>
      <c r="M879" s="1745"/>
      <c r="N879" s="1746">
        <v>252</v>
      </c>
      <c r="O879" s="1747"/>
      <c r="P879" s="1720"/>
    </row>
    <row r="880" spans="1:16" ht="13.9" hidden="1" customHeight="1" outlineLevel="3" x14ac:dyDescent="0.2">
      <c r="A880" s="459">
        <v>0</v>
      </c>
      <c r="B880" s="459">
        <v>7</v>
      </c>
      <c r="C880" s="459">
        <v>8</v>
      </c>
      <c r="D880" s="460">
        <v>3</v>
      </c>
      <c r="E880" s="460">
        <v>1</v>
      </c>
      <c r="G880" s="1748" t="s">
        <v>18</v>
      </c>
      <c r="H880" s="1749" t="s">
        <v>1239</v>
      </c>
      <c r="I880" s="1750" t="s">
        <v>6662</v>
      </c>
      <c r="J880" s="1751" t="s">
        <v>2797</v>
      </c>
      <c r="K880" s="1752" t="s">
        <v>1130</v>
      </c>
      <c r="L880" s="1753">
        <v>1</v>
      </c>
      <c r="M880" s="1753">
        <v>252</v>
      </c>
      <c r="N880" s="1754">
        <v>252</v>
      </c>
      <c r="O880" s="1755" t="s">
        <v>3288</v>
      </c>
      <c r="P880" s="1721" t="s">
        <v>9611</v>
      </c>
    </row>
    <row r="881" spans="1:16" ht="13.9" hidden="1" customHeight="1" outlineLevel="2" x14ac:dyDescent="0.2">
      <c r="A881" s="459">
        <v>0</v>
      </c>
      <c r="B881" s="459">
        <v>7</v>
      </c>
      <c r="C881" s="459">
        <v>8</v>
      </c>
      <c r="D881" s="460">
        <v>4</v>
      </c>
      <c r="E881" s="460">
        <v>0</v>
      </c>
      <c r="G881" s="1764"/>
      <c r="H881" s="1741" t="s">
        <v>1238</v>
      </c>
      <c r="I881" s="1742" t="s">
        <v>6663</v>
      </c>
      <c r="J881" s="1743" t="s">
        <v>1256</v>
      </c>
      <c r="K881" s="1744"/>
      <c r="L881" s="1745"/>
      <c r="M881" s="1745"/>
      <c r="N881" s="1746">
        <v>28957.66</v>
      </c>
      <c r="O881" s="1747"/>
      <c r="P881" s="1720"/>
    </row>
    <row r="882" spans="1:16" ht="13.9" hidden="1" customHeight="1" outlineLevel="3" x14ac:dyDescent="0.2">
      <c r="A882" s="459">
        <v>0</v>
      </c>
      <c r="B882" s="459">
        <v>7</v>
      </c>
      <c r="C882" s="459">
        <v>8</v>
      </c>
      <c r="D882" s="460">
        <v>4</v>
      </c>
      <c r="E882" s="460">
        <v>1</v>
      </c>
      <c r="G882" s="1748" t="s">
        <v>18</v>
      </c>
      <c r="H882" s="1749" t="s">
        <v>1239</v>
      </c>
      <c r="I882" s="1750" t="s">
        <v>6664</v>
      </c>
      <c r="J882" s="1751" t="s">
        <v>1257</v>
      </c>
      <c r="K882" s="1752" t="s">
        <v>1130</v>
      </c>
      <c r="L882" s="1753">
        <v>1</v>
      </c>
      <c r="M882" s="1753">
        <v>28957.66</v>
      </c>
      <c r="N882" s="1754">
        <v>28957.66</v>
      </c>
      <c r="O882" s="1761" t="s">
        <v>5458</v>
      </c>
      <c r="P882" s="1721" t="s">
        <v>9611</v>
      </c>
    </row>
    <row r="883" spans="1:16" ht="13.9" hidden="1" customHeight="1" outlineLevel="1" x14ac:dyDescent="0.2">
      <c r="A883" s="459">
        <v>0</v>
      </c>
      <c r="B883" s="459">
        <v>7</v>
      </c>
      <c r="C883" s="459">
        <v>9</v>
      </c>
      <c r="D883" s="460">
        <v>0</v>
      </c>
      <c r="E883" s="460">
        <v>1</v>
      </c>
      <c r="G883" s="1733"/>
      <c r="H883" s="1734" t="s">
        <v>39</v>
      </c>
      <c r="I883" s="1735" t="s">
        <v>6665</v>
      </c>
      <c r="J883" s="1736" t="s">
        <v>3297</v>
      </c>
      <c r="K883" s="1737"/>
      <c r="L883" s="1738"/>
      <c r="M883" s="1738"/>
      <c r="N883" s="1739">
        <v>161488.91655904599</v>
      </c>
      <c r="O883" s="1722"/>
      <c r="P883" s="1725"/>
    </row>
    <row r="884" spans="1:16" ht="13.9" hidden="1" customHeight="1" outlineLevel="2" x14ac:dyDescent="0.2">
      <c r="A884" s="459">
        <v>0</v>
      </c>
      <c r="B884" s="459">
        <v>7</v>
      </c>
      <c r="C884" s="459">
        <v>9</v>
      </c>
      <c r="D884" s="460">
        <v>1</v>
      </c>
      <c r="E884" s="460">
        <v>0</v>
      </c>
      <c r="G884" s="1764"/>
      <c r="H884" s="1741" t="s">
        <v>1238</v>
      </c>
      <c r="I884" s="1742" t="s">
        <v>6666</v>
      </c>
      <c r="J884" s="1743" t="s">
        <v>2521</v>
      </c>
      <c r="K884" s="1744"/>
      <c r="L884" s="1745"/>
      <c r="M884" s="1745"/>
      <c r="N884" s="1746">
        <v>75503.946584484002</v>
      </c>
      <c r="O884" s="1747"/>
      <c r="P884" s="1720"/>
    </row>
    <row r="885" spans="1:16" ht="13.9" hidden="1" customHeight="1" outlineLevel="3" x14ac:dyDescent="0.2">
      <c r="A885" s="459">
        <v>0</v>
      </c>
      <c r="B885" s="459">
        <v>7</v>
      </c>
      <c r="C885" s="459">
        <v>9</v>
      </c>
      <c r="D885" s="460">
        <v>1</v>
      </c>
      <c r="E885" s="460">
        <v>1</v>
      </c>
      <c r="G885" s="1748" t="s">
        <v>18</v>
      </c>
      <c r="H885" s="1749" t="s">
        <v>1239</v>
      </c>
      <c r="I885" s="1750" t="s">
        <v>6667</v>
      </c>
      <c r="J885" s="1751" t="s">
        <v>3287</v>
      </c>
      <c r="K885" s="1752" t="s">
        <v>1130</v>
      </c>
      <c r="L885" s="1753">
        <v>1</v>
      </c>
      <c r="M885" s="1753">
        <v>75503.946584484002</v>
      </c>
      <c r="N885" s="1754">
        <v>75503.946584484002</v>
      </c>
      <c r="O885" s="1755" t="s">
        <v>3285</v>
      </c>
      <c r="P885" s="1721" t="s">
        <v>9611</v>
      </c>
    </row>
    <row r="886" spans="1:16" ht="13.9" hidden="1" customHeight="1" outlineLevel="2" x14ac:dyDescent="0.2">
      <c r="A886" s="459">
        <v>0</v>
      </c>
      <c r="B886" s="459">
        <v>7</v>
      </c>
      <c r="C886" s="459">
        <v>9</v>
      </c>
      <c r="D886" s="460">
        <v>2</v>
      </c>
      <c r="E886" s="460">
        <v>0</v>
      </c>
      <c r="G886" s="1764"/>
      <c r="H886" s="1741" t="s">
        <v>1238</v>
      </c>
      <c r="I886" s="1742" t="s">
        <v>6668</v>
      </c>
      <c r="J886" s="1743" t="s">
        <v>2796</v>
      </c>
      <c r="K886" s="1744"/>
      <c r="L886" s="1745"/>
      <c r="M886" s="1745"/>
      <c r="N886" s="1746">
        <v>65692.2299745622</v>
      </c>
      <c r="O886" s="1747"/>
      <c r="P886" s="1720"/>
    </row>
    <row r="887" spans="1:16" ht="13.9" hidden="1" customHeight="1" outlineLevel="3" x14ac:dyDescent="0.2">
      <c r="A887" s="459">
        <v>0</v>
      </c>
      <c r="B887" s="459">
        <v>7</v>
      </c>
      <c r="C887" s="459">
        <v>9</v>
      </c>
      <c r="D887" s="460">
        <v>2</v>
      </c>
      <c r="E887" s="460">
        <v>1</v>
      </c>
      <c r="G887" s="1748" t="s">
        <v>18</v>
      </c>
      <c r="H887" s="1749" t="s">
        <v>1239</v>
      </c>
      <c r="I887" s="1750" t="s">
        <v>6669</v>
      </c>
      <c r="J887" s="1751" t="s">
        <v>2796</v>
      </c>
      <c r="K887" s="1752" t="s">
        <v>1130</v>
      </c>
      <c r="L887" s="1753">
        <v>1</v>
      </c>
      <c r="M887" s="1753">
        <v>65692.229974562186</v>
      </c>
      <c r="N887" s="1754">
        <v>65692.2299745622</v>
      </c>
      <c r="O887" s="1755" t="s">
        <v>3285</v>
      </c>
      <c r="P887" s="1721" t="s">
        <v>9611</v>
      </c>
    </row>
    <row r="888" spans="1:16" ht="13.9" hidden="1" customHeight="1" outlineLevel="2" x14ac:dyDescent="0.2">
      <c r="A888" s="459">
        <v>0</v>
      </c>
      <c r="B888" s="459">
        <v>7</v>
      </c>
      <c r="C888" s="459">
        <v>9</v>
      </c>
      <c r="D888" s="460">
        <v>3</v>
      </c>
      <c r="E888" s="460">
        <v>0</v>
      </c>
      <c r="G888" s="1764"/>
      <c r="H888" s="1741" t="s">
        <v>1238</v>
      </c>
      <c r="I888" s="1742" t="s">
        <v>6670</v>
      </c>
      <c r="J888" s="1743" t="s">
        <v>2797</v>
      </c>
      <c r="K888" s="1744"/>
      <c r="L888" s="1745"/>
      <c r="M888" s="1745"/>
      <c r="N888" s="1746">
        <v>252</v>
      </c>
      <c r="O888" s="1747"/>
      <c r="P888" s="1720"/>
    </row>
    <row r="889" spans="1:16" ht="13.9" hidden="1" customHeight="1" outlineLevel="3" x14ac:dyDescent="0.2">
      <c r="A889" s="459">
        <v>0</v>
      </c>
      <c r="B889" s="459">
        <v>7</v>
      </c>
      <c r="C889" s="459">
        <v>9</v>
      </c>
      <c r="D889" s="460">
        <v>3</v>
      </c>
      <c r="E889" s="460">
        <v>1</v>
      </c>
      <c r="G889" s="1748" t="s">
        <v>18</v>
      </c>
      <c r="H889" s="1749" t="s">
        <v>1239</v>
      </c>
      <c r="I889" s="1750" t="s">
        <v>6671</v>
      </c>
      <c r="J889" s="1751" t="s">
        <v>2797</v>
      </c>
      <c r="K889" s="1752" t="s">
        <v>1130</v>
      </c>
      <c r="L889" s="1753">
        <v>1</v>
      </c>
      <c r="M889" s="1753">
        <v>252</v>
      </c>
      <c r="N889" s="1754">
        <v>252</v>
      </c>
      <c r="O889" s="1755" t="s">
        <v>3288</v>
      </c>
      <c r="P889" s="1721" t="s">
        <v>9611</v>
      </c>
    </row>
    <row r="890" spans="1:16" ht="13.9" hidden="1" customHeight="1" outlineLevel="2" x14ac:dyDescent="0.2">
      <c r="A890" s="459">
        <v>0</v>
      </c>
      <c r="B890" s="459">
        <v>7</v>
      </c>
      <c r="C890" s="459">
        <v>9</v>
      </c>
      <c r="D890" s="460">
        <v>4</v>
      </c>
      <c r="E890" s="460">
        <v>0</v>
      </c>
      <c r="G890" s="1764"/>
      <c r="H890" s="1741" t="s">
        <v>1238</v>
      </c>
      <c r="I890" s="1742" t="s">
        <v>6672</v>
      </c>
      <c r="J890" s="1743" t="s">
        <v>1256</v>
      </c>
      <c r="K890" s="1744"/>
      <c r="L890" s="1745"/>
      <c r="M890" s="1745"/>
      <c r="N890" s="1746">
        <v>20040.740000000002</v>
      </c>
      <c r="O890" s="1747"/>
      <c r="P890" s="1720"/>
    </row>
    <row r="891" spans="1:16" ht="13.9" hidden="1" customHeight="1" outlineLevel="3" x14ac:dyDescent="0.2">
      <c r="A891" s="459">
        <v>0</v>
      </c>
      <c r="B891" s="459">
        <v>7</v>
      </c>
      <c r="C891" s="459">
        <v>9</v>
      </c>
      <c r="D891" s="460">
        <v>4</v>
      </c>
      <c r="E891" s="460">
        <v>1</v>
      </c>
      <c r="G891" s="1748" t="s">
        <v>18</v>
      </c>
      <c r="H891" s="1749" t="s">
        <v>1239</v>
      </c>
      <c r="I891" s="1750" t="s">
        <v>6673</v>
      </c>
      <c r="J891" s="1751" t="s">
        <v>1257</v>
      </c>
      <c r="K891" s="1752" t="s">
        <v>1130</v>
      </c>
      <c r="L891" s="1753">
        <v>1</v>
      </c>
      <c r="M891" s="1753">
        <v>20040.739999999998</v>
      </c>
      <c r="N891" s="1754">
        <v>20040.740000000002</v>
      </c>
      <c r="O891" s="1761" t="s">
        <v>5458</v>
      </c>
      <c r="P891" s="1721" t="s">
        <v>9611</v>
      </c>
    </row>
    <row r="892" spans="1:16" ht="13.9" hidden="1" customHeight="1" outlineLevel="1" x14ac:dyDescent="0.2">
      <c r="A892" s="459">
        <v>0</v>
      </c>
      <c r="B892" s="459">
        <v>7</v>
      </c>
      <c r="C892" s="459">
        <v>10</v>
      </c>
      <c r="D892" s="460">
        <v>0</v>
      </c>
      <c r="E892" s="460">
        <v>1</v>
      </c>
      <c r="G892" s="1733"/>
      <c r="H892" s="1734" t="s">
        <v>39</v>
      </c>
      <c r="I892" s="1735" t="s">
        <v>6674</v>
      </c>
      <c r="J892" s="1736" t="s">
        <v>3298</v>
      </c>
      <c r="K892" s="1737"/>
      <c r="L892" s="1738"/>
      <c r="M892" s="1738"/>
      <c r="N892" s="1739">
        <v>615624.03766277805</v>
      </c>
      <c r="O892" s="1722"/>
      <c r="P892" s="1725"/>
    </row>
    <row r="893" spans="1:16" ht="13.9" hidden="1" customHeight="1" outlineLevel="2" x14ac:dyDescent="0.2">
      <c r="A893" s="459">
        <v>0</v>
      </c>
      <c r="B893" s="459">
        <v>7</v>
      </c>
      <c r="C893" s="459">
        <v>10</v>
      </c>
      <c r="D893" s="460">
        <v>1</v>
      </c>
      <c r="E893" s="460">
        <v>0</v>
      </c>
      <c r="G893" s="1764"/>
      <c r="H893" s="1741" t="s">
        <v>1238</v>
      </c>
      <c r="I893" s="1742" t="s">
        <v>6675</v>
      </c>
      <c r="J893" s="1743" t="s">
        <v>2521</v>
      </c>
      <c r="K893" s="1744"/>
      <c r="L893" s="1745"/>
      <c r="M893" s="1745"/>
      <c r="N893" s="1746">
        <v>201471.08802380101</v>
      </c>
      <c r="O893" s="1747"/>
      <c r="P893" s="1720"/>
    </row>
    <row r="894" spans="1:16" ht="13.9" hidden="1" customHeight="1" outlineLevel="3" x14ac:dyDescent="0.2">
      <c r="A894" s="459">
        <v>0</v>
      </c>
      <c r="B894" s="459">
        <v>7</v>
      </c>
      <c r="C894" s="459">
        <v>10</v>
      </c>
      <c r="D894" s="460">
        <v>1</v>
      </c>
      <c r="E894" s="460">
        <v>1</v>
      </c>
      <c r="G894" s="1748" t="s">
        <v>18</v>
      </c>
      <c r="H894" s="1749" t="s">
        <v>1239</v>
      </c>
      <c r="I894" s="1750" t="s">
        <v>6676</v>
      </c>
      <c r="J894" s="1751" t="s">
        <v>3287</v>
      </c>
      <c r="K894" s="1752" t="s">
        <v>1130</v>
      </c>
      <c r="L894" s="1753">
        <v>1</v>
      </c>
      <c r="M894" s="1753">
        <v>201471.08802380069</v>
      </c>
      <c r="N894" s="1754">
        <v>201471.08802380101</v>
      </c>
      <c r="O894" s="1755" t="s">
        <v>3285</v>
      </c>
      <c r="P894" s="1721" t="s">
        <v>9611</v>
      </c>
    </row>
    <row r="895" spans="1:16" ht="13.9" hidden="1" customHeight="1" outlineLevel="2" x14ac:dyDescent="0.2">
      <c r="A895" s="459">
        <v>0</v>
      </c>
      <c r="B895" s="459">
        <v>7</v>
      </c>
      <c r="C895" s="459">
        <v>10</v>
      </c>
      <c r="D895" s="460">
        <v>2</v>
      </c>
      <c r="E895" s="460">
        <v>0</v>
      </c>
      <c r="G895" s="1764"/>
      <c r="H895" s="1741" t="s">
        <v>1238</v>
      </c>
      <c r="I895" s="1742" t="s">
        <v>6677</v>
      </c>
      <c r="J895" s="1743" t="s">
        <v>2796</v>
      </c>
      <c r="K895" s="1744"/>
      <c r="L895" s="1745"/>
      <c r="M895" s="1745"/>
      <c r="N895" s="1746">
        <v>270753.84963897802</v>
      </c>
      <c r="O895" s="1747"/>
      <c r="P895" s="1720"/>
    </row>
    <row r="896" spans="1:16" ht="13.9" hidden="1" customHeight="1" outlineLevel="3" x14ac:dyDescent="0.2">
      <c r="A896" s="459">
        <v>0</v>
      </c>
      <c r="B896" s="459">
        <v>7</v>
      </c>
      <c r="C896" s="459">
        <v>10</v>
      </c>
      <c r="D896" s="460">
        <v>2</v>
      </c>
      <c r="E896" s="460">
        <v>1</v>
      </c>
      <c r="G896" s="1748" t="s">
        <v>18</v>
      </c>
      <c r="H896" s="1749" t="s">
        <v>1239</v>
      </c>
      <c r="I896" s="1750" t="s">
        <v>6678</v>
      </c>
      <c r="J896" s="1751" t="s">
        <v>2796</v>
      </c>
      <c r="K896" s="1752" t="s">
        <v>1130</v>
      </c>
      <c r="L896" s="1753">
        <v>1</v>
      </c>
      <c r="M896" s="1753">
        <v>270753.84963897767</v>
      </c>
      <c r="N896" s="1754">
        <v>270753.84963897802</v>
      </c>
      <c r="O896" s="1755" t="s">
        <v>3285</v>
      </c>
      <c r="P896" s="1721" t="s">
        <v>9611</v>
      </c>
    </row>
    <row r="897" spans="1:16" ht="13.9" hidden="1" customHeight="1" outlineLevel="2" x14ac:dyDescent="0.2">
      <c r="A897" s="459">
        <v>0</v>
      </c>
      <c r="B897" s="459">
        <v>7</v>
      </c>
      <c r="C897" s="459">
        <v>10</v>
      </c>
      <c r="D897" s="460">
        <v>3</v>
      </c>
      <c r="E897" s="460">
        <v>0</v>
      </c>
      <c r="G897" s="1764"/>
      <c r="H897" s="1741" t="s">
        <v>1238</v>
      </c>
      <c r="I897" s="1742" t="s">
        <v>6679</v>
      </c>
      <c r="J897" s="1743" t="s">
        <v>2797</v>
      </c>
      <c r="K897" s="1744"/>
      <c r="L897" s="1745"/>
      <c r="M897" s="1745"/>
      <c r="N897" s="1746">
        <v>2016</v>
      </c>
      <c r="O897" s="1747"/>
      <c r="P897" s="1720"/>
    </row>
    <row r="898" spans="1:16" ht="13.9" hidden="1" customHeight="1" outlineLevel="3" x14ac:dyDescent="0.2">
      <c r="A898" s="459">
        <v>0</v>
      </c>
      <c r="B898" s="459">
        <v>7</v>
      </c>
      <c r="C898" s="459">
        <v>10</v>
      </c>
      <c r="D898" s="460">
        <v>3</v>
      </c>
      <c r="E898" s="460">
        <v>1</v>
      </c>
      <c r="G898" s="1748" t="s">
        <v>18</v>
      </c>
      <c r="H898" s="1749" t="s">
        <v>1239</v>
      </c>
      <c r="I898" s="1750" t="s">
        <v>6680</v>
      </c>
      <c r="J898" s="1751" t="s">
        <v>2797</v>
      </c>
      <c r="K898" s="1752" t="s">
        <v>1130</v>
      </c>
      <c r="L898" s="1753">
        <v>1</v>
      </c>
      <c r="M898" s="1753">
        <v>2016</v>
      </c>
      <c r="N898" s="1754">
        <v>2016</v>
      </c>
      <c r="O898" s="1755" t="s">
        <v>3288</v>
      </c>
      <c r="P898" s="1721" t="s">
        <v>9611</v>
      </c>
    </row>
    <row r="899" spans="1:16" ht="13.9" hidden="1" customHeight="1" outlineLevel="2" x14ac:dyDescent="0.2">
      <c r="A899" s="459">
        <v>0</v>
      </c>
      <c r="B899" s="459">
        <v>7</v>
      </c>
      <c r="C899" s="459">
        <v>10</v>
      </c>
      <c r="D899" s="460">
        <v>4</v>
      </c>
      <c r="E899" s="460">
        <v>0</v>
      </c>
      <c r="G899" s="1764"/>
      <c r="H899" s="1741" t="s">
        <v>1238</v>
      </c>
      <c r="I899" s="1742" t="s">
        <v>6681</v>
      </c>
      <c r="J899" s="1743" t="s">
        <v>2522</v>
      </c>
      <c r="K899" s="1744"/>
      <c r="L899" s="1745"/>
      <c r="M899" s="1745"/>
      <c r="N899" s="1746">
        <v>600.86</v>
      </c>
      <c r="O899" s="1747"/>
      <c r="P899" s="1720"/>
    </row>
    <row r="900" spans="1:16" ht="13.9" hidden="1" customHeight="1" outlineLevel="3" x14ac:dyDescent="0.2">
      <c r="A900" s="459">
        <v>0</v>
      </c>
      <c r="B900" s="459">
        <v>7</v>
      </c>
      <c r="C900" s="459">
        <v>10</v>
      </c>
      <c r="D900" s="460">
        <v>4</v>
      </c>
      <c r="E900" s="460">
        <v>1</v>
      </c>
      <c r="G900" s="1748" t="s">
        <v>18</v>
      </c>
      <c r="H900" s="1749" t="s">
        <v>1239</v>
      </c>
      <c r="I900" s="1750" t="s">
        <v>6682</v>
      </c>
      <c r="J900" s="1751" t="s">
        <v>2522</v>
      </c>
      <c r="K900" s="1752" t="s">
        <v>1130</v>
      </c>
      <c r="L900" s="1753">
        <v>1</v>
      </c>
      <c r="M900" s="1753">
        <v>600.86</v>
      </c>
      <c r="N900" s="1754">
        <v>600.86</v>
      </c>
      <c r="O900" s="1755" t="s">
        <v>3289</v>
      </c>
      <c r="P900" s="1721" t="s">
        <v>9611</v>
      </c>
    </row>
    <row r="901" spans="1:16" ht="13.9" hidden="1" customHeight="1" outlineLevel="2" x14ac:dyDescent="0.2">
      <c r="A901" s="459">
        <v>0</v>
      </c>
      <c r="B901" s="459">
        <v>7</v>
      </c>
      <c r="C901" s="459">
        <v>10</v>
      </c>
      <c r="D901" s="460">
        <v>5</v>
      </c>
      <c r="E901" s="460">
        <v>0</v>
      </c>
      <c r="G901" s="1764"/>
      <c r="H901" s="1741" t="s">
        <v>1238</v>
      </c>
      <c r="I901" s="1742" t="s">
        <v>6683</v>
      </c>
      <c r="J901" s="1743" t="s">
        <v>1256</v>
      </c>
      <c r="K901" s="1744"/>
      <c r="L901" s="1745"/>
      <c r="M901" s="1745"/>
      <c r="N901" s="1746">
        <v>140782.24</v>
      </c>
      <c r="O901" s="1747"/>
      <c r="P901" s="1720"/>
    </row>
    <row r="902" spans="1:16" ht="13.9" hidden="1" customHeight="1" outlineLevel="3" x14ac:dyDescent="0.2">
      <c r="A902" s="459">
        <v>0</v>
      </c>
      <c r="B902" s="459">
        <v>7</v>
      </c>
      <c r="C902" s="459">
        <v>10</v>
      </c>
      <c r="D902" s="460">
        <v>5</v>
      </c>
      <c r="E902" s="460">
        <v>1</v>
      </c>
      <c r="G902" s="1748" t="s">
        <v>18</v>
      </c>
      <c r="H902" s="1749" t="s">
        <v>1239</v>
      </c>
      <c r="I902" s="1750" t="s">
        <v>6684</v>
      </c>
      <c r="J902" s="1751" t="s">
        <v>1257</v>
      </c>
      <c r="K902" s="1752" t="s">
        <v>1130</v>
      </c>
      <c r="L902" s="1753">
        <v>1</v>
      </c>
      <c r="M902" s="1753">
        <v>140782.24000000002</v>
      </c>
      <c r="N902" s="1754">
        <v>140782.24</v>
      </c>
      <c r="O902" s="1761" t="s">
        <v>5458</v>
      </c>
      <c r="P902" s="1721" t="s">
        <v>9611</v>
      </c>
    </row>
    <row r="903" spans="1:16" ht="13.9" hidden="1" customHeight="1" outlineLevel="1" x14ac:dyDescent="0.2">
      <c r="A903" s="459">
        <v>0</v>
      </c>
      <c r="B903" s="459">
        <v>7</v>
      </c>
      <c r="C903" s="459">
        <v>11</v>
      </c>
      <c r="D903" s="460">
        <v>0</v>
      </c>
      <c r="E903" s="460">
        <v>1</v>
      </c>
      <c r="G903" s="1733"/>
      <c r="H903" s="1734" t="s">
        <v>39</v>
      </c>
      <c r="I903" s="1735" t="s">
        <v>6685</v>
      </c>
      <c r="J903" s="1736" t="s">
        <v>3299</v>
      </c>
      <c r="K903" s="1737"/>
      <c r="L903" s="1738"/>
      <c r="M903" s="1738"/>
      <c r="N903" s="1739">
        <v>578435.10566785198</v>
      </c>
      <c r="O903" s="1722"/>
      <c r="P903" s="1725"/>
    </row>
    <row r="904" spans="1:16" ht="13.9" hidden="1" customHeight="1" outlineLevel="2" x14ac:dyDescent="0.2">
      <c r="A904" s="459">
        <v>0</v>
      </c>
      <c r="B904" s="459">
        <v>7</v>
      </c>
      <c r="C904" s="459">
        <v>11</v>
      </c>
      <c r="D904" s="460">
        <v>1</v>
      </c>
      <c r="E904" s="460">
        <v>0</v>
      </c>
      <c r="G904" s="1764"/>
      <c r="H904" s="1741" t="s">
        <v>1238</v>
      </c>
      <c r="I904" s="1742" t="s">
        <v>6686</v>
      </c>
      <c r="J904" s="1743" t="s">
        <v>2521</v>
      </c>
      <c r="K904" s="1744"/>
      <c r="L904" s="1745"/>
      <c r="M904" s="1745"/>
      <c r="N904" s="1746">
        <v>116667.34070267501</v>
      </c>
      <c r="O904" s="1747"/>
      <c r="P904" s="1720"/>
    </row>
    <row r="905" spans="1:16" ht="13.9" hidden="1" customHeight="1" outlineLevel="3" x14ac:dyDescent="0.2">
      <c r="A905" s="459">
        <v>0</v>
      </c>
      <c r="B905" s="459">
        <v>7</v>
      </c>
      <c r="C905" s="459">
        <v>11</v>
      </c>
      <c r="D905" s="460">
        <v>1</v>
      </c>
      <c r="E905" s="460">
        <v>1</v>
      </c>
      <c r="G905" s="1748" t="s">
        <v>18</v>
      </c>
      <c r="H905" s="1749" t="s">
        <v>1239</v>
      </c>
      <c r="I905" s="1750" t="s">
        <v>6687</v>
      </c>
      <c r="J905" s="1751" t="s">
        <v>3287</v>
      </c>
      <c r="K905" s="1752" t="s">
        <v>1130</v>
      </c>
      <c r="L905" s="1753">
        <v>1</v>
      </c>
      <c r="M905" s="1753">
        <v>116667.34070267536</v>
      </c>
      <c r="N905" s="1754">
        <v>116667.34070267501</v>
      </c>
      <c r="O905" s="1755" t="s">
        <v>3285</v>
      </c>
      <c r="P905" s="1721" t="s">
        <v>9611</v>
      </c>
    </row>
    <row r="906" spans="1:16" ht="13.9" hidden="1" customHeight="1" outlineLevel="2" x14ac:dyDescent="0.2">
      <c r="A906" s="459">
        <v>0</v>
      </c>
      <c r="B906" s="459">
        <v>7</v>
      </c>
      <c r="C906" s="459">
        <v>11</v>
      </c>
      <c r="D906" s="460">
        <v>2</v>
      </c>
      <c r="E906" s="460">
        <v>0</v>
      </c>
      <c r="G906" s="1764"/>
      <c r="H906" s="1741" t="s">
        <v>1238</v>
      </c>
      <c r="I906" s="1742" t="s">
        <v>6688</v>
      </c>
      <c r="J906" s="1743" t="s">
        <v>2796</v>
      </c>
      <c r="K906" s="1744"/>
      <c r="L906" s="1745"/>
      <c r="M906" s="1745"/>
      <c r="N906" s="1746">
        <v>67666.724965176807</v>
      </c>
      <c r="O906" s="1747"/>
      <c r="P906" s="1720"/>
    </row>
    <row r="907" spans="1:16" ht="13.9" hidden="1" customHeight="1" outlineLevel="3" x14ac:dyDescent="0.2">
      <c r="A907" s="459">
        <v>0</v>
      </c>
      <c r="B907" s="459">
        <v>7</v>
      </c>
      <c r="C907" s="459">
        <v>11</v>
      </c>
      <c r="D907" s="460">
        <v>2</v>
      </c>
      <c r="E907" s="460">
        <v>1</v>
      </c>
      <c r="G907" s="1748" t="s">
        <v>18</v>
      </c>
      <c r="H907" s="1749" t="s">
        <v>1239</v>
      </c>
      <c r="I907" s="1750" t="s">
        <v>6689</v>
      </c>
      <c r="J907" s="1751" t="s">
        <v>2796</v>
      </c>
      <c r="K907" s="1752" t="s">
        <v>1130</v>
      </c>
      <c r="L907" s="1753">
        <v>1</v>
      </c>
      <c r="M907" s="1753">
        <v>67666.724965176836</v>
      </c>
      <c r="N907" s="1754">
        <v>67666.724965176807</v>
      </c>
      <c r="O907" s="1755" t="s">
        <v>3285</v>
      </c>
      <c r="P907" s="1721" t="s">
        <v>9611</v>
      </c>
    </row>
    <row r="908" spans="1:16" ht="13.9" hidden="1" customHeight="1" outlineLevel="2" x14ac:dyDescent="0.2">
      <c r="A908" s="459">
        <v>0</v>
      </c>
      <c r="B908" s="459">
        <v>7</v>
      </c>
      <c r="C908" s="459">
        <v>11</v>
      </c>
      <c r="D908" s="460">
        <v>3</v>
      </c>
      <c r="E908" s="460">
        <v>0</v>
      </c>
      <c r="G908" s="1764"/>
      <c r="H908" s="1741" t="s">
        <v>1238</v>
      </c>
      <c r="I908" s="1742" t="s">
        <v>6690</v>
      </c>
      <c r="J908" s="1743" t="s">
        <v>2797</v>
      </c>
      <c r="K908" s="1744"/>
      <c r="L908" s="1745"/>
      <c r="M908" s="1745"/>
      <c r="N908" s="1746">
        <v>5544</v>
      </c>
      <c r="O908" s="1747"/>
      <c r="P908" s="1720"/>
    </row>
    <row r="909" spans="1:16" ht="13.9" hidden="1" customHeight="1" outlineLevel="3" x14ac:dyDescent="0.2">
      <c r="A909" s="459">
        <v>0</v>
      </c>
      <c r="B909" s="459">
        <v>7</v>
      </c>
      <c r="C909" s="459">
        <v>11</v>
      </c>
      <c r="D909" s="460">
        <v>3</v>
      </c>
      <c r="E909" s="460">
        <v>1</v>
      </c>
      <c r="G909" s="1748" t="s">
        <v>18</v>
      </c>
      <c r="H909" s="1749" t="s">
        <v>1239</v>
      </c>
      <c r="I909" s="1750" t="s">
        <v>6691</v>
      </c>
      <c r="J909" s="1751" t="s">
        <v>2797</v>
      </c>
      <c r="K909" s="1752" t="s">
        <v>1130</v>
      </c>
      <c r="L909" s="1753">
        <v>1</v>
      </c>
      <c r="M909" s="1753">
        <v>5544</v>
      </c>
      <c r="N909" s="1754">
        <v>5544</v>
      </c>
      <c r="O909" s="1755" t="s">
        <v>3288</v>
      </c>
      <c r="P909" s="1721" t="s">
        <v>9611</v>
      </c>
    </row>
    <row r="910" spans="1:16" ht="13.9" hidden="1" customHeight="1" outlineLevel="2" x14ac:dyDescent="0.2">
      <c r="A910" s="459">
        <v>0</v>
      </c>
      <c r="B910" s="459">
        <v>7</v>
      </c>
      <c r="C910" s="459">
        <v>11</v>
      </c>
      <c r="D910" s="460">
        <v>4</v>
      </c>
      <c r="E910" s="460">
        <v>0</v>
      </c>
      <c r="G910" s="1764"/>
      <c r="H910" s="1741" t="s">
        <v>1238</v>
      </c>
      <c r="I910" s="1742" t="s">
        <v>6692</v>
      </c>
      <c r="J910" s="1743" t="s">
        <v>2522</v>
      </c>
      <c r="K910" s="1744"/>
      <c r="L910" s="1745"/>
      <c r="M910" s="1745"/>
      <c r="N910" s="1746">
        <v>1201.72</v>
      </c>
      <c r="O910" s="1747"/>
      <c r="P910" s="1720"/>
    </row>
    <row r="911" spans="1:16" ht="13.9" hidden="1" customHeight="1" outlineLevel="3" x14ac:dyDescent="0.2">
      <c r="A911" s="459">
        <v>0</v>
      </c>
      <c r="B911" s="459">
        <v>7</v>
      </c>
      <c r="C911" s="459">
        <v>11</v>
      </c>
      <c r="D911" s="460">
        <v>4</v>
      </c>
      <c r="E911" s="460">
        <v>1</v>
      </c>
      <c r="G911" s="1748" t="s">
        <v>18</v>
      </c>
      <c r="H911" s="1749" t="s">
        <v>1239</v>
      </c>
      <c r="I911" s="1750" t="s">
        <v>6693</v>
      </c>
      <c r="J911" s="1751" t="s">
        <v>2522</v>
      </c>
      <c r="K911" s="1752" t="s">
        <v>1130</v>
      </c>
      <c r="L911" s="1753">
        <v>1</v>
      </c>
      <c r="M911" s="1753">
        <v>1201.72</v>
      </c>
      <c r="N911" s="1754">
        <v>1201.72</v>
      </c>
      <c r="O911" s="1755" t="s">
        <v>3289</v>
      </c>
      <c r="P911" s="1721" t="s">
        <v>9611</v>
      </c>
    </row>
    <row r="912" spans="1:16" ht="13.9" hidden="1" customHeight="1" outlineLevel="2" x14ac:dyDescent="0.2">
      <c r="A912" s="459">
        <v>0</v>
      </c>
      <c r="B912" s="459">
        <v>7</v>
      </c>
      <c r="C912" s="459">
        <v>11</v>
      </c>
      <c r="D912" s="460">
        <v>5</v>
      </c>
      <c r="E912" s="460">
        <v>0</v>
      </c>
      <c r="G912" s="1764"/>
      <c r="H912" s="1741" t="s">
        <v>1238</v>
      </c>
      <c r="I912" s="1742" t="s">
        <v>6694</v>
      </c>
      <c r="J912" s="1743" t="s">
        <v>1256</v>
      </c>
      <c r="K912" s="1744"/>
      <c r="L912" s="1745"/>
      <c r="M912" s="1745"/>
      <c r="N912" s="1746">
        <v>387355.32</v>
      </c>
      <c r="O912" s="1747"/>
      <c r="P912" s="1720"/>
    </row>
    <row r="913" spans="1:16" ht="13.9" hidden="1" customHeight="1" outlineLevel="3" x14ac:dyDescent="0.2">
      <c r="A913" s="459">
        <v>0</v>
      </c>
      <c r="B913" s="459">
        <v>7</v>
      </c>
      <c r="C913" s="459">
        <v>11</v>
      </c>
      <c r="D913" s="460">
        <v>5</v>
      </c>
      <c r="E913" s="460">
        <v>1</v>
      </c>
      <c r="G913" s="1748" t="s">
        <v>18</v>
      </c>
      <c r="H913" s="1749" t="s">
        <v>1239</v>
      </c>
      <c r="I913" s="1750" t="s">
        <v>6695</v>
      </c>
      <c r="J913" s="1751" t="s">
        <v>1257</v>
      </c>
      <c r="K913" s="1752" t="s">
        <v>1130</v>
      </c>
      <c r="L913" s="1753">
        <v>1</v>
      </c>
      <c r="M913" s="1753">
        <v>387355.32</v>
      </c>
      <c r="N913" s="1754">
        <v>387355.32</v>
      </c>
      <c r="O913" s="1761" t="s">
        <v>5458</v>
      </c>
      <c r="P913" s="1721" t="s">
        <v>9611</v>
      </c>
    </row>
    <row r="914" spans="1:16" ht="13.9" hidden="1" customHeight="1" outlineLevel="1" x14ac:dyDescent="0.2">
      <c r="A914" s="459">
        <v>0</v>
      </c>
      <c r="B914" s="459">
        <v>7</v>
      </c>
      <c r="C914" s="459">
        <v>12</v>
      </c>
      <c r="D914" s="460">
        <v>0</v>
      </c>
      <c r="E914" s="460">
        <v>1</v>
      </c>
      <c r="G914" s="1733"/>
      <c r="H914" s="1734" t="s">
        <v>39</v>
      </c>
      <c r="I914" s="1735" t="s">
        <v>6696</v>
      </c>
      <c r="J914" s="1736" t="s">
        <v>3300</v>
      </c>
      <c r="K914" s="1737"/>
      <c r="L914" s="1738"/>
      <c r="M914" s="1738"/>
      <c r="N914" s="1739">
        <v>108194.941435812</v>
      </c>
      <c r="O914" s="1722"/>
      <c r="P914" s="1725"/>
    </row>
    <row r="915" spans="1:16" ht="13.9" hidden="1" customHeight="1" outlineLevel="2" x14ac:dyDescent="0.2">
      <c r="A915" s="459">
        <v>0</v>
      </c>
      <c r="B915" s="459">
        <v>7</v>
      </c>
      <c r="C915" s="459">
        <v>12</v>
      </c>
      <c r="D915" s="460">
        <v>1</v>
      </c>
      <c r="E915" s="460">
        <v>0</v>
      </c>
      <c r="G915" s="1764"/>
      <c r="H915" s="1741" t="s">
        <v>1238</v>
      </c>
      <c r="I915" s="1742" t="s">
        <v>6697</v>
      </c>
      <c r="J915" s="1743" t="s">
        <v>2521</v>
      </c>
      <c r="K915" s="1744"/>
      <c r="L915" s="1745"/>
      <c r="M915" s="1745"/>
      <c r="N915" s="1746">
        <v>60914.022071385298</v>
      </c>
      <c r="O915" s="1747"/>
      <c r="P915" s="1720"/>
    </row>
    <row r="916" spans="1:16" ht="13.9" hidden="1" customHeight="1" outlineLevel="3" x14ac:dyDescent="0.2">
      <c r="A916" s="459">
        <v>0</v>
      </c>
      <c r="B916" s="459">
        <v>7</v>
      </c>
      <c r="C916" s="459">
        <v>12</v>
      </c>
      <c r="D916" s="460">
        <v>1</v>
      </c>
      <c r="E916" s="460">
        <v>1</v>
      </c>
      <c r="G916" s="1748" t="s">
        <v>18</v>
      </c>
      <c r="H916" s="1749" t="s">
        <v>1239</v>
      </c>
      <c r="I916" s="1750" t="s">
        <v>6698</v>
      </c>
      <c r="J916" s="1751" t="s">
        <v>3287</v>
      </c>
      <c r="K916" s="1752" t="s">
        <v>1130</v>
      </c>
      <c r="L916" s="1753">
        <v>1</v>
      </c>
      <c r="M916" s="1753">
        <v>60914.022071385312</v>
      </c>
      <c r="N916" s="1754">
        <v>60914.022071385298</v>
      </c>
      <c r="O916" s="1755" t="s">
        <v>3285</v>
      </c>
      <c r="P916" s="1721" t="s">
        <v>9611</v>
      </c>
    </row>
    <row r="917" spans="1:16" ht="13.9" hidden="1" customHeight="1" outlineLevel="2" x14ac:dyDescent="0.2">
      <c r="A917" s="459">
        <v>0</v>
      </c>
      <c r="B917" s="459">
        <v>7</v>
      </c>
      <c r="C917" s="459">
        <v>12</v>
      </c>
      <c r="D917" s="460">
        <v>2</v>
      </c>
      <c r="E917" s="460">
        <v>0</v>
      </c>
      <c r="G917" s="1764"/>
      <c r="H917" s="1741" t="s">
        <v>1238</v>
      </c>
      <c r="I917" s="1742" t="s">
        <v>6699</v>
      </c>
      <c r="J917" s="1743" t="s">
        <v>2796</v>
      </c>
      <c r="K917" s="1744"/>
      <c r="L917" s="1745"/>
      <c r="M917" s="1745"/>
      <c r="N917" s="1746">
        <v>30037.239364426601</v>
      </c>
      <c r="O917" s="1747"/>
      <c r="P917" s="1720"/>
    </row>
    <row r="918" spans="1:16" ht="13.9" hidden="1" customHeight="1" outlineLevel="3" x14ac:dyDescent="0.2">
      <c r="A918" s="459">
        <v>0</v>
      </c>
      <c r="B918" s="459">
        <v>7</v>
      </c>
      <c r="C918" s="459">
        <v>12</v>
      </c>
      <c r="D918" s="460">
        <v>2</v>
      </c>
      <c r="E918" s="460">
        <v>1</v>
      </c>
      <c r="G918" s="1748" t="s">
        <v>18</v>
      </c>
      <c r="H918" s="1749" t="s">
        <v>1239</v>
      </c>
      <c r="I918" s="1750" t="s">
        <v>6700</v>
      </c>
      <c r="J918" s="1751" t="s">
        <v>2796</v>
      </c>
      <c r="K918" s="1752" t="s">
        <v>1130</v>
      </c>
      <c r="L918" s="1753">
        <v>1</v>
      </c>
      <c r="M918" s="1753">
        <v>30037.239364426649</v>
      </c>
      <c r="N918" s="1754">
        <v>30037.239364426601</v>
      </c>
      <c r="O918" s="1755" t="s">
        <v>3285</v>
      </c>
      <c r="P918" s="1721" t="s">
        <v>9611</v>
      </c>
    </row>
    <row r="919" spans="1:16" ht="13.9" hidden="1" customHeight="1" outlineLevel="2" x14ac:dyDescent="0.2">
      <c r="A919" s="459">
        <v>0</v>
      </c>
      <c r="B919" s="459">
        <v>7</v>
      </c>
      <c r="C919" s="459">
        <v>12</v>
      </c>
      <c r="D919" s="460">
        <v>3</v>
      </c>
      <c r="E919" s="460">
        <v>0</v>
      </c>
      <c r="G919" s="1764"/>
      <c r="H919" s="1741" t="s">
        <v>1238</v>
      </c>
      <c r="I919" s="1742" t="s">
        <v>6701</v>
      </c>
      <c r="J919" s="1743" t="s">
        <v>2797</v>
      </c>
      <c r="K919" s="1744"/>
      <c r="L919" s="1745"/>
      <c r="M919" s="1745"/>
      <c r="N919" s="1746">
        <v>252</v>
      </c>
      <c r="O919" s="1747"/>
      <c r="P919" s="1720"/>
    </row>
    <row r="920" spans="1:16" ht="13.9" hidden="1" customHeight="1" outlineLevel="3" x14ac:dyDescent="0.2">
      <c r="A920" s="459">
        <v>0</v>
      </c>
      <c r="B920" s="459">
        <v>7</v>
      </c>
      <c r="C920" s="459">
        <v>12</v>
      </c>
      <c r="D920" s="460">
        <v>3</v>
      </c>
      <c r="E920" s="460">
        <v>1</v>
      </c>
      <c r="G920" s="1748" t="s">
        <v>18</v>
      </c>
      <c r="H920" s="1749" t="s">
        <v>1239</v>
      </c>
      <c r="I920" s="1750" t="s">
        <v>6702</v>
      </c>
      <c r="J920" s="1751" t="s">
        <v>2797</v>
      </c>
      <c r="K920" s="1752" t="s">
        <v>1130</v>
      </c>
      <c r="L920" s="1753">
        <v>1</v>
      </c>
      <c r="M920" s="1753">
        <v>252</v>
      </c>
      <c r="N920" s="1754">
        <v>252</v>
      </c>
      <c r="O920" s="1755" t="s">
        <v>3288</v>
      </c>
      <c r="P920" s="1721" t="s">
        <v>9611</v>
      </c>
    </row>
    <row r="921" spans="1:16" ht="13.9" hidden="1" customHeight="1" outlineLevel="2" x14ac:dyDescent="0.2">
      <c r="A921" s="459">
        <v>0</v>
      </c>
      <c r="B921" s="459">
        <v>7</v>
      </c>
      <c r="C921" s="459">
        <v>12</v>
      </c>
      <c r="D921" s="460">
        <v>4</v>
      </c>
      <c r="E921" s="460">
        <v>0</v>
      </c>
      <c r="G921" s="1764"/>
      <c r="H921" s="1741" t="s">
        <v>1238</v>
      </c>
      <c r="I921" s="1742" t="s">
        <v>6703</v>
      </c>
      <c r="J921" s="1743" t="s">
        <v>1256</v>
      </c>
      <c r="K921" s="1744"/>
      <c r="L921" s="1745"/>
      <c r="M921" s="1745"/>
      <c r="N921" s="1746">
        <v>16991.68</v>
      </c>
      <c r="O921" s="1747"/>
      <c r="P921" s="1720"/>
    </row>
    <row r="922" spans="1:16" ht="13.9" hidden="1" customHeight="1" outlineLevel="3" x14ac:dyDescent="0.2">
      <c r="A922" s="459">
        <v>0</v>
      </c>
      <c r="B922" s="459">
        <v>7</v>
      </c>
      <c r="C922" s="459">
        <v>12</v>
      </c>
      <c r="D922" s="460">
        <v>4</v>
      </c>
      <c r="E922" s="460">
        <v>1</v>
      </c>
      <c r="G922" s="1748" t="s">
        <v>18</v>
      </c>
      <c r="H922" s="1749" t="s">
        <v>1239</v>
      </c>
      <c r="I922" s="1750" t="s">
        <v>6704</v>
      </c>
      <c r="J922" s="1751" t="s">
        <v>1257</v>
      </c>
      <c r="K922" s="1752" t="s">
        <v>1130</v>
      </c>
      <c r="L922" s="1753">
        <v>1</v>
      </c>
      <c r="M922" s="1753">
        <v>16991.68</v>
      </c>
      <c r="N922" s="1754">
        <v>16991.68</v>
      </c>
      <c r="O922" s="1761" t="s">
        <v>5458</v>
      </c>
      <c r="P922" s="1721" t="s">
        <v>9611</v>
      </c>
    </row>
    <row r="923" spans="1:16" ht="13.9" hidden="1" customHeight="1" outlineLevel="1" x14ac:dyDescent="0.2">
      <c r="A923" s="459">
        <v>0</v>
      </c>
      <c r="B923" s="459">
        <v>7</v>
      </c>
      <c r="C923" s="459">
        <v>13</v>
      </c>
      <c r="D923" s="460">
        <v>0</v>
      </c>
      <c r="E923" s="460">
        <v>1</v>
      </c>
      <c r="G923" s="1733"/>
      <c r="H923" s="1734" t="s">
        <v>39</v>
      </c>
      <c r="I923" s="1735" t="s">
        <v>6705</v>
      </c>
      <c r="J923" s="1736" t="s">
        <v>3301</v>
      </c>
      <c r="K923" s="1737"/>
      <c r="L923" s="1738"/>
      <c r="M923" s="1738"/>
      <c r="N923" s="1739">
        <v>61518.190304438598</v>
      </c>
      <c r="O923" s="1722"/>
      <c r="P923" s="1725"/>
    </row>
    <row r="924" spans="1:16" ht="13.9" hidden="1" customHeight="1" outlineLevel="2" x14ac:dyDescent="0.2">
      <c r="A924" s="459">
        <v>0</v>
      </c>
      <c r="B924" s="459">
        <v>7</v>
      </c>
      <c r="C924" s="459">
        <v>13</v>
      </c>
      <c r="D924" s="460">
        <v>1</v>
      </c>
      <c r="E924" s="460">
        <v>0</v>
      </c>
      <c r="G924" s="1764"/>
      <c r="H924" s="1741" t="s">
        <v>1238</v>
      </c>
      <c r="I924" s="1742" t="s">
        <v>6706</v>
      </c>
      <c r="J924" s="1743" t="s">
        <v>2521</v>
      </c>
      <c r="K924" s="1744"/>
      <c r="L924" s="1745"/>
      <c r="M924" s="1745"/>
      <c r="N924" s="1746">
        <v>25503.495244944301</v>
      </c>
      <c r="O924" s="1747"/>
      <c r="P924" s="1720"/>
    </row>
    <row r="925" spans="1:16" ht="13.9" hidden="1" customHeight="1" outlineLevel="3" x14ac:dyDescent="0.2">
      <c r="A925" s="459">
        <v>0</v>
      </c>
      <c r="B925" s="459">
        <v>7</v>
      </c>
      <c r="C925" s="459">
        <v>13</v>
      </c>
      <c r="D925" s="460">
        <v>1</v>
      </c>
      <c r="E925" s="460">
        <v>1</v>
      </c>
      <c r="G925" s="1748" t="s">
        <v>18</v>
      </c>
      <c r="H925" s="1749" t="s">
        <v>1239</v>
      </c>
      <c r="I925" s="1750" t="s">
        <v>6707</v>
      </c>
      <c r="J925" s="1751" t="s">
        <v>3287</v>
      </c>
      <c r="K925" s="1752" t="s">
        <v>1130</v>
      </c>
      <c r="L925" s="1753">
        <v>1</v>
      </c>
      <c r="M925" s="1753">
        <v>25503.495244944253</v>
      </c>
      <c r="N925" s="1754">
        <v>25503.495244944301</v>
      </c>
      <c r="O925" s="1755" t="s">
        <v>3285</v>
      </c>
      <c r="P925" s="1721" t="s">
        <v>9611</v>
      </c>
    </row>
    <row r="926" spans="1:16" ht="13.9" hidden="1" customHeight="1" outlineLevel="2" x14ac:dyDescent="0.2">
      <c r="A926" s="459">
        <v>0</v>
      </c>
      <c r="B926" s="459">
        <v>7</v>
      </c>
      <c r="C926" s="459">
        <v>13</v>
      </c>
      <c r="D926" s="460">
        <v>2</v>
      </c>
      <c r="E926" s="460">
        <v>0</v>
      </c>
      <c r="G926" s="1764"/>
      <c r="H926" s="1741" t="s">
        <v>1238</v>
      </c>
      <c r="I926" s="1742" t="s">
        <v>6708</v>
      </c>
      <c r="J926" s="1743" t="s">
        <v>2796</v>
      </c>
      <c r="K926" s="1744"/>
      <c r="L926" s="1745"/>
      <c r="M926" s="1745"/>
      <c r="N926" s="1746">
        <v>19592.295059494299</v>
      </c>
      <c r="O926" s="1747"/>
      <c r="P926" s="1720"/>
    </row>
    <row r="927" spans="1:16" ht="13.9" hidden="1" customHeight="1" outlineLevel="3" x14ac:dyDescent="0.2">
      <c r="A927" s="459">
        <v>0</v>
      </c>
      <c r="B927" s="459">
        <v>7</v>
      </c>
      <c r="C927" s="459">
        <v>13</v>
      </c>
      <c r="D927" s="460">
        <v>2</v>
      </c>
      <c r="E927" s="460">
        <v>1</v>
      </c>
      <c r="G927" s="1748" t="s">
        <v>18</v>
      </c>
      <c r="H927" s="1749" t="s">
        <v>1239</v>
      </c>
      <c r="I927" s="1750" t="s">
        <v>6709</v>
      </c>
      <c r="J927" s="1751" t="s">
        <v>2796</v>
      </c>
      <c r="K927" s="1752" t="s">
        <v>1130</v>
      </c>
      <c r="L927" s="1753">
        <v>1</v>
      </c>
      <c r="M927" s="1753">
        <v>19592.295059494318</v>
      </c>
      <c r="N927" s="1754">
        <v>19592.295059494299</v>
      </c>
      <c r="O927" s="1755" t="s">
        <v>3285</v>
      </c>
      <c r="P927" s="1721" t="s">
        <v>9611</v>
      </c>
    </row>
    <row r="928" spans="1:16" ht="13.9" hidden="1" customHeight="1" outlineLevel="2" x14ac:dyDescent="0.2">
      <c r="A928" s="459">
        <v>0</v>
      </c>
      <c r="B928" s="459">
        <v>7</v>
      </c>
      <c r="C928" s="459">
        <v>13</v>
      </c>
      <c r="D928" s="460">
        <v>3</v>
      </c>
      <c r="E928" s="460">
        <v>0</v>
      </c>
      <c r="G928" s="1764"/>
      <c r="H928" s="1741" t="s">
        <v>1238</v>
      </c>
      <c r="I928" s="1742" t="s">
        <v>6710</v>
      </c>
      <c r="J928" s="1743" t="s">
        <v>2797</v>
      </c>
      <c r="K928" s="1744"/>
      <c r="L928" s="1745"/>
      <c r="M928" s="1745"/>
      <c r="N928" s="1746">
        <v>252</v>
      </c>
      <c r="O928" s="1747"/>
      <c r="P928" s="1720"/>
    </row>
    <row r="929" spans="1:16" ht="13.9" hidden="1" customHeight="1" outlineLevel="3" x14ac:dyDescent="0.2">
      <c r="A929" s="459">
        <v>0</v>
      </c>
      <c r="B929" s="459">
        <v>7</v>
      </c>
      <c r="C929" s="459">
        <v>13</v>
      </c>
      <c r="D929" s="460">
        <v>3</v>
      </c>
      <c r="E929" s="460">
        <v>1</v>
      </c>
      <c r="G929" s="1748" t="s">
        <v>18</v>
      </c>
      <c r="H929" s="1749" t="s">
        <v>1239</v>
      </c>
      <c r="I929" s="1750" t="s">
        <v>6711</v>
      </c>
      <c r="J929" s="1751" t="s">
        <v>2797</v>
      </c>
      <c r="K929" s="1752" t="s">
        <v>1130</v>
      </c>
      <c r="L929" s="1753">
        <v>1</v>
      </c>
      <c r="M929" s="1753">
        <v>252</v>
      </c>
      <c r="N929" s="1754">
        <v>252</v>
      </c>
      <c r="O929" s="1755" t="s">
        <v>3288</v>
      </c>
      <c r="P929" s="1721" t="s">
        <v>9611</v>
      </c>
    </row>
    <row r="930" spans="1:16" ht="13.9" hidden="1" customHeight="1" outlineLevel="2" x14ac:dyDescent="0.2">
      <c r="A930" s="459">
        <v>0</v>
      </c>
      <c r="B930" s="459">
        <v>7</v>
      </c>
      <c r="C930" s="459">
        <v>13</v>
      </c>
      <c r="D930" s="460">
        <v>4</v>
      </c>
      <c r="E930" s="460">
        <v>0</v>
      </c>
      <c r="G930" s="1764"/>
      <c r="H930" s="1741" t="s">
        <v>1238</v>
      </c>
      <c r="I930" s="1742" t="s">
        <v>6712</v>
      </c>
      <c r="J930" s="1743" t="s">
        <v>1256</v>
      </c>
      <c r="K930" s="1744"/>
      <c r="L930" s="1745"/>
      <c r="M930" s="1745"/>
      <c r="N930" s="1746">
        <v>16170.4</v>
      </c>
      <c r="O930" s="1747"/>
      <c r="P930" s="1720"/>
    </row>
    <row r="931" spans="1:16" ht="13.9" hidden="1" customHeight="1" outlineLevel="3" x14ac:dyDescent="0.2">
      <c r="A931" s="459">
        <v>0</v>
      </c>
      <c r="B931" s="459">
        <v>7</v>
      </c>
      <c r="C931" s="459">
        <v>13</v>
      </c>
      <c r="D931" s="460">
        <v>4</v>
      </c>
      <c r="E931" s="460">
        <v>1</v>
      </c>
      <c r="G931" s="1748" t="s">
        <v>18</v>
      </c>
      <c r="H931" s="1749" t="s">
        <v>1239</v>
      </c>
      <c r="I931" s="1750" t="s">
        <v>6713</v>
      </c>
      <c r="J931" s="1751" t="s">
        <v>1257</v>
      </c>
      <c r="K931" s="1752" t="s">
        <v>1130</v>
      </c>
      <c r="L931" s="1753">
        <v>1</v>
      </c>
      <c r="M931" s="1753">
        <v>16170.400000000001</v>
      </c>
      <c r="N931" s="1754">
        <v>16170.4</v>
      </c>
      <c r="O931" s="1761" t="s">
        <v>5458</v>
      </c>
      <c r="P931" s="1721" t="s">
        <v>9611</v>
      </c>
    </row>
    <row r="932" spans="1:16" ht="13.9" hidden="1" customHeight="1" outlineLevel="1" x14ac:dyDescent="0.2">
      <c r="A932" s="459">
        <v>0</v>
      </c>
      <c r="B932" s="459">
        <v>7</v>
      </c>
      <c r="C932" s="459">
        <v>14</v>
      </c>
      <c r="D932" s="460">
        <v>0</v>
      </c>
      <c r="E932" s="460">
        <v>1</v>
      </c>
      <c r="G932" s="1733"/>
      <c r="H932" s="1734" t="s">
        <v>39</v>
      </c>
      <c r="I932" s="1735" t="s">
        <v>6714</v>
      </c>
      <c r="J932" s="1736" t="s">
        <v>3302</v>
      </c>
      <c r="K932" s="1737"/>
      <c r="L932" s="1738"/>
      <c r="M932" s="1738"/>
      <c r="N932" s="1739">
        <v>508248.73751072597</v>
      </c>
      <c r="O932" s="1722"/>
      <c r="P932" s="1725"/>
    </row>
    <row r="933" spans="1:16" ht="13.9" hidden="1" customHeight="1" outlineLevel="2" x14ac:dyDescent="0.2">
      <c r="A933" s="459">
        <v>0</v>
      </c>
      <c r="B933" s="459">
        <v>7</v>
      </c>
      <c r="C933" s="459">
        <v>14</v>
      </c>
      <c r="D933" s="460">
        <v>1</v>
      </c>
      <c r="E933" s="460">
        <v>0</v>
      </c>
      <c r="G933" s="1764"/>
      <c r="H933" s="1741" t="s">
        <v>1238</v>
      </c>
      <c r="I933" s="1742" t="s">
        <v>6715</v>
      </c>
      <c r="J933" s="1743" t="s">
        <v>2521</v>
      </c>
      <c r="K933" s="1744"/>
      <c r="L933" s="1745"/>
      <c r="M933" s="1745"/>
      <c r="N933" s="1746">
        <v>165838.40289917501</v>
      </c>
      <c r="O933" s="1747"/>
      <c r="P933" s="1720"/>
    </row>
    <row r="934" spans="1:16" ht="13.9" hidden="1" customHeight="1" outlineLevel="3" x14ac:dyDescent="0.2">
      <c r="A934" s="459">
        <v>0</v>
      </c>
      <c r="B934" s="459">
        <v>7</v>
      </c>
      <c r="C934" s="459">
        <v>14</v>
      </c>
      <c r="D934" s="460">
        <v>1</v>
      </c>
      <c r="E934" s="460">
        <v>1</v>
      </c>
      <c r="G934" s="1748" t="s">
        <v>18</v>
      </c>
      <c r="H934" s="1749" t="s">
        <v>1239</v>
      </c>
      <c r="I934" s="1750" t="s">
        <v>6716</v>
      </c>
      <c r="J934" s="1751" t="s">
        <v>3287</v>
      </c>
      <c r="K934" s="1752" t="s">
        <v>1130</v>
      </c>
      <c r="L934" s="1753">
        <v>1</v>
      </c>
      <c r="M934" s="1753">
        <v>165838.40289917515</v>
      </c>
      <c r="N934" s="1754">
        <v>165838.40289917501</v>
      </c>
      <c r="O934" s="1755" t="s">
        <v>3285</v>
      </c>
      <c r="P934" s="1721" t="s">
        <v>9611</v>
      </c>
    </row>
    <row r="935" spans="1:16" ht="13.9" hidden="1" customHeight="1" outlineLevel="2" x14ac:dyDescent="0.2">
      <c r="A935" s="459">
        <v>0</v>
      </c>
      <c r="B935" s="459">
        <v>7</v>
      </c>
      <c r="C935" s="459">
        <v>14</v>
      </c>
      <c r="D935" s="460">
        <v>2</v>
      </c>
      <c r="E935" s="460">
        <v>0</v>
      </c>
      <c r="G935" s="1764"/>
      <c r="H935" s="1741" t="s">
        <v>1238</v>
      </c>
      <c r="I935" s="1742" t="s">
        <v>6717</v>
      </c>
      <c r="J935" s="1743" t="s">
        <v>2796</v>
      </c>
      <c r="K935" s="1744"/>
      <c r="L935" s="1745"/>
      <c r="M935" s="1745"/>
      <c r="N935" s="1746">
        <v>277434.45461155102</v>
      </c>
      <c r="O935" s="1747"/>
      <c r="P935" s="1720"/>
    </row>
    <row r="936" spans="1:16" ht="13.9" hidden="1" customHeight="1" outlineLevel="3" x14ac:dyDescent="0.2">
      <c r="A936" s="459">
        <v>0</v>
      </c>
      <c r="B936" s="459">
        <v>7</v>
      </c>
      <c r="C936" s="459">
        <v>14</v>
      </c>
      <c r="D936" s="460">
        <v>2</v>
      </c>
      <c r="E936" s="460">
        <v>1</v>
      </c>
      <c r="G936" s="1748" t="s">
        <v>18</v>
      </c>
      <c r="H936" s="1749" t="s">
        <v>1239</v>
      </c>
      <c r="I936" s="1750" t="s">
        <v>6718</v>
      </c>
      <c r="J936" s="1751" t="s">
        <v>2796</v>
      </c>
      <c r="K936" s="1752" t="s">
        <v>1130</v>
      </c>
      <c r="L936" s="1753">
        <v>1</v>
      </c>
      <c r="M936" s="1753">
        <v>277434.45461155119</v>
      </c>
      <c r="N936" s="1754">
        <v>277434.45461155102</v>
      </c>
      <c r="O936" s="1755" t="s">
        <v>3285</v>
      </c>
      <c r="P936" s="1721" t="s">
        <v>9611</v>
      </c>
    </row>
    <row r="937" spans="1:16" ht="13.9" hidden="1" customHeight="1" outlineLevel="2" x14ac:dyDescent="0.2">
      <c r="A937" s="459">
        <v>0</v>
      </c>
      <c r="B937" s="459">
        <v>7</v>
      </c>
      <c r="C937" s="459">
        <v>14</v>
      </c>
      <c r="D937" s="460">
        <v>3</v>
      </c>
      <c r="E937" s="460">
        <v>0</v>
      </c>
      <c r="G937" s="1764"/>
      <c r="H937" s="1741" t="s">
        <v>1238</v>
      </c>
      <c r="I937" s="1742" t="s">
        <v>6719</v>
      </c>
      <c r="J937" s="1743" t="s">
        <v>2797</v>
      </c>
      <c r="K937" s="1744"/>
      <c r="L937" s="1745"/>
      <c r="M937" s="1745"/>
      <c r="N937" s="1746">
        <v>252</v>
      </c>
      <c r="O937" s="1747"/>
      <c r="P937" s="1720"/>
    </row>
    <row r="938" spans="1:16" ht="13.9" hidden="1" customHeight="1" outlineLevel="3" x14ac:dyDescent="0.2">
      <c r="A938" s="459">
        <v>0</v>
      </c>
      <c r="B938" s="459">
        <v>7</v>
      </c>
      <c r="C938" s="459">
        <v>14</v>
      </c>
      <c r="D938" s="460">
        <v>3</v>
      </c>
      <c r="E938" s="460">
        <v>1</v>
      </c>
      <c r="G938" s="1748" t="s">
        <v>18</v>
      </c>
      <c r="H938" s="1749" t="s">
        <v>1239</v>
      </c>
      <c r="I938" s="1750" t="s">
        <v>6720</v>
      </c>
      <c r="J938" s="1751" t="s">
        <v>2797</v>
      </c>
      <c r="K938" s="1752" t="s">
        <v>1130</v>
      </c>
      <c r="L938" s="1753">
        <v>1</v>
      </c>
      <c r="M938" s="1753">
        <v>252</v>
      </c>
      <c r="N938" s="1754">
        <v>252</v>
      </c>
      <c r="O938" s="1755" t="s">
        <v>3288</v>
      </c>
      <c r="P938" s="1721" t="s">
        <v>9611</v>
      </c>
    </row>
    <row r="939" spans="1:16" ht="13.9" hidden="1" customHeight="1" outlineLevel="2" x14ac:dyDescent="0.2">
      <c r="A939" s="459">
        <v>0</v>
      </c>
      <c r="B939" s="459">
        <v>7</v>
      </c>
      <c r="C939" s="459">
        <v>14</v>
      </c>
      <c r="D939" s="460">
        <v>4</v>
      </c>
      <c r="E939" s="460">
        <v>0</v>
      </c>
      <c r="G939" s="1764"/>
      <c r="H939" s="1741" t="s">
        <v>1238</v>
      </c>
      <c r="I939" s="1742" t="s">
        <v>6721</v>
      </c>
      <c r="J939" s="1743" t="s">
        <v>2522</v>
      </c>
      <c r="K939" s="1744"/>
      <c r="L939" s="1745"/>
      <c r="M939" s="1745"/>
      <c r="N939" s="1746">
        <v>60448.12</v>
      </c>
      <c r="O939" s="1747"/>
      <c r="P939" s="1720"/>
    </row>
    <row r="940" spans="1:16" ht="13.9" hidden="1" customHeight="1" outlineLevel="3" x14ac:dyDescent="0.2">
      <c r="A940" s="459">
        <v>0</v>
      </c>
      <c r="B940" s="459">
        <v>7</v>
      </c>
      <c r="C940" s="459">
        <v>14</v>
      </c>
      <c r="D940" s="460">
        <v>4</v>
      </c>
      <c r="E940" s="460">
        <v>1</v>
      </c>
      <c r="G940" s="1748" t="s">
        <v>18</v>
      </c>
      <c r="H940" s="1749" t="s">
        <v>1239</v>
      </c>
      <c r="I940" s="1750" t="s">
        <v>6722</v>
      </c>
      <c r="J940" s="1751" t="s">
        <v>2522</v>
      </c>
      <c r="K940" s="1752" t="s">
        <v>1130</v>
      </c>
      <c r="L940" s="1753">
        <v>1</v>
      </c>
      <c r="M940" s="1753">
        <v>60448.12</v>
      </c>
      <c r="N940" s="1754">
        <v>60448.12</v>
      </c>
      <c r="O940" s="1755" t="s">
        <v>3289</v>
      </c>
      <c r="P940" s="1721" t="s">
        <v>9611</v>
      </c>
    </row>
    <row r="941" spans="1:16" ht="13.9" hidden="1" customHeight="1" outlineLevel="2" x14ac:dyDescent="0.2">
      <c r="A941" s="459">
        <v>0</v>
      </c>
      <c r="B941" s="459">
        <v>7</v>
      </c>
      <c r="C941" s="459">
        <v>14</v>
      </c>
      <c r="D941" s="460">
        <v>5</v>
      </c>
      <c r="E941" s="460">
        <v>0</v>
      </c>
      <c r="G941" s="1764"/>
      <c r="H941" s="1741" t="s">
        <v>1238</v>
      </c>
      <c r="I941" s="1742" t="s">
        <v>6723</v>
      </c>
      <c r="J941" s="1743" t="s">
        <v>1256</v>
      </c>
      <c r="K941" s="1744"/>
      <c r="L941" s="1745"/>
      <c r="M941" s="1745"/>
      <c r="N941" s="1746">
        <v>4275.76</v>
      </c>
      <c r="O941" s="1747"/>
      <c r="P941" s="1720"/>
    </row>
    <row r="942" spans="1:16" ht="13.9" hidden="1" customHeight="1" outlineLevel="3" x14ac:dyDescent="0.2">
      <c r="A942" s="459">
        <v>0</v>
      </c>
      <c r="B942" s="459">
        <v>7</v>
      </c>
      <c r="C942" s="459">
        <v>14</v>
      </c>
      <c r="D942" s="460">
        <v>5</v>
      </c>
      <c r="E942" s="460">
        <v>1</v>
      </c>
      <c r="G942" s="1748" t="s">
        <v>18</v>
      </c>
      <c r="H942" s="1749" t="s">
        <v>1239</v>
      </c>
      <c r="I942" s="1750" t="s">
        <v>6724</v>
      </c>
      <c r="J942" s="1751" t="s">
        <v>1257</v>
      </c>
      <c r="K942" s="1752" t="s">
        <v>1130</v>
      </c>
      <c r="L942" s="1753">
        <v>1</v>
      </c>
      <c r="M942" s="1753">
        <v>4275.76</v>
      </c>
      <c r="N942" s="1754">
        <v>4275.76</v>
      </c>
      <c r="O942" s="1761" t="s">
        <v>5458</v>
      </c>
      <c r="P942" s="1721" t="s">
        <v>9611</v>
      </c>
    </row>
    <row r="943" spans="1:16" ht="13.9" customHeight="1" collapsed="1" x14ac:dyDescent="0.2">
      <c r="A943" s="459">
        <v>0</v>
      </c>
      <c r="B943" s="459">
        <v>8</v>
      </c>
      <c r="C943" s="459">
        <v>0</v>
      </c>
      <c r="D943" s="460">
        <v>5</v>
      </c>
      <c r="E943" s="460">
        <v>1</v>
      </c>
      <c r="F943" s="474"/>
      <c r="G943" s="1791"/>
      <c r="H943" s="1727" t="s">
        <v>1237</v>
      </c>
      <c r="I943" s="1728" t="s">
        <v>6725</v>
      </c>
      <c r="J943" s="1729" t="s">
        <v>1258</v>
      </c>
      <c r="K943" s="1730"/>
      <c r="L943" s="1731"/>
      <c r="M943" s="1731"/>
      <c r="N943" s="1732">
        <v>2726218.0507999999</v>
      </c>
      <c r="O943" s="1770">
        <v>162.76249327897199</v>
      </c>
      <c r="P943" s="1723"/>
    </row>
    <row r="944" spans="1:16" ht="13.9" hidden="1" customHeight="1" outlineLevel="1" x14ac:dyDescent="0.2">
      <c r="A944" s="459">
        <v>0</v>
      </c>
      <c r="B944" s="459">
        <v>8</v>
      </c>
      <c r="C944" s="459">
        <v>1</v>
      </c>
      <c r="D944" s="460">
        <v>0</v>
      </c>
      <c r="E944" s="460">
        <v>1</v>
      </c>
      <c r="G944" s="1733"/>
      <c r="H944" s="1734" t="s">
        <v>39</v>
      </c>
      <c r="I944" s="1735" t="s">
        <v>6726</v>
      </c>
      <c r="J944" s="1736" t="s">
        <v>3337</v>
      </c>
      <c r="K944" s="1737"/>
      <c r="L944" s="1738"/>
      <c r="M944" s="1738"/>
      <c r="N944" s="1739">
        <v>95954.486999999994</v>
      </c>
      <c r="O944" s="1722"/>
      <c r="P944" s="1725"/>
    </row>
    <row r="945" spans="1:16" ht="13.9" hidden="1" customHeight="1" outlineLevel="2" x14ac:dyDescent="0.2">
      <c r="A945" s="459">
        <v>0</v>
      </c>
      <c r="B945" s="459">
        <v>8</v>
      </c>
      <c r="C945" s="459">
        <v>1</v>
      </c>
      <c r="D945" s="460">
        <v>1</v>
      </c>
      <c r="E945" s="460">
        <v>0</v>
      </c>
      <c r="G945" s="1740"/>
      <c r="H945" s="1741" t="s">
        <v>1238</v>
      </c>
      <c r="I945" s="1742" t="s">
        <v>6727</v>
      </c>
      <c r="J945" s="1743" t="s">
        <v>2798</v>
      </c>
      <c r="K945" s="1744"/>
      <c r="L945" s="1745"/>
      <c r="M945" s="1745"/>
      <c r="N945" s="1746">
        <v>16802</v>
      </c>
      <c r="O945" s="1747"/>
      <c r="P945" s="1720"/>
    </row>
    <row r="946" spans="1:16" ht="13.9" hidden="1" customHeight="1" outlineLevel="3" x14ac:dyDescent="0.2">
      <c r="A946" s="459">
        <v>0</v>
      </c>
      <c r="B946" s="459">
        <v>8</v>
      </c>
      <c r="C946" s="459">
        <v>1</v>
      </c>
      <c r="D946" s="460">
        <v>1</v>
      </c>
      <c r="E946" s="460">
        <v>1</v>
      </c>
      <c r="G946" s="1790" t="s">
        <v>1258</v>
      </c>
      <c r="H946" s="1749" t="s">
        <v>1239</v>
      </c>
      <c r="I946" s="1750" t="s">
        <v>6728</v>
      </c>
      <c r="J946" s="1751" t="s">
        <v>2798</v>
      </c>
      <c r="K946" s="1752" t="s">
        <v>1130</v>
      </c>
      <c r="L946" s="1753">
        <v>1</v>
      </c>
      <c r="M946" s="1753">
        <v>16802</v>
      </c>
      <c r="N946" s="1754">
        <v>16802</v>
      </c>
      <c r="O946" s="1755" t="s">
        <v>2791</v>
      </c>
      <c r="P946" s="1721" t="s">
        <v>9611</v>
      </c>
    </row>
    <row r="947" spans="1:16" ht="13.9" hidden="1" customHeight="1" outlineLevel="2" x14ac:dyDescent="0.2">
      <c r="A947" s="459">
        <v>0</v>
      </c>
      <c r="B947" s="459">
        <v>8</v>
      </c>
      <c r="C947" s="459">
        <v>1</v>
      </c>
      <c r="D947" s="460">
        <v>2</v>
      </c>
      <c r="E947" s="460">
        <v>0</v>
      </c>
      <c r="G947" s="1740"/>
      <c r="H947" s="1741" t="s">
        <v>1238</v>
      </c>
      <c r="I947" s="1742" t="s">
        <v>6729</v>
      </c>
      <c r="J947" s="1743" t="s">
        <v>2799</v>
      </c>
      <c r="K947" s="1744"/>
      <c r="L947" s="1745"/>
      <c r="M947" s="1745"/>
      <c r="N947" s="1746">
        <v>2892.59</v>
      </c>
      <c r="O947" s="1747"/>
      <c r="P947" s="1720"/>
    </row>
    <row r="948" spans="1:16" ht="13.9" hidden="1" customHeight="1" outlineLevel="3" x14ac:dyDescent="0.2">
      <c r="A948" s="459">
        <v>0</v>
      </c>
      <c r="B948" s="459">
        <v>8</v>
      </c>
      <c r="C948" s="459">
        <v>1</v>
      </c>
      <c r="D948" s="460">
        <v>2</v>
      </c>
      <c r="E948" s="460">
        <v>1</v>
      </c>
      <c r="G948" s="1790" t="s">
        <v>1258</v>
      </c>
      <c r="H948" s="1749" t="s">
        <v>1239</v>
      </c>
      <c r="I948" s="1750" t="s">
        <v>6730</v>
      </c>
      <c r="J948" s="1751" t="s">
        <v>2799</v>
      </c>
      <c r="K948" s="1752" t="s">
        <v>1130</v>
      </c>
      <c r="L948" s="1753">
        <v>1</v>
      </c>
      <c r="M948" s="1753">
        <v>2892.59</v>
      </c>
      <c r="N948" s="1754">
        <v>2892.59</v>
      </c>
      <c r="O948" s="1755" t="s">
        <v>2791</v>
      </c>
      <c r="P948" s="1721" t="s">
        <v>9611</v>
      </c>
    </row>
    <row r="949" spans="1:16" ht="13.9" hidden="1" customHeight="1" outlineLevel="2" x14ac:dyDescent="0.2">
      <c r="A949" s="459">
        <v>0</v>
      </c>
      <c r="B949" s="459">
        <v>8</v>
      </c>
      <c r="C949" s="459">
        <v>1</v>
      </c>
      <c r="D949" s="460">
        <v>3</v>
      </c>
      <c r="E949" s="460">
        <v>0</v>
      </c>
      <c r="G949" s="1740"/>
      <c r="H949" s="1741" t="s">
        <v>1238</v>
      </c>
      <c r="I949" s="1742" t="s">
        <v>6731</v>
      </c>
      <c r="J949" s="1743" t="s">
        <v>3353</v>
      </c>
      <c r="K949" s="1744"/>
      <c r="L949" s="1745"/>
      <c r="M949" s="1745"/>
      <c r="N949" s="1746">
        <v>66734.2</v>
      </c>
      <c r="O949" s="1747"/>
      <c r="P949" s="1720"/>
    </row>
    <row r="950" spans="1:16" ht="13.9" hidden="1" customHeight="1" outlineLevel="3" x14ac:dyDescent="0.2">
      <c r="A950" s="459">
        <v>0</v>
      </c>
      <c r="B950" s="459">
        <v>8</v>
      </c>
      <c r="C950" s="459">
        <v>1</v>
      </c>
      <c r="D950" s="460">
        <v>3</v>
      </c>
      <c r="E950" s="460">
        <v>1</v>
      </c>
      <c r="G950" s="1790" t="s">
        <v>1258</v>
      </c>
      <c r="H950" s="1749" t="s">
        <v>1239</v>
      </c>
      <c r="I950" s="1750" t="s">
        <v>6732</v>
      </c>
      <c r="J950" s="1751" t="s">
        <v>3353</v>
      </c>
      <c r="K950" s="1752" t="s">
        <v>1130</v>
      </c>
      <c r="L950" s="1753">
        <v>1</v>
      </c>
      <c r="M950" s="1753">
        <v>66734.2</v>
      </c>
      <c r="N950" s="1754">
        <v>66734.2</v>
      </c>
      <c r="O950" s="1755" t="s">
        <v>2791</v>
      </c>
      <c r="P950" s="1721" t="s">
        <v>9611</v>
      </c>
    </row>
    <row r="951" spans="1:16" ht="13.9" hidden="1" customHeight="1" outlineLevel="2" x14ac:dyDescent="0.2">
      <c r="A951" s="459">
        <v>0</v>
      </c>
      <c r="B951" s="459">
        <v>8</v>
      </c>
      <c r="C951" s="459">
        <v>1</v>
      </c>
      <c r="D951" s="460">
        <v>4</v>
      </c>
      <c r="E951" s="460">
        <v>0</v>
      </c>
      <c r="G951" s="1740"/>
      <c r="H951" s="1741" t="s">
        <v>1238</v>
      </c>
      <c r="I951" s="1742" t="s">
        <v>6733</v>
      </c>
      <c r="J951" s="1743" t="s">
        <v>2800</v>
      </c>
      <c r="K951" s="1744"/>
      <c r="L951" s="1745"/>
      <c r="M951" s="1745"/>
      <c r="N951" s="1746">
        <v>0</v>
      </c>
      <c r="O951" s="1747"/>
      <c r="P951" s="1720"/>
    </row>
    <row r="952" spans="1:16" ht="13.9" hidden="1" customHeight="1" outlineLevel="3" x14ac:dyDescent="0.2">
      <c r="A952" s="459">
        <v>0</v>
      </c>
      <c r="B952" s="459">
        <v>8</v>
      </c>
      <c r="C952" s="459">
        <v>1</v>
      </c>
      <c r="D952" s="460">
        <v>4</v>
      </c>
      <c r="E952" s="460">
        <v>1</v>
      </c>
      <c r="G952" s="1790" t="s">
        <v>1258</v>
      </c>
      <c r="H952" s="1749" t="s">
        <v>1239</v>
      </c>
      <c r="I952" s="1750" t="s">
        <v>6734</v>
      </c>
      <c r="J952" s="1751" t="s">
        <v>2800</v>
      </c>
      <c r="K952" s="1752" t="s">
        <v>1130</v>
      </c>
      <c r="L952" s="1753">
        <v>1</v>
      </c>
      <c r="M952" s="1753">
        <v>0</v>
      </c>
      <c r="N952" s="1754">
        <v>0</v>
      </c>
      <c r="O952" s="1755" t="s">
        <v>3351</v>
      </c>
      <c r="P952" s="1721" t="s">
        <v>9611</v>
      </c>
    </row>
    <row r="953" spans="1:16" ht="13.9" hidden="1" customHeight="1" outlineLevel="2" x14ac:dyDescent="0.2">
      <c r="A953" s="459">
        <v>0</v>
      </c>
      <c r="B953" s="459">
        <v>8</v>
      </c>
      <c r="C953" s="459">
        <v>1</v>
      </c>
      <c r="D953" s="460">
        <v>5</v>
      </c>
      <c r="E953" s="460">
        <v>0</v>
      </c>
      <c r="G953" s="1740"/>
      <c r="H953" s="1741" t="s">
        <v>1238</v>
      </c>
      <c r="I953" s="1742" t="s">
        <v>6735</v>
      </c>
      <c r="J953" s="1743" t="s">
        <v>2523</v>
      </c>
      <c r="K953" s="1744"/>
      <c r="L953" s="1745"/>
      <c r="M953" s="1745"/>
      <c r="N953" s="1746">
        <v>5602.7969999999996</v>
      </c>
      <c r="O953" s="1747"/>
      <c r="P953" s="1720"/>
    </row>
    <row r="954" spans="1:16" ht="13.9" hidden="1" customHeight="1" outlineLevel="3" x14ac:dyDescent="0.2">
      <c r="A954" s="459">
        <v>0</v>
      </c>
      <c r="B954" s="459">
        <v>8</v>
      </c>
      <c r="C954" s="459">
        <v>1</v>
      </c>
      <c r="D954" s="460">
        <v>5</v>
      </c>
      <c r="E954" s="460">
        <v>1</v>
      </c>
      <c r="G954" s="1790" t="s">
        <v>1258</v>
      </c>
      <c r="H954" s="1749" t="s">
        <v>1239</v>
      </c>
      <c r="I954" s="1750" t="s">
        <v>6736</v>
      </c>
      <c r="J954" s="1751" t="s">
        <v>2523</v>
      </c>
      <c r="K954" s="1752" t="s">
        <v>1130</v>
      </c>
      <c r="L954" s="1753">
        <v>1</v>
      </c>
      <c r="M954" s="1753">
        <v>5602.7970000000005</v>
      </c>
      <c r="N954" s="1754">
        <v>5602.7969999999996</v>
      </c>
      <c r="O954" s="1755" t="s">
        <v>2791</v>
      </c>
      <c r="P954" s="1721" t="s">
        <v>9611</v>
      </c>
    </row>
    <row r="955" spans="1:16" ht="13.9" hidden="1" customHeight="1" outlineLevel="2" x14ac:dyDescent="0.2">
      <c r="A955" s="459">
        <v>0</v>
      </c>
      <c r="B955" s="459">
        <v>8</v>
      </c>
      <c r="C955" s="459">
        <v>1</v>
      </c>
      <c r="D955" s="460">
        <v>6</v>
      </c>
      <c r="E955" s="460">
        <v>0</v>
      </c>
      <c r="G955" s="1740"/>
      <c r="H955" s="1741" t="s">
        <v>1238</v>
      </c>
      <c r="I955" s="1742" t="s">
        <v>6737</v>
      </c>
      <c r="J955" s="1743" t="s">
        <v>2522</v>
      </c>
      <c r="K955" s="1744"/>
      <c r="L955" s="1745"/>
      <c r="M955" s="1745"/>
      <c r="N955" s="1746">
        <v>0</v>
      </c>
      <c r="O955" s="1747"/>
      <c r="P955" s="1720"/>
    </row>
    <row r="956" spans="1:16" ht="13.9" hidden="1" customHeight="1" outlineLevel="3" x14ac:dyDescent="0.2">
      <c r="A956" s="459">
        <v>0</v>
      </c>
      <c r="B956" s="459">
        <v>8</v>
      </c>
      <c r="C956" s="459">
        <v>1</v>
      </c>
      <c r="D956" s="460">
        <v>6</v>
      </c>
      <c r="E956" s="460">
        <v>1</v>
      </c>
      <c r="G956" s="1790" t="s">
        <v>1258</v>
      </c>
      <c r="H956" s="1749" t="s">
        <v>1239</v>
      </c>
      <c r="I956" s="1750" t="s">
        <v>6738</v>
      </c>
      <c r="J956" s="1751" t="s">
        <v>2522</v>
      </c>
      <c r="K956" s="1752" t="s">
        <v>1130</v>
      </c>
      <c r="L956" s="1753">
        <v>1</v>
      </c>
      <c r="M956" s="1753">
        <v>0</v>
      </c>
      <c r="N956" s="1754">
        <v>0</v>
      </c>
      <c r="O956" s="1755" t="s">
        <v>2791</v>
      </c>
      <c r="P956" s="1721" t="s">
        <v>9611</v>
      </c>
    </row>
    <row r="957" spans="1:16" ht="13.9" hidden="1" customHeight="1" outlineLevel="2" x14ac:dyDescent="0.2">
      <c r="A957" s="459">
        <v>0</v>
      </c>
      <c r="B957" s="459">
        <v>8</v>
      </c>
      <c r="C957" s="459">
        <v>1</v>
      </c>
      <c r="D957" s="460">
        <v>7</v>
      </c>
      <c r="E957" s="460">
        <v>0</v>
      </c>
      <c r="G957" s="1740"/>
      <c r="H957" s="1741" t="s">
        <v>1238</v>
      </c>
      <c r="I957" s="1742" t="s">
        <v>6739</v>
      </c>
      <c r="J957" s="1743" t="s">
        <v>15</v>
      </c>
      <c r="K957" s="1744"/>
      <c r="L957" s="1745"/>
      <c r="M957" s="1745"/>
      <c r="N957" s="1746">
        <v>3922.9</v>
      </c>
      <c r="O957" s="1747"/>
      <c r="P957" s="1720"/>
    </row>
    <row r="958" spans="1:16" ht="13.9" hidden="1" customHeight="1" outlineLevel="3" x14ac:dyDescent="0.2">
      <c r="A958" s="459">
        <v>0</v>
      </c>
      <c r="B958" s="459">
        <v>8</v>
      </c>
      <c r="C958" s="459">
        <v>1</v>
      </c>
      <c r="D958" s="460">
        <v>7</v>
      </c>
      <c r="E958" s="460">
        <v>1</v>
      </c>
      <c r="G958" s="1790" t="s">
        <v>1258</v>
      </c>
      <c r="H958" s="1749" t="s">
        <v>1239</v>
      </c>
      <c r="I958" s="1750" t="s">
        <v>6740</v>
      </c>
      <c r="J958" s="1751" t="s">
        <v>1259</v>
      </c>
      <c r="K958" s="1752" t="s">
        <v>1130</v>
      </c>
      <c r="L958" s="1753">
        <v>1</v>
      </c>
      <c r="M958" s="1753">
        <v>3922.9</v>
      </c>
      <c r="N958" s="1754">
        <v>3922.9</v>
      </c>
      <c r="O958" s="1765" t="s">
        <v>2801</v>
      </c>
      <c r="P958" s="1721" t="s">
        <v>9611</v>
      </c>
    </row>
    <row r="959" spans="1:16" ht="13.9" hidden="1" customHeight="1" outlineLevel="1" x14ac:dyDescent="0.2">
      <c r="A959" s="459">
        <v>0</v>
      </c>
      <c r="B959" s="459">
        <v>8</v>
      </c>
      <c r="C959" s="459">
        <v>2</v>
      </c>
      <c r="D959" s="460">
        <v>0</v>
      </c>
      <c r="E959" s="460">
        <v>1</v>
      </c>
      <c r="G959" s="1733"/>
      <c r="H959" s="1734" t="s">
        <v>39</v>
      </c>
      <c r="I959" s="1735" t="s">
        <v>6741</v>
      </c>
      <c r="J959" s="1736" t="s">
        <v>3338</v>
      </c>
      <c r="K959" s="1737"/>
      <c r="L959" s="1738"/>
      <c r="M959" s="1738"/>
      <c r="N959" s="1739">
        <v>138596.63500000001</v>
      </c>
      <c r="O959" s="1722"/>
      <c r="P959" s="1725"/>
    </row>
    <row r="960" spans="1:16" ht="13.9" hidden="1" customHeight="1" outlineLevel="2" x14ac:dyDescent="0.2">
      <c r="A960" s="459">
        <v>0</v>
      </c>
      <c r="B960" s="459">
        <v>8</v>
      </c>
      <c r="C960" s="459">
        <v>2</v>
      </c>
      <c r="D960" s="460">
        <v>1</v>
      </c>
      <c r="E960" s="460">
        <v>0</v>
      </c>
      <c r="G960" s="1740"/>
      <c r="H960" s="1741" t="s">
        <v>1238</v>
      </c>
      <c r="I960" s="1742" t="s">
        <v>6742</v>
      </c>
      <c r="J960" s="1743" t="s">
        <v>2798</v>
      </c>
      <c r="K960" s="1744"/>
      <c r="L960" s="1745"/>
      <c r="M960" s="1745"/>
      <c r="N960" s="1746">
        <v>6776</v>
      </c>
      <c r="O960" s="1747"/>
      <c r="P960" s="1720"/>
    </row>
    <row r="961" spans="1:16" ht="13.9" hidden="1" customHeight="1" outlineLevel="3" x14ac:dyDescent="0.2">
      <c r="A961" s="459">
        <v>0</v>
      </c>
      <c r="B961" s="459">
        <v>8</v>
      </c>
      <c r="C961" s="459">
        <v>2</v>
      </c>
      <c r="D961" s="460">
        <v>1</v>
      </c>
      <c r="E961" s="460">
        <v>1</v>
      </c>
      <c r="G961" s="1790" t="s">
        <v>1258</v>
      </c>
      <c r="H961" s="1749" t="s">
        <v>1239</v>
      </c>
      <c r="I961" s="1750" t="s">
        <v>6743</v>
      </c>
      <c r="J961" s="1751" t="s">
        <v>2798</v>
      </c>
      <c r="K961" s="1752" t="s">
        <v>1130</v>
      </c>
      <c r="L961" s="1753">
        <v>1</v>
      </c>
      <c r="M961" s="1753">
        <v>6776</v>
      </c>
      <c r="N961" s="1754">
        <v>6776</v>
      </c>
      <c r="O961" s="1755" t="s">
        <v>2791</v>
      </c>
      <c r="P961" s="1721" t="s">
        <v>9611</v>
      </c>
    </row>
    <row r="962" spans="1:16" ht="13.9" hidden="1" customHeight="1" outlineLevel="2" x14ac:dyDescent="0.2">
      <c r="A962" s="459">
        <v>0</v>
      </c>
      <c r="B962" s="459">
        <v>8</v>
      </c>
      <c r="C962" s="459">
        <v>2</v>
      </c>
      <c r="D962" s="460">
        <v>2</v>
      </c>
      <c r="E962" s="460">
        <v>0</v>
      </c>
      <c r="G962" s="1740"/>
      <c r="H962" s="1741" t="s">
        <v>1238</v>
      </c>
      <c r="I962" s="1742" t="s">
        <v>6744</v>
      </c>
      <c r="J962" s="1743" t="s">
        <v>2799</v>
      </c>
      <c r="K962" s="1744"/>
      <c r="L962" s="1745"/>
      <c r="M962" s="1745"/>
      <c r="N962" s="1746">
        <v>2329.23</v>
      </c>
      <c r="O962" s="1747"/>
      <c r="P962" s="1720"/>
    </row>
    <row r="963" spans="1:16" ht="13.9" hidden="1" customHeight="1" outlineLevel="3" x14ac:dyDescent="0.2">
      <c r="A963" s="459">
        <v>0</v>
      </c>
      <c r="B963" s="459">
        <v>8</v>
      </c>
      <c r="C963" s="459">
        <v>2</v>
      </c>
      <c r="D963" s="460">
        <v>2</v>
      </c>
      <c r="E963" s="460">
        <v>1</v>
      </c>
      <c r="G963" s="1790" t="s">
        <v>1258</v>
      </c>
      <c r="H963" s="1749" t="s">
        <v>1239</v>
      </c>
      <c r="I963" s="1750" t="s">
        <v>6745</v>
      </c>
      <c r="J963" s="1751" t="s">
        <v>2799</v>
      </c>
      <c r="K963" s="1752" t="s">
        <v>1130</v>
      </c>
      <c r="L963" s="1753">
        <v>1</v>
      </c>
      <c r="M963" s="1753">
        <v>2329.23</v>
      </c>
      <c r="N963" s="1754">
        <v>2329.23</v>
      </c>
      <c r="O963" s="1755" t="s">
        <v>2791</v>
      </c>
      <c r="P963" s="1721" t="s">
        <v>9611</v>
      </c>
    </row>
    <row r="964" spans="1:16" ht="13.9" hidden="1" customHeight="1" outlineLevel="2" x14ac:dyDescent="0.2">
      <c r="A964" s="459">
        <v>0</v>
      </c>
      <c r="B964" s="459">
        <v>8</v>
      </c>
      <c r="C964" s="459">
        <v>2</v>
      </c>
      <c r="D964" s="460">
        <v>3</v>
      </c>
      <c r="E964" s="460">
        <v>0</v>
      </c>
      <c r="G964" s="1740"/>
      <c r="H964" s="1741" t="s">
        <v>1238</v>
      </c>
      <c r="I964" s="1742" t="s">
        <v>6746</v>
      </c>
      <c r="J964" s="1743" t="s">
        <v>3353</v>
      </c>
      <c r="K964" s="1744"/>
      <c r="L964" s="1745"/>
      <c r="M964" s="1745"/>
      <c r="N964" s="1746">
        <v>116980.6</v>
      </c>
      <c r="O964" s="1747"/>
      <c r="P964" s="1720"/>
    </row>
    <row r="965" spans="1:16" ht="13.9" hidden="1" customHeight="1" outlineLevel="3" x14ac:dyDescent="0.2">
      <c r="A965" s="459">
        <v>0</v>
      </c>
      <c r="B965" s="459">
        <v>8</v>
      </c>
      <c r="C965" s="459">
        <v>2</v>
      </c>
      <c r="D965" s="460">
        <v>3</v>
      </c>
      <c r="E965" s="460">
        <v>1</v>
      </c>
      <c r="G965" s="1790" t="s">
        <v>1258</v>
      </c>
      <c r="H965" s="1749" t="s">
        <v>1239</v>
      </c>
      <c r="I965" s="1750" t="s">
        <v>6747</v>
      </c>
      <c r="J965" s="1751" t="s">
        <v>3353</v>
      </c>
      <c r="K965" s="1752" t="s">
        <v>1130</v>
      </c>
      <c r="L965" s="1753">
        <v>1</v>
      </c>
      <c r="M965" s="1753">
        <v>116980.6</v>
      </c>
      <c r="N965" s="1754">
        <v>116980.6</v>
      </c>
      <c r="O965" s="1755" t="s">
        <v>2791</v>
      </c>
      <c r="P965" s="1721" t="s">
        <v>9611</v>
      </c>
    </row>
    <row r="966" spans="1:16" ht="13.9" hidden="1" customHeight="1" outlineLevel="2" x14ac:dyDescent="0.2">
      <c r="A966" s="459">
        <v>0</v>
      </c>
      <c r="B966" s="459">
        <v>8</v>
      </c>
      <c r="C966" s="459">
        <v>2</v>
      </c>
      <c r="D966" s="460">
        <v>4</v>
      </c>
      <c r="E966" s="460">
        <v>0</v>
      </c>
      <c r="G966" s="1740"/>
      <c r="H966" s="1741" t="s">
        <v>1238</v>
      </c>
      <c r="I966" s="1742" t="s">
        <v>6748</v>
      </c>
      <c r="J966" s="1743" t="s">
        <v>2800</v>
      </c>
      <c r="K966" s="1744"/>
      <c r="L966" s="1745"/>
      <c r="M966" s="1745"/>
      <c r="N966" s="1746">
        <v>0</v>
      </c>
      <c r="O966" s="1747"/>
      <c r="P966" s="1720"/>
    </row>
    <row r="967" spans="1:16" ht="13.9" hidden="1" customHeight="1" outlineLevel="3" x14ac:dyDescent="0.2">
      <c r="A967" s="459">
        <v>0</v>
      </c>
      <c r="B967" s="459">
        <v>8</v>
      </c>
      <c r="C967" s="459">
        <v>2</v>
      </c>
      <c r="D967" s="460">
        <v>4</v>
      </c>
      <c r="E967" s="460">
        <v>1</v>
      </c>
      <c r="G967" s="1790" t="s">
        <v>1258</v>
      </c>
      <c r="H967" s="1749" t="s">
        <v>1239</v>
      </c>
      <c r="I967" s="1750" t="s">
        <v>6749</v>
      </c>
      <c r="J967" s="1751" t="s">
        <v>2800</v>
      </c>
      <c r="K967" s="1752" t="s">
        <v>1130</v>
      </c>
      <c r="L967" s="1753">
        <v>1</v>
      </c>
      <c r="M967" s="1753"/>
      <c r="N967" s="1754">
        <v>0</v>
      </c>
      <c r="O967" s="1755" t="s">
        <v>3351</v>
      </c>
      <c r="P967" s="1721" t="s">
        <v>9611</v>
      </c>
    </row>
    <row r="968" spans="1:16" ht="13.9" hidden="1" customHeight="1" outlineLevel="2" x14ac:dyDescent="0.2">
      <c r="A968" s="459">
        <v>0</v>
      </c>
      <c r="B968" s="459">
        <v>8</v>
      </c>
      <c r="C968" s="459">
        <v>2</v>
      </c>
      <c r="D968" s="460">
        <v>5</v>
      </c>
      <c r="E968" s="460">
        <v>0</v>
      </c>
      <c r="G968" s="1740"/>
      <c r="H968" s="1741" t="s">
        <v>1238</v>
      </c>
      <c r="I968" s="1742" t="s">
        <v>6750</v>
      </c>
      <c r="J968" s="1743" t="s">
        <v>2523</v>
      </c>
      <c r="K968" s="1744"/>
      <c r="L968" s="1745"/>
      <c r="M968" s="1745"/>
      <c r="N968" s="1746">
        <v>8505.0550000000003</v>
      </c>
      <c r="O968" s="1747"/>
      <c r="P968" s="1720"/>
    </row>
    <row r="969" spans="1:16" ht="13.9" hidden="1" customHeight="1" outlineLevel="3" x14ac:dyDescent="0.2">
      <c r="A969" s="459">
        <v>0</v>
      </c>
      <c r="B969" s="459">
        <v>8</v>
      </c>
      <c r="C969" s="459">
        <v>2</v>
      </c>
      <c r="D969" s="460">
        <v>5</v>
      </c>
      <c r="E969" s="460">
        <v>1</v>
      </c>
      <c r="G969" s="1790" t="s">
        <v>1258</v>
      </c>
      <c r="H969" s="1749" t="s">
        <v>1239</v>
      </c>
      <c r="I969" s="1750" t="s">
        <v>6751</v>
      </c>
      <c r="J969" s="1751" t="s">
        <v>2523</v>
      </c>
      <c r="K969" s="1752" t="s">
        <v>1130</v>
      </c>
      <c r="L969" s="1753">
        <v>1</v>
      </c>
      <c r="M969" s="1753">
        <v>8505.0550000000003</v>
      </c>
      <c r="N969" s="1754">
        <v>8505.0550000000003</v>
      </c>
      <c r="O969" s="1755" t="s">
        <v>2791</v>
      </c>
      <c r="P969" s="1721" t="s">
        <v>9611</v>
      </c>
    </row>
    <row r="970" spans="1:16" ht="13.9" hidden="1" customHeight="1" outlineLevel="2" x14ac:dyDescent="0.2">
      <c r="A970" s="459">
        <v>0</v>
      </c>
      <c r="B970" s="459">
        <v>8</v>
      </c>
      <c r="C970" s="459">
        <v>2</v>
      </c>
      <c r="D970" s="460">
        <v>6</v>
      </c>
      <c r="E970" s="460">
        <v>0</v>
      </c>
      <c r="G970" s="1740"/>
      <c r="H970" s="1741" t="s">
        <v>1238</v>
      </c>
      <c r="I970" s="1742" t="s">
        <v>6752</v>
      </c>
      <c r="J970" s="1743" t="s">
        <v>2522</v>
      </c>
      <c r="K970" s="1744"/>
      <c r="L970" s="1745"/>
      <c r="M970" s="1745"/>
      <c r="N970" s="1746">
        <v>0</v>
      </c>
      <c r="O970" s="1747"/>
      <c r="P970" s="1720"/>
    </row>
    <row r="971" spans="1:16" ht="13.9" hidden="1" customHeight="1" outlineLevel="3" x14ac:dyDescent="0.2">
      <c r="A971" s="459">
        <v>0</v>
      </c>
      <c r="B971" s="459">
        <v>8</v>
      </c>
      <c r="C971" s="459">
        <v>2</v>
      </c>
      <c r="D971" s="460">
        <v>6</v>
      </c>
      <c r="E971" s="460">
        <v>1</v>
      </c>
      <c r="G971" s="1790" t="s">
        <v>1258</v>
      </c>
      <c r="H971" s="1749" t="s">
        <v>1239</v>
      </c>
      <c r="I971" s="1750" t="s">
        <v>6753</v>
      </c>
      <c r="J971" s="1751" t="s">
        <v>2522</v>
      </c>
      <c r="K971" s="1752" t="s">
        <v>1130</v>
      </c>
      <c r="L971" s="1753">
        <v>1</v>
      </c>
      <c r="M971" s="1753"/>
      <c r="N971" s="1754">
        <v>0</v>
      </c>
      <c r="O971" s="1755" t="s">
        <v>2791</v>
      </c>
      <c r="P971" s="1721" t="s">
        <v>9611</v>
      </c>
    </row>
    <row r="972" spans="1:16" ht="13.9" hidden="1" customHeight="1" outlineLevel="2" x14ac:dyDescent="0.2">
      <c r="A972" s="459">
        <v>0</v>
      </c>
      <c r="B972" s="459">
        <v>8</v>
      </c>
      <c r="C972" s="459">
        <v>2</v>
      </c>
      <c r="D972" s="460">
        <v>7</v>
      </c>
      <c r="E972" s="460">
        <v>0</v>
      </c>
      <c r="G972" s="1740"/>
      <c r="H972" s="1741" t="s">
        <v>1238</v>
      </c>
      <c r="I972" s="1742" t="s">
        <v>6754</v>
      </c>
      <c r="J972" s="1743" t="s">
        <v>15</v>
      </c>
      <c r="K972" s="1744"/>
      <c r="L972" s="1745"/>
      <c r="M972" s="1745"/>
      <c r="N972" s="1746">
        <v>4005.75</v>
      </c>
      <c r="O972" s="1747"/>
      <c r="P972" s="1720"/>
    </row>
    <row r="973" spans="1:16" ht="13.9" hidden="1" customHeight="1" outlineLevel="3" x14ac:dyDescent="0.2">
      <c r="A973" s="459">
        <v>0</v>
      </c>
      <c r="B973" s="459">
        <v>8</v>
      </c>
      <c r="C973" s="459">
        <v>2</v>
      </c>
      <c r="D973" s="460">
        <v>7</v>
      </c>
      <c r="E973" s="460">
        <v>1</v>
      </c>
      <c r="G973" s="1790" t="s">
        <v>1258</v>
      </c>
      <c r="H973" s="1749" t="s">
        <v>1239</v>
      </c>
      <c r="I973" s="1750" t="s">
        <v>6755</v>
      </c>
      <c r="J973" s="1751" t="s">
        <v>1259</v>
      </c>
      <c r="K973" s="1752" t="s">
        <v>1130</v>
      </c>
      <c r="L973" s="1753">
        <v>1</v>
      </c>
      <c r="M973" s="1753">
        <v>4005.75</v>
      </c>
      <c r="N973" s="1754">
        <v>4005.75</v>
      </c>
      <c r="O973" s="1765" t="s">
        <v>2801</v>
      </c>
      <c r="P973" s="1721" t="s">
        <v>9611</v>
      </c>
    </row>
    <row r="974" spans="1:16" ht="13.9" hidden="1" customHeight="1" outlineLevel="1" x14ac:dyDescent="0.2">
      <c r="A974" s="459">
        <v>0</v>
      </c>
      <c r="B974" s="459">
        <v>8</v>
      </c>
      <c r="C974" s="459">
        <v>3</v>
      </c>
      <c r="D974" s="460">
        <v>0</v>
      </c>
      <c r="E974" s="460">
        <v>1</v>
      </c>
      <c r="G974" s="1733"/>
      <c r="H974" s="1734" t="s">
        <v>39</v>
      </c>
      <c r="I974" s="1735" t="s">
        <v>6756</v>
      </c>
      <c r="J974" s="1736" t="s">
        <v>3339</v>
      </c>
      <c r="K974" s="1737"/>
      <c r="L974" s="1738"/>
      <c r="M974" s="1738"/>
      <c r="N974" s="1739">
        <v>206623.302</v>
      </c>
      <c r="O974" s="1722"/>
      <c r="P974" s="1725"/>
    </row>
    <row r="975" spans="1:16" ht="13.9" hidden="1" customHeight="1" outlineLevel="2" x14ac:dyDescent="0.2">
      <c r="A975" s="459">
        <v>0</v>
      </c>
      <c r="B975" s="459">
        <v>8</v>
      </c>
      <c r="C975" s="459">
        <v>3</v>
      </c>
      <c r="D975" s="460">
        <v>1</v>
      </c>
      <c r="E975" s="460">
        <v>0</v>
      </c>
      <c r="G975" s="1740"/>
      <c r="H975" s="1741" t="s">
        <v>1238</v>
      </c>
      <c r="I975" s="1742" t="s">
        <v>6757</v>
      </c>
      <c r="J975" s="1743" t="s">
        <v>2798</v>
      </c>
      <c r="K975" s="1744"/>
      <c r="L975" s="1745"/>
      <c r="M975" s="1745"/>
      <c r="N975" s="1746">
        <v>5453.5</v>
      </c>
      <c r="O975" s="1747"/>
      <c r="P975" s="1720"/>
    </row>
    <row r="976" spans="1:16" ht="13.9" hidden="1" customHeight="1" outlineLevel="3" x14ac:dyDescent="0.2">
      <c r="A976" s="459">
        <v>0</v>
      </c>
      <c r="B976" s="459">
        <v>8</v>
      </c>
      <c r="C976" s="459">
        <v>3</v>
      </c>
      <c r="D976" s="460">
        <v>1</v>
      </c>
      <c r="E976" s="460">
        <v>1</v>
      </c>
      <c r="G976" s="1790" t="s">
        <v>1258</v>
      </c>
      <c r="H976" s="1749" t="s">
        <v>1239</v>
      </c>
      <c r="I976" s="1750" t="s">
        <v>6758</v>
      </c>
      <c r="J976" s="1751" t="s">
        <v>2798</v>
      </c>
      <c r="K976" s="1752" t="s">
        <v>1130</v>
      </c>
      <c r="L976" s="1753">
        <v>1</v>
      </c>
      <c r="M976" s="1753">
        <v>5453.5</v>
      </c>
      <c r="N976" s="1754">
        <v>5453.5</v>
      </c>
      <c r="O976" s="1755" t="s">
        <v>2791</v>
      </c>
      <c r="P976" s="1721" t="s">
        <v>9611</v>
      </c>
    </row>
    <row r="977" spans="1:16" ht="13.9" hidden="1" customHeight="1" outlineLevel="2" x14ac:dyDescent="0.2">
      <c r="A977" s="459">
        <v>0</v>
      </c>
      <c r="B977" s="459">
        <v>8</v>
      </c>
      <c r="C977" s="459">
        <v>3</v>
      </c>
      <c r="D977" s="460">
        <v>2</v>
      </c>
      <c r="E977" s="460">
        <v>0</v>
      </c>
      <c r="G977" s="1740"/>
      <c r="H977" s="1741" t="s">
        <v>1238</v>
      </c>
      <c r="I977" s="1742" t="s">
        <v>6759</v>
      </c>
      <c r="J977" s="1743" t="s">
        <v>2799</v>
      </c>
      <c r="K977" s="1744"/>
      <c r="L977" s="1745"/>
      <c r="M977" s="1745"/>
      <c r="N977" s="1746">
        <v>2033.84</v>
      </c>
      <c r="O977" s="1747"/>
      <c r="P977" s="1720"/>
    </row>
    <row r="978" spans="1:16" ht="13.9" hidden="1" customHeight="1" outlineLevel="3" x14ac:dyDescent="0.2">
      <c r="A978" s="459">
        <v>0</v>
      </c>
      <c r="B978" s="459">
        <v>8</v>
      </c>
      <c r="C978" s="459">
        <v>3</v>
      </c>
      <c r="D978" s="460">
        <v>2</v>
      </c>
      <c r="E978" s="460">
        <v>1</v>
      </c>
      <c r="G978" s="1790" t="s">
        <v>1258</v>
      </c>
      <c r="H978" s="1749" t="s">
        <v>1239</v>
      </c>
      <c r="I978" s="1750" t="s">
        <v>6760</v>
      </c>
      <c r="J978" s="1751" t="s">
        <v>2799</v>
      </c>
      <c r="K978" s="1752" t="s">
        <v>1130</v>
      </c>
      <c r="L978" s="1753">
        <v>1</v>
      </c>
      <c r="M978" s="1753">
        <v>2033.84</v>
      </c>
      <c r="N978" s="1754">
        <v>2033.84</v>
      </c>
      <c r="O978" s="1755" t="s">
        <v>2791</v>
      </c>
      <c r="P978" s="1721" t="s">
        <v>9611</v>
      </c>
    </row>
    <row r="979" spans="1:16" ht="13.9" hidden="1" customHeight="1" outlineLevel="2" x14ac:dyDescent="0.2">
      <c r="A979" s="459">
        <v>0</v>
      </c>
      <c r="B979" s="459">
        <v>8</v>
      </c>
      <c r="C979" s="459">
        <v>3</v>
      </c>
      <c r="D979" s="460">
        <v>3</v>
      </c>
      <c r="E979" s="460">
        <v>0</v>
      </c>
      <c r="G979" s="1740"/>
      <c r="H979" s="1741" t="s">
        <v>1238</v>
      </c>
      <c r="I979" s="1742" t="s">
        <v>6761</v>
      </c>
      <c r="J979" s="1743" t="s">
        <v>3353</v>
      </c>
      <c r="K979" s="1744"/>
      <c r="L979" s="1745"/>
      <c r="M979" s="1745"/>
      <c r="N979" s="1746">
        <v>187329.8</v>
      </c>
      <c r="O979" s="1747"/>
      <c r="P979" s="1720"/>
    </row>
    <row r="980" spans="1:16" ht="13.9" hidden="1" customHeight="1" outlineLevel="3" x14ac:dyDescent="0.2">
      <c r="A980" s="459">
        <v>0</v>
      </c>
      <c r="B980" s="459">
        <v>8</v>
      </c>
      <c r="C980" s="459">
        <v>3</v>
      </c>
      <c r="D980" s="460">
        <v>3</v>
      </c>
      <c r="E980" s="460">
        <v>1</v>
      </c>
      <c r="G980" s="1790" t="s">
        <v>1258</v>
      </c>
      <c r="H980" s="1749" t="s">
        <v>1239</v>
      </c>
      <c r="I980" s="1750" t="s">
        <v>6762</v>
      </c>
      <c r="J980" s="1751" t="s">
        <v>3353</v>
      </c>
      <c r="K980" s="1752" t="s">
        <v>1130</v>
      </c>
      <c r="L980" s="1753">
        <v>1</v>
      </c>
      <c r="M980" s="1753">
        <v>187329.8</v>
      </c>
      <c r="N980" s="1754">
        <v>187329.8</v>
      </c>
      <c r="O980" s="1755" t="s">
        <v>2791</v>
      </c>
      <c r="P980" s="1721" t="s">
        <v>9611</v>
      </c>
    </row>
    <row r="981" spans="1:16" ht="13.9" hidden="1" customHeight="1" outlineLevel="2" x14ac:dyDescent="0.2">
      <c r="A981" s="459">
        <v>0</v>
      </c>
      <c r="B981" s="459">
        <v>8</v>
      </c>
      <c r="C981" s="459">
        <v>3</v>
      </c>
      <c r="D981" s="460">
        <v>4</v>
      </c>
      <c r="E981" s="460">
        <v>0</v>
      </c>
      <c r="G981" s="1740"/>
      <c r="H981" s="1741" t="s">
        <v>1238</v>
      </c>
      <c r="I981" s="1742" t="s">
        <v>6763</v>
      </c>
      <c r="J981" s="1743" t="s">
        <v>2800</v>
      </c>
      <c r="K981" s="1744"/>
      <c r="L981" s="1745"/>
      <c r="M981" s="1745"/>
      <c r="N981" s="1746">
        <v>0</v>
      </c>
      <c r="O981" s="1747"/>
      <c r="P981" s="1720"/>
    </row>
    <row r="982" spans="1:16" ht="13.9" hidden="1" customHeight="1" outlineLevel="3" x14ac:dyDescent="0.2">
      <c r="A982" s="459">
        <v>0</v>
      </c>
      <c r="B982" s="459">
        <v>8</v>
      </c>
      <c r="C982" s="459">
        <v>3</v>
      </c>
      <c r="D982" s="460">
        <v>4</v>
      </c>
      <c r="E982" s="460">
        <v>1</v>
      </c>
      <c r="G982" s="1790" t="s">
        <v>1258</v>
      </c>
      <c r="H982" s="1749" t="s">
        <v>1239</v>
      </c>
      <c r="I982" s="1750" t="s">
        <v>6764</v>
      </c>
      <c r="J982" s="1751" t="s">
        <v>2800</v>
      </c>
      <c r="K982" s="1752" t="s">
        <v>1130</v>
      </c>
      <c r="L982" s="1753">
        <v>1</v>
      </c>
      <c r="M982" s="1753">
        <v>0</v>
      </c>
      <c r="N982" s="1754">
        <v>0</v>
      </c>
      <c r="O982" s="1755" t="s">
        <v>3351</v>
      </c>
      <c r="P982" s="1721" t="s">
        <v>9611</v>
      </c>
    </row>
    <row r="983" spans="1:16" ht="13.9" hidden="1" customHeight="1" outlineLevel="2" x14ac:dyDescent="0.2">
      <c r="A983" s="459">
        <v>0</v>
      </c>
      <c r="B983" s="459">
        <v>8</v>
      </c>
      <c r="C983" s="459">
        <v>3</v>
      </c>
      <c r="D983" s="460">
        <v>5</v>
      </c>
      <c r="E983" s="460">
        <v>0</v>
      </c>
      <c r="G983" s="1740"/>
      <c r="H983" s="1741" t="s">
        <v>1238</v>
      </c>
      <c r="I983" s="1742" t="s">
        <v>6765</v>
      </c>
      <c r="J983" s="1743" t="s">
        <v>2523</v>
      </c>
      <c r="K983" s="1744"/>
      <c r="L983" s="1745"/>
      <c r="M983" s="1745"/>
      <c r="N983" s="1746">
        <v>7413.6620000000003</v>
      </c>
      <c r="O983" s="1747"/>
      <c r="P983" s="1720"/>
    </row>
    <row r="984" spans="1:16" ht="13.9" hidden="1" customHeight="1" outlineLevel="3" x14ac:dyDescent="0.2">
      <c r="A984" s="459">
        <v>0</v>
      </c>
      <c r="B984" s="459">
        <v>8</v>
      </c>
      <c r="C984" s="459">
        <v>3</v>
      </c>
      <c r="D984" s="460">
        <v>5</v>
      </c>
      <c r="E984" s="460">
        <v>1</v>
      </c>
      <c r="G984" s="1790" t="s">
        <v>1258</v>
      </c>
      <c r="H984" s="1749" t="s">
        <v>1239</v>
      </c>
      <c r="I984" s="1750" t="s">
        <v>6766</v>
      </c>
      <c r="J984" s="1751" t="s">
        <v>2523</v>
      </c>
      <c r="K984" s="1752" t="s">
        <v>1130</v>
      </c>
      <c r="L984" s="1753">
        <v>1</v>
      </c>
      <c r="M984" s="1753">
        <v>7413.6620000000012</v>
      </c>
      <c r="N984" s="1754">
        <v>7413.6620000000003</v>
      </c>
      <c r="O984" s="1755" t="s">
        <v>2791</v>
      </c>
      <c r="P984" s="1721" t="s">
        <v>9611</v>
      </c>
    </row>
    <row r="985" spans="1:16" ht="13.9" hidden="1" customHeight="1" outlineLevel="2" x14ac:dyDescent="0.2">
      <c r="A985" s="459">
        <v>0</v>
      </c>
      <c r="B985" s="459">
        <v>8</v>
      </c>
      <c r="C985" s="459">
        <v>3</v>
      </c>
      <c r="D985" s="460">
        <v>6</v>
      </c>
      <c r="E985" s="460">
        <v>0</v>
      </c>
      <c r="G985" s="1740"/>
      <c r="H985" s="1741" t="s">
        <v>1238</v>
      </c>
      <c r="I985" s="1742" t="s">
        <v>6767</v>
      </c>
      <c r="J985" s="1743" t="s">
        <v>2522</v>
      </c>
      <c r="K985" s="1744"/>
      <c r="L985" s="1745"/>
      <c r="M985" s="1745"/>
      <c r="N985" s="1746">
        <v>0</v>
      </c>
      <c r="O985" s="1747"/>
      <c r="P985" s="1720"/>
    </row>
    <row r="986" spans="1:16" ht="13.9" hidden="1" customHeight="1" outlineLevel="3" x14ac:dyDescent="0.2">
      <c r="A986" s="459">
        <v>0</v>
      </c>
      <c r="B986" s="459">
        <v>8</v>
      </c>
      <c r="C986" s="459">
        <v>3</v>
      </c>
      <c r="D986" s="460">
        <v>6</v>
      </c>
      <c r="E986" s="460">
        <v>1</v>
      </c>
      <c r="G986" s="1790" t="s">
        <v>1258</v>
      </c>
      <c r="H986" s="1749" t="s">
        <v>1239</v>
      </c>
      <c r="I986" s="1750" t="s">
        <v>6768</v>
      </c>
      <c r="J986" s="1751" t="s">
        <v>2522</v>
      </c>
      <c r="K986" s="1752" t="s">
        <v>1130</v>
      </c>
      <c r="L986" s="1753">
        <v>1</v>
      </c>
      <c r="M986" s="1753">
        <v>0</v>
      </c>
      <c r="N986" s="1754">
        <v>0</v>
      </c>
      <c r="O986" s="1755" t="s">
        <v>2791</v>
      </c>
      <c r="P986" s="1721" t="s">
        <v>9611</v>
      </c>
    </row>
    <row r="987" spans="1:16" ht="13.9" hidden="1" customHeight="1" outlineLevel="2" x14ac:dyDescent="0.2">
      <c r="A987" s="459">
        <v>0</v>
      </c>
      <c r="B987" s="459">
        <v>8</v>
      </c>
      <c r="C987" s="459">
        <v>3</v>
      </c>
      <c r="D987" s="460">
        <v>7</v>
      </c>
      <c r="E987" s="460">
        <v>0</v>
      </c>
      <c r="G987" s="1740"/>
      <c r="H987" s="1741" t="s">
        <v>1238</v>
      </c>
      <c r="I987" s="1742" t="s">
        <v>6769</v>
      </c>
      <c r="J987" s="1743" t="s">
        <v>15</v>
      </c>
      <c r="K987" s="1744"/>
      <c r="L987" s="1745"/>
      <c r="M987" s="1745"/>
      <c r="N987" s="1746">
        <v>4392.5</v>
      </c>
      <c r="O987" s="1747"/>
      <c r="P987" s="1720"/>
    </row>
    <row r="988" spans="1:16" ht="13.9" hidden="1" customHeight="1" outlineLevel="3" x14ac:dyDescent="0.2">
      <c r="A988" s="459">
        <v>0</v>
      </c>
      <c r="B988" s="459">
        <v>8</v>
      </c>
      <c r="C988" s="459">
        <v>3</v>
      </c>
      <c r="D988" s="460">
        <v>7</v>
      </c>
      <c r="E988" s="460">
        <v>1</v>
      </c>
      <c r="G988" s="1790" t="s">
        <v>1258</v>
      </c>
      <c r="H988" s="1749" t="s">
        <v>1239</v>
      </c>
      <c r="I988" s="1750" t="s">
        <v>6770</v>
      </c>
      <c r="J988" s="1751" t="s">
        <v>1259</v>
      </c>
      <c r="K988" s="1752" t="s">
        <v>1130</v>
      </c>
      <c r="L988" s="1753">
        <v>1</v>
      </c>
      <c r="M988" s="1753">
        <v>4392.5</v>
      </c>
      <c r="N988" s="1754">
        <v>4392.5</v>
      </c>
      <c r="O988" s="1765" t="s">
        <v>2801</v>
      </c>
      <c r="P988" s="1721" t="s">
        <v>9611</v>
      </c>
    </row>
    <row r="989" spans="1:16" ht="13.9" hidden="1" customHeight="1" outlineLevel="1" x14ac:dyDescent="0.2">
      <c r="A989" s="459">
        <v>0</v>
      </c>
      <c r="B989" s="459">
        <v>8</v>
      </c>
      <c r="C989" s="459">
        <v>4</v>
      </c>
      <c r="D989" s="460">
        <v>0</v>
      </c>
      <c r="E989" s="460">
        <v>1</v>
      </c>
      <c r="G989" s="1733"/>
      <c r="H989" s="1734" t="s">
        <v>39</v>
      </c>
      <c r="I989" s="1735" t="s">
        <v>6771</v>
      </c>
      <c r="J989" s="1736" t="s">
        <v>3340</v>
      </c>
      <c r="K989" s="1737"/>
      <c r="L989" s="1738"/>
      <c r="M989" s="1738"/>
      <c r="N989" s="1739">
        <v>219050.859</v>
      </c>
      <c r="O989" s="1722"/>
      <c r="P989" s="1725"/>
    </row>
    <row r="990" spans="1:16" ht="13.9" hidden="1" customHeight="1" outlineLevel="2" x14ac:dyDescent="0.2">
      <c r="A990" s="459">
        <v>0</v>
      </c>
      <c r="B990" s="459">
        <v>8</v>
      </c>
      <c r="C990" s="459">
        <v>4</v>
      </c>
      <c r="D990" s="460">
        <v>1</v>
      </c>
      <c r="E990" s="460">
        <v>0</v>
      </c>
      <c r="G990" s="1740"/>
      <c r="H990" s="1741" t="s">
        <v>1238</v>
      </c>
      <c r="I990" s="1742" t="s">
        <v>6772</v>
      </c>
      <c r="J990" s="1743" t="s">
        <v>2798</v>
      </c>
      <c r="K990" s="1744"/>
      <c r="L990" s="1745"/>
      <c r="M990" s="1745"/>
      <c r="N990" s="1746">
        <v>5453.5</v>
      </c>
      <c r="O990" s="1747"/>
      <c r="P990" s="1720"/>
    </row>
    <row r="991" spans="1:16" ht="13.9" hidden="1" customHeight="1" outlineLevel="3" x14ac:dyDescent="0.2">
      <c r="A991" s="459">
        <v>0</v>
      </c>
      <c r="B991" s="459">
        <v>8</v>
      </c>
      <c r="C991" s="459">
        <v>4</v>
      </c>
      <c r="D991" s="460">
        <v>1</v>
      </c>
      <c r="E991" s="460">
        <v>1</v>
      </c>
      <c r="G991" s="1790" t="s">
        <v>1258</v>
      </c>
      <c r="H991" s="1749" t="s">
        <v>1239</v>
      </c>
      <c r="I991" s="1750" t="s">
        <v>6773</v>
      </c>
      <c r="J991" s="1751" t="s">
        <v>2798</v>
      </c>
      <c r="K991" s="1752" t="s">
        <v>1130</v>
      </c>
      <c r="L991" s="1753">
        <v>1</v>
      </c>
      <c r="M991" s="1753">
        <v>5453.5</v>
      </c>
      <c r="N991" s="1754">
        <v>5453.5</v>
      </c>
      <c r="O991" s="1755" t="s">
        <v>2791</v>
      </c>
      <c r="P991" s="1721" t="s">
        <v>9611</v>
      </c>
    </row>
    <row r="992" spans="1:16" ht="13.9" hidden="1" customHeight="1" outlineLevel="2" x14ac:dyDescent="0.2">
      <c r="A992" s="459">
        <v>0</v>
      </c>
      <c r="B992" s="459">
        <v>8</v>
      </c>
      <c r="C992" s="459">
        <v>4</v>
      </c>
      <c r="D992" s="460">
        <v>2</v>
      </c>
      <c r="E992" s="460">
        <v>0</v>
      </c>
      <c r="G992" s="1740"/>
      <c r="H992" s="1741" t="s">
        <v>1238</v>
      </c>
      <c r="I992" s="1742" t="s">
        <v>6774</v>
      </c>
      <c r="J992" s="1743" t="s">
        <v>2799</v>
      </c>
      <c r="K992" s="1744"/>
      <c r="L992" s="1745"/>
      <c r="M992" s="1745"/>
      <c r="N992" s="1746">
        <v>2028.04</v>
      </c>
      <c r="O992" s="1747"/>
      <c r="P992" s="1720"/>
    </row>
    <row r="993" spans="1:16" ht="13.9" hidden="1" customHeight="1" outlineLevel="3" x14ac:dyDescent="0.2">
      <c r="A993" s="459">
        <v>0</v>
      </c>
      <c r="B993" s="459">
        <v>8</v>
      </c>
      <c r="C993" s="459">
        <v>4</v>
      </c>
      <c r="D993" s="460">
        <v>2</v>
      </c>
      <c r="E993" s="460">
        <v>1</v>
      </c>
      <c r="G993" s="1790" t="s">
        <v>1258</v>
      </c>
      <c r="H993" s="1749" t="s">
        <v>1239</v>
      </c>
      <c r="I993" s="1750" t="s">
        <v>6775</v>
      </c>
      <c r="J993" s="1751" t="s">
        <v>2799</v>
      </c>
      <c r="K993" s="1752" t="s">
        <v>1130</v>
      </c>
      <c r="L993" s="1753">
        <v>1</v>
      </c>
      <c r="M993" s="1753">
        <v>2028.04</v>
      </c>
      <c r="N993" s="1754">
        <v>2028.04</v>
      </c>
      <c r="O993" s="1755" t="s">
        <v>2791</v>
      </c>
      <c r="P993" s="1721" t="s">
        <v>9611</v>
      </c>
    </row>
    <row r="994" spans="1:16" ht="13.9" hidden="1" customHeight="1" outlineLevel="2" x14ac:dyDescent="0.2">
      <c r="A994" s="459">
        <v>0</v>
      </c>
      <c r="B994" s="459">
        <v>8</v>
      </c>
      <c r="C994" s="459">
        <v>4</v>
      </c>
      <c r="D994" s="460">
        <v>3</v>
      </c>
      <c r="E994" s="460">
        <v>0</v>
      </c>
      <c r="G994" s="1740"/>
      <c r="H994" s="1741" t="s">
        <v>1238</v>
      </c>
      <c r="I994" s="1742" t="s">
        <v>6776</v>
      </c>
      <c r="J994" s="1743" t="s">
        <v>3353</v>
      </c>
      <c r="K994" s="1744"/>
      <c r="L994" s="1745"/>
      <c r="M994" s="1745"/>
      <c r="N994" s="1746">
        <v>199625.60000000001</v>
      </c>
      <c r="O994" s="1747"/>
      <c r="P994" s="1720"/>
    </row>
    <row r="995" spans="1:16" ht="13.9" hidden="1" customHeight="1" outlineLevel="3" x14ac:dyDescent="0.2">
      <c r="A995" s="459">
        <v>0</v>
      </c>
      <c r="B995" s="459">
        <v>8</v>
      </c>
      <c r="C995" s="459">
        <v>4</v>
      </c>
      <c r="D995" s="460">
        <v>3</v>
      </c>
      <c r="E995" s="460">
        <v>1</v>
      </c>
      <c r="G995" s="1790" t="s">
        <v>1258</v>
      </c>
      <c r="H995" s="1749" t="s">
        <v>1239</v>
      </c>
      <c r="I995" s="1750" t="s">
        <v>6777</v>
      </c>
      <c r="J995" s="1751" t="s">
        <v>3353</v>
      </c>
      <c r="K995" s="1752" t="s">
        <v>1130</v>
      </c>
      <c r="L995" s="1753">
        <v>1</v>
      </c>
      <c r="M995" s="1753">
        <v>199625.60000000001</v>
      </c>
      <c r="N995" s="1754">
        <v>199625.60000000001</v>
      </c>
      <c r="O995" s="1755" t="s">
        <v>2791</v>
      </c>
      <c r="P995" s="1721" t="s">
        <v>9611</v>
      </c>
    </row>
    <row r="996" spans="1:16" ht="13.9" hidden="1" customHeight="1" outlineLevel="2" x14ac:dyDescent="0.2">
      <c r="A996" s="459">
        <v>0</v>
      </c>
      <c r="B996" s="459">
        <v>8</v>
      </c>
      <c r="C996" s="459">
        <v>4</v>
      </c>
      <c r="D996" s="460">
        <v>4</v>
      </c>
      <c r="E996" s="460">
        <v>0</v>
      </c>
      <c r="G996" s="1740"/>
      <c r="H996" s="1741" t="s">
        <v>1238</v>
      </c>
      <c r="I996" s="1742" t="s">
        <v>6778</v>
      </c>
      <c r="J996" s="1743" t="s">
        <v>2800</v>
      </c>
      <c r="K996" s="1744"/>
      <c r="L996" s="1745"/>
      <c r="M996" s="1745"/>
      <c r="N996" s="1746">
        <v>0</v>
      </c>
      <c r="O996" s="1747"/>
      <c r="P996" s="1720"/>
    </row>
    <row r="997" spans="1:16" ht="13.9" hidden="1" customHeight="1" outlineLevel="3" x14ac:dyDescent="0.2">
      <c r="A997" s="459">
        <v>0</v>
      </c>
      <c r="B997" s="459">
        <v>8</v>
      </c>
      <c r="C997" s="459">
        <v>4</v>
      </c>
      <c r="D997" s="460">
        <v>4</v>
      </c>
      <c r="E997" s="460">
        <v>1</v>
      </c>
      <c r="G997" s="1790" t="s">
        <v>1258</v>
      </c>
      <c r="H997" s="1749" t="s">
        <v>1239</v>
      </c>
      <c r="I997" s="1750" t="s">
        <v>6779</v>
      </c>
      <c r="J997" s="1751" t="s">
        <v>2800</v>
      </c>
      <c r="K997" s="1752" t="s">
        <v>1130</v>
      </c>
      <c r="L997" s="1753">
        <v>1</v>
      </c>
      <c r="M997" s="1753"/>
      <c r="N997" s="1754">
        <v>0</v>
      </c>
      <c r="O997" s="1755" t="s">
        <v>3351</v>
      </c>
      <c r="P997" s="1721" t="s">
        <v>9611</v>
      </c>
    </row>
    <row r="998" spans="1:16" ht="13.9" hidden="1" customHeight="1" outlineLevel="2" x14ac:dyDescent="0.2">
      <c r="A998" s="459">
        <v>0</v>
      </c>
      <c r="B998" s="459">
        <v>8</v>
      </c>
      <c r="C998" s="459">
        <v>4</v>
      </c>
      <c r="D998" s="460">
        <v>5</v>
      </c>
      <c r="E998" s="460">
        <v>0</v>
      </c>
      <c r="G998" s="1740"/>
      <c r="H998" s="1741" t="s">
        <v>1238</v>
      </c>
      <c r="I998" s="1742" t="s">
        <v>6780</v>
      </c>
      <c r="J998" s="1743" t="s">
        <v>2523</v>
      </c>
      <c r="K998" s="1744"/>
      <c r="L998" s="1745"/>
      <c r="M998" s="1745"/>
      <c r="N998" s="1746">
        <v>7551.2190000000001</v>
      </c>
      <c r="O998" s="1747"/>
      <c r="P998" s="1720"/>
    </row>
    <row r="999" spans="1:16" ht="13.9" hidden="1" customHeight="1" outlineLevel="3" x14ac:dyDescent="0.2">
      <c r="A999" s="459">
        <v>0</v>
      </c>
      <c r="B999" s="459">
        <v>8</v>
      </c>
      <c r="C999" s="459">
        <v>4</v>
      </c>
      <c r="D999" s="460">
        <v>5</v>
      </c>
      <c r="E999" s="460">
        <v>1</v>
      </c>
      <c r="G999" s="1790" t="s">
        <v>1258</v>
      </c>
      <c r="H999" s="1749" t="s">
        <v>1239</v>
      </c>
      <c r="I999" s="1750" t="s">
        <v>6781</v>
      </c>
      <c r="J999" s="1751" t="s">
        <v>2523</v>
      </c>
      <c r="K999" s="1752" t="s">
        <v>1130</v>
      </c>
      <c r="L999" s="1753">
        <v>1</v>
      </c>
      <c r="M999" s="1753">
        <v>7551.2189999999982</v>
      </c>
      <c r="N999" s="1754">
        <v>7551.2190000000001</v>
      </c>
      <c r="O999" s="1755" t="s">
        <v>2791</v>
      </c>
      <c r="P999" s="1721" t="s">
        <v>9611</v>
      </c>
    </row>
    <row r="1000" spans="1:16" ht="13.9" hidden="1" customHeight="1" outlineLevel="2" x14ac:dyDescent="0.2">
      <c r="A1000" s="459">
        <v>0</v>
      </c>
      <c r="B1000" s="459">
        <v>8</v>
      </c>
      <c r="C1000" s="459">
        <v>4</v>
      </c>
      <c r="D1000" s="460">
        <v>6</v>
      </c>
      <c r="E1000" s="460">
        <v>0</v>
      </c>
      <c r="G1000" s="1740"/>
      <c r="H1000" s="1741" t="s">
        <v>1238</v>
      </c>
      <c r="I1000" s="1742" t="s">
        <v>6782</v>
      </c>
      <c r="J1000" s="1743" t="s">
        <v>2522</v>
      </c>
      <c r="K1000" s="1744"/>
      <c r="L1000" s="1745"/>
      <c r="M1000" s="1745"/>
      <c r="N1000" s="1746">
        <v>0</v>
      </c>
      <c r="O1000" s="1747"/>
      <c r="P1000" s="1720"/>
    </row>
    <row r="1001" spans="1:16" ht="13.9" hidden="1" customHeight="1" outlineLevel="3" x14ac:dyDescent="0.2">
      <c r="A1001" s="459">
        <v>0</v>
      </c>
      <c r="B1001" s="459">
        <v>8</v>
      </c>
      <c r="C1001" s="459">
        <v>4</v>
      </c>
      <c r="D1001" s="460">
        <v>6</v>
      </c>
      <c r="E1001" s="460">
        <v>1</v>
      </c>
      <c r="G1001" s="1790" t="s">
        <v>1258</v>
      </c>
      <c r="H1001" s="1749" t="s">
        <v>1239</v>
      </c>
      <c r="I1001" s="1750" t="s">
        <v>6783</v>
      </c>
      <c r="J1001" s="1751" t="s">
        <v>2522</v>
      </c>
      <c r="K1001" s="1752" t="s">
        <v>1130</v>
      </c>
      <c r="L1001" s="1753">
        <v>1</v>
      </c>
      <c r="M1001" s="1753"/>
      <c r="N1001" s="1754">
        <v>0</v>
      </c>
      <c r="O1001" s="1755" t="s">
        <v>2791</v>
      </c>
      <c r="P1001" s="1721" t="s">
        <v>9611</v>
      </c>
    </row>
    <row r="1002" spans="1:16" ht="13.9" hidden="1" customHeight="1" outlineLevel="2" x14ac:dyDescent="0.2">
      <c r="A1002" s="459">
        <v>0</v>
      </c>
      <c r="B1002" s="459">
        <v>8</v>
      </c>
      <c r="C1002" s="459">
        <v>4</v>
      </c>
      <c r="D1002" s="460">
        <v>7</v>
      </c>
      <c r="E1002" s="460">
        <v>0</v>
      </c>
      <c r="G1002" s="1740"/>
      <c r="H1002" s="1741" t="s">
        <v>1238</v>
      </c>
      <c r="I1002" s="1742" t="s">
        <v>6784</v>
      </c>
      <c r="J1002" s="1743" t="s">
        <v>15</v>
      </c>
      <c r="K1002" s="1744"/>
      <c r="L1002" s="1745"/>
      <c r="M1002" s="1745"/>
      <c r="N1002" s="1746">
        <v>4392.5</v>
      </c>
      <c r="O1002" s="1747"/>
      <c r="P1002" s="1720"/>
    </row>
    <row r="1003" spans="1:16" ht="13.9" hidden="1" customHeight="1" outlineLevel="3" x14ac:dyDescent="0.2">
      <c r="A1003" s="459">
        <v>0</v>
      </c>
      <c r="B1003" s="459">
        <v>8</v>
      </c>
      <c r="C1003" s="459">
        <v>4</v>
      </c>
      <c r="D1003" s="460">
        <v>7</v>
      </c>
      <c r="E1003" s="460">
        <v>1</v>
      </c>
      <c r="G1003" s="1790" t="s">
        <v>1258</v>
      </c>
      <c r="H1003" s="1749" t="s">
        <v>1239</v>
      </c>
      <c r="I1003" s="1750" t="s">
        <v>6785</v>
      </c>
      <c r="J1003" s="1751" t="s">
        <v>1259</v>
      </c>
      <c r="K1003" s="1752" t="s">
        <v>1130</v>
      </c>
      <c r="L1003" s="1753">
        <v>1</v>
      </c>
      <c r="M1003" s="1753">
        <v>4392.5</v>
      </c>
      <c r="N1003" s="1754">
        <v>4392.5</v>
      </c>
      <c r="O1003" s="1765" t="s">
        <v>2801</v>
      </c>
      <c r="P1003" s="1721" t="s">
        <v>9611</v>
      </c>
    </row>
    <row r="1004" spans="1:16" ht="13.9" hidden="1" customHeight="1" outlineLevel="1" x14ac:dyDescent="0.2">
      <c r="A1004" s="459">
        <v>0</v>
      </c>
      <c r="B1004" s="459">
        <v>8</v>
      </c>
      <c r="C1004" s="459">
        <v>5</v>
      </c>
      <c r="D1004" s="460">
        <v>0</v>
      </c>
      <c r="E1004" s="460">
        <v>1</v>
      </c>
      <c r="G1004" s="1733"/>
      <c r="H1004" s="1734" t="s">
        <v>39</v>
      </c>
      <c r="I1004" s="1735" t="s">
        <v>6786</v>
      </c>
      <c r="J1004" s="1736" t="s">
        <v>3341</v>
      </c>
      <c r="K1004" s="1737"/>
      <c r="L1004" s="1738"/>
      <c r="M1004" s="1738"/>
      <c r="N1004" s="1739">
        <v>228438.611</v>
      </c>
      <c r="O1004" s="1722"/>
      <c r="P1004" s="1725"/>
    </row>
    <row r="1005" spans="1:16" ht="13.9" hidden="1" customHeight="1" outlineLevel="2" x14ac:dyDescent="0.2">
      <c r="A1005" s="459">
        <v>0</v>
      </c>
      <c r="B1005" s="459">
        <v>8</v>
      </c>
      <c r="C1005" s="459">
        <v>5</v>
      </c>
      <c r="D1005" s="460">
        <v>1</v>
      </c>
      <c r="E1005" s="460">
        <v>0</v>
      </c>
      <c r="G1005" s="1740"/>
      <c r="H1005" s="1741" t="s">
        <v>1238</v>
      </c>
      <c r="I1005" s="1742" t="s">
        <v>6787</v>
      </c>
      <c r="J1005" s="1743" t="s">
        <v>2798</v>
      </c>
      <c r="K1005" s="1744"/>
      <c r="L1005" s="1745"/>
      <c r="M1005" s="1745"/>
      <c r="N1005" s="1746">
        <v>18467.89</v>
      </c>
      <c r="O1005" s="1747"/>
      <c r="P1005" s="1720"/>
    </row>
    <row r="1006" spans="1:16" ht="13.9" hidden="1" customHeight="1" outlineLevel="3" x14ac:dyDescent="0.2">
      <c r="A1006" s="459">
        <v>0</v>
      </c>
      <c r="B1006" s="459">
        <v>8</v>
      </c>
      <c r="C1006" s="459">
        <v>5</v>
      </c>
      <c r="D1006" s="460">
        <v>1</v>
      </c>
      <c r="E1006" s="460">
        <v>1</v>
      </c>
      <c r="G1006" s="1790" t="s">
        <v>1258</v>
      </c>
      <c r="H1006" s="1749" t="s">
        <v>1239</v>
      </c>
      <c r="I1006" s="1750" t="s">
        <v>6788</v>
      </c>
      <c r="J1006" s="1751" t="s">
        <v>2798</v>
      </c>
      <c r="K1006" s="1752" t="s">
        <v>1130</v>
      </c>
      <c r="L1006" s="1753">
        <v>1</v>
      </c>
      <c r="M1006" s="1753">
        <v>18467.89</v>
      </c>
      <c r="N1006" s="1754">
        <v>18467.89</v>
      </c>
      <c r="O1006" s="1755" t="s">
        <v>2791</v>
      </c>
      <c r="P1006" s="1721" t="s">
        <v>9611</v>
      </c>
    </row>
    <row r="1007" spans="1:16" ht="13.9" hidden="1" customHeight="1" outlineLevel="2" x14ac:dyDescent="0.2">
      <c r="A1007" s="459">
        <v>0</v>
      </c>
      <c r="B1007" s="459">
        <v>8</v>
      </c>
      <c r="C1007" s="459">
        <v>5</v>
      </c>
      <c r="D1007" s="460">
        <v>2</v>
      </c>
      <c r="E1007" s="460">
        <v>0</v>
      </c>
      <c r="G1007" s="1740"/>
      <c r="H1007" s="1741" t="s">
        <v>1238</v>
      </c>
      <c r="I1007" s="1742" t="s">
        <v>6789</v>
      </c>
      <c r="J1007" s="1743" t="s">
        <v>2799</v>
      </c>
      <c r="K1007" s="1744"/>
      <c r="L1007" s="1745"/>
      <c r="M1007" s="1745"/>
      <c r="N1007" s="1746">
        <v>2092.54</v>
      </c>
      <c r="O1007" s="1747"/>
      <c r="P1007" s="1720"/>
    </row>
    <row r="1008" spans="1:16" ht="13.9" hidden="1" customHeight="1" outlineLevel="3" x14ac:dyDescent="0.2">
      <c r="A1008" s="459">
        <v>0</v>
      </c>
      <c r="B1008" s="459">
        <v>8</v>
      </c>
      <c r="C1008" s="459">
        <v>5</v>
      </c>
      <c r="D1008" s="460">
        <v>2</v>
      </c>
      <c r="E1008" s="460">
        <v>1</v>
      </c>
      <c r="G1008" s="1790" t="s">
        <v>1258</v>
      </c>
      <c r="H1008" s="1749" t="s">
        <v>1239</v>
      </c>
      <c r="I1008" s="1750" t="s">
        <v>6790</v>
      </c>
      <c r="J1008" s="1751" t="s">
        <v>2799</v>
      </c>
      <c r="K1008" s="1752" t="s">
        <v>1130</v>
      </c>
      <c r="L1008" s="1753">
        <v>1</v>
      </c>
      <c r="M1008" s="1753">
        <v>2092.54</v>
      </c>
      <c r="N1008" s="1754">
        <v>2092.54</v>
      </c>
      <c r="O1008" s="1755" t="s">
        <v>2791</v>
      </c>
      <c r="P1008" s="1721" t="s">
        <v>9611</v>
      </c>
    </row>
    <row r="1009" spans="1:16" ht="13.9" hidden="1" customHeight="1" outlineLevel="2" x14ac:dyDescent="0.2">
      <c r="A1009" s="459">
        <v>0</v>
      </c>
      <c r="B1009" s="459">
        <v>8</v>
      </c>
      <c r="C1009" s="459">
        <v>5</v>
      </c>
      <c r="D1009" s="460">
        <v>3</v>
      </c>
      <c r="E1009" s="460">
        <v>0</v>
      </c>
      <c r="G1009" s="1740"/>
      <c r="H1009" s="1741" t="s">
        <v>1238</v>
      </c>
      <c r="I1009" s="1742" t="s">
        <v>6791</v>
      </c>
      <c r="J1009" s="1743" t="s">
        <v>3353</v>
      </c>
      <c r="K1009" s="1744"/>
      <c r="L1009" s="1745"/>
      <c r="M1009" s="1745"/>
      <c r="N1009" s="1746">
        <v>195429.9</v>
      </c>
      <c r="O1009" s="1747"/>
      <c r="P1009" s="1720"/>
    </row>
    <row r="1010" spans="1:16" ht="13.9" hidden="1" customHeight="1" outlineLevel="3" x14ac:dyDescent="0.2">
      <c r="A1010" s="459">
        <v>0</v>
      </c>
      <c r="B1010" s="459">
        <v>8</v>
      </c>
      <c r="C1010" s="459">
        <v>5</v>
      </c>
      <c r="D1010" s="460">
        <v>3</v>
      </c>
      <c r="E1010" s="460">
        <v>1</v>
      </c>
      <c r="G1010" s="1790" t="s">
        <v>1258</v>
      </c>
      <c r="H1010" s="1749" t="s">
        <v>1239</v>
      </c>
      <c r="I1010" s="1750" t="s">
        <v>6792</v>
      </c>
      <c r="J1010" s="1751" t="s">
        <v>3353</v>
      </c>
      <c r="K1010" s="1752" t="s">
        <v>1130</v>
      </c>
      <c r="L1010" s="1753">
        <v>1</v>
      </c>
      <c r="M1010" s="1753">
        <v>195429.9</v>
      </c>
      <c r="N1010" s="1754">
        <v>195429.9</v>
      </c>
      <c r="O1010" s="1755" t="s">
        <v>2791</v>
      </c>
      <c r="P1010" s="1721" t="s">
        <v>9611</v>
      </c>
    </row>
    <row r="1011" spans="1:16" ht="13.9" hidden="1" customHeight="1" outlineLevel="2" x14ac:dyDescent="0.2">
      <c r="A1011" s="459">
        <v>0</v>
      </c>
      <c r="B1011" s="459">
        <v>8</v>
      </c>
      <c r="C1011" s="459">
        <v>5</v>
      </c>
      <c r="D1011" s="460">
        <v>4</v>
      </c>
      <c r="E1011" s="460">
        <v>0</v>
      </c>
      <c r="G1011" s="1740"/>
      <c r="H1011" s="1741" t="s">
        <v>1238</v>
      </c>
      <c r="I1011" s="1742" t="s">
        <v>6793</v>
      </c>
      <c r="J1011" s="1743" t="s">
        <v>2800</v>
      </c>
      <c r="K1011" s="1744"/>
      <c r="L1011" s="1745"/>
      <c r="M1011" s="1745"/>
      <c r="N1011" s="1746">
        <v>0</v>
      </c>
      <c r="O1011" s="1747"/>
      <c r="P1011" s="1720"/>
    </row>
    <row r="1012" spans="1:16" ht="13.9" hidden="1" customHeight="1" outlineLevel="3" x14ac:dyDescent="0.2">
      <c r="A1012" s="459">
        <v>0</v>
      </c>
      <c r="B1012" s="459">
        <v>8</v>
      </c>
      <c r="C1012" s="459">
        <v>5</v>
      </c>
      <c r="D1012" s="460">
        <v>4</v>
      </c>
      <c r="E1012" s="460">
        <v>1</v>
      </c>
      <c r="G1012" s="1790" t="s">
        <v>1258</v>
      </c>
      <c r="H1012" s="1749" t="s">
        <v>1239</v>
      </c>
      <c r="I1012" s="1750" t="s">
        <v>6794</v>
      </c>
      <c r="J1012" s="1751" t="s">
        <v>2800</v>
      </c>
      <c r="K1012" s="1752" t="s">
        <v>1130</v>
      </c>
      <c r="L1012" s="1753">
        <v>1</v>
      </c>
      <c r="M1012" s="1753"/>
      <c r="N1012" s="1754">
        <v>0</v>
      </c>
      <c r="O1012" s="1755" t="s">
        <v>3351</v>
      </c>
      <c r="P1012" s="1721" t="s">
        <v>9611</v>
      </c>
    </row>
    <row r="1013" spans="1:16" ht="13.9" hidden="1" customHeight="1" outlineLevel="2" x14ac:dyDescent="0.2">
      <c r="A1013" s="459">
        <v>0</v>
      </c>
      <c r="B1013" s="459">
        <v>8</v>
      </c>
      <c r="C1013" s="459">
        <v>5</v>
      </c>
      <c r="D1013" s="460">
        <v>5</v>
      </c>
      <c r="E1013" s="460">
        <v>0</v>
      </c>
      <c r="G1013" s="1740"/>
      <c r="H1013" s="1741" t="s">
        <v>1238</v>
      </c>
      <c r="I1013" s="1742" t="s">
        <v>6795</v>
      </c>
      <c r="J1013" s="1743" t="s">
        <v>2523</v>
      </c>
      <c r="K1013" s="1744"/>
      <c r="L1013" s="1745"/>
      <c r="M1013" s="1745"/>
      <c r="N1013" s="1746">
        <v>8055.7809999999999</v>
      </c>
      <c r="O1013" s="1747"/>
      <c r="P1013" s="1720"/>
    </row>
    <row r="1014" spans="1:16" ht="13.9" hidden="1" customHeight="1" outlineLevel="3" x14ac:dyDescent="0.2">
      <c r="A1014" s="459">
        <v>0</v>
      </c>
      <c r="B1014" s="459">
        <v>8</v>
      </c>
      <c r="C1014" s="459">
        <v>5</v>
      </c>
      <c r="D1014" s="460">
        <v>5</v>
      </c>
      <c r="E1014" s="460">
        <v>1</v>
      </c>
      <c r="G1014" s="1790" t="s">
        <v>1258</v>
      </c>
      <c r="H1014" s="1749" t="s">
        <v>1239</v>
      </c>
      <c r="I1014" s="1750" t="s">
        <v>6796</v>
      </c>
      <c r="J1014" s="1751" t="s">
        <v>2523</v>
      </c>
      <c r="K1014" s="1752" t="s">
        <v>1130</v>
      </c>
      <c r="L1014" s="1753">
        <v>1</v>
      </c>
      <c r="M1014" s="1753">
        <v>8055.7810000000009</v>
      </c>
      <c r="N1014" s="1754">
        <v>8055.7809999999999</v>
      </c>
      <c r="O1014" s="1755" t="s">
        <v>2791</v>
      </c>
      <c r="P1014" s="1721" t="s">
        <v>9611</v>
      </c>
    </row>
    <row r="1015" spans="1:16" ht="13.9" hidden="1" customHeight="1" outlineLevel="2" x14ac:dyDescent="0.2">
      <c r="A1015" s="459">
        <v>0</v>
      </c>
      <c r="B1015" s="459">
        <v>8</v>
      </c>
      <c r="C1015" s="459">
        <v>5</v>
      </c>
      <c r="D1015" s="460">
        <v>6</v>
      </c>
      <c r="E1015" s="460">
        <v>0</v>
      </c>
      <c r="G1015" s="1740"/>
      <c r="H1015" s="1741" t="s">
        <v>1238</v>
      </c>
      <c r="I1015" s="1742" t="s">
        <v>6797</v>
      </c>
      <c r="J1015" s="1743" t="s">
        <v>2522</v>
      </c>
      <c r="K1015" s="1744"/>
      <c r="L1015" s="1745"/>
      <c r="M1015" s="1745"/>
      <c r="N1015" s="1746">
        <v>0</v>
      </c>
      <c r="O1015" s="1747"/>
      <c r="P1015" s="1720"/>
    </row>
    <row r="1016" spans="1:16" ht="13.9" hidden="1" customHeight="1" outlineLevel="3" x14ac:dyDescent="0.2">
      <c r="A1016" s="459">
        <v>0</v>
      </c>
      <c r="B1016" s="459">
        <v>8</v>
      </c>
      <c r="C1016" s="459">
        <v>5</v>
      </c>
      <c r="D1016" s="460">
        <v>6</v>
      </c>
      <c r="E1016" s="460">
        <v>1</v>
      </c>
      <c r="G1016" s="1790" t="s">
        <v>1258</v>
      </c>
      <c r="H1016" s="1749" t="s">
        <v>1239</v>
      </c>
      <c r="I1016" s="1750" t="s">
        <v>6798</v>
      </c>
      <c r="J1016" s="1751" t="s">
        <v>2522</v>
      </c>
      <c r="K1016" s="1752" t="s">
        <v>1130</v>
      </c>
      <c r="L1016" s="1753">
        <v>1</v>
      </c>
      <c r="M1016" s="1753"/>
      <c r="N1016" s="1754">
        <v>0</v>
      </c>
      <c r="O1016" s="1755" t="s">
        <v>2791</v>
      </c>
      <c r="P1016" s="1721" t="s">
        <v>9611</v>
      </c>
    </row>
    <row r="1017" spans="1:16" ht="13.9" hidden="1" customHeight="1" outlineLevel="2" x14ac:dyDescent="0.2">
      <c r="A1017" s="459">
        <v>0</v>
      </c>
      <c r="B1017" s="459">
        <v>8</v>
      </c>
      <c r="C1017" s="459">
        <v>5</v>
      </c>
      <c r="D1017" s="460">
        <v>7</v>
      </c>
      <c r="E1017" s="460">
        <v>0</v>
      </c>
      <c r="G1017" s="1740"/>
      <c r="H1017" s="1741" t="s">
        <v>1238</v>
      </c>
      <c r="I1017" s="1742" t="s">
        <v>6799</v>
      </c>
      <c r="J1017" s="1743" t="s">
        <v>15</v>
      </c>
      <c r="K1017" s="1744"/>
      <c r="L1017" s="1745"/>
      <c r="M1017" s="1745"/>
      <c r="N1017" s="1746">
        <v>4392.5</v>
      </c>
      <c r="O1017" s="1747"/>
      <c r="P1017" s="1720"/>
    </row>
    <row r="1018" spans="1:16" ht="13.9" hidden="1" customHeight="1" outlineLevel="3" x14ac:dyDescent="0.2">
      <c r="A1018" s="459">
        <v>0</v>
      </c>
      <c r="B1018" s="459">
        <v>8</v>
      </c>
      <c r="C1018" s="459">
        <v>5</v>
      </c>
      <c r="D1018" s="460">
        <v>7</v>
      </c>
      <c r="E1018" s="460">
        <v>1</v>
      </c>
      <c r="G1018" s="1790" t="s">
        <v>1258</v>
      </c>
      <c r="H1018" s="1749" t="s">
        <v>1239</v>
      </c>
      <c r="I1018" s="1750" t="s">
        <v>6800</v>
      </c>
      <c r="J1018" s="1751" t="s">
        <v>1259</v>
      </c>
      <c r="K1018" s="1752" t="s">
        <v>1130</v>
      </c>
      <c r="L1018" s="1753">
        <v>1</v>
      </c>
      <c r="M1018" s="1753">
        <v>4392.5</v>
      </c>
      <c r="N1018" s="1754">
        <v>4392.5</v>
      </c>
      <c r="O1018" s="1765" t="s">
        <v>2801</v>
      </c>
      <c r="P1018" s="1721" t="s">
        <v>9611</v>
      </c>
    </row>
    <row r="1019" spans="1:16" ht="13.9" hidden="1" customHeight="1" outlineLevel="1" x14ac:dyDescent="0.2">
      <c r="A1019" s="459">
        <v>0</v>
      </c>
      <c r="B1019" s="459">
        <v>8</v>
      </c>
      <c r="C1019" s="459">
        <v>6</v>
      </c>
      <c r="D1019" s="460">
        <v>0</v>
      </c>
      <c r="E1019" s="460">
        <v>1</v>
      </c>
      <c r="G1019" s="1733"/>
      <c r="H1019" s="1734" t="s">
        <v>39</v>
      </c>
      <c r="I1019" s="1735" t="s">
        <v>6801</v>
      </c>
      <c r="J1019" s="1736" t="s">
        <v>3342</v>
      </c>
      <c r="K1019" s="1737"/>
      <c r="L1019" s="1738"/>
      <c r="M1019" s="1738"/>
      <c r="N1019" s="1739">
        <v>258084.546</v>
      </c>
      <c r="O1019" s="1722"/>
      <c r="P1019" s="1725"/>
    </row>
    <row r="1020" spans="1:16" ht="13.9" hidden="1" customHeight="1" outlineLevel="2" x14ac:dyDescent="0.2">
      <c r="A1020" s="459">
        <v>0</v>
      </c>
      <c r="B1020" s="459">
        <v>8</v>
      </c>
      <c r="C1020" s="459">
        <v>6</v>
      </c>
      <c r="D1020" s="460">
        <v>1</v>
      </c>
      <c r="E1020" s="460">
        <v>0</v>
      </c>
      <c r="G1020" s="1740"/>
      <c r="H1020" s="1741" t="s">
        <v>1238</v>
      </c>
      <c r="I1020" s="1742" t="s">
        <v>6802</v>
      </c>
      <c r="J1020" s="1743" t="s">
        <v>2798</v>
      </c>
      <c r="K1020" s="1744"/>
      <c r="L1020" s="1745"/>
      <c r="M1020" s="1745"/>
      <c r="N1020" s="1746">
        <v>5145</v>
      </c>
      <c r="O1020" s="1747"/>
      <c r="P1020" s="1720"/>
    </row>
    <row r="1021" spans="1:16" ht="13.9" hidden="1" customHeight="1" outlineLevel="3" x14ac:dyDescent="0.2">
      <c r="A1021" s="459">
        <v>0</v>
      </c>
      <c r="B1021" s="459">
        <v>8</v>
      </c>
      <c r="C1021" s="459">
        <v>6</v>
      </c>
      <c r="D1021" s="460">
        <v>1</v>
      </c>
      <c r="E1021" s="460">
        <v>1</v>
      </c>
      <c r="G1021" s="1790" t="s">
        <v>1258</v>
      </c>
      <c r="H1021" s="1749" t="s">
        <v>1239</v>
      </c>
      <c r="I1021" s="1750" t="s">
        <v>6803</v>
      </c>
      <c r="J1021" s="1751" t="s">
        <v>2798</v>
      </c>
      <c r="K1021" s="1752" t="s">
        <v>1130</v>
      </c>
      <c r="L1021" s="1753">
        <v>1</v>
      </c>
      <c r="M1021" s="1753">
        <v>5145</v>
      </c>
      <c r="N1021" s="1754">
        <v>5145</v>
      </c>
      <c r="O1021" s="1755" t="s">
        <v>2791</v>
      </c>
      <c r="P1021" s="1721" t="s">
        <v>9611</v>
      </c>
    </row>
    <row r="1022" spans="1:16" ht="13.9" hidden="1" customHeight="1" outlineLevel="2" x14ac:dyDescent="0.2">
      <c r="A1022" s="459">
        <v>0</v>
      </c>
      <c r="B1022" s="459">
        <v>8</v>
      </c>
      <c r="C1022" s="459">
        <v>6</v>
      </c>
      <c r="D1022" s="460">
        <v>2</v>
      </c>
      <c r="E1022" s="460">
        <v>0</v>
      </c>
      <c r="G1022" s="1740"/>
      <c r="H1022" s="1741" t="s">
        <v>1238</v>
      </c>
      <c r="I1022" s="1742" t="s">
        <v>6804</v>
      </c>
      <c r="J1022" s="1743" t="s">
        <v>2799</v>
      </c>
      <c r="K1022" s="1744"/>
      <c r="L1022" s="1745"/>
      <c r="M1022" s="1745"/>
      <c r="N1022" s="1746">
        <v>2712.84</v>
      </c>
      <c r="O1022" s="1747"/>
      <c r="P1022" s="1720"/>
    </row>
    <row r="1023" spans="1:16" ht="13.9" hidden="1" customHeight="1" outlineLevel="3" x14ac:dyDescent="0.2">
      <c r="A1023" s="459">
        <v>0</v>
      </c>
      <c r="B1023" s="459">
        <v>8</v>
      </c>
      <c r="C1023" s="459">
        <v>6</v>
      </c>
      <c r="D1023" s="460">
        <v>2</v>
      </c>
      <c r="E1023" s="460">
        <v>1</v>
      </c>
      <c r="G1023" s="1790" t="s">
        <v>1258</v>
      </c>
      <c r="H1023" s="1749" t="s">
        <v>1239</v>
      </c>
      <c r="I1023" s="1750" t="s">
        <v>6805</v>
      </c>
      <c r="J1023" s="1751" t="s">
        <v>2799</v>
      </c>
      <c r="K1023" s="1752" t="s">
        <v>1130</v>
      </c>
      <c r="L1023" s="1753">
        <v>1</v>
      </c>
      <c r="M1023" s="1753">
        <v>2712.84</v>
      </c>
      <c r="N1023" s="1754">
        <v>2712.84</v>
      </c>
      <c r="O1023" s="1755" t="s">
        <v>2791</v>
      </c>
      <c r="P1023" s="1721" t="s">
        <v>9611</v>
      </c>
    </row>
    <row r="1024" spans="1:16" ht="13.9" hidden="1" customHeight="1" outlineLevel="2" x14ac:dyDescent="0.2">
      <c r="A1024" s="459">
        <v>0</v>
      </c>
      <c r="B1024" s="459">
        <v>8</v>
      </c>
      <c r="C1024" s="459">
        <v>6</v>
      </c>
      <c r="D1024" s="460">
        <v>3</v>
      </c>
      <c r="E1024" s="460">
        <v>0</v>
      </c>
      <c r="G1024" s="1740"/>
      <c r="H1024" s="1741" t="s">
        <v>1238</v>
      </c>
      <c r="I1024" s="1742" t="s">
        <v>6806</v>
      </c>
      <c r="J1024" s="1743" t="s">
        <v>3353</v>
      </c>
      <c r="K1024" s="1744"/>
      <c r="L1024" s="1745"/>
      <c r="M1024" s="1745"/>
      <c r="N1024" s="1746">
        <v>237305.2</v>
      </c>
      <c r="O1024" s="1747"/>
      <c r="P1024" s="1720"/>
    </row>
    <row r="1025" spans="1:16" ht="13.9" hidden="1" customHeight="1" outlineLevel="3" x14ac:dyDescent="0.2">
      <c r="A1025" s="459">
        <v>0</v>
      </c>
      <c r="B1025" s="459">
        <v>8</v>
      </c>
      <c r="C1025" s="459">
        <v>6</v>
      </c>
      <c r="D1025" s="460">
        <v>3</v>
      </c>
      <c r="E1025" s="460">
        <v>1</v>
      </c>
      <c r="G1025" s="1790" t="s">
        <v>1258</v>
      </c>
      <c r="H1025" s="1749" t="s">
        <v>1239</v>
      </c>
      <c r="I1025" s="1750" t="s">
        <v>6807</v>
      </c>
      <c r="J1025" s="1751" t="s">
        <v>3353</v>
      </c>
      <c r="K1025" s="1752" t="s">
        <v>1130</v>
      </c>
      <c r="L1025" s="1753">
        <v>1</v>
      </c>
      <c r="M1025" s="1753">
        <v>237305.2</v>
      </c>
      <c r="N1025" s="1754">
        <v>237305.2</v>
      </c>
      <c r="O1025" s="1755" t="s">
        <v>2791</v>
      </c>
      <c r="P1025" s="1721" t="s">
        <v>9611</v>
      </c>
    </row>
    <row r="1026" spans="1:16" ht="13.9" hidden="1" customHeight="1" outlineLevel="2" x14ac:dyDescent="0.2">
      <c r="A1026" s="459">
        <v>0</v>
      </c>
      <c r="B1026" s="459">
        <v>8</v>
      </c>
      <c r="C1026" s="459">
        <v>6</v>
      </c>
      <c r="D1026" s="460">
        <v>4</v>
      </c>
      <c r="E1026" s="460">
        <v>0</v>
      </c>
      <c r="G1026" s="1740"/>
      <c r="H1026" s="1741" t="s">
        <v>1238</v>
      </c>
      <c r="I1026" s="1742" t="s">
        <v>6808</v>
      </c>
      <c r="J1026" s="1743" t="s">
        <v>2800</v>
      </c>
      <c r="K1026" s="1744"/>
      <c r="L1026" s="1745"/>
      <c r="M1026" s="1745"/>
      <c r="N1026" s="1746">
        <v>0</v>
      </c>
      <c r="O1026" s="1747"/>
      <c r="P1026" s="1720"/>
    </row>
    <row r="1027" spans="1:16" ht="13.9" hidden="1" customHeight="1" outlineLevel="3" x14ac:dyDescent="0.2">
      <c r="A1027" s="459">
        <v>0</v>
      </c>
      <c r="B1027" s="459">
        <v>8</v>
      </c>
      <c r="C1027" s="459">
        <v>6</v>
      </c>
      <c r="D1027" s="460">
        <v>4</v>
      </c>
      <c r="E1027" s="460">
        <v>1</v>
      </c>
      <c r="G1027" s="1790" t="s">
        <v>1258</v>
      </c>
      <c r="H1027" s="1749" t="s">
        <v>1239</v>
      </c>
      <c r="I1027" s="1750" t="s">
        <v>6809</v>
      </c>
      <c r="J1027" s="1751" t="s">
        <v>2800</v>
      </c>
      <c r="K1027" s="1752" t="s">
        <v>1130</v>
      </c>
      <c r="L1027" s="1753">
        <v>1</v>
      </c>
      <c r="M1027" s="1753"/>
      <c r="N1027" s="1754">
        <v>0</v>
      </c>
      <c r="O1027" s="1755" t="s">
        <v>3351</v>
      </c>
      <c r="P1027" s="1721" t="s">
        <v>9611</v>
      </c>
    </row>
    <row r="1028" spans="1:16" ht="13.9" hidden="1" customHeight="1" outlineLevel="2" x14ac:dyDescent="0.2">
      <c r="A1028" s="459">
        <v>0</v>
      </c>
      <c r="B1028" s="459">
        <v>8</v>
      </c>
      <c r="C1028" s="459">
        <v>6</v>
      </c>
      <c r="D1028" s="460">
        <v>5</v>
      </c>
      <c r="E1028" s="460">
        <v>0</v>
      </c>
      <c r="G1028" s="1740"/>
      <c r="H1028" s="1741" t="s">
        <v>1238</v>
      </c>
      <c r="I1028" s="1742" t="s">
        <v>6810</v>
      </c>
      <c r="J1028" s="1743" t="s">
        <v>2523</v>
      </c>
      <c r="K1028" s="1744"/>
      <c r="L1028" s="1745"/>
      <c r="M1028" s="1745"/>
      <c r="N1028" s="1746">
        <v>8459.2559999999994</v>
      </c>
      <c r="O1028" s="1747"/>
      <c r="P1028" s="1720"/>
    </row>
    <row r="1029" spans="1:16" ht="13.9" hidden="1" customHeight="1" outlineLevel="3" x14ac:dyDescent="0.2">
      <c r="A1029" s="459">
        <v>0</v>
      </c>
      <c r="B1029" s="459">
        <v>8</v>
      </c>
      <c r="C1029" s="459">
        <v>6</v>
      </c>
      <c r="D1029" s="460">
        <v>5</v>
      </c>
      <c r="E1029" s="460">
        <v>1</v>
      </c>
      <c r="G1029" s="1790" t="s">
        <v>1258</v>
      </c>
      <c r="H1029" s="1749" t="s">
        <v>1239</v>
      </c>
      <c r="I1029" s="1750" t="s">
        <v>6811</v>
      </c>
      <c r="J1029" s="1751" t="s">
        <v>2523</v>
      </c>
      <c r="K1029" s="1752" t="s">
        <v>1130</v>
      </c>
      <c r="L1029" s="1753">
        <v>1</v>
      </c>
      <c r="M1029" s="1753">
        <v>8459.2559999999976</v>
      </c>
      <c r="N1029" s="1754">
        <v>8459.2559999999994</v>
      </c>
      <c r="O1029" s="1755" t="s">
        <v>2791</v>
      </c>
      <c r="P1029" s="1721" t="s">
        <v>9611</v>
      </c>
    </row>
    <row r="1030" spans="1:16" ht="13.9" hidden="1" customHeight="1" outlineLevel="2" x14ac:dyDescent="0.2">
      <c r="A1030" s="459">
        <v>0</v>
      </c>
      <c r="B1030" s="459">
        <v>8</v>
      </c>
      <c r="C1030" s="459">
        <v>6</v>
      </c>
      <c r="D1030" s="460">
        <v>6</v>
      </c>
      <c r="E1030" s="460">
        <v>0</v>
      </c>
      <c r="G1030" s="1740"/>
      <c r="H1030" s="1741" t="s">
        <v>1238</v>
      </c>
      <c r="I1030" s="1742" t="s">
        <v>6812</v>
      </c>
      <c r="J1030" s="1743" t="s">
        <v>2522</v>
      </c>
      <c r="K1030" s="1744"/>
      <c r="L1030" s="1745"/>
      <c r="M1030" s="1745"/>
      <c r="N1030" s="1746">
        <v>0</v>
      </c>
      <c r="O1030" s="1747"/>
      <c r="P1030" s="1720"/>
    </row>
    <row r="1031" spans="1:16" ht="13.9" hidden="1" customHeight="1" outlineLevel="3" x14ac:dyDescent="0.2">
      <c r="A1031" s="459">
        <v>0</v>
      </c>
      <c r="B1031" s="459">
        <v>8</v>
      </c>
      <c r="C1031" s="459">
        <v>6</v>
      </c>
      <c r="D1031" s="460">
        <v>6</v>
      </c>
      <c r="E1031" s="460">
        <v>1</v>
      </c>
      <c r="G1031" s="1790" t="s">
        <v>1258</v>
      </c>
      <c r="H1031" s="1749" t="s">
        <v>1239</v>
      </c>
      <c r="I1031" s="1750" t="s">
        <v>6813</v>
      </c>
      <c r="J1031" s="1751" t="s">
        <v>2522</v>
      </c>
      <c r="K1031" s="1752" t="s">
        <v>1130</v>
      </c>
      <c r="L1031" s="1753">
        <v>1</v>
      </c>
      <c r="M1031" s="1753"/>
      <c r="N1031" s="1754">
        <v>0</v>
      </c>
      <c r="O1031" s="1755" t="s">
        <v>2791</v>
      </c>
      <c r="P1031" s="1721" t="s">
        <v>9611</v>
      </c>
    </row>
    <row r="1032" spans="1:16" ht="13.9" hidden="1" customHeight="1" outlineLevel="2" x14ac:dyDescent="0.2">
      <c r="A1032" s="459">
        <v>0</v>
      </c>
      <c r="B1032" s="459">
        <v>8</v>
      </c>
      <c r="C1032" s="459">
        <v>6</v>
      </c>
      <c r="D1032" s="460">
        <v>7</v>
      </c>
      <c r="E1032" s="460">
        <v>0</v>
      </c>
      <c r="G1032" s="1740"/>
      <c r="H1032" s="1741" t="s">
        <v>1238</v>
      </c>
      <c r="I1032" s="1742" t="s">
        <v>6814</v>
      </c>
      <c r="J1032" s="1743" t="s">
        <v>15</v>
      </c>
      <c r="K1032" s="1744"/>
      <c r="L1032" s="1745"/>
      <c r="M1032" s="1745"/>
      <c r="N1032" s="1746">
        <v>4462.25</v>
      </c>
      <c r="O1032" s="1747"/>
      <c r="P1032" s="1720"/>
    </row>
    <row r="1033" spans="1:16" ht="13.9" hidden="1" customHeight="1" outlineLevel="3" x14ac:dyDescent="0.2">
      <c r="A1033" s="459">
        <v>0</v>
      </c>
      <c r="B1033" s="459">
        <v>8</v>
      </c>
      <c r="C1033" s="459">
        <v>6</v>
      </c>
      <c r="D1033" s="460">
        <v>7</v>
      </c>
      <c r="E1033" s="460">
        <v>1</v>
      </c>
      <c r="G1033" s="1790" t="s">
        <v>1258</v>
      </c>
      <c r="H1033" s="1749" t="s">
        <v>1239</v>
      </c>
      <c r="I1033" s="1750" t="s">
        <v>6815</v>
      </c>
      <c r="J1033" s="1751" t="s">
        <v>1259</v>
      </c>
      <c r="K1033" s="1752" t="s">
        <v>1130</v>
      </c>
      <c r="L1033" s="1753">
        <v>1</v>
      </c>
      <c r="M1033" s="1753">
        <v>4462.25</v>
      </c>
      <c r="N1033" s="1754">
        <v>4462.25</v>
      </c>
      <c r="O1033" s="1765" t="s">
        <v>2801</v>
      </c>
      <c r="P1033" s="1721" t="s">
        <v>9611</v>
      </c>
    </row>
    <row r="1034" spans="1:16" ht="13.9" hidden="1" customHeight="1" outlineLevel="1" x14ac:dyDescent="0.2">
      <c r="A1034" s="459">
        <v>0</v>
      </c>
      <c r="B1034" s="459">
        <v>8</v>
      </c>
      <c r="C1034" s="459">
        <v>7</v>
      </c>
      <c r="D1034" s="460">
        <v>0</v>
      </c>
      <c r="E1034" s="460">
        <v>1</v>
      </c>
      <c r="G1034" s="1733"/>
      <c r="H1034" s="1734" t="s">
        <v>39</v>
      </c>
      <c r="I1034" s="1735" t="s">
        <v>6816</v>
      </c>
      <c r="J1034" s="1736" t="s">
        <v>3343</v>
      </c>
      <c r="K1034" s="1737"/>
      <c r="L1034" s="1738"/>
      <c r="M1034" s="1738"/>
      <c r="N1034" s="1739">
        <v>187448.41</v>
      </c>
      <c r="O1034" s="1722"/>
      <c r="P1034" s="1725"/>
    </row>
    <row r="1035" spans="1:16" ht="13.9" hidden="1" customHeight="1" outlineLevel="2" x14ac:dyDescent="0.2">
      <c r="A1035" s="459">
        <v>0</v>
      </c>
      <c r="B1035" s="459">
        <v>8</v>
      </c>
      <c r="C1035" s="459">
        <v>7</v>
      </c>
      <c r="D1035" s="460">
        <v>1</v>
      </c>
      <c r="E1035" s="460">
        <v>0</v>
      </c>
      <c r="G1035" s="1740"/>
      <c r="H1035" s="1741" t="s">
        <v>1238</v>
      </c>
      <c r="I1035" s="1742" t="s">
        <v>6817</v>
      </c>
      <c r="J1035" s="1743" t="s">
        <v>2798</v>
      </c>
      <c r="K1035" s="1744"/>
      <c r="L1035" s="1745"/>
      <c r="M1035" s="1745"/>
      <c r="N1035" s="1746">
        <v>8801</v>
      </c>
      <c r="O1035" s="1747"/>
      <c r="P1035" s="1720"/>
    </row>
    <row r="1036" spans="1:16" ht="13.9" hidden="1" customHeight="1" outlineLevel="3" x14ac:dyDescent="0.2">
      <c r="A1036" s="459">
        <v>0</v>
      </c>
      <c r="B1036" s="459">
        <v>8</v>
      </c>
      <c r="C1036" s="459">
        <v>7</v>
      </c>
      <c r="D1036" s="460">
        <v>1</v>
      </c>
      <c r="E1036" s="460">
        <v>1</v>
      </c>
      <c r="G1036" s="1790" t="s">
        <v>1258</v>
      </c>
      <c r="H1036" s="1749" t="s">
        <v>1239</v>
      </c>
      <c r="I1036" s="1750" t="s">
        <v>6818</v>
      </c>
      <c r="J1036" s="1751" t="s">
        <v>2798</v>
      </c>
      <c r="K1036" s="1752" t="s">
        <v>1130</v>
      </c>
      <c r="L1036" s="1753">
        <v>1</v>
      </c>
      <c r="M1036" s="1753">
        <v>8801</v>
      </c>
      <c r="N1036" s="1754">
        <v>8801</v>
      </c>
      <c r="O1036" s="1755" t="s">
        <v>2791</v>
      </c>
      <c r="P1036" s="1721" t="s">
        <v>9611</v>
      </c>
    </row>
    <row r="1037" spans="1:16" ht="13.9" hidden="1" customHeight="1" outlineLevel="2" x14ac:dyDescent="0.2">
      <c r="A1037" s="459">
        <v>0</v>
      </c>
      <c r="B1037" s="459">
        <v>8</v>
      </c>
      <c r="C1037" s="459">
        <v>7</v>
      </c>
      <c r="D1037" s="460">
        <v>2</v>
      </c>
      <c r="E1037" s="460">
        <v>0</v>
      </c>
      <c r="G1037" s="1740"/>
      <c r="H1037" s="1741" t="s">
        <v>1238</v>
      </c>
      <c r="I1037" s="1742" t="s">
        <v>6819</v>
      </c>
      <c r="J1037" s="1743" t="s">
        <v>2799</v>
      </c>
      <c r="K1037" s="1744"/>
      <c r="L1037" s="1745"/>
      <c r="M1037" s="1745"/>
      <c r="N1037" s="1746">
        <v>2298.5700000000002</v>
      </c>
      <c r="O1037" s="1747"/>
      <c r="P1037" s="1720"/>
    </row>
    <row r="1038" spans="1:16" ht="13.9" hidden="1" customHeight="1" outlineLevel="3" x14ac:dyDescent="0.2">
      <c r="A1038" s="459">
        <v>0</v>
      </c>
      <c r="B1038" s="459">
        <v>8</v>
      </c>
      <c r="C1038" s="459">
        <v>7</v>
      </c>
      <c r="D1038" s="460">
        <v>2</v>
      </c>
      <c r="E1038" s="460">
        <v>1</v>
      </c>
      <c r="G1038" s="1790" t="s">
        <v>1258</v>
      </c>
      <c r="H1038" s="1749" t="s">
        <v>1239</v>
      </c>
      <c r="I1038" s="1750" t="s">
        <v>6820</v>
      </c>
      <c r="J1038" s="1751" t="s">
        <v>2799</v>
      </c>
      <c r="K1038" s="1752" t="s">
        <v>1130</v>
      </c>
      <c r="L1038" s="1753">
        <v>1</v>
      </c>
      <c r="M1038" s="1753">
        <v>2298.5699999999997</v>
      </c>
      <c r="N1038" s="1754">
        <v>2298.5700000000002</v>
      </c>
      <c r="O1038" s="1755" t="s">
        <v>2791</v>
      </c>
      <c r="P1038" s="1721" t="s">
        <v>9611</v>
      </c>
    </row>
    <row r="1039" spans="1:16" ht="13.9" hidden="1" customHeight="1" outlineLevel="2" x14ac:dyDescent="0.2">
      <c r="A1039" s="459">
        <v>0</v>
      </c>
      <c r="B1039" s="459">
        <v>8</v>
      </c>
      <c r="C1039" s="459">
        <v>7</v>
      </c>
      <c r="D1039" s="460">
        <v>3</v>
      </c>
      <c r="E1039" s="460">
        <v>0</v>
      </c>
      <c r="G1039" s="1740"/>
      <c r="H1039" s="1741" t="s">
        <v>1238</v>
      </c>
      <c r="I1039" s="1742" t="s">
        <v>6821</v>
      </c>
      <c r="J1039" s="1743" t="s">
        <v>3353</v>
      </c>
      <c r="K1039" s="1744"/>
      <c r="L1039" s="1745"/>
      <c r="M1039" s="1745"/>
      <c r="N1039" s="1746">
        <v>163725.9</v>
      </c>
      <c r="O1039" s="1747"/>
      <c r="P1039" s="1720"/>
    </row>
    <row r="1040" spans="1:16" ht="13.9" hidden="1" customHeight="1" outlineLevel="3" x14ac:dyDescent="0.2">
      <c r="A1040" s="459">
        <v>0</v>
      </c>
      <c r="B1040" s="459">
        <v>8</v>
      </c>
      <c r="C1040" s="459">
        <v>7</v>
      </c>
      <c r="D1040" s="460">
        <v>3</v>
      </c>
      <c r="E1040" s="460">
        <v>1</v>
      </c>
      <c r="G1040" s="1790" t="s">
        <v>1258</v>
      </c>
      <c r="H1040" s="1749" t="s">
        <v>1239</v>
      </c>
      <c r="I1040" s="1750" t="s">
        <v>6822</v>
      </c>
      <c r="J1040" s="1751" t="s">
        <v>3353</v>
      </c>
      <c r="K1040" s="1752" t="s">
        <v>1130</v>
      </c>
      <c r="L1040" s="1753">
        <v>1</v>
      </c>
      <c r="M1040" s="1753">
        <v>163725.9</v>
      </c>
      <c r="N1040" s="1754">
        <v>163725.9</v>
      </c>
      <c r="O1040" s="1755" t="s">
        <v>2791</v>
      </c>
      <c r="P1040" s="1721" t="s">
        <v>9611</v>
      </c>
    </row>
    <row r="1041" spans="1:16" ht="13.9" hidden="1" customHeight="1" outlineLevel="2" x14ac:dyDescent="0.2">
      <c r="A1041" s="459">
        <v>0</v>
      </c>
      <c r="B1041" s="459">
        <v>8</v>
      </c>
      <c r="C1041" s="459">
        <v>7</v>
      </c>
      <c r="D1041" s="460">
        <v>4</v>
      </c>
      <c r="E1041" s="460">
        <v>0</v>
      </c>
      <c r="G1041" s="1740"/>
      <c r="H1041" s="1741" t="s">
        <v>1238</v>
      </c>
      <c r="I1041" s="1742" t="s">
        <v>6823</v>
      </c>
      <c r="J1041" s="1743" t="s">
        <v>2800</v>
      </c>
      <c r="K1041" s="1744"/>
      <c r="L1041" s="1745"/>
      <c r="M1041" s="1745"/>
      <c r="N1041" s="1746">
        <v>0</v>
      </c>
      <c r="O1041" s="1747"/>
      <c r="P1041" s="1720"/>
    </row>
    <row r="1042" spans="1:16" ht="13.9" hidden="1" customHeight="1" outlineLevel="3" x14ac:dyDescent="0.2">
      <c r="A1042" s="459">
        <v>0</v>
      </c>
      <c r="B1042" s="459">
        <v>8</v>
      </c>
      <c r="C1042" s="459">
        <v>7</v>
      </c>
      <c r="D1042" s="460">
        <v>4</v>
      </c>
      <c r="E1042" s="460">
        <v>1</v>
      </c>
      <c r="G1042" s="1790" t="s">
        <v>1258</v>
      </c>
      <c r="H1042" s="1749" t="s">
        <v>1239</v>
      </c>
      <c r="I1042" s="1750" t="s">
        <v>6824</v>
      </c>
      <c r="J1042" s="1751" t="s">
        <v>2800</v>
      </c>
      <c r="K1042" s="1752" t="s">
        <v>1130</v>
      </c>
      <c r="L1042" s="1753">
        <v>1</v>
      </c>
      <c r="M1042" s="1753"/>
      <c r="N1042" s="1754">
        <v>0</v>
      </c>
      <c r="O1042" s="1755" t="s">
        <v>3351</v>
      </c>
      <c r="P1042" s="1721" t="s">
        <v>9611</v>
      </c>
    </row>
    <row r="1043" spans="1:16" ht="13.9" hidden="1" customHeight="1" outlineLevel="2" x14ac:dyDescent="0.2">
      <c r="A1043" s="459">
        <v>0</v>
      </c>
      <c r="B1043" s="459">
        <v>8</v>
      </c>
      <c r="C1043" s="459">
        <v>7</v>
      </c>
      <c r="D1043" s="460">
        <v>5</v>
      </c>
      <c r="E1043" s="460">
        <v>0</v>
      </c>
      <c r="G1043" s="1740"/>
      <c r="H1043" s="1741" t="s">
        <v>1238</v>
      </c>
      <c r="I1043" s="1742" t="s">
        <v>6825</v>
      </c>
      <c r="J1043" s="1743" t="s">
        <v>2523</v>
      </c>
      <c r="K1043" s="1744"/>
      <c r="L1043" s="1745"/>
      <c r="M1043" s="1745"/>
      <c r="N1043" s="1746">
        <v>8160.69</v>
      </c>
      <c r="O1043" s="1747"/>
      <c r="P1043" s="1720"/>
    </row>
    <row r="1044" spans="1:16" ht="13.9" hidden="1" customHeight="1" outlineLevel="3" x14ac:dyDescent="0.2">
      <c r="A1044" s="459">
        <v>0</v>
      </c>
      <c r="B1044" s="459">
        <v>8</v>
      </c>
      <c r="C1044" s="459">
        <v>7</v>
      </c>
      <c r="D1044" s="460">
        <v>5</v>
      </c>
      <c r="E1044" s="460">
        <v>1</v>
      </c>
      <c r="G1044" s="1790" t="s">
        <v>1258</v>
      </c>
      <c r="H1044" s="1749" t="s">
        <v>1239</v>
      </c>
      <c r="I1044" s="1750" t="s">
        <v>6826</v>
      </c>
      <c r="J1044" s="1751" t="s">
        <v>2523</v>
      </c>
      <c r="K1044" s="1752" t="s">
        <v>1130</v>
      </c>
      <c r="L1044" s="1753">
        <v>1</v>
      </c>
      <c r="M1044" s="1753">
        <v>8160.6900000000005</v>
      </c>
      <c r="N1044" s="1754">
        <v>8160.69</v>
      </c>
      <c r="O1044" s="1755" t="s">
        <v>2791</v>
      </c>
      <c r="P1044" s="1721" t="s">
        <v>9611</v>
      </c>
    </row>
    <row r="1045" spans="1:16" ht="13.9" hidden="1" customHeight="1" outlineLevel="2" x14ac:dyDescent="0.2">
      <c r="A1045" s="459">
        <v>0</v>
      </c>
      <c r="B1045" s="459">
        <v>8</v>
      </c>
      <c r="C1045" s="459">
        <v>7</v>
      </c>
      <c r="D1045" s="460">
        <v>6</v>
      </c>
      <c r="E1045" s="460">
        <v>0</v>
      </c>
      <c r="G1045" s="1740"/>
      <c r="H1045" s="1741" t="s">
        <v>1238</v>
      </c>
      <c r="I1045" s="1742" t="s">
        <v>6827</v>
      </c>
      <c r="J1045" s="1743" t="s">
        <v>2522</v>
      </c>
      <c r="K1045" s="1744"/>
      <c r="L1045" s="1745"/>
      <c r="M1045" s="1745"/>
      <c r="N1045" s="1746">
        <v>0</v>
      </c>
      <c r="O1045" s="1747"/>
      <c r="P1045" s="1720"/>
    </row>
    <row r="1046" spans="1:16" ht="13.9" hidden="1" customHeight="1" outlineLevel="3" x14ac:dyDescent="0.2">
      <c r="A1046" s="459">
        <v>0</v>
      </c>
      <c r="B1046" s="459">
        <v>8</v>
      </c>
      <c r="C1046" s="459">
        <v>7</v>
      </c>
      <c r="D1046" s="460">
        <v>6</v>
      </c>
      <c r="E1046" s="460">
        <v>1</v>
      </c>
      <c r="G1046" s="1790" t="s">
        <v>1258</v>
      </c>
      <c r="H1046" s="1749" t="s">
        <v>1239</v>
      </c>
      <c r="I1046" s="1750" t="s">
        <v>6828</v>
      </c>
      <c r="J1046" s="1751" t="s">
        <v>2522</v>
      </c>
      <c r="K1046" s="1752" t="s">
        <v>1130</v>
      </c>
      <c r="L1046" s="1753">
        <v>1</v>
      </c>
      <c r="M1046" s="1753"/>
      <c r="N1046" s="1754">
        <v>0</v>
      </c>
      <c r="O1046" s="1755" t="s">
        <v>2791</v>
      </c>
      <c r="P1046" s="1721" t="s">
        <v>9611</v>
      </c>
    </row>
    <row r="1047" spans="1:16" ht="13.9" hidden="1" customHeight="1" outlineLevel="2" x14ac:dyDescent="0.2">
      <c r="A1047" s="459">
        <v>0</v>
      </c>
      <c r="B1047" s="459">
        <v>8</v>
      </c>
      <c r="C1047" s="459">
        <v>7</v>
      </c>
      <c r="D1047" s="460">
        <v>7</v>
      </c>
      <c r="E1047" s="460">
        <v>0</v>
      </c>
      <c r="G1047" s="1740"/>
      <c r="H1047" s="1741" t="s">
        <v>1238</v>
      </c>
      <c r="I1047" s="1742" t="s">
        <v>6829</v>
      </c>
      <c r="J1047" s="1743" t="s">
        <v>15</v>
      </c>
      <c r="K1047" s="1744"/>
      <c r="L1047" s="1745"/>
      <c r="M1047" s="1745"/>
      <c r="N1047" s="1746">
        <v>4462.25</v>
      </c>
      <c r="O1047" s="1747"/>
      <c r="P1047" s="1720"/>
    </row>
    <row r="1048" spans="1:16" ht="13.9" hidden="1" customHeight="1" outlineLevel="3" x14ac:dyDescent="0.2">
      <c r="A1048" s="459">
        <v>0</v>
      </c>
      <c r="B1048" s="459">
        <v>8</v>
      </c>
      <c r="C1048" s="459">
        <v>7</v>
      </c>
      <c r="D1048" s="460">
        <v>7</v>
      </c>
      <c r="E1048" s="460">
        <v>1</v>
      </c>
      <c r="G1048" s="1790" t="s">
        <v>1258</v>
      </c>
      <c r="H1048" s="1749" t="s">
        <v>1239</v>
      </c>
      <c r="I1048" s="1750" t="s">
        <v>6830</v>
      </c>
      <c r="J1048" s="1751" t="s">
        <v>1259</v>
      </c>
      <c r="K1048" s="1752" t="s">
        <v>1130</v>
      </c>
      <c r="L1048" s="1753">
        <v>1</v>
      </c>
      <c r="M1048" s="1753">
        <v>4462.25</v>
      </c>
      <c r="N1048" s="1754">
        <v>4462.25</v>
      </c>
      <c r="O1048" s="1765" t="s">
        <v>2801</v>
      </c>
      <c r="P1048" s="1721" t="s">
        <v>9611</v>
      </c>
    </row>
    <row r="1049" spans="1:16" ht="13.9" hidden="1" customHeight="1" outlineLevel="1" x14ac:dyDescent="0.2">
      <c r="A1049" s="459">
        <v>0</v>
      </c>
      <c r="B1049" s="459">
        <v>8</v>
      </c>
      <c r="C1049" s="459">
        <v>8</v>
      </c>
      <c r="D1049" s="460">
        <v>0</v>
      </c>
      <c r="E1049" s="460">
        <v>1</v>
      </c>
      <c r="G1049" s="1733"/>
      <c r="H1049" s="1734" t="s">
        <v>39</v>
      </c>
      <c r="I1049" s="1735" t="s">
        <v>6831</v>
      </c>
      <c r="J1049" s="1736" t="s">
        <v>3344</v>
      </c>
      <c r="K1049" s="1737"/>
      <c r="L1049" s="1738"/>
      <c r="M1049" s="1738"/>
      <c r="N1049" s="1739">
        <v>44273.483999999997</v>
      </c>
      <c r="O1049" s="1722"/>
      <c r="P1049" s="1725"/>
    </row>
    <row r="1050" spans="1:16" ht="13.9" hidden="1" customHeight="1" outlineLevel="2" x14ac:dyDescent="0.2">
      <c r="A1050" s="459">
        <v>0</v>
      </c>
      <c r="B1050" s="459">
        <v>8</v>
      </c>
      <c r="C1050" s="459">
        <v>8</v>
      </c>
      <c r="D1050" s="460">
        <v>1</v>
      </c>
      <c r="E1050" s="460">
        <v>0</v>
      </c>
      <c r="G1050" s="1740"/>
      <c r="H1050" s="1741" t="s">
        <v>1238</v>
      </c>
      <c r="I1050" s="1742" t="s">
        <v>6832</v>
      </c>
      <c r="J1050" s="1743" t="s">
        <v>2798</v>
      </c>
      <c r="K1050" s="1744"/>
      <c r="L1050" s="1745"/>
      <c r="M1050" s="1745"/>
      <c r="N1050" s="1746">
        <v>3982.75</v>
      </c>
      <c r="O1050" s="1747"/>
      <c r="P1050" s="1720"/>
    </row>
    <row r="1051" spans="1:16" ht="13.9" hidden="1" customHeight="1" outlineLevel="3" x14ac:dyDescent="0.2">
      <c r="A1051" s="459">
        <v>0</v>
      </c>
      <c r="B1051" s="459">
        <v>8</v>
      </c>
      <c r="C1051" s="459">
        <v>8</v>
      </c>
      <c r="D1051" s="460">
        <v>1</v>
      </c>
      <c r="E1051" s="460">
        <v>1</v>
      </c>
      <c r="G1051" s="1790" t="s">
        <v>1258</v>
      </c>
      <c r="H1051" s="1749" t="s">
        <v>1239</v>
      </c>
      <c r="I1051" s="1750" t="s">
        <v>6833</v>
      </c>
      <c r="J1051" s="1751" t="s">
        <v>2798</v>
      </c>
      <c r="K1051" s="1752" t="s">
        <v>1130</v>
      </c>
      <c r="L1051" s="1753">
        <v>1</v>
      </c>
      <c r="M1051" s="1753">
        <v>3982.75</v>
      </c>
      <c r="N1051" s="1754">
        <v>3982.75</v>
      </c>
      <c r="O1051" s="1755" t="s">
        <v>2791</v>
      </c>
      <c r="P1051" s="1721" t="s">
        <v>9611</v>
      </c>
    </row>
    <row r="1052" spans="1:16" ht="13.9" hidden="1" customHeight="1" outlineLevel="2" x14ac:dyDescent="0.2">
      <c r="A1052" s="459">
        <v>0</v>
      </c>
      <c r="B1052" s="459">
        <v>8</v>
      </c>
      <c r="C1052" s="459">
        <v>8</v>
      </c>
      <c r="D1052" s="460">
        <v>2</v>
      </c>
      <c r="E1052" s="460">
        <v>0</v>
      </c>
      <c r="G1052" s="1740"/>
      <c r="H1052" s="1741" t="s">
        <v>1238</v>
      </c>
      <c r="I1052" s="1742" t="s">
        <v>6834</v>
      </c>
      <c r="J1052" s="1743" t="s">
        <v>2799</v>
      </c>
      <c r="K1052" s="1744"/>
      <c r="L1052" s="1745"/>
      <c r="M1052" s="1745"/>
      <c r="N1052" s="1746">
        <v>1517.74</v>
      </c>
      <c r="O1052" s="1747"/>
      <c r="P1052" s="1720"/>
    </row>
    <row r="1053" spans="1:16" ht="13.9" hidden="1" customHeight="1" outlineLevel="3" x14ac:dyDescent="0.2">
      <c r="A1053" s="459">
        <v>0</v>
      </c>
      <c r="B1053" s="459">
        <v>8</v>
      </c>
      <c r="C1053" s="459">
        <v>8</v>
      </c>
      <c r="D1053" s="460">
        <v>2</v>
      </c>
      <c r="E1053" s="460">
        <v>1</v>
      </c>
      <c r="G1053" s="1790" t="s">
        <v>1258</v>
      </c>
      <c r="H1053" s="1749" t="s">
        <v>1239</v>
      </c>
      <c r="I1053" s="1750" t="s">
        <v>6835</v>
      </c>
      <c r="J1053" s="1751" t="s">
        <v>2799</v>
      </c>
      <c r="K1053" s="1752" t="s">
        <v>1130</v>
      </c>
      <c r="L1053" s="1753">
        <v>1</v>
      </c>
      <c r="M1053" s="1753">
        <v>1517.74</v>
      </c>
      <c r="N1053" s="1754">
        <v>1517.74</v>
      </c>
      <c r="O1053" s="1755" t="s">
        <v>2791</v>
      </c>
      <c r="P1053" s="1721" t="s">
        <v>9611</v>
      </c>
    </row>
    <row r="1054" spans="1:16" ht="13.9" hidden="1" customHeight="1" outlineLevel="2" x14ac:dyDescent="0.2">
      <c r="A1054" s="459">
        <v>0</v>
      </c>
      <c r="B1054" s="459">
        <v>8</v>
      </c>
      <c r="C1054" s="459">
        <v>8</v>
      </c>
      <c r="D1054" s="460">
        <v>3</v>
      </c>
      <c r="E1054" s="460">
        <v>0</v>
      </c>
      <c r="G1054" s="1740"/>
      <c r="H1054" s="1741" t="s">
        <v>1238</v>
      </c>
      <c r="I1054" s="1742" t="s">
        <v>6836</v>
      </c>
      <c r="J1054" s="1743" t="s">
        <v>3353</v>
      </c>
      <c r="K1054" s="1744"/>
      <c r="L1054" s="1745"/>
      <c r="M1054" s="1745"/>
      <c r="N1054" s="1746">
        <v>30559.1</v>
      </c>
      <c r="O1054" s="1747"/>
      <c r="P1054" s="1720"/>
    </row>
    <row r="1055" spans="1:16" ht="13.9" hidden="1" customHeight="1" outlineLevel="3" x14ac:dyDescent="0.2">
      <c r="A1055" s="459">
        <v>0</v>
      </c>
      <c r="B1055" s="459">
        <v>8</v>
      </c>
      <c r="C1055" s="459">
        <v>8</v>
      </c>
      <c r="D1055" s="460">
        <v>3</v>
      </c>
      <c r="E1055" s="460">
        <v>1</v>
      </c>
      <c r="G1055" s="1790" t="s">
        <v>1258</v>
      </c>
      <c r="H1055" s="1749" t="s">
        <v>1239</v>
      </c>
      <c r="I1055" s="1750" t="s">
        <v>6837</v>
      </c>
      <c r="J1055" s="1751" t="s">
        <v>3353</v>
      </c>
      <c r="K1055" s="1752" t="s">
        <v>1130</v>
      </c>
      <c r="L1055" s="1753">
        <v>1</v>
      </c>
      <c r="M1055" s="1753">
        <v>30559.1</v>
      </c>
      <c r="N1055" s="1754">
        <v>30559.1</v>
      </c>
      <c r="O1055" s="1755" t="s">
        <v>2791</v>
      </c>
      <c r="P1055" s="1721" t="s">
        <v>9611</v>
      </c>
    </row>
    <row r="1056" spans="1:16" ht="13.9" hidden="1" customHeight="1" outlineLevel="2" x14ac:dyDescent="0.2">
      <c r="A1056" s="459">
        <v>0</v>
      </c>
      <c r="B1056" s="459">
        <v>8</v>
      </c>
      <c r="C1056" s="459">
        <v>8</v>
      </c>
      <c r="D1056" s="460">
        <v>4</v>
      </c>
      <c r="E1056" s="460">
        <v>0</v>
      </c>
      <c r="G1056" s="1740"/>
      <c r="H1056" s="1741" t="s">
        <v>1238</v>
      </c>
      <c r="I1056" s="1742" t="s">
        <v>6838</v>
      </c>
      <c r="J1056" s="1743" t="s">
        <v>2800</v>
      </c>
      <c r="K1056" s="1744"/>
      <c r="L1056" s="1745"/>
      <c r="M1056" s="1745"/>
      <c r="N1056" s="1746">
        <v>0</v>
      </c>
      <c r="O1056" s="1747"/>
      <c r="P1056" s="1720"/>
    </row>
    <row r="1057" spans="1:16" ht="13.9" hidden="1" customHeight="1" outlineLevel="3" x14ac:dyDescent="0.2">
      <c r="A1057" s="459">
        <v>0</v>
      </c>
      <c r="B1057" s="459">
        <v>8</v>
      </c>
      <c r="C1057" s="459">
        <v>8</v>
      </c>
      <c r="D1057" s="460">
        <v>4</v>
      </c>
      <c r="E1057" s="460">
        <v>1</v>
      </c>
      <c r="G1057" s="1790" t="s">
        <v>1258</v>
      </c>
      <c r="H1057" s="1749" t="s">
        <v>1239</v>
      </c>
      <c r="I1057" s="1750" t="s">
        <v>6839</v>
      </c>
      <c r="J1057" s="1751" t="s">
        <v>2800</v>
      </c>
      <c r="K1057" s="1752" t="s">
        <v>1130</v>
      </c>
      <c r="L1057" s="1753">
        <v>1</v>
      </c>
      <c r="M1057" s="1753"/>
      <c r="N1057" s="1754">
        <v>0</v>
      </c>
      <c r="O1057" s="1755" t="s">
        <v>3351</v>
      </c>
      <c r="P1057" s="1721" t="s">
        <v>9611</v>
      </c>
    </row>
    <row r="1058" spans="1:16" ht="13.9" hidden="1" customHeight="1" outlineLevel="2" x14ac:dyDescent="0.2">
      <c r="A1058" s="459">
        <v>0</v>
      </c>
      <c r="B1058" s="459">
        <v>8</v>
      </c>
      <c r="C1058" s="459">
        <v>8</v>
      </c>
      <c r="D1058" s="460">
        <v>5</v>
      </c>
      <c r="E1058" s="460">
        <v>0</v>
      </c>
      <c r="G1058" s="1740"/>
      <c r="H1058" s="1741" t="s">
        <v>1238</v>
      </c>
      <c r="I1058" s="1742" t="s">
        <v>6840</v>
      </c>
      <c r="J1058" s="1743" t="s">
        <v>2523</v>
      </c>
      <c r="K1058" s="1744"/>
      <c r="L1058" s="1745"/>
      <c r="M1058" s="1745"/>
      <c r="N1058" s="1746">
        <v>5717.5439999999999</v>
      </c>
      <c r="O1058" s="1747"/>
      <c r="P1058" s="1720"/>
    </row>
    <row r="1059" spans="1:16" ht="13.9" hidden="1" customHeight="1" outlineLevel="3" x14ac:dyDescent="0.2">
      <c r="A1059" s="459">
        <v>0</v>
      </c>
      <c r="B1059" s="459">
        <v>8</v>
      </c>
      <c r="C1059" s="459">
        <v>8</v>
      </c>
      <c r="D1059" s="460">
        <v>5</v>
      </c>
      <c r="E1059" s="460">
        <v>1</v>
      </c>
      <c r="G1059" s="1790" t="s">
        <v>1258</v>
      </c>
      <c r="H1059" s="1749" t="s">
        <v>1239</v>
      </c>
      <c r="I1059" s="1750" t="s">
        <v>6841</v>
      </c>
      <c r="J1059" s="1751" t="s">
        <v>2523</v>
      </c>
      <c r="K1059" s="1752" t="s">
        <v>1130</v>
      </c>
      <c r="L1059" s="1753">
        <v>1</v>
      </c>
      <c r="M1059" s="1753">
        <v>5717.5439999999999</v>
      </c>
      <c r="N1059" s="1754">
        <v>5717.5439999999999</v>
      </c>
      <c r="O1059" s="1755" t="s">
        <v>2791</v>
      </c>
      <c r="P1059" s="1721" t="s">
        <v>9611</v>
      </c>
    </row>
    <row r="1060" spans="1:16" ht="13.9" hidden="1" customHeight="1" outlineLevel="2" x14ac:dyDescent="0.2">
      <c r="A1060" s="459">
        <v>0</v>
      </c>
      <c r="B1060" s="459">
        <v>8</v>
      </c>
      <c r="C1060" s="459">
        <v>8</v>
      </c>
      <c r="D1060" s="460">
        <v>6</v>
      </c>
      <c r="E1060" s="460">
        <v>0</v>
      </c>
      <c r="G1060" s="1740"/>
      <c r="H1060" s="1741" t="s">
        <v>1238</v>
      </c>
      <c r="I1060" s="1742" t="s">
        <v>6842</v>
      </c>
      <c r="J1060" s="1743" t="s">
        <v>2522</v>
      </c>
      <c r="K1060" s="1744"/>
      <c r="L1060" s="1745"/>
      <c r="M1060" s="1745"/>
      <c r="N1060" s="1746">
        <v>0</v>
      </c>
      <c r="O1060" s="1747"/>
      <c r="P1060" s="1720"/>
    </row>
    <row r="1061" spans="1:16" ht="13.9" hidden="1" customHeight="1" outlineLevel="3" x14ac:dyDescent="0.2">
      <c r="A1061" s="459">
        <v>0</v>
      </c>
      <c r="B1061" s="459">
        <v>8</v>
      </c>
      <c r="C1061" s="459">
        <v>8</v>
      </c>
      <c r="D1061" s="460">
        <v>6</v>
      </c>
      <c r="E1061" s="460">
        <v>1</v>
      </c>
      <c r="G1061" s="1790" t="s">
        <v>1258</v>
      </c>
      <c r="H1061" s="1749" t="s">
        <v>1239</v>
      </c>
      <c r="I1061" s="1750" t="s">
        <v>6843</v>
      </c>
      <c r="J1061" s="1751" t="s">
        <v>2522</v>
      </c>
      <c r="K1061" s="1752" t="s">
        <v>1130</v>
      </c>
      <c r="L1061" s="1753">
        <v>1</v>
      </c>
      <c r="M1061" s="1753"/>
      <c r="N1061" s="1754">
        <v>0</v>
      </c>
      <c r="O1061" s="1755" t="s">
        <v>2791</v>
      </c>
      <c r="P1061" s="1721" t="s">
        <v>9611</v>
      </c>
    </row>
    <row r="1062" spans="1:16" ht="13.9" hidden="1" customHeight="1" outlineLevel="2" x14ac:dyDescent="0.2">
      <c r="A1062" s="459">
        <v>0</v>
      </c>
      <c r="B1062" s="459">
        <v>8</v>
      </c>
      <c r="C1062" s="459">
        <v>8</v>
      </c>
      <c r="D1062" s="460">
        <v>7</v>
      </c>
      <c r="E1062" s="460">
        <v>0</v>
      </c>
      <c r="G1062" s="1740"/>
      <c r="H1062" s="1741" t="s">
        <v>1238</v>
      </c>
      <c r="I1062" s="1742" t="s">
        <v>6844</v>
      </c>
      <c r="J1062" s="1743" t="s">
        <v>15</v>
      </c>
      <c r="K1062" s="1744"/>
      <c r="L1062" s="1745"/>
      <c r="M1062" s="1745"/>
      <c r="N1062" s="1746">
        <v>2496.35</v>
      </c>
      <c r="O1062" s="1747"/>
      <c r="P1062" s="1720"/>
    </row>
    <row r="1063" spans="1:16" ht="13.9" hidden="1" customHeight="1" outlineLevel="3" x14ac:dyDescent="0.2">
      <c r="A1063" s="459">
        <v>0</v>
      </c>
      <c r="B1063" s="459">
        <v>8</v>
      </c>
      <c r="C1063" s="459">
        <v>8</v>
      </c>
      <c r="D1063" s="460">
        <v>7</v>
      </c>
      <c r="E1063" s="460">
        <v>1</v>
      </c>
      <c r="G1063" s="1790" t="s">
        <v>1258</v>
      </c>
      <c r="H1063" s="1749" t="s">
        <v>1239</v>
      </c>
      <c r="I1063" s="1750" t="s">
        <v>6845</v>
      </c>
      <c r="J1063" s="1751" t="s">
        <v>1259</v>
      </c>
      <c r="K1063" s="1752" t="s">
        <v>1130</v>
      </c>
      <c r="L1063" s="1753">
        <v>1</v>
      </c>
      <c r="M1063" s="1753">
        <v>2496.35</v>
      </c>
      <c r="N1063" s="1754">
        <v>2496.35</v>
      </c>
      <c r="O1063" s="1765" t="s">
        <v>2801</v>
      </c>
      <c r="P1063" s="1721" t="s">
        <v>9611</v>
      </c>
    </row>
    <row r="1064" spans="1:16" ht="13.9" hidden="1" customHeight="1" outlineLevel="1" x14ac:dyDescent="0.2">
      <c r="A1064" s="459">
        <v>0</v>
      </c>
      <c r="B1064" s="459">
        <v>8</v>
      </c>
      <c r="C1064" s="459">
        <v>9</v>
      </c>
      <c r="D1064" s="460">
        <v>0</v>
      </c>
      <c r="E1064" s="460">
        <v>1</v>
      </c>
      <c r="G1064" s="1733"/>
      <c r="H1064" s="1734" t="s">
        <v>39</v>
      </c>
      <c r="I1064" s="1735" t="s">
        <v>6846</v>
      </c>
      <c r="J1064" s="1736" t="s">
        <v>3346</v>
      </c>
      <c r="K1064" s="1737"/>
      <c r="L1064" s="1738"/>
      <c r="M1064" s="1738"/>
      <c r="N1064" s="1739">
        <v>32959.947200000002</v>
      </c>
      <c r="O1064" s="1722"/>
      <c r="P1064" s="1725"/>
    </row>
    <row r="1065" spans="1:16" ht="13.9" hidden="1" customHeight="1" outlineLevel="2" x14ac:dyDescent="0.2">
      <c r="A1065" s="459">
        <v>0</v>
      </c>
      <c r="B1065" s="459">
        <v>8</v>
      </c>
      <c r="C1065" s="459">
        <v>9</v>
      </c>
      <c r="D1065" s="460">
        <v>1</v>
      </c>
      <c r="E1065" s="460">
        <v>0</v>
      </c>
      <c r="G1065" s="1740"/>
      <c r="H1065" s="1741" t="s">
        <v>1238</v>
      </c>
      <c r="I1065" s="1742" t="s">
        <v>6847</v>
      </c>
      <c r="J1065" s="1743" t="s">
        <v>2798</v>
      </c>
      <c r="K1065" s="1744"/>
      <c r="L1065" s="1745"/>
      <c r="M1065" s="1745"/>
      <c r="N1065" s="1746">
        <v>3346.25</v>
      </c>
      <c r="O1065" s="1747"/>
      <c r="P1065" s="1720"/>
    </row>
    <row r="1066" spans="1:16" ht="13.9" hidden="1" customHeight="1" outlineLevel="3" x14ac:dyDescent="0.2">
      <c r="A1066" s="459">
        <v>0</v>
      </c>
      <c r="B1066" s="459">
        <v>8</v>
      </c>
      <c r="C1066" s="459">
        <v>9</v>
      </c>
      <c r="D1066" s="460">
        <v>1</v>
      </c>
      <c r="E1066" s="460">
        <v>1</v>
      </c>
      <c r="G1066" s="1790" t="s">
        <v>1258</v>
      </c>
      <c r="H1066" s="1749" t="s">
        <v>1239</v>
      </c>
      <c r="I1066" s="1750" t="s">
        <v>6848</v>
      </c>
      <c r="J1066" s="1751" t="s">
        <v>2798</v>
      </c>
      <c r="K1066" s="1752" t="s">
        <v>1130</v>
      </c>
      <c r="L1066" s="1753">
        <v>1</v>
      </c>
      <c r="M1066" s="1753">
        <v>3346.25</v>
      </c>
      <c r="N1066" s="1754">
        <v>3346.25</v>
      </c>
      <c r="O1066" s="1755" t="s">
        <v>2791</v>
      </c>
      <c r="P1066" s="1721" t="s">
        <v>9611</v>
      </c>
    </row>
    <row r="1067" spans="1:16" ht="13.9" hidden="1" customHeight="1" outlineLevel="2" x14ac:dyDescent="0.2">
      <c r="A1067" s="459">
        <v>0</v>
      </c>
      <c r="B1067" s="459">
        <v>8</v>
      </c>
      <c r="C1067" s="459">
        <v>9</v>
      </c>
      <c r="D1067" s="460">
        <v>2</v>
      </c>
      <c r="E1067" s="460">
        <v>0</v>
      </c>
      <c r="G1067" s="1740"/>
      <c r="H1067" s="1741" t="s">
        <v>1238</v>
      </c>
      <c r="I1067" s="1742" t="s">
        <v>6849</v>
      </c>
      <c r="J1067" s="1743" t="s">
        <v>2799</v>
      </c>
      <c r="K1067" s="1744"/>
      <c r="L1067" s="1745"/>
      <c r="M1067" s="1745"/>
      <c r="N1067" s="1746">
        <v>600.45000000000005</v>
      </c>
      <c r="O1067" s="1747"/>
      <c r="P1067" s="1720"/>
    </row>
    <row r="1068" spans="1:16" ht="13.9" hidden="1" customHeight="1" outlineLevel="3" x14ac:dyDescent="0.2">
      <c r="A1068" s="459">
        <v>0</v>
      </c>
      <c r="B1068" s="459">
        <v>8</v>
      </c>
      <c r="C1068" s="459">
        <v>9</v>
      </c>
      <c r="D1068" s="460">
        <v>2</v>
      </c>
      <c r="E1068" s="460">
        <v>1</v>
      </c>
      <c r="G1068" s="1790" t="s">
        <v>1258</v>
      </c>
      <c r="H1068" s="1749" t="s">
        <v>1239</v>
      </c>
      <c r="I1068" s="1750" t="s">
        <v>6850</v>
      </c>
      <c r="J1068" s="1751" t="s">
        <v>2799</v>
      </c>
      <c r="K1068" s="1752" t="s">
        <v>1130</v>
      </c>
      <c r="L1068" s="1753">
        <v>1</v>
      </c>
      <c r="M1068" s="1753">
        <v>600.45000000000005</v>
      </c>
      <c r="N1068" s="1754">
        <v>600.45000000000005</v>
      </c>
      <c r="O1068" s="1755" t="s">
        <v>2791</v>
      </c>
      <c r="P1068" s="1721" t="s">
        <v>9611</v>
      </c>
    </row>
    <row r="1069" spans="1:16" ht="13.9" hidden="1" customHeight="1" outlineLevel="2" x14ac:dyDescent="0.2">
      <c r="A1069" s="459">
        <v>0</v>
      </c>
      <c r="B1069" s="459">
        <v>8</v>
      </c>
      <c r="C1069" s="459">
        <v>9</v>
      </c>
      <c r="D1069" s="460">
        <v>3</v>
      </c>
      <c r="E1069" s="460">
        <v>0</v>
      </c>
      <c r="G1069" s="1740"/>
      <c r="H1069" s="1741" t="s">
        <v>1238</v>
      </c>
      <c r="I1069" s="1742" t="s">
        <v>6851</v>
      </c>
      <c r="J1069" s="1743" t="s">
        <v>3353</v>
      </c>
      <c r="K1069" s="1744"/>
      <c r="L1069" s="1745"/>
      <c r="M1069" s="1745"/>
      <c r="N1069" s="1746">
        <v>24380.45</v>
      </c>
      <c r="O1069" s="1747"/>
      <c r="P1069" s="1720"/>
    </row>
    <row r="1070" spans="1:16" ht="13.9" hidden="1" customHeight="1" outlineLevel="3" x14ac:dyDescent="0.2">
      <c r="A1070" s="459">
        <v>0</v>
      </c>
      <c r="B1070" s="459">
        <v>8</v>
      </c>
      <c r="C1070" s="459">
        <v>9</v>
      </c>
      <c r="D1070" s="460">
        <v>3</v>
      </c>
      <c r="E1070" s="460">
        <v>1</v>
      </c>
      <c r="G1070" s="1790" t="s">
        <v>1258</v>
      </c>
      <c r="H1070" s="1749" t="s">
        <v>1239</v>
      </c>
      <c r="I1070" s="1750" t="s">
        <v>6852</v>
      </c>
      <c r="J1070" s="1751" t="s">
        <v>3353</v>
      </c>
      <c r="K1070" s="1752" t="s">
        <v>1130</v>
      </c>
      <c r="L1070" s="1753">
        <v>1</v>
      </c>
      <c r="M1070" s="1753">
        <v>24380.45</v>
      </c>
      <c r="N1070" s="1754">
        <v>24380.45</v>
      </c>
      <c r="O1070" s="1755" t="s">
        <v>2791</v>
      </c>
      <c r="P1070" s="1721" t="s">
        <v>9611</v>
      </c>
    </row>
    <row r="1071" spans="1:16" ht="13.9" hidden="1" customHeight="1" outlineLevel="2" x14ac:dyDescent="0.2">
      <c r="A1071" s="459">
        <v>0</v>
      </c>
      <c r="B1071" s="459">
        <v>8</v>
      </c>
      <c r="C1071" s="459">
        <v>9</v>
      </c>
      <c r="D1071" s="460">
        <v>4</v>
      </c>
      <c r="E1071" s="460">
        <v>0</v>
      </c>
      <c r="G1071" s="1740"/>
      <c r="H1071" s="1741" t="s">
        <v>1238</v>
      </c>
      <c r="I1071" s="1742" t="s">
        <v>6853</v>
      </c>
      <c r="J1071" s="1743" t="s">
        <v>2800</v>
      </c>
      <c r="K1071" s="1744"/>
      <c r="L1071" s="1745"/>
      <c r="M1071" s="1745"/>
      <c r="N1071" s="1746">
        <v>0</v>
      </c>
      <c r="O1071" s="1747"/>
      <c r="P1071" s="1720"/>
    </row>
    <row r="1072" spans="1:16" ht="13.9" hidden="1" customHeight="1" outlineLevel="3" x14ac:dyDescent="0.2">
      <c r="A1072" s="459">
        <v>0</v>
      </c>
      <c r="B1072" s="459">
        <v>8</v>
      </c>
      <c r="C1072" s="459">
        <v>9</v>
      </c>
      <c r="D1072" s="460">
        <v>4</v>
      </c>
      <c r="E1072" s="460">
        <v>1</v>
      </c>
      <c r="G1072" s="1790" t="s">
        <v>1258</v>
      </c>
      <c r="H1072" s="1749" t="s">
        <v>1239</v>
      </c>
      <c r="I1072" s="1750" t="s">
        <v>6854</v>
      </c>
      <c r="J1072" s="1751" t="s">
        <v>2800</v>
      </c>
      <c r="K1072" s="1752" t="s">
        <v>1130</v>
      </c>
      <c r="L1072" s="1753">
        <v>1</v>
      </c>
      <c r="M1072" s="1753"/>
      <c r="N1072" s="1754">
        <v>0</v>
      </c>
      <c r="O1072" s="1755" t="s">
        <v>3351</v>
      </c>
      <c r="P1072" s="1721" t="s">
        <v>9611</v>
      </c>
    </row>
    <row r="1073" spans="1:16" ht="13.9" hidden="1" customHeight="1" outlineLevel="2" x14ac:dyDescent="0.2">
      <c r="A1073" s="459">
        <v>0</v>
      </c>
      <c r="B1073" s="459">
        <v>8</v>
      </c>
      <c r="C1073" s="459">
        <v>9</v>
      </c>
      <c r="D1073" s="460">
        <v>5</v>
      </c>
      <c r="E1073" s="460">
        <v>0</v>
      </c>
      <c r="G1073" s="1740"/>
      <c r="H1073" s="1741" t="s">
        <v>1238</v>
      </c>
      <c r="I1073" s="1742" t="s">
        <v>6855</v>
      </c>
      <c r="J1073" s="1743" t="s">
        <v>2523</v>
      </c>
      <c r="K1073" s="1744"/>
      <c r="L1073" s="1745"/>
      <c r="M1073" s="1745"/>
      <c r="N1073" s="1746">
        <v>2905.1471999999999</v>
      </c>
      <c r="O1073" s="1747"/>
      <c r="P1073" s="1720"/>
    </row>
    <row r="1074" spans="1:16" ht="13.9" hidden="1" customHeight="1" outlineLevel="3" x14ac:dyDescent="0.2">
      <c r="A1074" s="459">
        <v>0</v>
      </c>
      <c r="B1074" s="459">
        <v>8</v>
      </c>
      <c r="C1074" s="459">
        <v>9</v>
      </c>
      <c r="D1074" s="460">
        <v>5</v>
      </c>
      <c r="E1074" s="460">
        <v>1</v>
      </c>
      <c r="G1074" s="1790" t="s">
        <v>1258</v>
      </c>
      <c r="H1074" s="1749" t="s">
        <v>1239</v>
      </c>
      <c r="I1074" s="1750" t="s">
        <v>6856</v>
      </c>
      <c r="J1074" s="1751" t="s">
        <v>2523</v>
      </c>
      <c r="K1074" s="1752" t="s">
        <v>1130</v>
      </c>
      <c r="L1074" s="1753">
        <v>1</v>
      </c>
      <c r="M1074" s="1753">
        <v>2905.1472000000003</v>
      </c>
      <c r="N1074" s="1754">
        <v>2905.1471999999999</v>
      </c>
      <c r="O1074" s="1755" t="s">
        <v>2791</v>
      </c>
      <c r="P1074" s="1721" t="s">
        <v>9611</v>
      </c>
    </row>
    <row r="1075" spans="1:16" ht="13.9" hidden="1" customHeight="1" outlineLevel="2" x14ac:dyDescent="0.2">
      <c r="A1075" s="459">
        <v>0</v>
      </c>
      <c r="B1075" s="459">
        <v>8</v>
      </c>
      <c r="C1075" s="459">
        <v>9</v>
      </c>
      <c r="D1075" s="460">
        <v>6</v>
      </c>
      <c r="E1075" s="460">
        <v>0</v>
      </c>
      <c r="G1075" s="1740"/>
      <c r="H1075" s="1741" t="s">
        <v>1238</v>
      </c>
      <c r="I1075" s="1742" t="s">
        <v>6857</v>
      </c>
      <c r="J1075" s="1743" t="s">
        <v>2522</v>
      </c>
      <c r="K1075" s="1744"/>
      <c r="L1075" s="1745"/>
      <c r="M1075" s="1745"/>
      <c r="N1075" s="1746">
        <v>0</v>
      </c>
      <c r="O1075" s="1747"/>
      <c r="P1075" s="1720"/>
    </row>
    <row r="1076" spans="1:16" ht="13.9" hidden="1" customHeight="1" outlineLevel="3" x14ac:dyDescent="0.2">
      <c r="A1076" s="459">
        <v>0</v>
      </c>
      <c r="B1076" s="459">
        <v>8</v>
      </c>
      <c r="C1076" s="459">
        <v>9</v>
      </c>
      <c r="D1076" s="460">
        <v>6</v>
      </c>
      <c r="E1076" s="460">
        <v>1</v>
      </c>
      <c r="G1076" s="1790" t="s">
        <v>1258</v>
      </c>
      <c r="H1076" s="1749" t="s">
        <v>1239</v>
      </c>
      <c r="I1076" s="1750" t="s">
        <v>6858</v>
      </c>
      <c r="J1076" s="1751" t="s">
        <v>2522</v>
      </c>
      <c r="K1076" s="1752" t="s">
        <v>1130</v>
      </c>
      <c r="L1076" s="1753">
        <v>1</v>
      </c>
      <c r="M1076" s="1753"/>
      <c r="N1076" s="1754">
        <v>0</v>
      </c>
      <c r="O1076" s="1755" t="s">
        <v>2791</v>
      </c>
      <c r="P1076" s="1721" t="s">
        <v>9611</v>
      </c>
    </row>
    <row r="1077" spans="1:16" ht="13.9" hidden="1" customHeight="1" outlineLevel="2" x14ac:dyDescent="0.2">
      <c r="A1077" s="459">
        <v>0</v>
      </c>
      <c r="B1077" s="459">
        <v>8</v>
      </c>
      <c r="C1077" s="459">
        <v>9</v>
      </c>
      <c r="D1077" s="460">
        <v>7</v>
      </c>
      <c r="E1077" s="460">
        <v>0</v>
      </c>
      <c r="G1077" s="1740"/>
      <c r="H1077" s="1741" t="s">
        <v>1238</v>
      </c>
      <c r="I1077" s="1742" t="s">
        <v>6859</v>
      </c>
      <c r="J1077" s="1743" t="s">
        <v>15</v>
      </c>
      <c r="K1077" s="1744"/>
      <c r="L1077" s="1745"/>
      <c r="M1077" s="1745"/>
      <c r="N1077" s="1746">
        <v>1727.65</v>
      </c>
      <c r="O1077" s="1747"/>
      <c r="P1077" s="1720"/>
    </row>
    <row r="1078" spans="1:16" ht="13.9" hidden="1" customHeight="1" outlineLevel="3" x14ac:dyDescent="0.2">
      <c r="A1078" s="459">
        <v>0</v>
      </c>
      <c r="B1078" s="459">
        <v>8</v>
      </c>
      <c r="C1078" s="459">
        <v>9</v>
      </c>
      <c r="D1078" s="460">
        <v>7</v>
      </c>
      <c r="E1078" s="460">
        <v>1</v>
      </c>
      <c r="G1078" s="1790" t="s">
        <v>1258</v>
      </c>
      <c r="H1078" s="1749" t="s">
        <v>1239</v>
      </c>
      <c r="I1078" s="1750" t="s">
        <v>6860</v>
      </c>
      <c r="J1078" s="1751" t="s">
        <v>1259</v>
      </c>
      <c r="K1078" s="1752" t="s">
        <v>1130</v>
      </c>
      <c r="L1078" s="1753">
        <v>1</v>
      </c>
      <c r="M1078" s="1753">
        <v>1727.6499999999999</v>
      </c>
      <c r="N1078" s="1754">
        <v>1727.65</v>
      </c>
      <c r="O1078" s="1765" t="s">
        <v>2801</v>
      </c>
      <c r="P1078" s="1721" t="s">
        <v>9611</v>
      </c>
    </row>
    <row r="1079" spans="1:16" ht="13.9" hidden="1" customHeight="1" outlineLevel="1" x14ac:dyDescent="0.2">
      <c r="A1079" s="459">
        <v>0</v>
      </c>
      <c r="B1079" s="459">
        <v>8</v>
      </c>
      <c r="C1079" s="459">
        <v>10</v>
      </c>
      <c r="D1079" s="460">
        <v>0</v>
      </c>
      <c r="E1079" s="460">
        <v>1</v>
      </c>
      <c r="G1079" s="1733"/>
      <c r="H1079" s="1734" t="s">
        <v>39</v>
      </c>
      <c r="I1079" s="1735" t="s">
        <v>6861</v>
      </c>
      <c r="J1079" s="1736" t="s">
        <v>3345</v>
      </c>
      <c r="K1079" s="1737"/>
      <c r="L1079" s="1738"/>
      <c r="M1079" s="1738"/>
      <c r="N1079" s="1739">
        <v>291075.56679999997</v>
      </c>
      <c r="O1079" s="1722"/>
      <c r="P1079" s="1725"/>
    </row>
    <row r="1080" spans="1:16" ht="13.9" hidden="1" customHeight="1" outlineLevel="2" x14ac:dyDescent="0.2">
      <c r="A1080" s="459">
        <v>0</v>
      </c>
      <c r="B1080" s="459">
        <v>8</v>
      </c>
      <c r="C1080" s="459">
        <v>10</v>
      </c>
      <c r="D1080" s="460">
        <v>1</v>
      </c>
      <c r="E1080" s="460">
        <v>0</v>
      </c>
      <c r="G1080" s="1740"/>
      <c r="H1080" s="1741" t="s">
        <v>1238</v>
      </c>
      <c r="I1080" s="1742" t="s">
        <v>6862</v>
      </c>
      <c r="J1080" s="1743" t="s">
        <v>2798</v>
      </c>
      <c r="K1080" s="1744"/>
      <c r="L1080" s="1745"/>
      <c r="M1080" s="1745"/>
      <c r="N1080" s="1746">
        <v>27689.795999999998</v>
      </c>
      <c r="O1080" s="1747"/>
      <c r="P1080" s="1720"/>
    </row>
    <row r="1081" spans="1:16" ht="13.9" hidden="1" customHeight="1" outlineLevel="3" x14ac:dyDescent="0.2">
      <c r="A1081" s="459">
        <v>0</v>
      </c>
      <c r="B1081" s="459">
        <v>8</v>
      </c>
      <c r="C1081" s="459">
        <v>10</v>
      </c>
      <c r="D1081" s="460">
        <v>1</v>
      </c>
      <c r="E1081" s="460">
        <v>1</v>
      </c>
      <c r="G1081" s="1790" t="s">
        <v>1258</v>
      </c>
      <c r="H1081" s="1749" t="s">
        <v>1239</v>
      </c>
      <c r="I1081" s="1750" t="s">
        <v>6863</v>
      </c>
      <c r="J1081" s="1751" t="s">
        <v>2798</v>
      </c>
      <c r="K1081" s="1752" t="s">
        <v>1130</v>
      </c>
      <c r="L1081" s="1753">
        <v>1</v>
      </c>
      <c r="M1081" s="1753">
        <v>27689.796000000002</v>
      </c>
      <c r="N1081" s="1754">
        <v>27689.795999999998</v>
      </c>
      <c r="O1081" s="1755" t="s">
        <v>2791</v>
      </c>
      <c r="P1081" s="1721" t="s">
        <v>9611</v>
      </c>
    </row>
    <row r="1082" spans="1:16" ht="13.9" hidden="1" customHeight="1" outlineLevel="2" x14ac:dyDescent="0.2">
      <c r="A1082" s="459">
        <v>0</v>
      </c>
      <c r="B1082" s="459">
        <v>8</v>
      </c>
      <c r="C1082" s="459">
        <v>10</v>
      </c>
      <c r="D1082" s="460">
        <v>2</v>
      </c>
      <c r="E1082" s="460">
        <v>0</v>
      </c>
      <c r="G1082" s="1740"/>
      <c r="H1082" s="1741" t="s">
        <v>1238</v>
      </c>
      <c r="I1082" s="1742" t="s">
        <v>6864</v>
      </c>
      <c r="J1082" s="1743" t="s">
        <v>2799</v>
      </c>
      <c r="K1082" s="1744"/>
      <c r="L1082" s="1745"/>
      <c r="M1082" s="1745"/>
      <c r="N1082" s="1746">
        <v>6153.6</v>
      </c>
      <c r="O1082" s="1747"/>
      <c r="P1082" s="1720"/>
    </row>
    <row r="1083" spans="1:16" ht="13.9" hidden="1" customHeight="1" outlineLevel="3" x14ac:dyDescent="0.2">
      <c r="A1083" s="459">
        <v>0</v>
      </c>
      <c r="B1083" s="459">
        <v>8</v>
      </c>
      <c r="C1083" s="459">
        <v>10</v>
      </c>
      <c r="D1083" s="460">
        <v>2</v>
      </c>
      <c r="E1083" s="460">
        <v>1</v>
      </c>
      <c r="G1083" s="1790" t="s">
        <v>1258</v>
      </c>
      <c r="H1083" s="1749" t="s">
        <v>1239</v>
      </c>
      <c r="I1083" s="1750" t="s">
        <v>6865</v>
      </c>
      <c r="J1083" s="1751" t="s">
        <v>2799</v>
      </c>
      <c r="K1083" s="1752" t="s">
        <v>1130</v>
      </c>
      <c r="L1083" s="1753">
        <v>1</v>
      </c>
      <c r="M1083" s="1753">
        <v>6153.6</v>
      </c>
      <c r="N1083" s="1754">
        <v>6153.6</v>
      </c>
      <c r="O1083" s="1755" t="s">
        <v>2791</v>
      </c>
      <c r="P1083" s="1721" t="s">
        <v>9611</v>
      </c>
    </row>
    <row r="1084" spans="1:16" ht="13.9" hidden="1" customHeight="1" outlineLevel="2" x14ac:dyDescent="0.2">
      <c r="A1084" s="459">
        <v>0</v>
      </c>
      <c r="B1084" s="459">
        <v>8</v>
      </c>
      <c r="C1084" s="459">
        <v>10</v>
      </c>
      <c r="D1084" s="460">
        <v>3</v>
      </c>
      <c r="E1084" s="460">
        <v>0</v>
      </c>
      <c r="G1084" s="1740"/>
      <c r="H1084" s="1741" t="s">
        <v>1238</v>
      </c>
      <c r="I1084" s="1742" t="s">
        <v>6866</v>
      </c>
      <c r="J1084" s="1743" t="s">
        <v>3353</v>
      </c>
      <c r="K1084" s="1744"/>
      <c r="L1084" s="1745"/>
      <c r="M1084" s="1745"/>
      <c r="N1084" s="1746">
        <v>219912.65</v>
      </c>
      <c r="O1084" s="1747"/>
      <c r="P1084" s="1720"/>
    </row>
    <row r="1085" spans="1:16" ht="13.9" hidden="1" customHeight="1" outlineLevel="3" x14ac:dyDescent="0.2">
      <c r="A1085" s="459">
        <v>0</v>
      </c>
      <c r="B1085" s="459">
        <v>8</v>
      </c>
      <c r="C1085" s="459">
        <v>10</v>
      </c>
      <c r="D1085" s="460">
        <v>3</v>
      </c>
      <c r="E1085" s="460">
        <v>1</v>
      </c>
      <c r="G1085" s="1790" t="s">
        <v>1258</v>
      </c>
      <c r="H1085" s="1749" t="s">
        <v>1239</v>
      </c>
      <c r="I1085" s="1750" t="s">
        <v>6867</v>
      </c>
      <c r="J1085" s="1751" t="s">
        <v>3353</v>
      </c>
      <c r="K1085" s="1752" t="s">
        <v>1130</v>
      </c>
      <c r="L1085" s="1753">
        <v>1</v>
      </c>
      <c r="M1085" s="1753">
        <v>219912.65</v>
      </c>
      <c r="N1085" s="1754">
        <v>219912.65</v>
      </c>
      <c r="O1085" s="1755" t="s">
        <v>2791</v>
      </c>
      <c r="P1085" s="1721" t="s">
        <v>9611</v>
      </c>
    </row>
    <row r="1086" spans="1:16" ht="13.9" hidden="1" customHeight="1" outlineLevel="2" x14ac:dyDescent="0.2">
      <c r="A1086" s="459">
        <v>0</v>
      </c>
      <c r="B1086" s="459">
        <v>8</v>
      </c>
      <c r="C1086" s="459">
        <v>10</v>
      </c>
      <c r="D1086" s="460">
        <v>4</v>
      </c>
      <c r="E1086" s="460">
        <v>0</v>
      </c>
      <c r="G1086" s="1740"/>
      <c r="H1086" s="1741" t="s">
        <v>1238</v>
      </c>
      <c r="I1086" s="1742" t="s">
        <v>6868</v>
      </c>
      <c r="J1086" s="1743" t="s">
        <v>2800</v>
      </c>
      <c r="K1086" s="1744"/>
      <c r="L1086" s="1745"/>
      <c r="M1086" s="1745"/>
      <c r="N1086" s="1746">
        <v>0</v>
      </c>
      <c r="O1086" s="1747"/>
      <c r="P1086" s="1720"/>
    </row>
    <row r="1087" spans="1:16" ht="13.9" hidden="1" customHeight="1" outlineLevel="3" x14ac:dyDescent="0.2">
      <c r="A1087" s="459">
        <v>0</v>
      </c>
      <c r="B1087" s="459">
        <v>8</v>
      </c>
      <c r="C1087" s="459">
        <v>10</v>
      </c>
      <c r="D1087" s="460">
        <v>4</v>
      </c>
      <c r="E1087" s="460">
        <v>1</v>
      </c>
      <c r="G1087" s="1790" t="s">
        <v>1258</v>
      </c>
      <c r="H1087" s="1749" t="s">
        <v>1239</v>
      </c>
      <c r="I1087" s="1750" t="s">
        <v>6869</v>
      </c>
      <c r="J1087" s="1751" t="s">
        <v>2800</v>
      </c>
      <c r="K1087" s="1752" t="s">
        <v>1130</v>
      </c>
      <c r="L1087" s="1753">
        <v>1</v>
      </c>
      <c r="M1087" s="1753"/>
      <c r="N1087" s="1754">
        <v>0</v>
      </c>
      <c r="O1087" s="1755" t="s">
        <v>3351</v>
      </c>
      <c r="P1087" s="1721" t="s">
        <v>9611</v>
      </c>
    </row>
    <row r="1088" spans="1:16" ht="13.9" hidden="1" customHeight="1" outlineLevel="2" x14ac:dyDescent="0.2">
      <c r="A1088" s="459">
        <v>0</v>
      </c>
      <c r="B1088" s="459">
        <v>8</v>
      </c>
      <c r="C1088" s="459">
        <v>10</v>
      </c>
      <c r="D1088" s="460">
        <v>5</v>
      </c>
      <c r="E1088" s="460">
        <v>0</v>
      </c>
      <c r="G1088" s="1740"/>
      <c r="H1088" s="1741" t="s">
        <v>1238</v>
      </c>
      <c r="I1088" s="1742" t="s">
        <v>6870</v>
      </c>
      <c r="J1088" s="1743" t="s">
        <v>2523</v>
      </c>
      <c r="K1088" s="1744"/>
      <c r="L1088" s="1745"/>
      <c r="M1088" s="1745"/>
      <c r="N1088" s="1746">
        <v>25183.120800000001</v>
      </c>
      <c r="O1088" s="1747"/>
      <c r="P1088" s="1720"/>
    </row>
    <row r="1089" spans="1:16" ht="13.9" hidden="1" customHeight="1" outlineLevel="3" x14ac:dyDescent="0.2">
      <c r="A1089" s="459">
        <v>0</v>
      </c>
      <c r="B1089" s="459">
        <v>8</v>
      </c>
      <c r="C1089" s="459">
        <v>10</v>
      </c>
      <c r="D1089" s="460">
        <v>5</v>
      </c>
      <c r="E1089" s="460">
        <v>1</v>
      </c>
      <c r="G1089" s="1790" t="s">
        <v>1258</v>
      </c>
      <c r="H1089" s="1749" t="s">
        <v>1239</v>
      </c>
      <c r="I1089" s="1750" t="s">
        <v>6871</v>
      </c>
      <c r="J1089" s="1751" t="s">
        <v>2523</v>
      </c>
      <c r="K1089" s="1752" t="s">
        <v>1130</v>
      </c>
      <c r="L1089" s="1753">
        <v>1</v>
      </c>
      <c r="M1089" s="1753">
        <v>25183.120800000001</v>
      </c>
      <c r="N1089" s="1754">
        <v>25183.120800000001</v>
      </c>
      <c r="O1089" s="1755" t="s">
        <v>2791</v>
      </c>
      <c r="P1089" s="1721" t="s">
        <v>9611</v>
      </c>
    </row>
    <row r="1090" spans="1:16" ht="13.9" hidden="1" customHeight="1" outlineLevel="2" x14ac:dyDescent="0.2">
      <c r="A1090" s="459">
        <v>0</v>
      </c>
      <c r="B1090" s="459">
        <v>8</v>
      </c>
      <c r="C1090" s="459">
        <v>10</v>
      </c>
      <c r="D1090" s="460">
        <v>6</v>
      </c>
      <c r="E1090" s="460">
        <v>0</v>
      </c>
      <c r="G1090" s="1740"/>
      <c r="H1090" s="1741" t="s">
        <v>1238</v>
      </c>
      <c r="I1090" s="1742" t="s">
        <v>6872</v>
      </c>
      <c r="J1090" s="1743" t="s">
        <v>2522</v>
      </c>
      <c r="K1090" s="1744"/>
      <c r="L1090" s="1745"/>
      <c r="M1090" s="1745"/>
      <c r="N1090" s="1746">
        <v>0</v>
      </c>
      <c r="O1090" s="1747"/>
      <c r="P1090" s="1720"/>
    </row>
    <row r="1091" spans="1:16" ht="13.9" hidden="1" customHeight="1" outlineLevel="3" x14ac:dyDescent="0.2">
      <c r="A1091" s="459">
        <v>0</v>
      </c>
      <c r="B1091" s="459">
        <v>8</v>
      </c>
      <c r="C1091" s="459">
        <v>10</v>
      </c>
      <c r="D1091" s="460">
        <v>6</v>
      </c>
      <c r="E1091" s="460">
        <v>1</v>
      </c>
      <c r="G1091" s="1790" t="s">
        <v>1258</v>
      </c>
      <c r="H1091" s="1749" t="s">
        <v>1239</v>
      </c>
      <c r="I1091" s="1750" t="s">
        <v>6873</v>
      </c>
      <c r="J1091" s="1751" t="s">
        <v>2522</v>
      </c>
      <c r="K1091" s="1752" t="s">
        <v>1130</v>
      </c>
      <c r="L1091" s="1753">
        <v>1</v>
      </c>
      <c r="M1091" s="1753"/>
      <c r="N1091" s="1754">
        <v>0</v>
      </c>
      <c r="O1091" s="1755" t="s">
        <v>2791</v>
      </c>
      <c r="P1091" s="1721" t="s">
        <v>9611</v>
      </c>
    </row>
    <row r="1092" spans="1:16" ht="13.9" hidden="1" customHeight="1" outlineLevel="2" x14ac:dyDescent="0.2">
      <c r="A1092" s="459">
        <v>0</v>
      </c>
      <c r="B1092" s="459">
        <v>8</v>
      </c>
      <c r="C1092" s="459">
        <v>10</v>
      </c>
      <c r="D1092" s="460">
        <v>7</v>
      </c>
      <c r="E1092" s="460">
        <v>0</v>
      </c>
      <c r="G1092" s="1740"/>
      <c r="H1092" s="1741" t="s">
        <v>1238</v>
      </c>
      <c r="I1092" s="1742" t="s">
        <v>6874</v>
      </c>
      <c r="J1092" s="1743" t="s">
        <v>15</v>
      </c>
      <c r="K1092" s="1744"/>
      <c r="L1092" s="1745"/>
      <c r="M1092" s="1745"/>
      <c r="N1092" s="1746">
        <v>12136.4</v>
      </c>
      <c r="O1092" s="1747"/>
      <c r="P1092" s="1720"/>
    </row>
    <row r="1093" spans="1:16" ht="13.9" hidden="1" customHeight="1" outlineLevel="3" x14ac:dyDescent="0.2">
      <c r="A1093" s="459">
        <v>0</v>
      </c>
      <c r="B1093" s="459">
        <v>8</v>
      </c>
      <c r="C1093" s="459">
        <v>10</v>
      </c>
      <c r="D1093" s="460">
        <v>7</v>
      </c>
      <c r="E1093" s="460">
        <v>1</v>
      </c>
      <c r="G1093" s="1790" t="s">
        <v>1258</v>
      </c>
      <c r="H1093" s="1749" t="s">
        <v>1239</v>
      </c>
      <c r="I1093" s="1750" t="s">
        <v>6875</v>
      </c>
      <c r="J1093" s="1751" t="s">
        <v>1259</v>
      </c>
      <c r="K1093" s="1752" t="s">
        <v>1130</v>
      </c>
      <c r="L1093" s="1753">
        <v>1</v>
      </c>
      <c r="M1093" s="1753">
        <v>12136.400000000001</v>
      </c>
      <c r="N1093" s="1754">
        <v>12136.4</v>
      </c>
      <c r="O1093" s="1765" t="s">
        <v>2801</v>
      </c>
      <c r="P1093" s="1721" t="s">
        <v>9611</v>
      </c>
    </row>
    <row r="1094" spans="1:16" ht="13.9" hidden="1" customHeight="1" outlineLevel="1" x14ac:dyDescent="0.2">
      <c r="A1094" s="459">
        <v>0</v>
      </c>
      <c r="B1094" s="459">
        <v>8</v>
      </c>
      <c r="C1094" s="459">
        <v>11</v>
      </c>
      <c r="D1094" s="460">
        <v>0</v>
      </c>
      <c r="E1094" s="460">
        <v>1</v>
      </c>
      <c r="G1094" s="1733"/>
      <c r="H1094" s="1734" t="s">
        <v>39</v>
      </c>
      <c r="I1094" s="1735" t="s">
        <v>6876</v>
      </c>
      <c r="J1094" s="1736" t="s">
        <v>3347</v>
      </c>
      <c r="K1094" s="1737"/>
      <c r="L1094" s="1738"/>
      <c r="M1094" s="1738"/>
      <c r="N1094" s="1739">
        <v>705113.91929999995</v>
      </c>
      <c r="O1094" s="1722"/>
      <c r="P1094" s="1725"/>
    </row>
    <row r="1095" spans="1:16" ht="13.9" hidden="1" customHeight="1" outlineLevel="2" x14ac:dyDescent="0.2">
      <c r="A1095" s="459">
        <v>0</v>
      </c>
      <c r="B1095" s="459">
        <v>8</v>
      </c>
      <c r="C1095" s="459">
        <v>11</v>
      </c>
      <c r="D1095" s="460">
        <v>1</v>
      </c>
      <c r="E1095" s="460">
        <v>0</v>
      </c>
      <c r="G1095" s="1740"/>
      <c r="H1095" s="1741" t="s">
        <v>1238</v>
      </c>
      <c r="I1095" s="1742" t="s">
        <v>6877</v>
      </c>
      <c r="J1095" s="1743" t="s">
        <v>2798</v>
      </c>
      <c r="K1095" s="1744"/>
      <c r="L1095" s="1745"/>
      <c r="M1095" s="1745"/>
      <c r="N1095" s="1746">
        <v>62099.82</v>
      </c>
      <c r="O1095" s="1747"/>
      <c r="P1095" s="1720"/>
    </row>
    <row r="1096" spans="1:16" ht="13.9" hidden="1" customHeight="1" outlineLevel="3" x14ac:dyDescent="0.2">
      <c r="A1096" s="459">
        <v>0</v>
      </c>
      <c r="B1096" s="459">
        <v>8</v>
      </c>
      <c r="C1096" s="459">
        <v>11</v>
      </c>
      <c r="D1096" s="460">
        <v>1</v>
      </c>
      <c r="E1096" s="460">
        <v>1</v>
      </c>
      <c r="G1096" s="1790" t="s">
        <v>1258</v>
      </c>
      <c r="H1096" s="1749" t="s">
        <v>1239</v>
      </c>
      <c r="I1096" s="1750" t="s">
        <v>6878</v>
      </c>
      <c r="J1096" s="1751" t="s">
        <v>2798</v>
      </c>
      <c r="K1096" s="1752" t="s">
        <v>1130</v>
      </c>
      <c r="L1096" s="1753">
        <v>1</v>
      </c>
      <c r="M1096" s="1753">
        <v>62099.82</v>
      </c>
      <c r="N1096" s="1754">
        <v>62099.82</v>
      </c>
      <c r="O1096" s="1755" t="s">
        <v>2791</v>
      </c>
      <c r="P1096" s="1721" t="s">
        <v>9611</v>
      </c>
    </row>
    <row r="1097" spans="1:16" ht="13.9" hidden="1" customHeight="1" outlineLevel="2" x14ac:dyDescent="0.2">
      <c r="A1097" s="459">
        <v>0</v>
      </c>
      <c r="B1097" s="459">
        <v>8</v>
      </c>
      <c r="C1097" s="459">
        <v>11</v>
      </c>
      <c r="D1097" s="460">
        <v>2</v>
      </c>
      <c r="E1097" s="460">
        <v>0</v>
      </c>
      <c r="G1097" s="1740"/>
      <c r="H1097" s="1741" t="s">
        <v>1238</v>
      </c>
      <c r="I1097" s="1742" t="s">
        <v>6879</v>
      </c>
      <c r="J1097" s="1743" t="s">
        <v>2799</v>
      </c>
      <c r="K1097" s="1744"/>
      <c r="L1097" s="1745"/>
      <c r="M1097" s="1745"/>
      <c r="N1097" s="1746">
        <v>14952.7</v>
      </c>
      <c r="O1097" s="1747"/>
      <c r="P1097" s="1720"/>
    </row>
    <row r="1098" spans="1:16" ht="13.9" hidden="1" customHeight="1" outlineLevel="3" x14ac:dyDescent="0.2">
      <c r="A1098" s="459">
        <v>0</v>
      </c>
      <c r="B1098" s="459">
        <v>8</v>
      </c>
      <c r="C1098" s="459">
        <v>11</v>
      </c>
      <c r="D1098" s="460">
        <v>2</v>
      </c>
      <c r="E1098" s="460">
        <v>1</v>
      </c>
      <c r="G1098" s="1790" t="s">
        <v>1258</v>
      </c>
      <c r="H1098" s="1749" t="s">
        <v>1239</v>
      </c>
      <c r="I1098" s="1750" t="s">
        <v>6880</v>
      </c>
      <c r="J1098" s="1751" t="s">
        <v>2799</v>
      </c>
      <c r="K1098" s="1752" t="s">
        <v>1130</v>
      </c>
      <c r="L1098" s="1753">
        <v>1</v>
      </c>
      <c r="M1098" s="1753">
        <v>14952.7</v>
      </c>
      <c r="N1098" s="1754">
        <v>14952.7</v>
      </c>
      <c r="O1098" s="1755" t="s">
        <v>2791</v>
      </c>
      <c r="P1098" s="1721" t="s">
        <v>9611</v>
      </c>
    </row>
    <row r="1099" spans="1:16" ht="13.9" hidden="1" customHeight="1" outlineLevel="2" x14ac:dyDescent="0.2">
      <c r="A1099" s="459">
        <v>0</v>
      </c>
      <c r="B1099" s="459">
        <v>8</v>
      </c>
      <c r="C1099" s="459">
        <v>11</v>
      </c>
      <c r="D1099" s="460">
        <v>3</v>
      </c>
      <c r="E1099" s="460">
        <v>0</v>
      </c>
      <c r="G1099" s="1740"/>
      <c r="H1099" s="1741" t="s">
        <v>1238</v>
      </c>
      <c r="I1099" s="1742" t="s">
        <v>6881</v>
      </c>
      <c r="J1099" s="1743" t="s">
        <v>3353</v>
      </c>
      <c r="K1099" s="1744"/>
      <c r="L1099" s="1745"/>
      <c r="M1099" s="1745"/>
      <c r="N1099" s="1746">
        <v>511713.1</v>
      </c>
      <c r="O1099" s="1747"/>
      <c r="P1099" s="1720"/>
    </row>
    <row r="1100" spans="1:16" ht="13.9" hidden="1" customHeight="1" outlineLevel="3" x14ac:dyDescent="0.2">
      <c r="A1100" s="459">
        <v>0</v>
      </c>
      <c r="B1100" s="459">
        <v>8</v>
      </c>
      <c r="C1100" s="459">
        <v>11</v>
      </c>
      <c r="D1100" s="460">
        <v>3</v>
      </c>
      <c r="E1100" s="460">
        <v>1</v>
      </c>
      <c r="G1100" s="1790" t="s">
        <v>1258</v>
      </c>
      <c r="H1100" s="1749" t="s">
        <v>1239</v>
      </c>
      <c r="I1100" s="1750" t="s">
        <v>6882</v>
      </c>
      <c r="J1100" s="1751" t="s">
        <v>3353</v>
      </c>
      <c r="K1100" s="1752" t="s">
        <v>1130</v>
      </c>
      <c r="L1100" s="1753">
        <v>1</v>
      </c>
      <c r="M1100" s="1753">
        <v>511713.10000000003</v>
      </c>
      <c r="N1100" s="1754">
        <v>511713.1</v>
      </c>
      <c r="O1100" s="1755" t="s">
        <v>2791</v>
      </c>
      <c r="P1100" s="1721" t="s">
        <v>9611</v>
      </c>
    </row>
    <row r="1101" spans="1:16" ht="13.9" hidden="1" customHeight="1" outlineLevel="2" x14ac:dyDescent="0.2">
      <c r="A1101" s="459">
        <v>0</v>
      </c>
      <c r="B1101" s="459">
        <v>8</v>
      </c>
      <c r="C1101" s="459">
        <v>11</v>
      </c>
      <c r="D1101" s="460">
        <v>4</v>
      </c>
      <c r="E1101" s="460">
        <v>0</v>
      </c>
      <c r="G1101" s="1740"/>
      <c r="H1101" s="1741" t="s">
        <v>1238</v>
      </c>
      <c r="I1101" s="1742" t="s">
        <v>6883</v>
      </c>
      <c r="J1101" s="1743" t="s">
        <v>2800</v>
      </c>
      <c r="K1101" s="1744"/>
      <c r="L1101" s="1745"/>
      <c r="M1101" s="1745"/>
      <c r="N1101" s="1746">
        <v>0</v>
      </c>
      <c r="O1101" s="1747"/>
      <c r="P1101" s="1720"/>
    </row>
    <row r="1102" spans="1:16" ht="13.9" hidden="1" customHeight="1" outlineLevel="3" x14ac:dyDescent="0.2">
      <c r="A1102" s="459">
        <v>0</v>
      </c>
      <c r="B1102" s="459">
        <v>8</v>
      </c>
      <c r="C1102" s="459">
        <v>11</v>
      </c>
      <c r="D1102" s="460">
        <v>4</v>
      </c>
      <c r="E1102" s="460">
        <v>1</v>
      </c>
      <c r="G1102" s="1790" t="s">
        <v>1258</v>
      </c>
      <c r="H1102" s="1749" t="s">
        <v>1239</v>
      </c>
      <c r="I1102" s="1750" t="s">
        <v>6884</v>
      </c>
      <c r="J1102" s="1751" t="s">
        <v>2800</v>
      </c>
      <c r="K1102" s="1752" t="s">
        <v>1130</v>
      </c>
      <c r="L1102" s="1753">
        <v>1</v>
      </c>
      <c r="M1102" s="1753"/>
      <c r="N1102" s="1754">
        <v>0</v>
      </c>
      <c r="O1102" s="1755" t="s">
        <v>3351</v>
      </c>
      <c r="P1102" s="1721" t="s">
        <v>9611</v>
      </c>
    </row>
    <row r="1103" spans="1:16" ht="13.9" hidden="1" customHeight="1" outlineLevel="2" x14ac:dyDescent="0.2">
      <c r="A1103" s="459">
        <v>0</v>
      </c>
      <c r="B1103" s="459">
        <v>8</v>
      </c>
      <c r="C1103" s="459">
        <v>11</v>
      </c>
      <c r="D1103" s="460">
        <v>5</v>
      </c>
      <c r="E1103" s="460">
        <v>0</v>
      </c>
      <c r="G1103" s="1740"/>
      <c r="H1103" s="1741" t="s">
        <v>1238</v>
      </c>
      <c r="I1103" s="1742" t="s">
        <v>6885</v>
      </c>
      <c r="J1103" s="1743" t="s">
        <v>2523</v>
      </c>
      <c r="K1103" s="1744"/>
      <c r="L1103" s="1745"/>
      <c r="M1103" s="1745"/>
      <c r="N1103" s="1746">
        <v>84473.449299999993</v>
      </c>
      <c r="O1103" s="1747"/>
      <c r="P1103" s="1720"/>
    </row>
    <row r="1104" spans="1:16" ht="13.9" hidden="1" customHeight="1" outlineLevel="3" x14ac:dyDescent="0.2">
      <c r="A1104" s="459">
        <v>0</v>
      </c>
      <c r="B1104" s="459">
        <v>8</v>
      </c>
      <c r="C1104" s="459">
        <v>11</v>
      </c>
      <c r="D1104" s="460">
        <v>5</v>
      </c>
      <c r="E1104" s="460">
        <v>1</v>
      </c>
      <c r="G1104" s="1790" t="s">
        <v>1258</v>
      </c>
      <c r="H1104" s="1749" t="s">
        <v>1239</v>
      </c>
      <c r="I1104" s="1750" t="s">
        <v>6886</v>
      </c>
      <c r="J1104" s="1751" t="s">
        <v>2523</v>
      </c>
      <c r="K1104" s="1752" t="s">
        <v>1130</v>
      </c>
      <c r="L1104" s="1753">
        <v>1</v>
      </c>
      <c r="M1104" s="1753">
        <v>84473.449300000007</v>
      </c>
      <c r="N1104" s="1754">
        <v>84473.449299999993</v>
      </c>
      <c r="O1104" s="1755" t="s">
        <v>2791</v>
      </c>
      <c r="P1104" s="1721" t="s">
        <v>9611</v>
      </c>
    </row>
    <row r="1105" spans="1:16" ht="13.9" hidden="1" customHeight="1" outlineLevel="2" x14ac:dyDescent="0.2">
      <c r="A1105" s="459">
        <v>0</v>
      </c>
      <c r="B1105" s="459">
        <v>8</v>
      </c>
      <c r="C1105" s="459">
        <v>11</v>
      </c>
      <c r="D1105" s="460">
        <v>6</v>
      </c>
      <c r="E1105" s="460">
        <v>0</v>
      </c>
      <c r="G1105" s="1740"/>
      <c r="H1105" s="1741" t="s">
        <v>1238</v>
      </c>
      <c r="I1105" s="1742" t="s">
        <v>6887</v>
      </c>
      <c r="J1105" s="1743" t="s">
        <v>2522</v>
      </c>
      <c r="K1105" s="1744"/>
      <c r="L1105" s="1745"/>
      <c r="M1105" s="1745"/>
      <c r="N1105" s="1746">
        <v>0</v>
      </c>
      <c r="O1105" s="1747"/>
      <c r="P1105" s="1720"/>
    </row>
    <row r="1106" spans="1:16" ht="13.9" hidden="1" customHeight="1" outlineLevel="3" x14ac:dyDescent="0.2">
      <c r="A1106" s="459">
        <v>0</v>
      </c>
      <c r="B1106" s="459">
        <v>8</v>
      </c>
      <c r="C1106" s="459">
        <v>11</v>
      </c>
      <c r="D1106" s="460">
        <v>6</v>
      </c>
      <c r="E1106" s="460">
        <v>1</v>
      </c>
      <c r="G1106" s="1790" t="s">
        <v>1258</v>
      </c>
      <c r="H1106" s="1749" t="s">
        <v>1239</v>
      </c>
      <c r="I1106" s="1750" t="s">
        <v>6888</v>
      </c>
      <c r="J1106" s="1751" t="s">
        <v>2522</v>
      </c>
      <c r="K1106" s="1752" t="s">
        <v>1130</v>
      </c>
      <c r="L1106" s="1753">
        <v>1</v>
      </c>
      <c r="M1106" s="1753"/>
      <c r="N1106" s="1754">
        <v>0</v>
      </c>
      <c r="O1106" s="1755" t="s">
        <v>2791</v>
      </c>
      <c r="P1106" s="1721" t="s">
        <v>9611</v>
      </c>
    </row>
    <row r="1107" spans="1:16" ht="13.9" hidden="1" customHeight="1" outlineLevel="2" x14ac:dyDescent="0.2">
      <c r="A1107" s="459">
        <v>0</v>
      </c>
      <c r="B1107" s="459">
        <v>8</v>
      </c>
      <c r="C1107" s="459">
        <v>11</v>
      </c>
      <c r="D1107" s="460">
        <v>7</v>
      </c>
      <c r="E1107" s="460">
        <v>0</v>
      </c>
      <c r="G1107" s="1740"/>
      <c r="H1107" s="1741" t="s">
        <v>1238</v>
      </c>
      <c r="I1107" s="1742" t="s">
        <v>6889</v>
      </c>
      <c r="J1107" s="1743" t="s">
        <v>15</v>
      </c>
      <c r="K1107" s="1744"/>
      <c r="L1107" s="1745"/>
      <c r="M1107" s="1745"/>
      <c r="N1107" s="1746">
        <v>31874.85</v>
      </c>
      <c r="O1107" s="1747"/>
      <c r="P1107" s="1720"/>
    </row>
    <row r="1108" spans="1:16" ht="13.9" hidden="1" customHeight="1" outlineLevel="3" x14ac:dyDescent="0.2">
      <c r="A1108" s="459">
        <v>0</v>
      </c>
      <c r="B1108" s="459">
        <v>8</v>
      </c>
      <c r="C1108" s="459">
        <v>11</v>
      </c>
      <c r="D1108" s="460">
        <v>7</v>
      </c>
      <c r="E1108" s="460">
        <v>1</v>
      </c>
      <c r="G1108" s="1790" t="s">
        <v>1258</v>
      </c>
      <c r="H1108" s="1749" t="s">
        <v>1239</v>
      </c>
      <c r="I1108" s="1750" t="s">
        <v>6890</v>
      </c>
      <c r="J1108" s="1751" t="s">
        <v>1259</v>
      </c>
      <c r="K1108" s="1752" t="s">
        <v>1130</v>
      </c>
      <c r="L1108" s="1753">
        <v>1</v>
      </c>
      <c r="M1108" s="1753">
        <v>31874.850000000002</v>
      </c>
      <c r="N1108" s="1754">
        <v>31874.85</v>
      </c>
      <c r="O1108" s="1765" t="s">
        <v>2801</v>
      </c>
      <c r="P1108" s="1721" t="s">
        <v>9611</v>
      </c>
    </row>
    <row r="1109" spans="1:16" ht="13.9" hidden="1" customHeight="1" outlineLevel="1" x14ac:dyDescent="0.2">
      <c r="A1109" s="459">
        <v>0</v>
      </c>
      <c r="B1109" s="459">
        <v>8</v>
      </c>
      <c r="C1109" s="459">
        <v>12</v>
      </c>
      <c r="D1109" s="460">
        <v>0</v>
      </c>
      <c r="E1109" s="460">
        <v>1</v>
      </c>
      <c r="G1109" s="1733"/>
      <c r="H1109" s="1734" t="s">
        <v>39</v>
      </c>
      <c r="I1109" s="1735" t="s">
        <v>6891</v>
      </c>
      <c r="J1109" s="1736" t="s">
        <v>3348</v>
      </c>
      <c r="K1109" s="1737"/>
      <c r="L1109" s="1738"/>
      <c r="M1109" s="1738"/>
      <c r="N1109" s="1739">
        <v>30016.770199999999</v>
      </c>
      <c r="O1109" s="1722"/>
      <c r="P1109" s="1725"/>
    </row>
    <row r="1110" spans="1:16" ht="13.9" hidden="1" customHeight="1" outlineLevel="2" x14ac:dyDescent="0.2">
      <c r="A1110" s="459">
        <v>0</v>
      </c>
      <c r="B1110" s="459">
        <v>8</v>
      </c>
      <c r="C1110" s="459">
        <v>12</v>
      </c>
      <c r="D1110" s="460">
        <v>1</v>
      </c>
      <c r="E1110" s="460">
        <v>0</v>
      </c>
      <c r="G1110" s="1740"/>
      <c r="H1110" s="1741" t="s">
        <v>1238</v>
      </c>
      <c r="I1110" s="1742" t="s">
        <v>6892</v>
      </c>
      <c r="J1110" s="1743" t="s">
        <v>2798</v>
      </c>
      <c r="K1110" s="1744"/>
      <c r="L1110" s="1745"/>
      <c r="M1110" s="1745"/>
      <c r="N1110" s="1746">
        <v>3267.2</v>
      </c>
      <c r="O1110" s="1747"/>
      <c r="P1110" s="1720"/>
    </row>
    <row r="1111" spans="1:16" ht="13.9" hidden="1" customHeight="1" outlineLevel="3" x14ac:dyDescent="0.2">
      <c r="A1111" s="459">
        <v>0</v>
      </c>
      <c r="B1111" s="459">
        <v>8</v>
      </c>
      <c r="C1111" s="459">
        <v>12</v>
      </c>
      <c r="D1111" s="460">
        <v>1</v>
      </c>
      <c r="E1111" s="460">
        <v>1</v>
      </c>
      <c r="G1111" s="1790" t="s">
        <v>1258</v>
      </c>
      <c r="H1111" s="1749" t="s">
        <v>1239</v>
      </c>
      <c r="I1111" s="1750" t="s">
        <v>6893</v>
      </c>
      <c r="J1111" s="1751" t="s">
        <v>2798</v>
      </c>
      <c r="K1111" s="1752" t="s">
        <v>1130</v>
      </c>
      <c r="L1111" s="1753">
        <v>1</v>
      </c>
      <c r="M1111" s="1753">
        <v>3267.2</v>
      </c>
      <c r="N1111" s="1754">
        <v>3267.2</v>
      </c>
      <c r="O1111" s="1755" t="s">
        <v>2791</v>
      </c>
      <c r="P1111" s="1721" t="s">
        <v>9611</v>
      </c>
    </row>
    <row r="1112" spans="1:16" ht="13.9" hidden="1" customHeight="1" outlineLevel="2" x14ac:dyDescent="0.2">
      <c r="A1112" s="459">
        <v>0</v>
      </c>
      <c r="B1112" s="459">
        <v>8</v>
      </c>
      <c r="C1112" s="459">
        <v>12</v>
      </c>
      <c r="D1112" s="460">
        <v>2</v>
      </c>
      <c r="E1112" s="460">
        <v>0</v>
      </c>
      <c r="G1112" s="1740"/>
      <c r="H1112" s="1741" t="s">
        <v>1238</v>
      </c>
      <c r="I1112" s="1742" t="s">
        <v>6894</v>
      </c>
      <c r="J1112" s="1743" t="s">
        <v>2799</v>
      </c>
      <c r="K1112" s="1744"/>
      <c r="L1112" s="1745"/>
      <c r="M1112" s="1745"/>
      <c r="N1112" s="1746">
        <v>600.45000000000005</v>
      </c>
      <c r="O1112" s="1747"/>
      <c r="P1112" s="1720"/>
    </row>
    <row r="1113" spans="1:16" ht="13.9" hidden="1" customHeight="1" outlineLevel="3" x14ac:dyDescent="0.2">
      <c r="A1113" s="459">
        <v>0</v>
      </c>
      <c r="B1113" s="459">
        <v>8</v>
      </c>
      <c r="C1113" s="459">
        <v>12</v>
      </c>
      <c r="D1113" s="460">
        <v>2</v>
      </c>
      <c r="E1113" s="460">
        <v>1</v>
      </c>
      <c r="G1113" s="1790" t="s">
        <v>1258</v>
      </c>
      <c r="H1113" s="1749" t="s">
        <v>1239</v>
      </c>
      <c r="I1113" s="1750" t="s">
        <v>6895</v>
      </c>
      <c r="J1113" s="1751" t="s">
        <v>2799</v>
      </c>
      <c r="K1113" s="1752" t="s">
        <v>1130</v>
      </c>
      <c r="L1113" s="1753">
        <v>1</v>
      </c>
      <c r="M1113" s="1753">
        <v>600.45000000000005</v>
      </c>
      <c r="N1113" s="1754">
        <v>600.45000000000005</v>
      </c>
      <c r="O1113" s="1755" t="s">
        <v>2791</v>
      </c>
      <c r="P1113" s="1721" t="s">
        <v>9611</v>
      </c>
    </row>
    <row r="1114" spans="1:16" ht="13.9" hidden="1" customHeight="1" outlineLevel="2" x14ac:dyDescent="0.2">
      <c r="A1114" s="459">
        <v>0</v>
      </c>
      <c r="B1114" s="459">
        <v>8</v>
      </c>
      <c r="C1114" s="459">
        <v>12</v>
      </c>
      <c r="D1114" s="460">
        <v>3</v>
      </c>
      <c r="E1114" s="460">
        <v>0</v>
      </c>
      <c r="G1114" s="1740"/>
      <c r="H1114" s="1741" t="s">
        <v>1238</v>
      </c>
      <c r="I1114" s="1742" t="s">
        <v>6896</v>
      </c>
      <c r="J1114" s="1743" t="s">
        <v>3353</v>
      </c>
      <c r="K1114" s="1744"/>
      <c r="L1114" s="1745"/>
      <c r="M1114" s="1745"/>
      <c r="N1114" s="1746">
        <v>21722</v>
      </c>
      <c r="O1114" s="1747"/>
      <c r="P1114" s="1720"/>
    </row>
    <row r="1115" spans="1:16" ht="13.9" hidden="1" customHeight="1" outlineLevel="3" x14ac:dyDescent="0.2">
      <c r="A1115" s="459">
        <v>0</v>
      </c>
      <c r="B1115" s="459">
        <v>8</v>
      </c>
      <c r="C1115" s="459">
        <v>12</v>
      </c>
      <c r="D1115" s="460">
        <v>3</v>
      </c>
      <c r="E1115" s="460">
        <v>1</v>
      </c>
      <c r="G1115" s="1790" t="s">
        <v>1258</v>
      </c>
      <c r="H1115" s="1749" t="s">
        <v>1239</v>
      </c>
      <c r="I1115" s="1750" t="s">
        <v>6897</v>
      </c>
      <c r="J1115" s="1751" t="s">
        <v>3353</v>
      </c>
      <c r="K1115" s="1752" t="s">
        <v>1130</v>
      </c>
      <c r="L1115" s="1753">
        <v>1</v>
      </c>
      <c r="M1115" s="1753">
        <v>21722</v>
      </c>
      <c r="N1115" s="1754">
        <v>21722</v>
      </c>
      <c r="O1115" s="1755" t="s">
        <v>2791</v>
      </c>
      <c r="P1115" s="1721" t="s">
        <v>9611</v>
      </c>
    </row>
    <row r="1116" spans="1:16" ht="13.9" hidden="1" customHeight="1" outlineLevel="2" x14ac:dyDescent="0.2">
      <c r="A1116" s="459">
        <v>0</v>
      </c>
      <c r="B1116" s="459">
        <v>8</v>
      </c>
      <c r="C1116" s="459">
        <v>12</v>
      </c>
      <c r="D1116" s="460">
        <v>4</v>
      </c>
      <c r="E1116" s="460">
        <v>0</v>
      </c>
      <c r="G1116" s="1740"/>
      <c r="H1116" s="1741" t="s">
        <v>1238</v>
      </c>
      <c r="I1116" s="1742" t="s">
        <v>6898</v>
      </c>
      <c r="J1116" s="1743" t="s">
        <v>2800</v>
      </c>
      <c r="K1116" s="1744"/>
      <c r="L1116" s="1745"/>
      <c r="M1116" s="1745"/>
      <c r="N1116" s="1746">
        <v>0</v>
      </c>
      <c r="O1116" s="1747"/>
      <c r="P1116" s="1720"/>
    </row>
    <row r="1117" spans="1:16" ht="13.9" hidden="1" customHeight="1" outlineLevel="3" x14ac:dyDescent="0.2">
      <c r="A1117" s="459">
        <v>0</v>
      </c>
      <c r="B1117" s="459">
        <v>8</v>
      </c>
      <c r="C1117" s="459">
        <v>12</v>
      </c>
      <c r="D1117" s="460">
        <v>4</v>
      </c>
      <c r="E1117" s="460">
        <v>1</v>
      </c>
      <c r="G1117" s="1790" t="s">
        <v>1258</v>
      </c>
      <c r="H1117" s="1749" t="s">
        <v>1239</v>
      </c>
      <c r="I1117" s="1750" t="s">
        <v>6899</v>
      </c>
      <c r="J1117" s="1751" t="s">
        <v>2800</v>
      </c>
      <c r="K1117" s="1752" t="s">
        <v>1130</v>
      </c>
      <c r="L1117" s="1753">
        <v>1</v>
      </c>
      <c r="M1117" s="1753"/>
      <c r="N1117" s="1754">
        <v>0</v>
      </c>
      <c r="O1117" s="1755" t="s">
        <v>3351</v>
      </c>
      <c r="P1117" s="1721" t="s">
        <v>9611</v>
      </c>
    </row>
    <row r="1118" spans="1:16" ht="13.9" hidden="1" customHeight="1" outlineLevel="2" x14ac:dyDescent="0.2">
      <c r="A1118" s="459">
        <v>0</v>
      </c>
      <c r="B1118" s="459">
        <v>8</v>
      </c>
      <c r="C1118" s="459">
        <v>12</v>
      </c>
      <c r="D1118" s="460">
        <v>5</v>
      </c>
      <c r="E1118" s="460">
        <v>0</v>
      </c>
      <c r="G1118" s="1740"/>
      <c r="H1118" s="1741" t="s">
        <v>1238</v>
      </c>
      <c r="I1118" s="1742" t="s">
        <v>6900</v>
      </c>
      <c r="J1118" s="1743" t="s">
        <v>2523</v>
      </c>
      <c r="K1118" s="1744"/>
      <c r="L1118" s="1745"/>
      <c r="M1118" s="1745"/>
      <c r="N1118" s="1746">
        <v>2909.2701999999999</v>
      </c>
      <c r="O1118" s="1747"/>
      <c r="P1118" s="1720"/>
    </row>
    <row r="1119" spans="1:16" ht="13.9" hidden="1" customHeight="1" outlineLevel="3" x14ac:dyDescent="0.2">
      <c r="A1119" s="459">
        <v>0</v>
      </c>
      <c r="B1119" s="459">
        <v>8</v>
      </c>
      <c r="C1119" s="459">
        <v>12</v>
      </c>
      <c r="D1119" s="460">
        <v>5</v>
      </c>
      <c r="E1119" s="460">
        <v>1</v>
      </c>
      <c r="G1119" s="1790" t="s">
        <v>1258</v>
      </c>
      <c r="H1119" s="1749" t="s">
        <v>1239</v>
      </c>
      <c r="I1119" s="1750" t="s">
        <v>6901</v>
      </c>
      <c r="J1119" s="1751" t="s">
        <v>2523</v>
      </c>
      <c r="K1119" s="1752" t="s">
        <v>1130</v>
      </c>
      <c r="L1119" s="1753">
        <v>1</v>
      </c>
      <c r="M1119" s="1753">
        <v>2909.2701999999999</v>
      </c>
      <c r="N1119" s="1754">
        <v>2909.2701999999999</v>
      </c>
      <c r="O1119" s="1755" t="s">
        <v>2791</v>
      </c>
      <c r="P1119" s="1721" t="s">
        <v>9611</v>
      </c>
    </row>
    <row r="1120" spans="1:16" ht="13.9" hidden="1" customHeight="1" outlineLevel="2" x14ac:dyDescent="0.2">
      <c r="A1120" s="459">
        <v>0</v>
      </c>
      <c r="B1120" s="459">
        <v>8</v>
      </c>
      <c r="C1120" s="459">
        <v>12</v>
      </c>
      <c r="D1120" s="460">
        <v>6</v>
      </c>
      <c r="E1120" s="460">
        <v>0</v>
      </c>
      <c r="G1120" s="1740"/>
      <c r="H1120" s="1741" t="s">
        <v>1238</v>
      </c>
      <c r="I1120" s="1742" t="s">
        <v>6902</v>
      </c>
      <c r="J1120" s="1743" t="s">
        <v>2522</v>
      </c>
      <c r="K1120" s="1744"/>
      <c r="L1120" s="1745"/>
      <c r="M1120" s="1745"/>
      <c r="N1120" s="1746">
        <v>0</v>
      </c>
      <c r="O1120" s="1747"/>
      <c r="P1120" s="1720"/>
    </row>
    <row r="1121" spans="1:16" ht="13.9" hidden="1" customHeight="1" outlineLevel="3" x14ac:dyDescent="0.2">
      <c r="A1121" s="459">
        <v>0</v>
      </c>
      <c r="B1121" s="459">
        <v>8</v>
      </c>
      <c r="C1121" s="459">
        <v>12</v>
      </c>
      <c r="D1121" s="460">
        <v>6</v>
      </c>
      <c r="E1121" s="460">
        <v>1</v>
      </c>
      <c r="G1121" s="1790" t="s">
        <v>1258</v>
      </c>
      <c r="H1121" s="1749" t="s">
        <v>1239</v>
      </c>
      <c r="I1121" s="1750" t="s">
        <v>6903</v>
      </c>
      <c r="J1121" s="1751" t="s">
        <v>2522</v>
      </c>
      <c r="K1121" s="1752" t="s">
        <v>1130</v>
      </c>
      <c r="L1121" s="1753">
        <v>1</v>
      </c>
      <c r="M1121" s="1753"/>
      <c r="N1121" s="1754">
        <v>0</v>
      </c>
      <c r="O1121" s="1755" t="s">
        <v>2791</v>
      </c>
      <c r="P1121" s="1721" t="s">
        <v>9611</v>
      </c>
    </row>
    <row r="1122" spans="1:16" ht="13.9" hidden="1" customHeight="1" outlineLevel="2" x14ac:dyDescent="0.2">
      <c r="A1122" s="459">
        <v>0</v>
      </c>
      <c r="B1122" s="459">
        <v>8</v>
      </c>
      <c r="C1122" s="459">
        <v>12</v>
      </c>
      <c r="D1122" s="460">
        <v>7</v>
      </c>
      <c r="E1122" s="460">
        <v>0</v>
      </c>
      <c r="G1122" s="1740"/>
      <c r="H1122" s="1741" t="s">
        <v>1238</v>
      </c>
      <c r="I1122" s="1742" t="s">
        <v>6904</v>
      </c>
      <c r="J1122" s="1743" t="s">
        <v>15</v>
      </c>
      <c r="K1122" s="1744"/>
      <c r="L1122" s="1745"/>
      <c r="M1122" s="1745"/>
      <c r="N1122" s="1746">
        <v>1517.85</v>
      </c>
      <c r="O1122" s="1747"/>
      <c r="P1122" s="1720"/>
    </row>
    <row r="1123" spans="1:16" ht="13.9" hidden="1" customHeight="1" outlineLevel="3" x14ac:dyDescent="0.2">
      <c r="A1123" s="459">
        <v>0</v>
      </c>
      <c r="B1123" s="459">
        <v>8</v>
      </c>
      <c r="C1123" s="459">
        <v>12</v>
      </c>
      <c r="D1123" s="460">
        <v>7</v>
      </c>
      <c r="E1123" s="460">
        <v>1</v>
      </c>
      <c r="G1123" s="1790" t="s">
        <v>1258</v>
      </c>
      <c r="H1123" s="1749" t="s">
        <v>1239</v>
      </c>
      <c r="I1123" s="1750" t="s">
        <v>6905</v>
      </c>
      <c r="J1123" s="1751" t="s">
        <v>1259</v>
      </c>
      <c r="K1123" s="1752" t="s">
        <v>1130</v>
      </c>
      <c r="L1123" s="1753">
        <v>1</v>
      </c>
      <c r="M1123" s="1753">
        <v>1517.85</v>
      </c>
      <c r="N1123" s="1754">
        <v>1517.85</v>
      </c>
      <c r="O1123" s="1765" t="s">
        <v>2801</v>
      </c>
      <c r="P1123" s="1721" t="s">
        <v>9611</v>
      </c>
    </row>
    <row r="1124" spans="1:16" ht="13.9" hidden="1" customHeight="1" outlineLevel="1" x14ac:dyDescent="0.2">
      <c r="A1124" s="459">
        <v>0</v>
      </c>
      <c r="B1124" s="459">
        <v>8</v>
      </c>
      <c r="C1124" s="459">
        <v>13</v>
      </c>
      <c r="D1124" s="460">
        <v>0</v>
      </c>
      <c r="E1124" s="460">
        <v>1</v>
      </c>
      <c r="G1124" s="1733"/>
      <c r="H1124" s="1734" t="s">
        <v>39</v>
      </c>
      <c r="I1124" s="1735" t="s">
        <v>6906</v>
      </c>
      <c r="J1124" s="1736" t="s">
        <v>3349</v>
      </c>
      <c r="K1124" s="1737"/>
      <c r="L1124" s="1738"/>
      <c r="M1124" s="1738"/>
      <c r="N1124" s="1739">
        <v>36851.269999999997</v>
      </c>
      <c r="O1124" s="1722"/>
      <c r="P1124" s="1725"/>
    </row>
    <row r="1125" spans="1:16" ht="13.9" hidden="1" customHeight="1" outlineLevel="2" x14ac:dyDescent="0.2">
      <c r="A1125" s="459">
        <v>0</v>
      </c>
      <c r="B1125" s="459">
        <v>8</v>
      </c>
      <c r="C1125" s="459">
        <v>13</v>
      </c>
      <c r="D1125" s="460">
        <v>1</v>
      </c>
      <c r="E1125" s="460">
        <v>0</v>
      </c>
      <c r="G1125" s="1740"/>
      <c r="H1125" s="1741" t="s">
        <v>1238</v>
      </c>
      <c r="I1125" s="1742" t="s">
        <v>6907</v>
      </c>
      <c r="J1125" s="1743" t="s">
        <v>2798</v>
      </c>
      <c r="K1125" s="1744"/>
      <c r="L1125" s="1745"/>
      <c r="M1125" s="1745"/>
      <c r="N1125" s="1746">
        <v>4400.41</v>
      </c>
      <c r="O1125" s="1747"/>
      <c r="P1125" s="1720"/>
    </row>
    <row r="1126" spans="1:16" ht="13.9" hidden="1" customHeight="1" outlineLevel="3" x14ac:dyDescent="0.2">
      <c r="A1126" s="459">
        <v>0</v>
      </c>
      <c r="B1126" s="459">
        <v>8</v>
      </c>
      <c r="C1126" s="459">
        <v>13</v>
      </c>
      <c r="D1126" s="460">
        <v>1</v>
      </c>
      <c r="E1126" s="460">
        <v>1</v>
      </c>
      <c r="G1126" s="1790" t="s">
        <v>1258</v>
      </c>
      <c r="H1126" s="1749" t="s">
        <v>1239</v>
      </c>
      <c r="I1126" s="1750" t="s">
        <v>6908</v>
      </c>
      <c r="J1126" s="1751" t="s">
        <v>2798</v>
      </c>
      <c r="K1126" s="1752" t="s">
        <v>1130</v>
      </c>
      <c r="L1126" s="1753">
        <v>1</v>
      </c>
      <c r="M1126" s="1753">
        <v>4400.41</v>
      </c>
      <c r="N1126" s="1754">
        <v>4400.41</v>
      </c>
      <c r="O1126" s="1755" t="s">
        <v>2791</v>
      </c>
      <c r="P1126" s="1721" t="s">
        <v>9611</v>
      </c>
    </row>
    <row r="1127" spans="1:16" ht="13.9" hidden="1" customHeight="1" outlineLevel="2" x14ac:dyDescent="0.2">
      <c r="A1127" s="459">
        <v>0</v>
      </c>
      <c r="B1127" s="459">
        <v>8</v>
      </c>
      <c r="C1127" s="459">
        <v>13</v>
      </c>
      <c r="D1127" s="460">
        <v>2</v>
      </c>
      <c r="E1127" s="460">
        <v>0</v>
      </c>
      <c r="G1127" s="1740"/>
      <c r="H1127" s="1741" t="s">
        <v>1238</v>
      </c>
      <c r="I1127" s="1742" t="s">
        <v>6909</v>
      </c>
      <c r="J1127" s="1743" t="s">
        <v>2799</v>
      </c>
      <c r="K1127" s="1744"/>
      <c r="L1127" s="1745"/>
      <c r="M1127" s="1745"/>
      <c r="N1127" s="1746">
        <v>538.95000000000005</v>
      </c>
      <c r="O1127" s="1747"/>
      <c r="P1127" s="1720"/>
    </row>
    <row r="1128" spans="1:16" ht="13.9" hidden="1" customHeight="1" outlineLevel="3" x14ac:dyDescent="0.2">
      <c r="A1128" s="459">
        <v>0</v>
      </c>
      <c r="B1128" s="459">
        <v>8</v>
      </c>
      <c r="C1128" s="459">
        <v>13</v>
      </c>
      <c r="D1128" s="460">
        <v>2</v>
      </c>
      <c r="E1128" s="460">
        <v>1</v>
      </c>
      <c r="G1128" s="1790" t="s">
        <v>1258</v>
      </c>
      <c r="H1128" s="1749" t="s">
        <v>1239</v>
      </c>
      <c r="I1128" s="1750" t="s">
        <v>6910</v>
      </c>
      <c r="J1128" s="1751" t="s">
        <v>2799</v>
      </c>
      <c r="K1128" s="1752" t="s">
        <v>1130</v>
      </c>
      <c r="L1128" s="1753">
        <v>1</v>
      </c>
      <c r="M1128" s="1753">
        <v>538.95000000000005</v>
      </c>
      <c r="N1128" s="1754">
        <v>538.95000000000005</v>
      </c>
      <c r="O1128" s="1755" t="s">
        <v>2791</v>
      </c>
      <c r="P1128" s="1721" t="s">
        <v>9611</v>
      </c>
    </row>
    <row r="1129" spans="1:16" ht="13.9" hidden="1" customHeight="1" outlineLevel="2" x14ac:dyDescent="0.2">
      <c r="A1129" s="459">
        <v>0</v>
      </c>
      <c r="B1129" s="459">
        <v>8</v>
      </c>
      <c r="C1129" s="459">
        <v>13</v>
      </c>
      <c r="D1129" s="460">
        <v>3</v>
      </c>
      <c r="E1129" s="460">
        <v>0</v>
      </c>
      <c r="G1129" s="1740"/>
      <c r="H1129" s="1741" t="s">
        <v>1238</v>
      </c>
      <c r="I1129" s="1742" t="s">
        <v>6911</v>
      </c>
      <c r="J1129" s="1743" t="s">
        <v>3353</v>
      </c>
      <c r="K1129" s="1744"/>
      <c r="L1129" s="1745"/>
      <c r="M1129" s="1745"/>
      <c r="N1129" s="1746">
        <v>28146.2</v>
      </c>
      <c r="O1129" s="1747"/>
      <c r="P1129" s="1720"/>
    </row>
    <row r="1130" spans="1:16" ht="13.9" hidden="1" customHeight="1" outlineLevel="3" x14ac:dyDescent="0.2">
      <c r="A1130" s="459">
        <v>0</v>
      </c>
      <c r="B1130" s="459">
        <v>8</v>
      </c>
      <c r="C1130" s="459">
        <v>13</v>
      </c>
      <c r="D1130" s="460">
        <v>3</v>
      </c>
      <c r="E1130" s="460">
        <v>1</v>
      </c>
      <c r="G1130" s="1790" t="s">
        <v>1258</v>
      </c>
      <c r="H1130" s="1749" t="s">
        <v>1239</v>
      </c>
      <c r="I1130" s="1750" t="s">
        <v>6912</v>
      </c>
      <c r="J1130" s="1751" t="s">
        <v>3353</v>
      </c>
      <c r="K1130" s="1752" t="s">
        <v>1130</v>
      </c>
      <c r="L1130" s="1753">
        <v>1</v>
      </c>
      <c r="M1130" s="1753">
        <v>28146.2</v>
      </c>
      <c r="N1130" s="1754">
        <v>28146.2</v>
      </c>
      <c r="O1130" s="1755" t="s">
        <v>2791</v>
      </c>
      <c r="P1130" s="1721" t="s">
        <v>9611</v>
      </c>
    </row>
    <row r="1131" spans="1:16" ht="13.9" hidden="1" customHeight="1" outlineLevel="2" x14ac:dyDescent="0.2">
      <c r="A1131" s="459">
        <v>0</v>
      </c>
      <c r="B1131" s="459">
        <v>8</v>
      </c>
      <c r="C1131" s="459">
        <v>13</v>
      </c>
      <c r="D1131" s="460">
        <v>4</v>
      </c>
      <c r="E1131" s="460">
        <v>0</v>
      </c>
      <c r="G1131" s="1740"/>
      <c r="H1131" s="1741" t="s">
        <v>1238</v>
      </c>
      <c r="I1131" s="1742" t="s">
        <v>6913</v>
      </c>
      <c r="J1131" s="1743" t="s">
        <v>2800</v>
      </c>
      <c r="K1131" s="1744"/>
      <c r="L1131" s="1745"/>
      <c r="M1131" s="1745"/>
      <c r="N1131" s="1746">
        <v>0</v>
      </c>
      <c r="O1131" s="1747"/>
      <c r="P1131" s="1720"/>
    </row>
    <row r="1132" spans="1:16" ht="13.9" hidden="1" customHeight="1" outlineLevel="3" x14ac:dyDescent="0.2">
      <c r="A1132" s="459">
        <v>0</v>
      </c>
      <c r="B1132" s="459">
        <v>8</v>
      </c>
      <c r="C1132" s="459">
        <v>13</v>
      </c>
      <c r="D1132" s="460">
        <v>4</v>
      </c>
      <c r="E1132" s="460">
        <v>1</v>
      </c>
      <c r="G1132" s="1790" t="s">
        <v>1258</v>
      </c>
      <c r="H1132" s="1749" t="s">
        <v>1239</v>
      </c>
      <c r="I1132" s="1750" t="s">
        <v>6914</v>
      </c>
      <c r="J1132" s="1751" t="s">
        <v>2800</v>
      </c>
      <c r="K1132" s="1752" t="s">
        <v>1130</v>
      </c>
      <c r="L1132" s="1753">
        <v>1</v>
      </c>
      <c r="M1132" s="1753"/>
      <c r="N1132" s="1754">
        <v>0</v>
      </c>
      <c r="O1132" s="1755" t="s">
        <v>3351</v>
      </c>
      <c r="P1132" s="1721" t="s">
        <v>9611</v>
      </c>
    </row>
    <row r="1133" spans="1:16" ht="13.9" hidden="1" customHeight="1" outlineLevel="2" x14ac:dyDescent="0.2">
      <c r="A1133" s="459">
        <v>0</v>
      </c>
      <c r="B1133" s="459">
        <v>8</v>
      </c>
      <c r="C1133" s="459">
        <v>13</v>
      </c>
      <c r="D1133" s="460">
        <v>5</v>
      </c>
      <c r="E1133" s="460">
        <v>0</v>
      </c>
      <c r="G1133" s="1740"/>
      <c r="H1133" s="1741" t="s">
        <v>1238</v>
      </c>
      <c r="I1133" s="1742" t="s">
        <v>6915</v>
      </c>
      <c r="J1133" s="1743" t="s">
        <v>2523</v>
      </c>
      <c r="K1133" s="1744"/>
      <c r="L1133" s="1745"/>
      <c r="M1133" s="1745"/>
      <c r="N1133" s="1746">
        <v>2300.91</v>
      </c>
      <c r="O1133" s="1747"/>
      <c r="P1133" s="1720"/>
    </row>
    <row r="1134" spans="1:16" ht="13.9" hidden="1" customHeight="1" outlineLevel="3" x14ac:dyDescent="0.2">
      <c r="A1134" s="459">
        <v>0</v>
      </c>
      <c r="B1134" s="459">
        <v>8</v>
      </c>
      <c r="C1134" s="459">
        <v>13</v>
      </c>
      <c r="D1134" s="460">
        <v>5</v>
      </c>
      <c r="E1134" s="460">
        <v>1</v>
      </c>
      <c r="G1134" s="1790" t="s">
        <v>1258</v>
      </c>
      <c r="H1134" s="1749" t="s">
        <v>1239</v>
      </c>
      <c r="I1134" s="1750" t="s">
        <v>6916</v>
      </c>
      <c r="J1134" s="1751" t="s">
        <v>2523</v>
      </c>
      <c r="K1134" s="1752" t="s">
        <v>1130</v>
      </c>
      <c r="L1134" s="1753">
        <v>1</v>
      </c>
      <c r="M1134" s="1753">
        <v>2300.9100000000008</v>
      </c>
      <c r="N1134" s="1754">
        <v>2300.91</v>
      </c>
      <c r="O1134" s="1755" t="s">
        <v>2791</v>
      </c>
      <c r="P1134" s="1721" t="s">
        <v>9611</v>
      </c>
    </row>
    <row r="1135" spans="1:16" ht="13.9" hidden="1" customHeight="1" outlineLevel="2" x14ac:dyDescent="0.2">
      <c r="A1135" s="459">
        <v>0</v>
      </c>
      <c r="B1135" s="459">
        <v>8</v>
      </c>
      <c r="C1135" s="459">
        <v>13</v>
      </c>
      <c r="D1135" s="460">
        <v>6</v>
      </c>
      <c r="E1135" s="460">
        <v>0</v>
      </c>
      <c r="G1135" s="1740"/>
      <c r="H1135" s="1741" t="s">
        <v>1238</v>
      </c>
      <c r="I1135" s="1742" t="s">
        <v>6917</v>
      </c>
      <c r="J1135" s="1743" t="s">
        <v>2522</v>
      </c>
      <c r="K1135" s="1744"/>
      <c r="L1135" s="1745"/>
      <c r="M1135" s="1745"/>
      <c r="N1135" s="1746">
        <v>0</v>
      </c>
      <c r="O1135" s="1747"/>
      <c r="P1135" s="1720"/>
    </row>
    <row r="1136" spans="1:16" ht="13.9" hidden="1" customHeight="1" outlineLevel="3" x14ac:dyDescent="0.2">
      <c r="A1136" s="459">
        <v>0</v>
      </c>
      <c r="B1136" s="459">
        <v>8</v>
      </c>
      <c r="C1136" s="459">
        <v>13</v>
      </c>
      <c r="D1136" s="460">
        <v>6</v>
      </c>
      <c r="E1136" s="460">
        <v>1</v>
      </c>
      <c r="G1136" s="1790" t="s">
        <v>1258</v>
      </c>
      <c r="H1136" s="1749" t="s">
        <v>1239</v>
      </c>
      <c r="I1136" s="1750" t="s">
        <v>6918</v>
      </c>
      <c r="J1136" s="1751" t="s">
        <v>2522</v>
      </c>
      <c r="K1136" s="1752" t="s">
        <v>1130</v>
      </c>
      <c r="L1136" s="1753">
        <v>1</v>
      </c>
      <c r="M1136" s="1753"/>
      <c r="N1136" s="1754">
        <v>0</v>
      </c>
      <c r="O1136" s="1755" t="s">
        <v>2791</v>
      </c>
      <c r="P1136" s="1721" t="s">
        <v>9611</v>
      </c>
    </row>
    <row r="1137" spans="1:16" ht="13.9" hidden="1" customHeight="1" outlineLevel="2" x14ac:dyDescent="0.2">
      <c r="A1137" s="459">
        <v>0</v>
      </c>
      <c r="B1137" s="459">
        <v>8</v>
      </c>
      <c r="C1137" s="459">
        <v>13</v>
      </c>
      <c r="D1137" s="460">
        <v>7</v>
      </c>
      <c r="E1137" s="460">
        <v>0</v>
      </c>
      <c r="G1137" s="1740"/>
      <c r="H1137" s="1741" t="s">
        <v>1238</v>
      </c>
      <c r="I1137" s="1742" t="s">
        <v>6919</v>
      </c>
      <c r="J1137" s="1743" t="s">
        <v>15</v>
      </c>
      <c r="K1137" s="1744"/>
      <c r="L1137" s="1745"/>
      <c r="M1137" s="1745"/>
      <c r="N1137" s="1746">
        <v>1464.8</v>
      </c>
      <c r="O1137" s="1747"/>
      <c r="P1137" s="1720"/>
    </row>
    <row r="1138" spans="1:16" ht="13.9" hidden="1" customHeight="1" outlineLevel="3" x14ac:dyDescent="0.2">
      <c r="A1138" s="459">
        <v>0</v>
      </c>
      <c r="B1138" s="459">
        <v>8</v>
      </c>
      <c r="C1138" s="459">
        <v>13</v>
      </c>
      <c r="D1138" s="460">
        <v>7</v>
      </c>
      <c r="E1138" s="460">
        <v>1</v>
      </c>
      <c r="G1138" s="1790" t="s">
        <v>1258</v>
      </c>
      <c r="H1138" s="1749" t="s">
        <v>1239</v>
      </c>
      <c r="I1138" s="1750" t="s">
        <v>6920</v>
      </c>
      <c r="J1138" s="1751" t="s">
        <v>1259</v>
      </c>
      <c r="K1138" s="1752" t="s">
        <v>1130</v>
      </c>
      <c r="L1138" s="1753">
        <v>1</v>
      </c>
      <c r="M1138" s="1753">
        <v>1464.8</v>
      </c>
      <c r="N1138" s="1754">
        <v>1464.8</v>
      </c>
      <c r="O1138" s="1765" t="s">
        <v>2801</v>
      </c>
      <c r="P1138" s="1721" t="s">
        <v>9611</v>
      </c>
    </row>
    <row r="1139" spans="1:16" ht="13.9" hidden="1" customHeight="1" outlineLevel="1" x14ac:dyDescent="0.2">
      <c r="A1139" s="459">
        <v>0</v>
      </c>
      <c r="B1139" s="459">
        <v>8</v>
      </c>
      <c r="C1139" s="459">
        <v>14</v>
      </c>
      <c r="D1139" s="460">
        <v>0</v>
      </c>
      <c r="E1139" s="460">
        <v>1</v>
      </c>
      <c r="G1139" s="1733"/>
      <c r="H1139" s="1734" t="s">
        <v>39</v>
      </c>
      <c r="I1139" s="1735" t="s">
        <v>6921</v>
      </c>
      <c r="J1139" s="1736" t="s">
        <v>3350</v>
      </c>
      <c r="K1139" s="1737"/>
      <c r="L1139" s="1738"/>
      <c r="M1139" s="1738"/>
      <c r="N1139" s="1739">
        <v>251730.2433</v>
      </c>
      <c r="O1139" s="1722"/>
      <c r="P1139" s="1725"/>
    </row>
    <row r="1140" spans="1:16" ht="13.9" hidden="1" customHeight="1" outlineLevel="2" x14ac:dyDescent="0.2">
      <c r="A1140" s="459">
        <v>0</v>
      </c>
      <c r="B1140" s="459">
        <v>8</v>
      </c>
      <c r="C1140" s="459">
        <v>14</v>
      </c>
      <c r="D1140" s="460">
        <v>1</v>
      </c>
      <c r="E1140" s="460">
        <v>0</v>
      </c>
      <c r="G1140" s="1740"/>
      <c r="H1140" s="1741" t="s">
        <v>1238</v>
      </c>
      <c r="I1140" s="1742" t="s">
        <v>6922</v>
      </c>
      <c r="J1140" s="1743" t="s">
        <v>2798</v>
      </c>
      <c r="K1140" s="1744"/>
      <c r="L1140" s="1745"/>
      <c r="M1140" s="1745"/>
      <c r="N1140" s="1746">
        <v>27210.58</v>
      </c>
      <c r="O1140" s="1747"/>
      <c r="P1140" s="1720"/>
    </row>
    <row r="1141" spans="1:16" ht="13.9" hidden="1" customHeight="1" outlineLevel="3" x14ac:dyDescent="0.2">
      <c r="A1141" s="459">
        <v>0</v>
      </c>
      <c r="B1141" s="459">
        <v>8</v>
      </c>
      <c r="C1141" s="459">
        <v>14</v>
      </c>
      <c r="D1141" s="460">
        <v>1</v>
      </c>
      <c r="E1141" s="460">
        <v>1</v>
      </c>
      <c r="G1141" s="1790" t="s">
        <v>1258</v>
      </c>
      <c r="H1141" s="1749" t="s">
        <v>1239</v>
      </c>
      <c r="I1141" s="1750" t="s">
        <v>6923</v>
      </c>
      <c r="J1141" s="1751" t="s">
        <v>2798</v>
      </c>
      <c r="K1141" s="1752" t="s">
        <v>1130</v>
      </c>
      <c r="L1141" s="1753">
        <v>1</v>
      </c>
      <c r="M1141" s="1753">
        <v>27210.58</v>
      </c>
      <c r="N1141" s="1754">
        <v>27210.58</v>
      </c>
      <c r="O1141" s="1755" t="s">
        <v>2791</v>
      </c>
      <c r="P1141" s="1721" t="s">
        <v>9611</v>
      </c>
    </row>
    <row r="1142" spans="1:16" ht="13.9" hidden="1" customHeight="1" outlineLevel="2" x14ac:dyDescent="0.2">
      <c r="A1142" s="459">
        <v>0</v>
      </c>
      <c r="B1142" s="459">
        <v>8</v>
      </c>
      <c r="C1142" s="459">
        <v>14</v>
      </c>
      <c r="D1142" s="460">
        <v>2</v>
      </c>
      <c r="E1142" s="460">
        <v>0</v>
      </c>
      <c r="G1142" s="1740"/>
      <c r="H1142" s="1741" t="s">
        <v>1238</v>
      </c>
      <c r="I1142" s="1742" t="s">
        <v>6924</v>
      </c>
      <c r="J1142" s="1743" t="s">
        <v>2799</v>
      </c>
      <c r="K1142" s="1744"/>
      <c r="L1142" s="1745"/>
      <c r="M1142" s="1745"/>
      <c r="N1142" s="1746">
        <v>1445.66</v>
      </c>
      <c r="O1142" s="1747"/>
      <c r="P1142" s="1720"/>
    </row>
    <row r="1143" spans="1:16" ht="13.9" hidden="1" customHeight="1" outlineLevel="3" x14ac:dyDescent="0.2">
      <c r="A1143" s="459">
        <v>0</v>
      </c>
      <c r="B1143" s="459">
        <v>8</v>
      </c>
      <c r="C1143" s="459">
        <v>14</v>
      </c>
      <c r="D1143" s="460">
        <v>2</v>
      </c>
      <c r="E1143" s="460">
        <v>1</v>
      </c>
      <c r="G1143" s="1790" t="s">
        <v>1258</v>
      </c>
      <c r="H1143" s="1749" t="s">
        <v>1239</v>
      </c>
      <c r="I1143" s="1750" t="s">
        <v>6925</v>
      </c>
      <c r="J1143" s="1751" t="s">
        <v>2799</v>
      </c>
      <c r="K1143" s="1752" t="s">
        <v>1130</v>
      </c>
      <c r="L1143" s="1753">
        <v>1</v>
      </c>
      <c r="M1143" s="1753">
        <v>1445.6599999999999</v>
      </c>
      <c r="N1143" s="1754">
        <v>1445.66</v>
      </c>
      <c r="O1143" s="1755" t="s">
        <v>2791</v>
      </c>
      <c r="P1143" s="1721" t="s">
        <v>9611</v>
      </c>
    </row>
    <row r="1144" spans="1:16" ht="13.9" hidden="1" customHeight="1" outlineLevel="2" x14ac:dyDescent="0.2">
      <c r="A1144" s="459">
        <v>0</v>
      </c>
      <c r="B1144" s="459">
        <v>8</v>
      </c>
      <c r="C1144" s="459">
        <v>14</v>
      </c>
      <c r="D1144" s="460">
        <v>3</v>
      </c>
      <c r="E1144" s="460">
        <v>0</v>
      </c>
      <c r="G1144" s="1740"/>
      <c r="H1144" s="1741" t="s">
        <v>1238</v>
      </c>
      <c r="I1144" s="1742" t="s">
        <v>6926</v>
      </c>
      <c r="J1144" s="1743" t="s">
        <v>3353</v>
      </c>
      <c r="K1144" s="1744"/>
      <c r="L1144" s="1745"/>
      <c r="M1144" s="1745"/>
      <c r="N1144" s="1746">
        <v>75139.7</v>
      </c>
      <c r="O1144" s="1747"/>
      <c r="P1144" s="1720"/>
    </row>
    <row r="1145" spans="1:16" ht="13.9" hidden="1" customHeight="1" outlineLevel="3" x14ac:dyDescent="0.2">
      <c r="A1145" s="459">
        <v>0</v>
      </c>
      <c r="B1145" s="459">
        <v>8</v>
      </c>
      <c r="C1145" s="459">
        <v>14</v>
      </c>
      <c r="D1145" s="460">
        <v>3</v>
      </c>
      <c r="E1145" s="460">
        <v>1</v>
      </c>
      <c r="G1145" s="1790" t="s">
        <v>1258</v>
      </c>
      <c r="H1145" s="1749" t="s">
        <v>1239</v>
      </c>
      <c r="I1145" s="1750" t="s">
        <v>6927</v>
      </c>
      <c r="J1145" s="1751" t="s">
        <v>3353</v>
      </c>
      <c r="K1145" s="1752" t="s">
        <v>1130</v>
      </c>
      <c r="L1145" s="1753">
        <v>1</v>
      </c>
      <c r="M1145" s="1753">
        <v>75139.7</v>
      </c>
      <c r="N1145" s="1754">
        <v>75139.7</v>
      </c>
      <c r="O1145" s="1755" t="s">
        <v>2791</v>
      </c>
      <c r="P1145" s="1721" t="s">
        <v>9611</v>
      </c>
    </row>
    <row r="1146" spans="1:16" ht="13.9" hidden="1" customHeight="1" outlineLevel="2" x14ac:dyDescent="0.2">
      <c r="A1146" s="459">
        <v>0</v>
      </c>
      <c r="B1146" s="459">
        <v>8</v>
      </c>
      <c r="C1146" s="459">
        <v>14</v>
      </c>
      <c r="D1146" s="460">
        <v>4</v>
      </c>
      <c r="E1146" s="460">
        <v>0</v>
      </c>
      <c r="G1146" s="1740"/>
      <c r="H1146" s="1741" t="s">
        <v>1238</v>
      </c>
      <c r="I1146" s="1742" t="s">
        <v>6928</v>
      </c>
      <c r="J1146" s="1743" t="s">
        <v>2800</v>
      </c>
      <c r="K1146" s="1744"/>
      <c r="L1146" s="1745"/>
      <c r="M1146" s="1745"/>
      <c r="N1146" s="1746">
        <v>133997.35999999999</v>
      </c>
      <c r="O1146" s="1747"/>
      <c r="P1146" s="1720"/>
    </row>
    <row r="1147" spans="1:16" ht="13.9" hidden="1" customHeight="1" outlineLevel="3" x14ac:dyDescent="0.2">
      <c r="A1147" s="459">
        <v>0</v>
      </c>
      <c r="B1147" s="459">
        <v>8</v>
      </c>
      <c r="C1147" s="459">
        <v>14</v>
      </c>
      <c r="D1147" s="460">
        <v>4</v>
      </c>
      <c r="E1147" s="460">
        <v>1</v>
      </c>
      <c r="G1147" s="1790" t="s">
        <v>1258</v>
      </c>
      <c r="H1147" s="1749" t="s">
        <v>1239</v>
      </c>
      <c r="I1147" s="1750" t="s">
        <v>6929</v>
      </c>
      <c r="J1147" s="1751" t="s">
        <v>2800</v>
      </c>
      <c r="K1147" s="1752" t="s">
        <v>1130</v>
      </c>
      <c r="L1147" s="1753">
        <v>1</v>
      </c>
      <c r="M1147" s="1753">
        <v>133997.36000000002</v>
      </c>
      <c r="N1147" s="1754">
        <v>133997.35999999999</v>
      </c>
      <c r="O1147" s="1755" t="s">
        <v>3351</v>
      </c>
      <c r="P1147" s="1721" t="s">
        <v>9611</v>
      </c>
    </row>
    <row r="1148" spans="1:16" ht="13.9" hidden="1" customHeight="1" outlineLevel="2" x14ac:dyDescent="0.2">
      <c r="A1148" s="459">
        <v>0</v>
      </c>
      <c r="B1148" s="459">
        <v>8</v>
      </c>
      <c r="C1148" s="459">
        <v>14</v>
      </c>
      <c r="D1148" s="460">
        <v>5</v>
      </c>
      <c r="E1148" s="460">
        <v>0</v>
      </c>
      <c r="G1148" s="1740"/>
      <c r="H1148" s="1741" t="s">
        <v>1238</v>
      </c>
      <c r="I1148" s="1742" t="s">
        <v>6930</v>
      </c>
      <c r="J1148" s="1743" t="s">
        <v>2523</v>
      </c>
      <c r="K1148" s="1744"/>
      <c r="L1148" s="1745"/>
      <c r="M1148" s="1745"/>
      <c r="N1148" s="1746">
        <v>3782.9432999999999</v>
      </c>
      <c r="O1148" s="1747"/>
      <c r="P1148" s="1720"/>
    </row>
    <row r="1149" spans="1:16" ht="13.9" hidden="1" customHeight="1" outlineLevel="3" x14ac:dyDescent="0.2">
      <c r="A1149" s="459">
        <v>0</v>
      </c>
      <c r="B1149" s="459">
        <v>8</v>
      </c>
      <c r="C1149" s="459">
        <v>14</v>
      </c>
      <c r="D1149" s="460">
        <v>5</v>
      </c>
      <c r="E1149" s="460">
        <v>1</v>
      </c>
      <c r="G1149" s="1790" t="s">
        <v>1258</v>
      </c>
      <c r="H1149" s="1749" t="s">
        <v>1239</v>
      </c>
      <c r="I1149" s="1750" t="s">
        <v>6931</v>
      </c>
      <c r="J1149" s="1751" t="s">
        <v>2523</v>
      </c>
      <c r="K1149" s="1752" t="s">
        <v>1130</v>
      </c>
      <c r="L1149" s="1753">
        <v>1</v>
      </c>
      <c r="M1149" s="1753">
        <v>3782.9432999999999</v>
      </c>
      <c r="N1149" s="1754">
        <v>3782.9432999999999</v>
      </c>
      <c r="O1149" s="1755" t="s">
        <v>2791</v>
      </c>
      <c r="P1149" s="1721" t="s">
        <v>9611</v>
      </c>
    </row>
    <row r="1150" spans="1:16" ht="13.9" hidden="1" customHeight="1" outlineLevel="2" x14ac:dyDescent="0.2">
      <c r="A1150" s="459">
        <v>0</v>
      </c>
      <c r="B1150" s="459">
        <v>8</v>
      </c>
      <c r="C1150" s="459">
        <v>14</v>
      </c>
      <c r="D1150" s="460">
        <v>6</v>
      </c>
      <c r="E1150" s="460">
        <v>0</v>
      </c>
      <c r="G1150" s="1740"/>
      <c r="H1150" s="1741" t="s">
        <v>1238</v>
      </c>
      <c r="I1150" s="1742" t="s">
        <v>6932</v>
      </c>
      <c r="J1150" s="1743" t="s">
        <v>2522</v>
      </c>
      <c r="K1150" s="1744"/>
      <c r="L1150" s="1745"/>
      <c r="M1150" s="1745"/>
      <c r="N1150" s="1746">
        <v>8760</v>
      </c>
      <c r="O1150" s="1747"/>
      <c r="P1150" s="1720"/>
    </row>
    <row r="1151" spans="1:16" ht="13.9" hidden="1" customHeight="1" outlineLevel="3" x14ac:dyDescent="0.2">
      <c r="A1151" s="459">
        <v>0</v>
      </c>
      <c r="B1151" s="459">
        <v>8</v>
      </c>
      <c r="C1151" s="459">
        <v>14</v>
      </c>
      <c r="D1151" s="460">
        <v>6</v>
      </c>
      <c r="E1151" s="460">
        <v>1</v>
      </c>
      <c r="G1151" s="1790" t="s">
        <v>1258</v>
      </c>
      <c r="H1151" s="1749" t="s">
        <v>1239</v>
      </c>
      <c r="I1151" s="1750" t="s">
        <v>6933</v>
      </c>
      <c r="J1151" s="1751" t="s">
        <v>2522</v>
      </c>
      <c r="K1151" s="1752" t="s">
        <v>1130</v>
      </c>
      <c r="L1151" s="1753">
        <v>1</v>
      </c>
      <c r="M1151" s="1753">
        <v>8760</v>
      </c>
      <c r="N1151" s="1754">
        <v>8760</v>
      </c>
      <c r="O1151" s="1755" t="s">
        <v>2791</v>
      </c>
      <c r="P1151" s="1721" t="s">
        <v>9611</v>
      </c>
    </row>
    <row r="1152" spans="1:16" ht="13.9" hidden="1" customHeight="1" outlineLevel="2" x14ac:dyDescent="0.2">
      <c r="A1152" s="459">
        <v>0</v>
      </c>
      <c r="B1152" s="459">
        <v>8</v>
      </c>
      <c r="C1152" s="459">
        <v>14</v>
      </c>
      <c r="D1152" s="460">
        <v>7</v>
      </c>
      <c r="E1152" s="460">
        <v>0</v>
      </c>
      <c r="G1152" s="1740"/>
      <c r="H1152" s="1741" t="s">
        <v>1238</v>
      </c>
      <c r="I1152" s="1742" t="s">
        <v>6934</v>
      </c>
      <c r="J1152" s="1743" t="s">
        <v>15</v>
      </c>
      <c r="K1152" s="1744"/>
      <c r="L1152" s="1745"/>
      <c r="M1152" s="1745"/>
      <c r="N1152" s="1746">
        <v>1394</v>
      </c>
      <c r="O1152" s="1747"/>
      <c r="P1152" s="1720"/>
    </row>
    <row r="1153" spans="1:16" ht="13.9" hidden="1" customHeight="1" outlineLevel="3" x14ac:dyDescent="0.2">
      <c r="A1153" s="459">
        <v>0</v>
      </c>
      <c r="B1153" s="459">
        <v>8</v>
      </c>
      <c r="C1153" s="459">
        <v>14</v>
      </c>
      <c r="D1153" s="460">
        <v>7</v>
      </c>
      <c r="E1153" s="460">
        <v>1</v>
      </c>
      <c r="G1153" s="1790" t="s">
        <v>1258</v>
      </c>
      <c r="H1153" s="1749" t="s">
        <v>1239</v>
      </c>
      <c r="I1153" s="1750" t="s">
        <v>6935</v>
      </c>
      <c r="J1153" s="1751" t="s">
        <v>1259</v>
      </c>
      <c r="K1153" s="1752" t="s">
        <v>1130</v>
      </c>
      <c r="L1153" s="1753">
        <v>1</v>
      </c>
      <c r="M1153" s="1753">
        <v>1394</v>
      </c>
      <c r="N1153" s="1754">
        <v>1394</v>
      </c>
      <c r="O1153" s="1765" t="s">
        <v>2801</v>
      </c>
      <c r="P1153" s="1721" t="s">
        <v>9611</v>
      </c>
    </row>
    <row r="1154" spans="1:16" ht="13.9" customHeight="1" collapsed="1" x14ac:dyDescent="0.2">
      <c r="A1154" s="459">
        <v>0</v>
      </c>
      <c r="B1154" s="459">
        <v>9</v>
      </c>
      <c r="C1154" s="459">
        <v>0</v>
      </c>
      <c r="D1154" s="460">
        <v>7</v>
      </c>
      <c r="E1154" s="460">
        <v>1</v>
      </c>
      <c r="F1154" s="474"/>
      <c r="G1154" s="1726"/>
      <c r="H1154" s="1727" t="s">
        <v>1237</v>
      </c>
      <c r="I1154" s="1728" t="s">
        <v>6936</v>
      </c>
      <c r="J1154" s="1729" t="s">
        <v>19</v>
      </c>
      <c r="K1154" s="1730"/>
      <c r="L1154" s="1731"/>
      <c r="M1154" s="1731"/>
      <c r="N1154" s="1732">
        <v>250000</v>
      </c>
      <c r="O1154" s="1770">
        <v>14.9256671922492</v>
      </c>
      <c r="P1154" s="1723"/>
    </row>
    <row r="1155" spans="1:16" ht="13.9" hidden="1" customHeight="1" outlineLevel="1" x14ac:dyDescent="0.2">
      <c r="A1155" s="459">
        <v>0</v>
      </c>
      <c r="B1155" s="459">
        <v>9</v>
      </c>
      <c r="C1155" s="459">
        <v>1</v>
      </c>
      <c r="D1155" s="460">
        <v>0</v>
      </c>
      <c r="E1155" s="460">
        <v>1</v>
      </c>
      <c r="G1155" s="1733"/>
      <c r="H1155" s="1734" t="s">
        <v>39</v>
      </c>
      <c r="I1155" s="1735" t="s">
        <v>6937</v>
      </c>
      <c r="J1155" s="1736" t="s">
        <v>3308</v>
      </c>
      <c r="K1155" s="1737"/>
      <c r="L1155" s="1738"/>
      <c r="M1155" s="1738"/>
      <c r="N1155" s="1739">
        <v>26282.604474772699</v>
      </c>
      <c r="O1155" s="1792"/>
      <c r="P1155" s="1725"/>
    </row>
    <row r="1156" spans="1:16" ht="13.9" hidden="1" customHeight="1" outlineLevel="2" x14ac:dyDescent="0.2">
      <c r="A1156" s="459">
        <v>0</v>
      </c>
      <c r="B1156" s="459">
        <v>9</v>
      </c>
      <c r="C1156" s="459">
        <v>1</v>
      </c>
      <c r="D1156" s="460">
        <v>1</v>
      </c>
      <c r="E1156" s="460">
        <v>0</v>
      </c>
      <c r="G1156" s="1764"/>
      <c r="H1156" s="1741" t="s">
        <v>1238</v>
      </c>
      <c r="I1156" s="1742" t="s">
        <v>6938</v>
      </c>
      <c r="J1156" s="1743" t="s">
        <v>2802</v>
      </c>
      <c r="K1156" s="1744"/>
      <c r="L1156" s="1745"/>
      <c r="M1156" s="1745"/>
      <c r="N1156" s="1746">
        <v>1013.3124919985401</v>
      </c>
      <c r="O1156" s="1762"/>
      <c r="P1156" s="1720"/>
    </row>
    <row r="1157" spans="1:16" ht="13.9" hidden="1" customHeight="1" outlineLevel="3" x14ac:dyDescent="0.2">
      <c r="A1157" s="459">
        <v>0</v>
      </c>
      <c r="B1157" s="459">
        <v>9</v>
      </c>
      <c r="C1157" s="459">
        <v>1</v>
      </c>
      <c r="D1157" s="460">
        <v>1</v>
      </c>
      <c r="E1157" s="460">
        <v>1</v>
      </c>
      <c r="G1157" s="1748" t="s">
        <v>19</v>
      </c>
      <c r="H1157" s="1749" t="s">
        <v>1239</v>
      </c>
      <c r="I1157" s="1750" t="s">
        <v>6939</v>
      </c>
      <c r="J1157" s="1751" t="s">
        <v>2802</v>
      </c>
      <c r="K1157" s="1752" t="s">
        <v>1130</v>
      </c>
      <c r="L1157" s="1753">
        <v>1</v>
      </c>
      <c r="M1157" s="1753">
        <v>1013.3124919985378</v>
      </c>
      <c r="N1157" s="1754">
        <v>1013.3124919985401</v>
      </c>
      <c r="O1157" s="1761" t="s">
        <v>5384</v>
      </c>
      <c r="P1157" s="1721" t="s">
        <v>9611</v>
      </c>
    </row>
    <row r="1158" spans="1:16" ht="13.9" hidden="1" customHeight="1" outlineLevel="2" x14ac:dyDescent="0.2">
      <c r="A1158" s="459">
        <v>0</v>
      </c>
      <c r="B1158" s="459">
        <v>9</v>
      </c>
      <c r="C1158" s="459">
        <v>1</v>
      </c>
      <c r="D1158" s="460">
        <v>2</v>
      </c>
      <c r="E1158" s="460">
        <v>0</v>
      </c>
      <c r="G1158" s="1764"/>
      <c r="H1158" s="1741" t="s">
        <v>1238</v>
      </c>
      <c r="I1158" s="1742" t="s">
        <v>6940</v>
      </c>
      <c r="J1158" s="1743" t="s">
        <v>3307</v>
      </c>
      <c r="K1158" s="1744"/>
      <c r="L1158" s="1745"/>
      <c r="M1158" s="1745"/>
      <c r="N1158" s="1746">
        <v>22367.255954230201</v>
      </c>
      <c r="O1158" s="1762"/>
      <c r="P1158" s="1720"/>
    </row>
    <row r="1159" spans="1:16" ht="13.9" hidden="1" customHeight="1" outlineLevel="3" x14ac:dyDescent="0.2">
      <c r="A1159" s="459">
        <v>0</v>
      </c>
      <c r="B1159" s="459">
        <v>9</v>
      </c>
      <c r="C1159" s="459">
        <v>1</v>
      </c>
      <c r="D1159" s="460">
        <v>2</v>
      </c>
      <c r="E1159" s="460">
        <v>1</v>
      </c>
      <c r="G1159" s="1748" t="s">
        <v>19</v>
      </c>
      <c r="H1159" s="1749" t="s">
        <v>1239</v>
      </c>
      <c r="I1159" s="1750" t="s">
        <v>6941</v>
      </c>
      <c r="J1159" s="1751" t="s">
        <v>3307</v>
      </c>
      <c r="K1159" s="1752" t="s">
        <v>1130</v>
      </c>
      <c r="L1159" s="1753">
        <v>1</v>
      </c>
      <c r="M1159" s="1753">
        <v>22367.255954230244</v>
      </c>
      <c r="N1159" s="1754">
        <v>22367.255954230201</v>
      </c>
      <c r="O1159" s="1761" t="s">
        <v>5384</v>
      </c>
      <c r="P1159" s="1721" t="s">
        <v>9611</v>
      </c>
    </row>
    <row r="1160" spans="1:16" ht="13.9" hidden="1" customHeight="1" outlineLevel="2" x14ac:dyDescent="0.2">
      <c r="A1160" s="459">
        <v>0</v>
      </c>
      <c r="B1160" s="459">
        <v>9</v>
      </c>
      <c r="C1160" s="459">
        <v>1</v>
      </c>
      <c r="D1160" s="460">
        <v>3</v>
      </c>
      <c r="E1160" s="460">
        <v>0</v>
      </c>
      <c r="G1160" s="1764"/>
      <c r="H1160" s="1741" t="s">
        <v>1238</v>
      </c>
      <c r="I1160" s="1742" t="s">
        <v>6942</v>
      </c>
      <c r="J1160" s="1743" t="s">
        <v>15</v>
      </c>
      <c r="K1160" s="1744"/>
      <c r="L1160" s="1745"/>
      <c r="M1160" s="1745"/>
      <c r="N1160" s="1746">
        <v>2902.0360285438901</v>
      </c>
      <c r="O1160" s="1762"/>
      <c r="P1160" s="1720"/>
    </row>
    <row r="1161" spans="1:16" ht="13.9" hidden="1" customHeight="1" outlineLevel="3" x14ac:dyDescent="0.2">
      <c r="A1161" s="459">
        <v>0</v>
      </c>
      <c r="B1161" s="459">
        <v>9</v>
      </c>
      <c r="C1161" s="459">
        <v>1</v>
      </c>
      <c r="D1161" s="460">
        <v>3</v>
      </c>
      <c r="E1161" s="460">
        <v>1</v>
      </c>
      <c r="G1161" s="1748" t="s">
        <v>19</v>
      </c>
      <c r="H1161" s="1749" t="s">
        <v>1239</v>
      </c>
      <c r="I1161" s="1750" t="s">
        <v>6943</v>
      </c>
      <c r="J1161" s="1751" t="s">
        <v>1260</v>
      </c>
      <c r="K1161" s="1752" t="s">
        <v>1130</v>
      </c>
      <c r="L1161" s="1753">
        <v>1</v>
      </c>
      <c r="M1161" s="1753">
        <v>2902.0360285438901</v>
      </c>
      <c r="N1161" s="1754">
        <v>2902.0360285438901</v>
      </c>
      <c r="O1161" s="1761" t="s">
        <v>5384</v>
      </c>
      <c r="P1161" s="1721" t="s">
        <v>9611</v>
      </c>
    </row>
    <row r="1162" spans="1:16" ht="13.9" hidden="1" customHeight="1" outlineLevel="1" x14ac:dyDescent="0.2">
      <c r="A1162" s="459">
        <v>0</v>
      </c>
      <c r="B1162" s="459">
        <v>9</v>
      </c>
      <c r="C1162" s="459">
        <v>2</v>
      </c>
      <c r="D1162" s="460">
        <v>0</v>
      </c>
      <c r="E1162" s="460">
        <v>1</v>
      </c>
      <c r="G1162" s="1733"/>
      <c r="H1162" s="1734" t="s">
        <v>39</v>
      </c>
      <c r="I1162" s="1735" t="s">
        <v>6944</v>
      </c>
      <c r="J1162" s="1736" t="s">
        <v>3309</v>
      </c>
      <c r="K1162" s="1737"/>
      <c r="L1162" s="1738"/>
      <c r="M1162" s="1738"/>
      <c r="N1162" s="1739">
        <v>5591.4490962267</v>
      </c>
      <c r="O1162" s="1792"/>
      <c r="P1162" s="1725"/>
    </row>
    <row r="1163" spans="1:16" ht="13.9" hidden="1" customHeight="1" outlineLevel="2" x14ac:dyDescent="0.2">
      <c r="A1163" s="459">
        <v>0</v>
      </c>
      <c r="B1163" s="459">
        <v>9</v>
      </c>
      <c r="C1163" s="459">
        <v>2</v>
      </c>
      <c r="D1163" s="460">
        <v>1</v>
      </c>
      <c r="E1163" s="460">
        <v>0</v>
      </c>
      <c r="G1163" s="1764"/>
      <c r="H1163" s="1741" t="s">
        <v>1238</v>
      </c>
      <c r="I1163" s="1742" t="s">
        <v>6945</v>
      </c>
      <c r="J1163" s="1743" t="s">
        <v>3307</v>
      </c>
      <c r="K1163" s="1744"/>
      <c r="L1163" s="1745"/>
      <c r="M1163" s="1745"/>
      <c r="N1163" s="1746">
        <v>2628.12328589769</v>
      </c>
      <c r="O1163" s="1762"/>
      <c r="P1163" s="1720"/>
    </row>
    <row r="1164" spans="1:16" ht="13.9" hidden="1" customHeight="1" outlineLevel="3" x14ac:dyDescent="0.2">
      <c r="A1164" s="459">
        <v>0</v>
      </c>
      <c r="B1164" s="459">
        <v>9</v>
      </c>
      <c r="C1164" s="459">
        <v>2</v>
      </c>
      <c r="D1164" s="460">
        <v>1</v>
      </c>
      <c r="E1164" s="460">
        <v>1</v>
      </c>
      <c r="G1164" s="1748" t="s">
        <v>19</v>
      </c>
      <c r="H1164" s="1749" t="s">
        <v>1239</v>
      </c>
      <c r="I1164" s="1750" t="s">
        <v>6946</v>
      </c>
      <c r="J1164" s="1751" t="s">
        <v>3307</v>
      </c>
      <c r="K1164" s="1752" t="s">
        <v>1130</v>
      </c>
      <c r="L1164" s="1753">
        <v>1</v>
      </c>
      <c r="M1164" s="1753">
        <v>2628.1232858976855</v>
      </c>
      <c r="N1164" s="1754">
        <v>2628.12328589769</v>
      </c>
      <c r="O1164" s="1761" t="s">
        <v>5384</v>
      </c>
      <c r="P1164" s="1721" t="s">
        <v>9611</v>
      </c>
    </row>
    <row r="1165" spans="1:16" ht="13.9" hidden="1" customHeight="1" outlineLevel="2" x14ac:dyDescent="0.2">
      <c r="A1165" s="459">
        <v>0</v>
      </c>
      <c r="B1165" s="459">
        <v>9</v>
      </c>
      <c r="C1165" s="459">
        <v>2</v>
      </c>
      <c r="D1165" s="460">
        <v>2</v>
      </c>
      <c r="E1165" s="460">
        <v>0</v>
      </c>
      <c r="G1165" s="1764"/>
      <c r="H1165" s="1741" t="s">
        <v>1238</v>
      </c>
      <c r="I1165" s="1742" t="s">
        <v>6947</v>
      </c>
      <c r="J1165" s="1743" t="s">
        <v>15</v>
      </c>
      <c r="K1165" s="1744"/>
      <c r="L1165" s="1745"/>
      <c r="M1165" s="1745"/>
      <c r="N1165" s="1746">
        <v>2963.32581032901</v>
      </c>
      <c r="O1165" s="1762"/>
      <c r="P1165" s="1720"/>
    </row>
    <row r="1166" spans="1:16" ht="13.9" hidden="1" customHeight="1" outlineLevel="3" x14ac:dyDescent="0.2">
      <c r="A1166" s="459">
        <v>0</v>
      </c>
      <c r="B1166" s="459">
        <v>9</v>
      </c>
      <c r="C1166" s="459">
        <v>2</v>
      </c>
      <c r="D1166" s="460">
        <v>2</v>
      </c>
      <c r="E1166" s="460">
        <v>1</v>
      </c>
      <c r="G1166" s="1748" t="s">
        <v>19</v>
      </c>
      <c r="H1166" s="1749" t="s">
        <v>1239</v>
      </c>
      <c r="I1166" s="1750" t="s">
        <v>6948</v>
      </c>
      <c r="J1166" s="1751" t="s">
        <v>1260</v>
      </c>
      <c r="K1166" s="1752" t="s">
        <v>1130</v>
      </c>
      <c r="L1166" s="1753">
        <v>1</v>
      </c>
      <c r="M1166" s="1753">
        <v>2963.3258103290132</v>
      </c>
      <c r="N1166" s="1754">
        <v>2963.32581032901</v>
      </c>
      <c r="O1166" s="1761" t="s">
        <v>5384</v>
      </c>
      <c r="P1166" s="1721" t="s">
        <v>9611</v>
      </c>
    </row>
    <row r="1167" spans="1:16" ht="13.9" hidden="1" customHeight="1" outlineLevel="1" x14ac:dyDescent="0.2">
      <c r="A1167" s="459">
        <v>0</v>
      </c>
      <c r="B1167" s="459">
        <v>9</v>
      </c>
      <c r="C1167" s="459">
        <v>3</v>
      </c>
      <c r="D1167" s="460">
        <v>0</v>
      </c>
      <c r="E1167" s="460">
        <v>1</v>
      </c>
      <c r="G1167" s="1733"/>
      <c r="H1167" s="1734" t="s">
        <v>39</v>
      </c>
      <c r="I1167" s="1735" t="s">
        <v>6949</v>
      </c>
      <c r="J1167" s="1736" t="s">
        <v>3310</v>
      </c>
      <c r="K1167" s="1737"/>
      <c r="L1167" s="1738"/>
      <c r="M1167" s="1738"/>
      <c r="N1167" s="1739">
        <v>27552.957507340099</v>
      </c>
      <c r="O1167" s="1792"/>
      <c r="P1167" s="1725"/>
    </row>
    <row r="1168" spans="1:16" ht="13.9" hidden="1" customHeight="1" outlineLevel="2" x14ac:dyDescent="0.2">
      <c r="A1168" s="459">
        <v>0</v>
      </c>
      <c r="B1168" s="459">
        <v>9</v>
      </c>
      <c r="C1168" s="459">
        <v>3</v>
      </c>
      <c r="D1168" s="460">
        <v>1</v>
      </c>
      <c r="E1168" s="460">
        <v>0</v>
      </c>
      <c r="G1168" s="1764"/>
      <c r="H1168" s="1741" t="s">
        <v>1238</v>
      </c>
      <c r="I1168" s="1742" t="s">
        <v>6950</v>
      </c>
      <c r="J1168" s="1743" t="s">
        <v>3307</v>
      </c>
      <c r="K1168" s="1744"/>
      <c r="L1168" s="1745"/>
      <c r="M1168" s="1745"/>
      <c r="N1168" s="1746">
        <v>24303.526409076301</v>
      </c>
      <c r="O1168" s="1762"/>
      <c r="P1168" s="1720"/>
    </row>
    <row r="1169" spans="1:16" ht="13.9" hidden="1" customHeight="1" outlineLevel="3" x14ac:dyDescent="0.2">
      <c r="A1169" s="459">
        <v>0</v>
      </c>
      <c r="B1169" s="459">
        <v>9</v>
      </c>
      <c r="C1169" s="459">
        <v>3</v>
      </c>
      <c r="D1169" s="460">
        <v>1</v>
      </c>
      <c r="E1169" s="460">
        <v>1</v>
      </c>
      <c r="G1169" s="1748" t="s">
        <v>19</v>
      </c>
      <c r="H1169" s="1749" t="s">
        <v>1239</v>
      </c>
      <c r="I1169" s="1750" t="s">
        <v>6951</v>
      </c>
      <c r="J1169" s="1751" t="s">
        <v>3307</v>
      </c>
      <c r="K1169" s="1752" t="s">
        <v>1130</v>
      </c>
      <c r="L1169" s="1753">
        <v>1</v>
      </c>
      <c r="M1169" s="1753">
        <v>24303.526409076258</v>
      </c>
      <c r="N1169" s="1754">
        <v>24303.526409076301</v>
      </c>
      <c r="O1169" s="1761" t="s">
        <v>5384</v>
      </c>
      <c r="P1169" s="1721" t="s">
        <v>9611</v>
      </c>
    </row>
    <row r="1170" spans="1:16" ht="13.9" hidden="1" customHeight="1" outlineLevel="2" x14ac:dyDescent="0.2">
      <c r="A1170" s="459">
        <v>0</v>
      </c>
      <c r="B1170" s="459">
        <v>9</v>
      </c>
      <c r="C1170" s="459">
        <v>3</v>
      </c>
      <c r="D1170" s="460">
        <v>2</v>
      </c>
      <c r="E1170" s="460">
        <v>0</v>
      </c>
      <c r="G1170" s="1764"/>
      <c r="H1170" s="1741" t="s">
        <v>1238</v>
      </c>
      <c r="I1170" s="1742" t="s">
        <v>6952</v>
      </c>
      <c r="J1170" s="1743" t="s">
        <v>15</v>
      </c>
      <c r="K1170" s="1744"/>
      <c r="L1170" s="1745"/>
      <c r="M1170" s="1745"/>
      <c r="N1170" s="1746">
        <v>3249.4310982637899</v>
      </c>
      <c r="O1170" s="1762"/>
      <c r="P1170" s="1720"/>
    </row>
    <row r="1171" spans="1:16" ht="13.9" hidden="1" customHeight="1" outlineLevel="3" x14ac:dyDescent="0.2">
      <c r="A1171" s="459">
        <v>0</v>
      </c>
      <c r="B1171" s="459">
        <v>9</v>
      </c>
      <c r="C1171" s="459">
        <v>3</v>
      </c>
      <c r="D1171" s="460">
        <v>2</v>
      </c>
      <c r="E1171" s="460">
        <v>1</v>
      </c>
      <c r="G1171" s="1748" t="s">
        <v>19</v>
      </c>
      <c r="H1171" s="1749" t="s">
        <v>1239</v>
      </c>
      <c r="I1171" s="1750" t="s">
        <v>6953</v>
      </c>
      <c r="J1171" s="1751" t="s">
        <v>1260</v>
      </c>
      <c r="K1171" s="1752" t="s">
        <v>1130</v>
      </c>
      <c r="L1171" s="1753">
        <v>1</v>
      </c>
      <c r="M1171" s="1753">
        <v>3249.431098263794</v>
      </c>
      <c r="N1171" s="1754">
        <v>3249.4310982637899</v>
      </c>
      <c r="O1171" s="1761" t="s">
        <v>5384</v>
      </c>
      <c r="P1171" s="1721" t="s">
        <v>9611</v>
      </c>
    </row>
    <row r="1172" spans="1:16" ht="13.9" hidden="1" customHeight="1" outlineLevel="1" x14ac:dyDescent="0.2">
      <c r="A1172" s="459">
        <v>0</v>
      </c>
      <c r="B1172" s="459">
        <v>9</v>
      </c>
      <c r="C1172" s="459">
        <v>4</v>
      </c>
      <c r="D1172" s="460">
        <v>0</v>
      </c>
      <c r="E1172" s="460">
        <v>1</v>
      </c>
      <c r="G1172" s="1733"/>
      <c r="H1172" s="1734" t="s">
        <v>39</v>
      </c>
      <c r="I1172" s="1735" t="s">
        <v>6954</v>
      </c>
      <c r="J1172" s="1736" t="s">
        <v>3311</v>
      </c>
      <c r="K1172" s="1737"/>
      <c r="L1172" s="1738"/>
      <c r="M1172" s="1738"/>
      <c r="N1172" s="1739">
        <v>4125.4721935630196</v>
      </c>
      <c r="O1172" s="1792"/>
      <c r="P1172" s="1725"/>
    </row>
    <row r="1173" spans="1:16" ht="13.9" hidden="1" customHeight="1" outlineLevel="2" x14ac:dyDescent="0.2">
      <c r="A1173" s="459">
        <v>0</v>
      </c>
      <c r="B1173" s="459">
        <v>9</v>
      </c>
      <c r="C1173" s="459">
        <v>4</v>
      </c>
      <c r="D1173" s="460">
        <v>1</v>
      </c>
      <c r="E1173" s="460">
        <v>0</v>
      </c>
      <c r="G1173" s="1764"/>
      <c r="H1173" s="1741" t="s">
        <v>1238</v>
      </c>
      <c r="I1173" s="1742" t="s">
        <v>6955</v>
      </c>
      <c r="J1173" s="1743" t="s">
        <v>3307</v>
      </c>
      <c r="K1173" s="1744"/>
      <c r="L1173" s="1745"/>
      <c r="M1173" s="1745"/>
      <c r="N1173" s="1746">
        <v>876.04109529922903</v>
      </c>
      <c r="O1173" s="1762"/>
      <c r="P1173" s="1720"/>
    </row>
    <row r="1174" spans="1:16" ht="13.9" hidden="1" customHeight="1" outlineLevel="3" x14ac:dyDescent="0.2">
      <c r="A1174" s="459">
        <v>0</v>
      </c>
      <c r="B1174" s="459">
        <v>9</v>
      </c>
      <c r="C1174" s="459">
        <v>4</v>
      </c>
      <c r="D1174" s="460">
        <v>1</v>
      </c>
      <c r="E1174" s="460">
        <v>1</v>
      </c>
      <c r="G1174" s="1748" t="s">
        <v>19</v>
      </c>
      <c r="H1174" s="1749" t="s">
        <v>1239</v>
      </c>
      <c r="I1174" s="1750" t="s">
        <v>6956</v>
      </c>
      <c r="J1174" s="1751" t="s">
        <v>3307</v>
      </c>
      <c r="K1174" s="1752" t="s">
        <v>1130</v>
      </c>
      <c r="L1174" s="1753">
        <v>1</v>
      </c>
      <c r="M1174" s="1753">
        <v>876.04109529922857</v>
      </c>
      <c r="N1174" s="1754">
        <v>876.04109529922903</v>
      </c>
      <c r="O1174" s="1761" t="s">
        <v>5384</v>
      </c>
      <c r="P1174" s="1721" t="s">
        <v>9611</v>
      </c>
    </row>
    <row r="1175" spans="1:16" ht="13.9" hidden="1" customHeight="1" outlineLevel="2" x14ac:dyDescent="0.2">
      <c r="A1175" s="459">
        <v>0</v>
      </c>
      <c r="B1175" s="459">
        <v>9</v>
      </c>
      <c r="C1175" s="459">
        <v>4</v>
      </c>
      <c r="D1175" s="460">
        <v>2</v>
      </c>
      <c r="E1175" s="460">
        <v>0</v>
      </c>
      <c r="G1175" s="1764"/>
      <c r="H1175" s="1741" t="s">
        <v>1238</v>
      </c>
      <c r="I1175" s="1742" t="s">
        <v>6957</v>
      </c>
      <c r="J1175" s="1743" t="s">
        <v>15</v>
      </c>
      <c r="K1175" s="1744"/>
      <c r="L1175" s="1745"/>
      <c r="M1175" s="1745"/>
      <c r="N1175" s="1746">
        <v>3249.4310982637899</v>
      </c>
      <c r="O1175" s="1762"/>
      <c r="P1175" s="1720"/>
    </row>
    <row r="1176" spans="1:16" ht="13.9" hidden="1" customHeight="1" outlineLevel="3" x14ac:dyDescent="0.2">
      <c r="A1176" s="459">
        <v>0</v>
      </c>
      <c r="B1176" s="459">
        <v>9</v>
      </c>
      <c r="C1176" s="459">
        <v>4</v>
      </c>
      <c r="D1176" s="460">
        <v>2</v>
      </c>
      <c r="E1176" s="460">
        <v>1</v>
      </c>
      <c r="G1176" s="1748" t="s">
        <v>19</v>
      </c>
      <c r="H1176" s="1749" t="s">
        <v>1239</v>
      </c>
      <c r="I1176" s="1750" t="s">
        <v>6958</v>
      </c>
      <c r="J1176" s="1751" t="s">
        <v>1260</v>
      </c>
      <c r="K1176" s="1752" t="s">
        <v>1130</v>
      </c>
      <c r="L1176" s="1753">
        <v>1</v>
      </c>
      <c r="M1176" s="1753">
        <v>3249.431098263794</v>
      </c>
      <c r="N1176" s="1754">
        <v>3249.4310982637899</v>
      </c>
      <c r="O1176" s="1761" t="s">
        <v>5384</v>
      </c>
      <c r="P1176" s="1721" t="s">
        <v>9611</v>
      </c>
    </row>
    <row r="1177" spans="1:16" ht="13.9" hidden="1" customHeight="1" outlineLevel="1" x14ac:dyDescent="0.2">
      <c r="A1177" s="459">
        <v>0</v>
      </c>
      <c r="B1177" s="459">
        <v>9</v>
      </c>
      <c r="C1177" s="459">
        <v>5</v>
      </c>
      <c r="D1177" s="460">
        <v>0</v>
      </c>
      <c r="E1177" s="460">
        <v>1</v>
      </c>
      <c r="G1177" s="1733"/>
      <c r="H1177" s="1734" t="s">
        <v>39</v>
      </c>
      <c r="I1177" s="1735" t="s">
        <v>6959</v>
      </c>
      <c r="J1177" s="1736" t="s">
        <v>3312</v>
      </c>
      <c r="K1177" s="1737"/>
      <c r="L1177" s="1738"/>
      <c r="M1177" s="1738"/>
      <c r="N1177" s="1739">
        <v>4178.22933507993</v>
      </c>
      <c r="O1177" s="1792"/>
      <c r="P1177" s="1725"/>
    </row>
    <row r="1178" spans="1:16" ht="13.9" hidden="1" customHeight="1" outlineLevel="2" x14ac:dyDescent="0.2">
      <c r="A1178" s="459">
        <v>0</v>
      </c>
      <c r="B1178" s="459">
        <v>9</v>
      </c>
      <c r="C1178" s="459">
        <v>5</v>
      </c>
      <c r="D1178" s="460">
        <v>1</v>
      </c>
      <c r="E1178" s="460">
        <v>0</v>
      </c>
      <c r="G1178" s="1764"/>
      <c r="H1178" s="1741" t="s">
        <v>1238</v>
      </c>
      <c r="I1178" s="1742" t="s">
        <v>6960</v>
      </c>
      <c r="J1178" s="1743" t="s">
        <v>3307</v>
      </c>
      <c r="K1178" s="1744"/>
      <c r="L1178" s="1745"/>
      <c r="M1178" s="1745"/>
      <c r="N1178" s="1746">
        <v>928.798236816138</v>
      </c>
      <c r="O1178" s="1762"/>
      <c r="P1178" s="1720"/>
    </row>
    <row r="1179" spans="1:16" ht="13.9" hidden="1" customHeight="1" outlineLevel="3" x14ac:dyDescent="0.2">
      <c r="A1179" s="459">
        <v>0</v>
      </c>
      <c r="B1179" s="459">
        <v>9</v>
      </c>
      <c r="C1179" s="459">
        <v>5</v>
      </c>
      <c r="D1179" s="460">
        <v>1</v>
      </c>
      <c r="E1179" s="460">
        <v>1</v>
      </c>
      <c r="G1179" s="1748" t="s">
        <v>19</v>
      </c>
      <c r="H1179" s="1749" t="s">
        <v>1239</v>
      </c>
      <c r="I1179" s="1750" t="s">
        <v>6961</v>
      </c>
      <c r="J1179" s="1751" t="s">
        <v>3307</v>
      </c>
      <c r="K1179" s="1752" t="s">
        <v>1130</v>
      </c>
      <c r="L1179" s="1753">
        <v>1</v>
      </c>
      <c r="M1179" s="1753">
        <v>928.79823681613755</v>
      </c>
      <c r="N1179" s="1754">
        <v>928.798236816138</v>
      </c>
      <c r="O1179" s="1761" t="s">
        <v>5384</v>
      </c>
      <c r="P1179" s="1721" t="s">
        <v>9611</v>
      </c>
    </row>
    <row r="1180" spans="1:16" ht="13.9" hidden="1" customHeight="1" outlineLevel="2" x14ac:dyDescent="0.2">
      <c r="A1180" s="459">
        <v>0</v>
      </c>
      <c r="B1180" s="459">
        <v>9</v>
      </c>
      <c r="C1180" s="459">
        <v>5</v>
      </c>
      <c r="D1180" s="460">
        <v>2</v>
      </c>
      <c r="E1180" s="460">
        <v>0</v>
      </c>
      <c r="G1180" s="1764"/>
      <c r="H1180" s="1741" t="s">
        <v>1238</v>
      </c>
      <c r="I1180" s="1742" t="s">
        <v>6962</v>
      </c>
      <c r="J1180" s="1743" t="s">
        <v>15</v>
      </c>
      <c r="K1180" s="1744"/>
      <c r="L1180" s="1745"/>
      <c r="M1180" s="1745"/>
      <c r="N1180" s="1746">
        <v>3249.4310982637899</v>
      </c>
      <c r="O1180" s="1762"/>
      <c r="P1180" s="1720"/>
    </row>
    <row r="1181" spans="1:16" ht="13.9" hidden="1" customHeight="1" outlineLevel="3" x14ac:dyDescent="0.2">
      <c r="A1181" s="459">
        <v>0</v>
      </c>
      <c r="B1181" s="459">
        <v>9</v>
      </c>
      <c r="C1181" s="459">
        <v>5</v>
      </c>
      <c r="D1181" s="460">
        <v>2</v>
      </c>
      <c r="E1181" s="460">
        <v>1</v>
      </c>
      <c r="G1181" s="1748" t="s">
        <v>19</v>
      </c>
      <c r="H1181" s="1749" t="s">
        <v>1239</v>
      </c>
      <c r="I1181" s="1750" t="s">
        <v>6963</v>
      </c>
      <c r="J1181" s="1751" t="s">
        <v>1260</v>
      </c>
      <c r="K1181" s="1752" t="s">
        <v>1130</v>
      </c>
      <c r="L1181" s="1753">
        <v>1</v>
      </c>
      <c r="M1181" s="1753">
        <v>3249.431098263794</v>
      </c>
      <c r="N1181" s="1754">
        <v>3249.4310982637899</v>
      </c>
      <c r="O1181" s="1761" t="s">
        <v>5384</v>
      </c>
      <c r="P1181" s="1721" t="s">
        <v>9611</v>
      </c>
    </row>
    <row r="1182" spans="1:16" ht="13.9" hidden="1" customHeight="1" outlineLevel="1" x14ac:dyDescent="0.2">
      <c r="A1182" s="459">
        <v>0</v>
      </c>
      <c r="B1182" s="459">
        <v>9</v>
      </c>
      <c r="C1182" s="459">
        <v>6</v>
      </c>
      <c r="D1182" s="460">
        <v>0</v>
      </c>
      <c r="E1182" s="460">
        <v>1</v>
      </c>
      <c r="G1182" s="1733"/>
      <c r="H1182" s="1734" t="s">
        <v>39</v>
      </c>
      <c r="I1182" s="1735" t="s">
        <v>6964</v>
      </c>
      <c r="J1182" s="1736" t="s">
        <v>3313</v>
      </c>
      <c r="K1182" s="1737"/>
      <c r="L1182" s="1738"/>
      <c r="M1182" s="1738"/>
      <c r="N1182" s="1739">
        <v>4298.3190950152803</v>
      </c>
      <c r="O1182" s="1792"/>
      <c r="P1182" s="1725"/>
    </row>
    <row r="1183" spans="1:16" ht="13.9" hidden="1" customHeight="1" outlineLevel="2" x14ac:dyDescent="0.2">
      <c r="A1183" s="459">
        <v>0</v>
      </c>
      <c r="B1183" s="459">
        <v>9</v>
      </c>
      <c r="C1183" s="459">
        <v>6</v>
      </c>
      <c r="D1183" s="460">
        <v>1</v>
      </c>
      <c r="E1183" s="460">
        <v>0</v>
      </c>
      <c r="G1183" s="1764"/>
      <c r="H1183" s="1741" t="s">
        <v>1238</v>
      </c>
      <c r="I1183" s="1742" t="s">
        <v>6965</v>
      </c>
      <c r="J1183" s="1743" t="s">
        <v>3307</v>
      </c>
      <c r="K1183" s="1744"/>
      <c r="L1183" s="1745"/>
      <c r="M1183" s="1745"/>
      <c r="N1183" s="1746">
        <v>997.28917623836401</v>
      </c>
      <c r="O1183" s="1762"/>
      <c r="P1183" s="1720"/>
    </row>
    <row r="1184" spans="1:16" ht="13.9" hidden="1" customHeight="1" outlineLevel="3" x14ac:dyDescent="0.2">
      <c r="A1184" s="459">
        <v>0</v>
      </c>
      <c r="B1184" s="459">
        <v>9</v>
      </c>
      <c r="C1184" s="459">
        <v>6</v>
      </c>
      <c r="D1184" s="460">
        <v>1</v>
      </c>
      <c r="E1184" s="460">
        <v>1</v>
      </c>
      <c r="G1184" s="1748" t="s">
        <v>19</v>
      </c>
      <c r="H1184" s="1749" t="s">
        <v>1239</v>
      </c>
      <c r="I1184" s="1750" t="s">
        <v>6966</v>
      </c>
      <c r="J1184" s="1751" t="s">
        <v>3307</v>
      </c>
      <c r="K1184" s="1752" t="s">
        <v>1130</v>
      </c>
      <c r="L1184" s="1753">
        <v>1</v>
      </c>
      <c r="M1184" s="1753">
        <v>997.28917623836389</v>
      </c>
      <c r="N1184" s="1754">
        <v>997.28917623836401</v>
      </c>
      <c r="O1184" s="1761" t="s">
        <v>5384</v>
      </c>
      <c r="P1184" s="1721" t="s">
        <v>9611</v>
      </c>
    </row>
    <row r="1185" spans="1:16" ht="13.9" hidden="1" customHeight="1" outlineLevel="2" x14ac:dyDescent="0.2">
      <c r="A1185" s="459">
        <v>0</v>
      </c>
      <c r="B1185" s="459">
        <v>9</v>
      </c>
      <c r="C1185" s="459">
        <v>6</v>
      </c>
      <c r="D1185" s="460">
        <v>2</v>
      </c>
      <c r="E1185" s="460">
        <v>0</v>
      </c>
      <c r="G1185" s="1764"/>
      <c r="H1185" s="1741" t="s">
        <v>1238</v>
      </c>
      <c r="I1185" s="1742" t="s">
        <v>6967</v>
      </c>
      <c r="J1185" s="1743" t="s">
        <v>15</v>
      </c>
      <c r="K1185" s="1744"/>
      <c r="L1185" s="1745"/>
      <c r="M1185" s="1745"/>
      <c r="N1185" s="1746">
        <v>3301.0299187769201</v>
      </c>
      <c r="O1185" s="1762"/>
      <c r="P1185" s="1720"/>
    </row>
    <row r="1186" spans="1:16" ht="13.9" hidden="1" customHeight="1" outlineLevel="3" x14ac:dyDescent="0.2">
      <c r="A1186" s="459">
        <v>0</v>
      </c>
      <c r="B1186" s="459">
        <v>9</v>
      </c>
      <c r="C1186" s="459">
        <v>6</v>
      </c>
      <c r="D1186" s="460">
        <v>2</v>
      </c>
      <c r="E1186" s="460">
        <v>1</v>
      </c>
      <c r="G1186" s="1748" t="s">
        <v>19</v>
      </c>
      <c r="H1186" s="1749" t="s">
        <v>1239</v>
      </c>
      <c r="I1186" s="1750" t="s">
        <v>6968</v>
      </c>
      <c r="J1186" s="1751" t="s">
        <v>1260</v>
      </c>
      <c r="K1186" s="1752" t="s">
        <v>1130</v>
      </c>
      <c r="L1186" s="1753">
        <v>1</v>
      </c>
      <c r="M1186" s="1753">
        <v>3301.0299187769183</v>
      </c>
      <c r="N1186" s="1754">
        <v>3301.0299187769201</v>
      </c>
      <c r="O1186" s="1761" t="s">
        <v>5384</v>
      </c>
      <c r="P1186" s="1721" t="s">
        <v>9611</v>
      </c>
    </row>
    <row r="1187" spans="1:16" ht="13.9" hidden="1" customHeight="1" outlineLevel="1" x14ac:dyDescent="0.2">
      <c r="A1187" s="459">
        <v>0</v>
      </c>
      <c r="B1187" s="459">
        <v>9</v>
      </c>
      <c r="C1187" s="459">
        <v>7</v>
      </c>
      <c r="D1187" s="460">
        <v>0</v>
      </c>
      <c r="E1187" s="460">
        <v>1</v>
      </c>
      <c r="G1187" s="1733"/>
      <c r="H1187" s="1734" t="s">
        <v>39</v>
      </c>
      <c r="I1187" s="1735" t="s">
        <v>6969</v>
      </c>
      <c r="J1187" s="1736" t="s">
        <v>3314</v>
      </c>
      <c r="K1187" s="1737"/>
      <c r="L1187" s="1738"/>
      <c r="M1187" s="1738"/>
      <c r="N1187" s="1739">
        <v>6612.36043357779</v>
      </c>
      <c r="O1187" s="1792"/>
      <c r="P1187" s="1725"/>
    </row>
    <row r="1188" spans="1:16" ht="13.9" hidden="1" customHeight="1" outlineLevel="2" x14ac:dyDescent="0.2">
      <c r="A1188" s="459">
        <v>0</v>
      </c>
      <c r="B1188" s="459">
        <v>9</v>
      </c>
      <c r="C1188" s="459">
        <v>7</v>
      </c>
      <c r="D1188" s="460">
        <v>1</v>
      </c>
      <c r="E1188" s="460">
        <v>0</v>
      </c>
      <c r="G1188" s="1764"/>
      <c r="H1188" s="1741" t="s">
        <v>1238</v>
      </c>
      <c r="I1188" s="1742" t="s">
        <v>6970</v>
      </c>
      <c r="J1188" s="1743" t="s">
        <v>2802</v>
      </c>
      <c r="K1188" s="1744"/>
      <c r="L1188" s="1745"/>
      <c r="M1188" s="1745"/>
      <c r="N1188" s="1746">
        <v>202.662498399708</v>
      </c>
      <c r="O1188" s="1762"/>
      <c r="P1188" s="1720"/>
    </row>
    <row r="1189" spans="1:16" ht="13.9" hidden="1" customHeight="1" outlineLevel="3" x14ac:dyDescent="0.2">
      <c r="A1189" s="459">
        <v>0</v>
      </c>
      <c r="B1189" s="459">
        <v>9</v>
      </c>
      <c r="C1189" s="459">
        <v>7</v>
      </c>
      <c r="D1189" s="460">
        <v>1</v>
      </c>
      <c r="E1189" s="460">
        <v>1</v>
      </c>
      <c r="G1189" s="1748" t="s">
        <v>19</v>
      </c>
      <c r="H1189" s="1749" t="s">
        <v>1239</v>
      </c>
      <c r="I1189" s="1750" t="s">
        <v>6971</v>
      </c>
      <c r="J1189" s="1751" t="s">
        <v>2802</v>
      </c>
      <c r="K1189" s="1752" t="s">
        <v>1130</v>
      </c>
      <c r="L1189" s="1753">
        <v>1</v>
      </c>
      <c r="M1189" s="1753">
        <v>202.66249839970757</v>
      </c>
      <c r="N1189" s="1754">
        <v>202.662498399708</v>
      </c>
      <c r="O1189" s="1761" t="s">
        <v>5384</v>
      </c>
      <c r="P1189" s="1721" t="s">
        <v>9611</v>
      </c>
    </row>
    <row r="1190" spans="1:16" ht="13.9" hidden="1" customHeight="1" outlineLevel="2" x14ac:dyDescent="0.2">
      <c r="A1190" s="459">
        <v>0</v>
      </c>
      <c r="B1190" s="459">
        <v>9</v>
      </c>
      <c r="C1190" s="459">
        <v>7</v>
      </c>
      <c r="D1190" s="460">
        <v>2</v>
      </c>
      <c r="E1190" s="460">
        <v>0</v>
      </c>
      <c r="G1190" s="1764"/>
      <c r="H1190" s="1741" t="s">
        <v>1238</v>
      </c>
      <c r="I1190" s="1742" t="s">
        <v>6972</v>
      </c>
      <c r="J1190" s="1743" t="s">
        <v>3307</v>
      </c>
      <c r="K1190" s="1744"/>
      <c r="L1190" s="1745"/>
      <c r="M1190" s="1745"/>
      <c r="N1190" s="1746">
        <v>3108.66801640117</v>
      </c>
      <c r="O1190" s="1762"/>
      <c r="P1190" s="1720"/>
    </row>
    <row r="1191" spans="1:16" ht="13.9" hidden="1" customHeight="1" outlineLevel="3" x14ac:dyDescent="0.2">
      <c r="A1191" s="459">
        <v>0</v>
      </c>
      <c r="B1191" s="459">
        <v>9</v>
      </c>
      <c r="C1191" s="459">
        <v>7</v>
      </c>
      <c r="D1191" s="460">
        <v>2</v>
      </c>
      <c r="E1191" s="460">
        <v>1</v>
      </c>
      <c r="G1191" s="1748" t="s">
        <v>19</v>
      </c>
      <c r="H1191" s="1749" t="s">
        <v>1239</v>
      </c>
      <c r="I1191" s="1750" t="s">
        <v>6973</v>
      </c>
      <c r="J1191" s="1751" t="s">
        <v>3307</v>
      </c>
      <c r="K1191" s="1752" t="s">
        <v>1130</v>
      </c>
      <c r="L1191" s="1753">
        <v>1</v>
      </c>
      <c r="M1191" s="1753">
        <v>3108.6680164011691</v>
      </c>
      <c r="N1191" s="1754">
        <v>3108.66801640117</v>
      </c>
      <c r="O1191" s="1761" t="s">
        <v>5384</v>
      </c>
      <c r="P1191" s="1721" t="s">
        <v>9611</v>
      </c>
    </row>
    <row r="1192" spans="1:16" ht="13.9" hidden="1" customHeight="1" outlineLevel="2" x14ac:dyDescent="0.2">
      <c r="A1192" s="459">
        <v>0</v>
      </c>
      <c r="B1192" s="459">
        <v>9</v>
      </c>
      <c r="C1192" s="459">
        <v>7</v>
      </c>
      <c r="D1192" s="460">
        <v>3</v>
      </c>
      <c r="E1192" s="460">
        <v>0</v>
      </c>
      <c r="G1192" s="1764"/>
      <c r="H1192" s="1741" t="s">
        <v>1238</v>
      </c>
      <c r="I1192" s="1742" t="s">
        <v>6974</v>
      </c>
      <c r="J1192" s="1743" t="s">
        <v>15</v>
      </c>
      <c r="K1192" s="1744"/>
      <c r="L1192" s="1745"/>
      <c r="M1192" s="1745"/>
      <c r="N1192" s="1746">
        <v>3301.0299187769201</v>
      </c>
      <c r="O1192" s="1762"/>
      <c r="P1192" s="1720"/>
    </row>
    <row r="1193" spans="1:16" ht="13.9" hidden="1" customHeight="1" outlineLevel="3" x14ac:dyDescent="0.2">
      <c r="A1193" s="459">
        <v>0</v>
      </c>
      <c r="B1193" s="459">
        <v>9</v>
      </c>
      <c r="C1193" s="459">
        <v>7</v>
      </c>
      <c r="D1193" s="460">
        <v>3</v>
      </c>
      <c r="E1193" s="460">
        <v>1</v>
      </c>
      <c r="G1193" s="1748" t="s">
        <v>19</v>
      </c>
      <c r="H1193" s="1749" t="s">
        <v>1239</v>
      </c>
      <c r="I1193" s="1750" t="s">
        <v>6975</v>
      </c>
      <c r="J1193" s="1751" t="s">
        <v>1260</v>
      </c>
      <c r="K1193" s="1752" t="s">
        <v>1130</v>
      </c>
      <c r="L1193" s="1753">
        <v>1</v>
      </c>
      <c r="M1193" s="1753">
        <v>3301.0299187769183</v>
      </c>
      <c r="N1193" s="1754">
        <v>3301.0299187769201</v>
      </c>
      <c r="O1193" s="1761" t="s">
        <v>5384</v>
      </c>
      <c r="P1193" s="1721" t="s">
        <v>9611</v>
      </c>
    </row>
    <row r="1194" spans="1:16" ht="13.9" hidden="1" customHeight="1" outlineLevel="1" x14ac:dyDescent="0.2">
      <c r="A1194" s="459">
        <v>0</v>
      </c>
      <c r="B1194" s="459">
        <v>9</v>
      </c>
      <c r="C1194" s="459">
        <v>8</v>
      </c>
      <c r="D1194" s="460">
        <v>0</v>
      </c>
      <c r="E1194" s="460">
        <v>1</v>
      </c>
      <c r="G1194" s="1733"/>
      <c r="H1194" s="1734" t="s">
        <v>39</v>
      </c>
      <c r="I1194" s="1735" t="s">
        <v>6976</v>
      </c>
      <c r="J1194" s="1736" t="s">
        <v>3315</v>
      </c>
      <c r="K1194" s="1737"/>
      <c r="L1194" s="1738"/>
      <c r="M1194" s="1738"/>
      <c r="N1194" s="1739">
        <v>5977.5606898403903</v>
      </c>
      <c r="O1194" s="1792"/>
      <c r="P1194" s="1725"/>
    </row>
    <row r="1195" spans="1:16" ht="13.9" hidden="1" customHeight="1" outlineLevel="2" x14ac:dyDescent="0.2">
      <c r="A1195" s="459">
        <v>0</v>
      </c>
      <c r="B1195" s="459">
        <v>9</v>
      </c>
      <c r="C1195" s="459">
        <v>8</v>
      </c>
      <c r="D1195" s="460">
        <v>1</v>
      </c>
      <c r="E1195" s="460">
        <v>0</v>
      </c>
      <c r="G1195" s="1764"/>
      <c r="H1195" s="1741" t="s">
        <v>1238</v>
      </c>
      <c r="I1195" s="1742" t="s">
        <v>6977</v>
      </c>
      <c r="J1195" s="1743" t="s">
        <v>2802</v>
      </c>
      <c r="K1195" s="1744"/>
      <c r="L1195" s="1745"/>
      <c r="M1195" s="1745"/>
      <c r="N1195" s="1746">
        <v>333.94387051577399</v>
      </c>
      <c r="O1195" s="1762"/>
      <c r="P1195" s="1720"/>
    </row>
    <row r="1196" spans="1:16" ht="13.9" hidden="1" customHeight="1" outlineLevel="3" x14ac:dyDescent="0.2">
      <c r="A1196" s="459">
        <v>0</v>
      </c>
      <c r="B1196" s="459">
        <v>9</v>
      </c>
      <c r="C1196" s="459">
        <v>8</v>
      </c>
      <c r="D1196" s="460">
        <v>1</v>
      </c>
      <c r="E1196" s="460">
        <v>1</v>
      </c>
      <c r="G1196" s="1748" t="s">
        <v>19</v>
      </c>
      <c r="H1196" s="1749" t="s">
        <v>1239</v>
      </c>
      <c r="I1196" s="1750" t="s">
        <v>6978</v>
      </c>
      <c r="J1196" s="1751" t="s">
        <v>2802</v>
      </c>
      <c r="K1196" s="1752" t="s">
        <v>1130</v>
      </c>
      <c r="L1196" s="1753">
        <v>1</v>
      </c>
      <c r="M1196" s="1753">
        <v>333.94387051577428</v>
      </c>
      <c r="N1196" s="1754">
        <v>333.94387051577399</v>
      </c>
      <c r="O1196" s="1761" t="s">
        <v>5384</v>
      </c>
      <c r="P1196" s="1721" t="s">
        <v>9611</v>
      </c>
    </row>
    <row r="1197" spans="1:16" ht="13.9" hidden="1" customHeight="1" outlineLevel="2" x14ac:dyDescent="0.2">
      <c r="A1197" s="459">
        <v>0</v>
      </c>
      <c r="B1197" s="459">
        <v>9</v>
      </c>
      <c r="C1197" s="459">
        <v>8</v>
      </c>
      <c r="D1197" s="460">
        <v>2</v>
      </c>
      <c r="E1197" s="460">
        <v>0</v>
      </c>
      <c r="G1197" s="1764"/>
      <c r="H1197" s="1741" t="s">
        <v>1238</v>
      </c>
      <c r="I1197" s="1742" t="s">
        <v>6979</v>
      </c>
      <c r="J1197" s="1743" t="s">
        <v>3307</v>
      </c>
      <c r="K1197" s="1744"/>
      <c r="L1197" s="1745"/>
      <c r="M1197" s="1745"/>
      <c r="N1197" s="1746">
        <v>3796.8968825799798</v>
      </c>
      <c r="O1197" s="1762"/>
      <c r="P1197" s="1720"/>
    </row>
    <row r="1198" spans="1:16" ht="13.9" hidden="1" customHeight="1" outlineLevel="3" x14ac:dyDescent="0.2">
      <c r="A1198" s="459">
        <v>0</v>
      </c>
      <c r="B1198" s="459">
        <v>9</v>
      </c>
      <c r="C1198" s="459">
        <v>8</v>
      </c>
      <c r="D1198" s="460">
        <v>2</v>
      </c>
      <c r="E1198" s="460">
        <v>1</v>
      </c>
      <c r="G1198" s="1748" t="s">
        <v>19</v>
      </c>
      <c r="H1198" s="1749" t="s">
        <v>1239</v>
      </c>
      <c r="I1198" s="1750" t="s">
        <v>6980</v>
      </c>
      <c r="J1198" s="1751" t="s">
        <v>3307</v>
      </c>
      <c r="K1198" s="1752" t="s">
        <v>1130</v>
      </c>
      <c r="L1198" s="1753">
        <v>1</v>
      </c>
      <c r="M1198" s="1753">
        <v>3796.8968825799784</v>
      </c>
      <c r="N1198" s="1754">
        <v>3796.8968825799798</v>
      </c>
      <c r="O1198" s="1761" t="s">
        <v>5384</v>
      </c>
      <c r="P1198" s="1721" t="s">
        <v>9611</v>
      </c>
    </row>
    <row r="1199" spans="1:16" ht="13.9" hidden="1" customHeight="1" outlineLevel="2" x14ac:dyDescent="0.2">
      <c r="A1199" s="459">
        <v>0</v>
      </c>
      <c r="B1199" s="459">
        <v>9</v>
      </c>
      <c r="C1199" s="459">
        <v>8</v>
      </c>
      <c r="D1199" s="460">
        <v>3</v>
      </c>
      <c r="E1199" s="460">
        <v>0</v>
      </c>
      <c r="G1199" s="1764"/>
      <c r="H1199" s="1741" t="s">
        <v>1238</v>
      </c>
      <c r="I1199" s="1742" t="s">
        <v>6981</v>
      </c>
      <c r="J1199" s="1743" t="s">
        <v>15</v>
      </c>
      <c r="K1199" s="1744"/>
      <c r="L1199" s="1745"/>
      <c r="M1199" s="1745"/>
      <c r="N1199" s="1746">
        <v>1846.7199367446401</v>
      </c>
      <c r="O1199" s="1762"/>
      <c r="P1199" s="1720"/>
    </row>
    <row r="1200" spans="1:16" ht="13.9" hidden="1" customHeight="1" outlineLevel="3" x14ac:dyDescent="0.2">
      <c r="A1200" s="459">
        <v>0</v>
      </c>
      <c r="B1200" s="459">
        <v>9</v>
      </c>
      <c r="C1200" s="459">
        <v>8</v>
      </c>
      <c r="D1200" s="460">
        <v>3</v>
      </c>
      <c r="E1200" s="460">
        <v>1</v>
      </c>
      <c r="G1200" s="1748" t="s">
        <v>19</v>
      </c>
      <c r="H1200" s="1749" t="s">
        <v>1239</v>
      </c>
      <c r="I1200" s="1750" t="s">
        <v>6982</v>
      </c>
      <c r="J1200" s="1751" t="s">
        <v>1260</v>
      </c>
      <c r="K1200" s="1752" t="s">
        <v>1130</v>
      </c>
      <c r="L1200" s="1753">
        <v>1</v>
      </c>
      <c r="M1200" s="1753">
        <v>1846.7199367446378</v>
      </c>
      <c r="N1200" s="1754">
        <v>1846.7199367446401</v>
      </c>
      <c r="O1200" s="1761" t="s">
        <v>5384</v>
      </c>
      <c r="P1200" s="1721" t="s">
        <v>9611</v>
      </c>
    </row>
    <row r="1201" spans="1:16" ht="13.9" hidden="1" customHeight="1" outlineLevel="1" x14ac:dyDescent="0.2">
      <c r="A1201" s="459">
        <v>0</v>
      </c>
      <c r="B1201" s="459">
        <v>9</v>
      </c>
      <c r="C1201" s="459">
        <v>9</v>
      </c>
      <c r="D1201" s="460">
        <v>0</v>
      </c>
      <c r="E1201" s="460">
        <v>1</v>
      </c>
      <c r="G1201" s="1733"/>
      <c r="H1201" s="1734" t="s">
        <v>39</v>
      </c>
      <c r="I1201" s="1735" t="s">
        <v>6983</v>
      </c>
      <c r="J1201" s="1736" t="s">
        <v>3316</v>
      </c>
      <c r="K1201" s="1737"/>
      <c r="L1201" s="1738"/>
      <c r="M1201" s="1738"/>
      <c r="N1201" s="1739">
        <v>5891.4923227798699</v>
      </c>
      <c r="O1201" s="1792"/>
      <c r="P1201" s="1725"/>
    </row>
    <row r="1202" spans="1:16" ht="13.9" hidden="1" customHeight="1" outlineLevel="2" x14ac:dyDescent="0.2">
      <c r="A1202" s="459">
        <v>0</v>
      </c>
      <c r="B1202" s="459">
        <v>9</v>
      </c>
      <c r="C1202" s="459">
        <v>9</v>
      </c>
      <c r="D1202" s="460">
        <v>1</v>
      </c>
      <c r="E1202" s="460">
        <v>0</v>
      </c>
      <c r="G1202" s="1764"/>
      <c r="H1202" s="1741" t="s">
        <v>1238</v>
      </c>
      <c r="I1202" s="1742" t="s">
        <v>6984</v>
      </c>
      <c r="J1202" s="1743" t="s">
        <v>2802</v>
      </c>
      <c r="K1202" s="1744"/>
      <c r="L1202" s="1745"/>
      <c r="M1202" s="1745"/>
      <c r="N1202" s="1746">
        <v>703.82788853100396</v>
      </c>
      <c r="O1202" s="1762"/>
      <c r="P1202" s="1720"/>
    </row>
    <row r="1203" spans="1:16" ht="13.9" hidden="1" customHeight="1" outlineLevel="3" x14ac:dyDescent="0.2">
      <c r="A1203" s="459">
        <v>0</v>
      </c>
      <c r="B1203" s="459">
        <v>9</v>
      </c>
      <c r="C1203" s="459">
        <v>9</v>
      </c>
      <c r="D1203" s="460">
        <v>1</v>
      </c>
      <c r="E1203" s="460">
        <v>1</v>
      </c>
      <c r="G1203" s="1748" t="s">
        <v>19</v>
      </c>
      <c r="H1203" s="1749" t="s">
        <v>1239</v>
      </c>
      <c r="I1203" s="1750" t="s">
        <v>6985</v>
      </c>
      <c r="J1203" s="1751" t="s">
        <v>2802</v>
      </c>
      <c r="K1203" s="1752" t="s">
        <v>1130</v>
      </c>
      <c r="L1203" s="1753">
        <v>1</v>
      </c>
      <c r="M1203" s="1753">
        <v>703.82788853100408</v>
      </c>
      <c r="N1203" s="1754">
        <v>703.82788853100396</v>
      </c>
      <c r="O1203" s="1761" t="s">
        <v>5384</v>
      </c>
      <c r="P1203" s="1721" t="s">
        <v>9611</v>
      </c>
    </row>
    <row r="1204" spans="1:16" ht="13.9" hidden="1" customHeight="1" outlineLevel="2" x14ac:dyDescent="0.2">
      <c r="A1204" s="459">
        <v>0</v>
      </c>
      <c r="B1204" s="459">
        <v>9</v>
      </c>
      <c r="C1204" s="459">
        <v>9</v>
      </c>
      <c r="D1204" s="460">
        <v>2</v>
      </c>
      <c r="E1204" s="460">
        <v>0</v>
      </c>
      <c r="G1204" s="1764"/>
      <c r="H1204" s="1741" t="s">
        <v>1238</v>
      </c>
      <c r="I1204" s="1742" t="s">
        <v>6986</v>
      </c>
      <c r="J1204" s="1743" t="s">
        <v>3307</v>
      </c>
      <c r="K1204" s="1744"/>
      <c r="L1204" s="1745"/>
      <c r="M1204" s="1745"/>
      <c r="N1204" s="1746">
        <v>3909.6041868008401</v>
      </c>
      <c r="O1204" s="1762"/>
      <c r="P1204" s="1720"/>
    </row>
    <row r="1205" spans="1:16" ht="13.9" hidden="1" customHeight="1" outlineLevel="3" x14ac:dyDescent="0.2">
      <c r="A1205" s="459">
        <v>0</v>
      </c>
      <c r="B1205" s="459">
        <v>9</v>
      </c>
      <c r="C1205" s="459">
        <v>9</v>
      </c>
      <c r="D1205" s="460">
        <v>2</v>
      </c>
      <c r="E1205" s="460">
        <v>1</v>
      </c>
      <c r="G1205" s="1748" t="s">
        <v>19</v>
      </c>
      <c r="H1205" s="1749" t="s">
        <v>1239</v>
      </c>
      <c r="I1205" s="1750" t="s">
        <v>6987</v>
      </c>
      <c r="J1205" s="1751" t="s">
        <v>3307</v>
      </c>
      <c r="K1205" s="1752" t="s">
        <v>1130</v>
      </c>
      <c r="L1205" s="1753">
        <v>1</v>
      </c>
      <c r="M1205" s="1753">
        <v>3909.6041868008401</v>
      </c>
      <c r="N1205" s="1754">
        <v>3909.6041868008401</v>
      </c>
      <c r="O1205" s="1761" t="s">
        <v>5384</v>
      </c>
      <c r="P1205" s="1721" t="s">
        <v>9611</v>
      </c>
    </row>
    <row r="1206" spans="1:16" ht="13.9" hidden="1" customHeight="1" outlineLevel="2" x14ac:dyDescent="0.2">
      <c r="A1206" s="459">
        <v>0</v>
      </c>
      <c r="B1206" s="459">
        <v>9</v>
      </c>
      <c r="C1206" s="459">
        <v>9</v>
      </c>
      <c r="D1206" s="460">
        <v>3</v>
      </c>
      <c r="E1206" s="460">
        <v>0</v>
      </c>
      <c r="G1206" s="1764"/>
      <c r="H1206" s="1741" t="s">
        <v>1238</v>
      </c>
      <c r="I1206" s="1742" t="s">
        <v>6988</v>
      </c>
      <c r="J1206" s="1743" t="s">
        <v>15</v>
      </c>
      <c r="K1206" s="1744"/>
      <c r="L1206" s="1745"/>
      <c r="M1206" s="1745"/>
      <c r="N1206" s="1746">
        <v>1278.0602474480199</v>
      </c>
      <c r="O1206" s="1762"/>
      <c r="P1206" s="1720"/>
    </row>
    <row r="1207" spans="1:16" ht="13.9" hidden="1" customHeight="1" outlineLevel="3" x14ac:dyDescent="0.2">
      <c r="A1207" s="459">
        <v>0</v>
      </c>
      <c r="B1207" s="459">
        <v>9</v>
      </c>
      <c r="C1207" s="459">
        <v>9</v>
      </c>
      <c r="D1207" s="460">
        <v>3</v>
      </c>
      <c r="E1207" s="460">
        <v>1</v>
      </c>
      <c r="G1207" s="1748" t="s">
        <v>19</v>
      </c>
      <c r="H1207" s="1749" t="s">
        <v>1239</v>
      </c>
      <c r="I1207" s="1750" t="s">
        <v>6989</v>
      </c>
      <c r="J1207" s="1751" t="s">
        <v>1260</v>
      </c>
      <c r="K1207" s="1752" t="s">
        <v>1130</v>
      </c>
      <c r="L1207" s="1753">
        <v>1</v>
      </c>
      <c r="M1207" s="1753">
        <v>1278.0602474480233</v>
      </c>
      <c r="N1207" s="1754">
        <v>1278.0602474480199</v>
      </c>
      <c r="O1207" s="1761" t="s">
        <v>5384</v>
      </c>
      <c r="P1207" s="1721" t="s">
        <v>9611</v>
      </c>
    </row>
    <row r="1208" spans="1:16" ht="13.9" hidden="1" customHeight="1" outlineLevel="1" x14ac:dyDescent="0.2">
      <c r="A1208" s="459">
        <v>0</v>
      </c>
      <c r="B1208" s="459">
        <v>9</v>
      </c>
      <c r="C1208" s="459">
        <v>10</v>
      </c>
      <c r="D1208" s="460">
        <v>0</v>
      </c>
      <c r="E1208" s="460">
        <v>1</v>
      </c>
      <c r="G1208" s="1733"/>
      <c r="H1208" s="1734" t="s">
        <v>39</v>
      </c>
      <c r="I1208" s="1735" t="s">
        <v>6990</v>
      </c>
      <c r="J1208" s="1736" t="s">
        <v>3317</v>
      </c>
      <c r="K1208" s="1737"/>
      <c r="L1208" s="1738"/>
      <c r="M1208" s="1738"/>
      <c r="N1208" s="1739">
        <v>48047.017865752103</v>
      </c>
      <c r="O1208" s="1792"/>
      <c r="P1208" s="1725"/>
    </row>
    <row r="1209" spans="1:16" ht="13.9" hidden="1" customHeight="1" outlineLevel="2" x14ac:dyDescent="0.2">
      <c r="A1209" s="459">
        <v>0</v>
      </c>
      <c r="B1209" s="459">
        <v>9</v>
      </c>
      <c r="C1209" s="459">
        <v>10</v>
      </c>
      <c r="D1209" s="460">
        <v>1</v>
      </c>
      <c r="E1209" s="460">
        <v>0</v>
      </c>
      <c r="G1209" s="1764"/>
      <c r="H1209" s="1741" t="s">
        <v>1238</v>
      </c>
      <c r="I1209" s="1742" t="s">
        <v>6991</v>
      </c>
      <c r="J1209" s="1743" t="s">
        <v>2802</v>
      </c>
      <c r="K1209" s="1744"/>
      <c r="L1209" s="1745"/>
      <c r="M1209" s="1745"/>
      <c r="N1209" s="1746">
        <v>5982.5370525135304</v>
      </c>
      <c r="O1209" s="1762"/>
      <c r="P1209" s="1720"/>
    </row>
    <row r="1210" spans="1:16" ht="13.9" hidden="1" customHeight="1" outlineLevel="3" x14ac:dyDescent="0.2">
      <c r="A1210" s="459">
        <v>0</v>
      </c>
      <c r="B1210" s="459">
        <v>9</v>
      </c>
      <c r="C1210" s="459">
        <v>10</v>
      </c>
      <c r="D1210" s="460">
        <v>1</v>
      </c>
      <c r="E1210" s="460">
        <v>1</v>
      </c>
      <c r="G1210" s="1748" t="s">
        <v>19</v>
      </c>
      <c r="H1210" s="1749" t="s">
        <v>1239</v>
      </c>
      <c r="I1210" s="1750" t="s">
        <v>6992</v>
      </c>
      <c r="J1210" s="1751" t="s">
        <v>2802</v>
      </c>
      <c r="K1210" s="1752" t="s">
        <v>1130</v>
      </c>
      <c r="L1210" s="1753">
        <v>1</v>
      </c>
      <c r="M1210" s="1753">
        <v>5982.5370525135349</v>
      </c>
      <c r="N1210" s="1754">
        <v>5982.5370525135304</v>
      </c>
      <c r="O1210" s="1761" t="s">
        <v>5384</v>
      </c>
      <c r="P1210" s="1721" t="s">
        <v>9611</v>
      </c>
    </row>
    <row r="1211" spans="1:16" ht="13.9" hidden="1" customHeight="1" outlineLevel="2" x14ac:dyDescent="0.2">
      <c r="A1211" s="459">
        <v>0</v>
      </c>
      <c r="B1211" s="459">
        <v>9</v>
      </c>
      <c r="C1211" s="459">
        <v>10</v>
      </c>
      <c r="D1211" s="460">
        <v>2</v>
      </c>
      <c r="E1211" s="460">
        <v>0</v>
      </c>
      <c r="G1211" s="1764"/>
      <c r="H1211" s="1741" t="s">
        <v>1238</v>
      </c>
      <c r="I1211" s="1742" t="s">
        <v>6993</v>
      </c>
      <c r="J1211" s="1743" t="s">
        <v>3307</v>
      </c>
      <c r="K1211" s="1744"/>
      <c r="L1211" s="1745"/>
      <c r="M1211" s="1745"/>
      <c r="N1211" s="1746">
        <v>33086.360020758497</v>
      </c>
      <c r="O1211" s="1762"/>
      <c r="P1211" s="1720"/>
    </row>
    <row r="1212" spans="1:16" ht="13.9" hidden="1" customHeight="1" outlineLevel="3" x14ac:dyDescent="0.2">
      <c r="A1212" s="459">
        <v>0</v>
      </c>
      <c r="B1212" s="459">
        <v>9</v>
      </c>
      <c r="C1212" s="459">
        <v>10</v>
      </c>
      <c r="D1212" s="460">
        <v>2</v>
      </c>
      <c r="E1212" s="460">
        <v>1</v>
      </c>
      <c r="G1212" s="1748" t="s">
        <v>19</v>
      </c>
      <c r="H1212" s="1749" t="s">
        <v>1239</v>
      </c>
      <c r="I1212" s="1750" t="s">
        <v>6994</v>
      </c>
      <c r="J1212" s="1751" t="s">
        <v>3307</v>
      </c>
      <c r="K1212" s="1752" t="s">
        <v>1130</v>
      </c>
      <c r="L1212" s="1753">
        <v>1</v>
      </c>
      <c r="M1212" s="1753">
        <v>33086.360020758475</v>
      </c>
      <c r="N1212" s="1754">
        <v>33086.360020758497</v>
      </c>
      <c r="O1212" s="1761" t="s">
        <v>5384</v>
      </c>
      <c r="P1212" s="1721" t="s">
        <v>9611</v>
      </c>
    </row>
    <row r="1213" spans="1:16" ht="13.9" hidden="1" customHeight="1" outlineLevel="2" x14ac:dyDescent="0.2">
      <c r="A1213" s="459">
        <v>0</v>
      </c>
      <c r="B1213" s="459">
        <v>9</v>
      </c>
      <c r="C1213" s="459">
        <v>10</v>
      </c>
      <c r="D1213" s="460">
        <v>3</v>
      </c>
      <c r="E1213" s="460">
        <v>0</v>
      </c>
      <c r="G1213" s="1764"/>
      <c r="H1213" s="1741" t="s">
        <v>1238</v>
      </c>
      <c r="I1213" s="1742" t="s">
        <v>6995</v>
      </c>
      <c r="J1213" s="1743" t="s">
        <v>15</v>
      </c>
      <c r="K1213" s="1744"/>
      <c r="L1213" s="1745"/>
      <c r="M1213" s="1745"/>
      <c r="N1213" s="1746">
        <v>8978.1207924800692</v>
      </c>
      <c r="O1213" s="1762"/>
      <c r="P1213" s="1720"/>
    </row>
    <row r="1214" spans="1:16" ht="13.9" hidden="1" customHeight="1" outlineLevel="3" x14ac:dyDescent="0.2">
      <c r="A1214" s="459">
        <v>0</v>
      </c>
      <c r="B1214" s="459">
        <v>9</v>
      </c>
      <c r="C1214" s="459">
        <v>10</v>
      </c>
      <c r="D1214" s="460">
        <v>3</v>
      </c>
      <c r="E1214" s="460">
        <v>1</v>
      </c>
      <c r="G1214" s="1748" t="s">
        <v>19</v>
      </c>
      <c r="H1214" s="1749" t="s">
        <v>1239</v>
      </c>
      <c r="I1214" s="1750" t="s">
        <v>6996</v>
      </c>
      <c r="J1214" s="1751" t="s">
        <v>1260</v>
      </c>
      <c r="K1214" s="1752" t="s">
        <v>1130</v>
      </c>
      <c r="L1214" s="1753">
        <v>1</v>
      </c>
      <c r="M1214" s="1753">
        <v>8978.120792480071</v>
      </c>
      <c r="N1214" s="1754">
        <v>8978.1207924800692</v>
      </c>
      <c r="O1214" s="1761" t="s">
        <v>5384</v>
      </c>
      <c r="P1214" s="1721" t="s">
        <v>9611</v>
      </c>
    </row>
    <row r="1215" spans="1:16" ht="13.9" hidden="1" customHeight="1" outlineLevel="1" x14ac:dyDescent="0.2">
      <c r="A1215" s="459">
        <v>0</v>
      </c>
      <c r="B1215" s="459">
        <v>9</v>
      </c>
      <c r="C1215" s="459">
        <v>11</v>
      </c>
      <c r="D1215" s="460">
        <v>0</v>
      </c>
      <c r="E1215" s="460">
        <v>1</v>
      </c>
      <c r="G1215" s="1733"/>
      <c r="H1215" s="1734" t="s">
        <v>39</v>
      </c>
      <c r="I1215" s="1735" t="s">
        <v>6997</v>
      </c>
      <c r="J1215" s="1736" t="s">
        <v>3318</v>
      </c>
      <c r="K1215" s="1737"/>
      <c r="L1215" s="1738"/>
      <c r="M1215" s="1738"/>
      <c r="N1215" s="1739">
        <v>102824.42640481501</v>
      </c>
      <c r="O1215" s="1792"/>
      <c r="P1215" s="1725"/>
    </row>
    <row r="1216" spans="1:16" ht="13.9" hidden="1" customHeight="1" outlineLevel="2" x14ac:dyDescent="0.2">
      <c r="A1216" s="459">
        <v>0</v>
      </c>
      <c r="B1216" s="459">
        <v>9</v>
      </c>
      <c r="C1216" s="459">
        <v>11</v>
      </c>
      <c r="D1216" s="460">
        <v>1</v>
      </c>
      <c r="E1216" s="460">
        <v>0</v>
      </c>
      <c r="G1216" s="1764"/>
      <c r="H1216" s="1741" t="s">
        <v>1238</v>
      </c>
      <c r="I1216" s="1742" t="s">
        <v>6998</v>
      </c>
      <c r="J1216" s="1743" t="s">
        <v>2802</v>
      </c>
      <c r="K1216" s="1744"/>
      <c r="L1216" s="1745"/>
      <c r="M1216" s="1745"/>
      <c r="N1216" s="1746">
        <v>7390.1928295755397</v>
      </c>
      <c r="O1216" s="1762"/>
      <c r="P1216" s="1720"/>
    </row>
    <row r="1217" spans="1:16" ht="13.9" hidden="1" customHeight="1" outlineLevel="3" x14ac:dyDescent="0.2">
      <c r="A1217" s="459">
        <v>0</v>
      </c>
      <c r="B1217" s="459">
        <v>9</v>
      </c>
      <c r="C1217" s="459">
        <v>11</v>
      </c>
      <c r="D1217" s="460">
        <v>1</v>
      </c>
      <c r="E1217" s="460">
        <v>1</v>
      </c>
      <c r="G1217" s="1748" t="s">
        <v>19</v>
      </c>
      <c r="H1217" s="1749" t="s">
        <v>1239</v>
      </c>
      <c r="I1217" s="1750" t="s">
        <v>6999</v>
      </c>
      <c r="J1217" s="1751" t="s">
        <v>2802</v>
      </c>
      <c r="K1217" s="1752" t="s">
        <v>1130</v>
      </c>
      <c r="L1217" s="1753">
        <v>1</v>
      </c>
      <c r="M1217" s="1753">
        <v>7390.1928295755424</v>
      </c>
      <c r="N1217" s="1754">
        <v>7390.1928295755397</v>
      </c>
      <c r="O1217" s="1761" t="s">
        <v>5384</v>
      </c>
      <c r="P1217" s="1721" t="s">
        <v>9611</v>
      </c>
    </row>
    <row r="1218" spans="1:16" ht="13.9" hidden="1" customHeight="1" outlineLevel="2" x14ac:dyDescent="0.2">
      <c r="A1218" s="459">
        <v>0</v>
      </c>
      <c r="B1218" s="459">
        <v>9</v>
      </c>
      <c r="C1218" s="459">
        <v>11</v>
      </c>
      <c r="D1218" s="460">
        <v>2</v>
      </c>
      <c r="E1218" s="460">
        <v>0</v>
      </c>
      <c r="G1218" s="1764"/>
      <c r="H1218" s="1741" t="s">
        <v>1238</v>
      </c>
      <c r="I1218" s="1742" t="s">
        <v>7000</v>
      </c>
      <c r="J1218" s="1743" t="s">
        <v>3307</v>
      </c>
      <c r="K1218" s="1744"/>
      <c r="L1218" s="1745"/>
      <c r="M1218" s="1745"/>
      <c r="N1218" s="1746">
        <v>71854.238391973995</v>
      </c>
      <c r="O1218" s="1762"/>
      <c r="P1218" s="1720"/>
    </row>
    <row r="1219" spans="1:16" ht="13.9" hidden="1" customHeight="1" outlineLevel="3" x14ac:dyDescent="0.2">
      <c r="A1219" s="459">
        <v>0</v>
      </c>
      <c r="B1219" s="459">
        <v>9</v>
      </c>
      <c r="C1219" s="459">
        <v>11</v>
      </c>
      <c r="D1219" s="460">
        <v>2</v>
      </c>
      <c r="E1219" s="460">
        <v>1</v>
      </c>
      <c r="G1219" s="1748" t="s">
        <v>19</v>
      </c>
      <c r="H1219" s="1749" t="s">
        <v>1239</v>
      </c>
      <c r="I1219" s="1750" t="s">
        <v>7001</v>
      </c>
      <c r="J1219" s="1751" t="s">
        <v>3307</v>
      </c>
      <c r="K1219" s="1752" t="s">
        <v>1130</v>
      </c>
      <c r="L1219" s="1753">
        <v>1</v>
      </c>
      <c r="M1219" s="1753">
        <v>71854.238391973951</v>
      </c>
      <c r="N1219" s="1754">
        <v>71854.238391973995</v>
      </c>
      <c r="O1219" s="1761" t="s">
        <v>5384</v>
      </c>
      <c r="P1219" s="1721" t="s">
        <v>9611</v>
      </c>
    </row>
    <row r="1220" spans="1:16" ht="13.9" hidden="1" customHeight="1" outlineLevel="2" x14ac:dyDescent="0.2">
      <c r="A1220" s="459">
        <v>0</v>
      </c>
      <c r="B1220" s="459">
        <v>9</v>
      </c>
      <c r="C1220" s="459">
        <v>11</v>
      </c>
      <c r="D1220" s="460">
        <v>3</v>
      </c>
      <c r="E1220" s="460">
        <v>0</v>
      </c>
      <c r="G1220" s="1764"/>
      <c r="H1220" s="1741" t="s">
        <v>1238</v>
      </c>
      <c r="I1220" s="1742" t="s">
        <v>7002</v>
      </c>
      <c r="J1220" s="1743" t="s">
        <v>15</v>
      </c>
      <c r="K1220" s="1744"/>
      <c r="L1220" s="1745"/>
      <c r="M1220" s="1745"/>
      <c r="N1220" s="1746">
        <v>23579.995183265499</v>
      </c>
      <c r="O1220" s="1762"/>
      <c r="P1220" s="1720"/>
    </row>
    <row r="1221" spans="1:16" ht="13.9" hidden="1" customHeight="1" outlineLevel="3" x14ac:dyDescent="0.2">
      <c r="A1221" s="459">
        <v>0</v>
      </c>
      <c r="B1221" s="459">
        <v>9</v>
      </c>
      <c r="C1221" s="459">
        <v>11</v>
      </c>
      <c r="D1221" s="460">
        <v>3</v>
      </c>
      <c r="E1221" s="460">
        <v>1</v>
      </c>
      <c r="G1221" s="1748" t="s">
        <v>19</v>
      </c>
      <c r="H1221" s="1749" t="s">
        <v>1239</v>
      </c>
      <c r="I1221" s="1750" t="s">
        <v>7003</v>
      </c>
      <c r="J1221" s="1751" t="s">
        <v>1260</v>
      </c>
      <c r="K1221" s="1752" t="s">
        <v>1130</v>
      </c>
      <c r="L1221" s="1753">
        <v>1</v>
      </c>
      <c r="M1221" s="1753">
        <v>23579.995183265499</v>
      </c>
      <c r="N1221" s="1754">
        <v>23579.995183265499</v>
      </c>
      <c r="O1221" s="1761" t="s">
        <v>5384</v>
      </c>
      <c r="P1221" s="1721" t="s">
        <v>9611</v>
      </c>
    </row>
    <row r="1222" spans="1:16" ht="13.9" hidden="1" customHeight="1" outlineLevel="1" x14ac:dyDescent="0.2">
      <c r="A1222" s="459">
        <v>0</v>
      </c>
      <c r="B1222" s="459">
        <v>9</v>
      </c>
      <c r="C1222" s="459">
        <v>12</v>
      </c>
      <c r="D1222" s="460">
        <v>0</v>
      </c>
      <c r="E1222" s="460">
        <v>1</v>
      </c>
      <c r="G1222" s="1733"/>
      <c r="H1222" s="1734" t="s">
        <v>39</v>
      </c>
      <c r="I1222" s="1735" t="s">
        <v>7004</v>
      </c>
      <c r="J1222" s="1736" t="s">
        <v>3319</v>
      </c>
      <c r="K1222" s="1737"/>
      <c r="L1222" s="1738"/>
      <c r="M1222" s="1738"/>
      <c r="N1222" s="1739">
        <v>1612.90082464391</v>
      </c>
      <c r="O1222" s="1792"/>
      <c r="P1222" s="1725"/>
    </row>
    <row r="1223" spans="1:16" ht="13.9" hidden="1" customHeight="1" outlineLevel="2" x14ac:dyDescent="0.2">
      <c r="A1223" s="459">
        <v>0</v>
      </c>
      <c r="B1223" s="459">
        <v>9</v>
      </c>
      <c r="C1223" s="459">
        <v>12</v>
      </c>
      <c r="D1223" s="460">
        <v>1</v>
      </c>
      <c r="E1223" s="460">
        <v>0</v>
      </c>
      <c r="G1223" s="1764"/>
      <c r="H1223" s="1741" t="s">
        <v>1238</v>
      </c>
      <c r="I1223" s="1742" t="s">
        <v>7005</v>
      </c>
      <c r="J1223" s="1743" t="s">
        <v>3307</v>
      </c>
      <c r="K1223" s="1744"/>
      <c r="L1223" s="1745"/>
      <c r="M1223" s="1745"/>
      <c r="N1223" s="1746">
        <v>490.04391115507599</v>
      </c>
      <c r="O1223" s="1762"/>
      <c r="P1223" s="1720"/>
    </row>
    <row r="1224" spans="1:16" ht="13.9" hidden="1" customHeight="1" outlineLevel="3" x14ac:dyDescent="0.2">
      <c r="A1224" s="459">
        <v>0</v>
      </c>
      <c r="B1224" s="459">
        <v>9</v>
      </c>
      <c r="C1224" s="459">
        <v>12</v>
      </c>
      <c r="D1224" s="460">
        <v>1</v>
      </c>
      <c r="E1224" s="460">
        <v>1</v>
      </c>
      <c r="G1224" s="1748" t="s">
        <v>19</v>
      </c>
      <c r="H1224" s="1749" t="s">
        <v>1239</v>
      </c>
      <c r="I1224" s="1750" t="s">
        <v>7006</v>
      </c>
      <c r="J1224" s="1751" t="s">
        <v>3307</v>
      </c>
      <c r="K1224" s="1752" t="s">
        <v>1130</v>
      </c>
      <c r="L1224" s="1753">
        <v>1</v>
      </c>
      <c r="M1224" s="1753">
        <v>490.0439111550761</v>
      </c>
      <c r="N1224" s="1754">
        <v>490.04391115507599</v>
      </c>
      <c r="O1224" s="1761" t="s">
        <v>5384</v>
      </c>
      <c r="P1224" s="1721" t="s">
        <v>9611</v>
      </c>
    </row>
    <row r="1225" spans="1:16" ht="13.9" hidden="1" customHeight="1" outlineLevel="2" x14ac:dyDescent="0.2">
      <c r="A1225" s="459">
        <v>0</v>
      </c>
      <c r="B1225" s="459">
        <v>9</v>
      </c>
      <c r="C1225" s="459">
        <v>12</v>
      </c>
      <c r="D1225" s="460">
        <v>2</v>
      </c>
      <c r="E1225" s="460">
        <v>0</v>
      </c>
      <c r="G1225" s="1764"/>
      <c r="H1225" s="1741" t="s">
        <v>1238</v>
      </c>
      <c r="I1225" s="1742" t="s">
        <v>7007</v>
      </c>
      <c r="J1225" s="1743" t="s">
        <v>15</v>
      </c>
      <c r="K1225" s="1744"/>
      <c r="L1225" s="1745"/>
      <c r="M1225" s="1745"/>
      <c r="N1225" s="1746">
        <v>1122.8569134888301</v>
      </c>
      <c r="O1225" s="1762"/>
      <c r="P1225" s="1720"/>
    </row>
    <row r="1226" spans="1:16" ht="13.9" hidden="1" customHeight="1" outlineLevel="3" x14ac:dyDescent="0.2">
      <c r="A1226" s="459">
        <v>0</v>
      </c>
      <c r="B1226" s="459">
        <v>9</v>
      </c>
      <c r="C1226" s="459">
        <v>12</v>
      </c>
      <c r="D1226" s="460">
        <v>2</v>
      </c>
      <c r="E1226" s="460">
        <v>1</v>
      </c>
      <c r="G1226" s="1748" t="s">
        <v>19</v>
      </c>
      <c r="H1226" s="1749" t="s">
        <v>1239</v>
      </c>
      <c r="I1226" s="1750" t="s">
        <v>7008</v>
      </c>
      <c r="J1226" s="1751" t="s">
        <v>1260</v>
      </c>
      <c r="K1226" s="1752" t="s">
        <v>1130</v>
      </c>
      <c r="L1226" s="1753">
        <v>1</v>
      </c>
      <c r="M1226" s="1753">
        <v>1122.8569134888332</v>
      </c>
      <c r="N1226" s="1754">
        <v>1122.8569134888301</v>
      </c>
      <c r="O1226" s="1761" t="s">
        <v>5384</v>
      </c>
      <c r="P1226" s="1721" t="s">
        <v>9611</v>
      </c>
    </row>
    <row r="1227" spans="1:16" ht="13.9" hidden="1" customHeight="1" outlineLevel="1" x14ac:dyDescent="0.2">
      <c r="A1227" s="459">
        <v>0</v>
      </c>
      <c r="B1227" s="459">
        <v>9</v>
      </c>
      <c r="C1227" s="459">
        <v>13</v>
      </c>
      <c r="D1227" s="460">
        <v>0</v>
      </c>
      <c r="E1227" s="460">
        <v>1</v>
      </c>
      <c r="G1227" s="1733"/>
      <c r="H1227" s="1734" t="s">
        <v>39</v>
      </c>
      <c r="I1227" s="1735" t="s">
        <v>7009</v>
      </c>
      <c r="J1227" s="1736" t="s">
        <v>3320</v>
      </c>
      <c r="K1227" s="1737"/>
      <c r="L1227" s="1738"/>
      <c r="M1227" s="1738"/>
      <c r="N1227" s="1739">
        <v>5893.8765023146198</v>
      </c>
      <c r="O1227" s="1792"/>
      <c r="P1227" s="1725"/>
    </row>
    <row r="1228" spans="1:16" ht="13.9" hidden="1" customHeight="1" outlineLevel="2" x14ac:dyDescent="0.2">
      <c r="A1228" s="459">
        <v>0</v>
      </c>
      <c r="B1228" s="459">
        <v>9</v>
      </c>
      <c r="C1228" s="459">
        <v>13</v>
      </c>
      <c r="D1228" s="460">
        <v>1</v>
      </c>
      <c r="E1228" s="460">
        <v>0</v>
      </c>
      <c r="G1228" s="1764"/>
      <c r="H1228" s="1741" t="s">
        <v>1238</v>
      </c>
      <c r="I1228" s="1742" t="s">
        <v>7010</v>
      </c>
      <c r="J1228" s="1743" t="s">
        <v>2802</v>
      </c>
      <c r="K1228" s="1744"/>
      <c r="L1228" s="1745"/>
      <c r="M1228" s="1745"/>
      <c r="N1228" s="1746">
        <v>351.91394426550198</v>
      </c>
      <c r="O1228" s="1762"/>
      <c r="P1228" s="1720"/>
    </row>
    <row r="1229" spans="1:16" ht="13.9" hidden="1" customHeight="1" outlineLevel="3" x14ac:dyDescent="0.2">
      <c r="A1229" s="459">
        <v>0</v>
      </c>
      <c r="B1229" s="459">
        <v>9</v>
      </c>
      <c r="C1229" s="459">
        <v>13</v>
      </c>
      <c r="D1229" s="460">
        <v>1</v>
      </c>
      <c r="E1229" s="460">
        <v>1</v>
      </c>
      <c r="G1229" s="1748" t="s">
        <v>19</v>
      </c>
      <c r="H1229" s="1749" t="s">
        <v>1239</v>
      </c>
      <c r="I1229" s="1750" t="s">
        <v>7011</v>
      </c>
      <c r="J1229" s="1751" t="s">
        <v>2802</v>
      </c>
      <c r="K1229" s="1752" t="s">
        <v>1130</v>
      </c>
      <c r="L1229" s="1753">
        <v>1</v>
      </c>
      <c r="M1229" s="1753">
        <v>351.91394426550204</v>
      </c>
      <c r="N1229" s="1754">
        <v>351.91394426550198</v>
      </c>
      <c r="O1229" s="1761" t="s">
        <v>5384</v>
      </c>
      <c r="P1229" s="1721" t="s">
        <v>9611</v>
      </c>
    </row>
    <row r="1230" spans="1:16" ht="13.9" hidden="1" customHeight="1" outlineLevel="2" x14ac:dyDescent="0.2">
      <c r="A1230" s="459">
        <v>0</v>
      </c>
      <c r="B1230" s="459">
        <v>9</v>
      </c>
      <c r="C1230" s="459">
        <v>13</v>
      </c>
      <c r="D1230" s="460">
        <v>2</v>
      </c>
      <c r="E1230" s="460">
        <v>0</v>
      </c>
      <c r="G1230" s="1764"/>
      <c r="H1230" s="1741" t="s">
        <v>1238</v>
      </c>
      <c r="I1230" s="1742" t="s">
        <v>7012</v>
      </c>
      <c r="J1230" s="1743" t="s">
        <v>3307</v>
      </c>
      <c r="K1230" s="1744"/>
      <c r="L1230" s="1745"/>
      <c r="M1230" s="1745"/>
      <c r="N1230" s="1746">
        <v>4458.3503388716999</v>
      </c>
      <c r="O1230" s="1762"/>
      <c r="P1230" s="1720"/>
    </row>
    <row r="1231" spans="1:16" ht="13.9" hidden="1" customHeight="1" outlineLevel="3" x14ac:dyDescent="0.2">
      <c r="A1231" s="459">
        <v>0</v>
      </c>
      <c r="B1231" s="459">
        <v>9</v>
      </c>
      <c r="C1231" s="459">
        <v>13</v>
      </c>
      <c r="D1231" s="460">
        <v>2</v>
      </c>
      <c r="E1231" s="460">
        <v>1</v>
      </c>
      <c r="G1231" s="1748" t="s">
        <v>19</v>
      </c>
      <c r="H1231" s="1749" t="s">
        <v>1239</v>
      </c>
      <c r="I1231" s="1750" t="s">
        <v>7013</v>
      </c>
      <c r="J1231" s="1751" t="s">
        <v>3307</v>
      </c>
      <c r="K1231" s="1752" t="s">
        <v>1130</v>
      </c>
      <c r="L1231" s="1753">
        <v>1</v>
      </c>
      <c r="M1231" s="1753">
        <v>4458.3503388716954</v>
      </c>
      <c r="N1231" s="1754">
        <v>4458.3503388716999</v>
      </c>
      <c r="O1231" s="1761" t="s">
        <v>5384</v>
      </c>
      <c r="P1231" s="1721" t="s">
        <v>9611</v>
      </c>
    </row>
    <row r="1232" spans="1:16" ht="13.9" hidden="1" customHeight="1" outlineLevel="2" x14ac:dyDescent="0.2">
      <c r="A1232" s="459">
        <v>0</v>
      </c>
      <c r="B1232" s="459">
        <v>9</v>
      </c>
      <c r="C1232" s="459">
        <v>13</v>
      </c>
      <c r="D1232" s="460">
        <v>3</v>
      </c>
      <c r="E1232" s="460">
        <v>0</v>
      </c>
      <c r="G1232" s="1764"/>
      <c r="H1232" s="1741" t="s">
        <v>1238</v>
      </c>
      <c r="I1232" s="1742" t="s">
        <v>7014</v>
      </c>
      <c r="J1232" s="1743" t="s">
        <v>15</v>
      </c>
      <c r="K1232" s="1744"/>
      <c r="L1232" s="1745"/>
      <c r="M1232" s="1745"/>
      <c r="N1232" s="1746">
        <v>1083.61221917742</v>
      </c>
      <c r="O1232" s="1762"/>
      <c r="P1232" s="1720"/>
    </row>
    <row r="1233" spans="1:16" ht="13.9" hidden="1" customHeight="1" outlineLevel="3" x14ac:dyDescent="0.2">
      <c r="A1233" s="459">
        <v>0</v>
      </c>
      <c r="B1233" s="459">
        <v>9</v>
      </c>
      <c r="C1233" s="459">
        <v>13</v>
      </c>
      <c r="D1233" s="460">
        <v>3</v>
      </c>
      <c r="E1233" s="460">
        <v>1</v>
      </c>
      <c r="G1233" s="1748" t="s">
        <v>19</v>
      </c>
      <c r="H1233" s="1749" t="s">
        <v>1239</v>
      </c>
      <c r="I1233" s="1750" t="s">
        <v>7015</v>
      </c>
      <c r="J1233" s="1751" t="s">
        <v>1260</v>
      </c>
      <c r="K1233" s="1752" t="s">
        <v>1130</v>
      </c>
      <c r="L1233" s="1753">
        <v>1</v>
      </c>
      <c r="M1233" s="1753">
        <v>1083.6122191774173</v>
      </c>
      <c r="N1233" s="1754">
        <v>1083.61221917742</v>
      </c>
      <c r="O1233" s="1761" t="s">
        <v>5384</v>
      </c>
      <c r="P1233" s="1721" t="s">
        <v>9611</v>
      </c>
    </row>
    <row r="1234" spans="1:16" ht="13.9" hidden="1" customHeight="1" outlineLevel="1" x14ac:dyDescent="0.2">
      <c r="A1234" s="459">
        <v>0</v>
      </c>
      <c r="B1234" s="459">
        <v>9</v>
      </c>
      <c r="C1234" s="459">
        <v>14</v>
      </c>
      <c r="D1234" s="460">
        <v>0</v>
      </c>
      <c r="E1234" s="460">
        <v>1</v>
      </c>
      <c r="G1234" s="1733"/>
      <c r="H1234" s="1734" t="s">
        <v>39</v>
      </c>
      <c r="I1234" s="1735" t="s">
        <v>7016</v>
      </c>
      <c r="J1234" s="1736" t="s">
        <v>3321</v>
      </c>
      <c r="K1234" s="1737"/>
      <c r="L1234" s="1738"/>
      <c r="M1234" s="1738"/>
      <c r="N1234" s="1739">
        <v>1111.33325427872</v>
      </c>
      <c r="O1234" s="1792"/>
      <c r="P1234" s="1725"/>
    </row>
    <row r="1235" spans="1:16" ht="13.9" hidden="1" customHeight="1" outlineLevel="2" x14ac:dyDescent="0.2">
      <c r="A1235" s="459">
        <v>0</v>
      </c>
      <c r="B1235" s="459">
        <v>9</v>
      </c>
      <c r="C1235" s="459">
        <v>14</v>
      </c>
      <c r="D1235" s="460">
        <v>1</v>
      </c>
      <c r="E1235" s="460">
        <v>0</v>
      </c>
      <c r="G1235" s="1764"/>
      <c r="H1235" s="1741" t="s">
        <v>1238</v>
      </c>
      <c r="I1235" s="1742" t="s">
        <v>7017</v>
      </c>
      <c r="J1235" s="1743" t="s">
        <v>3307</v>
      </c>
      <c r="K1235" s="1744"/>
      <c r="L1235" s="1745"/>
      <c r="M1235" s="1745"/>
      <c r="N1235" s="1746">
        <v>80.096612052258806</v>
      </c>
      <c r="O1235" s="1762"/>
      <c r="P1235" s="1720"/>
    </row>
    <row r="1236" spans="1:16" ht="13.9" hidden="1" customHeight="1" outlineLevel="3" x14ac:dyDescent="0.2">
      <c r="A1236" s="459">
        <v>0</v>
      </c>
      <c r="B1236" s="459">
        <v>9</v>
      </c>
      <c r="C1236" s="459">
        <v>14</v>
      </c>
      <c r="D1236" s="460">
        <v>1</v>
      </c>
      <c r="E1236" s="460">
        <v>1</v>
      </c>
      <c r="G1236" s="1748" t="s">
        <v>19</v>
      </c>
      <c r="H1236" s="1749" t="s">
        <v>1239</v>
      </c>
      <c r="I1236" s="1750" t="s">
        <v>7018</v>
      </c>
      <c r="J1236" s="1751" t="s">
        <v>3307</v>
      </c>
      <c r="K1236" s="1752" t="s">
        <v>1130</v>
      </c>
      <c r="L1236" s="1753">
        <v>1</v>
      </c>
      <c r="M1236" s="1753">
        <v>80.096612052258791</v>
      </c>
      <c r="N1236" s="1754">
        <v>80.096612052258806</v>
      </c>
      <c r="O1236" s="1761" t="s">
        <v>5384</v>
      </c>
      <c r="P1236" s="1721" t="s">
        <v>9611</v>
      </c>
    </row>
    <row r="1237" spans="1:16" ht="13.9" hidden="1" customHeight="1" outlineLevel="2" x14ac:dyDescent="0.2">
      <c r="A1237" s="459">
        <v>0</v>
      </c>
      <c r="B1237" s="459">
        <v>9</v>
      </c>
      <c r="C1237" s="459">
        <v>14</v>
      </c>
      <c r="D1237" s="460">
        <v>2</v>
      </c>
      <c r="E1237" s="460">
        <v>0</v>
      </c>
      <c r="G1237" s="1764"/>
      <c r="H1237" s="1741" t="s">
        <v>1238</v>
      </c>
      <c r="I1237" s="1742" t="s">
        <v>7019</v>
      </c>
      <c r="J1237" s="1743" t="s">
        <v>15</v>
      </c>
      <c r="K1237" s="1744"/>
      <c r="L1237" s="1745"/>
      <c r="M1237" s="1745"/>
      <c r="N1237" s="1746">
        <v>1031.2366422264599</v>
      </c>
      <c r="O1237" s="1762"/>
      <c r="P1237" s="1720"/>
    </row>
    <row r="1238" spans="1:16" ht="13.9" hidden="1" customHeight="1" outlineLevel="3" x14ac:dyDescent="0.2">
      <c r="A1238" s="459">
        <v>0</v>
      </c>
      <c r="B1238" s="459">
        <v>9</v>
      </c>
      <c r="C1238" s="459">
        <v>14</v>
      </c>
      <c r="D1238" s="460">
        <v>2</v>
      </c>
      <c r="E1238" s="460">
        <v>1</v>
      </c>
      <c r="G1238" s="1748" t="s">
        <v>19</v>
      </c>
      <c r="H1238" s="1749" t="s">
        <v>1239</v>
      </c>
      <c r="I1238" s="1750" t="s">
        <v>7020</v>
      </c>
      <c r="J1238" s="1751" t="s">
        <v>1260</v>
      </c>
      <c r="K1238" s="1752" t="s">
        <v>1130</v>
      </c>
      <c r="L1238" s="1753">
        <v>1</v>
      </c>
      <c r="M1238" s="1753">
        <v>1031.2366422264606</v>
      </c>
      <c r="N1238" s="1754">
        <v>1031.2366422264599</v>
      </c>
      <c r="O1238" s="1761" t="s">
        <v>5384</v>
      </c>
      <c r="P1238" s="1721" t="s">
        <v>9611</v>
      </c>
    </row>
    <row r="1239" spans="1:16" ht="13.9" customHeight="1" collapsed="1" x14ac:dyDescent="0.2">
      <c r="A1239" s="459">
        <v>0</v>
      </c>
      <c r="B1239" s="459">
        <v>10</v>
      </c>
      <c r="C1239" s="459">
        <v>0</v>
      </c>
      <c r="D1239" s="460">
        <v>2</v>
      </c>
      <c r="E1239" s="460">
        <v>1</v>
      </c>
      <c r="F1239" s="474"/>
      <c r="G1239" s="1791"/>
      <c r="H1239" s="1727" t="s">
        <v>1237</v>
      </c>
      <c r="I1239" s="1728" t="s">
        <v>7021</v>
      </c>
      <c r="J1239" s="1729" t="s">
        <v>20</v>
      </c>
      <c r="K1239" s="1730"/>
      <c r="L1239" s="1731"/>
      <c r="M1239" s="1731"/>
      <c r="N1239" s="1732">
        <v>7315899.7379999999</v>
      </c>
      <c r="O1239" s="1770">
        <v>436.778738805003</v>
      </c>
      <c r="P1239" s="1724"/>
    </row>
    <row r="1240" spans="1:16" ht="13.9" hidden="1" customHeight="1" outlineLevel="1" x14ac:dyDescent="0.2">
      <c r="A1240" s="459">
        <v>0</v>
      </c>
      <c r="B1240" s="459">
        <v>10</v>
      </c>
      <c r="C1240" s="459">
        <v>1</v>
      </c>
      <c r="D1240" s="460">
        <v>0</v>
      </c>
      <c r="E1240" s="460">
        <v>1</v>
      </c>
      <c r="G1240" s="1763"/>
      <c r="H1240" s="1734" t="s">
        <v>39</v>
      </c>
      <c r="I1240" s="1735" t="s">
        <v>7022</v>
      </c>
      <c r="J1240" s="1736" t="s">
        <v>20</v>
      </c>
      <c r="K1240" s="1737"/>
      <c r="L1240" s="1738"/>
      <c r="M1240" s="1738"/>
      <c r="N1240" s="1739">
        <v>7315899.7379999999</v>
      </c>
      <c r="O1240" s="1722"/>
      <c r="P1240" s="1725"/>
    </row>
    <row r="1241" spans="1:16" ht="13.9" hidden="1" customHeight="1" outlineLevel="2" x14ac:dyDescent="0.2">
      <c r="A1241" s="459">
        <v>0</v>
      </c>
      <c r="B1241" s="459">
        <v>10</v>
      </c>
      <c r="C1241" s="459">
        <v>1</v>
      </c>
      <c r="D1241" s="460">
        <v>1</v>
      </c>
      <c r="E1241" s="460">
        <v>0</v>
      </c>
      <c r="G1241" s="1764"/>
      <c r="H1241" s="1741" t="s">
        <v>1238</v>
      </c>
      <c r="I1241" s="1742" t="s">
        <v>7023</v>
      </c>
      <c r="J1241" s="1743" t="s">
        <v>2803</v>
      </c>
      <c r="K1241" s="1744"/>
      <c r="L1241" s="1745"/>
      <c r="M1241" s="1745"/>
      <c r="N1241" s="1746">
        <v>335622.94799999997</v>
      </c>
      <c r="O1241" s="1747"/>
      <c r="P1241" s="1720"/>
    </row>
    <row r="1242" spans="1:16" ht="13.9" hidden="1" customHeight="1" outlineLevel="3" x14ac:dyDescent="0.2">
      <c r="A1242" s="459">
        <v>0</v>
      </c>
      <c r="B1242" s="459">
        <v>10</v>
      </c>
      <c r="C1242" s="459">
        <v>1</v>
      </c>
      <c r="D1242" s="460">
        <v>1</v>
      </c>
      <c r="E1242" s="460">
        <v>1</v>
      </c>
      <c r="G1242" s="1748" t="s">
        <v>2384</v>
      </c>
      <c r="H1242" s="1749" t="s">
        <v>1239</v>
      </c>
      <c r="I1242" s="1750" t="s">
        <v>7024</v>
      </c>
      <c r="J1242" s="1751" t="s">
        <v>2526</v>
      </c>
      <c r="K1242" s="1752" t="s">
        <v>1130</v>
      </c>
      <c r="L1242" s="1753">
        <v>1</v>
      </c>
      <c r="M1242" s="1753">
        <v>84457.098000000013</v>
      </c>
      <c r="N1242" s="1754">
        <v>84457.097999999998</v>
      </c>
      <c r="O1242" s="1755"/>
      <c r="P1242" s="1721" t="s">
        <v>9611</v>
      </c>
    </row>
    <row r="1243" spans="1:16" ht="13.9" hidden="1" customHeight="1" outlineLevel="3" x14ac:dyDescent="0.2">
      <c r="A1243" s="459">
        <v>0</v>
      </c>
      <c r="B1243" s="459">
        <v>10</v>
      </c>
      <c r="C1243" s="459">
        <v>1</v>
      </c>
      <c r="D1243" s="460">
        <v>1</v>
      </c>
      <c r="E1243" s="460">
        <v>2</v>
      </c>
      <c r="G1243" s="1748" t="s">
        <v>2384</v>
      </c>
      <c r="H1243" s="1749" t="s">
        <v>1239</v>
      </c>
      <c r="I1243" s="1750" t="s">
        <v>7025</v>
      </c>
      <c r="J1243" s="1751" t="s">
        <v>3306</v>
      </c>
      <c r="K1243" s="1752" t="s">
        <v>1130</v>
      </c>
      <c r="L1243" s="1753">
        <v>1</v>
      </c>
      <c r="M1243" s="1753">
        <v>251165.85</v>
      </c>
      <c r="N1243" s="1754">
        <v>251165.85</v>
      </c>
      <c r="O1243" s="1755"/>
      <c r="P1243" s="1721" t="s">
        <v>9611</v>
      </c>
    </row>
    <row r="1244" spans="1:16" ht="13.9" hidden="1" customHeight="1" outlineLevel="2" x14ac:dyDescent="0.2">
      <c r="A1244" s="459">
        <v>0</v>
      </c>
      <c r="B1244" s="459">
        <v>10</v>
      </c>
      <c r="C1244" s="459">
        <v>1</v>
      </c>
      <c r="D1244" s="460">
        <v>2</v>
      </c>
      <c r="E1244" s="460">
        <v>0</v>
      </c>
      <c r="G1244" s="1764"/>
      <c r="H1244" s="1741" t="s">
        <v>1238</v>
      </c>
      <c r="I1244" s="1742" t="s">
        <v>7026</v>
      </c>
      <c r="J1244" s="1743" t="s">
        <v>21</v>
      </c>
      <c r="K1244" s="1744"/>
      <c r="L1244" s="1745"/>
      <c r="M1244" s="1745"/>
      <c r="N1244" s="1746">
        <v>6949076.79</v>
      </c>
      <c r="O1244" s="1747"/>
      <c r="P1244" s="1720"/>
    </row>
    <row r="1245" spans="1:16" ht="13.9" hidden="1" customHeight="1" outlineLevel="3" x14ac:dyDescent="0.2">
      <c r="A1245" s="459">
        <v>0</v>
      </c>
      <c r="B1245" s="459">
        <v>10</v>
      </c>
      <c r="C1245" s="459">
        <v>1</v>
      </c>
      <c r="D1245" s="460">
        <v>2</v>
      </c>
      <c r="E1245" s="460">
        <v>1</v>
      </c>
      <c r="G1245" s="1748" t="s">
        <v>2384</v>
      </c>
      <c r="H1245" s="1749" t="s">
        <v>1239</v>
      </c>
      <c r="I1245" s="1750" t="s">
        <v>7027</v>
      </c>
      <c r="J1245" s="1751" t="s">
        <v>5386</v>
      </c>
      <c r="K1245" s="1752" t="s">
        <v>534</v>
      </c>
      <c r="L1245" s="1753">
        <v>1</v>
      </c>
      <c r="M1245" s="1753">
        <v>72000</v>
      </c>
      <c r="N1245" s="1754">
        <v>72000</v>
      </c>
      <c r="O1245" s="1761" t="s">
        <v>5388</v>
      </c>
      <c r="P1245" s="1721" t="s">
        <v>9611</v>
      </c>
    </row>
    <row r="1246" spans="1:16" ht="13.9" hidden="1" customHeight="1" outlineLevel="3" x14ac:dyDescent="0.2">
      <c r="A1246" s="459">
        <v>0</v>
      </c>
      <c r="B1246" s="459">
        <v>10</v>
      </c>
      <c r="C1246" s="459">
        <v>1</v>
      </c>
      <c r="D1246" s="460">
        <v>2</v>
      </c>
      <c r="E1246" s="460">
        <v>2</v>
      </c>
      <c r="G1246" s="1748" t="s">
        <v>2384</v>
      </c>
      <c r="H1246" s="1749" t="s">
        <v>1239</v>
      </c>
      <c r="I1246" s="1750" t="s">
        <v>7028</v>
      </c>
      <c r="J1246" s="1751" t="s">
        <v>5387</v>
      </c>
      <c r="K1246" s="1752" t="s">
        <v>534</v>
      </c>
      <c r="L1246" s="1753">
        <v>1</v>
      </c>
      <c r="M1246" s="1753">
        <v>29342.86</v>
      </c>
      <c r="N1246" s="1754">
        <v>29342.86</v>
      </c>
      <c r="O1246" s="1761" t="s">
        <v>5388</v>
      </c>
      <c r="P1246" s="1721" t="s">
        <v>9611</v>
      </c>
    </row>
    <row r="1247" spans="1:16" ht="13.9" hidden="1" customHeight="1" outlineLevel="3" x14ac:dyDescent="0.2">
      <c r="A1247" s="459">
        <v>0</v>
      </c>
      <c r="B1247" s="459">
        <v>10</v>
      </c>
      <c r="C1247" s="459">
        <v>1</v>
      </c>
      <c r="D1247" s="460">
        <v>2</v>
      </c>
      <c r="E1247" s="460">
        <v>3</v>
      </c>
      <c r="G1247" s="1748" t="s">
        <v>2384</v>
      </c>
      <c r="H1247" s="1749" t="s">
        <v>1239</v>
      </c>
      <c r="I1247" s="1750" t="s">
        <v>7029</v>
      </c>
      <c r="J1247" s="1751" t="s">
        <v>3158</v>
      </c>
      <c r="K1247" s="1752" t="s">
        <v>534</v>
      </c>
      <c r="L1247" s="1753">
        <v>1</v>
      </c>
      <c r="M1247" s="1753">
        <v>1175729.5900000001</v>
      </c>
      <c r="N1247" s="1754">
        <v>1175729.5900000001</v>
      </c>
      <c r="O1247" s="1755" t="s">
        <v>2804</v>
      </c>
      <c r="P1247" s="1721" t="s">
        <v>9611</v>
      </c>
    </row>
    <row r="1248" spans="1:16" ht="13.9" hidden="1" customHeight="1" outlineLevel="3" x14ac:dyDescent="0.2">
      <c r="A1248" s="459">
        <v>0</v>
      </c>
      <c r="B1248" s="459">
        <v>10</v>
      </c>
      <c r="C1248" s="459">
        <v>1</v>
      </c>
      <c r="D1248" s="460">
        <v>2</v>
      </c>
      <c r="E1248" s="460">
        <v>4</v>
      </c>
      <c r="G1248" s="1748" t="s">
        <v>2384</v>
      </c>
      <c r="H1248" s="1749" t="s">
        <v>1239</v>
      </c>
      <c r="I1248" s="1750" t="s">
        <v>7030</v>
      </c>
      <c r="J1248" s="1751" t="s">
        <v>3159</v>
      </c>
      <c r="K1248" s="1752" t="s">
        <v>534</v>
      </c>
      <c r="L1248" s="1753">
        <v>2</v>
      </c>
      <c r="M1248" s="1753">
        <v>1486002.17</v>
      </c>
      <c r="N1248" s="1754">
        <v>2972004.34</v>
      </c>
      <c r="O1248" s="1755" t="s">
        <v>2804</v>
      </c>
      <c r="P1248" s="1721" t="s">
        <v>9611</v>
      </c>
    </row>
    <row r="1249" spans="1:16" ht="13.9" hidden="1" customHeight="1" outlineLevel="3" x14ac:dyDescent="0.2">
      <c r="A1249" s="459">
        <v>0</v>
      </c>
      <c r="B1249" s="459">
        <v>10</v>
      </c>
      <c r="C1249" s="459">
        <v>1</v>
      </c>
      <c r="D1249" s="460">
        <v>2</v>
      </c>
      <c r="E1249" s="460">
        <v>5</v>
      </c>
      <c r="G1249" s="1748" t="s">
        <v>2384</v>
      </c>
      <c r="H1249" s="1749" t="s">
        <v>1239</v>
      </c>
      <c r="I1249" s="1750" t="s">
        <v>7031</v>
      </c>
      <c r="J1249" s="1751" t="s">
        <v>3160</v>
      </c>
      <c r="K1249" s="1752" t="s">
        <v>534</v>
      </c>
      <c r="L1249" s="1753">
        <v>2</v>
      </c>
      <c r="M1249" s="1753">
        <v>1350000</v>
      </c>
      <c r="N1249" s="1754">
        <v>2700000</v>
      </c>
      <c r="O1249" s="1761" t="s">
        <v>5385</v>
      </c>
      <c r="P1249" s="1721" t="s">
        <v>9611</v>
      </c>
    </row>
    <row r="1250" spans="1:16" ht="13.9" hidden="1" customHeight="1" outlineLevel="2" x14ac:dyDescent="0.2">
      <c r="A1250" s="459">
        <v>0</v>
      </c>
      <c r="B1250" s="459">
        <v>10</v>
      </c>
      <c r="C1250" s="459">
        <v>1</v>
      </c>
      <c r="D1250" s="460">
        <v>3</v>
      </c>
      <c r="E1250" s="460">
        <v>0</v>
      </c>
      <c r="G1250" s="1764"/>
      <c r="H1250" s="1741" t="s">
        <v>1238</v>
      </c>
      <c r="I1250" s="1742" t="s">
        <v>7032</v>
      </c>
      <c r="J1250" s="1743" t="s">
        <v>2527</v>
      </c>
      <c r="K1250" s="1744"/>
      <c r="L1250" s="1745"/>
      <c r="M1250" s="1745"/>
      <c r="N1250" s="1746">
        <v>31200</v>
      </c>
      <c r="O1250" s="1747"/>
      <c r="P1250" s="1720"/>
    </row>
    <row r="1251" spans="1:16" ht="13.9" hidden="1" customHeight="1" outlineLevel="3" x14ac:dyDescent="0.2">
      <c r="A1251" s="459">
        <v>0</v>
      </c>
      <c r="B1251" s="459">
        <v>10</v>
      </c>
      <c r="C1251" s="459">
        <v>1</v>
      </c>
      <c r="D1251" s="460">
        <v>3</v>
      </c>
      <c r="E1251" s="460">
        <v>1</v>
      </c>
      <c r="G1251" s="1748" t="s">
        <v>2384</v>
      </c>
      <c r="H1251" s="1749" t="s">
        <v>1239</v>
      </c>
      <c r="I1251" s="1750" t="s">
        <v>7033</v>
      </c>
      <c r="J1251" s="1751" t="s">
        <v>2527</v>
      </c>
      <c r="K1251" s="1752" t="s">
        <v>534</v>
      </c>
      <c r="L1251" s="1753">
        <v>48</v>
      </c>
      <c r="M1251" s="1753">
        <v>650</v>
      </c>
      <c r="N1251" s="1754">
        <v>31200</v>
      </c>
      <c r="O1251" s="1765" t="s">
        <v>3352</v>
      </c>
      <c r="P1251" s="1721" t="s">
        <v>9611</v>
      </c>
    </row>
    <row r="1252" spans="1:16" ht="13.9" customHeight="1" collapsed="1" x14ac:dyDescent="0.2">
      <c r="A1252" s="459">
        <v>0</v>
      </c>
      <c r="B1252" s="459">
        <v>11</v>
      </c>
      <c r="C1252" s="459">
        <v>0</v>
      </c>
      <c r="D1252" s="460">
        <v>3</v>
      </c>
      <c r="E1252" s="460">
        <v>1</v>
      </c>
      <c r="F1252" s="474"/>
      <c r="G1252" s="1791"/>
      <c r="H1252" s="1727" t="s">
        <v>1237</v>
      </c>
      <c r="I1252" s="1728" t="s">
        <v>7034</v>
      </c>
      <c r="J1252" s="1729" t="s">
        <v>2805</v>
      </c>
      <c r="K1252" s="1730"/>
      <c r="L1252" s="1731"/>
      <c r="M1252" s="1731"/>
      <c r="N1252" s="1732">
        <v>933451.700000001</v>
      </c>
      <c r="O1252" s="1770">
        <v>55.7295576569568</v>
      </c>
      <c r="P1252" s="1724"/>
    </row>
    <row r="1253" spans="1:16" ht="13.9" hidden="1" customHeight="1" outlineLevel="1" x14ac:dyDescent="0.2">
      <c r="A1253" s="459">
        <v>0</v>
      </c>
      <c r="B1253" s="459">
        <v>11</v>
      </c>
      <c r="C1253" s="459">
        <v>1</v>
      </c>
      <c r="D1253" s="460">
        <v>0</v>
      </c>
      <c r="E1253" s="460">
        <v>1</v>
      </c>
      <c r="G1253" s="1733"/>
      <c r="H1253" s="1734" t="s">
        <v>39</v>
      </c>
      <c r="I1253" s="1735" t="s">
        <v>7035</v>
      </c>
      <c r="J1253" s="1736" t="s">
        <v>5499</v>
      </c>
      <c r="K1253" s="1737"/>
      <c r="L1253" s="1738"/>
      <c r="M1253" s="1738"/>
      <c r="N1253" s="1739">
        <v>50951.783772002098</v>
      </c>
      <c r="O1253" s="1722"/>
      <c r="P1253" s="1725"/>
    </row>
    <row r="1254" spans="1:16" ht="13.9" hidden="1" customHeight="1" outlineLevel="2" x14ac:dyDescent="0.2">
      <c r="A1254" s="459">
        <v>0</v>
      </c>
      <c r="B1254" s="459">
        <v>11</v>
      </c>
      <c r="C1254" s="459">
        <v>1</v>
      </c>
      <c r="D1254" s="460">
        <v>1</v>
      </c>
      <c r="E1254" s="460">
        <v>0</v>
      </c>
      <c r="G1254" s="1740"/>
      <c r="H1254" s="1741" t="s">
        <v>1238</v>
      </c>
      <c r="I1254" s="1742" t="s">
        <v>7036</v>
      </c>
      <c r="J1254" s="1743" t="s">
        <v>1303</v>
      </c>
      <c r="K1254" s="1744"/>
      <c r="L1254" s="1745"/>
      <c r="M1254" s="1745"/>
      <c r="N1254" s="1746">
        <v>33389.609572922003</v>
      </c>
      <c r="O1254" s="1747"/>
      <c r="P1254" s="1720"/>
    </row>
    <row r="1255" spans="1:16" ht="33.75" hidden="1" customHeight="1" outlineLevel="3" x14ac:dyDescent="0.2">
      <c r="A1255" s="459">
        <v>0</v>
      </c>
      <c r="B1255" s="459">
        <v>11</v>
      </c>
      <c r="C1255" s="459">
        <v>1</v>
      </c>
      <c r="D1255" s="460">
        <v>1</v>
      </c>
      <c r="E1255" s="460">
        <v>1</v>
      </c>
      <c r="G1255" s="1790" t="s">
        <v>2805</v>
      </c>
      <c r="H1255" s="1749" t="s">
        <v>1239</v>
      </c>
      <c r="I1255" s="1750" t="s">
        <v>7037</v>
      </c>
      <c r="J1255" s="1751" t="s">
        <v>1261</v>
      </c>
      <c r="K1255" s="1752" t="s">
        <v>1130</v>
      </c>
      <c r="L1255" s="1753">
        <v>1</v>
      </c>
      <c r="M1255" s="1753">
        <v>25725.178512731374</v>
      </c>
      <c r="N1255" s="1754">
        <v>25725.1785127314</v>
      </c>
      <c r="O1255" s="1761" t="s">
        <v>5445</v>
      </c>
      <c r="P1255" s="1721" t="s">
        <v>9611</v>
      </c>
    </row>
    <row r="1256" spans="1:16" ht="33" hidden="1" customHeight="1" outlineLevel="3" x14ac:dyDescent="0.2">
      <c r="A1256" s="459">
        <v>0</v>
      </c>
      <c r="B1256" s="459">
        <v>11</v>
      </c>
      <c r="C1256" s="459">
        <v>1</v>
      </c>
      <c r="D1256" s="460">
        <v>1</v>
      </c>
      <c r="E1256" s="460">
        <v>2</v>
      </c>
      <c r="G1256" s="1790" t="s">
        <v>2805</v>
      </c>
      <c r="H1256" s="1749" t="s">
        <v>1239</v>
      </c>
      <c r="I1256" s="1750" t="s">
        <v>7038</v>
      </c>
      <c r="J1256" s="1751" t="s">
        <v>1262</v>
      </c>
      <c r="K1256" s="1752" t="s">
        <v>1130</v>
      </c>
      <c r="L1256" s="1753">
        <v>1</v>
      </c>
      <c r="M1256" s="1753">
        <v>7664.4310601906218</v>
      </c>
      <c r="N1256" s="1754">
        <v>7664.43106019062</v>
      </c>
      <c r="O1256" s="1761" t="s">
        <v>5446</v>
      </c>
      <c r="P1256" s="1721" t="s">
        <v>9611</v>
      </c>
    </row>
    <row r="1257" spans="1:16" ht="13.9" hidden="1" customHeight="1" outlineLevel="2" x14ac:dyDescent="0.2">
      <c r="A1257" s="459">
        <v>0</v>
      </c>
      <c r="B1257" s="459">
        <v>11</v>
      </c>
      <c r="C1257" s="459">
        <v>1</v>
      </c>
      <c r="D1257" s="460">
        <v>2</v>
      </c>
      <c r="E1257" s="460">
        <v>0</v>
      </c>
      <c r="G1257" s="1740"/>
      <c r="H1257" s="1741" t="s">
        <v>1238</v>
      </c>
      <c r="I1257" s="1742" t="s">
        <v>7039</v>
      </c>
      <c r="J1257" s="1743" t="s">
        <v>1682</v>
      </c>
      <c r="K1257" s="1744"/>
      <c r="L1257" s="1745"/>
      <c r="M1257" s="1745"/>
      <c r="N1257" s="1746">
        <v>1952.0394081353099</v>
      </c>
      <c r="O1257" s="1747"/>
      <c r="P1257" s="1720"/>
    </row>
    <row r="1258" spans="1:16" ht="13.9" hidden="1" customHeight="1" outlineLevel="3" x14ac:dyDescent="0.2">
      <c r="A1258" s="459">
        <v>0</v>
      </c>
      <c r="B1258" s="459">
        <v>11</v>
      </c>
      <c r="C1258" s="459">
        <v>1</v>
      </c>
      <c r="D1258" s="460">
        <v>2</v>
      </c>
      <c r="E1258" s="460">
        <v>1</v>
      </c>
      <c r="G1258" s="1790" t="s">
        <v>2805</v>
      </c>
      <c r="H1258" s="1749" t="s">
        <v>1239</v>
      </c>
      <c r="I1258" s="1750" t="s">
        <v>7040</v>
      </c>
      <c r="J1258" s="1751" t="s">
        <v>3265</v>
      </c>
      <c r="K1258" s="1752" t="s">
        <v>1130</v>
      </c>
      <c r="L1258" s="1753">
        <v>1</v>
      </c>
      <c r="M1258" s="1753">
        <v>1952.0394081353129</v>
      </c>
      <c r="N1258" s="1754">
        <v>1952.0394081353099</v>
      </c>
      <c r="O1258" s="1755" t="s">
        <v>3267</v>
      </c>
      <c r="P1258" s="1721" t="s">
        <v>9611</v>
      </c>
    </row>
    <row r="1259" spans="1:16" ht="13.9" hidden="1" customHeight="1" outlineLevel="2" x14ac:dyDescent="0.2">
      <c r="A1259" s="459">
        <v>0</v>
      </c>
      <c r="B1259" s="459">
        <v>11</v>
      </c>
      <c r="C1259" s="459">
        <v>1</v>
      </c>
      <c r="D1259" s="460">
        <v>3</v>
      </c>
      <c r="E1259" s="460">
        <v>0</v>
      </c>
      <c r="G1259" s="1740"/>
      <c r="H1259" s="1741" t="s">
        <v>1238</v>
      </c>
      <c r="I1259" s="1742" t="s">
        <v>7041</v>
      </c>
      <c r="J1259" s="1743" t="s">
        <v>3264</v>
      </c>
      <c r="K1259" s="1744"/>
      <c r="L1259" s="1745"/>
      <c r="M1259" s="1745"/>
      <c r="N1259" s="1746">
        <v>13757.921938028199</v>
      </c>
      <c r="O1259" s="1747"/>
      <c r="P1259" s="1720"/>
    </row>
    <row r="1260" spans="1:16" ht="13.9" hidden="1" customHeight="1" outlineLevel="3" x14ac:dyDescent="0.2">
      <c r="A1260" s="459">
        <v>0</v>
      </c>
      <c r="B1260" s="459">
        <v>11</v>
      </c>
      <c r="C1260" s="459">
        <v>1</v>
      </c>
      <c r="D1260" s="460">
        <v>3</v>
      </c>
      <c r="E1260" s="460">
        <v>1</v>
      </c>
      <c r="G1260" s="1790" t="s">
        <v>2805</v>
      </c>
      <c r="H1260" s="1749" t="s">
        <v>1239</v>
      </c>
      <c r="I1260" s="1750" t="s">
        <v>7042</v>
      </c>
      <c r="J1260" s="1751" t="s">
        <v>3266</v>
      </c>
      <c r="K1260" s="1752" t="s">
        <v>1130</v>
      </c>
      <c r="L1260" s="1753">
        <v>1</v>
      </c>
      <c r="M1260" s="1753">
        <v>123.57732628053333</v>
      </c>
      <c r="N1260" s="1754">
        <v>123.577326280533</v>
      </c>
      <c r="O1260" s="1755" t="s">
        <v>3336</v>
      </c>
      <c r="P1260" s="1721" t="s">
        <v>9611</v>
      </c>
    </row>
    <row r="1261" spans="1:16" ht="13.9" hidden="1" customHeight="1" outlineLevel="3" x14ac:dyDescent="0.2">
      <c r="A1261" s="459">
        <v>0</v>
      </c>
      <c r="B1261" s="459">
        <v>11</v>
      </c>
      <c r="C1261" s="459">
        <v>1</v>
      </c>
      <c r="D1261" s="460">
        <v>3</v>
      </c>
      <c r="E1261" s="460">
        <v>2</v>
      </c>
      <c r="G1261" s="1790" t="s">
        <v>2805</v>
      </c>
      <c r="H1261" s="1749" t="s">
        <v>1239</v>
      </c>
      <c r="I1261" s="1750" t="s">
        <v>7043</v>
      </c>
      <c r="J1261" s="1751" t="s">
        <v>5497</v>
      </c>
      <c r="K1261" s="1752" t="s">
        <v>1130</v>
      </c>
      <c r="L1261" s="1753">
        <v>1</v>
      </c>
      <c r="M1261" s="1753">
        <v>13634.344611747627</v>
      </c>
      <c r="N1261" s="1754">
        <v>13634.3446117476</v>
      </c>
      <c r="O1261" s="1761" t="s">
        <v>5445</v>
      </c>
      <c r="P1261" s="1721" t="s">
        <v>9611</v>
      </c>
    </row>
    <row r="1262" spans="1:16" ht="13.9" hidden="1" customHeight="1" outlineLevel="2" x14ac:dyDescent="0.2">
      <c r="A1262" s="459">
        <v>0</v>
      </c>
      <c r="B1262" s="459">
        <v>11</v>
      </c>
      <c r="C1262" s="459">
        <v>1</v>
      </c>
      <c r="D1262" s="460">
        <v>4</v>
      </c>
      <c r="E1262" s="460">
        <v>0</v>
      </c>
      <c r="G1262" s="1740"/>
      <c r="H1262" s="1741" t="s">
        <v>1238</v>
      </c>
      <c r="I1262" s="1742" t="s">
        <v>7044</v>
      </c>
      <c r="J1262" s="1743" t="s">
        <v>2806</v>
      </c>
      <c r="K1262" s="1744"/>
      <c r="L1262" s="1745"/>
      <c r="M1262" s="1745"/>
      <c r="N1262" s="1746">
        <v>0</v>
      </c>
      <c r="O1262" s="1747"/>
      <c r="P1262" s="1720"/>
    </row>
    <row r="1263" spans="1:16" ht="13.9" hidden="1" customHeight="1" outlineLevel="3" x14ac:dyDescent="0.2">
      <c r="A1263" s="459">
        <v>0</v>
      </c>
      <c r="B1263" s="459">
        <v>11</v>
      </c>
      <c r="C1263" s="459">
        <v>1</v>
      </c>
      <c r="D1263" s="460">
        <v>4</v>
      </c>
      <c r="E1263" s="460">
        <v>1</v>
      </c>
      <c r="G1263" s="1790" t="s">
        <v>2805</v>
      </c>
      <c r="H1263" s="1749" t="s">
        <v>1239</v>
      </c>
      <c r="I1263" s="1750" t="s">
        <v>7045</v>
      </c>
      <c r="J1263" s="1751" t="s">
        <v>2806</v>
      </c>
      <c r="K1263" s="1752" t="s">
        <v>534</v>
      </c>
      <c r="L1263" s="1753">
        <v>0</v>
      </c>
      <c r="M1263" s="1753">
        <v>2262</v>
      </c>
      <c r="N1263" s="1754">
        <v>0</v>
      </c>
      <c r="O1263" s="1755" t="s">
        <v>2807</v>
      </c>
      <c r="P1263" s="1721" t="s">
        <v>9611</v>
      </c>
    </row>
    <row r="1264" spans="1:16" ht="13.9" hidden="1" customHeight="1" outlineLevel="3" x14ac:dyDescent="0.2">
      <c r="A1264" s="459">
        <v>0</v>
      </c>
      <c r="B1264" s="459">
        <v>11</v>
      </c>
      <c r="C1264" s="459">
        <v>1</v>
      </c>
      <c r="D1264" s="460">
        <v>4</v>
      </c>
      <c r="E1264" s="460">
        <v>2</v>
      </c>
      <c r="G1264" s="1790" t="s">
        <v>2805</v>
      </c>
      <c r="H1264" s="1749" t="s">
        <v>1239</v>
      </c>
      <c r="I1264" s="1750" t="s">
        <v>7046</v>
      </c>
      <c r="J1264" s="1751" t="s">
        <v>3262</v>
      </c>
      <c r="K1264" s="1752" t="s">
        <v>534</v>
      </c>
      <c r="L1264" s="1753">
        <v>0</v>
      </c>
      <c r="M1264" s="1753">
        <v>1100</v>
      </c>
      <c r="N1264" s="1754">
        <v>0</v>
      </c>
      <c r="O1264" s="1755" t="s">
        <v>3263</v>
      </c>
      <c r="P1264" s="1721" t="s">
        <v>9611</v>
      </c>
    </row>
    <row r="1265" spans="1:16" ht="13.9" hidden="1" customHeight="1" outlineLevel="2" x14ac:dyDescent="0.2">
      <c r="A1265" s="459">
        <v>0</v>
      </c>
      <c r="B1265" s="459">
        <v>11</v>
      </c>
      <c r="C1265" s="459">
        <v>1</v>
      </c>
      <c r="D1265" s="460">
        <v>5</v>
      </c>
      <c r="E1265" s="460">
        <v>0</v>
      </c>
      <c r="G1265" s="1740"/>
      <c r="H1265" s="1741" t="s">
        <v>1238</v>
      </c>
      <c r="I1265" s="1742" t="s">
        <v>7047</v>
      </c>
      <c r="J1265" s="1743" t="s">
        <v>15</v>
      </c>
      <c r="K1265" s="1744"/>
      <c r="L1265" s="1745"/>
      <c r="M1265" s="1745"/>
      <c r="N1265" s="1746">
        <v>1852.21285291666</v>
      </c>
      <c r="O1265" s="1747"/>
      <c r="P1265" s="1720"/>
    </row>
    <row r="1266" spans="1:16" ht="13.9" hidden="1" customHeight="1" outlineLevel="3" x14ac:dyDescent="0.2">
      <c r="A1266" s="459">
        <v>0</v>
      </c>
      <c r="B1266" s="459">
        <v>11</v>
      </c>
      <c r="C1266" s="459">
        <v>1</v>
      </c>
      <c r="D1266" s="460">
        <v>5</v>
      </c>
      <c r="E1266" s="460">
        <v>1</v>
      </c>
      <c r="G1266" s="1790" t="s">
        <v>2805</v>
      </c>
      <c r="H1266" s="1749" t="s">
        <v>1239</v>
      </c>
      <c r="I1266" s="1750" t="s">
        <v>7048</v>
      </c>
      <c r="J1266" s="1751" t="s">
        <v>2808</v>
      </c>
      <c r="K1266" s="1752" t="s">
        <v>1130</v>
      </c>
      <c r="L1266" s="1753">
        <v>1</v>
      </c>
      <c r="M1266" s="1753">
        <v>1852.2128529166589</v>
      </c>
      <c r="N1266" s="1754">
        <v>1852.21285291666</v>
      </c>
      <c r="O1266" s="1755" t="s">
        <v>5447</v>
      </c>
      <c r="P1266" s="1721" t="s">
        <v>9611</v>
      </c>
    </row>
    <row r="1267" spans="1:16" ht="13.9" hidden="1" customHeight="1" outlineLevel="1" x14ac:dyDescent="0.2">
      <c r="A1267" s="459">
        <v>0</v>
      </c>
      <c r="B1267" s="459">
        <v>11</v>
      </c>
      <c r="C1267" s="459">
        <v>2</v>
      </c>
      <c r="D1267" s="460">
        <v>0</v>
      </c>
      <c r="E1267" s="460">
        <v>1</v>
      </c>
      <c r="G1267" s="1733"/>
      <c r="H1267" s="1734" t="s">
        <v>39</v>
      </c>
      <c r="I1267" s="1735" t="s">
        <v>7049</v>
      </c>
      <c r="J1267" s="1736" t="s">
        <v>5500</v>
      </c>
      <c r="K1267" s="1737"/>
      <c r="L1267" s="1738"/>
      <c r="M1267" s="1738"/>
      <c r="N1267" s="1739">
        <v>57957.020861254801</v>
      </c>
      <c r="O1267" s="1722"/>
      <c r="P1267" s="1725"/>
    </row>
    <row r="1268" spans="1:16" ht="13.9" hidden="1" customHeight="1" outlineLevel="2" x14ac:dyDescent="0.2">
      <c r="A1268" s="459">
        <v>0</v>
      </c>
      <c r="B1268" s="459">
        <v>11</v>
      </c>
      <c r="C1268" s="459">
        <v>2</v>
      </c>
      <c r="D1268" s="460">
        <v>1</v>
      </c>
      <c r="E1268" s="460">
        <v>0</v>
      </c>
      <c r="G1268" s="1740"/>
      <c r="H1268" s="1741" t="s">
        <v>1238</v>
      </c>
      <c r="I1268" s="1742" t="s">
        <v>7050</v>
      </c>
      <c r="J1268" s="1743" t="s">
        <v>1303</v>
      </c>
      <c r="K1268" s="1744"/>
      <c r="L1268" s="1745"/>
      <c r="M1268" s="1745"/>
      <c r="N1268" s="1746">
        <v>37980.2659554848</v>
      </c>
      <c r="O1268" s="1747"/>
      <c r="P1268" s="1720"/>
    </row>
    <row r="1269" spans="1:16" ht="33.75" hidden="1" customHeight="1" outlineLevel="3" x14ac:dyDescent="0.2">
      <c r="A1269" s="459">
        <v>0</v>
      </c>
      <c r="B1269" s="459">
        <v>11</v>
      </c>
      <c r="C1269" s="459">
        <v>2</v>
      </c>
      <c r="D1269" s="460">
        <v>1</v>
      </c>
      <c r="E1269" s="460">
        <v>1</v>
      </c>
      <c r="G1269" s="1790" t="s">
        <v>2805</v>
      </c>
      <c r="H1269" s="1749" t="s">
        <v>1239</v>
      </c>
      <c r="I1269" s="1750" t="s">
        <v>7051</v>
      </c>
      <c r="J1269" s="1751" t="s">
        <v>1261</v>
      </c>
      <c r="K1269" s="1752" t="s">
        <v>1130</v>
      </c>
      <c r="L1269" s="1753">
        <v>1</v>
      </c>
      <c r="M1269" s="1753">
        <v>29262.070870640488</v>
      </c>
      <c r="N1269" s="1754">
        <v>29262.070870640498</v>
      </c>
      <c r="O1269" s="1761" t="s">
        <v>5445</v>
      </c>
      <c r="P1269" s="1721" t="s">
        <v>9611</v>
      </c>
    </row>
    <row r="1270" spans="1:16" ht="33" hidden="1" customHeight="1" outlineLevel="3" x14ac:dyDescent="0.2">
      <c r="A1270" s="459">
        <v>0</v>
      </c>
      <c r="B1270" s="459">
        <v>11</v>
      </c>
      <c r="C1270" s="459">
        <v>2</v>
      </c>
      <c r="D1270" s="460">
        <v>1</v>
      </c>
      <c r="E1270" s="460">
        <v>2</v>
      </c>
      <c r="G1270" s="1790" t="s">
        <v>2805</v>
      </c>
      <c r="H1270" s="1749" t="s">
        <v>1239</v>
      </c>
      <c r="I1270" s="1750" t="s">
        <v>7052</v>
      </c>
      <c r="J1270" s="1751" t="s">
        <v>1262</v>
      </c>
      <c r="K1270" s="1752" t="s">
        <v>1130</v>
      </c>
      <c r="L1270" s="1753">
        <v>1</v>
      </c>
      <c r="M1270" s="1753">
        <v>8718.1950848442739</v>
      </c>
      <c r="N1270" s="1754">
        <v>8718.1950848442702</v>
      </c>
      <c r="O1270" s="1761" t="s">
        <v>5446</v>
      </c>
      <c r="P1270" s="1721" t="s">
        <v>9611</v>
      </c>
    </row>
    <row r="1271" spans="1:16" ht="13.9" hidden="1" customHeight="1" outlineLevel="2" x14ac:dyDescent="0.2">
      <c r="A1271" s="459">
        <v>0</v>
      </c>
      <c r="B1271" s="459">
        <v>11</v>
      </c>
      <c r="C1271" s="459">
        <v>2</v>
      </c>
      <c r="D1271" s="460">
        <v>2</v>
      </c>
      <c r="E1271" s="460">
        <v>0</v>
      </c>
      <c r="G1271" s="1740"/>
      <c r="H1271" s="1741" t="s">
        <v>1238</v>
      </c>
      <c r="I1271" s="1742" t="s">
        <v>7053</v>
      </c>
      <c r="J1271" s="1743" t="s">
        <v>1682</v>
      </c>
      <c r="K1271" s="1744"/>
      <c r="L1271" s="1745"/>
      <c r="M1271" s="1745"/>
      <c r="N1271" s="1746">
        <v>2220.4205686996402</v>
      </c>
      <c r="O1271" s="1747"/>
      <c r="P1271" s="1720"/>
    </row>
    <row r="1272" spans="1:16" ht="13.9" hidden="1" customHeight="1" outlineLevel="3" x14ac:dyDescent="0.2">
      <c r="A1272" s="459">
        <v>0</v>
      </c>
      <c r="B1272" s="459">
        <v>11</v>
      </c>
      <c r="C1272" s="459">
        <v>2</v>
      </c>
      <c r="D1272" s="460">
        <v>2</v>
      </c>
      <c r="E1272" s="460">
        <v>1</v>
      </c>
      <c r="G1272" s="1790" t="s">
        <v>2805</v>
      </c>
      <c r="H1272" s="1749" t="s">
        <v>1239</v>
      </c>
      <c r="I1272" s="1750" t="s">
        <v>7054</v>
      </c>
      <c r="J1272" s="1751" t="s">
        <v>3265</v>
      </c>
      <c r="K1272" s="1752" t="s">
        <v>1130</v>
      </c>
      <c r="L1272" s="1753">
        <v>1</v>
      </c>
      <c r="M1272" s="1753">
        <v>2220.4205686996356</v>
      </c>
      <c r="N1272" s="1754">
        <v>2220.4205686996402</v>
      </c>
      <c r="O1272" s="1755" t="s">
        <v>3267</v>
      </c>
      <c r="P1272" s="1721" t="s">
        <v>9611</v>
      </c>
    </row>
    <row r="1273" spans="1:16" ht="13.9" hidden="1" customHeight="1" outlineLevel="2" x14ac:dyDescent="0.2">
      <c r="A1273" s="459">
        <v>0</v>
      </c>
      <c r="B1273" s="459">
        <v>11</v>
      </c>
      <c r="C1273" s="459">
        <v>2</v>
      </c>
      <c r="D1273" s="460">
        <v>3</v>
      </c>
      <c r="E1273" s="460">
        <v>0</v>
      </c>
      <c r="G1273" s="1740"/>
      <c r="H1273" s="1741" t="s">
        <v>1238</v>
      </c>
      <c r="I1273" s="1742" t="s">
        <v>7055</v>
      </c>
      <c r="J1273" s="1743" t="s">
        <v>3264</v>
      </c>
      <c r="K1273" s="1744"/>
      <c r="L1273" s="1745"/>
      <c r="M1273" s="1745"/>
      <c r="N1273" s="1746">
        <v>15649.465234384301</v>
      </c>
      <c r="O1273" s="1747"/>
      <c r="P1273" s="1720"/>
    </row>
    <row r="1274" spans="1:16" ht="13.9" hidden="1" customHeight="1" outlineLevel="3" x14ac:dyDescent="0.2">
      <c r="A1274" s="459">
        <v>0</v>
      </c>
      <c r="B1274" s="459">
        <v>11</v>
      </c>
      <c r="C1274" s="459">
        <v>2</v>
      </c>
      <c r="D1274" s="460">
        <v>3</v>
      </c>
      <c r="E1274" s="460">
        <v>1</v>
      </c>
      <c r="G1274" s="1790" t="s">
        <v>2805</v>
      </c>
      <c r="H1274" s="1749" t="s">
        <v>1239</v>
      </c>
      <c r="I1274" s="1750" t="s">
        <v>7056</v>
      </c>
      <c r="J1274" s="1751" t="s">
        <v>3266</v>
      </c>
      <c r="K1274" s="1752" t="s">
        <v>1130</v>
      </c>
      <c r="L1274" s="1753">
        <v>1</v>
      </c>
      <c r="M1274" s="1753">
        <v>140.56767294483925</v>
      </c>
      <c r="N1274" s="1754">
        <v>140.56767294483899</v>
      </c>
      <c r="O1274" s="1755" t="s">
        <v>3336</v>
      </c>
      <c r="P1274" s="1721" t="s">
        <v>9611</v>
      </c>
    </row>
    <row r="1275" spans="1:16" ht="13.9" hidden="1" customHeight="1" outlineLevel="3" x14ac:dyDescent="0.2">
      <c r="A1275" s="459">
        <v>0</v>
      </c>
      <c r="B1275" s="459">
        <v>11</v>
      </c>
      <c r="C1275" s="459">
        <v>2</v>
      </c>
      <c r="D1275" s="460">
        <v>3</v>
      </c>
      <c r="E1275" s="460">
        <v>2</v>
      </c>
      <c r="G1275" s="1790" t="s">
        <v>2805</v>
      </c>
      <c r="H1275" s="1749" t="s">
        <v>1239</v>
      </c>
      <c r="I1275" s="1750" t="s">
        <v>7057</v>
      </c>
      <c r="J1275" s="1751" t="s">
        <v>5497</v>
      </c>
      <c r="K1275" s="1752" t="s">
        <v>1130</v>
      </c>
      <c r="L1275" s="1753">
        <v>1</v>
      </c>
      <c r="M1275" s="1753">
        <v>15508.897561439459</v>
      </c>
      <c r="N1275" s="1754">
        <v>15508.8975614395</v>
      </c>
      <c r="O1275" s="1761" t="s">
        <v>5445</v>
      </c>
      <c r="P1275" s="1721" t="s">
        <v>9611</v>
      </c>
    </row>
    <row r="1276" spans="1:16" ht="13.9" hidden="1" customHeight="1" outlineLevel="2" x14ac:dyDescent="0.2">
      <c r="A1276" s="459">
        <v>0</v>
      </c>
      <c r="B1276" s="459">
        <v>11</v>
      </c>
      <c r="C1276" s="459">
        <v>2</v>
      </c>
      <c r="D1276" s="460">
        <v>4</v>
      </c>
      <c r="E1276" s="460">
        <v>0</v>
      </c>
      <c r="G1276" s="1740"/>
      <c r="H1276" s="1741" t="s">
        <v>1238</v>
      </c>
      <c r="I1276" s="1742" t="s">
        <v>7058</v>
      </c>
      <c r="J1276" s="1743" t="s">
        <v>2806</v>
      </c>
      <c r="K1276" s="1744"/>
      <c r="L1276" s="1745"/>
      <c r="M1276" s="1745"/>
      <c r="N1276" s="1746">
        <v>0</v>
      </c>
      <c r="O1276" s="1747"/>
      <c r="P1276" s="1720"/>
    </row>
    <row r="1277" spans="1:16" ht="13.9" hidden="1" customHeight="1" outlineLevel="3" x14ac:dyDescent="0.2">
      <c r="A1277" s="459">
        <v>0</v>
      </c>
      <c r="B1277" s="459">
        <v>11</v>
      </c>
      <c r="C1277" s="459">
        <v>2</v>
      </c>
      <c r="D1277" s="460">
        <v>4</v>
      </c>
      <c r="E1277" s="460">
        <v>1</v>
      </c>
      <c r="G1277" s="1790" t="s">
        <v>2805</v>
      </c>
      <c r="H1277" s="1749" t="s">
        <v>1239</v>
      </c>
      <c r="I1277" s="1750" t="s">
        <v>7059</v>
      </c>
      <c r="J1277" s="1751" t="s">
        <v>2806</v>
      </c>
      <c r="K1277" s="1752" t="s">
        <v>534</v>
      </c>
      <c r="L1277" s="1753">
        <v>0</v>
      </c>
      <c r="M1277" s="1753">
        <v>2262</v>
      </c>
      <c r="N1277" s="1754">
        <v>0</v>
      </c>
      <c r="O1277" s="1755" t="s">
        <v>2807</v>
      </c>
      <c r="P1277" s="1721" t="s">
        <v>9611</v>
      </c>
    </row>
    <row r="1278" spans="1:16" ht="13.9" hidden="1" customHeight="1" outlineLevel="3" x14ac:dyDescent="0.2">
      <c r="A1278" s="459">
        <v>0</v>
      </c>
      <c r="B1278" s="459">
        <v>11</v>
      </c>
      <c r="C1278" s="459">
        <v>2</v>
      </c>
      <c r="D1278" s="460">
        <v>4</v>
      </c>
      <c r="E1278" s="460">
        <v>2</v>
      </c>
      <c r="G1278" s="1790" t="s">
        <v>2805</v>
      </c>
      <c r="H1278" s="1749" t="s">
        <v>1239</v>
      </c>
      <c r="I1278" s="1750" t="s">
        <v>7060</v>
      </c>
      <c r="J1278" s="1751" t="s">
        <v>3262</v>
      </c>
      <c r="K1278" s="1752" t="s">
        <v>534</v>
      </c>
      <c r="L1278" s="1753">
        <v>0</v>
      </c>
      <c r="M1278" s="1753">
        <v>1100</v>
      </c>
      <c r="N1278" s="1754">
        <v>0</v>
      </c>
      <c r="O1278" s="1755" t="s">
        <v>3263</v>
      </c>
      <c r="P1278" s="1721" t="s">
        <v>9611</v>
      </c>
    </row>
    <row r="1279" spans="1:16" ht="13.9" hidden="1" customHeight="1" outlineLevel="2" x14ac:dyDescent="0.2">
      <c r="A1279" s="459">
        <v>0</v>
      </c>
      <c r="B1279" s="459">
        <v>11</v>
      </c>
      <c r="C1279" s="459">
        <v>2</v>
      </c>
      <c r="D1279" s="460">
        <v>5</v>
      </c>
      <c r="E1279" s="460">
        <v>0</v>
      </c>
      <c r="G1279" s="1740"/>
      <c r="H1279" s="1741" t="s">
        <v>1238</v>
      </c>
      <c r="I1279" s="1742" t="s">
        <v>7061</v>
      </c>
      <c r="J1279" s="1743" t="s">
        <v>15</v>
      </c>
      <c r="K1279" s="1744"/>
      <c r="L1279" s="1745"/>
      <c r="M1279" s="1745"/>
      <c r="N1279" s="1746">
        <v>2106.8691026861202</v>
      </c>
      <c r="O1279" s="1747"/>
      <c r="P1279" s="1720"/>
    </row>
    <row r="1280" spans="1:16" ht="13.9" hidden="1" customHeight="1" outlineLevel="3" x14ac:dyDescent="0.2">
      <c r="A1280" s="459">
        <v>0</v>
      </c>
      <c r="B1280" s="459">
        <v>11</v>
      </c>
      <c r="C1280" s="459">
        <v>2</v>
      </c>
      <c r="D1280" s="460">
        <v>5</v>
      </c>
      <c r="E1280" s="460">
        <v>1</v>
      </c>
      <c r="G1280" s="1790" t="s">
        <v>2805</v>
      </c>
      <c r="H1280" s="1749" t="s">
        <v>1239</v>
      </c>
      <c r="I1280" s="1750" t="s">
        <v>7062</v>
      </c>
      <c r="J1280" s="1751" t="s">
        <v>2808</v>
      </c>
      <c r="K1280" s="1752" t="s">
        <v>1130</v>
      </c>
      <c r="L1280" s="1753">
        <v>1</v>
      </c>
      <c r="M1280" s="1753">
        <v>2106.8691026861152</v>
      </c>
      <c r="N1280" s="1754">
        <v>2106.8691026861202</v>
      </c>
      <c r="O1280" s="1755" t="s">
        <v>5447</v>
      </c>
      <c r="P1280" s="1721" t="s">
        <v>9611</v>
      </c>
    </row>
    <row r="1281" spans="1:16" ht="13.9" hidden="1" customHeight="1" outlineLevel="1" x14ac:dyDescent="0.2">
      <c r="A1281" s="459">
        <v>0</v>
      </c>
      <c r="B1281" s="459">
        <v>11</v>
      </c>
      <c r="C1281" s="459">
        <v>3</v>
      </c>
      <c r="D1281" s="460">
        <v>0</v>
      </c>
      <c r="E1281" s="460">
        <v>1</v>
      </c>
      <c r="G1281" s="1733"/>
      <c r="H1281" s="1734" t="s">
        <v>39</v>
      </c>
      <c r="I1281" s="1735" t="s">
        <v>7063</v>
      </c>
      <c r="J1281" s="1736" t="s">
        <v>5501</v>
      </c>
      <c r="K1281" s="1737"/>
      <c r="L1281" s="1738"/>
      <c r="M1281" s="1738"/>
      <c r="N1281" s="1739">
        <v>35785.331061010402</v>
      </c>
      <c r="O1281" s="1722"/>
      <c r="P1281" s="1725"/>
    </row>
    <row r="1282" spans="1:16" ht="13.9" hidden="1" customHeight="1" outlineLevel="2" x14ac:dyDescent="0.2">
      <c r="A1282" s="459">
        <v>0</v>
      </c>
      <c r="B1282" s="459">
        <v>11</v>
      </c>
      <c r="C1282" s="459">
        <v>3</v>
      </c>
      <c r="D1282" s="460">
        <v>1</v>
      </c>
      <c r="E1282" s="460">
        <v>0</v>
      </c>
      <c r="G1282" s="1740"/>
      <c r="H1282" s="1741" t="s">
        <v>1238</v>
      </c>
      <c r="I1282" s="1742" t="s">
        <v>7064</v>
      </c>
      <c r="J1282" s="1743" t="s">
        <v>1303</v>
      </c>
      <c r="K1282" s="1744"/>
      <c r="L1282" s="1745"/>
      <c r="M1282" s="1745"/>
      <c r="N1282" s="1746">
        <v>21247.585168463102</v>
      </c>
      <c r="O1282" s="1747"/>
      <c r="P1282" s="1720"/>
    </row>
    <row r="1283" spans="1:16" ht="33.75" hidden="1" customHeight="1" outlineLevel="3" x14ac:dyDescent="0.2">
      <c r="A1283" s="459">
        <v>0</v>
      </c>
      <c r="B1283" s="459">
        <v>11</v>
      </c>
      <c r="C1283" s="459">
        <v>3</v>
      </c>
      <c r="D1283" s="460">
        <v>1</v>
      </c>
      <c r="E1283" s="460">
        <v>1</v>
      </c>
      <c r="G1283" s="1790" t="s">
        <v>2805</v>
      </c>
      <c r="H1283" s="1749" t="s">
        <v>1239</v>
      </c>
      <c r="I1283" s="1750" t="s">
        <v>7065</v>
      </c>
      <c r="J1283" s="1751" t="s">
        <v>1261</v>
      </c>
      <c r="K1283" s="1752" t="s">
        <v>1130</v>
      </c>
      <c r="L1283" s="1753">
        <v>1</v>
      </c>
      <c r="M1283" s="1753">
        <v>16370.299875157909</v>
      </c>
      <c r="N1283" s="1754">
        <v>16370.2998751579</v>
      </c>
      <c r="O1283" s="1761" t="s">
        <v>5445</v>
      </c>
      <c r="P1283" s="1721" t="s">
        <v>9611</v>
      </c>
    </row>
    <row r="1284" spans="1:16" ht="33" hidden="1" customHeight="1" outlineLevel="3" x14ac:dyDescent="0.2">
      <c r="A1284" s="459">
        <v>0</v>
      </c>
      <c r="B1284" s="459">
        <v>11</v>
      </c>
      <c r="C1284" s="459">
        <v>3</v>
      </c>
      <c r="D1284" s="460">
        <v>1</v>
      </c>
      <c r="E1284" s="460">
        <v>2</v>
      </c>
      <c r="G1284" s="1790" t="s">
        <v>2805</v>
      </c>
      <c r="H1284" s="1749" t="s">
        <v>1239</v>
      </c>
      <c r="I1284" s="1750" t="s">
        <v>7066</v>
      </c>
      <c r="J1284" s="1751" t="s">
        <v>1262</v>
      </c>
      <c r="K1284" s="1752" t="s">
        <v>1130</v>
      </c>
      <c r="L1284" s="1753">
        <v>1</v>
      </c>
      <c r="M1284" s="1753">
        <v>4877.2852933051718</v>
      </c>
      <c r="N1284" s="1754">
        <v>4877.2852933051699</v>
      </c>
      <c r="O1284" s="1761" t="s">
        <v>5446</v>
      </c>
      <c r="P1284" s="1721" t="s">
        <v>9611</v>
      </c>
    </row>
    <row r="1285" spans="1:16" ht="13.9" hidden="1" customHeight="1" outlineLevel="2" x14ac:dyDescent="0.2">
      <c r="A1285" s="459">
        <v>0</v>
      </c>
      <c r="B1285" s="459">
        <v>11</v>
      </c>
      <c r="C1285" s="459">
        <v>3</v>
      </c>
      <c r="D1285" s="460">
        <v>2</v>
      </c>
      <c r="E1285" s="460">
        <v>0</v>
      </c>
      <c r="G1285" s="1740"/>
      <c r="H1285" s="1741" t="s">
        <v>1238</v>
      </c>
      <c r="I1285" s="1742" t="s">
        <v>7067</v>
      </c>
      <c r="J1285" s="1743" t="s">
        <v>1682</v>
      </c>
      <c r="K1285" s="1744"/>
      <c r="L1285" s="1745"/>
      <c r="M1285" s="1745"/>
      <c r="N1285" s="1746">
        <v>1242.1865396769199</v>
      </c>
      <c r="O1285" s="1747"/>
      <c r="P1285" s="1720"/>
    </row>
    <row r="1286" spans="1:16" ht="13.9" hidden="1" customHeight="1" outlineLevel="3" x14ac:dyDescent="0.2">
      <c r="A1286" s="459">
        <v>0</v>
      </c>
      <c r="B1286" s="459">
        <v>11</v>
      </c>
      <c r="C1286" s="459">
        <v>3</v>
      </c>
      <c r="D1286" s="460">
        <v>2</v>
      </c>
      <c r="E1286" s="460">
        <v>1</v>
      </c>
      <c r="G1286" s="1790" t="s">
        <v>2805</v>
      </c>
      <c r="H1286" s="1749" t="s">
        <v>1239</v>
      </c>
      <c r="I1286" s="1750" t="s">
        <v>7068</v>
      </c>
      <c r="J1286" s="1751" t="s">
        <v>3265</v>
      </c>
      <c r="K1286" s="1752" t="s">
        <v>1130</v>
      </c>
      <c r="L1286" s="1753">
        <v>1</v>
      </c>
      <c r="M1286" s="1753">
        <v>1242.1865396769197</v>
      </c>
      <c r="N1286" s="1754">
        <v>1242.1865396769199</v>
      </c>
      <c r="O1286" s="1755" t="s">
        <v>3267</v>
      </c>
      <c r="P1286" s="1721" t="s">
        <v>9611</v>
      </c>
    </row>
    <row r="1287" spans="1:16" ht="13.9" hidden="1" customHeight="1" outlineLevel="2" x14ac:dyDescent="0.2">
      <c r="A1287" s="459">
        <v>0</v>
      </c>
      <c r="B1287" s="459">
        <v>11</v>
      </c>
      <c r="C1287" s="459">
        <v>3</v>
      </c>
      <c r="D1287" s="460">
        <v>3</v>
      </c>
      <c r="E1287" s="460">
        <v>0</v>
      </c>
      <c r="G1287" s="1740"/>
      <c r="H1287" s="1741" t="s">
        <v>1238</v>
      </c>
      <c r="I1287" s="1742" t="s">
        <v>7069</v>
      </c>
      <c r="J1287" s="1743" t="s">
        <v>3264</v>
      </c>
      <c r="K1287" s="1744"/>
      <c r="L1287" s="1745"/>
      <c r="M1287" s="1745"/>
      <c r="N1287" s="1746">
        <v>8754.8977618589797</v>
      </c>
      <c r="O1287" s="1747"/>
      <c r="P1287" s="1720"/>
    </row>
    <row r="1288" spans="1:16" ht="13.9" hidden="1" customHeight="1" outlineLevel="3" x14ac:dyDescent="0.2">
      <c r="A1288" s="459">
        <v>0</v>
      </c>
      <c r="B1288" s="459">
        <v>11</v>
      </c>
      <c r="C1288" s="459">
        <v>3</v>
      </c>
      <c r="D1288" s="460">
        <v>3</v>
      </c>
      <c r="E1288" s="460">
        <v>1</v>
      </c>
      <c r="G1288" s="1790" t="s">
        <v>2805</v>
      </c>
      <c r="H1288" s="1749" t="s">
        <v>1239</v>
      </c>
      <c r="I1288" s="1750" t="s">
        <v>7070</v>
      </c>
      <c r="J1288" s="1751" t="s">
        <v>3266</v>
      </c>
      <c r="K1288" s="1752" t="s">
        <v>1130</v>
      </c>
      <c r="L1288" s="1753">
        <v>1</v>
      </c>
      <c r="M1288" s="1753">
        <v>78.638828025289811</v>
      </c>
      <c r="N1288" s="1754">
        <v>78.638828025289797</v>
      </c>
      <c r="O1288" s="1755" t="s">
        <v>3336</v>
      </c>
      <c r="P1288" s="1721" t="s">
        <v>9611</v>
      </c>
    </row>
    <row r="1289" spans="1:16" ht="13.9" hidden="1" customHeight="1" outlineLevel="3" x14ac:dyDescent="0.2">
      <c r="A1289" s="459">
        <v>0</v>
      </c>
      <c r="B1289" s="459">
        <v>11</v>
      </c>
      <c r="C1289" s="459">
        <v>3</v>
      </c>
      <c r="D1289" s="460">
        <v>3</v>
      </c>
      <c r="E1289" s="460">
        <v>2</v>
      </c>
      <c r="G1289" s="1790" t="s">
        <v>2805</v>
      </c>
      <c r="H1289" s="1749" t="s">
        <v>1239</v>
      </c>
      <c r="I1289" s="1750" t="s">
        <v>7071</v>
      </c>
      <c r="J1289" s="1751" t="s">
        <v>5497</v>
      </c>
      <c r="K1289" s="1752" t="s">
        <v>1130</v>
      </c>
      <c r="L1289" s="1753">
        <v>1</v>
      </c>
      <c r="M1289" s="1753">
        <v>8676.2589338336911</v>
      </c>
      <c r="N1289" s="1754">
        <v>8676.2589338336893</v>
      </c>
      <c r="O1289" s="1761" t="s">
        <v>5445</v>
      </c>
      <c r="P1289" s="1721" t="s">
        <v>9611</v>
      </c>
    </row>
    <row r="1290" spans="1:16" ht="13.9" hidden="1" customHeight="1" outlineLevel="2" x14ac:dyDescent="0.2">
      <c r="A1290" s="459">
        <v>0</v>
      </c>
      <c r="B1290" s="459">
        <v>11</v>
      </c>
      <c r="C1290" s="459">
        <v>3</v>
      </c>
      <c r="D1290" s="460">
        <v>4</v>
      </c>
      <c r="E1290" s="460">
        <v>0</v>
      </c>
      <c r="G1290" s="1740"/>
      <c r="H1290" s="1741" t="s">
        <v>1238</v>
      </c>
      <c r="I1290" s="1742" t="s">
        <v>7072</v>
      </c>
      <c r="J1290" s="1743" t="s">
        <v>2806</v>
      </c>
      <c r="K1290" s="1744"/>
      <c r="L1290" s="1745"/>
      <c r="M1290" s="1745"/>
      <c r="N1290" s="1746">
        <v>3362</v>
      </c>
      <c r="O1290" s="1747"/>
      <c r="P1290" s="1720"/>
    </row>
    <row r="1291" spans="1:16" ht="13.9" hidden="1" customHeight="1" outlineLevel="3" x14ac:dyDescent="0.2">
      <c r="A1291" s="459">
        <v>0</v>
      </c>
      <c r="B1291" s="459">
        <v>11</v>
      </c>
      <c r="C1291" s="459">
        <v>3</v>
      </c>
      <c r="D1291" s="460">
        <v>4</v>
      </c>
      <c r="E1291" s="460">
        <v>1</v>
      </c>
      <c r="G1291" s="1790" t="s">
        <v>2805</v>
      </c>
      <c r="H1291" s="1749" t="s">
        <v>1239</v>
      </c>
      <c r="I1291" s="1750" t="s">
        <v>7073</v>
      </c>
      <c r="J1291" s="1751" t="s">
        <v>2806</v>
      </c>
      <c r="K1291" s="1752" t="s">
        <v>534</v>
      </c>
      <c r="L1291" s="1753">
        <v>1</v>
      </c>
      <c r="M1291" s="1753">
        <v>2262</v>
      </c>
      <c r="N1291" s="1754">
        <v>2262</v>
      </c>
      <c r="O1291" s="1755" t="s">
        <v>2807</v>
      </c>
      <c r="P1291" s="1721" t="s">
        <v>9611</v>
      </c>
    </row>
    <row r="1292" spans="1:16" ht="13.9" hidden="1" customHeight="1" outlineLevel="3" x14ac:dyDescent="0.2">
      <c r="A1292" s="459">
        <v>0</v>
      </c>
      <c r="B1292" s="459">
        <v>11</v>
      </c>
      <c r="C1292" s="459">
        <v>3</v>
      </c>
      <c r="D1292" s="460">
        <v>4</v>
      </c>
      <c r="E1292" s="460">
        <v>2</v>
      </c>
      <c r="G1292" s="1790" t="s">
        <v>2805</v>
      </c>
      <c r="H1292" s="1749" t="s">
        <v>1239</v>
      </c>
      <c r="I1292" s="1750" t="s">
        <v>7074</v>
      </c>
      <c r="J1292" s="1751" t="s">
        <v>3262</v>
      </c>
      <c r="K1292" s="1752" t="s">
        <v>534</v>
      </c>
      <c r="L1292" s="1753">
        <v>1</v>
      </c>
      <c r="M1292" s="1753">
        <v>1100</v>
      </c>
      <c r="N1292" s="1754">
        <v>1100</v>
      </c>
      <c r="O1292" s="1755" t="s">
        <v>3263</v>
      </c>
      <c r="P1292" s="1721" t="s">
        <v>9611</v>
      </c>
    </row>
    <row r="1293" spans="1:16" ht="13.9" hidden="1" customHeight="1" outlineLevel="2" x14ac:dyDescent="0.2">
      <c r="A1293" s="459">
        <v>0</v>
      </c>
      <c r="B1293" s="459">
        <v>11</v>
      </c>
      <c r="C1293" s="459">
        <v>3</v>
      </c>
      <c r="D1293" s="460">
        <v>5</v>
      </c>
      <c r="E1293" s="460">
        <v>0</v>
      </c>
      <c r="G1293" s="1740"/>
      <c r="H1293" s="1741" t="s">
        <v>1238</v>
      </c>
      <c r="I1293" s="1742" t="s">
        <v>7075</v>
      </c>
      <c r="J1293" s="1743" t="s">
        <v>15</v>
      </c>
      <c r="K1293" s="1744"/>
      <c r="L1293" s="1745"/>
      <c r="M1293" s="1745"/>
      <c r="N1293" s="1746">
        <v>1178.6615910113701</v>
      </c>
      <c r="O1293" s="1747"/>
      <c r="P1293" s="1720"/>
    </row>
    <row r="1294" spans="1:16" ht="13.9" hidden="1" customHeight="1" outlineLevel="3" x14ac:dyDescent="0.2">
      <c r="A1294" s="459">
        <v>0</v>
      </c>
      <c r="B1294" s="459">
        <v>11</v>
      </c>
      <c r="C1294" s="459">
        <v>3</v>
      </c>
      <c r="D1294" s="460">
        <v>5</v>
      </c>
      <c r="E1294" s="460">
        <v>1</v>
      </c>
      <c r="G1294" s="1790" t="s">
        <v>2805</v>
      </c>
      <c r="H1294" s="1749" t="s">
        <v>1239</v>
      </c>
      <c r="I1294" s="1750" t="s">
        <v>7076</v>
      </c>
      <c r="J1294" s="1751" t="s">
        <v>2808</v>
      </c>
      <c r="K1294" s="1752" t="s">
        <v>1130</v>
      </c>
      <c r="L1294" s="1753">
        <v>1</v>
      </c>
      <c r="M1294" s="1753">
        <v>1178.6615910113694</v>
      </c>
      <c r="N1294" s="1754">
        <v>1178.6615910113701</v>
      </c>
      <c r="O1294" s="1755" t="s">
        <v>5447</v>
      </c>
      <c r="P1294" s="1721" t="s">
        <v>9611</v>
      </c>
    </row>
    <row r="1295" spans="1:16" ht="13.9" hidden="1" customHeight="1" outlineLevel="1" x14ac:dyDescent="0.2">
      <c r="A1295" s="459">
        <v>0</v>
      </c>
      <c r="B1295" s="459">
        <v>11</v>
      </c>
      <c r="C1295" s="459">
        <v>4</v>
      </c>
      <c r="D1295" s="460">
        <v>0</v>
      </c>
      <c r="E1295" s="460">
        <v>1</v>
      </c>
      <c r="G1295" s="1733"/>
      <c r="H1295" s="1734" t="s">
        <v>39</v>
      </c>
      <c r="I1295" s="1735" t="s">
        <v>7077</v>
      </c>
      <c r="J1295" s="1736" t="s">
        <v>5502</v>
      </c>
      <c r="K1295" s="1737"/>
      <c r="L1295" s="1738"/>
      <c r="M1295" s="1738"/>
      <c r="N1295" s="1739">
        <v>29163.228436539201</v>
      </c>
      <c r="O1295" s="1722"/>
      <c r="P1295" s="1725"/>
    </row>
    <row r="1296" spans="1:16" ht="13.9" hidden="1" customHeight="1" outlineLevel="2" x14ac:dyDescent="0.2">
      <c r="A1296" s="459">
        <v>0</v>
      </c>
      <c r="B1296" s="459">
        <v>11</v>
      </c>
      <c r="C1296" s="459">
        <v>4</v>
      </c>
      <c r="D1296" s="460">
        <v>1</v>
      </c>
      <c r="E1296" s="460">
        <v>0</v>
      </c>
      <c r="G1296" s="1740"/>
      <c r="H1296" s="1741" t="s">
        <v>1238</v>
      </c>
      <c r="I1296" s="1742" t="s">
        <v>7078</v>
      </c>
      <c r="J1296" s="1743" t="s">
        <v>1303</v>
      </c>
      <c r="K1296" s="1744"/>
      <c r="L1296" s="1745"/>
      <c r="M1296" s="1745"/>
      <c r="N1296" s="1746">
        <v>14704.8252513851</v>
      </c>
      <c r="O1296" s="1747"/>
      <c r="P1296" s="1720"/>
    </row>
    <row r="1297" spans="1:16" ht="33.75" hidden="1" customHeight="1" outlineLevel="3" x14ac:dyDescent="0.2">
      <c r="A1297" s="459">
        <v>0</v>
      </c>
      <c r="B1297" s="459">
        <v>11</v>
      </c>
      <c r="C1297" s="459">
        <v>4</v>
      </c>
      <c r="D1297" s="460">
        <v>1</v>
      </c>
      <c r="E1297" s="460">
        <v>1</v>
      </c>
      <c r="G1297" s="1790" t="s">
        <v>2805</v>
      </c>
      <c r="H1297" s="1749" t="s">
        <v>1239</v>
      </c>
      <c r="I1297" s="1750" t="s">
        <v>7079</v>
      </c>
      <c r="J1297" s="1751" t="s">
        <v>1261</v>
      </c>
      <c r="K1297" s="1752" t="s">
        <v>1130</v>
      </c>
      <c r="L1297" s="1753">
        <v>1</v>
      </c>
      <c r="M1297" s="1753">
        <v>11329.400356246744</v>
      </c>
      <c r="N1297" s="1754">
        <v>11329.400356246701</v>
      </c>
      <c r="O1297" s="1761" t="s">
        <v>5445</v>
      </c>
      <c r="P1297" s="1721" t="s">
        <v>9611</v>
      </c>
    </row>
    <row r="1298" spans="1:16" ht="33" hidden="1" customHeight="1" outlineLevel="3" x14ac:dyDescent="0.2">
      <c r="A1298" s="459">
        <v>0</v>
      </c>
      <c r="B1298" s="459">
        <v>11</v>
      </c>
      <c r="C1298" s="459">
        <v>4</v>
      </c>
      <c r="D1298" s="460">
        <v>1</v>
      </c>
      <c r="E1298" s="460">
        <v>2</v>
      </c>
      <c r="G1298" s="1790" t="s">
        <v>2805</v>
      </c>
      <c r="H1298" s="1749" t="s">
        <v>1239</v>
      </c>
      <c r="I1298" s="1750" t="s">
        <v>7080</v>
      </c>
      <c r="J1298" s="1751" t="s">
        <v>1262</v>
      </c>
      <c r="K1298" s="1752" t="s">
        <v>1130</v>
      </c>
      <c r="L1298" s="1753">
        <v>1</v>
      </c>
      <c r="M1298" s="1753">
        <v>3375.4248951383738</v>
      </c>
      <c r="N1298" s="1754">
        <v>3375.4248951383702</v>
      </c>
      <c r="O1298" s="1761" t="s">
        <v>5446</v>
      </c>
      <c r="P1298" s="1721" t="s">
        <v>9611</v>
      </c>
    </row>
    <row r="1299" spans="1:16" ht="13.9" hidden="1" customHeight="1" outlineLevel="2" x14ac:dyDescent="0.2">
      <c r="A1299" s="459">
        <v>0</v>
      </c>
      <c r="B1299" s="459">
        <v>11</v>
      </c>
      <c r="C1299" s="459">
        <v>4</v>
      </c>
      <c r="D1299" s="460">
        <v>2</v>
      </c>
      <c r="E1299" s="460">
        <v>0</v>
      </c>
      <c r="G1299" s="1740"/>
      <c r="H1299" s="1741" t="s">
        <v>1238</v>
      </c>
      <c r="I1299" s="1742" t="s">
        <v>7081</v>
      </c>
      <c r="J1299" s="1743" t="s">
        <v>1682</v>
      </c>
      <c r="K1299" s="1744"/>
      <c r="L1299" s="1745"/>
      <c r="M1299" s="1745"/>
      <c r="N1299" s="1746">
        <v>859.68056373218099</v>
      </c>
      <c r="O1299" s="1747"/>
      <c r="P1299" s="1720"/>
    </row>
    <row r="1300" spans="1:16" ht="13.9" hidden="1" customHeight="1" outlineLevel="3" x14ac:dyDescent="0.2">
      <c r="A1300" s="459">
        <v>0</v>
      </c>
      <c r="B1300" s="459">
        <v>11</v>
      </c>
      <c r="C1300" s="459">
        <v>4</v>
      </c>
      <c r="D1300" s="460">
        <v>2</v>
      </c>
      <c r="E1300" s="460">
        <v>1</v>
      </c>
      <c r="G1300" s="1790" t="s">
        <v>2805</v>
      </c>
      <c r="H1300" s="1749" t="s">
        <v>1239</v>
      </c>
      <c r="I1300" s="1750" t="s">
        <v>7082</v>
      </c>
      <c r="J1300" s="1751" t="s">
        <v>3265</v>
      </c>
      <c r="K1300" s="1752" t="s">
        <v>1130</v>
      </c>
      <c r="L1300" s="1753">
        <v>1</v>
      </c>
      <c r="M1300" s="1753">
        <v>859.6805637321811</v>
      </c>
      <c r="N1300" s="1754">
        <v>859.68056373218099</v>
      </c>
      <c r="O1300" s="1755" t="s">
        <v>3267</v>
      </c>
      <c r="P1300" s="1721" t="s">
        <v>9611</v>
      </c>
    </row>
    <row r="1301" spans="1:16" ht="13.9" hidden="1" customHeight="1" outlineLevel="2" x14ac:dyDescent="0.2">
      <c r="A1301" s="459">
        <v>0</v>
      </c>
      <c r="B1301" s="459">
        <v>11</v>
      </c>
      <c r="C1301" s="459">
        <v>4</v>
      </c>
      <c r="D1301" s="460">
        <v>3</v>
      </c>
      <c r="E1301" s="460">
        <v>0</v>
      </c>
      <c r="G1301" s="1740"/>
      <c r="H1301" s="1741" t="s">
        <v>1238</v>
      </c>
      <c r="I1301" s="1742" t="s">
        <v>7083</v>
      </c>
      <c r="J1301" s="1743" t="s">
        <v>3264</v>
      </c>
      <c r="K1301" s="1744"/>
      <c r="L1301" s="1745"/>
      <c r="M1301" s="1745"/>
      <c r="N1301" s="1746">
        <v>6059.0057957720901</v>
      </c>
      <c r="O1301" s="1747"/>
      <c r="P1301" s="1720"/>
    </row>
    <row r="1302" spans="1:16" ht="13.9" hidden="1" customHeight="1" outlineLevel="3" x14ac:dyDescent="0.2">
      <c r="A1302" s="459">
        <v>0</v>
      </c>
      <c r="B1302" s="459">
        <v>11</v>
      </c>
      <c r="C1302" s="459">
        <v>4</v>
      </c>
      <c r="D1302" s="460">
        <v>3</v>
      </c>
      <c r="E1302" s="460">
        <v>1</v>
      </c>
      <c r="G1302" s="1790" t="s">
        <v>2805</v>
      </c>
      <c r="H1302" s="1749" t="s">
        <v>1239</v>
      </c>
      <c r="I1302" s="1750" t="s">
        <v>7084</v>
      </c>
      <c r="J1302" s="1751" t="s">
        <v>3266</v>
      </c>
      <c r="K1302" s="1752" t="s">
        <v>1130</v>
      </c>
      <c r="L1302" s="1753">
        <v>1</v>
      </c>
      <c r="M1302" s="1753">
        <v>54.423606961320296</v>
      </c>
      <c r="N1302" s="1754">
        <v>54.423606961320303</v>
      </c>
      <c r="O1302" s="1755" t="s">
        <v>3336</v>
      </c>
      <c r="P1302" s="1721" t="s">
        <v>9611</v>
      </c>
    </row>
    <row r="1303" spans="1:16" ht="13.9" hidden="1" customHeight="1" outlineLevel="3" x14ac:dyDescent="0.2">
      <c r="A1303" s="459">
        <v>0</v>
      </c>
      <c r="B1303" s="459">
        <v>11</v>
      </c>
      <c r="C1303" s="459">
        <v>4</v>
      </c>
      <c r="D1303" s="460">
        <v>3</v>
      </c>
      <c r="E1303" s="460">
        <v>2</v>
      </c>
      <c r="G1303" s="1790" t="s">
        <v>2805</v>
      </c>
      <c r="H1303" s="1749" t="s">
        <v>1239</v>
      </c>
      <c r="I1303" s="1750" t="s">
        <v>7085</v>
      </c>
      <c r="J1303" s="1751" t="s">
        <v>5497</v>
      </c>
      <c r="K1303" s="1752" t="s">
        <v>1130</v>
      </c>
      <c r="L1303" s="1753">
        <v>1</v>
      </c>
      <c r="M1303" s="1753">
        <v>6004.5821888107739</v>
      </c>
      <c r="N1303" s="1754">
        <v>6004.5821888107703</v>
      </c>
      <c r="O1303" s="1761" t="s">
        <v>5445</v>
      </c>
      <c r="P1303" s="1721" t="s">
        <v>9611</v>
      </c>
    </row>
    <row r="1304" spans="1:16" ht="13.9" hidden="1" customHeight="1" outlineLevel="2" x14ac:dyDescent="0.2">
      <c r="A1304" s="459">
        <v>0</v>
      </c>
      <c r="B1304" s="459">
        <v>11</v>
      </c>
      <c r="C1304" s="459">
        <v>4</v>
      </c>
      <c r="D1304" s="460">
        <v>4</v>
      </c>
      <c r="E1304" s="460">
        <v>0</v>
      </c>
      <c r="G1304" s="1740"/>
      <c r="H1304" s="1741" t="s">
        <v>1238</v>
      </c>
      <c r="I1304" s="1742" t="s">
        <v>7086</v>
      </c>
      <c r="J1304" s="1743" t="s">
        <v>2806</v>
      </c>
      <c r="K1304" s="1744"/>
      <c r="L1304" s="1745"/>
      <c r="M1304" s="1745"/>
      <c r="N1304" s="1746">
        <v>6724</v>
      </c>
      <c r="O1304" s="1747"/>
      <c r="P1304" s="1720"/>
    </row>
    <row r="1305" spans="1:16" ht="13.9" hidden="1" customHeight="1" outlineLevel="3" x14ac:dyDescent="0.2">
      <c r="A1305" s="459">
        <v>0</v>
      </c>
      <c r="B1305" s="459">
        <v>11</v>
      </c>
      <c r="C1305" s="459">
        <v>4</v>
      </c>
      <c r="D1305" s="460">
        <v>4</v>
      </c>
      <c r="E1305" s="460">
        <v>1</v>
      </c>
      <c r="G1305" s="1790" t="s">
        <v>2805</v>
      </c>
      <c r="H1305" s="1749" t="s">
        <v>1239</v>
      </c>
      <c r="I1305" s="1750" t="s">
        <v>7087</v>
      </c>
      <c r="J1305" s="1751" t="s">
        <v>2806</v>
      </c>
      <c r="K1305" s="1752" t="s">
        <v>534</v>
      </c>
      <c r="L1305" s="1753">
        <v>2</v>
      </c>
      <c r="M1305" s="1753">
        <v>2262</v>
      </c>
      <c r="N1305" s="1754">
        <v>4524</v>
      </c>
      <c r="O1305" s="1755" t="s">
        <v>2807</v>
      </c>
      <c r="P1305" s="1721" t="s">
        <v>9611</v>
      </c>
    </row>
    <row r="1306" spans="1:16" ht="13.9" hidden="1" customHeight="1" outlineLevel="3" x14ac:dyDescent="0.2">
      <c r="A1306" s="459">
        <v>0</v>
      </c>
      <c r="B1306" s="459">
        <v>11</v>
      </c>
      <c r="C1306" s="459">
        <v>4</v>
      </c>
      <c r="D1306" s="460">
        <v>4</v>
      </c>
      <c r="E1306" s="460">
        <v>2</v>
      </c>
      <c r="G1306" s="1790" t="s">
        <v>2805</v>
      </c>
      <c r="H1306" s="1749" t="s">
        <v>1239</v>
      </c>
      <c r="I1306" s="1750" t="s">
        <v>7088</v>
      </c>
      <c r="J1306" s="1751" t="s">
        <v>3262</v>
      </c>
      <c r="K1306" s="1752" t="s">
        <v>534</v>
      </c>
      <c r="L1306" s="1753">
        <v>2</v>
      </c>
      <c r="M1306" s="1753">
        <v>1100</v>
      </c>
      <c r="N1306" s="1754">
        <v>2200</v>
      </c>
      <c r="O1306" s="1755" t="s">
        <v>3263</v>
      </c>
      <c r="P1306" s="1721" t="s">
        <v>9611</v>
      </c>
    </row>
    <row r="1307" spans="1:16" ht="13.9" hidden="1" customHeight="1" outlineLevel="2" x14ac:dyDescent="0.2">
      <c r="A1307" s="459">
        <v>0</v>
      </c>
      <c r="B1307" s="459">
        <v>11</v>
      </c>
      <c r="C1307" s="459">
        <v>4</v>
      </c>
      <c r="D1307" s="460">
        <v>5</v>
      </c>
      <c r="E1307" s="460">
        <v>0</v>
      </c>
      <c r="G1307" s="1740"/>
      <c r="H1307" s="1741" t="s">
        <v>1238</v>
      </c>
      <c r="I1307" s="1742" t="s">
        <v>7089</v>
      </c>
      <c r="J1307" s="1743" t="s">
        <v>15</v>
      </c>
      <c r="K1307" s="1744"/>
      <c r="L1307" s="1745"/>
      <c r="M1307" s="1745"/>
      <c r="N1307" s="1746">
        <v>815.71682564976504</v>
      </c>
      <c r="O1307" s="1747"/>
      <c r="P1307" s="1720"/>
    </row>
    <row r="1308" spans="1:16" ht="13.9" hidden="1" customHeight="1" outlineLevel="3" x14ac:dyDescent="0.2">
      <c r="A1308" s="459">
        <v>0</v>
      </c>
      <c r="B1308" s="459">
        <v>11</v>
      </c>
      <c r="C1308" s="459">
        <v>4</v>
      </c>
      <c r="D1308" s="460">
        <v>5</v>
      </c>
      <c r="E1308" s="460">
        <v>1</v>
      </c>
      <c r="G1308" s="1790" t="s">
        <v>2805</v>
      </c>
      <c r="H1308" s="1749" t="s">
        <v>1239</v>
      </c>
      <c r="I1308" s="1750" t="s">
        <v>7090</v>
      </c>
      <c r="J1308" s="1751" t="s">
        <v>2808</v>
      </c>
      <c r="K1308" s="1752" t="s">
        <v>1130</v>
      </c>
      <c r="L1308" s="1753">
        <v>1</v>
      </c>
      <c r="M1308" s="1753">
        <v>815.7168256497655</v>
      </c>
      <c r="N1308" s="1754">
        <v>815.71682564976504</v>
      </c>
      <c r="O1308" s="1755" t="s">
        <v>5447</v>
      </c>
      <c r="P1308" s="1721" t="s">
        <v>9611</v>
      </c>
    </row>
    <row r="1309" spans="1:16" ht="13.9" hidden="1" customHeight="1" outlineLevel="1" x14ac:dyDescent="0.2">
      <c r="A1309" s="459">
        <v>0</v>
      </c>
      <c r="B1309" s="459">
        <v>11</v>
      </c>
      <c r="C1309" s="459">
        <v>5</v>
      </c>
      <c r="D1309" s="460">
        <v>0</v>
      </c>
      <c r="E1309" s="460">
        <v>1</v>
      </c>
      <c r="G1309" s="1733"/>
      <c r="H1309" s="1734" t="s">
        <v>39</v>
      </c>
      <c r="I1309" s="1735" t="s">
        <v>7091</v>
      </c>
      <c r="J1309" s="1736" t="s">
        <v>5503</v>
      </c>
      <c r="K1309" s="1737"/>
      <c r="L1309" s="1738"/>
      <c r="M1309" s="1738"/>
      <c r="N1309" s="1739">
        <v>211423.147510904</v>
      </c>
      <c r="O1309" s="1722"/>
      <c r="P1309" s="1725"/>
    </row>
    <row r="1310" spans="1:16" ht="13.9" hidden="1" customHeight="1" outlineLevel="2" x14ac:dyDescent="0.2">
      <c r="A1310" s="459">
        <v>0</v>
      </c>
      <c r="B1310" s="459">
        <v>11</v>
      </c>
      <c r="C1310" s="459">
        <v>5</v>
      </c>
      <c r="D1310" s="460">
        <v>1</v>
      </c>
      <c r="E1310" s="460">
        <v>0</v>
      </c>
      <c r="G1310" s="1740"/>
      <c r="H1310" s="1741" t="s">
        <v>1238</v>
      </c>
      <c r="I1310" s="1742" t="s">
        <v>7092</v>
      </c>
      <c r="J1310" s="1743" t="s">
        <v>1303</v>
      </c>
      <c r="K1310" s="1744"/>
      <c r="L1310" s="1745"/>
      <c r="M1310" s="1745"/>
      <c r="N1310" s="1746">
        <v>103298.492854982</v>
      </c>
      <c r="O1310" s="1747"/>
      <c r="P1310" s="1720"/>
    </row>
    <row r="1311" spans="1:16" ht="33.75" hidden="1" customHeight="1" outlineLevel="3" x14ac:dyDescent="0.2">
      <c r="A1311" s="459">
        <v>0</v>
      </c>
      <c r="B1311" s="459">
        <v>11</v>
      </c>
      <c r="C1311" s="459">
        <v>5</v>
      </c>
      <c r="D1311" s="460">
        <v>1</v>
      </c>
      <c r="E1311" s="460">
        <v>1</v>
      </c>
      <c r="G1311" s="1790" t="s">
        <v>2805</v>
      </c>
      <c r="H1311" s="1749" t="s">
        <v>1239</v>
      </c>
      <c r="I1311" s="1750" t="s">
        <v>7093</v>
      </c>
      <c r="J1311" s="1751" t="s">
        <v>1261</v>
      </c>
      <c r="K1311" s="1752" t="s">
        <v>1130</v>
      </c>
      <c r="L1311" s="1753">
        <v>1</v>
      </c>
      <c r="M1311" s="1753">
        <v>79586.799689493244</v>
      </c>
      <c r="N1311" s="1754">
        <v>79586.7996894932</v>
      </c>
      <c r="O1311" s="1761" t="s">
        <v>5445</v>
      </c>
      <c r="P1311" s="1721" t="s">
        <v>9611</v>
      </c>
    </row>
    <row r="1312" spans="1:16" ht="33" hidden="1" customHeight="1" outlineLevel="3" x14ac:dyDescent="0.2">
      <c r="A1312" s="459">
        <v>0</v>
      </c>
      <c r="B1312" s="459">
        <v>11</v>
      </c>
      <c r="C1312" s="459">
        <v>5</v>
      </c>
      <c r="D1312" s="460">
        <v>1</v>
      </c>
      <c r="E1312" s="460">
        <v>2</v>
      </c>
      <c r="G1312" s="1790" t="s">
        <v>2805</v>
      </c>
      <c r="H1312" s="1749" t="s">
        <v>1239</v>
      </c>
      <c r="I1312" s="1750" t="s">
        <v>7094</v>
      </c>
      <c r="J1312" s="1751" t="s">
        <v>1262</v>
      </c>
      <c r="K1312" s="1752" t="s">
        <v>1130</v>
      </c>
      <c r="L1312" s="1753">
        <v>1</v>
      </c>
      <c r="M1312" s="1753">
        <v>23711.693165489174</v>
      </c>
      <c r="N1312" s="1754">
        <v>23711.6931654892</v>
      </c>
      <c r="O1312" s="1761" t="s">
        <v>5446</v>
      </c>
      <c r="P1312" s="1721" t="s">
        <v>9611</v>
      </c>
    </row>
    <row r="1313" spans="1:16" ht="13.9" hidden="1" customHeight="1" outlineLevel="2" x14ac:dyDescent="0.2">
      <c r="A1313" s="459">
        <v>0</v>
      </c>
      <c r="B1313" s="459">
        <v>11</v>
      </c>
      <c r="C1313" s="459">
        <v>5</v>
      </c>
      <c r="D1313" s="460">
        <v>2</v>
      </c>
      <c r="E1313" s="460">
        <v>0</v>
      </c>
      <c r="G1313" s="1740"/>
      <c r="H1313" s="1741" t="s">
        <v>1238</v>
      </c>
      <c r="I1313" s="1742" t="s">
        <v>7095</v>
      </c>
      <c r="J1313" s="1743" t="s">
        <v>1682</v>
      </c>
      <c r="K1313" s="1744"/>
      <c r="L1313" s="1745"/>
      <c r="M1313" s="1745"/>
      <c r="N1313" s="1746">
        <v>6039.0861538385898</v>
      </c>
      <c r="O1313" s="1747"/>
      <c r="P1313" s="1720"/>
    </row>
    <row r="1314" spans="1:16" ht="13.9" hidden="1" customHeight="1" outlineLevel="3" x14ac:dyDescent="0.2">
      <c r="A1314" s="459">
        <v>0</v>
      </c>
      <c r="B1314" s="459">
        <v>11</v>
      </c>
      <c r="C1314" s="459">
        <v>5</v>
      </c>
      <c r="D1314" s="460">
        <v>2</v>
      </c>
      <c r="E1314" s="460">
        <v>1</v>
      </c>
      <c r="G1314" s="1790" t="s">
        <v>2805</v>
      </c>
      <c r="H1314" s="1749" t="s">
        <v>1239</v>
      </c>
      <c r="I1314" s="1750" t="s">
        <v>7096</v>
      </c>
      <c r="J1314" s="1751" t="s">
        <v>3265</v>
      </c>
      <c r="K1314" s="1752" t="s">
        <v>1130</v>
      </c>
      <c r="L1314" s="1753">
        <v>1</v>
      </c>
      <c r="M1314" s="1753">
        <v>6039.0861538385934</v>
      </c>
      <c r="N1314" s="1754">
        <v>6039.0861538385898</v>
      </c>
      <c r="O1314" s="1755" t="s">
        <v>3267</v>
      </c>
      <c r="P1314" s="1721" t="s">
        <v>9611</v>
      </c>
    </row>
    <row r="1315" spans="1:16" ht="13.9" hidden="1" customHeight="1" outlineLevel="2" x14ac:dyDescent="0.2">
      <c r="A1315" s="459">
        <v>0</v>
      </c>
      <c r="B1315" s="459">
        <v>11</v>
      </c>
      <c r="C1315" s="459">
        <v>5</v>
      </c>
      <c r="D1315" s="460">
        <v>3</v>
      </c>
      <c r="E1315" s="460">
        <v>0</v>
      </c>
      <c r="G1315" s="1740"/>
      <c r="H1315" s="1741" t="s">
        <v>1238</v>
      </c>
      <c r="I1315" s="1742" t="s">
        <v>7097</v>
      </c>
      <c r="J1315" s="1743" t="s">
        <v>3264</v>
      </c>
      <c r="K1315" s="1744"/>
      <c r="L1315" s="1745"/>
      <c r="M1315" s="1745"/>
      <c r="N1315" s="1746">
        <v>42563.318924439802</v>
      </c>
      <c r="O1315" s="1747"/>
      <c r="P1315" s="1720"/>
    </row>
    <row r="1316" spans="1:16" ht="13.9" hidden="1" customHeight="1" outlineLevel="3" x14ac:dyDescent="0.2">
      <c r="A1316" s="459">
        <v>0</v>
      </c>
      <c r="B1316" s="459">
        <v>11</v>
      </c>
      <c r="C1316" s="459">
        <v>5</v>
      </c>
      <c r="D1316" s="460">
        <v>3</v>
      </c>
      <c r="E1316" s="460">
        <v>1</v>
      </c>
      <c r="G1316" s="1790" t="s">
        <v>2805</v>
      </c>
      <c r="H1316" s="1749" t="s">
        <v>1239</v>
      </c>
      <c r="I1316" s="1750" t="s">
        <v>7098</v>
      </c>
      <c r="J1316" s="1751" t="s">
        <v>3266</v>
      </c>
      <c r="K1316" s="1752" t="s">
        <v>1130</v>
      </c>
      <c r="L1316" s="1753">
        <v>1</v>
      </c>
      <c r="M1316" s="1753">
        <v>382.31508900840322</v>
      </c>
      <c r="N1316" s="1754">
        <v>382.31508900840299</v>
      </c>
      <c r="O1316" s="1755" t="s">
        <v>3336</v>
      </c>
      <c r="P1316" s="1721" t="s">
        <v>9611</v>
      </c>
    </row>
    <row r="1317" spans="1:16" ht="13.9" hidden="1" customHeight="1" outlineLevel="3" x14ac:dyDescent="0.2">
      <c r="A1317" s="459">
        <v>0</v>
      </c>
      <c r="B1317" s="459">
        <v>11</v>
      </c>
      <c r="C1317" s="459">
        <v>5</v>
      </c>
      <c r="D1317" s="460">
        <v>3</v>
      </c>
      <c r="E1317" s="460">
        <v>2</v>
      </c>
      <c r="G1317" s="1790" t="s">
        <v>2805</v>
      </c>
      <c r="H1317" s="1749" t="s">
        <v>1239</v>
      </c>
      <c r="I1317" s="1750" t="s">
        <v>7099</v>
      </c>
      <c r="J1317" s="1751" t="s">
        <v>5497</v>
      </c>
      <c r="K1317" s="1752" t="s">
        <v>1130</v>
      </c>
      <c r="L1317" s="1753">
        <v>1</v>
      </c>
      <c r="M1317" s="1753">
        <v>42181.003835431424</v>
      </c>
      <c r="N1317" s="1754">
        <v>42181.003835431402</v>
      </c>
      <c r="O1317" s="1761" t="s">
        <v>5445</v>
      </c>
      <c r="P1317" s="1721" t="s">
        <v>9611</v>
      </c>
    </row>
    <row r="1318" spans="1:16" ht="13.9" hidden="1" customHeight="1" outlineLevel="2" x14ac:dyDescent="0.2">
      <c r="A1318" s="459">
        <v>0</v>
      </c>
      <c r="B1318" s="459">
        <v>11</v>
      </c>
      <c r="C1318" s="459">
        <v>5</v>
      </c>
      <c r="D1318" s="460">
        <v>4</v>
      </c>
      <c r="E1318" s="460">
        <v>0</v>
      </c>
      <c r="G1318" s="1740"/>
      <c r="H1318" s="1741" t="s">
        <v>1238</v>
      </c>
      <c r="I1318" s="1742" t="s">
        <v>7100</v>
      </c>
      <c r="J1318" s="1743" t="s">
        <v>2806</v>
      </c>
      <c r="K1318" s="1744"/>
      <c r="L1318" s="1745"/>
      <c r="M1318" s="1745"/>
      <c r="N1318" s="1746">
        <v>53792</v>
      </c>
      <c r="O1318" s="1747"/>
      <c r="P1318" s="1720"/>
    </row>
    <row r="1319" spans="1:16" ht="13.9" hidden="1" customHeight="1" outlineLevel="3" x14ac:dyDescent="0.2">
      <c r="A1319" s="459">
        <v>0</v>
      </c>
      <c r="B1319" s="459">
        <v>11</v>
      </c>
      <c r="C1319" s="459">
        <v>5</v>
      </c>
      <c r="D1319" s="460">
        <v>4</v>
      </c>
      <c r="E1319" s="460">
        <v>1</v>
      </c>
      <c r="G1319" s="1790" t="s">
        <v>2805</v>
      </c>
      <c r="H1319" s="1749" t="s">
        <v>1239</v>
      </c>
      <c r="I1319" s="1750" t="s">
        <v>7101</v>
      </c>
      <c r="J1319" s="1751" t="s">
        <v>2806</v>
      </c>
      <c r="K1319" s="1752" t="s">
        <v>534</v>
      </c>
      <c r="L1319" s="1753">
        <v>16</v>
      </c>
      <c r="M1319" s="1753">
        <v>2262</v>
      </c>
      <c r="N1319" s="1754">
        <v>36192</v>
      </c>
      <c r="O1319" s="1755" t="s">
        <v>2807</v>
      </c>
      <c r="P1319" s="1721" t="s">
        <v>9611</v>
      </c>
    </row>
    <row r="1320" spans="1:16" ht="13.9" hidden="1" customHeight="1" outlineLevel="3" x14ac:dyDescent="0.2">
      <c r="A1320" s="459">
        <v>0</v>
      </c>
      <c r="B1320" s="459">
        <v>11</v>
      </c>
      <c r="C1320" s="459">
        <v>5</v>
      </c>
      <c r="D1320" s="460">
        <v>4</v>
      </c>
      <c r="E1320" s="460">
        <v>2</v>
      </c>
      <c r="G1320" s="1790" t="s">
        <v>2805</v>
      </c>
      <c r="H1320" s="1749" t="s">
        <v>1239</v>
      </c>
      <c r="I1320" s="1750" t="s">
        <v>7102</v>
      </c>
      <c r="J1320" s="1751" t="s">
        <v>3262</v>
      </c>
      <c r="K1320" s="1752" t="s">
        <v>534</v>
      </c>
      <c r="L1320" s="1753">
        <v>16</v>
      </c>
      <c r="M1320" s="1753">
        <v>1100</v>
      </c>
      <c r="N1320" s="1754">
        <v>17600</v>
      </c>
      <c r="O1320" s="1755" t="s">
        <v>3263</v>
      </c>
      <c r="P1320" s="1721" t="s">
        <v>9611</v>
      </c>
    </row>
    <row r="1321" spans="1:16" ht="13.9" hidden="1" customHeight="1" outlineLevel="2" x14ac:dyDescent="0.2">
      <c r="A1321" s="459">
        <v>0</v>
      </c>
      <c r="B1321" s="459">
        <v>11</v>
      </c>
      <c r="C1321" s="459">
        <v>5</v>
      </c>
      <c r="D1321" s="460">
        <v>5</v>
      </c>
      <c r="E1321" s="460">
        <v>0</v>
      </c>
      <c r="G1321" s="1740"/>
      <c r="H1321" s="1741" t="s">
        <v>1238</v>
      </c>
      <c r="I1321" s="1742" t="s">
        <v>7103</v>
      </c>
      <c r="J1321" s="1743" t="s">
        <v>15</v>
      </c>
      <c r="K1321" s="1744"/>
      <c r="L1321" s="1745"/>
      <c r="M1321" s="1745"/>
      <c r="N1321" s="1746">
        <v>5730.2495776435098</v>
      </c>
      <c r="O1321" s="1747"/>
      <c r="P1321" s="1720"/>
    </row>
    <row r="1322" spans="1:16" ht="13.9" hidden="1" customHeight="1" outlineLevel="3" x14ac:dyDescent="0.2">
      <c r="A1322" s="459">
        <v>0</v>
      </c>
      <c r="B1322" s="459">
        <v>11</v>
      </c>
      <c r="C1322" s="459">
        <v>5</v>
      </c>
      <c r="D1322" s="460">
        <v>5</v>
      </c>
      <c r="E1322" s="460">
        <v>1</v>
      </c>
      <c r="G1322" s="1790" t="s">
        <v>2805</v>
      </c>
      <c r="H1322" s="1749" t="s">
        <v>1239</v>
      </c>
      <c r="I1322" s="1750" t="s">
        <v>7104</v>
      </c>
      <c r="J1322" s="1751" t="s">
        <v>2808</v>
      </c>
      <c r="K1322" s="1752" t="s">
        <v>1130</v>
      </c>
      <c r="L1322" s="1753">
        <v>1</v>
      </c>
      <c r="M1322" s="1753">
        <v>5730.2495776435135</v>
      </c>
      <c r="N1322" s="1754">
        <v>5730.2495776435098</v>
      </c>
      <c r="O1322" s="1755" t="s">
        <v>5447</v>
      </c>
      <c r="P1322" s="1721" t="s">
        <v>9611</v>
      </c>
    </row>
    <row r="1323" spans="1:16" ht="13.9" hidden="1" customHeight="1" outlineLevel="1" x14ac:dyDescent="0.2">
      <c r="A1323" s="459">
        <v>0</v>
      </c>
      <c r="B1323" s="459">
        <v>11</v>
      </c>
      <c r="C1323" s="459">
        <v>6</v>
      </c>
      <c r="D1323" s="460">
        <v>0</v>
      </c>
      <c r="E1323" s="460">
        <v>1</v>
      </c>
      <c r="G1323" s="1733"/>
      <c r="H1323" s="1734" t="s">
        <v>39</v>
      </c>
      <c r="I1323" s="1735" t="s">
        <v>7105</v>
      </c>
      <c r="J1323" s="1736" t="s">
        <v>5504</v>
      </c>
      <c r="K1323" s="1737"/>
      <c r="L1323" s="1738"/>
      <c r="M1323" s="1738"/>
      <c r="N1323" s="1739">
        <v>507678.24965289299</v>
      </c>
      <c r="O1323" s="1722"/>
      <c r="P1323" s="1725"/>
    </row>
    <row r="1324" spans="1:16" ht="13.9" hidden="1" customHeight="1" outlineLevel="2" x14ac:dyDescent="0.2">
      <c r="A1324" s="459">
        <v>0</v>
      </c>
      <c r="B1324" s="459">
        <v>11</v>
      </c>
      <c r="C1324" s="459">
        <v>6</v>
      </c>
      <c r="D1324" s="460">
        <v>1</v>
      </c>
      <c r="E1324" s="460">
        <v>0</v>
      </c>
      <c r="G1324" s="1740"/>
      <c r="H1324" s="1741" t="s">
        <v>1238</v>
      </c>
      <c r="I1324" s="1742" t="s">
        <v>7106</v>
      </c>
      <c r="J1324" s="1743" t="s">
        <v>1303</v>
      </c>
      <c r="K1324" s="1744"/>
      <c r="L1324" s="1745"/>
      <c r="M1324" s="1745"/>
      <c r="N1324" s="1746">
        <v>284220.657061284</v>
      </c>
      <c r="O1324" s="1747"/>
      <c r="P1324" s="1720"/>
    </row>
    <row r="1325" spans="1:16" ht="33.75" hidden="1" customHeight="1" outlineLevel="3" x14ac:dyDescent="0.2">
      <c r="A1325" s="459">
        <v>0</v>
      </c>
      <c r="B1325" s="459">
        <v>11</v>
      </c>
      <c r="C1325" s="459">
        <v>6</v>
      </c>
      <c r="D1325" s="460">
        <v>1</v>
      </c>
      <c r="E1325" s="460">
        <v>1</v>
      </c>
      <c r="G1325" s="1790" t="s">
        <v>2805</v>
      </c>
      <c r="H1325" s="1749" t="s">
        <v>1239</v>
      </c>
      <c r="I1325" s="1750" t="s">
        <v>7107</v>
      </c>
      <c r="J1325" s="1751" t="s">
        <v>1261</v>
      </c>
      <c r="K1325" s="1752" t="s">
        <v>1130</v>
      </c>
      <c r="L1325" s="1753">
        <v>1</v>
      </c>
      <c r="M1325" s="1753">
        <v>218979.11456373721</v>
      </c>
      <c r="N1325" s="1754">
        <v>218979.11456373701</v>
      </c>
      <c r="O1325" s="1761" t="s">
        <v>5445</v>
      </c>
      <c r="P1325" s="1721" t="s">
        <v>9611</v>
      </c>
    </row>
    <row r="1326" spans="1:16" ht="33" hidden="1" customHeight="1" outlineLevel="3" x14ac:dyDescent="0.2">
      <c r="A1326" s="459">
        <v>0</v>
      </c>
      <c r="B1326" s="459">
        <v>11</v>
      </c>
      <c r="C1326" s="459">
        <v>6</v>
      </c>
      <c r="D1326" s="460">
        <v>1</v>
      </c>
      <c r="E1326" s="460">
        <v>2</v>
      </c>
      <c r="G1326" s="1790" t="s">
        <v>2805</v>
      </c>
      <c r="H1326" s="1749" t="s">
        <v>1239</v>
      </c>
      <c r="I1326" s="1750" t="s">
        <v>7108</v>
      </c>
      <c r="J1326" s="1751" t="s">
        <v>1262</v>
      </c>
      <c r="K1326" s="1752" t="s">
        <v>1130</v>
      </c>
      <c r="L1326" s="1753">
        <v>1</v>
      </c>
      <c r="M1326" s="1753">
        <v>65241.542497547052</v>
      </c>
      <c r="N1326" s="1754">
        <v>65241.542497547103</v>
      </c>
      <c r="O1326" s="1761" t="s">
        <v>5446</v>
      </c>
      <c r="P1326" s="1721" t="s">
        <v>9611</v>
      </c>
    </row>
    <row r="1327" spans="1:16" ht="13.9" hidden="1" customHeight="1" outlineLevel="2" x14ac:dyDescent="0.2">
      <c r="A1327" s="459">
        <v>0</v>
      </c>
      <c r="B1327" s="459">
        <v>11</v>
      </c>
      <c r="C1327" s="459">
        <v>6</v>
      </c>
      <c r="D1327" s="460">
        <v>2</v>
      </c>
      <c r="E1327" s="460">
        <v>0</v>
      </c>
      <c r="G1327" s="1740"/>
      <c r="H1327" s="1741" t="s">
        <v>1238</v>
      </c>
      <c r="I1327" s="1742" t="s">
        <v>7109</v>
      </c>
      <c r="J1327" s="1743" t="s">
        <v>1682</v>
      </c>
      <c r="K1327" s="1744"/>
      <c r="L1327" s="1745"/>
      <c r="M1327" s="1745"/>
      <c r="N1327" s="1746">
        <v>16616.244702653701</v>
      </c>
      <c r="O1327" s="1747"/>
      <c r="P1327" s="1720"/>
    </row>
    <row r="1328" spans="1:16" ht="13.9" hidden="1" customHeight="1" outlineLevel="3" x14ac:dyDescent="0.2">
      <c r="A1328" s="459">
        <v>0</v>
      </c>
      <c r="B1328" s="459">
        <v>11</v>
      </c>
      <c r="C1328" s="459">
        <v>6</v>
      </c>
      <c r="D1328" s="460">
        <v>2</v>
      </c>
      <c r="E1328" s="460">
        <v>1</v>
      </c>
      <c r="G1328" s="1790" t="s">
        <v>2805</v>
      </c>
      <c r="H1328" s="1749" t="s">
        <v>1239</v>
      </c>
      <c r="I1328" s="1750" t="s">
        <v>7110</v>
      </c>
      <c r="J1328" s="1751" t="s">
        <v>3265</v>
      </c>
      <c r="K1328" s="1752" t="s">
        <v>1130</v>
      </c>
      <c r="L1328" s="1753">
        <v>1</v>
      </c>
      <c r="M1328" s="1753">
        <v>16616.244702653657</v>
      </c>
      <c r="N1328" s="1754">
        <v>16616.244702653701</v>
      </c>
      <c r="O1328" s="1755" t="s">
        <v>3267</v>
      </c>
      <c r="P1328" s="1721" t="s">
        <v>9611</v>
      </c>
    </row>
    <row r="1329" spans="1:16" ht="13.9" hidden="1" customHeight="1" outlineLevel="2" x14ac:dyDescent="0.2">
      <c r="A1329" s="459">
        <v>0</v>
      </c>
      <c r="B1329" s="459">
        <v>11</v>
      </c>
      <c r="C1329" s="459">
        <v>6</v>
      </c>
      <c r="D1329" s="460">
        <v>3</v>
      </c>
      <c r="E1329" s="460">
        <v>0</v>
      </c>
      <c r="G1329" s="1740"/>
      <c r="H1329" s="1741" t="s">
        <v>1238</v>
      </c>
      <c r="I1329" s="1742" t="s">
        <v>7111</v>
      </c>
      <c r="J1329" s="1743" t="s">
        <v>3264</v>
      </c>
      <c r="K1329" s="1744"/>
      <c r="L1329" s="1745"/>
      <c r="M1329" s="1745"/>
      <c r="N1329" s="1746">
        <v>117110.851640366</v>
      </c>
      <c r="O1329" s="1747"/>
      <c r="P1329" s="1720"/>
    </row>
    <row r="1330" spans="1:16" ht="13.9" hidden="1" customHeight="1" outlineLevel="3" x14ac:dyDescent="0.2">
      <c r="A1330" s="459">
        <v>0</v>
      </c>
      <c r="B1330" s="459">
        <v>11</v>
      </c>
      <c r="C1330" s="459">
        <v>6</v>
      </c>
      <c r="D1330" s="460">
        <v>3</v>
      </c>
      <c r="E1330" s="460">
        <v>1</v>
      </c>
      <c r="G1330" s="1790" t="s">
        <v>2805</v>
      </c>
      <c r="H1330" s="1749" t="s">
        <v>1239</v>
      </c>
      <c r="I1330" s="1750" t="s">
        <v>7112</v>
      </c>
      <c r="J1330" s="1751" t="s">
        <v>3266</v>
      </c>
      <c r="K1330" s="1752" t="s">
        <v>1130</v>
      </c>
      <c r="L1330" s="1753">
        <v>1</v>
      </c>
      <c r="M1330" s="1753">
        <v>1051.9209215855526</v>
      </c>
      <c r="N1330" s="1754">
        <v>1051.9209215855501</v>
      </c>
      <c r="O1330" s="1755" t="s">
        <v>3336</v>
      </c>
      <c r="P1330" s="1721" t="s">
        <v>9611</v>
      </c>
    </row>
    <row r="1331" spans="1:16" ht="13.9" hidden="1" customHeight="1" outlineLevel="3" x14ac:dyDescent="0.2">
      <c r="A1331" s="459">
        <v>0</v>
      </c>
      <c r="B1331" s="459">
        <v>11</v>
      </c>
      <c r="C1331" s="459">
        <v>6</v>
      </c>
      <c r="D1331" s="460">
        <v>3</v>
      </c>
      <c r="E1331" s="460">
        <v>2</v>
      </c>
      <c r="G1331" s="1790" t="s">
        <v>2805</v>
      </c>
      <c r="H1331" s="1749" t="s">
        <v>1239</v>
      </c>
      <c r="I1331" s="1750" t="s">
        <v>7113</v>
      </c>
      <c r="J1331" s="1751" t="s">
        <v>5497</v>
      </c>
      <c r="K1331" s="1752" t="s">
        <v>1130</v>
      </c>
      <c r="L1331" s="1753">
        <v>1</v>
      </c>
      <c r="M1331" s="1753">
        <v>116058.9307187807</v>
      </c>
      <c r="N1331" s="1754">
        <v>116058.930718781</v>
      </c>
      <c r="O1331" s="1761" t="s">
        <v>5445</v>
      </c>
      <c r="P1331" s="1721" t="s">
        <v>9611</v>
      </c>
    </row>
    <row r="1332" spans="1:16" ht="13.9" hidden="1" customHeight="1" outlineLevel="2" x14ac:dyDescent="0.2">
      <c r="A1332" s="459">
        <v>0</v>
      </c>
      <c r="B1332" s="459">
        <v>11</v>
      </c>
      <c r="C1332" s="459">
        <v>6</v>
      </c>
      <c r="D1332" s="460">
        <v>4</v>
      </c>
      <c r="E1332" s="460">
        <v>0</v>
      </c>
      <c r="G1332" s="1740"/>
      <c r="H1332" s="1741" t="s">
        <v>1238</v>
      </c>
      <c r="I1332" s="1742" t="s">
        <v>7114</v>
      </c>
      <c r="J1332" s="1743" t="s">
        <v>2806</v>
      </c>
      <c r="K1332" s="1744"/>
      <c r="L1332" s="1745"/>
      <c r="M1332" s="1745"/>
      <c r="N1332" s="1746">
        <v>73964</v>
      </c>
      <c r="O1332" s="1747"/>
      <c r="P1332" s="1720"/>
    </row>
    <row r="1333" spans="1:16" ht="13.9" hidden="1" customHeight="1" outlineLevel="3" x14ac:dyDescent="0.2">
      <c r="A1333" s="459">
        <v>0</v>
      </c>
      <c r="B1333" s="459">
        <v>11</v>
      </c>
      <c r="C1333" s="459">
        <v>6</v>
      </c>
      <c r="D1333" s="460">
        <v>4</v>
      </c>
      <c r="E1333" s="460">
        <v>1</v>
      </c>
      <c r="G1333" s="1790" t="s">
        <v>2805</v>
      </c>
      <c r="H1333" s="1749" t="s">
        <v>1239</v>
      </c>
      <c r="I1333" s="1750" t="s">
        <v>7115</v>
      </c>
      <c r="J1333" s="1751" t="s">
        <v>2806</v>
      </c>
      <c r="K1333" s="1752" t="s">
        <v>534</v>
      </c>
      <c r="L1333" s="1753">
        <v>22</v>
      </c>
      <c r="M1333" s="1753">
        <v>2262</v>
      </c>
      <c r="N1333" s="1754">
        <v>49764</v>
      </c>
      <c r="O1333" s="1755" t="s">
        <v>2807</v>
      </c>
      <c r="P1333" s="1721" t="s">
        <v>9611</v>
      </c>
    </row>
    <row r="1334" spans="1:16" ht="13.9" hidden="1" customHeight="1" outlineLevel="3" x14ac:dyDescent="0.2">
      <c r="A1334" s="459">
        <v>0</v>
      </c>
      <c r="B1334" s="459">
        <v>11</v>
      </c>
      <c r="C1334" s="459">
        <v>6</v>
      </c>
      <c r="D1334" s="460">
        <v>4</v>
      </c>
      <c r="E1334" s="460">
        <v>2</v>
      </c>
      <c r="G1334" s="1790" t="s">
        <v>2805</v>
      </c>
      <c r="H1334" s="1749" t="s">
        <v>1239</v>
      </c>
      <c r="I1334" s="1750" t="s">
        <v>7116</v>
      </c>
      <c r="J1334" s="1751" t="s">
        <v>3262</v>
      </c>
      <c r="K1334" s="1752" t="s">
        <v>534</v>
      </c>
      <c r="L1334" s="1753">
        <v>22</v>
      </c>
      <c r="M1334" s="1753">
        <v>1100</v>
      </c>
      <c r="N1334" s="1754">
        <v>24200</v>
      </c>
      <c r="O1334" s="1755" t="s">
        <v>3263</v>
      </c>
      <c r="P1334" s="1721" t="s">
        <v>9611</v>
      </c>
    </row>
    <row r="1335" spans="1:16" ht="13.9" hidden="1" customHeight="1" outlineLevel="2" x14ac:dyDescent="0.2">
      <c r="A1335" s="459">
        <v>0</v>
      </c>
      <c r="B1335" s="459">
        <v>11</v>
      </c>
      <c r="C1335" s="459">
        <v>6</v>
      </c>
      <c r="D1335" s="460">
        <v>5</v>
      </c>
      <c r="E1335" s="460">
        <v>0</v>
      </c>
      <c r="G1335" s="1740"/>
      <c r="H1335" s="1741" t="s">
        <v>1238</v>
      </c>
      <c r="I1335" s="1742" t="s">
        <v>7117</v>
      </c>
      <c r="J1335" s="1743" t="s">
        <v>15</v>
      </c>
      <c r="K1335" s="1744"/>
      <c r="L1335" s="1745"/>
      <c r="M1335" s="1745"/>
      <c r="N1335" s="1746">
        <v>15766.496248589099</v>
      </c>
      <c r="O1335" s="1747"/>
      <c r="P1335" s="1720"/>
    </row>
    <row r="1336" spans="1:16" ht="13.9" hidden="1" customHeight="1" outlineLevel="3" x14ac:dyDescent="0.2">
      <c r="A1336" s="459">
        <v>0</v>
      </c>
      <c r="B1336" s="459">
        <v>11</v>
      </c>
      <c r="C1336" s="459">
        <v>6</v>
      </c>
      <c r="D1336" s="460">
        <v>5</v>
      </c>
      <c r="E1336" s="460">
        <v>1</v>
      </c>
      <c r="G1336" s="1790" t="s">
        <v>2805</v>
      </c>
      <c r="H1336" s="1749" t="s">
        <v>1239</v>
      </c>
      <c r="I1336" s="1750" t="s">
        <v>7118</v>
      </c>
      <c r="J1336" s="1751" t="s">
        <v>2808</v>
      </c>
      <c r="K1336" s="1752" t="s">
        <v>1130</v>
      </c>
      <c r="L1336" s="1753">
        <v>1</v>
      </c>
      <c r="M1336" s="1753">
        <v>15766.496248589088</v>
      </c>
      <c r="N1336" s="1754">
        <v>15766.496248589099</v>
      </c>
      <c r="O1336" s="1755" t="s">
        <v>5447</v>
      </c>
      <c r="P1336" s="1721" t="s">
        <v>9611</v>
      </c>
    </row>
    <row r="1337" spans="1:16" ht="13.9" hidden="1" customHeight="1" outlineLevel="1" x14ac:dyDescent="0.2">
      <c r="A1337" s="459">
        <v>0</v>
      </c>
      <c r="B1337" s="459">
        <v>11</v>
      </c>
      <c r="C1337" s="459">
        <v>7</v>
      </c>
      <c r="D1337" s="460">
        <v>0</v>
      </c>
      <c r="E1337" s="460">
        <v>1</v>
      </c>
      <c r="G1337" s="1733"/>
      <c r="H1337" s="1734" t="s">
        <v>39</v>
      </c>
      <c r="I1337" s="1735" t="s">
        <v>7119</v>
      </c>
      <c r="J1337" s="1736" t="s">
        <v>5505</v>
      </c>
      <c r="K1337" s="1737"/>
      <c r="L1337" s="1738"/>
      <c r="M1337" s="1738"/>
      <c r="N1337" s="1739">
        <v>22387.255007578198</v>
      </c>
      <c r="O1337" s="1722"/>
      <c r="P1337" s="1725"/>
    </row>
    <row r="1338" spans="1:16" ht="13.9" hidden="1" customHeight="1" outlineLevel="2" x14ac:dyDescent="0.2">
      <c r="A1338" s="459">
        <v>0</v>
      </c>
      <c r="B1338" s="459">
        <v>11</v>
      </c>
      <c r="C1338" s="459">
        <v>7</v>
      </c>
      <c r="D1338" s="460">
        <v>1</v>
      </c>
      <c r="E1338" s="460">
        <v>0</v>
      </c>
      <c r="G1338" s="1740"/>
      <c r="H1338" s="1741" t="s">
        <v>1238</v>
      </c>
      <c r="I1338" s="1742" t="s">
        <v>7120</v>
      </c>
      <c r="J1338" s="1743" t="s">
        <v>1303</v>
      </c>
      <c r="K1338" s="1744"/>
      <c r="L1338" s="1745"/>
      <c r="M1338" s="1745"/>
      <c r="N1338" s="1746">
        <v>12467.5877800648</v>
      </c>
      <c r="O1338" s="1747"/>
      <c r="P1338" s="1720"/>
    </row>
    <row r="1339" spans="1:16" ht="33.75" hidden="1" customHeight="1" outlineLevel="3" x14ac:dyDescent="0.2">
      <c r="A1339" s="459">
        <v>0</v>
      </c>
      <c r="B1339" s="459">
        <v>11</v>
      </c>
      <c r="C1339" s="459">
        <v>7</v>
      </c>
      <c r="D1339" s="460">
        <v>1</v>
      </c>
      <c r="E1339" s="460">
        <v>1</v>
      </c>
      <c r="G1339" s="1790" t="s">
        <v>2805</v>
      </c>
      <c r="H1339" s="1749" t="s">
        <v>1239</v>
      </c>
      <c r="I1339" s="1750" t="s">
        <v>7121</v>
      </c>
      <c r="J1339" s="1751" t="s">
        <v>1261</v>
      </c>
      <c r="K1339" s="1752" t="s">
        <v>1130</v>
      </c>
      <c r="L1339" s="1753">
        <v>1</v>
      </c>
      <c r="M1339" s="1753">
        <v>9605.7104400950611</v>
      </c>
      <c r="N1339" s="1754">
        <v>9605.7104400950593</v>
      </c>
      <c r="O1339" s="1761" t="s">
        <v>5445</v>
      </c>
      <c r="P1339" s="1721" t="s">
        <v>9611</v>
      </c>
    </row>
    <row r="1340" spans="1:16" ht="33" hidden="1" customHeight="1" outlineLevel="3" x14ac:dyDescent="0.2">
      <c r="A1340" s="459">
        <v>0</v>
      </c>
      <c r="B1340" s="459">
        <v>11</v>
      </c>
      <c r="C1340" s="459">
        <v>7</v>
      </c>
      <c r="D1340" s="460">
        <v>1</v>
      </c>
      <c r="E1340" s="460">
        <v>2</v>
      </c>
      <c r="G1340" s="1790" t="s">
        <v>2805</v>
      </c>
      <c r="H1340" s="1749" t="s">
        <v>1239</v>
      </c>
      <c r="I1340" s="1750" t="s">
        <v>7122</v>
      </c>
      <c r="J1340" s="1751" t="s">
        <v>1262</v>
      </c>
      <c r="K1340" s="1752" t="s">
        <v>1130</v>
      </c>
      <c r="L1340" s="1753">
        <v>1</v>
      </c>
      <c r="M1340" s="1753">
        <v>2861.877339969722</v>
      </c>
      <c r="N1340" s="1754">
        <v>2861.8773399697202</v>
      </c>
      <c r="O1340" s="1761" t="s">
        <v>5446</v>
      </c>
      <c r="P1340" s="1721" t="s">
        <v>9611</v>
      </c>
    </row>
    <row r="1341" spans="1:16" ht="13.9" hidden="1" customHeight="1" outlineLevel="2" x14ac:dyDescent="0.2">
      <c r="A1341" s="459">
        <v>0</v>
      </c>
      <c r="B1341" s="459">
        <v>11</v>
      </c>
      <c r="C1341" s="459">
        <v>7</v>
      </c>
      <c r="D1341" s="460">
        <v>2</v>
      </c>
      <c r="E1341" s="460">
        <v>0</v>
      </c>
      <c r="G1341" s="1740"/>
      <c r="H1341" s="1741" t="s">
        <v>1238</v>
      </c>
      <c r="I1341" s="1742" t="s">
        <v>7123</v>
      </c>
      <c r="J1341" s="1743" t="s">
        <v>1682</v>
      </c>
      <c r="K1341" s="1744"/>
      <c r="L1341" s="1745"/>
      <c r="M1341" s="1745"/>
      <c r="N1341" s="1746">
        <v>728.88611104963297</v>
      </c>
      <c r="O1341" s="1747"/>
      <c r="P1341" s="1720"/>
    </row>
    <row r="1342" spans="1:16" ht="13.9" hidden="1" customHeight="1" outlineLevel="3" x14ac:dyDescent="0.2">
      <c r="A1342" s="459">
        <v>0</v>
      </c>
      <c r="B1342" s="459">
        <v>11</v>
      </c>
      <c r="C1342" s="459">
        <v>7</v>
      </c>
      <c r="D1342" s="460">
        <v>2</v>
      </c>
      <c r="E1342" s="460">
        <v>1</v>
      </c>
      <c r="G1342" s="1790" t="s">
        <v>2805</v>
      </c>
      <c r="H1342" s="1749" t="s">
        <v>1239</v>
      </c>
      <c r="I1342" s="1750" t="s">
        <v>7124</v>
      </c>
      <c r="J1342" s="1751" t="s">
        <v>3265</v>
      </c>
      <c r="K1342" s="1752" t="s">
        <v>1130</v>
      </c>
      <c r="L1342" s="1753">
        <v>1</v>
      </c>
      <c r="M1342" s="1753">
        <v>728.88611104963331</v>
      </c>
      <c r="N1342" s="1754">
        <v>728.88611104963297</v>
      </c>
      <c r="O1342" s="1755" t="s">
        <v>3267</v>
      </c>
      <c r="P1342" s="1721" t="s">
        <v>9611</v>
      </c>
    </row>
    <row r="1343" spans="1:16" ht="13.9" hidden="1" customHeight="1" outlineLevel="2" x14ac:dyDescent="0.2">
      <c r="A1343" s="459">
        <v>0</v>
      </c>
      <c r="B1343" s="459">
        <v>11</v>
      </c>
      <c r="C1343" s="459">
        <v>7</v>
      </c>
      <c r="D1343" s="460">
        <v>3</v>
      </c>
      <c r="E1343" s="460">
        <v>0</v>
      </c>
      <c r="G1343" s="1740"/>
      <c r="H1343" s="1741" t="s">
        <v>1238</v>
      </c>
      <c r="I1343" s="1742" t="s">
        <v>7125</v>
      </c>
      <c r="J1343" s="1743" t="s">
        <v>3264</v>
      </c>
      <c r="K1343" s="1744"/>
      <c r="L1343" s="1745"/>
      <c r="M1343" s="1745"/>
      <c r="N1343" s="1746">
        <v>5137.1699647769901</v>
      </c>
      <c r="O1343" s="1747"/>
      <c r="P1343" s="1720"/>
    </row>
    <row r="1344" spans="1:16" ht="13.9" hidden="1" customHeight="1" outlineLevel="3" x14ac:dyDescent="0.2">
      <c r="A1344" s="459">
        <v>0</v>
      </c>
      <c r="B1344" s="459">
        <v>11</v>
      </c>
      <c r="C1344" s="459">
        <v>7</v>
      </c>
      <c r="D1344" s="460">
        <v>3</v>
      </c>
      <c r="E1344" s="460">
        <v>1</v>
      </c>
      <c r="G1344" s="1790" t="s">
        <v>2805</v>
      </c>
      <c r="H1344" s="1749" t="s">
        <v>1239</v>
      </c>
      <c r="I1344" s="1750" t="s">
        <v>7126</v>
      </c>
      <c r="J1344" s="1751" t="s">
        <v>3266</v>
      </c>
      <c r="K1344" s="1752" t="s">
        <v>1130</v>
      </c>
      <c r="L1344" s="1753">
        <v>1</v>
      </c>
      <c r="M1344" s="1753">
        <v>46.143431526606648</v>
      </c>
      <c r="N1344" s="1754">
        <v>46.143431526606598</v>
      </c>
      <c r="O1344" s="1755" t="s">
        <v>3336</v>
      </c>
      <c r="P1344" s="1721" t="s">
        <v>9611</v>
      </c>
    </row>
    <row r="1345" spans="1:16" ht="13.9" hidden="1" customHeight="1" outlineLevel="3" x14ac:dyDescent="0.2">
      <c r="A1345" s="459">
        <v>0</v>
      </c>
      <c r="B1345" s="459">
        <v>11</v>
      </c>
      <c r="C1345" s="459">
        <v>7</v>
      </c>
      <c r="D1345" s="460">
        <v>3</v>
      </c>
      <c r="E1345" s="460">
        <v>2</v>
      </c>
      <c r="G1345" s="1790" t="s">
        <v>2805</v>
      </c>
      <c r="H1345" s="1749" t="s">
        <v>1239</v>
      </c>
      <c r="I1345" s="1750" t="s">
        <v>7127</v>
      </c>
      <c r="J1345" s="1751" t="s">
        <v>5497</v>
      </c>
      <c r="K1345" s="1752" t="s">
        <v>1130</v>
      </c>
      <c r="L1345" s="1753">
        <v>1</v>
      </c>
      <c r="M1345" s="1753">
        <v>5091.0265332503823</v>
      </c>
      <c r="N1345" s="1754">
        <v>5091.0265332503805</v>
      </c>
      <c r="O1345" s="1761" t="s">
        <v>5445</v>
      </c>
      <c r="P1345" s="1721" t="s">
        <v>9611</v>
      </c>
    </row>
    <row r="1346" spans="1:16" ht="13.9" hidden="1" customHeight="1" outlineLevel="2" x14ac:dyDescent="0.2">
      <c r="A1346" s="459">
        <v>0</v>
      </c>
      <c r="B1346" s="459">
        <v>11</v>
      </c>
      <c r="C1346" s="459">
        <v>7</v>
      </c>
      <c r="D1346" s="460">
        <v>4</v>
      </c>
      <c r="E1346" s="460">
        <v>0</v>
      </c>
      <c r="G1346" s="1740"/>
      <c r="H1346" s="1741" t="s">
        <v>1238</v>
      </c>
      <c r="I1346" s="1742" t="s">
        <v>7128</v>
      </c>
      <c r="J1346" s="1743" t="s">
        <v>2806</v>
      </c>
      <c r="K1346" s="1744"/>
      <c r="L1346" s="1745"/>
      <c r="M1346" s="1745"/>
      <c r="N1346" s="1746">
        <v>3362</v>
      </c>
      <c r="O1346" s="1747"/>
      <c r="P1346" s="1720"/>
    </row>
    <row r="1347" spans="1:16" ht="13.9" hidden="1" customHeight="1" outlineLevel="3" x14ac:dyDescent="0.2">
      <c r="A1347" s="459">
        <v>0</v>
      </c>
      <c r="B1347" s="459">
        <v>11</v>
      </c>
      <c r="C1347" s="459">
        <v>7</v>
      </c>
      <c r="D1347" s="460">
        <v>4</v>
      </c>
      <c r="E1347" s="460">
        <v>1</v>
      </c>
      <c r="G1347" s="1790" t="s">
        <v>2805</v>
      </c>
      <c r="H1347" s="1749" t="s">
        <v>1239</v>
      </c>
      <c r="I1347" s="1750" t="s">
        <v>7129</v>
      </c>
      <c r="J1347" s="1751" t="s">
        <v>2806</v>
      </c>
      <c r="K1347" s="1752" t="s">
        <v>534</v>
      </c>
      <c r="L1347" s="1753">
        <v>1</v>
      </c>
      <c r="M1347" s="1753">
        <v>2262</v>
      </c>
      <c r="N1347" s="1754">
        <v>2262</v>
      </c>
      <c r="O1347" s="1755" t="s">
        <v>2807</v>
      </c>
      <c r="P1347" s="1721" t="s">
        <v>9611</v>
      </c>
    </row>
    <row r="1348" spans="1:16" ht="13.9" hidden="1" customHeight="1" outlineLevel="3" x14ac:dyDescent="0.2">
      <c r="A1348" s="459">
        <v>0</v>
      </c>
      <c r="B1348" s="459">
        <v>11</v>
      </c>
      <c r="C1348" s="459">
        <v>7</v>
      </c>
      <c r="D1348" s="460">
        <v>4</v>
      </c>
      <c r="E1348" s="460">
        <v>2</v>
      </c>
      <c r="G1348" s="1790" t="s">
        <v>2805</v>
      </c>
      <c r="H1348" s="1749" t="s">
        <v>1239</v>
      </c>
      <c r="I1348" s="1750" t="s">
        <v>7130</v>
      </c>
      <c r="J1348" s="1751" t="s">
        <v>3262</v>
      </c>
      <c r="K1348" s="1752" t="s">
        <v>534</v>
      </c>
      <c r="L1348" s="1753">
        <v>1</v>
      </c>
      <c r="M1348" s="1753">
        <v>1100</v>
      </c>
      <c r="N1348" s="1754">
        <v>1100</v>
      </c>
      <c r="O1348" s="1755" t="s">
        <v>3263</v>
      </c>
      <c r="P1348" s="1721" t="s">
        <v>9611</v>
      </c>
    </row>
    <row r="1349" spans="1:16" ht="13.9" hidden="1" customHeight="1" outlineLevel="2" x14ac:dyDescent="0.2">
      <c r="A1349" s="459">
        <v>0</v>
      </c>
      <c r="B1349" s="459">
        <v>11</v>
      </c>
      <c r="C1349" s="459">
        <v>7</v>
      </c>
      <c r="D1349" s="460">
        <v>5</v>
      </c>
      <c r="E1349" s="460">
        <v>0</v>
      </c>
      <c r="G1349" s="1740"/>
      <c r="H1349" s="1741" t="s">
        <v>1238</v>
      </c>
      <c r="I1349" s="1742" t="s">
        <v>7131</v>
      </c>
      <c r="J1349" s="1743" t="s">
        <v>15</v>
      </c>
      <c r="K1349" s="1744"/>
      <c r="L1349" s="1745"/>
      <c r="M1349" s="1745"/>
      <c r="N1349" s="1746">
        <v>691.61115168684398</v>
      </c>
      <c r="O1349" s="1747"/>
      <c r="P1349" s="1720"/>
    </row>
    <row r="1350" spans="1:16" ht="13.9" hidden="1" customHeight="1" outlineLevel="3" x14ac:dyDescent="0.2">
      <c r="A1350" s="459">
        <v>0</v>
      </c>
      <c r="B1350" s="459">
        <v>11</v>
      </c>
      <c r="C1350" s="459">
        <v>7</v>
      </c>
      <c r="D1350" s="460">
        <v>5</v>
      </c>
      <c r="E1350" s="460">
        <v>1</v>
      </c>
      <c r="G1350" s="1790" t="s">
        <v>2805</v>
      </c>
      <c r="H1350" s="1749" t="s">
        <v>1239</v>
      </c>
      <c r="I1350" s="1750" t="s">
        <v>7132</v>
      </c>
      <c r="J1350" s="1751" t="s">
        <v>2808</v>
      </c>
      <c r="K1350" s="1752" t="s">
        <v>1130</v>
      </c>
      <c r="L1350" s="1753">
        <v>1</v>
      </c>
      <c r="M1350" s="1753">
        <v>691.61115168684444</v>
      </c>
      <c r="N1350" s="1754">
        <v>691.61115168684398</v>
      </c>
      <c r="O1350" s="1755" t="s">
        <v>5447</v>
      </c>
      <c r="P1350" s="1721" t="s">
        <v>9611</v>
      </c>
    </row>
    <row r="1351" spans="1:16" ht="13.9" hidden="1" customHeight="1" outlineLevel="1" x14ac:dyDescent="0.2">
      <c r="A1351" s="459">
        <v>0</v>
      </c>
      <c r="B1351" s="459">
        <v>11</v>
      </c>
      <c r="C1351" s="459">
        <v>8</v>
      </c>
      <c r="D1351" s="460">
        <v>0</v>
      </c>
      <c r="E1351" s="460">
        <v>1</v>
      </c>
      <c r="G1351" s="1733"/>
      <c r="H1351" s="1734" t="s">
        <v>39</v>
      </c>
      <c r="I1351" s="1735" t="s">
        <v>7133</v>
      </c>
      <c r="J1351" s="1736" t="s">
        <v>5506</v>
      </c>
      <c r="K1351" s="1737"/>
      <c r="L1351" s="1738"/>
      <c r="M1351" s="1738"/>
      <c r="N1351" s="1739">
        <v>18105.6836978182</v>
      </c>
      <c r="O1351" s="1722"/>
      <c r="P1351" s="1725"/>
    </row>
    <row r="1352" spans="1:16" ht="13.9" hidden="1" customHeight="1" outlineLevel="2" x14ac:dyDescent="0.2">
      <c r="A1352" s="459">
        <v>0</v>
      </c>
      <c r="B1352" s="459">
        <v>11</v>
      </c>
      <c r="C1352" s="459">
        <v>8</v>
      </c>
      <c r="D1352" s="460">
        <v>1</v>
      </c>
      <c r="E1352" s="460">
        <v>0</v>
      </c>
      <c r="G1352" s="1740"/>
      <c r="H1352" s="1741" t="s">
        <v>1238</v>
      </c>
      <c r="I1352" s="1742" t="s">
        <v>7134</v>
      </c>
      <c r="J1352" s="1743" t="s">
        <v>1303</v>
      </c>
      <c r="K1352" s="1744"/>
      <c r="L1352" s="1745"/>
      <c r="M1352" s="1745"/>
      <c r="N1352" s="1746">
        <v>11864.976355413901</v>
      </c>
      <c r="O1352" s="1747"/>
      <c r="P1352" s="1720"/>
    </row>
    <row r="1353" spans="1:16" ht="33.75" hidden="1" customHeight="1" outlineLevel="3" x14ac:dyDescent="0.2">
      <c r="A1353" s="459">
        <v>0</v>
      </c>
      <c r="B1353" s="459">
        <v>11</v>
      </c>
      <c r="C1353" s="459">
        <v>8</v>
      </c>
      <c r="D1353" s="460">
        <v>1</v>
      </c>
      <c r="E1353" s="460">
        <v>1</v>
      </c>
      <c r="G1353" s="1790" t="s">
        <v>2805</v>
      </c>
      <c r="H1353" s="1749" t="s">
        <v>1239</v>
      </c>
      <c r="I1353" s="1750" t="s">
        <v>7135</v>
      </c>
      <c r="J1353" s="1751" t="s">
        <v>1261</v>
      </c>
      <c r="K1353" s="1752" t="s">
        <v>1130</v>
      </c>
      <c r="L1353" s="1753">
        <v>1</v>
      </c>
      <c r="M1353" s="1753">
        <v>9141.4256918982228</v>
      </c>
      <c r="N1353" s="1754">
        <v>9141.4256918982192</v>
      </c>
      <c r="O1353" s="1761" t="s">
        <v>5445</v>
      </c>
      <c r="P1353" s="1721" t="s">
        <v>9611</v>
      </c>
    </row>
    <row r="1354" spans="1:16" ht="33" hidden="1" customHeight="1" outlineLevel="3" x14ac:dyDescent="0.2">
      <c r="A1354" s="459">
        <v>0</v>
      </c>
      <c r="B1354" s="459">
        <v>11</v>
      </c>
      <c r="C1354" s="459">
        <v>8</v>
      </c>
      <c r="D1354" s="460">
        <v>1</v>
      </c>
      <c r="E1354" s="460">
        <v>2</v>
      </c>
      <c r="G1354" s="1790" t="s">
        <v>2805</v>
      </c>
      <c r="H1354" s="1749" t="s">
        <v>1239</v>
      </c>
      <c r="I1354" s="1750" t="s">
        <v>7136</v>
      </c>
      <c r="J1354" s="1751" t="s">
        <v>1262</v>
      </c>
      <c r="K1354" s="1752" t="s">
        <v>1130</v>
      </c>
      <c r="L1354" s="1753">
        <v>1</v>
      </c>
      <c r="M1354" s="1753">
        <v>2723.5506635156967</v>
      </c>
      <c r="N1354" s="1754">
        <v>2723.5506635156999</v>
      </c>
      <c r="O1354" s="1761" t="s">
        <v>5446</v>
      </c>
      <c r="P1354" s="1721" t="s">
        <v>9611</v>
      </c>
    </row>
    <row r="1355" spans="1:16" ht="13.9" hidden="1" customHeight="1" outlineLevel="2" x14ac:dyDescent="0.2">
      <c r="A1355" s="459">
        <v>0</v>
      </c>
      <c r="B1355" s="459">
        <v>11</v>
      </c>
      <c r="C1355" s="459">
        <v>8</v>
      </c>
      <c r="D1355" s="460">
        <v>2</v>
      </c>
      <c r="E1355" s="460">
        <v>0</v>
      </c>
      <c r="G1355" s="1740"/>
      <c r="H1355" s="1741" t="s">
        <v>1238</v>
      </c>
      <c r="I1355" s="1742" t="s">
        <v>7137</v>
      </c>
      <c r="J1355" s="1743" t="s">
        <v>1682</v>
      </c>
      <c r="K1355" s="1744"/>
      <c r="L1355" s="1745"/>
      <c r="M1355" s="1745"/>
      <c r="N1355" s="1746">
        <v>693.65595221408296</v>
      </c>
      <c r="O1355" s="1747"/>
      <c r="P1355" s="1720"/>
    </row>
    <row r="1356" spans="1:16" ht="13.9" hidden="1" customHeight="1" outlineLevel="3" x14ac:dyDescent="0.2">
      <c r="A1356" s="459">
        <v>0</v>
      </c>
      <c r="B1356" s="459">
        <v>11</v>
      </c>
      <c r="C1356" s="459">
        <v>8</v>
      </c>
      <c r="D1356" s="460">
        <v>2</v>
      </c>
      <c r="E1356" s="460">
        <v>1</v>
      </c>
      <c r="G1356" s="1790" t="s">
        <v>2805</v>
      </c>
      <c r="H1356" s="1749" t="s">
        <v>1239</v>
      </c>
      <c r="I1356" s="1750" t="s">
        <v>7138</v>
      </c>
      <c r="J1356" s="1751" t="s">
        <v>3265</v>
      </c>
      <c r="K1356" s="1752" t="s">
        <v>1130</v>
      </c>
      <c r="L1356" s="1753">
        <v>1</v>
      </c>
      <c r="M1356" s="1753">
        <v>693.65595221408307</v>
      </c>
      <c r="N1356" s="1754">
        <v>693.65595221408296</v>
      </c>
      <c r="O1356" s="1755" t="s">
        <v>3267</v>
      </c>
      <c r="P1356" s="1721" t="s">
        <v>9611</v>
      </c>
    </row>
    <row r="1357" spans="1:16" ht="13.9" hidden="1" customHeight="1" outlineLevel="2" x14ac:dyDescent="0.2">
      <c r="A1357" s="459">
        <v>0</v>
      </c>
      <c r="B1357" s="459">
        <v>11</v>
      </c>
      <c r="C1357" s="459">
        <v>8</v>
      </c>
      <c r="D1357" s="460">
        <v>3</v>
      </c>
      <c r="E1357" s="460">
        <v>0</v>
      </c>
      <c r="G1357" s="1740"/>
      <c r="H1357" s="1741" t="s">
        <v>1238</v>
      </c>
      <c r="I1357" s="1742" t="s">
        <v>7139</v>
      </c>
      <c r="J1357" s="1743" t="s">
        <v>3264</v>
      </c>
      <c r="K1357" s="1744"/>
      <c r="L1357" s="1745"/>
      <c r="M1357" s="1745"/>
      <c r="N1357" s="1746">
        <v>4888.8687403735103</v>
      </c>
      <c r="O1357" s="1747"/>
      <c r="P1357" s="1720"/>
    </row>
    <row r="1358" spans="1:16" ht="13.9" hidden="1" customHeight="1" outlineLevel="3" x14ac:dyDescent="0.2">
      <c r="A1358" s="459">
        <v>0</v>
      </c>
      <c r="B1358" s="459">
        <v>11</v>
      </c>
      <c r="C1358" s="459">
        <v>8</v>
      </c>
      <c r="D1358" s="460">
        <v>3</v>
      </c>
      <c r="E1358" s="460">
        <v>1</v>
      </c>
      <c r="G1358" s="1790" t="s">
        <v>2805</v>
      </c>
      <c r="H1358" s="1749" t="s">
        <v>1239</v>
      </c>
      <c r="I1358" s="1750" t="s">
        <v>7140</v>
      </c>
      <c r="J1358" s="1751" t="s">
        <v>3266</v>
      </c>
      <c r="K1358" s="1752" t="s">
        <v>1130</v>
      </c>
      <c r="L1358" s="1753">
        <v>1</v>
      </c>
      <c r="M1358" s="1753">
        <v>43.913123667456084</v>
      </c>
      <c r="N1358" s="1754">
        <v>43.913123667456098</v>
      </c>
      <c r="O1358" s="1755" t="s">
        <v>3336</v>
      </c>
      <c r="P1358" s="1721" t="s">
        <v>9611</v>
      </c>
    </row>
    <row r="1359" spans="1:16" ht="13.9" hidden="1" customHeight="1" outlineLevel="3" x14ac:dyDescent="0.2">
      <c r="A1359" s="459">
        <v>0</v>
      </c>
      <c r="B1359" s="459">
        <v>11</v>
      </c>
      <c r="C1359" s="459">
        <v>8</v>
      </c>
      <c r="D1359" s="460">
        <v>3</v>
      </c>
      <c r="E1359" s="460">
        <v>2</v>
      </c>
      <c r="G1359" s="1790" t="s">
        <v>2805</v>
      </c>
      <c r="H1359" s="1749" t="s">
        <v>1239</v>
      </c>
      <c r="I1359" s="1750" t="s">
        <v>7141</v>
      </c>
      <c r="J1359" s="1751" t="s">
        <v>5497</v>
      </c>
      <c r="K1359" s="1752" t="s">
        <v>1130</v>
      </c>
      <c r="L1359" s="1753">
        <v>1</v>
      </c>
      <c r="M1359" s="1753">
        <v>4844.9556167060582</v>
      </c>
      <c r="N1359" s="1754">
        <v>4844.95561670606</v>
      </c>
      <c r="O1359" s="1761" t="s">
        <v>5445</v>
      </c>
      <c r="P1359" s="1721" t="s">
        <v>9611</v>
      </c>
    </row>
    <row r="1360" spans="1:16" ht="13.9" hidden="1" customHeight="1" outlineLevel="2" x14ac:dyDescent="0.2">
      <c r="A1360" s="459">
        <v>0</v>
      </c>
      <c r="B1360" s="459">
        <v>11</v>
      </c>
      <c r="C1360" s="459">
        <v>8</v>
      </c>
      <c r="D1360" s="460">
        <v>4</v>
      </c>
      <c r="E1360" s="460">
        <v>0</v>
      </c>
      <c r="G1360" s="1740"/>
      <c r="H1360" s="1741" t="s">
        <v>1238</v>
      </c>
      <c r="I1360" s="1742" t="s">
        <v>7142</v>
      </c>
      <c r="J1360" s="1743" t="s">
        <v>2806</v>
      </c>
      <c r="K1360" s="1744"/>
      <c r="L1360" s="1745"/>
      <c r="M1360" s="1745"/>
      <c r="N1360" s="1746">
        <v>0</v>
      </c>
      <c r="O1360" s="1747"/>
      <c r="P1360" s="1720"/>
    </row>
    <row r="1361" spans="1:16" ht="13.9" hidden="1" customHeight="1" outlineLevel="3" x14ac:dyDescent="0.2">
      <c r="A1361" s="459">
        <v>0</v>
      </c>
      <c r="B1361" s="459">
        <v>11</v>
      </c>
      <c r="C1361" s="459">
        <v>8</v>
      </c>
      <c r="D1361" s="460">
        <v>4</v>
      </c>
      <c r="E1361" s="460">
        <v>1</v>
      </c>
      <c r="G1361" s="1790" t="s">
        <v>2805</v>
      </c>
      <c r="H1361" s="1749" t="s">
        <v>1239</v>
      </c>
      <c r="I1361" s="1750" t="s">
        <v>7143</v>
      </c>
      <c r="J1361" s="1751" t="s">
        <v>2806</v>
      </c>
      <c r="K1361" s="1752" t="s">
        <v>534</v>
      </c>
      <c r="L1361" s="1753">
        <v>0</v>
      </c>
      <c r="M1361" s="1753">
        <v>2262</v>
      </c>
      <c r="N1361" s="1754">
        <v>0</v>
      </c>
      <c r="O1361" s="1755" t="s">
        <v>2807</v>
      </c>
      <c r="P1361" s="1721" t="s">
        <v>9611</v>
      </c>
    </row>
    <row r="1362" spans="1:16" ht="13.9" hidden="1" customHeight="1" outlineLevel="3" x14ac:dyDescent="0.2">
      <c r="A1362" s="459">
        <v>0</v>
      </c>
      <c r="B1362" s="459">
        <v>11</v>
      </c>
      <c r="C1362" s="459">
        <v>8</v>
      </c>
      <c r="D1362" s="460">
        <v>4</v>
      </c>
      <c r="E1362" s="460">
        <v>2</v>
      </c>
      <c r="G1362" s="1790" t="s">
        <v>2805</v>
      </c>
      <c r="H1362" s="1749" t="s">
        <v>1239</v>
      </c>
      <c r="I1362" s="1750" t="s">
        <v>7144</v>
      </c>
      <c r="J1362" s="1751" t="s">
        <v>3262</v>
      </c>
      <c r="K1362" s="1752" t="s">
        <v>534</v>
      </c>
      <c r="L1362" s="1753">
        <v>0</v>
      </c>
      <c r="M1362" s="1753">
        <v>1100</v>
      </c>
      <c r="N1362" s="1754">
        <v>0</v>
      </c>
      <c r="O1362" s="1755" t="s">
        <v>3263</v>
      </c>
      <c r="P1362" s="1721" t="s">
        <v>9611</v>
      </c>
    </row>
    <row r="1363" spans="1:16" ht="13.9" hidden="1" customHeight="1" outlineLevel="2" x14ac:dyDescent="0.2">
      <c r="A1363" s="459">
        <v>0</v>
      </c>
      <c r="B1363" s="459">
        <v>11</v>
      </c>
      <c r="C1363" s="459">
        <v>8</v>
      </c>
      <c r="D1363" s="460">
        <v>5</v>
      </c>
      <c r="E1363" s="460">
        <v>0</v>
      </c>
      <c r="G1363" s="1740"/>
      <c r="H1363" s="1741" t="s">
        <v>1238</v>
      </c>
      <c r="I1363" s="1742" t="s">
        <v>7145</v>
      </c>
      <c r="J1363" s="1743" t="s">
        <v>15</v>
      </c>
      <c r="K1363" s="1744"/>
      <c r="L1363" s="1745"/>
      <c r="M1363" s="1745"/>
      <c r="N1363" s="1746">
        <v>658.18264981667198</v>
      </c>
      <c r="O1363" s="1747"/>
      <c r="P1363" s="1720"/>
    </row>
    <row r="1364" spans="1:16" ht="13.9" hidden="1" customHeight="1" outlineLevel="3" x14ac:dyDescent="0.2">
      <c r="A1364" s="459">
        <v>0</v>
      </c>
      <c r="B1364" s="459">
        <v>11</v>
      </c>
      <c r="C1364" s="459">
        <v>8</v>
      </c>
      <c r="D1364" s="460">
        <v>5</v>
      </c>
      <c r="E1364" s="460">
        <v>1</v>
      </c>
      <c r="G1364" s="1790" t="s">
        <v>2805</v>
      </c>
      <c r="H1364" s="1749" t="s">
        <v>1239</v>
      </c>
      <c r="I1364" s="1750" t="s">
        <v>7146</v>
      </c>
      <c r="J1364" s="1751" t="s">
        <v>2808</v>
      </c>
      <c r="K1364" s="1752" t="s">
        <v>1130</v>
      </c>
      <c r="L1364" s="1753">
        <v>1</v>
      </c>
      <c r="M1364" s="1753">
        <v>658.18264981667198</v>
      </c>
      <c r="N1364" s="1754">
        <v>658.18264981667198</v>
      </c>
      <c r="O1364" s="1755" t="s">
        <v>5447</v>
      </c>
      <c r="P1364" s="1721" t="s">
        <v>9611</v>
      </c>
    </row>
    <row r="1365" spans="1:16" ht="13.9" customHeight="1" collapsed="1" x14ac:dyDescent="0.2">
      <c r="A1365" s="459">
        <v>0</v>
      </c>
      <c r="B1365" s="459">
        <v>12</v>
      </c>
      <c r="C1365" s="459">
        <v>0</v>
      </c>
      <c r="D1365" s="460">
        <v>5</v>
      </c>
      <c r="E1365" s="460">
        <v>1</v>
      </c>
      <c r="F1365" s="474"/>
      <c r="G1365" s="1791"/>
      <c r="H1365" s="1727" t="s">
        <v>1237</v>
      </c>
      <c r="I1365" s="1728" t="s">
        <v>7147</v>
      </c>
      <c r="J1365" s="1729" t="s">
        <v>22</v>
      </c>
      <c r="K1365" s="1730"/>
      <c r="L1365" s="1731"/>
      <c r="M1365" s="1731"/>
      <c r="N1365" s="1732"/>
      <c r="O1365" s="1770"/>
      <c r="P1365" s="1724"/>
    </row>
    <row r="1366" spans="1:16" ht="13.9" hidden="1" customHeight="1" outlineLevel="1" x14ac:dyDescent="0.2">
      <c r="A1366" s="459">
        <v>0</v>
      </c>
      <c r="B1366" s="459">
        <v>12</v>
      </c>
      <c r="C1366" s="459">
        <v>1</v>
      </c>
      <c r="D1366" s="460">
        <v>0</v>
      </c>
      <c r="E1366" s="460">
        <v>1</v>
      </c>
      <c r="G1366" s="1763"/>
      <c r="H1366" s="1734" t="s">
        <v>39</v>
      </c>
      <c r="I1366" s="1735" t="s">
        <v>7148</v>
      </c>
      <c r="J1366" s="1736" t="s">
        <v>3322</v>
      </c>
      <c r="K1366" s="1737"/>
      <c r="L1366" s="1738"/>
      <c r="M1366" s="1738"/>
      <c r="N1366" s="1739"/>
      <c r="O1366" s="1722"/>
      <c r="P1366" s="1725"/>
    </row>
    <row r="1367" spans="1:16" ht="13.5" hidden="1" customHeight="1" outlineLevel="2" x14ac:dyDescent="0.2">
      <c r="A1367" s="459">
        <v>0</v>
      </c>
      <c r="B1367" s="459">
        <v>12</v>
      </c>
      <c r="C1367" s="459">
        <v>1</v>
      </c>
      <c r="D1367" s="460">
        <v>1</v>
      </c>
      <c r="E1367" s="460">
        <v>0</v>
      </c>
      <c r="G1367" s="1764"/>
      <c r="H1367" s="1741" t="s">
        <v>1238</v>
      </c>
      <c r="I1367" s="1742" t="s">
        <v>7149</v>
      </c>
      <c r="J1367" s="1743" t="s">
        <v>2809</v>
      </c>
      <c r="K1367" s="1744"/>
      <c r="L1367" s="1745"/>
      <c r="M1367" s="1745"/>
      <c r="N1367" s="1746">
        <v>2800</v>
      </c>
      <c r="O1367" s="1747"/>
      <c r="P1367" s="1720"/>
    </row>
    <row r="1368" spans="1:16" ht="13.5" hidden="1" customHeight="1" outlineLevel="3" x14ac:dyDescent="0.2">
      <c r="A1368" s="459">
        <v>0</v>
      </c>
      <c r="B1368" s="459">
        <v>12</v>
      </c>
      <c r="C1368" s="459">
        <v>1</v>
      </c>
      <c r="D1368" s="460">
        <v>1</v>
      </c>
      <c r="E1368" s="460">
        <v>1</v>
      </c>
      <c r="F1368" s="130"/>
      <c r="G1368" s="1748" t="s">
        <v>2384</v>
      </c>
      <c r="H1368" s="1749" t="s">
        <v>1239</v>
      </c>
      <c r="I1368" s="1750" t="s">
        <v>7150</v>
      </c>
      <c r="J1368" s="1751" t="s">
        <v>2809</v>
      </c>
      <c r="K1368" s="1752" t="s">
        <v>1130</v>
      </c>
      <c r="L1368" s="1753">
        <v>1</v>
      </c>
      <c r="M1368" s="1753">
        <v>2800</v>
      </c>
      <c r="N1368" s="1754">
        <v>2800</v>
      </c>
      <c r="O1368" s="1755" t="s">
        <v>1263</v>
      </c>
      <c r="P1368" s="1721" t="s">
        <v>9611</v>
      </c>
    </row>
    <row r="1369" spans="1:16" ht="13.5" hidden="1" customHeight="1" outlineLevel="2" x14ac:dyDescent="0.2">
      <c r="A1369" s="459">
        <v>0</v>
      </c>
      <c r="B1369" s="459">
        <v>12</v>
      </c>
      <c r="C1369" s="459">
        <v>1</v>
      </c>
      <c r="D1369" s="460">
        <v>2</v>
      </c>
      <c r="E1369" s="460">
        <v>0</v>
      </c>
      <c r="F1369" s="130"/>
      <c r="G1369" s="1764"/>
      <c r="H1369" s="1741" t="s">
        <v>1238</v>
      </c>
      <c r="I1369" s="1742" t="s">
        <v>7151</v>
      </c>
      <c r="J1369" s="1743" t="s">
        <v>2810</v>
      </c>
      <c r="K1369" s="1744"/>
      <c r="L1369" s="1745"/>
      <c r="M1369" s="1745"/>
      <c r="N1369" s="1746"/>
      <c r="O1369" s="1793"/>
      <c r="P1369" s="1720"/>
    </row>
    <row r="1370" spans="1:16" ht="13.5" hidden="1" customHeight="1" outlineLevel="3" x14ac:dyDescent="0.2">
      <c r="A1370" s="459">
        <v>0</v>
      </c>
      <c r="B1370" s="459">
        <v>12</v>
      </c>
      <c r="C1370" s="459">
        <v>1</v>
      </c>
      <c r="D1370" s="460">
        <v>2</v>
      </c>
      <c r="E1370" s="460">
        <v>1</v>
      </c>
      <c r="F1370" s="130"/>
      <c r="G1370" s="1748" t="s">
        <v>2384</v>
      </c>
      <c r="H1370" s="1749" t="s">
        <v>1239</v>
      </c>
      <c r="I1370" s="1750" t="s">
        <v>7152</v>
      </c>
      <c r="J1370" s="1751" t="s">
        <v>2810</v>
      </c>
      <c r="K1370" s="1752" t="s">
        <v>1130</v>
      </c>
      <c r="L1370" s="1753">
        <v>1</v>
      </c>
      <c r="M1370" s="1753" t="e">
        <v>#REF!</v>
      </c>
      <c r="N1370" s="1754"/>
      <c r="O1370" s="1761" t="s">
        <v>5448</v>
      </c>
      <c r="P1370" s="1721" t="s">
        <v>9611</v>
      </c>
    </row>
    <row r="1371" spans="1:16" ht="13.9" hidden="1" customHeight="1" outlineLevel="1" x14ac:dyDescent="0.2">
      <c r="A1371" s="459">
        <v>0</v>
      </c>
      <c r="B1371" s="459">
        <v>12</v>
      </c>
      <c r="C1371" s="459">
        <v>2</v>
      </c>
      <c r="D1371" s="460">
        <v>0</v>
      </c>
      <c r="E1371" s="460">
        <v>1</v>
      </c>
      <c r="G1371" s="1763"/>
      <c r="H1371" s="1734" t="s">
        <v>39</v>
      </c>
      <c r="I1371" s="1735" t="s">
        <v>7153</v>
      </c>
      <c r="J1371" s="1736" t="s">
        <v>3324</v>
      </c>
      <c r="K1371" s="1737"/>
      <c r="L1371" s="1738"/>
      <c r="M1371" s="1738"/>
      <c r="N1371" s="1739"/>
      <c r="O1371" s="1722"/>
      <c r="P1371" s="1725"/>
    </row>
    <row r="1372" spans="1:16" ht="13.5" hidden="1" customHeight="1" outlineLevel="2" x14ac:dyDescent="0.2">
      <c r="A1372" s="459">
        <v>0</v>
      </c>
      <c r="B1372" s="459">
        <v>12</v>
      </c>
      <c r="C1372" s="459">
        <v>2</v>
      </c>
      <c r="D1372" s="460">
        <v>1</v>
      </c>
      <c r="E1372" s="460">
        <v>0</v>
      </c>
      <c r="F1372" s="130"/>
      <c r="G1372" s="1764"/>
      <c r="H1372" s="1741" t="s">
        <v>1238</v>
      </c>
      <c r="I1372" s="1742" t="s">
        <v>7154</v>
      </c>
      <c r="J1372" s="1743" t="s">
        <v>2810</v>
      </c>
      <c r="K1372" s="1744"/>
      <c r="L1372" s="1745"/>
      <c r="M1372" s="1745"/>
      <c r="N1372" s="1746"/>
      <c r="O1372" s="1793"/>
      <c r="P1372" s="1720"/>
    </row>
    <row r="1373" spans="1:16" ht="13.5" hidden="1" customHeight="1" outlineLevel="3" x14ac:dyDescent="0.2">
      <c r="A1373" s="459">
        <v>0</v>
      </c>
      <c r="B1373" s="459">
        <v>12</v>
      </c>
      <c r="C1373" s="459">
        <v>2</v>
      </c>
      <c r="D1373" s="460">
        <v>1</v>
      </c>
      <c r="E1373" s="460">
        <v>1</v>
      </c>
      <c r="F1373" s="130"/>
      <c r="G1373" s="1748" t="s">
        <v>2384</v>
      </c>
      <c r="H1373" s="1749" t="s">
        <v>1239</v>
      </c>
      <c r="I1373" s="1750" t="s">
        <v>7155</v>
      </c>
      <c r="J1373" s="1751" t="s">
        <v>2810</v>
      </c>
      <c r="K1373" s="1752" t="s">
        <v>1130</v>
      </c>
      <c r="L1373" s="1753">
        <v>1</v>
      </c>
      <c r="M1373" s="1753" t="e">
        <v>#REF!</v>
      </c>
      <c r="N1373" s="1754"/>
      <c r="O1373" s="1761" t="s">
        <v>5448</v>
      </c>
      <c r="P1373" s="1721" t="s">
        <v>9611</v>
      </c>
    </row>
    <row r="1374" spans="1:16" ht="13.9" hidden="1" customHeight="1" outlineLevel="1" x14ac:dyDescent="0.2">
      <c r="A1374" s="459">
        <v>0</v>
      </c>
      <c r="B1374" s="459">
        <v>12</v>
      </c>
      <c r="C1374" s="459">
        <v>3</v>
      </c>
      <c r="D1374" s="460">
        <v>0</v>
      </c>
      <c r="E1374" s="460">
        <v>1</v>
      </c>
      <c r="G1374" s="1763"/>
      <c r="H1374" s="1734" t="s">
        <v>39</v>
      </c>
      <c r="I1374" s="1735" t="s">
        <v>7156</v>
      </c>
      <c r="J1374" s="1736" t="s">
        <v>3325</v>
      </c>
      <c r="K1374" s="1737"/>
      <c r="L1374" s="1738"/>
      <c r="M1374" s="1738"/>
      <c r="N1374" s="1739"/>
      <c r="O1374" s="1722"/>
      <c r="P1374" s="1725"/>
    </row>
    <row r="1375" spans="1:16" ht="13.5" hidden="1" customHeight="1" outlineLevel="2" x14ac:dyDescent="0.2">
      <c r="A1375" s="459">
        <v>0</v>
      </c>
      <c r="B1375" s="459">
        <v>12</v>
      </c>
      <c r="C1375" s="459">
        <v>3</v>
      </c>
      <c r="D1375" s="460">
        <v>1</v>
      </c>
      <c r="E1375" s="460">
        <v>0</v>
      </c>
      <c r="F1375" s="130"/>
      <c r="G1375" s="1764"/>
      <c r="H1375" s="1741" t="s">
        <v>1238</v>
      </c>
      <c r="I1375" s="1742" t="s">
        <v>7157</v>
      </c>
      <c r="J1375" s="1743" t="s">
        <v>2810</v>
      </c>
      <c r="K1375" s="1744"/>
      <c r="L1375" s="1745"/>
      <c r="M1375" s="1745"/>
      <c r="N1375" s="1746"/>
      <c r="O1375" s="1793"/>
      <c r="P1375" s="1720"/>
    </row>
    <row r="1376" spans="1:16" ht="13.5" hidden="1" customHeight="1" outlineLevel="3" x14ac:dyDescent="0.2">
      <c r="A1376" s="459">
        <v>0</v>
      </c>
      <c r="B1376" s="459">
        <v>12</v>
      </c>
      <c r="C1376" s="459">
        <v>3</v>
      </c>
      <c r="D1376" s="460">
        <v>1</v>
      </c>
      <c r="E1376" s="460">
        <v>1</v>
      </c>
      <c r="F1376" s="130"/>
      <c r="G1376" s="1748" t="s">
        <v>2384</v>
      </c>
      <c r="H1376" s="1749" t="s">
        <v>1239</v>
      </c>
      <c r="I1376" s="1750" t="s">
        <v>7158</v>
      </c>
      <c r="J1376" s="1751" t="s">
        <v>2810</v>
      </c>
      <c r="K1376" s="1752" t="s">
        <v>1130</v>
      </c>
      <c r="L1376" s="1753">
        <v>1</v>
      </c>
      <c r="M1376" s="1753" t="e">
        <v>#REF!</v>
      </c>
      <c r="N1376" s="1754"/>
      <c r="O1376" s="1755" t="s">
        <v>3323</v>
      </c>
      <c r="P1376" s="1721" t="s">
        <v>9611</v>
      </c>
    </row>
    <row r="1377" spans="1:16" ht="13.9" hidden="1" customHeight="1" outlineLevel="1" x14ac:dyDescent="0.2">
      <c r="A1377" s="459">
        <v>0</v>
      </c>
      <c r="B1377" s="459">
        <v>12</v>
      </c>
      <c r="C1377" s="459">
        <v>4</v>
      </c>
      <c r="D1377" s="460">
        <v>0</v>
      </c>
      <c r="E1377" s="460">
        <v>1</v>
      </c>
      <c r="G1377" s="1763"/>
      <c r="H1377" s="1734" t="s">
        <v>39</v>
      </c>
      <c r="I1377" s="1735" t="s">
        <v>7159</v>
      </c>
      <c r="J1377" s="1736" t="s">
        <v>3326</v>
      </c>
      <c r="K1377" s="1737"/>
      <c r="L1377" s="1738"/>
      <c r="M1377" s="1738"/>
      <c r="N1377" s="1739"/>
      <c r="O1377" s="1722"/>
      <c r="P1377" s="1725"/>
    </row>
    <row r="1378" spans="1:16" ht="13.5" hidden="1" customHeight="1" outlineLevel="2" x14ac:dyDescent="0.2">
      <c r="A1378" s="459">
        <v>0</v>
      </c>
      <c r="B1378" s="459">
        <v>12</v>
      </c>
      <c r="C1378" s="459">
        <v>4</v>
      </c>
      <c r="D1378" s="460">
        <v>1</v>
      </c>
      <c r="E1378" s="460">
        <v>0</v>
      </c>
      <c r="F1378" s="130"/>
      <c r="G1378" s="1764"/>
      <c r="H1378" s="1741" t="s">
        <v>1238</v>
      </c>
      <c r="I1378" s="1742" t="s">
        <v>7160</v>
      </c>
      <c r="J1378" s="1743" t="s">
        <v>2810</v>
      </c>
      <c r="K1378" s="1744"/>
      <c r="L1378" s="1745"/>
      <c r="M1378" s="1745"/>
      <c r="N1378" s="1746"/>
      <c r="O1378" s="1793"/>
      <c r="P1378" s="1720"/>
    </row>
    <row r="1379" spans="1:16" ht="13.5" hidden="1" customHeight="1" outlineLevel="3" x14ac:dyDescent="0.2">
      <c r="A1379" s="459">
        <v>0</v>
      </c>
      <c r="B1379" s="459">
        <v>12</v>
      </c>
      <c r="C1379" s="459">
        <v>4</v>
      </c>
      <c r="D1379" s="460">
        <v>1</v>
      </c>
      <c r="E1379" s="460">
        <v>1</v>
      </c>
      <c r="F1379" s="130"/>
      <c r="G1379" s="1748" t="s">
        <v>2384</v>
      </c>
      <c r="H1379" s="1749" t="s">
        <v>1239</v>
      </c>
      <c r="I1379" s="1750" t="s">
        <v>7161</v>
      </c>
      <c r="J1379" s="1751" t="s">
        <v>2810</v>
      </c>
      <c r="K1379" s="1752" t="s">
        <v>1130</v>
      </c>
      <c r="L1379" s="1753">
        <v>1</v>
      </c>
      <c r="M1379" s="1753" t="e">
        <v>#REF!</v>
      </c>
      <c r="N1379" s="1754"/>
      <c r="O1379" s="1755" t="s">
        <v>3323</v>
      </c>
      <c r="P1379" s="1721" t="s">
        <v>9611</v>
      </c>
    </row>
    <row r="1380" spans="1:16" ht="13.9" hidden="1" customHeight="1" outlineLevel="1" x14ac:dyDescent="0.2">
      <c r="A1380" s="459">
        <v>0</v>
      </c>
      <c r="B1380" s="459">
        <v>12</v>
      </c>
      <c r="C1380" s="459">
        <v>5</v>
      </c>
      <c r="D1380" s="460">
        <v>0</v>
      </c>
      <c r="E1380" s="460">
        <v>1</v>
      </c>
      <c r="G1380" s="1763"/>
      <c r="H1380" s="1734" t="s">
        <v>39</v>
      </c>
      <c r="I1380" s="1735" t="s">
        <v>7162</v>
      </c>
      <c r="J1380" s="1736" t="s">
        <v>3327</v>
      </c>
      <c r="K1380" s="1737"/>
      <c r="L1380" s="1738"/>
      <c r="M1380" s="1738"/>
      <c r="N1380" s="1739"/>
      <c r="O1380" s="1722"/>
      <c r="P1380" s="1725"/>
    </row>
    <row r="1381" spans="1:16" ht="13.5" hidden="1" customHeight="1" outlineLevel="2" x14ac:dyDescent="0.2">
      <c r="A1381" s="459">
        <v>0</v>
      </c>
      <c r="B1381" s="459">
        <v>12</v>
      </c>
      <c r="C1381" s="459">
        <v>5</v>
      </c>
      <c r="D1381" s="460">
        <v>1</v>
      </c>
      <c r="E1381" s="460">
        <v>0</v>
      </c>
      <c r="F1381" s="130"/>
      <c r="G1381" s="1764"/>
      <c r="H1381" s="1741" t="s">
        <v>1238</v>
      </c>
      <c r="I1381" s="1742" t="s">
        <v>7163</v>
      </c>
      <c r="J1381" s="1743" t="s">
        <v>2810</v>
      </c>
      <c r="K1381" s="1744"/>
      <c r="L1381" s="1745"/>
      <c r="M1381" s="1745"/>
      <c r="N1381" s="1746"/>
      <c r="O1381" s="1793"/>
      <c r="P1381" s="1720"/>
    </row>
    <row r="1382" spans="1:16" ht="13.5" hidden="1" customHeight="1" outlineLevel="3" x14ac:dyDescent="0.2">
      <c r="A1382" s="459">
        <v>0</v>
      </c>
      <c r="B1382" s="459">
        <v>12</v>
      </c>
      <c r="C1382" s="459">
        <v>5</v>
      </c>
      <c r="D1382" s="460">
        <v>1</v>
      </c>
      <c r="E1382" s="460">
        <v>1</v>
      </c>
      <c r="F1382" s="130"/>
      <c r="G1382" s="1748" t="s">
        <v>2384</v>
      </c>
      <c r="H1382" s="1749" t="s">
        <v>1239</v>
      </c>
      <c r="I1382" s="1750" t="s">
        <v>7164</v>
      </c>
      <c r="J1382" s="1751" t="s">
        <v>2810</v>
      </c>
      <c r="K1382" s="1752" t="s">
        <v>1130</v>
      </c>
      <c r="L1382" s="1753">
        <v>1</v>
      </c>
      <c r="M1382" s="1753" t="e">
        <v>#REF!</v>
      </c>
      <c r="N1382" s="1754"/>
      <c r="O1382" s="1755" t="s">
        <v>3323</v>
      </c>
      <c r="P1382" s="1721" t="s">
        <v>9611</v>
      </c>
    </row>
    <row r="1383" spans="1:16" ht="13.9" hidden="1" customHeight="1" outlineLevel="1" x14ac:dyDescent="0.2">
      <c r="A1383" s="459">
        <v>0</v>
      </c>
      <c r="B1383" s="459">
        <v>12</v>
      </c>
      <c r="C1383" s="459">
        <v>6</v>
      </c>
      <c r="D1383" s="460">
        <v>0</v>
      </c>
      <c r="E1383" s="460">
        <v>1</v>
      </c>
      <c r="G1383" s="1763"/>
      <c r="H1383" s="1734" t="s">
        <v>39</v>
      </c>
      <c r="I1383" s="1735" t="s">
        <v>7165</v>
      </c>
      <c r="J1383" s="1736" t="s">
        <v>3328</v>
      </c>
      <c r="K1383" s="1737"/>
      <c r="L1383" s="1738"/>
      <c r="M1383" s="1738"/>
      <c r="N1383" s="1739"/>
      <c r="O1383" s="1722"/>
      <c r="P1383" s="1725"/>
    </row>
    <row r="1384" spans="1:16" ht="13.5" hidden="1" customHeight="1" outlineLevel="2" x14ac:dyDescent="0.2">
      <c r="A1384" s="459">
        <v>0</v>
      </c>
      <c r="B1384" s="459">
        <v>12</v>
      </c>
      <c r="C1384" s="459">
        <v>6</v>
      </c>
      <c r="D1384" s="460">
        <v>1</v>
      </c>
      <c r="E1384" s="460">
        <v>0</v>
      </c>
      <c r="F1384" s="130"/>
      <c r="G1384" s="1764"/>
      <c r="H1384" s="1741" t="s">
        <v>1238</v>
      </c>
      <c r="I1384" s="1742" t="s">
        <v>7166</v>
      </c>
      <c r="J1384" s="1743" t="s">
        <v>2810</v>
      </c>
      <c r="K1384" s="1744"/>
      <c r="L1384" s="1745"/>
      <c r="M1384" s="1745"/>
      <c r="N1384" s="1746"/>
      <c r="O1384" s="1793"/>
      <c r="P1384" s="1720"/>
    </row>
    <row r="1385" spans="1:16" ht="13.5" hidden="1" customHeight="1" outlineLevel="3" x14ac:dyDescent="0.2">
      <c r="A1385" s="459">
        <v>0</v>
      </c>
      <c r="B1385" s="459">
        <v>12</v>
      </c>
      <c r="C1385" s="459">
        <v>6</v>
      </c>
      <c r="D1385" s="460">
        <v>1</v>
      </c>
      <c r="E1385" s="460">
        <v>1</v>
      </c>
      <c r="F1385" s="130"/>
      <c r="G1385" s="1748" t="s">
        <v>2384</v>
      </c>
      <c r="H1385" s="1749" t="s">
        <v>1239</v>
      </c>
      <c r="I1385" s="1750" t="s">
        <v>7167</v>
      </c>
      <c r="J1385" s="1751" t="s">
        <v>2810</v>
      </c>
      <c r="K1385" s="1752" t="s">
        <v>1130</v>
      </c>
      <c r="L1385" s="1753">
        <v>1</v>
      </c>
      <c r="M1385" s="1753" t="e">
        <v>#REF!</v>
      </c>
      <c r="N1385" s="1754"/>
      <c r="O1385" s="1755" t="s">
        <v>3323</v>
      </c>
      <c r="P1385" s="1721" t="s">
        <v>9611</v>
      </c>
    </row>
    <row r="1386" spans="1:16" ht="13.9" hidden="1" customHeight="1" outlineLevel="1" x14ac:dyDescent="0.2">
      <c r="A1386" s="459">
        <v>0</v>
      </c>
      <c r="B1386" s="459">
        <v>12</v>
      </c>
      <c r="C1386" s="459">
        <v>7</v>
      </c>
      <c r="D1386" s="460">
        <v>0</v>
      </c>
      <c r="E1386" s="460">
        <v>1</v>
      </c>
      <c r="G1386" s="1763"/>
      <c r="H1386" s="1734" t="s">
        <v>39</v>
      </c>
      <c r="I1386" s="1735" t="s">
        <v>7168</v>
      </c>
      <c r="J1386" s="1736" t="s">
        <v>3329</v>
      </c>
      <c r="K1386" s="1737"/>
      <c r="L1386" s="1738"/>
      <c r="M1386" s="1738"/>
      <c r="N1386" s="1739"/>
      <c r="O1386" s="1722"/>
      <c r="P1386" s="1725"/>
    </row>
    <row r="1387" spans="1:16" ht="13.5" hidden="1" customHeight="1" outlineLevel="2" x14ac:dyDescent="0.2">
      <c r="A1387" s="459">
        <v>0</v>
      </c>
      <c r="B1387" s="459">
        <v>12</v>
      </c>
      <c r="C1387" s="459">
        <v>7</v>
      </c>
      <c r="D1387" s="460">
        <v>1</v>
      </c>
      <c r="E1387" s="460">
        <v>0</v>
      </c>
      <c r="G1387" s="1764"/>
      <c r="H1387" s="1741" t="s">
        <v>1238</v>
      </c>
      <c r="I1387" s="1742" t="s">
        <v>7169</v>
      </c>
      <c r="J1387" s="1743" t="s">
        <v>2809</v>
      </c>
      <c r="K1387" s="1744"/>
      <c r="L1387" s="1745"/>
      <c r="M1387" s="1745"/>
      <c r="N1387" s="1746">
        <v>14910</v>
      </c>
      <c r="O1387" s="1747"/>
      <c r="P1387" s="1720"/>
    </row>
    <row r="1388" spans="1:16" ht="13.5" hidden="1" customHeight="1" outlineLevel="3" x14ac:dyDescent="0.2">
      <c r="A1388" s="459">
        <v>0</v>
      </c>
      <c r="B1388" s="459">
        <v>12</v>
      </c>
      <c r="C1388" s="459">
        <v>7</v>
      </c>
      <c r="D1388" s="460">
        <v>1</v>
      </c>
      <c r="E1388" s="460">
        <v>1</v>
      </c>
      <c r="F1388" s="130"/>
      <c r="G1388" s="1748" t="s">
        <v>2384</v>
      </c>
      <c r="H1388" s="1749" t="s">
        <v>1239</v>
      </c>
      <c r="I1388" s="1750" t="s">
        <v>7170</v>
      </c>
      <c r="J1388" s="1751" t="s">
        <v>2809</v>
      </c>
      <c r="K1388" s="1752" t="s">
        <v>1130</v>
      </c>
      <c r="L1388" s="1753">
        <v>1</v>
      </c>
      <c r="M1388" s="1753">
        <v>14910</v>
      </c>
      <c r="N1388" s="1754">
        <v>14910</v>
      </c>
      <c r="O1388" s="1755" t="s">
        <v>1263</v>
      </c>
      <c r="P1388" s="1721" t="s">
        <v>9611</v>
      </c>
    </row>
    <row r="1389" spans="1:16" ht="13.5" hidden="1" customHeight="1" outlineLevel="2" x14ac:dyDescent="0.2">
      <c r="A1389" s="459">
        <v>0</v>
      </c>
      <c r="B1389" s="459">
        <v>12</v>
      </c>
      <c r="C1389" s="459">
        <v>7</v>
      </c>
      <c r="D1389" s="460">
        <v>2</v>
      </c>
      <c r="E1389" s="460">
        <v>0</v>
      </c>
      <c r="F1389" s="130"/>
      <c r="G1389" s="1764"/>
      <c r="H1389" s="1741" t="s">
        <v>1238</v>
      </c>
      <c r="I1389" s="1742" t="s">
        <v>7171</v>
      </c>
      <c r="J1389" s="1743" t="s">
        <v>2810</v>
      </c>
      <c r="K1389" s="1744"/>
      <c r="L1389" s="1745"/>
      <c r="M1389" s="1745"/>
      <c r="N1389" s="1746"/>
      <c r="O1389" s="1793"/>
      <c r="P1389" s="1720"/>
    </row>
    <row r="1390" spans="1:16" ht="13.5" hidden="1" customHeight="1" outlineLevel="3" x14ac:dyDescent="0.2">
      <c r="A1390" s="459">
        <v>0</v>
      </c>
      <c r="B1390" s="459">
        <v>12</v>
      </c>
      <c r="C1390" s="459">
        <v>7</v>
      </c>
      <c r="D1390" s="460">
        <v>2</v>
      </c>
      <c r="E1390" s="460">
        <v>1</v>
      </c>
      <c r="F1390" s="130"/>
      <c r="G1390" s="1748" t="s">
        <v>2384</v>
      </c>
      <c r="H1390" s="1749" t="s">
        <v>1239</v>
      </c>
      <c r="I1390" s="1750" t="s">
        <v>7172</v>
      </c>
      <c r="J1390" s="1751" t="s">
        <v>2810</v>
      </c>
      <c r="K1390" s="1752" t="s">
        <v>1130</v>
      </c>
      <c r="L1390" s="1753">
        <v>1</v>
      </c>
      <c r="M1390" s="1753" t="e">
        <v>#REF!</v>
      </c>
      <c r="N1390" s="1754"/>
      <c r="O1390" s="1755" t="s">
        <v>3323</v>
      </c>
      <c r="P1390" s="1721" t="s">
        <v>9611</v>
      </c>
    </row>
    <row r="1391" spans="1:16" ht="13.5" hidden="1" customHeight="1" outlineLevel="2" x14ac:dyDescent="0.2">
      <c r="A1391" s="459">
        <v>0</v>
      </c>
      <c r="B1391" s="459">
        <v>12</v>
      </c>
      <c r="C1391" s="459">
        <v>7</v>
      </c>
      <c r="D1391" s="460">
        <v>3</v>
      </c>
      <c r="E1391" s="460">
        <v>0</v>
      </c>
      <c r="F1391" s="130"/>
      <c r="G1391" s="1764"/>
      <c r="H1391" s="1741" t="s">
        <v>1238</v>
      </c>
      <c r="I1391" s="1742" t="s">
        <v>7173</v>
      </c>
      <c r="J1391" s="1743" t="s">
        <v>2524</v>
      </c>
      <c r="K1391" s="1744"/>
      <c r="L1391" s="1745"/>
      <c r="M1391" s="1745"/>
      <c r="N1391" s="1746">
        <v>42992.695764557197</v>
      </c>
      <c r="O1391" s="1747"/>
      <c r="P1391" s="1720"/>
    </row>
    <row r="1392" spans="1:16" ht="13.5" hidden="1" customHeight="1" outlineLevel="3" x14ac:dyDescent="0.2">
      <c r="A1392" s="459">
        <v>0</v>
      </c>
      <c r="B1392" s="459">
        <v>12</v>
      </c>
      <c r="C1392" s="459">
        <v>7</v>
      </c>
      <c r="D1392" s="460">
        <v>3</v>
      </c>
      <c r="E1392" s="460">
        <v>1</v>
      </c>
      <c r="F1392" s="130"/>
      <c r="G1392" s="1748" t="s">
        <v>2384</v>
      </c>
      <c r="H1392" s="1749" t="s">
        <v>1239</v>
      </c>
      <c r="I1392" s="1750" t="s">
        <v>7174</v>
      </c>
      <c r="J1392" s="1751" t="s">
        <v>2811</v>
      </c>
      <c r="K1392" s="1752" t="s">
        <v>1130</v>
      </c>
      <c r="L1392" s="1753">
        <v>1</v>
      </c>
      <c r="M1392" s="1753">
        <v>42992.695764557211</v>
      </c>
      <c r="N1392" s="1754">
        <v>42992.695764557197</v>
      </c>
      <c r="O1392" s="1755" t="s">
        <v>1263</v>
      </c>
      <c r="P1392" s="1721" t="s">
        <v>9611</v>
      </c>
    </row>
    <row r="1393" spans="1:16" ht="13.9" hidden="1" customHeight="1" outlineLevel="1" x14ac:dyDescent="0.2">
      <c r="A1393" s="459">
        <v>0</v>
      </c>
      <c r="B1393" s="459">
        <v>12</v>
      </c>
      <c r="C1393" s="459">
        <v>8</v>
      </c>
      <c r="D1393" s="460">
        <v>0</v>
      </c>
      <c r="E1393" s="460">
        <v>1</v>
      </c>
      <c r="G1393" s="1763"/>
      <c r="H1393" s="1734" t="s">
        <v>39</v>
      </c>
      <c r="I1393" s="1735" t="s">
        <v>7175</v>
      </c>
      <c r="J1393" s="1736" t="s">
        <v>3330</v>
      </c>
      <c r="K1393" s="1737"/>
      <c r="L1393" s="1738"/>
      <c r="M1393" s="1738"/>
      <c r="N1393" s="1739"/>
      <c r="O1393" s="1722"/>
      <c r="P1393" s="1725"/>
    </row>
    <row r="1394" spans="1:16" ht="13.5" hidden="1" customHeight="1" outlineLevel="2" x14ac:dyDescent="0.2">
      <c r="A1394" s="459">
        <v>0</v>
      </c>
      <c r="B1394" s="459">
        <v>12</v>
      </c>
      <c r="C1394" s="459">
        <v>8</v>
      </c>
      <c r="D1394" s="460">
        <v>1</v>
      </c>
      <c r="E1394" s="460">
        <v>0</v>
      </c>
      <c r="G1394" s="1764"/>
      <c r="H1394" s="1741" t="s">
        <v>1238</v>
      </c>
      <c r="I1394" s="1742" t="s">
        <v>7176</v>
      </c>
      <c r="J1394" s="1743" t="s">
        <v>2809</v>
      </c>
      <c r="K1394" s="1744"/>
      <c r="L1394" s="1745"/>
      <c r="M1394" s="1745"/>
      <c r="N1394" s="1746">
        <v>13700</v>
      </c>
      <c r="O1394" s="1747"/>
      <c r="P1394" s="1720"/>
    </row>
    <row r="1395" spans="1:16" ht="13.5" hidden="1" customHeight="1" outlineLevel="3" x14ac:dyDescent="0.2">
      <c r="A1395" s="459">
        <v>0</v>
      </c>
      <c r="B1395" s="459">
        <v>12</v>
      </c>
      <c r="C1395" s="459">
        <v>8</v>
      </c>
      <c r="D1395" s="460">
        <v>1</v>
      </c>
      <c r="E1395" s="460">
        <v>1</v>
      </c>
      <c r="F1395" s="130"/>
      <c r="G1395" s="1748" t="s">
        <v>2384</v>
      </c>
      <c r="H1395" s="1749" t="s">
        <v>1239</v>
      </c>
      <c r="I1395" s="1750" t="s">
        <v>7177</v>
      </c>
      <c r="J1395" s="1751" t="s">
        <v>2809</v>
      </c>
      <c r="K1395" s="1752" t="s">
        <v>1130</v>
      </c>
      <c r="L1395" s="1753">
        <v>1</v>
      </c>
      <c r="M1395" s="1753">
        <v>13700</v>
      </c>
      <c r="N1395" s="1754">
        <v>13700</v>
      </c>
      <c r="O1395" s="1755" t="s">
        <v>1263</v>
      </c>
      <c r="P1395" s="1721" t="s">
        <v>9611</v>
      </c>
    </row>
    <row r="1396" spans="1:16" ht="13.5" hidden="1" customHeight="1" outlineLevel="2" x14ac:dyDescent="0.2">
      <c r="A1396" s="459">
        <v>0</v>
      </c>
      <c r="B1396" s="459">
        <v>12</v>
      </c>
      <c r="C1396" s="459">
        <v>8</v>
      </c>
      <c r="D1396" s="460">
        <v>2</v>
      </c>
      <c r="E1396" s="460">
        <v>0</v>
      </c>
      <c r="F1396" s="130"/>
      <c r="G1396" s="1764"/>
      <c r="H1396" s="1741" t="s">
        <v>1238</v>
      </c>
      <c r="I1396" s="1742" t="s">
        <v>7178</v>
      </c>
      <c r="J1396" s="1743" t="s">
        <v>2810</v>
      </c>
      <c r="K1396" s="1744"/>
      <c r="L1396" s="1745"/>
      <c r="M1396" s="1745"/>
      <c r="N1396" s="1746"/>
      <c r="O1396" s="1793"/>
      <c r="P1396" s="1720"/>
    </row>
    <row r="1397" spans="1:16" ht="13.5" hidden="1" customHeight="1" outlineLevel="3" x14ac:dyDescent="0.2">
      <c r="A1397" s="459">
        <v>0</v>
      </c>
      <c r="B1397" s="459">
        <v>12</v>
      </c>
      <c r="C1397" s="459">
        <v>8</v>
      </c>
      <c r="D1397" s="460">
        <v>2</v>
      </c>
      <c r="E1397" s="460">
        <v>1</v>
      </c>
      <c r="F1397" s="130"/>
      <c r="G1397" s="1748" t="s">
        <v>2384</v>
      </c>
      <c r="H1397" s="1749" t="s">
        <v>1239</v>
      </c>
      <c r="I1397" s="1750" t="s">
        <v>7179</v>
      </c>
      <c r="J1397" s="1751" t="s">
        <v>2810</v>
      </c>
      <c r="K1397" s="1752" t="s">
        <v>1130</v>
      </c>
      <c r="L1397" s="1753">
        <v>1</v>
      </c>
      <c r="M1397" s="1753" t="e">
        <v>#REF!</v>
      </c>
      <c r="N1397" s="1754"/>
      <c r="O1397" s="1755" t="s">
        <v>3323</v>
      </c>
      <c r="P1397" s="1721" t="s">
        <v>9611</v>
      </c>
    </row>
    <row r="1398" spans="1:16" ht="13.5" hidden="1" customHeight="1" outlineLevel="2" x14ac:dyDescent="0.2">
      <c r="A1398" s="459">
        <v>0</v>
      </c>
      <c r="B1398" s="459">
        <v>12</v>
      </c>
      <c r="C1398" s="459">
        <v>8</v>
      </c>
      <c r="D1398" s="460">
        <v>3</v>
      </c>
      <c r="E1398" s="460">
        <v>0</v>
      </c>
      <c r="F1398" s="130"/>
      <c r="G1398" s="1764"/>
      <c r="H1398" s="1741" t="s">
        <v>1238</v>
      </c>
      <c r="I1398" s="1742" t="s">
        <v>7180</v>
      </c>
      <c r="J1398" s="1743" t="s">
        <v>2524</v>
      </c>
      <c r="K1398" s="1744"/>
      <c r="L1398" s="1745"/>
      <c r="M1398" s="1745"/>
      <c r="N1398" s="1746">
        <v>42992.695764557197</v>
      </c>
      <c r="O1398" s="1747"/>
      <c r="P1398" s="1720"/>
    </row>
    <row r="1399" spans="1:16" ht="13.5" hidden="1" customHeight="1" outlineLevel="3" x14ac:dyDescent="0.2">
      <c r="A1399" s="459">
        <v>0</v>
      </c>
      <c r="B1399" s="459">
        <v>12</v>
      </c>
      <c r="C1399" s="459">
        <v>8</v>
      </c>
      <c r="D1399" s="460">
        <v>3</v>
      </c>
      <c r="E1399" s="460">
        <v>1</v>
      </c>
      <c r="F1399" s="130"/>
      <c r="G1399" s="1748" t="s">
        <v>2384</v>
      </c>
      <c r="H1399" s="1749" t="s">
        <v>1239</v>
      </c>
      <c r="I1399" s="1750" t="s">
        <v>7181</v>
      </c>
      <c r="J1399" s="1751" t="s">
        <v>2811</v>
      </c>
      <c r="K1399" s="1752" t="s">
        <v>1130</v>
      </c>
      <c r="L1399" s="1753">
        <v>1</v>
      </c>
      <c r="M1399" s="1753">
        <v>42992.695764557211</v>
      </c>
      <c r="N1399" s="1754">
        <v>42992.695764557197</v>
      </c>
      <c r="O1399" s="1755" t="s">
        <v>1263</v>
      </c>
      <c r="P1399" s="1721" t="s">
        <v>9611</v>
      </c>
    </row>
    <row r="1400" spans="1:16" ht="13.9" hidden="1" customHeight="1" outlineLevel="1" x14ac:dyDescent="0.2">
      <c r="A1400" s="459">
        <v>0</v>
      </c>
      <c r="B1400" s="459">
        <v>12</v>
      </c>
      <c r="C1400" s="459">
        <v>9</v>
      </c>
      <c r="D1400" s="460">
        <v>0</v>
      </c>
      <c r="E1400" s="460">
        <v>1</v>
      </c>
      <c r="G1400" s="1763"/>
      <c r="H1400" s="1734" t="s">
        <v>39</v>
      </c>
      <c r="I1400" s="1735" t="s">
        <v>7182</v>
      </c>
      <c r="J1400" s="1736" t="s">
        <v>3331</v>
      </c>
      <c r="K1400" s="1737"/>
      <c r="L1400" s="1738"/>
      <c r="M1400" s="1738"/>
      <c r="N1400" s="1739"/>
      <c r="O1400" s="1722"/>
      <c r="P1400" s="1725"/>
    </row>
    <row r="1401" spans="1:16" ht="13.5" hidden="1" customHeight="1" outlineLevel="2" x14ac:dyDescent="0.2">
      <c r="A1401" s="459">
        <v>0</v>
      </c>
      <c r="B1401" s="459">
        <v>12</v>
      </c>
      <c r="C1401" s="459">
        <v>9</v>
      </c>
      <c r="D1401" s="460">
        <v>1</v>
      </c>
      <c r="E1401" s="460">
        <v>0</v>
      </c>
      <c r="G1401" s="1764"/>
      <c r="H1401" s="1741" t="s">
        <v>1238</v>
      </c>
      <c r="I1401" s="1742" t="s">
        <v>7183</v>
      </c>
      <c r="J1401" s="1743" t="s">
        <v>2809</v>
      </c>
      <c r="K1401" s="1744"/>
      <c r="L1401" s="1745"/>
      <c r="M1401" s="1745"/>
      <c r="N1401" s="1746">
        <v>1720</v>
      </c>
      <c r="O1401" s="1747"/>
      <c r="P1401" s="1720"/>
    </row>
    <row r="1402" spans="1:16" ht="13.5" hidden="1" customHeight="1" outlineLevel="3" x14ac:dyDescent="0.2">
      <c r="A1402" s="459">
        <v>0</v>
      </c>
      <c r="B1402" s="459">
        <v>12</v>
      </c>
      <c r="C1402" s="459">
        <v>9</v>
      </c>
      <c r="D1402" s="460">
        <v>1</v>
      </c>
      <c r="E1402" s="460">
        <v>1</v>
      </c>
      <c r="F1402" s="130"/>
      <c r="G1402" s="1748" t="s">
        <v>2384</v>
      </c>
      <c r="H1402" s="1749" t="s">
        <v>1239</v>
      </c>
      <c r="I1402" s="1750" t="s">
        <v>7184</v>
      </c>
      <c r="J1402" s="1751" t="s">
        <v>2809</v>
      </c>
      <c r="K1402" s="1752" t="s">
        <v>1130</v>
      </c>
      <c r="L1402" s="1753">
        <v>1</v>
      </c>
      <c r="M1402" s="1753">
        <v>1720</v>
      </c>
      <c r="N1402" s="1754">
        <v>1720</v>
      </c>
      <c r="O1402" s="1755" t="s">
        <v>1263</v>
      </c>
      <c r="P1402" s="1721" t="s">
        <v>9611</v>
      </c>
    </row>
    <row r="1403" spans="1:16" ht="13.5" hidden="1" customHeight="1" outlineLevel="2" x14ac:dyDescent="0.2">
      <c r="A1403" s="459">
        <v>0</v>
      </c>
      <c r="B1403" s="459">
        <v>12</v>
      </c>
      <c r="C1403" s="459">
        <v>9</v>
      </c>
      <c r="D1403" s="460">
        <v>2</v>
      </c>
      <c r="E1403" s="460">
        <v>0</v>
      </c>
      <c r="F1403" s="130"/>
      <c r="G1403" s="1764"/>
      <c r="H1403" s="1741" t="s">
        <v>1238</v>
      </c>
      <c r="I1403" s="1742" t="s">
        <v>7185</v>
      </c>
      <c r="J1403" s="1743" t="s">
        <v>2810</v>
      </c>
      <c r="K1403" s="1744"/>
      <c r="L1403" s="1745"/>
      <c r="M1403" s="1745"/>
      <c r="N1403" s="1746"/>
      <c r="O1403" s="1793"/>
      <c r="P1403" s="1720"/>
    </row>
    <row r="1404" spans="1:16" ht="13.5" hidden="1" customHeight="1" outlineLevel="3" x14ac:dyDescent="0.2">
      <c r="A1404" s="459">
        <v>0</v>
      </c>
      <c r="B1404" s="459">
        <v>12</v>
      </c>
      <c r="C1404" s="459">
        <v>9</v>
      </c>
      <c r="D1404" s="460">
        <v>2</v>
      </c>
      <c r="E1404" s="460">
        <v>1</v>
      </c>
      <c r="F1404" s="130"/>
      <c r="G1404" s="1748" t="s">
        <v>2384</v>
      </c>
      <c r="H1404" s="1749" t="s">
        <v>1239</v>
      </c>
      <c r="I1404" s="1750" t="s">
        <v>7186</v>
      </c>
      <c r="J1404" s="1751" t="s">
        <v>2810</v>
      </c>
      <c r="K1404" s="1752" t="s">
        <v>1130</v>
      </c>
      <c r="L1404" s="1753">
        <v>1</v>
      </c>
      <c r="M1404" s="1753" t="e">
        <v>#REF!</v>
      </c>
      <c r="N1404" s="1754"/>
      <c r="O1404" s="1761" t="s">
        <v>5449</v>
      </c>
      <c r="P1404" s="1721" t="s">
        <v>9611</v>
      </c>
    </row>
    <row r="1405" spans="1:16" ht="13.9" hidden="1" customHeight="1" outlineLevel="1" x14ac:dyDescent="0.2">
      <c r="A1405" s="459">
        <v>0</v>
      </c>
      <c r="B1405" s="459">
        <v>12</v>
      </c>
      <c r="C1405" s="459">
        <v>10</v>
      </c>
      <c r="D1405" s="460">
        <v>0</v>
      </c>
      <c r="E1405" s="460">
        <v>1</v>
      </c>
      <c r="G1405" s="1763"/>
      <c r="H1405" s="1734" t="s">
        <v>39</v>
      </c>
      <c r="I1405" s="1735" t="s">
        <v>7187</v>
      </c>
      <c r="J1405" s="1736" t="s">
        <v>3332</v>
      </c>
      <c r="K1405" s="1737"/>
      <c r="L1405" s="1738"/>
      <c r="M1405" s="1738"/>
      <c r="N1405" s="1739"/>
      <c r="O1405" s="1722"/>
      <c r="P1405" s="1725"/>
    </row>
    <row r="1406" spans="1:16" ht="13.5" hidden="1" customHeight="1" outlineLevel="2" x14ac:dyDescent="0.2">
      <c r="A1406" s="459">
        <v>0</v>
      </c>
      <c r="B1406" s="459">
        <v>12</v>
      </c>
      <c r="C1406" s="459">
        <v>10</v>
      </c>
      <c r="D1406" s="460">
        <v>1</v>
      </c>
      <c r="E1406" s="460">
        <v>0</v>
      </c>
      <c r="G1406" s="1764"/>
      <c r="H1406" s="1741" t="s">
        <v>1238</v>
      </c>
      <c r="I1406" s="1742" t="s">
        <v>7188</v>
      </c>
      <c r="J1406" s="1743" t="s">
        <v>2809</v>
      </c>
      <c r="K1406" s="1744"/>
      <c r="L1406" s="1745"/>
      <c r="M1406" s="1745"/>
      <c r="N1406" s="1746">
        <v>2560</v>
      </c>
      <c r="O1406" s="1747"/>
      <c r="P1406" s="1720"/>
    </row>
    <row r="1407" spans="1:16" ht="13.5" hidden="1" customHeight="1" outlineLevel="3" x14ac:dyDescent="0.2">
      <c r="A1407" s="459">
        <v>0</v>
      </c>
      <c r="B1407" s="459">
        <v>12</v>
      </c>
      <c r="C1407" s="459">
        <v>10</v>
      </c>
      <c r="D1407" s="460">
        <v>1</v>
      </c>
      <c r="E1407" s="460">
        <v>1</v>
      </c>
      <c r="F1407" s="130"/>
      <c r="G1407" s="1748" t="s">
        <v>2384</v>
      </c>
      <c r="H1407" s="1749" t="s">
        <v>1239</v>
      </c>
      <c r="I1407" s="1750" t="s">
        <v>7189</v>
      </c>
      <c r="J1407" s="1751" t="s">
        <v>2809</v>
      </c>
      <c r="K1407" s="1752" t="s">
        <v>1130</v>
      </c>
      <c r="L1407" s="1753">
        <v>1</v>
      </c>
      <c r="M1407" s="1753">
        <v>2560</v>
      </c>
      <c r="N1407" s="1754">
        <v>2560</v>
      </c>
      <c r="O1407" s="1761" t="s">
        <v>5449</v>
      </c>
      <c r="P1407" s="1721" t="s">
        <v>9611</v>
      </c>
    </row>
    <row r="1408" spans="1:16" ht="13.5" hidden="1" customHeight="1" outlineLevel="2" x14ac:dyDescent="0.2">
      <c r="A1408" s="459">
        <v>0</v>
      </c>
      <c r="B1408" s="459">
        <v>12</v>
      </c>
      <c r="C1408" s="459">
        <v>10</v>
      </c>
      <c r="D1408" s="460">
        <v>2</v>
      </c>
      <c r="E1408" s="460">
        <v>0</v>
      </c>
      <c r="F1408" s="130"/>
      <c r="G1408" s="1764"/>
      <c r="H1408" s="1741" t="s">
        <v>1238</v>
      </c>
      <c r="I1408" s="1742" t="s">
        <v>7190</v>
      </c>
      <c r="J1408" s="1743" t="s">
        <v>2810</v>
      </c>
      <c r="K1408" s="1744"/>
      <c r="L1408" s="1745"/>
      <c r="M1408" s="1745"/>
      <c r="N1408" s="1746"/>
      <c r="O1408" s="1793"/>
      <c r="P1408" s="1720"/>
    </row>
    <row r="1409" spans="1:16" ht="13.5" hidden="1" customHeight="1" outlineLevel="3" x14ac:dyDescent="0.2">
      <c r="A1409" s="459">
        <v>0</v>
      </c>
      <c r="B1409" s="459">
        <v>12</v>
      </c>
      <c r="C1409" s="459">
        <v>10</v>
      </c>
      <c r="D1409" s="460">
        <v>2</v>
      </c>
      <c r="E1409" s="460">
        <v>1</v>
      </c>
      <c r="F1409" s="130"/>
      <c r="G1409" s="1748" t="s">
        <v>2384</v>
      </c>
      <c r="H1409" s="1749" t="s">
        <v>1239</v>
      </c>
      <c r="I1409" s="1750" t="s">
        <v>7191</v>
      </c>
      <c r="J1409" s="1751" t="s">
        <v>2810</v>
      </c>
      <c r="K1409" s="1752" t="s">
        <v>1130</v>
      </c>
      <c r="L1409" s="1753">
        <v>1</v>
      </c>
      <c r="M1409" s="1753" t="e">
        <v>#REF!</v>
      </c>
      <c r="N1409" s="1754"/>
      <c r="O1409" s="1755" t="s">
        <v>3323</v>
      </c>
      <c r="P1409" s="1721" t="s">
        <v>9611</v>
      </c>
    </row>
    <row r="1410" spans="1:16" ht="13.9" hidden="1" customHeight="1" outlineLevel="1" x14ac:dyDescent="0.2">
      <c r="A1410" s="459">
        <v>0</v>
      </c>
      <c r="B1410" s="459">
        <v>12</v>
      </c>
      <c r="C1410" s="459">
        <v>11</v>
      </c>
      <c r="D1410" s="460">
        <v>0</v>
      </c>
      <c r="E1410" s="460">
        <v>1</v>
      </c>
      <c r="G1410" s="1763"/>
      <c r="H1410" s="1734" t="s">
        <v>39</v>
      </c>
      <c r="I1410" s="1735" t="s">
        <v>7192</v>
      </c>
      <c r="J1410" s="1736" t="s">
        <v>3333</v>
      </c>
      <c r="K1410" s="1737"/>
      <c r="L1410" s="1738"/>
      <c r="M1410" s="1738"/>
      <c r="N1410" s="1739"/>
      <c r="O1410" s="1722"/>
      <c r="P1410" s="1725"/>
    </row>
    <row r="1411" spans="1:16" ht="13.5" hidden="1" customHeight="1" outlineLevel="2" x14ac:dyDescent="0.2">
      <c r="A1411" s="459">
        <v>0</v>
      </c>
      <c r="B1411" s="459">
        <v>12</v>
      </c>
      <c r="C1411" s="459">
        <v>11</v>
      </c>
      <c r="D1411" s="460">
        <v>1</v>
      </c>
      <c r="E1411" s="460">
        <v>0</v>
      </c>
      <c r="G1411" s="1764"/>
      <c r="H1411" s="1741" t="s">
        <v>1238</v>
      </c>
      <c r="I1411" s="1742" t="s">
        <v>7193</v>
      </c>
      <c r="J1411" s="1743" t="s">
        <v>2809</v>
      </c>
      <c r="K1411" s="1744"/>
      <c r="L1411" s="1745"/>
      <c r="M1411" s="1745"/>
      <c r="N1411" s="1746">
        <v>3520</v>
      </c>
      <c r="O1411" s="1747"/>
      <c r="P1411" s="1720"/>
    </row>
    <row r="1412" spans="1:16" ht="13.5" hidden="1" customHeight="1" outlineLevel="3" x14ac:dyDescent="0.2">
      <c r="A1412" s="459">
        <v>0</v>
      </c>
      <c r="B1412" s="459">
        <v>12</v>
      </c>
      <c r="C1412" s="459">
        <v>11</v>
      </c>
      <c r="D1412" s="460">
        <v>1</v>
      </c>
      <c r="E1412" s="460">
        <v>1</v>
      </c>
      <c r="F1412" s="130"/>
      <c r="G1412" s="1748" t="s">
        <v>2384</v>
      </c>
      <c r="H1412" s="1749" t="s">
        <v>1239</v>
      </c>
      <c r="I1412" s="1750" t="s">
        <v>7194</v>
      </c>
      <c r="J1412" s="1751" t="s">
        <v>2809</v>
      </c>
      <c r="K1412" s="1752" t="s">
        <v>1130</v>
      </c>
      <c r="L1412" s="1753">
        <v>1</v>
      </c>
      <c r="M1412" s="1753">
        <v>3520</v>
      </c>
      <c r="N1412" s="1754">
        <v>3520</v>
      </c>
      <c r="O1412" s="1755" t="s">
        <v>1263</v>
      </c>
      <c r="P1412" s="1721" t="s">
        <v>9611</v>
      </c>
    </row>
    <row r="1413" spans="1:16" ht="13.5" hidden="1" customHeight="1" outlineLevel="2" x14ac:dyDescent="0.2">
      <c r="A1413" s="459">
        <v>0</v>
      </c>
      <c r="B1413" s="459">
        <v>12</v>
      </c>
      <c r="C1413" s="459">
        <v>11</v>
      </c>
      <c r="D1413" s="460">
        <v>2</v>
      </c>
      <c r="E1413" s="460">
        <v>0</v>
      </c>
      <c r="F1413" s="130"/>
      <c r="G1413" s="1764"/>
      <c r="H1413" s="1741" t="s">
        <v>1238</v>
      </c>
      <c r="I1413" s="1742" t="s">
        <v>7195</v>
      </c>
      <c r="J1413" s="1743" t="s">
        <v>2810</v>
      </c>
      <c r="K1413" s="1744"/>
      <c r="L1413" s="1745"/>
      <c r="M1413" s="1745"/>
      <c r="N1413" s="1746"/>
      <c r="O1413" s="1793"/>
      <c r="P1413" s="1720"/>
    </row>
    <row r="1414" spans="1:16" ht="13.5" hidden="1" customHeight="1" outlineLevel="3" x14ac:dyDescent="0.2">
      <c r="A1414" s="459">
        <v>0</v>
      </c>
      <c r="B1414" s="459">
        <v>12</v>
      </c>
      <c r="C1414" s="459">
        <v>11</v>
      </c>
      <c r="D1414" s="460">
        <v>2</v>
      </c>
      <c r="E1414" s="460">
        <v>1</v>
      </c>
      <c r="F1414" s="130"/>
      <c r="G1414" s="1748" t="s">
        <v>2384</v>
      </c>
      <c r="H1414" s="1749" t="s">
        <v>1239</v>
      </c>
      <c r="I1414" s="1750" t="s">
        <v>7196</v>
      </c>
      <c r="J1414" s="1751" t="s">
        <v>2810</v>
      </c>
      <c r="K1414" s="1752" t="s">
        <v>1130</v>
      </c>
      <c r="L1414" s="1753">
        <v>1</v>
      </c>
      <c r="M1414" s="1753" t="e">
        <v>#REF!</v>
      </c>
      <c r="N1414" s="1754"/>
      <c r="O1414" s="1761" t="s">
        <v>5449</v>
      </c>
      <c r="P1414" s="1721" t="s">
        <v>9611</v>
      </c>
    </row>
    <row r="1415" spans="1:16" ht="13.9" hidden="1" customHeight="1" outlineLevel="1" x14ac:dyDescent="0.2">
      <c r="A1415" s="459">
        <v>0</v>
      </c>
      <c r="B1415" s="459">
        <v>12</v>
      </c>
      <c r="C1415" s="459">
        <v>12</v>
      </c>
      <c r="D1415" s="460">
        <v>0</v>
      </c>
      <c r="E1415" s="460">
        <v>1</v>
      </c>
      <c r="G1415" s="1763"/>
      <c r="H1415" s="1734" t="s">
        <v>39</v>
      </c>
      <c r="I1415" s="1735" t="s">
        <v>7197</v>
      </c>
      <c r="J1415" s="1736" t="s">
        <v>3334</v>
      </c>
      <c r="K1415" s="1737"/>
      <c r="L1415" s="1738"/>
      <c r="M1415" s="1738"/>
      <c r="N1415" s="1739"/>
      <c r="O1415" s="1722"/>
      <c r="P1415" s="1725"/>
    </row>
    <row r="1416" spans="1:16" ht="13.5" hidden="1" customHeight="1" outlineLevel="2" x14ac:dyDescent="0.2">
      <c r="A1416" s="459">
        <v>0</v>
      </c>
      <c r="B1416" s="459">
        <v>12</v>
      </c>
      <c r="C1416" s="459">
        <v>12</v>
      </c>
      <c r="D1416" s="460">
        <v>1</v>
      </c>
      <c r="E1416" s="460">
        <v>0</v>
      </c>
      <c r="G1416" s="1764"/>
      <c r="H1416" s="1741" t="s">
        <v>1238</v>
      </c>
      <c r="I1416" s="1742" t="s">
        <v>7198</v>
      </c>
      <c r="J1416" s="1743" t="s">
        <v>2809</v>
      </c>
      <c r="K1416" s="1744"/>
      <c r="L1416" s="1745"/>
      <c r="M1416" s="1745"/>
      <c r="N1416" s="1746">
        <v>320</v>
      </c>
      <c r="O1416" s="1747"/>
      <c r="P1416" s="1720"/>
    </row>
    <row r="1417" spans="1:16" ht="13.5" hidden="1" customHeight="1" outlineLevel="3" x14ac:dyDescent="0.2">
      <c r="A1417" s="459">
        <v>0</v>
      </c>
      <c r="B1417" s="459">
        <v>12</v>
      </c>
      <c r="C1417" s="459">
        <v>12</v>
      </c>
      <c r="D1417" s="460">
        <v>1</v>
      </c>
      <c r="E1417" s="460">
        <v>1</v>
      </c>
      <c r="F1417" s="130"/>
      <c r="G1417" s="1748" t="s">
        <v>2384</v>
      </c>
      <c r="H1417" s="1749" t="s">
        <v>1239</v>
      </c>
      <c r="I1417" s="1750" t="s">
        <v>7199</v>
      </c>
      <c r="J1417" s="1751" t="s">
        <v>2809</v>
      </c>
      <c r="K1417" s="1752" t="s">
        <v>1130</v>
      </c>
      <c r="L1417" s="1753">
        <v>1</v>
      </c>
      <c r="M1417" s="1753">
        <v>320</v>
      </c>
      <c r="N1417" s="1754">
        <v>320</v>
      </c>
      <c r="O1417" s="1755" t="s">
        <v>1263</v>
      </c>
      <c r="P1417" s="1721" t="s">
        <v>9611</v>
      </c>
    </row>
    <row r="1418" spans="1:16" ht="13.5" hidden="1" customHeight="1" outlineLevel="2" x14ac:dyDescent="0.2">
      <c r="A1418" s="459">
        <v>0</v>
      </c>
      <c r="B1418" s="459">
        <v>12</v>
      </c>
      <c r="C1418" s="459">
        <v>12</v>
      </c>
      <c r="D1418" s="460">
        <v>2</v>
      </c>
      <c r="E1418" s="460">
        <v>0</v>
      </c>
      <c r="F1418" s="130"/>
      <c r="G1418" s="1764"/>
      <c r="H1418" s="1741" t="s">
        <v>1238</v>
      </c>
      <c r="I1418" s="1742" t="s">
        <v>7200</v>
      </c>
      <c r="J1418" s="1743" t="s">
        <v>2810</v>
      </c>
      <c r="K1418" s="1744"/>
      <c r="L1418" s="1745"/>
      <c r="M1418" s="1745"/>
      <c r="N1418" s="1746"/>
      <c r="O1418" s="1793"/>
      <c r="P1418" s="1720"/>
    </row>
    <row r="1419" spans="1:16" ht="13.5" hidden="1" customHeight="1" outlineLevel="3" x14ac:dyDescent="0.2">
      <c r="A1419" s="459">
        <v>0</v>
      </c>
      <c r="B1419" s="459">
        <v>12</v>
      </c>
      <c r="C1419" s="459">
        <v>12</v>
      </c>
      <c r="D1419" s="460">
        <v>2</v>
      </c>
      <c r="E1419" s="460">
        <v>1</v>
      </c>
      <c r="F1419" s="130"/>
      <c r="G1419" s="1748" t="s">
        <v>2384</v>
      </c>
      <c r="H1419" s="1749" t="s">
        <v>1239</v>
      </c>
      <c r="I1419" s="1750" t="s">
        <v>7201</v>
      </c>
      <c r="J1419" s="1751" t="s">
        <v>2810</v>
      </c>
      <c r="K1419" s="1752" t="s">
        <v>1130</v>
      </c>
      <c r="L1419" s="1753">
        <v>1</v>
      </c>
      <c r="M1419" s="1753" t="e">
        <v>#REF!</v>
      </c>
      <c r="N1419" s="1754"/>
      <c r="O1419" s="1761" t="s">
        <v>5449</v>
      </c>
      <c r="P1419" s="1721" t="s">
        <v>9611</v>
      </c>
    </row>
    <row r="1420" spans="1:16" ht="13.9" hidden="1" customHeight="1" outlineLevel="1" x14ac:dyDescent="0.2">
      <c r="A1420" s="459">
        <v>0</v>
      </c>
      <c r="B1420" s="459">
        <v>12</v>
      </c>
      <c r="C1420" s="459">
        <v>13</v>
      </c>
      <c r="D1420" s="460">
        <v>0</v>
      </c>
      <c r="E1420" s="460">
        <v>1</v>
      </c>
      <c r="G1420" s="1763"/>
      <c r="H1420" s="1734" t="s">
        <v>39</v>
      </c>
      <c r="I1420" s="1735" t="s">
        <v>7202</v>
      </c>
      <c r="J1420" s="1736" t="s">
        <v>3335</v>
      </c>
      <c r="K1420" s="1737"/>
      <c r="L1420" s="1738"/>
      <c r="M1420" s="1738"/>
      <c r="N1420" s="1739"/>
      <c r="O1420" s="1722"/>
      <c r="P1420" s="1725"/>
    </row>
    <row r="1421" spans="1:16" ht="13.5" hidden="1" customHeight="1" outlineLevel="2" x14ac:dyDescent="0.2">
      <c r="A1421" s="459">
        <v>0</v>
      </c>
      <c r="B1421" s="459">
        <v>12</v>
      </c>
      <c r="C1421" s="459">
        <v>13</v>
      </c>
      <c r="D1421" s="460">
        <v>1</v>
      </c>
      <c r="E1421" s="460">
        <v>0</v>
      </c>
      <c r="F1421" s="130"/>
      <c r="G1421" s="1764"/>
      <c r="H1421" s="1741" t="s">
        <v>1238</v>
      </c>
      <c r="I1421" s="1742" t="s">
        <v>7203</v>
      </c>
      <c r="J1421" s="1743" t="s">
        <v>2810</v>
      </c>
      <c r="K1421" s="1744"/>
      <c r="L1421" s="1745"/>
      <c r="M1421" s="1745"/>
      <c r="N1421" s="1746"/>
      <c r="O1421" s="1793"/>
      <c r="P1421" s="1720"/>
    </row>
    <row r="1422" spans="1:16" ht="13.5" hidden="1" customHeight="1" outlineLevel="3" x14ac:dyDescent="0.2">
      <c r="A1422" s="459">
        <v>0</v>
      </c>
      <c r="B1422" s="459">
        <v>12</v>
      </c>
      <c r="C1422" s="459">
        <v>13</v>
      </c>
      <c r="D1422" s="460">
        <v>1</v>
      </c>
      <c r="E1422" s="460">
        <v>1</v>
      </c>
      <c r="F1422" s="130"/>
      <c r="G1422" s="1748" t="s">
        <v>2384</v>
      </c>
      <c r="H1422" s="1749" t="s">
        <v>1239</v>
      </c>
      <c r="I1422" s="1750" t="s">
        <v>7204</v>
      </c>
      <c r="J1422" s="1751" t="s">
        <v>2810</v>
      </c>
      <c r="K1422" s="1752" t="s">
        <v>1130</v>
      </c>
      <c r="L1422" s="1753">
        <v>1</v>
      </c>
      <c r="M1422" s="1753" t="e">
        <v>#REF!</v>
      </c>
      <c r="N1422" s="1754"/>
      <c r="O1422" s="1761" t="s">
        <v>5449</v>
      </c>
      <c r="P1422" s="1721" t="s">
        <v>9611</v>
      </c>
    </row>
    <row r="1423" spans="1:16" ht="13.5" customHeight="1" collapsed="1" x14ac:dyDescent="0.2">
      <c r="A1423" s="459">
        <v>0</v>
      </c>
      <c r="B1423" s="459">
        <v>13</v>
      </c>
      <c r="C1423" s="459">
        <v>0</v>
      </c>
      <c r="D1423" s="460">
        <v>1</v>
      </c>
      <c r="E1423" s="460">
        <v>1</v>
      </c>
      <c r="F1423" s="474"/>
      <c r="G1423" s="1794"/>
      <c r="H1423" s="1766" t="s">
        <v>1237</v>
      </c>
      <c r="I1423" s="1728" t="s">
        <v>7205</v>
      </c>
      <c r="J1423" s="1795" t="s">
        <v>441</v>
      </c>
      <c r="K1423" s="1768"/>
      <c r="L1423" s="1769"/>
      <c r="M1423" s="1769"/>
      <c r="N1423" s="1732">
        <v>1076652.81713433</v>
      </c>
      <c r="O1423" s="1770">
        <v>64.279046520578206</v>
      </c>
      <c r="P1423" s="1718"/>
    </row>
    <row r="1424" spans="1:16" ht="13.5" hidden="1" customHeight="1" outlineLevel="1" x14ac:dyDescent="0.2">
      <c r="A1424" s="459">
        <v>0</v>
      </c>
      <c r="B1424" s="459">
        <v>13</v>
      </c>
      <c r="C1424" s="459">
        <v>1</v>
      </c>
      <c r="D1424" s="460">
        <v>0</v>
      </c>
      <c r="E1424" s="460">
        <v>1</v>
      </c>
      <c r="G1424" s="1796"/>
      <c r="H1424" s="1771" t="s">
        <v>39</v>
      </c>
      <c r="I1424" s="1735" t="s">
        <v>7206</v>
      </c>
      <c r="J1424" s="1773" t="s">
        <v>2788</v>
      </c>
      <c r="K1424" s="1774"/>
      <c r="L1424" s="1775"/>
      <c r="M1424" s="1775"/>
      <c r="N1424" s="1739">
        <v>67700.351232000001</v>
      </c>
      <c r="O1424" s="1776">
        <v>4.04189164514883</v>
      </c>
      <c r="P1424" s="1719"/>
    </row>
    <row r="1425" spans="1:16" ht="13.5" hidden="1" customHeight="1" outlineLevel="2" x14ac:dyDescent="0.2">
      <c r="A1425" s="459">
        <v>0</v>
      </c>
      <c r="B1425" s="459">
        <v>13</v>
      </c>
      <c r="C1425" s="459">
        <v>1</v>
      </c>
      <c r="D1425" s="460">
        <v>1</v>
      </c>
      <c r="E1425" s="460">
        <v>0</v>
      </c>
      <c r="G1425" s="1797"/>
      <c r="H1425" s="1777" t="s">
        <v>1238</v>
      </c>
      <c r="I1425" s="1742" t="s">
        <v>7207</v>
      </c>
      <c r="J1425" s="1779" t="s">
        <v>25</v>
      </c>
      <c r="K1425" s="1780"/>
      <c r="L1425" s="1781"/>
      <c r="M1425" s="1781"/>
      <c r="N1425" s="1746">
        <v>2052.6453320000001</v>
      </c>
      <c r="O1425" s="1782">
        <v>0.12254840435662299</v>
      </c>
      <c r="P1425" s="1720"/>
    </row>
    <row r="1426" spans="1:16" ht="13.5" hidden="1" customHeight="1" outlineLevel="3" x14ac:dyDescent="0.2">
      <c r="A1426" s="459">
        <v>0</v>
      </c>
      <c r="B1426" s="459">
        <v>13</v>
      </c>
      <c r="C1426" s="459">
        <v>1</v>
      </c>
      <c r="D1426" s="460">
        <v>1</v>
      </c>
      <c r="E1426" s="460">
        <v>1</v>
      </c>
      <c r="G1426" s="1798" t="s">
        <v>24</v>
      </c>
      <c r="H1426" s="1783" t="s">
        <v>1239</v>
      </c>
      <c r="I1426" s="1750" t="s">
        <v>7208</v>
      </c>
      <c r="J1426" s="1785" t="s">
        <v>442</v>
      </c>
      <c r="K1426" s="1786" t="s">
        <v>642</v>
      </c>
      <c r="L1426" s="1787">
        <v>242.57999999999998</v>
      </c>
      <c r="M1426" s="1787">
        <v>7.0658999999999992</v>
      </c>
      <c r="N1426" s="1754">
        <v>1714.046022</v>
      </c>
      <c r="O1426" s="1788" t="s">
        <v>4191</v>
      </c>
      <c r="P1426" s="1721" t="s">
        <v>9611</v>
      </c>
    </row>
    <row r="1427" spans="1:16" ht="13.5" hidden="1" customHeight="1" outlineLevel="3" x14ac:dyDescent="0.2">
      <c r="A1427" s="459">
        <v>0</v>
      </c>
      <c r="B1427" s="459">
        <v>13</v>
      </c>
      <c r="C1427" s="459">
        <v>1</v>
      </c>
      <c r="D1427" s="460">
        <v>1</v>
      </c>
      <c r="E1427" s="460">
        <v>2</v>
      </c>
      <c r="G1427" s="1798" t="s">
        <v>24</v>
      </c>
      <c r="H1427" s="1783" t="s">
        <v>1239</v>
      </c>
      <c r="I1427" s="1750" t="s">
        <v>7209</v>
      </c>
      <c r="J1427" s="1785" t="s">
        <v>444</v>
      </c>
      <c r="K1427" s="1786" t="s">
        <v>642</v>
      </c>
      <c r="L1427" s="1787">
        <v>6.86</v>
      </c>
      <c r="M1427" s="1787">
        <v>49.358499999999999</v>
      </c>
      <c r="N1427" s="1754">
        <v>338.59931</v>
      </c>
      <c r="O1427" s="1788" t="s">
        <v>4192</v>
      </c>
      <c r="P1427" s="1721" t="s">
        <v>9611</v>
      </c>
    </row>
    <row r="1428" spans="1:16" ht="13.5" hidden="1" customHeight="1" outlineLevel="2" x14ac:dyDescent="0.2">
      <c r="A1428" s="459">
        <v>0</v>
      </c>
      <c r="B1428" s="459">
        <v>13</v>
      </c>
      <c r="C1428" s="459">
        <v>1</v>
      </c>
      <c r="D1428" s="460">
        <v>2</v>
      </c>
      <c r="E1428" s="460">
        <v>0</v>
      </c>
      <c r="G1428" s="1797"/>
      <c r="H1428" s="1777" t="s">
        <v>1238</v>
      </c>
      <c r="I1428" s="1742" t="s">
        <v>7210</v>
      </c>
      <c r="J1428" s="1779" t="s">
        <v>2528</v>
      </c>
      <c r="K1428" s="1780"/>
      <c r="L1428" s="1781"/>
      <c r="M1428" s="1781"/>
      <c r="N1428" s="1746">
        <v>20378.466</v>
      </c>
      <c r="O1428" s="1782"/>
      <c r="P1428" s="1720"/>
    </row>
    <row r="1429" spans="1:16" ht="13.5" hidden="1" customHeight="1" outlineLevel="3" x14ac:dyDescent="0.2">
      <c r="A1429" s="459">
        <v>0</v>
      </c>
      <c r="B1429" s="459">
        <v>13</v>
      </c>
      <c r="C1429" s="459">
        <v>1</v>
      </c>
      <c r="D1429" s="460">
        <v>2</v>
      </c>
      <c r="E1429" s="460">
        <v>1</v>
      </c>
      <c r="G1429" s="1798" t="s">
        <v>24</v>
      </c>
      <c r="H1429" s="1783" t="s">
        <v>1239</v>
      </c>
      <c r="I1429" s="1750" t="s">
        <v>4155</v>
      </c>
      <c r="J1429" s="1785" t="s">
        <v>447</v>
      </c>
      <c r="K1429" s="1786" t="s">
        <v>642</v>
      </c>
      <c r="L1429" s="1787">
        <v>698.84999999999991</v>
      </c>
      <c r="M1429" s="1787">
        <v>29.160000000000004</v>
      </c>
      <c r="N1429" s="1754">
        <v>20378.466</v>
      </c>
      <c r="O1429" s="1788"/>
      <c r="P1429" s="1721" t="s">
        <v>9611</v>
      </c>
    </row>
    <row r="1430" spans="1:16" ht="13.5" hidden="1" customHeight="1" outlineLevel="2" x14ac:dyDescent="0.2">
      <c r="A1430" s="459">
        <v>0</v>
      </c>
      <c r="B1430" s="459">
        <v>13</v>
      </c>
      <c r="C1430" s="459">
        <v>1</v>
      </c>
      <c r="D1430" s="460">
        <v>3</v>
      </c>
      <c r="E1430" s="460">
        <v>0</v>
      </c>
      <c r="G1430" s="1797"/>
      <c r="H1430" s="1777" t="s">
        <v>1238</v>
      </c>
      <c r="I1430" s="1742" t="s">
        <v>7211</v>
      </c>
      <c r="J1430" s="1779" t="s">
        <v>4187</v>
      </c>
      <c r="K1430" s="1780"/>
      <c r="L1430" s="1781"/>
      <c r="M1430" s="1781"/>
      <c r="N1430" s="1746">
        <v>6753.1912739999998</v>
      </c>
      <c r="O1430" s="1782"/>
      <c r="P1430" s="1720"/>
    </row>
    <row r="1431" spans="1:16" ht="13.5" hidden="1" customHeight="1" outlineLevel="3" x14ac:dyDescent="0.2">
      <c r="A1431" s="459">
        <v>0</v>
      </c>
      <c r="B1431" s="459">
        <v>13</v>
      </c>
      <c r="C1431" s="459">
        <v>1</v>
      </c>
      <c r="D1431" s="460">
        <v>3</v>
      </c>
      <c r="E1431" s="460">
        <v>1</v>
      </c>
      <c r="G1431" s="1798" t="s">
        <v>24</v>
      </c>
      <c r="H1431" s="1783" t="s">
        <v>1239</v>
      </c>
      <c r="I1431" s="1750" t="s">
        <v>7212</v>
      </c>
      <c r="J1431" s="1785" t="s">
        <v>4170</v>
      </c>
      <c r="K1431" s="1786" t="s">
        <v>642</v>
      </c>
      <c r="L1431" s="1787">
        <v>97.67</v>
      </c>
      <c r="M1431" s="1787">
        <v>46.211799999999997</v>
      </c>
      <c r="N1431" s="1754">
        <v>4513.5065059999997</v>
      </c>
      <c r="O1431" s="1788" t="s">
        <v>4178</v>
      </c>
      <c r="P1431" s="1721" t="s">
        <v>9611</v>
      </c>
    </row>
    <row r="1432" spans="1:16" ht="13.5" hidden="1" customHeight="1" outlineLevel="3" x14ac:dyDescent="0.2">
      <c r="A1432" s="459">
        <v>0</v>
      </c>
      <c r="B1432" s="459">
        <v>13</v>
      </c>
      <c r="C1432" s="459">
        <v>1</v>
      </c>
      <c r="D1432" s="460">
        <v>3</v>
      </c>
      <c r="E1432" s="460">
        <v>2</v>
      </c>
      <c r="G1432" s="1798" t="s">
        <v>24</v>
      </c>
      <c r="H1432" s="1783" t="s">
        <v>1239</v>
      </c>
      <c r="I1432" s="1750" t="s">
        <v>7213</v>
      </c>
      <c r="J1432" s="1785" t="s">
        <v>4169</v>
      </c>
      <c r="K1432" s="1786" t="s">
        <v>642</v>
      </c>
      <c r="L1432" s="1787">
        <v>65.759999999999991</v>
      </c>
      <c r="M1432" s="1787">
        <v>34.058466666666661</v>
      </c>
      <c r="N1432" s="1754">
        <v>2239.6847680000001</v>
      </c>
      <c r="O1432" s="1788" t="s">
        <v>4179</v>
      </c>
      <c r="P1432" s="1721" t="s">
        <v>9611</v>
      </c>
    </row>
    <row r="1433" spans="1:16" ht="13.5" hidden="1" customHeight="1" outlineLevel="2" x14ac:dyDescent="0.2">
      <c r="A1433" s="459">
        <v>0</v>
      </c>
      <c r="B1433" s="459">
        <v>13</v>
      </c>
      <c r="C1433" s="459">
        <v>1</v>
      </c>
      <c r="D1433" s="460">
        <v>4</v>
      </c>
      <c r="E1433" s="460">
        <v>0</v>
      </c>
      <c r="G1433" s="1797"/>
      <c r="H1433" s="1777" t="s">
        <v>1238</v>
      </c>
      <c r="I1433" s="1742" t="s">
        <v>7214</v>
      </c>
      <c r="J1433" s="1779" t="s">
        <v>2786</v>
      </c>
      <c r="K1433" s="1780"/>
      <c r="L1433" s="1781"/>
      <c r="M1433" s="1781"/>
      <c r="N1433" s="1746">
        <v>19.413326000000001</v>
      </c>
      <c r="O1433" s="1782"/>
      <c r="P1433" s="1720"/>
    </row>
    <row r="1434" spans="1:16" ht="13.5" hidden="1" customHeight="1" outlineLevel="3" x14ac:dyDescent="0.2">
      <c r="A1434" s="459">
        <v>0</v>
      </c>
      <c r="B1434" s="459">
        <v>13</v>
      </c>
      <c r="C1434" s="459">
        <v>1</v>
      </c>
      <c r="D1434" s="460">
        <v>4</v>
      </c>
      <c r="E1434" s="460">
        <v>1</v>
      </c>
      <c r="G1434" s="1798" t="s">
        <v>24</v>
      </c>
      <c r="H1434" s="1783" t="s">
        <v>1239</v>
      </c>
      <c r="I1434" s="1750" t="s">
        <v>7215</v>
      </c>
      <c r="J1434" s="1785" t="s">
        <v>4169</v>
      </c>
      <c r="K1434" s="1786" t="s">
        <v>642</v>
      </c>
      <c r="L1434" s="1787">
        <v>0.56999999999999995</v>
      </c>
      <c r="M1434" s="1787">
        <v>34.058466666666661</v>
      </c>
      <c r="N1434" s="1754">
        <v>19.413326000000001</v>
      </c>
      <c r="O1434" s="1788"/>
      <c r="P1434" s="1721" t="s">
        <v>9611</v>
      </c>
    </row>
    <row r="1435" spans="1:16" ht="13.5" hidden="1" customHeight="1" outlineLevel="2" x14ac:dyDescent="0.2">
      <c r="A1435" s="459">
        <v>0</v>
      </c>
      <c r="B1435" s="459">
        <v>13</v>
      </c>
      <c r="C1435" s="459">
        <v>1</v>
      </c>
      <c r="D1435" s="460">
        <v>5</v>
      </c>
      <c r="E1435" s="460">
        <v>0</v>
      </c>
      <c r="G1435" s="1797"/>
      <c r="H1435" s="1777" t="s">
        <v>1238</v>
      </c>
      <c r="I1435" s="1742" t="s">
        <v>7216</v>
      </c>
      <c r="J1435" s="1779" t="s">
        <v>2787</v>
      </c>
      <c r="K1435" s="1780"/>
      <c r="L1435" s="1781"/>
      <c r="M1435" s="1781"/>
      <c r="N1435" s="1746">
        <v>70.080119999999994</v>
      </c>
      <c r="O1435" s="1782"/>
      <c r="P1435" s="1720"/>
    </row>
    <row r="1436" spans="1:16" ht="13.5" hidden="1" customHeight="1" outlineLevel="3" x14ac:dyDescent="0.2">
      <c r="A1436" s="459">
        <v>0</v>
      </c>
      <c r="B1436" s="459">
        <v>13</v>
      </c>
      <c r="C1436" s="459">
        <v>1</v>
      </c>
      <c r="D1436" s="460">
        <v>5</v>
      </c>
      <c r="E1436" s="460">
        <v>1</v>
      </c>
      <c r="G1436" s="1798" t="s">
        <v>24</v>
      </c>
      <c r="H1436" s="1783" t="s">
        <v>1239</v>
      </c>
      <c r="I1436" s="1750" t="s">
        <v>7217</v>
      </c>
      <c r="J1436" s="1785" t="s">
        <v>1683</v>
      </c>
      <c r="K1436" s="1786" t="s">
        <v>534</v>
      </c>
      <c r="L1436" s="1787">
        <v>8</v>
      </c>
      <c r="M1436" s="1787">
        <v>8.760015000000001</v>
      </c>
      <c r="N1436" s="1754">
        <v>70.080119999999994</v>
      </c>
      <c r="O1436" s="1788" t="s">
        <v>4207</v>
      </c>
      <c r="P1436" s="1721" t="s">
        <v>9611</v>
      </c>
    </row>
    <row r="1437" spans="1:16" ht="13.5" hidden="1" customHeight="1" outlineLevel="2" x14ac:dyDescent="0.2">
      <c r="A1437" s="459">
        <v>0</v>
      </c>
      <c r="B1437" s="459">
        <v>13</v>
      </c>
      <c r="C1437" s="459">
        <v>1</v>
      </c>
      <c r="D1437" s="460">
        <v>6</v>
      </c>
      <c r="E1437" s="460">
        <v>0</v>
      </c>
      <c r="G1437" s="1797"/>
      <c r="H1437" s="1777" t="s">
        <v>1238</v>
      </c>
      <c r="I1437" s="1742" t="s">
        <v>7218</v>
      </c>
      <c r="J1437" s="1779" t="s">
        <v>4185</v>
      </c>
      <c r="K1437" s="1780"/>
      <c r="L1437" s="1781"/>
      <c r="M1437" s="1781"/>
      <c r="N1437" s="1746">
        <v>6660.1951799999997</v>
      </c>
      <c r="O1437" s="1782"/>
      <c r="P1437" s="1720"/>
    </row>
    <row r="1438" spans="1:16" ht="13.5" hidden="1" customHeight="1" outlineLevel="3" x14ac:dyDescent="0.2">
      <c r="A1438" s="459">
        <v>0</v>
      </c>
      <c r="B1438" s="459">
        <v>13</v>
      </c>
      <c r="C1438" s="459">
        <v>1</v>
      </c>
      <c r="D1438" s="460">
        <v>6</v>
      </c>
      <c r="E1438" s="460">
        <v>1</v>
      </c>
      <c r="G1438" s="1798" t="s">
        <v>24</v>
      </c>
      <c r="H1438" s="1783" t="s">
        <v>1239</v>
      </c>
      <c r="I1438" s="1750" t="s">
        <v>7219</v>
      </c>
      <c r="J1438" s="1785" t="s">
        <v>4175</v>
      </c>
      <c r="K1438" s="1786" t="s">
        <v>642</v>
      </c>
      <c r="L1438" s="1787">
        <v>36.76</v>
      </c>
      <c r="M1438" s="1787">
        <v>181.18049999999999</v>
      </c>
      <c r="N1438" s="1754">
        <v>6660.1951799999997</v>
      </c>
      <c r="O1438" s="1788" t="s">
        <v>4186</v>
      </c>
      <c r="P1438" s="1721" t="s">
        <v>9611</v>
      </c>
    </row>
    <row r="1439" spans="1:16" ht="13.5" hidden="1" customHeight="1" outlineLevel="2" x14ac:dyDescent="0.2">
      <c r="A1439" s="459">
        <v>0</v>
      </c>
      <c r="B1439" s="459">
        <v>13</v>
      </c>
      <c r="C1439" s="459">
        <v>1</v>
      </c>
      <c r="D1439" s="460">
        <v>7</v>
      </c>
      <c r="E1439" s="460">
        <v>0</v>
      </c>
      <c r="G1439" s="1797"/>
      <c r="H1439" s="1777" t="s">
        <v>1238</v>
      </c>
      <c r="I1439" s="1742" t="s">
        <v>7220</v>
      </c>
      <c r="J1439" s="1779" t="s">
        <v>1249</v>
      </c>
      <c r="K1439" s="1780"/>
      <c r="L1439" s="1781"/>
      <c r="M1439" s="1781"/>
      <c r="N1439" s="1746">
        <v>31766.36</v>
      </c>
      <c r="O1439" s="1782"/>
      <c r="P1439" s="1720"/>
    </row>
    <row r="1440" spans="1:16" ht="13.5" hidden="1" customHeight="1" outlineLevel="3" x14ac:dyDescent="0.2">
      <c r="A1440" s="459">
        <v>0</v>
      </c>
      <c r="B1440" s="459">
        <v>13</v>
      </c>
      <c r="C1440" s="459">
        <v>1</v>
      </c>
      <c r="D1440" s="460">
        <v>7</v>
      </c>
      <c r="E1440" s="460">
        <v>1</v>
      </c>
      <c r="G1440" s="1798" t="s">
        <v>24</v>
      </c>
      <c r="H1440" s="1783" t="s">
        <v>1239</v>
      </c>
      <c r="I1440" s="1750" t="s">
        <v>7221</v>
      </c>
      <c r="J1440" s="1785" t="s">
        <v>470</v>
      </c>
      <c r="K1440" s="1786" t="s">
        <v>642</v>
      </c>
      <c r="L1440" s="1787">
        <v>242.57999999999998</v>
      </c>
      <c r="M1440" s="1787">
        <v>20</v>
      </c>
      <c r="N1440" s="1754">
        <v>4851.6000000000004</v>
      </c>
      <c r="O1440" s="1788"/>
      <c r="P1440" s="1721" t="s">
        <v>9611</v>
      </c>
    </row>
    <row r="1441" spans="1:16" ht="13.5" hidden="1" customHeight="1" outlineLevel="3" x14ac:dyDescent="0.2">
      <c r="A1441" s="459">
        <v>0</v>
      </c>
      <c r="B1441" s="459">
        <v>13</v>
      </c>
      <c r="C1441" s="459">
        <v>1</v>
      </c>
      <c r="D1441" s="460">
        <v>7</v>
      </c>
      <c r="E1441" s="460">
        <v>2</v>
      </c>
      <c r="G1441" s="1798" t="s">
        <v>24</v>
      </c>
      <c r="H1441" s="1783" t="s">
        <v>1239</v>
      </c>
      <c r="I1441" s="1750" t="s">
        <v>7222</v>
      </c>
      <c r="J1441" s="1785" t="s">
        <v>471</v>
      </c>
      <c r="K1441" s="1786" t="s">
        <v>642</v>
      </c>
      <c r="L1441" s="1787">
        <v>6.86</v>
      </c>
      <c r="M1441" s="1787">
        <v>35</v>
      </c>
      <c r="N1441" s="1754">
        <v>240.1</v>
      </c>
      <c r="O1441" s="1788"/>
      <c r="P1441" s="1721" t="s">
        <v>9611</v>
      </c>
    </row>
    <row r="1442" spans="1:16" ht="13.5" hidden="1" customHeight="1" outlineLevel="3" x14ac:dyDescent="0.2">
      <c r="A1442" s="459">
        <v>0</v>
      </c>
      <c r="B1442" s="459">
        <v>13</v>
      </c>
      <c r="C1442" s="459">
        <v>1</v>
      </c>
      <c r="D1442" s="460">
        <v>7</v>
      </c>
      <c r="E1442" s="460">
        <v>3</v>
      </c>
      <c r="G1442" s="1798" t="s">
        <v>24</v>
      </c>
      <c r="H1442" s="1783" t="s">
        <v>1239</v>
      </c>
      <c r="I1442" s="1750" t="s">
        <v>7223</v>
      </c>
      <c r="J1442" s="1785" t="s">
        <v>476</v>
      </c>
      <c r="K1442" s="1786" t="s">
        <v>642</v>
      </c>
      <c r="L1442" s="1787">
        <v>698.84999999999991</v>
      </c>
      <c r="M1442" s="1787">
        <v>28</v>
      </c>
      <c r="N1442" s="1754">
        <v>19567.8</v>
      </c>
      <c r="O1442" s="1788"/>
      <c r="P1442" s="1721" t="s">
        <v>9611</v>
      </c>
    </row>
    <row r="1443" spans="1:16" ht="13.5" hidden="1" customHeight="1" outlineLevel="3" x14ac:dyDescent="0.2">
      <c r="A1443" s="459">
        <v>0</v>
      </c>
      <c r="B1443" s="459">
        <v>13</v>
      </c>
      <c r="C1443" s="459">
        <v>1</v>
      </c>
      <c r="D1443" s="460">
        <v>7</v>
      </c>
      <c r="E1443" s="460">
        <v>4</v>
      </c>
      <c r="G1443" s="1798" t="s">
        <v>24</v>
      </c>
      <c r="H1443" s="1783" t="s">
        <v>1239</v>
      </c>
      <c r="I1443" s="1750" t="s">
        <v>7224</v>
      </c>
      <c r="J1443" s="1785" t="s">
        <v>4194</v>
      </c>
      <c r="K1443" s="1786" t="s">
        <v>642</v>
      </c>
      <c r="L1443" s="1787">
        <v>97.67</v>
      </c>
      <c r="M1443" s="1787">
        <v>30</v>
      </c>
      <c r="N1443" s="1754">
        <v>2930.1</v>
      </c>
      <c r="O1443" s="1788"/>
      <c r="P1443" s="1721" t="s">
        <v>9611</v>
      </c>
    </row>
    <row r="1444" spans="1:16" ht="13.5" hidden="1" customHeight="1" outlineLevel="3" x14ac:dyDescent="0.2">
      <c r="A1444" s="459">
        <v>0</v>
      </c>
      <c r="B1444" s="459">
        <v>13</v>
      </c>
      <c r="C1444" s="459">
        <v>1</v>
      </c>
      <c r="D1444" s="460">
        <v>7</v>
      </c>
      <c r="E1444" s="460">
        <v>5</v>
      </c>
      <c r="G1444" s="1798" t="s">
        <v>24</v>
      </c>
      <c r="H1444" s="1783" t="s">
        <v>1239</v>
      </c>
      <c r="I1444" s="1750" t="s">
        <v>7225</v>
      </c>
      <c r="J1444" s="1785" t="s">
        <v>4195</v>
      </c>
      <c r="K1444" s="1786" t="s">
        <v>642</v>
      </c>
      <c r="L1444" s="1787">
        <v>66.329999999999984</v>
      </c>
      <c r="M1444" s="1787">
        <v>32</v>
      </c>
      <c r="N1444" s="1754">
        <v>2122.56</v>
      </c>
      <c r="O1444" s="1788" t="s">
        <v>4197</v>
      </c>
      <c r="P1444" s="1721" t="s">
        <v>9611</v>
      </c>
    </row>
    <row r="1445" spans="1:16" ht="13.5" hidden="1" customHeight="1" outlineLevel="3" x14ac:dyDescent="0.2">
      <c r="A1445" s="459">
        <v>0</v>
      </c>
      <c r="B1445" s="459">
        <v>13</v>
      </c>
      <c r="C1445" s="459">
        <v>1</v>
      </c>
      <c r="D1445" s="460">
        <v>7</v>
      </c>
      <c r="E1445" s="460">
        <v>6</v>
      </c>
      <c r="G1445" s="1798" t="s">
        <v>24</v>
      </c>
      <c r="H1445" s="1783" t="s">
        <v>1239</v>
      </c>
      <c r="I1445" s="1750" t="s">
        <v>7226</v>
      </c>
      <c r="J1445" s="1785" t="s">
        <v>4196</v>
      </c>
      <c r="K1445" s="1786" t="s">
        <v>642</v>
      </c>
      <c r="L1445" s="1787">
        <v>36.76</v>
      </c>
      <c r="M1445" s="1787">
        <v>45</v>
      </c>
      <c r="N1445" s="1754">
        <v>1654.2</v>
      </c>
      <c r="O1445" s="1788" t="s">
        <v>4203</v>
      </c>
      <c r="P1445" s="1721" t="s">
        <v>9611</v>
      </c>
    </row>
    <row r="1446" spans="1:16" ht="13.5" hidden="1" customHeight="1" outlineLevel="3" x14ac:dyDescent="0.2">
      <c r="A1446" s="459">
        <v>0</v>
      </c>
      <c r="B1446" s="459">
        <v>13</v>
      </c>
      <c r="C1446" s="459">
        <v>1</v>
      </c>
      <c r="D1446" s="460">
        <v>7</v>
      </c>
      <c r="E1446" s="460">
        <v>7</v>
      </c>
      <c r="G1446" s="1798" t="s">
        <v>24</v>
      </c>
      <c r="H1446" s="1783" t="s">
        <v>1239</v>
      </c>
      <c r="I1446" s="1750" t="s">
        <v>7227</v>
      </c>
      <c r="J1446" s="1751" t="s">
        <v>478</v>
      </c>
      <c r="K1446" s="1786" t="s">
        <v>534</v>
      </c>
      <c r="L1446" s="1787">
        <v>8</v>
      </c>
      <c r="M1446" s="1787">
        <v>50</v>
      </c>
      <c r="N1446" s="1754">
        <v>400</v>
      </c>
      <c r="O1446" s="1788"/>
      <c r="P1446" s="1721" t="s">
        <v>9611</v>
      </c>
    </row>
    <row r="1447" spans="1:16" ht="13.5" hidden="1" customHeight="1" outlineLevel="1" x14ac:dyDescent="0.2">
      <c r="A1447" s="459">
        <v>0</v>
      </c>
      <c r="B1447" s="459">
        <v>13</v>
      </c>
      <c r="C1447" s="459">
        <v>2</v>
      </c>
      <c r="D1447" s="460">
        <v>0</v>
      </c>
      <c r="E1447" s="460">
        <v>7</v>
      </c>
      <c r="G1447" s="1796"/>
      <c r="H1447" s="1771" t="s">
        <v>39</v>
      </c>
      <c r="I1447" s="1735" t="s">
        <v>7228</v>
      </c>
      <c r="J1447" s="1773" t="s">
        <v>2828</v>
      </c>
      <c r="K1447" s="1774"/>
      <c r="L1447" s="1775"/>
      <c r="M1447" s="1775"/>
      <c r="N1447" s="1739">
        <v>840.60852466666699</v>
      </c>
      <c r="O1447" s="1776">
        <v>5.01865723125689E-2</v>
      </c>
      <c r="P1447" s="1719"/>
    </row>
    <row r="1448" spans="1:16" ht="13.5" hidden="1" customHeight="1" outlineLevel="2" x14ac:dyDescent="0.2">
      <c r="A1448" s="459">
        <v>0</v>
      </c>
      <c r="B1448" s="459">
        <v>13</v>
      </c>
      <c r="C1448" s="459">
        <v>2</v>
      </c>
      <c r="D1448" s="460">
        <v>1</v>
      </c>
      <c r="E1448" s="460">
        <v>0</v>
      </c>
      <c r="G1448" s="1797"/>
      <c r="H1448" s="1777" t="s">
        <v>1238</v>
      </c>
      <c r="I1448" s="1742" t="s">
        <v>7229</v>
      </c>
      <c r="J1448" s="1779" t="s">
        <v>2786</v>
      </c>
      <c r="K1448" s="1780"/>
      <c r="L1448" s="1781"/>
      <c r="M1448" s="1781"/>
      <c r="N1448" s="1746">
        <v>424.368494666667</v>
      </c>
      <c r="O1448" s="1782"/>
      <c r="P1448" s="1720"/>
    </row>
    <row r="1449" spans="1:16" ht="13.5" hidden="1" customHeight="1" outlineLevel="3" x14ac:dyDescent="0.2">
      <c r="A1449" s="459">
        <v>0</v>
      </c>
      <c r="B1449" s="459">
        <v>13</v>
      </c>
      <c r="C1449" s="459">
        <v>2</v>
      </c>
      <c r="D1449" s="460">
        <v>1</v>
      </c>
      <c r="E1449" s="460">
        <v>1</v>
      </c>
      <c r="G1449" s="1798" t="s">
        <v>24</v>
      </c>
      <c r="H1449" s="1783" t="s">
        <v>1239</v>
      </c>
      <c r="I1449" s="1750" t="s">
        <v>7230</v>
      </c>
      <c r="J1449" s="1785" t="s">
        <v>4169</v>
      </c>
      <c r="K1449" s="1786" t="s">
        <v>642</v>
      </c>
      <c r="L1449" s="1787">
        <v>12.46</v>
      </c>
      <c r="M1449" s="1787">
        <v>34.058466666666661</v>
      </c>
      <c r="N1449" s="1754">
        <v>424.368494666667</v>
      </c>
      <c r="O1449" s="1788"/>
      <c r="P1449" s="1721" t="s">
        <v>9611</v>
      </c>
    </row>
    <row r="1450" spans="1:16" ht="13.5" hidden="1" customHeight="1" outlineLevel="2" x14ac:dyDescent="0.2">
      <c r="A1450" s="459">
        <v>0</v>
      </c>
      <c r="B1450" s="459">
        <v>13</v>
      </c>
      <c r="C1450" s="459">
        <v>2</v>
      </c>
      <c r="D1450" s="460">
        <v>2</v>
      </c>
      <c r="E1450" s="460">
        <v>0</v>
      </c>
      <c r="G1450" s="1797"/>
      <c r="H1450" s="1777" t="s">
        <v>1238</v>
      </c>
      <c r="I1450" s="1742" t="s">
        <v>7231</v>
      </c>
      <c r="J1450" s="1779" t="s">
        <v>2787</v>
      </c>
      <c r="K1450" s="1780"/>
      <c r="L1450" s="1781"/>
      <c r="M1450" s="1781"/>
      <c r="N1450" s="1746">
        <v>17.520029999999998</v>
      </c>
      <c r="O1450" s="1782"/>
      <c r="P1450" s="1720"/>
    </row>
    <row r="1451" spans="1:16" ht="13.5" hidden="1" customHeight="1" outlineLevel="3" x14ac:dyDescent="0.2">
      <c r="A1451" s="459">
        <v>0</v>
      </c>
      <c r="B1451" s="459">
        <v>13</v>
      </c>
      <c r="C1451" s="459">
        <v>2</v>
      </c>
      <c r="D1451" s="460">
        <v>2</v>
      </c>
      <c r="E1451" s="460">
        <v>1</v>
      </c>
      <c r="G1451" s="1798" t="s">
        <v>24</v>
      </c>
      <c r="H1451" s="1783" t="s">
        <v>1239</v>
      </c>
      <c r="I1451" s="1750" t="s">
        <v>7232</v>
      </c>
      <c r="J1451" s="1785" t="s">
        <v>1683</v>
      </c>
      <c r="K1451" s="1786" t="s">
        <v>534</v>
      </c>
      <c r="L1451" s="1787">
        <v>2</v>
      </c>
      <c r="M1451" s="1787">
        <v>8.760015000000001</v>
      </c>
      <c r="N1451" s="1754">
        <v>17.520029999999998</v>
      </c>
      <c r="O1451" s="1788" t="s">
        <v>4207</v>
      </c>
      <c r="P1451" s="1721" t="s">
        <v>9611</v>
      </c>
    </row>
    <row r="1452" spans="1:16" ht="13.5" hidden="1" customHeight="1" outlineLevel="2" x14ac:dyDescent="0.2">
      <c r="A1452" s="459">
        <v>0</v>
      </c>
      <c r="B1452" s="459">
        <v>13</v>
      </c>
      <c r="C1452" s="459">
        <v>2</v>
      </c>
      <c r="D1452" s="460">
        <v>3</v>
      </c>
      <c r="E1452" s="460">
        <v>0</v>
      </c>
      <c r="G1452" s="1797"/>
      <c r="H1452" s="1777" t="s">
        <v>1238</v>
      </c>
      <c r="I1452" s="1742" t="s">
        <v>7233</v>
      </c>
      <c r="J1452" s="1779" t="s">
        <v>1249</v>
      </c>
      <c r="K1452" s="1780"/>
      <c r="L1452" s="1781"/>
      <c r="M1452" s="1781"/>
      <c r="N1452" s="1746">
        <v>398.72</v>
      </c>
      <c r="O1452" s="1782"/>
      <c r="P1452" s="1720"/>
    </row>
    <row r="1453" spans="1:16" ht="13.5" hidden="1" customHeight="1" outlineLevel="3" x14ac:dyDescent="0.2">
      <c r="A1453" s="459">
        <v>0</v>
      </c>
      <c r="B1453" s="459">
        <v>13</v>
      </c>
      <c r="C1453" s="459">
        <v>2</v>
      </c>
      <c r="D1453" s="460">
        <v>3</v>
      </c>
      <c r="E1453" s="460">
        <v>1</v>
      </c>
      <c r="G1453" s="1798" t="s">
        <v>24</v>
      </c>
      <c r="H1453" s="1783" t="s">
        <v>1239</v>
      </c>
      <c r="I1453" s="1750" t="s">
        <v>7234</v>
      </c>
      <c r="J1453" s="1785" t="s">
        <v>4195</v>
      </c>
      <c r="K1453" s="1786" t="s">
        <v>642</v>
      </c>
      <c r="L1453" s="1787">
        <v>12.46</v>
      </c>
      <c r="M1453" s="1787">
        <v>32</v>
      </c>
      <c r="N1453" s="1754">
        <v>398.72</v>
      </c>
      <c r="O1453" s="1788"/>
      <c r="P1453" s="1721" t="s">
        <v>9611</v>
      </c>
    </row>
    <row r="1454" spans="1:16" ht="13.5" hidden="1" customHeight="1" outlineLevel="1" x14ac:dyDescent="0.2">
      <c r="A1454" s="459">
        <v>0</v>
      </c>
      <c r="B1454" s="459">
        <v>13</v>
      </c>
      <c r="C1454" s="459">
        <v>3</v>
      </c>
      <c r="D1454" s="460">
        <v>0</v>
      </c>
      <c r="E1454" s="460">
        <v>1</v>
      </c>
      <c r="G1454" s="1796"/>
      <c r="H1454" s="1771" t="s">
        <v>39</v>
      </c>
      <c r="I1454" s="1735" t="s">
        <v>7235</v>
      </c>
      <c r="J1454" s="1773" t="s">
        <v>2829</v>
      </c>
      <c r="K1454" s="1774"/>
      <c r="L1454" s="1775"/>
      <c r="M1454" s="1775"/>
      <c r="N1454" s="1739">
        <v>2061.3689886666698</v>
      </c>
      <c r="O1454" s="1776">
        <v>0.12306922994104801</v>
      </c>
      <c r="P1454" s="1719"/>
    </row>
    <row r="1455" spans="1:16" ht="13.5" hidden="1" customHeight="1" outlineLevel="2" x14ac:dyDescent="0.2">
      <c r="A1455" s="459">
        <v>0</v>
      </c>
      <c r="B1455" s="459">
        <v>13</v>
      </c>
      <c r="C1455" s="459">
        <v>3</v>
      </c>
      <c r="D1455" s="460">
        <v>1</v>
      </c>
      <c r="E1455" s="460">
        <v>0</v>
      </c>
      <c r="G1455" s="1797"/>
      <c r="H1455" s="1777" t="s">
        <v>1238</v>
      </c>
      <c r="I1455" s="1742" t="s">
        <v>7236</v>
      </c>
      <c r="J1455" s="1779" t="s">
        <v>2786</v>
      </c>
      <c r="K1455" s="1780"/>
      <c r="L1455" s="1781"/>
      <c r="M1455" s="1781"/>
      <c r="N1455" s="1746">
        <v>1053.76895866667</v>
      </c>
      <c r="O1455" s="1782"/>
      <c r="P1455" s="1720"/>
    </row>
    <row r="1456" spans="1:16" ht="13.5" hidden="1" customHeight="1" outlineLevel="3" x14ac:dyDescent="0.2">
      <c r="A1456" s="459">
        <v>0</v>
      </c>
      <c r="B1456" s="459">
        <v>13</v>
      </c>
      <c r="C1456" s="459">
        <v>3</v>
      </c>
      <c r="D1456" s="460">
        <v>1</v>
      </c>
      <c r="E1456" s="460">
        <v>1</v>
      </c>
      <c r="G1456" s="1798" t="s">
        <v>24</v>
      </c>
      <c r="H1456" s="1783" t="s">
        <v>1239</v>
      </c>
      <c r="I1456" s="1750" t="s">
        <v>7237</v>
      </c>
      <c r="J1456" s="1785" t="s">
        <v>4169</v>
      </c>
      <c r="K1456" s="1786" t="s">
        <v>642</v>
      </c>
      <c r="L1456" s="1787">
        <v>30.94</v>
      </c>
      <c r="M1456" s="1787">
        <v>34.058466666666661</v>
      </c>
      <c r="N1456" s="1754">
        <v>1053.76895866667</v>
      </c>
      <c r="O1456" s="1788"/>
      <c r="P1456" s="1721" t="s">
        <v>9611</v>
      </c>
    </row>
    <row r="1457" spans="1:16" ht="13.5" hidden="1" customHeight="1" outlineLevel="2" x14ac:dyDescent="0.2">
      <c r="A1457" s="459">
        <v>0</v>
      </c>
      <c r="B1457" s="459">
        <v>13</v>
      </c>
      <c r="C1457" s="459">
        <v>3</v>
      </c>
      <c r="D1457" s="460">
        <v>2</v>
      </c>
      <c r="E1457" s="460">
        <v>0</v>
      </c>
      <c r="G1457" s="1797"/>
      <c r="H1457" s="1777" t="s">
        <v>1238</v>
      </c>
      <c r="I1457" s="1742" t="s">
        <v>7238</v>
      </c>
      <c r="J1457" s="1779" t="s">
        <v>2787</v>
      </c>
      <c r="K1457" s="1780"/>
      <c r="L1457" s="1781"/>
      <c r="M1457" s="1781"/>
      <c r="N1457" s="1746">
        <v>17.520029999999998</v>
      </c>
      <c r="O1457" s="1782"/>
      <c r="P1457" s="1720"/>
    </row>
    <row r="1458" spans="1:16" ht="13.5" hidden="1" customHeight="1" outlineLevel="3" x14ac:dyDescent="0.2">
      <c r="A1458" s="459">
        <v>0</v>
      </c>
      <c r="B1458" s="459">
        <v>13</v>
      </c>
      <c r="C1458" s="459">
        <v>3</v>
      </c>
      <c r="D1458" s="460">
        <v>2</v>
      </c>
      <c r="E1458" s="460">
        <v>1</v>
      </c>
      <c r="G1458" s="1798" t="s">
        <v>24</v>
      </c>
      <c r="H1458" s="1783" t="s">
        <v>1239</v>
      </c>
      <c r="I1458" s="1750" t="s">
        <v>7239</v>
      </c>
      <c r="J1458" s="1785" t="s">
        <v>1683</v>
      </c>
      <c r="K1458" s="1786" t="s">
        <v>534</v>
      </c>
      <c r="L1458" s="1787">
        <v>2</v>
      </c>
      <c r="M1458" s="1787">
        <v>8.760015000000001</v>
      </c>
      <c r="N1458" s="1754">
        <v>17.520029999999998</v>
      </c>
      <c r="O1458" s="1788" t="s">
        <v>4207</v>
      </c>
      <c r="P1458" s="1721" t="s">
        <v>9611</v>
      </c>
    </row>
    <row r="1459" spans="1:16" ht="13.5" hidden="1" customHeight="1" outlineLevel="2" x14ac:dyDescent="0.2">
      <c r="A1459" s="459">
        <v>0</v>
      </c>
      <c r="B1459" s="459">
        <v>13</v>
      </c>
      <c r="C1459" s="459">
        <v>3</v>
      </c>
      <c r="D1459" s="460">
        <v>3</v>
      </c>
      <c r="E1459" s="460">
        <v>0</v>
      </c>
      <c r="G1459" s="1797"/>
      <c r="H1459" s="1777" t="s">
        <v>1238</v>
      </c>
      <c r="I1459" s="1742" t="s">
        <v>7240</v>
      </c>
      <c r="J1459" s="1779" t="s">
        <v>1249</v>
      </c>
      <c r="K1459" s="1780"/>
      <c r="L1459" s="1781"/>
      <c r="M1459" s="1781"/>
      <c r="N1459" s="1746">
        <v>990.08</v>
      </c>
      <c r="O1459" s="1782"/>
      <c r="P1459" s="1720"/>
    </row>
    <row r="1460" spans="1:16" ht="13.5" hidden="1" customHeight="1" outlineLevel="3" x14ac:dyDescent="0.2">
      <c r="A1460" s="459">
        <v>0</v>
      </c>
      <c r="B1460" s="459">
        <v>13</v>
      </c>
      <c r="C1460" s="459">
        <v>3</v>
      </c>
      <c r="D1460" s="460">
        <v>3</v>
      </c>
      <c r="E1460" s="460">
        <v>1</v>
      </c>
      <c r="G1460" s="1798" t="s">
        <v>24</v>
      </c>
      <c r="H1460" s="1783" t="s">
        <v>1239</v>
      </c>
      <c r="I1460" s="1750" t="s">
        <v>7241</v>
      </c>
      <c r="J1460" s="1785" t="s">
        <v>4195</v>
      </c>
      <c r="K1460" s="1786" t="s">
        <v>642</v>
      </c>
      <c r="L1460" s="1787">
        <v>30.94</v>
      </c>
      <c r="M1460" s="1787">
        <v>32</v>
      </c>
      <c r="N1460" s="1754">
        <v>990.08</v>
      </c>
      <c r="O1460" s="1788"/>
      <c r="P1460" s="1721" t="s">
        <v>9611</v>
      </c>
    </row>
    <row r="1461" spans="1:16" ht="13.5" hidden="1" customHeight="1" outlineLevel="1" x14ac:dyDescent="0.2">
      <c r="A1461" s="459">
        <v>0</v>
      </c>
      <c r="B1461" s="459">
        <v>13</v>
      </c>
      <c r="C1461" s="459">
        <v>4</v>
      </c>
      <c r="D1461" s="460">
        <v>0</v>
      </c>
      <c r="E1461" s="460">
        <v>1</v>
      </c>
      <c r="G1461" s="1796"/>
      <c r="H1461" s="1771" t="s">
        <v>39</v>
      </c>
      <c r="I1461" s="1735" t="s">
        <v>7242</v>
      </c>
      <c r="J1461" s="1773" t="s">
        <v>2830</v>
      </c>
      <c r="K1461" s="1774"/>
      <c r="L1461" s="1775"/>
      <c r="M1461" s="1775"/>
      <c r="N1461" s="1739">
        <v>1688.7992366666699</v>
      </c>
      <c r="O1461" s="1776">
        <v>0.10082582144404401</v>
      </c>
      <c r="P1461" s="1719"/>
    </row>
    <row r="1462" spans="1:16" ht="13.5" hidden="1" customHeight="1" outlineLevel="2" x14ac:dyDescent="0.2">
      <c r="A1462" s="459">
        <v>0</v>
      </c>
      <c r="B1462" s="459">
        <v>13</v>
      </c>
      <c r="C1462" s="459">
        <v>4</v>
      </c>
      <c r="D1462" s="460">
        <v>1</v>
      </c>
      <c r="E1462" s="460">
        <v>0</v>
      </c>
      <c r="G1462" s="1797"/>
      <c r="H1462" s="1777" t="s">
        <v>1238</v>
      </c>
      <c r="I1462" s="1742" t="s">
        <v>7243</v>
      </c>
      <c r="J1462" s="1779" t="s">
        <v>2786</v>
      </c>
      <c r="K1462" s="1780"/>
      <c r="L1462" s="1781"/>
      <c r="M1462" s="1781"/>
      <c r="N1462" s="1746">
        <v>861.67920666666703</v>
      </c>
      <c r="O1462" s="1782"/>
      <c r="P1462" s="1720"/>
    </row>
    <row r="1463" spans="1:16" ht="13.5" hidden="1" customHeight="1" outlineLevel="3" x14ac:dyDescent="0.2">
      <c r="A1463" s="459">
        <v>0</v>
      </c>
      <c r="B1463" s="459">
        <v>13</v>
      </c>
      <c r="C1463" s="459">
        <v>4</v>
      </c>
      <c r="D1463" s="460">
        <v>1</v>
      </c>
      <c r="E1463" s="460">
        <v>1</v>
      </c>
      <c r="G1463" s="1798" t="s">
        <v>24</v>
      </c>
      <c r="H1463" s="1783" t="s">
        <v>1239</v>
      </c>
      <c r="I1463" s="1750" t="s">
        <v>7244</v>
      </c>
      <c r="J1463" s="1785" t="s">
        <v>4169</v>
      </c>
      <c r="K1463" s="1786" t="s">
        <v>642</v>
      </c>
      <c r="L1463" s="1787">
        <v>25.3</v>
      </c>
      <c r="M1463" s="1787">
        <v>34.058466666666661</v>
      </c>
      <c r="N1463" s="1754">
        <v>861.67920666666703</v>
      </c>
      <c r="O1463" s="1788"/>
      <c r="P1463" s="1721" t="s">
        <v>9611</v>
      </c>
    </row>
    <row r="1464" spans="1:16" ht="13.5" hidden="1" customHeight="1" outlineLevel="2" x14ac:dyDescent="0.2">
      <c r="A1464" s="459">
        <v>0</v>
      </c>
      <c r="B1464" s="459">
        <v>13</v>
      </c>
      <c r="C1464" s="459">
        <v>4</v>
      </c>
      <c r="D1464" s="460">
        <v>2</v>
      </c>
      <c r="E1464" s="460">
        <v>0</v>
      </c>
      <c r="G1464" s="1797"/>
      <c r="H1464" s="1777" t="s">
        <v>1238</v>
      </c>
      <c r="I1464" s="1742" t="s">
        <v>7245</v>
      </c>
      <c r="J1464" s="1779" t="s">
        <v>2787</v>
      </c>
      <c r="K1464" s="1780"/>
      <c r="L1464" s="1781"/>
      <c r="M1464" s="1781"/>
      <c r="N1464" s="1746">
        <v>17.520029999999998</v>
      </c>
      <c r="O1464" s="1782"/>
      <c r="P1464" s="1720"/>
    </row>
    <row r="1465" spans="1:16" ht="13.5" hidden="1" customHeight="1" outlineLevel="3" x14ac:dyDescent="0.2">
      <c r="A1465" s="459">
        <v>0</v>
      </c>
      <c r="B1465" s="459">
        <v>13</v>
      </c>
      <c r="C1465" s="459">
        <v>4</v>
      </c>
      <c r="D1465" s="460">
        <v>2</v>
      </c>
      <c r="E1465" s="460">
        <v>1</v>
      </c>
      <c r="G1465" s="1798" t="s">
        <v>24</v>
      </c>
      <c r="H1465" s="1783" t="s">
        <v>1239</v>
      </c>
      <c r="I1465" s="1750" t="s">
        <v>7246</v>
      </c>
      <c r="J1465" s="1785" t="s">
        <v>1683</v>
      </c>
      <c r="K1465" s="1786" t="s">
        <v>534</v>
      </c>
      <c r="L1465" s="1787">
        <v>2</v>
      </c>
      <c r="M1465" s="1787">
        <v>8.760015000000001</v>
      </c>
      <c r="N1465" s="1754">
        <v>17.520029999999998</v>
      </c>
      <c r="O1465" s="1788" t="s">
        <v>4207</v>
      </c>
      <c r="P1465" s="1721" t="s">
        <v>9611</v>
      </c>
    </row>
    <row r="1466" spans="1:16" ht="13.5" hidden="1" customHeight="1" outlineLevel="2" x14ac:dyDescent="0.2">
      <c r="A1466" s="459">
        <v>0</v>
      </c>
      <c r="B1466" s="459">
        <v>13</v>
      </c>
      <c r="C1466" s="459">
        <v>4</v>
      </c>
      <c r="D1466" s="460">
        <v>3</v>
      </c>
      <c r="E1466" s="460">
        <v>0</v>
      </c>
      <c r="G1466" s="1797"/>
      <c r="H1466" s="1777" t="s">
        <v>1238</v>
      </c>
      <c r="I1466" s="1742" t="s">
        <v>7247</v>
      </c>
      <c r="J1466" s="1779" t="s">
        <v>1249</v>
      </c>
      <c r="K1466" s="1780"/>
      <c r="L1466" s="1781"/>
      <c r="M1466" s="1781"/>
      <c r="N1466" s="1746">
        <v>809.6</v>
      </c>
      <c r="O1466" s="1782"/>
      <c r="P1466" s="1720"/>
    </row>
    <row r="1467" spans="1:16" ht="13.5" hidden="1" customHeight="1" outlineLevel="3" x14ac:dyDescent="0.2">
      <c r="A1467" s="459">
        <v>0</v>
      </c>
      <c r="B1467" s="459">
        <v>13</v>
      </c>
      <c r="C1467" s="459">
        <v>4</v>
      </c>
      <c r="D1467" s="460">
        <v>3</v>
      </c>
      <c r="E1467" s="460">
        <v>1</v>
      </c>
      <c r="G1467" s="1798" t="s">
        <v>24</v>
      </c>
      <c r="H1467" s="1783" t="s">
        <v>1239</v>
      </c>
      <c r="I1467" s="1750" t="s">
        <v>7248</v>
      </c>
      <c r="J1467" s="1785" t="s">
        <v>4195</v>
      </c>
      <c r="K1467" s="1786" t="s">
        <v>642</v>
      </c>
      <c r="L1467" s="1787">
        <v>25.3</v>
      </c>
      <c r="M1467" s="1787">
        <v>32</v>
      </c>
      <c r="N1467" s="1754">
        <v>809.6</v>
      </c>
      <c r="O1467" s="1788"/>
      <c r="P1467" s="1721" t="s">
        <v>9611</v>
      </c>
    </row>
    <row r="1468" spans="1:16" ht="13.5" hidden="1" customHeight="1" outlineLevel="1" x14ac:dyDescent="0.2">
      <c r="A1468" s="459">
        <v>0</v>
      </c>
      <c r="B1468" s="459">
        <v>13</v>
      </c>
      <c r="C1468" s="459">
        <v>5</v>
      </c>
      <c r="D1468" s="460">
        <v>0</v>
      </c>
      <c r="E1468" s="460">
        <v>1</v>
      </c>
      <c r="G1468" s="1796"/>
      <c r="H1468" s="1771" t="s">
        <v>39</v>
      </c>
      <c r="I1468" s="1735" t="s">
        <v>7249</v>
      </c>
      <c r="J1468" s="1773" t="s">
        <v>2831</v>
      </c>
      <c r="K1468" s="1774"/>
      <c r="L1468" s="1775"/>
      <c r="M1468" s="1775"/>
      <c r="N1468" s="1739">
        <v>5211.5835686666696</v>
      </c>
      <c r="O1468" s="1776">
        <v>0.31114544756205098</v>
      </c>
      <c r="P1468" s="1719"/>
    </row>
    <row r="1469" spans="1:16" ht="13.5" hidden="1" customHeight="1" outlineLevel="2" x14ac:dyDescent="0.2">
      <c r="A1469" s="459">
        <v>0</v>
      </c>
      <c r="B1469" s="459">
        <v>13</v>
      </c>
      <c r="C1469" s="459">
        <v>5</v>
      </c>
      <c r="D1469" s="460">
        <v>1</v>
      </c>
      <c r="E1469" s="460">
        <v>0</v>
      </c>
      <c r="G1469" s="1797"/>
      <c r="H1469" s="1777" t="s">
        <v>1238</v>
      </c>
      <c r="I1469" s="1742" t="s">
        <v>7250</v>
      </c>
      <c r="J1469" s="1779" t="s">
        <v>25</v>
      </c>
      <c r="K1469" s="1780"/>
      <c r="L1469" s="1781"/>
      <c r="M1469" s="1781"/>
      <c r="N1469" s="1746">
        <v>281.55775599999998</v>
      </c>
      <c r="O1469" s="1782">
        <v>1.6809749445809999E-2</v>
      </c>
      <c r="P1469" s="1720"/>
    </row>
    <row r="1470" spans="1:16" ht="13.5" hidden="1" customHeight="1" outlineLevel="3" x14ac:dyDescent="0.2">
      <c r="A1470" s="459">
        <v>0</v>
      </c>
      <c r="B1470" s="459">
        <v>13</v>
      </c>
      <c r="C1470" s="459">
        <v>5</v>
      </c>
      <c r="D1470" s="460">
        <v>1</v>
      </c>
      <c r="E1470" s="460">
        <v>1</v>
      </c>
      <c r="G1470" s="1798" t="s">
        <v>24</v>
      </c>
      <c r="H1470" s="1783" t="s">
        <v>1239</v>
      </c>
      <c r="I1470" s="1750" t="s">
        <v>7251</v>
      </c>
      <c r="J1470" s="1785" t="s">
        <v>442</v>
      </c>
      <c r="K1470" s="1786" t="s">
        <v>642</v>
      </c>
      <c r="L1470" s="1787">
        <v>4.99</v>
      </c>
      <c r="M1470" s="1787">
        <v>7.0658999999999992</v>
      </c>
      <c r="N1470" s="1754">
        <v>35.258840999999997</v>
      </c>
      <c r="O1470" s="1788" t="s">
        <v>4191</v>
      </c>
      <c r="P1470" s="1721" t="s">
        <v>9611</v>
      </c>
    </row>
    <row r="1471" spans="1:16" ht="13.5" hidden="1" customHeight="1" outlineLevel="3" x14ac:dyDescent="0.2">
      <c r="A1471" s="459">
        <v>0</v>
      </c>
      <c r="B1471" s="459">
        <v>13</v>
      </c>
      <c r="C1471" s="459">
        <v>5</v>
      </c>
      <c r="D1471" s="460">
        <v>1</v>
      </c>
      <c r="E1471" s="460">
        <v>2</v>
      </c>
      <c r="G1471" s="1798" t="s">
        <v>24</v>
      </c>
      <c r="H1471" s="1783" t="s">
        <v>1239</v>
      </c>
      <c r="I1471" s="1750" t="s">
        <v>7252</v>
      </c>
      <c r="J1471" s="1785" t="s">
        <v>444</v>
      </c>
      <c r="K1471" s="1786" t="s">
        <v>642</v>
      </c>
      <c r="L1471" s="1787">
        <v>4.99</v>
      </c>
      <c r="M1471" s="1787">
        <v>49.358499999999999</v>
      </c>
      <c r="N1471" s="1754">
        <v>246.29891499999999</v>
      </c>
      <c r="O1471" s="1788" t="s">
        <v>4192</v>
      </c>
      <c r="P1471" s="1721" t="s">
        <v>9611</v>
      </c>
    </row>
    <row r="1472" spans="1:16" ht="13.5" hidden="1" customHeight="1" outlineLevel="2" x14ac:dyDescent="0.2">
      <c r="A1472" s="459">
        <v>0</v>
      </c>
      <c r="B1472" s="459">
        <v>13</v>
      </c>
      <c r="C1472" s="459">
        <v>5</v>
      </c>
      <c r="D1472" s="460">
        <v>2</v>
      </c>
      <c r="E1472" s="460">
        <v>0</v>
      </c>
      <c r="G1472" s="1797"/>
      <c r="H1472" s="1777" t="s">
        <v>1238</v>
      </c>
      <c r="I1472" s="1742" t="s">
        <v>7253</v>
      </c>
      <c r="J1472" s="1779" t="s">
        <v>2786</v>
      </c>
      <c r="K1472" s="1780"/>
      <c r="L1472" s="1781"/>
      <c r="M1472" s="1781"/>
      <c r="N1472" s="1746">
        <v>861.67920666666703</v>
      </c>
      <c r="O1472" s="1782"/>
      <c r="P1472" s="1720"/>
    </row>
    <row r="1473" spans="1:16" ht="13.5" hidden="1" customHeight="1" outlineLevel="3" x14ac:dyDescent="0.2">
      <c r="A1473" s="459">
        <v>0</v>
      </c>
      <c r="B1473" s="459">
        <v>13</v>
      </c>
      <c r="C1473" s="459">
        <v>5</v>
      </c>
      <c r="D1473" s="460">
        <v>2</v>
      </c>
      <c r="E1473" s="460">
        <v>1</v>
      </c>
      <c r="G1473" s="1798" t="s">
        <v>24</v>
      </c>
      <c r="H1473" s="1783" t="s">
        <v>1239</v>
      </c>
      <c r="I1473" s="1750" t="s">
        <v>7254</v>
      </c>
      <c r="J1473" s="1785" t="s">
        <v>4169</v>
      </c>
      <c r="K1473" s="1786" t="s">
        <v>642</v>
      </c>
      <c r="L1473" s="1787">
        <v>25.3</v>
      </c>
      <c r="M1473" s="1787">
        <v>34.058466666666661</v>
      </c>
      <c r="N1473" s="1754">
        <v>861.67920666666703</v>
      </c>
      <c r="O1473" s="1788"/>
      <c r="P1473" s="1721" t="s">
        <v>9611</v>
      </c>
    </row>
    <row r="1474" spans="1:16" ht="13.5" hidden="1" customHeight="1" outlineLevel="2" x14ac:dyDescent="0.2">
      <c r="A1474" s="459">
        <v>0</v>
      </c>
      <c r="B1474" s="459">
        <v>13</v>
      </c>
      <c r="C1474" s="459">
        <v>5</v>
      </c>
      <c r="D1474" s="460">
        <v>3</v>
      </c>
      <c r="E1474" s="460">
        <v>0</v>
      </c>
      <c r="G1474" s="1797"/>
      <c r="H1474" s="1777" t="s">
        <v>1238</v>
      </c>
      <c r="I1474" s="1742" t="s">
        <v>7255</v>
      </c>
      <c r="J1474" s="1779" t="s">
        <v>2787</v>
      </c>
      <c r="K1474" s="1780"/>
      <c r="L1474" s="1781"/>
      <c r="M1474" s="1781"/>
      <c r="N1474" s="1746">
        <v>17.520029999999998</v>
      </c>
      <c r="O1474" s="1782"/>
      <c r="P1474" s="1720"/>
    </row>
    <row r="1475" spans="1:16" ht="13.5" hidden="1" customHeight="1" outlineLevel="3" x14ac:dyDescent="0.2">
      <c r="A1475" s="459">
        <v>0</v>
      </c>
      <c r="B1475" s="459">
        <v>13</v>
      </c>
      <c r="C1475" s="459">
        <v>5</v>
      </c>
      <c r="D1475" s="460">
        <v>3</v>
      </c>
      <c r="E1475" s="460">
        <v>1</v>
      </c>
      <c r="G1475" s="1798" t="s">
        <v>24</v>
      </c>
      <c r="H1475" s="1783" t="s">
        <v>1239</v>
      </c>
      <c r="I1475" s="1750" t="s">
        <v>7256</v>
      </c>
      <c r="J1475" s="1785" t="s">
        <v>1683</v>
      </c>
      <c r="K1475" s="1786" t="s">
        <v>534</v>
      </c>
      <c r="L1475" s="1787">
        <v>2</v>
      </c>
      <c r="M1475" s="1787">
        <v>8.760015000000001</v>
      </c>
      <c r="N1475" s="1754">
        <v>17.520029999999998</v>
      </c>
      <c r="O1475" s="1788" t="s">
        <v>4207</v>
      </c>
      <c r="P1475" s="1721" t="s">
        <v>9611</v>
      </c>
    </row>
    <row r="1476" spans="1:16" ht="13.5" hidden="1" customHeight="1" outlineLevel="2" x14ac:dyDescent="0.2">
      <c r="A1476" s="459">
        <v>0</v>
      </c>
      <c r="B1476" s="459">
        <v>13</v>
      </c>
      <c r="C1476" s="459">
        <v>5</v>
      </c>
      <c r="D1476" s="460">
        <v>4</v>
      </c>
      <c r="E1476" s="460">
        <v>0</v>
      </c>
      <c r="G1476" s="1797"/>
      <c r="H1476" s="1777" t="s">
        <v>1238</v>
      </c>
      <c r="I1476" s="1742" t="s">
        <v>7257</v>
      </c>
      <c r="J1476" s="1779" t="s">
        <v>4189</v>
      </c>
      <c r="K1476" s="1780"/>
      <c r="L1476" s="1781"/>
      <c r="M1476" s="1781"/>
      <c r="N1476" s="1746">
        <v>1900.5865759999999</v>
      </c>
      <c r="O1476" s="1782"/>
      <c r="P1476" s="1720"/>
    </row>
    <row r="1477" spans="1:16" ht="13.5" hidden="1" customHeight="1" outlineLevel="3" x14ac:dyDescent="0.2">
      <c r="A1477" s="459">
        <v>0</v>
      </c>
      <c r="B1477" s="459">
        <v>13</v>
      </c>
      <c r="C1477" s="459">
        <v>5</v>
      </c>
      <c r="D1477" s="460">
        <v>4</v>
      </c>
      <c r="E1477" s="460">
        <v>1</v>
      </c>
      <c r="G1477" s="1798" t="s">
        <v>24</v>
      </c>
      <c r="H1477" s="1783" t="s">
        <v>1239</v>
      </c>
      <c r="I1477" s="1750" t="s">
        <v>7258</v>
      </c>
      <c r="J1477" s="1785" t="s">
        <v>4171</v>
      </c>
      <c r="K1477" s="1786" t="s">
        <v>642</v>
      </c>
      <c r="L1477" s="1787">
        <v>4.99</v>
      </c>
      <c r="M1477" s="1787">
        <v>74.891800000000003</v>
      </c>
      <c r="N1477" s="1754">
        <v>373.710082</v>
      </c>
      <c r="O1477" s="1788" t="s">
        <v>4184</v>
      </c>
      <c r="P1477" s="1721" t="s">
        <v>9611</v>
      </c>
    </row>
    <row r="1478" spans="1:16" ht="13.5" hidden="1" customHeight="1" outlineLevel="3" x14ac:dyDescent="0.2">
      <c r="A1478" s="459">
        <v>0</v>
      </c>
      <c r="B1478" s="459">
        <v>13</v>
      </c>
      <c r="C1478" s="459">
        <v>5</v>
      </c>
      <c r="D1478" s="460">
        <v>4</v>
      </c>
      <c r="E1478" s="460">
        <v>2</v>
      </c>
      <c r="G1478" s="1798" t="s">
        <v>24</v>
      </c>
      <c r="H1478" s="1783" t="s">
        <v>1239</v>
      </c>
      <c r="I1478" s="1750" t="s">
        <v>7259</v>
      </c>
      <c r="J1478" s="1785" t="s">
        <v>4173</v>
      </c>
      <c r="K1478" s="1786" t="s">
        <v>642</v>
      </c>
      <c r="L1478" s="1787">
        <v>20.83</v>
      </c>
      <c r="M1478" s="1787">
        <v>73.3018</v>
      </c>
      <c r="N1478" s="1754">
        <v>1526.8764940000001</v>
      </c>
      <c r="O1478" s="1788" t="s">
        <v>4184</v>
      </c>
      <c r="P1478" s="1721" t="s">
        <v>9611</v>
      </c>
    </row>
    <row r="1479" spans="1:16" ht="13.5" hidden="1" customHeight="1" outlineLevel="2" x14ac:dyDescent="0.2">
      <c r="A1479" s="459">
        <v>0</v>
      </c>
      <c r="B1479" s="459">
        <v>13</v>
      </c>
      <c r="C1479" s="459">
        <v>5</v>
      </c>
      <c r="D1479" s="460">
        <v>5</v>
      </c>
      <c r="E1479" s="460">
        <v>0</v>
      </c>
      <c r="G1479" s="1797"/>
      <c r="H1479" s="1777" t="s">
        <v>1238</v>
      </c>
      <c r="I1479" s="1742" t="s">
        <v>7260</v>
      </c>
      <c r="J1479" s="1779" t="s">
        <v>1249</v>
      </c>
      <c r="K1479" s="1780"/>
      <c r="L1479" s="1781"/>
      <c r="M1479" s="1781"/>
      <c r="N1479" s="1746">
        <v>2150.2399999999998</v>
      </c>
      <c r="O1479" s="1782"/>
      <c r="P1479" s="1720"/>
    </row>
    <row r="1480" spans="1:16" ht="13.5" hidden="1" customHeight="1" outlineLevel="3" x14ac:dyDescent="0.2">
      <c r="A1480" s="459">
        <v>0</v>
      </c>
      <c r="B1480" s="459">
        <v>13</v>
      </c>
      <c r="C1480" s="459">
        <v>5</v>
      </c>
      <c r="D1480" s="460">
        <v>5</v>
      </c>
      <c r="E1480" s="460">
        <v>1</v>
      </c>
      <c r="G1480" s="1798" t="s">
        <v>24</v>
      </c>
      <c r="H1480" s="1783" t="s">
        <v>1239</v>
      </c>
      <c r="I1480" s="1750" t="s">
        <v>7261</v>
      </c>
      <c r="J1480" s="1785" t="s">
        <v>470</v>
      </c>
      <c r="K1480" s="1786" t="s">
        <v>642</v>
      </c>
      <c r="L1480" s="1787">
        <v>4.99</v>
      </c>
      <c r="M1480" s="1787">
        <v>20</v>
      </c>
      <c r="N1480" s="1754">
        <v>99.8</v>
      </c>
      <c r="O1480" s="1788"/>
      <c r="P1480" s="1721" t="s">
        <v>9611</v>
      </c>
    </row>
    <row r="1481" spans="1:16" ht="13.5" hidden="1" customHeight="1" outlineLevel="3" x14ac:dyDescent="0.2">
      <c r="A1481" s="459">
        <v>0</v>
      </c>
      <c r="B1481" s="459">
        <v>13</v>
      </c>
      <c r="C1481" s="459">
        <v>5</v>
      </c>
      <c r="D1481" s="460">
        <v>5</v>
      </c>
      <c r="E1481" s="460">
        <v>2</v>
      </c>
      <c r="G1481" s="1798" t="s">
        <v>24</v>
      </c>
      <c r="H1481" s="1783" t="s">
        <v>1239</v>
      </c>
      <c r="I1481" s="1750" t="s">
        <v>7262</v>
      </c>
      <c r="J1481" s="1785" t="s">
        <v>471</v>
      </c>
      <c r="K1481" s="1786" t="s">
        <v>642</v>
      </c>
      <c r="L1481" s="1787">
        <v>4.99</v>
      </c>
      <c r="M1481" s="1787">
        <v>35</v>
      </c>
      <c r="N1481" s="1754">
        <v>174.65</v>
      </c>
      <c r="O1481" s="1788"/>
      <c r="P1481" s="1721" t="s">
        <v>9611</v>
      </c>
    </row>
    <row r="1482" spans="1:16" ht="13.5" hidden="1" customHeight="1" outlineLevel="3" x14ac:dyDescent="0.2">
      <c r="A1482" s="459">
        <v>0</v>
      </c>
      <c r="B1482" s="459">
        <v>13</v>
      </c>
      <c r="C1482" s="459">
        <v>5</v>
      </c>
      <c r="D1482" s="460">
        <v>5</v>
      </c>
      <c r="E1482" s="460">
        <v>3</v>
      </c>
      <c r="G1482" s="1798" t="s">
        <v>24</v>
      </c>
      <c r="H1482" s="1783" t="s">
        <v>1239</v>
      </c>
      <c r="I1482" s="1750" t="s">
        <v>7263</v>
      </c>
      <c r="J1482" s="1785" t="s">
        <v>4198</v>
      </c>
      <c r="K1482" s="1786" t="s">
        <v>642</v>
      </c>
      <c r="L1482" s="1787">
        <v>20.83</v>
      </c>
      <c r="M1482" s="1787">
        <v>38</v>
      </c>
      <c r="N1482" s="1754">
        <v>791.54</v>
      </c>
      <c r="O1482" s="1788"/>
      <c r="P1482" s="1721" t="s">
        <v>9611</v>
      </c>
    </row>
    <row r="1483" spans="1:16" ht="13.5" hidden="1" customHeight="1" outlineLevel="3" x14ac:dyDescent="0.2">
      <c r="A1483" s="459">
        <v>0</v>
      </c>
      <c r="B1483" s="459">
        <v>13</v>
      </c>
      <c r="C1483" s="459">
        <v>5</v>
      </c>
      <c r="D1483" s="460">
        <v>5</v>
      </c>
      <c r="E1483" s="460">
        <v>4</v>
      </c>
      <c r="G1483" s="1798" t="s">
        <v>24</v>
      </c>
      <c r="H1483" s="1783" t="s">
        <v>1239</v>
      </c>
      <c r="I1483" s="1750" t="s">
        <v>7264</v>
      </c>
      <c r="J1483" s="1785" t="s">
        <v>4195</v>
      </c>
      <c r="K1483" s="1786" t="s">
        <v>642</v>
      </c>
      <c r="L1483" s="1787">
        <v>25.3</v>
      </c>
      <c r="M1483" s="1787">
        <v>32</v>
      </c>
      <c r="N1483" s="1754">
        <v>809.6</v>
      </c>
      <c r="O1483" s="1788"/>
      <c r="P1483" s="1721" t="s">
        <v>9611</v>
      </c>
    </row>
    <row r="1484" spans="1:16" ht="13.5" hidden="1" customHeight="1" outlineLevel="3" x14ac:dyDescent="0.2">
      <c r="A1484" s="459">
        <v>0</v>
      </c>
      <c r="B1484" s="459">
        <v>13</v>
      </c>
      <c r="C1484" s="459">
        <v>5</v>
      </c>
      <c r="D1484" s="460">
        <v>5</v>
      </c>
      <c r="E1484" s="460">
        <v>5</v>
      </c>
      <c r="G1484" s="1798" t="s">
        <v>24</v>
      </c>
      <c r="H1484" s="1783" t="s">
        <v>1239</v>
      </c>
      <c r="I1484" s="1750" t="s">
        <v>7265</v>
      </c>
      <c r="J1484" s="1785" t="s">
        <v>4201</v>
      </c>
      <c r="K1484" s="1786" t="s">
        <v>642</v>
      </c>
      <c r="L1484" s="1787">
        <v>4.99</v>
      </c>
      <c r="M1484" s="1787">
        <v>35</v>
      </c>
      <c r="N1484" s="1754">
        <v>174.65</v>
      </c>
      <c r="O1484" s="1788"/>
      <c r="P1484" s="1721" t="s">
        <v>9611</v>
      </c>
    </row>
    <row r="1485" spans="1:16" ht="13.5" hidden="1" customHeight="1" outlineLevel="3" x14ac:dyDescent="0.2">
      <c r="A1485" s="459">
        <v>0</v>
      </c>
      <c r="B1485" s="459">
        <v>13</v>
      </c>
      <c r="C1485" s="459">
        <v>5</v>
      </c>
      <c r="D1485" s="460">
        <v>5</v>
      </c>
      <c r="E1485" s="460">
        <v>6</v>
      </c>
      <c r="G1485" s="1798" t="s">
        <v>24</v>
      </c>
      <c r="H1485" s="1783" t="s">
        <v>1239</v>
      </c>
      <c r="I1485" s="1750" t="s">
        <v>7266</v>
      </c>
      <c r="J1485" s="1751" t="s">
        <v>478</v>
      </c>
      <c r="K1485" s="1786" t="s">
        <v>534</v>
      </c>
      <c r="L1485" s="1787">
        <v>2</v>
      </c>
      <c r="M1485" s="1787">
        <v>50</v>
      </c>
      <c r="N1485" s="1754">
        <v>100</v>
      </c>
      <c r="O1485" s="1788"/>
      <c r="P1485" s="1721" t="s">
        <v>9611</v>
      </c>
    </row>
    <row r="1486" spans="1:16" ht="13.5" hidden="1" customHeight="1" outlineLevel="1" x14ac:dyDescent="0.2">
      <c r="A1486" s="459">
        <v>0</v>
      </c>
      <c r="B1486" s="459">
        <v>13</v>
      </c>
      <c r="C1486" s="459">
        <v>6</v>
      </c>
      <c r="D1486" s="460">
        <v>0</v>
      </c>
      <c r="E1486" s="460">
        <v>6</v>
      </c>
      <c r="G1486" s="1796"/>
      <c r="H1486" s="1771" t="s">
        <v>39</v>
      </c>
      <c r="I1486" s="1735" t="s">
        <v>7267</v>
      </c>
      <c r="J1486" s="1773" t="s">
        <v>2832</v>
      </c>
      <c r="K1486" s="1774"/>
      <c r="L1486" s="1775"/>
      <c r="M1486" s="1775"/>
      <c r="N1486" s="1739">
        <v>2131.6426786666698</v>
      </c>
      <c r="O1486" s="1776">
        <v>0.12726475677829299</v>
      </c>
      <c r="P1486" s="1719"/>
    </row>
    <row r="1487" spans="1:16" ht="13.5" hidden="1" customHeight="1" outlineLevel="2" x14ac:dyDescent="0.2">
      <c r="A1487" s="459">
        <v>0</v>
      </c>
      <c r="B1487" s="459">
        <v>13</v>
      </c>
      <c r="C1487" s="459">
        <v>6</v>
      </c>
      <c r="D1487" s="460">
        <v>1</v>
      </c>
      <c r="E1487" s="460">
        <v>0</v>
      </c>
      <c r="G1487" s="1797"/>
      <c r="H1487" s="1777" t="s">
        <v>1238</v>
      </c>
      <c r="I1487" s="1742" t="s">
        <v>7268</v>
      </c>
      <c r="J1487" s="1779" t="s">
        <v>2786</v>
      </c>
      <c r="K1487" s="1780"/>
      <c r="L1487" s="1781"/>
      <c r="M1487" s="1781"/>
      <c r="N1487" s="1746">
        <v>1038.44264866667</v>
      </c>
      <c r="O1487" s="1782"/>
      <c r="P1487" s="1720"/>
    </row>
    <row r="1488" spans="1:16" ht="13.5" hidden="1" customHeight="1" outlineLevel="3" x14ac:dyDescent="0.2">
      <c r="A1488" s="459">
        <v>0</v>
      </c>
      <c r="B1488" s="459">
        <v>13</v>
      </c>
      <c r="C1488" s="459">
        <v>6</v>
      </c>
      <c r="D1488" s="460">
        <v>1</v>
      </c>
      <c r="E1488" s="460">
        <v>1</v>
      </c>
      <c r="G1488" s="1798" t="s">
        <v>24</v>
      </c>
      <c r="H1488" s="1783" t="s">
        <v>1239</v>
      </c>
      <c r="I1488" s="1750" t="s">
        <v>7269</v>
      </c>
      <c r="J1488" s="1785" t="s">
        <v>4169</v>
      </c>
      <c r="K1488" s="1786" t="s">
        <v>642</v>
      </c>
      <c r="L1488" s="1787">
        <v>30.490000000000002</v>
      </c>
      <c r="M1488" s="1787">
        <v>34.058466666666661</v>
      </c>
      <c r="N1488" s="1754">
        <v>1038.44264866667</v>
      </c>
      <c r="O1488" s="1788"/>
      <c r="P1488" s="1721" t="s">
        <v>9611</v>
      </c>
    </row>
    <row r="1489" spans="1:16" ht="13.5" hidden="1" customHeight="1" outlineLevel="2" x14ac:dyDescent="0.2">
      <c r="A1489" s="459">
        <v>0</v>
      </c>
      <c r="B1489" s="459">
        <v>13</v>
      </c>
      <c r="C1489" s="459">
        <v>6</v>
      </c>
      <c r="D1489" s="460">
        <v>2</v>
      </c>
      <c r="E1489" s="460">
        <v>0</v>
      </c>
      <c r="G1489" s="1797"/>
      <c r="H1489" s="1777" t="s">
        <v>1238</v>
      </c>
      <c r="I1489" s="1742" t="s">
        <v>7270</v>
      </c>
      <c r="J1489" s="1779" t="s">
        <v>2787</v>
      </c>
      <c r="K1489" s="1780"/>
      <c r="L1489" s="1781"/>
      <c r="M1489" s="1781"/>
      <c r="N1489" s="1746">
        <v>17.520029999999998</v>
      </c>
      <c r="O1489" s="1782"/>
      <c r="P1489" s="1720"/>
    </row>
    <row r="1490" spans="1:16" ht="13.5" hidden="1" customHeight="1" outlineLevel="3" x14ac:dyDescent="0.2">
      <c r="A1490" s="459">
        <v>0</v>
      </c>
      <c r="B1490" s="459">
        <v>13</v>
      </c>
      <c r="C1490" s="459">
        <v>6</v>
      </c>
      <c r="D1490" s="460">
        <v>2</v>
      </c>
      <c r="E1490" s="460">
        <v>1</v>
      </c>
      <c r="G1490" s="1798" t="s">
        <v>24</v>
      </c>
      <c r="H1490" s="1783" t="s">
        <v>1239</v>
      </c>
      <c r="I1490" s="1750" t="s">
        <v>7271</v>
      </c>
      <c r="J1490" s="1785" t="s">
        <v>1683</v>
      </c>
      <c r="K1490" s="1786" t="s">
        <v>534</v>
      </c>
      <c r="L1490" s="1787">
        <v>2</v>
      </c>
      <c r="M1490" s="1787">
        <v>8.760015000000001</v>
      </c>
      <c r="N1490" s="1754">
        <v>17.520029999999998</v>
      </c>
      <c r="O1490" s="1788" t="s">
        <v>4207</v>
      </c>
      <c r="P1490" s="1721" t="s">
        <v>9611</v>
      </c>
    </row>
    <row r="1491" spans="1:16" ht="13.5" hidden="1" customHeight="1" outlineLevel="2" x14ac:dyDescent="0.2">
      <c r="A1491" s="459">
        <v>0</v>
      </c>
      <c r="B1491" s="459">
        <v>13</v>
      </c>
      <c r="C1491" s="459">
        <v>6</v>
      </c>
      <c r="D1491" s="460">
        <v>3</v>
      </c>
      <c r="E1491" s="460">
        <v>0</v>
      </c>
      <c r="G1491" s="1797"/>
      <c r="H1491" s="1777" t="s">
        <v>1238</v>
      </c>
      <c r="I1491" s="1742" t="s">
        <v>7272</v>
      </c>
      <c r="J1491" s="1779" t="s">
        <v>1249</v>
      </c>
      <c r="K1491" s="1780"/>
      <c r="L1491" s="1781"/>
      <c r="M1491" s="1781"/>
      <c r="N1491" s="1746">
        <v>1075.68</v>
      </c>
      <c r="O1491" s="1782"/>
      <c r="P1491" s="1720"/>
    </row>
    <row r="1492" spans="1:16" ht="13.5" hidden="1" customHeight="1" outlineLevel="3" x14ac:dyDescent="0.2">
      <c r="A1492" s="459">
        <v>0</v>
      </c>
      <c r="B1492" s="459">
        <v>13</v>
      </c>
      <c r="C1492" s="459">
        <v>6</v>
      </c>
      <c r="D1492" s="460">
        <v>3</v>
      </c>
      <c r="E1492" s="460">
        <v>1</v>
      </c>
      <c r="G1492" s="1798" t="s">
        <v>24</v>
      </c>
      <c r="H1492" s="1783" t="s">
        <v>1239</v>
      </c>
      <c r="I1492" s="1750" t="s">
        <v>7273</v>
      </c>
      <c r="J1492" s="1785" t="s">
        <v>4195</v>
      </c>
      <c r="K1492" s="1786" t="s">
        <v>642</v>
      </c>
      <c r="L1492" s="1787">
        <v>30.490000000000002</v>
      </c>
      <c r="M1492" s="1787">
        <v>32</v>
      </c>
      <c r="N1492" s="1754">
        <v>975.68</v>
      </c>
      <c r="O1492" s="1788"/>
      <c r="P1492" s="1721" t="s">
        <v>9611</v>
      </c>
    </row>
    <row r="1493" spans="1:16" ht="13.5" hidden="1" customHeight="1" outlineLevel="3" x14ac:dyDescent="0.2">
      <c r="A1493" s="459">
        <v>0</v>
      </c>
      <c r="B1493" s="459">
        <v>13</v>
      </c>
      <c r="C1493" s="459">
        <v>6</v>
      </c>
      <c r="D1493" s="460">
        <v>3</v>
      </c>
      <c r="E1493" s="460">
        <v>2</v>
      </c>
      <c r="G1493" s="1798" t="s">
        <v>24</v>
      </c>
      <c r="H1493" s="1783" t="s">
        <v>1239</v>
      </c>
      <c r="I1493" s="1750" t="s">
        <v>7274</v>
      </c>
      <c r="J1493" s="1751" t="s">
        <v>478</v>
      </c>
      <c r="K1493" s="1786" t="s">
        <v>534</v>
      </c>
      <c r="L1493" s="1787">
        <v>2</v>
      </c>
      <c r="M1493" s="1787">
        <v>50</v>
      </c>
      <c r="N1493" s="1754">
        <v>100</v>
      </c>
      <c r="O1493" s="1788"/>
      <c r="P1493" s="1721" t="s">
        <v>9611</v>
      </c>
    </row>
    <row r="1494" spans="1:16" ht="13.5" hidden="1" customHeight="1" outlineLevel="1" x14ac:dyDescent="0.2">
      <c r="A1494" s="459">
        <v>0</v>
      </c>
      <c r="B1494" s="459">
        <v>13</v>
      </c>
      <c r="C1494" s="459">
        <v>7</v>
      </c>
      <c r="D1494" s="460">
        <v>0</v>
      </c>
      <c r="E1494" s="460">
        <v>2</v>
      </c>
      <c r="G1494" s="1796"/>
      <c r="H1494" s="1771" t="s">
        <v>39</v>
      </c>
      <c r="I1494" s="1735" t="s">
        <v>7275</v>
      </c>
      <c r="J1494" s="1773" t="s">
        <v>2833</v>
      </c>
      <c r="K1494" s="1774"/>
      <c r="L1494" s="1775"/>
      <c r="M1494" s="1775"/>
      <c r="N1494" s="1739">
        <v>157022.473058667</v>
      </c>
      <c r="O1494" s="1776">
        <v>9.3746606983102705</v>
      </c>
      <c r="P1494" s="1719"/>
    </row>
    <row r="1495" spans="1:16" ht="13.5" hidden="1" customHeight="1" outlineLevel="2" x14ac:dyDescent="0.2">
      <c r="A1495" s="459">
        <v>0</v>
      </c>
      <c r="B1495" s="459">
        <v>13</v>
      </c>
      <c r="C1495" s="459">
        <v>7</v>
      </c>
      <c r="D1495" s="460">
        <v>1</v>
      </c>
      <c r="E1495" s="460">
        <v>0</v>
      </c>
      <c r="G1495" s="1797"/>
      <c r="H1495" s="1777" t="s">
        <v>1238</v>
      </c>
      <c r="I1495" s="1742" t="s">
        <v>7276</v>
      </c>
      <c r="J1495" s="1779" t="s">
        <v>25</v>
      </c>
      <c r="K1495" s="1780"/>
      <c r="L1495" s="1781"/>
      <c r="M1495" s="1781"/>
      <c r="N1495" s="1746">
        <v>16197.604813</v>
      </c>
      <c r="O1495" s="1782">
        <v>0.96704023500164504</v>
      </c>
      <c r="P1495" s="1720"/>
    </row>
    <row r="1496" spans="1:16" ht="13.5" hidden="1" customHeight="1" outlineLevel="3" x14ac:dyDescent="0.2">
      <c r="A1496" s="459">
        <v>0</v>
      </c>
      <c r="B1496" s="459">
        <v>13</v>
      </c>
      <c r="C1496" s="459">
        <v>7</v>
      </c>
      <c r="D1496" s="460">
        <v>1</v>
      </c>
      <c r="E1496" s="460">
        <v>1</v>
      </c>
      <c r="G1496" s="1798" t="s">
        <v>24</v>
      </c>
      <c r="H1496" s="1783" t="s">
        <v>1239</v>
      </c>
      <c r="I1496" s="1750" t="s">
        <v>7277</v>
      </c>
      <c r="J1496" s="1785" t="s">
        <v>442</v>
      </c>
      <c r="K1496" s="1786" t="s">
        <v>642</v>
      </c>
      <c r="L1496" s="1787">
        <v>301.02000000000004</v>
      </c>
      <c r="M1496" s="1787">
        <v>7.0658999999999992</v>
      </c>
      <c r="N1496" s="1754">
        <v>2126.977218</v>
      </c>
      <c r="O1496" s="1788" t="s">
        <v>4191</v>
      </c>
      <c r="P1496" s="1721" t="s">
        <v>9611</v>
      </c>
    </row>
    <row r="1497" spans="1:16" ht="13.5" hidden="1" customHeight="1" outlineLevel="3" x14ac:dyDescent="0.2">
      <c r="A1497" s="459">
        <v>0</v>
      </c>
      <c r="B1497" s="459">
        <v>13</v>
      </c>
      <c r="C1497" s="459">
        <v>7</v>
      </c>
      <c r="D1497" s="460">
        <v>1</v>
      </c>
      <c r="E1497" s="460">
        <v>2</v>
      </c>
      <c r="G1497" s="1798" t="s">
        <v>24</v>
      </c>
      <c r="H1497" s="1783" t="s">
        <v>1239</v>
      </c>
      <c r="I1497" s="1750" t="s">
        <v>7278</v>
      </c>
      <c r="J1497" s="1785" t="s">
        <v>444</v>
      </c>
      <c r="K1497" s="1786" t="s">
        <v>642</v>
      </c>
      <c r="L1497" s="1787">
        <v>285.07</v>
      </c>
      <c r="M1497" s="1787">
        <v>49.358499999999999</v>
      </c>
      <c r="N1497" s="1754">
        <v>14070.627595</v>
      </c>
      <c r="O1497" s="1788" t="s">
        <v>4192</v>
      </c>
      <c r="P1497" s="1721" t="s">
        <v>9611</v>
      </c>
    </row>
    <row r="1498" spans="1:16" ht="13.5" hidden="1" customHeight="1" outlineLevel="2" x14ac:dyDescent="0.2">
      <c r="A1498" s="459">
        <v>0</v>
      </c>
      <c r="B1498" s="459">
        <v>13</v>
      </c>
      <c r="C1498" s="459">
        <v>7</v>
      </c>
      <c r="D1498" s="460">
        <v>2</v>
      </c>
      <c r="E1498" s="460">
        <v>0</v>
      </c>
      <c r="G1498" s="1797"/>
      <c r="H1498" s="1777" t="s">
        <v>1238</v>
      </c>
      <c r="I1498" s="1742" t="s">
        <v>7279</v>
      </c>
      <c r="J1498" s="1779" t="s">
        <v>2785</v>
      </c>
      <c r="K1498" s="1780"/>
      <c r="L1498" s="1781"/>
      <c r="M1498" s="1781"/>
      <c r="N1498" s="1746">
        <v>64619.94644</v>
      </c>
      <c r="O1498" s="1782"/>
      <c r="P1498" s="1720"/>
    </row>
    <row r="1499" spans="1:16" ht="13.5" hidden="1" customHeight="1" outlineLevel="3" x14ac:dyDescent="0.2">
      <c r="A1499" s="459">
        <v>0</v>
      </c>
      <c r="B1499" s="459">
        <v>13</v>
      </c>
      <c r="C1499" s="459">
        <v>7</v>
      </c>
      <c r="D1499" s="460">
        <v>2</v>
      </c>
      <c r="E1499" s="460">
        <v>1</v>
      </c>
      <c r="G1499" s="1798" t="s">
        <v>24</v>
      </c>
      <c r="H1499" s="1783" t="s">
        <v>1239</v>
      </c>
      <c r="I1499" s="1750" t="s">
        <v>7280</v>
      </c>
      <c r="J1499" s="1785" t="s">
        <v>4190</v>
      </c>
      <c r="K1499" s="1786" t="s">
        <v>642</v>
      </c>
      <c r="L1499" s="1787">
        <v>241.13</v>
      </c>
      <c r="M1499" s="1787">
        <v>267.988</v>
      </c>
      <c r="N1499" s="1754">
        <v>64619.94644</v>
      </c>
      <c r="O1499" s="1788" t="s">
        <v>2208</v>
      </c>
      <c r="P1499" s="1721" t="s">
        <v>9611</v>
      </c>
    </row>
    <row r="1500" spans="1:16" ht="13.5" hidden="1" customHeight="1" outlineLevel="2" x14ac:dyDescent="0.2">
      <c r="A1500" s="459">
        <v>0</v>
      </c>
      <c r="B1500" s="459">
        <v>13</v>
      </c>
      <c r="C1500" s="459">
        <v>7</v>
      </c>
      <c r="D1500" s="460">
        <v>3</v>
      </c>
      <c r="E1500" s="460">
        <v>0</v>
      </c>
      <c r="G1500" s="1797"/>
      <c r="H1500" s="1777" t="s">
        <v>1238</v>
      </c>
      <c r="I1500" s="1742" t="s">
        <v>7281</v>
      </c>
      <c r="J1500" s="1779" t="s">
        <v>4187</v>
      </c>
      <c r="K1500" s="1780"/>
      <c r="L1500" s="1781"/>
      <c r="M1500" s="1781"/>
      <c r="N1500" s="1746">
        <v>30639.501863666701</v>
      </c>
      <c r="O1500" s="1782"/>
      <c r="P1500" s="1720"/>
    </row>
    <row r="1501" spans="1:16" ht="13.5" hidden="1" customHeight="1" outlineLevel="3" x14ac:dyDescent="0.2">
      <c r="A1501" s="459">
        <v>0</v>
      </c>
      <c r="B1501" s="459">
        <v>13</v>
      </c>
      <c r="C1501" s="459">
        <v>7</v>
      </c>
      <c r="D1501" s="460">
        <v>3</v>
      </c>
      <c r="E1501" s="460">
        <v>1</v>
      </c>
      <c r="G1501" s="1798" t="s">
        <v>24</v>
      </c>
      <c r="H1501" s="1783" t="s">
        <v>1239</v>
      </c>
      <c r="I1501" s="1750" t="s">
        <v>7282</v>
      </c>
      <c r="J1501" s="1785" t="s">
        <v>4169</v>
      </c>
      <c r="K1501" s="1786" t="s">
        <v>642</v>
      </c>
      <c r="L1501" s="1787">
        <v>26.41</v>
      </c>
      <c r="M1501" s="1787">
        <v>34.058466666666661</v>
      </c>
      <c r="N1501" s="1754">
        <v>899.48410466666701</v>
      </c>
      <c r="O1501" s="1788" t="s">
        <v>4179</v>
      </c>
      <c r="P1501" s="1721" t="s">
        <v>9611</v>
      </c>
    </row>
    <row r="1502" spans="1:16" ht="13.5" hidden="1" customHeight="1" outlineLevel="3" x14ac:dyDescent="0.2">
      <c r="A1502" s="459">
        <v>0</v>
      </c>
      <c r="B1502" s="459">
        <v>13</v>
      </c>
      <c r="C1502" s="459">
        <v>7</v>
      </c>
      <c r="D1502" s="460">
        <v>3</v>
      </c>
      <c r="E1502" s="460">
        <v>2</v>
      </c>
      <c r="G1502" s="1798" t="s">
        <v>24</v>
      </c>
      <c r="H1502" s="1783" t="s">
        <v>1239</v>
      </c>
      <c r="I1502" s="1750" t="s">
        <v>7283</v>
      </c>
      <c r="J1502" s="1785" t="s">
        <v>4172</v>
      </c>
      <c r="K1502" s="1786" t="s">
        <v>642</v>
      </c>
      <c r="L1502" s="1787">
        <v>48.03</v>
      </c>
      <c r="M1502" s="1787">
        <v>148.89179999999999</v>
      </c>
      <c r="N1502" s="1754">
        <v>7151.2731540000004</v>
      </c>
      <c r="O1502" s="1788" t="s">
        <v>4180</v>
      </c>
      <c r="P1502" s="1721" t="s">
        <v>9611</v>
      </c>
    </row>
    <row r="1503" spans="1:16" ht="13.5" hidden="1" customHeight="1" outlineLevel="3" x14ac:dyDescent="0.2">
      <c r="A1503" s="459">
        <v>0</v>
      </c>
      <c r="B1503" s="459">
        <v>13</v>
      </c>
      <c r="C1503" s="459">
        <v>7</v>
      </c>
      <c r="D1503" s="460">
        <v>3</v>
      </c>
      <c r="E1503" s="460">
        <v>3</v>
      </c>
      <c r="G1503" s="1798" t="s">
        <v>24</v>
      </c>
      <c r="H1503" s="1783" t="s">
        <v>1239</v>
      </c>
      <c r="I1503" s="1750" t="s">
        <v>7284</v>
      </c>
      <c r="J1503" s="1785" t="s">
        <v>4174</v>
      </c>
      <c r="K1503" s="1786" t="s">
        <v>642</v>
      </c>
      <c r="L1503" s="1787">
        <v>169.60999999999999</v>
      </c>
      <c r="M1503" s="1787">
        <v>133.18049999999999</v>
      </c>
      <c r="N1503" s="1754">
        <v>22588.744605</v>
      </c>
      <c r="O1503" s="1788" t="s">
        <v>4183</v>
      </c>
      <c r="P1503" s="1721" t="s">
        <v>9611</v>
      </c>
    </row>
    <row r="1504" spans="1:16" ht="13.5" hidden="1" customHeight="1" outlineLevel="2" x14ac:dyDescent="0.2">
      <c r="A1504" s="459">
        <v>0</v>
      </c>
      <c r="B1504" s="459">
        <v>13</v>
      </c>
      <c r="C1504" s="459">
        <v>7</v>
      </c>
      <c r="D1504" s="460">
        <v>4</v>
      </c>
      <c r="E1504" s="460">
        <v>0</v>
      </c>
      <c r="G1504" s="1797"/>
      <c r="H1504" s="1777" t="s">
        <v>1238</v>
      </c>
      <c r="I1504" s="1742" t="s">
        <v>7285</v>
      </c>
      <c r="J1504" s="1779" t="s">
        <v>2786</v>
      </c>
      <c r="K1504" s="1780"/>
      <c r="L1504" s="1781"/>
      <c r="M1504" s="1781"/>
      <c r="N1504" s="1746">
        <v>1213.843752</v>
      </c>
      <c r="O1504" s="1782"/>
      <c r="P1504" s="1720"/>
    </row>
    <row r="1505" spans="1:16" ht="13.5" hidden="1" customHeight="1" outlineLevel="3" x14ac:dyDescent="0.2">
      <c r="A1505" s="459">
        <v>0</v>
      </c>
      <c r="B1505" s="459">
        <v>13</v>
      </c>
      <c r="C1505" s="459">
        <v>7</v>
      </c>
      <c r="D1505" s="460">
        <v>4</v>
      </c>
      <c r="E1505" s="460">
        <v>1</v>
      </c>
      <c r="G1505" s="1798" t="s">
        <v>24</v>
      </c>
      <c r="H1505" s="1783" t="s">
        <v>1239</v>
      </c>
      <c r="I1505" s="1750" t="s">
        <v>7286</v>
      </c>
      <c r="J1505" s="1785" t="s">
        <v>4169</v>
      </c>
      <c r="K1505" s="1786" t="s">
        <v>642</v>
      </c>
      <c r="L1505" s="1787">
        <v>35.64</v>
      </c>
      <c r="M1505" s="1787">
        <v>34.058466666666661</v>
      </c>
      <c r="N1505" s="1754">
        <v>1213.843752</v>
      </c>
      <c r="O1505" s="1788"/>
      <c r="P1505" s="1721" t="s">
        <v>9611</v>
      </c>
    </row>
    <row r="1506" spans="1:16" ht="13.5" hidden="1" customHeight="1" outlineLevel="2" x14ac:dyDescent="0.2">
      <c r="A1506" s="459">
        <v>0</v>
      </c>
      <c r="B1506" s="459">
        <v>13</v>
      </c>
      <c r="C1506" s="459">
        <v>7</v>
      </c>
      <c r="D1506" s="460">
        <v>5</v>
      </c>
      <c r="E1506" s="460">
        <v>0</v>
      </c>
      <c r="G1506" s="1797"/>
      <c r="H1506" s="1777" t="s">
        <v>1238</v>
      </c>
      <c r="I1506" s="1742" t="s">
        <v>7287</v>
      </c>
      <c r="J1506" s="1779" t="s">
        <v>2787</v>
      </c>
      <c r="K1506" s="1780"/>
      <c r="L1506" s="1781"/>
      <c r="M1506" s="1781"/>
      <c r="N1506" s="1746">
        <v>70.080119999999994</v>
      </c>
      <c r="O1506" s="1782"/>
      <c r="P1506" s="1720"/>
    </row>
    <row r="1507" spans="1:16" ht="13.5" hidden="1" customHeight="1" outlineLevel="3" x14ac:dyDescent="0.2">
      <c r="A1507" s="459">
        <v>0</v>
      </c>
      <c r="B1507" s="459">
        <v>13</v>
      </c>
      <c r="C1507" s="459">
        <v>7</v>
      </c>
      <c r="D1507" s="460">
        <v>5</v>
      </c>
      <c r="E1507" s="460">
        <v>1</v>
      </c>
      <c r="G1507" s="1798" t="s">
        <v>24</v>
      </c>
      <c r="H1507" s="1783" t="s">
        <v>1239</v>
      </c>
      <c r="I1507" s="1750" t="s">
        <v>7288</v>
      </c>
      <c r="J1507" s="1785" t="s">
        <v>1683</v>
      </c>
      <c r="K1507" s="1786" t="s">
        <v>534</v>
      </c>
      <c r="L1507" s="1787">
        <v>8</v>
      </c>
      <c r="M1507" s="1787">
        <v>8.760015000000001</v>
      </c>
      <c r="N1507" s="1754">
        <v>70.080119999999994</v>
      </c>
      <c r="O1507" s="1788" t="s">
        <v>4207</v>
      </c>
      <c r="P1507" s="1721" t="s">
        <v>9611</v>
      </c>
    </row>
    <row r="1508" spans="1:16" ht="13.5" hidden="1" customHeight="1" outlineLevel="2" x14ac:dyDescent="0.2">
      <c r="A1508" s="459">
        <v>0</v>
      </c>
      <c r="B1508" s="459">
        <v>13</v>
      </c>
      <c r="C1508" s="459">
        <v>7</v>
      </c>
      <c r="D1508" s="460">
        <v>6</v>
      </c>
      <c r="E1508" s="460">
        <v>0</v>
      </c>
      <c r="G1508" s="1797"/>
      <c r="H1508" s="1777" t="s">
        <v>1238</v>
      </c>
      <c r="I1508" s="1742" t="s">
        <v>7289</v>
      </c>
      <c r="J1508" s="1779" t="s">
        <v>4185</v>
      </c>
      <c r="K1508" s="1780"/>
      <c r="L1508" s="1781"/>
      <c r="M1508" s="1781"/>
      <c r="N1508" s="1746">
        <v>1039.9760699999999</v>
      </c>
      <c r="O1508" s="1782"/>
      <c r="P1508" s="1720"/>
    </row>
    <row r="1509" spans="1:16" ht="13.5" hidden="1" customHeight="1" outlineLevel="3" x14ac:dyDescent="0.2">
      <c r="A1509" s="459">
        <v>0</v>
      </c>
      <c r="B1509" s="459">
        <v>13</v>
      </c>
      <c r="C1509" s="459">
        <v>7</v>
      </c>
      <c r="D1509" s="460">
        <v>6</v>
      </c>
      <c r="E1509" s="460">
        <v>1</v>
      </c>
      <c r="G1509" s="1798" t="s">
        <v>24</v>
      </c>
      <c r="H1509" s="1783" t="s">
        <v>1239</v>
      </c>
      <c r="I1509" s="1750" t="s">
        <v>7290</v>
      </c>
      <c r="J1509" s="1785" t="s">
        <v>4175</v>
      </c>
      <c r="K1509" s="1786" t="s">
        <v>642</v>
      </c>
      <c r="L1509" s="1787">
        <v>5.7399999999999993</v>
      </c>
      <c r="M1509" s="1787">
        <v>181.18049999999999</v>
      </c>
      <c r="N1509" s="1754">
        <v>1039.9760699999999</v>
      </c>
      <c r="O1509" s="1788" t="s">
        <v>4186</v>
      </c>
      <c r="P1509" s="1721" t="s">
        <v>9611</v>
      </c>
    </row>
    <row r="1510" spans="1:16" ht="13.5" hidden="1" customHeight="1" outlineLevel="2" x14ac:dyDescent="0.2">
      <c r="A1510" s="459">
        <v>0</v>
      </c>
      <c r="B1510" s="459">
        <v>13</v>
      </c>
      <c r="C1510" s="459">
        <v>7</v>
      </c>
      <c r="D1510" s="460">
        <v>7</v>
      </c>
      <c r="E1510" s="460">
        <v>0</v>
      </c>
      <c r="G1510" s="1797"/>
      <c r="H1510" s="1777" t="s">
        <v>1238</v>
      </c>
      <c r="I1510" s="1742" t="s">
        <v>7291</v>
      </c>
      <c r="J1510" s="1779" t="s">
        <v>1249</v>
      </c>
      <c r="K1510" s="1780"/>
      <c r="L1510" s="1781"/>
      <c r="M1510" s="1781"/>
      <c r="N1510" s="1746">
        <v>43241.52</v>
      </c>
      <c r="O1510" s="1782"/>
      <c r="P1510" s="1720"/>
    </row>
    <row r="1511" spans="1:16" ht="13.5" hidden="1" customHeight="1" outlineLevel="3" x14ac:dyDescent="0.2">
      <c r="A1511" s="459">
        <v>0</v>
      </c>
      <c r="B1511" s="459">
        <v>13</v>
      </c>
      <c r="C1511" s="459">
        <v>7</v>
      </c>
      <c r="D1511" s="460">
        <v>7</v>
      </c>
      <c r="E1511" s="460">
        <v>1</v>
      </c>
      <c r="G1511" s="1798" t="s">
        <v>24</v>
      </c>
      <c r="H1511" s="1783" t="s">
        <v>1239</v>
      </c>
      <c r="I1511" s="1750" t="s">
        <v>7292</v>
      </c>
      <c r="J1511" s="1785" t="s">
        <v>470</v>
      </c>
      <c r="K1511" s="1786" t="s">
        <v>642</v>
      </c>
      <c r="L1511" s="1787">
        <v>301.02000000000004</v>
      </c>
      <c r="M1511" s="1787">
        <v>20</v>
      </c>
      <c r="N1511" s="1754">
        <v>6020.4</v>
      </c>
      <c r="O1511" s="1788"/>
      <c r="P1511" s="1721" t="s">
        <v>9611</v>
      </c>
    </row>
    <row r="1512" spans="1:16" ht="13.5" hidden="1" customHeight="1" outlineLevel="3" x14ac:dyDescent="0.2">
      <c r="A1512" s="459">
        <v>0</v>
      </c>
      <c r="B1512" s="459">
        <v>13</v>
      </c>
      <c r="C1512" s="459">
        <v>7</v>
      </c>
      <c r="D1512" s="460">
        <v>7</v>
      </c>
      <c r="E1512" s="460">
        <v>2</v>
      </c>
      <c r="G1512" s="1798" t="s">
        <v>24</v>
      </c>
      <c r="H1512" s="1783" t="s">
        <v>1239</v>
      </c>
      <c r="I1512" s="1750" t="s">
        <v>7293</v>
      </c>
      <c r="J1512" s="1785" t="s">
        <v>471</v>
      </c>
      <c r="K1512" s="1786" t="s">
        <v>642</v>
      </c>
      <c r="L1512" s="1787">
        <v>285.07</v>
      </c>
      <c r="M1512" s="1787">
        <v>35</v>
      </c>
      <c r="N1512" s="1754">
        <v>9977.4500000000007</v>
      </c>
      <c r="O1512" s="1788"/>
      <c r="P1512" s="1721" t="s">
        <v>9611</v>
      </c>
    </row>
    <row r="1513" spans="1:16" ht="13.5" hidden="1" customHeight="1" outlineLevel="3" x14ac:dyDescent="0.2">
      <c r="A1513" s="459">
        <v>0</v>
      </c>
      <c r="B1513" s="459">
        <v>13</v>
      </c>
      <c r="C1513" s="459">
        <v>7</v>
      </c>
      <c r="D1513" s="460">
        <v>7</v>
      </c>
      <c r="E1513" s="460">
        <v>3</v>
      </c>
      <c r="G1513" s="1798" t="s">
        <v>24</v>
      </c>
      <c r="H1513" s="1783" t="s">
        <v>1239</v>
      </c>
      <c r="I1513" s="1750" t="s">
        <v>7294</v>
      </c>
      <c r="J1513" s="1785" t="s">
        <v>4195</v>
      </c>
      <c r="K1513" s="1786" t="s">
        <v>642</v>
      </c>
      <c r="L1513" s="1787">
        <v>62.05</v>
      </c>
      <c r="M1513" s="1787">
        <v>32</v>
      </c>
      <c r="N1513" s="1754">
        <v>1985.6</v>
      </c>
      <c r="O1513" s="1788"/>
      <c r="P1513" s="1721" t="s">
        <v>9611</v>
      </c>
    </row>
    <row r="1514" spans="1:16" ht="13.5" hidden="1" customHeight="1" outlineLevel="3" x14ac:dyDescent="0.2">
      <c r="A1514" s="459">
        <v>0</v>
      </c>
      <c r="B1514" s="459">
        <v>13</v>
      </c>
      <c r="C1514" s="459">
        <v>7</v>
      </c>
      <c r="D1514" s="460">
        <v>7</v>
      </c>
      <c r="E1514" s="460">
        <v>4</v>
      </c>
      <c r="G1514" s="1798" t="s">
        <v>24</v>
      </c>
      <c r="H1514" s="1783" t="s">
        <v>1239</v>
      </c>
      <c r="I1514" s="1750" t="s">
        <v>7295</v>
      </c>
      <c r="J1514" s="1785" t="s">
        <v>4199</v>
      </c>
      <c r="K1514" s="1786" t="s">
        <v>642</v>
      </c>
      <c r="L1514" s="1787">
        <v>169.60999999999999</v>
      </c>
      <c r="M1514" s="1787">
        <v>45</v>
      </c>
      <c r="N1514" s="1754">
        <v>7632.45</v>
      </c>
      <c r="O1514" s="1788"/>
      <c r="P1514" s="1721" t="s">
        <v>9611</v>
      </c>
    </row>
    <row r="1515" spans="1:16" ht="13.5" hidden="1" customHeight="1" outlineLevel="3" x14ac:dyDescent="0.2">
      <c r="A1515" s="459">
        <v>0</v>
      </c>
      <c r="B1515" s="459">
        <v>13</v>
      </c>
      <c r="C1515" s="459">
        <v>7</v>
      </c>
      <c r="D1515" s="460">
        <v>7</v>
      </c>
      <c r="E1515" s="460">
        <v>5</v>
      </c>
      <c r="G1515" s="1798" t="s">
        <v>24</v>
      </c>
      <c r="H1515" s="1783" t="s">
        <v>1239</v>
      </c>
      <c r="I1515" s="1750" t="s">
        <v>7296</v>
      </c>
      <c r="J1515" s="1785" t="s">
        <v>4196</v>
      </c>
      <c r="K1515" s="1786" t="s">
        <v>642</v>
      </c>
      <c r="L1515" s="1787">
        <v>5.7399999999999993</v>
      </c>
      <c r="M1515" s="1787">
        <v>45</v>
      </c>
      <c r="N1515" s="1754">
        <v>258.3</v>
      </c>
      <c r="O1515" s="1788"/>
      <c r="P1515" s="1721" t="s">
        <v>9611</v>
      </c>
    </row>
    <row r="1516" spans="1:16" ht="13.5" hidden="1" customHeight="1" outlineLevel="3" x14ac:dyDescent="0.2">
      <c r="A1516" s="459">
        <v>0</v>
      </c>
      <c r="B1516" s="459">
        <v>13</v>
      </c>
      <c r="C1516" s="459">
        <v>7</v>
      </c>
      <c r="D1516" s="460">
        <v>7</v>
      </c>
      <c r="E1516" s="460">
        <v>6</v>
      </c>
      <c r="G1516" s="1798" t="s">
        <v>24</v>
      </c>
      <c r="H1516" s="1783" t="s">
        <v>1239</v>
      </c>
      <c r="I1516" s="1750" t="s">
        <v>7297</v>
      </c>
      <c r="J1516" s="1785" t="s">
        <v>4200</v>
      </c>
      <c r="K1516" s="1786" t="s">
        <v>642</v>
      </c>
      <c r="L1516" s="1787">
        <v>241.13</v>
      </c>
      <c r="M1516" s="1787">
        <v>62</v>
      </c>
      <c r="N1516" s="1754">
        <v>14950.06</v>
      </c>
      <c r="O1516" s="1788"/>
      <c r="P1516" s="1721" t="s">
        <v>9611</v>
      </c>
    </row>
    <row r="1517" spans="1:16" ht="13.5" hidden="1" customHeight="1" outlineLevel="3" x14ac:dyDescent="0.2">
      <c r="A1517" s="459">
        <v>0</v>
      </c>
      <c r="B1517" s="459">
        <v>13</v>
      </c>
      <c r="C1517" s="459">
        <v>7</v>
      </c>
      <c r="D1517" s="460">
        <v>7</v>
      </c>
      <c r="E1517" s="460">
        <v>7</v>
      </c>
      <c r="G1517" s="1798" t="s">
        <v>24</v>
      </c>
      <c r="H1517" s="1783" t="s">
        <v>1239</v>
      </c>
      <c r="I1517" s="1750" t="s">
        <v>7298</v>
      </c>
      <c r="J1517" s="1785" t="s">
        <v>4202</v>
      </c>
      <c r="K1517" s="1786" t="s">
        <v>642</v>
      </c>
      <c r="L1517" s="1787">
        <v>48.03</v>
      </c>
      <c r="M1517" s="1787">
        <v>42</v>
      </c>
      <c r="N1517" s="1754">
        <v>2017.26</v>
      </c>
      <c r="O1517" s="1788"/>
      <c r="P1517" s="1721" t="s">
        <v>9611</v>
      </c>
    </row>
    <row r="1518" spans="1:16" ht="13.5" hidden="1" customHeight="1" outlineLevel="3" x14ac:dyDescent="0.2">
      <c r="A1518" s="459">
        <v>0</v>
      </c>
      <c r="B1518" s="459">
        <v>13</v>
      </c>
      <c r="C1518" s="459">
        <v>7</v>
      </c>
      <c r="D1518" s="460">
        <v>7</v>
      </c>
      <c r="E1518" s="460">
        <v>8</v>
      </c>
      <c r="G1518" s="1798" t="s">
        <v>24</v>
      </c>
      <c r="H1518" s="1783" t="s">
        <v>1239</v>
      </c>
      <c r="I1518" s="1750" t="s">
        <v>7299</v>
      </c>
      <c r="J1518" s="1751" t="s">
        <v>478</v>
      </c>
      <c r="K1518" s="1786" t="s">
        <v>534</v>
      </c>
      <c r="L1518" s="1787">
        <v>8</v>
      </c>
      <c r="M1518" s="1787">
        <v>50</v>
      </c>
      <c r="N1518" s="1754">
        <v>400</v>
      </c>
      <c r="O1518" s="1788"/>
      <c r="P1518" s="1721" t="s">
        <v>9611</v>
      </c>
    </row>
    <row r="1519" spans="1:16" ht="13.5" hidden="1" customHeight="1" outlineLevel="1" x14ac:dyDescent="0.2">
      <c r="A1519" s="459">
        <v>0</v>
      </c>
      <c r="B1519" s="459">
        <v>13</v>
      </c>
      <c r="C1519" s="459">
        <v>8</v>
      </c>
      <c r="D1519" s="460">
        <v>0</v>
      </c>
      <c r="E1519" s="460">
        <v>8</v>
      </c>
      <c r="G1519" s="1796"/>
      <c r="H1519" s="1771" t="s">
        <v>39</v>
      </c>
      <c r="I1519" s="1735" t="s">
        <v>7300</v>
      </c>
      <c r="J1519" s="1773" t="s">
        <v>2834</v>
      </c>
      <c r="K1519" s="1774"/>
      <c r="L1519" s="1775"/>
      <c r="M1519" s="1775"/>
      <c r="N1519" s="1739">
        <v>131918.56087433299</v>
      </c>
      <c r="O1519" s="1776">
        <v>7.8758901443630398</v>
      </c>
      <c r="P1519" s="1719"/>
    </row>
    <row r="1520" spans="1:16" ht="13.5" hidden="1" customHeight="1" outlineLevel="2" x14ac:dyDescent="0.2">
      <c r="A1520" s="459">
        <v>0</v>
      </c>
      <c r="B1520" s="459">
        <v>13</v>
      </c>
      <c r="C1520" s="459">
        <v>8</v>
      </c>
      <c r="D1520" s="460">
        <v>1</v>
      </c>
      <c r="E1520" s="460">
        <v>0</v>
      </c>
      <c r="G1520" s="1797"/>
      <c r="H1520" s="1777" t="s">
        <v>1238</v>
      </c>
      <c r="I1520" s="1742" t="s">
        <v>7301</v>
      </c>
      <c r="J1520" s="1779" t="s">
        <v>25</v>
      </c>
      <c r="K1520" s="1780"/>
      <c r="L1520" s="1781"/>
      <c r="M1520" s="1781"/>
      <c r="N1520" s="1746">
        <v>19906.993666999999</v>
      </c>
      <c r="O1520" s="1782">
        <v>1.1885006490874099</v>
      </c>
      <c r="P1520" s="1720"/>
    </row>
    <row r="1521" spans="1:16" ht="13.5" hidden="1" customHeight="1" outlineLevel="3" x14ac:dyDescent="0.2">
      <c r="A1521" s="459">
        <v>0</v>
      </c>
      <c r="B1521" s="459">
        <v>13</v>
      </c>
      <c r="C1521" s="459">
        <v>8</v>
      </c>
      <c r="D1521" s="460">
        <v>1</v>
      </c>
      <c r="E1521" s="460">
        <v>1</v>
      </c>
      <c r="G1521" s="1798" t="s">
        <v>24</v>
      </c>
      <c r="H1521" s="1783" t="s">
        <v>1239</v>
      </c>
      <c r="I1521" s="1750" t="s">
        <v>7302</v>
      </c>
      <c r="J1521" s="1785" t="s">
        <v>442</v>
      </c>
      <c r="K1521" s="1786" t="s">
        <v>642</v>
      </c>
      <c r="L1521" s="1787">
        <v>360.48</v>
      </c>
      <c r="M1521" s="1787">
        <v>7.0658999999999992</v>
      </c>
      <c r="N1521" s="1754">
        <v>2547.115632</v>
      </c>
      <c r="O1521" s="1788" t="s">
        <v>4191</v>
      </c>
      <c r="P1521" s="1721" t="s">
        <v>9611</v>
      </c>
    </row>
    <row r="1522" spans="1:16" ht="13.5" hidden="1" customHeight="1" outlineLevel="3" x14ac:dyDescent="0.2">
      <c r="A1522" s="459">
        <v>0</v>
      </c>
      <c r="B1522" s="459">
        <v>13</v>
      </c>
      <c r="C1522" s="459">
        <v>8</v>
      </c>
      <c r="D1522" s="460">
        <v>1</v>
      </c>
      <c r="E1522" s="460">
        <v>2</v>
      </c>
      <c r="G1522" s="1798" t="s">
        <v>24</v>
      </c>
      <c r="H1522" s="1783" t="s">
        <v>1239</v>
      </c>
      <c r="I1522" s="1750" t="s">
        <v>7303</v>
      </c>
      <c r="J1522" s="1785" t="s">
        <v>444</v>
      </c>
      <c r="K1522" s="1786" t="s">
        <v>642</v>
      </c>
      <c r="L1522" s="1787">
        <v>351.71000000000004</v>
      </c>
      <c r="M1522" s="1787">
        <v>49.358499999999999</v>
      </c>
      <c r="N1522" s="1754">
        <v>17359.878035000002</v>
      </c>
      <c r="O1522" s="1788" t="s">
        <v>4192</v>
      </c>
      <c r="P1522" s="1721" t="s">
        <v>9611</v>
      </c>
    </row>
    <row r="1523" spans="1:16" ht="13.5" hidden="1" customHeight="1" outlineLevel="2" x14ac:dyDescent="0.2">
      <c r="A1523" s="459">
        <v>0</v>
      </c>
      <c r="B1523" s="459">
        <v>13</v>
      </c>
      <c r="C1523" s="459">
        <v>8</v>
      </c>
      <c r="D1523" s="460">
        <v>2</v>
      </c>
      <c r="E1523" s="460">
        <v>0</v>
      </c>
      <c r="G1523" s="1797"/>
      <c r="H1523" s="1777" t="s">
        <v>1238</v>
      </c>
      <c r="I1523" s="1742" t="s">
        <v>7304</v>
      </c>
      <c r="J1523" s="1779" t="s">
        <v>4187</v>
      </c>
      <c r="K1523" s="1780"/>
      <c r="L1523" s="1781"/>
      <c r="M1523" s="1781"/>
      <c r="N1523" s="1746">
        <v>16717.790313666701</v>
      </c>
      <c r="O1523" s="1782"/>
      <c r="P1523" s="1720"/>
    </row>
    <row r="1524" spans="1:16" ht="13.5" hidden="1" customHeight="1" outlineLevel="3" x14ac:dyDescent="0.2">
      <c r="A1524" s="459">
        <v>0</v>
      </c>
      <c r="B1524" s="459">
        <v>13</v>
      </c>
      <c r="C1524" s="459">
        <v>8</v>
      </c>
      <c r="D1524" s="460">
        <v>2</v>
      </c>
      <c r="E1524" s="460">
        <v>1</v>
      </c>
      <c r="G1524" s="1798" t="s">
        <v>24</v>
      </c>
      <c r="H1524" s="1783" t="s">
        <v>1239</v>
      </c>
      <c r="I1524" s="1750" t="s">
        <v>7305</v>
      </c>
      <c r="J1524" s="1785" t="s">
        <v>4169</v>
      </c>
      <c r="K1524" s="1786" t="s">
        <v>642</v>
      </c>
      <c r="L1524" s="1787">
        <v>21.34</v>
      </c>
      <c r="M1524" s="1787">
        <v>34.058466666666661</v>
      </c>
      <c r="N1524" s="1754">
        <v>726.80767866666702</v>
      </c>
      <c r="O1524" s="1788" t="s">
        <v>4179</v>
      </c>
      <c r="P1524" s="1721" t="s">
        <v>9611</v>
      </c>
    </row>
    <row r="1525" spans="1:16" ht="13.5" hidden="1" customHeight="1" outlineLevel="3" x14ac:dyDescent="0.2">
      <c r="A1525" s="459">
        <v>0</v>
      </c>
      <c r="B1525" s="459">
        <v>13</v>
      </c>
      <c r="C1525" s="459">
        <v>8</v>
      </c>
      <c r="D1525" s="460">
        <v>2</v>
      </c>
      <c r="E1525" s="460">
        <v>2</v>
      </c>
      <c r="G1525" s="1798" t="s">
        <v>24</v>
      </c>
      <c r="H1525" s="1783" t="s">
        <v>1239</v>
      </c>
      <c r="I1525" s="1750" t="s">
        <v>7306</v>
      </c>
      <c r="J1525" s="1785" t="s">
        <v>4174</v>
      </c>
      <c r="K1525" s="1786" t="s">
        <v>642</v>
      </c>
      <c r="L1525" s="1787">
        <v>120.07000000000001</v>
      </c>
      <c r="M1525" s="1787">
        <v>133.18049999999999</v>
      </c>
      <c r="N1525" s="1754">
        <v>15990.982635</v>
      </c>
      <c r="O1525" s="1788" t="s">
        <v>4183</v>
      </c>
      <c r="P1525" s="1721" t="s">
        <v>9611</v>
      </c>
    </row>
    <row r="1526" spans="1:16" ht="13.5" hidden="1" customHeight="1" outlineLevel="2" x14ac:dyDescent="0.2">
      <c r="A1526" s="459">
        <v>0</v>
      </c>
      <c r="B1526" s="459">
        <v>13</v>
      </c>
      <c r="C1526" s="459">
        <v>8</v>
      </c>
      <c r="D1526" s="460">
        <v>3</v>
      </c>
      <c r="E1526" s="460">
        <v>0</v>
      </c>
      <c r="G1526" s="1797"/>
      <c r="H1526" s="1777" t="s">
        <v>1238</v>
      </c>
      <c r="I1526" s="1742" t="s">
        <v>7307</v>
      </c>
      <c r="J1526" s="1779" t="s">
        <v>2786</v>
      </c>
      <c r="K1526" s="1780"/>
      <c r="L1526" s="1781"/>
      <c r="M1526" s="1781"/>
      <c r="N1526" s="1746">
        <v>777.89537866666603</v>
      </c>
      <c r="O1526" s="1782"/>
      <c r="P1526" s="1720"/>
    </row>
    <row r="1527" spans="1:16" ht="13.5" hidden="1" customHeight="1" outlineLevel="3" x14ac:dyDescent="0.2">
      <c r="A1527" s="459">
        <v>0</v>
      </c>
      <c r="B1527" s="459">
        <v>13</v>
      </c>
      <c r="C1527" s="459">
        <v>8</v>
      </c>
      <c r="D1527" s="460">
        <v>3</v>
      </c>
      <c r="E1527" s="460">
        <v>1</v>
      </c>
      <c r="G1527" s="1798" t="s">
        <v>24</v>
      </c>
      <c r="H1527" s="1783" t="s">
        <v>1239</v>
      </c>
      <c r="I1527" s="1750" t="s">
        <v>7308</v>
      </c>
      <c r="J1527" s="1785" t="s">
        <v>4169</v>
      </c>
      <c r="K1527" s="1786" t="s">
        <v>642</v>
      </c>
      <c r="L1527" s="1787">
        <v>22.84</v>
      </c>
      <c r="M1527" s="1787">
        <v>34.058466666666661</v>
      </c>
      <c r="N1527" s="1754">
        <v>777.89537866666603</v>
      </c>
      <c r="O1527" s="1788"/>
      <c r="P1527" s="1721" t="s">
        <v>9611</v>
      </c>
    </row>
    <row r="1528" spans="1:16" ht="13.5" hidden="1" customHeight="1" outlineLevel="2" x14ac:dyDescent="0.2">
      <c r="A1528" s="459">
        <v>0</v>
      </c>
      <c r="B1528" s="459">
        <v>13</v>
      </c>
      <c r="C1528" s="459">
        <v>8</v>
      </c>
      <c r="D1528" s="460">
        <v>4</v>
      </c>
      <c r="E1528" s="460">
        <v>0</v>
      </c>
      <c r="G1528" s="1797"/>
      <c r="H1528" s="1777" t="s">
        <v>1238</v>
      </c>
      <c r="I1528" s="1742" t="s">
        <v>7309</v>
      </c>
      <c r="J1528" s="1779" t="s">
        <v>2787</v>
      </c>
      <c r="K1528" s="1780"/>
      <c r="L1528" s="1781"/>
      <c r="M1528" s="1781"/>
      <c r="N1528" s="1746">
        <v>61.320104999999998</v>
      </c>
      <c r="O1528" s="1782"/>
      <c r="P1528" s="1720"/>
    </row>
    <row r="1529" spans="1:16" ht="13.5" hidden="1" customHeight="1" outlineLevel="3" x14ac:dyDescent="0.2">
      <c r="A1529" s="459">
        <v>0</v>
      </c>
      <c r="B1529" s="459">
        <v>13</v>
      </c>
      <c r="C1529" s="459">
        <v>8</v>
      </c>
      <c r="D1529" s="460">
        <v>4</v>
      </c>
      <c r="E1529" s="460">
        <v>1</v>
      </c>
      <c r="G1529" s="1798" t="s">
        <v>24</v>
      </c>
      <c r="H1529" s="1783" t="s">
        <v>1239</v>
      </c>
      <c r="I1529" s="1750" t="s">
        <v>7310</v>
      </c>
      <c r="J1529" s="1785" t="s">
        <v>1683</v>
      </c>
      <c r="K1529" s="1786" t="s">
        <v>534</v>
      </c>
      <c r="L1529" s="1787">
        <v>7</v>
      </c>
      <c r="M1529" s="1787">
        <v>8.760015000000001</v>
      </c>
      <c r="N1529" s="1754">
        <v>61.320104999999998</v>
      </c>
      <c r="O1529" s="1788" t="s">
        <v>4207</v>
      </c>
      <c r="P1529" s="1721" t="s">
        <v>9611</v>
      </c>
    </row>
    <row r="1530" spans="1:16" ht="13.5" hidden="1" customHeight="1" outlineLevel="2" x14ac:dyDescent="0.2">
      <c r="A1530" s="459">
        <v>0</v>
      </c>
      <c r="B1530" s="459">
        <v>13</v>
      </c>
      <c r="C1530" s="459">
        <v>8</v>
      </c>
      <c r="D1530" s="460">
        <v>5</v>
      </c>
      <c r="E1530" s="460">
        <v>0</v>
      </c>
      <c r="G1530" s="1797"/>
      <c r="H1530" s="1777" t="s">
        <v>1238</v>
      </c>
      <c r="I1530" s="1742" t="s">
        <v>7311</v>
      </c>
      <c r="J1530" s="1779" t="s">
        <v>4185</v>
      </c>
      <c r="K1530" s="1780"/>
      <c r="L1530" s="1781"/>
      <c r="M1530" s="1781"/>
      <c r="N1530" s="1746">
        <v>54285.30141</v>
      </c>
      <c r="O1530" s="1782"/>
      <c r="P1530" s="1720"/>
    </row>
    <row r="1531" spans="1:16" ht="13.5" hidden="1" customHeight="1" outlineLevel="3" x14ac:dyDescent="0.2">
      <c r="A1531" s="459">
        <v>0</v>
      </c>
      <c r="B1531" s="459">
        <v>13</v>
      </c>
      <c r="C1531" s="459">
        <v>8</v>
      </c>
      <c r="D1531" s="460">
        <v>5</v>
      </c>
      <c r="E1531" s="460">
        <v>1</v>
      </c>
      <c r="G1531" s="1798" t="s">
        <v>24</v>
      </c>
      <c r="H1531" s="1783" t="s">
        <v>1239</v>
      </c>
      <c r="I1531" s="1750" t="s">
        <v>7312</v>
      </c>
      <c r="J1531" s="1785" t="s">
        <v>4175</v>
      </c>
      <c r="K1531" s="1786" t="s">
        <v>642</v>
      </c>
      <c r="L1531" s="1787">
        <v>299.62</v>
      </c>
      <c r="M1531" s="1787">
        <v>181.18049999999999</v>
      </c>
      <c r="N1531" s="1754">
        <v>54285.30141</v>
      </c>
      <c r="O1531" s="1788" t="s">
        <v>4186</v>
      </c>
      <c r="P1531" s="1721" t="s">
        <v>9611</v>
      </c>
    </row>
    <row r="1532" spans="1:16" ht="13.5" hidden="1" customHeight="1" outlineLevel="2" x14ac:dyDescent="0.2">
      <c r="A1532" s="459">
        <v>0</v>
      </c>
      <c r="B1532" s="459">
        <v>13</v>
      </c>
      <c r="C1532" s="459">
        <v>8</v>
      </c>
      <c r="D1532" s="460">
        <v>6</v>
      </c>
      <c r="E1532" s="460">
        <v>0</v>
      </c>
      <c r="G1532" s="1797"/>
      <c r="H1532" s="1777" t="s">
        <v>1238</v>
      </c>
      <c r="I1532" s="1742" t="s">
        <v>7313</v>
      </c>
      <c r="J1532" s="1779" t="s">
        <v>1249</v>
      </c>
      <c r="K1532" s="1780"/>
      <c r="L1532" s="1781"/>
      <c r="M1532" s="1781"/>
      <c r="N1532" s="1746">
        <v>40169.26</v>
      </c>
      <c r="O1532" s="1782"/>
      <c r="P1532" s="1720"/>
    </row>
    <row r="1533" spans="1:16" ht="13.5" hidden="1" customHeight="1" outlineLevel="3" x14ac:dyDescent="0.2">
      <c r="A1533" s="459">
        <v>0</v>
      </c>
      <c r="B1533" s="459">
        <v>13</v>
      </c>
      <c r="C1533" s="459">
        <v>8</v>
      </c>
      <c r="D1533" s="460">
        <v>6</v>
      </c>
      <c r="E1533" s="460">
        <v>1</v>
      </c>
      <c r="G1533" s="1798" t="s">
        <v>24</v>
      </c>
      <c r="H1533" s="1783" t="s">
        <v>1239</v>
      </c>
      <c r="I1533" s="1750" t="s">
        <v>7314</v>
      </c>
      <c r="J1533" s="1785" t="s">
        <v>470</v>
      </c>
      <c r="K1533" s="1786" t="s">
        <v>642</v>
      </c>
      <c r="L1533" s="1787">
        <v>360.48</v>
      </c>
      <c r="M1533" s="1787">
        <v>20</v>
      </c>
      <c r="N1533" s="1754">
        <v>7209.6</v>
      </c>
      <c r="O1533" s="1788"/>
      <c r="P1533" s="1721" t="s">
        <v>9611</v>
      </c>
    </row>
    <row r="1534" spans="1:16" ht="13.5" hidden="1" customHeight="1" outlineLevel="3" x14ac:dyDescent="0.2">
      <c r="A1534" s="459">
        <v>0</v>
      </c>
      <c r="B1534" s="459">
        <v>13</v>
      </c>
      <c r="C1534" s="459">
        <v>8</v>
      </c>
      <c r="D1534" s="460">
        <v>6</v>
      </c>
      <c r="E1534" s="460">
        <v>2</v>
      </c>
      <c r="G1534" s="1798" t="s">
        <v>24</v>
      </c>
      <c r="H1534" s="1783" t="s">
        <v>1239</v>
      </c>
      <c r="I1534" s="1750" t="s">
        <v>7315</v>
      </c>
      <c r="J1534" s="1785" t="s">
        <v>471</v>
      </c>
      <c r="K1534" s="1786" t="s">
        <v>642</v>
      </c>
      <c r="L1534" s="1787">
        <v>351.71000000000004</v>
      </c>
      <c r="M1534" s="1787">
        <v>35</v>
      </c>
      <c r="N1534" s="1754">
        <v>12309.85</v>
      </c>
      <c r="O1534" s="1788"/>
      <c r="P1534" s="1721" t="s">
        <v>9611</v>
      </c>
    </row>
    <row r="1535" spans="1:16" ht="13.5" hidden="1" customHeight="1" outlineLevel="3" x14ac:dyDescent="0.2">
      <c r="A1535" s="459">
        <v>0</v>
      </c>
      <c r="B1535" s="459">
        <v>13</v>
      </c>
      <c r="C1535" s="459">
        <v>8</v>
      </c>
      <c r="D1535" s="460">
        <v>6</v>
      </c>
      <c r="E1535" s="460">
        <v>3</v>
      </c>
      <c r="G1535" s="1798" t="s">
        <v>24</v>
      </c>
      <c r="H1535" s="1783" t="s">
        <v>1239</v>
      </c>
      <c r="I1535" s="1750" t="s">
        <v>7316</v>
      </c>
      <c r="J1535" s="1785" t="s">
        <v>4195</v>
      </c>
      <c r="K1535" s="1786" t="s">
        <v>642</v>
      </c>
      <c r="L1535" s="1787">
        <v>44.18</v>
      </c>
      <c r="M1535" s="1787">
        <v>32</v>
      </c>
      <c r="N1535" s="1754">
        <v>1413.76</v>
      </c>
      <c r="O1535" s="1788"/>
      <c r="P1535" s="1721" t="s">
        <v>9611</v>
      </c>
    </row>
    <row r="1536" spans="1:16" ht="13.5" hidden="1" customHeight="1" outlineLevel="3" x14ac:dyDescent="0.2">
      <c r="A1536" s="459">
        <v>0</v>
      </c>
      <c r="B1536" s="459">
        <v>13</v>
      </c>
      <c r="C1536" s="459">
        <v>8</v>
      </c>
      <c r="D1536" s="460">
        <v>6</v>
      </c>
      <c r="E1536" s="460">
        <v>4</v>
      </c>
      <c r="G1536" s="1798" t="s">
        <v>24</v>
      </c>
      <c r="H1536" s="1783" t="s">
        <v>1239</v>
      </c>
      <c r="I1536" s="1750" t="s">
        <v>7317</v>
      </c>
      <c r="J1536" s="1785" t="s">
        <v>4199</v>
      </c>
      <c r="K1536" s="1786" t="s">
        <v>642</v>
      </c>
      <c r="L1536" s="1787">
        <v>120.07000000000001</v>
      </c>
      <c r="M1536" s="1787">
        <v>45</v>
      </c>
      <c r="N1536" s="1754">
        <v>5403.15</v>
      </c>
      <c r="O1536" s="1788"/>
      <c r="P1536" s="1721" t="s">
        <v>9611</v>
      </c>
    </row>
    <row r="1537" spans="1:16" ht="13.5" hidden="1" customHeight="1" outlineLevel="3" x14ac:dyDescent="0.2">
      <c r="A1537" s="459">
        <v>0</v>
      </c>
      <c r="B1537" s="459">
        <v>13</v>
      </c>
      <c r="C1537" s="459">
        <v>8</v>
      </c>
      <c r="D1537" s="460">
        <v>6</v>
      </c>
      <c r="E1537" s="460">
        <v>5</v>
      </c>
      <c r="G1537" s="1798" t="s">
        <v>24</v>
      </c>
      <c r="H1537" s="1783" t="s">
        <v>1239</v>
      </c>
      <c r="I1537" s="1750" t="s">
        <v>7318</v>
      </c>
      <c r="J1537" s="1785" t="s">
        <v>4196</v>
      </c>
      <c r="K1537" s="1786" t="s">
        <v>642</v>
      </c>
      <c r="L1537" s="1787">
        <v>299.62</v>
      </c>
      <c r="M1537" s="1787">
        <v>45</v>
      </c>
      <c r="N1537" s="1754">
        <v>13482.9</v>
      </c>
      <c r="O1537" s="1788"/>
      <c r="P1537" s="1721" t="s">
        <v>9611</v>
      </c>
    </row>
    <row r="1538" spans="1:16" ht="13.5" hidden="1" customHeight="1" outlineLevel="3" x14ac:dyDescent="0.2">
      <c r="A1538" s="459">
        <v>0</v>
      </c>
      <c r="B1538" s="459">
        <v>13</v>
      </c>
      <c r="C1538" s="459">
        <v>8</v>
      </c>
      <c r="D1538" s="460">
        <v>6</v>
      </c>
      <c r="E1538" s="460">
        <v>6</v>
      </c>
      <c r="G1538" s="1798" t="s">
        <v>24</v>
      </c>
      <c r="H1538" s="1783" t="s">
        <v>1239</v>
      </c>
      <c r="I1538" s="1750" t="s">
        <v>7319</v>
      </c>
      <c r="J1538" s="1751" t="s">
        <v>478</v>
      </c>
      <c r="K1538" s="1786" t="s">
        <v>534</v>
      </c>
      <c r="L1538" s="1787">
        <v>7</v>
      </c>
      <c r="M1538" s="1787">
        <v>50</v>
      </c>
      <c r="N1538" s="1754">
        <v>350</v>
      </c>
      <c r="O1538" s="1788"/>
      <c r="P1538" s="1721" t="s">
        <v>9611</v>
      </c>
    </row>
    <row r="1539" spans="1:16" ht="13.5" hidden="1" customHeight="1" outlineLevel="1" x14ac:dyDescent="0.2">
      <c r="A1539" s="459">
        <v>0</v>
      </c>
      <c r="B1539" s="459">
        <v>13</v>
      </c>
      <c r="C1539" s="459">
        <v>9</v>
      </c>
      <c r="D1539" s="460">
        <v>0</v>
      </c>
      <c r="E1539" s="460">
        <v>6</v>
      </c>
      <c r="G1539" s="1796"/>
      <c r="H1539" s="1771" t="s">
        <v>39</v>
      </c>
      <c r="I1539" s="1735" t="s">
        <v>7320</v>
      </c>
      <c r="J1539" s="1773" t="s">
        <v>2835</v>
      </c>
      <c r="K1539" s="1774"/>
      <c r="L1539" s="1775"/>
      <c r="M1539" s="1775"/>
      <c r="N1539" s="1739">
        <v>35844.704781</v>
      </c>
      <c r="O1539" s="1776">
        <v>2.1400245366625099</v>
      </c>
      <c r="P1539" s="1719"/>
    </row>
    <row r="1540" spans="1:16" ht="13.5" hidden="1" customHeight="1" outlineLevel="2" x14ac:dyDescent="0.2">
      <c r="A1540" s="459">
        <v>0</v>
      </c>
      <c r="B1540" s="459">
        <v>13</v>
      </c>
      <c r="C1540" s="459">
        <v>9</v>
      </c>
      <c r="D1540" s="460">
        <v>1</v>
      </c>
      <c r="E1540" s="460">
        <v>0</v>
      </c>
      <c r="G1540" s="1797"/>
      <c r="H1540" s="1777" t="s">
        <v>1238</v>
      </c>
      <c r="I1540" s="1742" t="s">
        <v>7321</v>
      </c>
      <c r="J1540" s="1779" t="s">
        <v>25</v>
      </c>
      <c r="K1540" s="1780"/>
      <c r="L1540" s="1781"/>
      <c r="M1540" s="1781"/>
      <c r="N1540" s="1746">
        <v>3086.7944130000001</v>
      </c>
      <c r="O1540" s="1782">
        <v>0.184289864397328</v>
      </c>
      <c r="P1540" s="1720"/>
    </row>
    <row r="1541" spans="1:16" ht="13.5" hidden="1" customHeight="1" outlineLevel="3" x14ac:dyDescent="0.2">
      <c r="A1541" s="459">
        <v>0</v>
      </c>
      <c r="B1541" s="459">
        <v>13</v>
      </c>
      <c r="C1541" s="459">
        <v>9</v>
      </c>
      <c r="D1541" s="460">
        <v>1</v>
      </c>
      <c r="E1541" s="460">
        <v>1</v>
      </c>
      <c r="G1541" s="1798" t="s">
        <v>24</v>
      </c>
      <c r="H1541" s="1783" t="s">
        <v>1239</v>
      </c>
      <c r="I1541" s="1750" t="s">
        <v>7322</v>
      </c>
      <c r="J1541" s="1785" t="s">
        <v>442</v>
      </c>
      <c r="K1541" s="1786" t="s">
        <v>642</v>
      </c>
      <c r="L1541" s="1787">
        <v>123.76999999999998</v>
      </c>
      <c r="M1541" s="1787">
        <v>7.0658999999999992</v>
      </c>
      <c r="N1541" s="1754">
        <v>874.54644299999995</v>
      </c>
      <c r="O1541" s="1788" t="s">
        <v>4191</v>
      </c>
      <c r="P1541" s="1721" t="s">
        <v>9611</v>
      </c>
    </row>
    <row r="1542" spans="1:16" ht="13.5" hidden="1" customHeight="1" outlineLevel="3" x14ac:dyDescent="0.2">
      <c r="A1542" s="459">
        <v>0</v>
      </c>
      <c r="B1542" s="459">
        <v>13</v>
      </c>
      <c r="C1542" s="459">
        <v>9</v>
      </c>
      <c r="D1542" s="460">
        <v>1</v>
      </c>
      <c r="E1542" s="460">
        <v>2</v>
      </c>
      <c r="G1542" s="1798" t="s">
        <v>24</v>
      </c>
      <c r="H1542" s="1783" t="s">
        <v>1239</v>
      </c>
      <c r="I1542" s="1750" t="s">
        <v>7323</v>
      </c>
      <c r="J1542" s="1785" t="s">
        <v>444</v>
      </c>
      <c r="K1542" s="1786" t="s">
        <v>642</v>
      </c>
      <c r="L1542" s="1787">
        <v>44.82</v>
      </c>
      <c r="M1542" s="1787">
        <v>49.358499999999999</v>
      </c>
      <c r="N1542" s="1754">
        <v>2212.2479699999999</v>
      </c>
      <c r="O1542" s="1788" t="s">
        <v>4192</v>
      </c>
      <c r="P1542" s="1721" t="s">
        <v>9611</v>
      </c>
    </row>
    <row r="1543" spans="1:16" ht="13.5" hidden="1" customHeight="1" outlineLevel="2" x14ac:dyDescent="0.2">
      <c r="A1543" s="459">
        <v>0</v>
      </c>
      <c r="B1543" s="459">
        <v>13</v>
      </c>
      <c r="C1543" s="459">
        <v>9</v>
      </c>
      <c r="D1543" s="460">
        <v>2</v>
      </c>
      <c r="E1543" s="460">
        <v>0</v>
      </c>
      <c r="G1543" s="1797"/>
      <c r="H1543" s="1777" t="s">
        <v>1238</v>
      </c>
      <c r="I1543" s="1742" t="s">
        <v>7324</v>
      </c>
      <c r="J1543" s="1779" t="s">
        <v>4188</v>
      </c>
      <c r="K1543" s="1780"/>
      <c r="L1543" s="1781"/>
      <c r="M1543" s="1781"/>
      <c r="N1543" s="1746">
        <v>5714.4672840000003</v>
      </c>
      <c r="O1543" s="1782"/>
      <c r="P1543" s="1720"/>
    </row>
    <row r="1544" spans="1:16" ht="13.5" hidden="1" customHeight="1" outlineLevel="3" x14ac:dyDescent="0.2">
      <c r="A1544" s="459">
        <v>0</v>
      </c>
      <c r="B1544" s="459">
        <v>13</v>
      </c>
      <c r="C1544" s="459">
        <v>9</v>
      </c>
      <c r="D1544" s="460">
        <v>2</v>
      </c>
      <c r="E1544" s="460">
        <v>1</v>
      </c>
      <c r="G1544" s="1798" t="s">
        <v>24</v>
      </c>
      <c r="H1544" s="1783" t="s">
        <v>1239</v>
      </c>
      <c r="I1544" s="1750" t="s">
        <v>7325</v>
      </c>
      <c r="J1544" s="1785" t="s">
        <v>4174</v>
      </c>
      <c r="K1544" s="1786" t="s">
        <v>642</v>
      </c>
      <c r="L1544" s="1787"/>
      <c r="M1544" s="1787">
        <v>133.18049999999999</v>
      </c>
      <c r="N1544" s="1754">
        <v>0</v>
      </c>
      <c r="O1544" s="1788" t="s">
        <v>4177</v>
      </c>
      <c r="P1544" s="1721" t="s">
        <v>9611</v>
      </c>
    </row>
    <row r="1545" spans="1:16" ht="13.5" hidden="1" customHeight="1" outlineLevel="3" x14ac:dyDescent="0.2">
      <c r="A1545" s="459">
        <v>0</v>
      </c>
      <c r="B1545" s="459">
        <v>13</v>
      </c>
      <c r="C1545" s="459">
        <v>9</v>
      </c>
      <c r="D1545" s="460">
        <v>2</v>
      </c>
      <c r="E1545" s="460">
        <v>2</v>
      </c>
      <c r="G1545" s="1798" t="s">
        <v>24</v>
      </c>
      <c r="H1545" s="1783" t="s">
        <v>1239</v>
      </c>
      <c r="I1545" s="1750" t="s">
        <v>7326</v>
      </c>
      <c r="J1545" s="1785" t="s">
        <v>4172</v>
      </c>
      <c r="K1545" s="1786" t="s">
        <v>642</v>
      </c>
      <c r="L1545" s="1787">
        <v>38.380000000000003</v>
      </c>
      <c r="M1545" s="1787">
        <v>148.89179999999999</v>
      </c>
      <c r="N1545" s="1754">
        <v>5714.4672840000003</v>
      </c>
      <c r="O1545" s="1788" t="s">
        <v>4181</v>
      </c>
      <c r="P1545" s="1721" t="s">
        <v>9611</v>
      </c>
    </row>
    <row r="1546" spans="1:16" ht="13.5" hidden="1" customHeight="1" outlineLevel="2" x14ac:dyDescent="0.2">
      <c r="A1546" s="459">
        <v>0</v>
      </c>
      <c r="B1546" s="459">
        <v>13</v>
      </c>
      <c r="C1546" s="459">
        <v>9</v>
      </c>
      <c r="D1546" s="460">
        <v>3</v>
      </c>
      <c r="E1546" s="460">
        <v>0</v>
      </c>
      <c r="G1546" s="1797"/>
      <c r="H1546" s="1777" t="s">
        <v>1238</v>
      </c>
      <c r="I1546" s="1742" t="s">
        <v>7327</v>
      </c>
      <c r="J1546" s="1779" t="s">
        <v>4187</v>
      </c>
      <c r="K1546" s="1780"/>
      <c r="L1546" s="1781"/>
      <c r="M1546" s="1781"/>
      <c r="N1546" s="1746">
        <v>11127.6923133333</v>
      </c>
      <c r="O1546" s="1782"/>
      <c r="P1546" s="1720"/>
    </row>
    <row r="1547" spans="1:16" ht="13.5" hidden="1" customHeight="1" outlineLevel="3" x14ac:dyDescent="0.2">
      <c r="A1547" s="459">
        <v>0</v>
      </c>
      <c r="B1547" s="459">
        <v>13</v>
      </c>
      <c r="C1547" s="459">
        <v>9</v>
      </c>
      <c r="D1547" s="460">
        <v>3</v>
      </c>
      <c r="E1547" s="460">
        <v>1</v>
      </c>
      <c r="G1547" s="1798" t="s">
        <v>24</v>
      </c>
      <c r="H1547" s="1783" t="s">
        <v>1239</v>
      </c>
      <c r="I1547" s="1750" t="s">
        <v>7328</v>
      </c>
      <c r="J1547" s="1785" t="s">
        <v>4169</v>
      </c>
      <c r="K1547" s="1786" t="s">
        <v>642</v>
      </c>
      <c r="L1547" s="1787">
        <v>103.00999999999999</v>
      </c>
      <c r="M1547" s="1787">
        <v>34.058466666666661</v>
      </c>
      <c r="N1547" s="1754">
        <v>3508.3626513333302</v>
      </c>
      <c r="O1547" s="1788" t="s">
        <v>4179</v>
      </c>
      <c r="P1547" s="1721" t="s">
        <v>9611</v>
      </c>
    </row>
    <row r="1548" spans="1:16" ht="13.5" hidden="1" customHeight="1" outlineLevel="3" x14ac:dyDescent="0.2">
      <c r="A1548" s="459">
        <v>0</v>
      </c>
      <c r="B1548" s="459">
        <v>13</v>
      </c>
      <c r="C1548" s="459">
        <v>9</v>
      </c>
      <c r="D1548" s="460">
        <v>3</v>
      </c>
      <c r="E1548" s="460">
        <v>2</v>
      </c>
      <c r="G1548" s="1798" t="s">
        <v>24</v>
      </c>
      <c r="H1548" s="1783" t="s">
        <v>1239</v>
      </c>
      <c r="I1548" s="1750" t="s">
        <v>7329</v>
      </c>
      <c r="J1548" s="1785" t="s">
        <v>4172</v>
      </c>
      <c r="K1548" s="1786" t="s">
        <v>642</v>
      </c>
      <c r="L1548" s="1787">
        <v>8.99</v>
      </c>
      <c r="M1548" s="1787">
        <v>148.89179999999999</v>
      </c>
      <c r="N1548" s="1754">
        <v>1338.537282</v>
      </c>
      <c r="O1548" s="1788" t="s">
        <v>4180</v>
      </c>
      <c r="P1548" s="1721" t="s">
        <v>9611</v>
      </c>
    </row>
    <row r="1549" spans="1:16" ht="13.5" hidden="1" customHeight="1" outlineLevel="3" x14ac:dyDescent="0.2">
      <c r="A1549" s="459">
        <v>0</v>
      </c>
      <c r="B1549" s="459">
        <v>13</v>
      </c>
      <c r="C1549" s="459">
        <v>9</v>
      </c>
      <c r="D1549" s="460">
        <v>3</v>
      </c>
      <c r="E1549" s="460">
        <v>3</v>
      </c>
      <c r="G1549" s="1798" t="s">
        <v>24</v>
      </c>
      <c r="H1549" s="1783" t="s">
        <v>1239</v>
      </c>
      <c r="I1549" s="1750" t="s">
        <v>7330</v>
      </c>
      <c r="J1549" s="1785" t="s">
        <v>4174</v>
      </c>
      <c r="K1549" s="1786" t="s">
        <v>642</v>
      </c>
      <c r="L1549" s="1787">
        <v>47.16</v>
      </c>
      <c r="M1549" s="1787">
        <v>133.18049999999999</v>
      </c>
      <c r="N1549" s="1754">
        <v>6280.7923799999999</v>
      </c>
      <c r="O1549" s="1788" t="s">
        <v>4183</v>
      </c>
      <c r="P1549" s="1721" t="s">
        <v>9611</v>
      </c>
    </row>
    <row r="1550" spans="1:16" ht="13.5" hidden="1" customHeight="1" outlineLevel="2" x14ac:dyDescent="0.2">
      <c r="A1550" s="459">
        <v>0</v>
      </c>
      <c r="B1550" s="459">
        <v>13</v>
      </c>
      <c r="C1550" s="459">
        <v>9</v>
      </c>
      <c r="D1550" s="460">
        <v>4</v>
      </c>
      <c r="E1550" s="460">
        <v>0</v>
      </c>
      <c r="G1550" s="1797"/>
      <c r="H1550" s="1777" t="s">
        <v>1238</v>
      </c>
      <c r="I1550" s="1742" t="s">
        <v>7331</v>
      </c>
      <c r="J1550" s="1779" t="s">
        <v>2786</v>
      </c>
      <c r="K1550" s="1780"/>
      <c r="L1550" s="1781"/>
      <c r="M1550" s="1781"/>
      <c r="N1550" s="1746">
        <v>1695.4304706666701</v>
      </c>
      <c r="O1550" s="1782"/>
      <c r="P1550" s="1720"/>
    </row>
    <row r="1551" spans="1:16" ht="13.5" hidden="1" customHeight="1" outlineLevel="3" x14ac:dyDescent="0.2">
      <c r="A1551" s="459">
        <v>0</v>
      </c>
      <c r="B1551" s="459">
        <v>13</v>
      </c>
      <c r="C1551" s="459">
        <v>9</v>
      </c>
      <c r="D1551" s="460">
        <v>4</v>
      </c>
      <c r="E1551" s="460">
        <v>1</v>
      </c>
      <c r="G1551" s="1798" t="s">
        <v>24</v>
      </c>
      <c r="H1551" s="1783" t="s">
        <v>1239</v>
      </c>
      <c r="I1551" s="1750" t="s">
        <v>7332</v>
      </c>
      <c r="J1551" s="1785" t="s">
        <v>4169</v>
      </c>
      <c r="K1551" s="1786" t="s">
        <v>642</v>
      </c>
      <c r="L1551" s="1787">
        <v>49.78</v>
      </c>
      <c r="M1551" s="1787">
        <v>34.058466666666661</v>
      </c>
      <c r="N1551" s="1754">
        <v>1695.4304706666701</v>
      </c>
      <c r="O1551" s="1788"/>
      <c r="P1551" s="1721" t="s">
        <v>9611</v>
      </c>
    </row>
    <row r="1552" spans="1:16" ht="13.5" hidden="1" customHeight="1" outlineLevel="2" x14ac:dyDescent="0.2">
      <c r="A1552" s="459">
        <v>0</v>
      </c>
      <c r="B1552" s="459">
        <v>13</v>
      </c>
      <c r="C1552" s="459">
        <v>9</v>
      </c>
      <c r="D1552" s="460">
        <v>5</v>
      </c>
      <c r="E1552" s="460">
        <v>0</v>
      </c>
      <c r="G1552" s="1797"/>
      <c r="H1552" s="1777" t="s">
        <v>1238</v>
      </c>
      <c r="I1552" s="1742" t="s">
        <v>7333</v>
      </c>
      <c r="J1552" s="1779" t="s">
        <v>2787</v>
      </c>
      <c r="K1552" s="1780"/>
      <c r="L1552" s="1781"/>
      <c r="M1552" s="1781"/>
      <c r="N1552" s="1746">
        <v>175.2003</v>
      </c>
      <c r="O1552" s="1782"/>
      <c r="P1552" s="1720"/>
    </row>
    <row r="1553" spans="1:16" ht="13.5" hidden="1" customHeight="1" outlineLevel="3" x14ac:dyDescent="0.2">
      <c r="A1553" s="459">
        <v>0</v>
      </c>
      <c r="B1553" s="459">
        <v>13</v>
      </c>
      <c r="C1553" s="459">
        <v>9</v>
      </c>
      <c r="D1553" s="460">
        <v>5</v>
      </c>
      <c r="E1553" s="460">
        <v>1</v>
      </c>
      <c r="G1553" s="1798" t="s">
        <v>24</v>
      </c>
      <c r="H1553" s="1783" t="s">
        <v>1239</v>
      </c>
      <c r="I1553" s="1750" t="s">
        <v>7334</v>
      </c>
      <c r="J1553" s="1785" t="s">
        <v>1683</v>
      </c>
      <c r="K1553" s="1786" t="s">
        <v>534</v>
      </c>
      <c r="L1553" s="1787">
        <v>20</v>
      </c>
      <c r="M1553" s="1787">
        <v>8.760015000000001</v>
      </c>
      <c r="N1553" s="1754">
        <v>175.2003</v>
      </c>
      <c r="O1553" s="1788" t="s">
        <v>4207</v>
      </c>
      <c r="P1553" s="1721" t="s">
        <v>9611</v>
      </c>
    </row>
    <row r="1554" spans="1:16" ht="13.5" hidden="1" customHeight="1" outlineLevel="2" x14ac:dyDescent="0.2">
      <c r="A1554" s="459">
        <v>0</v>
      </c>
      <c r="B1554" s="459">
        <v>13</v>
      </c>
      <c r="C1554" s="459">
        <v>9</v>
      </c>
      <c r="D1554" s="460">
        <v>6</v>
      </c>
      <c r="E1554" s="460">
        <v>0</v>
      </c>
      <c r="G1554" s="1797"/>
      <c r="H1554" s="1777" t="s">
        <v>1238</v>
      </c>
      <c r="I1554" s="1742" t="s">
        <v>7335</v>
      </c>
      <c r="J1554" s="1779" t="s">
        <v>1249</v>
      </c>
      <c r="K1554" s="1780"/>
      <c r="L1554" s="1781"/>
      <c r="M1554" s="1781"/>
      <c r="N1554" s="1746">
        <v>14045.12</v>
      </c>
      <c r="O1554" s="1782"/>
      <c r="P1554" s="1720"/>
    </row>
    <row r="1555" spans="1:16" ht="13.5" hidden="1" customHeight="1" outlineLevel="3" x14ac:dyDescent="0.2">
      <c r="A1555" s="459">
        <v>0</v>
      </c>
      <c r="B1555" s="459">
        <v>13</v>
      </c>
      <c r="C1555" s="459">
        <v>9</v>
      </c>
      <c r="D1555" s="460">
        <v>6</v>
      </c>
      <c r="E1555" s="460">
        <v>1</v>
      </c>
      <c r="G1555" s="1798" t="s">
        <v>24</v>
      </c>
      <c r="H1555" s="1783" t="s">
        <v>1239</v>
      </c>
      <c r="I1555" s="1750" t="s">
        <v>7336</v>
      </c>
      <c r="J1555" s="1785" t="s">
        <v>470</v>
      </c>
      <c r="K1555" s="1786" t="s">
        <v>642</v>
      </c>
      <c r="L1555" s="1787">
        <v>123.76999999999998</v>
      </c>
      <c r="M1555" s="1787">
        <v>20</v>
      </c>
      <c r="N1555" s="1754">
        <v>2475.4</v>
      </c>
      <c r="O1555" s="1788"/>
      <c r="P1555" s="1721" t="s">
        <v>9611</v>
      </c>
    </row>
    <row r="1556" spans="1:16" ht="13.5" hidden="1" customHeight="1" outlineLevel="3" x14ac:dyDescent="0.2">
      <c r="A1556" s="459">
        <v>0</v>
      </c>
      <c r="B1556" s="459">
        <v>13</v>
      </c>
      <c r="C1556" s="459">
        <v>9</v>
      </c>
      <c r="D1556" s="460">
        <v>6</v>
      </c>
      <c r="E1556" s="460">
        <v>2</v>
      </c>
      <c r="G1556" s="1798" t="s">
        <v>24</v>
      </c>
      <c r="H1556" s="1783" t="s">
        <v>1239</v>
      </c>
      <c r="I1556" s="1750" t="s">
        <v>7337</v>
      </c>
      <c r="J1556" s="1785" t="s">
        <v>471</v>
      </c>
      <c r="K1556" s="1786" t="s">
        <v>642</v>
      </c>
      <c r="L1556" s="1787">
        <v>44.82</v>
      </c>
      <c r="M1556" s="1787">
        <v>35</v>
      </c>
      <c r="N1556" s="1754">
        <v>1568.7</v>
      </c>
      <c r="O1556" s="1788"/>
      <c r="P1556" s="1721" t="s">
        <v>9611</v>
      </c>
    </row>
    <row r="1557" spans="1:16" ht="13.5" hidden="1" customHeight="1" outlineLevel="3" x14ac:dyDescent="0.2">
      <c r="A1557" s="459">
        <v>0</v>
      </c>
      <c r="B1557" s="459">
        <v>13</v>
      </c>
      <c r="C1557" s="459">
        <v>9</v>
      </c>
      <c r="D1557" s="460">
        <v>6</v>
      </c>
      <c r="E1557" s="460">
        <v>3</v>
      </c>
      <c r="G1557" s="1798" t="s">
        <v>24</v>
      </c>
      <c r="H1557" s="1783" t="s">
        <v>1239</v>
      </c>
      <c r="I1557" s="1750" t="s">
        <v>7338</v>
      </c>
      <c r="J1557" s="1785" t="s">
        <v>4195</v>
      </c>
      <c r="K1557" s="1786" t="s">
        <v>642</v>
      </c>
      <c r="L1557" s="1787">
        <v>152.79</v>
      </c>
      <c r="M1557" s="1787">
        <v>32</v>
      </c>
      <c r="N1557" s="1754">
        <v>4889.28</v>
      </c>
      <c r="O1557" s="1788"/>
      <c r="P1557" s="1721" t="s">
        <v>9611</v>
      </c>
    </row>
    <row r="1558" spans="1:16" ht="13.5" hidden="1" customHeight="1" outlineLevel="3" x14ac:dyDescent="0.2">
      <c r="A1558" s="459">
        <v>0</v>
      </c>
      <c r="B1558" s="459">
        <v>13</v>
      </c>
      <c r="C1558" s="459">
        <v>9</v>
      </c>
      <c r="D1558" s="460">
        <v>6</v>
      </c>
      <c r="E1558" s="460">
        <v>4</v>
      </c>
      <c r="G1558" s="1798" t="s">
        <v>24</v>
      </c>
      <c r="H1558" s="1783" t="s">
        <v>1239</v>
      </c>
      <c r="I1558" s="1750" t="s">
        <v>7339</v>
      </c>
      <c r="J1558" s="1785" t="s">
        <v>4199</v>
      </c>
      <c r="K1558" s="1786" t="s">
        <v>642</v>
      </c>
      <c r="L1558" s="1787">
        <v>47.16</v>
      </c>
      <c r="M1558" s="1787">
        <v>45</v>
      </c>
      <c r="N1558" s="1754">
        <v>2122.1999999999998</v>
      </c>
      <c r="O1558" s="1788"/>
      <c r="P1558" s="1721" t="s">
        <v>9611</v>
      </c>
    </row>
    <row r="1559" spans="1:16" ht="13.5" hidden="1" customHeight="1" outlineLevel="3" x14ac:dyDescent="0.2">
      <c r="A1559" s="459">
        <v>0</v>
      </c>
      <c r="B1559" s="459">
        <v>13</v>
      </c>
      <c r="C1559" s="459">
        <v>9</v>
      </c>
      <c r="D1559" s="460">
        <v>6</v>
      </c>
      <c r="E1559" s="460">
        <v>5</v>
      </c>
      <c r="G1559" s="1798" t="s">
        <v>24</v>
      </c>
      <c r="H1559" s="1783" t="s">
        <v>1239</v>
      </c>
      <c r="I1559" s="1750" t="s">
        <v>7340</v>
      </c>
      <c r="J1559" s="1785" t="s">
        <v>4202</v>
      </c>
      <c r="K1559" s="1786" t="s">
        <v>642</v>
      </c>
      <c r="L1559" s="1787">
        <v>47.370000000000005</v>
      </c>
      <c r="M1559" s="1787">
        <v>42</v>
      </c>
      <c r="N1559" s="1754">
        <v>1989.54</v>
      </c>
      <c r="O1559" s="1788"/>
      <c r="P1559" s="1721" t="s">
        <v>9611</v>
      </c>
    </row>
    <row r="1560" spans="1:16" ht="13.5" hidden="1" customHeight="1" outlineLevel="3" x14ac:dyDescent="0.2">
      <c r="A1560" s="459">
        <v>0</v>
      </c>
      <c r="B1560" s="459">
        <v>13</v>
      </c>
      <c r="C1560" s="459">
        <v>9</v>
      </c>
      <c r="D1560" s="460">
        <v>6</v>
      </c>
      <c r="E1560" s="460">
        <v>6</v>
      </c>
      <c r="G1560" s="1798" t="s">
        <v>24</v>
      </c>
      <c r="H1560" s="1783" t="s">
        <v>1239</v>
      </c>
      <c r="I1560" s="1750" t="s">
        <v>7341</v>
      </c>
      <c r="J1560" s="1751" t="s">
        <v>478</v>
      </c>
      <c r="K1560" s="1786" t="s">
        <v>534</v>
      </c>
      <c r="L1560" s="1787">
        <v>20</v>
      </c>
      <c r="M1560" s="1787">
        <v>50</v>
      </c>
      <c r="N1560" s="1754">
        <v>1000</v>
      </c>
      <c r="O1560" s="1788"/>
      <c r="P1560" s="1721" t="s">
        <v>9611</v>
      </c>
    </row>
    <row r="1561" spans="1:16" ht="13.5" hidden="1" customHeight="1" outlineLevel="1" x14ac:dyDescent="0.2">
      <c r="A1561" s="459">
        <v>0</v>
      </c>
      <c r="B1561" s="459">
        <v>13</v>
      </c>
      <c r="C1561" s="459">
        <v>10</v>
      </c>
      <c r="D1561" s="460">
        <v>0</v>
      </c>
      <c r="E1561" s="460">
        <v>6</v>
      </c>
      <c r="G1561" s="1796"/>
      <c r="H1561" s="1771" t="s">
        <v>39</v>
      </c>
      <c r="I1561" s="1735" t="s">
        <v>7342</v>
      </c>
      <c r="J1561" s="1773" t="s">
        <v>2836</v>
      </c>
      <c r="K1561" s="1774"/>
      <c r="L1561" s="1775"/>
      <c r="M1561" s="1775"/>
      <c r="N1561" s="1739">
        <v>161272.162232</v>
      </c>
      <c r="O1561" s="1776">
        <v>9.6283784833969897</v>
      </c>
      <c r="P1561" s="1719"/>
    </row>
    <row r="1562" spans="1:16" ht="13.5" hidden="1" customHeight="1" outlineLevel="2" x14ac:dyDescent="0.2">
      <c r="A1562" s="459">
        <v>0</v>
      </c>
      <c r="B1562" s="459">
        <v>13</v>
      </c>
      <c r="C1562" s="459">
        <v>10</v>
      </c>
      <c r="D1562" s="460">
        <v>1</v>
      </c>
      <c r="E1562" s="460">
        <v>0</v>
      </c>
      <c r="G1562" s="1797"/>
      <c r="H1562" s="1777" t="s">
        <v>1238</v>
      </c>
      <c r="I1562" s="1742" t="s">
        <v>7343</v>
      </c>
      <c r="J1562" s="1779" t="s">
        <v>25</v>
      </c>
      <c r="K1562" s="1780"/>
      <c r="L1562" s="1781"/>
      <c r="M1562" s="1781"/>
      <c r="N1562" s="1746">
        <v>3499.5989519999998</v>
      </c>
      <c r="O1562" s="1782">
        <v>0.208935397055584</v>
      </c>
      <c r="P1562" s="1720"/>
    </row>
    <row r="1563" spans="1:16" ht="13.5" hidden="1" customHeight="1" outlineLevel="3" x14ac:dyDescent="0.2">
      <c r="A1563" s="459">
        <v>0</v>
      </c>
      <c r="B1563" s="459">
        <v>13</v>
      </c>
      <c r="C1563" s="459">
        <v>10</v>
      </c>
      <c r="D1563" s="460">
        <v>1</v>
      </c>
      <c r="E1563" s="460">
        <v>1</v>
      </c>
      <c r="G1563" s="1798" t="s">
        <v>24</v>
      </c>
      <c r="H1563" s="1783" t="s">
        <v>1239</v>
      </c>
      <c r="I1563" s="1750" t="s">
        <v>7344</v>
      </c>
      <c r="J1563" s="1785" t="s">
        <v>442</v>
      </c>
      <c r="K1563" s="1786" t="s">
        <v>642</v>
      </c>
      <c r="L1563" s="1787">
        <v>495.28000000000003</v>
      </c>
      <c r="M1563" s="1787">
        <v>7.0658999999999992</v>
      </c>
      <c r="N1563" s="1754">
        <v>3499.5989519999998</v>
      </c>
      <c r="O1563" s="1788" t="s">
        <v>4191</v>
      </c>
      <c r="P1563" s="1721" t="s">
        <v>9611</v>
      </c>
    </row>
    <row r="1564" spans="1:16" ht="13.5" hidden="1" customHeight="1" outlineLevel="2" x14ac:dyDescent="0.2">
      <c r="A1564" s="459">
        <v>0</v>
      </c>
      <c r="B1564" s="459">
        <v>13</v>
      </c>
      <c r="C1564" s="459">
        <v>10</v>
      </c>
      <c r="D1564" s="460">
        <v>2</v>
      </c>
      <c r="E1564" s="460">
        <v>0</v>
      </c>
      <c r="G1564" s="1797"/>
      <c r="H1564" s="1777" t="s">
        <v>1238</v>
      </c>
      <c r="I1564" s="1742" t="s">
        <v>7345</v>
      </c>
      <c r="J1564" s="1779" t="s">
        <v>4188</v>
      </c>
      <c r="K1564" s="1780"/>
      <c r="L1564" s="1781"/>
      <c r="M1564" s="1781"/>
      <c r="N1564" s="1746">
        <v>23858.422031999999</v>
      </c>
      <c r="O1564" s="1782"/>
      <c r="P1564" s="1720"/>
    </row>
    <row r="1565" spans="1:16" ht="13.5" hidden="1" customHeight="1" outlineLevel="3" x14ac:dyDescent="0.2">
      <c r="A1565" s="459">
        <v>0</v>
      </c>
      <c r="B1565" s="459">
        <v>13</v>
      </c>
      <c r="C1565" s="459">
        <v>10</v>
      </c>
      <c r="D1565" s="460">
        <v>2</v>
      </c>
      <c r="E1565" s="460">
        <v>1</v>
      </c>
      <c r="G1565" s="1798" t="s">
        <v>24</v>
      </c>
      <c r="H1565" s="1783" t="s">
        <v>1239</v>
      </c>
      <c r="I1565" s="1750" t="s">
        <v>7346</v>
      </c>
      <c r="J1565" s="1785" t="s">
        <v>4172</v>
      </c>
      <c r="K1565" s="1786" t="s">
        <v>642</v>
      </c>
      <c r="L1565" s="1787">
        <v>160.24</v>
      </c>
      <c r="M1565" s="1787">
        <v>148.89179999999999</v>
      </c>
      <c r="N1565" s="1754">
        <v>23858.422031999999</v>
      </c>
      <c r="O1565" s="1788" t="s">
        <v>4181</v>
      </c>
      <c r="P1565" s="1721" t="s">
        <v>9611</v>
      </c>
    </row>
    <row r="1566" spans="1:16" ht="13.5" hidden="1" customHeight="1" outlineLevel="2" x14ac:dyDescent="0.2">
      <c r="A1566" s="459">
        <v>0</v>
      </c>
      <c r="B1566" s="459">
        <v>13</v>
      </c>
      <c r="C1566" s="459">
        <v>10</v>
      </c>
      <c r="D1566" s="460">
        <v>3</v>
      </c>
      <c r="E1566" s="460">
        <v>0</v>
      </c>
      <c r="G1566" s="1797"/>
      <c r="H1566" s="1777" t="s">
        <v>1238</v>
      </c>
      <c r="I1566" s="1742" t="s">
        <v>7347</v>
      </c>
      <c r="J1566" s="1779" t="s">
        <v>4187</v>
      </c>
      <c r="K1566" s="1780"/>
      <c r="L1566" s="1781"/>
      <c r="M1566" s="1781"/>
      <c r="N1566" s="1746">
        <v>47660.958997333299</v>
      </c>
      <c r="O1566" s="1782"/>
      <c r="P1566" s="1720"/>
    </row>
    <row r="1567" spans="1:16" ht="13.5" hidden="1" customHeight="1" outlineLevel="3" x14ac:dyDescent="0.2">
      <c r="A1567" s="459">
        <v>0</v>
      </c>
      <c r="B1567" s="459">
        <v>13</v>
      </c>
      <c r="C1567" s="459">
        <v>10</v>
      </c>
      <c r="D1567" s="460">
        <v>3</v>
      </c>
      <c r="E1567" s="460">
        <v>1</v>
      </c>
      <c r="G1567" s="1798" t="s">
        <v>24</v>
      </c>
      <c r="H1567" s="1783" t="s">
        <v>1239</v>
      </c>
      <c r="I1567" s="1750" t="s">
        <v>7348</v>
      </c>
      <c r="J1567" s="1785" t="s">
        <v>4169</v>
      </c>
      <c r="K1567" s="1786" t="s">
        <v>642</v>
      </c>
      <c r="L1567" s="1787">
        <v>794.00000000000011</v>
      </c>
      <c r="M1567" s="1787">
        <v>34.058466666666661</v>
      </c>
      <c r="N1567" s="1754">
        <v>27042.422533333302</v>
      </c>
      <c r="O1567" s="1788" t="s">
        <v>4179</v>
      </c>
      <c r="P1567" s="1721" t="s">
        <v>9611</v>
      </c>
    </row>
    <row r="1568" spans="1:16" ht="13.5" hidden="1" customHeight="1" outlineLevel="3" x14ac:dyDescent="0.2">
      <c r="A1568" s="459">
        <v>0</v>
      </c>
      <c r="B1568" s="459">
        <v>13</v>
      </c>
      <c r="C1568" s="459">
        <v>10</v>
      </c>
      <c r="D1568" s="460">
        <v>3</v>
      </c>
      <c r="E1568" s="460">
        <v>2</v>
      </c>
      <c r="G1568" s="1798" t="s">
        <v>24</v>
      </c>
      <c r="H1568" s="1783" t="s">
        <v>1239</v>
      </c>
      <c r="I1568" s="1750" t="s">
        <v>7349</v>
      </c>
      <c r="J1568" s="1785" t="s">
        <v>4172</v>
      </c>
      <c r="K1568" s="1786" t="s">
        <v>642</v>
      </c>
      <c r="L1568" s="1787">
        <v>138.47999999999999</v>
      </c>
      <c r="M1568" s="1787">
        <v>148.89179999999999</v>
      </c>
      <c r="N1568" s="1754">
        <v>20618.536464000001</v>
      </c>
      <c r="O1568" s="1788" t="s">
        <v>4180</v>
      </c>
      <c r="P1568" s="1721" t="s">
        <v>9611</v>
      </c>
    </row>
    <row r="1569" spans="1:16" ht="13.5" hidden="1" customHeight="1" outlineLevel="2" x14ac:dyDescent="0.2">
      <c r="A1569" s="459">
        <v>0</v>
      </c>
      <c r="B1569" s="459">
        <v>13</v>
      </c>
      <c r="C1569" s="459">
        <v>10</v>
      </c>
      <c r="D1569" s="460">
        <v>4</v>
      </c>
      <c r="E1569" s="460">
        <v>0</v>
      </c>
      <c r="G1569" s="1797"/>
      <c r="H1569" s="1777" t="s">
        <v>1238</v>
      </c>
      <c r="I1569" s="1742" t="s">
        <v>7350</v>
      </c>
      <c r="J1569" s="1779" t="s">
        <v>2786</v>
      </c>
      <c r="K1569" s="1780"/>
      <c r="L1569" s="1781"/>
      <c r="M1569" s="1781"/>
      <c r="N1569" s="1746">
        <v>14947.5798506667</v>
      </c>
      <c r="O1569" s="1782"/>
      <c r="P1569" s="1720"/>
    </row>
    <row r="1570" spans="1:16" ht="13.5" hidden="1" customHeight="1" outlineLevel="3" x14ac:dyDescent="0.2">
      <c r="A1570" s="459">
        <v>0</v>
      </c>
      <c r="B1570" s="459">
        <v>13</v>
      </c>
      <c r="C1570" s="459">
        <v>10</v>
      </c>
      <c r="D1570" s="460">
        <v>4</v>
      </c>
      <c r="E1570" s="460">
        <v>1</v>
      </c>
      <c r="G1570" s="1798" t="s">
        <v>24</v>
      </c>
      <c r="H1570" s="1783" t="s">
        <v>1239</v>
      </c>
      <c r="I1570" s="1750" t="s">
        <v>7351</v>
      </c>
      <c r="J1570" s="1785" t="s">
        <v>4169</v>
      </c>
      <c r="K1570" s="1786" t="s">
        <v>642</v>
      </c>
      <c r="L1570" s="1787">
        <v>438.88</v>
      </c>
      <c r="M1570" s="1787">
        <v>34.058466666666661</v>
      </c>
      <c r="N1570" s="1754">
        <v>14947.5798506667</v>
      </c>
      <c r="O1570" s="1788"/>
      <c r="P1570" s="1721" t="s">
        <v>9611</v>
      </c>
    </row>
    <row r="1571" spans="1:16" ht="13.5" hidden="1" customHeight="1" outlineLevel="2" x14ac:dyDescent="0.2">
      <c r="A1571" s="459">
        <v>0</v>
      </c>
      <c r="B1571" s="459">
        <v>13</v>
      </c>
      <c r="C1571" s="459">
        <v>10</v>
      </c>
      <c r="D1571" s="460">
        <v>5</v>
      </c>
      <c r="E1571" s="460">
        <v>0</v>
      </c>
      <c r="G1571" s="1797"/>
      <c r="H1571" s="1777" t="s">
        <v>1238</v>
      </c>
      <c r="I1571" s="1742" t="s">
        <v>7352</v>
      </c>
      <c r="J1571" s="1779" t="s">
        <v>2787</v>
      </c>
      <c r="K1571" s="1780"/>
      <c r="L1571" s="1781"/>
      <c r="M1571" s="1781"/>
      <c r="N1571" s="1746">
        <v>1401.6024</v>
      </c>
      <c r="O1571" s="1782"/>
      <c r="P1571" s="1720"/>
    </row>
    <row r="1572" spans="1:16" ht="13.5" hidden="1" customHeight="1" outlineLevel="3" x14ac:dyDescent="0.2">
      <c r="A1572" s="459">
        <v>0</v>
      </c>
      <c r="B1572" s="459">
        <v>13</v>
      </c>
      <c r="C1572" s="459">
        <v>10</v>
      </c>
      <c r="D1572" s="460">
        <v>5</v>
      </c>
      <c r="E1572" s="460">
        <v>1</v>
      </c>
      <c r="G1572" s="1798" t="s">
        <v>24</v>
      </c>
      <c r="H1572" s="1783" t="s">
        <v>1239</v>
      </c>
      <c r="I1572" s="1750" t="s">
        <v>7353</v>
      </c>
      <c r="J1572" s="1785" t="s">
        <v>1683</v>
      </c>
      <c r="K1572" s="1786" t="s">
        <v>534</v>
      </c>
      <c r="L1572" s="1787">
        <v>160</v>
      </c>
      <c r="M1572" s="1787">
        <v>8.760015000000001</v>
      </c>
      <c r="N1572" s="1754">
        <v>1401.6024</v>
      </c>
      <c r="O1572" s="1788" t="s">
        <v>4207</v>
      </c>
      <c r="P1572" s="1721" t="s">
        <v>9611</v>
      </c>
    </row>
    <row r="1573" spans="1:16" ht="13.5" hidden="1" customHeight="1" outlineLevel="2" x14ac:dyDescent="0.2">
      <c r="A1573" s="459">
        <v>0</v>
      </c>
      <c r="B1573" s="459">
        <v>13</v>
      </c>
      <c r="C1573" s="459">
        <v>10</v>
      </c>
      <c r="D1573" s="460">
        <v>6</v>
      </c>
      <c r="E1573" s="460">
        <v>0</v>
      </c>
      <c r="G1573" s="1797"/>
      <c r="H1573" s="1777" t="s">
        <v>1238</v>
      </c>
      <c r="I1573" s="1742" t="s">
        <v>7354</v>
      </c>
      <c r="J1573" s="1779" t="s">
        <v>1249</v>
      </c>
      <c r="K1573" s="1780"/>
      <c r="L1573" s="1781"/>
      <c r="M1573" s="1781"/>
      <c r="N1573" s="1746">
        <v>69904</v>
      </c>
      <c r="O1573" s="1782"/>
      <c r="P1573" s="1720"/>
    </row>
    <row r="1574" spans="1:16" ht="13.5" hidden="1" customHeight="1" outlineLevel="3" x14ac:dyDescent="0.2">
      <c r="A1574" s="459">
        <v>0</v>
      </c>
      <c r="B1574" s="459">
        <v>13</v>
      </c>
      <c r="C1574" s="459">
        <v>10</v>
      </c>
      <c r="D1574" s="460">
        <v>6</v>
      </c>
      <c r="E1574" s="460">
        <v>1</v>
      </c>
      <c r="G1574" s="1798" t="s">
        <v>24</v>
      </c>
      <c r="H1574" s="1783" t="s">
        <v>1239</v>
      </c>
      <c r="I1574" s="1750" t="s">
        <v>7355</v>
      </c>
      <c r="J1574" s="1785" t="s">
        <v>470</v>
      </c>
      <c r="K1574" s="1786" t="s">
        <v>642</v>
      </c>
      <c r="L1574" s="1787">
        <v>495.28000000000003</v>
      </c>
      <c r="M1574" s="1787">
        <v>20</v>
      </c>
      <c r="N1574" s="1754">
        <v>9905.6</v>
      </c>
      <c r="O1574" s="1788"/>
      <c r="P1574" s="1721" t="s">
        <v>9611</v>
      </c>
    </row>
    <row r="1575" spans="1:16" ht="13.5" hidden="1" customHeight="1" outlineLevel="3" x14ac:dyDescent="0.2">
      <c r="A1575" s="459">
        <v>0</v>
      </c>
      <c r="B1575" s="459">
        <v>13</v>
      </c>
      <c r="C1575" s="459">
        <v>10</v>
      </c>
      <c r="D1575" s="460">
        <v>6</v>
      </c>
      <c r="E1575" s="460">
        <v>2</v>
      </c>
      <c r="G1575" s="1798" t="s">
        <v>24</v>
      </c>
      <c r="H1575" s="1783" t="s">
        <v>1239</v>
      </c>
      <c r="I1575" s="1750" t="s">
        <v>7356</v>
      </c>
      <c r="J1575" s="1785" t="s">
        <v>4195</v>
      </c>
      <c r="K1575" s="1786" t="s">
        <v>642</v>
      </c>
      <c r="L1575" s="1787">
        <v>1232.8800000000001</v>
      </c>
      <c r="M1575" s="1787">
        <v>32</v>
      </c>
      <c r="N1575" s="1754">
        <v>39452.160000000003</v>
      </c>
      <c r="O1575" s="1788"/>
      <c r="P1575" s="1721" t="s">
        <v>9611</v>
      </c>
    </row>
    <row r="1576" spans="1:16" ht="13.5" hidden="1" customHeight="1" outlineLevel="3" x14ac:dyDescent="0.2">
      <c r="A1576" s="459">
        <v>0</v>
      </c>
      <c r="B1576" s="459">
        <v>13</v>
      </c>
      <c r="C1576" s="459">
        <v>10</v>
      </c>
      <c r="D1576" s="460">
        <v>6</v>
      </c>
      <c r="E1576" s="460">
        <v>3</v>
      </c>
      <c r="G1576" s="1798" t="s">
        <v>24</v>
      </c>
      <c r="H1576" s="1783" t="s">
        <v>1239</v>
      </c>
      <c r="I1576" s="1750" t="s">
        <v>7357</v>
      </c>
      <c r="J1576" s="1785" t="s">
        <v>4202</v>
      </c>
      <c r="K1576" s="1786" t="s">
        <v>642</v>
      </c>
      <c r="L1576" s="1787">
        <v>298.72000000000003</v>
      </c>
      <c r="M1576" s="1787">
        <v>42</v>
      </c>
      <c r="N1576" s="1754">
        <v>12546.24</v>
      </c>
      <c r="O1576" s="1788"/>
      <c r="P1576" s="1721" t="s">
        <v>9611</v>
      </c>
    </row>
    <row r="1577" spans="1:16" ht="13.5" hidden="1" customHeight="1" outlineLevel="3" x14ac:dyDescent="0.2">
      <c r="A1577" s="459">
        <v>0</v>
      </c>
      <c r="B1577" s="459">
        <v>13</v>
      </c>
      <c r="C1577" s="459">
        <v>10</v>
      </c>
      <c r="D1577" s="460">
        <v>6</v>
      </c>
      <c r="E1577" s="460">
        <v>4</v>
      </c>
      <c r="G1577" s="1798" t="s">
        <v>24</v>
      </c>
      <c r="H1577" s="1783" t="s">
        <v>1239</v>
      </c>
      <c r="I1577" s="1750" t="s">
        <v>7358</v>
      </c>
      <c r="J1577" s="1751" t="s">
        <v>478</v>
      </c>
      <c r="K1577" s="1786" t="s">
        <v>534</v>
      </c>
      <c r="L1577" s="1787">
        <v>160</v>
      </c>
      <c r="M1577" s="1787">
        <v>50</v>
      </c>
      <c r="N1577" s="1754">
        <v>8000</v>
      </c>
      <c r="O1577" s="1788"/>
      <c r="P1577" s="1721" t="s">
        <v>9611</v>
      </c>
    </row>
    <row r="1578" spans="1:16" ht="13.5" hidden="1" customHeight="1" outlineLevel="1" x14ac:dyDescent="0.2">
      <c r="A1578" s="459">
        <v>0</v>
      </c>
      <c r="B1578" s="459">
        <v>13</v>
      </c>
      <c r="C1578" s="459">
        <v>11</v>
      </c>
      <c r="D1578" s="460">
        <v>0</v>
      </c>
      <c r="E1578" s="460">
        <v>4</v>
      </c>
      <c r="G1578" s="1796"/>
      <c r="H1578" s="1771" t="s">
        <v>39</v>
      </c>
      <c r="I1578" s="1735" t="s">
        <v>7359</v>
      </c>
      <c r="J1578" s="1773" t="s">
        <v>2837</v>
      </c>
      <c r="K1578" s="1774"/>
      <c r="L1578" s="1775"/>
      <c r="M1578" s="1775"/>
      <c r="N1578" s="1739">
        <v>345442.800552</v>
      </c>
      <c r="O1578" s="1776">
        <v>20.623857099990602</v>
      </c>
      <c r="P1578" s="1719"/>
    </row>
    <row r="1579" spans="1:16" ht="13.5" hidden="1" customHeight="1" outlineLevel="2" x14ac:dyDescent="0.2">
      <c r="A1579" s="459">
        <v>0</v>
      </c>
      <c r="B1579" s="459">
        <v>13</v>
      </c>
      <c r="C1579" s="459">
        <v>11</v>
      </c>
      <c r="D1579" s="460">
        <v>1</v>
      </c>
      <c r="E1579" s="460">
        <v>0</v>
      </c>
      <c r="G1579" s="1797"/>
      <c r="H1579" s="1777" t="s">
        <v>1238</v>
      </c>
      <c r="I1579" s="1742" t="s">
        <v>7360</v>
      </c>
      <c r="J1579" s="1779" t="s">
        <v>25</v>
      </c>
      <c r="K1579" s="1780"/>
      <c r="L1579" s="1781"/>
      <c r="M1579" s="1781"/>
      <c r="N1579" s="1746">
        <v>12669.457634</v>
      </c>
      <c r="O1579" s="1782">
        <v>0.75640043260553802</v>
      </c>
      <c r="P1579" s="1720"/>
    </row>
    <row r="1580" spans="1:16" ht="13.5" hidden="1" customHeight="1" outlineLevel="3" x14ac:dyDescent="0.2">
      <c r="A1580" s="459">
        <v>0</v>
      </c>
      <c r="B1580" s="459">
        <v>13</v>
      </c>
      <c r="C1580" s="459">
        <v>11</v>
      </c>
      <c r="D1580" s="460">
        <v>1</v>
      </c>
      <c r="E1580" s="460">
        <v>1</v>
      </c>
      <c r="G1580" s="1798" t="s">
        <v>24</v>
      </c>
      <c r="H1580" s="1783" t="s">
        <v>1239</v>
      </c>
      <c r="I1580" s="1750" t="s">
        <v>7361</v>
      </c>
      <c r="J1580" s="1785" t="s">
        <v>442</v>
      </c>
      <c r="K1580" s="1786" t="s">
        <v>642</v>
      </c>
      <c r="L1580" s="1787">
        <v>977.90999999999985</v>
      </c>
      <c r="M1580" s="1787">
        <v>7.0658999999999992</v>
      </c>
      <c r="N1580" s="1754">
        <v>6909.8142690000004</v>
      </c>
      <c r="O1580" s="1788" t="s">
        <v>4191</v>
      </c>
      <c r="P1580" s="1721" t="s">
        <v>9611</v>
      </c>
    </row>
    <row r="1581" spans="1:16" ht="13.5" hidden="1" customHeight="1" outlineLevel="3" x14ac:dyDescent="0.2">
      <c r="A1581" s="459">
        <v>0</v>
      </c>
      <c r="B1581" s="459">
        <v>13</v>
      </c>
      <c r="C1581" s="459">
        <v>11</v>
      </c>
      <c r="D1581" s="460">
        <v>1</v>
      </c>
      <c r="E1581" s="460">
        <v>2</v>
      </c>
      <c r="G1581" s="1798" t="s">
        <v>24</v>
      </c>
      <c r="H1581" s="1783" t="s">
        <v>1239</v>
      </c>
      <c r="I1581" s="1750" t="s">
        <v>7362</v>
      </c>
      <c r="J1581" s="1785" t="s">
        <v>444</v>
      </c>
      <c r="K1581" s="1786" t="s">
        <v>642</v>
      </c>
      <c r="L1581" s="1787">
        <v>116.68999999999996</v>
      </c>
      <c r="M1581" s="1787">
        <v>49.358499999999999</v>
      </c>
      <c r="N1581" s="1754">
        <v>5759.6433649999999</v>
      </c>
      <c r="O1581" s="1788" t="s">
        <v>4192</v>
      </c>
      <c r="P1581" s="1721" t="s">
        <v>9611</v>
      </c>
    </row>
    <row r="1582" spans="1:16" ht="13.5" hidden="1" customHeight="1" outlineLevel="2" x14ac:dyDescent="0.2">
      <c r="A1582" s="459">
        <v>0</v>
      </c>
      <c r="B1582" s="459">
        <v>13</v>
      </c>
      <c r="C1582" s="459">
        <v>11</v>
      </c>
      <c r="D1582" s="460">
        <v>2</v>
      </c>
      <c r="E1582" s="460">
        <v>0</v>
      </c>
      <c r="G1582" s="1797"/>
      <c r="H1582" s="1777" t="s">
        <v>1238</v>
      </c>
      <c r="I1582" s="1742" t="s">
        <v>7363</v>
      </c>
      <c r="J1582" s="1779" t="s">
        <v>4188</v>
      </c>
      <c r="K1582" s="1780"/>
      <c r="L1582" s="1781"/>
      <c r="M1582" s="1781"/>
      <c r="N1582" s="1746">
        <v>16247.073216000001</v>
      </c>
      <c r="O1582" s="1782"/>
      <c r="P1582" s="1720"/>
    </row>
    <row r="1583" spans="1:16" ht="13.5" hidden="1" customHeight="1" outlineLevel="3" x14ac:dyDescent="0.2">
      <c r="A1583" s="459">
        <v>0</v>
      </c>
      <c r="B1583" s="459">
        <v>13</v>
      </c>
      <c r="C1583" s="459">
        <v>11</v>
      </c>
      <c r="D1583" s="460">
        <v>2</v>
      </c>
      <c r="E1583" s="460">
        <v>1</v>
      </c>
      <c r="G1583" s="1798" t="s">
        <v>24</v>
      </c>
      <c r="H1583" s="1783" t="s">
        <v>1239</v>
      </c>
      <c r="I1583" s="1750" t="s">
        <v>7364</v>
      </c>
      <c r="J1583" s="1785" t="s">
        <v>4172</v>
      </c>
      <c r="K1583" s="1786" t="s">
        <v>642</v>
      </c>
      <c r="L1583" s="1787">
        <v>109.12</v>
      </c>
      <c r="M1583" s="1787">
        <v>148.89179999999999</v>
      </c>
      <c r="N1583" s="1754">
        <v>16247.073216000001</v>
      </c>
      <c r="O1583" s="1788" t="s">
        <v>4181</v>
      </c>
      <c r="P1583" s="1721" t="s">
        <v>9611</v>
      </c>
    </row>
    <row r="1584" spans="1:16" ht="13.5" hidden="1" customHeight="1" outlineLevel="2" x14ac:dyDescent="0.2">
      <c r="A1584" s="459">
        <v>0</v>
      </c>
      <c r="B1584" s="459">
        <v>13</v>
      </c>
      <c r="C1584" s="459">
        <v>11</v>
      </c>
      <c r="D1584" s="460">
        <v>3</v>
      </c>
      <c r="E1584" s="460">
        <v>0</v>
      </c>
      <c r="G1584" s="1797"/>
      <c r="H1584" s="1777" t="s">
        <v>1238</v>
      </c>
      <c r="I1584" s="1742" t="s">
        <v>7365</v>
      </c>
      <c r="J1584" s="1779" t="s">
        <v>4187</v>
      </c>
      <c r="K1584" s="1780"/>
      <c r="L1584" s="1781"/>
      <c r="M1584" s="1781"/>
      <c r="N1584" s="1746">
        <v>116469.79429933301</v>
      </c>
      <c r="O1584" s="1782"/>
      <c r="P1584" s="1720"/>
    </row>
    <row r="1585" spans="1:16" ht="13.5" hidden="1" customHeight="1" outlineLevel="3" x14ac:dyDescent="0.2">
      <c r="A1585" s="459">
        <v>0</v>
      </c>
      <c r="B1585" s="459">
        <v>13</v>
      </c>
      <c r="C1585" s="459">
        <v>11</v>
      </c>
      <c r="D1585" s="460">
        <v>3</v>
      </c>
      <c r="E1585" s="460">
        <v>1</v>
      </c>
      <c r="G1585" s="1798" t="s">
        <v>24</v>
      </c>
      <c r="H1585" s="1783" t="s">
        <v>1239</v>
      </c>
      <c r="I1585" s="1750" t="s">
        <v>7366</v>
      </c>
      <c r="J1585" s="1785" t="s">
        <v>4169</v>
      </c>
      <c r="K1585" s="1786" t="s">
        <v>642</v>
      </c>
      <c r="L1585" s="1787">
        <v>1936.1899999999998</v>
      </c>
      <c r="M1585" s="1787">
        <v>34.058466666666661</v>
      </c>
      <c r="N1585" s="1754">
        <v>65943.662575333306</v>
      </c>
      <c r="O1585" s="1788" t="s">
        <v>4179</v>
      </c>
      <c r="P1585" s="1721" t="s">
        <v>9611</v>
      </c>
    </row>
    <row r="1586" spans="1:16" ht="13.5" hidden="1" customHeight="1" outlineLevel="3" x14ac:dyDescent="0.2">
      <c r="A1586" s="459">
        <v>0</v>
      </c>
      <c r="B1586" s="459">
        <v>13</v>
      </c>
      <c r="C1586" s="459">
        <v>11</v>
      </c>
      <c r="D1586" s="460">
        <v>3</v>
      </c>
      <c r="E1586" s="460">
        <v>2</v>
      </c>
      <c r="G1586" s="1798" t="s">
        <v>24</v>
      </c>
      <c r="H1586" s="1783" t="s">
        <v>1239</v>
      </c>
      <c r="I1586" s="1750" t="s">
        <v>7367</v>
      </c>
      <c r="J1586" s="1785" t="s">
        <v>4172</v>
      </c>
      <c r="K1586" s="1786" t="s">
        <v>642</v>
      </c>
      <c r="L1586" s="1787">
        <v>199.37999999999997</v>
      </c>
      <c r="M1586" s="1787">
        <v>148.89179999999999</v>
      </c>
      <c r="N1586" s="1754">
        <v>29686.047084000002</v>
      </c>
      <c r="O1586" s="1788" t="s">
        <v>4180</v>
      </c>
      <c r="P1586" s="1721" t="s">
        <v>9611</v>
      </c>
    </row>
    <row r="1587" spans="1:16" ht="13.5" hidden="1" customHeight="1" outlineLevel="3" x14ac:dyDescent="0.2">
      <c r="A1587" s="459">
        <v>0</v>
      </c>
      <c r="B1587" s="459">
        <v>13</v>
      </c>
      <c r="C1587" s="459">
        <v>11</v>
      </c>
      <c r="D1587" s="460">
        <v>3</v>
      </c>
      <c r="E1587" s="460">
        <v>3</v>
      </c>
      <c r="G1587" s="1798" t="s">
        <v>24</v>
      </c>
      <c r="H1587" s="1783" t="s">
        <v>1239</v>
      </c>
      <c r="I1587" s="1750" t="s">
        <v>7368</v>
      </c>
      <c r="J1587" s="1785" t="s">
        <v>4174</v>
      </c>
      <c r="K1587" s="1786" t="s">
        <v>642</v>
      </c>
      <c r="L1587" s="1787">
        <v>156.47999999999996</v>
      </c>
      <c r="M1587" s="1787">
        <v>133.18049999999999</v>
      </c>
      <c r="N1587" s="1754">
        <v>20840.084640000001</v>
      </c>
      <c r="O1587" s="1788" t="s">
        <v>4183</v>
      </c>
      <c r="P1587" s="1721" t="s">
        <v>9611</v>
      </c>
    </row>
    <row r="1588" spans="1:16" ht="13.5" hidden="1" customHeight="1" outlineLevel="2" x14ac:dyDescent="0.2">
      <c r="A1588" s="459">
        <v>0</v>
      </c>
      <c r="B1588" s="459">
        <v>13</v>
      </c>
      <c r="C1588" s="459">
        <v>11</v>
      </c>
      <c r="D1588" s="460">
        <v>4</v>
      </c>
      <c r="E1588" s="460">
        <v>0</v>
      </c>
      <c r="G1588" s="1797"/>
      <c r="H1588" s="1777" t="s">
        <v>1238</v>
      </c>
      <c r="I1588" s="1742" t="s">
        <v>7369</v>
      </c>
      <c r="J1588" s="1779" t="s">
        <v>2786</v>
      </c>
      <c r="K1588" s="1780"/>
      <c r="L1588" s="1781"/>
      <c r="M1588" s="1781"/>
      <c r="N1588" s="1746">
        <v>35370.398802666699</v>
      </c>
      <c r="O1588" s="1782"/>
      <c r="P1588" s="1720"/>
    </row>
    <row r="1589" spans="1:16" ht="13.5" hidden="1" customHeight="1" outlineLevel="3" x14ac:dyDescent="0.2">
      <c r="A1589" s="459">
        <v>0</v>
      </c>
      <c r="B1589" s="459">
        <v>13</v>
      </c>
      <c r="C1589" s="459">
        <v>11</v>
      </c>
      <c r="D1589" s="460">
        <v>4</v>
      </c>
      <c r="E1589" s="460">
        <v>1</v>
      </c>
      <c r="G1589" s="1798" t="s">
        <v>24</v>
      </c>
      <c r="H1589" s="1783" t="s">
        <v>1239</v>
      </c>
      <c r="I1589" s="1750" t="s">
        <v>7370</v>
      </c>
      <c r="J1589" s="1785" t="s">
        <v>4169</v>
      </c>
      <c r="K1589" s="1786" t="s">
        <v>642</v>
      </c>
      <c r="L1589" s="1787">
        <v>1038.52</v>
      </c>
      <c r="M1589" s="1787">
        <v>34.058466666666661</v>
      </c>
      <c r="N1589" s="1754">
        <v>35370.398802666699</v>
      </c>
      <c r="O1589" s="1788"/>
      <c r="P1589" s="1721" t="s">
        <v>9611</v>
      </c>
    </row>
    <row r="1590" spans="1:16" ht="13.5" hidden="1" customHeight="1" outlineLevel="2" x14ac:dyDescent="0.2">
      <c r="A1590" s="459">
        <v>0</v>
      </c>
      <c r="B1590" s="459">
        <v>13</v>
      </c>
      <c r="C1590" s="459">
        <v>11</v>
      </c>
      <c r="D1590" s="460">
        <v>5</v>
      </c>
      <c r="E1590" s="460">
        <v>0</v>
      </c>
      <c r="G1590" s="1797"/>
      <c r="H1590" s="1777" t="s">
        <v>1238</v>
      </c>
      <c r="I1590" s="1742" t="s">
        <v>7371</v>
      </c>
      <c r="J1590" s="1779" t="s">
        <v>2787</v>
      </c>
      <c r="K1590" s="1780"/>
      <c r="L1590" s="1781"/>
      <c r="M1590" s="1781"/>
      <c r="N1590" s="1746">
        <v>3854.4065999999998</v>
      </c>
      <c r="O1590" s="1782"/>
      <c r="P1590" s="1720"/>
    </row>
    <row r="1591" spans="1:16" ht="13.5" hidden="1" customHeight="1" outlineLevel="3" x14ac:dyDescent="0.2">
      <c r="A1591" s="459">
        <v>0</v>
      </c>
      <c r="B1591" s="459">
        <v>13</v>
      </c>
      <c r="C1591" s="459">
        <v>11</v>
      </c>
      <c r="D1591" s="460">
        <v>5</v>
      </c>
      <c r="E1591" s="460">
        <v>1</v>
      </c>
      <c r="G1591" s="1798" t="s">
        <v>24</v>
      </c>
      <c r="H1591" s="1783" t="s">
        <v>1239</v>
      </c>
      <c r="I1591" s="1750" t="s">
        <v>7372</v>
      </c>
      <c r="J1591" s="1785" t="s">
        <v>1683</v>
      </c>
      <c r="K1591" s="1786" t="s">
        <v>534</v>
      </c>
      <c r="L1591" s="1787">
        <v>440</v>
      </c>
      <c r="M1591" s="1787">
        <v>8.760015000000001</v>
      </c>
      <c r="N1591" s="1754">
        <v>3854.4065999999998</v>
      </c>
      <c r="O1591" s="1788" t="s">
        <v>4207</v>
      </c>
      <c r="P1591" s="1721" t="s">
        <v>9611</v>
      </c>
    </row>
    <row r="1592" spans="1:16" ht="13.5" hidden="1" customHeight="1" outlineLevel="2" x14ac:dyDescent="0.2">
      <c r="A1592" s="459">
        <v>0</v>
      </c>
      <c r="B1592" s="459">
        <v>13</v>
      </c>
      <c r="C1592" s="459">
        <v>11</v>
      </c>
      <c r="D1592" s="460">
        <v>6</v>
      </c>
      <c r="E1592" s="460">
        <v>0</v>
      </c>
      <c r="G1592" s="1797"/>
      <c r="H1592" s="1777" t="s">
        <v>1238</v>
      </c>
      <c r="I1592" s="1742" t="s">
        <v>7373</v>
      </c>
      <c r="J1592" s="1779" t="s">
        <v>1249</v>
      </c>
      <c r="K1592" s="1780"/>
      <c r="L1592" s="1781"/>
      <c r="M1592" s="1781"/>
      <c r="N1592" s="1746">
        <v>160831.67000000001</v>
      </c>
      <c r="O1592" s="1782"/>
      <c r="P1592" s="1720"/>
    </row>
    <row r="1593" spans="1:16" ht="13.5" hidden="1" customHeight="1" outlineLevel="3" x14ac:dyDescent="0.2">
      <c r="A1593" s="459">
        <v>0</v>
      </c>
      <c r="B1593" s="459">
        <v>13</v>
      </c>
      <c r="C1593" s="459">
        <v>11</v>
      </c>
      <c r="D1593" s="460">
        <v>6</v>
      </c>
      <c r="E1593" s="460">
        <v>1</v>
      </c>
      <c r="G1593" s="1798" t="s">
        <v>24</v>
      </c>
      <c r="H1593" s="1783" t="s">
        <v>1239</v>
      </c>
      <c r="I1593" s="1750" t="s">
        <v>7374</v>
      </c>
      <c r="J1593" s="1785" t="s">
        <v>470</v>
      </c>
      <c r="K1593" s="1786" t="s">
        <v>642</v>
      </c>
      <c r="L1593" s="1787">
        <v>977.90999999999985</v>
      </c>
      <c r="M1593" s="1787">
        <v>20</v>
      </c>
      <c r="N1593" s="1754">
        <v>19558.2</v>
      </c>
      <c r="O1593" s="1788"/>
      <c r="P1593" s="1721" t="s">
        <v>9611</v>
      </c>
    </row>
    <row r="1594" spans="1:16" ht="13.5" hidden="1" customHeight="1" outlineLevel="3" x14ac:dyDescent="0.2">
      <c r="A1594" s="459">
        <v>0</v>
      </c>
      <c r="B1594" s="459">
        <v>13</v>
      </c>
      <c r="C1594" s="459">
        <v>11</v>
      </c>
      <c r="D1594" s="460">
        <v>6</v>
      </c>
      <c r="E1594" s="460">
        <v>2</v>
      </c>
      <c r="G1594" s="1798" t="s">
        <v>24</v>
      </c>
      <c r="H1594" s="1783" t="s">
        <v>1239</v>
      </c>
      <c r="I1594" s="1750" t="s">
        <v>7375</v>
      </c>
      <c r="J1594" s="1785" t="s">
        <v>471</v>
      </c>
      <c r="K1594" s="1786" t="s">
        <v>642</v>
      </c>
      <c r="L1594" s="1787">
        <v>116.68999999999996</v>
      </c>
      <c r="M1594" s="1787">
        <v>35</v>
      </c>
      <c r="N1594" s="1754">
        <v>4084.15</v>
      </c>
      <c r="O1594" s="1788"/>
      <c r="P1594" s="1721" t="s">
        <v>9611</v>
      </c>
    </row>
    <row r="1595" spans="1:16" ht="13.5" hidden="1" customHeight="1" outlineLevel="3" x14ac:dyDescent="0.2">
      <c r="A1595" s="459">
        <v>0</v>
      </c>
      <c r="B1595" s="459">
        <v>13</v>
      </c>
      <c r="C1595" s="459">
        <v>11</v>
      </c>
      <c r="D1595" s="460">
        <v>6</v>
      </c>
      <c r="E1595" s="460">
        <v>3</v>
      </c>
      <c r="G1595" s="1798" t="s">
        <v>24</v>
      </c>
      <c r="H1595" s="1783" t="s">
        <v>1239</v>
      </c>
      <c r="I1595" s="1750" t="s">
        <v>7376</v>
      </c>
      <c r="J1595" s="1785" t="s">
        <v>4195</v>
      </c>
      <c r="K1595" s="1786" t="s">
        <v>642</v>
      </c>
      <c r="L1595" s="1787">
        <v>2974.71</v>
      </c>
      <c r="M1595" s="1787">
        <v>32</v>
      </c>
      <c r="N1595" s="1754">
        <v>95190.720000000001</v>
      </c>
      <c r="O1595" s="1788"/>
      <c r="P1595" s="1721" t="s">
        <v>9611</v>
      </c>
    </row>
    <row r="1596" spans="1:16" ht="13.5" hidden="1" customHeight="1" outlineLevel="3" x14ac:dyDescent="0.2">
      <c r="A1596" s="459">
        <v>0</v>
      </c>
      <c r="B1596" s="459">
        <v>13</v>
      </c>
      <c r="C1596" s="459">
        <v>11</v>
      </c>
      <c r="D1596" s="460">
        <v>6</v>
      </c>
      <c r="E1596" s="460">
        <v>4</v>
      </c>
      <c r="G1596" s="1798" t="s">
        <v>24</v>
      </c>
      <c r="H1596" s="1783" t="s">
        <v>1239</v>
      </c>
      <c r="I1596" s="1750" t="s">
        <v>7377</v>
      </c>
      <c r="J1596" s="1785" t="s">
        <v>4199</v>
      </c>
      <c r="K1596" s="1786" t="s">
        <v>642</v>
      </c>
      <c r="L1596" s="1787">
        <v>156.47999999999996</v>
      </c>
      <c r="M1596" s="1787">
        <v>45</v>
      </c>
      <c r="N1596" s="1754">
        <v>7041.6</v>
      </c>
      <c r="O1596" s="1788"/>
      <c r="P1596" s="1721" t="s">
        <v>9611</v>
      </c>
    </row>
    <row r="1597" spans="1:16" ht="13.5" hidden="1" customHeight="1" outlineLevel="3" x14ac:dyDescent="0.2">
      <c r="A1597" s="459">
        <v>0</v>
      </c>
      <c r="B1597" s="459">
        <v>13</v>
      </c>
      <c r="C1597" s="459">
        <v>11</v>
      </c>
      <c r="D1597" s="460">
        <v>6</v>
      </c>
      <c r="E1597" s="460">
        <v>5</v>
      </c>
      <c r="G1597" s="1798" t="s">
        <v>24</v>
      </c>
      <c r="H1597" s="1783" t="s">
        <v>1239</v>
      </c>
      <c r="I1597" s="1750" t="s">
        <v>7378</v>
      </c>
      <c r="J1597" s="1785" t="s">
        <v>4202</v>
      </c>
      <c r="K1597" s="1786" t="s">
        <v>642</v>
      </c>
      <c r="L1597" s="1787">
        <v>308.5</v>
      </c>
      <c r="M1597" s="1787">
        <v>42</v>
      </c>
      <c r="N1597" s="1754">
        <v>12957</v>
      </c>
      <c r="O1597" s="1788"/>
      <c r="P1597" s="1721" t="s">
        <v>9611</v>
      </c>
    </row>
    <row r="1598" spans="1:16" ht="13.5" hidden="1" customHeight="1" outlineLevel="3" x14ac:dyDescent="0.2">
      <c r="A1598" s="459">
        <v>0</v>
      </c>
      <c r="B1598" s="459">
        <v>13</v>
      </c>
      <c r="C1598" s="459">
        <v>11</v>
      </c>
      <c r="D1598" s="460">
        <v>6</v>
      </c>
      <c r="E1598" s="460">
        <v>6</v>
      </c>
      <c r="G1598" s="1798" t="s">
        <v>24</v>
      </c>
      <c r="H1598" s="1783" t="s">
        <v>1239</v>
      </c>
      <c r="I1598" s="1750" t="s">
        <v>7379</v>
      </c>
      <c r="J1598" s="1751" t="s">
        <v>478</v>
      </c>
      <c r="K1598" s="1786" t="s">
        <v>534</v>
      </c>
      <c r="L1598" s="1787">
        <v>440</v>
      </c>
      <c r="M1598" s="1787">
        <v>50</v>
      </c>
      <c r="N1598" s="1754">
        <v>22000</v>
      </c>
      <c r="O1598" s="1788"/>
      <c r="P1598" s="1721" t="s">
        <v>9611</v>
      </c>
    </row>
    <row r="1599" spans="1:16" ht="13.5" hidden="1" customHeight="1" outlineLevel="1" x14ac:dyDescent="0.2">
      <c r="A1599" s="459">
        <v>0</v>
      </c>
      <c r="B1599" s="459">
        <v>13</v>
      </c>
      <c r="C1599" s="459">
        <v>12</v>
      </c>
      <c r="D1599" s="460">
        <v>0</v>
      </c>
      <c r="E1599" s="460">
        <v>6</v>
      </c>
      <c r="G1599" s="1796"/>
      <c r="H1599" s="1771" t="s">
        <v>39</v>
      </c>
      <c r="I1599" s="1735" t="s">
        <v>7380</v>
      </c>
      <c r="J1599" s="1773" t="s">
        <v>2838</v>
      </c>
      <c r="K1599" s="1774"/>
      <c r="L1599" s="1775"/>
      <c r="M1599" s="1775"/>
      <c r="N1599" s="1739">
        <v>29621.327888</v>
      </c>
      <c r="O1599" s="1776">
        <v>1.76847232739511</v>
      </c>
      <c r="P1599" s="1719"/>
    </row>
    <row r="1600" spans="1:16" ht="13.5" hidden="1" customHeight="1" outlineLevel="2" x14ac:dyDescent="0.2">
      <c r="A1600" s="459">
        <v>0</v>
      </c>
      <c r="B1600" s="459">
        <v>13</v>
      </c>
      <c r="C1600" s="459">
        <v>12</v>
      </c>
      <c r="D1600" s="460">
        <v>1</v>
      </c>
      <c r="E1600" s="460">
        <v>0</v>
      </c>
      <c r="G1600" s="1797"/>
      <c r="H1600" s="1777" t="s">
        <v>1238</v>
      </c>
      <c r="I1600" s="1742" t="s">
        <v>7381</v>
      </c>
      <c r="J1600" s="1779" t="s">
        <v>25</v>
      </c>
      <c r="K1600" s="1780"/>
      <c r="L1600" s="1781"/>
      <c r="M1600" s="1781"/>
      <c r="N1600" s="1746">
        <v>1327.886107</v>
      </c>
      <c r="O1600" s="1782">
        <v>7.9278344409173404E-2</v>
      </c>
      <c r="P1600" s="1720"/>
    </row>
    <row r="1601" spans="1:16" ht="13.5" hidden="1" customHeight="1" outlineLevel="3" x14ac:dyDescent="0.2">
      <c r="A1601" s="459">
        <v>0</v>
      </c>
      <c r="B1601" s="459">
        <v>13</v>
      </c>
      <c r="C1601" s="459">
        <v>12</v>
      </c>
      <c r="D1601" s="460">
        <v>1</v>
      </c>
      <c r="E1601" s="460">
        <v>1</v>
      </c>
      <c r="G1601" s="1798" t="s">
        <v>24</v>
      </c>
      <c r="H1601" s="1783" t="s">
        <v>1239</v>
      </c>
      <c r="I1601" s="1750" t="s">
        <v>7382</v>
      </c>
      <c r="J1601" s="1785" t="s">
        <v>442</v>
      </c>
      <c r="K1601" s="1786" t="s">
        <v>642</v>
      </c>
      <c r="L1601" s="1787">
        <v>110.52999999999999</v>
      </c>
      <c r="M1601" s="1787">
        <v>7.0658999999999992</v>
      </c>
      <c r="N1601" s="1754">
        <v>780.99392699999999</v>
      </c>
      <c r="O1601" s="1788" t="s">
        <v>4191</v>
      </c>
      <c r="P1601" s="1721" t="s">
        <v>9611</v>
      </c>
    </row>
    <row r="1602" spans="1:16" ht="13.5" hidden="1" customHeight="1" outlineLevel="3" x14ac:dyDescent="0.2">
      <c r="A1602" s="459">
        <v>0</v>
      </c>
      <c r="B1602" s="459">
        <v>13</v>
      </c>
      <c r="C1602" s="459">
        <v>12</v>
      </c>
      <c r="D1602" s="460">
        <v>1</v>
      </c>
      <c r="E1602" s="460">
        <v>2</v>
      </c>
      <c r="G1602" s="1798" t="s">
        <v>24</v>
      </c>
      <c r="H1602" s="1783" t="s">
        <v>1239</v>
      </c>
      <c r="I1602" s="1750" t="s">
        <v>7383</v>
      </c>
      <c r="J1602" s="1785" t="s">
        <v>444</v>
      </c>
      <c r="K1602" s="1786" t="s">
        <v>642</v>
      </c>
      <c r="L1602" s="1787">
        <v>11.08</v>
      </c>
      <c r="M1602" s="1787">
        <v>49.358499999999999</v>
      </c>
      <c r="N1602" s="1754">
        <v>546.89218000000005</v>
      </c>
      <c r="O1602" s="1788" t="s">
        <v>4192</v>
      </c>
      <c r="P1602" s="1721" t="s">
        <v>9611</v>
      </c>
    </row>
    <row r="1603" spans="1:16" ht="13.5" hidden="1" customHeight="1" outlineLevel="2" x14ac:dyDescent="0.2">
      <c r="A1603" s="459">
        <v>0</v>
      </c>
      <c r="B1603" s="459">
        <v>13</v>
      </c>
      <c r="C1603" s="459">
        <v>12</v>
      </c>
      <c r="D1603" s="460">
        <v>2</v>
      </c>
      <c r="E1603" s="460">
        <v>0</v>
      </c>
      <c r="G1603" s="1797"/>
      <c r="H1603" s="1777" t="s">
        <v>1238</v>
      </c>
      <c r="I1603" s="1742" t="s">
        <v>7384</v>
      </c>
      <c r="J1603" s="1779" t="s">
        <v>4188</v>
      </c>
      <c r="K1603" s="1780"/>
      <c r="L1603" s="1781"/>
      <c r="M1603" s="1781"/>
      <c r="N1603" s="1746">
        <v>9561.8313959999996</v>
      </c>
      <c r="O1603" s="1782"/>
      <c r="P1603" s="1720"/>
    </row>
    <row r="1604" spans="1:16" ht="13.5" hidden="1" customHeight="1" outlineLevel="3" x14ac:dyDescent="0.2">
      <c r="A1604" s="459">
        <v>0</v>
      </c>
      <c r="B1604" s="459">
        <v>13</v>
      </c>
      <c r="C1604" s="459">
        <v>12</v>
      </c>
      <c r="D1604" s="460">
        <v>2</v>
      </c>
      <c r="E1604" s="460">
        <v>1</v>
      </c>
      <c r="G1604" s="1798" t="s">
        <v>24</v>
      </c>
      <c r="H1604" s="1783" t="s">
        <v>1239</v>
      </c>
      <c r="I1604" s="1750" t="s">
        <v>7385</v>
      </c>
      <c r="J1604" s="1785" t="s">
        <v>4172</v>
      </c>
      <c r="K1604" s="1786" t="s">
        <v>642</v>
      </c>
      <c r="L1604" s="1787">
        <v>64.22</v>
      </c>
      <c r="M1604" s="1787">
        <v>148.89179999999999</v>
      </c>
      <c r="N1604" s="1754">
        <v>9561.8313959999996</v>
      </c>
      <c r="O1604" s="1788" t="s">
        <v>4181</v>
      </c>
      <c r="P1604" s="1721" t="s">
        <v>9611</v>
      </c>
    </row>
    <row r="1605" spans="1:16" ht="13.5" hidden="1" customHeight="1" outlineLevel="2" x14ac:dyDescent="0.2">
      <c r="A1605" s="459">
        <v>0</v>
      </c>
      <c r="B1605" s="459">
        <v>13</v>
      </c>
      <c r="C1605" s="459">
        <v>12</v>
      </c>
      <c r="D1605" s="460">
        <v>3</v>
      </c>
      <c r="E1605" s="460">
        <v>0</v>
      </c>
      <c r="G1605" s="1797"/>
      <c r="H1605" s="1777" t="s">
        <v>1238</v>
      </c>
      <c r="I1605" s="1742" t="s">
        <v>7386</v>
      </c>
      <c r="J1605" s="1779" t="s">
        <v>4187</v>
      </c>
      <c r="K1605" s="1780"/>
      <c r="L1605" s="1781"/>
      <c r="M1605" s="1781"/>
      <c r="N1605" s="1746">
        <v>5521.3217616666698</v>
      </c>
      <c r="O1605" s="1782"/>
      <c r="P1605" s="1720"/>
    </row>
    <row r="1606" spans="1:16" ht="13.5" hidden="1" customHeight="1" outlineLevel="3" x14ac:dyDescent="0.2">
      <c r="A1606" s="459">
        <v>0</v>
      </c>
      <c r="B1606" s="459">
        <v>13</v>
      </c>
      <c r="C1606" s="459">
        <v>12</v>
      </c>
      <c r="D1606" s="460">
        <v>3</v>
      </c>
      <c r="E1606" s="460">
        <v>1</v>
      </c>
      <c r="G1606" s="1798" t="s">
        <v>24</v>
      </c>
      <c r="H1606" s="1783" t="s">
        <v>1239</v>
      </c>
      <c r="I1606" s="1750" t="s">
        <v>7387</v>
      </c>
      <c r="J1606" s="1785" t="s">
        <v>4169</v>
      </c>
      <c r="K1606" s="1786" t="s">
        <v>642</v>
      </c>
      <c r="L1606" s="1787">
        <v>93.61</v>
      </c>
      <c r="M1606" s="1787">
        <v>34.058466666666661</v>
      </c>
      <c r="N1606" s="1754">
        <v>3188.2130646666701</v>
      </c>
      <c r="O1606" s="1788" t="s">
        <v>4179</v>
      </c>
      <c r="P1606" s="1721" t="s">
        <v>9611</v>
      </c>
    </row>
    <row r="1607" spans="1:16" ht="13.5" hidden="1" customHeight="1" outlineLevel="3" x14ac:dyDescent="0.2">
      <c r="A1607" s="459">
        <v>0</v>
      </c>
      <c r="B1607" s="459">
        <v>13</v>
      </c>
      <c r="C1607" s="459">
        <v>12</v>
      </c>
      <c r="D1607" s="460">
        <v>3</v>
      </c>
      <c r="E1607" s="460">
        <v>2</v>
      </c>
      <c r="G1607" s="1798" t="s">
        <v>24</v>
      </c>
      <c r="H1607" s="1783" t="s">
        <v>1239</v>
      </c>
      <c r="I1607" s="1750" t="s">
        <v>7388</v>
      </c>
      <c r="J1607" s="1785" t="s">
        <v>4172</v>
      </c>
      <c r="K1607" s="1786" t="s">
        <v>642</v>
      </c>
      <c r="L1607" s="1787">
        <v>4.1400000000000006</v>
      </c>
      <c r="M1607" s="1787">
        <v>148.89179999999999</v>
      </c>
      <c r="N1607" s="1754">
        <v>616.41205200000002</v>
      </c>
      <c r="O1607" s="1788" t="s">
        <v>4180</v>
      </c>
      <c r="P1607" s="1721" t="s">
        <v>9611</v>
      </c>
    </row>
    <row r="1608" spans="1:16" ht="13.5" hidden="1" customHeight="1" outlineLevel="3" x14ac:dyDescent="0.2">
      <c r="A1608" s="459">
        <v>0</v>
      </c>
      <c r="B1608" s="459">
        <v>13</v>
      </c>
      <c r="C1608" s="459">
        <v>12</v>
      </c>
      <c r="D1608" s="460">
        <v>3</v>
      </c>
      <c r="E1608" s="460">
        <v>3</v>
      </c>
      <c r="G1608" s="1798" t="s">
        <v>24</v>
      </c>
      <c r="H1608" s="1783" t="s">
        <v>1239</v>
      </c>
      <c r="I1608" s="1750" t="s">
        <v>7389</v>
      </c>
      <c r="J1608" s="1785" t="s">
        <v>4174</v>
      </c>
      <c r="K1608" s="1786" t="s">
        <v>642</v>
      </c>
      <c r="L1608" s="1787">
        <v>12.89</v>
      </c>
      <c r="M1608" s="1787">
        <v>133.18049999999999</v>
      </c>
      <c r="N1608" s="1754">
        <v>1716.696645</v>
      </c>
      <c r="O1608" s="1788" t="s">
        <v>4183</v>
      </c>
      <c r="P1608" s="1721" t="s">
        <v>9611</v>
      </c>
    </row>
    <row r="1609" spans="1:16" ht="13.5" hidden="1" customHeight="1" outlineLevel="2" x14ac:dyDescent="0.2">
      <c r="A1609" s="459">
        <v>0</v>
      </c>
      <c r="B1609" s="459">
        <v>13</v>
      </c>
      <c r="C1609" s="459">
        <v>12</v>
      </c>
      <c r="D1609" s="460">
        <v>4</v>
      </c>
      <c r="E1609" s="460">
        <v>0</v>
      </c>
      <c r="G1609" s="1797"/>
      <c r="H1609" s="1777" t="s">
        <v>1238</v>
      </c>
      <c r="I1609" s="1742" t="s">
        <v>7390</v>
      </c>
      <c r="J1609" s="1779" t="s">
        <v>2786</v>
      </c>
      <c r="K1609" s="1780"/>
      <c r="L1609" s="1781"/>
      <c r="M1609" s="1781"/>
      <c r="N1609" s="1746">
        <v>1723.35841333333</v>
      </c>
      <c r="O1609" s="1782"/>
      <c r="P1609" s="1720"/>
    </row>
    <row r="1610" spans="1:16" ht="13.5" hidden="1" customHeight="1" outlineLevel="3" x14ac:dyDescent="0.2">
      <c r="A1610" s="459">
        <v>0</v>
      </c>
      <c r="B1610" s="459">
        <v>13</v>
      </c>
      <c r="C1610" s="459">
        <v>12</v>
      </c>
      <c r="D1610" s="460">
        <v>4</v>
      </c>
      <c r="E1610" s="460">
        <v>1</v>
      </c>
      <c r="G1610" s="1798" t="s">
        <v>24</v>
      </c>
      <c r="H1610" s="1783" t="s">
        <v>1239</v>
      </c>
      <c r="I1610" s="1750" t="s">
        <v>7391</v>
      </c>
      <c r="J1610" s="1785" t="s">
        <v>4169</v>
      </c>
      <c r="K1610" s="1786" t="s">
        <v>642</v>
      </c>
      <c r="L1610" s="1787">
        <v>50.6</v>
      </c>
      <c r="M1610" s="1787">
        <v>34.058466666666661</v>
      </c>
      <c r="N1610" s="1754">
        <v>1723.35841333333</v>
      </c>
      <c r="O1610" s="1788"/>
      <c r="P1610" s="1721" t="s">
        <v>9611</v>
      </c>
    </row>
    <row r="1611" spans="1:16" ht="13.5" hidden="1" customHeight="1" outlineLevel="2" x14ac:dyDescent="0.2">
      <c r="A1611" s="459">
        <v>0</v>
      </c>
      <c r="B1611" s="459">
        <v>13</v>
      </c>
      <c r="C1611" s="459">
        <v>12</v>
      </c>
      <c r="D1611" s="460">
        <v>5</v>
      </c>
      <c r="E1611" s="460">
        <v>0</v>
      </c>
      <c r="G1611" s="1797"/>
      <c r="H1611" s="1777" t="s">
        <v>1238</v>
      </c>
      <c r="I1611" s="1742" t="s">
        <v>7392</v>
      </c>
      <c r="J1611" s="1779" t="s">
        <v>2787</v>
      </c>
      <c r="K1611" s="1780"/>
      <c r="L1611" s="1781"/>
      <c r="M1611" s="1781"/>
      <c r="N1611" s="1746">
        <v>122.64021</v>
      </c>
      <c r="O1611" s="1782"/>
      <c r="P1611" s="1720"/>
    </row>
    <row r="1612" spans="1:16" ht="13.5" hidden="1" customHeight="1" outlineLevel="3" x14ac:dyDescent="0.2">
      <c r="A1612" s="459">
        <v>0</v>
      </c>
      <c r="B1612" s="459">
        <v>13</v>
      </c>
      <c r="C1612" s="459">
        <v>12</v>
      </c>
      <c r="D1612" s="460">
        <v>5</v>
      </c>
      <c r="E1612" s="460">
        <v>1</v>
      </c>
      <c r="G1612" s="1798" t="s">
        <v>24</v>
      </c>
      <c r="H1612" s="1783" t="s">
        <v>1239</v>
      </c>
      <c r="I1612" s="1750" t="s">
        <v>7393</v>
      </c>
      <c r="J1612" s="1785" t="s">
        <v>1683</v>
      </c>
      <c r="K1612" s="1786" t="s">
        <v>534</v>
      </c>
      <c r="L1612" s="1787">
        <v>14</v>
      </c>
      <c r="M1612" s="1787">
        <v>8.760015000000001</v>
      </c>
      <c r="N1612" s="1754">
        <v>122.64021</v>
      </c>
      <c r="O1612" s="1788"/>
      <c r="P1612" s="1721" t="s">
        <v>9611</v>
      </c>
    </row>
    <row r="1613" spans="1:16" ht="13.5" hidden="1" customHeight="1" outlineLevel="2" x14ac:dyDescent="0.2">
      <c r="A1613" s="459">
        <v>0</v>
      </c>
      <c r="B1613" s="459">
        <v>13</v>
      </c>
      <c r="C1613" s="459">
        <v>12</v>
      </c>
      <c r="D1613" s="460">
        <v>6</v>
      </c>
      <c r="E1613" s="460">
        <v>0</v>
      </c>
      <c r="G1613" s="1797"/>
      <c r="H1613" s="1777" t="s">
        <v>1238</v>
      </c>
      <c r="I1613" s="1742" t="s">
        <v>7394</v>
      </c>
      <c r="J1613" s="1779" t="s">
        <v>1249</v>
      </c>
      <c r="K1613" s="1780"/>
      <c r="L1613" s="1781"/>
      <c r="M1613" s="1781"/>
      <c r="N1613" s="1746">
        <v>11364.29</v>
      </c>
      <c r="O1613" s="1782"/>
      <c r="P1613" s="1720"/>
    </row>
    <row r="1614" spans="1:16" ht="13.5" hidden="1" customHeight="1" outlineLevel="3" x14ac:dyDescent="0.2">
      <c r="A1614" s="459">
        <v>0</v>
      </c>
      <c r="B1614" s="459">
        <v>13</v>
      </c>
      <c r="C1614" s="459">
        <v>12</v>
      </c>
      <c r="D1614" s="460">
        <v>6</v>
      </c>
      <c r="E1614" s="460">
        <v>1</v>
      </c>
      <c r="G1614" s="1798" t="s">
        <v>24</v>
      </c>
      <c r="H1614" s="1783" t="s">
        <v>1239</v>
      </c>
      <c r="I1614" s="1750" t="s">
        <v>7395</v>
      </c>
      <c r="J1614" s="1785" t="s">
        <v>470</v>
      </c>
      <c r="K1614" s="1786" t="s">
        <v>642</v>
      </c>
      <c r="L1614" s="1787">
        <v>110.52999999999999</v>
      </c>
      <c r="M1614" s="1787">
        <v>20</v>
      </c>
      <c r="N1614" s="1754">
        <v>2210.6</v>
      </c>
      <c r="O1614" s="1788"/>
      <c r="P1614" s="1721" t="s">
        <v>9611</v>
      </c>
    </row>
    <row r="1615" spans="1:16" ht="13.5" hidden="1" customHeight="1" outlineLevel="3" x14ac:dyDescent="0.2">
      <c r="A1615" s="459">
        <v>0</v>
      </c>
      <c r="B1615" s="459">
        <v>13</v>
      </c>
      <c r="C1615" s="459">
        <v>12</v>
      </c>
      <c r="D1615" s="460">
        <v>6</v>
      </c>
      <c r="E1615" s="460">
        <v>2</v>
      </c>
      <c r="G1615" s="1798" t="s">
        <v>24</v>
      </c>
      <c r="H1615" s="1783" t="s">
        <v>1239</v>
      </c>
      <c r="I1615" s="1750" t="s">
        <v>7396</v>
      </c>
      <c r="J1615" s="1785" t="s">
        <v>471</v>
      </c>
      <c r="K1615" s="1786" t="s">
        <v>642</v>
      </c>
      <c r="L1615" s="1787">
        <v>11.08</v>
      </c>
      <c r="M1615" s="1787">
        <v>35</v>
      </c>
      <c r="N1615" s="1754">
        <v>387.8</v>
      </c>
      <c r="O1615" s="1788"/>
      <c r="P1615" s="1721" t="s">
        <v>9611</v>
      </c>
    </row>
    <row r="1616" spans="1:16" ht="13.5" hidden="1" customHeight="1" outlineLevel="3" x14ac:dyDescent="0.2">
      <c r="A1616" s="459">
        <v>0</v>
      </c>
      <c r="B1616" s="459">
        <v>13</v>
      </c>
      <c r="C1616" s="459">
        <v>12</v>
      </c>
      <c r="D1616" s="460">
        <v>6</v>
      </c>
      <c r="E1616" s="460">
        <v>3</v>
      </c>
      <c r="G1616" s="1798" t="s">
        <v>24</v>
      </c>
      <c r="H1616" s="1783" t="s">
        <v>1239</v>
      </c>
      <c r="I1616" s="1750" t="s">
        <v>7397</v>
      </c>
      <c r="J1616" s="1785" t="s">
        <v>4195</v>
      </c>
      <c r="K1616" s="1786" t="s">
        <v>642</v>
      </c>
      <c r="L1616" s="1787">
        <v>144.21</v>
      </c>
      <c r="M1616" s="1787">
        <v>32</v>
      </c>
      <c r="N1616" s="1754">
        <v>4614.72</v>
      </c>
      <c r="O1616" s="1788"/>
      <c r="P1616" s="1721" t="s">
        <v>9611</v>
      </c>
    </row>
    <row r="1617" spans="1:16" ht="13.5" hidden="1" customHeight="1" outlineLevel="3" x14ac:dyDescent="0.2">
      <c r="A1617" s="459">
        <v>0</v>
      </c>
      <c r="B1617" s="459">
        <v>13</v>
      </c>
      <c r="C1617" s="459">
        <v>12</v>
      </c>
      <c r="D1617" s="460">
        <v>6</v>
      </c>
      <c r="E1617" s="460">
        <v>4</v>
      </c>
      <c r="G1617" s="1798" t="s">
        <v>24</v>
      </c>
      <c r="H1617" s="1783" t="s">
        <v>1239</v>
      </c>
      <c r="I1617" s="1750" t="s">
        <v>7398</v>
      </c>
      <c r="J1617" s="1785" t="s">
        <v>4199</v>
      </c>
      <c r="K1617" s="1786" t="s">
        <v>642</v>
      </c>
      <c r="L1617" s="1787">
        <v>12.89</v>
      </c>
      <c r="M1617" s="1787">
        <v>45</v>
      </c>
      <c r="N1617" s="1754">
        <v>580.04999999999995</v>
      </c>
      <c r="O1617" s="1788"/>
      <c r="P1617" s="1721" t="s">
        <v>9611</v>
      </c>
    </row>
    <row r="1618" spans="1:16" ht="13.5" hidden="1" customHeight="1" outlineLevel="3" x14ac:dyDescent="0.2">
      <c r="A1618" s="459">
        <v>0</v>
      </c>
      <c r="B1618" s="459">
        <v>13</v>
      </c>
      <c r="C1618" s="459">
        <v>12</v>
      </c>
      <c r="D1618" s="460">
        <v>6</v>
      </c>
      <c r="E1618" s="460">
        <v>5</v>
      </c>
      <c r="G1618" s="1798" t="s">
        <v>24</v>
      </c>
      <c r="H1618" s="1783" t="s">
        <v>1239</v>
      </c>
      <c r="I1618" s="1750" t="s">
        <v>7399</v>
      </c>
      <c r="J1618" s="1785" t="s">
        <v>4202</v>
      </c>
      <c r="K1618" s="1786" t="s">
        <v>642</v>
      </c>
      <c r="L1618" s="1787">
        <v>68.36</v>
      </c>
      <c r="M1618" s="1787">
        <v>42</v>
      </c>
      <c r="N1618" s="1754">
        <v>2871.12</v>
      </c>
      <c r="O1618" s="1788"/>
      <c r="P1618" s="1721" t="s">
        <v>9611</v>
      </c>
    </row>
    <row r="1619" spans="1:16" ht="13.5" hidden="1" customHeight="1" outlineLevel="3" x14ac:dyDescent="0.2">
      <c r="A1619" s="459">
        <v>0</v>
      </c>
      <c r="B1619" s="459">
        <v>13</v>
      </c>
      <c r="C1619" s="459">
        <v>12</v>
      </c>
      <c r="D1619" s="460">
        <v>6</v>
      </c>
      <c r="E1619" s="460">
        <v>6</v>
      </c>
      <c r="G1619" s="1798" t="s">
        <v>24</v>
      </c>
      <c r="H1619" s="1783" t="s">
        <v>1239</v>
      </c>
      <c r="I1619" s="1750" t="s">
        <v>7400</v>
      </c>
      <c r="J1619" s="1751" t="s">
        <v>478</v>
      </c>
      <c r="K1619" s="1786" t="s">
        <v>534</v>
      </c>
      <c r="L1619" s="1787">
        <v>14</v>
      </c>
      <c r="M1619" s="1787">
        <v>50</v>
      </c>
      <c r="N1619" s="1754">
        <v>700</v>
      </c>
      <c r="O1619" s="1788"/>
      <c r="P1619" s="1721" t="s">
        <v>9611</v>
      </c>
    </row>
    <row r="1620" spans="1:16" ht="13.5" hidden="1" customHeight="1" outlineLevel="1" x14ac:dyDescent="0.2">
      <c r="A1620" s="459">
        <v>0</v>
      </c>
      <c r="B1620" s="459">
        <v>13</v>
      </c>
      <c r="C1620" s="459">
        <v>13</v>
      </c>
      <c r="D1620" s="460">
        <v>0</v>
      </c>
      <c r="E1620" s="460">
        <v>6</v>
      </c>
      <c r="G1620" s="1796"/>
      <c r="H1620" s="1771" t="s">
        <v>39</v>
      </c>
      <c r="I1620" s="1735" t="s">
        <v>7401</v>
      </c>
      <c r="J1620" s="1773" t="s">
        <v>2839</v>
      </c>
      <c r="K1620" s="1774"/>
      <c r="L1620" s="1775"/>
      <c r="M1620" s="1775"/>
      <c r="N1620" s="1739">
        <v>36625.202243333297</v>
      </c>
      <c r="O1620" s="1776">
        <v>2.1866223181312399</v>
      </c>
      <c r="P1620" s="1719"/>
    </row>
    <row r="1621" spans="1:16" ht="13.5" hidden="1" customHeight="1" outlineLevel="2" x14ac:dyDescent="0.2">
      <c r="A1621" s="459">
        <v>0</v>
      </c>
      <c r="B1621" s="459">
        <v>13</v>
      </c>
      <c r="C1621" s="459">
        <v>13</v>
      </c>
      <c r="D1621" s="460">
        <v>1</v>
      </c>
      <c r="E1621" s="460">
        <v>0</v>
      </c>
      <c r="G1621" s="1797"/>
      <c r="H1621" s="1777" t="s">
        <v>1238</v>
      </c>
      <c r="I1621" s="1742" t="s">
        <v>7402</v>
      </c>
      <c r="J1621" s="1779" t="s">
        <v>25</v>
      </c>
      <c r="K1621" s="1780"/>
      <c r="L1621" s="1781"/>
      <c r="M1621" s="1781"/>
      <c r="N1621" s="1746">
        <v>3218.1447720000001</v>
      </c>
      <c r="O1621" s="1782">
        <v>0.19213183137339401</v>
      </c>
      <c r="P1621" s="1720"/>
    </row>
    <row r="1622" spans="1:16" ht="13.5" hidden="1" customHeight="1" outlineLevel="3" x14ac:dyDescent="0.2">
      <c r="A1622" s="459">
        <v>0</v>
      </c>
      <c r="B1622" s="459">
        <v>13</v>
      </c>
      <c r="C1622" s="459">
        <v>13</v>
      </c>
      <c r="D1622" s="460">
        <v>1</v>
      </c>
      <c r="E1622" s="460">
        <v>1</v>
      </c>
      <c r="G1622" s="1798" t="s">
        <v>24</v>
      </c>
      <c r="H1622" s="1783" t="s">
        <v>1239</v>
      </c>
      <c r="I1622" s="1750" t="s">
        <v>7403</v>
      </c>
      <c r="J1622" s="1785" t="s">
        <v>442</v>
      </c>
      <c r="K1622" s="1786" t="s">
        <v>642</v>
      </c>
      <c r="L1622" s="1787">
        <v>113.23</v>
      </c>
      <c r="M1622" s="1787">
        <v>7.0658999999999992</v>
      </c>
      <c r="N1622" s="1754">
        <v>800.07185700000002</v>
      </c>
      <c r="O1622" s="1788" t="s">
        <v>4191</v>
      </c>
      <c r="P1622" s="1721" t="s">
        <v>9611</v>
      </c>
    </row>
    <row r="1623" spans="1:16" ht="13.5" hidden="1" customHeight="1" outlineLevel="3" x14ac:dyDescent="0.2">
      <c r="A1623" s="459">
        <v>0</v>
      </c>
      <c r="B1623" s="459">
        <v>13</v>
      </c>
      <c r="C1623" s="459">
        <v>13</v>
      </c>
      <c r="D1623" s="460">
        <v>1</v>
      </c>
      <c r="E1623" s="460">
        <v>2</v>
      </c>
      <c r="G1623" s="1798" t="s">
        <v>24</v>
      </c>
      <c r="H1623" s="1783" t="s">
        <v>1239</v>
      </c>
      <c r="I1623" s="1750" t="s">
        <v>7404</v>
      </c>
      <c r="J1623" s="1785" t="s">
        <v>444</v>
      </c>
      <c r="K1623" s="1786" t="s">
        <v>642</v>
      </c>
      <c r="L1623" s="1787">
        <v>48.99</v>
      </c>
      <c r="M1623" s="1787">
        <v>49.358499999999999</v>
      </c>
      <c r="N1623" s="1754">
        <v>2418.0729150000002</v>
      </c>
      <c r="O1623" s="1788" t="s">
        <v>4192</v>
      </c>
      <c r="P1623" s="1721" t="s">
        <v>9611</v>
      </c>
    </row>
    <row r="1624" spans="1:16" ht="13.5" hidden="1" customHeight="1" outlineLevel="2" x14ac:dyDescent="0.2">
      <c r="A1624" s="459">
        <v>0</v>
      </c>
      <c r="B1624" s="459">
        <v>13</v>
      </c>
      <c r="C1624" s="459">
        <v>13</v>
      </c>
      <c r="D1624" s="460">
        <v>2</v>
      </c>
      <c r="E1624" s="460">
        <v>0</v>
      </c>
      <c r="G1624" s="1797"/>
      <c r="H1624" s="1777" t="s">
        <v>1238</v>
      </c>
      <c r="I1624" s="1742" t="s">
        <v>7405</v>
      </c>
      <c r="J1624" s="1779" t="s">
        <v>4188</v>
      </c>
      <c r="K1624" s="1780"/>
      <c r="L1624" s="1781"/>
      <c r="M1624" s="1781"/>
      <c r="N1624" s="1746">
        <v>13811.860182</v>
      </c>
      <c r="O1624" s="1782"/>
      <c r="P1624" s="1720"/>
    </row>
    <row r="1625" spans="1:16" ht="13.5" hidden="1" customHeight="1" outlineLevel="3" x14ac:dyDescent="0.2">
      <c r="A1625" s="459">
        <v>0</v>
      </c>
      <c r="B1625" s="459">
        <v>13</v>
      </c>
      <c r="C1625" s="459">
        <v>13</v>
      </c>
      <c r="D1625" s="460">
        <v>2</v>
      </c>
      <c r="E1625" s="460">
        <v>1</v>
      </c>
      <c r="G1625" s="1798" t="s">
        <v>24</v>
      </c>
      <c r="H1625" s="1783" t="s">
        <v>1239</v>
      </c>
      <c r="I1625" s="1750" t="s">
        <v>7406</v>
      </c>
      <c r="J1625" s="1785" t="s">
        <v>4174</v>
      </c>
      <c r="K1625" s="1786" t="s">
        <v>642</v>
      </c>
      <c r="L1625" s="1787">
        <v>48.1</v>
      </c>
      <c r="M1625" s="1787">
        <v>133.18049999999999</v>
      </c>
      <c r="N1625" s="1754">
        <v>6405.9820499999996</v>
      </c>
      <c r="O1625" s="1788" t="s">
        <v>4177</v>
      </c>
      <c r="P1625" s="1721" t="s">
        <v>9611</v>
      </c>
    </row>
    <row r="1626" spans="1:16" ht="13.5" hidden="1" customHeight="1" outlineLevel="3" x14ac:dyDescent="0.2">
      <c r="A1626" s="459">
        <v>0</v>
      </c>
      <c r="B1626" s="459">
        <v>13</v>
      </c>
      <c r="C1626" s="459">
        <v>13</v>
      </c>
      <c r="D1626" s="460">
        <v>2</v>
      </c>
      <c r="E1626" s="460">
        <v>2</v>
      </c>
      <c r="G1626" s="1798" t="s">
        <v>24</v>
      </c>
      <c r="H1626" s="1783" t="s">
        <v>1239</v>
      </c>
      <c r="I1626" s="1750" t="s">
        <v>7407</v>
      </c>
      <c r="J1626" s="1785" t="s">
        <v>4172</v>
      </c>
      <c r="K1626" s="1786" t="s">
        <v>642</v>
      </c>
      <c r="L1626" s="1787">
        <v>49.74</v>
      </c>
      <c r="M1626" s="1787">
        <v>148.89179999999999</v>
      </c>
      <c r="N1626" s="1754">
        <v>7405.8781319999998</v>
      </c>
      <c r="O1626" s="1788" t="s">
        <v>4181</v>
      </c>
      <c r="P1626" s="1721" t="s">
        <v>9611</v>
      </c>
    </row>
    <row r="1627" spans="1:16" ht="13.5" hidden="1" customHeight="1" outlineLevel="2" x14ac:dyDescent="0.2">
      <c r="A1627" s="459">
        <v>0</v>
      </c>
      <c r="B1627" s="459">
        <v>13</v>
      </c>
      <c r="C1627" s="459">
        <v>13</v>
      </c>
      <c r="D1627" s="460">
        <v>3</v>
      </c>
      <c r="E1627" s="460">
        <v>0</v>
      </c>
      <c r="G1627" s="1797"/>
      <c r="H1627" s="1777" t="s">
        <v>1238</v>
      </c>
      <c r="I1627" s="1742" t="s">
        <v>7408</v>
      </c>
      <c r="J1627" s="1779" t="s">
        <v>2785</v>
      </c>
      <c r="K1627" s="1780"/>
      <c r="L1627" s="1781"/>
      <c r="M1627" s="1781"/>
      <c r="N1627" s="1746">
        <v>3346.825965</v>
      </c>
      <c r="O1627" s="1782"/>
      <c r="P1627" s="1720"/>
    </row>
    <row r="1628" spans="1:16" ht="13.5" hidden="1" customHeight="1" outlineLevel="3" x14ac:dyDescent="0.2">
      <c r="A1628" s="459">
        <v>0</v>
      </c>
      <c r="B1628" s="459">
        <v>13</v>
      </c>
      <c r="C1628" s="459">
        <v>13</v>
      </c>
      <c r="D1628" s="460">
        <v>3</v>
      </c>
      <c r="E1628" s="460">
        <v>1</v>
      </c>
      <c r="G1628" s="1798" t="s">
        <v>24</v>
      </c>
      <c r="H1628" s="1783" t="s">
        <v>1239</v>
      </c>
      <c r="I1628" s="1750" t="s">
        <v>7409</v>
      </c>
      <c r="J1628" s="1785" t="s">
        <v>4174</v>
      </c>
      <c r="K1628" s="1786" t="s">
        <v>642</v>
      </c>
      <c r="L1628" s="1787">
        <v>25.130000000000003</v>
      </c>
      <c r="M1628" s="1787">
        <v>133.18049999999999</v>
      </c>
      <c r="N1628" s="1754">
        <v>3346.825965</v>
      </c>
      <c r="O1628" s="1788" t="s">
        <v>2208</v>
      </c>
      <c r="P1628" s="1721" t="s">
        <v>9611</v>
      </c>
    </row>
    <row r="1629" spans="1:16" ht="13.5" hidden="1" customHeight="1" outlineLevel="2" x14ac:dyDescent="0.2">
      <c r="A1629" s="459">
        <v>0</v>
      </c>
      <c r="B1629" s="459">
        <v>13</v>
      </c>
      <c r="C1629" s="459">
        <v>13</v>
      </c>
      <c r="D1629" s="460">
        <v>4</v>
      </c>
      <c r="E1629" s="460">
        <v>0</v>
      </c>
      <c r="G1629" s="1797"/>
      <c r="H1629" s="1777" t="s">
        <v>1238</v>
      </c>
      <c r="I1629" s="1742" t="s">
        <v>7410</v>
      </c>
      <c r="J1629" s="1779" t="s">
        <v>4187</v>
      </c>
      <c r="K1629" s="1780"/>
      <c r="L1629" s="1781"/>
      <c r="M1629" s="1781"/>
      <c r="N1629" s="1746">
        <v>2361.25691166667</v>
      </c>
      <c r="O1629" s="1782"/>
      <c r="P1629" s="1720"/>
    </row>
    <row r="1630" spans="1:16" ht="13.5" hidden="1" customHeight="1" outlineLevel="3" x14ac:dyDescent="0.2">
      <c r="A1630" s="459">
        <v>0</v>
      </c>
      <c r="B1630" s="459">
        <v>13</v>
      </c>
      <c r="C1630" s="459">
        <v>13</v>
      </c>
      <c r="D1630" s="460">
        <v>4</v>
      </c>
      <c r="E1630" s="460">
        <v>1</v>
      </c>
      <c r="G1630" s="1798" t="s">
        <v>24</v>
      </c>
      <c r="H1630" s="1783" t="s">
        <v>1239</v>
      </c>
      <c r="I1630" s="1750" t="s">
        <v>7411</v>
      </c>
      <c r="J1630" s="1785" t="s">
        <v>4169</v>
      </c>
      <c r="K1630" s="1786" t="s">
        <v>642</v>
      </c>
      <c r="L1630" s="1787">
        <v>34.660000000000004</v>
      </c>
      <c r="M1630" s="1787">
        <v>34.058466666666661</v>
      </c>
      <c r="N1630" s="1754">
        <v>1180.46645466667</v>
      </c>
      <c r="O1630" s="1788" t="s">
        <v>4179</v>
      </c>
      <c r="P1630" s="1721" t="s">
        <v>9611</v>
      </c>
    </row>
    <row r="1631" spans="1:16" ht="13.5" hidden="1" customHeight="1" outlineLevel="3" x14ac:dyDescent="0.2">
      <c r="A1631" s="459">
        <v>0</v>
      </c>
      <c r="B1631" s="459">
        <v>13</v>
      </c>
      <c r="C1631" s="459">
        <v>13</v>
      </c>
      <c r="D1631" s="460">
        <v>4</v>
      </c>
      <c r="E1631" s="460">
        <v>2</v>
      </c>
      <c r="G1631" s="1798" t="s">
        <v>24</v>
      </c>
      <c r="H1631" s="1783" t="s">
        <v>1239</v>
      </c>
      <c r="I1631" s="1750" t="s">
        <v>7412</v>
      </c>
      <c r="J1631" s="1785" t="s">
        <v>4172</v>
      </c>
      <c r="K1631" s="1786" t="s">
        <v>642</v>
      </c>
      <c r="L1631" s="1787">
        <v>4.29</v>
      </c>
      <c r="M1631" s="1787">
        <v>148.89179999999999</v>
      </c>
      <c r="N1631" s="1754">
        <v>638.74582199999998</v>
      </c>
      <c r="O1631" s="1788" t="s">
        <v>4180</v>
      </c>
      <c r="P1631" s="1721" t="s">
        <v>9611</v>
      </c>
    </row>
    <row r="1632" spans="1:16" ht="13.5" hidden="1" customHeight="1" outlineLevel="3" x14ac:dyDescent="0.2">
      <c r="A1632" s="459">
        <v>0</v>
      </c>
      <c r="B1632" s="459">
        <v>13</v>
      </c>
      <c r="C1632" s="459">
        <v>13</v>
      </c>
      <c r="D1632" s="460">
        <v>4</v>
      </c>
      <c r="E1632" s="460">
        <v>3</v>
      </c>
      <c r="G1632" s="1798" t="s">
        <v>24</v>
      </c>
      <c r="H1632" s="1783" t="s">
        <v>1239</v>
      </c>
      <c r="I1632" s="1750" t="s">
        <v>7413</v>
      </c>
      <c r="J1632" s="1785" t="s">
        <v>4174</v>
      </c>
      <c r="K1632" s="1786" t="s">
        <v>642</v>
      </c>
      <c r="L1632" s="1787">
        <v>4.07</v>
      </c>
      <c r="M1632" s="1787">
        <v>133.18049999999999</v>
      </c>
      <c r="N1632" s="1754">
        <v>542.04463499999997</v>
      </c>
      <c r="O1632" s="1788" t="s">
        <v>4183</v>
      </c>
      <c r="P1632" s="1721" t="s">
        <v>9611</v>
      </c>
    </row>
    <row r="1633" spans="1:16" ht="13.5" hidden="1" customHeight="1" outlineLevel="2" x14ac:dyDescent="0.2">
      <c r="A1633" s="459">
        <v>0</v>
      </c>
      <c r="B1633" s="459">
        <v>13</v>
      </c>
      <c r="C1633" s="459">
        <v>13</v>
      </c>
      <c r="D1633" s="460">
        <v>5</v>
      </c>
      <c r="E1633" s="460">
        <v>0</v>
      </c>
      <c r="G1633" s="1797"/>
      <c r="H1633" s="1777" t="s">
        <v>1238</v>
      </c>
      <c r="I1633" s="1742" t="s">
        <v>7414</v>
      </c>
      <c r="J1633" s="1779" t="s">
        <v>2786</v>
      </c>
      <c r="K1633" s="1780"/>
      <c r="L1633" s="1781"/>
      <c r="M1633" s="1781"/>
      <c r="N1633" s="1746">
        <v>1330.66429266667</v>
      </c>
      <c r="O1633" s="1782"/>
      <c r="P1633" s="1720"/>
    </row>
    <row r="1634" spans="1:16" ht="13.5" hidden="1" customHeight="1" outlineLevel="3" x14ac:dyDescent="0.2">
      <c r="A1634" s="459">
        <v>0</v>
      </c>
      <c r="B1634" s="459">
        <v>13</v>
      </c>
      <c r="C1634" s="459">
        <v>13</v>
      </c>
      <c r="D1634" s="460">
        <v>5</v>
      </c>
      <c r="E1634" s="460">
        <v>1</v>
      </c>
      <c r="G1634" s="1798" t="s">
        <v>24</v>
      </c>
      <c r="H1634" s="1783" t="s">
        <v>1239</v>
      </c>
      <c r="I1634" s="1750" t="s">
        <v>7415</v>
      </c>
      <c r="J1634" s="1785" t="s">
        <v>4169</v>
      </c>
      <c r="K1634" s="1786" t="s">
        <v>642</v>
      </c>
      <c r="L1634" s="1787">
        <v>39.07</v>
      </c>
      <c r="M1634" s="1787">
        <v>34.058466666666661</v>
      </c>
      <c r="N1634" s="1754">
        <v>1330.66429266667</v>
      </c>
      <c r="O1634" s="1788"/>
      <c r="P1634" s="1721" t="s">
        <v>9611</v>
      </c>
    </row>
    <row r="1635" spans="1:16" ht="13.5" hidden="1" customHeight="1" outlineLevel="2" x14ac:dyDescent="0.2">
      <c r="A1635" s="459">
        <v>0</v>
      </c>
      <c r="B1635" s="459">
        <v>13</v>
      </c>
      <c r="C1635" s="459">
        <v>13</v>
      </c>
      <c r="D1635" s="460">
        <v>6</v>
      </c>
      <c r="E1635" s="460">
        <v>0</v>
      </c>
      <c r="G1635" s="1797"/>
      <c r="H1635" s="1777" t="s">
        <v>1238</v>
      </c>
      <c r="I1635" s="1742" t="s">
        <v>7416</v>
      </c>
      <c r="J1635" s="1779" t="s">
        <v>2787</v>
      </c>
      <c r="K1635" s="1780"/>
      <c r="L1635" s="1781"/>
      <c r="M1635" s="1781"/>
      <c r="N1635" s="1746">
        <v>70.080119999999994</v>
      </c>
      <c r="O1635" s="1782"/>
      <c r="P1635" s="1720"/>
    </row>
    <row r="1636" spans="1:16" ht="13.5" hidden="1" customHeight="1" outlineLevel="3" x14ac:dyDescent="0.2">
      <c r="A1636" s="459">
        <v>0</v>
      </c>
      <c r="B1636" s="459">
        <v>13</v>
      </c>
      <c r="C1636" s="459">
        <v>13</v>
      </c>
      <c r="D1636" s="460">
        <v>6</v>
      </c>
      <c r="E1636" s="460">
        <v>1</v>
      </c>
      <c r="G1636" s="1798" t="s">
        <v>24</v>
      </c>
      <c r="H1636" s="1783" t="s">
        <v>1239</v>
      </c>
      <c r="I1636" s="1750" t="s">
        <v>7417</v>
      </c>
      <c r="J1636" s="1785" t="s">
        <v>1683</v>
      </c>
      <c r="K1636" s="1786" t="s">
        <v>534</v>
      </c>
      <c r="L1636" s="1787">
        <v>8</v>
      </c>
      <c r="M1636" s="1787">
        <v>8.760015000000001</v>
      </c>
      <c r="N1636" s="1754">
        <v>70.080119999999994</v>
      </c>
      <c r="O1636" s="1788"/>
      <c r="P1636" s="1721" t="s">
        <v>9611</v>
      </c>
    </row>
    <row r="1637" spans="1:16" ht="13.5" hidden="1" customHeight="1" outlineLevel="2" x14ac:dyDescent="0.2">
      <c r="A1637" s="459">
        <v>0</v>
      </c>
      <c r="B1637" s="459">
        <v>13</v>
      </c>
      <c r="C1637" s="459">
        <v>13</v>
      </c>
      <c r="D1637" s="460">
        <v>7</v>
      </c>
      <c r="E1637" s="460">
        <v>0</v>
      </c>
      <c r="G1637" s="1797"/>
      <c r="H1637" s="1777" t="s">
        <v>1238</v>
      </c>
      <c r="I1637" s="1742" t="s">
        <v>7418</v>
      </c>
      <c r="J1637" s="1779" t="s">
        <v>1249</v>
      </c>
      <c r="K1637" s="1780"/>
      <c r="L1637" s="1781"/>
      <c r="M1637" s="1781"/>
      <c r="N1637" s="1746">
        <v>12486.37</v>
      </c>
      <c r="O1637" s="1782"/>
      <c r="P1637" s="1720"/>
    </row>
    <row r="1638" spans="1:16" ht="13.5" hidden="1" customHeight="1" outlineLevel="3" x14ac:dyDescent="0.2">
      <c r="A1638" s="459">
        <v>0</v>
      </c>
      <c r="B1638" s="459">
        <v>13</v>
      </c>
      <c r="C1638" s="459">
        <v>13</v>
      </c>
      <c r="D1638" s="460">
        <v>7</v>
      </c>
      <c r="E1638" s="460">
        <v>1</v>
      </c>
      <c r="G1638" s="1798" t="s">
        <v>24</v>
      </c>
      <c r="H1638" s="1783" t="s">
        <v>1239</v>
      </c>
      <c r="I1638" s="1750" t="s">
        <v>7419</v>
      </c>
      <c r="J1638" s="1785" t="s">
        <v>470</v>
      </c>
      <c r="K1638" s="1786" t="s">
        <v>642</v>
      </c>
      <c r="L1638" s="1787">
        <v>113.23</v>
      </c>
      <c r="M1638" s="1787">
        <v>20</v>
      </c>
      <c r="N1638" s="1754">
        <v>2264.6</v>
      </c>
      <c r="O1638" s="1788"/>
      <c r="P1638" s="1721" t="s">
        <v>9611</v>
      </c>
    </row>
    <row r="1639" spans="1:16" ht="13.5" hidden="1" customHeight="1" outlineLevel="3" x14ac:dyDescent="0.2">
      <c r="A1639" s="459">
        <v>0</v>
      </c>
      <c r="B1639" s="459">
        <v>13</v>
      </c>
      <c r="C1639" s="459">
        <v>13</v>
      </c>
      <c r="D1639" s="460">
        <v>7</v>
      </c>
      <c r="E1639" s="460">
        <v>2</v>
      </c>
      <c r="G1639" s="1798" t="s">
        <v>24</v>
      </c>
      <c r="H1639" s="1783" t="s">
        <v>1239</v>
      </c>
      <c r="I1639" s="1750" t="s">
        <v>7420</v>
      </c>
      <c r="J1639" s="1785" t="s">
        <v>471</v>
      </c>
      <c r="K1639" s="1786" t="s">
        <v>642</v>
      </c>
      <c r="L1639" s="1787">
        <v>48.99</v>
      </c>
      <c r="M1639" s="1787">
        <v>35</v>
      </c>
      <c r="N1639" s="1754">
        <v>1714.65</v>
      </c>
      <c r="O1639" s="1788"/>
      <c r="P1639" s="1721" t="s">
        <v>9611</v>
      </c>
    </row>
    <row r="1640" spans="1:16" ht="13.5" hidden="1" customHeight="1" outlineLevel="3" x14ac:dyDescent="0.2">
      <c r="A1640" s="459">
        <v>0</v>
      </c>
      <c r="B1640" s="459">
        <v>13</v>
      </c>
      <c r="C1640" s="459">
        <v>13</v>
      </c>
      <c r="D1640" s="460">
        <v>7</v>
      </c>
      <c r="E1640" s="460">
        <v>3</v>
      </c>
      <c r="G1640" s="1798" t="s">
        <v>24</v>
      </c>
      <c r="H1640" s="1783" t="s">
        <v>1239</v>
      </c>
      <c r="I1640" s="1750" t="s">
        <v>7421</v>
      </c>
      <c r="J1640" s="1785" t="s">
        <v>4195</v>
      </c>
      <c r="K1640" s="1786" t="s">
        <v>642</v>
      </c>
      <c r="L1640" s="1787">
        <v>73.73</v>
      </c>
      <c r="M1640" s="1787">
        <v>32</v>
      </c>
      <c r="N1640" s="1754">
        <v>2359.36</v>
      </c>
      <c r="O1640" s="1788"/>
      <c r="P1640" s="1721" t="s">
        <v>9611</v>
      </c>
    </row>
    <row r="1641" spans="1:16" ht="13.5" hidden="1" customHeight="1" outlineLevel="3" x14ac:dyDescent="0.2">
      <c r="A1641" s="459">
        <v>0</v>
      </c>
      <c r="B1641" s="459">
        <v>13</v>
      </c>
      <c r="C1641" s="459">
        <v>13</v>
      </c>
      <c r="D1641" s="460">
        <v>7</v>
      </c>
      <c r="E1641" s="460">
        <v>4</v>
      </c>
      <c r="G1641" s="1798" t="s">
        <v>24</v>
      </c>
      <c r="H1641" s="1783" t="s">
        <v>1239</v>
      </c>
      <c r="I1641" s="1750" t="s">
        <v>7422</v>
      </c>
      <c r="J1641" s="1785" t="s">
        <v>4199</v>
      </c>
      <c r="K1641" s="1786" t="s">
        <v>642</v>
      </c>
      <c r="L1641" s="1787">
        <v>77.300000000000011</v>
      </c>
      <c r="M1641" s="1787">
        <v>45</v>
      </c>
      <c r="N1641" s="1754">
        <v>3478.5</v>
      </c>
      <c r="O1641" s="1788"/>
      <c r="P1641" s="1721" t="s">
        <v>9611</v>
      </c>
    </row>
    <row r="1642" spans="1:16" ht="13.5" hidden="1" customHeight="1" outlineLevel="3" x14ac:dyDescent="0.2">
      <c r="A1642" s="459">
        <v>0</v>
      </c>
      <c r="B1642" s="459">
        <v>13</v>
      </c>
      <c r="C1642" s="459">
        <v>13</v>
      </c>
      <c r="D1642" s="460">
        <v>7</v>
      </c>
      <c r="E1642" s="460">
        <v>5</v>
      </c>
      <c r="G1642" s="1798" t="s">
        <v>24</v>
      </c>
      <c r="H1642" s="1783" t="s">
        <v>1239</v>
      </c>
      <c r="I1642" s="1750" t="s">
        <v>7423</v>
      </c>
      <c r="J1642" s="1785" t="s">
        <v>4202</v>
      </c>
      <c r="K1642" s="1786" t="s">
        <v>642</v>
      </c>
      <c r="L1642" s="1787">
        <v>54.03</v>
      </c>
      <c r="M1642" s="1787">
        <v>42</v>
      </c>
      <c r="N1642" s="1754">
        <v>2269.2600000000002</v>
      </c>
      <c r="O1642" s="1788"/>
      <c r="P1642" s="1721" t="s">
        <v>9611</v>
      </c>
    </row>
    <row r="1643" spans="1:16" ht="13.5" hidden="1" customHeight="1" outlineLevel="3" x14ac:dyDescent="0.2">
      <c r="A1643" s="459">
        <v>0</v>
      </c>
      <c r="B1643" s="459">
        <v>13</v>
      </c>
      <c r="C1643" s="459">
        <v>13</v>
      </c>
      <c r="D1643" s="460">
        <v>7</v>
      </c>
      <c r="E1643" s="460">
        <v>6</v>
      </c>
      <c r="G1643" s="1798" t="s">
        <v>24</v>
      </c>
      <c r="H1643" s="1783" t="s">
        <v>1239</v>
      </c>
      <c r="I1643" s="1750" t="s">
        <v>7424</v>
      </c>
      <c r="J1643" s="1751" t="s">
        <v>478</v>
      </c>
      <c r="K1643" s="1786" t="s">
        <v>534</v>
      </c>
      <c r="L1643" s="1787">
        <v>8</v>
      </c>
      <c r="M1643" s="1787">
        <v>50</v>
      </c>
      <c r="N1643" s="1754">
        <v>400</v>
      </c>
      <c r="O1643" s="1788"/>
      <c r="P1643" s="1721" t="s">
        <v>9611</v>
      </c>
    </row>
    <row r="1644" spans="1:16" ht="13.5" hidden="1" customHeight="1" outlineLevel="1" x14ac:dyDescent="0.2">
      <c r="A1644" s="459">
        <v>0</v>
      </c>
      <c r="B1644" s="459">
        <v>13</v>
      </c>
      <c r="C1644" s="459">
        <v>14</v>
      </c>
      <c r="D1644" s="460">
        <v>0</v>
      </c>
      <c r="E1644" s="460">
        <v>6</v>
      </c>
      <c r="G1644" s="1796"/>
      <c r="H1644" s="1771" t="s">
        <v>39</v>
      </c>
      <c r="I1644" s="1735" t="s">
        <v>7425</v>
      </c>
      <c r="J1644" s="1773" t="s">
        <v>2840</v>
      </c>
      <c r="K1644" s="1774"/>
      <c r="L1644" s="1775"/>
      <c r="M1644" s="1775"/>
      <c r="N1644" s="1739">
        <v>52519.731890666699</v>
      </c>
      <c r="O1644" s="1776">
        <v>3.1355681569049798</v>
      </c>
      <c r="P1644" s="1719"/>
    </row>
    <row r="1645" spans="1:16" ht="13.5" hidden="1" customHeight="1" outlineLevel="2" x14ac:dyDescent="0.2">
      <c r="A1645" s="459">
        <v>0</v>
      </c>
      <c r="B1645" s="459">
        <v>13</v>
      </c>
      <c r="C1645" s="459">
        <v>14</v>
      </c>
      <c r="D1645" s="460">
        <v>1</v>
      </c>
      <c r="E1645" s="460">
        <v>0</v>
      </c>
      <c r="G1645" s="1797"/>
      <c r="H1645" s="1777" t="s">
        <v>1238</v>
      </c>
      <c r="I1645" s="1742" t="s">
        <v>7426</v>
      </c>
      <c r="J1645" s="1779" t="s">
        <v>25</v>
      </c>
      <c r="K1645" s="1780"/>
      <c r="L1645" s="1781"/>
      <c r="M1645" s="1781"/>
      <c r="N1645" s="1746">
        <v>8242.1708909999998</v>
      </c>
      <c r="O1645" s="1782">
        <v>0.49207959864283901</v>
      </c>
      <c r="P1645" s="1720"/>
    </row>
    <row r="1646" spans="1:16" ht="13.5" hidden="1" customHeight="1" outlineLevel="3" x14ac:dyDescent="0.2">
      <c r="A1646" s="459">
        <v>0</v>
      </c>
      <c r="B1646" s="459">
        <v>13</v>
      </c>
      <c r="C1646" s="459">
        <v>14</v>
      </c>
      <c r="D1646" s="460">
        <v>1</v>
      </c>
      <c r="E1646" s="460">
        <v>1</v>
      </c>
      <c r="G1646" s="1798" t="s">
        <v>24</v>
      </c>
      <c r="H1646" s="1783" t="s">
        <v>1239</v>
      </c>
      <c r="I1646" s="1750" t="s">
        <v>7427</v>
      </c>
      <c r="J1646" s="1785" t="s">
        <v>442</v>
      </c>
      <c r="K1646" s="1786" t="s">
        <v>642</v>
      </c>
      <c r="L1646" s="1787">
        <v>158.89000000000001</v>
      </c>
      <c r="M1646" s="1787">
        <v>7.0658999999999992</v>
      </c>
      <c r="N1646" s="1754">
        <v>1122.7008510000001</v>
      </c>
      <c r="O1646" s="1788" t="s">
        <v>4191</v>
      </c>
      <c r="P1646" s="1721" t="s">
        <v>9611</v>
      </c>
    </row>
    <row r="1647" spans="1:16" ht="13.5" hidden="1" customHeight="1" outlineLevel="3" x14ac:dyDescent="0.2">
      <c r="A1647" s="459">
        <v>0</v>
      </c>
      <c r="B1647" s="459">
        <v>13</v>
      </c>
      <c r="C1647" s="459">
        <v>14</v>
      </c>
      <c r="D1647" s="460">
        <v>1</v>
      </c>
      <c r="E1647" s="460">
        <v>2</v>
      </c>
      <c r="G1647" s="1798" t="s">
        <v>24</v>
      </c>
      <c r="H1647" s="1783" t="s">
        <v>1239</v>
      </c>
      <c r="I1647" s="1750" t="s">
        <v>7428</v>
      </c>
      <c r="J1647" s="1785" t="s">
        <v>444</v>
      </c>
      <c r="K1647" s="1786" t="s">
        <v>642</v>
      </c>
      <c r="L1647" s="1787">
        <v>144.24</v>
      </c>
      <c r="M1647" s="1787">
        <v>49.358499999999999</v>
      </c>
      <c r="N1647" s="1754">
        <v>7119.4700400000002</v>
      </c>
      <c r="O1647" s="1788" t="s">
        <v>4192</v>
      </c>
      <c r="P1647" s="1721" t="s">
        <v>9611</v>
      </c>
    </row>
    <row r="1648" spans="1:16" ht="13.5" hidden="1" customHeight="1" outlineLevel="2" x14ac:dyDescent="0.2">
      <c r="A1648" s="459">
        <v>0</v>
      </c>
      <c r="B1648" s="459">
        <v>13</v>
      </c>
      <c r="C1648" s="459">
        <v>14</v>
      </c>
      <c r="D1648" s="460">
        <v>2</v>
      </c>
      <c r="E1648" s="460">
        <v>0</v>
      </c>
      <c r="G1648" s="1797"/>
      <c r="H1648" s="1777" t="s">
        <v>1238</v>
      </c>
      <c r="I1648" s="1742" t="s">
        <v>7429</v>
      </c>
      <c r="J1648" s="1779" t="s">
        <v>4188</v>
      </c>
      <c r="K1648" s="1780"/>
      <c r="L1648" s="1781"/>
      <c r="M1648" s="1781"/>
      <c r="N1648" s="1746">
        <v>24517.525449000001</v>
      </c>
      <c r="O1648" s="1782"/>
      <c r="P1648" s="1720"/>
    </row>
    <row r="1649" spans="1:16" ht="13.5" hidden="1" customHeight="1" outlineLevel="3" x14ac:dyDescent="0.2">
      <c r="A1649" s="459">
        <v>0</v>
      </c>
      <c r="B1649" s="459">
        <v>13</v>
      </c>
      <c r="C1649" s="459">
        <v>14</v>
      </c>
      <c r="D1649" s="460">
        <v>2</v>
      </c>
      <c r="E1649" s="460">
        <v>1</v>
      </c>
      <c r="G1649" s="1798" t="s">
        <v>24</v>
      </c>
      <c r="H1649" s="1783" t="s">
        <v>1239</v>
      </c>
      <c r="I1649" s="1750" t="s">
        <v>7430</v>
      </c>
      <c r="J1649" s="1785" t="s">
        <v>4174</v>
      </c>
      <c r="K1649" s="1786" t="s">
        <v>642</v>
      </c>
      <c r="L1649" s="1787">
        <v>173.55</v>
      </c>
      <c r="M1649" s="1787">
        <v>133.18049999999999</v>
      </c>
      <c r="N1649" s="1754">
        <v>23113.475774999999</v>
      </c>
      <c r="O1649" s="1788" t="s">
        <v>4177</v>
      </c>
      <c r="P1649" s="1721" t="s">
        <v>9611</v>
      </c>
    </row>
    <row r="1650" spans="1:16" ht="13.5" hidden="1" customHeight="1" outlineLevel="3" x14ac:dyDescent="0.2">
      <c r="A1650" s="459">
        <v>0</v>
      </c>
      <c r="B1650" s="459">
        <v>13</v>
      </c>
      <c r="C1650" s="459">
        <v>14</v>
      </c>
      <c r="D1650" s="460">
        <v>2</v>
      </c>
      <c r="E1650" s="460">
        <v>2</v>
      </c>
      <c r="G1650" s="1798" t="s">
        <v>24</v>
      </c>
      <c r="H1650" s="1783" t="s">
        <v>1239</v>
      </c>
      <c r="I1650" s="1750" t="s">
        <v>7431</v>
      </c>
      <c r="J1650" s="1785" t="s">
        <v>4172</v>
      </c>
      <c r="K1650" s="1786" t="s">
        <v>642</v>
      </c>
      <c r="L1650" s="1787">
        <v>9.43</v>
      </c>
      <c r="M1650" s="1787">
        <v>148.89179999999999</v>
      </c>
      <c r="N1650" s="1754">
        <v>1404.0496740000001</v>
      </c>
      <c r="O1650" s="1788" t="s">
        <v>4181</v>
      </c>
      <c r="P1650" s="1721" t="s">
        <v>9611</v>
      </c>
    </row>
    <row r="1651" spans="1:16" ht="13.5" hidden="1" customHeight="1" outlineLevel="2" x14ac:dyDescent="0.2">
      <c r="A1651" s="459">
        <v>0</v>
      </c>
      <c r="B1651" s="459">
        <v>13</v>
      </c>
      <c r="C1651" s="459">
        <v>14</v>
      </c>
      <c r="D1651" s="460">
        <v>3</v>
      </c>
      <c r="E1651" s="460">
        <v>0</v>
      </c>
      <c r="G1651" s="1797"/>
      <c r="H1651" s="1777" t="s">
        <v>1238</v>
      </c>
      <c r="I1651" s="1742" t="s">
        <v>7432</v>
      </c>
      <c r="J1651" s="1779" t="s">
        <v>4187</v>
      </c>
      <c r="K1651" s="1780"/>
      <c r="L1651" s="1781"/>
      <c r="M1651" s="1781"/>
      <c r="N1651" s="1746">
        <v>1663.7560966666699</v>
      </c>
      <c r="O1651" s="1782"/>
      <c r="P1651" s="1720"/>
    </row>
    <row r="1652" spans="1:16" ht="13.5" hidden="1" customHeight="1" outlineLevel="3" x14ac:dyDescent="0.2">
      <c r="A1652" s="459">
        <v>0</v>
      </c>
      <c r="B1652" s="459">
        <v>13</v>
      </c>
      <c r="C1652" s="459">
        <v>14</v>
      </c>
      <c r="D1652" s="460">
        <v>3</v>
      </c>
      <c r="E1652" s="460">
        <v>1</v>
      </c>
      <c r="G1652" s="1798" t="s">
        <v>24</v>
      </c>
      <c r="H1652" s="1783" t="s">
        <v>1239</v>
      </c>
      <c r="I1652" s="1750" t="s">
        <v>7433</v>
      </c>
      <c r="J1652" s="1785" t="s">
        <v>4169</v>
      </c>
      <c r="K1652" s="1786" t="s">
        <v>642</v>
      </c>
      <c r="L1652" s="1787">
        <v>48.849999999999994</v>
      </c>
      <c r="M1652" s="1787">
        <v>34.058466666666661</v>
      </c>
      <c r="N1652" s="1754">
        <v>1663.7560966666699</v>
      </c>
      <c r="O1652" s="1788" t="s">
        <v>4179</v>
      </c>
      <c r="P1652" s="1721" t="s">
        <v>9611</v>
      </c>
    </row>
    <row r="1653" spans="1:16" ht="13.5" hidden="1" customHeight="1" outlineLevel="2" x14ac:dyDescent="0.2">
      <c r="A1653" s="459">
        <v>0</v>
      </c>
      <c r="B1653" s="459">
        <v>13</v>
      </c>
      <c r="C1653" s="459">
        <v>14</v>
      </c>
      <c r="D1653" s="460">
        <v>4</v>
      </c>
      <c r="E1653" s="460">
        <v>0</v>
      </c>
      <c r="G1653" s="1797"/>
      <c r="H1653" s="1777" t="s">
        <v>1238</v>
      </c>
      <c r="I1653" s="1742" t="s">
        <v>7434</v>
      </c>
      <c r="J1653" s="1779" t="s">
        <v>2786</v>
      </c>
      <c r="K1653" s="1780"/>
      <c r="L1653" s="1781"/>
      <c r="M1653" s="1781"/>
      <c r="N1653" s="1746">
        <v>52.109453999999999</v>
      </c>
      <c r="O1653" s="1782"/>
      <c r="P1653" s="1720"/>
    </row>
    <row r="1654" spans="1:16" ht="13.5" hidden="1" customHeight="1" outlineLevel="3" x14ac:dyDescent="0.2">
      <c r="A1654" s="459">
        <v>0</v>
      </c>
      <c r="B1654" s="459">
        <v>13</v>
      </c>
      <c r="C1654" s="459">
        <v>14</v>
      </c>
      <c r="D1654" s="460">
        <v>4</v>
      </c>
      <c r="E1654" s="460">
        <v>1</v>
      </c>
      <c r="G1654" s="1798" t="s">
        <v>24</v>
      </c>
      <c r="H1654" s="1783" t="s">
        <v>1239</v>
      </c>
      <c r="I1654" s="1750" t="s">
        <v>7435</v>
      </c>
      <c r="J1654" s="1785" t="s">
        <v>4169</v>
      </c>
      <c r="K1654" s="1786" t="s">
        <v>642</v>
      </c>
      <c r="L1654" s="1787">
        <v>1.53</v>
      </c>
      <c r="M1654" s="1787">
        <v>34.058466666666661</v>
      </c>
      <c r="N1654" s="1754">
        <v>52.109453999999999</v>
      </c>
      <c r="O1654" s="1788"/>
      <c r="P1654" s="1721" t="s">
        <v>9611</v>
      </c>
    </row>
    <row r="1655" spans="1:16" ht="13.5" hidden="1" customHeight="1" outlineLevel="2" x14ac:dyDescent="0.2">
      <c r="A1655" s="459">
        <v>0</v>
      </c>
      <c r="B1655" s="459">
        <v>13</v>
      </c>
      <c r="C1655" s="459">
        <v>14</v>
      </c>
      <c r="D1655" s="460">
        <v>5</v>
      </c>
      <c r="E1655" s="460">
        <v>0</v>
      </c>
      <c r="G1655" s="1797"/>
      <c r="H1655" s="1777" t="s">
        <v>1238</v>
      </c>
      <c r="I1655" s="1742" t="s">
        <v>7436</v>
      </c>
      <c r="J1655" s="1779" t="s">
        <v>1249</v>
      </c>
      <c r="K1655" s="1780"/>
      <c r="L1655" s="1781"/>
      <c r="M1655" s="1781"/>
      <c r="N1655" s="1746">
        <v>18044.169999999998</v>
      </c>
      <c r="O1655" s="1782"/>
      <c r="P1655" s="1720"/>
    </row>
    <row r="1656" spans="1:16" ht="13.5" hidden="1" customHeight="1" outlineLevel="3" x14ac:dyDescent="0.2">
      <c r="A1656" s="459">
        <v>0</v>
      </c>
      <c r="B1656" s="459">
        <v>13</v>
      </c>
      <c r="C1656" s="459">
        <v>14</v>
      </c>
      <c r="D1656" s="460">
        <v>5</v>
      </c>
      <c r="E1656" s="460">
        <v>1</v>
      </c>
      <c r="G1656" s="1798" t="s">
        <v>24</v>
      </c>
      <c r="H1656" s="1783" t="s">
        <v>1239</v>
      </c>
      <c r="I1656" s="1750" t="s">
        <v>7437</v>
      </c>
      <c r="J1656" s="1785" t="s">
        <v>470</v>
      </c>
      <c r="K1656" s="1786" t="s">
        <v>642</v>
      </c>
      <c r="L1656" s="1787">
        <v>158.89000000000001</v>
      </c>
      <c r="M1656" s="1787">
        <v>20</v>
      </c>
      <c r="N1656" s="1754">
        <v>3177.8</v>
      </c>
      <c r="O1656" s="1788"/>
      <c r="P1656" s="1721" t="s">
        <v>9611</v>
      </c>
    </row>
    <row r="1657" spans="1:16" ht="13.5" hidden="1" customHeight="1" outlineLevel="3" x14ac:dyDescent="0.2">
      <c r="A1657" s="459">
        <v>0</v>
      </c>
      <c r="B1657" s="459">
        <v>13</v>
      </c>
      <c r="C1657" s="459">
        <v>14</v>
      </c>
      <c r="D1657" s="460">
        <v>5</v>
      </c>
      <c r="E1657" s="460">
        <v>2</v>
      </c>
      <c r="G1657" s="1798" t="s">
        <v>24</v>
      </c>
      <c r="H1657" s="1783" t="s">
        <v>1239</v>
      </c>
      <c r="I1657" s="1750" t="s">
        <v>7438</v>
      </c>
      <c r="J1657" s="1785" t="s">
        <v>471</v>
      </c>
      <c r="K1657" s="1786" t="s">
        <v>642</v>
      </c>
      <c r="L1657" s="1787">
        <v>144.24</v>
      </c>
      <c r="M1657" s="1787">
        <v>35</v>
      </c>
      <c r="N1657" s="1754">
        <v>5048.3999999999996</v>
      </c>
      <c r="O1657" s="1788"/>
      <c r="P1657" s="1721" t="s">
        <v>9611</v>
      </c>
    </row>
    <row r="1658" spans="1:16" ht="13.5" hidden="1" customHeight="1" outlineLevel="3" x14ac:dyDescent="0.2">
      <c r="A1658" s="459">
        <v>0</v>
      </c>
      <c r="B1658" s="459">
        <v>13</v>
      </c>
      <c r="C1658" s="459">
        <v>14</v>
      </c>
      <c r="D1658" s="460">
        <v>5</v>
      </c>
      <c r="E1658" s="460">
        <v>3</v>
      </c>
      <c r="G1658" s="1798" t="s">
        <v>24</v>
      </c>
      <c r="H1658" s="1783" t="s">
        <v>1239</v>
      </c>
      <c r="I1658" s="1750" t="s">
        <v>7439</v>
      </c>
      <c r="J1658" s="1785" t="s">
        <v>4195</v>
      </c>
      <c r="K1658" s="1786" t="s">
        <v>642</v>
      </c>
      <c r="L1658" s="1787">
        <v>50.379999999999995</v>
      </c>
      <c r="M1658" s="1787">
        <v>32</v>
      </c>
      <c r="N1658" s="1754">
        <v>1612.16</v>
      </c>
      <c r="O1658" s="1788"/>
      <c r="P1658" s="1721" t="s">
        <v>9611</v>
      </c>
    </row>
    <row r="1659" spans="1:16" ht="13.5" hidden="1" customHeight="1" outlineLevel="3" x14ac:dyDescent="0.2">
      <c r="A1659" s="459">
        <v>0</v>
      </c>
      <c r="B1659" s="459">
        <v>13</v>
      </c>
      <c r="C1659" s="459">
        <v>14</v>
      </c>
      <c r="D1659" s="460">
        <v>5</v>
      </c>
      <c r="E1659" s="460">
        <v>4</v>
      </c>
      <c r="G1659" s="1798" t="s">
        <v>24</v>
      </c>
      <c r="H1659" s="1783" t="s">
        <v>1239</v>
      </c>
      <c r="I1659" s="1750" t="s">
        <v>7440</v>
      </c>
      <c r="J1659" s="1785" t="s">
        <v>4199</v>
      </c>
      <c r="K1659" s="1786" t="s">
        <v>642</v>
      </c>
      <c r="L1659" s="1787">
        <v>173.55</v>
      </c>
      <c r="M1659" s="1787">
        <v>45</v>
      </c>
      <c r="N1659" s="1754">
        <v>7809.75</v>
      </c>
      <c r="O1659" s="1788"/>
      <c r="P1659" s="1721" t="s">
        <v>9611</v>
      </c>
    </row>
    <row r="1660" spans="1:16" ht="13.5" hidden="1" customHeight="1" outlineLevel="3" x14ac:dyDescent="0.2">
      <c r="A1660" s="459">
        <v>0</v>
      </c>
      <c r="B1660" s="459">
        <v>13</v>
      </c>
      <c r="C1660" s="459">
        <v>14</v>
      </c>
      <c r="D1660" s="460">
        <v>5</v>
      </c>
      <c r="E1660" s="460">
        <v>5</v>
      </c>
      <c r="G1660" s="1798" t="s">
        <v>24</v>
      </c>
      <c r="H1660" s="1783" t="s">
        <v>1239</v>
      </c>
      <c r="I1660" s="1750" t="s">
        <v>7441</v>
      </c>
      <c r="J1660" s="1785" t="s">
        <v>4202</v>
      </c>
      <c r="K1660" s="1786" t="s">
        <v>642</v>
      </c>
      <c r="L1660" s="1787">
        <v>9.43</v>
      </c>
      <c r="M1660" s="1787">
        <v>42</v>
      </c>
      <c r="N1660" s="1754">
        <v>396.06</v>
      </c>
      <c r="O1660" s="1788"/>
      <c r="P1660" s="1721" t="s">
        <v>9611</v>
      </c>
    </row>
    <row r="1661" spans="1:16" ht="13.5" hidden="1" customHeight="1" outlineLevel="1" x14ac:dyDescent="0.2">
      <c r="A1661" s="459">
        <v>0</v>
      </c>
      <c r="B1661" s="459">
        <v>13</v>
      </c>
      <c r="C1661" s="459">
        <v>15</v>
      </c>
      <c r="D1661" s="460">
        <v>0</v>
      </c>
      <c r="E1661" s="460">
        <v>5</v>
      </c>
      <c r="G1661" s="1796"/>
      <c r="H1661" s="1771" t="s">
        <v>39</v>
      </c>
      <c r="I1661" s="1735" t="s">
        <v>7442</v>
      </c>
      <c r="J1661" s="1773" t="s">
        <v>2841</v>
      </c>
      <c r="K1661" s="1774"/>
      <c r="L1661" s="1775"/>
      <c r="M1661" s="1775"/>
      <c r="N1661" s="1739">
        <v>46751.499385000003</v>
      </c>
      <c r="O1661" s="1776">
        <v>2.7911892822366</v>
      </c>
      <c r="P1661" s="1719"/>
    </row>
    <row r="1662" spans="1:16" ht="13.5" hidden="1" customHeight="1" outlineLevel="2" x14ac:dyDescent="0.2">
      <c r="A1662" s="459">
        <v>0</v>
      </c>
      <c r="B1662" s="459">
        <v>13</v>
      </c>
      <c r="C1662" s="459">
        <v>15</v>
      </c>
      <c r="D1662" s="460">
        <v>1</v>
      </c>
      <c r="E1662" s="460">
        <v>0</v>
      </c>
      <c r="G1662" s="1797"/>
      <c r="H1662" s="1777" t="s">
        <v>1238</v>
      </c>
      <c r="I1662" s="1742" t="s">
        <v>7443</v>
      </c>
      <c r="J1662" s="1779" t="s">
        <v>25</v>
      </c>
      <c r="K1662" s="1780"/>
      <c r="L1662" s="1781"/>
      <c r="M1662" s="1781"/>
      <c r="N1662" s="1746">
        <v>916.51788899999997</v>
      </c>
      <c r="O1662" s="1782">
        <v>5.4718563947827002E-2</v>
      </c>
      <c r="P1662" s="1720"/>
    </row>
    <row r="1663" spans="1:16" ht="13.5" hidden="1" customHeight="1" outlineLevel="3" x14ac:dyDescent="0.2">
      <c r="A1663" s="459">
        <v>0</v>
      </c>
      <c r="B1663" s="459">
        <v>13</v>
      </c>
      <c r="C1663" s="459">
        <v>15</v>
      </c>
      <c r="D1663" s="460">
        <v>1</v>
      </c>
      <c r="E1663" s="460">
        <v>1</v>
      </c>
      <c r="G1663" s="1798" t="s">
        <v>24</v>
      </c>
      <c r="H1663" s="1783" t="s">
        <v>1239</v>
      </c>
      <c r="I1663" s="1750" t="s">
        <v>7444</v>
      </c>
      <c r="J1663" s="1785" t="s">
        <v>442</v>
      </c>
      <c r="K1663" s="1786" t="s">
        <v>642</v>
      </c>
      <c r="L1663" s="1787">
        <v>129.71</v>
      </c>
      <c r="M1663" s="1787">
        <v>7.0658999999999992</v>
      </c>
      <c r="N1663" s="1754">
        <v>916.51788899999997</v>
      </c>
      <c r="O1663" s="1788" t="s">
        <v>4191</v>
      </c>
      <c r="P1663" s="1721" t="s">
        <v>9611</v>
      </c>
    </row>
    <row r="1664" spans="1:16" ht="13.5" hidden="1" customHeight="1" outlineLevel="2" x14ac:dyDescent="0.2">
      <c r="A1664" s="459">
        <v>0</v>
      </c>
      <c r="B1664" s="459">
        <v>13</v>
      </c>
      <c r="C1664" s="459">
        <v>15</v>
      </c>
      <c r="D1664" s="460">
        <v>2</v>
      </c>
      <c r="E1664" s="460">
        <v>0</v>
      </c>
      <c r="G1664" s="1797"/>
      <c r="H1664" s="1777" t="s">
        <v>1238</v>
      </c>
      <c r="I1664" s="1742" t="s">
        <v>7445</v>
      </c>
      <c r="J1664" s="1779" t="s">
        <v>4189</v>
      </c>
      <c r="K1664" s="1780"/>
      <c r="L1664" s="1781"/>
      <c r="M1664" s="1781"/>
      <c r="N1664" s="1746">
        <v>30162.691495999999</v>
      </c>
      <c r="O1664" s="1782"/>
      <c r="P1664" s="1720"/>
    </row>
    <row r="1665" spans="1:16" ht="13.5" hidden="1" customHeight="1" outlineLevel="3" x14ac:dyDescent="0.2">
      <c r="A1665" s="459">
        <v>0</v>
      </c>
      <c r="B1665" s="459">
        <v>13</v>
      </c>
      <c r="C1665" s="459">
        <v>15</v>
      </c>
      <c r="D1665" s="460">
        <v>2</v>
      </c>
      <c r="E1665" s="460">
        <v>1</v>
      </c>
      <c r="G1665" s="1798" t="s">
        <v>24</v>
      </c>
      <c r="H1665" s="1783" t="s">
        <v>1239</v>
      </c>
      <c r="I1665" s="1750" t="s">
        <v>7446</v>
      </c>
      <c r="J1665" s="1785" t="s">
        <v>4172</v>
      </c>
      <c r="K1665" s="1786" t="s">
        <v>642</v>
      </c>
      <c r="L1665" s="1787">
        <v>65.84</v>
      </c>
      <c r="M1665" s="1787">
        <v>148.89179999999999</v>
      </c>
      <c r="N1665" s="1754">
        <v>9803.0361119999998</v>
      </c>
      <c r="O1665" s="1788" t="s">
        <v>4182</v>
      </c>
      <c r="P1665" s="1721" t="s">
        <v>9611</v>
      </c>
    </row>
    <row r="1666" spans="1:16" ht="13.5" hidden="1" customHeight="1" outlineLevel="3" x14ac:dyDescent="0.2">
      <c r="A1666" s="459">
        <v>0</v>
      </c>
      <c r="B1666" s="459">
        <v>13</v>
      </c>
      <c r="C1666" s="459">
        <v>15</v>
      </c>
      <c r="D1666" s="460">
        <v>2</v>
      </c>
      <c r="E1666" s="460">
        <v>2</v>
      </c>
      <c r="G1666" s="1798" t="s">
        <v>24</v>
      </c>
      <c r="H1666" s="1783" t="s">
        <v>1239</v>
      </c>
      <c r="I1666" s="1750" t="s">
        <v>7447</v>
      </c>
      <c r="J1666" s="1785" t="s">
        <v>4171</v>
      </c>
      <c r="K1666" s="1786" t="s">
        <v>642</v>
      </c>
      <c r="L1666" s="1787">
        <v>63.21</v>
      </c>
      <c r="M1666" s="1787">
        <v>74.891800000000003</v>
      </c>
      <c r="N1666" s="1754">
        <v>4733.9106780000002</v>
      </c>
      <c r="O1666" s="1788" t="s">
        <v>4184</v>
      </c>
      <c r="P1666" s="1721" t="s">
        <v>9611</v>
      </c>
    </row>
    <row r="1667" spans="1:16" ht="13.5" hidden="1" customHeight="1" outlineLevel="3" x14ac:dyDescent="0.2">
      <c r="A1667" s="459">
        <v>0</v>
      </c>
      <c r="B1667" s="459">
        <v>13</v>
      </c>
      <c r="C1667" s="459">
        <v>15</v>
      </c>
      <c r="D1667" s="460">
        <v>2</v>
      </c>
      <c r="E1667" s="460">
        <v>3</v>
      </c>
      <c r="G1667" s="1798" t="s">
        <v>24</v>
      </c>
      <c r="H1667" s="1783" t="s">
        <v>1239</v>
      </c>
      <c r="I1667" s="1750" t="s">
        <v>7448</v>
      </c>
      <c r="J1667" s="1785" t="s">
        <v>4173</v>
      </c>
      <c r="K1667" s="1786" t="s">
        <v>642</v>
      </c>
      <c r="L1667" s="1787">
        <v>213.17000000000002</v>
      </c>
      <c r="M1667" s="1787">
        <v>73.3018</v>
      </c>
      <c r="N1667" s="1754">
        <v>15625.744705999999</v>
      </c>
      <c r="O1667" s="1788" t="s">
        <v>4184</v>
      </c>
      <c r="P1667" s="1721" t="s">
        <v>9611</v>
      </c>
    </row>
    <row r="1668" spans="1:16" ht="13.5" hidden="1" customHeight="1" outlineLevel="2" x14ac:dyDescent="0.2">
      <c r="A1668" s="459">
        <v>0</v>
      </c>
      <c r="B1668" s="459">
        <v>13</v>
      </c>
      <c r="C1668" s="459">
        <v>15</v>
      </c>
      <c r="D1668" s="460">
        <v>3</v>
      </c>
      <c r="E1668" s="460">
        <v>0</v>
      </c>
      <c r="G1668" s="1797"/>
      <c r="H1668" s="1777" t="s">
        <v>1238</v>
      </c>
      <c r="I1668" s="1742" t="s">
        <v>7449</v>
      </c>
      <c r="J1668" s="1779" t="s">
        <v>1249</v>
      </c>
      <c r="K1668" s="1780"/>
      <c r="L1668" s="1781"/>
      <c r="M1668" s="1781"/>
      <c r="N1668" s="1746">
        <v>15672.29</v>
      </c>
      <c r="O1668" s="1782"/>
      <c r="P1668" s="1720"/>
    </row>
    <row r="1669" spans="1:16" ht="13.5" hidden="1" customHeight="1" outlineLevel="3" x14ac:dyDescent="0.2">
      <c r="A1669" s="459">
        <v>0</v>
      </c>
      <c r="B1669" s="459">
        <v>13</v>
      </c>
      <c r="C1669" s="459">
        <v>15</v>
      </c>
      <c r="D1669" s="460">
        <v>3</v>
      </c>
      <c r="E1669" s="460">
        <v>1</v>
      </c>
      <c r="G1669" s="1798" t="s">
        <v>24</v>
      </c>
      <c r="H1669" s="1783" t="s">
        <v>1239</v>
      </c>
      <c r="I1669" s="1750" t="s">
        <v>7450</v>
      </c>
      <c r="J1669" s="1785" t="s">
        <v>470</v>
      </c>
      <c r="K1669" s="1786" t="s">
        <v>642</v>
      </c>
      <c r="L1669" s="1787">
        <v>129.71</v>
      </c>
      <c r="M1669" s="1787">
        <v>20</v>
      </c>
      <c r="N1669" s="1754">
        <v>2594.1999999999998</v>
      </c>
      <c r="O1669" s="1788"/>
      <c r="P1669" s="1721" t="s">
        <v>9611</v>
      </c>
    </row>
    <row r="1670" spans="1:16" ht="13.5" hidden="1" customHeight="1" outlineLevel="3" x14ac:dyDescent="0.2">
      <c r="A1670" s="459">
        <v>0</v>
      </c>
      <c r="B1670" s="459">
        <v>13</v>
      </c>
      <c r="C1670" s="459">
        <v>15</v>
      </c>
      <c r="D1670" s="460">
        <v>3</v>
      </c>
      <c r="E1670" s="460">
        <v>2</v>
      </c>
      <c r="G1670" s="1798" t="s">
        <v>24</v>
      </c>
      <c r="H1670" s="1783" t="s">
        <v>1239</v>
      </c>
      <c r="I1670" s="1750" t="s">
        <v>7451</v>
      </c>
      <c r="J1670" s="1785" t="s">
        <v>4198</v>
      </c>
      <c r="K1670" s="1786" t="s">
        <v>642</v>
      </c>
      <c r="L1670" s="1787">
        <v>213.17000000000002</v>
      </c>
      <c r="M1670" s="1787">
        <v>38</v>
      </c>
      <c r="N1670" s="1754">
        <v>8100.46</v>
      </c>
      <c r="O1670" s="1788"/>
      <c r="P1670" s="1721" t="s">
        <v>9611</v>
      </c>
    </row>
    <row r="1671" spans="1:16" ht="13.5" hidden="1" customHeight="1" outlineLevel="3" x14ac:dyDescent="0.2">
      <c r="A1671" s="459">
        <v>0</v>
      </c>
      <c r="B1671" s="459">
        <v>13</v>
      </c>
      <c r="C1671" s="459">
        <v>15</v>
      </c>
      <c r="D1671" s="460">
        <v>3</v>
      </c>
      <c r="E1671" s="460">
        <v>3</v>
      </c>
      <c r="G1671" s="1798" t="s">
        <v>24</v>
      </c>
      <c r="H1671" s="1783" t="s">
        <v>1239</v>
      </c>
      <c r="I1671" s="1750" t="s">
        <v>7452</v>
      </c>
      <c r="J1671" s="1785" t="s">
        <v>4201</v>
      </c>
      <c r="K1671" s="1786" t="s">
        <v>642</v>
      </c>
      <c r="L1671" s="1787">
        <v>63.21</v>
      </c>
      <c r="M1671" s="1787">
        <v>35</v>
      </c>
      <c r="N1671" s="1754">
        <v>2212.35</v>
      </c>
      <c r="O1671" s="1788"/>
      <c r="P1671" s="1721" t="s">
        <v>9611</v>
      </c>
    </row>
    <row r="1672" spans="1:16" ht="13.5" hidden="1" customHeight="1" outlineLevel="3" x14ac:dyDescent="0.2">
      <c r="A1672" s="459">
        <v>0</v>
      </c>
      <c r="B1672" s="459">
        <v>13</v>
      </c>
      <c r="C1672" s="459">
        <v>15</v>
      </c>
      <c r="D1672" s="460">
        <v>3</v>
      </c>
      <c r="E1672" s="460">
        <v>4</v>
      </c>
      <c r="G1672" s="1798" t="s">
        <v>24</v>
      </c>
      <c r="H1672" s="1783" t="s">
        <v>1239</v>
      </c>
      <c r="I1672" s="1750" t="s">
        <v>7453</v>
      </c>
      <c r="J1672" s="1785" t="s">
        <v>4202</v>
      </c>
      <c r="K1672" s="1786" t="s">
        <v>642</v>
      </c>
      <c r="L1672" s="1787">
        <v>65.84</v>
      </c>
      <c r="M1672" s="1787">
        <v>42</v>
      </c>
      <c r="N1672" s="1754">
        <v>2765.28</v>
      </c>
      <c r="O1672" s="1788"/>
      <c r="P1672" s="1721" t="s">
        <v>9611</v>
      </c>
    </row>
    <row r="1673" spans="1:16" ht="13.5" customHeight="1" collapsed="1" x14ac:dyDescent="0.2">
      <c r="A1673" s="459">
        <v>0</v>
      </c>
      <c r="B1673" s="459">
        <v>14</v>
      </c>
      <c r="C1673" s="459">
        <v>0</v>
      </c>
      <c r="D1673" s="460">
        <v>3</v>
      </c>
      <c r="E1673" s="460">
        <v>4</v>
      </c>
      <c r="F1673" s="474"/>
      <c r="G1673" s="1794"/>
      <c r="H1673" s="1766" t="s">
        <v>1237</v>
      </c>
      <c r="I1673" s="1728" t="s">
        <v>7454</v>
      </c>
      <c r="J1673" s="1795" t="s">
        <v>479</v>
      </c>
      <c r="K1673" s="1768"/>
      <c r="L1673" s="1769"/>
      <c r="M1673" s="1769"/>
      <c r="N1673" s="1732"/>
      <c r="O1673" s="1770"/>
      <c r="P1673" s="1718"/>
    </row>
    <row r="1674" spans="1:16" ht="13.5" hidden="1" customHeight="1" outlineLevel="1" x14ac:dyDescent="0.2">
      <c r="A1674" s="459">
        <v>0</v>
      </c>
      <c r="B1674" s="459">
        <v>14</v>
      </c>
      <c r="C1674" s="459">
        <v>1</v>
      </c>
      <c r="D1674" s="460">
        <v>0</v>
      </c>
      <c r="E1674" s="460">
        <v>4</v>
      </c>
      <c r="G1674" s="1796"/>
      <c r="H1674" s="1771" t="s">
        <v>39</v>
      </c>
      <c r="I1674" s="1735" t="s">
        <v>7455</v>
      </c>
      <c r="J1674" s="1773" t="s">
        <v>2893</v>
      </c>
      <c r="K1674" s="1774"/>
      <c r="L1674" s="1775"/>
      <c r="M1674" s="1775"/>
      <c r="N1674" s="1739"/>
      <c r="O1674" s="1776"/>
      <c r="P1674" s="1719"/>
    </row>
    <row r="1675" spans="1:16" ht="13.5" hidden="1" customHeight="1" outlineLevel="2" x14ac:dyDescent="0.2">
      <c r="A1675" s="459">
        <v>0</v>
      </c>
      <c r="B1675" s="459">
        <v>14</v>
      </c>
      <c r="C1675" s="459">
        <v>1</v>
      </c>
      <c r="D1675" s="460">
        <v>1</v>
      </c>
      <c r="E1675" s="460">
        <v>0</v>
      </c>
      <c r="G1675" s="1797"/>
      <c r="H1675" s="1777" t="s">
        <v>1238</v>
      </c>
      <c r="I1675" s="1742" t="s">
        <v>7456</v>
      </c>
      <c r="J1675" s="1779" t="s">
        <v>2812</v>
      </c>
      <c r="K1675" s="1780"/>
      <c r="L1675" s="1781"/>
      <c r="M1675" s="1781"/>
      <c r="N1675" s="1746"/>
      <c r="O1675" s="1782"/>
      <c r="P1675" s="1720"/>
    </row>
    <row r="1676" spans="1:16" ht="13.5" hidden="1" customHeight="1" outlineLevel="3" x14ac:dyDescent="0.2">
      <c r="A1676" s="459">
        <v>0</v>
      </c>
      <c r="B1676" s="459">
        <v>14</v>
      </c>
      <c r="C1676" s="459">
        <v>1</v>
      </c>
      <c r="D1676" s="460">
        <v>1</v>
      </c>
      <c r="E1676" s="460">
        <v>1</v>
      </c>
      <c r="G1676" s="1798" t="s">
        <v>46</v>
      </c>
      <c r="H1676" s="1783" t="s">
        <v>1239</v>
      </c>
      <c r="I1676" s="1750" t="s">
        <v>7457</v>
      </c>
      <c r="J1676" s="1785" t="s">
        <v>482</v>
      </c>
      <c r="K1676" s="1786" t="s">
        <v>642</v>
      </c>
      <c r="L1676" s="1787" t="e">
        <v>#REF!</v>
      </c>
      <c r="M1676" s="1787">
        <v>10.11778</v>
      </c>
      <c r="N1676" s="1754"/>
      <c r="O1676" s="1788"/>
      <c r="P1676" s="1721" t="s">
        <v>9611</v>
      </c>
    </row>
    <row r="1677" spans="1:16" ht="13.5" hidden="1" customHeight="1" outlineLevel="3" x14ac:dyDescent="0.2">
      <c r="A1677" s="459">
        <v>0</v>
      </c>
      <c r="B1677" s="459">
        <v>14</v>
      </c>
      <c r="C1677" s="459">
        <v>1</v>
      </c>
      <c r="D1677" s="460">
        <v>1</v>
      </c>
      <c r="E1677" s="460">
        <v>2</v>
      </c>
      <c r="G1677" s="1798" t="s">
        <v>46</v>
      </c>
      <c r="H1677" s="1783" t="s">
        <v>1239</v>
      </c>
      <c r="I1677" s="1750" t="s">
        <v>7458</v>
      </c>
      <c r="J1677" s="1785" t="s">
        <v>491</v>
      </c>
      <c r="K1677" s="1786" t="s">
        <v>642</v>
      </c>
      <c r="L1677" s="1787" t="e">
        <v>#REF!</v>
      </c>
      <c r="M1677" s="1787">
        <v>3.28945</v>
      </c>
      <c r="N1677" s="1754"/>
      <c r="O1677" s="1788"/>
      <c r="P1677" s="1721" t="s">
        <v>9611</v>
      </c>
    </row>
    <row r="1678" spans="1:16" ht="13.5" hidden="1" customHeight="1" outlineLevel="3" x14ac:dyDescent="0.2">
      <c r="A1678" s="459">
        <v>0</v>
      </c>
      <c r="B1678" s="459">
        <v>14</v>
      </c>
      <c r="C1678" s="459">
        <v>1</v>
      </c>
      <c r="D1678" s="460">
        <v>1</v>
      </c>
      <c r="E1678" s="460">
        <v>3</v>
      </c>
      <c r="G1678" s="1798" t="s">
        <v>46</v>
      </c>
      <c r="H1678" s="1783" t="s">
        <v>1239</v>
      </c>
      <c r="I1678" s="1750" t="s">
        <v>7459</v>
      </c>
      <c r="J1678" s="1785" t="s">
        <v>497</v>
      </c>
      <c r="K1678" s="1786" t="s">
        <v>642</v>
      </c>
      <c r="L1678" s="1787" t="e">
        <v>#REF!</v>
      </c>
      <c r="M1678" s="1787">
        <v>12.075000000000001</v>
      </c>
      <c r="N1678" s="1754"/>
      <c r="O1678" s="1761" t="s">
        <v>5452</v>
      </c>
      <c r="P1678" s="1721" t="s">
        <v>9611</v>
      </c>
    </row>
    <row r="1679" spans="1:16" ht="13.5" hidden="1" customHeight="1" outlineLevel="3" x14ac:dyDescent="0.2">
      <c r="A1679" s="459">
        <v>0</v>
      </c>
      <c r="B1679" s="459">
        <v>14</v>
      </c>
      <c r="C1679" s="459">
        <v>1</v>
      </c>
      <c r="D1679" s="460">
        <v>1</v>
      </c>
      <c r="E1679" s="460">
        <v>4</v>
      </c>
      <c r="G1679" s="1798" t="s">
        <v>46</v>
      </c>
      <c r="H1679" s="1783" t="s">
        <v>1239</v>
      </c>
      <c r="I1679" s="1750" t="s">
        <v>7460</v>
      </c>
      <c r="J1679" s="1785" t="s">
        <v>498</v>
      </c>
      <c r="K1679" s="1786" t="s">
        <v>642</v>
      </c>
      <c r="L1679" s="1787" t="e">
        <v>#REF!</v>
      </c>
      <c r="M1679" s="1787">
        <v>5.1029166666666663</v>
      </c>
      <c r="N1679" s="1754"/>
      <c r="O1679" s="1788"/>
      <c r="P1679" s="1721" t="s">
        <v>9611</v>
      </c>
    </row>
    <row r="1680" spans="1:16" ht="13.5" hidden="1" customHeight="1" outlineLevel="2" x14ac:dyDescent="0.2">
      <c r="A1680" s="459">
        <v>0</v>
      </c>
      <c r="B1680" s="459">
        <v>14</v>
      </c>
      <c r="C1680" s="459">
        <v>1</v>
      </c>
      <c r="D1680" s="460">
        <v>2</v>
      </c>
      <c r="E1680" s="460">
        <v>0</v>
      </c>
      <c r="G1680" s="1797"/>
      <c r="H1680" s="1777" t="s">
        <v>1238</v>
      </c>
      <c r="I1680" s="1742" t="s">
        <v>7461</v>
      </c>
      <c r="J1680" s="1779" t="s">
        <v>2813</v>
      </c>
      <c r="K1680" s="1780"/>
      <c r="L1680" s="1781"/>
      <c r="M1680" s="1781"/>
      <c r="N1680" s="1746"/>
      <c r="O1680" s="1782"/>
      <c r="P1680" s="1720"/>
    </row>
    <row r="1681" spans="1:16" ht="13.5" hidden="1" customHeight="1" outlineLevel="3" x14ac:dyDescent="0.2">
      <c r="A1681" s="459">
        <v>0</v>
      </c>
      <c r="B1681" s="459">
        <v>14</v>
      </c>
      <c r="C1681" s="459">
        <v>1</v>
      </c>
      <c r="D1681" s="460">
        <v>2</v>
      </c>
      <c r="E1681" s="460">
        <v>1</v>
      </c>
      <c r="G1681" s="1798" t="s">
        <v>48</v>
      </c>
      <c r="H1681" s="1783" t="s">
        <v>1239</v>
      </c>
      <c r="I1681" s="1750" t="s">
        <v>7462</v>
      </c>
      <c r="J1681" s="1785" t="s">
        <v>1797</v>
      </c>
      <c r="K1681" s="1786" t="s">
        <v>642</v>
      </c>
      <c r="L1681" s="1787" t="e">
        <v>#REF!</v>
      </c>
      <c r="M1681" s="1787">
        <v>79.119000000000014</v>
      </c>
      <c r="N1681" s="1754"/>
      <c r="O1681" s="1788" t="s">
        <v>2842</v>
      </c>
      <c r="P1681" s="1721" t="s">
        <v>9611</v>
      </c>
    </row>
    <row r="1682" spans="1:16" ht="13.5" hidden="1" customHeight="1" outlineLevel="3" x14ac:dyDescent="0.2">
      <c r="A1682" s="459">
        <v>0</v>
      </c>
      <c r="B1682" s="459">
        <v>14</v>
      </c>
      <c r="C1682" s="459">
        <v>1</v>
      </c>
      <c r="D1682" s="460">
        <v>2</v>
      </c>
      <c r="E1682" s="460">
        <v>2</v>
      </c>
      <c r="G1682" s="1798" t="s">
        <v>48</v>
      </c>
      <c r="H1682" s="1783" t="s">
        <v>1239</v>
      </c>
      <c r="I1682" s="1750" t="s">
        <v>7463</v>
      </c>
      <c r="J1682" s="1751" t="s">
        <v>1834</v>
      </c>
      <c r="K1682" s="1786" t="s">
        <v>642</v>
      </c>
      <c r="L1682" s="1787" t="e">
        <v>#REF!</v>
      </c>
      <c r="M1682" s="1787">
        <v>61.780600000000007</v>
      </c>
      <c r="N1682" s="1754"/>
      <c r="O1682" s="1788" t="s">
        <v>2843</v>
      </c>
      <c r="P1682" s="1721" t="s">
        <v>9611</v>
      </c>
    </row>
    <row r="1683" spans="1:16" ht="13.5" hidden="1" customHeight="1" outlineLevel="2" x14ac:dyDescent="0.2">
      <c r="A1683" s="459">
        <v>0</v>
      </c>
      <c r="B1683" s="459">
        <v>14</v>
      </c>
      <c r="C1683" s="459">
        <v>1</v>
      </c>
      <c r="D1683" s="460">
        <v>3</v>
      </c>
      <c r="E1683" s="460">
        <v>0</v>
      </c>
      <c r="G1683" s="1797"/>
      <c r="H1683" s="1777" t="s">
        <v>1238</v>
      </c>
      <c r="I1683" s="1742" t="s">
        <v>7464</v>
      </c>
      <c r="J1683" s="1779" t="s">
        <v>2817</v>
      </c>
      <c r="K1683" s="1780"/>
      <c r="L1683" s="1781"/>
      <c r="M1683" s="1781"/>
      <c r="N1683" s="1746"/>
      <c r="O1683" s="1782"/>
      <c r="P1683" s="1720"/>
    </row>
    <row r="1684" spans="1:16" ht="13.5" hidden="1" customHeight="1" outlineLevel="3" x14ac:dyDescent="0.2">
      <c r="A1684" s="459">
        <v>0</v>
      </c>
      <c r="B1684" s="459">
        <v>14</v>
      </c>
      <c r="C1684" s="459">
        <v>1</v>
      </c>
      <c r="D1684" s="460">
        <v>3</v>
      </c>
      <c r="E1684" s="460">
        <v>1</v>
      </c>
      <c r="G1684" s="1798" t="s">
        <v>48</v>
      </c>
      <c r="H1684" s="1783" t="s">
        <v>1239</v>
      </c>
      <c r="I1684" s="1750" t="s">
        <v>7465</v>
      </c>
      <c r="J1684" s="1785" t="s">
        <v>2876</v>
      </c>
      <c r="K1684" s="1786" t="s">
        <v>642</v>
      </c>
      <c r="L1684" s="1787" t="e">
        <v>#REF!</v>
      </c>
      <c r="M1684" s="1787">
        <v>1448.2455000000002</v>
      </c>
      <c r="N1684" s="1754"/>
      <c r="O1684" s="1788" t="s">
        <v>3161</v>
      </c>
      <c r="P1684" s="1721" t="s">
        <v>9611</v>
      </c>
    </row>
    <row r="1685" spans="1:16" ht="13.5" hidden="1" customHeight="1" outlineLevel="3" x14ac:dyDescent="0.2">
      <c r="A1685" s="459">
        <v>0</v>
      </c>
      <c r="B1685" s="459">
        <v>14</v>
      </c>
      <c r="C1685" s="459">
        <v>1</v>
      </c>
      <c r="D1685" s="460">
        <v>3</v>
      </c>
      <c r="E1685" s="460">
        <v>2</v>
      </c>
      <c r="G1685" s="1798" t="s">
        <v>48</v>
      </c>
      <c r="H1685" s="1783" t="s">
        <v>1239</v>
      </c>
      <c r="I1685" s="1750" t="s">
        <v>7466</v>
      </c>
      <c r="J1685" s="1785" t="s">
        <v>2889</v>
      </c>
      <c r="K1685" s="1786" t="s">
        <v>642</v>
      </c>
      <c r="L1685" s="1787" t="e">
        <v>#REF!</v>
      </c>
      <c r="M1685" s="1787">
        <v>3538.2455000000004</v>
      </c>
      <c r="N1685" s="1754"/>
      <c r="O1685" s="1788"/>
      <c r="P1685" s="1721" t="s">
        <v>9611</v>
      </c>
    </row>
    <row r="1686" spans="1:16" ht="13.5" hidden="1" customHeight="1" outlineLevel="2" x14ac:dyDescent="0.2">
      <c r="A1686" s="459">
        <v>0</v>
      </c>
      <c r="B1686" s="459">
        <v>14</v>
      </c>
      <c r="C1686" s="459">
        <v>1</v>
      </c>
      <c r="D1686" s="460">
        <v>4</v>
      </c>
      <c r="E1686" s="460">
        <v>0</v>
      </c>
      <c r="G1686" s="1797"/>
      <c r="H1686" s="1777" t="s">
        <v>1238</v>
      </c>
      <c r="I1686" s="1742" t="s">
        <v>7467</v>
      </c>
      <c r="J1686" s="1779" t="s">
        <v>2741</v>
      </c>
      <c r="K1686" s="1780"/>
      <c r="L1686" s="1781"/>
      <c r="M1686" s="1781"/>
      <c r="N1686" s="1746"/>
      <c r="O1686" s="1782"/>
      <c r="P1686" s="1720"/>
    </row>
    <row r="1687" spans="1:16" ht="13.5" hidden="1" customHeight="1" outlineLevel="3" x14ac:dyDescent="0.2">
      <c r="A1687" s="459">
        <v>0</v>
      </c>
      <c r="B1687" s="459">
        <v>14</v>
      </c>
      <c r="C1687" s="459">
        <v>1</v>
      </c>
      <c r="D1687" s="460">
        <v>4</v>
      </c>
      <c r="E1687" s="460">
        <v>1</v>
      </c>
      <c r="G1687" s="1798" t="s">
        <v>48</v>
      </c>
      <c r="H1687" s="1783" t="s">
        <v>1239</v>
      </c>
      <c r="I1687" s="1750" t="s">
        <v>7468</v>
      </c>
      <c r="J1687" s="1785" t="s">
        <v>530</v>
      </c>
      <c r="K1687" s="1786" t="s">
        <v>642</v>
      </c>
      <c r="L1687" s="1787" t="e">
        <v>#REF!</v>
      </c>
      <c r="M1687" s="1787">
        <v>849.15470000000005</v>
      </c>
      <c r="N1687" s="1754"/>
      <c r="O1687" s="1788"/>
      <c r="P1687" s="1721" t="s">
        <v>9611</v>
      </c>
    </row>
    <row r="1688" spans="1:16" ht="13.5" hidden="1" customHeight="1" outlineLevel="2" x14ac:dyDescent="0.2">
      <c r="A1688" s="459">
        <v>0</v>
      </c>
      <c r="B1688" s="459">
        <v>14</v>
      </c>
      <c r="C1688" s="459">
        <v>1</v>
      </c>
      <c r="D1688" s="460">
        <v>5</v>
      </c>
      <c r="E1688" s="460">
        <v>0</v>
      </c>
      <c r="G1688" s="1797"/>
      <c r="H1688" s="1777" t="s">
        <v>1238</v>
      </c>
      <c r="I1688" s="1742" t="s">
        <v>7469</v>
      </c>
      <c r="J1688" s="1779" t="s">
        <v>1264</v>
      </c>
      <c r="K1688" s="1780"/>
      <c r="L1688" s="1781"/>
      <c r="M1688" s="1781"/>
      <c r="N1688" s="1746"/>
      <c r="O1688" s="1782"/>
      <c r="P1688" s="1720"/>
    </row>
    <row r="1689" spans="1:16" ht="13.5" hidden="1" customHeight="1" outlineLevel="3" x14ac:dyDescent="0.2">
      <c r="A1689" s="459">
        <v>0</v>
      </c>
      <c r="B1689" s="459">
        <v>14</v>
      </c>
      <c r="C1689" s="459">
        <v>1</v>
      </c>
      <c r="D1689" s="460">
        <v>5</v>
      </c>
      <c r="E1689" s="460">
        <v>1</v>
      </c>
      <c r="G1689" s="1798" t="s">
        <v>46</v>
      </c>
      <c r="H1689" s="1783" t="s">
        <v>1239</v>
      </c>
      <c r="I1689" s="1750" t="s">
        <v>7470</v>
      </c>
      <c r="J1689" s="1785" t="s">
        <v>542</v>
      </c>
      <c r="K1689" s="1786" t="s">
        <v>642</v>
      </c>
      <c r="L1689" s="1787" t="e">
        <v>#REF!</v>
      </c>
      <c r="M1689" s="1787">
        <v>42</v>
      </c>
      <c r="N1689" s="1754"/>
      <c r="O1689" s="1788"/>
      <c r="P1689" s="1721" t="s">
        <v>9611</v>
      </c>
    </row>
    <row r="1690" spans="1:16" ht="13.5" hidden="1" customHeight="1" outlineLevel="3" x14ac:dyDescent="0.2">
      <c r="A1690" s="459">
        <v>0</v>
      </c>
      <c r="B1690" s="459">
        <v>14</v>
      </c>
      <c r="C1690" s="459">
        <v>1</v>
      </c>
      <c r="D1690" s="460">
        <v>5</v>
      </c>
      <c r="E1690" s="460">
        <v>2</v>
      </c>
      <c r="G1690" s="1798" t="s">
        <v>46</v>
      </c>
      <c r="H1690" s="1783" t="s">
        <v>1239</v>
      </c>
      <c r="I1690" s="1750" t="s">
        <v>7471</v>
      </c>
      <c r="J1690" s="1785" t="s">
        <v>543</v>
      </c>
      <c r="K1690" s="1786" t="s">
        <v>642</v>
      </c>
      <c r="L1690" s="1787" t="e">
        <v>#REF!</v>
      </c>
      <c r="M1690" s="1787">
        <v>30</v>
      </c>
      <c r="N1690" s="1754"/>
      <c r="O1690" s="1788"/>
      <c r="P1690" s="1721" t="s">
        <v>9611</v>
      </c>
    </row>
    <row r="1691" spans="1:16" ht="13.5" hidden="1" customHeight="1" outlineLevel="3" x14ac:dyDescent="0.2">
      <c r="A1691" s="459">
        <v>0</v>
      </c>
      <c r="B1691" s="459">
        <v>14</v>
      </c>
      <c r="C1691" s="459">
        <v>1</v>
      </c>
      <c r="D1691" s="460">
        <v>5</v>
      </c>
      <c r="E1691" s="460">
        <v>3</v>
      </c>
      <c r="G1691" s="1798" t="s">
        <v>48</v>
      </c>
      <c r="H1691" s="1783" t="s">
        <v>1239</v>
      </c>
      <c r="I1691" s="1750" t="s">
        <v>7472</v>
      </c>
      <c r="J1691" s="1785" t="s">
        <v>546</v>
      </c>
      <c r="K1691" s="1786" t="s">
        <v>642</v>
      </c>
      <c r="L1691" s="1787" t="e">
        <v>#REF!</v>
      </c>
      <c r="M1691" s="1787">
        <v>75</v>
      </c>
      <c r="N1691" s="1754"/>
      <c r="O1691" s="1788"/>
      <c r="P1691" s="1721" t="s">
        <v>9611</v>
      </c>
    </row>
    <row r="1692" spans="1:16" ht="13.5" hidden="1" customHeight="1" outlineLevel="3" x14ac:dyDescent="0.2">
      <c r="A1692" s="459">
        <v>0</v>
      </c>
      <c r="B1692" s="459">
        <v>14</v>
      </c>
      <c r="C1692" s="459">
        <v>1</v>
      </c>
      <c r="D1692" s="460">
        <v>5</v>
      </c>
      <c r="E1692" s="460">
        <v>4</v>
      </c>
      <c r="G1692" s="1798" t="s">
        <v>48</v>
      </c>
      <c r="H1692" s="1783" t="s">
        <v>1239</v>
      </c>
      <c r="I1692" s="1750" t="s">
        <v>7473</v>
      </c>
      <c r="J1692" s="1785" t="s">
        <v>545</v>
      </c>
      <c r="K1692" s="1786" t="s">
        <v>642</v>
      </c>
      <c r="L1692" s="1787" t="e">
        <v>#REF!</v>
      </c>
      <c r="M1692" s="1787">
        <v>75</v>
      </c>
      <c r="N1692" s="1754"/>
      <c r="O1692" s="1788"/>
      <c r="P1692" s="1721" t="s">
        <v>9611</v>
      </c>
    </row>
    <row r="1693" spans="1:16" ht="13.5" hidden="1" customHeight="1" outlineLevel="3" x14ac:dyDescent="0.2">
      <c r="A1693" s="459">
        <v>0</v>
      </c>
      <c r="B1693" s="459">
        <v>14</v>
      </c>
      <c r="C1693" s="459">
        <v>1</v>
      </c>
      <c r="D1693" s="460">
        <v>5</v>
      </c>
      <c r="E1693" s="460">
        <v>5</v>
      </c>
      <c r="G1693" s="1798" t="s">
        <v>48</v>
      </c>
      <c r="H1693" s="1783" t="s">
        <v>1239</v>
      </c>
      <c r="I1693" s="1750" t="s">
        <v>7474</v>
      </c>
      <c r="J1693" s="1785" t="s">
        <v>547</v>
      </c>
      <c r="K1693" s="1786" t="s">
        <v>642</v>
      </c>
      <c r="L1693" s="1787" t="e">
        <v>#REF!</v>
      </c>
      <c r="M1693" s="1787">
        <v>50</v>
      </c>
      <c r="N1693" s="1754"/>
      <c r="O1693" s="1788"/>
      <c r="P1693" s="1721" t="s">
        <v>9611</v>
      </c>
    </row>
    <row r="1694" spans="1:16" ht="13.5" hidden="1" customHeight="1" outlineLevel="1" x14ac:dyDescent="0.2">
      <c r="A1694" s="459">
        <v>0</v>
      </c>
      <c r="B1694" s="459">
        <v>14</v>
      </c>
      <c r="C1694" s="459">
        <v>2</v>
      </c>
      <c r="D1694" s="460">
        <v>0</v>
      </c>
      <c r="E1694" s="460">
        <v>5</v>
      </c>
      <c r="G1694" s="1796"/>
      <c r="H1694" s="1771" t="s">
        <v>39</v>
      </c>
      <c r="I1694" s="1735" t="s">
        <v>7475</v>
      </c>
      <c r="J1694" s="1773" t="s">
        <v>2894</v>
      </c>
      <c r="K1694" s="1774"/>
      <c r="L1694" s="1775"/>
      <c r="M1694" s="1775"/>
      <c r="N1694" s="1739"/>
      <c r="O1694" s="1776"/>
      <c r="P1694" s="1719"/>
    </row>
    <row r="1695" spans="1:16" ht="13.5" hidden="1" customHeight="1" outlineLevel="2" x14ac:dyDescent="0.2">
      <c r="A1695" s="459">
        <v>0</v>
      </c>
      <c r="B1695" s="459">
        <v>14</v>
      </c>
      <c r="C1695" s="459">
        <v>2</v>
      </c>
      <c r="D1695" s="460">
        <v>1</v>
      </c>
      <c r="E1695" s="460">
        <v>0</v>
      </c>
      <c r="G1695" s="1797"/>
      <c r="H1695" s="1777" t="s">
        <v>1238</v>
      </c>
      <c r="I1695" s="1742" t="s">
        <v>7476</v>
      </c>
      <c r="J1695" s="1779" t="s">
        <v>2812</v>
      </c>
      <c r="K1695" s="1780"/>
      <c r="L1695" s="1781"/>
      <c r="M1695" s="1781"/>
      <c r="N1695" s="1746"/>
      <c r="O1695" s="1782"/>
      <c r="P1695" s="1720"/>
    </row>
    <row r="1696" spans="1:16" ht="13.5" hidden="1" customHeight="1" outlineLevel="3" x14ac:dyDescent="0.2">
      <c r="A1696" s="459">
        <v>0</v>
      </c>
      <c r="B1696" s="459">
        <v>14</v>
      </c>
      <c r="C1696" s="459">
        <v>2</v>
      </c>
      <c r="D1696" s="460">
        <v>1</v>
      </c>
      <c r="E1696" s="460">
        <v>1</v>
      </c>
      <c r="G1696" s="1798" t="s">
        <v>46</v>
      </c>
      <c r="H1696" s="1783" t="s">
        <v>1239</v>
      </c>
      <c r="I1696" s="1750" t="s">
        <v>7477</v>
      </c>
      <c r="J1696" s="1785" t="s">
        <v>482</v>
      </c>
      <c r="K1696" s="1786" t="s">
        <v>642</v>
      </c>
      <c r="L1696" s="1787" t="e">
        <v>#REF!</v>
      </c>
      <c r="M1696" s="1787">
        <v>10.11778</v>
      </c>
      <c r="N1696" s="1754"/>
      <c r="O1696" s="1788"/>
      <c r="P1696" s="1721" t="s">
        <v>9611</v>
      </c>
    </row>
    <row r="1697" spans="1:16" ht="13.5" hidden="1" customHeight="1" outlineLevel="3" x14ac:dyDescent="0.2">
      <c r="A1697" s="459">
        <v>0</v>
      </c>
      <c r="B1697" s="459">
        <v>14</v>
      </c>
      <c r="C1697" s="459">
        <v>2</v>
      </c>
      <c r="D1697" s="460">
        <v>1</v>
      </c>
      <c r="E1697" s="460">
        <v>2</v>
      </c>
      <c r="G1697" s="1798" t="s">
        <v>46</v>
      </c>
      <c r="H1697" s="1783" t="s">
        <v>1239</v>
      </c>
      <c r="I1697" s="1750" t="s">
        <v>7478</v>
      </c>
      <c r="J1697" s="1785" t="s">
        <v>491</v>
      </c>
      <c r="K1697" s="1786" t="s">
        <v>642</v>
      </c>
      <c r="L1697" s="1787" t="e">
        <v>#REF!</v>
      </c>
      <c r="M1697" s="1787">
        <v>3.28945</v>
      </c>
      <c r="N1697" s="1754"/>
      <c r="O1697" s="1788"/>
      <c r="P1697" s="1721" t="s">
        <v>9611</v>
      </c>
    </row>
    <row r="1698" spans="1:16" ht="13.5" hidden="1" customHeight="1" outlineLevel="3" x14ac:dyDescent="0.2">
      <c r="A1698" s="459">
        <v>0</v>
      </c>
      <c r="B1698" s="459">
        <v>14</v>
      </c>
      <c r="C1698" s="459">
        <v>2</v>
      </c>
      <c r="D1698" s="460">
        <v>1</v>
      </c>
      <c r="E1698" s="460">
        <v>3</v>
      </c>
      <c r="G1698" s="1798" t="s">
        <v>46</v>
      </c>
      <c r="H1698" s="1783" t="s">
        <v>1239</v>
      </c>
      <c r="I1698" s="1750" t="s">
        <v>7479</v>
      </c>
      <c r="J1698" s="1785" t="s">
        <v>497</v>
      </c>
      <c r="K1698" s="1786" t="s">
        <v>642</v>
      </c>
      <c r="L1698" s="1787" t="e">
        <v>#REF!</v>
      </c>
      <c r="M1698" s="1787">
        <v>12.075000000000001</v>
      </c>
      <c r="N1698" s="1754"/>
      <c r="O1698" s="1788"/>
      <c r="P1698" s="1721" t="s">
        <v>9611</v>
      </c>
    </row>
    <row r="1699" spans="1:16" ht="13.5" hidden="1" customHeight="1" outlineLevel="3" x14ac:dyDescent="0.2">
      <c r="A1699" s="459">
        <v>0</v>
      </c>
      <c r="B1699" s="459">
        <v>14</v>
      </c>
      <c r="C1699" s="459">
        <v>2</v>
      </c>
      <c r="D1699" s="460">
        <v>1</v>
      </c>
      <c r="E1699" s="460">
        <v>4</v>
      </c>
      <c r="G1699" s="1798" t="s">
        <v>46</v>
      </c>
      <c r="H1699" s="1783" t="s">
        <v>1239</v>
      </c>
      <c r="I1699" s="1750" t="s">
        <v>7480</v>
      </c>
      <c r="J1699" s="1785" t="s">
        <v>498</v>
      </c>
      <c r="K1699" s="1786" t="s">
        <v>642</v>
      </c>
      <c r="L1699" s="1787" t="e">
        <v>#REF!</v>
      </c>
      <c r="M1699" s="1787">
        <v>5.1029166666666663</v>
      </c>
      <c r="N1699" s="1754"/>
      <c r="O1699" s="1788"/>
      <c r="P1699" s="1721" t="s">
        <v>9611</v>
      </c>
    </row>
    <row r="1700" spans="1:16" ht="13.5" hidden="1" customHeight="1" outlineLevel="2" x14ac:dyDescent="0.2">
      <c r="A1700" s="459">
        <v>0</v>
      </c>
      <c r="B1700" s="459">
        <v>14</v>
      </c>
      <c r="C1700" s="459">
        <v>2</v>
      </c>
      <c r="D1700" s="460">
        <v>2</v>
      </c>
      <c r="E1700" s="460">
        <v>0</v>
      </c>
      <c r="G1700" s="1797"/>
      <c r="H1700" s="1777" t="s">
        <v>1238</v>
      </c>
      <c r="I1700" s="1742" t="s">
        <v>7481</v>
      </c>
      <c r="J1700" s="1779" t="s">
        <v>2817</v>
      </c>
      <c r="K1700" s="1780"/>
      <c r="L1700" s="1781"/>
      <c r="M1700" s="1781"/>
      <c r="N1700" s="1746"/>
      <c r="O1700" s="1782"/>
      <c r="P1700" s="1720"/>
    </row>
    <row r="1701" spans="1:16" ht="13.5" hidden="1" customHeight="1" outlineLevel="3" x14ac:dyDescent="0.2">
      <c r="A1701" s="459">
        <v>0</v>
      </c>
      <c r="B1701" s="459">
        <v>14</v>
      </c>
      <c r="C1701" s="459">
        <v>2</v>
      </c>
      <c r="D1701" s="460">
        <v>2</v>
      </c>
      <c r="E1701" s="460">
        <v>1</v>
      </c>
      <c r="G1701" s="1798" t="s">
        <v>48</v>
      </c>
      <c r="H1701" s="1783" t="s">
        <v>1239</v>
      </c>
      <c r="I1701" s="1750" t="s">
        <v>7482</v>
      </c>
      <c r="J1701" s="1785" t="s">
        <v>2876</v>
      </c>
      <c r="K1701" s="1786" t="s">
        <v>642</v>
      </c>
      <c r="L1701" s="1787" t="e">
        <v>#REF!</v>
      </c>
      <c r="M1701" s="1787">
        <v>1448.2455000000002</v>
      </c>
      <c r="N1701" s="1754"/>
      <c r="O1701" s="1788" t="s">
        <v>3161</v>
      </c>
      <c r="P1701" s="1721" t="s">
        <v>9611</v>
      </c>
    </row>
    <row r="1702" spans="1:16" ht="13.5" hidden="1" customHeight="1" outlineLevel="3" x14ac:dyDescent="0.2">
      <c r="A1702" s="459">
        <v>0</v>
      </c>
      <c r="B1702" s="459">
        <v>14</v>
      </c>
      <c r="C1702" s="459">
        <v>2</v>
      </c>
      <c r="D1702" s="460">
        <v>2</v>
      </c>
      <c r="E1702" s="460">
        <v>2</v>
      </c>
      <c r="G1702" s="1798" t="s">
        <v>48</v>
      </c>
      <c r="H1702" s="1783" t="s">
        <v>1239</v>
      </c>
      <c r="I1702" s="1750" t="s">
        <v>7483</v>
      </c>
      <c r="J1702" s="1785" t="s">
        <v>2889</v>
      </c>
      <c r="K1702" s="1786" t="s">
        <v>642</v>
      </c>
      <c r="L1702" s="1787" t="e">
        <v>#REF!</v>
      </c>
      <c r="M1702" s="1787">
        <v>3538.2455000000004</v>
      </c>
      <c r="N1702" s="1754"/>
      <c r="O1702" s="1788"/>
      <c r="P1702" s="1721" t="s">
        <v>9611</v>
      </c>
    </row>
    <row r="1703" spans="1:16" ht="13.5" hidden="1" customHeight="1" outlineLevel="2" x14ac:dyDescent="0.2">
      <c r="A1703" s="459">
        <v>0</v>
      </c>
      <c r="B1703" s="459">
        <v>14</v>
      </c>
      <c r="C1703" s="459">
        <v>2</v>
      </c>
      <c r="D1703" s="460">
        <v>3</v>
      </c>
      <c r="E1703" s="460">
        <v>0</v>
      </c>
      <c r="G1703" s="1797"/>
      <c r="H1703" s="1777" t="s">
        <v>1238</v>
      </c>
      <c r="I1703" s="1742" t="s">
        <v>7484</v>
      </c>
      <c r="J1703" s="1779" t="s">
        <v>2741</v>
      </c>
      <c r="K1703" s="1780"/>
      <c r="L1703" s="1781"/>
      <c r="M1703" s="1781"/>
      <c r="N1703" s="1746"/>
      <c r="O1703" s="1782"/>
      <c r="P1703" s="1720"/>
    </row>
    <row r="1704" spans="1:16" ht="13.5" hidden="1" customHeight="1" outlineLevel="3" x14ac:dyDescent="0.2">
      <c r="A1704" s="459">
        <v>0</v>
      </c>
      <c r="B1704" s="459">
        <v>14</v>
      </c>
      <c r="C1704" s="459">
        <v>2</v>
      </c>
      <c r="D1704" s="460">
        <v>3</v>
      </c>
      <c r="E1704" s="460">
        <v>1</v>
      </c>
      <c r="G1704" s="1798" t="s">
        <v>48</v>
      </c>
      <c r="H1704" s="1783" t="s">
        <v>1239</v>
      </c>
      <c r="I1704" s="1750" t="s">
        <v>7485</v>
      </c>
      <c r="J1704" s="1785" t="s">
        <v>530</v>
      </c>
      <c r="K1704" s="1786" t="s">
        <v>642</v>
      </c>
      <c r="L1704" s="1787" t="e">
        <v>#REF!</v>
      </c>
      <c r="M1704" s="1787">
        <v>849.15470000000005</v>
      </c>
      <c r="N1704" s="1754"/>
      <c r="O1704" s="1788"/>
      <c r="P1704" s="1721" t="s">
        <v>9611</v>
      </c>
    </row>
    <row r="1705" spans="1:16" ht="13.5" hidden="1" customHeight="1" outlineLevel="2" x14ac:dyDescent="0.2">
      <c r="A1705" s="459">
        <v>0</v>
      </c>
      <c r="B1705" s="459">
        <v>14</v>
      </c>
      <c r="C1705" s="459">
        <v>2</v>
      </c>
      <c r="D1705" s="460">
        <v>4</v>
      </c>
      <c r="E1705" s="460">
        <v>0</v>
      </c>
      <c r="G1705" s="1797"/>
      <c r="H1705" s="1777" t="s">
        <v>1238</v>
      </c>
      <c r="I1705" s="1742" t="s">
        <v>7486</v>
      </c>
      <c r="J1705" s="1779" t="s">
        <v>1264</v>
      </c>
      <c r="K1705" s="1780"/>
      <c r="L1705" s="1781"/>
      <c r="M1705" s="1781"/>
      <c r="N1705" s="1746"/>
      <c r="O1705" s="1782"/>
      <c r="P1705" s="1720"/>
    </row>
    <row r="1706" spans="1:16" ht="13.5" hidden="1" customHeight="1" outlineLevel="3" x14ac:dyDescent="0.2">
      <c r="A1706" s="459">
        <v>0</v>
      </c>
      <c r="B1706" s="459">
        <v>14</v>
      </c>
      <c r="C1706" s="459">
        <v>2</v>
      </c>
      <c r="D1706" s="460">
        <v>4</v>
      </c>
      <c r="E1706" s="460">
        <v>1</v>
      </c>
      <c r="G1706" s="1798" t="s">
        <v>46</v>
      </c>
      <c r="H1706" s="1783" t="s">
        <v>1239</v>
      </c>
      <c r="I1706" s="1750" t="s">
        <v>7487</v>
      </c>
      <c r="J1706" s="1785" t="s">
        <v>542</v>
      </c>
      <c r="K1706" s="1786" t="s">
        <v>642</v>
      </c>
      <c r="L1706" s="1787" t="e">
        <v>#REF!</v>
      </c>
      <c r="M1706" s="1787">
        <v>42</v>
      </c>
      <c r="N1706" s="1754"/>
      <c r="O1706" s="1788"/>
      <c r="P1706" s="1721" t="s">
        <v>9611</v>
      </c>
    </row>
    <row r="1707" spans="1:16" ht="13.5" hidden="1" customHeight="1" outlineLevel="3" x14ac:dyDescent="0.2">
      <c r="A1707" s="459">
        <v>0</v>
      </c>
      <c r="B1707" s="459">
        <v>14</v>
      </c>
      <c r="C1707" s="459">
        <v>2</v>
      </c>
      <c r="D1707" s="460">
        <v>4</v>
      </c>
      <c r="E1707" s="460">
        <v>2</v>
      </c>
      <c r="G1707" s="1798" t="s">
        <v>46</v>
      </c>
      <c r="H1707" s="1783" t="s">
        <v>1239</v>
      </c>
      <c r="I1707" s="1750" t="s">
        <v>7488</v>
      </c>
      <c r="J1707" s="1785" t="s">
        <v>543</v>
      </c>
      <c r="K1707" s="1786" t="s">
        <v>642</v>
      </c>
      <c r="L1707" s="1787" t="e">
        <v>#REF!</v>
      </c>
      <c r="M1707" s="1787">
        <v>30</v>
      </c>
      <c r="N1707" s="1754"/>
      <c r="O1707" s="1788"/>
      <c r="P1707" s="1721" t="s">
        <v>9611</v>
      </c>
    </row>
    <row r="1708" spans="1:16" ht="13.5" hidden="1" customHeight="1" outlineLevel="3" x14ac:dyDescent="0.2">
      <c r="A1708" s="459">
        <v>0</v>
      </c>
      <c r="B1708" s="459">
        <v>14</v>
      </c>
      <c r="C1708" s="459">
        <v>2</v>
      </c>
      <c r="D1708" s="460">
        <v>4</v>
      </c>
      <c r="E1708" s="460">
        <v>3</v>
      </c>
      <c r="G1708" s="1798" t="s">
        <v>48</v>
      </c>
      <c r="H1708" s="1783" t="s">
        <v>1239</v>
      </c>
      <c r="I1708" s="1750" t="s">
        <v>7489</v>
      </c>
      <c r="J1708" s="1785" t="s">
        <v>545</v>
      </c>
      <c r="K1708" s="1786" t="s">
        <v>642</v>
      </c>
      <c r="L1708" s="1787" t="e">
        <v>#REF!</v>
      </c>
      <c r="M1708" s="1787">
        <v>75</v>
      </c>
      <c r="N1708" s="1754"/>
      <c r="O1708" s="1788"/>
      <c r="P1708" s="1721" t="s">
        <v>9611</v>
      </c>
    </row>
    <row r="1709" spans="1:16" ht="13.5" hidden="1" customHeight="1" outlineLevel="3" x14ac:dyDescent="0.2">
      <c r="A1709" s="459">
        <v>0</v>
      </c>
      <c r="B1709" s="459">
        <v>14</v>
      </c>
      <c r="C1709" s="459">
        <v>2</v>
      </c>
      <c r="D1709" s="460">
        <v>4</v>
      </c>
      <c r="E1709" s="460">
        <v>4</v>
      </c>
      <c r="G1709" s="1798" t="s">
        <v>48</v>
      </c>
      <c r="H1709" s="1783" t="s">
        <v>1239</v>
      </c>
      <c r="I1709" s="1750" t="s">
        <v>7490</v>
      </c>
      <c r="J1709" s="1785" t="s">
        <v>547</v>
      </c>
      <c r="K1709" s="1786" t="s">
        <v>642</v>
      </c>
      <c r="L1709" s="1787" t="e">
        <v>#REF!</v>
      </c>
      <c r="M1709" s="1787">
        <v>50</v>
      </c>
      <c r="N1709" s="1754"/>
      <c r="O1709" s="1788"/>
      <c r="P1709" s="1721" t="s">
        <v>9611</v>
      </c>
    </row>
    <row r="1710" spans="1:16" ht="13.5" hidden="1" customHeight="1" outlineLevel="1" x14ac:dyDescent="0.2">
      <c r="A1710" s="459">
        <v>0</v>
      </c>
      <c r="B1710" s="459">
        <v>14</v>
      </c>
      <c r="C1710" s="459">
        <v>3</v>
      </c>
      <c r="D1710" s="460">
        <v>0</v>
      </c>
      <c r="E1710" s="460">
        <v>4</v>
      </c>
      <c r="G1710" s="1796"/>
      <c r="H1710" s="1771" t="s">
        <v>39</v>
      </c>
      <c r="I1710" s="1735" t="s">
        <v>7491</v>
      </c>
      <c r="J1710" s="1773" t="s">
        <v>2895</v>
      </c>
      <c r="K1710" s="1774"/>
      <c r="L1710" s="1775"/>
      <c r="M1710" s="1775"/>
      <c r="N1710" s="1739"/>
      <c r="O1710" s="1776"/>
      <c r="P1710" s="1719"/>
    </row>
    <row r="1711" spans="1:16" ht="13.5" hidden="1" customHeight="1" outlineLevel="2" x14ac:dyDescent="0.2">
      <c r="A1711" s="459">
        <v>0</v>
      </c>
      <c r="B1711" s="459">
        <v>14</v>
      </c>
      <c r="C1711" s="459">
        <v>3</v>
      </c>
      <c r="D1711" s="460">
        <v>1</v>
      </c>
      <c r="E1711" s="460">
        <v>0</v>
      </c>
      <c r="G1711" s="1797"/>
      <c r="H1711" s="1777" t="s">
        <v>1238</v>
      </c>
      <c r="I1711" s="1742" t="s">
        <v>7492</v>
      </c>
      <c r="J1711" s="1779" t="s">
        <v>2812</v>
      </c>
      <c r="K1711" s="1780"/>
      <c r="L1711" s="1781"/>
      <c r="M1711" s="1781"/>
      <c r="N1711" s="1746"/>
      <c r="O1711" s="1782"/>
      <c r="P1711" s="1720"/>
    </row>
    <row r="1712" spans="1:16" ht="13.5" hidden="1" customHeight="1" outlineLevel="3" x14ac:dyDescent="0.2">
      <c r="A1712" s="459">
        <v>0</v>
      </c>
      <c r="B1712" s="459">
        <v>14</v>
      </c>
      <c r="C1712" s="459">
        <v>3</v>
      </c>
      <c r="D1712" s="460">
        <v>1</v>
      </c>
      <c r="E1712" s="460">
        <v>1</v>
      </c>
      <c r="G1712" s="1798" t="s">
        <v>46</v>
      </c>
      <c r="H1712" s="1783" t="s">
        <v>1239</v>
      </c>
      <c r="I1712" s="1750" t="s">
        <v>7493</v>
      </c>
      <c r="J1712" s="1785" t="s">
        <v>482</v>
      </c>
      <c r="K1712" s="1786" t="s">
        <v>642</v>
      </c>
      <c r="L1712" s="1787" t="e">
        <v>#REF!</v>
      </c>
      <c r="M1712" s="1787">
        <v>10.11778</v>
      </c>
      <c r="N1712" s="1754"/>
      <c r="O1712" s="1788"/>
      <c r="P1712" s="1721" t="s">
        <v>9611</v>
      </c>
    </row>
    <row r="1713" spans="1:16" ht="13.5" hidden="1" customHeight="1" outlineLevel="3" x14ac:dyDescent="0.2">
      <c r="A1713" s="459">
        <v>0</v>
      </c>
      <c r="B1713" s="459">
        <v>14</v>
      </c>
      <c r="C1713" s="459">
        <v>3</v>
      </c>
      <c r="D1713" s="460">
        <v>1</v>
      </c>
      <c r="E1713" s="460">
        <v>2</v>
      </c>
      <c r="G1713" s="1798" t="s">
        <v>46</v>
      </c>
      <c r="H1713" s="1783" t="s">
        <v>1239</v>
      </c>
      <c r="I1713" s="1750" t="s">
        <v>7494</v>
      </c>
      <c r="J1713" s="1785" t="s">
        <v>491</v>
      </c>
      <c r="K1713" s="1786" t="s">
        <v>642</v>
      </c>
      <c r="L1713" s="1787" t="e">
        <v>#REF!</v>
      </c>
      <c r="M1713" s="1787">
        <v>3.28945</v>
      </c>
      <c r="N1713" s="1754"/>
      <c r="O1713" s="1788"/>
      <c r="P1713" s="1721" t="s">
        <v>9611</v>
      </c>
    </row>
    <row r="1714" spans="1:16" ht="13.5" hidden="1" customHeight="1" outlineLevel="3" x14ac:dyDescent="0.2">
      <c r="A1714" s="459">
        <v>0</v>
      </c>
      <c r="B1714" s="459">
        <v>14</v>
      </c>
      <c r="C1714" s="459">
        <v>3</v>
      </c>
      <c r="D1714" s="460">
        <v>1</v>
      </c>
      <c r="E1714" s="460">
        <v>3</v>
      </c>
      <c r="G1714" s="1798" t="s">
        <v>46</v>
      </c>
      <c r="H1714" s="1783" t="s">
        <v>1239</v>
      </c>
      <c r="I1714" s="1750" t="s">
        <v>7495</v>
      </c>
      <c r="J1714" s="1785" t="s">
        <v>497</v>
      </c>
      <c r="K1714" s="1786" t="s">
        <v>642</v>
      </c>
      <c r="L1714" s="1787" t="e">
        <v>#REF!</v>
      </c>
      <c r="M1714" s="1787">
        <v>12.075000000000001</v>
      </c>
      <c r="N1714" s="1754"/>
      <c r="O1714" s="1788"/>
      <c r="P1714" s="1721" t="s">
        <v>9611</v>
      </c>
    </row>
    <row r="1715" spans="1:16" ht="13.5" hidden="1" customHeight="1" outlineLevel="3" x14ac:dyDescent="0.2">
      <c r="A1715" s="459">
        <v>0</v>
      </c>
      <c r="B1715" s="459">
        <v>14</v>
      </c>
      <c r="C1715" s="459">
        <v>3</v>
      </c>
      <c r="D1715" s="460">
        <v>1</v>
      </c>
      <c r="E1715" s="460">
        <v>4</v>
      </c>
      <c r="G1715" s="1798" t="s">
        <v>46</v>
      </c>
      <c r="H1715" s="1783" t="s">
        <v>1239</v>
      </c>
      <c r="I1715" s="1750" t="s">
        <v>7496</v>
      </c>
      <c r="J1715" s="1785" t="s">
        <v>498</v>
      </c>
      <c r="K1715" s="1786" t="s">
        <v>642</v>
      </c>
      <c r="L1715" s="1787" t="e">
        <v>#REF!</v>
      </c>
      <c r="M1715" s="1787">
        <v>5.1029166666666663</v>
      </c>
      <c r="N1715" s="1754"/>
      <c r="O1715" s="1788"/>
      <c r="P1715" s="1721" t="s">
        <v>9611</v>
      </c>
    </row>
    <row r="1716" spans="1:16" ht="13.5" hidden="1" customHeight="1" outlineLevel="2" x14ac:dyDescent="0.2">
      <c r="A1716" s="459">
        <v>0</v>
      </c>
      <c r="B1716" s="459">
        <v>14</v>
      </c>
      <c r="C1716" s="459">
        <v>3</v>
      </c>
      <c r="D1716" s="460">
        <v>2</v>
      </c>
      <c r="E1716" s="460">
        <v>0</v>
      </c>
      <c r="G1716" s="1797"/>
      <c r="H1716" s="1777" t="s">
        <v>1238</v>
      </c>
      <c r="I1716" s="1742" t="s">
        <v>7497</v>
      </c>
      <c r="J1716" s="1779" t="s">
        <v>2817</v>
      </c>
      <c r="K1716" s="1780"/>
      <c r="L1716" s="1781"/>
      <c r="M1716" s="1781"/>
      <c r="N1716" s="1746"/>
      <c r="O1716" s="1782"/>
      <c r="P1716" s="1720"/>
    </row>
    <row r="1717" spans="1:16" ht="13.5" hidden="1" customHeight="1" outlineLevel="3" x14ac:dyDescent="0.2">
      <c r="A1717" s="459">
        <v>0</v>
      </c>
      <c r="B1717" s="459">
        <v>14</v>
      </c>
      <c r="C1717" s="459">
        <v>3</v>
      </c>
      <c r="D1717" s="460">
        <v>2</v>
      </c>
      <c r="E1717" s="460">
        <v>1</v>
      </c>
      <c r="G1717" s="1798" t="s">
        <v>48</v>
      </c>
      <c r="H1717" s="1783" t="s">
        <v>1239</v>
      </c>
      <c r="I1717" s="1750" t="s">
        <v>7498</v>
      </c>
      <c r="J1717" s="1785" t="s">
        <v>2876</v>
      </c>
      <c r="K1717" s="1786" t="s">
        <v>642</v>
      </c>
      <c r="L1717" s="1787" t="e">
        <v>#REF!</v>
      </c>
      <c r="M1717" s="1787">
        <v>1448.2455000000002</v>
      </c>
      <c r="N1717" s="1754"/>
      <c r="O1717" s="1788" t="s">
        <v>3161</v>
      </c>
      <c r="P1717" s="1721" t="s">
        <v>9611</v>
      </c>
    </row>
    <row r="1718" spans="1:16" ht="13.5" hidden="1" customHeight="1" outlineLevel="2" x14ac:dyDescent="0.2">
      <c r="A1718" s="459">
        <v>0</v>
      </c>
      <c r="B1718" s="459">
        <v>14</v>
      </c>
      <c r="C1718" s="459">
        <v>3</v>
      </c>
      <c r="D1718" s="460">
        <v>3</v>
      </c>
      <c r="E1718" s="460">
        <v>0</v>
      </c>
      <c r="G1718" s="1797"/>
      <c r="H1718" s="1777" t="s">
        <v>1238</v>
      </c>
      <c r="I1718" s="1742" t="s">
        <v>7499</v>
      </c>
      <c r="J1718" s="1779" t="s">
        <v>2741</v>
      </c>
      <c r="K1718" s="1780"/>
      <c r="L1718" s="1781"/>
      <c r="M1718" s="1781"/>
      <c r="N1718" s="1746"/>
      <c r="O1718" s="1782"/>
      <c r="P1718" s="1720"/>
    </row>
    <row r="1719" spans="1:16" ht="13.5" hidden="1" customHeight="1" outlineLevel="3" x14ac:dyDescent="0.2">
      <c r="A1719" s="459">
        <v>0</v>
      </c>
      <c r="B1719" s="459">
        <v>14</v>
      </c>
      <c r="C1719" s="459">
        <v>3</v>
      </c>
      <c r="D1719" s="460">
        <v>3</v>
      </c>
      <c r="E1719" s="460">
        <v>1</v>
      </c>
      <c r="G1719" s="1798" t="s">
        <v>48</v>
      </c>
      <c r="H1719" s="1783" t="s">
        <v>1239</v>
      </c>
      <c r="I1719" s="1750" t="s">
        <v>7500</v>
      </c>
      <c r="J1719" s="1785" t="s">
        <v>530</v>
      </c>
      <c r="K1719" s="1786" t="s">
        <v>642</v>
      </c>
      <c r="L1719" s="1787" t="e">
        <v>#REF!</v>
      </c>
      <c r="M1719" s="1787">
        <v>849.15470000000005</v>
      </c>
      <c r="N1719" s="1754"/>
      <c r="O1719" s="1788"/>
      <c r="P1719" s="1721" t="s">
        <v>9611</v>
      </c>
    </row>
    <row r="1720" spans="1:16" ht="13.5" hidden="1" customHeight="1" outlineLevel="2" x14ac:dyDescent="0.2">
      <c r="A1720" s="459">
        <v>0</v>
      </c>
      <c r="B1720" s="459">
        <v>14</v>
      </c>
      <c r="C1720" s="459">
        <v>3</v>
      </c>
      <c r="D1720" s="460">
        <v>4</v>
      </c>
      <c r="E1720" s="460">
        <v>0</v>
      </c>
      <c r="G1720" s="1797"/>
      <c r="H1720" s="1777" t="s">
        <v>1238</v>
      </c>
      <c r="I1720" s="1742" t="s">
        <v>7501</v>
      </c>
      <c r="J1720" s="1779" t="s">
        <v>1264</v>
      </c>
      <c r="K1720" s="1780"/>
      <c r="L1720" s="1781"/>
      <c r="M1720" s="1781"/>
      <c r="N1720" s="1746"/>
      <c r="O1720" s="1782"/>
      <c r="P1720" s="1720"/>
    </row>
    <row r="1721" spans="1:16" ht="13.5" hidden="1" customHeight="1" outlineLevel="3" x14ac:dyDescent="0.2">
      <c r="A1721" s="459">
        <v>0</v>
      </c>
      <c r="B1721" s="459">
        <v>14</v>
      </c>
      <c r="C1721" s="459">
        <v>3</v>
      </c>
      <c r="D1721" s="460">
        <v>4</v>
      </c>
      <c r="E1721" s="460">
        <v>1</v>
      </c>
      <c r="G1721" s="1798" t="s">
        <v>46</v>
      </c>
      <c r="H1721" s="1783" t="s">
        <v>1239</v>
      </c>
      <c r="I1721" s="1750" t="s">
        <v>7502</v>
      </c>
      <c r="J1721" s="1785" t="s">
        <v>542</v>
      </c>
      <c r="K1721" s="1786" t="s">
        <v>642</v>
      </c>
      <c r="L1721" s="1787" t="e">
        <v>#REF!</v>
      </c>
      <c r="M1721" s="1787">
        <v>42</v>
      </c>
      <c r="N1721" s="1754"/>
      <c r="O1721" s="1788"/>
      <c r="P1721" s="1721" t="s">
        <v>9611</v>
      </c>
    </row>
    <row r="1722" spans="1:16" ht="13.5" hidden="1" customHeight="1" outlineLevel="3" x14ac:dyDescent="0.2">
      <c r="A1722" s="459">
        <v>0</v>
      </c>
      <c r="B1722" s="459">
        <v>14</v>
      </c>
      <c r="C1722" s="459">
        <v>3</v>
      </c>
      <c r="D1722" s="460">
        <v>4</v>
      </c>
      <c r="E1722" s="460">
        <v>2</v>
      </c>
      <c r="G1722" s="1798" t="s">
        <v>46</v>
      </c>
      <c r="H1722" s="1783" t="s">
        <v>1239</v>
      </c>
      <c r="I1722" s="1750" t="s">
        <v>7503</v>
      </c>
      <c r="J1722" s="1785" t="s">
        <v>543</v>
      </c>
      <c r="K1722" s="1786" t="s">
        <v>642</v>
      </c>
      <c r="L1722" s="1787" t="e">
        <v>#REF!</v>
      </c>
      <c r="M1722" s="1787">
        <v>30</v>
      </c>
      <c r="N1722" s="1754"/>
      <c r="O1722" s="1788"/>
      <c r="P1722" s="1721" t="s">
        <v>9611</v>
      </c>
    </row>
    <row r="1723" spans="1:16" ht="13.5" hidden="1" customHeight="1" outlineLevel="3" x14ac:dyDescent="0.2">
      <c r="A1723" s="459">
        <v>0</v>
      </c>
      <c r="B1723" s="459">
        <v>14</v>
      </c>
      <c r="C1723" s="459">
        <v>3</v>
      </c>
      <c r="D1723" s="460">
        <v>4</v>
      </c>
      <c r="E1723" s="460">
        <v>3</v>
      </c>
      <c r="G1723" s="1798" t="s">
        <v>48</v>
      </c>
      <c r="H1723" s="1783" t="s">
        <v>1239</v>
      </c>
      <c r="I1723" s="1750" t="s">
        <v>7504</v>
      </c>
      <c r="J1723" s="1785" t="s">
        <v>545</v>
      </c>
      <c r="K1723" s="1786" t="s">
        <v>642</v>
      </c>
      <c r="L1723" s="1787" t="e">
        <v>#REF!</v>
      </c>
      <c r="M1723" s="1787">
        <v>75</v>
      </c>
      <c r="N1723" s="1754"/>
      <c r="O1723" s="1788"/>
      <c r="P1723" s="1721" t="s">
        <v>9611</v>
      </c>
    </row>
    <row r="1724" spans="1:16" ht="13.5" hidden="1" customHeight="1" outlineLevel="3" x14ac:dyDescent="0.2">
      <c r="A1724" s="459">
        <v>0</v>
      </c>
      <c r="B1724" s="459">
        <v>14</v>
      </c>
      <c r="C1724" s="459">
        <v>3</v>
      </c>
      <c r="D1724" s="460">
        <v>4</v>
      </c>
      <c r="E1724" s="460">
        <v>4</v>
      </c>
      <c r="G1724" s="1798" t="s">
        <v>48</v>
      </c>
      <c r="H1724" s="1783" t="s">
        <v>1239</v>
      </c>
      <c r="I1724" s="1750" t="s">
        <v>7505</v>
      </c>
      <c r="J1724" s="1785" t="s">
        <v>547</v>
      </c>
      <c r="K1724" s="1786" t="s">
        <v>642</v>
      </c>
      <c r="L1724" s="1787" t="e">
        <v>#REF!</v>
      </c>
      <c r="M1724" s="1787">
        <v>50</v>
      </c>
      <c r="N1724" s="1754"/>
      <c r="O1724" s="1788"/>
      <c r="P1724" s="1721" t="s">
        <v>9611</v>
      </c>
    </row>
    <row r="1725" spans="1:16" ht="13.5" hidden="1" customHeight="1" outlineLevel="1" x14ac:dyDescent="0.2">
      <c r="A1725" s="459">
        <v>0</v>
      </c>
      <c r="B1725" s="459">
        <v>14</v>
      </c>
      <c r="C1725" s="459">
        <v>4</v>
      </c>
      <c r="D1725" s="460">
        <v>0</v>
      </c>
      <c r="E1725" s="460">
        <v>4</v>
      </c>
      <c r="G1725" s="1796"/>
      <c r="H1725" s="1771" t="s">
        <v>39</v>
      </c>
      <c r="I1725" s="1735" t="s">
        <v>7506</v>
      </c>
      <c r="J1725" s="1773" t="s">
        <v>2896</v>
      </c>
      <c r="K1725" s="1774"/>
      <c r="L1725" s="1775"/>
      <c r="M1725" s="1775"/>
      <c r="N1725" s="1739"/>
      <c r="O1725" s="1776"/>
      <c r="P1725" s="1719"/>
    </row>
    <row r="1726" spans="1:16" ht="13.5" hidden="1" customHeight="1" outlineLevel="2" x14ac:dyDescent="0.2">
      <c r="A1726" s="459">
        <v>0</v>
      </c>
      <c r="B1726" s="459">
        <v>14</v>
      </c>
      <c r="C1726" s="459">
        <v>4</v>
      </c>
      <c r="D1726" s="460">
        <v>1</v>
      </c>
      <c r="E1726" s="460">
        <v>0</v>
      </c>
      <c r="G1726" s="1797"/>
      <c r="H1726" s="1777" t="s">
        <v>1238</v>
      </c>
      <c r="I1726" s="1742" t="s">
        <v>7507</v>
      </c>
      <c r="J1726" s="1779" t="s">
        <v>2812</v>
      </c>
      <c r="K1726" s="1780"/>
      <c r="L1726" s="1781"/>
      <c r="M1726" s="1781"/>
      <c r="N1726" s="1746"/>
      <c r="O1726" s="1782"/>
      <c r="P1726" s="1720"/>
    </row>
    <row r="1727" spans="1:16" ht="13.5" hidden="1" customHeight="1" outlineLevel="3" x14ac:dyDescent="0.2">
      <c r="A1727" s="459">
        <v>0</v>
      </c>
      <c r="B1727" s="459">
        <v>14</v>
      </c>
      <c r="C1727" s="459">
        <v>4</v>
      </c>
      <c r="D1727" s="460">
        <v>1</v>
      </c>
      <c r="E1727" s="460">
        <v>1</v>
      </c>
      <c r="G1727" s="1798" t="s">
        <v>46</v>
      </c>
      <c r="H1727" s="1783" t="s">
        <v>1239</v>
      </c>
      <c r="I1727" s="1750" t="s">
        <v>7508</v>
      </c>
      <c r="J1727" s="1785" t="s">
        <v>482</v>
      </c>
      <c r="K1727" s="1786" t="s">
        <v>642</v>
      </c>
      <c r="L1727" s="1787" t="e">
        <v>#REF!</v>
      </c>
      <c r="M1727" s="1787">
        <v>10.11778</v>
      </c>
      <c r="N1727" s="1754"/>
      <c r="O1727" s="1788"/>
      <c r="P1727" s="1721" t="s">
        <v>9611</v>
      </c>
    </row>
    <row r="1728" spans="1:16" ht="13.5" hidden="1" customHeight="1" outlineLevel="3" x14ac:dyDescent="0.2">
      <c r="A1728" s="459">
        <v>0</v>
      </c>
      <c r="B1728" s="459">
        <v>14</v>
      </c>
      <c r="C1728" s="459">
        <v>4</v>
      </c>
      <c r="D1728" s="460">
        <v>1</v>
      </c>
      <c r="E1728" s="460">
        <v>2</v>
      </c>
      <c r="G1728" s="1798" t="s">
        <v>46</v>
      </c>
      <c r="H1728" s="1783" t="s">
        <v>1239</v>
      </c>
      <c r="I1728" s="1750" t="s">
        <v>7509</v>
      </c>
      <c r="J1728" s="1785" t="s">
        <v>491</v>
      </c>
      <c r="K1728" s="1786" t="s">
        <v>642</v>
      </c>
      <c r="L1728" s="1787" t="e">
        <v>#REF!</v>
      </c>
      <c r="M1728" s="1787">
        <v>3.28945</v>
      </c>
      <c r="N1728" s="1754"/>
      <c r="O1728" s="1788"/>
      <c r="P1728" s="1721" t="s">
        <v>9611</v>
      </c>
    </row>
    <row r="1729" spans="1:16" ht="13.5" hidden="1" customHeight="1" outlineLevel="3" x14ac:dyDescent="0.2">
      <c r="A1729" s="459">
        <v>0</v>
      </c>
      <c r="B1729" s="459">
        <v>14</v>
      </c>
      <c r="C1729" s="459">
        <v>4</v>
      </c>
      <c r="D1729" s="460">
        <v>1</v>
      </c>
      <c r="E1729" s="460">
        <v>3</v>
      </c>
      <c r="G1729" s="1798" t="s">
        <v>46</v>
      </c>
      <c r="H1729" s="1783" t="s">
        <v>1239</v>
      </c>
      <c r="I1729" s="1750" t="s">
        <v>7510</v>
      </c>
      <c r="J1729" s="1785" t="s">
        <v>497</v>
      </c>
      <c r="K1729" s="1786" t="s">
        <v>642</v>
      </c>
      <c r="L1729" s="1787" t="e">
        <v>#REF!</v>
      </c>
      <c r="M1729" s="1787">
        <v>12.075000000000001</v>
      </c>
      <c r="N1729" s="1754"/>
      <c r="O1729" s="1788"/>
      <c r="P1729" s="1721" t="s">
        <v>9611</v>
      </c>
    </row>
    <row r="1730" spans="1:16" ht="13.5" hidden="1" customHeight="1" outlineLevel="3" x14ac:dyDescent="0.2">
      <c r="A1730" s="459">
        <v>0</v>
      </c>
      <c r="B1730" s="459">
        <v>14</v>
      </c>
      <c r="C1730" s="459">
        <v>4</v>
      </c>
      <c r="D1730" s="460">
        <v>1</v>
      </c>
      <c r="E1730" s="460">
        <v>4</v>
      </c>
      <c r="G1730" s="1798" t="s">
        <v>46</v>
      </c>
      <c r="H1730" s="1783" t="s">
        <v>1239</v>
      </c>
      <c r="I1730" s="1750" t="s">
        <v>7511</v>
      </c>
      <c r="J1730" s="1785" t="s">
        <v>498</v>
      </c>
      <c r="K1730" s="1786" t="s">
        <v>642</v>
      </c>
      <c r="L1730" s="1787" t="e">
        <v>#REF!</v>
      </c>
      <c r="M1730" s="1787">
        <v>5.1029166666666663</v>
      </c>
      <c r="N1730" s="1754"/>
      <c r="O1730" s="1788"/>
      <c r="P1730" s="1721" t="s">
        <v>9611</v>
      </c>
    </row>
    <row r="1731" spans="1:16" ht="13.5" hidden="1" customHeight="1" outlineLevel="2" x14ac:dyDescent="0.2">
      <c r="A1731" s="459">
        <v>0</v>
      </c>
      <c r="B1731" s="459">
        <v>14</v>
      </c>
      <c r="C1731" s="459">
        <v>4</v>
      </c>
      <c r="D1731" s="460">
        <v>2</v>
      </c>
      <c r="E1731" s="460">
        <v>0</v>
      </c>
      <c r="G1731" s="1797"/>
      <c r="H1731" s="1777" t="s">
        <v>1238</v>
      </c>
      <c r="I1731" s="1742" t="s">
        <v>7512</v>
      </c>
      <c r="J1731" s="1779" t="s">
        <v>2817</v>
      </c>
      <c r="K1731" s="1780"/>
      <c r="L1731" s="1781"/>
      <c r="M1731" s="1781"/>
      <c r="N1731" s="1746"/>
      <c r="O1731" s="1782"/>
      <c r="P1731" s="1720"/>
    </row>
    <row r="1732" spans="1:16" ht="13.5" hidden="1" customHeight="1" outlineLevel="3" x14ac:dyDescent="0.2">
      <c r="A1732" s="459">
        <v>0</v>
      </c>
      <c r="B1732" s="459">
        <v>14</v>
      </c>
      <c r="C1732" s="459">
        <v>4</v>
      </c>
      <c r="D1732" s="460">
        <v>2</v>
      </c>
      <c r="E1732" s="460">
        <v>1</v>
      </c>
      <c r="G1732" s="1798" t="s">
        <v>48</v>
      </c>
      <c r="H1732" s="1783" t="s">
        <v>1239</v>
      </c>
      <c r="I1732" s="1750" t="s">
        <v>7513</v>
      </c>
      <c r="J1732" s="1785" t="s">
        <v>2876</v>
      </c>
      <c r="K1732" s="1786" t="s">
        <v>642</v>
      </c>
      <c r="L1732" s="1787" t="e">
        <v>#REF!</v>
      </c>
      <c r="M1732" s="1787">
        <v>1448.2455000000002</v>
      </c>
      <c r="N1732" s="1754"/>
      <c r="O1732" s="1788" t="s">
        <v>3161</v>
      </c>
      <c r="P1732" s="1721" t="s">
        <v>9611</v>
      </c>
    </row>
    <row r="1733" spans="1:16" ht="13.5" hidden="1" customHeight="1" outlineLevel="2" x14ac:dyDescent="0.2">
      <c r="A1733" s="459">
        <v>0</v>
      </c>
      <c r="B1733" s="459">
        <v>14</v>
      </c>
      <c r="C1733" s="459">
        <v>4</v>
      </c>
      <c r="D1733" s="460">
        <v>3</v>
      </c>
      <c r="E1733" s="460">
        <v>0</v>
      </c>
      <c r="G1733" s="1797"/>
      <c r="H1733" s="1777" t="s">
        <v>1238</v>
      </c>
      <c r="I1733" s="1742" t="s">
        <v>7514</v>
      </c>
      <c r="J1733" s="1779" t="s">
        <v>1264</v>
      </c>
      <c r="K1733" s="1780"/>
      <c r="L1733" s="1781"/>
      <c r="M1733" s="1781"/>
      <c r="N1733" s="1746"/>
      <c r="O1733" s="1782"/>
      <c r="P1733" s="1720"/>
    </row>
    <row r="1734" spans="1:16" ht="13.5" hidden="1" customHeight="1" outlineLevel="3" x14ac:dyDescent="0.2">
      <c r="A1734" s="459">
        <v>0</v>
      </c>
      <c r="B1734" s="459">
        <v>14</v>
      </c>
      <c r="C1734" s="459">
        <v>4</v>
      </c>
      <c r="D1734" s="460">
        <v>3</v>
      </c>
      <c r="E1734" s="460">
        <v>1</v>
      </c>
      <c r="G1734" s="1798" t="s">
        <v>46</v>
      </c>
      <c r="H1734" s="1783" t="s">
        <v>1239</v>
      </c>
      <c r="I1734" s="1750" t="s">
        <v>7515</v>
      </c>
      <c r="J1734" s="1785" t="s">
        <v>542</v>
      </c>
      <c r="K1734" s="1786" t="s">
        <v>642</v>
      </c>
      <c r="L1734" s="1787" t="e">
        <v>#REF!</v>
      </c>
      <c r="M1734" s="1787">
        <v>42</v>
      </c>
      <c r="N1734" s="1754"/>
      <c r="O1734" s="1788"/>
      <c r="P1734" s="1721" t="s">
        <v>9611</v>
      </c>
    </row>
    <row r="1735" spans="1:16" ht="13.5" hidden="1" customHeight="1" outlineLevel="3" x14ac:dyDescent="0.2">
      <c r="A1735" s="459">
        <v>0</v>
      </c>
      <c r="B1735" s="459">
        <v>14</v>
      </c>
      <c r="C1735" s="459">
        <v>4</v>
      </c>
      <c r="D1735" s="460">
        <v>3</v>
      </c>
      <c r="E1735" s="460">
        <v>2</v>
      </c>
      <c r="G1735" s="1798" t="s">
        <v>46</v>
      </c>
      <c r="H1735" s="1783" t="s">
        <v>1239</v>
      </c>
      <c r="I1735" s="1750" t="s">
        <v>7516</v>
      </c>
      <c r="J1735" s="1785" t="s">
        <v>543</v>
      </c>
      <c r="K1735" s="1786" t="s">
        <v>642</v>
      </c>
      <c r="L1735" s="1787" t="e">
        <v>#REF!</v>
      </c>
      <c r="M1735" s="1787">
        <v>30</v>
      </c>
      <c r="N1735" s="1754"/>
      <c r="O1735" s="1788"/>
      <c r="P1735" s="1721" t="s">
        <v>9611</v>
      </c>
    </row>
    <row r="1736" spans="1:16" ht="13.5" hidden="1" customHeight="1" outlineLevel="3" x14ac:dyDescent="0.2">
      <c r="A1736" s="459">
        <v>0</v>
      </c>
      <c r="B1736" s="459">
        <v>14</v>
      </c>
      <c r="C1736" s="459">
        <v>4</v>
      </c>
      <c r="D1736" s="460">
        <v>3</v>
      </c>
      <c r="E1736" s="460">
        <v>3</v>
      </c>
      <c r="G1736" s="1798" t="s">
        <v>48</v>
      </c>
      <c r="H1736" s="1783" t="s">
        <v>1239</v>
      </c>
      <c r="I1736" s="1750" t="s">
        <v>7517</v>
      </c>
      <c r="J1736" s="1785" t="s">
        <v>545</v>
      </c>
      <c r="K1736" s="1786" t="s">
        <v>642</v>
      </c>
      <c r="L1736" s="1787" t="e">
        <v>#REF!</v>
      </c>
      <c r="M1736" s="1787">
        <v>75</v>
      </c>
      <c r="N1736" s="1754"/>
      <c r="O1736" s="1788"/>
      <c r="P1736" s="1721" t="s">
        <v>9611</v>
      </c>
    </row>
    <row r="1737" spans="1:16" ht="13.5" hidden="1" customHeight="1" outlineLevel="1" x14ac:dyDescent="0.2">
      <c r="A1737" s="459">
        <v>0</v>
      </c>
      <c r="B1737" s="459">
        <v>14</v>
      </c>
      <c r="C1737" s="459">
        <v>5</v>
      </c>
      <c r="D1737" s="460">
        <v>0</v>
      </c>
      <c r="E1737" s="460">
        <v>3</v>
      </c>
      <c r="G1737" s="1796"/>
      <c r="H1737" s="1771" t="s">
        <v>39</v>
      </c>
      <c r="I1737" s="1735" t="s">
        <v>7518</v>
      </c>
      <c r="J1737" s="1773" t="s">
        <v>2897</v>
      </c>
      <c r="K1737" s="1774"/>
      <c r="L1737" s="1775"/>
      <c r="M1737" s="1775"/>
      <c r="N1737" s="1739"/>
      <c r="O1737" s="1776"/>
      <c r="P1737" s="1719"/>
    </row>
    <row r="1738" spans="1:16" ht="13.5" hidden="1" customHeight="1" outlineLevel="2" x14ac:dyDescent="0.2">
      <c r="A1738" s="459">
        <v>0</v>
      </c>
      <c r="B1738" s="459">
        <v>14</v>
      </c>
      <c r="C1738" s="459">
        <v>5</v>
      </c>
      <c r="D1738" s="460">
        <v>1</v>
      </c>
      <c r="E1738" s="460">
        <v>0</v>
      </c>
      <c r="G1738" s="1797"/>
      <c r="H1738" s="1777" t="s">
        <v>1238</v>
      </c>
      <c r="I1738" s="1742" t="s">
        <v>7519</v>
      </c>
      <c r="J1738" s="1779" t="s">
        <v>2812</v>
      </c>
      <c r="K1738" s="1780"/>
      <c r="L1738" s="1781"/>
      <c r="M1738" s="1781"/>
      <c r="N1738" s="1746"/>
      <c r="O1738" s="1782"/>
      <c r="P1738" s="1720"/>
    </row>
    <row r="1739" spans="1:16" ht="13.5" hidden="1" customHeight="1" outlineLevel="3" x14ac:dyDescent="0.2">
      <c r="A1739" s="459">
        <v>0</v>
      </c>
      <c r="B1739" s="459">
        <v>14</v>
      </c>
      <c r="C1739" s="459">
        <v>5</v>
      </c>
      <c r="D1739" s="460">
        <v>1</v>
      </c>
      <c r="E1739" s="460">
        <v>1</v>
      </c>
      <c r="G1739" s="1798" t="s">
        <v>46</v>
      </c>
      <c r="H1739" s="1783" t="s">
        <v>1239</v>
      </c>
      <c r="I1739" s="1750" t="s">
        <v>7520</v>
      </c>
      <c r="J1739" s="1785" t="s">
        <v>482</v>
      </c>
      <c r="K1739" s="1786" t="s">
        <v>642</v>
      </c>
      <c r="L1739" s="1787" t="e">
        <v>#REF!</v>
      </c>
      <c r="M1739" s="1787">
        <v>10.11778</v>
      </c>
      <c r="N1739" s="1754"/>
      <c r="O1739" s="1788"/>
      <c r="P1739" s="1721" t="s">
        <v>9611</v>
      </c>
    </row>
    <row r="1740" spans="1:16" ht="13.5" hidden="1" customHeight="1" outlineLevel="3" x14ac:dyDescent="0.2">
      <c r="A1740" s="459">
        <v>0</v>
      </c>
      <c r="B1740" s="459">
        <v>14</v>
      </c>
      <c r="C1740" s="459">
        <v>5</v>
      </c>
      <c r="D1740" s="460">
        <v>1</v>
      </c>
      <c r="E1740" s="460">
        <v>2</v>
      </c>
      <c r="G1740" s="1798" t="s">
        <v>46</v>
      </c>
      <c r="H1740" s="1783" t="s">
        <v>1239</v>
      </c>
      <c r="I1740" s="1750" t="s">
        <v>7521</v>
      </c>
      <c r="J1740" s="1785" t="s">
        <v>491</v>
      </c>
      <c r="K1740" s="1786" t="s">
        <v>642</v>
      </c>
      <c r="L1740" s="1787" t="e">
        <v>#REF!</v>
      </c>
      <c r="M1740" s="1787">
        <v>3.28945</v>
      </c>
      <c r="N1740" s="1754"/>
      <c r="O1740" s="1788"/>
      <c r="P1740" s="1721" t="s">
        <v>9611</v>
      </c>
    </row>
    <row r="1741" spans="1:16" ht="13.5" hidden="1" customHeight="1" outlineLevel="3" x14ac:dyDescent="0.2">
      <c r="A1741" s="459">
        <v>0</v>
      </c>
      <c r="B1741" s="459">
        <v>14</v>
      </c>
      <c r="C1741" s="459">
        <v>5</v>
      </c>
      <c r="D1741" s="460">
        <v>1</v>
      </c>
      <c r="E1741" s="460">
        <v>3</v>
      </c>
      <c r="G1741" s="1798" t="s">
        <v>46</v>
      </c>
      <c r="H1741" s="1783" t="s">
        <v>1239</v>
      </c>
      <c r="I1741" s="1750" t="s">
        <v>7522</v>
      </c>
      <c r="J1741" s="1785" t="s">
        <v>497</v>
      </c>
      <c r="K1741" s="1786" t="s">
        <v>642</v>
      </c>
      <c r="L1741" s="1787" t="e">
        <v>#REF!</v>
      </c>
      <c r="M1741" s="1787">
        <v>12.075000000000001</v>
      </c>
      <c r="N1741" s="1754"/>
      <c r="O1741" s="1788"/>
      <c r="P1741" s="1721" t="s">
        <v>9611</v>
      </c>
    </row>
    <row r="1742" spans="1:16" ht="13.5" hidden="1" customHeight="1" outlineLevel="3" x14ac:dyDescent="0.2">
      <c r="A1742" s="459">
        <v>0</v>
      </c>
      <c r="B1742" s="459">
        <v>14</v>
      </c>
      <c r="C1742" s="459">
        <v>5</v>
      </c>
      <c r="D1742" s="460">
        <v>1</v>
      </c>
      <c r="E1742" s="460">
        <v>4</v>
      </c>
      <c r="G1742" s="1798" t="s">
        <v>46</v>
      </c>
      <c r="H1742" s="1783" t="s">
        <v>1239</v>
      </c>
      <c r="I1742" s="1750" t="s">
        <v>7523</v>
      </c>
      <c r="J1742" s="1785" t="s">
        <v>498</v>
      </c>
      <c r="K1742" s="1786" t="s">
        <v>642</v>
      </c>
      <c r="L1742" s="1787" t="e">
        <v>#REF!</v>
      </c>
      <c r="M1742" s="1787">
        <v>5.1029166666666663</v>
      </c>
      <c r="N1742" s="1754"/>
      <c r="O1742" s="1788"/>
      <c r="P1742" s="1721" t="s">
        <v>9611</v>
      </c>
    </row>
    <row r="1743" spans="1:16" ht="13.5" hidden="1" customHeight="1" outlineLevel="2" x14ac:dyDescent="0.2">
      <c r="A1743" s="459">
        <v>0</v>
      </c>
      <c r="B1743" s="459">
        <v>14</v>
      </c>
      <c r="C1743" s="459">
        <v>5</v>
      </c>
      <c r="D1743" s="460">
        <v>2</v>
      </c>
      <c r="E1743" s="460">
        <v>0</v>
      </c>
      <c r="G1743" s="1797"/>
      <c r="H1743" s="1777" t="s">
        <v>1238</v>
      </c>
      <c r="I1743" s="1742" t="s">
        <v>7524</v>
      </c>
      <c r="J1743" s="1779" t="s">
        <v>2817</v>
      </c>
      <c r="K1743" s="1780"/>
      <c r="L1743" s="1781"/>
      <c r="M1743" s="1781"/>
      <c r="N1743" s="1746"/>
      <c r="O1743" s="1782"/>
      <c r="P1743" s="1720"/>
    </row>
    <row r="1744" spans="1:16" ht="13.5" hidden="1" customHeight="1" outlineLevel="3" x14ac:dyDescent="0.2">
      <c r="A1744" s="459">
        <v>0</v>
      </c>
      <c r="B1744" s="459">
        <v>14</v>
      </c>
      <c r="C1744" s="459">
        <v>5</v>
      </c>
      <c r="D1744" s="460">
        <v>2</v>
      </c>
      <c r="E1744" s="460">
        <v>1</v>
      </c>
      <c r="G1744" s="1798" t="s">
        <v>48</v>
      </c>
      <c r="H1744" s="1783" t="s">
        <v>1239</v>
      </c>
      <c r="I1744" s="1750" t="s">
        <v>7525</v>
      </c>
      <c r="J1744" s="1785" t="s">
        <v>2876</v>
      </c>
      <c r="K1744" s="1786" t="s">
        <v>642</v>
      </c>
      <c r="L1744" s="1787" t="e">
        <v>#REF!</v>
      </c>
      <c r="M1744" s="1787">
        <v>1448.2455000000002</v>
      </c>
      <c r="N1744" s="1754"/>
      <c r="O1744" s="1788" t="s">
        <v>3161</v>
      </c>
      <c r="P1744" s="1721" t="s">
        <v>9611</v>
      </c>
    </row>
    <row r="1745" spans="1:16" ht="13.5" hidden="1" customHeight="1" outlineLevel="2" x14ac:dyDescent="0.2">
      <c r="A1745" s="459">
        <v>0</v>
      </c>
      <c r="B1745" s="459">
        <v>14</v>
      </c>
      <c r="C1745" s="459">
        <v>5</v>
      </c>
      <c r="D1745" s="460">
        <v>3</v>
      </c>
      <c r="E1745" s="460">
        <v>0</v>
      </c>
      <c r="G1745" s="1797"/>
      <c r="H1745" s="1777" t="s">
        <v>1238</v>
      </c>
      <c r="I1745" s="1742" t="s">
        <v>7526</v>
      </c>
      <c r="J1745" s="1779" t="s">
        <v>1264</v>
      </c>
      <c r="K1745" s="1780"/>
      <c r="L1745" s="1781"/>
      <c r="M1745" s="1781"/>
      <c r="N1745" s="1746"/>
      <c r="O1745" s="1782"/>
      <c r="P1745" s="1720"/>
    </row>
    <row r="1746" spans="1:16" ht="13.5" hidden="1" customHeight="1" outlineLevel="3" x14ac:dyDescent="0.2">
      <c r="A1746" s="459">
        <v>0</v>
      </c>
      <c r="B1746" s="459">
        <v>14</v>
      </c>
      <c r="C1746" s="459">
        <v>5</v>
      </c>
      <c r="D1746" s="460">
        <v>3</v>
      </c>
      <c r="E1746" s="460">
        <v>1</v>
      </c>
      <c r="G1746" s="1798" t="s">
        <v>46</v>
      </c>
      <c r="H1746" s="1783" t="s">
        <v>1239</v>
      </c>
      <c r="I1746" s="1750" t="s">
        <v>7527</v>
      </c>
      <c r="J1746" s="1785" t="s">
        <v>542</v>
      </c>
      <c r="K1746" s="1786" t="s">
        <v>642</v>
      </c>
      <c r="L1746" s="1787" t="e">
        <v>#REF!</v>
      </c>
      <c r="M1746" s="1787">
        <v>42</v>
      </c>
      <c r="N1746" s="1754"/>
      <c r="O1746" s="1788"/>
      <c r="P1746" s="1721" t="s">
        <v>9611</v>
      </c>
    </row>
    <row r="1747" spans="1:16" ht="13.5" hidden="1" customHeight="1" outlineLevel="3" x14ac:dyDescent="0.2">
      <c r="A1747" s="459">
        <v>0</v>
      </c>
      <c r="B1747" s="459">
        <v>14</v>
      </c>
      <c r="C1747" s="459">
        <v>5</v>
      </c>
      <c r="D1747" s="460">
        <v>3</v>
      </c>
      <c r="E1747" s="460">
        <v>2</v>
      </c>
      <c r="G1747" s="1798" t="s">
        <v>46</v>
      </c>
      <c r="H1747" s="1783" t="s">
        <v>1239</v>
      </c>
      <c r="I1747" s="1750" t="s">
        <v>7528</v>
      </c>
      <c r="J1747" s="1785" t="s">
        <v>543</v>
      </c>
      <c r="K1747" s="1786" t="s">
        <v>642</v>
      </c>
      <c r="L1747" s="1787" t="e">
        <v>#REF!</v>
      </c>
      <c r="M1747" s="1787">
        <v>30</v>
      </c>
      <c r="N1747" s="1754"/>
      <c r="O1747" s="1788"/>
      <c r="P1747" s="1721" t="s">
        <v>9611</v>
      </c>
    </row>
    <row r="1748" spans="1:16" ht="13.5" hidden="1" customHeight="1" outlineLevel="3" x14ac:dyDescent="0.2">
      <c r="A1748" s="459">
        <v>0</v>
      </c>
      <c r="B1748" s="459">
        <v>14</v>
      </c>
      <c r="C1748" s="459">
        <v>5</v>
      </c>
      <c r="D1748" s="460">
        <v>3</v>
      </c>
      <c r="E1748" s="460">
        <v>3</v>
      </c>
      <c r="G1748" s="1798" t="s">
        <v>48</v>
      </c>
      <c r="H1748" s="1783" t="s">
        <v>1239</v>
      </c>
      <c r="I1748" s="1750" t="s">
        <v>7529</v>
      </c>
      <c r="J1748" s="1785" t="s">
        <v>545</v>
      </c>
      <c r="K1748" s="1786" t="s">
        <v>642</v>
      </c>
      <c r="L1748" s="1787" t="e">
        <v>#REF!</v>
      </c>
      <c r="M1748" s="1787">
        <v>75</v>
      </c>
      <c r="N1748" s="1754"/>
      <c r="O1748" s="1788"/>
      <c r="P1748" s="1721" t="s">
        <v>9611</v>
      </c>
    </row>
    <row r="1749" spans="1:16" ht="13.5" hidden="1" customHeight="1" outlineLevel="1" x14ac:dyDescent="0.2">
      <c r="A1749" s="459">
        <v>0</v>
      </c>
      <c r="B1749" s="459">
        <v>14</v>
      </c>
      <c r="C1749" s="459">
        <v>6</v>
      </c>
      <c r="D1749" s="460">
        <v>0</v>
      </c>
      <c r="E1749" s="460">
        <v>3</v>
      </c>
      <c r="G1749" s="1796"/>
      <c r="H1749" s="1771" t="s">
        <v>39</v>
      </c>
      <c r="I1749" s="1735" t="s">
        <v>7530</v>
      </c>
      <c r="J1749" s="1773" t="s">
        <v>2898</v>
      </c>
      <c r="K1749" s="1774"/>
      <c r="L1749" s="1775"/>
      <c r="M1749" s="1775"/>
      <c r="N1749" s="1739"/>
      <c r="O1749" s="1776"/>
      <c r="P1749" s="1719"/>
    </row>
    <row r="1750" spans="1:16" ht="13.5" hidden="1" customHeight="1" outlineLevel="2" x14ac:dyDescent="0.2">
      <c r="A1750" s="459">
        <v>0</v>
      </c>
      <c r="B1750" s="459">
        <v>14</v>
      </c>
      <c r="C1750" s="459">
        <v>6</v>
      </c>
      <c r="D1750" s="460">
        <v>1</v>
      </c>
      <c r="E1750" s="460">
        <v>0</v>
      </c>
      <c r="G1750" s="1797"/>
      <c r="H1750" s="1777" t="s">
        <v>1238</v>
      </c>
      <c r="I1750" s="1742" t="s">
        <v>7531</v>
      </c>
      <c r="J1750" s="1779" t="s">
        <v>2812</v>
      </c>
      <c r="K1750" s="1780"/>
      <c r="L1750" s="1781"/>
      <c r="M1750" s="1781"/>
      <c r="N1750" s="1746"/>
      <c r="O1750" s="1782"/>
      <c r="P1750" s="1720"/>
    </row>
    <row r="1751" spans="1:16" ht="13.5" hidden="1" customHeight="1" outlineLevel="3" x14ac:dyDescent="0.2">
      <c r="A1751" s="459">
        <v>0</v>
      </c>
      <c r="B1751" s="459">
        <v>14</v>
      </c>
      <c r="C1751" s="459">
        <v>6</v>
      </c>
      <c r="D1751" s="460">
        <v>1</v>
      </c>
      <c r="E1751" s="460">
        <v>1</v>
      </c>
      <c r="G1751" s="1798" t="s">
        <v>46</v>
      </c>
      <c r="H1751" s="1783" t="s">
        <v>1239</v>
      </c>
      <c r="I1751" s="1750" t="s">
        <v>7532</v>
      </c>
      <c r="J1751" s="1785" t="s">
        <v>482</v>
      </c>
      <c r="K1751" s="1786" t="s">
        <v>642</v>
      </c>
      <c r="L1751" s="1787" t="e">
        <v>#REF!</v>
      </c>
      <c r="M1751" s="1787">
        <v>10.11778</v>
      </c>
      <c r="N1751" s="1754"/>
      <c r="O1751" s="1788"/>
      <c r="P1751" s="1721" t="s">
        <v>9611</v>
      </c>
    </row>
    <row r="1752" spans="1:16" ht="13.5" hidden="1" customHeight="1" outlineLevel="3" x14ac:dyDescent="0.2">
      <c r="A1752" s="459">
        <v>0</v>
      </c>
      <c r="B1752" s="459">
        <v>14</v>
      </c>
      <c r="C1752" s="459">
        <v>6</v>
      </c>
      <c r="D1752" s="460">
        <v>1</v>
      </c>
      <c r="E1752" s="460">
        <v>2</v>
      </c>
      <c r="G1752" s="1798" t="s">
        <v>46</v>
      </c>
      <c r="H1752" s="1783" t="s">
        <v>1239</v>
      </c>
      <c r="I1752" s="1750" t="s">
        <v>7533</v>
      </c>
      <c r="J1752" s="1785" t="s">
        <v>491</v>
      </c>
      <c r="K1752" s="1786" t="s">
        <v>642</v>
      </c>
      <c r="L1752" s="1787" t="e">
        <v>#REF!</v>
      </c>
      <c r="M1752" s="1787">
        <v>3.28945</v>
      </c>
      <c r="N1752" s="1754"/>
      <c r="O1752" s="1788"/>
      <c r="P1752" s="1721" t="s">
        <v>9611</v>
      </c>
    </row>
    <row r="1753" spans="1:16" ht="13.5" hidden="1" customHeight="1" outlineLevel="3" x14ac:dyDescent="0.2">
      <c r="A1753" s="459">
        <v>0</v>
      </c>
      <c r="B1753" s="459">
        <v>14</v>
      </c>
      <c r="C1753" s="459">
        <v>6</v>
      </c>
      <c r="D1753" s="460">
        <v>1</v>
      </c>
      <c r="E1753" s="460">
        <v>3</v>
      </c>
      <c r="G1753" s="1798" t="s">
        <v>46</v>
      </c>
      <c r="H1753" s="1783" t="s">
        <v>1239</v>
      </c>
      <c r="I1753" s="1750" t="s">
        <v>7534</v>
      </c>
      <c r="J1753" s="1785" t="s">
        <v>497</v>
      </c>
      <c r="K1753" s="1786" t="s">
        <v>642</v>
      </c>
      <c r="L1753" s="1787" t="e">
        <v>#REF!</v>
      </c>
      <c r="M1753" s="1787">
        <v>12.075000000000001</v>
      </c>
      <c r="N1753" s="1754"/>
      <c r="O1753" s="1788"/>
      <c r="P1753" s="1721" t="s">
        <v>9611</v>
      </c>
    </row>
    <row r="1754" spans="1:16" ht="13.5" hidden="1" customHeight="1" outlineLevel="3" x14ac:dyDescent="0.2">
      <c r="A1754" s="459">
        <v>0</v>
      </c>
      <c r="B1754" s="459">
        <v>14</v>
      </c>
      <c r="C1754" s="459">
        <v>6</v>
      </c>
      <c r="D1754" s="460">
        <v>1</v>
      </c>
      <c r="E1754" s="460">
        <v>4</v>
      </c>
      <c r="G1754" s="1798" t="s">
        <v>46</v>
      </c>
      <c r="H1754" s="1783" t="s">
        <v>1239</v>
      </c>
      <c r="I1754" s="1750" t="s">
        <v>7535</v>
      </c>
      <c r="J1754" s="1785" t="s">
        <v>498</v>
      </c>
      <c r="K1754" s="1786" t="s">
        <v>642</v>
      </c>
      <c r="L1754" s="1787" t="e">
        <v>#REF!</v>
      </c>
      <c r="M1754" s="1787">
        <v>5.1029166666666663</v>
      </c>
      <c r="N1754" s="1754"/>
      <c r="O1754" s="1788"/>
      <c r="P1754" s="1721" t="s">
        <v>9611</v>
      </c>
    </row>
    <row r="1755" spans="1:16" ht="13.5" hidden="1" customHeight="1" outlineLevel="2" x14ac:dyDescent="0.2">
      <c r="A1755" s="459">
        <v>0</v>
      </c>
      <c r="B1755" s="459">
        <v>14</v>
      </c>
      <c r="C1755" s="459">
        <v>6</v>
      </c>
      <c r="D1755" s="460">
        <v>2</v>
      </c>
      <c r="E1755" s="460">
        <v>0</v>
      </c>
      <c r="G1755" s="1797"/>
      <c r="H1755" s="1777" t="s">
        <v>1238</v>
      </c>
      <c r="I1755" s="1742" t="s">
        <v>7536</v>
      </c>
      <c r="J1755" s="1779" t="s">
        <v>2817</v>
      </c>
      <c r="K1755" s="1780"/>
      <c r="L1755" s="1781"/>
      <c r="M1755" s="1781"/>
      <c r="N1755" s="1746"/>
      <c r="O1755" s="1782"/>
      <c r="P1755" s="1720"/>
    </row>
    <row r="1756" spans="1:16" ht="13.5" hidden="1" customHeight="1" outlineLevel="3" x14ac:dyDescent="0.2">
      <c r="A1756" s="459">
        <v>0</v>
      </c>
      <c r="B1756" s="459">
        <v>14</v>
      </c>
      <c r="C1756" s="459">
        <v>6</v>
      </c>
      <c r="D1756" s="460">
        <v>2</v>
      </c>
      <c r="E1756" s="460">
        <v>1</v>
      </c>
      <c r="G1756" s="1798" t="s">
        <v>48</v>
      </c>
      <c r="H1756" s="1783" t="s">
        <v>1239</v>
      </c>
      <c r="I1756" s="1750" t="s">
        <v>7537</v>
      </c>
      <c r="J1756" s="1785" t="s">
        <v>2876</v>
      </c>
      <c r="K1756" s="1786" t="s">
        <v>642</v>
      </c>
      <c r="L1756" s="1787" t="e">
        <v>#REF!</v>
      </c>
      <c r="M1756" s="1787">
        <v>1448.2455000000002</v>
      </c>
      <c r="N1756" s="1754"/>
      <c r="O1756" s="1788" t="s">
        <v>3161</v>
      </c>
      <c r="P1756" s="1721" t="s">
        <v>9611</v>
      </c>
    </row>
    <row r="1757" spans="1:16" ht="13.5" hidden="1" customHeight="1" outlineLevel="2" x14ac:dyDescent="0.2">
      <c r="A1757" s="459">
        <v>0</v>
      </c>
      <c r="B1757" s="459">
        <v>14</v>
      </c>
      <c r="C1757" s="459">
        <v>6</v>
      </c>
      <c r="D1757" s="460">
        <v>3</v>
      </c>
      <c r="E1757" s="460">
        <v>0</v>
      </c>
      <c r="G1757" s="1797"/>
      <c r="H1757" s="1777" t="s">
        <v>1238</v>
      </c>
      <c r="I1757" s="1742" t="s">
        <v>7538</v>
      </c>
      <c r="J1757" s="1779" t="s">
        <v>1264</v>
      </c>
      <c r="K1757" s="1780"/>
      <c r="L1757" s="1781"/>
      <c r="M1757" s="1781"/>
      <c r="N1757" s="1746"/>
      <c r="O1757" s="1782"/>
      <c r="P1757" s="1720"/>
    </row>
    <row r="1758" spans="1:16" ht="13.5" hidden="1" customHeight="1" outlineLevel="3" x14ac:dyDescent="0.2">
      <c r="A1758" s="459">
        <v>0</v>
      </c>
      <c r="B1758" s="459">
        <v>14</v>
      </c>
      <c r="C1758" s="459">
        <v>6</v>
      </c>
      <c r="D1758" s="460">
        <v>3</v>
      </c>
      <c r="E1758" s="460">
        <v>1</v>
      </c>
      <c r="G1758" s="1798" t="s">
        <v>46</v>
      </c>
      <c r="H1758" s="1783" t="s">
        <v>1239</v>
      </c>
      <c r="I1758" s="1750" t="s">
        <v>7539</v>
      </c>
      <c r="J1758" s="1785" t="s">
        <v>542</v>
      </c>
      <c r="K1758" s="1786" t="s">
        <v>642</v>
      </c>
      <c r="L1758" s="1787" t="e">
        <v>#REF!</v>
      </c>
      <c r="M1758" s="1787">
        <v>42</v>
      </c>
      <c r="N1758" s="1754"/>
      <c r="O1758" s="1788"/>
      <c r="P1758" s="1721" t="s">
        <v>9611</v>
      </c>
    </row>
    <row r="1759" spans="1:16" ht="13.5" hidden="1" customHeight="1" outlineLevel="3" x14ac:dyDescent="0.2">
      <c r="A1759" s="459">
        <v>0</v>
      </c>
      <c r="B1759" s="459">
        <v>14</v>
      </c>
      <c r="C1759" s="459">
        <v>6</v>
      </c>
      <c r="D1759" s="460">
        <v>3</v>
      </c>
      <c r="E1759" s="460">
        <v>2</v>
      </c>
      <c r="G1759" s="1798" t="s">
        <v>46</v>
      </c>
      <c r="H1759" s="1783" t="s">
        <v>1239</v>
      </c>
      <c r="I1759" s="1750" t="s">
        <v>7540</v>
      </c>
      <c r="J1759" s="1785" t="s">
        <v>543</v>
      </c>
      <c r="K1759" s="1786" t="s">
        <v>642</v>
      </c>
      <c r="L1759" s="1787" t="e">
        <v>#REF!</v>
      </c>
      <c r="M1759" s="1787">
        <v>30</v>
      </c>
      <c r="N1759" s="1754"/>
      <c r="O1759" s="1788"/>
      <c r="P1759" s="1721" t="s">
        <v>9611</v>
      </c>
    </row>
    <row r="1760" spans="1:16" ht="13.5" hidden="1" customHeight="1" outlineLevel="3" x14ac:dyDescent="0.2">
      <c r="A1760" s="459">
        <v>0</v>
      </c>
      <c r="B1760" s="459">
        <v>14</v>
      </c>
      <c r="C1760" s="459">
        <v>6</v>
      </c>
      <c r="D1760" s="460">
        <v>3</v>
      </c>
      <c r="E1760" s="460">
        <v>3</v>
      </c>
      <c r="G1760" s="1798" t="s">
        <v>48</v>
      </c>
      <c r="H1760" s="1783" t="s">
        <v>1239</v>
      </c>
      <c r="I1760" s="1750" t="s">
        <v>7541</v>
      </c>
      <c r="J1760" s="1785" t="s">
        <v>545</v>
      </c>
      <c r="K1760" s="1786" t="s">
        <v>642</v>
      </c>
      <c r="L1760" s="1787" t="e">
        <v>#REF!</v>
      </c>
      <c r="M1760" s="1787">
        <v>75</v>
      </c>
      <c r="N1760" s="1754"/>
      <c r="O1760" s="1788"/>
      <c r="P1760" s="1721" t="s">
        <v>9611</v>
      </c>
    </row>
    <row r="1761" spans="1:16" ht="13.5" hidden="1" customHeight="1" outlineLevel="1" x14ac:dyDescent="0.2">
      <c r="A1761" s="459">
        <v>0</v>
      </c>
      <c r="B1761" s="459">
        <v>14</v>
      </c>
      <c r="C1761" s="459">
        <v>7</v>
      </c>
      <c r="D1761" s="460">
        <v>0</v>
      </c>
      <c r="E1761" s="460">
        <v>3</v>
      </c>
      <c r="G1761" s="1796"/>
      <c r="H1761" s="1771" t="s">
        <v>39</v>
      </c>
      <c r="I1761" s="1735" t="s">
        <v>7542</v>
      </c>
      <c r="J1761" s="1773" t="s">
        <v>2899</v>
      </c>
      <c r="K1761" s="1774"/>
      <c r="L1761" s="1775"/>
      <c r="M1761" s="1775"/>
      <c r="N1761" s="1739"/>
      <c r="O1761" s="1776"/>
      <c r="P1761" s="1719"/>
    </row>
    <row r="1762" spans="1:16" ht="13.5" hidden="1" customHeight="1" outlineLevel="2" x14ac:dyDescent="0.2">
      <c r="A1762" s="459">
        <v>0</v>
      </c>
      <c r="B1762" s="459">
        <v>14</v>
      </c>
      <c r="C1762" s="459">
        <v>7</v>
      </c>
      <c r="D1762" s="460">
        <v>1</v>
      </c>
      <c r="E1762" s="460">
        <v>0</v>
      </c>
      <c r="G1762" s="1797"/>
      <c r="H1762" s="1777" t="s">
        <v>1238</v>
      </c>
      <c r="I1762" s="1742" t="s">
        <v>7543</v>
      </c>
      <c r="J1762" s="1779" t="s">
        <v>2812</v>
      </c>
      <c r="K1762" s="1780"/>
      <c r="L1762" s="1781"/>
      <c r="M1762" s="1781"/>
      <c r="N1762" s="1746"/>
      <c r="O1762" s="1782"/>
      <c r="P1762" s="1720"/>
    </row>
    <row r="1763" spans="1:16" ht="13.5" hidden="1" customHeight="1" outlineLevel="3" x14ac:dyDescent="0.2">
      <c r="A1763" s="459">
        <v>0</v>
      </c>
      <c r="B1763" s="459">
        <v>14</v>
      </c>
      <c r="C1763" s="459">
        <v>7</v>
      </c>
      <c r="D1763" s="460">
        <v>1</v>
      </c>
      <c r="E1763" s="460">
        <v>1</v>
      </c>
      <c r="G1763" s="1798" t="s">
        <v>46</v>
      </c>
      <c r="H1763" s="1783" t="s">
        <v>1239</v>
      </c>
      <c r="I1763" s="1750" t="s">
        <v>7544</v>
      </c>
      <c r="J1763" s="1785" t="s">
        <v>482</v>
      </c>
      <c r="K1763" s="1786" t="s">
        <v>642</v>
      </c>
      <c r="L1763" s="1787" t="e">
        <v>#REF!</v>
      </c>
      <c r="M1763" s="1787">
        <v>10.11778</v>
      </c>
      <c r="N1763" s="1754"/>
      <c r="O1763" s="1788"/>
      <c r="P1763" s="1721" t="s">
        <v>9611</v>
      </c>
    </row>
    <row r="1764" spans="1:16" ht="13.5" hidden="1" customHeight="1" outlineLevel="3" x14ac:dyDescent="0.2">
      <c r="A1764" s="459">
        <v>0</v>
      </c>
      <c r="B1764" s="459">
        <v>14</v>
      </c>
      <c r="C1764" s="459">
        <v>7</v>
      </c>
      <c r="D1764" s="460">
        <v>1</v>
      </c>
      <c r="E1764" s="460">
        <v>2</v>
      </c>
      <c r="G1764" s="1798" t="s">
        <v>46</v>
      </c>
      <c r="H1764" s="1783" t="s">
        <v>1239</v>
      </c>
      <c r="I1764" s="1750" t="s">
        <v>7545</v>
      </c>
      <c r="J1764" s="1785" t="s">
        <v>491</v>
      </c>
      <c r="K1764" s="1786" t="s">
        <v>642</v>
      </c>
      <c r="L1764" s="1787" t="e">
        <v>#REF!</v>
      </c>
      <c r="M1764" s="1787">
        <v>3.28945</v>
      </c>
      <c r="N1764" s="1754"/>
      <c r="O1764" s="1788"/>
      <c r="P1764" s="1721" t="s">
        <v>9611</v>
      </c>
    </row>
    <row r="1765" spans="1:16" ht="13.5" hidden="1" customHeight="1" outlineLevel="3" x14ac:dyDescent="0.2">
      <c r="A1765" s="459">
        <v>0</v>
      </c>
      <c r="B1765" s="459">
        <v>14</v>
      </c>
      <c r="C1765" s="459">
        <v>7</v>
      </c>
      <c r="D1765" s="460">
        <v>1</v>
      </c>
      <c r="E1765" s="460">
        <v>3</v>
      </c>
      <c r="G1765" s="1798" t="s">
        <v>46</v>
      </c>
      <c r="H1765" s="1783" t="s">
        <v>1239</v>
      </c>
      <c r="I1765" s="1750" t="s">
        <v>7546</v>
      </c>
      <c r="J1765" s="1785" t="s">
        <v>497</v>
      </c>
      <c r="K1765" s="1786" t="s">
        <v>642</v>
      </c>
      <c r="L1765" s="1787" t="e">
        <v>#REF!</v>
      </c>
      <c r="M1765" s="1787">
        <v>12.075000000000001</v>
      </c>
      <c r="N1765" s="1754"/>
      <c r="O1765" s="1788"/>
      <c r="P1765" s="1721" t="s">
        <v>9611</v>
      </c>
    </row>
    <row r="1766" spans="1:16" ht="13.5" hidden="1" customHeight="1" outlineLevel="3" x14ac:dyDescent="0.2">
      <c r="A1766" s="459">
        <v>0</v>
      </c>
      <c r="B1766" s="459">
        <v>14</v>
      </c>
      <c r="C1766" s="459">
        <v>7</v>
      </c>
      <c r="D1766" s="460">
        <v>1</v>
      </c>
      <c r="E1766" s="460">
        <v>4</v>
      </c>
      <c r="G1766" s="1798" t="s">
        <v>46</v>
      </c>
      <c r="H1766" s="1783" t="s">
        <v>1239</v>
      </c>
      <c r="I1766" s="1750" t="s">
        <v>7547</v>
      </c>
      <c r="J1766" s="1785" t="s">
        <v>498</v>
      </c>
      <c r="K1766" s="1786" t="s">
        <v>642</v>
      </c>
      <c r="L1766" s="1787" t="e">
        <v>#REF!</v>
      </c>
      <c r="M1766" s="1787">
        <v>5.1029166666666663</v>
      </c>
      <c r="N1766" s="1754"/>
      <c r="O1766" s="1788"/>
      <c r="P1766" s="1721" t="s">
        <v>9611</v>
      </c>
    </row>
    <row r="1767" spans="1:16" ht="13.5" hidden="1" customHeight="1" outlineLevel="2" x14ac:dyDescent="0.2">
      <c r="A1767" s="459">
        <v>0</v>
      </c>
      <c r="B1767" s="459">
        <v>14</v>
      </c>
      <c r="C1767" s="459">
        <v>7</v>
      </c>
      <c r="D1767" s="460">
        <v>2</v>
      </c>
      <c r="E1767" s="460">
        <v>0</v>
      </c>
      <c r="G1767" s="1797"/>
      <c r="H1767" s="1777" t="s">
        <v>1238</v>
      </c>
      <c r="I1767" s="1742" t="s">
        <v>7548</v>
      </c>
      <c r="J1767" s="1779" t="s">
        <v>2813</v>
      </c>
      <c r="K1767" s="1780"/>
      <c r="L1767" s="1781"/>
      <c r="M1767" s="1781"/>
      <c r="N1767" s="1746"/>
      <c r="O1767" s="1782"/>
      <c r="P1767" s="1720"/>
    </row>
    <row r="1768" spans="1:16" ht="13.5" hidden="1" customHeight="1" outlineLevel="3" x14ac:dyDescent="0.2">
      <c r="A1768" s="459">
        <v>0</v>
      </c>
      <c r="B1768" s="459">
        <v>14</v>
      </c>
      <c r="C1768" s="459">
        <v>7</v>
      </c>
      <c r="D1768" s="460">
        <v>2</v>
      </c>
      <c r="E1768" s="460">
        <v>1</v>
      </c>
      <c r="G1768" s="1798" t="s">
        <v>48</v>
      </c>
      <c r="H1768" s="1783" t="s">
        <v>1239</v>
      </c>
      <c r="I1768" s="1750" t="s">
        <v>7549</v>
      </c>
      <c r="J1768" s="1751" t="s">
        <v>2844</v>
      </c>
      <c r="K1768" s="1786" t="s">
        <v>642</v>
      </c>
      <c r="L1768" s="1787" t="e">
        <v>#REF!</v>
      </c>
      <c r="M1768" s="1787">
        <v>229.82760000000005</v>
      </c>
      <c r="N1768" s="1754"/>
      <c r="O1768" s="1788" t="s">
        <v>2551</v>
      </c>
      <c r="P1768" s="1721" t="s">
        <v>9611</v>
      </c>
    </row>
    <row r="1769" spans="1:16" ht="13.5" hidden="1" customHeight="1" outlineLevel="3" x14ac:dyDescent="0.2">
      <c r="A1769" s="459">
        <v>0</v>
      </c>
      <c r="B1769" s="459">
        <v>14</v>
      </c>
      <c r="C1769" s="459">
        <v>7</v>
      </c>
      <c r="D1769" s="460">
        <v>2</v>
      </c>
      <c r="E1769" s="460">
        <v>2</v>
      </c>
      <c r="G1769" s="1798" t="s">
        <v>48</v>
      </c>
      <c r="H1769" s="1783" t="s">
        <v>1239</v>
      </c>
      <c r="I1769" s="1750" t="s">
        <v>7550</v>
      </c>
      <c r="J1769" s="1785" t="s">
        <v>2855</v>
      </c>
      <c r="K1769" s="1786" t="s">
        <v>642</v>
      </c>
      <c r="L1769" s="1787" t="e">
        <v>#REF!</v>
      </c>
      <c r="M1769" s="1787">
        <v>353.98927499999996</v>
      </c>
      <c r="N1769" s="1754"/>
      <c r="O1769" s="1788" t="s">
        <v>2853</v>
      </c>
      <c r="P1769" s="1721" t="s">
        <v>9611</v>
      </c>
    </row>
    <row r="1770" spans="1:16" ht="13.5" hidden="1" customHeight="1" outlineLevel="3" x14ac:dyDescent="0.2">
      <c r="A1770" s="459">
        <v>0</v>
      </c>
      <c r="B1770" s="459">
        <v>14</v>
      </c>
      <c r="C1770" s="459">
        <v>7</v>
      </c>
      <c r="D1770" s="460">
        <v>2</v>
      </c>
      <c r="E1770" s="460">
        <v>3</v>
      </c>
      <c r="G1770" s="1798" t="s">
        <v>48</v>
      </c>
      <c r="H1770" s="1783" t="s">
        <v>1239</v>
      </c>
      <c r="I1770" s="1750" t="s">
        <v>7551</v>
      </c>
      <c r="J1770" s="1785" t="s">
        <v>2862</v>
      </c>
      <c r="K1770" s="1786" t="s">
        <v>642</v>
      </c>
      <c r="L1770" s="1787" t="e">
        <v>#REF!</v>
      </c>
      <c r="M1770" s="1787">
        <v>546.48927500000002</v>
      </c>
      <c r="N1770" s="1754"/>
      <c r="O1770" s="1788" t="s">
        <v>2863</v>
      </c>
      <c r="P1770" s="1721" t="s">
        <v>9611</v>
      </c>
    </row>
    <row r="1771" spans="1:16" ht="13.5" hidden="1" customHeight="1" outlineLevel="2" x14ac:dyDescent="0.2">
      <c r="A1771" s="459">
        <v>0</v>
      </c>
      <c r="B1771" s="459">
        <v>14</v>
      </c>
      <c r="C1771" s="459">
        <v>7</v>
      </c>
      <c r="D1771" s="460">
        <v>3</v>
      </c>
      <c r="E1771" s="460">
        <v>0</v>
      </c>
      <c r="G1771" s="1797"/>
      <c r="H1771" s="1777" t="s">
        <v>1238</v>
      </c>
      <c r="I1771" s="1742" t="s">
        <v>7552</v>
      </c>
      <c r="J1771" s="1779" t="s">
        <v>2817</v>
      </c>
      <c r="K1771" s="1780"/>
      <c r="L1771" s="1781"/>
      <c r="M1771" s="1781"/>
      <c r="N1771" s="1746"/>
      <c r="O1771" s="1782"/>
      <c r="P1771" s="1720"/>
    </row>
    <row r="1772" spans="1:16" ht="13.5" hidden="1" customHeight="1" outlineLevel="3" x14ac:dyDescent="0.2">
      <c r="A1772" s="459">
        <v>0</v>
      </c>
      <c r="B1772" s="459">
        <v>14</v>
      </c>
      <c r="C1772" s="459">
        <v>7</v>
      </c>
      <c r="D1772" s="460">
        <v>3</v>
      </c>
      <c r="E1772" s="460">
        <v>1</v>
      </c>
      <c r="G1772" s="1798" t="s">
        <v>48</v>
      </c>
      <c r="H1772" s="1783" t="s">
        <v>1239</v>
      </c>
      <c r="I1772" s="1750" t="s">
        <v>7553</v>
      </c>
      <c r="J1772" s="1785" t="s">
        <v>2876</v>
      </c>
      <c r="K1772" s="1786" t="s">
        <v>642</v>
      </c>
      <c r="L1772" s="1787" t="e">
        <v>#REF!</v>
      </c>
      <c r="M1772" s="1787">
        <v>1448.2455000000002</v>
      </c>
      <c r="N1772" s="1754"/>
      <c r="O1772" s="1788" t="s">
        <v>2946</v>
      </c>
      <c r="P1772" s="1721" t="s">
        <v>9611</v>
      </c>
    </row>
    <row r="1773" spans="1:16" ht="13.5" hidden="1" customHeight="1" outlineLevel="2" x14ac:dyDescent="0.2">
      <c r="A1773" s="459">
        <v>0</v>
      </c>
      <c r="B1773" s="459">
        <v>14</v>
      </c>
      <c r="C1773" s="459">
        <v>7</v>
      </c>
      <c r="D1773" s="460">
        <v>4</v>
      </c>
      <c r="E1773" s="460">
        <v>0</v>
      </c>
      <c r="G1773" s="1797"/>
      <c r="H1773" s="1777" t="s">
        <v>1238</v>
      </c>
      <c r="I1773" s="1742" t="s">
        <v>7554</v>
      </c>
      <c r="J1773" s="1779" t="s">
        <v>2814</v>
      </c>
      <c r="K1773" s="1780"/>
      <c r="L1773" s="1781"/>
      <c r="M1773" s="1781"/>
      <c r="N1773" s="1746"/>
      <c r="O1773" s="1782"/>
      <c r="P1773" s="1720"/>
    </row>
    <row r="1774" spans="1:16" ht="13.5" hidden="1" customHeight="1" outlineLevel="3" x14ac:dyDescent="0.2">
      <c r="A1774" s="459">
        <v>0</v>
      </c>
      <c r="B1774" s="459">
        <v>14</v>
      </c>
      <c r="C1774" s="459">
        <v>7</v>
      </c>
      <c r="D1774" s="460">
        <v>4</v>
      </c>
      <c r="E1774" s="460">
        <v>1</v>
      </c>
      <c r="G1774" s="1798" t="s">
        <v>48</v>
      </c>
      <c r="H1774" s="1783" t="s">
        <v>1239</v>
      </c>
      <c r="I1774" s="1750" t="s">
        <v>7555</v>
      </c>
      <c r="J1774" s="1785" t="s">
        <v>1433</v>
      </c>
      <c r="K1774" s="1786" t="s">
        <v>642</v>
      </c>
      <c r="L1774" s="1787" t="e">
        <v>#REF!</v>
      </c>
      <c r="M1774" s="1787">
        <v>919.5</v>
      </c>
      <c r="N1774" s="1754"/>
      <c r="O1774" s="1788"/>
      <c r="P1774" s="1721" t="s">
        <v>9611</v>
      </c>
    </row>
    <row r="1775" spans="1:16" ht="13.5" hidden="1" customHeight="1" outlineLevel="2" x14ac:dyDescent="0.2">
      <c r="A1775" s="459">
        <v>0</v>
      </c>
      <c r="B1775" s="459">
        <v>14</v>
      </c>
      <c r="C1775" s="459">
        <v>7</v>
      </c>
      <c r="D1775" s="460">
        <v>5</v>
      </c>
      <c r="E1775" s="460">
        <v>0</v>
      </c>
      <c r="G1775" s="1797"/>
      <c r="H1775" s="1777" t="s">
        <v>1238</v>
      </c>
      <c r="I1775" s="1742" t="s">
        <v>7556</v>
      </c>
      <c r="J1775" s="1779" t="s">
        <v>2741</v>
      </c>
      <c r="K1775" s="1780"/>
      <c r="L1775" s="1781"/>
      <c r="M1775" s="1781"/>
      <c r="N1775" s="1746"/>
      <c r="O1775" s="1782"/>
      <c r="P1775" s="1720"/>
    </row>
    <row r="1776" spans="1:16" ht="13.5" hidden="1" customHeight="1" outlineLevel="3" x14ac:dyDescent="0.2">
      <c r="A1776" s="459">
        <v>0</v>
      </c>
      <c r="B1776" s="459">
        <v>14</v>
      </c>
      <c r="C1776" s="459">
        <v>7</v>
      </c>
      <c r="D1776" s="460">
        <v>5</v>
      </c>
      <c r="E1776" s="460">
        <v>1</v>
      </c>
      <c r="G1776" s="1798" t="s">
        <v>48</v>
      </c>
      <c r="H1776" s="1783" t="s">
        <v>1239</v>
      </c>
      <c r="I1776" s="1750" t="s">
        <v>7557</v>
      </c>
      <c r="J1776" s="1785" t="s">
        <v>530</v>
      </c>
      <c r="K1776" s="1786" t="s">
        <v>642</v>
      </c>
      <c r="L1776" s="1787" t="e">
        <v>#REF!</v>
      </c>
      <c r="M1776" s="1787">
        <v>849.15470000000005</v>
      </c>
      <c r="N1776" s="1754"/>
      <c r="O1776" s="1788"/>
      <c r="P1776" s="1721" t="s">
        <v>9611</v>
      </c>
    </row>
    <row r="1777" spans="1:16" ht="13.5" hidden="1" customHeight="1" outlineLevel="3" x14ac:dyDescent="0.2">
      <c r="A1777" s="459">
        <v>0</v>
      </c>
      <c r="B1777" s="459">
        <v>14</v>
      </c>
      <c r="C1777" s="459">
        <v>7</v>
      </c>
      <c r="D1777" s="460">
        <v>5</v>
      </c>
      <c r="E1777" s="460">
        <v>2</v>
      </c>
      <c r="G1777" s="1798" t="s">
        <v>48</v>
      </c>
      <c r="H1777" s="1783" t="s">
        <v>1239</v>
      </c>
      <c r="I1777" s="1750" t="s">
        <v>7558</v>
      </c>
      <c r="J1777" s="1785" t="s">
        <v>2891</v>
      </c>
      <c r="K1777" s="1786" t="s">
        <v>642</v>
      </c>
      <c r="L1777" s="1787" t="e">
        <v>#REF!</v>
      </c>
      <c r="M1777" s="1787">
        <v>1374.1547</v>
      </c>
      <c r="N1777" s="1754"/>
      <c r="O1777" s="1788"/>
      <c r="P1777" s="1721" t="s">
        <v>9611</v>
      </c>
    </row>
    <row r="1778" spans="1:16" ht="13.5" hidden="1" customHeight="1" outlineLevel="2" x14ac:dyDescent="0.2">
      <c r="A1778" s="459">
        <v>0</v>
      </c>
      <c r="B1778" s="459">
        <v>14</v>
      </c>
      <c r="C1778" s="459">
        <v>7</v>
      </c>
      <c r="D1778" s="460">
        <v>6</v>
      </c>
      <c r="E1778" s="460">
        <v>0</v>
      </c>
      <c r="G1778" s="1797"/>
      <c r="H1778" s="1777" t="s">
        <v>1238</v>
      </c>
      <c r="I1778" s="1742" t="s">
        <v>7559</v>
      </c>
      <c r="J1778" s="1779" t="s">
        <v>1264</v>
      </c>
      <c r="K1778" s="1780"/>
      <c r="L1778" s="1781"/>
      <c r="M1778" s="1781"/>
      <c r="N1778" s="1746"/>
      <c r="O1778" s="1782"/>
      <c r="P1778" s="1720"/>
    </row>
    <row r="1779" spans="1:16" ht="13.5" hidden="1" customHeight="1" outlineLevel="3" x14ac:dyDescent="0.2">
      <c r="A1779" s="459">
        <v>0</v>
      </c>
      <c r="B1779" s="459">
        <v>14</v>
      </c>
      <c r="C1779" s="459">
        <v>7</v>
      </c>
      <c r="D1779" s="460">
        <v>6</v>
      </c>
      <c r="E1779" s="460">
        <v>1</v>
      </c>
      <c r="G1779" s="1798" t="s">
        <v>46</v>
      </c>
      <c r="H1779" s="1783" t="s">
        <v>1239</v>
      </c>
      <c r="I1779" s="1750" t="s">
        <v>7560</v>
      </c>
      <c r="J1779" s="1785" t="s">
        <v>542</v>
      </c>
      <c r="K1779" s="1786" t="s">
        <v>642</v>
      </c>
      <c r="L1779" s="1787" t="e">
        <v>#REF!</v>
      </c>
      <c r="M1779" s="1787">
        <v>42</v>
      </c>
      <c r="N1779" s="1754"/>
      <c r="O1779" s="1788"/>
      <c r="P1779" s="1721" t="s">
        <v>9611</v>
      </c>
    </row>
    <row r="1780" spans="1:16" ht="13.5" hidden="1" customHeight="1" outlineLevel="3" x14ac:dyDescent="0.2">
      <c r="A1780" s="459">
        <v>0</v>
      </c>
      <c r="B1780" s="459">
        <v>14</v>
      </c>
      <c r="C1780" s="459">
        <v>7</v>
      </c>
      <c r="D1780" s="460">
        <v>6</v>
      </c>
      <c r="E1780" s="460">
        <v>2</v>
      </c>
      <c r="G1780" s="1798" t="s">
        <v>46</v>
      </c>
      <c r="H1780" s="1783" t="s">
        <v>1239</v>
      </c>
      <c r="I1780" s="1750" t="s">
        <v>7561</v>
      </c>
      <c r="J1780" s="1785" t="s">
        <v>543</v>
      </c>
      <c r="K1780" s="1786" t="s">
        <v>642</v>
      </c>
      <c r="L1780" s="1787" t="e">
        <v>#REF!</v>
      </c>
      <c r="M1780" s="1787">
        <v>30</v>
      </c>
      <c r="N1780" s="1754"/>
      <c r="O1780" s="1788"/>
      <c r="P1780" s="1721" t="s">
        <v>9611</v>
      </c>
    </row>
    <row r="1781" spans="1:16" ht="13.5" hidden="1" customHeight="1" outlineLevel="3" x14ac:dyDescent="0.2">
      <c r="A1781" s="459">
        <v>0</v>
      </c>
      <c r="B1781" s="459">
        <v>14</v>
      </c>
      <c r="C1781" s="459">
        <v>7</v>
      </c>
      <c r="D1781" s="460">
        <v>6</v>
      </c>
      <c r="E1781" s="460">
        <v>3</v>
      </c>
      <c r="G1781" s="1798" t="s">
        <v>48</v>
      </c>
      <c r="H1781" s="1783" t="s">
        <v>1239</v>
      </c>
      <c r="I1781" s="1750" t="s">
        <v>7562</v>
      </c>
      <c r="J1781" s="1785" t="s">
        <v>546</v>
      </c>
      <c r="K1781" s="1786" t="s">
        <v>642</v>
      </c>
      <c r="L1781" s="1787" t="e">
        <v>#REF!</v>
      </c>
      <c r="M1781" s="1787">
        <v>75</v>
      </c>
      <c r="N1781" s="1754"/>
      <c r="O1781" s="1788"/>
      <c r="P1781" s="1721" t="s">
        <v>9611</v>
      </c>
    </row>
    <row r="1782" spans="1:16" ht="13.5" hidden="1" customHeight="1" outlineLevel="3" x14ac:dyDescent="0.2">
      <c r="A1782" s="459">
        <v>0</v>
      </c>
      <c r="B1782" s="459">
        <v>14</v>
      </c>
      <c r="C1782" s="459">
        <v>7</v>
      </c>
      <c r="D1782" s="460">
        <v>6</v>
      </c>
      <c r="E1782" s="460">
        <v>4</v>
      </c>
      <c r="G1782" s="1798" t="s">
        <v>48</v>
      </c>
      <c r="H1782" s="1783" t="s">
        <v>1239</v>
      </c>
      <c r="I1782" s="1750" t="s">
        <v>7563</v>
      </c>
      <c r="J1782" s="1785" t="s">
        <v>2892</v>
      </c>
      <c r="K1782" s="1786" t="s">
        <v>642</v>
      </c>
      <c r="L1782" s="1787" t="e">
        <v>#REF!</v>
      </c>
      <c r="M1782" s="1787">
        <v>75</v>
      </c>
      <c r="N1782" s="1754"/>
      <c r="O1782" s="1788"/>
      <c r="P1782" s="1721" t="s">
        <v>9611</v>
      </c>
    </row>
    <row r="1783" spans="1:16" ht="13.5" hidden="1" customHeight="1" outlineLevel="3" x14ac:dyDescent="0.2">
      <c r="A1783" s="459">
        <v>0</v>
      </c>
      <c r="B1783" s="459">
        <v>14</v>
      </c>
      <c r="C1783" s="459">
        <v>7</v>
      </c>
      <c r="D1783" s="460">
        <v>6</v>
      </c>
      <c r="E1783" s="460">
        <v>5</v>
      </c>
      <c r="G1783" s="1798" t="s">
        <v>48</v>
      </c>
      <c r="H1783" s="1783" t="s">
        <v>1239</v>
      </c>
      <c r="I1783" s="1750" t="s">
        <v>7564</v>
      </c>
      <c r="J1783" s="1785" t="s">
        <v>545</v>
      </c>
      <c r="K1783" s="1786" t="s">
        <v>642</v>
      </c>
      <c r="L1783" s="1787" t="e">
        <v>#REF!</v>
      </c>
      <c r="M1783" s="1787">
        <v>75</v>
      </c>
      <c r="N1783" s="1754"/>
      <c r="O1783" s="1788"/>
      <c r="P1783" s="1721" t="s">
        <v>9611</v>
      </c>
    </row>
    <row r="1784" spans="1:16" ht="13.5" hidden="1" customHeight="1" outlineLevel="3" x14ac:dyDescent="0.2">
      <c r="A1784" s="459">
        <v>0</v>
      </c>
      <c r="B1784" s="459">
        <v>14</v>
      </c>
      <c r="C1784" s="459">
        <v>7</v>
      </c>
      <c r="D1784" s="460">
        <v>6</v>
      </c>
      <c r="E1784" s="460">
        <v>6</v>
      </c>
      <c r="G1784" s="1798" t="s">
        <v>48</v>
      </c>
      <c r="H1784" s="1783" t="s">
        <v>1239</v>
      </c>
      <c r="I1784" s="1750" t="s">
        <v>7565</v>
      </c>
      <c r="J1784" s="1785" t="s">
        <v>547</v>
      </c>
      <c r="K1784" s="1786" t="s">
        <v>642</v>
      </c>
      <c r="L1784" s="1787" t="e">
        <v>#REF!</v>
      </c>
      <c r="M1784" s="1787">
        <v>50</v>
      </c>
      <c r="N1784" s="1754"/>
      <c r="O1784" s="1788"/>
      <c r="P1784" s="1721" t="s">
        <v>9611</v>
      </c>
    </row>
    <row r="1785" spans="1:16" ht="13.5" hidden="1" customHeight="1" outlineLevel="1" x14ac:dyDescent="0.2">
      <c r="A1785" s="459">
        <v>0</v>
      </c>
      <c r="B1785" s="459">
        <v>14</v>
      </c>
      <c r="C1785" s="459">
        <v>8</v>
      </c>
      <c r="D1785" s="460">
        <v>0</v>
      </c>
      <c r="E1785" s="460">
        <v>6</v>
      </c>
      <c r="G1785" s="1796"/>
      <c r="H1785" s="1771" t="s">
        <v>39</v>
      </c>
      <c r="I1785" s="1735" t="s">
        <v>7566</v>
      </c>
      <c r="J1785" s="1773" t="s">
        <v>2900</v>
      </c>
      <c r="K1785" s="1774"/>
      <c r="L1785" s="1775"/>
      <c r="M1785" s="1775"/>
      <c r="N1785" s="1739"/>
      <c r="O1785" s="1776"/>
      <c r="P1785" s="1719"/>
    </row>
    <row r="1786" spans="1:16" ht="13.5" hidden="1" customHeight="1" outlineLevel="2" x14ac:dyDescent="0.2">
      <c r="A1786" s="459">
        <v>0</v>
      </c>
      <c r="B1786" s="459">
        <v>14</v>
      </c>
      <c r="C1786" s="459">
        <v>8</v>
      </c>
      <c r="D1786" s="460">
        <v>1</v>
      </c>
      <c r="E1786" s="460">
        <v>0</v>
      </c>
      <c r="G1786" s="1797"/>
      <c r="H1786" s="1777" t="s">
        <v>1238</v>
      </c>
      <c r="I1786" s="1742" t="s">
        <v>7567</v>
      </c>
      <c r="J1786" s="1779" t="s">
        <v>2812</v>
      </c>
      <c r="K1786" s="1780"/>
      <c r="L1786" s="1781"/>
      <c r="M1786" s="1781"/>
      <c r="N1786" s="1746"/>
      <c r="O1786" s="1782"/>
      <c r="P1786" s="1720"/>
    </row>
    <row r="1787" spans="1:16" ht="13.5" hidden="1" customHeight="1" outlineLevel="3" x14ac:dyDescent="0.2">
      <c r="A1787" s="459">
        <v>0</v>
      </c>
      <c r="B1787" s="459">
        <v>14</v>
      </c>
      <c r="C1787" s="459">
        <v>8</v>
      </c>
      <c r="D1787" s="460">
        <v>1</v>
      </c>
      <c r="E1787" s="460">
        <v>1</v>
      </c>
      <c r="G1787" s="1798" t="s">
        <v>46</v>
      </c>
      <c r="H1787" s="1783" t="s">
        <v>1239</v>
      </c>
      <c r="I1787" s="1750" t="s">
        <v>7568</v>
      </c>
      <c r="J1787" s="1785" t="s">
        <v>482</v>
      </c>
      <c r="K1787" s="1786" t="s">
        <v>642</v>
      </c>
      <c r="L1787" s="1787" t="e">
        <v>#REF!</v>
      </c>
      <c r="M1787" s="1787">
        <v>10.11778</v>
      </c>
      <c r="N1787" s="1754"/>
      <c r="O1787" s="1788"/>
      <c r="P1787" s="1721" t="s">
        <v>9611</v>
      </c>
    </row>
    <row r="1788" spans="1:16" ht="13.5" hidden="1" customHeight="1" outlineLevel="3" x14ac:dyDescent="0.2">
      <c r="A1788" s="459">
        <v>0</v>
      </c>
      <c r="B1788" s="459">
        <v>14</v>
      </c>
      <c r="C1788" s="459">
        <v>8</v>
      </c>
      <c r="D1788" s="460">
        <v>1</v>
      </c>
      <c r="E1788" s="460">
        <v>2</v>
      </c>
      <c r="G1788" s="1798" t="s">
        <v>46</v>
      </c>
      <c r="H1788" s="1783" t="s">
        <v>1239</v>
      </c>
      <c r="I1788" s="1750" t="s">
        <v>7569</v>
      </c>
      <c r="J1788" s="1785" t="s">
        <v>491</v>
      </c>
      <c r="K1788" s="1786" t="s">
        <v>642</v>
      </c>
      <c r="L1788" s="1787" t="e">
        <v>#REF!</v>
      </c>
      <c r="M1788" s="1787">
        <v>3.28945</v>
      </c>
      <c r="N1788" s="1754"/>
      <c r="O1788" s="1788"/>
      <c r="P1788" s="1721" t="s">
        <v>9611</v>
      </c>
    </row>
    <row r="1789" spans="1:16" ht="13.5" hidden="1" customHeight="1" outlineLevel="3" x14ac:dyDescent="0.2">
      <c r="A1789" s="459">
        <v>0</v>
      </c>
      <c r="B1789" s="459">
        <v>14</v>
      </c>
      <c r="C1789" s="459">
        <v>8</v>
      </c>
      <c r="D1789" s="460">
        <v>1</v>
      </c>
      <c r="E1789" s="460">
        <v>3</v>
      </c>
      <c r="G1789" s="1798" t="s">
        <v>46</v>
      </c>
      <c r="H1789" s="1783" t="s">
        <v>1239</v>
      </c>
      <c r="I1789" s="1750" t="s">
        <v>7570</v>
      </c>
      <c r="J1789" s="1785" t="s">
        <v>497</v>
      </c>
      <c r="K1789" s="1786" t="s">
        <v>642</v>
      </c>
      <c r="L1789" s="1787" t="e">
        <v>#REF!</v>
      </c>
      <c r="M1789" s="1787">
        <v>12.075000000000001</v>
      </c>
      <c r="N1789" s="1754"/>
      <c r="O1789" s="1788"/>
      <c r="P1789" s="1721" t="s">
        <v>9611</v>
      </c>
    </row>
    <row r="1790" spans="1:16" ht="13.5" hidden="1" customHeight="1" outlineLevel="3" x14ac:dyDescent="0.2">
      <c r="A1790" s="459">
        <v>0</v>
      </c>
      <c r="B1790" s="459">
        <v>14</v>
      </c>
      <c r="C1790" s="459">
        <v>8</v>
      </c>
      <c r="D1790" s="460">
        <v>1</v>
      </c>
      <c r="E1790" s="460">
        <v>4</v>
      </c>
      <c r="G1790" s="1798" t="s">
        <v>46</v>
      </c>
      <c r="H1790" s="1783" t="s">
        <v>1239</v>
      </c>
      <c r="I1790" s="1750" t="s">
        <v>7571</v>
      </c>
      <c r="J1790" s="1785" t="s">
        <v>498</v>
      </c>
      <c r="K1790" s="1786" t="s">
        <v>642</v>
      </c>
      <c r="L1790" s="1787" t="e">
        <v>#REF!</v>
      </c>
      <c r="M1790" s="1787">
        <v>5.1029166666666663</v>
      </c>
      <c r="N1790" s="1754"/>
      <c r="O1790" s="1788"/>
      <c r="P1790" s="1721" t="s">
        <v>9611</v>
      </c>
    </row>
    <row r="1791" spans="1:16" ht="13.5" hidden="1" customHeight="1" outlineLevel="2" x14ac:dyDescent="0.2">
      <c r="A1791" s="459">
        <v>0</v>
      </c>
      <c r="B1791" s="459">
        <v>14</v>
      </c>
      <c r="C1791" s="459">
        <v>8</v>
      </c>
      <c r="D1791" s="460">
        <v>2</v>
      </c>
      <c r="E1791" s="460">
        <v>0</v>
      </c>
      <c r="G1791" s="1797"/>
      <c r="H1791" s="1777" t="s">
        <v>1238</v>
      </c>
      <c r="I1791" s="1742" t="s">
        <v>7572</v>
      </c>
      <c r="J1791" s="1779" t="s">
        <v>2813</v>
      </c>
      <c r="K1791" s="1780"/>
      <c r="L1791" s="1781"/>
      <c r="M1791" s="1781"/>
      <c r="N1791" s="1746"/>
      <c r="O1791" s="1782"/>
      <c r="P1791" s="1720"/>
    </row>
    <row r="1792" spans="1:16" ht="13.5" hidden="1" customHeight="1" outlineLevel="3" x14ac:dyDescent="0.2">
      <c r="A1792" s="459">
        <v>0</v>
      </c>
      <c r="B1792" s="459">
        <v>14</v>
      </c>
      <c r="C1792" s="459">
        <v>8</v>
      </c>
      <c r="D1792" s="460">
        <v>2</v>
      </c>
      <c r="E1792" s="460">
        <v>1</v>
      </c>
      <c r="G1792" s="1798" t="s">
        <v>48</v>
      </c>
      <c r="H1792" s="1783" t="s">
        <v>1239</v>
      </c>
      <c r="I1792" s="1750" t="s">
        <v>7573</v>
      </c>
      <c r="J1792" s="1785" t="s">
        <v>2855</v>
      </c>
      <c r="K1792" s="1786" t="s">
        <v>642</v>
      </c>
      <c r="L1792" s="1787" t="e">
        <v>#REF!</v>
      </c>
      <c r="M1792" s="1787">
        <v>353.98927499999996</v>
      </c>
      <c r="N1792" s="1754"/>
      <c r="O1792" s="1788" t="s">
        <v>2853</v>
      </c>
      <c r="P1792" s="1721" t="s">
        <v>9611</v>
      </c>
    </row>
    <row r="1793" spans="1:16" ht="13.5" hidden="1" customHeight="1" outlineLevel="2" x14ac:dyDescent="0.2">
      <c r="A1793" s="459">
        <v>0</v>
      </c>
      <c r="B1793" s="459">
        <v>14</v>
      </c>
      <c r="C1793" s="459">
        <v>8</v>
      </c>
      <c r="D1793" s="460">
        <v>3</v>
      </c>
      <c r="E1793" s="460">
        <v>0</v>
      </c>
      <c r="G1793" s="1797"/>
      <c r="H1793" s="1777" t="s">
        <v>1238</v>
      </c>
      <c r="I1793" s="1742" t="s">
        <v>7574</v>
      </c>
      <c r="J1793" s="1779" t="s">
        <v>2817</v>
      </c>
      <c r="K1793" s="1780"/>
      <c r="L1793" s="1781"/>
      <c r="M1793" s="1781"/>
      <c r="N1793" s="1746"/>
      <c r="O1793" s="1782"/>
      <c r="P1793" s="1720"/>
    </row>
    <row r="1794" spans="1:16" ht="13.5" hidden="1" customHeight="1" outlineLevel="3" x14ac:dyDescent="0.2">
      <c r="A1794" s="459">
        <v>0</v>
      </c>
      <c r="B1794" s="459">
        <v>14</v>
      </c>
      <c r="C1794" s="459">
        <v>8</v>
      </c>
      <c r="D1794" s="460">
        <v>3</v>
      </c>
      <c r="E1794" s="460">
        <v>1</v>
      </c>
      <c r="G1794" s="1798" t="s">
        <v>48</v>
      </c>
      <c r="H1794" s="1783" t="s">
        <v>1239</v>
      </c>
      <c r="I1794" s="1750" t="s">
        <v>7575</v>
      </c>
      <c r="J1794" s="1785" t="s">
        <v>2876</v>
      </c>
      <c r="K1794" s="1786" t="s">
        <v>642</v>
      </c>
      <c r="L1794" s="1787" t="e">
        <v>#REF!</v>
      </c>
      <c r="M1794" s="1787">
        <v>1448.2455000000002</v>
      </c>
      <c r="N1794" s="1754"/>
      <c r="O1794" s="1788" t="s">
        <v>3162</v>
      </c>
      <c r="P1794" s="1721" t="s">
        <v>9611</v>
      </c>
    </row>
    <row r="1795" spans="1:16" ht="13.5" hidden="1" customHeight="1" outlineLevel="2" x14ac:dyDescent="0.2">
      <c r="A1795" s="459">
        <v>0</v>
      </c>
      <c r="B1795" s="459">
        <v>14</v>
      </c>
      <c r="C1795" s="459">
        <v>8</v>
      </c>
      <c r="D1795" s="460">
        <v>4</v>
      </c>
      <c r="E1795" s="460">
        <v>0</v>
      </c>
      <c r="G1795" s="1797"/>
      <c r="H1795" s="1777" t="s">
        <v>1238</v>
      </c>
      <c r="I1795" s="1742" t="s">
        <v>7576</v>
      </c>
      <c r="J1795" s="1779" t="s">
        <v>2814</v>
      </c>
      <c r="K1795" s="1780"/>
      <c r="L1795" s="1781"/>
      <c r="M1795" s="1781"/>
      <c r="N1795" s="1746"/>
      <c r="O1795" s="1782"/>
      <c r="P1795" s="1720"/>
    </row>
    <row r="1796" spans="1:16" ht="13.5" hidden="1" customHeight="1" outlineLevel="3" x14ac:dyDescent="0.2">
      <c r="A1796" s="459">
        <v>0</v>
      </c>
      <c r="B1796" s="459">
        <v>14</v>
      </c>
      <c r="C1796" s="459">
        <v>8</v>
      </c>
      <c r="D1796" s="460">
        <v>4</v>
      </c>
      <c r="E1796" s="460">
        <v>1</v>
      </c>
      <c r="G1796" s="1798" t="s">
        <v>48</v>
      </c>
      <c r="H1796" s="1783" t="s">
        <v>1239</v>
      </c>
      <c r="I1796" s="1750" t="s">
        <v>7577</v>
      </c>
      <c r="J1796" s="1785" t="s">
        <v>1433</v>
      </c>
      <c r="K1796" s="1786" t="s">
        <v>642</v>
      </c>
      <c r="L1796" s="1787" t="e">
        <v>#REF!</v>
      </c>
      <c r="M1796" s="1787">
        <v>919.5</v>
      </c>
      <c r="N1796" s="1754"/>
      <c r="O1796" s="1788"/>
      <c r="P1796" s="1721" t="s">
        <v>9611</v>
      </c>
    </row>
    <row r="1797" spans="1:16" ht="13.5" hidden="1" customHeight="1" outlineLevel="3" x14ac:dyDescent="0.2">
      <c r="A1797" s="459">
        <v>0</v>
      </c>
      <c r="B1797" s="459">
        <v>14</v>
      </c>
      <c r="C1797" s="459">
        <v>8</v>
      </c>
      <c r="D1797" s="460">
        <v>4</v>
      </c>
      <c r="E1797" s="460">
        <v>2</v>
      </c>
      <c r="G1797" s="1798" t="s">
        <v>48</v>
      </c>
      <c r="H1797" s="1783" t="s">
        <v>1239</v>
      </c>
      <c r="I1797" s="1750" t="s">
        <v>7578</v>
      </c>
      <c r="J1797" s="1785" t="s">
        <v>2882</v>
      </c>
      <c r="K1797" s="1786" t="s">
        <v>642</v>
      </c>
      <c r="L1797" s="1787" t="e">
        <v>#REF!</v>
      </c>
      <c r="M1797" s="1787">
        <v>286.60377358490564</v>
      </c>
      <c r="N1797" s="1754"/>
      <c r="O1797" s="1788" t="s">
        <v>2560</v>
      </c>
      <c r="P1797" s="1721" t="s">
        <v>9611</v>
      </c>
    </row>
    <row r="1798" spans="1:16" ht="13.5" hidden="1" customHeight="1" outlineLevel="3" x14ac:dyDescent="0.2">
      <c r="A1798" s="459">
        <v>0</v>
      </c>
      <c r="B1798" s="459">
        <v>14</v>
      </c>
      <c r="C1798" s="459">
        <v>8</v>
      </c>
      <c r="D1798" s="460">
        <v>4</v>
      </c>
      <c r="E1798" s="460">
        <v>3</v>
      </c>
      <c r="G1798" s="1798" t="s">
        <v>48</v>
      </c>
      <c r="H1798" s="1783" t="s">
        <v>1239</v>
      </c>
      <c r="I1798" s="1750" t="s">
        <v>7579</v>
      </c>
      <c r="J1798" s="1785" t="s">
        <v>2883</v>
      </c>
      <c r="K1798" s="1786" t="s">
        <v>642</v>
      </c>
      <c r="L1798" s="1787" t="e">
        <v>#REF!</v>
      </c>
      <c r="M1798" s="1787">
        <v>268.61635220125788</v>
      </c>
      <c r="N1798" s="1754"/>
      <c r="O1798" s="1788" t="s">
        <v>2559</v>
      </c>
      <c r="P1798" s="1721" t="s">
        <v>9611</v>
      </c>
    </row>
    <row r="1799" spans="1:16" ht="13.5" hidden="1" customHeight="1" outlineLevel="3" x14ac:dyDescent="0.2">
      <c r="A1799" s="459">
        <v>0</v>
      </c>
      <c r="B1799" s="459">
        <v>14</v>
      </c>
      <c r="C1799" s="459">
        <v>8</v>
      </c>
      <c r="D1799" s="460">
        <v>4</v>
      </c>
      <c r="E1799" s="460">
        <v>4</v>
      </c>
      <c r="G1799" s="1798" t="s">
        <v>48</v>
      </c>
      <c r="H1799" s="1783" t="s">
        <v>1239</v>
      </c>
      <c r="I1799" s="1750" t="s">
        <v>7580</v>
      </c>
      <c r="J1799" s="1785" t="s">
        <v>2884</v>
      </c>
      <c r="K1799" s="1786" t="s">
        <v>642</v>
      </c>
      <c r="L1799" s="1787" t="e">
        <v>#REF!</v>
      </c>
      <c r="M1799" s="1787">
        <v>328.11320754716979</v>
      </c>
      <c r="N1799" s="1754"/>
      <c r="O1799" s="1788" t="s">
        <v>2955</v>
      </c>
      <c r="P1799" s="1721" t="s">
        <v>9611</v>
      </c>
    </row>
    <row r="1800" spans="1:16" ht="13.5" hidden="1" customHeight="1" outlineLevel="3" x14ac:dyDescent="0.2">
      <c r="A1800" s="459">
        <v>0</v>
      </c>
      <c r="B1800" s="459">
        <v>14</v>
      </c>
      <c r="C1800" s="459">
        <v>8</v>
      </c>
      <c r="D1800" s="460">
        <v>4</v>
      </c>
      <c r="E1800" s="460">
        <v>5</v>
      </c>
      <c r="G1800" s="1798" t="s">
        <v>48</v>
      </c>
      <c r="H1800" s="1783" t="s">
        <v>1239</v>
      </c>
      <c r="I1800" s="1750" t="s">
        <v>7581</v>
      </c>
      <c r="J1800" s="1785" t="s">
        <v>2954</v>
      </c>
      <c r="K1800" s="1786" t="s">
        <v>642</v>
      </c>
      <c r="L1800" s="1787" t="e">
        <v>#REF!</v>
      </c>
      <c r="M1800" s="1787">
        <v>328.01437556154536</v>
      </c>
      <c r="N1800" s="1754"/>
      <c r="O1800" s="1788" t="s">
        <v>2557</v>
      </c>
      <c r="P1800" s="1721" t="s">
        <v>9611</v>
      </c>
    </row>
    <row r="1801" spans="1:16" ht="13.5" hidden="1" customHeight="1" outlineLevel="3" x14ac:dyDescent="0.2">
      <c r="A1801" s="459">
        <v>0</v>
      </c>
      <c r="B1801" s="459">
        <v>14</v>
      </c>
      <c r="C1801" s="459">
        <v>8</v>
      </c>
      <c r="D1801" s="460">
        <v>4</v>
      </c>
      <c r="E1801" s="460">
        <v>6</v>
      </c>
      <c r="G1801" s="1798" t="s">
        <v>48</v>
      </c>
      <c r="H1801" s="1783" t="s">
        <v>1239</v>
      </c>
      <c r="I1801" s="1750" t="s">
        <v>7582</v>
      </c>
      <c r="J1801" s="1785" t="s">
        <v>4219</v>
      </c>
      <c r="K1801" s="1786" t="s">
        <v>642</v>
      </c>
      <c r="L1801" s="1787" t="e">
        <v>#REF!</v>
      </c>
      <c r="M1801" s="1787">
        <v>346.7638036809816</v>
      </c>
      <c r="N1801" s="1754"/>
      <c r="O1801" s="1788" t="s">
        <v>4220</v>
      </c>
      <c r="P1801" s="1721" t="s">
        <v>9611</v>
      </c>
    </row>
    <row r="1802" spans="1:16" ht="13.5" hidden="1" customHeight="1" outlineLevel="2" x14ac:dyDescent="0.2">
      <c r="A1802" s="459">
        <v>0</v>
      </c>
      <c r="B1802" s="459">
        <v>14</v>
      </c>
      <c r="C1802" s="459">
        <v>8</v>
      </c>
      <c r="D1802" s="460">
        <v>5</v>
      </c>
      <c r="E1802" s="460">
        <v>0</v>
      </c>
      <c r="G1802" s="1797"/>
      <c r="H1802" s="1777" t="s">
        <v>1238</v>
      </c>
      <c r="I1802" s="1742" t="s">
        <v>7583</v>
      </c>
      <c r="J1802" s="1779" t="s">
        <v>2741</v>
      </c>
      <c r="K1802" s="1780"/>
      <c r="L1802" s="1781"/>
      <c r="M1802" s="1781"/>
      <c r="N1802" s="1746"/>
      <c r="O1802" s="1782"/>
      <c r="P1802" s="1720"/>
    </row>
    <row r="1803" spans="1:16" ht="13.5" hidden="1" customHeight="1" outlineLevel="3" x14ac:dyDescent="0.2">
      <c r="A1803" s="459">
        <v>0</v>
      </c>
      <c r="B1803" s="459">
        <v>14</v>
      </c>
      <c r="C1803" s="459">
        <v>8</v>
      </c>
      <c r="D1803" s="460">
        <v>5</v>
      </c>
      <c r="E1803" s="460">
        <v>1</v>
      </c>
      <c r="G1803" s="1798" t="s">
        <v>48</v>
      </c>
      <c r="H1803" s="1783" t="s">
        <v>1239</v>
      </c>
      <c r="I1803" s="1750" t="s">
        <v>7584</v>
      </c>
      <c r="J1803" s="1785" t="s">
        <v>530</v>
      </c>
      <c r="K1803" s="1786" t="s">
        <v>642</v>
      </c>
      <c r="L1803" s="1787" t="e">
        <v>#REF!</v>
      </c>
      <c r="M1803" s="1787">
        <v>849.15470000000005</v>
      </c>
      <c r="N1803" s="1754"/>
      <c r="O1803" s="1788"/>
      <c r="P1803" s="1721" t="s">
        <v>9611</v>
      </c>
    </row>
    <row r="1804" spans="1:16" ht="13.5" hidden="1" customHeight="1" outlineLevel="3" x14ac:dyDescent="0.2">
      <c r="A1804" s="459">
        <v>0</v>
      </c>
      <c r="B1804" s="459">
        <v>14</v>
      </c>
      <c r="C1804" s="459">
        <v>8</v>
      </c>
      <c r="D1804" s="460">
        <v>5</v>
      </c>
      <c r="E1804" s="460">
        <v>2</v>
      </c>
      <c r="G1804" s="1798" t="s">
        <v>48</v>
      </c>
      <c r="H1804" s="1783" t="s">
        <v>1239</v>
      </c>
      <c r="I1804" s="1750" t="s">
        <v>7585</v>
      </c>
      <c r="J1804" s="1785" t="s">
        <v>2891</v>
      </c>
      <c r="K1804" s="1786" t="s">
        <v>642</v>
      </c>
      <c r="L1804" s="1787" t="e">
        <v>#REF!</v>
      </c>
      <c r="M1804" s="1787">
        <v>1374.1547</v>
      </c>
      <c r="N1804" s="1754"/>
      <c r="O1804" s="1788"/>
      <c r="P1804" s="1721" t="s">
        <v>9611</v>
      </c>
    </row>
    <row r="1805" spans="1:16" ht="13.5" hidden="1" customHeight="1" outlineLevel="2" x14ac:dyDescent="0.2">
      <c r="A1805" s="459">
        <v>0</v>
      </c>
      <c r="B1805" s="459">
        <v>14</v>
      </c>
      <c r="C1805" s="459">
        <v>8</v>
      </c>
      <c r="D1805" s="460">
        <v>6</v>
      </c>
      <c r="E1805" s="460">
        <v>0</v>
      </c>
      <c r="G1805" s="1797"/>
      <c r="H1805" s="1777" t="s">
        <v>1238</v>
      </c>
      <c r="I1805" s="1742" t="s">
        <v>7586</v>
      </c>
      <c r="J1805" s="1779" t="s">
        <v>1264</v>
      </c>
      <c r="K1805" s="1780"/>
      <c r="L1805" s="1781"/>
      <c r="M1805" s="1781"/>
      <c r="N1805" s="1746"/>
      <c r="O1805" s="1782"/>
      <c r="P1805" s="1720"/>
    </row>
    <row r="1806" spans="1:16" ht="13.5" hidden="1" customHeight="1" outlineLevel="3" x14ac:dyDescent="0.2">
      <c r="A1806" s="459">
        <v>0</v>
      </c>
      <c r="B1806" s="459">
        <v>14</v>
      </c>
      <c r="C1806" s="459">
        <v>8</v>
      </c>
      <c r="D1806" s="460">
        <v>6</v>
      </c>
      <c r="E1806" s="460">
        <v>1</v>
      </c>
      <c r="G1806" s="1798" t="s">
        <v>46</v>
      </c>
      <c r="H1806" s="1783" t="s">
        <v>1239</v>
      </c>
      <c r="I1806" s="1750" t="s">
        <v>7587</v>
      </c>
      <c r="J1806" s="1785" t="s">
        <v>542</v>
      </c>
      <c r="K1806" s="1786" t="s">
        <v>642</v>
      </c>
      <c r="L1806" s="1787" t="e">
        <v>#REF!</v>
      </c>
      <c r="M1806" s="1787">
        <v>42</v>
      </c>
      <c r="N1806" s="1754"/>
      <c r="O1806" s="1788"/>
      <c r="P1806" s="1721" t="s">
        <v>9611</v>
      </c>
    </row>
    <row r="1807" spans="1:16" ht="13.5" hidden="1" customHeight="1" outlineLevel="3" x14ac:dyDescent="0.2">
      <c r="A1807" s="459">
        <v>0</v>
      </c>
      <c r="B1807" s="459">
        <v>14</v>
      </c>
      <c r="C1807" s="459">
        <v>8</v>
      </c>
      <c r="D1807" s="460">
        <v>6</v>
      </c>
      <c r="E1807" s="460">
        <v>2</v>
      </c>
      <c r="G1807" s="1798" t="s">
        <v>46</v>
      </c>
      <c r="H1807" s="1783" t="s">
        <v>1239</v>
      </c>
      <c r="I1807" s="1750" t="s">
        <v>7588</v>
      </c>
      <c r="J1807" s="1785" t="s">
        <v>543</v>
      </c>
      <c r="K1807" s="1786" t="s">
        <v>642</v>
      </c>
      <c r="L1807" s="1787" t="e">
        <v>#REF!</v>
      </c>
      <c r="M1807" s="1787">
        <v>30</v>
      </c>
      <c r="N1807" s="1754"/>
      <c r="O1807" s="1788"/>
      <c r="P1807" s="1721" t="s">
        <v>9611</v>
      </c>
    </row>
    <row r="1808" spans="1:16" ht="13.5" hidden="1" customHeight="1" outlineLevel="3" x14ac:dyDescent="0.2">
      <c r="A1808" s="459">
        <v>0</v>
      </c>
      <c r="B1808" s="459">
        <v>14</v>
      </c>
      <c r="C1808" s="459">
        <v>8</v>
      </c>
      <c r="D1808" s="460">
        <v>6</v>
      </c>
      <c r="E1808" s="460">
        <v>3</v>
      </c>
      <c r="G1808" s="1798" t="s">
        <v>48</v>
      </c>
      <c r="H1808" s="1783" t="s">
        <v>1239</v>
      </c>
      <c r="I1808" s="1750" t="s">
        <v>7589</v>
      </c>
      <c r="J1808" s="1785" t="s">
        <v>2892</v>
      </c>
      <c r="K1808" s="1786" t="s">
        <v>642</v>
      </c>
      <c r="L1808" s="1787" t="e">
        <v>#REF!</v>
      </c>
      <c r="M1808" s="1787">
        <v>75</v>
      </c>
      <c r="N1808" s="1754"/>
      <c r="O1808" s="1788"/>
      <c r="P1808" s="1721" t="s">
        <v>9611</v>
      </c>
    </row>
    <row r="1809" spans="1:16" ht="13.5" hidden="1" customHeight="1" outlineLevel="3" x14ac:dyDescent="0.2">
      <c r="A1809" s="459">
        <v>0</v>
      </c>
      <c r="B1809" s="459">
        <v>14</v>
      </c>
      <c r="C1809" s="459">
        <v>8</v>
      </c>
      <c r="D1809" s="460">
        <v>6</v>
      </c>
      <c r="E1809" s="460">
        <v>4</v>
      </c>
      <c r="G1809" s="1798" t="s">
        <v>48</v>
      </c>
      <c r="H1809" s="1783" t="s">
        <v>1239</v>
      </c>
      <c r="I1809" s="1750" t="s">
        <v>7590</v>
      </c>
      <c r="J1809" s="1785" t="s">
        <v>545</v>
      </c>
      <c r="K1809" s="1786" t="s">
        <v>642</v>
      </c>
      <c r="L1809" s="1787" t="e">
        <v>#REF!</v>
      </c>
      <c r="M1809" s="1787">
        <v>75</v>
      </c>
      <c r="N1809" s="1754"/>
      <c r="O1809" s="1788"/>
      <c r="P1809" s="1721" t="s">
        <v>9611</v>
      </c>
    </row>
    <row r="1810" spans="1:16" ht="13.5" hidden="1" customHeight="1" outlineLevel="3" x14ac:dyDescent="0.2">
      <c r="A1810" s="459">
        <v>0</v>
      </c>
      <c r="B1810" s="459">
        <v>14</v>
      </c>
      <c r="C1810" s="459">
        <v>8</v>
      </c>
      <c r="D1810" s="460">
        <v>6</v>
      </c>
      <c r="E1810" s="460">
        <v>5</v>
      </c>
      <c r="G1810" s="1798" t="s">
        <v>48</v>
      </c>
      <c r="H1810" s="1783" t="s">
        <v>1239</v>
      </c>
      <c r="I1810" s="1750" t="s">
        <v>7591</v>
      </c>
      <c r="J1810" s="1785" t="s">
        <v>547</v>
      </c>
      <c r="K1810" s="1786" t="s">
        <v>642</v>
      </c>
      <c r="L1810" s="1787" t="e">
        <v>#REF!</v>
      </c>
      <c r="M1810" s="1787">
        <v>50</v>
      </c>
      <c r="N1810" s="1754"/>
      <c r="O1810" s="1788"/>
      <c r="P1810" s="1721" t="s">
        <v>9611</v>
      </c>
    </row>
    <row r="1811" spans="1:16" ht="13.5" hidden="1" customHeight="1" outlineLevel="1" x14ac:dyDescent="0.2">
      <c r="A1811" s="459">
        <v>0</v>
      </c>
      <c r="B1811" s="459">
        <v>14</v>
      </c>
      <c r="C1811" s="459">
        <v>9</v>
      </c>
      <c r="D1811" s="460">
        <v>0</v>
      </c>
      <c r="E1811" s="460">
        <v>5</v>
      </c>
      <c r="G1811" s="1796"/>
      <c r="H1811" s="1771" t="s">
        <v>39</v>
      </c>
      <c r="I1811" s="1735" t="s">
        <v>7592</v>
      </c>
      <c r="J1811" s="1773" t="s">
        <v>2901</v>
      </c>
      <c r="K1811" s="1774"/>
      <c r="L1811" s="1775"/>
      <c r="M1811" s="1775"/>
      <c r="N1811" s="1739"/>
      <c r="O1811" s="1776"/>
      <c r="P1811" s="1719"/>
    </row>
    <row r="1812" spans="1:16" ht="13.5" hidden="1" customHeight="1" outlineLevel="2" x14ac:dyDescent="0.2">
      <c r="A1812" s="459">
        <v>0</v>
      </c>
      <c r="B1812" s="459">
        <v>14</v>
      </c>
      <c r="C1812" s="459">
        <v>9</v>
      </c>
      <c r="D1812" s="460">
        <v>1</v>
      </c>
      <c r="E1812" s="460">
        <v>0</v>
      </c>
      <c r="G1812" s="1797"/>
      <c r="H1812" s="1777" t="s">
        <v>1238</v>
      </c>
      <c r="I1812" s="1742" t="s">
        <v>7593</v>
      </c>
      <c r="J1812" s="1779" t="s">
        <v>2812</v>
      </c>
      <c r="K1812" s="1780"/>
      <c r="L1812" s="1781"/>
      <c r="M1812" s="1781"/>
      <c r="N1812" s="1746"/>
      <c r="O1812" s="1782"/>
      <c r="P1812" s="1720"/>
    </row>
    <row r="1813" spans="1:16" ht="13.5" hidden="1" customHeight="1" outlineLevel="3" x14ac:dyDescent="0.2">
      <c r="A1813" s="459">
        <v>0</v>
      </c>
      <c r="B1813" s="459">
        <v>14</v>
      </c>
      <c r="C1813" s="459">
        <v>9</v>
      </c>
      <c r="D1813" s="460">
        <v>1</v>
      </c>
      <c r="E1813" s="460">
        <v>1</v>
      </c>
      <c r="G1813" s="1798" t="s">
        <v>46</v>
      </c>
      <c r="H1813" s="1783" t="s">
        <v>1239</v>
      </c>
      <c r="I1813" s="1750" t="s">
        <v>7594</v>
      </c>
      <c r="J1813" s="1785" t="s">
        <v>482</v>
      </c>
      <c r="K1813" s="1786" t="s">
        <v>642</v>
      </c>
      <c r="L1813" s="1787" t="e">
        <v>#REF!</v>
      </c>
      <c r="M1813" s="1787">
        <v>10.11778</v>
      </c>
      <c r="N1813" s="1754"/>
      <c r="O1813" s="1788"/>
      <c r="P1813" s="1721" t="s">
        <v>9611</v>
      </c>
    </row>
    <row r="1814" spans="1:16" ht="13.5" hidden="1" customHeight="1" outlineLevel="3" x14ac:dyDescent="0.2">
      <c r="A1814" s="459">
        <v>0</v>
      </c>
      <c r="B1814" s="459">
        <v>14</v>
      </c>
      <c r="C1814" s="459">
        <v>9</v>
      </c>
      <c r="D1814" s="460">
        <v>1</v>
      </c>
      <c r="E1814" s="460">
        <v>2</v>
      </c>
      <c r="G1814" s="1798" t="s">
        <v>46</v>
      </c>
      <c r="H1814" s="1783" t="s">
        <v>1239</v>
      </c>
      <c r="I1814" s="1750" t="s">
        <v>7595</v>
      </c>
      <c r="J1814" s="1785" t="s">
        <v>491</v>
      </c>
      <c r="K1814" s="1786" t="s">
        <v>642</v>
      </c>
      <c r="L1814" s="1787" t="e">
        <v>#REF!</v>
      </c>
      <c r="M1814" s="1787">
        <v>3.28945</v>
      </c>
      <c r="N1814" s="1754"/>
      <c r="O1814" s="1788"/>
      <c r="P1814" s="1721" t="s">
        <v>9611</v>
      </c>
    </row>
    <row r="1815" spans="1:16" ht="13.5" hidden="1" customHeight="1" outlineLevel="3" x14ac:dyDescent="0.2">
      <c r="A1815" s="459">
        <v>0</v>
      </c>
      <c r="B1815" s="459">
        <v>14</v>
      </c>
      <c r="C1815" s="459">
        <v>9</v>
      </c>
      <c r="D1815" s="460">
        <v>1</v>
      </c>
      <c r="E1815" s="460">
        <v>3</v>
      </c>
      <c r="G1815" s="1798" t="s">
        <v>46</v>
      </c>
      <c r="H1815" s="1783" t="s">
        <v>1239</v>
      </c>
      <c r="I1815" s="1750" t="s">
        <v>7596</v>
      </c>
      <c r="J1815" s="1785" t="s">
        <v>497</v>
      </c>
      <c r="K1815" s="1786" t="s">
        <v>642</v>
      </c>
      <c r="L1815" s="1787" t="e">
        <v>#REF!</v>
      </c>
      <c r="M1815" s="1787">
        <v>12.075000000000001</v>
      </c>
      <c r="N1815" s="1754"/>
      <c r="O1815" s="1788"/>
      <c r="P1815" s="1721" t="s">
        <v>9611</v>
      </c>
    </row>
    <row r="1816" spans="1:16" ht="13.5" hidden="1" customHeight="1" outlineLevel="2" x14ac:dyDescent="0.2">
      <c r="A1816" s="459">
        <v>0</v>
      </c>
      <c r="B1816" s="459">
        <v>14</v>
      </c>
      <c r="C1816" s="459">
        <v>9</v>
      </c>
      <c r="D1816" s="460">
        <v>2</v>
      </c>
      <c r="E1816" s="460">
        <v>0</v>
      </c>
      <c r="G1816" s="1797"/>
      <c r="H1816" s="1777" t="s">
        <v>1238</v>
      </c>
      <c r="I1816" s="1742" t="s">
        <v>7597</v>
      </c>
      <c r="J1816" s="1779" t="s">
        <v>2813</v>
      </c>
      <c r="K1816" s="1780"/>
      <c r="L1816" s="1781"/>
      <c r="M1816" s="1781"/>
      <c r="N1816" s="1746"/>
      <c r="O1816" s="1782"/>
      <c r="P1816" s="1720"/>
    </row>
    <row r="1817" spans="1:16" ht="13.5" hidden="1" customHeight="1" outlineLevel="3" x14ac:dyDescent="0.2">
      <c r="A1817" s="459">
        <v>0</v>
      </c>
      <c r="B1817" s="459">
        <v>14</v>
      </c>
      <c r="C1817" s="459">
        <v>9</v>
      </c>
      <c r="D1817" s="460">
        <v>2</v>
      </c>
      <c r="E1817" s="460">
        <v>1</v>
      </c>
      <c r="G1817" s="1798" t="s">
        <v>48</v>
      </c>
      <c r="H1817" s="1783" t="s">
        <v>1239</v>
      </c>
      <c r="I1817" s="1750" t="s">
        <v>7598</v>
      </c>
      <c r="J1817" s="1785" t="s">
        <v>2846</v>
      </c>
      <c r="K1817" s="1786" t="s">
        <v>642</v>
      </c>
      <c r="L1817" s="1787" t="e">
        <v>#REF!</v>
      </c>
      <c r="M1817" s="1787">
        <v>141.82760000000002</v>
      </c>
      <c r="N1817" s="1754"/>
      <c r="O1817" s="1788" t="s">
        <v>2848</v>
      </c>
      <c r="P1817" s="1721" t="s">
        <v>9611</v>
      </c>
    </row>
    <row r="1818" spans="1:16" ht="13.5" hidden="1" customHeight="1" outlineLevel="2" x14ac:dyDescent="0.2">
      <c r="A1818" s="459">
        <v>0</v>
      </c>
      <c r="B1818" s="459">
        <v>14</v>
      </c>
      <c r="C1818" s="459">
        <v>9</v>
      </c>
      <c r="D1818" s="460">
        <v>3</v>
      </c>
      <c r="E1818" s="460">
        <v>0</v>
      </c>
      <c r="G1818" s="1797"/>
      <c r="H1818" s="1777" t="s">
        <v>1238</v>
      </c>
      <c r="I1818" s="1742" t="s">
        <v>7599</v>
      </c>
      <c r="J1818" s="1779" t="s">
        <v>2741</v>
      </c>
      <c r="K1818" s="1780"/>
      <c r="L1818" s="1781"/>
      <c r="M1818" s="1781"/>
      <c r="N1818" s="1746"/>
      <c r="O1818" s="1782"/>
      <c r="P1818" s="1720"/>
    </row>
    <row r="1819" spans="1:16" ht="13.5" hidden="1" customHeight="1" outlineLevel="3" x14ac:dyDescent="0.2">
      <c r="A1819" s="459">
        <v>0</v>
      </c>
      <c r="B1819" s="459">
        <v>14</v>
      </c>
      <c r="C1819" s="459">
        <v>9</v>
      </c>
      <c r="D1819" s="460">
        <v>3</v>
      </c>
      <c r="E1819" s="460">
        <v>1</v>
      </c>
      <c r="G1819" s="1798" t="s">
        <v>48</v>
      </c>
      <c r="H1819" s="1783" t="s">
        <v>1239</v>
      </c>
      <c r="I1819" s="1750" t="s">
        <v>7600</v>
      </c>
      <c r="J1819" s="1785" t="s">
        <v>530</v>
      </c>
      <c r="K1819" s="1786" t="s">
        <v>642</v>
      </c>
      <c r="L1819" s="1787" t="e">
        <v>#REF!</v>
      </c>
      <c r="M1819" s="1787">
        <v>849.15470000000005</v>
      </c>
      <c r="N1819" s="1754"/>
      <c r="O1819" s="1788"/>
      <c r="P1819" s="1721" t="s">
        <v>9611</v>
      </c>
    </row>
    <row r="1820" spans="1:16" ht="13.5" hidden="1" customHeight="1" outlineLevel="2" x14ac:dyDescent="0.2">
      <c r="A1820" s="459">
        <v>0</v>
      </c>
      <c r="B1820" s="459">
        <v>14</v>
      </c>
      <c r="C1820" s="459">
        <v>9</v>
      </c>
      <c r="D1820" s="460">
        <v>4</v>
      </c>
      <c r="E1820" s="460">
        <v>0</v>
      </c>
      <c r="G1820" s="1797"/>
      <c r="H1820" s="1777" t="s">
        <v>1238</v>
      </c>
      <c r="I1820" s="1742" t="s">
        <v>7601</v>
      </c>
      <c r="J1820" s="1779" t="s">
        <v>1264</v>
      </c>
      <c r="K1820" s="1780"/>
      <c r="L1820" s="1781"/>
      <c r="M1820" s="1781"/>
      <c r="N1820" s="1746"/>
      <c r="O1820" s="1782"/>
      <c r="P1820" s="1720"/>
    </row>
    <row r="1821" spans="1:16" ht="13.5" hidden="1" customHeight="1" outlineLevel="3" x14ac:dyDescent="0.2">
      <c r="A1821" s="459">
        <v>0</v>
      </c>
      <c r="B1821" s="459">
        <v>14</v>
      </c>
      <c r="C1821" s="459">
        <v>9</v>
      </c>
      <c r="D1821" s="460">
        <v>4</v>
      </c>
      <c r="E1821" s="460">
        <v>1</v>
      </c>
      <c r="G1821" s="1798" t="s">
        <v>46</v>
      </c>
      <c r="H1821" s="1783" t="s">
        <v>1239</v>
      </c>
      <c r="I1821" s="1750" t="s">
        <v>7602</v>
      </c>
      <c r="J1821" s="1785" t="s">
        <v>542</v>
      </c>
      <c r="K1821" s="1786" t="s">
        <v>642</v>
      </c>
      <c r="L1821" s="1787" t="e">
        <v>#REF!</v>
      </c>
      <c r="M1821" s="1787">
        <v>42</v>
      </c>
      <c r="N1821" s="1754"/>
      <c r="O1821" s="1788"/>
      <c r="P1821" s="1721" t="s">
        <v>9611</v>
      </c>
    </row>
    <row r="1822" spans="1:16" ht="13.5" hidden="1" customHeight="1" outlineLevel="3" x14ac:dyDescent="0.2">
      <c r="A1822" s="459">
        <v>0</v>
      </c>
      <c r="B1822" s="459">
        <v>14</v>
      </c>
      <c r="C1822" s="459">
        <v>9</v>
      </c>
      <c r="D1822" s="460">
        <v>4</v>
      </c>
      <c r="E1822" s="460">
        <v>2</v>
      </c>
      <c r="G1822" s="1798" t="s">
        <v>48</v>
      </c>
      <c r="H1822" s="1783" t="s">
        <v>1239</v>
      </c>
      <c r="I1822" s="1750" t="s">
        <v>7603</v>
      </c>
      <c r="J1822" s="1785" t="s">
        <v>546</v>
      </c>
      <c r="K1822" s="1786" t="s">
        <v>642</v>
      </c>
      <c r="L1822" s="1787" t="e">
        <v>#REF!</v>
      </c>
      <c r="M1822" s="1787">
        <v>75</v>
      </c>
      <c r="N1822" s="1754"/>
      <c r="O1822" s="1788"/>
      <c r="P1822" s="1721" t="s">
        <v>9611</v>
      </c>
    </row>
    <row r="1823" spans="1:16" ht="13.5" hidden="1" customHeight="1" outlineLevel="3" x14ac:dyDescent="0.2">
      <c r="A1823" s="459">
        <v>0</v>
      </c>
      <c r="B1823" s="459">
        <v>14</v>
      </c>
      <c r="C1823" s="459">
        <v>9</v>
      </c>
      <c r="D1823" s="460">
        <v>4</v>
      </c>
      <c r="E1823" s="460">
        <v>3</v>
      </c>
      <c r="G1823" s="1798" t="s">
        <v>48</v>
      </c>
      <c r="H1823" s="1783" t="s">
        <v>1239</v>
      </c>
      <c r="I1823" s="1750" t="s">
        <v>7604</v>
      </c>
      <c r="J1823" s="1785" t="s">
        <v>547</v>
      </c>
      <c r="K1823" s="1786" t="s">
        <v>642</v>
      </c>
      <c r="L1823" s="1787" t="e">
        <v>#REF!</v>
      </c>
      <c r="M1823" s="1787">
        <v>50</v>
      </c>
      <c r="N1823" s="1754"/>
      <c r="O1823" s="1788"/>
      <c r="P1823" s="1721" t="s">
        <v>9611</v>
      </c>
    </row>
    <row r="1824" spans="1:16" ht="13.5" hidden="1" customHeight="1" outlineLevel="1" x14ac:dyDescent="0.2">
      <c r="A1824" s="459">
        <v>0</v>
      </c>
      <c r="B1824" s="459">
        <v>14</v>
      </c>
      <c r="C1824" s="459">
        <v>10</v>
      </c>
      <c r="D1824" s="460">
        <v>0</v>
      </c>
      <c r="E1824" s="460">
        <v>3</v>
      </c>
      <c r="G1824" s="1796"/>
      <c r="H1824" s="1771" t="s">
        <v>39</v>
      </c>
      <c r="I1824" s="1735" t="s">
        <v>7605</v>
      </c>
      <c r="J1824" s="1773" t="s">
        <v>2902</v>
      </c>
      <c r="K1824" s="1774"/>
      <c r="L1824" s="1775"/>
      <c r="M1824" s="1775"/>
      <c r="N1824" s="1739"/>
      <c r="O1824" s="1776"/>
      <c r="P1824" s="1719"/>
    </row>
    <row r="1825" spans="1:16" ht="13.5" hidden="1" customHeight="1" outlineLevel="2" x14ac:dyDescent="0.2">
      <c r="A1825" s="459">
        <v>0</v>
      </c>
      <c r="B1825" s="459">
        <v>14</v>
      </c>
      <c r="C1825" s="459">
        <v>10</v>
      </c>
      <c r="D1825" s="460">
        <v>1</v>
      </c>
      <c r="E1825" s="460">
        <v>0</v>
      </c>
      <c r="G1825" s="1797"/>
      <c r="H1825" s="1777" t="s">
        <v>1238</v>
      </c>
      <c r="I1825" s="1742" t="s">
        <v>7606</v>
      </c>
      <c r="J1825" s="1779" t="s">
        <v>2812</v>
      </c>
      <c r="K1825" s="1780"/>
      <c r="L1825" s="1781"/>
      <c r="M1825" s="1781"/>
      <c r="N1825" s="1746"/>
      <c r="O1825" s="1782"/>
      <c r="P1825" s="1720"/>
    </row>
    <row r="1826" spans="1:16" ht="13.5" hidden="1" customHeight="1" outlineLevel="3" x14ac:dyDescent="0.2">
      <c r="A1826" s="459">
        <v>0</v>
      </c>
      <c r="B1826" s="459">
        <v>14</v>
      </c>
      <c r="C1826" s="459">
        <v>10</v>
      </c>
      <c r="D1826" s="460">
        <v>1</v>
      </c>
      <c r="E1826" s="460">
        <v>1</v>
      </c>
      <c r="G1826" s="1798" t="s">
        <v>46</v>
      </c>
      <c r="H1826" s="1783" t="s">
        <v>1239</v>
      </c>
      <c r="I1826" s="1750" t="s">
        <v>7607</v>
      </c>
      <c r="J1826" s="1785" t="s">
        <v>482</v>
      </c>
      <c r="K1826" s="1786" t="s">
        <v>642</v>
      </c>
      <c r="L1826" s="1787" t="e">
        <v>#REF!</v>
      </c>
      <c r="M1826" s="1787">
        <v>10.11778</v>
      </c>
      <c r="N1826" s="1754"/>
      <c r="O1826" s="1788"/>
      <c r="P1826" s="1721" t="s">
        <v>9611</v>
      </c>
    </row>
    <row r="1827" spans="1:16" ht="13.5" hidden="1" customHeight="1" outlineLevel="3" x14ac:dyDescent="0.2">
      <c r="A1827" s="459">
        <v>0</v>
      </c>
      <c r="B1827" s="459">
        <v>14</v>
      </c>
      <c r="C1827" s="459">
        <v>10</v>
      </c>
      <c r="D1827" s="460">
        <v>1</v>
      </c>
      <c r="E1827" s="460">
        <v>2</v>
      </c>
      <c r="G1827" s="1798" t="s">
        <v>46</v>
      </c>
      <c r="H1827" s="1783" t="s">
        <v>1239</v>
      </c>
      <c r="I1827" s="1750" t="s">
        <v>7608</v>
      </c>
      <c r="J1827" s="1785" t="s">
        <v>491</v>
      </c>
      <c r="K1827" s="1786" t="s">
        <v>642</v>
      </c>
      <c r="L1827" s="1787" t="e">
        <v>#REF!</v>
      </c>
      <c r="M1827" s="1787">
        <v>3.28945</v>
      </c>
      <c r="N1827" s="1754"/>
      <c r="O1827" s="1788"/>
      <c r="P1827" s="1721" t="s">
        <v>9611</v>
      </c>
    </row>
    <row r="1828" spans="1:16" ht="13.5" hidden="1" customHeight="1" outlineLevel="3" x14ac:dyDescent="0.2">
      <c r="A1828" s="459">
        <v>0</v>
      </c>
      <c r="B1828" s="459">
        <v>14</v>
      </c>
      <c r="C1828" s="459">
        <v>10</v>
      </c>
      <c r="D1828" s="460">
        <v>1</v>
      </c>
      <c r="E1828" s="460">
        <v>3</v>
      </c>
      <c r="G1828" s="1798" t="s">
        <v>46</v>
      </c>
      <c r="H1828" s="1783" t="s">
        <v>1239</v>
      </c>
      <c r="I1828" s="1750" t="s">
        <v>7609</v>
      </c>
      <c r="J1828" s="1785" t="s">
        <v>497</v>
      </c>
      <c r="K1828" s="1786" t="s">
        <v>642</v>
      </c>
      <c r="L1828" s="1787" t="e">
        <v>#REF!</v>
      </c>
      <c r="M1828" s="1787">
        <v>12.075000000000001</v>
      </c>
      <c r="N1828" s="1754"/>
      <c r="O1828" s="1788"/>
      <c r="P1828" s="1721" t="s">
        <v>9611</v>
      </c>
    </row>
    <row r="1829" spans="1:16" ht="13.5" hidden="1" customHeight="1" outlineLevel="2" x14ac:dyDescent="0.2">
      <c r="A1829" s="459">
        <v>0</v>
      </c>
      <c r="B1829" s="459">
        <v>14</v>
      </c>
      <c r="C1829" s="459">
        <v>10</v>
      </c>
      <c r="D1829" s="460">
        <v>2</v>
      </c>
      <c r="E1829" s="460">
        <v>0</v>
      </c>
      <c r="G1829" s="1797"/>
      <c r="H1829" s="1777" t="s">
        <v>1238</v>
      </c>
      <c r="I1829" s="1742" t="s">
        <v>7610</v>
      </c>
      <c r="J1829" s="1779" t="s">
        <v>2813</v>
      </c>
      <c r="K1829" s="1780"/>
      <c r="L1829" s="1781"/>
      <c r="M1829" s="1781"/>
      <c r="N1829" s="1746"/>
      <c r="O1829" s="1782"/>
      <c r="P1829" s="1720"/>
    </row>
    <row r="1830" spans="1:16" ht="13.5" hidden="1" customHeight="1" outlineLevel="3" x14ac:dyDescent="0.2">
      <c r="A1830" s="459">
        <v>0</v>
      </c>
      <c r="B1830" s="459">
        <v>14</v>
      </c>
      <c r="C1830" s="459">
        <v>10</v>
      </c>
      <c r="D1830" s="460">
        <v>2</v>
      </c>
      <c r="E1830" s="460">
        <v>1</v>
      </c>
      <c r="G1830" s="1798" t="s">
        <v>48</v>
      </c>
      <c r="H1830" s="1783" t="s">
        <v>1239</v>
      </c>
      <c r="I1830" s="1750" t="s">
        <v>7611</v>
      </c>
      <c r="J1830" s="1785" t="s">
        <v>2846</v>
      </c>
      <c r="K1830" s="1786" t="s">
        <v>642</v>
      </c>
      <c r="L1830" s="1787" t="e">
        <v>#REF!</v>
      </c>
      <c r="M1830" s="1787">
        <v>141.82760000000002</v>
      </c>
      <c r="N1830" s="1754"/>
      <c r="O1830" s="1788" t="s">
        <v>2848</v>
      </c>
      <c r="P1830" s="1721" t="s">
        <v>9611</v>
      </c>
    </row>
    <row r="1831" spans="1:16" ht="13.5" hidden="1" customHeight="1" outlineLevel="2" x14ac:dyDescent="0.2">
      <c r="A1831" s="459">
        <v>0</v>
      </c>
      <c r="B1831" s="459">
        <v>14</v>
      </c>
      <c r="C1831" s="459">
        <v>10</v>
      </c>
      <c r="D1831" s="460">
        <v>3</v>
      </c>
      <c r="E1831" s="460">
        <v>0</v>
      </c>
      <c r="G1831" s="1797"/>
      <c r="H1831" s="1777" t="s">
        <v>1238</v>
      </c>
      <c r="I1831" s="1742" t="s">
        <v>7612</v>
      </c>
      <c r="J1831" s="1779" t="s">
        <v>2741</v>
      </c>
      <c r="K1831" s="1780"/>
      <c r="L1831" s="1781"/>
      <c r="M1831" s="1781"/>
      <c r="N1831" s="1746"/>
      <c r="O1831" s="1782"/>
      <c r="P1831" s="1720"/>
    </row>
    <row r="1832" spans="1:16" ht="13.5" hidden="1" customHeight="1" outlineLevel="3" x14ac:dyDescent="0.2">
      <c r="A1832" s="459">
        <v>0</v>
      </c>
      <c r="B1832" s="459">
        <v>14</v>
      </c>
      <c r="C1832" s="459">
        <v>10</v>
      </c>
      <c r="D1832" s="460">
        <v>3</v>
      </c>
      <c r="E1832" s="460">
        <v>1</v>
      </c>
      <c r="G1832" s="1798" t="s">
        <v>48</v>
      </c>
      <c r="H1832" s="1783" t="s">
        <v>1239</v>
      </c>
      <c r="I1832" s="1750" t="s">
        <v>7613</v>
      </c>
      <c r="J1832" s="1785" t="s">
        <v>530</v>
      </c>
      <c r="K1832" s="1786" t="s">
        <v>642</v>
      </c>
      <c r="L1832" s="1787" t="e">
        <v>#REF!</v>
      </c>
      <c r="M1832" s="1787">
        <v>849.15470000000005</v>
      </c>
      <c r="N1832" s="1754"/>
      <c r="O1832" s="1788"/>
      <c r="P1832" s="1721" t="s">
        <v>9611</v>
      </c>
    </row>
    <row r="1833" spans="1:16" ht="13.5" hidden="1" customHeight="1" outlineLevel="2" x14ac:dyDescent="0.2">
      <c r="A1833" s="459">
        <v>0</v>
      </c>
      <c r="B1833" s="459">
        <v>14</v>
      </c>
      <c r="C1833" s="459">
        <v>10</v>
      </c>
      <c r="D1833" s="460">
        <v>4</v>
      </c>
      <c r="E1833" s="460">
        <v>0</v>
      </c>
      <c r="G1833" s="1797"/>
      <c r="H1833" s="1777" t="s">
        <v>1238</v>
      </c>
      <c r="I1833" s="1742" t="s">
        <v>7614</v>
      </c>
      <c r="J1833" s="1779" t="s">
        <v>1264</v>
      </c>
      <c r="K1833" s="1780"/>
      <c r="L1833" s="1781"/>
      <c r="M1833" s="1781"/>
      <c r="N1833" s="1746"/>
      <c r="O1833" s="1782"/>
      <c r="P1833" s="1720"/>
    </row>
    <row r="1834" spans="1:16" ht="13.5" hidden="1" customHeight="1" outlineLevel="3" x14ac:dyDescent="0.2">
      <c r="A1834" s="459">
        <v>0</v>
      </c>
      <c r="B1834" s="459">
        <v>14</v>
      </c>
      <c r="C1834" s="459">
        <v>10</v>
      </c>
      <c r="D1834" s="460">
        <v>4</v>
      </c>
      <c r="E1834" s="460">
        <v>1</v>
      </c>
      <c r="G1834" s="1798" t="s">
        <v>46</v>
      </c>
      <c r="H1834" s="1783" t="s">
        <v>1239</v>
      </c>
      <c r="I1834" s="1750" t="s">
        <v>7615</v>
      </c>
      <c r="J1834" s="1785" t="s">
        <v>542</v>
      </c>
      <c r="K1834" s="1786" t="s">
        <v>642</v>
      </c>
      <c r="L1834" s="1787" t="e">
        <v>#REF!</v>
      </c>
      <c r="M1834" s="1787">
        <v>42</v>
      </c>
      <c r="N1834" s="1754"/>
      <c r="O1834" s="1788"/>
      <c r="P1834" s="1721" t="s">
        <v>9611</v>
      </c>
    </row>
    <row r="1835" spans="1:16" ht="13.5" hidden="1" customHeight="1" outlineLevel="3" x14ac:dyDescent="0.2">
      <c r="A1835" s="459">
        <v>0</v>
      </c>
      <c r="B1835" s="459">
        <v>14</v>
      </c>
      <c r="C1835" s="459">
        <v>10</v>
      </c>
      <c r="D1835" s="460">
        <v>4</v>
      </c>
      <c r="E1835" s="460">
        <v>2</v>
      </c>
      <c r="G1835" s="1798" t="s">
        <v>48</v>
      </c>
      <c r="H1835" s="1783" t="s">
        <v>1239</v>
      </c>
      <c r="I1835" s="1750" t="s">
        <v>7616</v>
      </c>
      <c r="J1835" s="1785" t="s">
        <v>546</v>
      </c>
      <c r="K1835" s="1786" t="s">
        <v>642</v>
      </c>
      <c r="L1835" s="1787" t="e">
        <v>#REF!</v>
      </c>
      <c r="M1835" s="1787">
        <v>75</v>
      </c>
      <c r="N1835" s="1754"/>
      <c r="O1835" s="1788"/>
      <c r="P1835" s="1721" t="s">
        <v>9611</v>
      </c>
    </row>
    <row r="1836" spans="1:16" ht="13.5" hidden="1" customHeight="1" outlineLevel="3" x14ac:dyDescent="0.2">
      <c r="A1836" s="459">
        <v>0</v>
      </c>
      <c r="B1836" s="459">
        <v>14</v>
      </c>
      <c r="C1836" s="459">
        <v>10</v>
      </c>
      <c r="D1836" s="460">
        <v>4</v>
      </c>
      <c r="E1836" s="460">
        <v>3</v>
      </c>
      <c r="G1836" s="1798" t="s">
        <v>48</v>
      </c>
      <c r="H1836" s="1783" t="s">
        <v>1239</v>
      </c>
      <c r="I1836" s="1750" t="s">
        <v>7617</v>
      </c>
      <c r="J1836" s="1785" t="s">
        <v>547</v>
      </c>
      <c r="K1836" s="1786" t="s">
        <v>642</v>
      </c>
      <c r="L1836" s="1787" t="e">
        <v>#REF!</v>
      </c>
      <c r="M1836" s="1787">
        <v>50</v>
      </c>
      <c r="N1836" s="1754"/>
      <c r="O1836" s="1788"/>
      <c r="P1836" s="1721" t="s">
        <v>9611</v>
      </c>
    </row>
    <row r="1837" spans="1:16" ht="13.5" hidden="1" customHeight="1" outlineLevel="1" x14ac:dyDescent="0.2">
      <c r="A1837" s="459">
        <v>0</v>
      </c>
      <c r="B1837" s="459">
        <v>14</v>
      </c>
      <c r="C1837" s="459">
        <v>11</v>
      </c>
      <c r="D1837" s="460">
        <v>0</v>
      </c>
      <c r="E1837" s="460">
        <v>3</v>
      </c>
      <c r="G1837" s="1796"/>
      <c r="H1837" s="1771" t="s">
        <v>39</v>
      </c>
      <c r="I1837" s="1735" t="s">
        <v>7618</v>
      </c>
      <c r="J1837" s="1773" t="s">
        <v>2903</v>
      </c>
      <c r="K1837" s="1774"/>
      <c r="L1837" s="1775"/>
      <c r="M1837" s="1775"/>
      <c r="N1837" s="1739"/>
      <c r="O1837" s="1776"/>
      <c r="P1837" s="1719"/>
    </row>
    <row r="1838" spans="1:16" ht="13.5" hidden="1" customHeight="1" outlineLevel="2" x14ac:dyDescent="0.2">
      <c r="A1838" s="459">
        <v>0</v>
      </c>
      <c r="B1838" s="459">
        <v>14</v>
      </c>
      <c r="C1838" s="459">
        <v>11</v>
      </c>
      <c r="D1838" s="460">
        <v>1</v>
      </c>
      <c r="E1838" s="460">
        <v>0</v>
      </c>
      <c r="G1838" s="1797"/>
      <c r="H1838" s="1777" t="s">
        <v>1238</v>
      </c>
      <c r="I1838" s="1742" t="s">
        <v>7619</v>
      </c>
      <c r="J1838" s="1779" t="s">
        <v>2812</v>
      </c>
      <c r="K1838" s="1780"/>
      <c r="L1838" s="1781"/>
      <c r="M1838" s="1781"/>
      <c r="N1838" s="1746"/>
      <c r="O1838" s="1782"/>
      <c r="P1838" s="1720"/>
    </row>
    <row r="1839" spans="1:16" ht="13.5" hidden="1" customHeight="1" outlineLevel="3" x14ac:dyDescent="0.2">
      <c r="A1839" s="459">
        <v>0</v>
      </c>
      <c r="B1839" s="459">
        <v>14</v>
      </c>
      <c r="C1839" s="459">
        <v>11</v>
      </c>
      <c r="D1839" s="460">
        <v>1</v>
      </c>
      <c r="E1839" s="460">
        <v>1</v>
      </c>
      <c r="G1839" s="1798" t="s">
        <v>46</v>
      </c>
      <c r="H1839" s="1783" t="s">
        <v>1239</v>
      </c>
      <c r="I1839" s="1750" t="s">
        <v>7620</v>
      </c>
      <c r="J1839" s="1785" t="s">
        <v>482</v>
      </c>
      <c r="K1839" s="1786" t="s">
        <v>642</v>
      </c>
      <c r="L1839" s="1787" t="e">
        <v>#REF!</v>
      </c>
      <c r="M1839" s="1787">
        <v>10.11778</v>
      </c>
      <c r="N1839" s="1754"/>
      <c r="O1839" s="1788"/>
      <c r="P1839" s="1721" t="s">
        <v>9611</v>
      </c>
    </row>
    <row r="1840" spans="1:16" ht="13.5" hidden="1" customHeight="1" outlineLevel="3" x14ac:dyDescent="0.2">
      <c r="A1840" s="459">
        <v>0</v>
      </c>
      <c r="B1840" s="459">
        <v>14</v>
      </c>
      <c r="C1840" s="459">
        <v>11</v>
      </c>
      <c r="D1840" s="460">
        <v>1</v>
      </c>
      <c r="E1840" s="460">
        <v>2</v>
      </c>
      <c r="G1840" s="1798" t="s">
        <v>46</v>
      </c>
      <c r="H1840" s="1783" t="s">
        <v>1239</v>
      </c>
      <c r="I1840" s="1750" t="s">
        <v>7621</v>
      </c>
      <c r="J1840" s="1785" t="s">
        <v>491</v>
      </c>
      <c r="K1840" s="1786" t="s">
        <v>642</v>
      </c>
      <c r="L1840" s="1787" t="e">
        <v>#REF!</v>
      </c>
      <c r="M1840" s="1787">
        <v>3.28945</v>
      </c>
      <c r="N1840" s="1754"/>
      <c r="O1840" s="1788"/>
      <c r="P1840" s="1721" t="s">
        <v>9611</v>
      </c>
    </row>
    <row r="1841" spans="1:16" ht="13.5" hidden="1" customHeight="1" outlineLevel="3" x14ac:dyDescent="0.2">
      <c r="A1841" s="459">
        <v>0</v>
      </c>
      <c r="B1841" s="459">
        <v>14</v>
      </c>
      <c r="C1841" s="459">
        <v>11</v>
      </c>
      <c r="D1841" s="460">
        <v>1</v>
      </c>
      <c r="E1841" s="460">
        <v>3</v>
      </c>
      <c r="G1841" s="1798" t="s">
        <v>46</v>
      </c>
      <c r="H1841" s="1783" t="s">
        <v>1239</v>
      </c>
      <c r="I1841" s="1750" t="s">
        <v>7622</v>
      </c>
      <c r="J1841" s="1785" t="s">
        <v>497</v>
      </c>
      <c r="K1841" s="1786" t="s">
        <v>642</v>
      </c>
      <c r="L1841" s="1787" t="e">
        <v>#REF!</v>
      </c>
      <c r="M1841" s="1787">
        <v>12.075000000000001</v>
      </c>
      <c r="N1841" s="1754"/>
      <c r="O1841" s="1788"/>
      <c r="P1841" s="1721" t="s">
        <v>9611</v>
      </c>
    </row>
    <row r="1842" spans="1:16" ht="13.5" hidden="1" customHeight="1" outlineLevel="2" x14ac:dyDescent="0.2">
      <c r="A1842" s="459">
        <v>0</v>
      </c>
      <c r="B1842" s="459">
        <v>14</v>
      </c>
      <c r="C1842" s="459">
        <v>11</v>
      </c>
      <c r="D1842" s="460">
        <v>2</v>
      </c>
      <c r="E1842" s="460">
        <v>0</v>
      </c>
      <c r="G1842" s="1797"/>
      <c r="H1842" s="1777" t="s">
        <v>1238</v>
      </c>
      <c r="I1842" s="1742" t="s">
        <v>7623</v>
      </c>
      <c r="J1842" s="1779" t="s">
        <v>2813</v>
      </c>
      <c r="K1842" s="1780"/>
      <c r="L1842" s="1781"/>
      <c r="M1842" s="1781"/>
      <c r="N1842" s="1746"/>
      <c r="O1842" s="1782"/>
      <c r="P1842" s="1720"/>
    </row>
    <row r="1843" spans="1:16" ht="13.5" hidden="1" customHeight="1" outlineLevel="3" x14ac:dyDescent="0.2">
      <c r="A1843" s="459">
        <v>0</v>
      </c>
      <c r="B1843" s="459">
        <v>14</v>
      </c>
      <c r="C1843" s="459">
        <v>11</v>
      </c>
      <c r="D1843" s="460">
        <v>2</v>
      </c>
      <c r="E1843" s="460">
        <v>1</v>
      </c>
      <c r="G1843" s="1798" t="s">
        <v>48</v>
      </c>
      <c r="H1843" s="1783" t="s">
        <v>1239</v>
      </c>
      <c r="I1843" s="1750" t="s">
        <v>7624</v>
      </c>
      <c r="J1843" s="1785" t="s">
        <v>2846</v>
      </c>
      <c r="K1843" s="1786" t="s">
        <v>642</v>
      </c>
      <c r="L1843" s="1787" t="e">
        <v>#REF!</v>
      </c>
      <c r="M1843" s="1787">
        <v>141.82760000000002</v>
      </c>
      <c r="N1843" s="1754"/>
      <c r="O1843" s="1788" t="s">
        <v>2848</v>
      </c>
      <c r="P1843" s="1721" t="s">
        <v>9611</v>
      </c>
    </row>
    <row r="1844" spans="1:16" ht="13.5" hidden="1" customHeight="1" outlineLevel="2" x14ac:dyDescent="0.2">
      <c r="A1844" s="459">
        <v>0</v>
      </c>
      <c r="B1844" s="459">
        <v>14</v>
      </c>
      <c r="C1844" s="459">
        <v>11</v>
      </c>
      <c r="D1844" s="460">
        <v>3</v>
      </c>
      <c r="E1844" s="460">
        <v>0</v>
      </c>
      <c r="G1844" s="1797"/>
      <c r="H1844" s="1777" t="s">
        <v>1238</v>
      </c>
      <c r="I1844" s="1742" t="s">
        <v>7625</v>
      </c>
      <c r="J1844" s="1779" t="s">
        <v>2817</v>
      </c>
      <c r="K1844" s="1780"/>
      <c r="L1844" s="1781"/>
      <c r="M1844" s="1781"/>
      <c r="N1844" s="1746"/>
      <c r="O1844" s="1782"/>
      <c r="P1844" s="1720"/>
    </row>
    <row r="1845" spans="1:16" ht="13.5" hidden="1" customHeight="1" outlineLevel="3" x14ac:dyDescent="0.2">
      <c r="A1845" s="459">
        <v>0</v>
      </c>
      <c r="B1845" s="459">
        <v>14</v>
      </c>
      <c r="C1845" s="459">
        <v>11</v>
      </c>
      <c r="D1845" s="460">
        <v>3</v>
      </c>
      <c r="E1845" s="460">
        <v>1</v>
      </c>
      <c r="G1845" s="1798" t="s">
        <v>48</v>
      </c>
      <c r="H1845" s="1783" t="s">
        <v>1239</v>
      </c>
      <c r="I1845" s="1750" t="s">
        <v>7626</v>
      </c>
      <c r="J1845" s="1785" t="s">
        <v>2872</v>
      </c>
      <c r="K1845" s="1786" t="s">
        <v>642</v>
      </c>
      <c r="L1845" s="1787" t="e">
        <v>#REF!</v>
      </c>
      <c r="M1845" s="1787">
        <v>898.24550000000011</v>
      </c>
      <c r="N1845" s="1754"/>
      <c r="O1845" s="1788"/>
      <c r="P1845" s="1721" t="s">
        <v>9611</v>
      </c>
    </row>
    <row r="1846" spans="1:16" ht="13.5" hidden="1" customHeight="1" outlineLevel="2" x14ac:dyDescent="0.2">
      <c r="A1846" s="459">
        <v>0</v>
      </c>
      <c r="B1846" s="459">
        <v>14</v>
      </c>
      <c r="C1846" s="459">
        <v>11</v>
      </c>
      <c r="D1846" s="460">
        <v>4</v>
      </c>
      <c r="E1846" s="460">
        <v>0</v>
      </c>
      <c r="G1846" s="1797"/>
      <c r="H1846" s="1777" t="s">
        <v>1238</v>
      </c>
      <c r="I1846" s="1742" t="s">
        <v>7627</v>
      </c>
      <c r="J1846" s="1779" t="s">
        <v>2741</v>
      </c>
      <c r="K1846" s="1780"/>
      <c r="L1846" s="1781"/>
      <c r="M1846" s="1781"/>
      <c r="N1846" s="1746"/>
      <c r="O1846" s="1782"/>
      <c r="P1846" s="1720"/>
    </row>
    <row r="1847" spans="1:16" ht="13.5" hidden="1" customHeight="1" outlineLevel="3" x14ac:dyDescent="0.2">
      <c r="A1847" s="459">
        <v>0</v>
      </c>
      <c r="B1847" s="459">
        <v>14</v>
      </c>
      <c r="C1847" s="459">
        <v>11</v>
      </c>
      <c r="D1847" s="460">
        <v>4</v>
      </c>
      <c r="E1847" s="460">
        <v>1</v>
      </c>
      <c r="G1847" s="1798" t="s">
        <v>48</v>
      </c>
      <c r="H1847" s="1783" t="s">
        <v>1239</v>
      </c>
      <c r="I1847" s="1750" t="s">
        <v>7628</v>
      </c>
      <c r="J1847" s="1785" t="s">
        <v>530</v>
      </c>
      <c r="K1847" s="1786" t="s">
        <v>642</v>
      </c>
      <c r="L1847" s="1787" t="e">
        <v>#REF!</v>
      </c>
      <c r="M1847" s="1787">
        <v>849.15470000000005</v>
      </c>
      <c r="N1847" s="1754"/>
      <c r="O1847" s="1788"/>
      <c r="P1847" s="1721" t="s">
        <v>9611</v>
      </c>
    </row>
    <row r="1848" spans="1:16" ht="13.5" hidden="1" customHeight="1" outlineLevel="2" x14ac:dyDescent="0.2">
      <c r="A1848" s="459">
        <v>0</v>
      </c>
      <c r="B1848" s="459">
        <v>14</v>
      </c>
      <c r="C1848" s="459">
        <v>11</v>
      </c>
      <c r="D1848" s="460">
        <v>5</v>
      </c>
      <c r="E1848" s="460">
        <v>0</v>
      </c>
      <c r="G1848" s="1797"/>
      <c r="H1848" s="1777" t="s">
        <v>1238</v>
      </c>
      <c r="I1848" s="1742" t="s">
        <v>7629</v>
      </c>
      <c r="J1848" s="1779" t="s">
        <v>1264</v>
      </c>
      <c r="K1848" s="1780"/>
      <c r="L1848" s="1781"/>
      <c r="M1848" s="1781"/>
      <c r="N1848" s="1746"/>
      <c r="O1848" s="1782"/>
      <c r="P1848" s="1720"/>
    </row>
    <row r="1849" spans="1:16" ht="13.5" hidden="1" customHeight="1" outlineLevel="3" x14ac:dyDescent="0.2">
      <c r="A1849" s="459">
        <v>0</v>
      </c>
      <c r="B1849" s="459">
        <v>14</v>
      </c>
      <c r="C1849" s="459">
        <v>11</v>
      </c>
      <c r="D1849" s="460">
        <v>5</v>
      </c>
      <c r="E1849" s="460">
        <v>1</v>
      </c>
      <c r="G1849" s="1798" t="s">
        <v>46</v>
      </c>
      <c r="H1849" s="1783" t="s">
        <v>1239</v>
      </c>
      <c r="I1849" s="1750" t="s">
        <v>7630</v>
      </c>
      <c r="J1849" s="1785" t="s">
        <v>542</v>
      </c>
      <c r="K1849" s="1786" t="s">
        <v>642</v>
      </c>
      <c r="L1849" s="1787" t="e">
        <v>#REF!</v>
      </c>
      <c r="M1849" s="1787">
        <v>42</v>
      </c>
      <c r="N1849" s="1754"/>
      <c r="O1849" s="1788"/>
      <c r="P1849" s="1721" t="s">
        <v>9611</v>
      </c>
    </row>
    <row r="1850" spans="1:16" ht="13.5" hidden="1" customHeight="1" outlineLevel="3" x14ac:dyDescent="0.2">
      <c r="A1850" s="459">
        <v>0</v>
      </c>
      <c r="B1850" s="459">
        <v>14</v>
      </c>
      <c r="C1850" s="459">
        <v>11</v>
      </c>
      <c r="D1850" s="460">
        <v>5</v>
      </c>
      <c r="E1850" s="460">
        <v>2</v>
      </c>
      <c r="G1850" s="1798" t="s">
        <v>48</v>
      </c>
      <c r="H1850" s="1783" t="s">
        <v>1239</v>
      </c>
      <c r="I1850" s="1750" t="s">
        <v>7631</v>
      </c>
      <c r="J1850" s="1785" t="s">
        <v>546</v>
      </c>
      <c r="K1850" s="1786" t="s">
        <v>642</v>
      </c>
      <c r="L1850" s="1787" t="e">
        <v>#REF!</v>
      </c>
      <c r="M1850" s="1787">
        <v>75</v>
      </c>
      <c r="N1850" s="1754"/>
      <c r="O1850" s="1788"/>
      <c r="P1850" s="1721" t="s">
        <v>9611</v>
      </c>
    </row>
    <row r="1851" spans="1:16" ht="13.5" hidden="1" customHeight="1" outlineLevel="3" x14ac:dyDescent="0.2">
      <c r="A1851" s="459">
        <v>0</v>
      </c>
      <c r="B1851" s="459">
        <v>14</v>
      </c>
      <c r="C1851" s="459">
        <v>11</v>
      </c>
      <c r="D1851" s="460">
        <v>5</v>
      </c>
      <c r="E1851" s="460">
        <v>3</v>
      </c>
      <c r="G1851" s="1798" t="s">
        <v>48</v>
      </c>
      <c r="H1851" s="1783" t="s">
        <v>1239</v>
      </c>
      <c r="I1851" s="1750" t="s">
        <v>7632</v>
      </c>
      <c r="J1851" s="1785" t="s">
        <v>545</v>
      </c>
      <c r="K1851" s="1786" t="s">
        <v>642</v>
      </c>
      <c r="L1851" s="1787" t="e">
        <v>#REF!</v>
      </c>
      <c r="M1851" s="1787">
        <v>75</v>
      </c>
      <c r="N1851" s="1754"/>
      <c r="O1851" s="1788"/>
      <c r="P1851" s="1721" t="s">
        <v>9611</v>
      </c>
    </row>
    <row r="1852" spans="1:16" ht="13.5" hidden="1" customHeight="1" outlineLevel="3" x14ac:dyDescent="0.2">
      <c r="A1852" s="459">
        <v>0</v>
      </c>
      <c r="B1852" s="459">
        <v>14</v>
      </c>
      <c r="C1852" s="459">
        <v>11</v>
      </c>
      <c r="D1852" s="460">
        <v>5</v>
      </c>
      <c r="E1852" s="460">
        <v>4</v>
      </c>
      <c r="G1852" s="1798" t="s">
        <v>48</v>
      </c>
      <c r="H1852" s="1783" t="s">
        <v>1239</v>
      </c>
      <c r="I1852" s="1750" t="s">
        <v>7633</v>
      </c>
      <c r="J1852" s="1785" t="s">
        <v>547</v>
      </c>
      <c r="K1852" s="1786" t="s">
        <v>642</v>
      </c>
      <c r="L1852" s="1787" t="e">
        <v>#REF!</v>
      </c>
      <c r="M1852" s="1787">
        <v>50</v>
      </c>
      <c r="N1852" s="1754"/>
      <c r="O1852" s="1788"/>
      <c r="P1852" s="1721" t="s">
        <v>9611</v>
      </c>
    </row>
    <row r="1853" spans="1:16" ht="13.5" hidden="1" customHeight="1" outlineLevel="1" x14ac:dyDescent="0.2">
      <c r="A1853" s="459">
        <v>0</v>
      </c>
      <c r="B1853" s="459">
        <v>14</v>
      </c>
      <c r="C1853" s="459">
        <v>12</v>
      </c>
      <c r="D1853" s="460">
        <v>0</v>
      </c>
      <c r="E1853" s="460">
        <v>4</v>
      </c>
      <c r="G1853" s="1796"/>
      <c r="H1853" s="1771" t="s">
        <v>39</v>
      </c>
      <c r="I1853" s="1735" t="s">
        <v>7634</v>
      </c>
      <c r="J1853" s="1773" t="s">
        <v>2904</v>
      </c>
      <c r="K1853" s="1774"/>
      <c r="L1853" s="1775"/>
      <c r="M1853" s="1775"/>
      <c r="N1853" s="1739"/>
      <c r="O1853" s="1776"/>
      <c r="P1853" s="1719"/>
    </row>
    <row r="1854" spans="1:16" ht="13.5" hidden="1" customHeight="1" outlineLevel="2" x14ac:dyDescent="0.2">
      <c r="A1854" s="459">
        <v>0</v>
      </c>
      <c r="B1854" s="459">
        <v>14</v>
      </c>
      <c r="C1854" s="459">
        <v>12</v>
      </c>
      <c r="D1854" s="460">
        <v>1</v>
      </c>
      <c r="E1854" s="460">
        <v>0</v>
      </c>
      <c r="G1854" s="1797"/>
      <c r="H1854" s="1777" t="s">
        <v>1238</v>
      </c>
      <c r="I1854" s="1742" t="s">
        <v>7635</v>
      </c>
      <c r="J1854" s="1779" t="s">
        <v>2812</v>
      </c>
      <c r="K1854" s="1780"/>
      <c r="L1854" s="1781"/>
      <c r="M1854" s="1781"/>
      <c r="N1854" s="1746"/>
      <c r="O1854" s="1782"/>
      <c r="P1854" s="1720"/>
    </row>
    <row r="1855" spans="1:16" ht="13.5" hidden="1" customHeight="1" outlineLevel="3" x14ac:dyDescent="0.2">
      <c r="A1855" s="459">
        <v>0</v>
      </c>
      <c r="B1855" s="459">
        <v>14</v>
      </c>
      <c r="C1855" s="459">
        <v>12</v>
      </c>
      <c r="D1855" s="460">
        <v>1</v>
      </c>
      <c r="E1855" s="460">
        <v>1</v>
      </c>
      <c r="G1855" s="1798" t="s">
        <v>46</v>
      </c>
      <c r="H1855" s="1783" t="s">
        <v>1239</v>
      </c>
      <c r="I1855" s="1750" t="s">
        <v>7636</v>
      </c>
      <c r="J1855" s="1785" t="s">
        <v>482</v>
      </c>
      <c r="K1855" s="1786" t="s">
        <v>642</v>
      </c>
      <c r="L1855" s="1787" t="e">
        <v>#REF!</v>
      </c>
      <c r="M1855" s="1787">
        <v>10.11778</v>
      </c>
      <c r="N1855" s="1754"/>
      <c r="O1855" s="1788"/>
      <c r="P1855" s="1721" t="s">
        <v>9611</v>
      </c>
    </row>
    <row r="1856" spans="1:16" ht="13.5" hidden="1" customHeight="1" outlineLevel="3" x14ac:dyDescent="0.2">
      <c r="A1856" s="459">
        <v>0</v>
      </c>
      <c r="B1856" s="459">
        <v>14</v>
      </c>
      <c r="C1856" s="459">
        <v>12</v>
      </c>
      <c r="D1856" s="460">
        <v>1</v>
      </c>
      <c r="E1856" s="460">
        <v>2</v>
      </c>
      <c r="G1856" s="1798" t="s">
        <v>46</v>
      </c>
      <c r="H1856" s="1783" t="s">
        <v>1239</v>
      </c>
      <c r="I1856" s="1750" t="s">
        <v>7637</v>
      </c>
      <c r="J1856" s="1785" t="s">
        <v>491</v>
      </c>
      <c r="K1856" s="1786" t="s">
        <v>642</v>
      </c>
      <c r="L1856" s="1787" t="e">
        <v>#REF!</v>
      </c>
      <c r="M1856" s="1787">
        <v>3.28945</v>
      </c>
      <c r="N1856" s="1754"/>
      <c r="O1856" s="1788"/>
      <c r="P1856" s="1721" t="s">
        <v>9611</v>
      </c>
    </row>
    <row r="1857" spans="1:16" ht="13.5" hidden="1" customHeight="1" outlineLevel="3" x14ac:dyDescent="0.2">
      <c r="A1857" s="459">
        <v>0</v>
      </c>
      <c r="B1857" s="459">
        <v>14</v>
      </c>
      <c r="C1857" s="459">
        <v>12</v>
      </c>
      <c r="D1857" s="460">
        <v>1</v>
      </c>
      <c r="E1857" s="460">
        <v>3</v>
      </c>
      <c r="G1857" s="1798" t="s">
        <v>46</v>
      </c>
      <c r="H1857" s="1783" t="s">
        <v>1239</v>
      </c>
      <c r="I1857" s="1750" t="s">
        <v>7638</v>
      </c>
      <c r="J1857" s="1785" t="s">
        <v>497</v>
      </c>
      <c r="K1857" s="1786" t="s">
        <v>642</v>
      </c>
      <c r="L1857" s="1787" t="e">
        <v>#REF!</v>
      </c>
      <c r="M1857" s="1787">
        <v>12.075000000000001</v>
      </c>
      <c r="N1857" s="1754"/>
      <c r="O1857" s="1788"/>
      <c r="P1857" s="1721" t="s">
        <v>9611</v>
      </c>
    </row>
    <row r="1858" spans="1:16" ht="13.5" hidden="1" customHeight="1" outlineLevel="2" x14ac:dyDescent="0.2">
      <c r="A1858" s="459">
        <v>0</v>
      </c>
      <c r="B1858" s="459">
        <v>14</v>
      </c>
      <c r="C1858" s="459">
        <v>12</v>
      </c>
      <c r="D1858" s="460">
        <v>2</v>
      </c>
      <c r="E1858" s="460">
        <v>0</v>
      </c>
      <c r="G1858" s="1797"/>
      <c r="H1858" s="1777" t="s">
        <v>1238</v>
      </c>
      <c r="I1858" s="1742" t="s">
        <v>7639</v>
      </c>
      <c r="J1858" s="1779" t="s">
        <v>2813</v>
      </c>
      <c r="K1858" s="1780"/>
      <c r="L1858" s="1781"/>
      <c r="M1858" s="1781"/>
      <c r="N1858" s="1746"/>
      <c r="O1858" s="1782"/>
      <c r="P1858" s="1720"/>
    </row>
    <row r="1859" spans="1:16" ht="13.5" hidden="1" customHeight="1" outlineLevel="3" x14ac:dyDescent="0.2">
      <c r="A1859" s="459">
        <v>0</v>
      </c>
      <c r="B1859" s="459">
        <v>14</v>
      </c>
      <c r="C1859" s="459">
        <v>12</v>
      </c>
      <c r="D1859" s="460">
        <v>2</v>
      </c>
      <c r="E1859" s="460">
        <v>1</v>
      </c>
      <c r="G1859" s="1798" t="s">
        <v>48</v>
      </c>
      <c r="H1859" s="1783" t="s">
        <v>1239</v>
      </c>
      <c r="I1859" s="1750" t="s">
        <v>7640</v>
      </c>
      <c r="J1859" s="1785" t="s">
        <v>2846</v>
      </c>
      <c r="K1859" s="1786" t="s">
        <v>642</v>
      </c>
      <c r="L1859" s="1787" t="e">
        <v>#REF!</v>
      </c>
      <c r="M1859" s="1787">
        <v>141.82760000000002</v>
      </c>
      <c r="N1859" s="1754"/>
      <c r="O1859" s="1788" t="s">
        <v>2848</v>
      </c>
      <c r="P1859" s="1721" t="s">
        <v>9611</v>
      </c>
    </row>
    <row r="1860" spans="1:16" ht="13.5" hidden="1" customHeight="1" outlineLevel="2" x14ac:dyDescent="0.2">
      <c r="A1860" s="459">
        <v>0</v>
      </c>
      <c r="B1860" s="459">
        <v>14</v>
      </c>
      <c r="C1860" s="459">
        <v>12</v>
      </c>
      <c r="D1860" s="460">
        <v>3</v>
      </c>
      <c r="E1860" s="460">
        <v>0</v>
      </c>
      <c r="G1860" s="1797"/>
      <c r="H1860" s="1777" t="s">
        <v>1238</v>
      </c>
      <c r="I1860" s="1742" t="s">
        <v>7641</v>
      </c>
      <c r="J1860" s="1779" t="s">
        <v>2817</v>
      </c>
      <c r="K1860" s="1780"/>
      <c r="L1860" s="1781"/>
      <c r="M1860" s="1781"/>
      <c r="N1860" s="1746"/>
      <c r="O1860" s="1782"/>
      <c r="P1860" s="1720"/>
    </row>
    <row r="1861" spans="1:16" ht="13.5" hidden="1" customHeight="1" outlineLevel="3" x14ac:dyDescent="0.2">
      <c r="A1861" s="459">
        <v>0</v>
      </c>
      <c r="B1861" s="459">
        <v>14</v>
      </c>
      <c r="C1861" s="459">
        <v>12</v>
      </c>
      <c r="D1861" s="460">
        <v>3</v>
      </c>
      <c r="E1861" s="460">
        <v>1</v>
      </c>
      <c r="G1861" s="1798" t="s">
        <v>48</v>
      </c>
      <c r="H1861" s="1783" t="s">
        <v>1239</v>
      </c>
      <c r="I1861" s="1750" t="s">
        <v>7642</v>
      </c>
      <c r="J1861" s="1785" t="s">
        <v>2872</v>
      </c>
      <c r="K1861" s="1786" t="s">
        <v>642</v>
      </c>
      <c r="L1861" s="1787" t="e">
        <v>#REF!</v>
      </c>
      <c r="M1861" s="1787">
        <v>898.24550000000011</v>
      </c>
      <c r="N1861" s="1754"/>
      <c r="O1861" s="1788"/>
      <c r="P1861" s="1721" t="s">
        <v>9611</v>
      </c>
    </row>
    <row r="1862" spans="1:16" ht="13.5" hidden="1" customHeight="1" outlineLevel="2" x14ac:dyDescent="0.2">
      <c r="A1862" s="459">
        <v>0</v>
      </c>
      <c r="B1862" s="459">
        <v>14</v>
      </c>
      <c r="C1862" s="459">
        <v>12</v>
      </c>
      <c r="D1862" s="460">
        <v>4</v>
      </c>
      <c r="E1862" s="460">
        <v>0</v>
      </c>
      <c r="G1862" s="1797"/>
      <c r="H1862" s="1777" t="s">
        <v>1238</v>
      </c>
      <c r="I1862" s="1742" t="s">
        <v>7643</v>
      </c>
      <c r="J1862" s="1779" t="s">
        <v>2741</v>
      </c>
      <c r="K1862" s="1780"/>
      <c r="L1862" s="1781"/>
      <c r="M1862" s="1781"/>
      <c r="N1862" s="1746"/>
      <c r="O1862" s="1782"/>
      <c r="P1862" s="1720"/>
    </row>
    <row r="1863" spans="1:16" ht="13.5" hidden="1" customHeight="1" outlineLevel="3" x14ac:dyDescent="0.2">
      <c r="A1863" s="459">
        <v>0</v>
      </c>
      <c r="B1863" s="459">
        <v>14</v>
      </c>
      <c r="C1863" s="459">
        <v>12</v>
      </c>
      <c r="D1863" s="460">
        <v>4</v>
      </c>
      <c r="E1863" s="460">
        <v>1</v>
      </c>
      <c r="G1863" s="1798" t="s">
        <v>48</v>
      </c>
      <c r="H1863" s="1783" t="s">
        <v>1239</v>
      </c>
      <c r="I1863" s="1750" t="s">
        <v>7644</v>
      </c>
      <c r="J1863" s="1785" t="s">
        <v>530</v>
      </c>
      <c r="K1863" s="1786" t="s">
        <v>642</v>
      </c>
      <c r="L1863" s="1787" t="e">
        <v>#REF!</v>
      </c>
      <c r="M1863" s="1787">
        <v>849.15470000000005</v>
      </c>
      <c r="N1863" s="1754"/>
      <c r="O1863" s="1788"/>
      <c r="P1863" s="1721" t="s">
        <v>9611</v>
      </c>
    </row>
    <row r="1864" spans="1:16" ht="13.5" hidden="1" customHeight="1" outlineLevel="2" x14ac:dyDescent="0.2">
      <c r="A1864" s="459">
        <v>0</v>
      </c>
      <c r="B1864" s="459">
        <v>14</v>
      </c>
      <c r="C1864" s="459">
        <v>12</v>
      </c>
      <c r="D1864" s="460">
        <v>5</v>
      </c>
      <c r="E1864" s="460">
        <v>0</v>
      </c>
      <c r="G1864" s="1797"/>
      <c r="H1864" s="1777" t="s">
        <v>1238</v>
      </c>
      <c r="I1864" s="1742" t="s">
        <v>7645</v>
      </c>
      <c r="J1864" s="1779" t="s">
        <v>1264</v>
      </c>
      <c r="K1864" s="1780"/>
      <c r="L1864" s="1781"/>
      <c r="M1864" s="1781"/>
      <c r="N1864" s="1746"/>
      <c r="O1864" s="1782"/>
      <c r="P1864" s="1720"/>
    </row>
    <row r="1865" spans="1:16" ht="13.5" hidden="1" customHeight="1" outlineLevel="3" x14ac:dyDescent="0.2">
      <c r="A1865" s="459">
        <v>0</v>
      </c>
      <c r="B1865" s="459">
        <v>14</v>
      </c>
      <c r="C1865" s="459">
        <v>12</v>
      </c>
      <c r="D1865" s="460">
        <v>5</v>
      </c>
      <c r="E1865" s="460">
        <v>1</v>
      </c>
      <c r="G1865" s="1798" t="s">
        <v>46</v>
      </c>
      <c r="H1865" s="1783" t="s">
        <v>1239</v>
      </c>
      <c r="I1865" s="1750" t="s">
        <v>7646</v>
      </c>
      <c r="J1865" s="1785" t="s">
        <v>542</v>
      </c>
      <c r="K1865" s="1786" t="s">
        <v>642</v>
      </c>
      <c r="L1865" s="1787" t="e">
        <v>#REF!</v>
      </c>
      <c r="M1865" s="1787">
        <v>42</v>
      </c>
      <c r="N1865" s="1754"/>
      <c r="O1865" s="1788"/>
      <c r="P1865" s="1721" t="s">
        <v>9611</v>
      </c>
    </row>
    <row r="1866" spans="1:16" ht="13.5" hidden="1" customHeight="1" outlineLevel="3" x14ac:dyDescent="0.2">
      <c r="A1866" s="459">
        <v>0</v>
      </c>
      <c r="B1866" s="459">
        <v>14</v>
      </c>
      <c r="C1866" s="459">
        <v>12</v>
      </c>
      <c r="D1866" s="460">
        <v>5</v>
      </c>
      <c r="E1866" s="460">
        <v>2</v>
      </c>
      <c r="G1866" s="1798" t="s">
        <v>48</v>
      </c>
      <c r="H1866" s="1783" t="s">
        <v>1239</v>
      </c>
      <c r="I1866" s="1750" t="s">
        <v>7647</v>
      </c>
      <c r="J1866" s="1785" t="s">
        <v>546</v>
      </c>
      <c r="K1866" s="1786" t="s">
        <v>642</v>
      </c>
      <c r="L1866" s="1787" t="e">
        <v>#REF!</v>
      </c>
      <c r="M1866" s="1787">
        <v>75</v>
      </c>
      <c r="N1866" s="1754"/>
      <c r="O1866" s="1788"/>
      <c r="P1866" s="1721" t="s">
        <v>9611</v>
      </c>
    </row>
    <row r="1867" spans="1:16" ht="13.5" hidden="1" customHeight="1" outlineLevel="3" x14ac:dyDescent="0.2">
      <c r="A1867" s="459">
        <v>0</v>
      </c>
      <c r="B1867" s="459">
        <v>14</v>
      </c>
      <c r="C1867" s="459">
        <v>12</v>
      </c>
      <c r="D1867" s="460">
        <v>5</v>
      </c>
      <c r="E1867" s="460">
        <v>3</v>
      </c>
      <c r="G1867" s="1798" t="s">
        <v>48</v>
      </c>
      <c r="H1867" s="1783" t="s">
        <v>1239</v>
      </c>
      <c r="I1867" s="1750" t="s">
        <v>7648</v>
      </c>
      <c r="J1867" s="1785" t="s">
        <v>545</v>
      </c>
      <c r="K1867" s="1786" t="s">
        <v>642</v>
      </c>
      <c r="L1867" s="1787" t="e">
        <v>#REF!</v>
      </c>
      <c r="M1867" s="1787">
        <v>75</v>
      </c>
      <c r="N1867" s="1754"/>
      <c r="O1867" s="1788"/>
      <c r="P1867" s="1721" t="s">
        <v>9611</v>
      </c>
    </row>
    <row r="1868" spans="1:16" ht="13.5" hidden="1" customHeight="1" outlineLevel="3" x14ac:dyDescent="0.2">
      <c r="A1868" s="459">
        <v>0</v>
      </c>
      <c r="B1868" s="459">
        <v>14</v>
      </c>
      <c r="C1868" s="459">
        <v>12</v>
      </c>
      <c r="D1868" s="460">
        <v>5</v>
      </c>
      <c r="E1868" s="460">
        <v>4</v>
      </c>
      <c r="G1868" s="1798" t="s">
        <v>48</v>
      </c>
      <c r="H1868" s="1783" t="s">
        <v>1239</v>
      </c>
      <c r="I1868" s="1750" t="s">
        <v>7649</v>
      </c>
      <c r="J1868" s="1785" t="s">
        <v>547</v>
      </c>
      <c r="K1868" s="1786" t="s">
        <v>642</v>
      </c>
      <c r="L1868" s="1787" t="e">
        <v>#REF!</v>
      </c>
      <c r="M1868" s="1787">
        <v>50</v>
      </c>
      <c r="N1868" s="1754"/>
      <c r="O1868" s="1788"/>
      <c r="P1868" s="1721" t="s">
        <v>9611</v>
      </c>
    </row>
    <row r="1869" spans="1:16" ht="13.5" hidden="1" customHeight="1" outlineLevel="1" x14ac:dyDescent="0.2">
      <c r="A1869" s="459">
        <v>0</v>
      </c>
      <c r="B1869" s="459">
        <v>14</v>
      </c>
      <c r="C1869" s="459">
        <v>13</v>
      </c>
      <c r="D1869" s="460">
        <v>0</v>
      </c>
      <c r="E1869" s="460">
        <v>4</v>
      </c>
      <c r="G1869" s="1796"/>
      <c r="H1869" s="1771" t="s">
        <v>39</v>
      </c>
      <c r="I1869" s="1735" t="s">
        <v>7650</v>
      </c>
      <c r="J1869" s="1773" t="s">
        <v>2905</v>
      </c>
      <c r="K1869" s="1774"/>
      <c r="L1869" s="1775"/>
      <c r="M1869" s="1775"/>
      <c r="N1869" s="1739"/>
      <c r="O1869" s="1776"/>
      <c r="P1869" s="1719"/>
    </row>
    <row r="1870" spans="1:16" ht="13.5" hidden="1" customHeight="1" outlineLevel="2" x14ac:dyDescent="0.2">
      <c r="A1870" s="459">
        <v>0</v>
      </c>
      <c r="B1870" s="459">
        <v>14</v>
      </c>
      <c r="C1870" s="459">
        <v>13</v>
      </c>
      <c r="D1870" s="460">
        <v>1</v>
      </c>
      <c r="E1870" s="460">
        <v>0</v>
      </c>
      <c r="G1870" s="1797"/>
      <c r="H1870" s="1777" t="s">
        <v>1238</v>
      </c>
      <c r="I1870" s="1742" t="s">
        <v>7651</v>
      </c>
      <c r="J1870" s="1779" t="s">
        <v>2812</v>
      </c>
      <c r="K1870" s="1780"/>
      <c r="L1870" s="1781"/>
      <c r="M1870" s="1781"/>
      <c r="N1870" s="1746"/>
      <c r="O1870" s="1782"/>
      <c r="P1870" s="1720"/>
    </row>
    <row r="1871" spans="1:16" ht="13.5" hidden="1" customHeight="1" outlineLevel="3" x14ac:dyDescent="0.2">
      <c r="A1871" s="459">
        <v>0</v>
      </c>
      <c r="B1871" s="459">
        <v>14</v>
      </c>
      <c r="C1871" s="459">
        <v>13</v>
      </c>
      <c r="D1871" s="460">
        <v>1</v>
      </c>
      <c r="E1871" s="460">
        <v>1</v>
      </c>
      <c r="G1871" s="1798" t="s">
        <v>46</v>
      </c>
      <c r="H1871" s="1783" t="s">
        <v>1239</v>
      </c>
      <c r="I1871" s="1750" t="s">
        <v>7652</v>
      </c>
      <c r="J1871" s="1785" t="s">
        <v>482</v>
      </c>
      <c r="K1871" s="1786" t="s">
        <v>642</v>
      </c>
      <c r="L1871" s="1787" t="e">
        <v>#REF!</v>
      </c>
      <c r="M1871" s="1787">
        <v>10.11778</v>
      </c>
      <c r="N1871" s="1754"/>
      <c r="O1871" s="1788"/>
      <c r="P1871" s="1721" t="s">
        <v>9611</v>
      </c>
    </row>
    <row r="1872" spans="1:16" ht="13.5" hidden="1" customHeight="1" outlineLevel="3" x14ac:dyDescent="0.2">
      <c r="A1872" s="459">
        <v>0</v>
      </c>
      <c r="B1872" s="459">
        <v>14</v>
      </c>
      <c r="C1872" s="459">
        <v>13</v>
      </c>
      <c r="D1872" s="460">
        <v>1</v>
      </c>
      <c r="E1872" s="460">
        <v>2</v>
      </c>
      <c r="G1872" s="1798" t="s">
        <v>46</v>
      </c>
      <c r="H1872" s="1783" t="s">
        <v>1239</v>
      </c>
      <c r="I1872" s="1750" t="s">
        <v>7653</v>
      </c>
      <c r="J1872" s="1785" t="s">
        <v>491</v>
      </c>
      <c r="K1872" s="1786" t="s">
        <v>642</v>
      </c>
      <c r="L1872" s="1787" t="e">
        <v>#REF!</v>
      </c>
      <c r="M1872" s="1787">
        <v>3.28945</v>
      </c>
      <c r="N1872" s="1754"/>
      <c r="O1872" s="1788"/>
      <c r="P1872" s="1721" t="s">
        <v>9611</v>
      </c>
    </row>
    <row r="1873" spans="1:16" ht="13.5" hidden="1" customHeight="1" outlineLevel="3" x14ac:dyDescent="0.2">
      <c r="A1873" s="459">
        <v>0</v>
      </c>
      <c r="B1873" s="459">
        <v>14</v>
      </c>
      <c r="C1873" s="459">
        <v>13</v>
      </c>
      <c r="D1873" s="460">
        <v>1</v>
      </c>
      <c r="E1873" s="460">
        <v>3</v>
      </c>
      <c r="G1873" s="1798" t="s">
        <v>46</v>
      </c>
      <c r="H1873" s="1783" t="s">
        <v>1239</v>
      </c>
      <c r="I1873" s="1750" t="s">
        <v>7654</v>
      </c>
      <c r="J1873" s="1785" t="s">
        <v>497</v>
      </c>
      <c r="K1873" s="1786" t="s">
        <v>642</v>
      </c>
      <c r="L1873" s="1787" t="e">
        <v>#REF!</v>
      </c>
      <c r="M1873" s="1787">
        <v>12.075000000000001</v>
      </c>
      <c r="N1873" s="1754"/>
      <c r="O1873" s="1788"/>
      <c r="P1873" s="1721" t="s">
        <v>9611</v>
      </c>
    </row>
    <row r="1874" spans="1:16" ht="13.5" hidden="1" customHeight="1" outlineLevel="2" x14ac:dyDescent="0.2">
      <c r="A1874" s="459">
        <v>0</v>
      </c>
      <c r="B1874" s="459">
        <v>14</v>
      </c>
      <c r="C1874" s="459">
        <v>13</v>
      </c>
      <c r="D1874" s="460">
        <v>2</v>
      </c>
      <c r="E1874" s="460">
        <v>0</v>
      </c>
      <c r="G1874" s="1797"/>
      <c r="H1874" s="1777" t="s">
        <v>1238</v>
      </c>
      <c r="I1874" s="1742" t="s">
        <v>7655</v>
      </c>
      <c r="J1874" s="1779" t="s">
        <v>2817</v>
      </c>
      <c r="K1874" s="1780"/>
      <c r="L1874" s="1781"/>
      <c r="M1874" s="1781"/>
      <c r="N1874" s="1746"/>
      <c r="O1874" s="1782"/>
      <c r="P1874" s="1720"/>
    </row>
    <row r="1875" spans="1:16" ht="13.5" hidden="1" customHeight="1" outlineLevel="3" x14ac:dyDescent="0.2">
      <c r="A1875" s="459">
        <v>0</v>
      </c>
      <c r="B1875" s="459">
        <v>14</v>
      </c>
      <c r="C1875" s="459">
        <v>13</v>
      </c>
      <c r="D1875" s="460">
        <v>2</v>
      </c>
      <c r="E1875" s="460">
        <v>1</v>
      </c>
      <c r="G1875" s="1798" t="s">
        <v>48</v>
      </c>
      <c r="H1875" s="1783" t="s">
        <v>1239</v>
      </c>
      <c r="I1875" s="1750" t="s">
        <v>7656</v>
      </c>
      <c r="J1875" s="1785" t="s">
        <v>2872</v>
      </c>
      <c r="K1875" s="1786" t="s">
        <v>642</v>
      </c>
      <c r="L1875" s="1787" t="e">
        <v>#REF!</v>
      </c>
      <c r="M1875" s="1787">
        <v>898.24550000000011</v>
      </c>
      <c r="N1875" s="1754"/>
      <c r="O1875" s="1788"/>
      <c r="P1875" s="1721" t="s">
        <v>9611</v>
      </c>
    </row>
    <row r="1876" spans="1:16" ht="13.5" hidden="1" customHeight="1" outlineLevel="2" x14ac:dyDescent="0.2">
      <c r="A1876" s="459">
        <v>0</v>
      </c>
      <c r="B1876" s="459">
        <v>14</v>
      </c>
      <c r="C1876" s="459">
        <v>13</v>
      </c>
      <c r="D1876" s="460">
        <v>3</v>
      </c>
      <c r="E1876" s="460">
        <v>0</v>
      </c>
      <c r="G1876" s="1797"/>
      <c r="H1876" s="1777" t="s">
        <v>1238</v>
      </c>
      <c r="I1876" s="1742" t="s">
        <v>7657</v>
      </c>
      <c r="J1876" s="1779" t="s">
        <v>2741</v>
      </c>
      <c r="K1876" s="1780"/>
      <c r="L1876" s="1781"/>
      <c r="M1876" s="1781"/>
      <c r="N1876" s="1746"/>
      <c r="O1876" s="1782"/>
      <c r="P1876" s="1720"/>
    </row>
    <row r="1877" spans="1:16" ht="13.5" hidden="1" customHeight="1" outlineLevel="3" x14ac:dyDescent="0.2">
      <c r="A1877" s="459">
        <v>0</v>
      </c>
      <c r="B1877" s="459">
        <v>14</v>
      </c>
      <c r="C1877" s="459">
        <v>13</v>
      </c>
      <c r="D1877" s="460">
        <v>3</v>
      </c>
      <c r="E1877" s="460">
        <v>1</v>
      </c>
      <c r="G1877" s="1798" t="s">
        <v>48</v>
      </c>
      <c r="H1877" s="1783" t="s">
        <v>1239</v>
      </c>
      <c r="I1877" s="1750" t="s">
        <v>7658</v>
      </c>
      <c r="J1877" s="1785" t="s">
        <v>530</v>
      </c>
      <c r="K1877" s="1786" t="s">
        <v>642</v>
      </c>
      <c r="L1877" s="1787" t="e">
        <v>#REF!</v>
      </c>
      <c r="M1877" s="1787">
        <v>849.15470000000005</v>
      </c>
      <c r="N1877" s="1754"/>
      <c r="O1877" s="1788"/>
      <c r="P1877" s="1721" t="s">
        <v>9611</v>
      </c>
    </row>
    <row r="1878" spans="1:16" ht="13.5" hidden="1" customHeight="1" outlineLevel="2" x14ac:dyDescent="0.2">
      <c r="A1878" s="459">
        <v>0</v>
      </c>
      <c r="B1878" s="459">
        <v>14</v>
      </c>
      <c r="C1878" s="459">
        <v>13</v>
      </c>
      <c r="D1878" s="460">
        <v>4</v>
      </c>
      <c r="E1878" s="460">
        <v>0</v>
      </c>
      <c r="G1878" s="1797"/>
      <c r="H1878" s="1777" t="s">
        <v>1238</v>
      </c>
      <c r="I1878" s="1742" t="s">
        <v>7659</v>
      </c>
      <c r="J1878" s="1779" t="s">
        <v>1264</v>
      </c>
      <c r="K1878" s="1780"/>
      <c r="L1878" s="1781"/>
      <c r="M1878" s="1781"/>
      <c r="N1878" s="1746"/>
      <c r="O1878" s="1782"/>
      <c r="P1878" s="1720"/>
    </row>
    <row r="1879" spans="1:16" ht="13.5" hidden="1" customHeight="1" outlineLevel="3" x14ac:dyDescent="0.2">
      <c r="A1879" s="459">
        <v>0</v>
      </c>
      <c r="B1879" s="459">
        <v>14</v>
      </c>
      <c r="C1879" s="459">
        <v>13</v>
      </c>
      <c r="D1879" s="460">
        <v>4</v>
      </c>
      <c r="E1879" s="460">
        <v>1</v>
      </c>
      <c r="G1879" s="1798" t="s">
        <v>46</v>
      </c>
      <c r="H1879" s="1783" t="s">
        <v>1239</v>
      </c>
      <c r="I1879" s="1750" t="s">
        <v>7660</v>
      </c>
      <c r="J1879" s="1785" t="s">
        <v>542</v>
      </c>
      <c r="K1879" s="1786" t="s">
        <v>642</v>
      </c>
      <c r="L1879" s="1787" t="e">
        <v>#REF!</v>
      </c>
      <c r="M1879" s="1787">
        <v>42</v>
      </c>
      <c r="N1879" s="1754"/>
      <c r="O1879" s="1788"/>
      <c r="P1879" s="1721" t="s">
        <v>9611</v>
      </c>
    </row>
    <row r="1880" spans="1:16" ht="13.5" hidden="1" customHeight="1" outlineLevel="3" x14ac:dyDescent="0.2">
      <c r="A1880" s="459">
        <v>0</v>
      </c>
      <c r="B1880" s="459">
        <v>14</v>
      </c>
      <c r="C1880" s="459">
        <v>13</v>
      </c>
      <c r="D1880" s="460">
        <v>4</v>
      </c>
      <c r="E1880" s="460">
        <v>2</v>
      </c>
      <c r="G1880" s="1798" t="s">
        <v>48</v>
      </c>
      <c r="H1880" s="1783" t="s">
        <v>1239</v>
      </c>
      <c r="I1880" s="1750" t="s">
        <v>7661</v>
      </c>
      <c r="J1880" s="1785" t="s">
        <v>545</v>
      </c>
      <c r="K1880" s="1786" t="s">
        <v>642</v>
      </c>
      <c r="L1880" s="1787" t="e">
        <v>#REF!</v>
      </c>
      <c r="M1880" s="1787">
        <v>75</v>
      </c>
      <c r="N1880" s="1754"/>
      <c r="O1880" s="1788"/>
      <c r="P1880" s="1721" t="s">
        <v>9611</v>
      </c>
    </row>
    <row r="1881" spans="1:16" ht="13.5" hidden="1" customHeight="1" outlineLevel="3" x14ac:dyDescent="0.2">
      <c r="A1881" s="459">
        <v>0</v>
      </c>
      <c r="B1881" s="459">
        <v>14</v>
      </c>
      <c r="C1881" s="459">
        <v>13</v>
      </c>
      <c r="D1881" s="460">
        <v>4</v>
      </c>
      <c r="E1881" s="460">
        <v>3</v>
      </c>
      <c r="G1881" s="1798" t="s">
        <v>48</v>
      </c>
      <c r="H1881" s="1783" t="s">
        <v>1239</v>
      </c>
      <c r="I1881" s="1750" t="s">
        <v>7662</v>
      </c>
      <c r="J1881" s="1785" t="s">
        <v>547</v>
      </c>
      <c r="K1881" s="1786" t="s">
        <v>642</v>
      </c>
      <c r="L1881" s="1787" t="e">
        <v>#REF!</v>
      </c>
      <c r="M1881" s="1787">
        <v>50</v>
      </c>
      <c r="N1881" s="1754"/>
      <c r="O1881" s="1788"/>
      <c r="P1881" s="1721" t="s">
        <v>9611</v>
      </c>
    </row>
    <row r="1882" spans="1:16" ht="13.5" hidden="1" customHeight="1" outlineLevel="1" x14ac:dyDescent="0.2">
      <c r="A1882" s="459">
        <v>0</v>
      </c>
      <c r="B1882" s="459">
        <v>14</v>
      </c>
      <c r="C1882" s="459">
        <v>14</v>
      </c>
      <c r="D1882" s="460">
        <v>0</v>
      </c>
      <c r="E1882" s="460">
        <v>3</v>
      </c>
      <c r="G1882" s="1796"/>
      <c r="H1882" s="1771" t="s">
        <v>39</v>
      </c>
      <c r="I1882" s="1735" t="s">
        <v>7663</v>
      </c>
      <c r="J1882" s="1773" t="s">
        <v>2906</v>
      </c>
      <c r="K1882" s="1774"/>
      <c r="L1882" s="1775"/>
      <c r="M1882" s="1775"/>
      <c r="N1882" s="1739"/>
      <c r="O1882" s="1776"/>
      <c r="P1882" s="1719"/>
    </row>
    <row r="1883" spans="1:16" ht="13.5" hidden="1" customHeight="1" outlineLevel="2" x14ac:dyDescent="0.2">
      <c r="A1883" s="459">
        <v>0</v>
      </c>
      <c r="B1883" s="459">
        <v>14</v>
      </c>
      <c r="C1883" s="459">
        <v>14</v>
      </c>
      <c r="D1883" s="460">
        <v>1</v>
      </c>
      <c r="E1883" s="460">
        <v>0</v>
      </c>
      <c r="G1883" s="1797"/>
      <c r="H1883" s="1777" t="s">
        <v>1238</v>
      </c>
      <c r="I1883" s="1742" t="s">
        <v>7664</v>
      </c>
      <c r="J1883" s="1779" t="s">
        <v>2812</v>
      </c>
      <c r="K1883" s="1780"/>
      <c r="L1883" s="1781"/>
      <c r="M1883" s="1781"/>
      <c r="N1883" s="1746"/>
      <c r="O1883" s="1782"/>
      <c r="P1883" s="1720"/>
    </row>
    <row r="1884" spans="1:16" ht="13.5" hidden="1" customHeight="1" outlineLevel="3" x14ac:dyDescent="0.2">
      <c r="A1884" s="459">
        <v>0</v>
      </c>
      <c r="B1884" s="459">
        <v>14</v>
      </c>
      <c r="C1884" s="459">
        <v>14</v>
      </c>
      <c r="D1884" s="460">
        <v>1</v>
      </c>
      <c r="E1884" s="460">
        <v>1</v>
      </c>
      <c r="G1884" s="1798" t="s">
        <v>46</v>
      </c>
      <c r="H1884" s="1783" t="s">
        <v>1239</v>
      </c>
      <c r="I1884" s="1750" t="s">
        <v>7665</v>
      </c>
      <c r="J1884" s="1785" t="s">
        <v>482</v>
      </c>
      <c r="K1884" s="1786" t="s">
        <v>642</v>
      </c>
      <c r="L1884" s="1787" t="e">
        <v>#REF!</v>
      </c>
      <c r="M1884" s="1787">
        <v>10.11778</v>
      </c>
      <c r="N1884" s="1754"/>
      <c r="O1884" s="1788"/>
      <c r="P1884" s="1721" t="s">
        <v>9611</v>
      </c>
    </row>
    <row r="1885" spans="1:16" ht="13.5" hidden="1" customHeight="1" outlineLevel="3" x14ac:dyDescent="0.2">
      <c r="A1885" s="459">
        <v>0</v>
      </c>
      <c r="B1885" s="459">
        <v>14</v>
      </c>
      <c r="C1885" s="459">
        <v>14</v>
      </c>
      <c r="D1885" s="460">
        <v>1</v>
      </c>
      <c r="E1885" s="460">
        <v>2</v>
      </c>
      <c r="G1885" s="1798" t="s">
        <v>46</v>
      </c>
      <c r="H1885" s="1783" t="s">
        <v>1239</v>
      </c>
      <c r="I1885" s="1750" t="s">
        <v>7666</v>
      </c>
      <c r="J1885" s="1785" t="s">
        <v>491</v>
      </c>
      <c r="K1885" s="1786" t="s">
        <v>642</v>
      </c>
      <c r="L1885" s="1787" t="e">
        <v>#REF!</v>
      </c>
      <c r="M1885" s="1787">
        <v>3.28945</v>
      </c>
      <c r="N1885" s="1754"/>
      <c r="O1885" s="1788"/>
      <c r="P1885" s="1721" t="s">
        <v>9611</v>
      </c>
    </row>
    <row r="1886" spans="1:16" ht="13.5" hidden="1" customHeight="1" outlineLevel="3" x14ac:dyDescent="0.2">
      <c r="A1886" s="459">
        <v>0</v>
      </c>
      <c r="B1886" s="459">
        <v>14</v>
      </c>
      <c r="C1886" s="459">
        <v>14</v>
      </c>
      <c r="D1886" s="460">
        <v>1</v>
      </c>
      <c r="E1886" s="460">
        <v>3</v>
      </c>
      <c r="G1886" s="1798" t="s">
        <v>46</v>
      </c>
      <c r="H1886" s="1783" t="s">
        <v>1239</v>
      </c>
      <c r="I1886" s="1750" t="s">
        <v>7667</v>
      </c>
      <c r="J1886" s="1785" t="s">
        <v>497</v>
      </c>
      <c r="K1886" s="1786" t="s">
        <v>642</v>
      </c>
      <c r="L1886" s="1787" t="e">
        <v>#REF!</v>
      </c>
      <c r="M1886" s="1787">
        <v>12.075000000000001</v>
      </c>
      <c r="N1886" s="1754"/>
      <c r="O1886" s="1788"/>
      <c r="P1886" s="1721" t="s">
        <v>9611</v>
      </c>
    </row>
    <row r="1887" spans="1:16" ht="13.5" hidden="1" customHeight="1" outlineLevel="2" x14ac:dyDescent="0.2">
      <c r="A1887" s="459">
        <v>0</v>
      </c>
      <c r="B1887" s="459">
        <v>14</v>
      </c>
      <c r="C1887" s="459">
        <v>14</v>
      </c>
      <c r="D1887" s="460">
        <v>2</v>
      </c>
      <c r="E1887" s="460">
        <v>0</v>
      </c>
      <c r="G1887" s="1797"/>
      <c r="H1887" s="1777" t="s">
        <v>1238</v>
      </c>
      <c r="I1887" s="1742" t="s">
        <v>7668</v>
      </c>
      <c r="J1887" s="1779" t="s">
        <v>2741</v>
      </c>
      <c r="K1887" s="1780"/>
      <c r="L1887" s="1781"/>
      <c r="M1887" s="1781"/>
      <c r="N1887" s="1746"/>
      <c r="O1887" s="1782"/>
      <c r="P1887" s="1720"/>
    </row>
    <row r="1888" spans="1:16" ht="13.5" hidden="1" customHeight="1" outlineLevel="3" x14ac:dyDescent="0.2">
      <c r="A1888" s="459">
        <v>0</v>
      </c>
      <c r="B1888" s="459">
        <v>14</v>
      </c>
      <c r="C1888" s="459">
        <v>14</v>
      </c>
      <c r="D1888" s="460">
        <v>2</v>
      </c>
      <c r="E1888" s="460">
        <v>1</v>
      </c>
      <c r="G1888" s="1798" t="s">
        <v>48</v>
      </c>
      <c r="H1888" s="1783" t="s">
        <v>1239</v>
      </c>
      <c r="I1888" s="1750" t="s">
        <v>7669</v>
      </c>
      <c r="J1888" s="1785" t="s">
        <v>530</v>
      </c>
      <c r="K1888" s="1786" t="s">
        <v>642</v>
      </c>
      <c r="L1888" s="1787" t="e">
        <v>#REF!</v>
      </c>
      <c r="M1888" s="1787">
        <v>849.15470000000005</v>
      </c>
      <c r="N1888" s="1754"/>
      <c r="O1888" s="1788"/>
      <c r="P1888" s="1721" t="s">
        <v>9611</v>
      </c>
    </row>
    <row r="1889" spans="1:16" ht="13.5" hidden="1" customHeight="1" outlineLevel="2" x14ac:dyDescent="0.2">
      <c r="A1889" s="459">
        <v>0</v>
      </c>
      <c r="B1889" s="459">
        <v>14</v>
      </c>
      <c r="C1889" s="459">
        <v>14</v>
      </c>
      <c r="D1889" s="460">
        <v>3</v>
      </c>
      <c r="E1889" s="460">
        <v>0</v>
      </c>
      <c r="G1889" s="1797"/>
      <c r="H1889" s="1777" t="s">
        <v>1238</v>
      </c>
      <c r="I1889" s="1742" t="s">
        <v>7670</v>
      </c>
      <c r="J1889" s="1779" t="s">
        <v>1264</v>
      </c>
      <c r="K1889" s="1780"/>
      <c r="L1889" s="1781"/>
      <c r="M1889" s="1781"/>
      <c r="N1889" s="1746"/>
      <c r="O1889" s="1782"/>
      <c r="P1889" s="1720"/>
    </row>
    <row r="1890" spans="1:16" ht="13.5" hidden="1" customHeight="1" outlineLevel="3" x14ac:dyDescent="0.2">
      <c r="A1890" s="459">
        <v>0</v>
      </c>
      <c r="B1890" s="459">
        <v>14</v>
      </c>
      <c r="C1890" s="459">
        <v>14</v>
      </c>
      <c r="D1890" s="460">
        <v>3</v>
      </c>
      <c r="E1890" s="460">
        <v>1</v>
      </c>
      <c r="G1890" s="1798" t="s">
        <v>46</v>
      </c>
      <c r="H1890" s="1783" t="s">
        <v>1239</v>
      </c>
      <c r="I1890" s="1750" t="s">
        <v>7671</v>
      </c>
      <c r="J1890" s="1785" t="s">
        <v>542</v>
      </c>
      <c r="K1890" s="1786" t="s">
        <v>642</v>
      </c>
      <c r="L1890" s="1787" t="e">
        <v>#REF!</v>
      </c>
      <c r="M1890" s="1787">
        <v>42</v>
      </c>
      <c r="N1890" s="1754"/>
      <c r="O1890" s="1788"/>
      <c r="P1890" s="1721" t="s">
        <v>9611</v>
      </c>
    </row>
    <row r="1891" spans="1:16" ht="13.5" hidden="1" customHeight="1" outlineLevel="3" x14ac:dyDescent="0.2">
      <c r="A1891" s="459">
        <v>0</v>
      </c>
      <c r="B1891" s="459">
        <v>14</v>
      </c>
      <c r="C1891" s="459">
        <v>14</v>
      </c>
      <c r="D1891" s="460">
        <v>3</v>
      </c>
      <c r="E1891" s="460">
        <v>2</v>
      </c>
      <c r="G1891" s="1798" t="s">
        <v>48</v>
      </c>
      <c r="H1891" s="1783" t="s">
        <v>1239</v>
      </c>
      <c r="I1891" s="1750" t="s">
        <v>7672</v>
      </c>
      <c r="J1891" s="1785" t="s">
        <v>547</v>
      </c>
      <c r="K1891" s="1786" t="s">
        <v>642</v>
      </c>
      <c r="L1891" s="1787" t="e">
        <v>#REF!</v>
      </c>
      <c r="M1891" s="1787">
        <v>50</v>
      </c>
      <c r="N1891" s="1754"/>
      <c r="O1891" s="1788"/>
      <c r="P1891" s="1721" t="s">
        <v>9611</v>
      </c>
    </row>
    <row r="1892" spans="1:16" ht="13.5" hidden="1" customHeight="1" outlineLevel="1" x14ac:dyDescent="0.2">
      <c r="A1892" s="459">
        <v>0</v>
      </c>
      <c r="B1892" s="459">
        <v>14</v>
      </c>
      <c r="C1892" s="459">
        <v>15</v>
      </c>
      <c r="D1892" s="460">
        <v>0</v>
      </c>
      <c r="E1892" s="460">
        <v>2</v>
      </c>
      <c r="G1892" s="1796"/>
      <c r="H1892" s="1771" t="s">
        <v>39</v>
      </c>
      <c r="I1892" s="1735" t="s">
        <v>7673</v>
      </c>
      <c r="J1892" s="1773" t="s">
        <v>2907</v>
      </c>
      <c r="K1892" s="1774"/>
      <c r="L1892" s="1775"/>
      <c r="M1892" s="1775"/>
      <c r="N1892" s="1739"/>
      <c r="O1892" s="1776"/>
      <c r="P1892" s="1719"/>
    </row>
    <row r="1893" spans="1:16" ht="13.5" hidden="1" customHeight="1" outlineLevel="2" x14ac:dyDescent="0.2">
      <c r="A1893" s="459">
        <v>0</v>
      </c>
      <c r="B1893" s="459">
        <v>14</v>
      </c>
      <c r="C1893" s="459">
        <v>15</v>
      </c>
      <c r="D1893" s="460">
        <v>1</v>
      </c>
      <c r="E1893" s="460">
        <v>0</v>
      </c>
      <c r="G1893" s="1797"/>
      <c r="H1893" s="1777" t="s">
        <v>1238</v>
      </c>
      <c r="I1893" s="1742" t="s">
        <v>7674</v>
      </c>
      <c r="J1893" s="1779" t="s">
        <v>2741</v>
      </c>
      <c r="K1893" s="1780"/>
      <c r="L1893" s="1781"/>
      <c r="M1893" s="1781"/>
      <c r="N1893" s="1746"/>
      <c r="O1893" s="1782"/>
      <c r="P1893" s="1720"/>
    </row>
    <row r="1894" spans="1:16" ht="13.5" hidden="1" customHeight="1" outlineLevel="3" x14ac:dyDescent="0.2">
      <c r="A1894" s="459">
        <v>0</v>
      </c>
      <c r="B1894" s="459">
        <v>14</v>
      </c>
      <c r="C1894" s="459">
        <v>15</v>
      </c>
      <c r="D1894" s="460">
        <v>1</v>
      </c>
      <c r="E1894" s="460">
        <v>1</v>
      </c>
      <c r="G1894" s="1798" t="s">
        <v>48</v>
      </c>
      <c r="H1894" s="1783" t="s">
        <v>1239</v>
      </c>
      <c r="I1894" s="1750" t="s">
        <v>7675</v>
      </c>
      <c r="J1894" s="1785" t="s">
        <v>530</v>
      </c>
      <c r="K1894" s="1786" t="s">
        <v>642</v>
      </c>
      <c r="L1894" s="1787" t="e">
        <v>#REF!</v>
      </c>
      <c r="M1894" s="1787">
        <v>849.15470000000005</v>
      </c>
      <c r="N1894" s="1754"/>
      <c r="O1894" s="1788"/>
      <c r="P1894" s="1721" t="s">
        <v>9611</v>
      </c>
    </row>
    <row r="1895" spans="1:16" ht="13.5" hidden="1" customHeight="1" outlineLevel="2" x14ac:dyDescent="0.2">
      <c r="A1895" s="459">
        <v>0</v>
      </c>
      <c r="B1895" s="459">
        <v>14</v>
      </c>
      <c r="C1895" s="459">
        <v>15</v>
      </c>
      <c r="D1895" s="460">
        <v>2</v>
      </c>
      <c r="E1895" s="460">
        <v>0</v>
      </c>
      <c r="G1895" s="1797"/>
      <c r="H1895" s="1777" t="s">
        <v>1238</v>
      </c>
      <c r="I1895" s="1742" t="s">
        <v>7676</v>
      </c>
      <c r="J1895" s="1779" t="s">
        <v>1264</v>
      </c>
      <c r="K1895" s="1780"/>
      <c r="L1895" s="1781"/>
      <c r="M1895" s="1781"/>
      <c r="N1895" s="1746"/>
      <c r="O1895" s="1782"/>
      <c r="P1895" s="1720"/>
    </row>
    <row r="1896" spans="1:16" ht="13.5" hidden="1" customHeight="1" outlineLevel="3" x14ac:dyDescent="0.2">
      <c r="A1896" s="459">
        <v>0</v>
      </c>
      <c r="B1896" s="459">
        <v>14</v>
      </c>
      <c r="C1896" s="459">
        <v>15</v>
      </c>
      <c r="D1896" s="460">
        <v>2</v>
      </c>
      <c r="E1896" s="460">
        <v>1</v>
      </c>
      <c r="G1896" s="1798" t="s">
        <v>48</v>
      </c>
      <c r="H1896" s="1783" t="s">
        <v>1239</v>
      </c>
      <c r="I1896" s="1750" t="s">
        <v>7677</v>
      </c>
      <c r="J1896" s="1785" t="s">
        <v>547</v>
      </c>
      <c r="K1896" s="1786" t="s">
        <v>642</v>
      </c>
      <c r="L1896" s="1787" t="e">
        <v>#REF!</v>
      </c>
      <c r="M1896" s="1787">
        <v>50</v>
      </c>
      <c r="N1896" s="1754"/>
      <c r="O1896" s="1788"/>
      <c r="P1896" s="1721" t="s">
        <v>9611</v>
      </c>
    </row>
    <row r="1897" spans="1:16" ht="13.5" customHeight="1" collapsed="1" x14ac:dyDescent="0.2">
      <c r="A1897" s="459">
        <v>0</v>
      </c>
      <c r="B1897" s="459">
        <v>15</v>
      </c>
      <c r="C1897" s="459">
        <v>0</v>
      </c>
      <c r="D1897" s="460">
        <v>2</v>
      </c>
      <c r="E1897" s="460">
        <v>1</v>
      </c>
      <c r="F1897" s="474"/>
      <c r="G1897" s="1794"/>
      <c r="H1897" s="1766" t="s">
        <v>1237</v>
      </c>
      <c r="I1897" s="1728" t="s">
        <v>7678</v>
      </c>
      <c r="J1897" s="1795" t="s">
        <v>2742</v>
      </c>
      <c r="K1897" s="1768"/>
      <c r="L1897" s="1769"/>
      <c r="M1897" s="1769"/>
      <c r="N1897" s="1732"/>
      <c r="O1897" s="1770"/>
      <c r="P1897" s="1718"/>
    </row>
    <row r="1898" spans="1:16" ht="13.5" hidden="1" customHeight="1" outlineLevel="1" x14ac:dyDescent="0.2">
      <c r="A1898" s="459">
        <v>0</v>
      </c>
      <c r="B1898" s="459">
        <v>15</v>
      </c>
      <c r="C1898" s="459">
        <v>1</v>
      </c>
      <c r="D1898" s="460">
        <v>0</v>
      </c>
      <c r="E1898" s="460">
        <v>1</v>
      </c>
      <c r="G1898" s="1796"/>
      <c r="H1898" s="1771" t="s">
        <v>39</v>
      </c>
      <c r="I1898" s="1735" t="s">
        <v>7679</v>
      </c>
      <c r="J1898" s="1773" t="s">
        <v>2908</v>
      </c>
      <c r="K1898" s="1774"/>
      <c r="L1898" s="1775"/>
      <c r="M1898" s="1775"/>
      <c r="N1898" s="1739"/>
      <c r="O1898" s="1776"/>
      <c r="P1898" s="1719"/>
    </row>
    <row r="1899" spans="1:16" ht="13.5" hidden="1" customHeight="1" outlineLevel="2" x14ac:dyDescent="0.2">
      <c r="A1899" s="459">
        <v>0</v>
      </c>
      <c r="B1899" s="459">
        <v>15</v>
      </c>
      <c r="C1899" s="459">
        <v>1</v>
      </c>
      <c r="D1899" s="460">
        <v>1</v>
      </c>
      <c r="E1899" s="460">
        <v>0</v>
      </c>
      <c r="G1899" s="1797"/>
      <c r="H1899" s="1777" t="s">
        <v>1238</v>
      </c>
      <c r="I1899" s="1742" t="s">
        <v>7680</v>
      </c>
      <c r="J1899" s="1779" t="s">
        <v>2744</v>
      </c>
      <c r="K1899" s="1780"/>
      <c r="L1899" s="1781"/>
      <c r="M1899" s="1781"/>
      <c r="N1899" s="1746"/>
      <c r="O1899" s="1782"/>
      <c r="P1899" s="1720"/>
    </row>
    <row r="1900" spans="1:16" ht="13.5" hidden="1" customHeight="1" outlineLevel="3" x14ac:dyDescent="0.2">
      <c r="A1900" s="459">
        <v>0</v>
      </c>
      <c r="B1900" s="459">
        <v>15</v>
      </c>
      <c r="C1900" s="459">
        <v>1</v>
      </c>
      <c r="D1900" s="460">
        <v>1</v>
      </c>
      <c r="E1900" s="460">
        <v>1</v>
      </c>
      <c r="G1900" s="1798" t="s">
        <v>47</v>
      </c>
      <c r="H1900" s="1783" t="s">
        <v>1239</v>
      </c>
      <c r="I1900" s="1750" t="s">
        <v>7681</v>
      </c>
      <c r="J1900" s="1785" t="s">
        <v>1854</v>
      </c>
      <c r="K1900" s="1786" t="s">
        <v>642</v>
      </c>
      <c r="L1900" s="1787" t="e">
        <v>#REF!</v>
      </c>
      <c r="M1900" s="1787">
        <v>10.11778</v>
      </c>
      <c r="N1900" s="1754"/>
      <c r="O1900" s="1788"/>
      <c r="P1900" s="1721" t="s">
        <v>9611</v>
      </c>
    </row>
    <row r="1901" spans="1:16" ht="13.5" hidden="1" customHeight="1" outlineLevel="3" x14ac:dyDescent="0.2">
      <c r="A1901" s="459">
        <v>0</v>
      </c>
      <c r="B1901" s="459">
        <v>15</v>
      </c>
      <c r="C1901" s="459">
        <v>1</v>
      </c>
      <c r="D1901" s="460">
        <v>1</v>
      </c>
      <c r="E1901" s="460">
        <v>2</v>
      </c>
      <c r="G1901" s="1798" t="s">
        <v>47</v>
      </c>
      <c r="H1901" s="1783" t="s">
        <v>1239</v>
      </c>
      <c r="I1901" s="1750" t="s">
        <v>7682</v>
      </c>
      <c r="J1901" s="1785" t="s">
        <v>1442</v>
      </c>
      <c r="K1901" s="1786" t="s">
        <v>642</v>
      </c>
      <c r="L1901" s="1787" t="e">
        <v>#REF!</v>
      </c>
      <c r="M1901" s="1787">
        <v>10.893750000000001</v>
      </c>
      <c r="N1901" s="1754"/>
      <c r="O1901" s="1788"/>
      <c r="P1901" s="1721" t="s">
        <v>9611</v>
      </c>
    </row>
    <row r="1902" spans="1:16" ht="13.5" hidden="1" customHeight="1" outlineLevel="2" x14ac:dyDescent="0.2">
      <c r="A1902" s="459">
        <v>0</v>
      </c>
      <c r="B1902" s="459">
        <v>15</v>
      </c>
      <c r="C1902" s="459">
        <v>1</v>
      </c>
      <c r="D1902" s="460">
        <v>2</v>
      </c>
      <c r="E1902" s="460">
        <v>0</v>
      </c>
      <c r="G1902" s="1797"/>
      <c r="H1902" s="1777" t="s">
        <v>1238</v>
      </c>
      <c r="I1902" s="1742" t="s">
        <v>7683</v>
      </c>
      <c r="J1902" s="1779" t="s">
        <v>2743</v>
      </c>
      <c r="K1902" s="1780"/>
      <c r="L1902" s="1781"/>
      <c r="M1902" s="1781"/>
      <c r="N1902" s="1746"/>
      <c r="O1902" s="1782"/>
      <c r="P1902" s="1720"/>
    </row>
    <row r="1903" spans="1:16" ht="12.75" hidden="1" outlineLevel="3" x14ac:dyDescent="0.2">
      <c r="A1903" s="459">
        <v>0</v>
      </c>
      <c r="B1903" s="459">
        <v>15</v>
      </c>
      <c r="C1903" s="459">
        <v>1</v>
      </c>
      <c r="D1903" s="460">
        <v>2</v>
      </c>
      <c r="E1903" s="460">
        <v>1</v>
      </c>
      <c r="G1903" s="1798" t="s">
        <v>50</v>
      </c>
      <c r="H1903" s="1783" t="s">
        <v>1239</v>
      </c>
      <c r="I1903" s="1750" t="s">
        <v>7684</v>
      </c>
      <c r="J1903" s="1785" t="s">
        <v>564</v>
      </c>
      <c r="K1903" s="1786" t="s">
        <v>642</v>
      </c>
      <c r="L1903" s="1787" t="e">
        <v>#REF!</v>
      </c>
      <c r="M1903" s="1787">
        <v>137.29</v>
      </c>
      <c r="N1903" s="1754"/>
      <c r="O1903" s="1788"/>
      <c r="P1903" s="1721" t="s">
        <v>9611</v>
      </c>
    </row>
    <row r="1904" spans="1:16" ht="13.5" hidden="1" customHeight="1" outlineLevel="3" x14ac:dyDescent="0.2">
      <c r="A1904" s="459">
        <v>0</v>
      </c>
      <c r="B1904" s="459">
        <v>15</v>
      </c>
      <c r="C1904" s="459">
        <v>1</v>
      </c>
      <c r="D1904" s="460">
        <v>2</v>
      </c>
      <c r="E1904" s="460">
        <v>2</v>
      </c>
      <c r="G1904" s="1798" t="s">
        <v>50</v>
      </c>
      <c r="H1904" s="1783" t="s">
        <v>1239</v>
      </c>
      <c r="I1904" s="1750" t="s">
        <v>7685</v>
      </c>
      <c r="J1904" s="1785" t="s">
        <v>566</v>
      </c>
      <c r="K1904" s="1786" t="s">
        <v>642</v>
      </c>
      <c r="L1904" s="1787" t="e">
        <v>#REF!</v>
      </c>
      <c r="M1904" s="1787">
        <v>164.74799999999999</v>
      </c>
      <c r="N1904" s="1754"/>
      <c r="O1904" s="1788"/>
      <c r="P1904" s="1721" t="s">
        <v>9611</v>
      </c>
    </row>
    <row r="1905" spans="1:16" ht="13.5" hidden="1" customHeight="1" outlineLevel="3" x14ac:dyDescent="0.2">
      <c r="A1905" s="459">
        <v>0</v>
      </c>
      <c r="B1905" s="459">
        <v>15</v>
      </c>
      <c r="C1905" s="459">
        <v>1</v>
      </c>
      <c r="D1905" s="460">
        <v>2</v>
      </c>
      <c r="E1905" s="460">
        <v>3</v>
      </c>
      <c r="G1905" s="1798" t="s">
        <v>50</v>
      </c>
      <c r="H1905" s="1783" t="s">
        <v>1239</v>
      </c>
      <c r="I1905" s="1750" t="s">
        <v>7686</v>
      </c>
      <c r="J1905" s="1785" t="s">
        <v>567</v>
      </c>
      <c r="K1905" s="1786" t="s">
        <v>788</v>
      </c>
      <c r="L1905" s="1787" t="e">
        <v>#REF!</v>
      </c>
      <c r="M1905" s="1787">
        <v>49.424399999999999</v>
      </c>
      <c r="N1905" s="1754"/>
      <c r="O1905" s="1788"/>
      <c r="P1905" s="1721" t="s">
        <v>9611</v>
      </c>
    </row>
    <row r="1906" spans="1:16" ht="13.5" hidden="1" customHeight="1" outlineLevel="3" x14ac:dyDescent="0.2">
      <c r="A1906" s="459">
        <v>0</v>
      </c>
      <c r="B1906" s="459">
        <v>15</v>
      </c>
      <c r="C1906" s="459">
        <v>1</v>
      </c>
      <c r="D1906" s="460">
        <v>2</v>
      </c>
      <c r="E1906" s="460">
        <v>4</v>
      </c>
      <c r="G1906" s="1798" t="s">
        <v>50</v>
      </c>
      <c r="H1906" s="1783" t="s">
        <v>1239</v>
      </c>
      <c r="I1906" s="1750" t="s">
        <v>7687</v>
      </c>
      <c r="J1906" s="1785" t="s">
        <v>565</v>
      </c>
      <c r="K1906" s="1786" t="s">
        <v>788</v>
      </c>
      <c r="L1906" s="1787" t="e">
        <v>#REF!</v>
      </c>
      <c r="M1906" s="1787">
        <v>49.424399999999999</v>
      </c>
      <c r="N1906" s="1754"/>
      <c r="O1906" s="1788"/>
      <c r="P1906" s="1721" t="s">
        <v>9611</v>
      </c>
    </row>
    <row r="1907" spans="1:16" ht="13.5" hidden="1" customHeight="1" outlineLevel="2" x14ac:dyDescent="0.2">
      <c r="A1907" s="459">
        <v>0</v>
      </c>
      <c r="B1907" s="459">
        <v>15</v>
      </c>
      <c r="C1907" s="459">
        <v>1</v>
      </c>
      <c r="D1907" s="460">
        <v>3</v>
      </c>
      <c r="E1907" s="460">
        <v>0</v>
      </c>
      <c r="G1907" s="1797"/>
      <c r="H1907" s="1777" t="s">
        <v>1238</v>
      </c>
      <c r="I1907" s="1742" t="s">
        <v>7688</v>
      </c>
      <c r="J1907" s="1779" t="s">
        <v>2937</v>
      </c>
      <c r="K1907" s="1780"/>
      <c r="L1907" s="1781"/>
      <c r="M1907" s="1781"/>
      <c r="N1907" s="1746"/>
      <c r="O1907" s="1782"/>
      <c r="P1907" s="1720"/>
    </row>
    <row r="1908" spans="1:16" ht="13.5" hidden="1" customHeight="1" outlineLevel="3" x14ac:dyDescent="0.2">
      <c r="A1908" s="459">
        <v>0</v>
      </c>
      <c r="B1908" s="459">
        <v>15</v>
      </c>
      <c r="C1908" s="459">
        <v>1</v>
      </c>
      <c r="D1908" s="460">
        <v>3</v>
      </c>
      <c r="E1908" s="460">
        <v>1</v>
      </c>
      <c r="G1908" s="1798" t="s">
        <v>50</v>
      </c>
      <c r="H1908" s="1783" t="s">
        <v>1239</v>
      </c>
      <c r="I1908" s="1750" t="s">
        <v>7689</v>
      </c>
      <c r="J1908" s="1785" t="s">
        <v>2957</v>
      </c>
      <c r="K1908" s="1786" t="s">
        <v>642</v>
      </c>
      <c r="L1908" s="1787" t="e">
        <v>#REF!</v>
      </c>
      <c r="M1908" s="1787">
        <v>78.582000000000008</v>
      </c>
      <c r="N1908" s="1754"/>
      <c r="O1908" s="1788" t="s">
        <v>2842</v>
      </c>
      <c r="P1908" s="1721" t="s">
        <v>9611</v>
      </c>
    </row>
    <row r="1909" spans="1:16" ht="13.5" hidden="1" customHeight="1" outlineLevel="3" x14ac:dyDescent="0.2">
      <c r="A1909" s="459">
        <v>0</v>
      </c>
      <c r="B1909" s="459">
        <v>15</v>
      </c>
      <c r="C1909" s="459">
        <v>1</v>
      </c>
      <c r="D1909" s="460">
        <v>3</v>
      </c>
      <c r="E1909" s="460">
        <v>2</v>
      </c>
      <c r="G1909" s="1798" t="s">
        <v>50</v>
      </c>
      <c r="H1909" s="1783" t="s">
        <v>1239</v>
      </c>
      <c r="I1909" s="1750" t="s">
        <v>7690</v>
      </c>
      <c r="J1909" s="1751" t="s">
        <v>2956</v>
      </c>
      <c r="K1909" s="1786" t="s">
        <v>642</v>
      </c>
      <c r="L1909" s="1787" t="e">
        <v>#REF!</v>
      </c>
      <c r="M1909" s="1787">
        <v>61.838600000000007</v>
      </c>
      <c r="N1909" s="1754"/>
      <c r="O1909" s="1788" t="s">
        <v>2843</v>
      </c>
      <c r="P1909" s="1721" t="s">
        <v>9611</v>
      </c>
    </row>
    <row r="1910" spans="1:16" ht="13.5" hidden="1" customHeight="1" outlineLevel="2" x14ac:dyDescent="0.2">
      <c r="A1910" s="459">
        <v>0</v>
      </c>
      <c r="B1910" s="459">
        <v>15</v>
      </c>
      <c r="C1910" s="459">
        <v>1</v>
      </c>
      <c r="D1910" s="460">
        <v>4</v>
      </c>
      <c r="E1910" s="460">
        <v>0</v>
      </c>
      <c r="G1910" s="1797"/>
      <c r="H1910" s="1777" t="s">
        <v>1238</v>
      </c>
      <c r="I1910" s="1742" t="s">
        <v>7691</v>
      </c>
      <c r="J1910" s="1779" t="s">
        <v>15</v>
      </c>
      <c r="K1910" s="1780"/>
      <c r="L1910" s="1781"/>
      <c r="M1910" s="1781"/>
      <c r="N1910" s="1746"/>
      <c r="O1910" s="1782"/>
      <c r="P1910" s="1720"/>
    </row>
    <row r="1911" spans="1:16" ht="13.5" hidden="1" customHeight="1" outlineLevel="3" x14ac:dyDescent="0.2">
      <c r="A1911" s="459">
        <v>0</v>
      </c>
      <c r="B1911" s="459">
        <v>15</v>
      </c>
      <c r="C1911" s="459">
        <v>1</v>
      </c>
      <c r="D1911" s="460">
        <v>4</v>
      </c>
      <c r="E1911" s="460">
        <v>1</v>
      </c>
      <c r="G1911" s="1798" t="s">
        <v>47</v>
      </c>
      <c r="H1911" s="1783" t="s">
        <v>1239</v>
      </c>
      <c r="I1911" s="1750" t="s">
        <v>7692</v>
      </c>
      <c r="J1911" s="1785" t="s">
        <v>1443</v>
      </c>
      <c r="K1911" s="1786" t="s">
        <v>642</v>
      </c>
      <c r="L1911" s="1787" t="e">
        <v>#REF!</v>
      </c>
      <c r="M1911" s="1787">
        <v>40</v>
      </c>
      <c r="N1911" s="1754"/>
      <c r="O1911" s="1788"/>
      <c r="P1911" s="1721" t="s">
        <v>9611</v>
      </c>
    </row>
    <row r="1912" spans="1:16" ht="13.5" hidden="1" customHeight="1" outlineLevel="1" x14ac:dyDescent="0.2">
      <c r="A1912" s="459">
        <v>0</v>
      </c>
      <c r="B1912" s="459">
        <v>15</v>
      </c>
      <c r="C1912" s="459">
        <v>2</v>
      </c>
      <c r="D1912" s="460">
        <v>0</v>
      </c>
      <c r="E1912" s="460">
        <v>1</v>
      </c>
      <c r="G1912" s="1796"/>
      <c r="H1912" s="1771" t="s">
        <v>39</v>
      </c>
      <c r="I1912" s="1735" t="s">
        <v>7693</v>
      </c>
      <c r="J1912" s="1773" t="s">
        <v>2959</v>
      </c>
      <c r="K1912" s="1774"/>
      <c r="L1912" s="1775"/>
      <c r="M1912" s="1775"/>
      <c r="N1912" s="1739"/>
      <c r="O1912" s="1776"/>
      <c r="P1912" s="1719"/>
    </row>
    <row r="1913" spans="1:16" ht="13.5" hidden="1" customHeight="1" outlineLevel="2" x14ac:dyDescent="0.2">
      <c r="A1913" s="459">
        <v>0</v>
      </c>
      <c r="B1913" s="459">
        <v>15</v>
      </c>
      <c r="C1913" s="459">
        <v>2</v>
      </c>
      <c r="D1913" s="460">
        <v>1</v>
      </c>
      <c r="E1913" s="460">
        <v>0</v>
      </c>
      <c r="G1913" s="1797"/>
      <c r="H1913" s="1777" t="s">
        <v>1238</v>
      </c>
      <c r="I1913" s="1742" t="s">
        <v>7694</v>
      </c>
      <c r="J1913" s="1779" t="s">
        <v>2744</v>
      </c>
      <c r="K1913" s="1780"/>
      <c r="L1913" s="1781"/>
      <c r="M1913" s="1781"/>
      <c r="N1913" s="1746"/>
      <c r="O1913" s="1782"/>
      <c r="P1913" s="1720"/>
    </row>
    <row r="1914" spans="1:16" ht="13.5" hidden="1" customHeight="1" outlineLevel="3" x14ac:dyDescent="0.2">
      <c r="A1914" s="459">
        <v>0</v>
      </c>
      <c r="B1914" s="459">
        <v>15</v>
      </c>
      <c r="C1914" s="459">
        <v>2</v>
      </c>
      <c r="D1914" s="460">
        <v>1</v>
      </c>
      <c r="E1914" s="460">
        <v>1</v>
      </c>
      <c r="G1914" s="1798" t="s">
        <v>47</v>
      </c>
      <c r="H1914" s="1783" t="s">
        <v>1239</v>
      </c>
      <c r="I1914" s="1750" t="s">
        <v>7695</v>
      </c>
      <c r="J1914" s="1785" t="s">
        <v>555</v>
      </c>
      <c r="K1914" s="1786" t="s">
        <v>642</v>
      </c>
      <c r="L1914" s="1787" t="e">
        <v>#REF!</v>
      </c>
      <c r="M1914" s="1787">
        <v>5.1029166666666663</v>
      </c>
      <c r="N1914" s="1754"/>
      <c r="O1914" s="1788"/>
      <c r="P1914" s="1721" t="s">
        <v>9611</v>
      </c>
    </row>
    <row r="1915" spans="1:16" ht="13.5" hidden="1" customHeight="1" outlineLevel="2" x14ac:dyDescent="0.2">
      <c r="A1915" s="459">
        <v>0</v>
      </c>
      <c r="B1915" s="459">
        <v>15</v>
      </c>
      <c r="C1915" s="459">
        <v>2</v>
      </c>
      <c r="D1915" s="460">
        <v>2</v>
      </c>
      <c r="E1915" s="460">
        <v>0</v>
      </c>
      <c r="G1915" s="1797"/>
      <c r="H1915" s="1777" t="s">
        <v>1238</v>
      </c>
      <c r="I1915" s="1742" t="s">
        <v>7696</v>
      </c>
      <c r="J1915" s="1779" t="s">
        <v>2743</v>
      </c>
      <c r="K1915" s="1780"/>
      <c r="L1915" s="1781"/>
      <c r="M1915" s="1781"/>
      <c r="N1915" s="1746"/>
      <c r="O1915" s="1782"/>
      <c r="P1915" s="1720"/>
    </row>
    <row r="1916" spans="1:16" ht="12.75" hidden="1" outlineLevel="3" x14ac:dyDescent="0.2">
      <c r="A1916" s="459">
        <v>0</v>
      </c>
      <c r="B1916" s="459">
        <v>15</v>
      </c>
      <c r="C1916" s="459">
        <v>2</v>
      </c>
      <c r="D1916" s="460">
        <v>2</v>
      </c>
      <c r="E1916" s="460">
        <v>1</v>
      </c>
      <c r="G1916" s="1798" t="s">
        <v>50</v>
      </c>
      <c r="H1916" s="1783" t="s">
        <v>1239</v>
      </c>
      <c r="I1916" s="1750" t="s">
        <v>7697</v>
      </c>
      <c r="J1916" s="1785" t="s">
        <v>564</v>
      </c>
      <c r="K1916" s="1786" t="s">
        <v>642</v>
      </c>
      <c r="L1916" s="1787" t="e">
        <v>#REF!</v>
      </c>
      <c r="M1916" s="1787">
        <v>137.29</v>
      </c>
      <c r="N1916" s="1754"/>
      <c r="O1916" s="1788"/>
      <c r="P1916" s="1721" t="s">
        <v>9611</v>
      </c>
    </row>
    <row r="1917" spans="1:16" ht="13.5" hidden="1" customHeight="1" outlineLevel="3" x14ac:dyDescent="0.2">
      <c r="A1917" s="459">
        <v>0</v>
      </c>
      <c r="B1917" s="459">
        <v>15</v>
      </c>
      <c r="C1917" s="459">
        <v>2</v>
      </c>
      <c r="D1917" s="460">
        <v>2</v>
      </c>
      <c r="E1917" s="460">
        <v>2</v>
      </c>
      <c r="G1917" s="1798" t="s">
        <v>50</v>
      </c>
      <c r="H1917" s="1783" t="s">
        <v>1239</v>
      </c>
      <c r="I1917" s="1750" t="s">
        <v>7698</v>
      </c>
      <c r="J1917" s="1785" t="s">
        <v>566</v>
      </c>
      <c r="K1917" s="1786" t="s">
        <v>642</v>
      </c>
      <c r="L1917" s="1787" t="e">
        <v>#REF!</v>
      </c>
      <c r="M1917" s="1787">
        <v>164.74799999999999</v>
      </c>
      <c r="N1917" s="1754"/>
      <c r="O1917" s="1788"/>
      <c r="P1917" s="1721" t="s">
        <v>9611</v>
      </c>
    </row>
    <row r="1918" spans="1:16" ht="13.5" hidden="1" customHeight="1" outlineLevel="3" x14ac:dyDescent="0.2">
      <c r="A1918" s="459">
        <v>0</v>
      </c>
      <c r="B1918" s="459">
        <v>15</v>
      </c>
      <c r="C1918" s="459">
        <v>2</v>
      </c>
      <c r="D1918" s="460">
        <v>2</v>
      </c>
      <c r="E1918" s="460">
        <v>3</v>
      </c>
      <c r="G1918" s="1798" t="s">
        <v>50</v>
      </c>
      <c r="H1918" s="1783" t="s">
        <v>1239</v>
      </c>
      <c r="I1918" s="1750" t="s">
        <v>7699</v>
      </c>
      <c r="J1918" s="1785" t="s">
        <v>567</v>
      </c>
      <c r="K1918" s="1786" t="s">
        <v>788</v>
      </c>
      <c r="L1918" s="1787" t="e">
        <v>#REF!</v>
      </c>
      <c r="M1918" s="1787">
        <v>49.424399999999999</v>
      </c>
      <c r="N1918" s="1754"/>
      <c r="O1918" s="1788"/>
      <c r="P1918" s="1721" t="s">
        <v>9611</v>
      </c>
    </row>
    <row r="1919" spans="1:16" ht="13.5" hidden="1" customHeight="1" outlineLevel="3" x14ac:dyDescent="0.2">
      <c r="A1919" s="459">
        <v>0</v>
      </c>
      <c r="B1919" s="459">
        <v>15</v>
      </c>
      <c r="C1919" s="459">
        <v>2</v>
      </c>
      <c r="D1919" s="460">
        <v>2</v>
      </c>
      <c r="E1919" s="460">
        <v>4</v>
      </c>
      <c r="G1919" s="1798" t="s">
        <v>50</v>
      </c>
      <c r="H1919" s="1783" t="s">
        <v>1239</v>
      </c>
      <c r="I1919" s="1750" t="s">
        <v>7700</v>
      </c>
      <c r="J1919" s="1785" t="s">
        <v>565</v>
      </c>
      <c r="K1919" s="1786" t="s">
        <v>788</v>
      </c>
      <c r="L1919" s="1787" t="e">
        <v>#REF!</v>
      </c>
      <c r="M1919" s="1787">
        <v>49.424399999999999</v>
      </c>
      <c r="N1919" s="1754"/>
      <c r="O1919" s="1788"/>
      <c r="P1919" s="1721" t="s">
        <v>9611</v>
      </c>
    </row>
    <row r="1920" spans="1:16" ht="13.5" hidden="1" customHeight="1" outlineLevel="3" x14ac:dyDescent="0.2">
      <c r="A1920" s="459">
        <v>0</v>
      </c>
      <c r="B1920" s="459">
        <v>15</v>
      </c>
      <c r="C1920" s="459">
        <v>2</v>
      </c>
      <c r="D1920" s="460">
        <v>2</v>
      </c>
      <c r="E1920" s="460">
        <v>5</v>
      </c>
      <c r="G1920" s="1798" t="s">
        <v>50</v>
      </c>
      <c r="H1920" s="1783" t="s">
        <v>1239</v>
      </c>
      <c r="I1920" s="1750" t="s">
        <v>7701</v>
      </c>
      <c r="J1920" s="1785" t="s">
        <v>562</v>
      </c>
      <c r="K1920" s="1786" t="s">
        <v>642</v>
      </c>
      <c r="L1920" s="1787" t="e">
        <v>#REF!</v>
      </c>
      <c r="M1920" s="1787">
        <v>80.542132157776209</v>
      </c>
      <c r="N1920" s="1754"/>
      <c r="O1920" s="1788"/>
      <c r="P1920" s="1721" t="s">
        <v>9611</v>
      </c>
    </row>
    <row r="1921" spans="1:16" ht="13.5" hidden="1" customHeight="1" outlineLevel="2" x14ac:dyDescent="0.2">
      <c r="A1921" s="459">
        <v>0</v>
      </c>
      <c r="B1921" s="459">
        <v>15</v>
      </c>
      <c r="C1921" s="459">
        <v>2</v>
      </c>
      <c r="D1921" s="460">
        <v>3</v>
      </c>
      <c r="E1921" s="460">
        <v>0</v>
      </c>
      <c r="G1921" s="1797"/>
      <c r="H1921" s="1777" t="s">
        <v>1238</v>
      </c>
      <c r="I1921" s="1742" t="s">
        <v>7702</v>
      </c>
      <c r="J1921" s="1779" t="s">
        <v>2937</v>
      </c>
      <c r="K1921" s="1780"/>
      <c r="L1921" s="1781"/>
      <c r="M1921" s="1781"/>
      <c r="N1921" s="1746"/>
      <c r="O1921" s="1782"/>
      <c r="P1921" s="1720"/>
    </row>
    <row r="1922" spans="1:16" ht="13.5" hidden="1" customHeight="1" outlineLevel="3" x14ac:dyDescent="0.2">
      <c r="A1922" s="459">
        <v>0</v>
      </c>
      <c r="B1922" s="459">
        <v>15</v>
      </c>
      <c r="C1922" s="459">
        <v>2</v>
      </c>
      <c r="D1922" s="460">
        <v>3</v>
      </c>
      <c r="E1922" s="460">
        <v>1</v>
      </c>
      <c r="G1922" s="1798" t="s">
        <v>50</v>
      </c>
      <c r="H1922" s="1783" t="s">
        <v>1239</v>
      </c>
      <c r="I1922" s="1750" t="s">
        <v>7703</v>
      </c>
      <c r="J1922" s="1785" t="s">
        <v>2945</v>
      </c>
      <c r="K1922" s="1786" t="s">
        <v>642</v>
      </c>
      <c r="L1922" s="1787" t="e">
        <v>#REF!</v>
      </c>
      <c r="M1922" s="1787">
        <v>1080</v>
      </c>
      <c r="N1922" s="1754"/>
      <c r="O1922" s="1788" t="s">
        <v>2946</v>
      </c>
      <c r="P1922" s="1721" t="s">
        <v>9611</v>
      </c>
    </row>
    <row r="1923" spans="1:16" ht="13.5" hidden="1" customHeight="1" outlineLevel="2" x14ac:dyDescent="0.2">
      <c r="A1923" s="459">
        <v>0</v>
      </c>
      <c r="B1923" s="459">
        <v>15</v>
      </c>
      <c r="C1923" s="459">
        <v>2</v>
      </c>
      <c r="D1923" s="460">
        <v>4</v>
      </c>
      <c r="E1923" s="460">
        <v>0</v>
      </c>
      <c r="G1923" s="1797"/>
      <c r="H1923" s="1777" t="s">
        <v>1238</v>
      </c>
      <c r="I1923" s="1742" t="s">
        <v>7704</v>
      </c>
      <c r="J1923" s="1779" t="s">
        <v>15</v>
      </c>
      <c r="K1923" s="1780"/>
      <c r="L1923" s="1781"/>
      <c r="M1923" s="1781"/>
      <c r="N1923" s="1746"/>
      <c r="O1923" s="1782"/>
      <c r="P1923" s="1720"/>
    </row>
    <row r="1924" spans="1:16" ht="13.5" hidden="1" customHeight="1" outlineLevel="3" x14ac:dyDescent="0.2">
      <c r="A1924" s="459">
        <v>0</v>
      </c>
      <c r="B1924" s="459">
        <v>15</v>
      </c>
      <c r="C1924" s="459">
        <v>2</v>
      </c>
      <c r="D1924" s="460">
        <v>4</v>
      </c>
      <c r="E1924" s="460">
        <v>1</v>
      </c>
      <c r="G1924" s="1798" t="s">
        <v>47</v>
      </c>
      <c r="H1924" s="1783" t="s">
        <v>1239</v>
      </c>
      <c r="I1924" s="1750" t="s">
        <v>7705</v>
      </c>
      <c r="J1924" s="1785" t="s">
        <v>575</v>
      </c>
      <c r="K1924" s="1786" t="s">
        <v>642</v>
      </c>
      <c r="L1924" s="1787" t="e">
        <v>#REF!</v>
      </c>
      <c r="M1924" s="1787">
        <v>25</v>
      </c>
      <c r="N1924" s="1754"/>
      <c r="O1924" s="1788"/>
      <c r="P1924" s="1721" t="s">
        <v>9611</v>
      </c>
    </row>
    <row r="1925" spans="1:16" ht="13.5" hidden="1" customHeight="1" outlineLevel="1" x14ac:dyDescent="0.2">
      <c r="A1925" s="459">
        <v>0</v>
      </c>
      <c r="B1925" s="459">
        <v>15</v>
      </c>
      <c r="C1925" s="459">
        <v>3</v>
      </c>
      <c r="D1925" s="460">
        <v>0</v>
      </c>
      <c r="E1925" s="460">
        <v>1</v>
      </c>
      <c r="G1925" s="1796"/>
      <c r="H1925" s="1771" t="s">
        <v>39</v>
      </c>
      <c r="I1925" s="1735" t="s">
        <v>7706</v>
      </c>
      <c r="J1925" s="1773" t="s">
        <v>2960</v>
      </c>
      <c r="K1925" s="1774"/>
      <c r="L1925" s="1775"/>
      <c r="M1925" s="1775"/>
      <c r="N1925" s="1739"/>
      <c r="O1925" s="1776"/>
      <c r="P1925" s="1719"/>
    </row>
    <row r="1926" spans="1:16" ht="13.5" hidden="1" customHeight="1" outlineLevel="2" x14ac:dyDescent="0.2">
      <c r="A1926" s="459">
        <v>0</v>
      </c>
      <c r="B1926" s="459">
        <v>15</v>
      </c>
      <c r="C1926" s="459">
        <v>3</v>
      </c>
      <c r="D1926" s="460">
        <v>1</v>
      </c>
      <c r="E1926" s="460">
        <v>0</v>
      </c>
      <c r="G1926" s="1797"/>
      <c r="H1926" s="1777" t="s">
        <v>1238</v>
      </c>
      <c r="I1926" s="1742" t="s">
        <v>7707</v>
      </c>
      <c r="J1926" s="1779" t="s">
        <v>2744</v>
      </c>
      <c r="K1926" s="1780"/>
      <c r="L1926" s="1781"/>
      <c r="M1926" s="1781"/>
      <c r="N1926" s="1746"/>
      <c r="O1926" s="1782"/>
      <c r="P1926" s="1720"/>
    </row>
    <row r="1927" spans="1:16" ht="13.5" hidden="1" customHeight="1" outlineLevel="3" x14ac:dyDescent="0.2">
      <c r="A1927" s="459">
        <v>0</v>
      </c>
      <c r="B1927" s="459">
        <v>15</v>
      </c>
      <c r="C1927" s="459">
        <v>3</v>
      </c>
      <c r="D1927" s="460">
        <v>1</v>
      </c>
      <c r="E1927" s="460">
        <v>1</v>
      </c>
      <c r="G1927" s="1798" t="s">
        <v>47</v>
      </c>
      <c r="H1927" s="1783" t="s">
        <v>1239</v>
      </c>
      <c r="I1927" s="1750" t="s">
        <v>7708</v>
      </c>
      <c r="J1927" s="1785" t="s">
        <v>555</v>
      </c>
      <c r="K1927" s="1786" t="s">
        <v>642</v>
      </c>
      <c r="L1927" s="1787" t="e">
        <v>#REF!</v>
      </c>
      <c r="M1927" s="1787">
        <v>5.1029166666666663</v>
      </c>
      <c r="N1927" s="1754"/>
      <c r="O1927" s="1788"/>
      <c r="P1927" s="1721" t="s">
        <v>9611</v>
      </c>
    </row>
    <row r="1928" spans="1:16" ht="13.5" hidden="1" customHeight="1" outlineLevel="2" x14ac:dyDescent="0.2">
      <c r="A1928" s="459">
        <v>0</v>
      </c>
      <c r="B1928" s="459">
        <v>15</v>
      </c>
      <c r="C1928" s="459">
        <v>3</v>
      </c>
      <c r="D1928" s="460">
        <v>2</v>
      </c>
      <c r="E1928" s="460">
        <v>0</v>
      </c>
      <c r="G1928" s="1797"/>
      <c r="H1928" s="1777" t="s">
        <v>1238</v>
      </c>
      <c r="I1928" s="1742" t="s">
        <v>7709</v>
      </c>
      <c r="J1928" s="1779" t="s">
        <v>2743</v>
      </c>
      <c r="K1928" s="1780"/>
      <c r="L1928" s="1781"/>
      <c r="M1928" s="1781"/>
      <c r="N1928" s="1746"/>
      <c r="O1928" s="1782"/>
      <c r="P1928" s="1720"/>
    </row>
    <row r="1929" spans="1:16" ht="12.75" hidden="1" outlineLevel="3" x14ac:dyDescent="0.2">
      <c r="A1929" s="459">
        <v>0</v>
      </c>
      <c r="B1929" s="459">
        <v>15</v>
      </c>
      <c r="C1929" s="459">
        <v>3</v>
      </c>
      <c r="D1929" s="460">
        <v>2</v>
      </c>
      <c r="E1929" s="460">
        <v>1</v>
      </c>
      <c r="G1929" s="1798" t="s">
        <v>50</v>
      </c>
      <c r="H1929" s="1783" t="s">
        <v>1239</v>
      </c>
      <c r="I1929" s="1750" t="s">
        <v>7710</v>
      </c>
      <c r="J1929" s="1785" t="s">
        <v>564</v>
      </c>
      <c r="K1929" s="1786" t="s">
        <v>642</v>
      </c>
      <c r="L1929" s="1787" t="e">
        <v>#REF!</v>
      </c>
      <c r="M1929" s="1787">
        <v>137.29</v>
      </c>
      <c r="N1929" s="1754"/>
      <c r="O1929" s="1788"/>
      <c r="P1929" s="1721" t="s">
        <v>9611</v>
      </c>
    </row>
    <row r="1930" spans="1:16" ht="13.5" hidden="1" customHeight="1" outlineLevel="3" x14ac:dyDescent="0.2">
      <c r="A1930" s="459">
        <v>0</v>
      </c>
      <c r="B1930" s="459">
        <v>15</v>
      </c>
      <c r="C1930" s="459">
        <v>3</v>
      </c>
      <c r="D1930" s="460">
        <v>2</v>
      </c>
      <c r="E1930" s="460">
        <v>2</v>
      </c>
      <c r="G1930" s="1798" t="s">
        <v>50</v>
      </c>
      <c r="H1930" s="1783" t="s">
        <v>1239</v>
      </c>
      <c r="I1930" s="1750" t="s">
        <v>7711</v>
      </c>
      <c r="J1930" s="1785" t="s">
        <v>565</v>
      </c>
      <c r="K1930" s="1786" t="s">
        <v>788</v>
      </c>
      <c r="L1930" s="1787" t="e">
        <v>#REF!</v>
      </c>
      <c r="M1930" s="1787">
        <v>49.424399999999999</v>
      </c>
      <c r="N1930" s="1754"/>
      <c r="O1930" s="1788"/>
      <c r="P1930" s="1721" t="s">
        <v>9611</v>
      </c>
    </row>
    <row r="1931" spans="1:16" ht="13.5" hidden="1" customHeight="1" outlineLevel="2" x14ac:dyDescent="0.2">
      <c r="A1931" s="459">
        <v>0</v>
      </c>
      <c r="B1931" s="459">
        <v>15</v>
      </c>
      <c r="C1931" s="459">
        <v>3</v>
      </c>
      <c r="D1931" s="460">
        <v>3</v>
      </c>
      <c r="E1931" s="460">
        <v>0</v>
      </c>
      <c r="G1931" s="1797"/>
      <c r="H1931" s="1777" t="s">
        <v>1238</v>
      </c>
      <c r="I1931" s="1742" t="s">
        <v>7712</v>
      </c>
      <c r="J1931" s="1779" t="s">
        <v>15</v>
      </c>
      <c r="K1931" s="1780"/>
      <c r="L1931" s="1781"/>
      <c r="M1931" s="1781"/>
      <c r="N1931" s="1746"/>
      <c r="O1931" s="1782"/>
      <c r="P1931" s="1720"/>
    </row>
    <row r="1932" spans="1:16" ht="13.5" hidden="1" customHeight="1" outlineLevel="3" x14ac:dyDescent="0.2">
      <c r="A1932" s="459">
        <v>0</v>
      </c>
      <c r="B1932" s="459">
        <v>15</v>
      </c>
      <c r="C1932" s="459">
        <v>3</v>
      </c>
      <c r="D1932" s="460">
        <v>3</v>
      </c>
      <c r="E1932" s="460">
        <v>1</v>
      </c>
      <c r="G1932" s="1798" t="s">
        <v>47</v>
      </c>
      <c r="H1932" s="1783" t="s">
        <v>1239</v>
      </c>
      <c r="I1932" s="1750" t="s">
        <v>7713</v>
      </c>
      <c r="J1932" s="1785" t="s">
        <v>575</v>
      </c>
      <c r="K1932" s="1786" t="s">
        <v>642</v>
      </c>
      <c r="L1932" s="1787" t="e">
        <v>#REF!</v>
      </c>
      <c r="M1932" s="1787">
        <v>25</v>
      </c>
      <c r="N1932" s="1754"/>
      <c r="O1932" s="1788"/>
      <c r="P1932" s="1721" t="s">
        <v>9611</v>
      </c>
    </row>
    <row r="1933" spans="1:16" ht="13.5" hidden="1" customHeight="1" outlineLevel="1" x14ac:dyDescent="0.2">
      <c r="A1933" s="459">
        <v>0</v>
      </c>
      <c r="B1933" s="459">
        <v>15</v>
      </c>
      <c r="C1933" s="459">
        <v>4</v>
      </c>
      <c r="D1933" s="460">
        <v>0</v>
      </c>
      <c r="E1933" s="460">
        <v>1</v>
      </c>
      <c r="G1933" s="1796"/>
      <c r="H1933" s="1771" t="s">
        <v>39</v>
      </c>
      <c r="I1933" s="1735" t="s">
        <v>7714</v>
      </c>
      <c r="J1933" s="1773" t="s">
        <v>2961</v>
      </c>
      <c r="K1933" s="1774"/>
      <c r="L1933" s="1775"/>
      <c r="M1933" s="1775"/>
      <c r="N1933" s="1739"/>
      <c r="O1933" s="1776"/>
      <c r="P1933" s="1719"/>
    </row>
    <row r="1934" spans="1:16" ht="13.5" hidden="1" customHeight="1" outlineLevel="2" x14ac:dyDescent="0.2">
      <c r="A1934" s="459">
        <v>0</v>
      </c>
      <c r="B1934" s="459">
        <v>15</v>
      </c>
      <c r="C1934" s="459">
        <v>4</v>
      </c>
      <c r="D1934" s="460">
        <v>1</v>
      </c>
      <c r="E1934" s="460">
        <v>0</v>
      </c>
      <c r="G1934" s="1797"/>
      <c r="H1934" s="1777" t="s">
        <v>1238</v>
      </c>
      <c r="I1934" s="1742" t="s">
        <v>7715</v>
      </c>
      <c r="J1934" s="1779" t="s">
        <v>2744</v>
      </c>
      <c r="K1934" s="1780"/>
      <c r="L1934" s="1781"/>
      <c r="M1934" s="1781"/>
      <c r="N1934" s="1746"/>
      <c r="O1934" s="1782"/>
      <c r="P1934" s="1720"/>
    </row>
    <row r="1935" spans="1:16" ht="13.5" hidden="1" customHeight="1" outlineLevel="3" x14ac:dyDescent="0.2">
      <c r="A1935" s="459">
        <v>0</v>
      </c>
      <c r="B1935" s="459">
        <v>15</v>
      </c>
      <c r="C1935" s="459">
        <v>4</v>
      </c>
      <c r="D1935" s="460">
        <v>1</v>
      </c>
      <c r="E1935" s="460">
        <v>1</v>
      </c>
      <c r="G1935" s="1798" t="s">
        <v>47</v>
      </c>
      <c r="H1935" s="1783" t="s">
        <v>1239</v>
      </c>
      <c r="I1935" s="1750" t="s">
        <v>7716</v>
      </c>
      <c r="J1935" s="1785" t="s">
        <v>555</v>
      </c>
      <c r="K1935" s="1786" t="s">
        <v>642</v>
      </c>
      <c r="L1935" s="1787" t="e">
        <v>#REF!</v>
      </c>
      <c r="M1935" s="1787">
        <v>5.1029166666666663</v>
      </c>
      <c r="N1935" s="1754"/>
      <c r="O1935" s="1788"/>
      <c r="P1935" s="1721" t="s">
        <v>9611</v>
      </c>
    </row>
    <row r="1936" spans="1:16" ht="13.5" hidden="1" customHeight="1" outlineLevel="2" x14ac:dyDescent="0.2">
      <c r="A1936" s="459">
        <v>0</v>
      </c>
      <c r="B1936" s="459">
        <v>15</v>
      </c>
      <c r="C1936" s="459">
        <v>4</v>
      </c>
      <c r="D1936" s="460">
        <v>2</v>
      </c>
      <c r="E1936" s="460">
        <v>0</v>
      </c>
      <c r="G1936" s="1797"/>
      <c r="H1936" s="1777" t="s">
        <v>1238</v>
      </c>
      <c r="I1936" s="1742" t="s">
        <v>7717</v>
      </c>
      <c r="J1936" s="1779" t="s">
        <v>15</v>
      </c>
      <c r="K1936" s="1780"/>
      <c r="L1936" s="1781"/>
      <c r="M1936" s="1781"/>
      <c r="N1936" s="1746"/>
      <c r="O1936" s="1782"/>
      <c r="P1936" s="1720"/>
    </row>
    <row r="1937" spans="1:16" ht="13.5" hidden="1" customHeight="1" outlineLevel="3" x14ac:dyDescent="0.2">
      <c r="A1937" s="459">
        <v>0</v>
      </c>
      <c r="B1937" s="459">
        <v>15</v>
      </c>
      <c r="C1937" s="459">
        <v>4</v>
      </c>
      <c r="D1937" s="460">
        <v>2</v>
      </c>
      <c r="E1937" s="460">
        <v>1</v>
      </c>
      <c r="G1937" s="1798" t="s">
        <v>47</v>
      </c>
      <c r="H1937" s="1783" t="s">
        <v>1239</v>
      </c>
      <c r="I1937" s="1750" t="s">
        <v>7718</v>
      </c>
      <c r="J1937" s="1785" t="s">
        <v>575</v>
      </c>
      <c r="K1937" s="1786" t="s">
        <v>642</v>
      </c>
      <c r="L1937" s="1787" t="e">
        <v>#REF!</v>
      </c>
      <c r="M1937" s="1787">
        <v>25</v>
      </c>
      <c r="N1937" s="1754"/>
      <c r="O1937" s="1788"/>
      <c r="P1937" s="1721" t="s">
        <v>9611</v>
      </c>
    </row>
    <row r="1938" spans="1:16" ht="13.5" hidden="1" customHeight="1" outlineLevel="1" x14ac:dyDescent="0.2">
      <c r="A1938" s="459">
        <v>0</v>
      </c>
      <c r="B1938" s="459">
        <v>15</v>
      </c>
      <c r="C1938" s="459">
        <v>5</v>
      </c>
      <c r="D1938" s="460">
        <v>0</v>
      </c>
      <c r="E1938" s="460">
        <v>1</v>
      </c>
      <c r="G1938" s="1796"/>
      <c r="H1938" s="1771" t="s">
        <v>39</v>
      </c>
      <c r="I1938" s="1735" t="s">
        <v>7719</v>
      </c>
      <c r="J1938" s="1773" t="s">
        <v>2962</v>
      </c>
      <c r="K1938" s="1774"/>
      <c r="L1938" s="1775"/>
      <c r="M1938" s="1775"/>
      <c r="N1938" s="1739"/>
      <c r="O1938" s="1776"/>
      <c r="P1938" s="1719"/>
    </row>
    <row r="1939" spans="1:16" ht="13.5" hidden="1" customHeight="1" outlineLevel="2" x14ac:dyDescent="0.2">
      <c r="A1939" s="459">
        <v>0</v>
      </c>
      <c r="B1939" s="459">
        <v>15</v>
      </c>
      <c r="C1939" s="459">
        <v>5</v>
      </c>
      <c r="D1939" s="460">
        <v>1</v>
      </c>
      <c r="E1939" s="460">
        <v>0</v>
      </c>
      <c r="G1939" s="1797"/>
      <c r="H1939" s="1777" t="s">
        <v>1238</v>
      </c>
      <c r="I1939" s="1742" t="s">
        <v>7720</v>
      </c>
      <c r="J1939" s="1779" t="s">
        <v>2744</v>
      </c>
      <c r="K1939" s="1780"/>
      <c r="L1939" s="1781"/>
      <c r="M1939" s="1781"/>
      <c r="N1939" s="1746"/>
      <c r="O1939" s="1782"/>
      <c r="P1939" s="1720"/>
    </row>
    <row r="1940" spans="1:16" ht="13.5" hidden="1" customHeight="1" outlineLevel="3" x14ac:dyDescent="0.2">
      <c r="A1940" s="459">
        <v>0</v>
      </c>
      <c r="B1940" s="459">
        <v>15</v>
      </c>
      <c r="C1940" s="459">
        <v>5</v>
      </c>
      <c r="D1940" s="460">
        <v>1</v>
      </c>
      <c r="E1940" s="460">
        <v>1</v>
      </c>
      <c r="G1940" s="1798" t="s">
        <v>47</v>
      </c>
      <c r="H1940" s="1783" t="s">
        <v>1239</v>
      </c>
      <c r="I1940" s="1750" t="s">
        <v>7721</v>
      </c>
      <c r="J1940" s="1785" t="s">
        <v>555</v>
      </c>
      <c r="K1940" s="1786" t="s">
        <v>642</v>
      </c>
      <c r="L1940" s="1787" t="e">
        <v>#REF!</v>
      </c>
      <c r="M1940" s="1787">
        <v>5.1029166666666663</v>
      </c>
      <c r="N1940" s="1754"/>
      <c r="O1940" s="1788"/>
      <c r="P1940" s="1721" t="s">
        <v>9611</v>
      </c>
    </row>
    <row r="1941" spans="1:16" ht="13.5" hidden="1" customHeight="1" outlineLevel="2" x14ac:dyDescent="0.2">
      <c r="A1941" s="459">
        <v>0</v>
      </c>
      <c r="B1941" s="459">
        <v>15</v>
      </c>
      <c r="C1941" s="459">
        <v>5</v>
      </c>
      <c r="D1941" s="460">
        <v>2</v>
      </c>
      <c r="E1941" s="460">
        <v>0</v>
      </c>
      <c r="G1941" s="1797"/>
      <c r="H1941" s="1777" t="s">
        <v>1238</v>
      </c>
      <c r="I1941" s="1742" t="s">
        <v>7722</v>
      </c>
      <c r="J1941" s="1779" t="s">
        <v>2743</v>
      </c>
      <c r="K1941" s="1780"/>
      <c r="L1941" s="1781"/>
      <c r="M1941" s="1781"/>
      <c r="N1941" s="1746"/>
      <c r="O1941" s="1782"/>
      <c r="P1941" s="1720"/>
    </row>
    <row r="1942" spans="1:16" ht="13.5" hidden="1" customHeight="1" outlineLevel="3" x14ac:dyDescent="0.2">
      <c r="A1942" s="459">
        <v>0</v>
      </c>
      <c r="B1942" s="459">
        <v>15</v>
      </c>
      <c r="C1942" s="459">
        <v>5</v>
      </c>
      <c r="D1942" s="460">
        <v>2</v>
      </c>
      <c r="E1942" s="460">
        <v>1</v>
      </c>
      <c r="G1942" s="1798" t="s">
        <v>50</v>
      </c>
      <c r="H1942" s="1783" t="s">
        <v>1239</v>
      </c>
      <c r="I1942" s="1750" t="s">
        <v>7723</v>
      </c>
      <c r="J1942" s="1785" t="s">
        <v>566</v>
      </c>
      <c r="K1942" s="1786" t="s">
        <v>642</v>
      </c>
      <c r="L1942" s="1787" t="e">
        <v>#REF!</v>
      </c>
      <c r="M1942" s="1787">
        <v>164.74799999999999</v>
      </c>
      <c r="N1942" s="1754"/>
      <c r="O1942" s="1788"/>
      <c r="P1942" s="1721" t="s">
        <v>9611</v>
      </c>
    </row>
    <row r="1943" spans="1:16" ht="13.5" hidden="1" customHeight="1" outlineLevel="3" x14ac:dyDescent="0.2">
      <c r="A1943" s="459">
        <v>0</v>
      </c>
      <c r="B1943" s="459">
        <v>15</v>
      </c>
      <c r="C1943" s="459">
        <v>5</v>
      </c>
      <c r="D1943" s="460">
        <v>2</v>
      </c>
      <c r="E1943" s="460">
        <v>2</v>
      </c>
      <c r="G1943" s="1798" t="s">
        <v>50</v>
      </c>
      <c r="H1943" s="1783" t="s">
        <v>1239</v>
      </c>
      <c r="I1943" s="1750" t="s">
        <v>7724</v>
      </c>
      <c r="J1943" s="1785" t="s">
        <v>567</v>
      </c>
      <c r="K1943" s="1786" t="s">
        <v>788</v>
      </c>
      <c r="L1943" s="1787" t="e">
        <v>#REF!</v>
      </c>
      <c r="M1943" s="1787">
        <v>49.424399999999999</v>
      </c>
      <c r="N1943" s="1754"/>
      <c r="O1943" s="1788"/>
      <c r="P1943" s="1721" t="s">
        <v>9611</v>
      </c>
    </row>
    <row r="1944" spans="1:16" ht="13.5" hidden="1" customHeight="1" outlineLevel="2" x14ac:dyDescent="0.2">
      <c r="A1944" s="459">
        <v>0</v>
      </c>
      <c r="B1944" s="459">
        <v>15</v>
      </c>
      <c r="C1944" s="459">
        <v>5</v>
      </c>
      <c r="D1944" s="460">
        <v>3</v>
      </c>
      <c r="E1944" s="460">
        <v>0</v>
      </c>
      <c r="G1944" s="1797"/>
      <c r="H1944" s="1777" t="s">
        <v>1238</v>
      </c>
      <c r="I1944" s="1742" t="s">
        <v>7725</v>
      </c>
      <c r="J1944" s="1779" t="s">
        <v>15</v>
      </c>
      <c r="K1944" s="1780"/>
      <c r="L1944" s="1781"/>
      <c r="M1944" s="1781"/>
      <c r="N1944" s="1746"/>
      <c r="O1944" s="1782"/>
      <c r="P1944" s="1720"/>
    </row>
    <row r="1945" spans="1:16" ht="13.5" hidden="1" customHeight="1" outlineLevel="3" x14ac:dyDescent="0.2">
      <c r="A1945" s="459">
        <v>0</v>
      </c>
      <c r="B1945" s="459">
        <v>15</v>
      </c>
      <c r="C1945" s="459">
        <v>5</v>
      </c>
      <c r="D1945" s="460">
        <v>3</v>
      </c>
      <c r="E1945" s="460">
        <v>1</v>
      </c>
      <c r="G1945" s="1798" t="s">
        <v>47</v>
      </c>
      <c r="H1945" s="1783" t="s">
        <v>1239</v>
      </c>
      <c r="I1945" s="1750" t="s">
        <v>7726</v>
      </c>
      <c r="J1945" s="1785" t="s">
        <v>575</v>
      </c>
      <c r="K1945" s="1786" t="s">
        <v>642</v>
      </c>
      <c r="L1945" s="1787" t="e">
        <v>#REF!</v>
      </c>
      <c r="M1945" s="1787">
        <v>25</v>
      </c>
      <c r="N1945" s="1754"/>
      <c r="O1945" s="1788"/>
      <c r="P1945" s="1721" t="s">
        <v>9611</v>
      </c>
    </row>
    <row r="1946" spans="1:16" ht="13.5" hidden="1" customHeight="1" outlineLevel="1" x14ac:dyDescent="0.2">
      <c r="A1946" s="459">
        <v>0</v>
      </c>
      <c r="B1946" s="459">
        <v>15</v>
      </c>
      <c r="C1946" s="459">
        <v>6</v>
      </c>
      <c r="D1946" s="460">
        <v>0</v>
      </c>
      <c r="E1946" s="460">
        <v>1</v>
      </c>
      <c r="G1946" s="1796"/>
      <c r="H1946" s="1771" t="s">
        <v>39</v>
      </c>
      <c r="I1946" s="1735" t="s">
        <v>7727</v>
      </c>
      <c r="J1946" s="1773" t="s">
        <v>2963</v>
      </c>
      <c r="K1946" s="1774"/>
      <c r="L1946" s="1775"/>
      <c r="M1946" s="1775"/>
      <c r="N1946" s="1739"/>
      <c r="O1946" s="1776"/>
      <c r="P1946" s="1719"/>
    </row>
    <row r="1947" spans="1:16" ht="13.5" hidden="1" customHeight="1" outlineLevel="2" x14ac:dyDescent="0.2">
      <c r="A1947" s="459">
        <v>0</v>
      </c>
      <c r="B1947" s="459">
        <v>15</v>
      </c>
      <c r="C1947" s="459">
        <v>6</v>
      </c>
      <c r="D1947" s="460">
        <v>1</v>
      </c>
      <c r="E1947" s="460">
        <v>0</v>
      </c>
      <c r="G1947" s="1797"/>
      <c r="H1947" s="1777" t="s">
        <v>1238</v>
      </c>
      <c r="I1947" s="1742" t="s">
        <v>7728</v>
      </c>
      <c r="J1947" s="1779" t="s">
        <v>2744</v>
      </c>
      <c r="K1947" s="1780"/>
      <c r="L1947" s="1781"/>
      <c r="M1947" s="1781"/>
      <c r="N1947" s="1746"/>
      <c r="O1947" s="1782"/>
      <c r="P1947" s="1720"/>
    </row>
    <row r="1948" spans="1:16" ht="13.5" hidden="1" customHeight="1" outlineLevel="3" x14ac:dyDescent="0.2">
      <c r="A1948" s="459">
        <v>0</v>
      </c>
      <c r="B1948" s="459">
        <v>15</v>
      </c>
      <c r="C1948" s="459">
        <v>6</v>
      </c>
      <c r="D1948" s="460">
        <v>1</v>
      </c>
      <c r="E1948" s="460">
        <v>1</v>
      </c>
      <c r="G1948" s="1798" t="s">
        <v>47</v>
      </c>
      <c r="H1948" s="1783" t="s">
        <v>1239</v>
      </c>
      <c r="I1948" s="1750" t="s">
        <v>7729</v>
      </c>
      <c r="J1948" s="1785" t="s">
        <v>555</v>
      </c>
      <c r="K1948" s="1786" t="s">
        <v>642</v>
      </c>
      <c r="L1948" s="1787" t="e">
        <v>#REF!</v>
      </c>
      <c r="M1948" s="1787">
        <v>5.1029166666666663</v>
      </c>
      <c r="N1948" s="1754"/>
      <c r="O1948" s="1788"/>
      <c r="P1948" s="1721" t="s">
        <v>9611</v>
      </c>
    </row>
    <row r="1949" spans="1:16" ht="13.5" hidden="1" customHeight="1" outlineLevel="2" x14ac:dyDescent="0.2">
      <c r="A1949" s="459">
        <v>0</v>
      </c>
      <c r="B1949" s="459">
        <v>15</v>
      </c>
      <c r="C1949" s="459">
        <v>6</v>
      </c>
      <c r="D1949" s="460">
        <v>2</v>
      </c>
      <c r="E1949" s="460">
        <v>0</v>
      </c>
      <c r="G1949" s="1797"/>
      <c r="H1949" s="1777" t="s">
        <v>1238</v>
      </c>
      <c r="I1949" s="1742" t="s">
        <v>7730</v>
      </c>
      <c r="J1949" s="1779" t="s">
        <v>2743</v>
      </c>
      <c r="K1949" s="1780"/>
      <c r="L1949" s="1781"/>
      <c r="M1949" s="1781"/>
      <c r="N1949" s="1746"/>
      <c r="O1949" s="1782"/>
      <c r="P1949" s="1720"/>
    </row>
    <row r="1950" spans="1:16" ht="12.75" hidden="1" outlineLevel="3" x14ac:dyDescent="0.2">
      <c r="A1950" s="459">
        <v>0</v>
      </c>
      <c r="B1950" s="459">
        <v>15</v>
      </c>
      <c r="C1950" s="459">
        <v>6</v>
      </c>
      <c r="D1950" s="460">
        <v>2</v>
      </c>
      <c r="E1950" s="460">
        <v>1</v>
      </c>
      <c r="G1950" s="1798" t="s">
        <v>50</v>
      </c>
      <c r="H1950" s="1783" t="s">
        <v>1239</v>
      </c>
      <c r="I1950" s="1750" t="s">
        <v>7731</v>
      </c>
      <c r="J1950" s="1785" t="s">
        <v>564</v>
      </c>
      <c r="K1950" s="1786" t="s">
        <v>642</v>
      </c>
      <c r="L1950" s="1787" t="e">
        <v>#REF!</v>
      </c>
      <c r="M1950" s="1787">
        <v>137.29</v>
      </c>
      <c r="N1950" s="1754"/>
      <c r="O1950" s="1788"/>
      <c r="P1950" s="1721" t="s">
        <v>9611</v>
      </c>
    </row>
    <row r="1951" spans="1:16" ht="13.5" hidden="1" customHeight="1" outlineLevel="3" x14ac:dyDescent="0.2">
      <c r="A1951" s="459">
        <v>0</v>
      </c>
      <c r="B1951" s="459">
        <v>15</v>
      </c>
      <c r="C1951" s="459">
        <v>6</v>
      </c>
      <c r="D1951" s="460">
        <v>2</v>
      </c>
      <c r="E1951" s="460">
        <v>2</v>
      </c>
      <c r="G1951" s="1798" t="s">
        <v>50</v>
      </c>
      <c r="H1951" s="1783" t="s">
        <v>1239</v>
      </c>
      <c r="I1951" s="1750" t="s">
        <v>7732</v>
      </c>
      <c r="J1951" s="1785" t="s">
        <v>565</v>
      </c>
      <c r="K1951" s="1786" t="s">
        <v>788</v>
      </c>
      <c r="L1951" s="1787" t="e">
        <v>#REF!</v>
      </c>
      <c r="M1951" s="1787">
        <v>49.424399999999999</v>
      </c>
      <c r="N1951" s="1754"/>
      <c r="O1951" s="1788"/>
      <c r="P1951" s="1721" t="s">
        <v>9611</v>
      </c>
    </row>
    <row r="1952" spans="1:16" ht="12.75" hidden="1" outlineLevel="3" x14ac:dyDescent="0.2">
      <c r="A1952" s="459">
        <v>0</v>
      </c>
      <c r="B1952" s="459">
        <v>15</v>
      </c>
      <c r="C1952" s="459">
        <v>6</v>
      </c>
      <c r="D1952" s="460">
        <v>2</v>
      </c>
      <c r="E1952" s="460">
        <v>3</v>
      </c>
      <c r="G1952" s="1798" t="s">
        <v>50</v>
      </c>
      <c r="H1952" s="1783" t="s">
        <v>1239</v>
      </c>
      <c r="I1952" s="1750" t="s">
        <v>7733</v>
      </c>
      <c r="J1952" s="1785" t="s">
        <v>2942</v>
      </c>
      <c r="K1952" s="1786" t="s">
        <v>642</v>
      </c>
      <c r="L1952" s="1787" t="e">
        <v>#REF!</v>
      </c>
      <c r="M1952" s="1787">
        <v>233.393</v>
      </c>
      <c r="N1952" s="1754"/>
      <c r="O1952" s="1788"/>
      <c r="P1952" s="1721" t="s">
        <v>9611</v>
      </c>
    </row>
    <row r="1953" spans="1:16" ht="13.5" hidden="1" customHeight="1" outlineLevel="2" x14ac:dyDescent="0.2">
      <c r="A1953" s="459">
        <v>0</v>
      </c>
      <c r="B1953" s="459">
        <v>15</v>
      </c>
      <c r="C1953" s="459">
        <v>6</v>
      </c>
      <c r="D1953" s="460">
        <v>3</v>
      </c>
      <c r="E1953" s="460">
        <v>0</v>
      </c>
      <c r="G1953" s="1797"/>
      <c r="H1953" s="1777" t="s">
        <v>1238</v>
      </c>
      <c r="I1953" s="1742" t="s">
        <v>7734</v>
      </c>
      <c r="J1953" s="1779" t="s">
        <v>15</v>
      </c>
      <c r="K1953" s="1780"/>
      <c r="L1953" s="1781"/>
      <c r="M1953" s="1781"/>
      <c r="N1953" s="1746"/>
      <c r="O1953" s="1782"/>
      <c r="P1953" s="1720"/>
    </row>
    <row r="1954" spans="1:16" ht="13.5" hidden="1" customHeight="1" outlineLevel="3" x14ac:dyDescent="0.2">
      <c r="A1954" s="459">
        <v>0</v>
      </c>
      <c r="B1954" s="459">
        <v>15</v>
      </c>
      <c r="C1954" s="459">
        <v>6</v>
      </c>
      <c r="D1954" s="460">
        <v>3</v>
      </c>
      <c r="E1954" s="460">
        <v>1</v>
      </c>
      <c r="G1954" s="1798" t="s">
        <v>47</v>
      </c>
      <c r="H1954" s="1783" t="s">
        <v>1239</v>
      </c>
      <c r="I1954" s="1750" t="s">
        <v>7735</v>
      </c>
      <c r="J1954" s="1785" t="s">
        <v>575</v>
      </c>
      <c r="K1954" s="1786" t="s">
        <v>642</v>
      </c>
      <c r="L1954" s="1787" t="e">
        <v>#REF!</v>
      </c>
      <c r="M1954" s="1787">
        <v>25</v>
      </c>
      <c r="N1954" s="1754"/>
      <c r="O1954" s="1788"/>
      <c r="P1954" s="1721" t="s">
        <v>9611</v>
      </c>
    </row>
    <row r="1955" spans="1:16" ht="13.5" hidden="1" customHeight="1" outlineLevel="1" x14ac:dyDescent="0.2">
      <c r="A1955" s="459">
        <v>0</v>
      </c>
      <c r="B1955" s="459">
        <v>15</v>
      </c>
      <c r="C1955" s="459">
        <v>7</v>
      </c>
      <c r="D1955" s="460">
        <v>0</v>
      </c>
      <c r="E1955" s="460">
        <v>1</v>
      </c>
      <c r="G1955" s="1796"/>
      <c r="H1955" s="1771" t="s">
        <v>39</v>
      </c>
      <c r="I1955" s="1735" t="s">
        <v>7736</v>
      </c>
      <c r="J1955" s="1773" t="s">
        <v>2964</v>
      </c>
      <c r="K1955" s="1774"/>
      <c r="L1955" s="1775"/>
      <c r="M1955" s="1775"/>
      <c r="N1955" s="1739"/>
      <c r="O1955" s="1776"/>
      <c r="P1955" s="1719"/>
    </row>
    <row r="1956" spans="1:16" ht="13.5" hidden="1" customHeight="1" outlineLevel="2" x14ac:dyDescent="0.2">
      <c r="A1956" s="459">
        <v>0</v>
      </c>
      <c r="B1956" s="459">
        <v>15</v>
      </c>
      <c r="C1956" s="459">
        <v>7</v>
      </c>
      <c r="D1956" s="460">
        <v>1</v>
      </c>
      <c r="E1956" s="460">
        <v>0</v>
      </c>
      <c r="G1956" s="1797"/>
      <c r="H1956" s="1777" t="s">
        <v>1238</v>
      </c>
      <c r="I1956" s="1742" t="s">
        <v>7737</v>
      </c>
      <c r="J1956" s="1779" t="s">
        <v>2744</v>
      </c>
      <c r="K1956" s="1780"/>
      <c r="L1956" s="1781"/>
      <c r="M1956" s="1781"/>
      <c r="N1956" s="1746"/>
      <c r="O1956" s="1782"/>
      <c r="P1956" s="1720"/>
    </row>
    <row r="1957" spans="1:16" ht="13.5" hidden="1" customHeight="1" outlineLevel="3" x14ac:dyDescent="0.2">
      <c r="A1957" s="459">
        <v>0</v>
      </c>
      <c r="B1957" s="459">
        <v>15</v>
      </c>
      <c r="C1957" s="459">
        <v>7</v>
      </c>
      <c r="D1957" s="460">
        <v>1</v>
      </c>
      <c r="E1957" s="460">
        <v>1</v>
      </c>
      <c r="G1957" s="1798" t="s">
        <v>47</v>
      </c>
      <c r="H1957" s="1783" t="s">
        <v>1239</v>
      </c>
      <c r="I1957" s="1750" t="s">
        <v>7738</v>
      </c>
      <c r="J1957" s="1785" t="s">
        <v>555</v>
      </c>
      <c r="K1957" s="1786" t="s">
        <v>642</v>
      </c>
      <c r="L1957" s="1787" t="e">
        <v>#REF!</v>
      </c>
      <c r="M1957" s="1787">
        <v>5.1029166666666663</v>
      </c>
      <c r="N1957" s="1754"/>
      <c r="O1957" s="1788"/>
      <c r="P1957" s="1721" t="s">
        <v>9611</v>
      </c>
    </row>
    <row r="1958" spans="1:16" ht="13.5" hidden="1" customHeight="1" outlineLevel="2" x14ac:dyDescent="0.2">
      <c r="A1958" s="459">
        <v>0</v>
      </c>
      <c r="B1958" s="459">
        <v>15</v>
      </c>
      <c r="C1958" s="459">
        <v>7</v>
      </c>
      <c r="D1958" s="460">
        <v>2</v>
      </c>
      <c r="E1958" s="460">
        <v>0</v>
      </c>
      <c r="G1958" s="1797"/>
      <c r="H1958" s="1777" t="s">
        <v>1238</v>
      </c>
      <c r="I1958" s="1742" t="s">
        <v>7739</v>
      </c>
      <c r="J1958" s="1779" t="s">
        <v>2743</v>
      </c>
      <c r="K1958" s="1780"/>
      <c r="L1958" s="1781"/>
      <c r="M1958" s="1781"/>
      <c r="N1958" s="1746"/>
      <c r="O1958" s="1782"/>
      <c r="P1958" s="1720"/>
    </row>
    <row r="1959" spans="1:16" ht="12.75" hidden="1" outlineLevel="3" x14ac:dyDescent="0.2">
      <c r="A1959" s="459">
        <v>0</v>
      </c>
      <c r="B1959" s="459">
        <v>15</v>
      </c>
      <c r="C1959" s="459">
        <v>7</v>
      </c>
      <c r="D1959" s="460">
        <v>2</v>
      </c>
      <c r="E1959" s="460">
        <v>1</v>
      </c>
      <c r="G1959" s="1798" t="s">
        <v>50</v>
      </c>
      <c r="H1959" s="1783" t="s">
        <v>1239</v>
      </c>
      <c r="I1959" s="1750" t="s">
        <v>7740</v>
      </c>
      <c r="J1959" s="1785" t="s">
        <v>564</v>
      </c>
      <c r="K1959" s="1786" t="s">
        <v>642</v>
      </c>
      <c r="L1959" s="1787" t="e">
        <v>#REF!</v>
      </c>
      <c r="M1959" s="1787">
        <v>137.29</v>
      </c>
      <c r="N1959" s="1754"/>
      <c r="O1959" s="1788"/>
      <c r="P1959" s="1721" t="s">
        <v>9611</v>
      </c>
    </row>
    <row r="1960" spans="1:16" ht="13.5" hidden="1" customHeight="1" outlineLevel="3" x14ac:dyDescent="0.2">
      <c r="A1960" s="459">
        <v>0</v>
      </c>
      <c r="B1960" s="459">
        <v>15</v>
      </c>
      <c r="C1960" s="459">
        <v>7</v>
      </c>
      <c r="D1960" s="460">
        <v>2</v>
      </c>
      <c r="E1960" s="460">
        <v>2</v>
      </c>
      <c r="G1960" s="1798" t="s">
        <v>50</v>
      </c>
      <c r="H1960" s="1783" t="s">
        <v>1239</v>
      </c>
      <c r="I1960" s="1750" t="s">
        <v>7741</v>
      </c>
      <c r="J1960" s="1785" t="s">
        <v>566</v>
      </c>
      <c r="K1960" s="1786" t="s">
        <v>642</v>
      </c>
      <c r="L1960" s="1787" t="e">
        <v>#REF!</v>
      </c>
      <c r="M1960" s="1787">
        <v>164.74799999999999</v>
      </c>
      <c r="N1960" s="1754"/>
      <c r="O1960" s="1788"/>
      <c r="P1960" s="1721" t="s">
        <v>9611</v>
      </c>
    </row>
    <row r="1961" spans="1:16" ht="13.5" hidden="1" customHeight="1" outlineLevel="3" x14ac:dyDescent="0.2">
      <c r="A1961" s="459">
        <v>0</v>
      </c>
      <c r="B1961" s="459">
        <v>15</v>
      </c>
      <c r="C1961" s="459">
        <v>7</v>
      </c>
      <c r="D1961" s="460">
        <v>2</v>
      </c>
      <c r="E1961" s="460">
        <v>3</v>
      </c>
      <c r="G1961" s="1798" t="s">
        <v>50</v>
      </c>
      <c r="H1961" s="1783" t="s">
        <v>1239</v>
      </c>
      <c r="I1961" s="1750" t="s">
        <v>7742</v>
      </c>
      <c r="J1961" s="1785" t="s">
        <v>567</v>
      </c>
      <c r="K1961" s="1786" t="s">
        <v>788</v>
      </c>
      <c r="L1961" s="1787" t="e">
        <v>#REF!</v>
      </c>
      <c r="M1961" s="1787">
        <v>49.424399999999999</v>
      </c>
      <c r="N1961" s="1754"/>
      <c r="O1961" s="1788"/>
      <c r="P1961" s="1721" t="s">
        <v>9611</v>
      </c>
    </row>
    <row r="1962" spans="1:16" ht="13.5" hidden="1" customHeight="1" outlineLevel="3" x14ac:dyDescent="0.2">
      <c r="A1962" s="459">
        <v>0</v>
      </c>
      <c r="B1962" s="459">
        <v>15</v>
      </c>
      <c r="C1962" s="459">
        <v>7</v>
      </c>
      <c r="D1962" s="460">
        <v>2</v>
      </c>
      <c r="E1962" s="460">
        <v>4</v>
      </c>
      <c r="G1962" s="1798" t="s">
        <v>50</v>
      </c>
      <c r="H1962" s="1783" t="s">
        <v>1239</v>
      </c>
      <c r="I1962" s="1750" t="s">
        <v>7743</v>
      </c>
      <c r="J1962" s="1785" t="s">
        <v>562</v>
      </c>
      <c r="K1962" s="1786" t="s">
        <v>642</v>
      </c>
      <c r="L1962" s="1787" t="e">
        <v>#REF!</v>
      </c>
      <c r="M1962" s="1787">
        <v>80.542132157776209</v>
      </c>
      <c r="N1962" s="1754"/>
      <c r="O1962" s="1788"/>
      <c r="P1962" s="1721" t="s">
        <v>9611</v>
      </c>
    </row>
    <row r="1963" spans="1:16" ht="12.75" hidden="1" outlineLevel="3" x14ac:dyDescent="0.2">
      <c r="A1963" s="459">
        <v>0</v>
      </c>
      <c r="B1963" s="459">
        <v>15</v>
      </c>
      <c r="C1963" s="459">
        <v>7</v>
      </c>
      <c r="D1963" s="460">
        <v>2</v>
      </c>
      <c r="E1963" s="460">
        <v>5</v>
      </c>
      <c r="G1963" s="1798" t="s">
        <v>50</v>
      </c>
      <c r="H1963" s="1783" t="s">
        <v>1239</v>
      </c>
      <c r="I1963" s="1750" t="s">
        <v>7744</v>
      </c>
      <c r="J1963" s="1785" t="s">
        <v>2925</v>
      </c>
      <c r="K1963" s="1786" t="s">
        <v>788</v>
      </c>
      <c r="L1963" s="1787" t="e">
        <v>#REF!</v>
      </c>
      <c r="M1963" s="1787">
        <v>343.22500000000002</v>
      </c>
      <c r="N1963" s="1754"/>
      <c r="O1963" s="1788" t="s">
        <v>2938</v>
      </c>
      <c r="P1963" s="1721" t="s">
        <v>9611</v>
      </c>
    </row>
    <row r="1964" spans="1:16" ht="13.5" hidden="1" customHeight="1" outlineLevel="3" x14ac:dyDescent="0.2">
      <c r="A1964" s="459">
        <v>0</v>
      </c>
      <c r="B1964" s="459">
        <v>15</v>
      </c>
      <c r="C1964" s="459">
        <v>7</v>
      </c>
      <c r="D1964" s="460">
        <v>2</v>
      </c>
      <c r="E1964" s="460">
        <v>6</v>
      </c>
      <c r="G1964" s="1798" t="s">
        <v>50</v>
      </c>
      <c r="H1964" s="1783" t="s">
        <v>1239</v>
      </c>
      <c r="I1964" s="1750" t="s">
        <v>7745</v>
      </c>
      <c r="J1964" s="1785" t="s">
        <v>2933</v>
      </c>
      <c r="K1964" s="1786" t="s">
        <v>788</v>
      </c>
      <c r="L1964" s="1787" t="e">
        <v>#REF!</v>
      </c>
      <c r="M1964" s="1787">
        <v>61.780500000000004</v>
      </c>
      <c r="N1964" s="1754"/>
      <c r="O1964" s="1788"/>
      <c r="P1964" s="1721" t="s">
        <v>9611</v>
      </c>
    </row>
    <row r="1965" spans="1:16" ht="13.5" hidden="1" customHeight="1" outlineLevel="3" x14ac:dyDescent="0.2">
      <c r="A1965" s="459">
        <v>0</v>
      </c>
      <c r="B1965" s="459">
        <v>15</v>
      </c>
      <c r="C1965" s="459">
        <v>7</v>
      </c>
      <c r="D1965" s="460">
        <v>2</v>
      </c>
      <c r="E1965" s="460">
        <v>7</v>
      </c>
      <c r="G1965" s="1798" t="s">
        <v>50</v>
      </c>
      <c r="H1965" s="1783" t="s">
        <v>1239</v>
      </c>
      <c r="I1965" s="1750" t="s">
        <v>7746</v>
      </c>
      <c r="J1965" s="1785" t="s">
        <v>2931</v>
      </c>
      <c r="K1965" s="1786" t="s">
        <v>788</v>
      </c>
      <c r="L1965" s="1787" t="e">
        <v>#REF!</v>
      </c>
      <c r="M1965" s="1787">
        <v>116.6965</v>
      </c>
      <c r="N1965" s="1754"/>
      <c r="O1965" s="1788"/>
      <c r="P1965" s="1721" t="s">
        <v>9611</v>
      </c>
    </row>
    <row r="1966" spans="1:16" ht="13.5" hidden="1" customHeight="1" outlineLevel="2" x14ac:dyDescent="0.2">
      <c r="A1966" s="459">
        <v>0</v>
      </c>
      <c r="B1966" s="459">
        <v>15</v>
      </c>
      <c r="C1966" s="459">
        <v>7</v>
      </c>
      <c r="D1966" s="460">
        <v>3</v>
      </c>
      <c r="E1966" s="460">
        <v>0</v>
      </c>
      <c r="G1966" s="1797"/>
      <c r="H1966" s="1777" t="s">
        <v>1238</v>
      </c>
      <c r="I1966" s="1742" t="s">
        <v>7747</v>
      </c>
      <c r="J1966" s="1779" t="s">
        <v>2937</v>
      </c>
      <c r="K1966" s="1780"/>
      <c r="L1966" s="1781"/>
      <c r="M1966" s="1781"/>
      <c r="N1966" s="1746"/>
      <c r="O1966" s="1782"/>
      <c r="P1966" s="1720"/>
    </row>
    <row r="1967" spans="1:16" ht="13.5" hidden="1" customHeight="1" outlineLevel="3" x14ac:dyDescent="0.2">
      <c r="A1967" s="459">
        <v>0</v>
      </c>
      <c r="B1967" s="459">
        <v>15</v>
      </c>
      <c r="C1967" s="459">
        <v>7</v>
      </c>
      <c r="D1967" s="460">
        <v>3</v>
      </c>
      <c r="E1967" s="460">
        <v>1</v>
      </c>
      <c r="G1967" s="1798" t="s">
        <v>50</v>
      </c>
      <c r="H1967" s="1783" t="s">
        <v>1239</v>
      </c>
      <c r="I1967" s="1750" t="s">
        <v>7748</v>
      </c>
      <c r="J1967" s="1785" t="s">
        <v>2921</v>
      </c>
      <c r="K1967" s="1786" t="s">
        <v>642</v>
      </c>
      <c r="L1967" s="1787" t="e">
        <v>#REF!</v>
      </c>
      <c r="M1967" s="1787">
        <v>788</v>
      </c>
      <c r="N1967" s="1754"/>
      <c r="O1967" s="1788" t="s">
        <v>2947</v>
      </c>
      <c r="P1967" s="1721" t="s">
        <v>9611</v>
      </c>
    </row>
    <row r="1968" spans="1:16" ht="13.5" hidden="1" customHeight="1" outlineLevel="3" x14ac:dyDescent="0.2">
      <c r="A1968" s="459">
        <v>0</v>
      </c>
      <c r="B1968" s="459">
        <v>15</v>
      </c>
      <c r="C1968" s="459">
        <v>7</v>
      </c>
      <c r="D1968" s="460">
        <v>3</v>
      </c>
      <c r="E1968" s="460">
        <v>2</v>
      </c>
      <c r="G1968" s="1798" t="s">
        <v>50</v>
      </c>
      <c r="H1968" s="1783" t="s">
        <v>1239</v>
      </c>
      <c r="I1968" s="1750" t="s">
        <v>7749</v>
      </c>
      <c r="J1968" s="1785" t="s">
        <v>2945</v>
      </c>
      <c r="K1968" s="1786" t="s">
        <v>642</v>
      </c>
      <c r="L1968" s="1787" t="e">
        <v>#REF!</v>
      </c>
      <c r="M1968" s="1787">
        <v>1080</v>
      </c>
      <c r="N1968" s="1754"/>
      <c r="O1968" s="1788" t="s">
        <v>2946</v>
      </c>
      <c r="P1968" s="1721" t="s">
        <v>9611</v>
      </c>
    </row>
    <row r="1969" spans="1:16" ht="13.5" hidden="1" customHeight="1" outlineLevel="2" x14ac:dyDescent="0.2">
      <c r="A1969" s="459">
        <v>0</v>
      </c>
      <c r="B1969" s="459">
        <v>15</v>
      </c>
      <c r="C1969" s="459">
        <v>7</v>
      </c>
      <c r="D1969" s="460">
        <v>4</v>
      </c>
      <c r="E1969" s="460">
        <v>0</v>
      </c>
      <c r="G1969" s="1797"/>
      <c r="H1969" s="1777" t="s">
        <v>1238</v>
      </c>
      <c r="I1969" s="1742" t="s">
        <v>7750</v>
      </c>
      <c r="J1969" s="1779" t="s">
        <v>15</v>
      </c>
      <c r="K1969" s="1780"/>
      <c r="L1969" s="1781"/>
      <c r="M1969" s="1781"/>
      <c r="N1969" s="1746"/>
      <c r="O1969" s="1782"/>
      <c r="P1969" s="1720"/>
    </row>
    <row r="1970" spans="1:16" ht="13.5" hidden="1" customHeight="1" outlineLevel="3" x14ac:dyDescent="0.2">
      <c r="A1970" s="459">
        <v>0</v>
      </c>
      <c r="B1970" s="459">
        <v>15</v>
      </c>
      <c r="C1970" s="459">
        <v>7</v>
      </c>
      <c r="D1970" s="460">
        <v>4</v>
      </c>
      <c r="E1970" s="460">
        <v>1</v>
      </c>
      <c r="G1970" s="1798" t="s">
        <v>47</v>
      </c>
      <c r="H1970" s="1783" t="s">
        <v>1239</v>
      </c>
      <c r="I1970" s="1750" t="s">
        <v>7751</v>
      </c>
      <c r="J1970" s="1785" t="s">
        <v>575</v>
      </c>
      <c r="K1970" s="1786" t="s">
        <v>642</v>
      </c>
      <c r="L1970" s="1787" t="e">
        <v>#REF!</v>
      </c>
      <c r="M1970" s="1787">
        <v>25</v>
      </c>
      <c r="N1970" s="1754"/>
      <c r="O1970" s="1788"/>
      <c r="P1970" s="1721" t="s">
        <v>9611</v>
      </c>
    </row>
    <row r="1971" spans="1:16" ht="13.5" hidden="1" customHeight="1" outlineLevel="1" x14ac:dyDescent="0.2">
      <c r="A1971" s="459">
        <v>0</v>
      </c>
      <c r="B1971" s="459">
        <v>15</v>
      </c>
      <c r="C1971" s="459">
        <v>8</v>
      </c>
      <c r="D1971" s="460">
        <v>0</v>
      </c>
      <c r="E1971" s="460">
        <v>1</v>
      </c>
      <c r="G1971" s="1796"/>
      <c r="H1971" s="1771" t="s">
        <v>39</v>
      </c>
      <c r="I1971" s="1735" t="s">
        <v>7752</v>
      </c>
      <c r="J1971" s="1773" t="s">
        <v>2965</v>
      </c>
      <c r="K1971" s="1774"/>
      <c r="L1971" s="1775"/>
      <c r="M1971" s="1775"/>
      <c r="N1971" s="1739"/>
      <c r="O1971" s="1776"/>
      <c r="P1971" s="1719"/>
    </row>
    <row r="1972" spans="1:16" ht="13.5" hidden="1" customHeight="1" outlineLevel="2" x14ac:dyDescent="0.2">
      <c r="A1972" s="459">
        <v>0</v>
      </c>
      <c r="B1972" s="459">
        <v>15</v>
      </c>
      <c r="C1972" s="459">
        <v>8</v>
      </c>
      <c r="D1972" s="460">
        <v>1</v>
      </c>
      <c r="E1972" s="460">
        <v>0</v>
      </c>
      <c r="G1972" s="1797"/>
      <c r="H1972" s="1777" t="s">
        <v>1238</v>
      </c>
      <c r="I1972" s="1742" t="s">
        <v>7753</v>
      </c>
      <c r="J1972" s="1779" t="s">
        <v>2743</v>
      </c>
      <c r="K1972" s="1780"/>
      <c r="L1972" s="1781"/>
      <c r="M1972" s="1781"/>
      <c r="N1972" s="1746"/>
      <c r="O1972" s="1782"/>
      <c r="P1972" s="1720"/>
    </row>
    <row r="1973" spans="1:16" ht="12.75" hidden="1" outlineLevel="3" x14ac:dyDescent="0.2">
      <c r="A1973" s="459">
        <v>0</v>
      </c>
      <c r="B1973" s="459">
        <v>15</v>
      </c>
      <c r="C1973" s="459">
        <v>8</v>
      </c>
      <c r="D1973" s="460">
        <v>1</v>
      </c>
      <c r="E1973" s="460">
        <v>1</v>
      </c>
      <c r="G1973" s="1798" t="s">
        <v>50</v>
      </c>
      <c r="H1973" s="1783" t="s">
        <v>1239</v>
      </c>
      <c r="I1973" s="1750" t="s">
        <v>7754</v>
      </c>
      <c r="J1973" s="1785" t="s">
        <v>564</v>
      </c>
      <c r="K1973" s="1786" t="s">
        <v>642</v>
      </c>
      <c r="L1973" s="1787" t="e">
        <v>#REF!</v>
      </c>
      <c r="M1973" s="1787">
        <v>137.29</v>
      </c>
      <c r="N1973" s="1754"/>
      <c r="O1973" s="1788"/>
      <c r="P1973" s="1721" t="s">
        <v>9611</v>
      </c>
    </row>
    <row r="1974" spans="1:16" ht="13.5" hidden="1" customHeight="1" outlineLevel="3" x14ac:dyDescent="0.2">
      <c r="A1974" s="459">
        <v>0</v>
      </c>
      <c r="B1974" s="459">
        <v>15</v>
      </c>
      <c r="C1974" s="459">
        <v>8</v>
      </c>
      <c r="D1974" s="460">
        <v>1</v>
      </c>
      <c r="E1974" s="460">
        <v>2</v>
      </c>
      <c r="G1974" s="1798" t="s">
        <v>50</v>
      </c>
      <c r="H1974" s="1783" t="s">
        <v>1239</v>
      </c>
      <c r="I1974" s="1750" t="s">
        <v>7755</v>
      </c>
      <c r="J1974" s="1785" t="s">
        <v>565</v>
      </c>
      <c r="K1974" s="1786" t="s">
        <v>788</v>
      </c>
      <c r="L1974" s="1787" t="e">
        <v>#REF!</v>
      </c>
      <c r="M1974" s="1787">
        <v>49.424399999999999</v>
      </c>
      <c r="N1974" s="1754"/>
      <c r="O1974" s="1788"/>
      <c r="P1974" s="1721" t="s">
        <v>9611</v>
      </c>
    </row>
    <row r="1975" spans="1:16" ht="13.5" hidden="1" customHeight="1" outlineLevel="3" x14ac:dyDescent="0.2">
      <c r="A1975" s="459">
        <v>0</v>
      </c>
      <c r="B1975" s="459">
        <v>15</v>
      </c>
      <c r="C1975" s="459">
        <v>8</v>
      </c>
      <c r="D1975" s="460">
        <v>1</v>
      </c>
      <c r="E1975" s="460">
        <v>3</v>
      </c>
      <c r="G1975" s="1798" t="s">
        <v>50</v>
      </c>
      <c r="H1975" s="1783" t="s">
        <v>1239</v>
      </c>
      <c r="I1975" s="1750" t="s">
        <v>7756</v>
      </c>
      <c r="J1975" s="1785" t="s">
        <v>2933</v>
      </c>
      <c r="K1975" s="1786" t="s">
        <v>788</v>
      </c>
      <c r="L1975" s="1787" t="e">
        <v>#REF!</v>
      </c>
      <c r="M1975" s="1787">
        <v>61.780500000000004</v>
      </c>
      <c r="N1975" s="1754"/>
      <c r="O1975" s="1788"/>
      <c r="P1975" s="1721" t="s">
        <v>9611</v>
      </c>
    </row>
    <row r="1976" spans="1:16" ht="13.5" hidden="1" customHeight="1" outlineLevel="3" x14ac:dyDescent="0.2">
      <c r="A1976" s="459">
        <v>0</v>
      </c>
      <c r="B1976" s="459">
        <v>15</v>
      </c>
      <c r="C1976" s="459">
        <v>8</v>
      </c>
      <c r="D1976" s="460">
        <v>1</v>
      </c>
      <c r="E1976" s="460">
        <v>4</v>
      </c>
      <c r="G1976" s="1798" t="s">
        <v>50</v>
      </c>
      <c r="H1976" s="1783" t="s">
        <v>1239</v>
      </c>
      <c r="I1976" s="1750" t="s">
        <v>7757</v>
      </c>
      <c r="J1976" s="1785" t="s">
        <v>2931</v>
      </c>
      <c r="K1976" s="1786" t="s">
        <v>788</v>
      </c>
      <c r="L1976" s="1787" t="e">
        <v>#REF!</v>
      </c>
      <c r="M1976" s="1787">
        <v>116.6965</v>
      </c>
      <c r="N1976" s="1754"/>
      <c r="O1976" s="1788"/>
      <c r="P1976" s="1721" t="s">
        <v>9611</v>
      </c>
    </row>
    <row r="1977" spans="1:16" ht="13.5" hidden="1" customHeight="1" outlineLevel="2" x14ac:dyDescent="0.2">
      <c r="A1977" s="459">
        <v>0</v>
      </c>
      <c r="B1977" s="459">
        <v>15</v>
      </c>
      <c r="C1977" s="459">
        <v>8</v>
      </c>
      <c r="D1977" s="460">
        <v>2</v>
      </c>
      <c r="E1977" s="460">
        <v>0</v>
      </c>
      <c r="G1977" s="1797"/>
      <c r="H1977" s="1777" t="s">
        <v>1238</v>
      </c>
      <c r="I1977" s="1742" t="s">
        <v>7758</v>
      </c>
      <c r="J1977" s="1779" t="s">
        <v>2937</v>
      </c>
      <c r="K1977" s="1780"/>
      <c r="L1977" s="1781"/>
      <c r="M1977" s="1781"/>
      <c r="N1977" s="1746"/>
      <c r="O1977" s="1782"/>
      <c r="P1977" s="1720"/>
    </row>
    <row r="1978" spans="1:16" ht="13.5" hidden="1" customHeight="1" outlineLevel="3" x14ac:dyDescent="0.2">
      <c r="A1978" s="459">
        <v>0</v>
      </c>
      <c r="B1978" s="459">
        <v>15</v>
      </c>
      <c r="C1978" s="459">
        <v>8</v>
      </c>
      <c r="D1978" s="460">
        <v>2</v>
      </c>
      <c r="E1978" s="460">
        <v>1</v>
      </c>
      <c r="G1978" s="1798" t="s">
        <v>50</v>
      </c>
      <c r="H1978" s="1783" t="s">
        <v>1239</v>
      </c>
      <c r="I1978" s="1750" t="s">
        <v>7759</v>
      </c>
      <c r="J1978" s="1785" t="s">
        <v>2934</v>
      </c>
      <c r="K1978" s="1786" t="s">
        <v>642</v>
      </c>
      <c r="L1978" s="1787" t="e">
        <v>#REF!</v>
      </c>
      <c r="M1978" s="1787">
        <v>1056</v>
      </c>
      <c r="N1978" s="1754"/>
      <c r="O1978" s="1788" t="s">
        <v>2557</v>
      </c>
      <c r="P1978" s="1721" t="s">
        <v>9611</v>
      </c>
    </row>
    <row r="1979" spans="1:16" ht="13.5" hidden="1" customHeight="1" outlineLevel="3" x14ac:dyDescent="0.2">
      <c r="A1979" s="459">
        <v>0</v>
      </c>
      <c r="B1979" s="459">
        <v>15</v>
      </c>
      <c r="C1979" s="459">
        <v>8</v>
      </c>
      <c r="D1979" s="460">
        <v>2</v>
      </c>
      <c r="E1979" s="460">
        <v>2</v>
      </c>
      <c r="G1979" s="1798" t="s">
        <v>50</v>
      </c>
      <c r="H1979" s="1783" t="s">
        <v>1239</v>
      </c>
      <c r="I1979" s="1750" t="s">
        <v>7760</v>
      </c>
      <c r="J1979" s="1785" t="s">
        <v>2939</v>
      </c>
      <c r="K1979" s="1786" t="s">
        <v>642</v>
      </c>
      <c r="L1979" s="1787" t="e">
        <v>#REF!</v>
      </c>
      <c r="M1979" s="1787">
        <v>737</v>
      </c>
      <c r="N1979" s="1754"/>
      <c r="O1979" s="1788" t="s">
        <v>2948</v>
      </c>
      <c r="P1979" s="1721" t="s">
        <v>9611</v>
      </c>
    </row>
    <row r="1980" spans="1:16" ht="13.5" hidden="1" customHeight="1" outlineLevel="3" x14ac:dyDescent="0.2">
      <c r="A1980" s="459">
        <v>0</v>
      </c>
      <c r="B1980" s="459">
        <v>15</v>
      </c>
      <c r="C1980" s="459">
        <v>8</v>
      </c>
      <c r="D1980" s="460">
        <v>2</v>
      </c>
      <c r="E1980" s="460">
        <v>3</v>
      </c>
      <c r="G1980" s="1798" t="s">
        <v>50</v>
      </c>
      <c r="H1980" s="1783" t="s">
        <v>1239</v>
      </c>
      <c r="I1980" s="1750" t="s">
        <v>7761</v>
      </c>
      <c r="J1980" s="1785" t="s">
        <v>2949</v>
      </c>
      <c r="K1980" s="1786" t="s">
        <v>642</v>
      </c>
      <c r="L1980" s="1787" t="e">
        <v>#REF!</v>
      </c>
      <c r="M1980" s="1787">
        <v>330</v>
      </c>
      <c r="N1980" s="1754"/>
      <c r="O1980" s="1788" t="s">
        <v>2948</v>
      </c>
      <c r="P1980" s="1721" t="s">
        <v>9611</v>
      </c>
    </row>
    <row r="1981" spans="1:16" ht="13.5" hidden="1" customHeight="1" outlineLevel="3" x14ac:dyDescent="0.2">
      <c r="A1981" s="459">
        <v>0</v>
      </c>
      <c r="B1981" s="459">
        <v>15</v>
      </c>
      <c r="C1981" s="459">
        <v>8</v>
      </c>
      <c r="D1981" s="460">
        <v>2</v>
      </c>
      <c r="E1981" s="460">
        <v>4</v>
      </c>
      <c r="G1981" s="1798" t="s">
        <v>50</v>
      </c>
      <c r="H1981" s="1783" t="s">
        <v>1239</v>
      </c>
      <c r="I1981" s="1750" t="s">
        <v>7762</v>
      </c>
      <c r="J1981" s="1785" t="s">
        <v>2921</v>
      </c>
      <c r="K1981" s="1786" t="s">
        <v>642</v>
      </c>
      <c r="L1981" s="1787" t="e">
        <v>#REF!</v>
      </c>
      <c r="M1981" s="1787">
        <v>788</v>
      </c>
      <c r="N1981" s="1754"/>
      <c r="O1981" s="1788" t="s">
        <v>2947</v>
      </c>
      <c r="P1981" s="1721" t="s">
        <v>9611</v>
      </c>
    </row>
    <row r="1982" spans="1:16" ht="13.5" hidden="1" customHeight="1" outlineLevel="3" x14ac:dyDescent="0.2">
      <c r="A1982" s="459">
        <v>0</v>
      </c>
      <c r="B1982" s="459">
        <v>15</v>
      </c>
      <c r="C1982" s="459">
        <v>8</v>
      </c>
      <c r="D1982" s="460">
        <v>2</v>
      </c>
      <c r="E1982" s="460">
        <v>5</v>
      </c>
      <c r="G1982" s="1798" t="s">
        <v>50</v>
      </c>
      <c r="H1982" s="1783" t="s">
        <v>1239</v>
      </c>
      <c r="I1982" s="1750" t="s">
        <v>7763</v>
      </c>
      <c r="J1982" s="1785" t="s">
        <v>2909</v>
      </c>
      <c r="K1982" s="1786" t="s">
        <v>642</v>
      </c>
      <c r="L1982" s="1787" t="e">
        <v>#REF!</v>
      </c>
      <c r="M1982" s="1787">
        <v>985.16483516483504</v>
      </c>
      <c r="N1982" s="1754"/>
      <c r="O1982" s="1788" t="s">
        <v>2950</v>
      </c>
      <c r="P1982" s="1721" t="s">
        <v>9611</v>
      </c>
    </row>
    <row r="1983" spans="1:16" ht="13.5" hidden="1" customHeight="1" outlineLevel="3" x14ac:dyDescent="0.2">
      <c r="A1983" s="459">
        <v>0</v>
      </c>
      <c r="B1983" s="459">
        <v>15</v>
      </c>
      <c r="C1983" s="459">
        <v>8</v>
      </c>
      <c r="D1983" s="460">
        <v>2</v>
      </c>
      <c r="E1983" s="460">
        <v>6</v>
      </c>
      <c r="G1983" s="1798" t="s">
        <v>50</v>
      </c>
      <c r="H1983" s="1783" t="s">
        <v>1239</v>
      </c>
      <c r="I1983" s="1750" t="s">
        <v>7764</v>
      </c>
      <c r="J1983" s="1785" t="s">
        <v>2951</v>
      </c>
      <c r="K1983" s="1786" t="s">
        <v>642</v>
      </c>
      <c r="L1983" s="1787" t="e">
        <v>#REF!</v>
      </c>
      <c r="M1983" s="1787">
        <v>283.61635220125788</v>
      </c>
      <c r="N1983" s="1754"/>
      <c r="O1983" s="1788" t="s">
        <v>2952</v>
      </c>
      <c r="P1983" s="1721" t="s">
        <v>9611</v>
      </c>
    </row>
    <row r="1984" spans="1:16" ht="13.5" hidden="1" customHeight="1" outlineLevel="1" x14ac:dyDescent="0.2">
      <c r="A1984" s="459">
        <v>0</v>
      </c>
      <c r="B1984" s="459">
        <v>15</v>
      </c>
      <c r="C1984" s="459">
        <v>9</v>
      </c>
      <c r="D1984" s="460">
        <v>0</v>
      </c>
      <c r="E1984" s="460">
        <v>6</v>
      </c>
      <c r="G1984" s="1796"/>
      <c r="H1984" s="1771" t="s">
        <v>39</v>
      </c>
      <c r="I1984" s="1735" t="s">
        <v>7765</v>
      </c>
      <c r="J1984" s="1773" t="s">
        <v>2966</v>
      </c>
      <c r="K1984" s="1774"/>
      <c r="L1984" s="1775"/>
      <c r="M1984" s="1775"/>
      <c r="N1984" s="1739"/>
      <c r="O1984" s="1776"/>
      <c r="P1984" s="1719"/>
    </row>
    <row r="1985" spans="1:16" ht="13.5" hidden="1" customHeight="1" outlineLevel="2" x14ac:dyDescent="0.2">
      <c r="A1985" s="459">
        <v>0</v>
      </c>
      <c r="B1985" s="459">
        <v>15</v>
      </c>
      <c r="C1985" s="459">
        <v>9</v>
      </c>
      <c r="D1985" s="460">
        <v>1</v>
      </c>
      <c r="E1985" s="460">
        <v>0</v>
      </c>
      <c r="G1985" s="1797"/>
      <c r="H1985" s="1777" t="s">
        <v>1238</v>
      </c>
      <c r="I1985" s="1742" t="s">
        <v>7766</v>
      </c>
      <c r="J1985" s="1779" t="s">
        <v>2743</v>
      </c>
      <c r="K1985" s="1780"/>
      <c r="L1985" s="1781"/>
      <c r="M1985" s="1781"/>
      <c r="N1985" s="1746"/>
      <c r="O1985" s="1782"/>
      <c r="P1985" s="1720"/>
    </row>
    <row r="1986" spans="1:16" ht="12.75" hidden="1" outlineLevel="3" x14ac:dyDescent="0.2">
      <c r="A1986" s="459">
        <v>0</v>
      </c>
      <c r="B1986" s="459">
        <v>15</v>
      </c>
      <c r="C1986" s="459">
        <v>9</v>
      </c>
      <c r="D1986" s="460">
        <v>1</v>
      </c>
      <c r="E1986" s="460">
        <v>1</v>
      </c>
      <c r="G1986" s="1798" t="s">
        <v>50</v>
      </c>
      <c r="H1986" s="1783" t="s">
        <v>1239</v>
      </c>
      <c r="I1986" s="1750" t="s">
        <v>7767</v>
      </c>
      <c r="J1986" s="1785" t="s">
        <v>564</v>
      </c>
      <c r="K1986" s="1786" t="s">
        <v>642</v>
      </c>
      <c r="L1986" s="1787" t="e">
        <v>#REF!</v>
      </c>
      <c r="M1986" s="1787">
        <v>137.29</v>
      </c>
      <c r="N1986" s="1754"/>
      <c r="O1986" s="1788"/>
      <c r="P1986" s="1721" t="s">
        <v>9611</v>
      </c>
    </row>
    <row r="1987" spans="1:16" ht="13.5" hidden="1" customHeight="1" outlineLevel="3" x14ac:dyDescent="0.2">
      <c r="A1987" s="459">
        <v>0</v>
      </c>
      <c r="B1987" s="459">
        <v>15</v>
      </c>
      <c r="C1987" s="459">
        <v>9</v>
      </c>
      <c r="D1987" s="460">
        <v>1</v>
      </c>
      <c r="E1987" s="460">
        <v>2</v>
      </c>
      <c r="G1987" s="1798" t="s">
        <v>50</v>
      </c>
      <c r="H1987" s="1783" t="s">
        <v>1239</v>
      </c>
      <c r="I1987" s="1750" t="s">
        <v>7768</v>
      </c>
      <c r="J1987" s="1785" t="s">
        <v>566</v>
      </c>
      <c r="K1987" s="1786" t="s">
        <v>642</v>
      </c>
      <c r="L1987" s="1787" t="e">
        <v>#REF!</v>
      </c>
      <c r="M1987" s="1787">
        <v>164.74799999999999</v>
      </c>
      <c r="N1987" s="1754"/>
      <c r="O1987" s="1788"/>
      <c r="P1987" s="1721" t="s">
        <v>9611</v>
      </c>
    </row>
    <row r="1988" spans="1:16" ht="13.5" hidden="1" customHeight="1" outlineLevel="3" x14ac:dyDescent="0.2">
      <c r="A1988" s="459">
        <v>0</v>
      </c>
      <c r="B1988" s="459">
        <v>15</v>
      </c>
      <c r="C1988" s="459">
        <v>9</v>
      </c>
      <c r="D1988" s="460">
        <v>1</v>
      </c>
      <c r="E1988" s="460">
        <v>3</v>
      </c>
      <c r="G1988" s="1798" t="s">
        <v>50</v>
      </c>
      <c r="H1988" s="1783" t="s">
        <v>1239</v>
      </c>
      <c r="I1988" s="1750" t="s">
        <v>7769</v>
      </c>
      <c r="J1988" s="1785" t="s">
        <v>567</v>
      </c>
      <c r="K1988" s="1786" t="s">
        <v>788</v>
      </c>
      <c r="L1988" s="1787" t="e">
        <v>#REF!</v>
      </c>
      <c r="M1988" s="1787">
        <v>49.424399999999999</v>
      </c>
      <c r="N1988" s="1754"/>
      <c r="O1988" s="1788"/>
      <c r="P1988" s="1721" t="s">
        <v>9611</v>
      </c>
    </row>
    <row r="1989" spans="1:16" ht="13.5" hidden="1" customHeight="1" outlineLevel="3" x14ac:dyDescent="0.2">
      <c r="A1989" s="459">
        <v>0</v>
      </c>
      <c r="B1989" s="459">
        <v>15</v>
      </c>
      <c r="C1989" s="459">
        <v>9</v>
      </c>
      <c r="D1989" s="460">
        <v>1</v>
      </c>
      <c r="E1989" s="460">
        <v>4</v>
      </c>
      <c r="G1989" s="1798" t="s">
        <v>50</v>
      </c>
      <c r="H1989" s="1783" t="s">
        <v>1239</v>
      </c>
      <c r="I1989" s="1750" t="s">
        <v>7770</v>
      </c>
      <c r="J1989" s="1785" t="s">
        <v>565</v>
      </c>
      <c r="K1989" s="1786" t="s">
        <v>788</v>
      </c>
      <c r="L1989" s="1787" t="e">
        <v>#REF!</v>
      </c>
      <c r="M1989" s="1787">
        <v>49.424399999999999</v>
      </c>
      <c r="N1989" s="1754"/>
      <c r="O1989" s="1788"/>
      <c r="P1989" s="1721" t="s">
        <v>9611</v>
      </c>
    </row>
    <row r="1990" spans="1:16" ht="12.75" hidden="1" outlineLevel="3" x14ac:dyDescent="0.2">
      <c r="A1990" s="459">
        <v>0</v>
      </c>
      <c r="B1990" s="459">
        <v>15</v>
      </c>
      <c r="C1990" s="459">
        <v>9</v>
      </c>
      <c r="D1990" s="460">
        <v>1</v>
      </c>
      <c r="E1990" s="460">
        <v>5</v>
      </c>
      <c r="G1990" s="1798" t="s">
        <v>50</v>
      </c>
      <c r="H1990" s="1783" t="s">
        <v>1239</v>
      </c>
      <c r="I1990" s="1750" t="s">
        <v>7771</v>
      </c>
      <c r="J1990" s="1785" t="s">
        <v>2932</v>
      </c>
      <c r="K1990" s="1786" t="s">
        <v>788</v>
      </c>
      <c r="L1990" s="1787" t="e">
        <v>#REF!</v>
      </c>
      <c r="M1990" s="1787">
        <v>82.373999999999995</v>
      </c>
      <c r="N1990" s="1754"/>
      <c r="O1990" s="1788"/>
      <c r="P1990" s="1721" t="s">
        <v>9611</v>
      </c>
    </row>
    <row r="1991" spans="1:16" ht="13.5" hidden="1" customHeight="1" outlineLevel="1" x14ac:dyDescent="0.2">
      <c r="A1991" s="459">
        <v>0</v>
      </c>
      <c r="B1991" s="459">
        <v>15</v>
      </c>
      <c r="C1991" s="459">
        <v>10</v>
      </c>
      <c r="D1991" s="460">
        <v>0</v>
      </c>
      <c r="E1991" s="460">
        <v>5</v>
      </c>
      <c r="G1991" s="1796"/>
      <c r="H1991" s="1771" t="s">
        <v>39</v>
      </c>
      <c r="I1991" s="1735" t="s">
        <v>7772</v>
      </c>
      <c r="J1991" s="1773" t="s">
        <v>2967</v>
      </c>
      <c r="K1991" s="1774"/>
      <c r="L1991" s="1775"/>
      <c r="M1991" s="1775"/>
      <c r="N1991" s="1739"/>
      <c r="O1991" s="1776"/>
      <c r="P1991" s="1719"/>
    </row>
    <row r="1992" spans="1:16" ht="13.5" hidden="1" customHeight="1" outlineLevel="2" x14ac:dyDescent="0.2">
      <c r="A1992" s="459">
        <v>0</v>
      </c>
      <c r="B1992" s="459">
        <v>15</v>
      </c>
      <c r="C1992" s="459">
        <v>10</v>
      </c>
      <c r="D1992" s="460">
        <v>1</v>
      </c>
      <c r="E1992" s="460">
        <v>0</v>
      </c>
      <c r="G1992" s="1797"/>
      <c r="H1992" s="1777" t="s">
        <v>1238</v>
      </c>
      <c r="I1992" s="1742" t="s">
        <v>7773</v>
      </c>
      <c r="J1992" s="1779" t="s">
        <v>2743</v>
      </c>
      <c r="K1992" s="1780"/>
      <c r="L1992" s="1781"/>
      <c r="M1992" s="1781"/>
      <c r="N1992" s="1746"/>
      <c r="O1992" s="1782"/>
      <c r="P1992" s="1720"/>
    </row>
    <row r="1993" spans="1:16" ht="12.75" hidden="1" outlineLevel="3" x14ac:dyDescent="0.2">
      <c r="A1993" s="459">
        <v>0</v>
      </c>
      <c r="B1993" s="459">
        <v>15</v>
      </c>
      <c r="C1993" s="459">
        <v>10</v>
      </c>
      <c r="D1993" s="460">
        <v>1</v>
      </c>
      <c r="E1993" s="460">
        <v>1</v>
      </c>
      <c r="G1993" s="1798" t="s">
        <v>50</v>
      </c>
      <c r="H1993" s="1783" t="s">
        <v>1239</v>
      </c>
      <c r="I1993" s="1750" t="s">
        <v>7774</v>
      </c>
      <c r="J1993" s="1785" t="s">
        <v>564</v>
      </c>
      <c r="K1993" s="1786" t="s">
        <v>642</v>
      </c>
      <c r="L1993" s="1787" t="e">
        <v>#REF!</v>
      </c>
      <c r="M1993" s="1787">
        <v>137.29</v>
      </c>
      <c r="N1993" s="1754"/>
      <c r="O1993" s="1788"/>
      <c r="P1993" s="1721" t="s">
        <v>9611</v>
      </c>
    </row>
    <row r="1994" spans="1:16" ht="13.5" hidden="1" customHeight="1" outlineLevel="3" x14ac:dyDescent="0.2">
      <c r="A1994" s="459">
        <v>0</v>
      </c>
      <c r="B1994" s="459">
        <v>15</v>
      </c>
      <c r="C1994" s="459">
        <v>10</v>
      </c>
      <c r="D1994" s="460">
        <v>1</v>
      </c>
      <c r="E1994" s="460">
        <v>2</v>
      </c>
      <c r="G1994" s="1798" t="s">
        <v>50</v>
      </c>
      <c r="H1994" s="1783" t="s">
        <v>1239</v>
      </c>
      <c r="I1994" s="1750" t="s">
        <v>7775</v>
      </c>
      <c r="J1994" s="1785" t="s">
        <v>566</v>
      </c>
      <c r="K1994" s="1786" t="s">
        <v>642</v>
      </c>
      <c r="L1994" s="1787" t="e">
        <v>#REF!</v>
      </c>
      <c r="M1994" s="1787">
        <v>164.74799999999999</v>
      </c>
      <c r="N1994" s="1754"/>
      <c r="O1994" s="1788"/>
      <c r="P1994" s="1721" t="s">
        <v>9611</v>
      </c>
    </row>
    <row r="1995" spans="1:16" ht="13.5" hidden="1" customHeight="1" outlineLevel="3" x14ac:dyDescent="0.2">
      <c r="A1995" s="459">
        <v>0</v>
      </c>
      <c r="B1995" s="459">
        <v>15</v>
      </c>
      <c r="C1995" s="459">
        <v>10</v>
      </c>
      <c r="D1995" s="460">
        <v>1</v>
      </c>
      <c r="E1995" s="460">
        <v>3</v>
      </c>
      <c r="G1995" s="1798" t="s">
        <v>50</v>
      </c>
      <c r="H1995" s="1783" t="s">
        <v>1239</v>
      </c>
      <c r="I1995" s="1750" t="s">
        <v>7776</v>
      </c>
      <c r="J1995" s="1785" t="s">
        <v>567</v>
      </c>
      <c r="K1995" s="1786" t="s">
        <v>788</v>
      </c>
      <c r="L1995" s="1787" t="e">
        <v>#REF!</v>
      </c>
      <c r="M1995" s="1787">
        <v>49.424399999999999</v>
      </c>
      <c r="N1995" s="1754"/>
      <c r="O1995" s="1788"/>
      <c r="P1995" s="1721" t="s">
        <v>9611</v>
      </c>
    </row>
    <row r="1996" spans="1:16" ht="13.5" hidden="1" customHeight="1" outlineLevel="3" x14ac:dyDescent="0.2">
      <c r="A1996" s="459">
        <v>0</v>
      </c>
      <c r="B1996" s="459">
        <v>15</v>
      </c>
      <c r="C1996" s="459">
        <v>10</v>
      </c>
      <c r="D1996" s="460">
        <v>1</v>
      </c>
      <c r="E1996" s="460">
        <v>4</v>
      </c>
      <c r="G1996" s="1798" t="s">
        <v>50</v>
      </c>
      <c r="H1996" s="1783" t="s">
        <v>1239</v>
      </c>
      <c r="I1996" s="1750" t="s">
        <v>7777</v>
      </c>
      <c r="J1996" s="1785" t="s">
        <v>565</v>
      </c>
      <c r="K1996" s="1786" t="s">
        <v>788</v>
      </c>
      <c r="L1996" s="1787" t="e">
        <v>#REF!</v>
      </c>
      <c r="M1996" s="1787">
        <v>49.424399999999999</v>
      </c>
      <c r="N1996" s="1754"/>
      <c r="O1996" s="1788"/>
      <c r="P1996" s="1721" t="s">
        <v>9611</v>
      </c>
    </row>
    <row r="1997" spans="1:16" ht="12.75" hidden="1" outlineLevel="3" x14ac:dyDescent="0.2">
      <c r="A1997" s="459">
        <v>0</v>
      </c>
      <c r="B1997" s="459">
        <v>15</v>
      </c>
      <c r="C1997" s="459">
        <v>10</v>
      </c>
      <c r="D1997" s="460">
        <v>1</v>
      </c>
      <c r="E1997" s="460">
        <v>5</v>
      </c>
      <c r="G1997" s="1798" t="s">
        <v>50</v>
      </c>
      <c r="H1997" s="1783" t="s">
        <v>1239</v>
      </c>
      <c r="I1997" s="1750" t="s">
        <v>7778</v>
      </c>
      <c r="J1997" s="1785" t="s">
        <v>2932</v>
      </c>
      <c r="K1997" s="1786" t="s">
        <v>788</v>
      </c>
      <c r="L1997" s="1787" t="e">
        <v>#REF!</v>
      </c>
      <c r="M1997" s="1787">
        <v>82.373999999999995</v>
      </c>
      <c r="N1997" s="1754"/>
      <c r="O1997" s="1788"/>
      <c r="P1997" s="1721" t="s">
        <v>9611</v>
      </c>
    </row>
    <row r="1998" spans="1:16" ht="13.5" hidden="1" customHeight="1" outlineLevel="1" x14ac:dyDescent="0.2">
      <c r="A1998" s="459">
        <v>0</v>
      </c>
      <c r="B1998" s="459">
        <v>15</v>
      </c>
      <c r="C1998" s="459">
        <v>11</v>
      </c>
      <c r="D1998" s="460">
        <v>0</v>
      </c>
      <c r="E1998" s="460">
        <v>5</v>
      </c>
      <c r="G1998" s="1796"/>
      <c r="H1998" s="1771" t="s">
        <v>39</v>
      </c>
      <c r="I1998" s="1735" t="s">
        <v>7779</v>
      </c>
      <c r="J1998" s="1773" t="s">
        <v>2968</v>
      </c>
      <c r="K1998" s="1774"/>
      <c r="L1998" s="1775"/>
      <c r="M1998" s="1775"/>
      <c r="N1998" s="1739"/>
      <c r="O1998" s="1776"/>
      <c r="P1998" s="1719"/>
    </row>
    <row r="1999" spans="1:16" ht="13.5" hidden="1" customHeight="1" outlineLevel="2" x14ac:dyDescent="0.2">
      <c r="A1999" s="459">
        <v>0</v>
      </c>
      <c r="B1999" s="459">
        <v>15</v>
      </c>
      <c r="C1999" s="459">
        <v>11</v>
      </c>
      <c r="D1999" s="460">
        <v>1</v>
      </c>
      <c r="E1999" s="460">
        <v>0</v>
      </c>
      <c r="G1999" s="1797"/>
      <c r="H1999" s="1777" t="s">
        <v>1238</v>
      </c>
      <c r="I1999" s="1742" t="s">
        <v>7780</v>
      </c>
      <c r="J1999" s="1779" t="s">
        <v>2743</v>
      </c>
      <c r="K1999" s="1780"/>
      <c r="L1999" s="1781"/>
      <c r="M1999" s="1781"/>
      <c r="N1999" s="1746"/>
      <c r="O1999" s="1782"/>
      <c r="P1999" s="1720"/>
    </row>
    <row r="2000" spans="1:16" ht="12.75" hidden="1" outlineLevel="3" x14ac:dyDescent="0.2">
      <c r="A2000" s="459">
        <v>0</v>
      </c>
      <c r="B2000" s="459">
        <v>15</v>
      </c>
      <c r="C2000" s="459">
        <v>11</v>
      </c>
      <c r="D2000" s="460">
        <v>1</v>
      </c>
      <c r="E2000" s="460">
        <v>1</v>
      </c>
      <c r="G2000" s="1798" t="s">
        <v>50</v>
      </c>
      <c r="H2000" s="1783" t="s">
        <v>1239</v>
      </c>
      <c r="I2000" s="1750" t="s">
        <v>7781</v>
      </c>
      <c r="J2000" s="1785" t="s">
        <v>564</v>
      </c>
      <c r="K2000" s="1786" t="s">
        <v>642</v>
      </c>
      <c r="L2000" s="1787" t="e">
        <v>#REF!</v>
      </c>
      <c r="M2000" s="1787">
        <v>137.29</v>
      </c>
      <c r="N2000" s="1754"/>
      <c r="O2000" s="1788"/>
      <c r="P2000" s="1721" t="s">
        <v>9611</v>
      </c>
    </row>
    <row r="2001" spans="1:16" ht="13.5" hidden="1" customHeight="1" outlineLevel="3" x14ac:dyDescent="0.2">
      <c r="A2001" s="459">
        <v>0</v>
      </c>
      <c r="B2001" s="459">
        <v>15</v>
      </c>
      <c r="C2001" s="459">
        <v>11</v>
      </c>
      <c r="D2001" s="460">
        <v>1</v>
      </c>
      <c r="E2001" s="460">
        <v>2</v>
      </c>
      <c r="G2001" s="1798" t="s">
        <v>50</v>
      </c>
      <c r="H2001" s="1783" t="s">
        <v>1239</v>
      </c>
      <c r="I2001" s="1750" t="s">
        <v>7782</v>
      </c>
      <c r="J2001" s="1785" t="s">
        <v>566</v>
      </c>
      <c r="K2001" s="1786" t="s">
        <v>642</v>
      </c>
      <c r="L2001" s="1787" t="e">
        <v>#REF!</v>
      </c>
      <c r="M2001" s="1787">
        <v>164.74799999999999</v>
      </c>
      <c r="N2001" s="1754"/>
      <c r="O2001" s="1788"/>
      <c r="P2001" s="1721" t="s">
        <v>9611</v>
      </c>
    </row>
    <row r="2002" spans="1:16" ht="13.5" hidden="1" customHeight="1" outlineLevel="3" x14ac:dyDescent="0.2">
      <c r="A2002" s="459">
        <v>0</v>
      </c>
      <c r="B2002" s="459">
        <v>15</v>
      </c>
      <c r="C2002" s="459">
        <v>11</v>
      </c>
      <c r="D2002" s="460">
        <v>1</v>
      </c>
      <c r="E2002" s="460">
        <v>3</v>
      </c>
      <c r="G2002" s="1798" t="s">
        <v>50</v>
      </c>
      <c r="H2002" s="1783" t="s">
        <v>1239</v>
      </c>
      <c r="I2002" s="1750" t="s">
        <v>7783</v>
      </c>
      <c r="J2002" s="1785" t="s">
        <v>567</v>
      </c>
      <c r="K2002" s="1786" t="s">
        <v>788</v>
      </c>
      <c r="L2002" s="1787" t="e">
        <v>#REF!</v>
      </c>
      <c r="M2002" s="1787">
        <v>49.424399999999999</v>
      </c>
      <c r="N2002" s="1754"/>
      <c r="O2002" s="1788"/>
      <c r="P2002" s="1721" t="s">
        <v>9611</v>
      </c>
    </row>
    <row r="2003" spans="1:16" ht="13.5" hidden="1" customHeight="1" outlineLevel="3" x14ac:dyDescent="0.2">
      <c r="A2003" s="459">
        <v>0</v>
      </c>
      <c r="B2003" s="459">
        <v>15</v>
      </c>
      <c r="C2003" s="459">
        <v>11</v>
      </c>
      <c r="D2003" s="460">
        <v>1</v>
      </c>
      <c r="E2003" s="460">
        <v>4</v>
      </c>
      <c r="G2003" s="1798" t="s">
        <v>50</v>
      </c>
      <c r="H2003" s="1783" t="s">
        <v>1239</v>
      </c>
      <c r="I2003" s="1750" t="s">
        <v>7784</v>
      </c>
      <c r="J2003" s="1785" t="s">
        <v>565</v>
      </c>
      <c r="K2003" s="1786" t="s">
        <v>788</v>
      </c>
      <c r="L2003" s="1787" t="e">
        <v>#REF!</v>
      </c>
      <c r="M2003" s="1787">
        <v>49.424399999999999</v>
      </c>
      <c r="N2003" s="1754"/>
      <c r="O2003" s="1788"/>
      <c r="P2003" s="1721" t="s">
        <v>9611</v>
      </c>
    </row>
    <row r="2004" spans="1:16" ht="12.75" hidden="1" outlineLevel="3" x14ac:dyDescent="0.2">
      <c r="A2004" s="459">
        <v>0</v>
      </c>
      <c r="B2004" s="459">
        <v>15</v>
      </c>
      <c r="C2004" s="459">
        <v>11</v>
      </c>
      <c r="D2004" s="460">
        <v>1</v>
      </c>
      <c r="E2004" s="460">
        <v>5</v>
      </c>
      <c r="G2004" s="1798" t="s">
        <v>50</v>
      </c>
      <c r="H2004" s="1783" t="s">
        <v>1239</v>
      </c>
      <c r="I2004" s="1750" t="s">
        <v>7785</v>
      </c>
      <c r="J2004" s="1785" t="s">
        <v>2932</v>
      </c>
      <c r="K2004" s="1786" t="s">
        <v>788</v>
      </c>
      <c r="L2004" s="1787" t="e">
        <v>#REF!</v>
      </c>
      <c r="M2004" s="1787">
        <v>82.373999999999995</v>
      </c>
      <c r="N2004" s="1754"/>
      <c r="O2004" s="1788"/>
      <c r="P2004" s="1721" t="s">
        <v>9611</v>
      </c>
    </row>
    <row r="2005" spans="1:16" ht="13.5" hidden="1" customHeight="1" outlineLevel="1" x14ac:dyDescent="0.2">
      <c r="A2005" s="459">
        <v>0</v>
      </c>
      <c r="B2005" s="459">
        <v>15</v>
      </c>
      <c r="C2005" s="459">
        <v>12</v>
      </c>
      <c r="D2005" s="460">
        <v>0</v>
      </c>
      <c r="E2005" s="460">
        <v>5</v>
      </c>
      <c r="G2005" s="1796"/>
      <c r="H2005" s="1771" t="s">
        <v>39</v>
      </c>
      <c r="I2005" s="1735" t="s">
        <v>7786</v>
      </c>
      <c r="J2005" s="1773" t="s">
        <v>2969</v>
      </c>
      <c r="K2005" s="1774"/>
      <c r="L2005" s="1775"/>
      <c r="M2005" s="1775"/>
      <c r="N2005" s="1739"/>
      <c r="O2005" s="1776"/>
      <c r="P2005" s="1719"/>
    </row>
    <row r="2006" spans="1:16" ht="13.5" hidden="1" customHeight="1" outlineLevel="2" x14ac:dyDescent="0.2">
      <c r="A2006" s="459">
        <v>0</v>
      </c>
      <c r="B2006" s="459">
        <v>15</v>
      </c>
      <c r="C2006" s="459">
        <v>12</v>
      </c>
      <c r="D2006" s="460">
        <v>1</v>
      </c>
      <c r="E2006" s="460">
        <v>0</v>
      </c>
      <c r="G2006" s="1797"/>
      <c r="H2006" s="1777" t="s">
        <v>1238</v>
      </c>
      <c r="I2006" s="1742" t="s">
        <v>7787</v>
      </c>
      <c r="J2006" s="1779" t="s">
        <v>2743</v>
      </c>
      <c r="K2006" s="1780"/>
      <c r="L2006" s="1781"/>
      <c r="M2006" s="1781"/>
      <c r="N2006" s="1746"/>
      <c r="O2006" s="1782"/>
      <c r="P2006" s="1720"/>
    </row>
    <row r="2007" spans="1:16" ht="12.75" hidden="1" outlineLevel="3" x14ac:dyDescent="0.2">
      <c r="A2007" s="459">
        <v>0</v>
      </c>
      <c r="B2007" s="459">
        <v>15</v>
      </c>
      <c r="C2007" s="459">
        <v>12</v>
      </c>
      <c r="D2007" s="460">
        <v>1</v>
      </c>
      <c r="E2007" s="460">
        <v>1</v>
      </c>
      <c r="G2007" s="1798" t="s">
        <v>50</v>
      </c>
      <c r="H2007" s="1783" t="s">
        <v>1239</v>
      </c>
      <c r="I2007" s="1750" t="s">
        <v>7788</v>
      </c>
      <c r="J2007" s="1785" t="s">
        <v>564</v>
      </c>
      <c r="K2007" s="1786" t="s">
        <v>642</v>
      </c>
      <c r="L2007" s="1787" t="e">
        <v>#REF!</v>
      </c>
      <c r="M2007" s="1787">
        <v>137.29</v>
      </c>
      <c r="N2007" s="1754"/>
      <c r="O2007" s="1788"/>
      <c r="P2007" s="1721" t="s">
        <v>9611</v>
      </c>
    </row>
    <row r="2008" spans="1:16" ht="13.5" hidden="1" customHeight="1" outlineLevel="3" x14ac:dyDescent="0.2">
      <c r="A2008" s="459">
        <v>0</v>
      </c>
      <c r="B2008" s="459">
        <v>15</v>
      </c>
      <c r="C2008" s="459">
        <v>12</v>
      </c>
      <c r="D2008" s="460">
        <v>1</v>
      </c>
      <c r="E2008" s="460">
        <v>2</v>
      </c>
      <c r="G2008" s="1798" t="s">
        <v>50</v>
      </c>
      <c r="H2008" s="1783" t="s">
        <v>1239</v>
      </c>
      <c r="I2008" s="1750" t="s">
        <v>7789</v>
      </c>
      <c r="J2008" s="1785" t="s">
        <v>566</v>
      </c>
      <c r="K2008" s="1786" t="s">
        <v>642</v>
      </c>
      <c r="L2008" s="1787" t="e">
        <v>#REF!</v>
      </c>
      <c r="M2008" s="1787">
        <v>164.74799999999999</v>
      </c>
      <c r="N2008" s="1754"/>
      <c r="O2008" s="1788"/>
      <c r="P2008" s="1721" t="s">
        <v>9611</v>
      </c>
    </row>
    <row r="2009" spans="1:16" ht="13.5" hidden="1" customHeight="1" outlineLevel="3" x14ac:dyDescent="0.2">
      <c r="A2009" s="459">
        <v>0</v>
      </c>
      <c r="B2009" s="459">
        <v>15</v>
      </c>
      <c r="C2009" s="459">
        <v>12</v>
      </c>
      <c r="D2009" s="460">
        <v>1</v>
      </c>
      <c r="E2009" s="460">
        <v>3</v>
      </c>
      <c r="G2009" s="1798" t="s">
        <v>50</v>
      </c>
      <c r="H2009" s="1783" t="s">
        <v>1239</v>
      </c>
      <c r="I2009" s="1750" t="s">
        <v>7790</v>
      </c>
      <c r="J2009" s="1785" t="s">
        <v>567</v>
      </c>
      <c r="K2009" s="1786" t="s">
        <v>788</v>
      </c>
      <c r="L2009" s="1787" t="e">
        <v>#REF!</v>
      </c>
      <c r="M2009" s="1787">
        <v>49.424399999999999</v>
      </c>
      <c r="N2009" s="1754"/>
      <c r="O2009" s="1788"/>
      <c r="P2009" s="1721" t="s">
        <v>9611</v>
      </c>
    </row>
    <row r="2010" spans="1:16" ht="13.5" hidden="1" customHeight="1" outlineLevel="3" x14ac:dyDescent="0.2">
      <c r="A2010" s="459">
        <v>0</v>
      </c>
      <c r="B2010" s="459">
        <v>15</v>
      </c>
      <c r="C2010" s="459">
        <v>12</v>
      </c>
      <c r="D2010" s="460">
        <v>1</v>
      </c>
      <c r="E2010" s="460">
        <v>4</v>
      </c>
      <c r="G2010" s="1798" t="s">
        <v>50</v>
      </c>
      <c r="H2010" s="1783" t="s">
        <v>1239</v>
      </c>
      <c r="I2010" s="1750" t="s">
        <v>7791</v>
      </c>
      <c r="J2010" s="1785" t="s">
        <v>565</v>
      </c>
      <c r="K2010" s="1786" t="s">
        <v>788</v>
      </c>
      <c r="L2010" s="1787" t="e">
        <v>#REF!</v>
      </c>
      <c r="M2010" s="1787">
        <v>49.424399999999999</v>
      </c>
      <c r="N2010" s="1754"/>
      <c r="O2010" s="1788"/>
      <c r="P2010" s="1721" t="s">
        <v>9611</v>
      </c>
    </row>
    <row r="2011" spans="1:16" ht="12.75" hidden="1" outlineLevel="3" x14ac:dyDescent="0.2">
      <c r="A2011" s="459">
        <v>0</v>
      </c>
      <c r="B2011" s="459">
        <v>15</v>
      </c>
      <c r="C2011" s="459">
        <v>12</v>
      </c>
      <c r="D2011" s="460">
        <v>1</v>
      </c>
      <c r="E2011" s="460">
        <v>5</v>
      </c>
      <c r="G2011" s="1798" t="s">
        <v>50</v>
      </c>
      <c r="H2011" s="1783" t="s">
        <v>1239</v>
      </c>
      <c r="I2011" s="1750" t="s">
        <v>7792</v>
      </c>
      <c r="J2011" s="1785" t="s">
        <v>2932</v>
      </c>
      <c r="K2011" s="1786" t="s">
        <v>788</v>
      </c>
      <c r="L2011" s="1787" t="e">
        <v>#REF!</v>
      </c>
      <c r="M2011" s="1787">
        <v>82.373999999999995</v>
      </c>
      <c r="N2011" s="1754"/>
      <c r="O2011" s="1788"/>
      <c r="P2011" s="1721" t="s">
        <v>9611</v>
      </c>
    </row>
    <row r="2012" spans="1:16" ht="13.5" hidden="1" customHeight="1" outlineLevel="1" x14ac:dyDescent="0.2">
      <c r="A2012" s="459">
        <v>0</v>
      </c>
      <c r="B2012" s="459">
        <v>15</v>
      </c>
      <c r="C2012" s="459">
        <v>13</v>
      </c>
      <c r="D2012" s="460">
        <v>0</v>
      </c>
      <c r="E2012" s="460">
        <v>5</v>
      </c>
      <c r="G2012" s="1796"/>
      <c r="H2012" s="1771" t="s">
        <v>39</v>
      </c>
      <c r="I2012" s="1735" t="s">
        <v>7793</v>
      </c>
      <c r="J2012" s="1773" t="s">
        <v>2970</v>
      </c>
      <c r="K2012" s="1774"/>
      <c r="L2012" s="1775"/>
      <c r="M2012" s="1775"/>
      <c r="N2012" s="1739"/>
      <c r="O2012" s="1776"/>
      <c r="P2012" s="1719"/>
    </row>
    <row r="2013" spans="1:16" ht="13.5" hidden="1" customHeight="1" outlineLevel="2" x14ac:dyDescent="0.2">
      <c r="A2013" s="459">
        <v>0</v>
      </c>
      <c r="B2013" s="459">
        <v>15</v>
      </c>
      <c r="C2013" s="459">
        <v>13</v>
      </c>
      <c r="D2013" s="460">
        <v>1</v>
      </c>
      <c r="E2013" s="460">
        <v>0</v>
      </c>
      <c r="G2013" s="1797"/>
      <c r="H2013" s="1777" t="s">
        <v>1238</v>
      </c>
      <c r="I2013" s="1742" t="s">
        <v>7794</v>
      </c>
      <c r="J2013" s="1779" t="s">
        <v>2744</v>
      </c>
      <c r="K2013" s="1780"/>
      <c r="L2013" s="1781"/>
      <c r="M2013" s="1781"/>
      <c r="N2013" s="1746"/>
      <c r="O2013" s="1782"/>
      <c r="P2013" s="1720"/>
    </row>
    <row r="2014" spans="1:16" ht="13.5" hidden="1" customHeight="1" outlineLevel="3" x14ac:dyDescent="0.2">
      <c r="A2014" s="459">
        <v>0</v>
      </c>
      <c r="B2014" s="459">
        <v>15</v>
      </c>
      <c r="C2014" s="459">
        <v>13</v>
      </c>
      <c r="D2014" s="460">
        <v>1</v>
      </c>
      <c r="E2014" s="460">
        <v>1</v>
      </c>
      <c r="G2014" s="1798" t="s">
        <v>47</v>
      </c>
      <c r="H2014" s="1783" t="s">
        <v>1239</v>
      </c>
      <c r="I2014" s="1750" t="s">
        <v>7795</v>
      </c>
      <c r="J2014" s="1785" t="s">
        <v>555</v>
      </c>
      <c r="K2014" s="1786" t="s">
        <v>642</v>
      </c>
      <c r="L2014" s="1787" t="e">
        <v>#REF!</v>
      </c>
      <c r="M2014" s="1787">
        <v>5.1029166666666663</v>
      </c>
      <c r="N2014" s="1754"/>
      <c r="O2014" s="1788"/>
      <c r="P2014" s="1721" t="s">
        <v>9611</v>
      </c>
    </row>
    <row r="2015" spans="1:16" ht="13.5" hidden="1" customHeight="1" outlineLevel="2" x14ac:dyDescent="0.2">
      <c r="A2015" s="459">
        <v>0</v>
      </c>
      <c r="B2015" s="459">
        <v>15</v>
      </c>
      <c r="C2015" s="459">
        <v>13</v>
      </c>
      <c r="D2015" s="460">
        <v>2</v>
      </c>
      <c r="E2015" s="460">
        <v>0</v>
      </c>
      <c r="G2015" s="1797"/>
      <c r="H2015" s="1777" t="s">
        <v>1238</v>
      </c>
      <c r="I2015" s="1742" t="s">
        <v>7796</v>
      </c>
      <c r="J2015" s="1779" t="s">
        <v>2743</v>
      </c>
      <c r="K2015" s="1780"/>
      <c r="L2015" s="1781"/>
      <c r="M2015" s="1781"/>
      <c r="N2015" s="1746"/>
      <c r="O2015" s="1782"/>
      <c r="P2015" s="1720"/>
    </row>
    <row r="2016" spans="1:16" ht="12.75" hidden="1" outlineLevel="3" x14ac:dyDescent="0.2">
      <c r="A2016" s="459">
        <v>0</v>
      </c>
      <c r="B2016" s="459">
        <v>15</v>
      </c>
      <c r="C2016" s="459">
        <v>13</v>
      </c>
      <c r="D2016" s="460">
        <v>2</v>
      </c>
      <c r="E2016" s="460">
        <v>1</v>
      </c>
      <c r="G2016" s="1798" t="s">
        <v>50</v>
      </c>
      <c r="H2016" s="1783" t="s">
        <v>1239</v>
      </c>
      <c r="I2016" s="1750" t="s">
        <v>7797</v>
      </c>
      <c r="J2016" s="1785" t="s">
        <v>564</v>
      </c>
      <c r="K2016" s="1786" t="s">
        <v>642</v>
      </c>
      <c r="L2016" s="1787" t="e">
        <v>#REF!</v>
      </c>
      <c r="M2016" s="1787">
        <v>137.29</v>
      </c>
      <c r="N2016" s="1754"/>
      <c r="O2016" s="1788"/>
      <c r="P2016" s="1721" t="s">
        <v>9611</v>
      </c>
    </row>
    <row r="2017" spans="1:16" ht="13.5" hidden="1" customHeight="1" outlineLevel="3" x14ac:dyDescent="0.2">
      <c r="A2017" s="459">
        <v>0</v>
      </c>
      <c r="B2017" s="459">
        <v>15</v>
      </c>
      <c r="C2017" s="459">
        <v>13</v>
      </c>
      <c r="D2017" s="460">
        <v>2</v>
      </c>
      <c r="E2017" s="460">
        <v>2</v>
      </c>
      <c r="G2017" s="1798" t="s">
        <v>50</v>
      </c>
      <c r="H2017" s="1783" t="s">
        <v>1239</v>
      </c>
      <c r="I2017" s="1750" t="s">
        <v>7798</v>
      </c>
      <c r="J2017" s="1785" t="s">
        <v>566</v>
      </c>
      <c r="K2017" s="1786" t="s">
        <v>642</v>
      </c>
      <c r="L2017" s="1787" t="e">
        <v>#REF!</v>
      </c>
      <c r="M2017" s="1787">
        <v>164.74799999999999</v>
      </c>
      <c r="N2017" s="1754"/>
      <c r="O2017" s="1788"/>
      <c r="P2017" s="1721" t="s">
        <v>9611</v>
      </c>
    </row>
    <row r="2018" spans="1:16" ht="13.5" hidden="1" customHeight="1" outlineLevel="3" x14ac:dyDescent="0.2">
      <c r="A2018" s="459">
        <v>0</v>
      </c>
      <c r="B2018" s="459">
        <v>15</v>
      </c>
      <c r="C2018" s="459">
        <v>13</v>
      </c>
      <c r="D2018" s="460">
        <v>2</v>
      </c>
      <c r="E2018" s="460">
        <v>3</v>
      </c>
      <c r="G2018" s="1798" t="s">
        <v>50</v>
      </c>
      <c r="H2018" s="1783" t="s">
        <v>1239</v>
      </c>
      <c r="I2018" s="1750" t="s">
        <v>7799</v>
      </c>
      <c r="J2018" s="1785" t="s">
        <v>567</v>
      </c>
      <c r="K2018" s="1786" t="s">
        <v>788</v>
      </c>
      <c r="L2018" s="1787" t="e">
        <v>#REF!</v>
      </c>
      <c r="M2018" s="1787">
        <v>49.424399999999999</v>
      </c>
      <c r="N2018" s="1754"/>
      <c r="O2018" s="1788"/>
      <c r="P2018" s="1721" t="s">
        <v>9611</v>
      </c>
    </row>
    <row r="2019" spans="1:16" ht="13.5" hidden="1" customHeight="1" outlineLevel="3" x14ac:dyDescent="0.2">
      <c r="A2019" s="459">
        <v>0</v>
      </c>
      <c r="B2019" s="459">
        <v>15</v>
      </c>
      <c r="C2019" s="459">
        <v>13</v>
      </c>
      <c r="D2019" s="460">
        <v>2</v>
      </c>
      <c r="E2019" s="460">
        <v>4</v>
      </c>
      <c r="G2019" s="1798" t="s">
        <v>50</v>
      </c>
      <c r="H2019" s="1783" t="s">
        <v>1239</v>
      </c>
      <c r="I2019" s="1750" t="s">
        <v>7800</v>
      </c>
      <c r="J2019" s="1785" t="s">
        <v>565</v>
      </c>
      <c r="K2019" s="1786" t="s">
        <v>788</v>
      </c>
      <c r="L2019" s="1787" t="e">
        <v>#REF!</v>
      </c>
      <c r="M2019" s="1787">
        <v>49.424399999999999</v>
      </c>
      <c r="N2019" s="1754"/>
      <c r="O2019" s="1788"/>
      <c r="P2019" s="1721" t="s">
        <v>9611</v>
      </c>
    </row>
    <row r="2020" spans="1:16" ht="12.75" hidden="1" outlineLevel="3" x14ac:dyDescent="0.2">
      <c r="A2020" s="459">
        <v>0</v>
      </c>
      <c r="B2020" s="459">
        <v>15</v>
      </c>
      <c r="C2020" s="459">
        <v>13</v>
      </c>
      <c r="D2020" s="460">
        <v>2</v>
      </c>
      <c r="E2020" s="460">
        <v>5</v>
      </c>
      <c r="G2020" s="1798" t="s">
        <v>50</v>
      </c>
      <c r="H2020" s="1783" t="s">
        <v>1239</v>
      </c>
      <c r="I2020" s="1750" t="s">
        <v>7801</v>
      </c>
      <c r="J2020" s="1785" t="s">
        <v>2932</v>
      </c>
      <c r="K2020" s="1786" t="s">
        <v>788</v>
      </c>
      <c r="L2020" s="1787" t="e">
        <v>#REF!</v>
      </c>
      <c r="M2020" s="1787">
        <v>82.373999999999995</v>
      </c>
      <c r="N2020" s="1754"/>
      <c r="O2020" s="1788"/>
      <c r="P2020" s="1721" t="s">
        <v>9611</v>
      </c>
    </row>
    <row r="2021" spans="1:16" ht="13.5" hidden="1" customHeight="1" outlineLevel="2" x14ac:dyDescent="0.2">
      <c r="A2021" s="459">
        <v>0</v>
      </c>
      <c r="B2021" s="459">
        <v>15</v>
      </c>
      <c r="C2021" s="459">
        <v>13</v>
      </c>
      <c r="D2021" s="460">
        <v>3</v>
      </c>
      <c r="E2021" s="460">
        <v>0</v>
      </c>
      <c r="G2021" s="1797"/>
      <c r="H2021" s="1777" t="s">
        <v>1238</v>
      </c>
      <c r="I2021" s="1742" t="s">
        <v>7802</v>
      </c>
      <c r="J2021" s="1779" t="s">
        <v>15</v>
      </c>
      <c r="K2021" s="1780"/>
      <c r="L2021" s="1781"/>
      <c r="M2021" s="1781"/>
      <c r="N2021" s="1746"/>
      <c r="O2021" s="1782"/>
      <c r="P2021" s="1720"/>
    </row>
    <row r="2022" spans="1:16" ht="13.5" hidden="1" customHeight="1" outlineLevel="3" x14ac:dyDescent="0.2">
      <c r="A2022" s="459">
        <v>0</v>
      </c>
      <c r="B2022" s="459">
        <v>15</v>
      </c>
      <c r="C2022" s="459">
        <v>13</v>
      </c>
      <c r="D2022" s="460">
        <v>3</v>
      </c>
      <c r="E2022" s="460">
        <v>1</v>
      </c>
      <c r="G2022" s="1798" t="s">
        <v>47</v>
      </c>
      <c r="H2022" s="1783" t="s">
        <v>1239</v>
      </c>
      <c r="I2022" s="1750" t="s">
        <v>7803</v>
      </c>
      <c r="J2022" s="1785" t="s">
        <v>575</v>
      </c>
      <c r="K2022" s="1786" t="s">
        <v>642</v>
      </c>
      <c r="L2022" s="1787" t="e">
        <v>#REF!</v>
      </c>
      <c r="M2022" s="1787">
        <v>25</v>
      </c>
      <c r="N2022" s="1754"/>
      <c r="O2022" s="1788"/>
      <c r="P2022" s="1721" t="s">
        <v>9611</v>
      </c>
    </row>
    <row r="2023" spans="1:16" ht="13.5" hidden="1" customHeight="1" outlineLevel="1" x14ac:dyDescent="0.2">
      <c r="A2023" s="459">
        <v>0</v>
      </c>
      <c r="B2023" s="459">
        <v>15</v>
      </c>
      <c r="C2023" s="459">
        <v>14</v>
      </c>
      <c r="D2023" s="460">
        <v>0</v>
      </c>
      <c r="E2023" s="460">
        <v>1</v>
      </c>
      <c r="G2023" s="1796"/>
      <c r="H2023" s="1771" t="s">
        <v>39</v>
      </c>
      <c r="I2023" s="1735" t="s">
        <v>7804</v>
      </c>
      <c r="J2023" s="1773" t="s">
        <v>2971</v>
      </c>
      <c r="K2023" s="1774"/>
      <c r="L2023" s="1775"/>
      <c r="M2023" s="1775"/>
      <c r="N2023" s="1739"/>
      <c r="O2023" s="1776"/>
      <c r="P2023" s="1719"/>
    </row>
    <row r="2024" spans="1:16" ht="13.5" hidden="1" customHeight="1" outlineLevel="2" x14ac:dyDescent="0.2">
      <c r="A2024" s="459">
        <v>0</v>
      </c>
      <c r="B2024" s="459">
        <v>15</v>
      </c>
      <c r="C2024" s="459">
        <v>14</v>
      </c>
      <c r="D2024" s="460">
        <v>1</v>
      </c>
      <c r="E2024" s="460">
        <v>0</v>
      </c>
      <c r="G2024" s="1797"/>
      <c r="H2024" s="1777" t="s">
        <v>1238</v>
      </c>
      <c r="I2024" s="1742" t="s">
        <v>7805</v>
      </c>
      <c r="J2024" s="1779" t="s">
        <v>2744</v>
      </c>
      <c r="K2024" s="1780"/>
      <c r="L2024" s="1781"/>
      <c r="M2024" s="1781"/>
      <c r="N2024" s="1746"/>
      <c r="O2024" s="1782"/>
      <c r="P2024" s="1720"/>
    </row>
    <row r="2025" spans="1:16" ht="13.5" hidden="1" customHeight="1" outlineLevel="3" x14ac:dyDescent="0.2">
      <c r="A2025" s="459">
        <v>0</v>
      </c>
      <c r="B2025" s="459">
        <v>15</v>
      </c>
      <c r="C2025" s="459">
        <v>14</v>
      </c>
      <c r="D2025" s="460">
        <v>1</v>
      </c>
      <c r="E2025" s="460">
        <v>1</v>
      </c>
      <c r="G2025" s="1798" t="s">
        <v>47</v>
      </c>
      <c r="H2025" s="1783" t="s">
        <v>1239</v>
      </c>
      <c r="I2025" s="1750" t="s">
        <v>7806</v>
      </c>
      <c r="J2025" s="1785" t="s">
        <v>555</v>
      </c>
      <c r="K2025" s="1786" t="s">
        <v>642</v>
      </c>
      <c r="L2025" s="1787" t="e">
        <v>#REF!</v>
      </c>
      <c r="M2025" s="1787">
        <v>5.1029166666666663</v>
      </c>
      <c r="N2025" s="1754"/>
      <c r="O2025" s="1788"/>
      <c r="P2025" s="1721" t="s">
        <v>9611</v>
      </c>
    </row>
    <row r="2026" spans="1:16" ht="13.5" hidden="1" customHeight="1" outlineLevel="2" x14ac:dyDescent="0.2">
      <c r="A2026" s="459">
        <v>0</v>
      </c>
      <c r="B2026" s="459">
        <v>15</v>
      </c>
      <c r="C2026" s="459">
        <v>14</v>
      </c>
      <c r="D2026" s="460">
        <v>2</v>
      </c>
      <c r="E2026" s="460">
        <v>0</v>
      </c>
      <c r="G2026" s="1797"/>
      <c r="H2026" s="1777" t="s">
        <v>1238</v>
      </c>
      <c r="I2026" s="1742" t="s">
        <v>7807</v>
      </c>
      <c r="J2026" s="1779" t="s">
        <v>2743</v>
      </c>
      <c r="K2026" s="1780"/>
      <c r="L2026" s="1781"/>
      <c r="M2026" s="1781"/>
      <c r="N2026" s="1746"/>
      <c r="O2026" s="1782"/>
      <c r="P2026" s="1720"/>
    </row>
    <row r="2027" spans="1:16" ht="12.75" hidden="1" outlineLevel="3" x14ac:dyDescent="0.2">
      <c r="A2027" s="459">
        <v>0</v>
      </c>
      <c r="B2027" s="459">
        <v>15</v>
      </c>
      <c r="C2027" s="459">
        <v>14</v>
      </c>
      <c r="D2027" s="460">
        <v>2</v>
      </c>
      <c r="E2027" s="460">
        <v>1</v>
      </c>
      <c r="G2027" s="1798" t="s">
        <v>50</v>
      </c>
      <c r="H2027" s="1783" t="s">
        <v>1239</v>
      </c>
      <c r="I2027" s="1750" t="s">
        <v>7808</v>
      </c>
      <c r="J2027" s="1785" t="s">
        <v>564</v>
      </c>
      <c r="K2027" s="1786" t="s">
        <v>642</v>
      </c>
      <c r="L2027" s="1787" t="e">
        <v>#REF!</v>
      </c>
      <c r="M2027" s="1787">
        <v>137.29</v>
      </c>
      <c r="N2027" s="1754"/>
      <c r="O2027" s="1788"/>
      <c r="P2027" s="1721" t="s">
        <v>9611</v>
      </c>
    </row>
    <row r="2028" spans="1:16" ht="13.5" hidden="1" customHeight="1" outlineLevel="3" x14ac:dyDescent="0.2">
      <c r="A2028" s="459">
        <v>0</v>
      </c>
      <c r="B2028" s="459">
        <v>15</v>
      </c>
      <c r="C2028" s="459">
        <v>14</v>
      </c>
      <c r="D2028" s="460">
        <v>2</v>
      </c>
      <c r="E2028" s="460">
        <v>2</v>
      </c>
      <c r="G2028" s="1798" t="s">
        <v>50</v>
      </c>
      <c r="H2028" s="1783" t="s">
        <v>1239</v>
      </c>
      <c r="I2028" s="1750" t="s">
        <v>7809</v>
      </c>
      <c r="J2028" s="1785" t="s">
        <v>565</v>
      </c>
      <c r="K2028" s="1786" t="s">
        <v>788</v>
      </c>
      <c r="L2028" s="1787" t="e">
        <v>#REF!</v>
      </c>
      <c r="M2028" s="1787">
        <v>49.424399999999999</v>
      </c>
      <c r="N2028" s="1754"/>
      <c r="O2028" s="1788"/>
      <c r="P2028" s="1721" t="s">
        <v>9611</v>
      </c>
    </row>
    <row r="2029" spans="1:16" ht="13.5" hidden="1" customHeight="1" outlineLevel="2" x14ac:dyDescent="0.2">
      <c r="A2029" s="459">
        <v>0</v>
      </c>
      <c r="B2029" s="459">
        <v>15</v>
      </c>
      <c r="C2029" s="459">
        <v>14</v>
      </c>
      <c r="D2029" s="460">
        <v>3</v>
      </c>
      <c r="E2029" s="460">
        <v>0</v>
      </c>
      <c r="G2029" s="1797"/>
      <c r="H2029" s="1777" t="s">
        <v>1238</v>
      </c>
      <c r="I2029" s="1742" t="s">
        <v>7810</v>
      </c>
      <c r="J2029" s="1779" t="s">
        <v>15</v>
      </c>
      <c r="K2029" s="1780"/>
      <c r="L2029" s="1781"/>
      <c r="M2029" s="1781"/>
      <c r="N2029" s="1746"/>
      <c r="O2029" s="1782"/>
      <c r="P2029" s="1720"/>
    </row>
    <row r="2030" spans="1:16" ht="13.5" hidden="1" customHeight="1" outlineLevel="3" x14ac:dyDescent="0.2">
      <c r="A2030" s="459">
        <v>0</v>
      </c>
      <c r="B2030" s="459">
        <v>15</v>
      </c>
      <c r="C2030" s="459">
        <v>14</v>
      </c>
      <c r="D2030" s="460">
        <v>3</v>
      </c>
      <c r="E2030" s="460">
        <v>1</v>
      </c>
      <c r="G2030" s="1798" t="s">
        <v>47</v>
      </c>
      <c r="H2030" s="1783" t="s">
        <v>1239</v>
      </c>
      <c r="I2030" s="1750" t="s">
        <v>7811</v>
      </c>
      <c r="J2030" s="1785" t="s">
        <v>575</v>
      </c>
      <c r="K2030" s="1786" t="s">
        <v>642</v>
      </c>
      <c r="L2030" s="1787" t="e">
        <v>#REF!</v>
      </c>
      <c r="M2030" s="1787">
        <v>25</v>
      </c>
      <c r="N2030" s="1754"/>
      <c r="O2030" s="1788"/>
      <c r="P2030" s="1721" t="s">
        <v>9611</v>
      </c>
    </row>
    <row r="2031" spans="1:16" ht="13.5" customHeight="1" collapsed="1" x14ac:dyDescent="0.2">
      <c r="A2031" s="459">
        <v>0</v>
      </c>
      <c r="B2031" s="459">
        <v>16</v>
      </c>
      <c r="C2031" s="459">
        <v>0</v>
      </c>
      <c r="D2031" s="460">
        <v>3</v>
      </c>
      <c r="E2031" s="460">
        <v>1</v>
      </c>
      <c r="F2031" s="474"/>
      <c r="G2031" s="1794"/>
      <c r="H2031" s="1766" t="s">
        <v>1237</v>
      </c>
      <c r="I2031" s="1728" t="s">
        <v>7812</v>
      </c>
      <c r="J2031" s="1795" t="s">
        <v>576</v>
      </c>
      <c r="K2031" s="1768"/>
      <c r="L2031" s="1769"/>
      <c r="M2031" s="1769"/>
      <c r="N2031" s="1732"/>
      <c r="O2031" s="1770"/>
      <c r="P2031" s="1718"/>
    </row>
    <row r="2032" spans="1:16" ht="12.75" hidden="1" customHeight="1" outlineLevel="1" x14ac:dyDescent="0.2">
      <c r="A2032" s="459">
        <v>0</v>
      </c>
      <c r="B2032" s="459">
        <v>16</v>
      </c>
      <c r="C2032" s="459">
        <v>1</v>
      </c>
      <c r="D2032" s="460">
        <v>0</v>
      </c>
      <c r="E2032" s="460">
        <v>1</v>
      </c>
      <c r="G2032" s="1796"/>
      <c r="H2032" s="1771" t="s">
        <v>39</v>
      </c>
      <c r="I2032" s="1735" t="s">
        <v>7813</v>
      </c>
      <c r="J2032" s="1773" t="s">
        <v>3061</v>
      </c>
      <c r="K2032" s="1774"/>
      <c r="L2032" s="1775"/>
      <c r="M2032" s="1775"/>
      <c r="N2032" s="1739"/>
      <c r="O2032" s="1776"/>
      <c r="P2032" s="1719"/>
    </row>
    <row r="2033" spans="1:16" ht="12.75" hidden="1" customHeight="1" outlineLevel="2" x14ac:dyDescent="0.2">
      <c r="A2033" s="459">
        <v>0</v>
      </c>
      <c r="B2033" s="459">
        <v>16</v>
      </c>
      <c r="C2033" s="459">
        <v>1</v>
      </c>
      <c r="D2033" s="460">
        <v>1</v>
      </c>
      <c r="E2033" s="460">
        <v>0</v>
      </c>
      <c r="G2033" s="1797"/>
      <c r="H2033" s="1777" t="s">
        <v>1238</v>
      </c>
      <c r="I2033" s="1742" t="s">
        <v>7814</v>
      </c>
      <c r="J2033" s="1779" t="s">
        <v>23</v>
      </c>
      <c r="K2033" s="1780"/>
      <c r="L2033" s="1781"/>
      <c r="M2033" s="1781"/>
      <c r="N2033" s="1746"/>
      <c r="O2033" s="1782"/>
      <c r="P2033" s="1720"/>
    </row>
    <row r="2034" spans="1:16" ht="12.75" hidden="1" customHeight="1" outlineLevel="3" x14ac:dyDescent="0.2">
      <c r="A2034" s="459">
        <v>0</v>
      </c>
      <c r="B2034" s="459">
        <v>16</v>
      </c>
      <c r="C2034" s="459">
        <v>1</v>
      </c>
      <c r="D2034" s="460">
        <v>1</v>
      </c>
      <c r="E2034" s="460">
        <v>1</v>
      </c>
      <c r="G2034" s="1798" t="s">
        <v>45</v>
      </c>
      <c r="H2034" s="1783" t="s">
        <v>1239</v>
      </c>
      <c r="I2034" s="1750" t="s">
        <v>7815</v>
      </c>
      <c r="J2034" s="1785" t="s">
        <v>2973</v>
      </c>
      <c r="K2034" s="1786" t="s">
        <v>642</v>
      </c>
      <c r="L2034" s="1787" t="e">
        <v>#REF!</v>
      </c>
      <c r="M2034" s="1787">
        <v>44.585233333333335</v>
      </c>
      <c r="N2034" s="1754"/>
      <c r="O2034" s="1761" t="s">
        <v>5454</v>
      </c>
      <c r="P2034" s="1721" t="s">
        <v>9611</v>
      </c>
    </row>
    <row r="2035" spans="1:16" ht="12.75" hidden="1" customHeight="1" outlineLevel="2" x14ac:dyDescent="0.2">
      <c r="A2035" s="459">
        <v>0</v>
      </c>
      <c r="B2035" s="459">
        <v>16</v>
      </c>
      <c r="C2035" s="459">
        <v>1</v>
      </c>
      <c r="D2035" s="460">
        <v>2</v>
      </c>
      <c r="E2035" s="460">
        <v>0</v>
      </c>
      <c r="G2035" s="1797"/>
      <c r="H2035" s="1777" t="s">
        <v>1238</v>
      </c>
      <c r="I2035" s="1742" t="s">
        <v>7816</v>
      </c>
      <c r="J2035" s="1779" t="s">
        <v>2816</v>
      </c>
      <c r="K2035" s="1780"/>
      <c r="L2035" s="1781"/>
      <c r="M2035" s="1781"/>
      <c r="N2035" s="1746"/>
      <c r="O2035" s="1782"/>
      <c r="P2035" s="1720"/>
    </row>
    <row r="2036" spans="1:16" ht="12.75" hidden="1" customHeight="1" outlineLevel="3" x14ac:dyDescent="0.2">
      <c r="A2036" s="459">
        <v>0</v>
      </c>
      <c r="B2036" s="459">
        <v>16</v>
      </c>
      <c r="C2036" s="459">
        <v>1</v>
      </c>
      <c r="D2036" s="460">
        <v>2</v>
      </c>
      <c r="E2036" s="460">
        <v>1</v>
      </c>
      <c r="G2036" s="1798" t="s">
        <v>45</v>
      </c>
      <c r="H2036" s="1783" t="s">
        <v>1239</v>
      </c>
      <c r="I2036" s="1750" t="s">
        <v>7817</v>
      </c>
      <c r="J2036" s="1785" t="s">
        <v>1866</v>
      </c>
      <c r="K2036" s="1786" t="s">
        <v>642</v>
      </c>
      <c r="L2036" s="1787" t="e">
        <v>#REF!</v>
      </c>
      <c r="M2036" s="1787">
        <v>77.366820666666669</v>
      </c>
      <c r="N2036" s="1754"/>
      <c r="O2036" s="1788" t="s">
        <v>2975</v>
      </c>
      <c r="P2036" s="1721" t="s">
        <v>9611</v>
      </c>
    </row>
    <row r="2037" spans="1:16" ht="12.75" hidden="1" customHeight="1" outlineLevel="2" x14ac:dyDescent="0.2">
      <c r="A2037" s="459">
        <v>0</v>
      </c>
      <c r="B2037" s="459">
        <v>16</v>
      </c>
      <c r="C2037" s="459">
        <v>1</v>
      </c>
      <c r="D2037" s="460">
        <v>3</v>
      </c>
      <c r="E2037" s="460">
        <v>0</v>
      </c>
      <c r="G2037" s="1797"/>
      <c r="H2037" s="1777" t="s">
        <v>1238</v>
      </c>
      <c r="I2037" s="1742" t="s">
        <v>7818</v>
      </c>
      <c r="J2037" s="1779" t="s">
        <v>2745</v>
      </c>
      <c r="K2037" s="1780"/>
      <c r="L2037" s="1781"/>
      <c r="M2037" s="1781"/>
      <c r="N2037" s="1746"/>
      <c r="O2037" s="1782"/>
      <c r="P2037" s="1720"/>
    </row>
    <row r="2038" spans="1:16" ht="12.75" hidden="1" customHeight="1" outlineLevel="3" x14ac:dyDescent="0.2">
      <c r="A2038" s="459">
        <v>0</v>
      </c>
      <c r="B2038" s="459">
        <v>16</v>
      </c>
      <c r="C2038" s="459">
        <v>1</v>
      </c>
      <c r="D2038" s="460">
        <v>3</v>
      </c>
      <c r="E2038" s="460">
        <v>1</v>
      </c>
      <c r="G2038" s="1798" t="s">
        <v>49</v>
      </c>
      <c r="H2038" s="1783" t="s">
        <v>1239</v>
      </c>
      <c r="I2038" s="1750" t="s">
        <v>7819</v>
      </c>
      <c r="J2038" s="1785" t="s">
        <v>2984</v>
      </c>
      <c r="K2038" s="1786" t="s">
        <v>642</v>
      </c>
      <c r="L2038" s="1787" t="e">
        <v>#REF!</v>
      </c>
      <c r="M2038" s="1787">
        <v>61.838600000000007</v>
      </c>
      <c r="N2038" s="1754"/>
      <c r="O2038" s="1788"/>
      <c r="P2038" s="1721" t="s">
        <v>9611</v>
      </c>
    </row>
    <row r="2039" spans="1:16" ht="12.75" hidden="1" customHeight="1" outlineLevel="3" x14ac:dyDescent="0.2">
      <c r="A2039" s="459">
        <v>0</v>
      </c>
      <c r="B2039" s="459">
        <v>16</v>
      </c>
      <c r="C2039" s="459">
        <v>1</v>
      </c>
      <c r="D2039" s="460">
        <v>3</v>
      </c>
      <c r="E2039" s="460">
        <v>2</v>
      </c>
      <c r="G2039" s="1798" t="s">
        <v>49</v>
      </c>
      <c r="H2039" s="1783" t="s">
        <v>1239</v>
      </c>
      <c r="I2039" s="1750" t="s">
        <v>7820</v>
      </c>
      <c r="J2039" s="1785" t="s">
        <v>1884</v>
      </c>
      <c r="K2039" s="1786" t="s">
        <v>642</v>
      </c>
      <c r="L2039" s="1787" t="e">
        <v>#REF!</v>
      </c>
      <c r="M2039" s="1787">
        <v>58.073</v>
      </c>
      <c r="N2039" s="1754"/>
      <c r="O2039" s="1788"/>
      <c r="P2039" s="1721" t="s">
        <v>9611</v>
      </c>
    </row>
    <row r="2040" spans="1:16" ht="12.75" hidden="1" customHeight="1" outlineLevel="3" x14ac:dyDescent="0.2">
      <c r="A2040" s="459">
        <v>0</v>
      </c>
      <c r="B2040" s="459">
        <v>16</v>
      </c>
      <c r="C2040" s="459">
        <v>1</v>
      </c>
      <c r="D2040" s="460">
        <v>3</v>
      </c>
      <c r="E2040" s="460">
        <v>3</v>
      </c>
      <c r="G2040" s="1798" t="s">
        <v>49</v>
      </c>
      <c r="H2040" s="1783" t="s">
        <v>1239</v>
      </c>
      <c r="I2040" s="1750" t="s">
        <v>7821</v>
      </c>
      <c r="J2040" s="1785" t="s">
        <v>2979</v>
      </c>
      <c r="K2040" s="1786" t="s">
        <v>642</v>
      </c>
      <c r="L2040" s="1787" t="e">
        <v>#REF!</v>
      </c>
      <c r="M2040" s="1787">
        <v>229.82760000000005</v>
      </c>
      <c r="N2040" s="1754"/>
      <c r="O2040" s="1788"/>
      <c r="P2040" s="1721" t="s">
        <v>9611</v>
      </c>
    </row>
    <row r="2041" spans="1:16" ht="12.75" hidden="1" customHeight="1" outlineLevel="3" x14ac:dyDescent="0.2">
      <c r="A2041" s="459">
        <v>0</v>
      </c>
      <c r="B2041" s="459">
        <v>16</v>
      </c>
      <c r="C2041" s="459">
        <v>1</v>
      </c>
      <c r="D2041" s="460">
        <v>3</v>
      </c>
      <c r="E2041" s="460">
        <v>4</v>
      </c>
      <c r="G2041" s="1798" t="s">
        <v>49</v>
      </c>
      <c r="H2041" s="1783" t="s">
        <v>1239</v>
      </c>
      <c r="I2041" s="1750" t="s">
        <v>7822</v>
      </c>
      <c r="J2041" s="1785" t="s">
        <v>2980</v>
      </c>
      <c r="K2041" s="1786" t="s">
        <v>642</v>
      </c>
      <c r="L2041" s="1787" t="e">
        <v>#REF!</v>
      </c>
      <c r="M2041" s="1787">
        <v>141.82760000000002</v>
      </c>
      <c r="N2041" s="1754"/>
      <c r="O2041" s="1761" t="s">
        <v>5456</v>
      </c>
      <c r="P2041" s="1721" t="s">
        <v>9611</v>
      </c>
    </row>
    <row r="2042" spans="1:16" ht="12.75" hidden="1" customHeight="1" outlineLevel="3" x14ac:dyDescent="0.2">
      <c r="A2042" s="459">
        <v>0</v>
      </c>
      <c r="B2042" s="459">
        <v>16</v>
      </c>
      <c r="C2042" s="459">
        <v>1</v>
      </c>
      <c r="D2042" s="460">
        <v>3</v>
      </c>
      <c r="E2042" s="460">
        <v>5</v>
      </c>
      <c r="G2042" s="1798" t="s">
        <v>49</v>
      </c>
      <c r="H2042" s="1783" t="s">
        <v>1239</v>
      </c>
      <c r="I2042" s="1750" t="s">
        <v>7823</v>
      </c>
      <c r="J2042" s="1785" t="s">
        <v>2985</v>
      </c>
      <c r="K2042" s="1786" t="s">
        <v>642</v>
      </c>
      <c r="L2042" s="1787" t="e">
        <v>#REF!</v>
      </c>
      <c r="M2042" s="1787">
        <v>102.7886</v>
      </c>
      <c r="N2042" s="1754"/>
      <c r="O2042" s="1788"/>
      <c r="P2042" s="1721" t="s">
        <v>9611</v>
      </c>
    </row>
    <row r="2043" spans="1:16" ht="12.75" hidden="1" customHeight="1" outlineLevel="2" x14ac:dyDescent="0.2">
      <c r="A2043" s="459">
        <v>0</v>
      </c>
      <c r="B2043" s="459">
        <v>16</v>
      </c>
      <c r="C2043" s="459">
        <v>1</v>
      </c>
      <c r="D2043" s="460">
        <v>4</v>
      </c>
      <c r="E2043" s="460">
        <v>0</v>
      </c>
      <c r="G2043" s="1797"/>
      <c r="H2043" s="1777" t="s">
        <v>1238</v>
      </c>
      <c r="I2043" s="1742" t="s">
        <v>7824</v>
      </c>
      <c r="J2043" s="1779" t="s">
        <v>2817</v>
      </c>
      <c r="K2043" s="1780"/>
      <c r="L2043" s="1781"/>
      <c r="M2043" s="1781"/>
      <c r="N2043" s="1746"/>
      <c r="O2043" s="1782"/>
      <c r="P2043" s="1720"/>
    </row>
    <row r="2044" spans="1:16" ht="12.75" hidden="1" customHeight="1" outlineLevel="3" x14ac:dyDescent="0.2">
      <c r="A2044" s="459">
        <v>0</v>
      </c>
      <c r="B2044" s="459">
        <v>16</v>
      </c>
      <c r="C2044" s="459">
        <v>1</v>
      </c>
      <c r="D2044" s="460">
        <v>4</v>
      </c>
      <c r="E2044" s="460">
        <v>1</v>
      </c>
      <c r="G2044" s="1798" t="s">
        <v>49</v>
      </c>
      <c r="H2044" s="1783" t="s">
        <v>1239</v>
      </c>
      <c r="I2044" s="1750" t="s">
        <v>7825</v>
      </c>
      <c r="J2044" s="1785" t="s">
        <v>3026</v>
      </c>
      <c r="K2044" s="1786" t="s">
        <v>642</v>
      </c>
      <c r="L2044" s="1787" t="e">
        <v>#REF!</v>
      </c>
      <c r="M2044" s="1787">
        <v>898.24550000000011</v>
      </c>
      <c r="N2044" s="1754"/>
      <c r="O2044" s="1788"/>
      <c r="P2044" s="1721" t="s">
        <v>9611</v>
      </c>
    </row>
    <row r="2045" spans="1:16" ht="12.75" hidden="1" customHeight="1" outlineLevel="3" x14ac:dyDescent="0.2">
      <c r="A2045" s="459">
        <v>0</v>
      </c>
      <c r="B2045" s="459">
        <v>16</v>
      </c>
      <c r="C2045" s="459">
        <v>1</v>
      </c>
      <c r="D2045" s="460">
        <v>4</v>
      </c>
      <c r="E2045" s="460">
        <v>2</v>
      </c>
      <c r="G2045" s="1798" t="s">
        <v>49</v>
      </c>
      <c r="H2045" s="1783" t="s">
        <v>1239</v>
      </c>
      <c r="I2045" s="1750" t="s">
        <v>7826</v>
      </c>
      <c r="J2045" s="1785" t="s">
        <v>3030</v>
      </c>
      <c r="K2045" s="1786" t="s">
        <v>642</v>
      </c>
      <c r="L2045" s="1787" t="e">
        <v>#REF!</v>
      </c>
      <c r="M2045" s="1787">
        <v>1448.2455000000002</v>
      </c>
      <c r="N2045" s="1754"/>
      <c r="O2045" s="1788"/>
      <c r="P2045" s="1721" t="s">
        <v>9611</v>
      </c>
    </row>
    <row r="2046" spans="1:16" ht="12.75" hidden="1" customHeight="1" outlineLevel="3" x14ac:dyDescent="0.2">
      <c r="A2046" s="459">
        <v>0</v>
      </c>
      <c r="B2046" s="459">
        <v>16</v>
      </c>
      <c r="C2046" s="459">
        <v>1</v>
      </c>
      <c r="D2046" s="460">
        <v>4</v>
      </c>
      <c r="E2046" s="460">
        <v>3</v>
      </c>
      <c r="G2046" s="1798" t="s">
        <v>49</v>
      </c>
      <c r="H2046" s="1783" t="s">
        <v>1239</v>
      </c>
      <c r="I2046" s="1750" t="s">
        <v>7827</v>
      </c>
      <c r="J2046" s="1785" t="s">
        <v>3031</v>
      </c>
      <c r="K2046" s="1786" t="s">
        <v>642</v>
      </c>
      <c r="L2046" s="1787" t="e">
        <v>#REF!</v>
      </c>
      <c r="M2046" s="1787">
        <v>3538.2455000000004</v>
      </c>
      <c r="N2046" s="1754"/>
      <c r="O2046" s="1788"/>
      <c r="P2046" s="1721" t="s">
        <v>9611</v>
      </c>
    </row>
    <row r="2047" spans="1:16" ht="12.75" hidden="1" customHeight="1" outlineLevel="2" x14ac:dyDescent="0.2">
      <c r="A2047" s="459">
        <v>0</v>
      </c>
      <c r="B2047" s="459">
        <v>16</v>
      </c>
      <c r="C2047" s="459">
        <v>1</v>
      </c>
      <c r="D2047" s="460">
        <v>5</v>
      </c>
      <c r="E2047" s="460">
        <v>0</v>
      </c>
      <c r="G2047" s="1797"/>
      <c r="H2047" s="1777" t="s">
        <v>1238</v>
      </c>
      <c r="I2047" s="1742" t="s">
        <v>7828</v>
      </c>
      <c r="J2047" s="1779" t="s">
        <v>2814</v>
      </c>
      <c r="K2047" s="1780"/>
      <c r="L2047" s="1781"/>
      <c r="M2047" s="1781"/>
      <c r="N2047" s="1746"/>
      <c r="O2047" s="1782"/>
      <c r="P2047" s="1720"/>
    </row>
    <row r="2048" spans="1:16" ht="12.75" hidden="1" customHeight="1" outlineLevel="3" x14ac:dyDescent="0.2">
      <c r="A2048" s="459">
        <v>0</v>
      </c>
      <c r="B2048" s="459">
        <v>16</v>
      </c>
      <c r="C2048" s="459">
        <v>1</v>
      </c>
      <c r="D2048" s="460">
        <v>5</v>
      </c>
      <c r="E2048" s="460">
        <v>1</v>
      </c>
      <c r="G2048" s="1798" t="s">
        <v>49</v>
      </c>
      <c r="H2048" s="1783" t="s">
        <v>1239</v>
      </c>
      <c r="I2048" s="1750" t="s">
        <v>7829</v>
      </c>
      <c r="J2048" s="1751" t="s">
        <v>3017</v>
      </c>
      <c r="K2048" s="1786" t="s">
        <v>642</v>
      </c>
      <c r="L2048" s="1787" t="e">
        <v>#REF!</v>
      </c>
      <c r="M2048" s="1787">
        <v>859</v>
      </c>
      <c r="N2048" s="1754"/>
      <c r="O2048" s="1788" t="s">
        <v>3163</v>
      </c>
      <c r="P2048" s="1721" t="s">
        <v>9611</v>
      </c>
    </row>
    <row r="2049" spans="1:16" ht="12.75" hidden="1" customHeight="1" outlineLevel="3" x14ac:dyDescent="0.2">
      <c r="A2049" s="459">
        <v>0</v>
      </c>
      <c r="B2049" s="459">
        <v>16</v>
      </c>
      <c r="C2049" s="459">
        <v>1</v>
      </c>
      <c r="D2049" s="460">
        <v>5</v>
      </c>
      <c r="E2049" s="460">
        <v>2</v>
      </c>
      <c r="G2049" s="1798" t="s">
        <v>49</v>
      </c>
      <c r="H2049" s="1783" t="s">
        <v>1239</v>
      </c>
      <c r="I2049" s="1750" t="s">
        <v>7830</v>
      </c>
      <c r="J2049" s="1751" t="s">
        <v>3018</v>
      </c>
      <c r="K2049" s="1786" t="s">
        <v>642</v>
      </c>
      <c r="L2049" s="1787" t="e">
        <v>#REF!</v>
      </c>
      <c r="M2049" s="1787">
        <v>859</v>
      </c>
      <c r="N2049" s="1754"/>
      <c r="O2049" s="1788" t="s">
        <v>3164</v>
      </c>
      <c r="P2049" s="1721" t="s">
        <v>9611</v>
      </c>
    </row>
    <row r="2050" spans="1:16" ht="12.75" hidden="1" customHeight="1" outlineLevel="3" x14ac:dyDescent="0.2">
      <c r="A2050" s="459">
        <v>0</v>
      </c>
      <c r="B2050" s="459">
        <v>16</v>
      </c>
      <c r="C2050" s="459">
        <v>1</v>
      </c>
      <c r="D2050" s="460">
        <v>5</v>
      </c>
      <c r="E2050" s="460">
        <v>3</v>
      </c>
      <c r="G2050" s="1798" t="s">
        <v>49</v>
      </c>
      <c r="H2050" s="1783" t="s">
        <v>1239</v>
      </c>
      <c r="I2050" s="1750" t="s">
        <v>7831</v>
      </c>
      <c r="J2050" s="1785" t="s">
        <v>3056</v>
      </c>
      <c r="K2050" s="1786" t="s">
        <v>788</v>
      </c>
      <c r="L2050" s="1787" t="e">
        <v>#REF!</v>
      </c>
      <c r="M2050" s="1787">
        <v>150</v>
      </c>
      <c r="N2050" s="1754"/>
      <c r="O2050" s="1788"/>
      <c r="P2050" s="1721" t="s">
        <v>9611</v>
      </c>
    </row>
    <row r="2051" spans="1:16" ht="12.75" hidden="1" customHeight="1" outlineLevel="2" x14ac:dyDescent="0.2">
      <c r="A2051" s="459">
        <v>0</v>
      </c>
      <c r="B2051" s="459">
        <v>16</v>
      </c>
      <c r="C2051" s="459">
        <v>1</v>
      </c>
      <c r="D2051" s="460">
        <v>6</v>
      </c>
      <c r="E2051" s="460">
        <v>0</v>
      </c>
      <c r="G2051" s="1797"/>
      <c r="H2051" s="1777" t="s">
        <v>1238</v>
      </c>
      <c r="I2051" s="1742" t="s">
        <v>7832</v>
      </c>
      <c r="J2051" s="1779" t="s">
        <v>2818</v>
      </c>
      <c r="K2051" s="1780"/>
      <c r="L2051" s="1781"/>
      <c r="M2051" s="1781"/>
      <c r="N2051" s="1746"/>
      <c r="O2051" s="1782"/>
      <c r="P2051" s="1720"/>
    </row>
    <row r="2052" spans="1:16" ht="12.75" hidden="1" customHeight="1" outlineLevel="3" x14ac:dyDescent="0.2">
      <c r="A2052" s="459">
        <v>0</v>
      </c>
      <c r="B2052" s="459">
        <v>16</v>
      </c>
      <c r="C2052" s="459">
        <v>1</v>
      </c>
      <c r="D2052" s="460">
        <v>6</v>
      </c>
      <c r="E2052" s="460">
        <v>1</v>
      </c>
      <c r="G2052" s="1798" t="s">
        <v>49</v>
      </c>
      <c r="H2052" s="1783" t="s">
        <v>1239</v>
      </c>
      <c r="I2052" s="1750" t="s">
        <v>7833</v>
      </c>
      <c r="J2052" s="1785" t="s">
        <v>1518</v>
      </c>
      <c r="K2052" s="1786" t="s">
        <v>788</v>
      </c>
      <c r="L2052" s="1787" t="e">
        <v>#REF!</v>
      </c>
      <c r="M2052" s="1787">
        <v>10.114274999999999</v>
      </c>
      <c r="N2052" s="1754"/>
      <c r="O2052" s="1788"/>
      <c r="P2052" s="1721" t="s">
        <v>9611</v>
      </c>
    </row>
    <row r="2053" spans="1:16" ht="12.75" hidden="1" customHeight="1" outlineLevel="3" x14ac:dyDescent="0.2">
      <c r="A2053" s="459">
        <v>0</v>
      </c>
      <c r="B2053" s="459">
        <v>16</v>
      </c>
      <c r="C2053" s="459">
        <v>1</v>
      </c>
      <c r="D2053" s="460">
        <v>6</v>
      </c>
      <c r="E2053" s="460">
        <v>2</v>
      </c>
      <c r="G2053" s="1798" t="s">
        <v>49</v>
      </c>
      <c r="H2053" s="1783" t="s">
        <v>1239</v>
      </c>
      <c r="I2053" s="1750" t="s">
        <v>7834</v>
      </c>
      <c r="J2053" s="1785" t="s">
        <v>714</v>
      </c>
      <c r="K2053" s="1786" t="s">
        <v>788</v>
      </c>
      <c r="L2053" s="1787" t="e">
        <v>#REF!</v>
      </c>
      <c r="M2053" s="1787">
        <v>43.820583333333332</v>
      </c>
      <c r="N2053" s="1754"/>
      <c r="O2053" s="1788"/>
      <c r="P2053" s="1721" t="s">
        <v>9611</v>
      </c>
    </row>
    <row r="2054" spans="1:16" ht="12.75" hidden="1" customHeight="1" outlineLevel="3" x14ac:dyDescent="0.2">
      <c r="A2054" s="459">
        <v>0</v>
      </c>
      <c r="B2054" s="459">
        <v>16</v>
      </c>
      <c r="C2054" s="459">
        <v>1</v>
      </c>
      <c r="D2054" s="460">
        <v>6</v>
      </c>
      <c r="E2054" s="460">
        <v>3</v>
      </c>
      <c r="G2054" s="1798" t="s">
        <v>49</v>
      </c>
      <c r="H2054" s="1783" t="s">
        <v>1239</v>
      </c>
      <c r="I2054" s="1750" t="s">
        <v>7835</v>
      </c>
      <c r="J2054" s="1785" t="s">
        <v>3051</v>
      </c>
      <c r="K2054" s="1786" t="s">
        <v>788</v>
      </c>
      <c r="L2054" s="1787" t="e">
        <v>#REF!</v>
      </c>
      <c r="M2054" s="1787">
        <v>22.121324999999999</v>
      </c>
      <c r="N2054" s="1754"/>
      <c r="O2054" s="1788"/>
      <c r="P2054" s="1721" t="s">
        <v>9611</v>
      </c>
    </row>
    <row r="2055" spans="1:16" ht="12.75" hidden="1" customHeight="1" outlineLevel="2" x14ac:dyDescent="0.2">
      <c r="A2055" s="459">
        <v>0</v>
      </c>
      <c r="B2055" s="459">
        <v>16</v>
      </c>
      <c r="C2055" s="459">
        <v>1</v>
      </c>
      <c r="D2055" s="460">
        <v>7</v>
      </c>
      <c r="E2055" s="460">
        <v>0</v>
      </c>
      <c r="G2055" s="1797"/>
      <c r="H2055" s="1777" t="s">
        <v>1238</v>
      </c>
      <c r="I2055" s="1742" t="s">
        <v>7836</v>
      </c>
      <c r="J2055" s="1779" t="s">
        <v>1264</v>
      </c>
      <c r="K2055" s="1780"/>
      <c r="L2055" s="1781"/>
      <c r="M2055" s="1781"/>
      <c r="N2055" s="1746"/>
      <c r="O2055" s="1782"/>
      <c r="P2055" s="1720"/>
    </row>
    <row r="2056" spans="1:16" ht="12.75" hidden="1" customHeight="1" outlineLevel="3" x14ac:dyDescent="0.2">
      <c r="A2056" s="459">
        <v>0</v>
      </c>
      <c r="B2056" s="459">
        <v>16</v>
      </c>
      <c r="C2056" s="459">
        <v>1</v>
      </c>
      <c r="D2056" s="460">
        <v>7</v>
      </c>
      <c r="E2056" s="460">
        <v>1</v>
      </c>
      <c r="G2056" s="1798" t="s">
        <v>45</v>
      </c>
      <c r="H2056" s="1783" t="s">
        <v>1239</v>
      </c>
      <c r="I2056" s="1750" t="s">
        <v>7837</v>
      </c>
      <c r="J2056" s="1785" t="s">
        <v>735</v>
      </c>
      <c r="K2056" s="1786" t="s">
        <v>642</v>
      </c>
      <c r="L2056" s="1787" t="e">
        <v>#REF!</v>
      </c>
      <c r="M2056" s="1787">
        <v>40</v>
      </c>
      <c r="N2056" s="1754"/>
      <c r="O2056" s="1788"/>
      <c r="P2056" s="1721" t="s">
        <v>9611</v>
      </c>
    </row>
    <row r="2057" spans="1:16" ht="12.75" hidden="1" customHeight="1" outlineLevel="3" x14ac:dyDescent="0.2">
      <c r="A2057" s="459">
        <v>0</v>
      </c>
      <c r="B2057" s="459">
        <v>16</v>
      </c>
      <c r="C2057" s="459">
        <v>1</v>
      </c>
      <c r="D2057" s="460">
        <v>7</v>
      </c>
      <c r="E2057" s="460">
        <v>2</v>
      </c>
      <c r="G2057" s="1798" t="s">
        <v>45</v>
      </c>
      <c r="H2057" s="1783" t="s">
        <v>1239</v>
      </c>
      <c r="I2057" s="1750" t="s">
        <v>7838</v>
      </c>
      <c r="J2057" s="1785" t="s">
        <v>741</v>
      </c>
      <c r="K2057" s="1786" t="s">
        <v>642</v>
      </c>
      <c r="L2057" s="1787" t="e">
        <v>#REF!</v>
      </c>
      <c r="M2057" s="1787">
        <v>25</v>
      </c>
      <c r="N2057" s="1754"/>
      <c r="O2057" s="1788"/>
      <c r="P2057" s="1721" t="s">
        <v>9611</v>
      </c>
    </row>
    <row r="2058" spans="1:16" ht="12.75" hidden="1" customHeight="1" outlineLevel="3" x14ac:dyDescent="0.2">
      <c r="A2058" s="459">
        <v>0</v>
      </c>
      <c r="B2058" s="459">
        <v>16</v>
      </c>
      <c r="C2058" s="459">
        <v>1</v>
      </c>
      <c r="D2058" s="460">
        <v>7</v>
      </c>
      <c r="E2058" s="460">
        <v>3</v>
      </c>
      <c r="G2058" s="1798" t="s">
        <v>49</v>
      </c>
      <c r="H2058" s="1783" t="s">
        <v>1239</v>
      </c>
      <c r="I2058" s="1750" t="s">
        <v>7839</v>
      </c>
      <c r="J2058" s="1785" t="s">
        <v>738</v>
      </c>
      <c r="K2058" s="1786" t="s">
        <v>642</v>
      </c>
      <c r="L2058" s="1787" t="e">
        <v>#REF!</v>
      </c>
      <c r="M2058" s="1787">
        <v>75</v>
      </c>
      <c r="N2058" s="1754"/>
      <c r="O2058" s="1788"/>
      <c r="P2058" s="1721" t="s">
        <v>9611</v>
      </c>
    </row>
    <row r="2059" spans="1:16" ht="12.75" hidden="1" customHeight="1" outlineLevel="3" x14ac:dyDescent="0.2">
      <c r="A2059" s="459">
        <v>0</v>
      </c>
      <c r="B2059" s="459">
        <v>16</v>
      </c>
      <c r="C2059" s="459">
        <v>1</v>
      </c>
      <c r="D2059" s="460">
        <v>7</v>
      </c>
      <c r="E2059" s="460">
        <v>4</v>
      </c>
      <c r="G2059" s="1798" t="s">
        <v>49</v>
      </c>
      <c r="H2059" s="1783" t="s">
        <v>1239</v>
      </c>
      <c r="I2059" s="1750" t="s">
        <v>7840</v>
      </c>
      <c r="J2059" s="1785" t="s">
        <v>3060</v>
      </c>
      <c r="K2059" s="1786" t="s">
        <v>642</v>
      </c>
      <c r="L2059" s="1787" t="e">
        <v>#REF!</v>
      </c>
      <c r="M2059" s="1787">
        <v>85</v>
      </c>
      <c r="N2059" s="1754"/>
      <c r="O2059" s="1788"/>
      <c r="P2059" s="1721" t="s">
        <v>9611</v>
      </c>
    </row>
    <row r="2060" spans="1:16" ht="12.75" hidden="1" customHeight="1" outlineLevel="3" x14ac:dyDescent="0.2">
      <c r="A2060" s="459">
        <v>0</v>
      </c>
      <c r="B2060" s="459">
        <v>16</v>
      </c>
      <c r="C2060" s="459">
        <v>1</v>
      </c>
      <c r="D2060" s="460">
        <v>7</v>
      </c>
      <c r="E2060" s="460">
        <v>5</v>
      </c>
      <c r="G2060" s="1798" t="s">
        <v>49</v>
      </c>
      <c r="H2060" s="1783" t="s">
        <v>1239</v>
      </c>
      <c r="I2060" s="1750" t="s">
        <v>7841</v>
      </c>
      <c r="J2060" s="1785" t="s">
        <v>3059</v>
      </c>
      <c r="K2060" s="1786" t="s">
        <v>642</v>
      </c>
      <c r="L2060" s="1787" t="e">
        <v>#REF!</v>
      </c>
      <c r="M2060" s="1787">
        <v>85</v>
      </c>
      <c r="N2060" s="1754"/>
      <c r="O2060" s="1788"/>
      <c r="P2060" s="1721" t="s">
        <v>9611</v>
      </c>
    </row>
    <row r="2061" spans="1:16" ht="12.75" hidden="1" customHeight="1" outlineLevel="3" x14ac:dyDescent="0.2">
      <c r="A2061" s="459">
        <v>0</v>
      </c>
      <c r="B2061" s="459">
        <v>16</v>
      </c>
      <c r="C2061" s="459">
        <v>1</v>
      </c>
      <c r="D2061" s="460">
        <v>7</v>
      </c>
      <c r="E2061" s="460">
        <v>6</v>
      </c>
      <c r="G2061" s="1798" t="s">
        <v>49</v>
      </c>
      <c r="H2061" s="1783" t="s">
        <v>1239</v>
      </c>
      <c r="I2061" s="1750" t="s">
        <v>7842</v>
      </c>
      <c r="J2061" s="1785" t="s">
        <v>743</v>
      </c>
      <c r="K2061" s="1786" t="s">
        <v>788</v>
      </c>
      <c r="L2061" s="1787" t="e">
        <v>#REF!</v>
      </c>
      <c r="M2061" s="1787">
        <v>28</v>
      </c>
      <c r="N2061" s="1754"/>
      <c r="O2061" s="1788"/>
      <c r="P2061" s="1721" t="s">
        <v>9611</v>
      </c>
    </row>
    <row r="2062" spans="1:16" ht="12.75" hidden="1" customHeight="1" outlineLevel="3" x14ac:dyDescent="0.2">
      <c r="A2062" s="459">
        <v>0</v>
      </c>
      <c r="B2062" s="459">
        <v>16</v>
      </c>
      <c r="C2062" s="459">
        <v>1</v>
      </c>
      <c r="D2062" s="460">
        <v>7</v>
      </c>
      <c r="E2062" s="460">
        <v>7</v>
      </c>
      <c r="G2062" s="1798" t="s">
        <v>49</v>
      </c>
      <c r="H2062" s="1783" t="s">
        <v>1239</v>
      </c>
      <c r="I2062" s="1750" t="s">
        <v>7843</v>
      </c>
      <c r="J2062" s="1785" t="s">
        <v>744</v>
      </c>
      <c r="K2062" s="1786" t="s">
        <v>788</v>
      </c>
      <c r="L2062" s="1787" t="e">
        <v>#REF!</v>
      </c>
      <c r="M2062" s="1787">
        <v>24</v>
      </c>
      <c r="N2062" s="1754"/>
      <c r="O2062" s="1788"/>
      <c r="P2062" s="1721" t="s">
        <v>9611</v>
      </c>
    </row>
    <row r="2063" spans="1:16" ht="12.75" hidden="1" customHeight="1" outlineLevel="1" x14ac:dyDescent="0.2">
      <c r="A2063" s="459">
        <v>0</v>
      </c>
      <c r="B2063" s="459">
        <v>16</v>
      </c>
      <c r="C2063" s="459">
        <v>2</v>
      </c>
      <c r="D2063" s="460">
        <v>0</v>
      </c>
      <c r="E2063" s="460">
        <v>7</v>
      </c>
      <c r="G2063" s="1796"/>
      <c r="H2063" s="1771" t="s">
        <v>39</v>
      </c>
      <c r="I2063" s="1735" t="s">
        <v>7844</v>
      </c>
      <c r="J2063" s="1773" t="s">
        <v>3062</v>
      </c>
      <c r="K2063" s="1774"/>
      <c r="L2063" s="1775"/>
      <c r="M2063" s="1775"/>
      <c r="N2063" s="1739"/>
      <c r="O2063" s="1776"/>
      <c r="P2063" s="1719"/>
    </row>
    <row r="2064" spans="1:16" ht="12.75" hidden="1" customHeight="1" outlineLevel="2" x14ac:dyDescent="0.2">
      <c r="A2064" s="459">
        <v>0</v>
      </c>
      <c r="B2064" s="459">
        <v>16</v>
      </c>
      <c r="C2064" s="459">
        <v>2</v>
      </c>
      <c r="D2064" s="460">
        <v>1</v>
      </c>
      <c r="E2064" s="460">
        <v>0</v>
      </c>
      <c r="G2064" s="1797"/>
      <c r="H2064" s="1777" t="s">
        <v>1238</v>
      </c>
      <c r="I2064" s="1742" t="s">
        <v>7845</v>
      </c>
      <c r="J2064" s="1779" t="s">
        <v>23</v>
      </c>
      <c r="K2064" s="1780"/>
      <c r="L2064" s="1781"/>
      <c r="M2064" s="1781"/>
      <c r="N2064" s="1746"/>
      <c r="O2064" s="1782"/>
      <c r="P2064" s="1720"/>
    </row>
    <row r="2065" spans="1:16" ht="12.75" hidden="1" customHeight="1" outlineLevel="3" x14ac:dyDescent="0.2">
      <c r="A2065" s="459">
        <v>0</v>
      </c>
      <c r="B2065" s="459">
        <v>16</v>
      </c>
      <c r="C2065" s="459">
        <v>2</v>
      </c>
      <c r="D2065" s="460">
        <v>1</v>
      </c>
      <c r="E2065" s="460">
        <v>1</v>
      </c>
      <c r="G2065" s="1798" t="s">
        <v>45</v>
      </c>
      <c r="H2065" s="1783" t="s">
        <v>1239</v>
      </c>
      <c r="I2065" s="1750" t="s">
        <v>7846</v>
      </c>
      <c r="J2065" s="1785" t="s">
        <v>2973</v>
      </c>
      <c r="K2065" s="1786" t="s">
        <v>642</v>
      </c>
      <c r="L2065" s="1787" t="e">
        <v>#REF!</v>
      </c>
      <c r="M2065" s="1787">
        <v>44.585233333333335</v>
      </c>
      <c r="N2065" s="1754"/>
      <c r="O2065" s="1788"/>
      <c r="P2065" s="1721" t="s">
        <v>9611</v>
      </c>
    </row>
    <row r="2066" spans="1:16" ht="12.75" hidden="1" customHeight="1" outlineLevel="2" x14ac:dyDescent="0.2">
      <c r="A2066" s="459">
        <v>0</v>
      </c>
      <c r="B2066" s="459">
        <v>16</v>
      </c>
      <c r="C2066" s="459">
        <v>2</v>
      </c>
      <c r="D2066" s="460">
        <v>2</v>
      </c>
      <c r="E2066" s="460">
        <v>0</v>
      </c>
      <c r="G2066" s="1797"/>
      <c r="H2066" s="1777" t="s">
        <v>1238</v>
      </c>
      <c r="I2066" s="1742" t="s">
        <v>7847</v>
      </c>
      <c r="J2066" s="1779" t="s">
        <v>2816</v>
      </c>
      <c r="K2066" s="1780"/>
      <c r="L2066" s="1781"/>
      <c r="M2066" s="1781"/>
      <c r="N2066" s="1746"/>
      <c r="O2066" s="1782"/>
      <c r="P2066" s="1720"/>
    </row>
    <row r="2067" spans="1:16" ht="12.75" hidden="1" customHeight="1" outlineLevel="3" x14ac:dyDescent="0.2">
      <c r="A2067" s="459">
        <v>0</v>
      </c>
      <c r="B2067" s="459">
        <v>16</v>
      </c>
      <c r="C2067" s="459">
        <v>2</v>
      </c>
      <c r="D2067" s="460">
        <v>2</v>
      </c>
      <c r="E2067" s="460">
        <v>1</v>
      </c>
      <c r="G2067" s="1798" t="s">
        <v>45</v>
      </c>
      <c r="H2067" s="1783" t="s">
        <v>1239</v>
      </c>
      <c r="I2067" s="1750" t="s">
        <v>7848</v>
      </c>
      <c r="J2067" s="1785" t="s">
        <v>618</v>
      </c>
      <c r="K2067" s="1786" t="s">
        <v>642</v>
      </c>
      <c r="L2067" s="1787" t="e">
        <v>#REF!</v>
      </c>
      <c r="M2067" s="1787">
        <v>61.444938999999998</v>
      </c>
      <c r="N2067" s="1754"/>
      <c r="O2067" s="1788" t="s">
        <v>2211</v>
      </c>
      <c r="P2067" s="1721" t="s">
        <v>9611</v>
      </c>
    </row>
    <row r="2068" spans="1:16" ht="12.75" hidden="1" customHeight="1" outlineLevel="3" x14ac:dyDescent="0.2">
      <c r="A2068" s="459">
        <v>0</v>
      </c>
      <c r="B2068" s="459">
        <v>16</v>
      </c>
      <c r="C2068" s="459">
        <v>2</v>
      </c>
      <c r="D2068" s="460">
        <v>2</v>
      </c>
      <c r="E2068" s="460">
        <v>2</v>
      </c>
      <c r="G2068" s="1798" t="s">
        <v>45</v>
      </c>
      <c r="H2068" s="1783" t="s">
        <v>1239</v>
      </c>
      <c r="I2068" s="1750" t="s">
        <v>7849</v>
      </c>
      <c r="J2068" s="1785" t="s">
        <v>621</v>
      </c>
      <c r="K2068" s="1786" t="s">
        <v>642</v>
      </c>
      <c r="L2068" s="1787" t="e">
        <v>#REF!</v>
      </c>
      <c r="M2068" s="1787">
        <v>12.624093333333334</v>
      </c>
      <c r="N2068" s="1754"/>
      <c r="O2068" s="1788" t="s">
        <v>2977</v>
      </c>
      <c r="P2068" s="1721" t="s">
        <v>9611</v>
      </c>
    </row>
    <row r="2069" spans="1:16" ht="12.75" hidden="1" customHeight="1" outlineLevel="2" x14ac:dyDescent="0.2">
      <c r="A2069" s="459">
        <v>0</v>
      </c>
      <c r="B2069" s="459">
        <v>16</v>
      </c>
      <c r="C2069" s="459">
        <v>2</v>
      </c>
      <c r="D2069" s="460">
        <v>3</v>
      </c>
      <c r="E2069" s="460">
        <v>0</v>
      </c>
      <c r="G2069" s="1797"/>
      <c r="H2069" s="1777" t="s">
        <v>1238</v>
      </c>
      <c r="I2069" s="1742" t="s">
        <v>7850</v>
      </c>
      <c r="J2069" s="1779" t="s">
        <v>2745</v>
      </c>
      <c r="K2069" s="1780"/>
      <c r="L2069" s="1781"/>
      <c r="M2069" s="1781"/>
      <c r="N2069" s="1746"/>
      <c r="O2069" s="1782"/>
      <c r="P2069" s="1720"/>
    </row>
    <row r="2070" spans="1:16" ht="12.75" hidden="1" customHeight="1" outlineLevel="3" x14ac:dyDescent="0.2">
      <c r="A2070" s="459">
        <v>0</v>
      </c>
      <c r="B2070" s="459">
        <v>16</v>
      </c>
      <c r="C2070" s="459">
        <v>2</v>
      </c>
      <c r="D2070" s="460">
        <v>3</v>
      </c>
      <c r="E2070" s="460">
        <v>1</v>
      </c>
      <c r="G2070" s="1798" t="s">
        <v>49</v>
      </c>
      <c r="H2070" s="1783" t="s">
        <v>1239</v>
      </c>
      <c r="I2070" s="1750" t="s">
        <v>7851</v>
      </c>
      <c r="J2070" s="1785" t="s">
        <v>1884</v>
      </c>
      <c r="K2070" s="1786" t="s">
        <v>642</v>
      </c>
      <c r="L2070" s="1787" t="e">
        <v>#REF!</v>
      </c>
      <c r="M2070" s="1787">
        <v>58.073</v>
      </c>
      <c r="N2070" s="1754"/>
      <c r="O2070" s="1788"/>
      <c r="P2070" s="1721" t="s">
        <v>9611</v>
      </c>
    </row>
    <row r="2071" spans="1:16" ht="12.75" hidden="1" customHeight="1" outlineLevel="3" x14ac:dyDescent="0.2">
      <c r="A2071" s="459">
        <v>0</v>
      </c>
      <c r="B2071" s="459">
        <v>16</v>
      </c>
      <c r="C2071" s="459">
        <v>2</v>
      </c>
      <c r="D2071" s="460">
        <v>3</v>
      </c>
      <c r="E2071" s="460">
        <v>2</v>
      </c>
      <c r="G2071" s="1798" t="s">
        <v>49</v>
      </c>
      <c r="H2071" s="1783" t="s">
        <v>1239</v>
      </c>
      <c r="I2071" s="1750" t="s">
        <v>7852</v>
      </c>
      <c r="J2071" s="1785" t="s">
        <v>2979</v>
      </c>
      <c r="K2071" s="1786" t="s">
        <v>642</v>
      </c>
      <c r="L2071" s="1787" t="e">
        <v>#REF!</v>
      </c>
      <c r="M2071" s="1787">
        <v>229.82760000000005</v>
      </c>
      <c r="N2071" s="1754"/>
      <c r="O2071" s="1788"/>
      <c r="P2071" s="1721" t="s">
        <v>9611</v>
      </c>
    </row>
    <row r="2072" spans="1:16" ht="12.75" hidden="1" customHeight="1" outlineLevel="3" x14ac:dyDescent="0.2">
      <c r="A2072" s="459">
        <v>0</v>
      </c>
      <c r="B2072" s="459">
        <v>16</v>
      </c>
      <c r="C2072" s="459">
        <v>2</v>
      </c>
      <c r="D2072" s="460">
        <v>3</v>
      </c>
      <c r="E2072" s="460">
        <v>3</v>
      </c>
      <c r="G2072" s="1798" t="s">
        <v>49</v>
      </c>
      <c r="H2072" s="1783" t="s">
        <v>1239</v>
      </c>
      <c r="I2072" s="1750" t="s">
        <v>7853</v>
      </c>
      <c r="J2072" s="1785" t="s">
        <v>2980</v>
      </c>
      <c r="K2072" s="1786" t="s">
        <v>642</v>
      </c>
      <c r="L2072" s="1787" t="e">
        <v>#REF!</v>
      </c>
      <c r="M2072" s="1787">
        <v>141.82760000000002</v>
      </c>
      <c r="N2072" s="1754"/>
      <c r="O2072" s="1788"/>
      <c r="P2072" s="1721" t="s">
        <v>9611</v>
      </c>
    </row>
    <row r="2073" spans="1:16" ht="12.75" hidden="1" customHeight="1" outlineLevel="2" x14ac:dyDescent="0.2">
      <c r="A2073" s="459">
        <v>0</v>
      </c>
      <c r="B2073" s="459">
        <v>16</v>
      </c>
      <c r="C2073" s="459">
        <v>2</v>
      </c>
      <c r="D2073" s="460">
        <v>4</v>
      </c>
      <c r="E2073" s="460">
        <v>0</v>
      </c>
      <c r="G2073" s="1797"/>
      <c r="H2073" s="1777" t="s">
        <v>1238</v>
      </c>
      <c r="I2073" s="1742" t="s">
        <v>7854</v>
      </c>
      <c r="J2073" s="1779" t="s">
        <v>2818</v>
      </c>
      <c r="K2073" s="1780"/>
      <c r="L2073" s="1781"/>
      <c r="M2073" s="1781"/>
      <c r="N2073" s="1746"/>
      <c r="O2073" s="1782"/>
      <c r="P2073" s="1720"/>
    </row>
    <row r="2074" spans="1:16" ht="12.75" hidden="1" customHeight="1" outlineLevel="3" x14ac:dyDescent="0.2">
      <c r="A2074" s="459">
        <v>0</v>
      </c>
      <c r="B2074" s="459">
        <v>16</v>
      </c>
      <c r="C2074" s="459">
        <v>2</v>
      </c>
      <c r="D2074" s="460">
        <v>4</v>
      </c>
      <c r="E2074" s="460">
        <v>1</v>
      </c>
      <c r="G2074" s="1798" t="s">
        <v>49</v>
      </c>
      <c r="H2074" s="1783" t="s">
        <v>1239</v>
      </c>
      <c r="I2074" s="1750" t="s">
        <v>7855</v>
      </c>
      <c r="J2074" s="1785" t="s">
        <v>1518</v>
      </c>
      <c r="K2074" s="1786" t="s">
        <v>788</v>
      </c>
      <c r="L2074" s="1787" t="e">
        <v>#REF!</v>
      </c>
      <c r="M2074" s="1787">
        <v>10.114274999999999</v>
      </c>
      <c r="N2074" s="1754"/>
      <c r="O2074" s="1788"/>
      <c r="P2074" s="1721" t="s">
        <v>9611</v>
      </c>
    </row>
    <row r="2075" spans="1:16" ht="12.75" hidden="1" customHeight="1" outlineLevel="3" x14ac:dyDescent="0.2">
      <c r="A2075" s="459">
        <v>0</v>
      </c>
      <c r="B2075" s="459">
        <v>16</v>
      </c>
      <c r="C2075" s="459">
        <v>2</v>
      </c>
      <c r="D2075" s="460">
        <v>4</v>
      </c>
      <c r="E2075" s="460">
        <v>2</v>
      </c>
      <c r="G2075" s="1798" t="s">
        <v>49</v>
      </c>
      <c r="H2075" s="1783" t="s">
        <v>1239</v>
      </c>
      <c r="I2075" s="1750" t="s">
        <v>7856</v>
      </c>
      <c r="J2075" s="1785" t="s">
        <v>714</v>
      </c>
      <c r="K2075" s="1786" t="s">
        <v>788</v>
      </c>
      <c r="L2075" s="1787" t="e">
        <v>#REF!</v>
      </c>
      <c r="M2075" s="1787">
        <v>43.820583333333332</v>
      </c>
      <c r="N2075" s="1754"/>
      <c r="O2075" s="1788"/>
      <c r="P2075" s="1721" t="s">
        <v>9611</v>
      </c>
    </row>
    <row r="2076" spans="1:16" ht="12.75" hidden="1" customHeight="1" outlineLevel="3" x14ac:dyDescent="0.2">
      <c r="A2076" s="459">
        <v>0</v>
      </c>
      <c r="B2076" s="459">
        <v>16</v>
      </c>
      <c r="C2076" s="459">
        <v>2</v>
      </c>
      <c r="D2076" s="460">
        <v>4</v>
      </c>
      <c r="E2076" s="460">
        <v>3</v>
      </c>
      <c r="G2076" s="1798" t="s">
        <v>49</v>
      </c>
      <c r="H2076" s="1783" t="s">
        <v>1239</v>
      </c>
      <c r="I2076" s="1750" t="s">
        <v>7857</v>
      </c>
      <c r="J2076" s="1785" t="s">
        <v>3051</v>
      </c>
      <c r="K2076" s="1786" t="s">
        <v>788</v>
      </c>
      <c r="L2076" s="1787" t="e">
        <v>#REF!</v>
      </c>
      <c r="M2076" s="1787">
        <v>22.121324999999999</v>
      </c>
      <c r="N2076" s="1754"/>
      <c r="O2076" s="1788"/>
      <c r="P2076" s="1721" t="s">
        <v>9611</v>
      </c>
    </row>
    <row r="2077" spans="1:16" ht="12.75" hidden="1" customHeight="1" outlineLevel="2" x14ac:dyDescent="0.2">
      <c r="A2077" s="459">
        <v>0</v>
      </c>
      <c r="B2077" s="459">
        <v>16</v>
      </c>
      <c r="C2077" s="459">
        <v>2</v>
      </c>
      <c r="D2077" s="460">
        <v>5</v>
      </c>
      <c r="E2077" s="460">
        <v>0</v>
      </c>
      <c r="G2077" s="1797"/>
      <c r="H2077" s="1777" t="s">
        <v>1238</v>
      </c>
      <c r="I2077" s="1742" t="s">
        <v>7858</v>
      </c>
      <c r="J2077" s="1779" t="s">
        <v>1264</v>
      </c>
      <c r="K2077" s="1780"/>
      <c r="L2077" s="1781"/>
      <c r="M2077" s="1781"/>
      <c r="N2077" s="1746"/>
      <c r="O2077" s="1782"/>
      <c r="P2077" s="1720"/>
    </row>
    <row r="2078" spans="1:16" ht="12.75" hidden="1" customHeight="1" outlineLevel="3" x14ac:dyDescent="0.2">
      <c r="A2078" s="459">
        <v>0</v>
      </c>
      <c r="B2078" s="459">
        <v>16</v>
      </c>
      <c r="C2078" s="459">
        <v>2</v>
      </c>
      <c r="D2078" s="460">
        <v>5</v>
      </c>
      <c r="E2078" s="460">
        <v>1</v>
      </c>
      <c r="G2078" s="1798" t="s">
        <v>45</v>
      </c>
      <c r="H2078" s="1783" t="s">
        <v>1239</v>
      </c>
      <c r="I2078" s="1750" t="s">
        <v>7859</v>
      </c>
      <c r="J2078" s="1785" t="s">
        <v>735</v>
      </c>
      <c r="K2078" s="1786" t="s">
        <v>642</v>
      </c>
      <c r="L2078" s="1787" t="e">
        <v>#REF!</v>
      </c>
      <c r="M2078" s="1787">
        <v>40</v>
      </c>
      <c r="N2078" s="1754"/>
      <c r="O2078" s="1788"/>
      <c r="P2078" s="1721" t="s">
        <v>9611</v>
      </c>
    </row>
    <row r="2079" spans="1:16" ht="12.75" hidden="1" customHeight="1" outlineLevel="3" x14ac:dyDescent="0.2">
      <c r="A2079" s="459">
        <v>0</v>
      </c>
      <c r="B2079" s="459">
        <v>16</v>
      </c>
      <c r="C2079" s="459">
        <v>2</v>
      </c>
      <c r="D2079" s="460">
        <v>5</v>
      </c>
      <c r="E2079" s="460">
        <v>2</v>
      </c>
      <c r="G2079" s="1798" t="s">
        <v>45</v>
      </c>
      <c r="H2079" s="1783" t="s">
        <v>1239</v>
      </c>
      <c r="I2079" s="1750" t="s">
        <v>7860</v>
      </c>
      <c r="J2079" s="1785" t="s">
        <v>737</v>
      </c>
      <c r="K2079" s="1786" t="s">
        <v>642</v>
      </c>
      <c r="L2079" s="1787" t="e">
        <v>#REF!</v>
      </c>
      <c r="M2079" s="1787">
        <v>40</v>
      </c>
      <c r="N2079" s="1754"/>
      <c r="O2079" s="1788"/>
      <c r="P2079" s="1721" t="s">
        <v>9611</v>
      </c>
    </row>
    <row r="2080" spans="1:16" ht="12.75" hidden="1" customHeight="1" outlineLevel="3" x14ac:dyDescent="0.2">
      <c r="A2080" s="459">
        <v>0</v>
      </c>
      <c r="B2080" s="459">
        <v>16</v>
      </c>
      <c r="C2080" s="459">
        <v>2</v>
      </c>
      <c r="D2080" s="460">
        <v>5</v>
      </c>
      <c r="E2080" s="460">
        <v>3</v>
      </c>
      <c r="G2080" s="1798" t="s">
        <v>45</v>
      </c>
      <c r="H2080" s="1783" t="s">
        <v>1239</v>
      </c>
      <c r="I2080" s="1750" t="s">
        <v>7861</v>
      </c>
      <c r="J2080" s="1785" t="s">
        <v>741</v>
      </c>
      <c r="K2080" s="1786" t="s">
        <v>642</v>
      </c>
      <c r="L2080" s="1787" t="e">
        <v>#REF!</v>
      </c>
      <c r="M2080" s="1787">
        <v>25</v>
      </c>
      <c r="N2080" s="1754"/>
      <c r="O2080" s="1788"/>
      <c r="P2080" s="1721" t="s">
        <v>9611</v>
      </c>
    </row>
    <row r="2081" spans="1:16" ht="12.75" hidden="1" customHeight="1" outlineLevel="3" x14ac:dyDescent="0.2">
      <c r="A2081" s="459">
        <v>0</v>
      </c>
      <c r="B2081" s="459">
        <v>16</v>
      </c>
      <c r="C2081" s="459">
        <v>2</v>
      </c>
      <c r="D2081" s="460">
        <v>5</v>
      </c>
      <c r="E2081" s="460">
        <v>4</v>
      </c>
      <c r="G2081" s="1798" t="s">
        <v>49</v>
      </c>
      <c r="H2081" s="1783" t="s">
        <v>1239</v>
      </c>
      <c r="I2081" s="1750" t="s">
        <v>7862</v>
      </c>
      <c r="J2081" s="1785" t="s">
        <v>738</v>
      </c>
      <c r="K2081" s="1786" t="s">
        <v>642</v>
      </c>
      <c r="L2081" s="1787" t="e">
        <v>#REF!</v>
      </c>
      <c r="M2081" s="1787">
        <v>75</v>
      </c>
      <c r="N2081" s="1754"/>
      <c r="O2081" s="1788"/>
      <c r="P2081" s="1721" t="s">
        <v>9611</v>
      </c>
    </row>
    <row r="2082" spans="1:16" ht="12.75" hidden="1" customHeight="1" outlineLevel="3" x14ac:dyDescent="0.2">
      <c r="A2082" s="459">
        <v>0</v>
      </c>
      <c r="B2082" s="459">
        <v>16</v>
      </c>
      <c r="C2082" s="459">
        <v>2</v>
      </c>
      <c r="D2082" s="460">
        <v>5</v>
      </c>
      <c r="E2082" s="460">
        <v>5</v>
      </c>
      <c r="G2082" s="1798" t="s">
        <v>49</v>
      </c>
      <c r="H2082" s="1783" t="s">
        <v>1239</v>
      </c>
      <c r="I2082" s="1750" t="s">
        <v>7863</v>
      </c>
      <c r="J2082" s="1785" t="s">
        <v>743</v>
      </c>
      <c r="K2082" s="1786" t="s">
        <v>788</v>
      </c>
      <c r="L2082" s="1787" t="e">
        <v>#REF!</v>
      </c>
      <c r="M2082" s="1787">
        <v>28</v>
      </c>
      <c r="N2082" s="1754"/>
      <c r="O2082" s="1788"/>
      <c r="P2082" s="1721" t="s">
        <v>9611</v>
      </c>
    </row>
    <row r="2083" spans="1:16" ht="12.75" hidden="1" customHeight="1" outlineLevel="3" x14ac:dyDescent="0.2">
      <c r="A2083" s="459">
        <v>0</v>
      </c>
      <c r="B2083" s="459">
        <v>16</v>
      </c>
      <c r="C2083" s="459">
        <v>2</v>
      </c>
      <c r="D2083" s="460">
        <v>5</v>
      </c>
      <c r="E2083" s="460">
        <v>6</v>
      </c>
      <c r="G2083" s="1798" t="s">
        <v>49</v>
      </c>
      <c r="H2083" s="1783" t="s">
        <v>1239</v>
      </c>
      <c r="I2083" s="1750" t="s">
        <v>7864</v>
      </c>
      <c r="J2083" s="1785" t="s">
        <v>744</v>
      </c>
      <c r="K2083" s="1786" t="s">
        <v>788</v>
      </c>
      <c r="L2083" s="1787" t="e">
        <v>#REF!</v>
      </c>
      <c r="M2083" s="1787">
        <v>24</v>
      </c>
      <c r="N2083" s="1754"/>
      <c r="O2083" s="1788"/>
      <c r="P2083" s="1721" t="s">
        <v>9611</v>
      </c>
    </row>
    <row r="2084" spans="1:16" ht="12.75" hidden="1" customHeight="1" outlineLevel="1" x14ac:dyDescent="0.2">
      <c r="A2084" s="459">
        <v>0</v>
      </c>
      <c r="B2084" s="459">
        <v>16</v>
      </c>
      <c r="C2084" s="459">
        <v>3</v>
      </c>
      <c r="D2084" s="460">
        <v>0</v>
      </c>
      <c r="E2084" s="460">
        <v>6</v>
      </c>
      <c r="G2084" s="1796"/>
      <c r="H2084" s="1771" t="s">
        <v>39</v>
      </c>
      <c r="I2084" s="1735" t="s">
        <v>7865</v>
      </c>
      <c r="J2084" s="1773" t="s">
        <v>3063</v>
      </c>
      <c r="K2084" s="1774"/>
      <c r="L2084" s="1775"/>
      <c r="M2084" s="1775"/>
      <c r="N2084" s="1739"/>
      <c r="O2084" s="1776"/>
      <c r="P2084" s="1719"/>
    </row>
    <row r="2085" spans="1:16" ht="12.75" hidden="1" customHeight="1" outlineLevel="2" x14ac:dyDescent="0.2">
      <c r="A2085" s="459">
        <v>0</v>
      </c>
      <c r="B2085" s="459">
        <v>16</v>
      </c>
      <c r="C2085" s="459">
        <v>3</v>
      </c>
      <c r="D2085" s="460">
        <v>1</v>
      </c>
      <c r="E2085" s="460">
        <v>0</v>
      </c>
      <c r="G2085" s="1797"/>
      <c r="H2085" s="1777" t="s">
        <v>1238</v>
      </c>
      <c r="I2085" s="1742" t="s">
        <v>7866</v>
      </c>
      <c r="J2085" s="1779" t="s">
        <v>23</v>
      </c>
      <c r="K2085" s="1780"/>
      <c r="L2085" s="1781"/>
      <c r="M2085" s="1781"/>
      <c r="N2085" s="1746"/>
      <c r="O2085" s="1782"/>
      <c r="P2085" s="1720"/>
    </row>
    <row r="2086" spans="1:16" ht="12.75" hidden="1" customHeight="1" outlineLevel="3" x14ac:dyDescent="0.2">
      <c r="A2086" s="459">
        <v>0</v>
      </c>
      <c r="B2086" s="459">
        <v>16</v>
      </c>
      <c r="C2086" s="459">
        <v>3</v>
      </c>
      <c r="D2086" s="460">
        <v>1</v>
      </c>
      <c r="E2086" s="460">
        <v>1</v>
      </c>
      <c r="G2086" s="1798" t="s">
        <v>45</v>
      </c>
      <c r="H2086" s="1783" t="s">
        <v>1239</v>
      </c>
      <c r="I2086" s="1750" t="s">
        <v>7867</v>
      </c>
      <c r="J2086" s="1785" t="s">
        <v>2973</v>
      </c>
      <c r="K2086" s="1786" t="s">
        <v>642</v>
      </c>
      <c r="L2086" s="1787" t="e">
        <v>#REF!</v>
      </c>
      <c r="M2086" s="1787">
        <v>44.585233333333335</v>
      </c>
      <c r="N2086" s="1754"/>
      <c r="O2086" s="1788"/>
      <c r="P2086" s="1721" t="s">
        <v>9611</v>
      </c>
    </row>
    <row r="2087" spans="1:16" ht="12.75" hidden="1" customHeight="1" outlineLevel="2" x14ac:dyDescent="0.2">
      <c r="A2087" s="459">
        <v>0</v>
      </c>
      <c r="B2087" s="459">
        <v>16</v>
      </c>
      <c r="C2087" s="459">
        <v>3</v>
      </c>
      <c r="D2087" s="460">
        <v>2</v>
      </c>
      <c r="E2087" s="460">
        <v>0</v>
      </c>
      <c r="G2087" s="1797"/>
      <c r="H2087" s="1777" t="s">
        <v>1238</v>
      </c>
      <c r="I2087" s="1742" t="s">
        <v>7868</v>
      </c>
      <c r="J2087" s="1779" t="s">
        <v>2816</v>
      </c>
      <c r="K2087" s="1780"/>
      <c r="L2087" s="1781"/>
      <c r="M2087" s="1781"/>
      <c r="N2087" s="1746"/>
      <c r="O2087" s="1782"/>
      <c r="P2087" s="1720"/>
    </row>
    <row r="2088" spans="1:16" ht="12.75" hidden="1" customHeight="1" outlineLevel="3" x14ac:dyDescent="0.2">
      <c r="A2088" s="459">
        <v>0</v>
      </c>
      <c r="B2088" s="459">
        <v>16</v>
      </c>
      <c r="C2088" s="459">
        <v>3</v>
      </c>
      <c r="D2088" s="460">
        <v>2</v>
      </c>
      <c r="E2088" s="460">
        <v>1</v>
      </c>
      <c r="G2088" s="1798" t="s">
        <v>45</v>
      </c>
      <c r="H2088" s="1783" t="s">
        <v>1239</v>
      </c>
      <c r="I2088" s="1750" t="s">
        <v>7869</v>
      </c>
      <c r="J2088" s="1785" t="s">
        <v>618</v>
      </c>
      <c r="K2088" s="1786" t="s">
        <v>642</v>
      </c>
      <c r="L2088" s="1787" t="e">
        <v>#REF!</v>
      </c>
      <c r="M2088" s="1787">
        <v>61.444938999999998</v>
      </c>
      <c r="N2088" s="1754"/>
      <c r="O2088" s="1788" t="s">
        <v>2211</v>
      </c>
      <c r="P2088" s="1721" t="s">
        <v>9611</v>
      </c>
    </row>
    <row r="2089" spans="1:16" ht="12.75" hidden="1" customHeight="1" outlineLevel="2" x14ac:dyDescent="0.2">
      <c r="A2089" s="459">
        <v>0</v>
      </c>
      <c r="B2089" s="459">
        <v>16</v>
      </c>
      <c r="C2089" s="459">
        <v>3</v>
      </c>
      <c r="D2089" s="460">
        <v>3</v>
      </c>
      <c r="E2089" s="460">
        <v>0</v>
      </c>
      <c r="G2089" s="1797"/>
      <c r="H2089" s="1777" t="s">
        <v>1238</v>
      </c>
      <c r="I2089" s="1742" t="s">
        <v>7870</v>
      </c>
      <c r="J2089" s="1779" t="s">
        <v>2745</v>
      </c>
      <c r="K2089" s="1780"/>
      <c r="L2089" s="1781"/>
      <c r="M2089" s="1781"/>
      <c r="N2089" s="1746"/>
      <c r="O2089" s="1782"/>
      <c r="P2089" s="1720"/>
    </row>
    <row r="2090" spans="1:16" ht="12.75" hidden="1" customHeight="1" outlineLevel="3" x14ac:dyDescent="0.2">
      <c r="A2090" s="459">
        <v>0</v>
      </c>
      <c r="B2090" s="459">
        <v>16</v>
      </c>
      <c r="C2090" s="459">
        <v>3</v>
      </c>
      <c r="D2090" s="460">
        <v>3</v>
      </c>
      <c r="E2090" s="460">
        <v>1</v>
      </c>
      <c r="G2090" s="1798" t="s">
        <v>49</v>
      </c>
      <c r="H2090" s="1783" t="s">
        <v>1239</v>
      </c>
      <c r="I2090" s="1750" t="s">
        <v>7871</v>
      </c>
      <c r="J2090" s="1785" t="s">
        <v>1884</v>
      </c>
      <c r="K2090" s="1786" t="s">
        <v>642</v>
      </c>
      <c r="L2090" s="1787" t="e">
        <v>#REF!</v>
      </c>
      <c r="M2090" s="1787">
        <v>58.073</v>
      </c>
      <c r="N2090" s="1754"/>
      <c r="O2090" s="1788"/>
      <c r="P2090" s="1721" t="s">
        <v>9611</v>
      </c>
    </row>
    <row r="2091" spans="1:16" ht="12.75" hidden="1" customHeight="1" outlineLevel="3" x14ac:dyDescent="0.2">
      <c r="A2091" s="459">
        <v>0</v>
      </c>
      <c r="B2091" s="459">
        <v>16</v>
      </c>
      <c r="C2091" s="459">
        <v>3</v>
      </c>
      <c r="D2091" s="460">
        <v>3</v>
      </c>
      <c r="E2091" s="460">
        <v>2</v>
      </c>
      <c r="G2091" s="1798" t="s">
        <v>49</v>
      </c>
      <c r="H2091" s="1783" t="s">
        <v>1239</v>
      </c>
      <c r="I2091" s="1750" t="s">
        <v>7872</v>
      </c>
      <c r="J2091" s="1785" t="s">
        <v>2979</v>
      </c>
      <c r="K2091" s="1786" t="s">
        <v>642</v>
      </c>
      <c r="L2091" s="1787" t="e">
        <v>#REF!</v>
      </c>
      <c r="M2091" s="1787">
        <v>229.82760000000005</v>
      </c>
      <c r="N2091" s="1754"/>
      <c r="O2091" s="1788"/>
      <c r="P2091" s="1721" t="s">
        <v>9611</v>
      </c>
    </row>
    <row r="2092" spans="1:16" ht="12.75" hidden="1" customHeight="1" outlineLevel="3" x14ac:dyDescent="0.2">
      <c r="A2092" s="459">
        <v>0</v>
      </c>
      <c r="B2092" s="459">
        <v>16</v>
      </c>
      <c r="C2092" s="459">
        <v>3</v>
      </c>
      <c r="D2092" s="460">
        <v>3</v>
      </c>
      <c r="E2092" s="460">
        <v>3</v>
      </c>
      <c r="G2092" s="1798" t="s">
        <v>49</v>
      </c>
      <c r="H2092" s="1783" t="s">
        <v>1239</v>
      </c>
      <c r="I2092" s="1750" t="s">
        <v>7873</v>
      </c>
      <c r="J2092" s="1785" t="s">
        <v>2980</v>
      </c>
      <c r="K2092" s="1786" t="s">
        <v>642</v>
      </c>
      <c r="L2092" s="1787" t="e">
        <v>#REF!</v>
      </c>
      <c r="M2092" s="1787">
        <v>141.82760000000002</v>
      </c>
      <c r="N2092" s="1754"/>
      <c r="O2092" s="1788"/>
      <c r="P2092" s="1721" t="s">
        <v>9611</v>
      </c>
    </row>
    <row r="2093" spans="1:16" ht="12.75" hidden="1" customHeight="1" outlineLevel="2" x14ac:dyDescent="0.2">
      <c r="A2093" s="459">
        <v>0</v>
      </c>
      <c r="B2093" s="459">
        <v>16</v>
      </c>
      <c r="C2093" s="459">
        <v>3</v>
      </c>
      <c r="D2093" s="460">
        <v>4</v>
      </c>
      <c r="E2093" s="460">
        <v>0</v>
      </c>
      <c r="G2093" s="1797"/>
      <c r="H2093" s="1777" t="s">
        <v>1238</v>
      </c>
      <c r="I2093" s="1742" t="s">
        <v>7874</v>
      </c>
      <c r="J2093" s="1779" t="s">
        <v>2818</v>
      </c>
      <c r="K2093" s="1780"/>
      <c r="L2093" s="1781"/>
      <c r="M2093" s="1781"/>
      <c r="N2093" s="1746"/>
      <c r="O2093" s="1782"/>
      <c r="P2093" s="1720"/>
    </row>
    <row r="2094" spans="1:16" ht="12.75" hidden="1" customHeight="1" outlineLevel="3" x14ac:dyDescent="0.2">
      <c r="A2094" s="459">
        <v>0</v>
      </c>
      <c r="B2094" s="459">
        <v>16</v>
      </c>
      <c r="C2094" s="459">
        <v>3</v>
      </c>
      <c r="D2094" s="460">
        <v>4</v>
      </c>
      <c r="E2094" s="460">
        <v>1</v>
      </c>
      <c r="G2094" s="1798" t="s">
        <v>49</v>
      </c>
      <c r="H2094" s="1783" t="s">
        <v>1239</v>
      </c>
      <c r="I2094" s="1750" t="s">
        <v>7875</v>
      </c>
      <c r="J2094" s="1785" t="s">
        <v>1518</v>
      </c>
      <c r="K2094" s="1786" t="s">
        <v>788</v>
      </c>
      <c r="L2094" s="1787" t="e">
        <v>#REF!</v>
      </c>
      <c r="M2094" s="1787">
        <v>10.114274999999999</v>
      </c>
      <c r="N2094" s="1754"/>
      <c r="O2094" s="1788"/>
      <c r="P2094" s="1721" t="s">
        <v>9611</v>
      </c>
    </row>
    <row r="2095" spans="1:16" ht="12.75" hidden="1" customHeight="1" outlineLevel="3" x14ac:dyDescent="0.2">
      <c r="A2095" s="459">
        <v>0</v>
      </c>
      <c r="B2095" s="459">
        <v>16</v>
      </c>
      <c r="C2095" s="459">
        <v>3</v>
      </c>
      <c r="D2095" s="460">
        <v>4</v>
      </c>
      <c r="E2095" s="460">
        <v>2</v>
      </c>
      <c r="G2095" s="1798" t="s">
        <v>49</v>
      </c>
      <c r="H2095" s="1783" t="s">
        <v>1239</v>
      </c>
      <c r="I2095" s="1750" t="s">
        <v>7876</v>
      </c>
      <c r="J2095" s="1785" t="s">
        <v>3051</v>
      </c>
      <c r="K2095" s="1786" t="s">
        <v>788</v>
      </c>
      <c r="L2095" s="1787" t="e">
        <v>#REF!</v>
      </c>
      <c r="M2095" s="1787">
        <v>22.121324999999999</v>
      </c>
      <c r="N2095" s="1754"/>
      <c r="O2095" s="1788"/>
      <c r="P2095" s="1721" t="s">
        <v>9611</v>
      </c>
    </row>
    <row r="2096" spans="1:16" ht="12.75" hidden="1" customHeight="1" outlineLevel="2" x14ac:dyDescent="0.2">
      <c r="A2096" s="459">
        <v>0</v>
      </c>
      <c r="B2096" s="459">
        <v>16</v>
      </c>
      <c r="C2096" s="459">
        <v>3</v>
      </c>
      <c r="D2096" s="460">
        <v>5</v>
      </c>
      <c r="E2096" s="460">
        <v>0</v>
      </c>
      <c r="G2096" s="1797"/>
      <c r="H2096" s="1777" t="s">
        <v>1238</v>
      </c>
      <c r="I2096" s="1742" t="s">
        <v>7877</v>
      </c>
      <c r="J2096" s="1779" t="s">
        <v>1264</v>
      </c>
      <c r="K2096" s="1780"/>
      <c r="L2096" s="1781"/>
      <c r="M2096" s="1781"/>
      <c r="N2096" s="1746"/>
      <c r="O2096" s="1782"/>
      <c r="P2096" s="1720"/>
    </row>
    <row r="2097" spans="1:16" ht="12.75" hidden="1" customHeight="1" outlineLevel="3" x14ac:dyDescent="0.2">
      <c r="A2097" s="459">
        <v>0</v>
      </c>
      <c r="B2097" s="459">
        <v>16</v>
      </c>
      <c r="C2097" s="459">
        <v>3</v>
      </c>
      <c r="D2097" s="460">
        <v>5</v>
      </c>
      <c r="E2097" s="460">
        <v>1</v>
      </c>
      <c r="G2097" s="1798" t="s">
        <v>45</v>
      </c>
      <c r="H2097" s="1783" t="s">
        <v>1239</v>
      </c>
      <c r="I2097" s="1750" t="s">
        <v>7878</v>
      </c>
      <c r="J2097" s="1785" t="s">
        <v>735</v>
      </c>
      <c r="K2097" s="1786" t="s">
        <v>642</v>
      </c>
      <c r="L2097" s="1787" t="e">
        <v>#REF!</v>
      </c>
      <c r="M2097" s="1787">
        <v>40</v>
      </c>
      <c r="N2097" s="1754"/>
      <c r="O2097" s="1788"/>
      <c r="P2097" s="1721" t="s">
        <v>9611</v>
      </c>
    </row>
    <row r="2098" spans="1:16" ht="12.75" hidden="1" customHeight="1" outlineLevel="3" x14ac:dyDescent="0.2">
      <c r="A2098" s="459">
        <v>0</v>
      </c>
      <c r="B2098" s="459">
        <v>16</v>
      </c>
      <c r="C2098" s="459">
        <v>3</v>
      </c>
      <c r="D2098" s="460">
        <v>5</v>
      </c>
      <c r="E2098" s="460">
        <v>2</v>
      </c>
      <c r="G2098" s="1798" t="s">
        <v>45</v>
      </c>
      <c r="H2098" s="1783" t="s">
        <v>1239</v>
      </c>
      <c r="I2098" s="1750" t="s">
        <v>7879</v>
      </c>
      <c r="J2098" s="1785" t="s">
        <v>737</v>
      </c>
      <c r="K2098" s="1786" t="s">
        <v>642</v>
      </c>
      <c r="L2098" s="1787" t="e">
        <v>#REF!</v>
      </c>
      <c r="M2098" s="1787">
        <v>40</v>
      </c>
      <c r="N2098" s="1754"/>
      <c r="O2098" s="1788"/>
      <c r="P2098" s="1721" t="s">
        <v>9611</v>
      </c>
    </row>
    <row r="2099" spans="1:16" ht="12.75" hidden="1" customHeight="1" outlineLevel="3" x14ac:dyDescent="0.2">
      <c r="A2099" s="459">
        <v>0</v>
      </c>
      <c r="B2099" s="459">
        <v>16</v>
      </c>
      <c r="C2099" s="459">
        <v>3</v>
      </c>
      <c r="D2099" s="460">
        <v>5</v>
      </c>
      <c r="E2099" s="460">
        <v>3</v>
      </c>
      <c r="G2099" s="1798" t="s">
        <v>49</v>
      </c>
      <c r="H2099" s="1783" t="s">
        <v>1239</v>
      </c>
      <c r="I2099" s="1750" t="s">
        <v>7880</v>
      </c>
      <c r="J2099" s="1785" t="s">
        <v>738</v>
      </c>
      <c r="K2099" s="1786" t="s">
        <v>642</v>
      </c>
      <c r="L2099" s="1787" t="e">
        <v>#REF!</v>
      </c>
      <c r="M2099" s="1787">
        <v>75</v>
      </c>
      <c r="N2099" s="1754"/>
      <c r="O2099" s="1788"/>
      <c r="P2099" s="1721" t="s">
        <v>9611</v>
      </c>
    </row>
    <row r="2100" spans="1:16" ht="12.75" hidden="1" customHeight="1" outlineLevel="3" x14ac:dyDescent="0.2">
      <c r="A2100" s="459">
        <v>0</v>
      </c>
      <c r="B2100" s="459">
        <v>16</v>
      </c>
      <c r="C2100" s="459">
        <v>3</v>
      </c>
      <c r="D2100" s="460">
        <v>5</v>
      </c>
      <c r="E2100" s="460">
        <v>4</v>
      </c>
      <c r="G2100" s="1798" t="s">
        <v>49</v>
      </c>
      <c r="H2100" s="1783" t="s">
        <v>1239</v>
      </c>
      <c r="I2100" s="1750" t="s">
        <v>7881</v>
      </c>
      <c r="J2100" s="1785" t="s">
        <v>744</v>
      </c>
      <c r="K2100" s="1786" t="s">
        <v>788</v>
      </c>
      <c r="L2100" s="1787" t="e">
        <v>#REF!</v>
      </c>
      <c r="M2100" s="1787">
        <v>24</v>
      </c>
      <c r="N2100" s="1754"/>
      <c r="O2100" s="1788"/>
      <c r="P2100" s="1721" t="s">
        <v>9611</v>
      </c>
    </row>
    <row r="2101" spans="1:16" ht="12.75" hidden="1" customHeight="1" outlineLevel="1" x14ac:dyDescent="0.2">
      <c r="A2101" s="459">
        <v>0</v>
      </c>
      <c r="B2101" s="459">
        <v>16</v>
      </c>
      <c r="C2101" s="459">
        <v>4</v>
      </c>
      <c r="D2101" s="460">
        <v>0</v>
      </c>
      <c r="E2101" s="460">
        <v>4</v>
      </c>
      <c r="G2101" s="1796"/>
      <c r="H2101" s="1771" t="s">
        <v>39</v>
      </c>
      <c r="I2101" s="1735" t="s">
        <v>7882</v>
      </c>
      <c r="J2101" s="1773" t="s">
        <v>3065</v>
      </c>
      <c r="K2101" s="1774"/>
      <c r="L2101" s="1775"/>
      <c r="M2101" s="1775"/>
      <c r="N2101" s="1739"/>
      <c r="O2101" s="1776"/>
      <c r="P2101" s="1719"/>
    </row>
    <row r="2102" spans="1:16" ht="12.75" hidden="1" customHeight="1" outlineLevel="2" x14ac:dyDescent="0.2">
      <c r="A2102" s="459">
        <v>0</v>
      </c>
      <c r="B2102" s="459">
        <v>16</v>
      </c>
      <c r="C2102" s="459">
        <v>4</v>
      </c>
      <c r="D2102" s="460">
        <v>1</v>
      </c>
      <c r="E2102" s="460">
        <v>0</v>
      </c>
      <c r="G2102" s="1797"/>
      <c r="H2102" s="1777" t="s">
        <v>1238</v>
      </c>
      <c r="I2102" s="1742" t="s">
        <v>7883</v>
      </c>
      <c r="J2102" s="1779" t="s">
        <v>23</v>
      </c>
      <c r="K2102" s="1780"/>
      <c r="L2102" s="1781"/>
      <c r="M2102" s="1781"/>
      <c r="N2102" s="1746"/>
      <c r="O2102" s="1782"/>
      <c r="P2102" s="1720"/>
    </row>
    <row r="2103" spans="1:16" ht="12.75" hidden="1" customHeight="1" outlineLevel="3" x14ac:dyDescent="0.2">
      <c r="A2103" s="459">
        <v>0</v>
      </c>
      <c r="B2103" s="459">
        <v>16</v>
      </c>
      <c r="C2103" s="459">
        <v>4</v>
      </c>
      <c r="D2103" s="460">
        <v>1</v>
      </c>
      <c r="E2103" s="460">
        <v>1</v>
      </c>
      <c r="G2103" s="1798" t="s">
        <v>45</v>
      </c>
      <c r="H2103" s="1783" t="s">
        <v>1239</v>
      </c>
      <c r="I2103" s="1750" t="s">
        <v>7884</v>
      </c>
      <c r="J2103" s="1785" t="s">
        <v>2973</v>
      </c>
      <c r="K2103" s="1786" t="s">
        <v>642</v>
      </c>
      <c r="L2103" s="1787" t="e">
        <v>#REF!</v>
      </c>
      <c r="M2103" s="1787">
        <v>44.585233333333335</v>
      </c>
      <c r="N2103" s="1754"/>
      <c r="O2103" s="1788"/>
      <c r="P2103" s="1721" t="s">
        <v>9611</v>
      </c>
    </row>
    <row r="2104" spans="1:16" ht="12.75" hidden="1" customHeight="1" outlineLevel="2" x14ac:dyDescent="0.2">
      <c r="A2104" s="459">
        <v>0</v>
      </c>
      <c r="B2104" s="459">
        <v>16</v>
      </c>
      <c r="C2104" s="459">
        <v>4</v>
      </c>
      <c r="D2104" s="460">
        <v>2</v>
      </c>
      <c r="E2104" s="460">
        <v>0</v>
      </c>
      <c r="G2104" s="1797"/>
      <c r="H2104" s="1777" t="s">
        <v>1238</v>
      </c>
      <c r="I2104" s="1742" t="s">
        <v>7885</v>
      </c>
      <c r="J2104" s="1779" t="s">
        <v>2816</v>
      </c>
      <c r="K2104" s="1780"/>
      <c r="L2104" s="1781"/>
      <c r="M2104" s="1781"/>
      <c r="N2104" s="1746"/>
      <c r="O2104" s="1782"/>
      <c r="P2104" s="1720"/>
    </row>
    <row r="2105" spans="1:16" ht="12.75" hidden="1" customHeight="1" outlineLevel="3" x14ac:dyDescent="0.2">
      <c r="A2105" s="459">
        <v>0</v>
      </c>
      <c r="B2105" s="459">
        <v>16</v>
      </c>
      <c r="C2105" s="459">
        <v>4</v>
      </c>
      <c r="D2105" s="460">
        <v>2</v>
      </c>
      <c r="E2105" s="460">
        <v>1</v>
      </c>
      <c r="G2105" s="1798" t="s">
        <v>45</v>
      </c>
      <c r="H2105" s="1783" t="s">
        <v>1239</v>
      </c>
      <c r="I2105" s="1750" t="s">
        <v>7886</v>
      </c>
      <c r="J2105" s="1785" t="s">
        <v>618</v>
      </c>
      <c r="K2105" s="1786" t="s">
        <v>642</v>
      </c>
      <c r="L2105" s="1787" t="e">
        <v>#REF!</v>
      </c>
      <c r="M2105" s="1787">
        <v>61.444938999999998</v>
      </c>
      <c r="N2105" s="1754"/>
      <c r="O2105" s="1788" t="s">
        <v>2211</v>
      </c>
      <c r="P2105" s="1721" t="s">
        <v>9611</v>
      </c>
    </row>
    <row r="2106" spans="1:16" ht="12.75" hidden="1" customHeight="1" outlineLevel="2" x14ac:dyDescent="0.2">
      <c r="A2106" s="459">
        <v>0</v>
      </c>
      <c r="B2106" s="459">
        <v>16</v>
      </c>
      <c r="C2106" s="459">
        <v>4</v>
      </c>
      <c r="D2106" s="460">
        <v>3</v>
      </c>
      <c r="E2106" s="460">
        <v>0</v>
      </c>
      <c r="G2106" s="1797"/>
      <c r="H2106" s="1777" t="s">
        <v>1238</v>
      </c>
      <c r="I2106" s="1742" t="s">
        <v>7887</v>
      </c>
      <c r="J2106" s="1779" t="s">
        <v>2745</v>
      </c>
      <c r="K2106" s="1780"/>
      <c r="L2106" s="1781"/>
      <c r="M2106" s="1781"/>
      <c r="N2106" s="1746"/>
      <c r="O2106" s="1782"/>
      <c r="P2106" s="1720"/>
    </row>
    <row r="2107" spans="1:16" ht="12.75" hidden="1" customHeight="1" outlineLevel="3" x14ac:dyDescent="0.2">
      <c r="A2107" s="459">
        <v>0</v>
      </c>
      <c r="B2107" s="459">
        <v>16</v>
      </c>
      <c r="C2107" s="459">
        <v>4</v>
      </c>
      <c r="D2107" s="460">
        <v>3</v>
      </c>
      <c r="E2107" s="460">
        <v>1</v>
      </c>
      <c r="G2107" s="1798" t="s">
        <v>49</v>
      </c>
      <c r="H2107" s="1783" t="s">
        <v>1239</v>
      </c>
      <c r="I2107" s="1750" t="s">
        <v>7888</v>
      </c>
      <c r="J2107" s="1785" t="s">
        <v>1884</v>
      </c>
      <c r="K2107" s="1786" t="s">
        <v>642</v>
      </c>
      <c r="L2107" s="1787" t="e">
        <v>#REF!</v>
      </c>
      <c r="M2107" s="1787">
        <v>58.073</v>
      </c>
      <c r="N2107" s="1754"/>
      <c r="O2107" s="1788"/>
      <c r="P2107" s="1721" t="s">
        <v>9611</v>
      </c>
    </row>
    <row r="2108" spans="1:16" ht="12.75" hidden="1" customHeight="1" outlineLevel="3" x14ac:dyDescent="0.2">
      <c r="A2108" s="459">
        <v>0</v>
      </c>
      <c r="B2108" s="459">
        <v>16</v>
      </c>
      <c r="C2108" s="459">
        <v>4</v>
      </c>
      <c r="D2108" s="460">
        <v>3</v>
      </c>
      <c r="E2108" s="460">
        <v>2</v>
      </c>
      <c r="G2108" s="1798" t="s">
        <v>49</v>
      </c>
      <c r="H2108" s="1783" t="s">
        <v>1239</v>
      </c>
      <c r="I2108" s="1750" t="s">
        <v>7889</v>
      </c>
      <c r="J2108" s="1785" t="s">
        <v>2979</v>
      </c>
      <c r="K2108" s="1786" t="s">
        <v>642</v>
      </c>
      <c r="L2108" s="1787" t="e">
        <v>#REF!</v>
      </c>
      <c r="M2108" s="1787">
        <v>229.82760000000005</v>
      </c>
      <c r="N2108" s="1754"/>
      <c r="O2108" s="1788"/>
      <c r="P2108" s="1721" t="s">
        <v>9611</v>
      </c>
    </row>
    <row r="2109" spans="1:16" ht="12.75" hidden="1" customHeight="1" outlineLevel="2" x14ac:dyDescent="0.2">
      <c r="A2109" s="459">
        <v>0</v>
      </c>
      <c r="B2109" s="459">
        <v>16</v>
      </c>
      <c r="C2109" s="459">
        <v>4</v>
      </c>
      <c r="D2109" s="460">
        <v>4</v>
      </c>
      <c r="E2109" s="460">
        <v>0</v>
      </c>
      <c r="G2109" s="1797"/>
      <c r="H2109" s="1777" t="s">
        <v>1238</v>
      </c>
      <c r="I2109" s="1742" t="s">
        <v>7890</v>
      </c>
      <c r="J2109" s="1779" t="s">
        <v>2818</v>
      </c>
      <c r="K2109" s="1780"/>
      <c r="L2109" s="1781"/>
      <c r="M2109" s="1781"/>
      <c r="N2109" s="1746"/>
      <c r="O2109" s="1782"/>
      <c r="P2109" s="1720"/>
    </row>
    <row r="2110" spans="1:16" ht="12.75" hidden="1" customHeight="1" outlineLevel="3" x14ac:dyDescent="0.2">
      <c r="A2110" s="459">
        <v>0</v>
      </c>
      <c r="B2110" s="459">
        <v>16</v>
      </c>
      <c r="C2110" s="459">
        <v>4</v>
      </c>
      <c r="D2110" s="460">
        <v>4</v>
      </c>
      <c r="E2110" s="460">
        <v>1</v>
      </c>
      <c r="G2110" s="1798" t="s">
        <v>49</v>
      </c>
      <c r="H2110" s="1783" t="s">
        <v>1239</v>
      </c>
      <c r="I2110" s="1750" t="s">
        <v>7891</v>
      </c>
      <c r="J2110" s="1785" t="s">
        <v>1518</v>
      </c>
      <c r="K2110" s="1786" t="s">
        <v>788</v>
      </c>
      <c r="L2110" s="1787" t="e">
        <v>#REF!</v>
      </c>
      <c r="M2110" s="1787">
        <v>10.114274999999999</v>
      </c>
      <c r="N2110" s="1754"/>
      <c r="O2110" s="1788"/>
      <c r="P2110" s="1721" t="s">
        <v>9611</v>
      </c>
    </row>
    <row r="2111" spans="1:16" ht="12.75" hidden="1" customHeight="1" outlineLevel="3" x14ac:dyDescent="0.2">
      <c r="A2111" s="459">
        <v>0</v>
      </c>
      <c r="B2111" s="459">
        <v>16</v>
      </c>
      <c r="C2111" s="459">
        <v>4</v>
      </c>
      <c r="D2111" s="460">
        <v>4</v>
      </c>
      <c r="E2111" s="460">
        <v>2</v>
      </c>
      <c r="G2111" s="1798" t="s">
        <v>49</v>
      </c>
      <c r="H2111" s="1783" t="s">
        <v>1239</v>
      </c>
      <c r="I2111" s="1750" t="s">
        <v>7892</v>
      </c>
      <c r="J2111" s="1785" t="s">
        <v>3051</v>
      </c>
      <c r="K2111" s="1786" t="s">
        <v>788</v>
      </c>
      <c r="L2111" s="1787" t="e">
        <v>#REF!</v>
      </c>
      <c r="M2111" s="1787">
        <v>22.121324999999999</v>
      </c>
      <c r="N2111" s="1754"/>
      <c r="O2111" s="1788"/>
      <c r="P2111" s="1721" t="s">
        <v>9611</v>
      </c>
    </row>
    <row r="2112" spans="1:16" ht="12.75" hidden="1" customHeight="1" outlineLevel="2" x14ac:dyDescent="0.2">
      <c r="A2112" s="459">
        <v>0</v>
      </c>
      <c r="B2112" s="459">
        <v>16</v>
      </c>
      <c r="C2112" s="459">
        <v>4</v>
      </c>
      <c r="D2112" s="460">
        <v>5</v>
      </c>
      <c r="E2112" s="460">
        <v>0</v>
      </c>
      <c r="G2112" s="1797"/>
      <c r="H2112" s="1777" t="s">
        <v>1238</v>
      </c>
      <c r="I2112" s="1742" t="s">
        <v>7893</v>
      </c>
      <c r="J2112" s="1779" t="s">
        <v>1264</v>
      </c>
      <c r="K2112" s="1780"/>
      <c r="L2112" s="1781"/>
      <c r="M2112" s="1781"/>
      <c r="N2112" s="1746"/>
      <c r="O2112" s="1782"/>
      <c r="P2112" s="1720"/>
    </row>
    <row r="2113" spans="1:16" ht="12.75" hidden="1" customHeight="1" outlineLevel="3" x14ac:dyDescent="0.2">
      <c r="A2113" s="459">
        <v>0</v>
      </c>
      <c r="B2113" s="459">
        <v>16</v>
      </c>
      <c r="C2113" s="459">
        <v>4</v>
      </c>
      <c r="D2113" s="460">
        <v>5</v>
      </c>
      <c r="E2113" s="460">
        <v>1</v>
      </c>
      <c r="G2113" s="1798" t="s">
        <v>45</v>
      </c>
      <c r="H2113" s="1783" t="s">
        <v>1239</v>
      </c>
      <c r="I2113" s="1750" t="s">
        <v>7894</v>
      </c>
      <c r="J2113" s="1785" t="s">
        <v>735</v>
      </c>
      <c r="K2113" s="1786" t="s">
        <v>642</v>
      </c>
      <c r="L2113" s="1787" t="e">
        <v>#REF!</v>
      </c>
      <c r="M2113" s="1787">
        <v>40</v>
      </c>
      <c r="N2113" s="1754"/>
      <c r="O2113" s="1788"/>
      <c r="P2113" s="1721" t="s">
        <v>9611</v>
      </c>
    </row>
    <row r="2114" spans="1:16" ht="12.75" hidden="1" customHeight="1" outlineLevel="3" x14ac:dyDescent="0.2">
      <c r="A2114" s="459">
        <v>0</v>
      </c>
      <c r="B2114" s="459">
        <v>16</v>
      </c>
      <c r="C2114" s="459">
        <v>4</v>
      </c>
      <c r="D2114" s="460">
        <v>5</v>
      </c>
      <c r="E2114" s="460">
        <v>2</v>
      </c>
      <c r="G2114" s="1798" t="s">
        <v>45</v>
      </c>
      <c r="H2114" s="1783" t="s">
        <v>1239</v>
      </c>
      <c r="I2114" s="1750" t="s">
        <v>7895</v>
      </c>
      <c r="J2114" s="1785" t="s">
        <v>737</v>
      </c>
      <c r="K2114" s="1786" t="s">
        <v>642</v>
      </c>
      <c r="L2114" s="1787" t="e">
        <v>#REF!</v>
      </c>
      <c r="M2114" s="1787">
        <v>40</v>
      </c>
      <c r="N2114" s="1754"/>
      <c r="O2114" s="1788"/>
      <c r="P2114" s="1721" t="s">
        <v>9611</v>
      </c>
    </row>
    <row r="2115" spans="1:16" ht="12.75" hidden="1" customHeight="1" outlineLevel="3" x14ac:dyDescent="0.2">
      <c r="A2115" s="459">
        <v>0</v>
      </c>
      <c r="B2115" s="459">
        <v>16</v>
      </c>
      <c r="C2115" s="459">
        <v>4</v>
      </c>
      <c r="D2115" s="460">
        <v>5</v>
      </c>
      <c r="E2115" s="460">
        <v>3</v>
      </c>
      <c r="G2115" s="1798" t="s">
        <v>49</v>
      </c>
      <c r="H2115" s="1783" t="s">
        <v>1239</v>
      </c>
      <c r="I2115" s="1750" t="s">
        <v>7896</v>
      </c>
      <c r="J2115" s="1785" t="s">
        <v>738</v>
      </c>
      <c r="K2115" s="1786" t="s">
        <v>642</v>
      </c>
      <c r="L2115" s="1787" t="e">
        <v>#REF!</v>
      </c>
      <c r="M2115" s="1787">
        <v>75</v>
      </c>
      <c r="N2115" s="1754"/>
      <c r="O2115" s="1788"/>
      <c r="P2115" s="1721" t="s">
        <v>9611</v>
      </c>
    </row>
    <row r="2116" spans="1:16" ht="12.75" hidden="1" customHeight="1" outlineLevel="3" x14ac:dyDescent="0.2">
      <c r="A2116" s="459">
        <v>0</v>
      </c>
      <c r="B2116" s="459">
        <v>16</v>
      </c>
      <c r="C2116" s="459">
        <v>4</v>
      </c>
      <c r="D2116" s="460">
        <v>5</v>
      </c>
      <c r="E2116" s="460">
        <v>4</v>
      </c>
      <c r="G2116" s="1798" t="s">
        <v>49</v>
      </c>
      <c r="H2116" s="1783" t="s">
        <v>1239</v>
      </c>
      <c r="I2116" s="1750" t="s">
        <v>7897</v>
      </c>
      <c r="J2116" s="1785" t="s">
        <v>744</v>
      </c>
      <c r="K2116" s="1786" t="s">
        <v>788</v>
      </c>
      <c r="L2116" s="1787" t="e">
        <v>#REF!</v>
      </c>
      <c r="M2116" s="1787">
        <v>24</v>
      </c>
      <c r="N2116" s="1754"/>
      <c r="O2116" s="1788"/>
      <c r="P2116" s="1721" t="s">
        <v>9611</v>
      </c>
    </row>
    <row r="2117" spans="1:16" ht="12.75" hidden="1" customHeight="1" outlineLevel="1" x14ac:dyDescent="0.2">
      <c r="A2117" s="459">
        <v>0</v>
      </c>
      <c r="B2117" s="459">
        <v>16</v>
      </c>
      <c r="C2117" s="459">
        <v>5</v>
      </c>
      <c r="D2117" s="460">
        <v>0</v>
      </c>
      <c r="E2117" s="460">
        <v>4</v>
      </c>
      <c r="G2117" s="1796"/>
      <c r="H2117" s="1771" t="s">
        <v>39</v>
      </c>
      <c r="I2117" s="1735" t="s">
        <v>7898</v>
      </c>
      <c r="J2117" s="1773" t="s">
        <v>3064</v>
      </c>
      <c r="K2117" s="1774"/>
      <c r="L2117" s="1775"/>
      <c r="M2117" s="1775"/>
      <c r="N2117" s="1739"/>
      <c r="O2117" s="1776"/>
      <c r="P2117" s="1719"/>
    </row>
    <row r="2118" spans="1:16" ht="12.75" hidden="1" customHeight="1" outlineLevel="2" x14ac:dyDescent="0.2">
      <c r="A2118" s="459">
        <v>0</v>
      </c>
      <c r="B2118" s="459">
        <v>16</v>
      </c>
      <c r="C2118" s="459">
        <v>5</v>
      </c>
      <c r="D2118" s="460">
        <v>1</v>
      </c>
      <c r="E2118" s="460">
        <v>0</v>
      </c>
      <c r="G2118" s="1797"/>
      <c r="H2118" s="1777" t="s">
        <v>1238</v>
      </c>
      <c r="I2118" s="1742" t="s">
        <v>7899</v>
      </c>
      <c r="J2118" s="1779" t="s">
        <v>23</v>
      </c>
      <c r="K2118" s="1780"/>
      <c r="L2118" s="1781"/>
      <c r="M2118" s="1781"/>
      <c r="N2118" s="1746"/>
      <c r="O2118" s="1782"/>
      <c r="P2118" s="1720"/>
    </row>
    <row r="2119" spans="1:16" ht="12.75" hidden="1" customHeight="1" outlineLevel="3" x14ac:dyDescent="0.2">
      <c r="A2119" s="459">
        <v>0</v>
      </c>
      <c r="B2119" s="459">
        <v>16</v>
      </c>
      <c r="C2119" s="459">
        <v>5</v>
      </c>
      <c r="D2119" s="460">
        <v>1</v>
      </c>
      <c r="E2119" s="460">
        <v>1</v>
      </c>
      <c r="G2119" s="1798" t="s">
        <v>45</v>
      </c>
      <c r="H2119" s="1783" t="s">
        <v>1239</v>
      </c>
      <c r="I2119" s="1750" t="s">
        <v>7900</v>
      </c>
      <c r="J2119" s="1785" t="s">
        <v>2973</v>
      </c>
      <c r="K2119" s="1786" t="s">
        <v>642</v>
      </c>
      <c r="L2119" s="1787" t="e">
        <v>#REF!</v>
      </c>
      <c r="M2119" s="1787">
        <v>44.585233333333335</v>
      </c>
      <c r="N2119" s="1754"/>
      <c r="O2119" s="1788"/>
      <c r="P2119" s="1721" t="s">
        <v>9611</v>
      </c>
    </row>
    <row r="2120" spans="1:16" ht="12.75" hidden="1" customHeight="1" outlineLevel="2" x14ac:dyDescent="0.2">
      <c r="A2120" s="459">
        <v>0</v>
      </c>
      <c r="B2120" s="459">
        <v>16</v>
      </c>
      <c r="C2120" s="459">
        <v>5</v>
      </c>
      <c r="D2120" s="460">
        <v>2</v>
      </c>
      <c r="E2120" s="460">
        <v>0</v>
      </c>
      <c r="G2120" s="1797"/>
      <c r="H2120" s="1777" t="s">
        <v>1238</v>
      </c>
      <c r="I2120" s="1742" t="s">
        <v>7901</v>
      </c>
      <c r="J2120" s="1779" t="s">
        <v>2816</v>
      </c>
      <c r="K2120" s="1780"/>
      <c r="L2120" s="1781"/>
      <c r="M2120" s="1781"/>
      <c r="N2120" s="1746"/>
      <c r="O2120" s="1782"/>
      <c r="P2120" s="1720"/>
    </row>
    <row r="2121" spans="1:16" ht="12.75" hidden="1" customHeight="1" outlineLevel="3" x14ac:dyDescent="0.2">
      <c r="A2121" s="459">
        <v>0</v>
      </c>
      <c r="B2121" s="459">
        <v>16</v>
      </c>
      <c r="C2121" s="459">
        <v>5</v>
      </c>
      <c r="D2121" s="460">
        <v>2</v>
      </c>
      <c r="E2121" s="460">
        <v>1</v>
      </c>
      <c r="G2121" s="1798" t="s">
        <v>45</v>
      </c>
      <c r="H2121" s="1783" t="s">
        <v>1239</v>
      </c>
      <c r="I2121" s="1750" t="s">
        <v>7902</v>
      </c>
      <c r="J2121" s="1785" t="s">
        <v>618</v>
      </c>
      <c r="K2121" s="1786" t="s">
        <v>642</v>
      </c>
      <c r="L2121" s="1787" t="e">
        <v>#REF!</v>
      </c>
      <c r="M2121" s="1787">
        <v>61.444938999999998</v>
      </c>
      <c r="N2121" s="1754"/>
      <c r="O2121" s="1788" t="s">
        <v>2211</v>
      </c>
      <c r="P2121" s="1721" t="s">
        <v>9611</v>
      </c>
    </row>
    <row r="2122" spans="1:16" ht="12.75" hidden="1" customHeight="1" outlineLevel="2" x14ac:dyDescent="0.2">
      <c r="A2122" s="459">
        <v>0</v>
      </c>
      <c r="B2122" s="459">
        <v>16</v>
      </c>
      <c r="C2122" s="459">
        <v>5</v>
      </c>
      <c r="D2122" s="460">
        <v>3</v>
      </c>
      <c r="E2122" s="460">
        <v>0</v>
      </c>
      <c r="G2122" s="1797"/>
      <c r="H2122" s="1777" t="s">
        <v>1238</v>
      </c>
      <c r="I2122" s="1742" t="s">
        <v>7903</v>
      </c>
      <c r="J2122" s="1779" t="s">
        <v>2745</v>
      </c>
      <c r="K2122" s="1780"/>
      <c r="L2122" s="1781"/>
      <c r="M2122" s="1781"/>
      <c r="N2122" s="1746"/>
      <c r="O2122" s="1782"/>
      <c r="P2122" s="1720"/>
    </row>
    <row r="2123" spans="1:16" ht="12.75" hidden="1" customHeight="1" outlineLevel="3" x14ac:dyDescent="0.2">
      <c r="A2123" s="459">
        <v>0</v>
      </c>
      <c r="B2123" s="459">
        <v>16</v>
      </c>
      <c r="C2123" s="459">
        <v>5</v>
      </c>
      <c r="D2123" s="460">
        <v>3</v>
      </c>
      <c r="E2123" s="460">
        <v>1</v>
      </c>
      <c r="G2123" s="1798" t="s">
        <v>49</v>
      </c>
      <c r="H2123" s="1783" t="s">
        <v>1239</v>
      </c>
      <c r="I2123" s="1750" t="s">
        <v>7904</v>
      </c>
      <c r="J2123" s="1785" t="s">
        <v>1884</v>
      </c>
      <c r="K2123" s="1786" t="s">
        <v>642</v>
      </c>
      <c r="L2123" s="1787" t="e">
        <v>#REF!</v>
      </c>
      <c r="M2123" s="1787">
        <v>58.073</v>
      </c>
      <c r="N2123" s="1754"/>
      <c r="O2123" s="1788"/>
      <c r="P2123" s="1721" t="s">
        <v>9611</v>
      </c>
    </row>
    <row r="2124" spans="1:16" ht="12.75" hidden="1" customHeight="1" outlineLevel="3" x14ac:dyDescent="0.2">
      <c r="A2124" s="459">
        <v>0</v>
      </c>
      <c r="B2124" s="459">
        <v>16</v>
      </c>
      <c r="C2124" s="459">
        <v>5</v>
      </c>
      <c r="D2124" s="460">
        <v>3</v>
      </c>
      <c r="E2124" s="460">
        <v>2</v>
      </c>
      <c r="G2124" s="1798" t="s">
        <v>49</v>
      </c>
      <c r="H2124" s="1783" t="s">
        <v>1239</v>
      </c>
      <c r="I2124" s="1750" t="s">
        <v>7905</v>
      </c>
      <c r="J2124" s="1785" t="s">
        <v>2979</v>
      </c>
      <c r="K2124" s="1786" t="s">
        <v>642</v>
      </c>
      <c r="L2124" s="1787" t="e">
        <v>#REF!</v>
      </c>
      <c r="M2124" s="1787">
        <v>229.82760000000005</v>
      </c>
      <c r="N2124" s="1754"/>
      <c r="O2124" s="1788"/>
      <c r="P2124" s="1721" t="s">
        <v>9611</v>
      </c>
    </row>
    <row r="2125" spans="1:16" ht="12.75" hidden="1" customHeight="1" outlineLevel="3" x14ac:dyDescent="0.2">
      <c r="A2125" s="459">
        <v>0</v>
      </c>
      <c r="B2125" s="459">
        <v>16</v>
      </c>
      <c r="C2125" s="459">
        <v>5</v>
      </c>
      <c r="D2125" s="460">
        <v>3</v>
      </c>
      <c r="E2125" s="460">
        <v>3</v>
      </c>
      <c r="G2125" s="1798" t="s">
        <v>49</v>
      </c>
      <c r="H2125" s="1783" t="s">
        <v>1239</v>
      </c>
      <c r="I2125" s="1750" t="s">
        <v>7906</v>
      </c>
      <c r="J2125" s="1785" t="s">
        <v>2980</v>
      </c>
      <c r="K2125" s="1786" t="s">
        <v>642</v>
      </c>
      <c r="L2125" s="1787" t="e">
        <v>#REF!</v>
      </c>
      <c r="M2125" s="1787">
        <v>141.82760000000002</v>
      </c>
      <c r="N2125" s="1754"/>
      <c r="O2125" s="1788"/>
      <c r="P2125" s="1721" t="s">
        <v>9611</v>
      </c>
    </row>
    <row r="2126" spans="1:16" ht="12.75" hidden="1" customHeight="1" outlineLevel="2" x14ac:dyDescent="0.2">
      <c r="A2126" s="459">
        <v>0</v>
      </c>
      <c r="B2126" s="459">
        <v>16</v>
      </c>
      <c r="C2126" s="459">
        <v>5</v>
      </c>
      <c r="D2126" s="460">
        <v>4</v>
      </c>
      <c r="E2126" s="460">
        <v>0</v>
      </c>
      <c r="G2126" s="1797"/>
      <c r="H2126" s="1777" t="s">
        <v>1238</v>
      </c>
      <c r="I2126" s="1742" t="s">
        <v>7907</v>
      </c>
      <c r="J2126" s="1779" t="s">
        <v>2818</v>
      </c>
      <c r="K2126" s="1780"/>
      <c r="L2126" s="1781"/>
      <c r="M2126" s="1781"/>
      <c r="N2126" s="1746"/>
      <c r="O2126" s="1782"/>
      <c r="P2126" s="1720"/>
    </row>
    <row r="2127" spans="1:16" ht="12.75" hidden="1" customHeight="1" outlineLevel="3" x14ac:dyDescent="0.2">
      <c r="A2127" s="459">
        <v>0</v>
      </c>
      <c r="B2127" s="459">
        <v>16</v>
      </c>
      <c r="C2127" s="459">
        <v>5</v>
      </c>
      <c r="D2127" s="460">
        <v>4</v>
      </c>
      <c r="E2127" s="460">
        <v>1</v>
      </c>
      <c r="G2127" s="1798" t="s">
        <v>49</v>
      </c>
      <c r="H2127" s="1783" t="s">
        <v>1239</v>
      </c>
      <c r="I2127" s="1750" t="s">
        <v>7908</v>
      </c>
      <c r="J2127" s="1785" t="s">
        <v>1518</v>
      </c>
      <c r="K2127" s="1786" t="s">
        <v>788</v>
      </c>
      <c r="L2127" s="1787" t="e">
        <v>#REF!</v>
      </c>
      <c r="M2127" s="1787">
        <v>10.114274999999999</v>
      </c>
      <c r="N2127" s="1754"/>
      <c r="O2127" s="1788"/>
      <c r="P2127" s="1721" t="s">
        <v>9611</v>
      </c>
    </row>
    <row r="2128" spans="1:16" ht="12.75" hidden="1" customHeight="1" outlineLevel="3" x14ac:dyDescent="0.2">
      <c r="A2128" s="459">
        <v>0</v>
      </c>
      <c r="B2128" s="459">
        <v>16</v>
      </c>
      <c r="C2128" s="459">
        <v>5</v>
      </c>
      <c r="D2128" s="460">
        <v>4</v>
      </c>
      <c r="E2128" s="460">
        <v>2</v>
      </c>
      <c r="G2128" s="1798" t="s">
        <v>49</v>
      </c>
      <c r="H2128" s="1783" t="s">
        <v>1239</v>
      </c>
      <c r="I2128" s="1750" t="s">
        <v>7909</v>
      </c>
      <c r="J2128" s="1785" t="s">
        <v>3051</v>
      </c>
      <c r="K2128" s="1786" t="s">
        <v>788</v>
      </c>
      <c r="L2128" s="1787" t="e">
        <v>#REF!</v>
      </c>
      <c r="M2128" s="1787">
        <v>22.121324999999999</v>
      </c>
      <c r="N2128" s="1754"/>
      <c r="O2128" s="1788"/>
      <c r="P2128" s="1721" t="s">
        <v>9611</v>
      </c>
    </row>
    <row r="2129" spans="1:16" ht="12.75" hidden="1" customHeight="1" outlineLevel="2" x14ac:dyDescent="0.2">
      <c r="A2129" s="459">
        <v>0</v>
      </c>
      <c r="B2129" s="459">
        <v>16</v>
      </c>
      <c r="C2129" s="459">
        <v>5</v>
      </c>
      <c r="D2129" s="460">
        <v>5</v>
      </c>
      <c r="E2129" s="460">
        <v>0</v>
      </c>
      <c r="G2129" s="1797"/>
      <c r="H2129" s="1777" t="s">
        <v>1238</v>
      </c>
      <c r="I2129" s="1742" t="s">
        <v>7910</v>
      </c>
      <c r="J2129" s="1779" t="s">
        <v>1264</v>
      </c>
      <c r="K2129" s="1780"/>
      <c r="L2129" s="1781"/>
      <c r="M2129" s="1781"/>
      <c r="N2129" s="1746"/>
      <c r="O2129" s="1782"/>
      <c r="P2129" s="1720"/>
    </row>
    <row r="2130" spans="1:16" ht="12.75" hidden="1" customHeight="1" outlineLevel="3" x14ac:dyDescent="0.2">
      <c r="A2130" s="459">
        <v>0</v>
      </c>
      <c r="B2130" s="459">
        <v>16</v>
      </c>
      <c r="C2130" s="459">
        <v>5</v>
      </c>
      <c r="D2130" s="460">
        <v>5</v>
      </c>
      <c r="E2130" s="460">
        <v>1</v>
      </c>
      <c r="G2130" s="1798" t="s">
        <v>45</v>
      </c>
      <c r="H2130" s="1783" t="s">
        <v>1239</v>
      </c>
      <c r="I2130" s="1750" t="s">
        <v>7911</v>
      </c>
      <c r="J2130" s="1785" t="s">
        <v>735</v>
      </c>
      <c r="K2130" s="1786" t="s">
        <v>642</v>
      </c>
      <c r="L2130" s="1787" t="e">
        <v>#REF!</v>
      </c>
      <c r="M2130" s="1787">
        <v>40</v>
      </c>
      <c r="N2130" s="1754"/>
      <c r="O2130" s="1788"/>
      <c r="P2130" s="1721" t="s">
        <v>9611</v>
      </c>
    </row>
    <row r="2131" spans="1:16" ht="12.75" hidden="1" customHeight="1" outlineLevel="3" x14ac:dyDescent="0.2">
      <c r="A2131" s="459">
        <v>0</v>
      </c>
      <c r="B2131" s="459">
        <v>16</v>
      </c>
      <c r="C2131" s="459">
        <v>5</v>
      </c>
      <c r="D2131" s="460">
        <v>5</v>
      </c>
      <c r="E2131" s="460">
        <v>2</v>
      </c>
      <c r="G2131" s="1798" t="s">
        <v>45</v>
      </c>
      <c r="H2131" s="1783" t="s">
        <v>1239</v>
      </c>
      <c r="I2131" s="1750" t="s">
        <v>7912</v>
      </c>
      <c r="J2131" s="1785" t="s">
        <v>737</v>
      </c>
      <c r="K2131" s="1786" t="s">
        <v>642</v>
      </c>
      <c r="L2131" s="1787" t="e">
        <v>#REF!</v>
      </c>
      <c r="M2131" s="1787">
        <v>40</v>
      </c>
      <c r="N2131" s="1754"/>
      <c r="O2131" s="1788"/>
      <c r="P2131" s="1721" t="s">
        <v>9611</v>
      </c>
    </row>
    <row r="2132" spans="1:16" ht="12.75" hidden="1" customHeight="1" outlineLevel="3" x14ac:dyDescent="0.2">
      <c r="A2132" s="459">
        <v>0</v>
      </c>
      <c r="B2132" s="459">
        <v>16</v>
      </c>
      <c r="C2132" s="459">
        <v>5</v>
      </c>
      <c r="D2132" s="460">
        <v>5</v>
      </c>
      <c r="E2132" s="460">
        <v>3</v>
      </c>
      <c r="G2132" s="1798" t="s">
        <v>49</v>
      </c>
      <c r="H2132" s="1783" t="s">
        <v>1239</v>
      </c>
      <c r="I2132" s="1750" t="s">
        <v>7913</v>
      </c>
      <c r="J2132" s="1785" t="s">
        <v>738</v>
      </c>
      <c r="K2132" s="1786" t="s">
        <v>642</v>
      </c>
      <c r="L2132" s="1787" t="e">
        <v>#REF!</v>
      </c>
      <c r="M2132" s="1787">
        <v>75</v>
      </c>
      <c r="N2132" s="1754"/>
      <c r="O2132" s="1788"/>
      <c r="P2132" s="1721" t="s">
        <v>9611</v>
      </c>
    </row>
    <row r="2133" spans="1:16" ht="12.75" hidden="1" customHeight="1" outlineLevel="3" x14ac:dyDescent="0.2">
      <c r="A2133" s="459">
        <v>0</v>
      </c>
      <c r="B2133" s="459">
        <v>16</v>
      </c>
      <c r="C2133" s="459">
        <v>5</v>
      </c>
      <c r="D2133" s="460">
        <v>5</v>
      </c>
      <c r="E2133" s="460">
        <v>4</v>
      </c>
      <c r="G2133" s="1798" t="s">
        <v>49</v>
      </c>
      <c r="H2133" s="1783" t="s">
        <v>1239</v>
      </c>
      <c r="I2133" s="1750" t="s">
        <v>7914</v>
      </c>
      <c r="J2133" s="1785" t="s">
        <v>744</v>
      </c>
      <c r="K2133" s="1786" t="s">
        <v>788</v>
      </c>
      <c r="L2133" s="1787" t="e">
        <v>#REF!</v>
      </c>
      <c r="M2133" s="1787">
        <v>24</v>
      </c>
      <c r="N2133" s="1754"/>
      <c r="O2133" s="1788"/>
      <c r="P2133" s="1721" t="s">
        <v>9611</v>
      </c>
    </row>
    <row r="2134" spans="1:16" ht="12.75" hidden="1" customHeight="1" outlineLevel="1" x14ac:dyDescent="0.2">
      <c r="A2134" s="459">
        <v>0</v>
      </c>
      <c r="B2134" s="459">
        <v>16</v>
      </c>
      <c r="C2134" s="459">
        <v>6</v>
      </c>
      <c r="D2134" s="460">
        <v>0</v>
      </c>
      <c r="E2134" s="460">
        <v>4</v>
      </c>
      <c r="G2134" s="1796"/>
      <c r="H2134" s="1771" t="s">
        <v>39</v>
      </c>
      <c r="I2134" s="1735" t="s">
        <v>7915</v>
      </c>
      <c r="J2134" s="1773" t="s">
        <v>3066</v>
      </c>
      <c r="K2134" s="1774"/>
      <c r="L2134" s="1775"/>
      <c r="M2134" s="1775"/>
      <c r="N2134" s="1739"/>
      <c r="O2134" s="1776"/>
      <c r="P2134" s="1719"/>
    </row>
    <row r="2135" spans="1:16" ht="12.75" hidden="1" customHeight="1" outlineLevel="2" x14ac:dyDescent="0.2">
      <c r="A2135" s="459">
        <v>0</v>
      </c>
      <c r="B2135" s="459">
        <v>16</v>
      </c>
      <c r="C2135" s="459">
        <v>6</v>
      </c>
      <c r="D2135" s="460">
        <v>1</v>
      </c>
      <c r="E2135" s="460">
        <v>0</v>
      </c>
      <c r="G2135" s="1797"/>
      <c r="H2135" s="1777" t="s">
        <v>1238</v>
      </c>
      <c r="I2135" s="1742" t="s">
        <v>7916</v>
      </c>
      <c r="J2135" s="1779" t="s">
        <v>23</v>
      </c>
      <c r="K2135" s="1780"/>
      <c r="L2135" s="1781"/>
      <c r="M2135" s="1781"/>
      <c r="N2135" s="1746"/>
      <c r="O2135" s="1782"/>
      <c r="P2135" s="1720"/>
    </row>
    <row r="2136" spans="1:16" ht="12.75" hidden="1" customHeight="1" outlineLevel="3" x14ac:dyDescent="0.2">
      <c r="A2136" s="459">
        <v>0</v>
      </c>
      <c r="B2136" s="459">
        <v>16</v>
      </c>
      <c r="C2136" s="459">
        <v>6</v>
      </c>
      <c r="D2136" s="460">
        <v>1</v>
      </c>
      <c r="E2136" s="460">
        <v>1</v>
      </c>
      <c r="G2136" s="1798" t="s">
        <v>45</v>
      </c>
      <c r="H2136" s="1783" t="s">
        <v>1239</v>
      </c>
      <c r="I2136" s="1750" t="s">
        <v>7917</v>
      </c>
      <c r="J2136" s="1785" t="s">
        <v>2973</v>
      </c>
      <c r="K2136" s="1786" t="s">
        <v>642</v>
      </c>
      <c r="L2136" s="1787" t="e">
        <v>#REF!</v>
      </c>
      <c r="M2136" s="1787">
        <v>44.585233333333335</v>
      </c>
      <c r="N2136" s="1754"/>
      <c r="O2136" s="1788"/>
      <c r="P2136" s="1721" t="s">
        <v>9611</v>
      </c>
    </row>
    <row r="2137" spans="1:16" ht="12.75" hidden="1" customHeight="1" outlineLevel="2" x14ac:dyDescent="0.2">
      <c r="A2137" s="459">
        <v>0</v>
      </c>
      <c r="B2137" s="459">
        <v>16</v>
      </c>
      <c r="C2137" s="459">
        <v>6</v>
      </c>
      <c r="D2137" s="460">
        <v>2</v>
      </c>
      <c r="E2137" s="460">
        <v>0</v>
      </c>
      <c r="G2137" s="1797"/>
      <c r="H2137" s="1777" t="s">
        <v>1238</v>
      </c>
      <c r="I2137" s="1742" t="s">
        <v>7918</v>
      </c>
      <c r="J2137" s="1779" t="s">
        <v>2816</v>
      </c>
      <c r="K2137" s="1780"/>
      <c r="L2137" s="1781"/>
      <c r="M2137" s="1781"/>
      <c r="N2137" s="1746"/>
      <c r="O2137" s="1782"/>
      <c r="P2137" s="1720"/>
    </row>
    <row r="2138" spans="1:16" ht="12.75" hidden="1" customHeight="1" outlineLevel="3" x14ac:dyDescent="0.2">
      <c r="A2138" s="459">
        <v>0</v>
      </c>
      <c r="B2138" s="459">
        <v>16</v>
      </c>
      <c r="C2138" s="459">
        <v>6</v>
      </c>
      <c r="D2138" s="460">
        <v>2</v>
      </c>
      <c r="E2138" s="460">
        <v>1</v>
      </c>
      <c r="G2138" s="1798" t="s">
        <v>45</v>
      </c>
      <c r="H2138" s="1783" t="s">
        <v>1239</v>
      </c>
      <c r="I2138" s="1750" t="s">
        <v>7919</v>
      </c>
      <c r="J2138" s="1785" t="s">
        <v>618</v>
      </c>
      <c r="K2138" s="1786" t="s">
        <v>642</v>
      </c>
      <c r="L2138" s="1787" t="e">
        <v>#REF!</v>
      </c>
      <c r="M2138" s="1787">
        <v>61.444938999999998</v>
      </c>
      <c r="N2138" s="1754"/>
      <c r="O2138" s="1788" t="s">
        <v>2211</v>
      </c>
      <c r="P2138" s="1721" t="s">
        <v>9611</v>
      </c>
    </row>
    <row r="2139" spans="1:16" ht="12.75" hidden="1" customHeight="1" outlineLevel="2" x14ac:dyDescent="0.2">
      <c r="A2139" s="459">
        <v>0</v>
      </c>
      <c r="B2139" s="459">
        <v>16</v>
      </c>
      <c r="C2139" s="459">
        <v>6</v>
      </c>
      <c r="D2139" s="460">
        <v>3</v>
      </c>
      <c r="E2139" s="460">
        <v>0</v>
      </c>
      <c r="G2139" s="1797"/>
      <c r="H2139" s="1777" t="s">
        <v>1238</v>
      </c>
      <c r="I2139" s="1742" t="s">
        <v>7920</v>
      </c>
      <c r="J2139" s="1779" t="s">
        <v>2745</v>
      </c>
      <c r="K2139" s="1780"/>
      <c r="L2139" s="1781"/>
      <c r="M2139" s="1781"/>
      <c r="N2139" s="1746"/>
      <c r="O2139" s="1782"/>
      <c r="P2139" s="1720"/>
    </row>
    <row r="2140" spans="1:16" ht="12.75" hidden="1" customHeight="1" outlineLevel="3" x14ac:dyDescent="0.2">
      <c r="A2140" s="459">
        <v>0</v>
      </c>
      <c r="B2140" s="459">
        <v>16</v>
      </c>
      <c r="C2140" s="459">
        <v>6</v>
      </c>
      <c r="D2140" s="460">
        <v>3</v>
      </c>
      <c r="E2140" s="460">
        <v>1</v>
      </c>
      <c r="G2140" s="1798" t="s">
        <v>49</v>
      </c>
      <c r="H2140" s="1783" t="s">
        <v>1239</v>
      </c>
      <c r="I2140" s="1750" t="s">
        <v>7921</v>
      </c>
      <c r="J2140" s="1785" t="s">
        <v>2984</v>
      </c>
      <c r="K2140" s="1786" t="s">
        <v>642</v>
      </c>
      <c r="L2140" s="1787" t="e">
        <v>#REF!</v>
      </c>
      <c r="M2140" s="1787">
        <v>61.838600000000007</v>
      </c>
      <c r="N2140" s="1754"/>
      <c r="O2140" s="1788"/>
      <c r="P2140" s="1721" t="s">
        <v>9611</v>
      </c>
    </row>
    <row r="2141" spans="1:16" ht="12.75" hidden="1" customHeight="1" outlineLevel="3" x14ac:dyDescent="0.2">
      <c r="A2141" s="459">
        <v>0</v>
      </c>
      <c r="B2141" s="459">
        <v>16</v>
      </c>
      <c r="C2141" s="459">
        <v>6</v>
      </c>
      <c r="D2141" s="460">
        <v>3</v>
      </c>
      <c r="E2141" s="460">
        <v>2</v>
      </c>
      <c r="G2141" s="1798" t="s">
        <v>49</v>
      </c>
      <c r="H2141" s="1783" t="s">
        <v>1239</v>
      </c>
      <c r="I2141" s="1750" t="s">
        <v>7922</v>
      </c>
      <c r="J2141" s="1785" t="s">
        <v>1884</v>
      </c>
      <c r="K2141" s="1786" t="s">
        <v>642</v>
      </c>
      <c r="L2141" s="1787" t="e">
        <v>#REF!</v>
      </c>
      <c r="M2141" s="1787">
        <v>58.073</v>
      </c>
      <c r="N2141" s="1754"/>
      <c r="O2141" s="1788"/>
      <c r="P2141" s="1721" t="s">
        <v>9611</v>
      </c>
    </row>
    <row r="2142" spans="1:16" ht="12.75" hidden="1" customHeight="1" outlineLevel="3" x14ac:dyDescent="0.2">
      <c r="A2142" s="459">
        <v>0</v>
      </c>
      <c r="B2142" s="459">
        <v>16</v>
      </c>
      <c r="C2142" s="459">
        <v>6</v>
      </c>
      <c r="D2142" s="460">
        <v>3</v>
      </c>
      <c r="E2142" s="460">
        <v>3</v>
      </c>
      <c r="G2142" s="1798" t="s">
        <v>49</v>
      </c>
      <c r="H2142" s="1783" t="s">
        <v>1239</v>
      </c>
      <c r="I2142" s="1750" t="s">
        <v>7923</v>
      </c>
      <c r="J2142" s="1785" t="s">
        <v>2979</v>
      </c>
      <c r="K2142" s="1786" t="s">
        <v>642</v>
      </c>
      <c r="L2142" s="1787" t="e">
        <v>#REF!</v>
      </c>
      <c r="M2142" s="1787">
        <v>229.82760000000005</v>
      </c>
      <c r="N2142" s="1754"/>
      <c r="O2142" s="1788"/>
      <c r="P2142" s="1721" t="s">
        <v>9611</v>
      </c>
    </row>
    <row r="2143" spans="1:16" ht="12.75" hidden="1" customHeight="1" outlineLevel="3" x14ac:dyDescent="0.2">
      <c r="A2143" s="459">
        <v>0</v>
      </c>
      <c r="B2143" s="459">
        <v>16</v>
      </c>
      <c r="C2143" s="459">
        <v>6</v>
      </c>
      <c r="D2143" s="460">
        <v>3</v>
      </c>
      <c r="E2143" s="460">
        <v>4</v>
      </c>
      <c r="G2143" s="1798" t="s">
        <v>49</v>
      </c>
      <c r="H2143" s="1783" t="s">
        <v>1239</v>
      </c>
      <c r="I2143" s="1750" t="s">
        <v>7924</v>
      </c>
      <c r="J2143" s="1785" t="s">
        <v>2980</v>
      </c>
      <c r="K2143" s="1786" t="s">
        <v>642</v>
      </c>
      <c r="L2143" s="1787" t="e">
        <v>#REF!</v>
      </c>
      <c r="M2143" s="1787">
        <v>141.82760000000002</v>
      </c>
      <c r="N2143" s="1754"/>
      <c r="O2143" s="1788"/>
      <c r="P2143" s="1721" t="s">
        <v>9611</v>
      </c>
    </row>
    <row r="2144" spans="1:16" ht="12.75" hidden="1" customHeight="1" outlineLevel="2" x14ac:dyDescent="0.2">
      <c r="A2144" s="459">
        <v>0</v>
      </c>
      <c r="B2144" s="459">
        <v>16</v>
      </c>
      <c r="C2144" s="459">
        <v>6</v>
      </c>
      <c r="D2144" s="460">
        <v>4</v>
      </c>
      <c r="E2144" s="460">
        <v>0</v>
      </c>
      <c r="G2144" s="1797"/>
      <c r="H2144" s="1777" t="s">
        <v>1238</v>
      </c>
      <c r="I2144" s="1742" t="s">
        <v>7925</v>
      </c>
      <c r="J2144" s="1779" t="s">
        <v>2818</v>
      </c>
      <c r="K2144" s="1780"/>
      <c r="L2144" s="1781"/>
      <c r="M2144" s="1781"/>
      <c r="N2144" s="1746"/>
      <c r="O2144" s="1782"/>
      <c r="P2144" s="1720"/>
    </row>
    <row r="2145" spans="1:16" ht="12.75" hidden="1" customHeight="1" outlineLevel="3" x14ac:dyDescent="0.2">
      <c r="A2145" s="459">
        <v>0</v>
      </c>
      <c r="B2145" s="459">
        <v>16</v>
      </c>
      <c r="C2145" s="459">
        <v>6</v>
      </c>
      <c r="D2145" s="460">
        <v>4</v>
      </c>
      <c r="E2145" s="460">
        <v>1</v>
      </c>
      <c r="G2145" s="1798" t="s">
        <v>49</v>
      </c>
      <c r="H2145" s="1783" t="s">
        <v>1239</v>
      </c>
      <c r="I2145" s="1750" t="s">
        <v>7926</v>
      </c>
      <c r="J2145" s="1785" t="s">
        <v>1518</v>
      </c>
      <c r="K2145" s="1786" t="s">
        <v>788</v>
      </c>
      <c r="L2145" s="1787" t="e">
        <v>#REF!</v>
      </c>
      <c r="M2145" s="1787">
        <v>10.114274999999999</v>
      </c>
      <c r="N2145" s="1754"/>
      <c r="O2145" s="1788"/>
      <c r="P2145" s="1721" t="s">
        <v>9611</v>
      </c>
    </row>
    <row r="2146" spans="1:16" ht="12.75" hidden="1" customHeight="1" outlineLevel="3" x14ac:dyDescent="0.2">
      <c r="A2146" s="459">
        <v>0</v>
      </c>
      <c r="B2146" s="459">
        <v>16</v>
      </c>
      <c r="C2146" s="459">
        <v>6</v>
      </c>
      <c r="D2146" s="460">
        <v>4</v>
      </c>
      <c r="E2146" s="460">
        <v>2</v>
      </c>
      <c r="G2146" s="1798" t="s">
        <v>49</v>
      </c>
      <c r="H2146" s="1783" t="s">
        <v>1239</v>
      </c>
      <c r="I2146" s="1750" t="s">
        <v>7927</v>
      </c>
      <c r="J2146" s="1785" t="s">
        <v>3051</v>
      </c>
      <c r="K2146" s="1786" t="s">
        <v>788</v>
      </c>
      <c r="L2146" s="1787" t="e">
        <v>#REF!</v>
      </c>
      <c r="M2146" s="1787">
        <v>22.121324999999999</v>
      </c>
      <c r="N2146" s="1754"/>
      <c r="O2146" s="1788"/>
      <c r="P2146" s="1721" t="s">
        <v>9611</v>
      </c>
    </row>
    <row r="2147" spans="1:16" ht="12.75" hidden="1" customHeight="1" outlineLevel="2" x14ac:dyDescent="0.2">
      <c r="A2147" s="459">
        <v>0</v>
      </c>
      <c r="B2147" s="459">
        <v>16</v>
      </c>
      <c r="C2147" s="459">
        <v>6</v>
      </c>
      <c r="D2147" s="460">
        <v>5</v>
      </c>
      <c r="E2147" s="460">
        <v>0</v>
      </c>
      <c r="G2147" s="1797"/>
      <c r="H2147" s="1777" t="s">
        <v>1238</v>
      </c>
      <c r="I2147" s="1742" t="s">
        <v>7928</v>
      </c>
      <c r="J2147" s="1779" t="s">
        <v>1264</v>
      </c>
      <c r="K2147" s="1780"/>
      <c r="L2147" s="1781"/>
      <c r="M2147" s="1781"/>
      <c r="N2147" s="1746"/>
      <c r="O2147" s="1782"/>
      <c r="P2147" s="1720"/>
    </row>
    <row r="2148" spans="1:16" ht="12.75" hidden="1" customHeight="1" outlineLevel="3" x14ac:dyDescent="0.2">
      <c r="A2148" s="459">
        <v>0</v>
      </c>
      <c r="B2148" s="459">
        <v>16</v>
      </c>
      <c r="C2148" s="459">
        <v>6</v>
      </c>
      <c r="D2148" s="460">
        <v>5</v>
      </c>
      <c r="E2148" s="460">
        <v>1</v>
      </c>
      <c r="G2148" s="1798" t="s">
        <v>45</v>
      </c>
      <c r="H2148" s="1783" t="s">
        <v>1239</v>
      </c>
      <c r="I2148" s="1750" t="s">
        <v>7929</v>
      </c>
      <c r="J2148" s="1785" t="s">
        <v>735</v>
      </c>
      <c r="K2148" s="1786" t="s">
        <v>642</v>
      </c>
      <c r="L2148" s="1787" t="e">
        <v>#REF!</v>
      </c>
      <c r="M2148" s="1787">
        <v>40</v>
      </c>
      <c r="N2148" s="1754"/>
      <c r="O2148" s="1788"/>
      <c r="P2148" s="1721" t="s">
        <v>9611</v>
      </c>
    </row>
    <row r="2149" spans="1:16" ht="12.75" hidden="1" customHeight="1" outlineLevel="3" x14ac:dyDescent="0.2">
      <c r="A2149" s="459">
        <v>0</v>
      </c>
      <c r="B2149" s="459">
        <v>16</v>
      </c>
      <c r="C2149" s="459">
        <v>6</v>
      </c>
      <c r="D2149" s="460">
        <v>5</v>
      </c>
      <c r="E2149" s="460">
        <v>2</v>
      </c>
      <c r="G2149" s="1798" t="s">
        <v>45</v>
      </c>
      <c r="H2149" s="1783" t="s">
        <v>1239</v>
      </c>
      <c r="I2149" s="1750" t="s">
        <v>7930</v>
      </c>
      <c r="J2149" s="1785" t="s">
        <v>737</v>
      </c>
      <c r="K2149" s="1786" t="s">
        <v>642</v>
      </c>
      <c r="L2149" s="1787" t="e">
        <v>#REF!</v>
      </c>
      <c r="M2149" s="1787">
        <v>40</v>
      </c>
      <c r="N2149" s="1754"/>
      <c r="O2149" s="1788"/>
      <c r="P2149" s="1721" t="s">
        <v>9611</v>
      </c>
    </row>
    <row r="2150" spans="1:16" ht="12.75" hidden="1" customHeight="1" outlineLevel="3" x14ac:dyDescent="0.2">
      <c r="A2150" s="459">
        <v>0</v>
      </c>
      <c r="B2150" s="459">
        <v>16</v>
      </c>
      <c r="C2150" s="459">
        <v>6</v>
      </c>
      <c r="D2150" s="460">
        <v>5</v>
      </c>
      <c r="E2150" s="460">
        <v>3</v>
      </c>
      <c r="G2150" s="1798" t="s">
        <v>49</v>
      </c>
      <c r="H2150" s="1783" t="s">
        <v>1239</v>
      </c>
      <c r="I2150" s="1750" t="s">
        <v>7931</v>
      </c>
      <c r="J2150" s="1785" t="s">
        <v>738</v>
      </c>
      <c r="K2150" s="1786" t="s">
        <v>642</v>
      </c>
      <c r="L2150" s="1787" t="e">
        <v>#REF!</v>
      </c>
      <c r="M2150" s="1787">
        <v>75</v>
      </c>
      <c r="N2150" s="1754"/>
      <c r="O2150" s="1788"/>
      <c r="P2150" s="1721" t="s">
        <v>9611</v>
      </c>
    </row>
    <row r="2151" spans="1:16" ht="12.75" hidden="1" customHeight="1" outlineLevel="3" x14ac:dyDescent="0.2">
      <c r="A2151" s="459">
        <v>0</v>
      </c>
      <c r="B2151" s="459">
        <v>16</v>
      </c>
      <c r="C2151" s="459">
        <v>6</v>
      </c>
      <c r="D2151" s="460">
        <v>5</v>
      </c>
      <c r="E2151" s="460">
        <v>4</v>
      </c>
      <c r="G2151" s="1798" t="s">
        <v>49</v>
      </c>
      <c r="H2151" s="1783" t="s">
        <v>1239</v>
      </c>
      <c r="I2151" s="1750" t="s">
        <v>7932</v>
      </c>
      <c r="J2151" s="1785" t="s">
        <v>744</v>
      </c>
      <c r="K2151" s="1786" t="s">
        <v>788</v>
      </c>
      <c r="L2151" s="1787" t="e">
        <v>#REF!</v>
      </c>
      <c r="M2151" s="1787">
        <v>24</v>
      </c>
      <c r="N2151" s="1754"/>
      <c r="O2151" s="1788"/>
      <c r="P2151" s="1721" t="s">
        <v>9611</v>
      </c>
    </row>
    <row r="2152" spans="1:16" ht="12.75" hidden="1" customHeight="1" outlineLevel="1" x14ac:dyDescent="0.2">
      <c r="A2152" s="459">
        <v>0</v>
      </c>
      <c r="B2152" s="459">
        <v>16</v>
      </c>
      <c r="C2152" s="459">
        <v>7</v>
      </c>
      <c r="D2152" s="460">
        <v>0</v>
      </c>
      <c r="E2152" s="460">
        <v>4</v>
      </c>
      <c r="G2152" s="1796"/>
      <c r="H2152" s="1771" t="s">
        <v>39</v>
      </c>
      <c r="I2152" s="1735" t="s">
        <v>7933</v>
      </c>
      <c r="J2152" s="1773" t="s">
        <v>3067</v>
      </c>
      <c r="K2152" s="1774"/>
      <c r="L2152" s="1775"/>
      <c r="M2152" s="1775"/>
      <c r="N2152" s="1739"/>
      <c r="O2152" s="1776"/>
      <c r="P2152" s="1719"/>
    </row>
    <row r="2153" spans="1:16" ht="13.5" hidden="1" customHeight="1" outlineLevel="2" x14ac:dyDescent="0.2">
      <c r="A2153" s="459">
        <v>0</v>
      </c>
      <c r="B2153" s="459">
        <v>16</v>
      </c>
      <c r="C2153" s="459">
        <v>7</v>
      </c>
      <c r="D2153" s="460">
        <v>1</v>
      </c>
      <c r="E2153" s="460">
        <v>0</v>
      </c>
      <c r="G2153" s="1797"/>
      <c r="H2153" s="1777" t="s">
        <v>1238</v>
      </c>
      <c r="I2153" s="1742" t="s">
        <v>7934</v>
      </c>
      <c r="J2153" s="1779" t="s">
        <v>23</v>
      </c>
      <c r="K2153" s="1780"/>
      <c r="L2153" s="1781"/>
      <c r="M2153" s="1781"/>
      <c r="N2153" s="1746"/>
      <c r="O2153" s="1782"/>
      <c r="P2153" s="1720"/>
    </row>
    <row r="2154" spans="1:16" ht="13.5" hidden="1" customHeight="1" outlineLevel="3" x14ac:dyDescent="0.2">
      <c r="A2154" s="459">
        <v>0</v>
      </c>
      <c r="B2154" s="459">
        <v>16</v>
      </c>
      <c r="C2154" s="459">
        <v>7</v>
      </c>
      <c r="D2154" s="460">
        <v>1</v>
      </c>
      <c r="E2154" s="460">
        <v>1</v>
      </c>
      <c r="G2154" s="1798" t="s">
        <v>45</v>
      </c>
      <c r="H2154" s="1783" t="s">
        <v>1239</v>
      </c>
      <c r="I2154" s="1750" t="s">
        <v>7935</v>
      </c>
      <c r="J2154" s="1785" t="s">
        <v>2973</v>
      </c>
      <c r="K2154" s="1786" t="s">
        <v>642</v>
      </c>
      <c r="L2154" s="1787" t="e">
        <v>#REF!</v>
      </c>
      <c r="M2154" s="1787">
        <v>44.585233333333335</v>
      </c>
      <c r="N2154" s="1754"/>
      <c r="O2154" s="1788"/>
      <c r="P2154" s="1721" t="s">
        <v>9611</v>
      </c>
    </row>
    <row r="2155" spans="1:16" ht="13.5" hidden="1" customHeight="1" outlineLevel="2" x14ac:dyDescent="0.2">
      <c r="A2155" s="459">
        <v>0</v>
      </c>
      <c r="B2155" s="459">
        <v>16</v>
      </c>
      <c r="C2155" s="459">
        <v>7</v>
      </c>
      <c r="D2155" s="460">
        <v>2</v>
      </c>
      <c r="E2155" s="460">
        <v>0</v>
      </c>
      <c r="G2155" s="1797"/>
      <c r="H2155" s="1777" t="s">
        <v>1238</v>
      </c>
      <c r="I2155" s="1742" t="s">
        <v>7936</v>
      </c>
      <c r="J2155" s="1779" t="s">
        <v>2816</v>
      </c>
      <c r="K2155" s="1780"/>
      <c r="L2155" s="1781"/>
      <c r="M2155" s="1781"/>
      <c r="N2155" s="1746"/>
      <c r="O2155" s="1782"/>
      <c r="P2155" s="1720"/>
    </row>
    <row r="2156" spans="1:16" ht="13.5" hidden="1" customHeight="1" outlineLevel="3" x14ac:dyDescent="0.2">
      <c r="A2156" s="459">
        <v>0</v>
      </c>
      <c r="B2156" s="459">
        <v>16</v>
      </c>
      <c r="C2156" s="459">
        <v>7</v>
      </c>
      <c r="D2156" s="460">
        <v>2</v>
      </c>
      <c r="E2156" s="460">
        <v>1</v>
      </c>
      <c r="G2156" s="1798" t="s">
        <v>45</v>
      </c>
      <c r="H2156" s="1783" t="s">
        <v>1239</v>
      </c>
      <c r="I2156" s="1750" t="s">
        <v>7937</v>
      </c>
      <c r="J2156" s="1785" t="s">
        <v>618</v>
      </c>
      <c r="K2156" s="1786" t="s">
        <v>642</v>
      </c>
      <c r="L2156" s="1787" t="e">
        <v>#REF!</v>
      </c>
      <c r="M2156" s="1787">
        <v>61.444938999999998</v>
      </c>
      <c r="N2156" s="1754"/>
      <c r="O2156" s="1788" t="s">
        <v>2211</v>
      </c>
      <c r="P2156" s="1721" t="s">
        <v>9611</v>
      </c>
    </row>
    <row r="2157" spans="1:16" ht="13.5" hidden="1" customHeight="1" outlineLevel="2" x14ac:dyDescent="0.2">
      <c r="A2157" s="459">
        <v>0</v>
      </c>
      <c r="B2157" s="459">
        <v>16</v>
      </c>
      <c r="C2157" s="459">
        <v>7</v>
      </c>
      <c r="D2157" s="460">
        <v>3</v>
      </c>
      <c r="E2157" s="460">
        <v>0</v>
      </c>
      <c r="G2157" s="1797"/>
      <c r="H2157" s="1777" t="s">
        <v>1238</v>
      </c>
      <c r="I2157" s="1742" t="s">
        <v>7938</v>
      </c>
      <c r="J2157" s="1779" t="s">
        <v>2745</v>
      </c>
      <c r="K2157" s="1780"/>
      <c r="L2157" s="1781"/>
      <c r="M2157" s="1781"/>
      <c r="N2157" s="1746"/>
      <c r="O2157" s="1782"/>
      <c r="P2157" s="1720"/>
    </row>
    <row r="2158" spans="1:16" ht="13.5" hidden="1" customHeight="1" outlineLevel="3" x14ac:dyDescent="0.2">
      <c r="A2158" s="459">
        <v>0</v>
      </c>
      <c r="B2158" s="459">
        <v>16</v>
      </c>
      <c r="C2158" s="459">
        <v>7</v>
      </c>
      <c r="D2158" s="460">
        <v>3</v>
      </c>
      <c r="E2158" s="460">
        <v>1</v>
      </c>
      <c r="G2158" s="1798" t="s">
        <v>49</v>
      </c>
      <c r="H2158" s="1783" t="s">
        <v>1239</v>
      </c>
      <c r="I2158" s="1750" t="s">
        <v>7939</v>
      </c>
      <c r="J2158" s="1785" t="s">
        <v>1884</v>
      </c>
      <c r="K2158" s="1786" t="s">
        <v>642</v>
      </c>
      <c r="L2158" s="1787" t="e">
        <v>#REF!</v>
      </c>
      <c r="M2158" s="1787">
        <v>58.073</v>
      </c>
      <c r="N2158" s="1754"/>
      <c r="O2158" s="1788"/>
      <c r="P2158" s="1721" t="s">
        <v>9611</v>
      </c>
    </row>
    <row r="2159" spans="1:16" ht="13.5" hidden="1" customHeight="1" outlineLevel="3" x14ac:dyDescent="0.2">
      <c r="A2159" s="459">
        <v>0</v>
      </c>
      <c r="B2159" s="459">
        <v>16</v>
      </c>
      <c r="C2159" s="459">
        <v>7</v>
      </c>
      <c r="D2159" s="460">
        <v>3</v>
      </c>
      <c r="E2159" s="460">
        <v>2</v>
      </c>
      <c r="G2159" s="1798" t="s">
        <v>49</v>
      </c>
      <c r="H2159" s="1783" t="s">
        <v>1239</v>
      </c>
      <c r="I2159" s="1750" t="s">
        <v>7940</v>
      </c>
      <c r="J2159" s="1785" t="s">
        <v>2979</v>
      </c>
      <c r="K2159" s="1786" t="s">
        <v>642</v>
      </c>
      <c r="L2159" s="1787" t="e">
        <v>#REF!</v>
      </c>
      <c r="M2159" s="1787">
        <v>229.82760000000005</v>
      </c>
      <c r="N2159" s="1754"/>
      <c r="O2159" s="1788"/>
      <c r="P2159" s="1721" t="s">
        <v>9611</v>
      </c>
    </row>
    <row r="2160" spans="1:16" ht="13.5" hidden="1" customHeight="1" outlineLevel="3" x14ac:dyDescent="0.2">
      <c r="A2160" s="459">
        <v>0</v>
      </c>
      <c r="B2160" s="459">
        <v>16</v>
      </c>
      <c r="C2160" s="459">
        <v>7</v>
      </c>
      <c r="D2160" s="460">
        <v>3</v>
      </c>
      <c r="E2160" s="460">
        <v>3</v>
      </c>
      <c r="G2160" s="1798" t="s">
        <v>49</v>
      </c>
      <c r="H2160" s="1783" t="s">
        <v>1239</v>
      </c>
      <c r="I2160" s="1750" t="s">
        <v>7941</v>
      </c>
      <c r="J2160" s="1785" t="s">
        <v>2980</v>
      </c>
      <c r="K2160" s="1786" t="s">
        <v>642</v>
      </c>
      <c r="L2160" s="1787" t="e">
        <v>#REF!</v>
      </c>
      <c r="M2160" s="1787">
        <v>141.82760000000002</v>
      </c>
      <c r="N2160" s="1754"/>
      <c r="O2160" s="1788"/>
      <c r="P2160" s="1721" t="s">
        <v>9611</v>
      </c>
    </row>
    <row r="2161" spans="1:16" ht="13.5" hidden="1" customHeight="1" outlineLevel="3" x14ac:dyDescent="0.2">
      <c r="A2161" s="459">
        <v>0</v>
      </c>
      <c r="B2161" s="459">
        <v>16</v>
      </c>
      <c r="C2161" s="459">
        <v>7</v>
      </c>
      <c r="D2161" s="460">
        <v>3</v>
      </c>
      <c r="E2161" s="460">
        <v>4</v>
      </c>
      <c r="G2161" s="1798" t="s">
        <v>49</v>
      </c>
      <c r="H2161" s="1783" t="s">
        <v>1239</v>
      </c>
      <c r="I2161" s="1750" t="s">
        <v>7942</v>
      </c>
      <c r="J2161" s="1785" t="s">
        <v>2995</v>
      </c>
      <c r="K2161" s="1786" t="s">
        <v>642</v>
      </c>
      <c r="L2161" s="1787" t="e">
        <v>#REF!</v>
      </c>
      <c r="M2161" s="1787">
        <v>282.48927499999996</v>
      </c>
      <c r="N2161" s="1754"/>
      <c r="O2161" s="1788"/>
      <c r="P2161" s="1721" t="s">
        <v>9611</v>
      </c>
    </row>
    <row r="2162" spans="1:16" ht="13.5" hidden="1" customHeight="1" outlineLevel="3" x14ac:dyDescent="0.2">
      <c r="A2162" s="459">
        <v>0</v>
      </c>
      <c r="B2162" s="459">
        <v>16</v>
      </c>
      <c r="C2162" s="459">
        <v>7</v>
      </c>
      <c r="D2162" s="460">
        <v>3</v>
      </c>
      <c r="E2162" s="460">
        <v>5</v>
      </c>
      <c r="G2162" s="1798" t="s">
        <v>49</v>
      </c>
      <c r="H2162" s="1783" t="s">
        <v>1239</v>
      </c>
      <c r="I2162" s="1750" t="s">
        <v>7943</v>
      </c>
      <c r="J2162" s="1785" t="s">
        <v>2997</v>
      </c>
      <c r="K2162" s="1786" t="s">
        <v>642</v>
      </c>
      <c r="L2162" s="1787" t="e">
        <v>#REF!</v>
      </c>
      <c r="M2162" s="1787">
        <v>865.48927500000013</v>
      </c>
      <c r="N2162" s="1754"/>
      <c r="O2162" s="1788"/>
      <c r="P2162" s="1721" t="s">
        <v>9611</v>
      </c>
    </row>
    <row r="2163" spans="1:16" ht="13.5" hidden="1" customHeight="1" outlineLevel="3" x14ac:dyDescent="0.2">
      <c r="A2163" s="459">
        <v>0</v>
      </c>
      <c r="B2163" s="459">
        <v>16</v>
      </c>
      <c r="C2163" s="459">
        <v>7</v>
      </c>
      <c r="D2163" s="460">
        <v>3</v>
      </c>
      <c r="E2163" s="460">
        <v>6</v>
      </c>
      <c r="G2163" s="1798" t="s">
        <v>49</v>
      </c>
      <c r="H2163" s="1783" t="s">
        <v>1239</v>
      </c>
      <c r="I2163" s="1750" t="s">
        <v>7944</v>
      </c>
      <c r="J2163" s="1785" t="s">
        <v>2854</v>
      </c>
      <c r="K2163" s="1786" t="s">
        <v>642</v>
      </c>
      <c r="L2163" s="1787" t="e">
        <v>#REF!</v>
      </c>
      <c r="M2163" s="1787">
        <v>655.16927499999997</v>
      </c>
      <c r="N2163" s="1754"/>
      <c r="O2163" s="1788"/>
      <c r="P2163" s="1721" t="s">
        <v>9611</v>
      </c>
    </row>
    <row r="2164" spans="1:16" ht="13.5" hidden="1" customHeight="1" outlineLevel="3" x14ac:dyDescent="0.2">
      <c r="A2164" s="459">
        <v>0</v>
      </c>
      <c r="B2164" s="459">
        <v>16</v>
      </c>
      <c r="C2164" s="459">
        <v>7</v>
      </c>
      <c r="D2164" s="460">
        <v>3</v>
      </c>
      <c r="E2164" s="460">
        <v>7</v>
      </c>
      <c r="G2164" s="1798" t="s">
        <v>49</v>
      </c>
      <c r="H2164" s="1783" t="s">
        <v>1239</v>
      </c>
      <c r="I2164" s="1750" t="s">
        <v>7945</v>
      </c>
      <c r="J2164" s="1785" t="s">
        <v>2857</v>
      </c>
      <c r="K2164" s="1786" t="s">
        <v>642</v>
      </c>
      <c r="L2164" s="1787" t="e">
        <v>#REF!</v>
      </c>
      <c r="M2164" s="1787">
        <v>865.48927500000013</v>
      </c>
      <c r="N2164" s="1754"/>
      <c r="O2164" s="1788"/>
      <c r="P2164" s="1721" t="s">
        <v>9611</v>
      </c>
    </row>
    <row r="2165" spans="1:16" ht="13.5" hidden="1" customHeight="1" outlineLevel="3" x14ac:dyDescent="0.2">
      <c r="A2165" s="459">
        <v>0</v>
      </c>
      <c r="B2165" s="459">
        <v>16</v>
      </c>
      <c r="C2165" s="459">
        <v>7</v>
      </c>
      <c r="D2165" s="460">
        <v>3</v>
      </c>
      <c r="E2165" s="460">
        <v>8</v>
      </c>
      <c r="G2165" s="1798" t="s">
        <v>49</v>
      </c>
      <c r="H2165" s="1783" t="s">
        <v>1239</v>
      </c>
      <c r="I2165" s="1750" t="s">
        <v>7946</v>
      </c>
      <c r="J2165" s="1785" t="s">
        <v>3004</v>
      </c>
      <c r="K2165" s="1786" t="s">
        <v>642</v>
      </c>
      <c r="L2165" s="1787" t="e">
        <v>#REF!</v>
      </c>
      <c r="M2165" s="1787">
        <v>865.48927500000013</v>
      </c>
      <c r="N2165" s="1754"/>
      <c r="O2165" s="1788"/>
      <c r="P2165" s="1721" t="s">
        <v>9611</v>
      </c>
    </row>
    <row r="2166" spans="1:16" ht="13.5" hidden="1" customHeight="1" outlineLevel="2" x14ac:dyDescent="0.2">
      <c r="A2166" s="459">
        <v>0</v>
      </c>
      <c r="B2166" s="459">
        <v>16</v>
      </c>
      <c r="C2166" s="459">
        <v>7</v>
      </c>
      <c r="D2166" s="460">
        <v>4</v>
      </c>
      <c r="E2166" s="460">
        <v>0</v>
      </c>
      <c r="G2166" s="1797"/>
      <c r="H2166" s="1777" t="s">
        <v>1238</v>
      </c>
      <c r="I2166" s="1742" t="s">
        <v>7947</v>
      </c>
      <c r="J2166" s="1779" t="s">
        <v>2814</v>
      </c>
      <c r="K2166" s="1780"/>
      <c r="L2166" s="1781"/>
      <c r="M2166" s="1781"/>
      <c r="N2166" s="1746"/>
      <c r="O2166" s="1782"/>
      <c r="P2166" s="1720"/>
    </row>
    <row r="2167" spans="1:16" ht="13.5" hidden="1" customHeight="1" outlineLevel="3" x14ac:dyDescent="0.2">
      <c r="A2167" s="459">
        <v>0</v>
      </c>
      <c r="B2167" s="459">
        <v>16</v>
      </c>
      <c r="C2167" s="459">
        <v>7</v>
      </c>
      <c r="D2167" s="460">
        <v>4</v>
      </c>
      <c r="E2167" s="460">
        <v>1</v>
      </c>
      <c r="G2167" s="1798" t="s">
        <v>49</v>
      </c>
      <c r="H2167" s="1783" t="s">
        <v>1239</v>
      </c>
      <c r="I2167" s="1750" t="s">
        <v>7948</v>
      </c>
      <c r="J2167" s="1785" t="s">
        <v>3056</v>
      </c>
      <c r="K2167" s="1786" t="s">
        <v>788</v>
      </c>
      <c r="L2167" s="1787" t="e">
        <v>#REF!</v>
      </c>
      <c r="M2167" s="1787">
        <v>150</v>
      </c>
      <c r="N2167" s="1754"/>
      <c r="O2167" s="1788"/>
      <c r="P2167" s="1721" t="s">
        <v>9611</v>
      </c>
    </row>
    <row r="2168" spans="1:16" ht="13.5" hidden="1" customHeight="1" outlineLevel="2" x14ac:dyDescent="0.2">
      <c r="A2168" s="459">
        <v>0</v>
      </c>
      <c r="B2168" s="459">
        <v>16</v>
      </c>
      <c r="C2168" s="459">
        <v>7</v>
      </c>
      <c r="D2168" s="460">
        <v>5</v>
      </c>
      <c r="E2168" s="460">
        <v>0</v>
      </c>
      <c r="G2168" s="1797"/>
      <c r="H2168" s="1777" t="s">
        <v>1238</v>
      </c>
      <c r="I2168" s="1742" t="s">
        <v>7949</v>
      </c>
      <c r="J2168" s="1779" t="s">
        <v>2818</v>
      </c>
      <c r="K2168" s="1780"/>
      <c r="L2168" s="1781"/>
      <c r="M2168" s="1781"/>
      <c r="N2168" s="1746"/>
      <c r="O2168" s="1782"/>
      <c r="P2168" s="1720"/>
    </row>
    <row r="2169" spans="1:16" ht="13.5" hidden="1" customHeight="1" outlineLevel="3" x14ac:dyDescent="0.2">
      <c r="A2169" s="459">
        <v>0</v>
      </c>
      <c r="B2169" s="459">
        <v>16</v>
      </c>
      <c r="C2169" s="459">
        <v>7</v>
      </c>
      <c r="D2169" s="460">
        <v>5</v>
      </c>
      <c r="E2169" s="460">
        <v>1</v>
      </c>
      <c r="G2169" s="1798" t="s">
        <v>49</v>
      </c>
      <c r="H2169" s="1783" t="s">
        <v>1239</v>
      </c>
      <c r="I2169" s="1750" t="s">
        <v>7950</v>
      </c>
      <c r="J2169" s="1785" t="s">
        <v>1518</v>
      </c>
      <c r="K2169" s="1786" t="s">
        <v>788</v>
      </c>
      <c r="L2169" s="1787" t="e">
        <v>#REF!</v>
      </c>
      <c r="M2169" s="1787">
        <v>10.114274999999999</v>
      </c>
      <c r="N2169" s="1754"/>
      <c r="O2169" s="1788"/>
      <c r="P2169" s="1721" t="s">
        <v>9611</v>
      </c>
    </row>
    <row r="2170" spans="1:16" ht="13.5" hidden="1" customHeight="1" outlineLevel="3" x14ac:dyDescent="0.2">
      <c r="A2170" s="459">
        <v>0</v>
      </c>
      <c r="B2170" s="459">
        <v>16</v>
      </c>
      <c r="C2170" s="459">
        <v>7</v>
      </c>
      <c r="D2170" s="460">
        <v>5</v>
      </c>
      <c r="E2170" s="460">
        <v>2</v>
      </c>
      <c r="G2170" s="1798" t="s">
        <v>49</v>
      </c>
      <c r="H2170" s="1783" t="s">
        <v>1239</v>
      </c>
      <c r="I2170" s="1750" t="s">
        <v>7951</v>
      </c>
      <c r="J2170" s="1785" t="s">
        <v>714</v>
      </c>
      <c r="K2170" s="1786" t="s">
        <v>788</v>
      </c>
      <c r="L2170" s="1787" t="e">
        <v>#REF!</v>
      </c>
      <c r="M2170" s="1787">
        <v>43.820583333333332</v>
      </c>
      <c r="N2170" s="1754"/>
      <c r="O2170" s="1788"/>
      <c r="P2170" s="1721" t="s">
        <v>9611</v>
      </c>
    </row>
    <row r="2171" spans="1:16" ht="13.5" hidden="1" customHeight="1" outlineLevel="3" x14ac:dyDescent="0.2">
      <c r="A2171" s="459">
        <v>0</v>
      </c>
      <c r="B2171" s="459">
        <v>16</v>
      </c>
      <c r="C2171" s="459">
        <v>7</v>
      </c>
      <c r="D2171" s="460">
        <v>5</v>
      </c>
      <c r="E2171" s="460">
        <v>3</v>
      </c>
      <c r="G2171" s="1798" t="s">
        <v>49</v>
      </c>
      <c r="H2171" s="1783" t="s">
        <v>1239</v>
      </c>
      <c r="I2171" s="1750" t="s">
        <v>7952</v>
      </c>
      <c r="J2171" s="1785" t="s">
        <v>3051</v>
      </c>
      <c r="K2171" s="1786" t="s">
        <v>788</v>
      </c>
      <c r="L2171" s="1787" t="e">
        <v>#REF!</v>
      </c>
      <c r="M2171" s="1787">
        <v>22.121324999999999</v>
      </c>
      <c r="N2171" s="1754"/>
      <c r="O2171" s="1788"/>
      <c r="P2171" s="1721" t="s">
        <v>9611</v>
      </c>
    </row>
    <row r="2172" spans="1:16" ht="13.5" hidden="1" customHeight="1" outlineLevel="3" x14ac:dyDescent="0.2">
      <c r="A2172" s="459">
        <v>0</v>
      </c>
      <c r="B2172" s="459">
        <v>16</v>
      </c>
      <c r="C2172" s="459">
        <v>7</v>
      </c>
      <c r="D2172" s="460">
        <v>5</v>
      </c>
      <c r="E2172" s="460">
        <v>4</v>
      </c>
      <c r="G2172" s="1798" t="s">
        <v>49</v>
      </c>
      <c r="H2172" s="1783" t="s">
        <v>1239</v>
      </c>
      <c r="I2172" s="1750" t="s">
        <v>7953</v>
      </c>
      <c r="J2172" s="1785" t="s">
        <v>3053</v>
      </c>
      <c r="K2172" s="1786" t="s">
        <v>788</v>
      </c>
      <c r="L2172" s="1787" t="e">
        <v>#REF!</v>
      </c>
      <c r="M2172" s="1787">
        <v>1768.6529249999999</v>
      </c>
      <c r="N2172" s="1754"/>
      <c r="O2172" s="1788"/>
      <c r="P2172" s="1721" t="s">
        <v>9611</v>
      </c>
    </row>
    <row r="2173" spans="1:16" ht="13.5" hidden="1" customHeight="1" outlineLevel="2" x14ac:dyDescent="0.2">
      <c r="A2173" s="459">
        <v>0</v>
      </c>
      <c r="B2173" s="459">
        <v>16</v>
      </c>
      <c r="C2173" s="459">
        <v>7</v>
      </c>
      <c r="D2173" s="460">
        <v>6</v>
      </c>
      <c r="E2173" s="460">
        <v>0</v>
      </c>
      <c r="G2173" s="1797"/>
      <c r="H2173" s="1777" t="s">
        <v>1238</v>
      </c>
      <c r="I2173" s="1742" t="s">
        <v>7954</v>
      </c>
      <c r="J2173" s="1779" t="s">
        <v>1264</v>
      </c>
      <c r="K2173" s="1780"/>
      <c r="L2173" s="1781"/>
      <c r="M2173" s="1781"/>
      <c r="N2173" s="1746"/>
      <c r="O2173" s="1782"/>
      <c r="P2173" s="1720"/>
    </row>
    <row r="2174" spans="1:16" ht="13.5" hidden="1" customHeight="1" outlineLevel="3" x14ac:dyDescent="0.2">
      <c r="A2174" s="459">
        <v>0</v>
      </c>
      <c r="B2174" s="459">
        <v>16</v>
      </c>
      <c r="C2174" s="459">
        <v>7</v>
      </c>
      <c r="D2174" s="460">
        <v>6</v>
      </c>
      <c r="E2174" s="460">
        <v>1</v>
      </c>
      <c r="G2174" s="1798" t="s">
        <v>45</v>
      </c>
      <c r="H2174" s="1783" t="s">
        <v>1239</v>
      </c>
      <c r="I2174" s="1750" t="s">
        <v>7955</v>
      </c>
      <c r="J2174" s="1785" t="s">
        <v>735</v>
      </c>
      <c r="K2174" s="1786" t="s">
        <v>642</v>
      </c>
      <c r="L2174" s="1787" t="e">
        <v>#REF!</v>
      </c>
      <c r="M2174" s="1787">
        <v>40</v>
      </c>
      <c r="N2174" s="1754"/>
      <c r="O2174" s="1788"/>
      <c r="P2174" s="1721" t="s">
        <v>9611</v>
      </c>
    </row>
    <row r="2175" spans="1:16" ht="13.5" hidden="1" customHeight="1" outlineLevel="3" x14ac:dyDescent="0.2">
      <c r="A2175" s="459">
        <v>0</v>
      </c>
      <c r="B2175" s="459">
        <v>16</v>
      </c>
      <c r="C2175" s="459">
        <v>7</v>
      </c>
      <c r="D2175" s="460">
        <v>6</v>
      </c>
      <c r="E2175" s="460">
        <v>2</v>
      </c>
      <c r="G2175" s="1798" t="s">
        <v>45</v>
      </c>
      <c r="H2175" s="1783" t="s">
        <v>1239</v>
      </c>
      <c r="I2175" s="1750" t="s">
        <v>7956</v>
      </c>
      <c r="J2175" s="1785" t="s">
        <v>737</v>
      </c>
      <c r="K2175" s="1786" t="s">
        <v>642</v>
      </c>
      <c r="L2175" s="1787" t="e">
        <v>#REF!</v>
      </c>
      <c r="M2175" s="1787">
        <v>40</v>
      </c>
      <c r="N2175" s="1754"/>
      <c r="O2175" s="1788"/>
      <c r="P2175" s="1721" t="s">
        <v>9611</v>
      </c>
    </row>
    <row r="2176" spans="1:16" ht="13.5" hidden="1" customHeight="1" outlineLevel="3" x14ac:dyDescent="0.2">
      <c r="A2176" s="459">
        <v>0</v>
      </c>
      <c r="B2176" s="459">
        <v>16</v>
      </c>
      <c r="C2176" s="459">
        <v>7</v>
      </c>
      <c r="D2176" s="460">
        <v>6</v>
      </c>
      <c r="E2176" s="460">
        <v>3</v>
      </c>
      <c r="G2176" s="1798" t="s">
        <v>49</v>
      </c>
      <c r="H2176" s="1783" t="s">
        <v>1239</v>
      </c>
      <c r="I2176" s="1750" t="s">
        <v>7957</v>
      </c>
      <c r="J2176" s="1785" t="s">
        <v>738</v>
      </c>
      <c r="K2176" s="1786" t="s">
        <v>642</v>
      </c>
      <c r="L2176" s="1787" t="e">
        <v>#REF!</v>
      </c>
      <c r="M2176" s="1787">
        <v>75</v>
      </c>
      <c r="N2176" s="1754"/>
      <c r="O2176" s="1788"/>
      <c r="P2176" s="1721" t="s">
        <v>9611</v>
      </c>
    </row>
    <row r="2177" spans="1:16" ht="13.5" hidden="1" customHeight="1" outlineLevel="3" x14ac:dyDescent="0.2">
      <c r="A2177" s="459">
        <v>0</v>
      </c>
      <c r="B2177" s="459">
        <v>16</v>
      </c>
      <c r="C2177" s="459">
        <v>7</v>
      </c>
      <c r="D2177" s="460">
        <v>6</v>
      </c>
      <c r="E2177" s="460">
        <v>4</v>
      </c>
      <c r="G2177" s="1798" t="s">
        <v>49</v>
      </c>
      <c r="H2177" s="1783" t="s">
        <v>1239</v>
      </c>
      <c r="I2177" s="1750" t="s">
        <v>7958</v>
      </c>
      <c r="J2177" s="1785" t="s">
        <v>2892</v>
      </c>
      <c r="K2177" s="1786" t="s">
        <v>642</v>
      </c>
      <c r="L2177" s="1787" t="e">
        <v>#REF!</v>
      </c>
      <c r="M2177" s="1787">
        <v>75</v>
      </c>
      <c r="N2177" s="1754"/>
      <c r="O2177" s="1788"/>
      <c r="P2177" s="1721" t="s">
        <v>9611</v>
      </c>
    </row>
    <row r="2178" spans="1:16" ht="13.5" hidden="1" customHeight="1" outlineLevel="3" x14ac:dyDescent="0.2">
      <c r="A2178" s="459">
        <v>0</v>
      </c>
      <c r="B2178" s="459">
        <v>16</v>
      </c>
      <c r="C2178" s="459">
        <v>7</v>
      </c>
      <c r="D2178" s="460">
        <v>6</v>
      </c>
      <c r="E2178" s="460">
        <v>5</v>
      </c>
      <c r="G2178" s="1798" t="s">
        <v>49</v>
      </c>
      <c r="H2178" s="1783" t="s">
        <v>1239</v>
      </c>
      <c r="I2178" s="1750" t="s">
        <v>7959</v>
      </c>
      <c r="J2178" s="1785" t="s">
        <v>743</v>
      </c>
      <c r="K2178" s="1786" t="s">
        <v>788</v>
      </c>
      <c r="L2178" s="1787" t="e">
        <v>#REF!</v>
      </c>
      <c r="M2178" s="1787">
        <v>28</v>
      </c>
      <c r="N2178" s="1754"/>
      <c r="O2178" s="1788"/>
      <c r="P2178" s="1721" t="s">
        <v>9611</v>
      </c>
    </row>
    <row r="2179" spans="1:16" ht="13.5" hidden="1" customHeight="1" outlineLevel="3" x14ac:dyDescent="0.2">
      <c r="A2179" s="459">
        <v>0</v>
      </c>
      <c r="B2179" s="459">
        <v>16</v>
      </c>
      <c r="C2179" s="459">
        <v>7</v>
      </c>
      <c r="D2179" s="460">
        <v>6</v>
      </c>
      <c r="E2179" s="460">
        <v>6</v>
      </c>
      <c r="G2179" s="1798" t="s">
        <v>49</v>
      </c>
      <c r="H2179" s="1783" t="s">
        <v>1239</v>
      </c>
      <c r="I2179" s="1750" t="s">
        <v>7960</v>
      </c>
      <c r="J2179" s="1785" t="s">
        <v>744</v>
      </c>
      <c r="K2179" s="1786" t="s">
        <v>788</v>
      </c>
      <c r="L2179" s="1787" t="e">
        <v>#REF!</v>
      </c>
      <c r="M2179" s="1787">
        <v>24</v>
      </c>
      <c r="N2179" s="1754"/>
      <c r="O2179" s="1788"/>
      <c r="P2179" s="1721" t="s">
        <v>9611</v>
      </c>
    </row>
    <row r="2180" spans="1:16" ht="13.5" hidden="1" customHeight="1" outlineLevel="3" x14ac:dyDescent="0.2">
      <c r="A2180" s="459">
        <v>0</v>
      </c>
      <c r="B2180" s="459">
        <v>16</v>
      </c>
      <c r="C2180" s="459">
        <v>7</v>
      </c>
      <c r="D2180" s="460">
        <v>6</v>
      </c>
      <c r="E2180" s="460">
        <v>7</v>
      </c>
      <c r="G2180" s="1798" t="s">
        <v>49</v>
      </c>
      <c r="H2180" s="1783" t="s">
        <v>1239</v>
      </c>
      <c r="I2180" s="1750" t="s">
        <v>7961</v>
      </c>
      <c r="J2180" s="1785" t="s">
        <v>3054</v>
      </c>
      <c r="K2180" s="1786" t="s">
        <v>788</v>
      </c>
      <c r="L2180" s="1787" t="e">
        <v>#REF!</v>
      </c>
      <c r="M2180" s="1787">
        <v>24</v>
      </c>
      <c r="N2180" s="1754"/>
      <c r="O2180" s="1788"/>
      <c r="P2180" s="1721" t="s">
        <v>9611</v>
      </c>
    </row>
    <row r="2181" spans="1:16" ht="13.5" hidden="1" customHeight="1" outlineLevel="1" x14ac:dyDescent="0.2">
      <c r="A2181" s="459">
        <v>0</v>
      </c>
      <c r="B2181" s="459">
        <v>16</v>
      </c>
      <c r="C2181" s="459">
        <v>8</v>
      </c>
      <c r="D2181" s="460">
        <v>0</v>
      </c>
      <c r="E2181" s="460">
        <v>7</v>
      </c>
      <c r="G2181" s="1796"/>
      <c r="H2181" s="1771" t="s">
        <v>39</v>
      </c>
      <c r="I2181" s="1735" t="s">
        <v>7962</v>
      </c>
      <c r="J2181" s="1773" t="s">
        <v>3068</v>
      </c>
      <c r="K2181" s="1774"/>
      <c r="L2181" s="1775"/>
      <c r="M2181" s="1775"/>
      <c r="N2181" s="1739"/>
      <c r="O2181" s="1776"/>
      <c r="P2181" s="1719"/>
    </row>
    <row r="2182" spans="1:16" ht="13.5" hidden="1" customHeight="1" outlineLevel="2" x14ac:dyDescent="0.2">
      <c r="A2182" s="459">
        <v>0</v>
      </c>
      <c r="B2182" s="459">
        <v>16</v>
      </c>
      <c r="C2182" s="459">
        <v>8</v>
      </c>
      <c r="D2182" s="460">
        <v>1</v>
      </c>
      <c r="E2182" s="460">
        <v>0</v>
      </c>
      <c r="G2182" s="1797"/>
      <c r="H2182" s="1777" t="s">
        <v>1238</v>
      </c>
      <c r="I2182" s="1742" t="s">
        <v>7963</v>
      </c>
      <c r="J2182" s="1779" t="s">
        <v>23</v>
      </c>
      <c r="K2182" s="1780"/>
      <c r="L2182" s="1781"/>
      <c r="M2182" s="1781"/>
      <c r="N2182" s="1746"/>
      <c r="O2182" s="1782"/>
      <c r="P2182" s="1720"/>
    </row>
    <row r="2183" spans="1:16" ht="13.5" hidden="1" customHeight="1" outlineLevel="3" x14ac:dyDescent="0.2">
      <c r="A2183" s="459">
        <v>0</v>
      </c>
      <c r="B2183" s="459">
        <v>16</v>
      </c>
      <c r="C2183" s="459">
        <v>8</v>
      </c>
      <c r="D2183" s="460">
        <v>1</v>
      </c>
      <c r="E2183" s="460">
        <v>1</v>
      </c>
      <c r="G2183" s="1798" t="s">
        <v>45</v>
      </c>
      <c r="H2183" s="1783" t="s">
        <v>1239</v>
      </c>
      <c r="I2183" s="1750" t="s">
        <v>7964</v>
      </c>
      <c r="J2183" s="1785" t="s">
        <v>2973</v>
      </c>
      <c r="K2183" s="1786" t="s">
        <v>642</v>
      </c>
      <c r="L2183" s="1787" t="e">
        <v>#REF!</v>
      </c>
      <c r="M2183" s="1787">
        <v>44.585233333333335</v>
      </c>
      <c r="N2183" s="1754"/>
      <c r="O2183" s="1788"/>
      <c r="P2183" s="1721" t="s">
        <v>9611</v>
      </c>
    </row>
    <row r="2184" spans="1:16" ht="13.5" hidden="1" customHeight="1" outlineLevel="2" x14ac:dyDescent="0.2">
      <c r="A2184" s="459">
        <v>0</v>
      </c>
      <c r="B2184" s="459">
        <v>16</v>
      </c>
      <c r="C2184" s="459">
        <v>8</v>
      </c>
      <c r="D2184" s="460">
        <v>2</v>
      </c>
      <c r="E2184" s="460">
        <v>0</v>
      </c>
      <c r="G2184" s="1797"/>
      <c r="H2184" s="1777" t="s">
        <v>1238</v>
      </c>
      <c r="I2184" s="1742" t="s">
        <v>7965</v>
      </c>
      <c r="J2184" s="1779" t="s">
        <v>2745</v>
      </c>
      <c r="K2184" s="1780"/>
      <c r="L2184" s="1781"/>
      <c r="M2184" s="1781"/>
      <c r="N2184" s="1746"/>
      <c r="O2184" s="1782"/>
      <c r="P2184" s="1720"/>
    </row>
    <row r="2185" spans="1:16" ht="13.5" hidden="1" customHeight="1" outlineLevel="3" x14ac:dyDescent="0.2">
      <c r="A2185" s="459">
        <v>0</v>
      </c>
      <c r="B2185" s="459">
        <v>16</v>
      </c>
      <c r="C2185" s="459">
        <v>8</v>
      </c>
      <c r="D2185" s="460">
        <v>2</v>
      </c>
      <c r="E2185" s="460">
        <v>1</v>
      </c>
      <c r="G2185" s="1798" t="s">
        <v>49</v>
      </c>
      <c r="H2185" s="1783" t="s">
        <v>1239</v>
      </c>
      <c r="I2185" s="1750" t="s">
        <v>7966</v>
      </c>
      <c r="J2185" s="1785" t="s">
        <v>1884</v>
      </c>
      <c r="K2185" s="1786" t="s">
        <v>642</v>
      </c>
      <c r="L2185" s="1787" t="e">
        <v>#REF!</v>
      </c>
      <c r="M2185" s="1787">
        <v>58.073</v>
      </c>
      <c r="N2185" s="1754"/>
      <c r="O2185" s="1788"/>
      <c r="P2185" s="1721" t="s">
        <v>9611</v>
      </c>
    </row>
    <row r="2186" spans="1:16" ht="13.5" hidden="1" customHeight="1" outlineLevel="3" x14ac:dyDescent="0.2">
      <c r="A2186" s="459">
        <v>0</v>
      </c>
      <c r="B2186" s="459">
        <v>16</v>
      </c>
      <c r="C2186" s="459">
        <v>8</v>
      </c>
      <c r="D2186" s="460">
        <v>2</v>
      </c>
      <c r="E2186" s="460">
        <v>2</v>
      </c>
      <c r="G2186" s="1798" t="s">
        <v>49</v>
      </c>
      <c r="H2186" s="1783" t="s">
        <v>1239</v>
      </c>
      <c r="I2186" s="1750" t="s">
        <v>7967</v>
      </c>
      <c r="J2186" s="1785" t="s">
        <v>2979</v>
      </c>
      <c r="K2186" s="1786" t="s">
        <v>642</v>
      </c>
      <c r="L2186" s="1787" t="e">
        <v>#REF!</v>
      </c>
      <c r="M2186" s="1787">
        <v>229.82760000000005</v>
      </c>
      <c r="N2186" s="1754"/>
      <c r="O2186" s="1788"/>
      <c r="P2186" s="1721" t="s">
        <v>9611</v>
      </c>
    </row>
    <row r="2187" spans="1:16" ht="13.5" hidden="1" customHeight="1" outlineLevel="3" x14ac:dyDescent="0.2">
      <c r="A2187" s="459">
        <v>0</v>
      </c>
      <c r="B2187" s="459">
        <v>16</v>
      </c>
      <c r="C2187" s="459">
        <v>8</v>
      </c>
      <c r="D2187" s="460">
        <v>2</v>
      </c>
      <c r="E2187" s="460">
        <v>3</v>
      </c>
      <c r="G2187" s="1798" t="s">
        <v>49</v>
      </c>
      <c r="H2187" s="1783" t="s">
        <v>1239</v>
      </c>
      <c r="I2187" s="1750" t="s">
        <v>7968</v>
      </c>
      <c r="J2187" s="1785" t="s">
        <v>2980</v>
      </c>
      <c r="K2187" s="1786" t="s">
        <v>642</v>
      </c>
      <c r="L2187" s="1787" t="e">
        <v>#REF!</v>
      </c>
      <c r="M2187" s="1787">
        <v>141.82760000000002</v>
      </c>
      <c r="N2187" s="1754"/>
      <c r="O2187" s="1788"/>
      <c r="P2187" s="1721" t="s">
        <v>9611</v>
      </c>
    </row>
    <row r="2188" spans="1:16" ht="13.5" hidden="1" customHeight="1" outlineLevel="3" x14ac:dyDescent="0.2">
      <c r="A2188" s="459">
        <v>0</v>
      </c>
      <c r="B2188" s="459">
        <v>16</v>
      </c>
      <c r="C2188" s="459">
        <v>8</v>
      </c>
      <c r="D2188" s="460">
        <v>2</v>
      </c>
      <c r="E2188" s="460">
        <v>4</v>
      </c>
      <c r="G2188" s="1798" t="s">
        <v>49</v>
      </c>
      <c r="H2188" s="1783" t="s">
        <v>1239</v>
      </c>
      <c r="I2188" s="1750" t="s">
        <v>7969</v>
      </c>
      <c r="J2188" s="1785" t="s">
        <v>2989</v>
      </c>
      <c r="K2188" s="1786" t="s">
        <v>642</v>
      </c>
      <c r="L2188" s="1787" t="e">
        <v>#REF!</v>
      </c>
      <c r="M2188" s="1787">
        <v>623.48927500000002</v>
      </c>
      <c r="N2188" s="1754"/>
      <c r="O2188" s="1788"/>
      <c r="P2188" s="1721" t="s">
        <v>9611</v>
      </c>
    </row>
    <row r="2189" spans="1:16" ht="13.5" hidden="1" customHeight="1" outlineLevel="3" x14ac:dyDescent="0.2">
      <c r="A2189" s="459">
        <v>0</v>
      </c>
      <c r="B2189" s="459">
        <v>16</v>
      </c>
      <c r="C2189" s="459">
        <v>8</v>
      </c>
      <c r="D2189" s="460">
        <v>2</v>
      </c>
      <c r="E2189" s="460">
        <v>5</v>
      </c>
      <c r="G2189" s="1798" t="s">
        <v>49</v>
      </c>
      <c r="H2189" s="1783" t="s">
        <v>1239</v>
      </c>
      <c r="I2189" s="1750" t="s">
        <v>7970</v>
      </c>
      <c r="J2189" s="1785" t="s">
        <v>2991</v>
      </c>
      <c r="K2189" s="1786" t="s">
        <v>642</v>
      </c>
      <c r="L2189" s="1787" t="e">
        <v>#REF!</v>
      </c>
      <c r="M2189" s="1787">
        <v>535.48927500000002</v>
      </c>
      <c r="N2189" s="1754"/>
      <c r="O2189" s="1788"/>
      <c r="P2189" s="1721" t="s">
        <v>9611</v>
      </c>
    </row>
    <row r="2190" spans="1:16" ht="13.5" hidden="1" customHeight="1" outlineLevel="2" x14ac:dyDescent="0.2">
      <c r="A2190" s="459">
        <v>0</v>
      </c>
      <c r="B2190" s="459">
        <v>16</v>
      </c>
      <c r="C2190" s="459">
        <v>8</v>
      </c>
      <c r="D2190" s="460">
        <v>3</v>
      </c>
      <c r="E2190" s="460">
        <v>0</v>
      </c>
      <c r="G2190" s="1797"/>
      <c r="H2190" s="1777" t="s">
        <v>1238</v>
      </c>
      <c r="I2190" s="1742" t="s">
        <v>7971</v>
      </c>
      <c r="J2190" s="1779" t="s">
        <v>2814</v>
      </c>
      <c r="K2190" s="1780"/>
      <c r="L2190" s="1781"/>
      <c r="M2190" s="1781"/>
      <c r="N2190" s="1746"/>
      <c r="O2190" s="1782"/>
      <c r="P2190" s="1720"/>
    </row>
    <row r="2191" spans="1:16" ht="13.5" hidden="1" customHeight="1" outlineLevel="3" x14ac:dyDescent="0.2">
      <c r="A2191" s="459">
        <v>0</v>
      </c>
      <c r="B2191" s="459">
        <v>16</v>
      </c>
      <c r="C2191" s="459">
        <v>8</v>
      </c>
      <c r="D2191" s="460">
        <v>3</v>
      </c>
      <c r="E2191" s="460">
        <v>1</v>
      </c>
      <c r="G2191" s="1798" t="s">
        <v>49</v>
      </c>
      <c r="H2191" s="1783" t="s">
        <v>1239</v>
      </c>
      <c r="I2191" s="1750" t="s">
        <v>7972</v>
      </c>
      <c r="J2191" s="1785" t="s">
        <v>3014</v>
      </c>
      <c r="K2191" s="1786" t="s">
        <v>642</v>
      </c>
      <c r="L2191" s="1787" t="e">
        <v>#REF!</v>
      </c>
      <c r="M2191" s="1787">
        <v>935.00000000000011</v>
      </c>
      <c r="N2191" s="1754"/>
      <c r="O2191" s="1788"/>
      <c r="P2191" s="1721" t="s">
        <v>9611</v>
      </c>
    </row>
    <row r="2192" spans="1:16" ht="13.5" hidden="1" customHeight="1" outlineLevel="3" x14ac:dyDescent="0.2">
      <c r="A2192" s="459">
        <v>0</v>
      </c>
      <c r="B2192" s="459">
        <v>16</v>
      </c>
      <c r="C2192" s="459">
        <v>8</v>
      </c>
      <c r="D2192" s="460">
        <v>3</v>
      </c>
      <c r="E2192" s="460">
        <v>2</v>
      </c>
      <c r="G2192" s="1798" t="s">
        <v>49</v>
      </c>
      <c r="H2192" s="1783" t="s">
        <v>1239</v>
      </c>
      <c r="I2192" s="1750" t="s">
        <v>7973</v>
      </c>
      <c r="J2192" s="1751" t="s">
        <v>3020</v>
      </c>
      <c r="K2192" s="1786" t="s">
        <v>642</v>
      </c>
      <c r="L2192" s="1787" t="e">
        <v>#REF!</v>
      </c>
      <c r="M2192" s="1787">
        <v>1200</v>
      </c>
      <c r="N2192" s="1754"/>
      <c r="O2192" s="1788"/>
      <c r="P2192" s="1721" t="s">
        <v>9611</v>
      </c>
    </row>
    <row r="2193" spans="1:16" ht="13.5" hidden="1" customHeight="1" outlineLevel="3" x14ac:dyDescent="0.2">
      <c r="A2193" s="459">
        <v>0</v>
      </c>
      <c r="B2193" s="459">
        <v>16</v>
      </c>
      <c r="C2193" s="459">
        <v>8</v>
      </c>
      <c r="D2193" s="460">
        <v>3</v>
      </c>
      <c r="E2193" s="460">
        <v>3</v>
      </c>
      <c r="G2193" s="1798" t="s">
        <v>49</v>
      </c>
      <c r="H2193" s="1783" t="s">
        <v>1239</v>
      </c>
      <c r="I2193" s="1750" t="s">
        <v>7974</v>
      </c>
      <c r="J2193" s="1785" t="s">
        <v>3036</v>
      </c>
      <c r="K2193" s="1786" t="s">
        <v>642</v>
      </c>
      <c r="L2193" s="1787" t="e">
        <v>#REF!</v>
      </c>
      <c r="M2193" s="1787">
        <v>590</v>
      </c>
      <c r="N2193" s="1754"/>
      <c r="O2193" s="1788" t="s">
        <v>2556</v>
      </c>
      <c r="P2193" s="1721" t="s">
        <v>9611</v>
      </c>
    </row>
    <row r="2194" spans="1:16" ht="13.5" hidden="1" customHeight="1" outlineLevel="3" x14ac:dyDescent="0.2">
      <c r="A2194" s="459">
        <v>0</v>
      </c>
      <c r="B2194" s="459">
        <v>16</v>
      </c>
      <c r="C2194" s="459">
        <v>8</v>
      </c>
      <c r="D2194" s="460">
        <v>3</v>
      </c>
      <c r="E2194" s="460">
        <v>4</v>
      </c>
      <c r="G2194" s="1798" t="s">
        <v>49</v>
      </c>
      <c r="H2194" s="1783" t="s">
        <v>1239</v>
      </c>
      <c r="I2194" s="1750" t="s">
        <v>7975</v>
      </c>
      <c r="J2194" s="1785" t="s">
        <v>3037</v>
      </c>
      <c r="K2194" s="1786" t="s">
        <v>642</v>
      </c>
      <c r="L2194" s="1787" t="e">
        <v>#REF!</v>
      </c>
      <c r="M2194" s="1787">
        <v>590</v>
      </c>
      <c r="N2194" s="1754"/>
      <c r="O2194" s="1788" t="s">
        <v>2556</v>
      </c>
      <c r="P2194" s="1721" t="s">
        <v>9611</v>
      </c>
    </row>
    <row r="2195" spans="1:16" ht="13.5" hidden="1" customHeight="1" outlineLevel="3" x14ac:dyDescent="0.2">
      <c r="A2195" s="459">
        <v>0</v>
      </c>
      <c r="B2195" s="459">
        <v>16</v>
      </c>
      <c r="C2195" s="459">
        <v>8</v>
      </c>
      <c r="D2195" s="460">
        <v>3</v>
      </c>
      <c r="E2195" s="460">
        <v>5</v>
      </c>
      <c r="G2195" s="1798" t="s">
        <v>49</v>
      </c>
      <c r="H2195" s="1783" t="s">
        <v>1239</v>
      </c>
      <c r="I2195" s="1750" t="s">
        <v>7976</v>
      </c>
      <c r="J2195" s="1785" t="s">
        <v>3042</v>
      </c>
      <c r="K2195" s="1786" t="s">
        <v>642</v>
      </c>
      <c r="L2195" s="1787" t="e">
        <v>#REF!</v>
      </c>
      <c r="M2195" s="1787">
        <v>590</v>
      </c>
      <c r="N2195" s="1754"/>
      <c r="O2195" s="1788" t="s">
        <v>2559</v>
      </c>
      <c r="P2195" s="1721" t="s">
        <v>9611</v>
      </c>
    </row>
    <row r="2196" spans="1:16" ht="13.5" hidden="1" customHeight="1" outlineLevel="3" x14ac:dyDescent="0.2">
      <c r="A2196" s="459">
        <v>0</v>
      </c>
      <c r="B2196" s="459">
        <v>16</v>
      </c>
      <c r="C2196" s="459">
        <v>8</v>
      </c>
      <c r="D2196" s="460">
        <v>3</v>
      </c>
      <c r="E2196" s="460">
        <v>6</v>
      </c>
      <c r="G2196" s="1798" t="s">
        <v>49</v>
      </c>
      <c r="H2196" s="1783" t="s">
        <v>1239</v>
      </c>
      <c r="I2196" s="1750" t="s">
        <v>7977</v>
      </c>
      <c r="J2196" s="1785" t="s">
        <v>3039</v>
      </c>
      <c r="K2196" s="1786" t="s">
        <v>642</v>
      </c>
      <c r="L2196" s="1787" t="e">
        <v>#REF!</v>
      </c>
      <c r="M2196" s="1787">
        <v>540</v>
      </c>
      <c r="N2196" s="1754"/>
      <c r="O2196" s="1788" t="s">
        <v>2560</v>
      </c>
      <c r="P2196" s="1721" t="s">
        <v>9611</v>
      </c>
    </row>
    <row r="2197" spans="1:16" ht="13.5" hidden="1" customHeight="1" outlineLevel="3" x14ac:dyDescent="0.2">
      <c r="A2197" s="459">
        <v>0</v>
      </c>
      <c r="B2197" s="459">
        <v>16</v>
      </c>
      <c r="C2197" s="459">
        <v>8</v>
      </c>
      <c r="D2197" s="460">
        <v>3</v>
      </c>
      <c r="E2197" s="460">
        <v>7</v>
      </c>
      <c r="G2197" s="1798" t="s">
        <v>49</v>
      </c>
      <c r="H2197" s="1783" t="s">
        <v>1239</v>
      </c>
      <c r="I2197" s="1750" t="s">
        <v>7978</v>
      </c>
      <c r="J2197" s="1785" t="s">
        <v>3040</v>
      </c>
      <c r="K2197" s="1786" t="s">
        <v>642</v>
      </c>
      <c r="L2197" s="1787" t="e">
        <v>#REF!</v>
      </c>
      <c r="M2197" s="1787">
        <v>610</v>
      </c>
      <c r="N2197" s="1754"/>
      <c r="O2197" s="1788" t="s">
        <v>2558</v>
      </c>
      <c r="P2197" s="1721" t="s">
        <v>9611</v>
      </c>
    </row>
    <row r="2198" spans="1:16" ht="13.5" hidden="1" customHeight="1" outlineLevel="3" x14ac:dyDescent="0.2">
      <c r="A2198" s="459">
        <v>0</v>
      </c>
      <c r="B2198" s="459">
        <v>16</v>
      </c>
      <c r="C2198" s="459">
        <v>8</v>
      </c>
      <c r="D2198" s="460">
        <v>3</v>
      </c>
      <c r="E2198" s="460">
        <v>8</v>
      </c>
      <c r="G2198" s="1798" t="s">
        <v>49</v>
      </c>
      <c r="H2198" s="1783" t="s">
        <v>1239</v>
      </c>
      <c r="I2198" s="1750" t="s">
        <v>7979</v>
      </c>
      <c r="J2198" s="1785" t="s">
        <v>3043</v>
      </c>
      <c r="K2198" s="1786" t="s">
        <v>642</v>
      </c>
      <c r="L2198" s="1787" t="e">
        <v>#REF!</v>
      </c>
      <c r="M2198" s="1787">
        <v>1525</v>
      </c>
      <c r="N2198" s="1754"/>
      <c r="O2198" s="1788"/>
      <c r="P2198" s="1721" t="s">
        <v>9611</v>
      </c>
    </row>
    <row r="2199" spans="1:16" ht="13.5" hidden="1" customHeight="1" outlineLevel="3" x14ac:dyDescent="0.2">
      <c r="A2199" s="459">
        <v>0</v>
      </c>
      <c r="B2199" s="459">
        <v>16</v>
      </c>
      <c r="C2199" s="459">
        <v>8</v>
      </c>
      <c r="D2199" s="460">
        <v>3</v>
      </c>
      <c r="E2199" s="460">
        <v>9</v>
      </c>
      <c r="G2199" s="1798" t="s">
        <v>49</v>
      </c>
      <c r="H2199" s="1783" t="s">
        <v>1239</v>
      </c>
      <c r="I2199" s="1750" t="s">
        <v>7980</v>
      </c>
      <c r="J2199" s="1785" t="s">
        <v>3056</v>
      </c>
      <c r="K2199" s="1786" t="s">
        <v>788</v>
      </c>
      <c r="L2199" s="1787" t="e">
        <v>#REF!</v>
      </c>
      <c r="M2199" s="1787">
        <v>150</v>
      </c>
      <c r="N2199" s="1754"/>
      <c r="O2199" s="1788"/>
      <c r="P2199" s="1721" t="s">
        <v>9611</v>
      </c>
    </row>
    <row r="2200" spans="1:16" ht="13.5" hidden="1" customHeight="1" outlineLevel="2" x14ac:dyDescent="0.2">
      <c r="A2200" s="459">
        <v>0</v>
      </c>
      <c r="B2200" s="459">
        <v>16</v>
      </c>
      <c r="C2200" s="459">
        <v>8</v>
      </c>
      <c r="D2200" s="460">
        <v>4</v>
      </c>
      <c r="E2200" s="460">
        <v>0</v>
      </c>
      <c r="G2200" s="1797"/>
      <c r="H2200" s="1777" t="s">
        <v>1238</v>
      </c>
      <c r="I2200" s="1742" t="s">
        <v>7981</v>
      </c>
      <c r="J2200" s="1779" t="s">
        <v>2818</v>
      </c>
      <c r="K2200" s="1780"/>
      <c r="L2200" s="1781"/>
      <c r="M2200" s="1781"/>
      <c r="N2200" s="1746"/>
      <c r="O2200" s="1782"/>
      <c r="P2200" s="1720"/>
    </row>
    <row r="2201" spans="1:16" ht="13.5" hidden="1" customHeight="1" outlineLevel="3" x14ac:dyDescent="0.2">
      <c r="A2201" s="459">
        <v>0</v>
      </c>
      <c r="B2201" s="459">
        <v>16</v>
      </c>
      <c r="C2201" s="459">
        <v>8</v>
      </c>
      <c r="D2201" s="460">
        <v>4</v>
      </c>
      <c r="E2201" s="460">
        <v>1</v>
      </c>
      <c r="G2201" s="1798" t="s">
        <v>49</v>
      </c>
      <c r="H2201" s="1783" t="s">
        <v>1239</v>
      </c>
      <c r="I2201" s="1750" t="s">
        <v>7982</v>
      </c>
      <c r="J2201" s="1785" t="s">
        <v>1518</v>
      </c>
      <c r="K2201" s="1786" t="s">
        <v>788</v>
      </c>
      <c r="L2201" s="1787" t="e">
        <v>#REF!</v>
      </c>
      <c r="M2201" s="1787">
        <v>10.114274999999999</v>
      </c>
      <c r="N2201" s="1754"/>
      <c r="O2201" s="1788"/>
      <c r="P2201" s="1721" t="s">
        <v>9611</v>
      </c>
    </row>
    <row r="2202" spans="1:16" ht="13.5" hidden="1" customHeight="1" outlineLevel="3" x14ac:dyDescent="0.2">
      <c r="A2202" s="459">
        <v>0</v>
      </c>
      <c r="B2202" s="459">
        <v>16</v>
      </c>
      <c r="C2202" s="459">
        <v>8</v>
      </c>
      <c r="D2202" s="460">
        <v>4</v>
      </c>
      <c r="E2202" s="460">
        <v>2</v>
      </c>
      <c r="G2202" s="1798" t="s">
        <v>49</v>
      </c>
      <c r="H2202" s="1783" t="s">
        <v>1239</v>
      </c>
      <c r="I2202" s="1750" t="s">
        <v>7983</v>
      </c>
      <c r="J2202" s="1785" t="s">
        <v>714</v>
      </c>
      <c r="K2202" s="1786" t="s">
        <v>788</v>
      </c>
      <c r="L2202" s="1787" t="e">
        <v>#REF!</v>
      </c>
      <c r="M2202" s="1787">
        <v>43.820583333333332</v>
      </c>
      <c r="N2202" s="1754"/>
      <c r="O2202" s="1788"/>
      <c r="P2202" s="1721" t="s">
        <v>9611</v>
      </c>
    </row>
    <row r="2203" spans="1:16" ht="13.5" hidden="1" customHeight="1" outlineLevel="3" x14ac:dyDescent="0.2">
      <c r="A2203" s="459">
        <v>0</v>
      </c>
      <c r="B2203" s="459">
        <v>16</v>
      </c>
      <c r="C2203" s="459">
        <v>8</v>
      </c>
      <c r="D2203" s="460">
        <v>4</v>
      </c>
      <c r="E2203" s="460">
        <v>3</v>
      </c>
      <c r="G2203" s="1798" t="s">
        <v>49</v>
      </c>
      <c r="H2203" s="1783" t="s">
        <v>1239</v>
      </c>
      <c r="I2203" s="1750" t="s">
        <v>7984</v>
      </c>
      <c r="J2203" s="1785" t="s">
        <v>3051</v>
      </c>
      <c r="K2203" s="1786" t="s">
        <v>788</v>
      </c>
      <c r="L2203" s="1787" t="e">
        <v>#REF!</v>
      </c>
      <c r="M2203" s="1787">
        <v>22.121324999999999</v>
      </c>
      <c r="N2203" s="1754"/>
      <c r="O2203" s="1788"/>
      <c r="P2203" s="1721" t="s">
        <v>9611</v>
      </c>
    </row>
    <row r="2204" spans="1:16" ht="13.5" hidden="1" customHeight="1" outlineLevel="2" x14ac:dyDescent="0.2">
      <c r="A2204" s="459">
        <v>0</v>
      </c>
      <c r="B2204" s="459">
        <v>16</v>
      </c>
      <c r="C2204" s="459">
        <v>8</v>
      </c>
      <c r="D2204" s="460">
        <v>5</v>
      </c>
      <c r="E2204" s="460">
        <v>0</v>
      </c>
      <c r="G2204" s="1797"/>
      <c r="H2204" s="1777" t="s">
        <v>1238</v>
      </c>
      <c r="I2204" s="1742" t="s">
        <v>7985</v>
      </c>
      <c r="J2204" s="1779" t="s">
        <v>1264</v>
      </c>
      <c r="K2204" s="1780"/>
      <c r="L2204" s="1781"/>
      <c r="M2204" s="1781"/>
      <c r="N2204" s="1746"/>
      <c r="O2204" s="1782"/>
      <c r="P2204" s="1720"/>
    </row>
    <row r="2205" spans="1:16" ht="13.5" hidden="1" customHeight="1" outlineLevel="3" x14ac:dyDescent="0.2">
      <c r="A2205" s="459">
        <v>0</v>
      </c>
      <c r="B2205" s="459">
        <v>16</v>
      </c>
      <c r="C2205" s="459">
        <v>8</v>
      </c>
      <c r="D2205" s="460">
        <v>5</v>
      </c>
      <c r="E2205" s="460">
        <v>1</v>
      </c>
      <c r="G2205" s="1798" t="s">
        <v>45</v>
      </c>
      <c r="H2205" s="1783" t="s">
        <v>1239</v>
      </c>
      <c r="I2205" s="1750" t="s">
        <v>7986</v>
      </c>
      <c r="J2205" s="1785" t="s">
        <v>735</v>
      </c>
      <c r="K2205" s="1786" t="s">
        <v>642</v>
      </c>
      <c r="L2205" s="1787" t="e">
        <v>#REF!</v>
      </c>
      <c r="M2205" s="1787">
        <v>40</v>
      </c>
      <c r="N2205" s="1754"/>
      <c r="O2205" s="1788"/>
      <c r="P2205" s="1721" t="s">
        <v>9611</v>
      </c>
    </row>
    <row r="2206" spans="1:16" ht="13.5" hidden="1" customHeight="1" outlineLevel="3" x14ac:dyDescent="0.2">
      <c r="A2206" s="459">
        <v>0</v>
      </c>
      <c r="B2206" s="459">
        <v>16</v>
      </c>
      <c r="C2206" s="459">
        <v>8</v>
      </c>
      <c r="D2206" s="460">
        <v>5</v>
      </c>
      <c r="E2206" s="460">
        <v>2</v>
      </c>
      <c r="G2206" s="1798" t="s">
        <v>49</v>
      </c>
      <c r="H2206" s="1783" t="s">
        <v>1239</v>
      </c>
      <c r="I2206" s="1750" t="s">
        <v>7987</v>
      </c>
      <c r="J2206" s="1785" t="s">
        <v>738</v>
      </c>
      <c r="K2206" s="1786" t="s">
        <v>642</v>
      </c>
      <c r="L2206" s="1787" t="e">
        <v>#REF!</v>
      </c>
      <c r="M2206" s="1787">
        <v>75</v>
      </c>
      <c r="N2206" s="1754"/>
      <c r="O2206" s="1788"/>
      <c r="P2206" s="1721" t="s">
        <v>9611</v>
      </c>
    </row>
    <row r="2207" spans="1:16" ht="13.5" hidden="1" customHeight="1" outlineLevel="3" x14ac:dyDescent="0.2">
      <c r="A2207" s="459">
        <v>0</v>
      </c>
      <c r="B2207" s="459">
        <v>16</v>
      </c>
      <c r="C2207" s="459">
        <v>8</v>
      </c>
      <c r="D2207" s="460">
        <v>5</v>
      </c>
      <c r="E2207" s="460">
        <v>3</v>
      </c>
      <c r="G2207" s="1798" t="s">
        <v>49</v>
      </c>
      <c r="H2207" s="1783" t="s">
        <v>1239</v>
      </c>
      <c r="I2207" s="1750" t="s">
        <v>7988</v>
      </c>
      <c r="J2207" s="1785" t="s">
        <v>2892</v>
      </c>
      <c r="K2207" s="1786" t="s">
        <v>642</v>
      </c>
      <c r="L2207" s="1787" t="e">
        <v>#REF!</v>
      </c>
      <c r="M2207" s="1787">
        <v>75</v>
      </c>
      <c r="N2207" s="1754"/>
      <c r="O2207" s="1788"/>
      <c r="P2207" s="1721" t="s">
        <v>9611</v>
      </c>
    </row>
    <row r="2208" spans="1:16" ht="13.5" hidden="1" customHeight="1" outlineLevel="3" x14ac:dyDescent="0.2">
      <c r="A2208" s="459">
        <v>0</v>
      </c>
      <c r="B2208" s="459">
        <v>16</v>
      </c>
      <c r="C2208" s="459">
        <v>8</v>
      </c>
      <c r="D2208" s="460">
        <v>5</v>
      </c>
      <c r="E2208" s="460">
        <v>4</v>
      </c>
      <c r="G2208" s="1798" t="s">
        <v>49</v>
      </c>
      <c r="H2208" s="1783" t="s">
        <v>1239</v>
      </c>
      <c r="I2208" s="1750" t="s">
        <v>7989</v>
      </c>
      <c r="J2208" s="1785" t="s">
        <v>743</v>
      </c>
      <c r="K2208" s="1786" t="s">
        <v>788</v>
      </c>
      <c r="L2208" s="1787" t="e">
        <v>#REF!</v>
      </c>
      <c r="M2208" s="1787">
        <v>28</v>
      </c>
      <c r="N2208" s="1754"/>
      <c r="O2208" s="1788"/>
      <c r="P2208" s="1721" t="s">
        <v>9611</v>
      </c>
    </row>
    <row r="2209" spans="1:16" ht="13.5" hidden="1" customHeight="1" outlineLevel="3" x14ac:dyDescent="0.2">
      <c r="A2209" s="459">
        <v>0</v>
      </c>
      <c r="B2209" s="459">
        <v>16</v>
      </c>
      <c r="C2209" s="459">
        <v>8</v>
      </c>
      <c r="D2209" s="460">
        <v>5</v>
      </c>
      <c r="E2209" s="460">
        <v>5</v>
      </c>
      <c r="G2209" s="1798" t="s">
        <v>49</v>
      </c>
      <c r="H2209" s="1783" t="s">
        <v>1239</v>
      </c>
      <c r="I2209" s="1750" t="s">
        <v>7990</v>
      </c>
      <c r="J2209" s="1785" t="s">
        <v>744</v>
      </c>
      <c r="K2209" s="1786" t="s">
        <v>788</v>
      </c>
      <c r="L2209" s="1787" t="e">
        <v>#REF!</v>
      </c>
      <c r="M2209" s="1787">
        <v>24</v>
      </c>
      <c r="N2209" s="1754"/>
      <c r="O2209" s="1788"/>
      <c r="P2209" s="1721" t="s">
        <v>9611</v>
      </c>
    </row>
    <row r="2210" spans="1:16" ht="13.5" hidden="1" customHeight="1" outlineLevel="1" x14ac:dyDescent="0.2">
      <c r="A2210" s="459">
        <v>0</v>
      </c>
      <c r="B2210" s="459">
        <v>16</v>
      </c>
      <c r="C2210" s="459">
        <v>9</v>
      </c>
      <c r="D2210" s="460">
        <v>0</v>
      </c>
      <c r="E2210" s="460">
        <v>5</v>
      </c>
      <c r="G2210" s="1796"/>
      <c r="H2210" s="1771" t="s">
        <v>39</v>
      </c>
      <c r="I2210" s="1735" t="s">
        <v>7991</v>
      </c>
      <c r="J2210" s="1773" t="s">
        <v>3069</v>
      </c>
      <c r="K2210" s="1774"/>
      <c r="L2210" s="1775"/>
      <c r="M2210" s="1775"/>
      <c r="N2210" s="1739"/>
      <c r="O2210" s="1776"/>
      <c r="P2210" s="1719"/>
    </row>
    <row r="2211" spans="1:16" ht="13.5" hidden="1" customHeight="1" outlineLevel="2" x14ac:dyDescent="0.2">
      <c r="A2211" s="459">
        <v>0</v>
      </c>
      <c r="B2211" s="459">
        <v>16</v>
      </c>
      <c r="C2211" s="459">
        <v>9</v>
      </c>
      <c r="D2211" s="460">
        <v>1</v>
      </c>
      <c r="E2211" s="460">
        <v>0</v>
      </c>
      <c r="G2211" s="1797"/>
      <c r="H2211" s="1777" t="s">
        <v>1238</v>
      </c>
      <c r="I2211" s="1742" t="s">
        <v>7992</v>
      </c>
      <c r="J2211" s="1779" t="s">
        <v>23</v>
      </c>
      <c r="K2211" s="1780"/>
      <c r="L2211" s="1781"/>
      <c r="M2211" s="1781"/>
      <c r="N2211" s="1746"/>
      <c r="O2211" s="1782"/>
      <c r="P2211" s="1720"/>
    </row>
    <row r="2212" spans="1:16" ht="13.5" hidden="1" customHeight="1" outlineLevel="3" x14ac:dyDescent="0.2">
      <c r="A2212" s="459">
        <v>0</v>
      </c>
      <c r="B2212" s="459">
        <v>16</v>
      </c>
      <c r="C2212" s="459">
        <v>9</v>
      </c>
      <c r="D2212" s="460">
        <v>1</v>
      </c>
      <c r="E2212" s="460">
        <v>1</v>
      </c>
      <c r="G2212" s="1798" t="s">
        <v>45</v>
      </c>
      <c r="H2212" s="1783" t="s">
        <v>1239</v>
      </c>
      <c r="I2212" s="1750" t="s">
        <v>7993</v>
      </c>
      <c r="J2212" s="1785" t="s">
        <v>2973</v>
      </c>
      <c r="K2212" s="1786" t="s">
        <v>642</v>
      </c>
      <c r="L2212" s="1787" t="e">
        <v>#REF!</v>
      </c>
      <c r="M2212" s="1787">
        <v>44.585233333333335</v>
      </c>
      <c r="N2212" s="1754"/>
      <c r="O2212" s="1788"/>
      <c r="P2212" s="1721" t="s">
        <v>9611</v>
      </c>
    </row>
    <row r="2213" spans="1:16" ht="13.5" hidden="1" customHeight="1" outlineLevel="2" x14ac:dyDescent="0.2">
      <c r="A2213" s="459">
        <v>0</v>
      </c>
      <c r="B2213" s="459">
        <v>16</v>
      </c>
      <c r="C2213" s="459">
        <v>9</v>
      </c>
      <c r="D2213" s="460">
        <v>2</v>
      </c>
      <c r="E2213" s="460">
        <v>0</v>
      </c>
      <c r="G2213" s="1797"/>
      <c r="H2213" s="1777" t="s">
        <v>1238</v>
      </c>
      <c r="I2213" s="1742" t="s">
        <v>7994</v>
      </c>
      <c r="J2213" s="1743" t="s">
        <v>2815</v>
      </c>
      <c r="K2213" s="1780"/>
      <c r="L2213" s="1781"/>
      <c r="M2213" s="1781"/>
      <c r="N2213" s="1746">
        <v>8786.2229155555597</v>
      </c>
      <c r="O2213" s="1782"/>
      <c r="P2213" s="1720"/>
    </row>
    <row r="2214" spans="1:16" ht="13.5" hidden="1" customHeight="1" outlineLevel="3" x14ac:dyDescent="0.2">
      <c r="A2214" s="459">
        <v>0</v>
      </c>
      <c r="B2214" s="459">
        <v>16</v>
      </c>
      <c r="C2214" s="459">
        <v>9</v>
      </c>
      <c r="D2214" s="460">
        <v>2</v>
      </c>
      <c r="E2214" s="460">
        <v>1</v>
      </c>
      <c r="G2214" s="1798" t="s">
        <v>45</v>
      </c>
      <c r="H2214" s="1783" t="s">
        <v>1239</v>
      </c>
      <c r="I2214" s="1750" t="s">
        <v>7995</v>
      </c>
      <c r="J2214" s="1785" t="s">
        <v>603</v>
      </c>
      <c r="K2214" s="1786" t="s">
        <v>642</v>
      </c>
      <c r="L2214" s="1787">
        <v>176</v>
      </c>
      <c r="M2214" s="1787">
        <v>49.921721111111111</v>
      </c>
      <c r="N2214" s="1754">
        <v>8786.2229155555597</v>
      </c>
      <c r="O2214" s="1788" t="s">
        <v>2974</v>
      </c>
      <c r="P2214" s="1721" t="s">
        <v>9611</v>
      </c>
    </row>
    <row r="2215" spans="1:16" ht="13.5" hidden="1" customHeight="1" outlineLevel="2" x14ac:dyDescent="0.2">
      <c r="A2215" s="459">
        <v>0</v>
      </c>
      <c r="B2215" s="459">
        <v>16</v>
      </c>
      <c r="C2215" s="459">
        <v>9</v>
      </c>
      <c r="D2215" s="460">
        <v>3</v>
      </c>
      <c r="E2215" s="460">
        <v>0</v>
      </c>
      <c r="G2215" s="1797"/>
      <c r="H2215" s="1777" t="s">
        <v>1238</v>
      </c>
      <c r="I2215" s="1742" t="s">
        <v>7996</v>
      </c>
      <c r="J2215" s="1779" t="s">
        <v>2745</v>
      </c>
      <c r="K2215" s="1780"/>
      <c r="L2215" s="1781"/>
      <c r="M2215" s="1781"/>
      <c r="N2215" s="1746"/>
      <c r="O2215" s="1782"/>
      <c r="P2215" s="1720"/>
    </row>
    <row r="2216" spans="1:16" ht="13.5" hidden="1" customHeight="1" outlineLevel="3" x14ac:dyDescent="0.2">
      <c r="A2216" s="459">
        <v>0</v>
      </c>
      <c r="B2216" s="459">
        <v>16</v>
      </c>
      <c r="C2216" s="459">
        <v>9</v>
      </c>
      <c r="D2216" s="460">
        <v>3</v>
      </c>
      <c r="E2216" s="460">
        <v>1</v>
      </c>
      <c r="G2216" s="1798" t="s">
        <v>49</v>
      </c>
      <c r="H2216" s="1783" t="s">
        <v>1239</v>
      </c>
      <c r="I2216" s="1750" t="s">
        <v>7997</v>
      </c>
      <c r="J2216" s="1785" t="s">
        <v>1884</v>
      </c>
      <c r="K2216" s="1786" t="s">
        <v>642</v>
      </c>
      <c r="L2216" s="1787" t="e">
        <v>#REF!</v>
      </c>
      <c r="M2216" s="1787">
        <v>58.073</v>
      </c>
      <c r="N2216" s="1754"/>
      <c r="O2216" s="1788"/>
      <c r="P2216" s="1721" t="s">
        <v>9611</v>
      </c>
    </row>
    <row r="2217" spans="1:16" ht="13.5" hidden="1" customHeight="1" outlineLevel="3" x14ac:dyDescent="0.2">
      <c r="A2217" s="459">
        <v>0</v>
      </c>
      <c r="B2217" s="459">
        <v>16</v>
      </c>
      <c r="C2217" s="459">
        <v>9</v>
      </c>
      <c r="D2217" s="460">
        <v>3</v>
      </c>
      <c r="E2217" s="460">
        <v>2</v>
      </c>
      <c r="G2217" s="1798" t="s">
        <v>49</v>
      </c>
      <c r="H2217" s="1783" t="s">
        <v>1239</v>
      </c>
      <c r="I2217" s="1750" t="s">
        <v>7998</v>
      </c>
      <c r="J2217" s="1785" t="s">
        <v>2979</v>
      </c>
      <c r="K2217" s="1786" t="s">
        <v>642</v>
      </c>
      <c r="L2217" s="1787" t="e">
        <v>#REF!</v>
      </c>
      <c r="M2217" s="1787">
        <v>229.82760000000005</v>
      </c>
      <c r="N2217" s="1754"/>
      <c r="O2217" s="1788"/>
      <c r="P2217" s="1721" t="s">
        <v>9611</v>
      </c>
    </row>
    <row r="2218" spans="1:16" ht="13.5" hidden="1" customHeight="1" outlineLevel="3" x14ac:dyDescent="0.2">
      <c r="A2218" s="459">
        <v>0</v>
      </c>
      <c r="B2218" s="459">
        <v>16</v>
      </c>
      <c r="C2218" s="459">
        <v>9</v>
      </c>
      <c r="D2218" s="460">
        <v>3</v>
      </c>
      <c r="E2218" s="460">
        <v>3</v>
      </c>
      <c r="G2218" s="1798" t="s">
        <v>49</v>
      </c>
      <c r="H2218" s="1783" t="s">
        <v>1239</v>
      </c>
      <c r="I2218" s="1750" t="s">
        <v>7999</v>
      </c>
      <c r="J2218" s="1785" t="s">
        <v>2980</v>
      </c>
      <c r="K2218" s="1786" t="s">
        <v>642</v>
      </c>
      <c r="L2218" s="1787" t="e">
        <v>#REF!</v>
      </c>
      <c r="M2218" s="1787">
        <v>141.82760000000002</v>
      </c>
      <c r="N2218" s="1754"/>
      <c r="O2218" s="1788"/>
      <c r="P2218" s="1721" t="s">
        <v>9611</v>
      </c>
    </row>
    <row r="2219" spans="1:16" ht="13.5" hidden="1" customHeight="1" outlineLevel="2" x14ac:dyDescent="0.2">
      <c r="A2219" s="459">
        <v>0</v>
      </c>
      <c r="B2219" s="459">
        <v>16</v>
      </c>
      <c r="C2219" s="459">
        <v>9</v>
      </c>
      <c r="D2219" s="460">
        <v>4</v>
      </c>
      <c r="E2219" s="460">
        <v>0</v>
      </c>
      <c r="G2219" s="1797"/>
      <c r="H2219" s="1777" t="s">
        <v>1238</v>
      </c>
      <c r="I2219" s="1742" t="s">
        <v>8000</v>
      </c>
      <c r="J2219" s="1779" t="s">
        <v>2814</v>
      </c>
      <c r="K2219" s="1780"/>
      <c r="L2219" s="1781"/>
      <c r="M2219" s="1781"/>
      <c r="N2219" s="1746"/>
      <c r="O2219" s="1782"/>
      <c r="P2219" s="1720"/>
    </row>
    <row r="2220" spans="1:16" ht="13.5" hidden="1" customHeight="1" outlineLevel="3" x14ac:dyDescent="0.2">
      <c r="A2220" s="459">
        <v>0</v>
      </c>
      <c r="B2220" s="459">
        <v>16</v>
      </c>
      <c r="C2220" s="459">
        <v>9</v>
      </c>
      <c r="D2220" s="460">
        <v>4</v>
      </c>
      <c r="E2220" s="460">
        <v>1</v>
      </c>
      <c r="G2220" s="1798" t="s">
        <v>49</v>
      </c>
      <c r="H2220" s="1783" t="s">
        <v>1239</v>
      </c>
      <c r="I2220" s="1750" t="s">
        <v>8001</v>
      </c>
      <c r="J2220" s="1785" t="s">
        <v>3025</v>
      </c>
      <c r="K2220" s="1786" t="s">
        <v>642</v>
      </c>
      <c r="L2220" s="1787" t="e">
        <v>#REF!</v>
      </c>
      <c r="M2220" s="1787">
        <v>825.00000000000011</v>
      </c>
      <c r="N2220" s="1754"/>
      <c r="O2220" s="1788" t="s">
        <v>3034</v>
      </c>
      <c r="P2220" s="1721" t="s">
        <v>9611</v>
      </c>
    </row>
    <row r="2221" spans="1:16" ht="13.5" hidden="1" customHeight="1" outlineLevel="2" x14ac:dyDescent="0.2">
      <c r="A2221" s="459">
        <v>0</v>
      </c>
      <c r="B2221" s="459">
        <v>16</v>
      </c>
      <c r="C2221" s="459">
        <v>9</v>
      </c>
      <c r="D2221" s="460">
        <v>5</v>
      </c>
      <c r="E2221" s="460">
        <v>0</v>
      </c>
      <c r="G2221" s="1797"/>
      <c r="H2221" s="1777" t="s">
        <v>1238</v>
      </c>
      <c r="I2221" s="1742" t="s">
        <v>8002</v>
      </c>
      <c r="J2221" s="1779" t="s">
        <v>2818</v>
      </c>
      <c r="K2221" s="1780"/>
      <c r="L2221" s="1781"/>
      <c r="M2221" s="1781"/>
      <c r="N2221" s="1746"/>
      <c r="O2221" s="1782"/>
      <c r="P2221" s="1720"/>
    </row>
    <row r="2222" spans="1:16" ht="13.5" hidden="1" customHeight="1" outlineLevel="3" x14ac:dyDescent="0.2">
      <c r="A2222" s="459">
        <v>0</v>
      </c>
      <c r="B2222" s="459">
        <v>16</v>
      </c>
      <c r="C2222" s="459">
        <v>9</v>
      </c>
      <c r="D2222" s="460">
        <v>5</v>
      </c>
      <c r="E2222" s="460">
        <v>1</v>
      </c>
      <c r="G2222" s="1798" t="s">
        <v>49</v>
      </c>
      <c r="H2222" s="1783" t="s">
        <v>1239</v>
      </c>
      <c r="I2222" s="1750" t="s">
        <v>8003</v>
      </c>
      <c r="J2222" s="1785" t="s">
        <v>1518</v>
      </c>
      <c r="K2222" s="1786" t="s">
        <v>788</v>
      </c>
      <c r="L2222" s="1787" t="e">
        <v>#REF!</v>
      </c>
      <c r="M2222" s="1787">
        <v>10.114274999999999</v>
      </c>
      <c r="N2222" s="1754"/>
      <c r="O2222" s="1788"/>
      <c r="P2222" s="1721" t="s">
        <v>9611</v>
      </c>
    </row>
    <row r="2223" spans="1:16" ht="13.5" hidden="1" customHeight="1" outlineLevel="3" x14ac:dyDescent="0.2">
      <c r="A2223" s="459">
        <v>0</v>
      </c>
      <c r="B2223" s="459">
        <v>16</v>
      </c>
      <c r="C2223" s="459">
        <v>9</v>
      </c>
      <c r="D2223" s="460">
        <v>5</v>
      </c>
      <c r="E2223" s="460">
        <v>2</v>
      </c>
      <c r="G2223" s="1798" t="s">
        <v>49</v>
      </c>
      <c r="H2223" s="1783" t="s">
        <v>1239</v>
      </c>
      <c r="I2223" s="1750" t="s">
        <v>8004</v>
      </c>
      <c r="J2223" s="1785" t="s">
        <v>714</v>
      </c>
      <c r="K2223" s="1786" t="s">
        <v>788</v>
      </c>
      <c r="L2223" s="1787" t="e">
        <v>#REF!</v>
      </c>
      <c r="M2223" s="1787">
        <v>43.820583333333332</v>
      </c>
      <c r="N2223" s="1754"/>
      <c r="O2223" s="1788"/>
      <c r="P2223" s="1721" t="s">
        <v>9611</v>
      </c>
    </row>
    <row r="2224" spans="1:16" ht="13.5" hidden="1" customHeight="1" outlineLevel="3" x14ac:dyDescent="0.2">
      <c r="A2224" s="459">
        <v>0</v>
      </c>
      <c r="B2224" s="459">
        <v>16</v>
      </c>
      <c r="C2224" s="459">
        <v>9</v>
      </c>
      <c r="D2224" s="460">
        <v>5</v>
      </c>
      <c r="E2224" s="460">
        <v>3</v>
      </c>
      <c r="G2224" s="1798" t="s">
        <v>49</v>
      </c>
      <c r="H2224" s="1783" t="s">
        <v>1239</v>
      </c>
      <c r="I2224" s="1750" t="s">
        <v>8005</v>
      </c>
      <c r="J2224" s="1785" t="s">
        <v>3051</v>
      </c>
      <c r="K2224" s="1786" t="s">
        <v>788</v>
      </c>
      <c r="L2224" s="1787" t="e">
        <v>#REF!</v>
      </c>
      <c r="M2224" s="1787">
        <v>22.121324999999999</v>
      </c>
      <c r="N2224" s="1754"/>
      <c r="O2224" s="1788"/>
      <c r="P2224" s="1721" t="s">
        <v>9611</v>
      </c>
    </row>
    <row r="2225" spans="1:16" ht="13.5" hidden="1" customHeight="1" outlineLevel="2" x14ac:dyDescent="0.2">
      <c r="A2225" s="459">
        <v>0</v>
      </c>
      <c r="B2225" s="459">
        <v>16</v>
      </c>
      <c r="C2225" s="459">
        <v>9</v>
      </c>
      <c r="D2225" s="460">
        <v>6</v>
      </c>
      <c r="E2225" s="460">
        <v>0</v>
      </c>
      <c r="G2225" s="1797"/>
      <c r="H2225" s="1777" t="s">
        <v>1238</v>
      </c>
      <c r="I2225" s="1742" t="s">
        <v>8006</v>
      </c>
      <c r="J2225" s="1779" t="s">
        <v>1264</v>
      </c>
      <c r="K2225" s="1780"/>
      <c r="L2225" s="1781"/>
      <c r="M2225" s="1781"/>
      <c r="N2225" s="1746"/>
      <c r="O2225" s="1782"/>
      <c r="P2225" s="1720"/>
    </row>
    <row r="2226" spans="1:16" ht="13.5" hidden="1" customHeight="1" outlineLevel="3" x14ac:dyDescent="0.2">
      <c r="A2226" s="459">
        <v>0</v>
      </c>
      <c r="B2226" s="459">
        <v>16</v>
      </c>
      <c r="C2226" s="459">
        <v>9</v>
      </c>
      <c r="D2226" s="460">
        <v>6</v>
      </c>
      <c r="E2226" s="460">
        <v>1</v>
      </c>
      <c r="G2226" s="1798" t="s">
        <v>45</v>
      </c>
      <c r="H2226" s="1783" t="s">
        <v>1239</v>
      </c>
      <c r="I2226" s="1750" t="s">
        <v>8007</v>
      </c>
      <c r="J2226" s="1785" t="s">
        <v>735</v>
      </c>
      <c r="K2226" s="1786" t="s">
        <v>642</v>
      </c>
      <c r="L2226" s="1787" t="e">
        <v>#REF!</v>
      </c>
      <c r="M2226" s="1787">
        <v>40</v>
      </c>
      <c r="N2226" s="1754"/>
      <c r="O2226" s="1788"/>
      <c r="P2226" s="1721" t="s">
        <v>9611</v>
      </c>
    </row>
    <row r="2227" spans="1:16" ht="13.5" hidden="1" customHeight="1" outlineLevel="3" x14ac:dyDescent="0.2">
      <c r="A2227" s="459">
        <v>0</v>
      </c>
      <c r="B2227" s="459">
        <v>16</v>
      </c>
      <c r="C2227" s="459">
        <v>9</v>
      </c>
      <c r="D2227" s="460">
        <v>6</v>
      </c>
      <c r="E2227" s="460">
        <v>2</v>
      </c>
      <c r="G2227" s="1798" t="s">
        <v>49</v>
      </c>
      <c r="H2227" s="1783" t="s">
        <v>1239</v>
      </c>
      <c r="I2227" s="1750" t="s">
        <v>8008</v>
      </c>
      <c r="J2227" s="1785" t="s">
        <v>738</v>
      </c>
      <c r="K2227" s="1786" t="s">
        <v>642</v>
      </c>
      <c r="L2227" s="1787" t="e">
        <v>#REF!</v>
      </c>
      <c r="M2227" s="1787">
        <v>75</v>
      </c>
      <c r="N2227" s="1754"/>
      <c r="O2227" s="1788"/>
      <c r="P2227" s="1721" t="s">
        <v>9611</v>
      </c>
    </row>
    <row r="2228" spans="1:16" ht="13.5" hidden="1" customHeight="1" outlineLevel="3" x14ac:dyDescent="0.2">
      <c r="A2228" s="459">
        <v>0</v>
      </c>
      <c r="B2228" s="459">
        <v>16</v>
      </c>
      <c r="C2228" s="459">
        <v>9</v>
      </c>
      <c r="D2228" s="460">
        <v>6</v>
      </c>
      <c r="E2228" s="460">
        <v>3</v>
      </c>
      <c r="G2228" s="1798" t="s">
        <v>49</v>
      </c>
      <c r="H2228" s="1783" t="s">
        <v>1239</v>
      </c>
      <c r="I2228" s="1750" t="s">
        <v>8009</v>
      </c>
      <c r="J2228" s="1785" t="s">
        <v>743</v>
      </c>
      <c r="K2228" s="1786" t="s">
        <v>788</v>
      </c>
      <c r="L2228" s="1787" t="e">
        <v>#REF!</v>
      </c>
      <c r="M2228" s="1787">
        <v>28</v>
      </c>
      <c r="N2228" s="1754"/>
      <c r="O2228" s="1788"/>
      <c r="P2228" s="1721" t="s">
        <v>9611</v>
      </c>
    </row>
    <row r="2229" spans="1:16" ht="13.5" hidden="1" customHeight="1" outlineLevel="3" x14ac:dyDescent="0.2">
      <c r="A2229" s="459">
        <v>0</v>
      </c>
      <c r="B2229" s="459">
        <v>16</v>
      </c>
      <c r="C2229" s="459">
        <v>9</v>
      </c>
      <c r="D2229" s="460">
        <v>6</v>
      </c>
      <c r="E2229" s="460">
        <v>4</v>
      </c>
      <c r="G2229" s="1798" t="s">
        <v>49</v>
      </c>
      <c r="H2229" s="1783" t="s">
        <v>1239</v>
      </c>
      <c r="I2229" s="1750" t="s">
        <v>8010</v>
      </c>
      <c r="J2229" s="1785" t="s">
        <v>744</v>
      </c>
      <c r="K2229" s="1786" t="s">
        <v>788</v>
      </c>
      <c r="L2229" s="1787" t="e">
        <v>#REF!</v>
      </c>
      <c r="M2229" s="1787">
        <v>24</v>
      </c>
      <c r="N2229" s="1754"/>
      <c r="O2229" s="1788"/>
      <c r="P2229" s="1721" t="s">
        <v>9611</v>
      </c>
    </row>
    <row r="2230" spans="1:16" ht="13.5" hidden="1" customHeight="1" outlineLevel="1" x14ac:dyDescent="0.2">
      <c r="A2230" s="459">
        <v>0</v>
      </c>
      <c r="B2230" s="459">
        <v>16</v>
      </c>
      <c r="C2230" s="459">
        <v>10</v>
      </c>
      <c r="D2230" s="460">
        <v>0</v>
      </c>
      <c r="E2230" s="460">
        <v>4</v>
      </c>
      <c r="G2230" s="1796"/>
      <c r="H2230" s="1771" t="s">
        <v>39</v>
      </c>
      <c r="I2230" s="1735" t="s">
        <v>8011</v>
      </c>
      <c r="J2230" s="1773" t="s">
        <v>3070</v>
      </c>
      <c r="K2230" s="1774"/>
      <c r="L2230" s="1775"/>
      <c r="M2230" s="1775"/>
      <c r="N2230" s="1739"/>
      <c r="O2230" s="1776"/>
      <c r="P2230" s="1719"/>
    </row>
    <row r="2231" spans="1:16" ht="13.5" hidden="1" customHeight="1" outlineLevel="2" x14ac:dyDescent="0.2">
      <c r="A2231" s="459">
        <v>0</v>
      </c>
      <c r="B2231" s="459">
        <v>16</v>
      </c>
      <c r="C2231" s="459">
        <v>10</v>
      </c>
      <c r="D2231" s="460">
        <v>1</v>
      </c>
      <c r="E2231" s="460">
        <v>0</v>
      </c>
      <c r="G2231" s="1797"/>
      <c r="H2231" s="1777" t="s">
        <v>1238</v>
      </c>
      <c r="I2231" s="1742" t="s">
        <v>8012</v>
      </c>
      <c r="J2231" s="1779" t="s">
        <v>23</v>
      </c>
      <c r="K2231" s="1780"/>
      <c r="L2231" s="1781"/>
      <c r="M2231" s="1781"/>
      <c r="N2231" s="1746"/>
      <c r="O2231" s="1782"/>
      <c r="P2231" s="1720"/>
    </row>
    <row r="2232" spans="1:16" ht="13.5" hidden="1" customHeight="1" outlineLevel="3" x14ac:dyDescent="0.2">
      <c r="A2232" s="459">
        <v>0</v>
      </c>
      <c r="B2232" s="459">
        <v>16</v>
      </c>
      <c r="C2232" s="459">
        <v>10</v>
      </c>
      <c r="D2232" s="460">
        <v>1</v>
      </c>
      <c r="E2232" s="460">
        <v>1</v>
      </c>
      <c r="G2232" s="1798" t="s">
        <v>45</v>
      </c>
      <c r="H2232" s="1783" t="s">
        <v>1239</v>
      </c>
      <c r="I2232" s="1750" t="s">
        <v>8013</v>
      </c>
      <c r="J2232" s="1785" t="s">
        <v>2973</v>
      </c>
      <c r="K2232" s="1786" t="s">
        <v>642</v>
      </c>
      <c r="L2232" s="1787" t="e">
        <v>#REF!</v>
      </c>
      <c r="M2232" s="1787">
        <v>44.585233333333335</v>
      </c>
      <c r="N2232" s="1754"/>
      <c r="O2232" s="1788"/>
      <c r="P2232" s="1721" t="s">
        <v>9611</v>
      </c>
    </row>
    <row r="2233" spans="1:16" ht="13.5" hidden="1" customHeight="1" outlineLevel="2" x14ac:dyDescent="0.2">
      <c r="A2233" s="459">
        <v>0</v>
      </c>
      <c r="B2233" s="459">
        <v>16</v>
      </c>
      <c r="C2233" s="459">
        <v>10</v>
      </c>
      <c r="D2233" s="460">
        <v>2</v>
      </c>
      <c r="E2233" s="460">
        <v>0</v>
      </c>
      <c r="G2233" s="1797"/>
      <c r="H2233" s="1777" t="s">
        <v>1238</v>
      </c>
      <c r="I2233" s="1742" t="s">
        <v>8014</v>
      </c>
      <c r="J2233" s="1743" t="s">
        <v>2815</v>
      </c>
      <c r="K2233" s="1780"/>
      <c r="L2233" s="1781"/>
      <c r="M2233" s="1781"/>
      <c r="N2233" s="1746">
        <v>70289.783324444405</v>
      </c>
      <c r="O2233" s="1782"/>
      <c r="P2233" s="1720"/>
    </row>
    <row r="2234" spans="1:16" ht="13.5" hidden="1" customHeight="1" outlineLevel="3" x14ac:dyDescent="0.2">
      <c r="A2234" s="459">
        <v>0</v>
      </c>
      <c r="B2234" s="459">
        <v>16</v>
      </c>
      <c r="C2234" s="459">
        <v>10</v>
      </c>
      <c r="D2234" s="460">
        <v>2</v>
      </c>
      <c r="E2234" s="460">
        <v>1</v>
      </c>
      <c r="G2234" s="1798" t="s">
        <v>45</v>
      </c>
      <c r="H2234" s="1783" t="s">
        <v>1239</v>
      </c>
      <c r="I2234" s="1750" t="s">
        <v>8015</v>
      </c>
      <c r="J2234" s="1785" t="s">
        <v>603</v>
      </c>
      <c r="K2234" s="1786" t="s">
        <v>642</v>
      </c>
      <c r="L2234" s="1787">
        <v>1408</v>
      </c>
      <c r="M2234" s="1787">
        <v>49.921721111111111</v>
      </c>
      <c r="N2234" s="1754">
        <v>70289.783324444405</v>
      </c>
      <c r="O2234" s="1788" t="s">
        <v>2974</v>
      </c>
      <c r="P2234" s="1721" t="s">
        <v>9611</v>
      </c>
    </row>
    <row r="2235" spans="1:16" ht="13.5" hidden="1" customHeight="1" outlineLevel="2" x14ac:dyDescent="0.2">
      <c r="A2235" s="459">
        <v>0</v>
      </c>
      <c r="B2235" s="459">
        <v>16</v>
      </c>
      <c r="C2235" s="459">
        <v>10</v>
      </c>
      <c r="D2235" s="460">
        <v>3</v>
      </c>
      <c r="E2235" s="460">
        <v>0</v>
      </c>
      <c r="G2235" s="1797"/>
      <c r="H2235" s="1777" t="s">
        <v>1238</v>
      </c>
      <c r="I2235" s="1742" t="s">
        <v>8016</v>
      </c>
      <c r="J2235" s="1779" t="s">
        <v>2745</v>
      </c>
      <c r="K2235" s="1780"/>
      <c r="L2235" s="1781"/>
      <c r="M2235" s="1781"/>
      <c r="N2235" s="1746"/>
      <c r="O2235" s="1782"/>
      <c r="P2235" s="1720"/>
    </row>
    <row r="2236" spans="1:16" ht="13.5" hidden="1" customHeight="1" outlineLevel="3" x14ac:dyDescent="0.2">
      <c r="A2236" s="459">
        <v>0</v>
      </c>
      <c r="B2236" s="459">
        <v>16</v>
      </c>
      <c r="C2236" s="459">
        <v>10</v>
      </c>
      <c r="D2236" s="460">
        <v>3</v>
      </c>
      <c r="E2236" s="460">
        <v>1</v>
      </c>
      <c r="G2236" s="1798" t="s">
        <v>49</v>
      </c>
      <c r="H2236" s="1783" t="s">
        <v>1239</v>
      </c>
      <c r="I2236" s="1750" t="s">
        <v>8017</v>
      </c>
      <c r="J2236" s="1785" t="s">
        <v>1884</v>
      </c>
      <c r="K2236" s="1786" t="s">
        <v>642</v>
      </c>
      <c r="L2236" s="1787" t="e">
        <v>#REF!</v>
      </c>
      <c r="M2236" s="1787">
        <v>58.073</v>
      </c>
      <c r="N2236" s="1754"/>
      <c r="O2236" s="1788"/>
      <c r="P2236" s="1721" t="s">
        <v>9611</v>
      </c>
    </row>
    <row r="2237" spans="1:16" ht="13.5" hidden="1" customHeight="1" outlineLevel="3" x14ac:dyDescent="0.2">
      <c r="A2237" s="459">
        <v>0</v>
      </c>
      <c r="B2237" s="459">
        <v>16</v>
      </c>
      <c r="C2237" s="459">
        <v>10</v>
      </c>
      <c r="D2237" s="460">
        <v>3</v>
      </c>
      <c r="E2237" s="460">
        <v>2</v>
      </c>
      <c r="G2237" s="1798" t="s">
        <v>49</v>
      </c>
      <c r="H2237" s="1783" t="s">
        <v>1239</v>
      </c>
      <c r="I2237" s="1750" t="s">
        <v>8018</v>
      </c>
      <c r="J2237" s="1785" t="s">
        <v>2979</v>
      </c>
      <c r="K2237" s="1786" t="s">
        <v>642</v>
      </c>
      <c r="L2237" s="1787" t="e">
        <v>#REF!</v>
      </c>
      <c r="M2237" s="1787">
        <v>229.82760000000005</v>
      </c>
      <c r="N2237" s="1754"/>
      <c r="O2237" s="1788"/>
      <c r="P2237" s="1721" t="s">
        <v>9611</v>
      </c>
    </row>
    <row r="2238" spans="1:16" ht="13.5" hidden="1" customHeight="1" outlineLevel="3" x14ac:dyDescent="0.2">
      <c r="A2238" s="459">
        <v>0</v>
      </c>
      <c r="B2238" s="459">
        <v>16</v>
      </c>
      <c r="C2238" s="459">
        <v>10</v>
      </c>
      <c r="D2238" s="460">
        <v>3</v>
      </c>
      <c r="E2238" s="460">
        <v>3</v>
      </c>
      <c r="G2238" s="1798" t="s">
        <v>49</v>
      </c>
      <c r="H2238" s="1783" t="s">
        <v>1239</v>
      </c>
      <c r="I2238" s="1750" t="s">
        <v>8019</v>
      </c>
      <c r="J2238" s="1785" t="s">
        <v>2980</v>
      </c>
      <c r="K2238" s="1786" t="s">
        <v>642</v>
      </c>
      <c r="L2238" s="1787" t="e">
        <v>#REF!</v>
      </c>
      <c r="M2238" s="1787">
        <v>141.82760000000002</v>
      </c>
      <c r="N2238" s="1754"/>
      <c r="O2238" s="1788"/>
      <c r="P2238" s="1721" t="s">
        <v>9611</v>
      </c>
    </row>
    <row r="2239" spans="1:16" ht="13.5" hidden="1" customHeight="1" outlineLevel="2" x14ac:dyDescent="0.2">
      <c r="A2239" s="459">
        <v>0</v>
      </c>
      <c r="B2239" s="459">
        <v>16</v>
      </c>
      <c r="C2239" s="459">
        <v>10</v>
      </c>
      <c r="D2239" s="460">
        <v>4</v>
      </c>
      <c r="E2239" s="460">
        <v>0</v>
      </c>
      <c r="G2239" s="1797"/>
      <c r="H2239" s="1777" t="s">
        <v>1238</v>
      </c>
      <c r="I2239" s="1742" t="s">
        <v>8020</v>
      </c>
      <c r="J2239" s="1779" t="s">
        <v>2814</v>
      </c>
      <c r="K2239" s="1780"/>
      <c r="L2239" s="1781"/>
      <c r="M2239" s="1781"/>
      <c r="N2239" s="1746"/>
      <c r="O2239" s="1782"/>
      <c r="P2239" s="1720"/>
    </row>
    <row r="2240" spans="1:16" ht="13.5" hidden="1" customHeight="1" outlineLevel="3" x14ac:dyDescent="0.2">
      <c r="A2240" s="459">
        <v>0</v>
      </c>
      <c r="B2240" s="459">
        <v>16</v>
      </c>
      <c r="C2240" s="459">
        <v>10</v>
      </c>
      <c r="D2240" s="460">
        <v>4</v>
      </c>
      <c r="E2240" s="460">
        <v>1</v>
      </c>
      <c r="G2240" s="1798" t="s">
        <v>49</v>
      </c>
      <c r="H2240" s="1783" t="s">
        <v>1239</v>
      </c>
      <c r="I2240" s="1750" t="s">
        <v>8021</v>
      </c>
      <c r="J2240" s="1785" t="s">
        <v>3025</v>
      </c>
      <c r="K2240" s="1786" t="s">
        <v>642</v>
      </c>
      <c r="L2240" s="1787" t="e">
        <v>#REF!</v>
      </c>
      <c r="M2240" s="1787">
        <v>825.00000000000011</v>
      </c>
      <c r="N2240" s="1754"/>
      <c r="O2240" s="1788" t="s">
        <v>3034</v>
      </c>
      <c r="P2240" s="1721" t="s">
        <v>9611</v>
      </c>
    </row>
    <row r="2241" spans="1:16" ht="13.5" hidden="1" customHeight="1" outlineLevel="2" x14ac:dyDescent="0.2">
      <c r="A2241" s="459">
        <v>0</v>
      </c>
      <c r="B2241" s="459">
        <v>16</v>
      </c>
      <c r="C2241" s="459">
        <v>10</v>
      </c>
      <c r="D2241" s="460">
        <v>5</v>
      </c>
      <c r="E2241" s="460">
        <v>0</v>
      </c>
      <c r="G2241" s="1797"/>
      <c r="H2241" s="1777" t="s">
        <v>1238</v>
      </c>
      <c r="I2241" s="1742" t="s">
        <v>8022</v>
      </c>
      <c r="J2241" s="1779" t="s">
        <v>2818</v>
      </c>
      <c r="K2241" s="1780"/>
      <c r="L2241" s="1781"/>
      <c r="M2241" s="1781"/>
      <c r="N2241" s="1746"/>
      <c r="O2241" s="1782"/>
      <c r="P2241" s="1720"/>
    </row>
    <row r="2242" spans="1:16" ht="13.5" hidden="1" customHeight="1" outlineLevel="3" x14ac:dyDescent="0.2">
      <c r="A2242" s="459">
        <v>0</v>
      </c>
      <c r="B2242" s="459">
        <v>16</v>
      </c>
      <c r="C2242" s="459">
        <v>10</v>
      </c>
      <c r="D2242" s="460">
        <v>5</v>
      </c>
      <c r="E2242" s="460">
        <v>1</v>
      </c>
      <c r="G2242" s="1798" t="s">
        <v>49</v>
      </c>
      <c r="H2242" s="1783" t="s">
        <v>1239</v>
      </c>
      <c r="I2242" s="1750" t="s">
        <v>8023</v>
      </c>
      <c r="J2242" s="1785" t="s">
        <v>1518</v>
      </c>
      <c r="K2242" s="1786" t="s">
        <v>788</v>
      </c>
      <c r="L2242" s="1787" t="e">
        <v>#REF!</v>
      </c>
      <c r="M2242" s="1787">
        <v>10.114274999999999</v>
      </c>
      <c r="N2242" s="1754"/>
      <c r="O2242" s="1788"/>
      <c r="P2242" s="1721" t="s">
        <v>9611</v>
      </c>
    </row>
    <row r="2243" spans="1:16" ht="13.5" hidden="1" customHeight="1" outlineLevel="3" x14ac:dyDescent="0.2">
      <c r="A2243" s="459">
        <v>0</v>
      </c>
      <c r="B2243" s="459">
        <v>16</v>
      </c>
      <c r="C2243" s="459">
        <v>10</v>
      </c>
      <c r="D2243" s="460">
        <v>5</v>
      </c>
      <c r="E2243" s="460">
        <v>2</v>
      </c>
      <c r="G2243" s="1798" t="s">
        <v>49</v>
      </c>
      <c r="H2243" s="1783" t="s">
        <v>1239</v>
      </c>
      <c r="I2243" s="1750" t="s">
        <v>8024</v>
      </c>
      <c r="J2243" s="1785" t="s">
        <v>714</v>
      </c>
      <c r="K2243" s="1786" t="s">
        <v>788</v>
      </c>
      <c r="L2243" s="1787" t="e">
        <v>#REF!</v>
      </c>
      <c r="M2243" s="1787">
        <v>43.820583333333332</v>
      </c>
      <c r="N2243" s="1754"/>
      <c r="O2243" s="1788"/>
      <c r="P2243" s="1721" t="s">
        <v>9611</v>
      </c>
    </row>
    <row r="2244" spans="1:16" ht="13.5" hidden="1" customHeight="1" outlineLevel="3" x14ac:dyDescent="0.2">
      <c r="A2244" s="459">
        <v>0</v>
      </c>
      <c r="B2244" s="459">
        <v>16</v>
      </c>
      <c r="C2244" s="459">
        <v>10</v>
      </c>
      <c r="D2244" s="460">
        <v>5</v>
      </c>
      <c r="E2244" s="460">
        <v>3</v>
      </c>
      <c r="G2244" s="1798" t="s">
        <v>49</v>
      </c>
      <c r="H2244" s="1783" t="s">
        <v>1239</v>
      </c>
      <c r="I2244" s="1750" t="s">
        <v>8025</v>
      </c>
      <c r="J2244" s="1785" t="s">
        <v>3051</v>
      </c>
      <c r="K2244" s="1786" t="s">
        <v>788</v>
      </c>
      <c r="L2244" s="1787" t="e">
        <v>#REF!</v>
      </c>
      <c r="M2244" s="1787">
        <v>22.121324999999999</v>
      </c>
      <c r="N2244" s="1754"/>
      <c r="O2244" s="1788"/>
      <c r="P2244" s="1721" t="s">
        <v>9611</v>
      </c>
    </row>
    <row r="2245" spans="1:16" ht="13.5" hidden="1" customHeight="1" outlineLevel="2" x14ac:dyDescent="0.2">
      <c r="A2245" s="459">
        <v>0</v>
      </c>
      <c r="B2245" s="459">
        <v>16</v>
      </c>
      <c r="C2245" s="459">
        <v>10</v>
      </c>
      <c r="D2245" s="460">
        <v>6</v>
      </c>
      <c r="E2245" s="460">
        <v>0</v>
      </c>
      <c r="G2245" s="1797"/>
      <c r="H2245" s="1777" t="s">
        <v>1238</v>
      </c>
      <c r="I2245" s="1742" t="s">
        <v>8026</v>
      </c>
      <c r="J2245" s="1779" t="s">
        <v>1264</v>
      </c>
      <c r="K2245" s="1780"/>
      <c r="L2245" s="1781"/>
      <c r="M2245" s="1781"/>
      <c r="N2245" s="1746"/>
      <c r="O2245" s="1782"/>
      <c r="P2245" s="1720"/>
    </row>
    <row r="2246" spans="1:16" ht="13.5" hidden="1" customHeight="1" outlineLevel="3" x14ac:dyDescent="0.2">
      <c r="A2246" s="459">
        <v>0</v>
      </c>
      <c r="B2246" s="459">
        <v>16</v>
      </c>
      <c r="C2246" s="459">
        <v>10</v>
      </c>
      <c r="D2246" s="460">
        <v>6</v>
      </c>
      <c r="E2246" s="460">
        <v>1</v>
      </c>
      <c r="G2246" s="1798" t="s">
        <v>45</v>
      </c>
      <c r="H2246" s="1783" t="s">
        <v>1239</v>
      </c>
      <c r="I2246" s="1750" t="s">
        <v>8027</v>
      </c>
      <c r="J2246" s="1785" t="s">
        <v>735</v>
      </c>
      <c r="K2246" s="1786" t="s">
        <v>642</v>
      </c>
      <c r="L2246" s="1787" t="e">
        <v>#REF!</v>
      </c>
      <c r="M2246" s="1787">
        <v>40</v>
      </c>
      <c r="N2246" s="1754"/>
      <c r="O2246" s="1788"/>
      <c r="P2246" s="1721" t="s">
        <v>9611</v>
      </c>
    </row>
    <row r="2247" spans="1:16" ht="13.5" hidden="1" customHeight="1" outlineLevel="3" x14ac:dyDescent="0.2">
      <c r="A2247" s="459">
        <v>0</v>
      </c>
      <c r="B2247" s="459">
        <v>16</v>
      </c>
      <c r="C2247" s="459">
        <v>10</v>
      </c>
      <c r="D2247" s="460">
        <v>6</v>
      </c>
      <c r="E2247" s="460">
        <v>2</v>
      </c>
      <c r="G2247" s="1798" t="s">
        <v>49</v>
      </c>
      <c r="H2247" s="1783" t="s">
        <v>1239</v>
      </c>
      <c r="I2247" s="1750" t="s">
        <v>8028</v>
      </c>
      <c r="J2247" s="1785" t="s">
        <v>738</v>
      </c>
      <c r="K2247" s="1786" t="s">
        <v>642</v>
      </c>
      <c r="L2247" s="1787" t="e">
        <v>#REF!</v>
      </c>
      <c r="M2247" s="1787">
        <v>75</v>
      </c>
      <c r="N2247" s="1754"/>
      <c r="O2247" s="1788"/>
      <c r="P2247" s="1721" t="s">
        <v>9611</v>
      </c>
    </row>
    <row r="2248" spans="1:16" ht="13.5" hidden="1" customHeight="1" outlineLevel="3" x14ac:dyDescent="0.2">
      <c r="A2248" s="459">
        <v>0</v>
      </c>
      <c r="B2248" s="459">
        <v>16</v>
      </c>
      <c r="C2248" s="459">
        <v>10</v>
      </c>
      <c r="D2248" s="460">
        <v>6</v>
      </c>
      <c r="E2248" s="460">
        <v>3</v>
      </c>
      <c r="G2248" s="1798" t="s">
        <v>49</v>
      </c>
      <c r="H2248" s="1783" t="s">
        <v>1239</v>
      </c>
      <c r="I2248" s="1750" t="s">
        <v>8029</v>
      </c>
      <c r="J2248" s="1785" t="s">
        <v>743</v>
      </c>
      <c r="K2248" s="1786" t="s">
        <v>788</v>
      </c>
      <c r="L2248" s="1787" t="e">
        <v>#REF!</v>
      </c>
      <c r="M2248" s="1787">
        <v>28</v>
      </c>
      <c r="N2248" s="1754"/>
      <c r="O2248" s="1788"/>
      <c r="P2248" s="1721" t="s">
        <v>9611</v>
      </c>
    </row>
    <row r="2249" spans="1:16" ht="13.5" hidden="1" customHeight="1" outlineLevel="3" x14ac:dyDescent="0.2">
      <c r="A2249" s="459">
        <v>0</v>
      </c>
      <c r="B2249" s="459">
        <v>16</v>
      </c>
      <c r="C2249" s="459">
        <v>10</v>
      </c>
      <c r="D2249" s="460">
        <v>6</v>
      </c>
      <c r="E2249" s="460">
        <v>4</v>
      </c>
      <c r="G2249" s="1798" t="s">
        <v>49</v>
      </c>
      <c r="H2249" s="1783" t="s">
        <v>1239</v>
      </c>
      <c r="I2249" s="1750" t="s">
        <v>8030</v>
      </c>
      <c r="J2249" s="1785" t="s">
        <v>744</v>
      </c>
      <c r="K2249" s="1786" t="s">
        <v>788</v>
      </c>
      <c r="L2249" s="1787" t="e">
        <v>#REF!</v>
      </c>
      <c r="M2249" s="1787">
        <v>24</v>
      </c>
      <c r="N2249" s="1754"/>
      <c r="O2249" s="1788"/>
      <c r="P2249" s="1721" t="s">
        <v>9611</v>
      </c>
    </row>
    <row r="2250" spans="1:16" ht="13.5" hidden="1" customHeight="1" outlineLevel="1" x14ac:dyDescent="0.2">
      <c r="A2250" s="459">
        <v>0</v>
      </c>
      <c r="B2250" s="459">
        <v>16</v>
      </c>
      <c r="C2250" s="459">
        <v>11</v>
      </c>
      <c r="D2250" s="460">
        <v>0</v>
      </c>
      <c r="E2250" s="460">
        <v>4</v>
      </c>
      <c r="G2250" s="1796"/>
      <c r="H2250" s="1771" t="s">
        <v>39</v>
      </c>
      <c r="I2250" s="1735" t="s">
        <v>8031</v>
      </c>
      <c r="J2250" s="1773" t="s">
        <v>3071</v>
      </c>
      <c r="K2250" s="1774"/>
      <c r="L2250" s="1775"/>
      <c r="M2250" s="1775"/>
      <c r="N2250" s="1739"/>
      <c r="O2250" s="1776"/>
      <c r="P2250" s="1719"/>
    </row>
    <row r="2251" spans="1:16" ht="13.5" hidden="1" customHeight="1" outlineLevel="2" x14ac:dyDescent="0.2">
      <c r="A2251" s="459">
        <v>0</v>
      </c>
      <c r="B2251" s="459">
        <v>16</v>
      </c>
      <c r="C2251" s="459">
        <v>11</v>
      </c>
      <c r="D2251" s="460">
        <v>1</v>
      </c>
      <c r="E2251" s="460">
        <v>0</v>
      </c>
      <c r="G2251" s="1797"/>
      <c r="H2251" s="1777" t="s">
        <v>1238</v>
      </c>
      <c r="I2251" s="1742" t="s">
        <v>8032</v>
      </c>
      <c r="J2251" s="1779" t="s">
        <v>23</v>
      </c>
      <c r="K2251" s="1780"/>
      <c r="L2251" s="1781"/>
      <c r="M2251" s="1781"/>
      <c r="N2251" s="1746"/>
      <c r="O2251" s="1782"/>
      <c r="P2251" s="1720"/>
    </row>
    <row r="2252" spans="1:16" ht="13.5" hidden="1" customHeight="1" outlineLevel="3" x14ac:dyDescent="0.2">
      <c r="A2252" s="459">
        <v>0</v>
      </c>
      <c r="B2252" s="459">
        <v>16</v>
      </c>
      <c r="C2252" s="459">
        <v>11</v>
      </c>
      <c r="D2252" s="460">
        <v>1</v>
      </c>
      <c r="E2252" s="460">
        <v>1</v>
      </c>
      <c r="G2252" s="1798" t="s">
        <v>45</v>
      </c>
      <c r="H2252" s="1783" t="s">
        <v>1239</v>
      </c>
      <c r="I2252" s="1750" t="s">
        <v>8033</v>
      </c>
      <c r="J2252" s="1785" t="s">
        <v>2973</v>
      </c>
      <c r="K2252" s="1786" t="s">
        <v>642</v>
      </c>
      <c r="L2252" s="1787" t="e">
        <v>#REF!</v>
      </c>
      <c r="M2252" s="1787">
        <v>44.585233333333335</v>
      </c>
      <c r="N2252" s="1754"/>
      <c r="O2252" s="1788"/>
      <c r="P2252" s="1721" t="s">
        <v>9611</v>
      </c>
    </row>
    <row r="2253" spans="1:16" ht="13.5" hidden="1" customHeight="1" outlineLevel="2" x14ac:dyDescent="0.2">
      <c r="A2253" s="459">
        <v>0</v>
      </c>
      <c r="B2253" s="459">
        <v>16</v>
      </c>
      <c r="C2253" s="459">
        <v>11</v>
      </c>
      <c r="D2253" s="460">
        <v>2</v>
      </c>
      <c r="E2253" s="460">
        <v>0</v>
      </c>
      <c r="G2253" s="1797"/>
      <c r="H2253" s="1777" t="s">
        <v>1238</v>
      </c>
      <c r="I2253" s="1742" t="s">
        <v>8034</v>
      </c>
      <c r="J2253" s="1743" t="s">
        <v>2815</v>
      </c>
      <c r="K2253" s="1780"/>
      <c r="L2253" s="1781"/>
      <c r="M2253" s="1781"/>
      <c r="N2253" s="1746">
        <v>192583.02353033301</v>
      </c>
      <c r="O2253" s="1782"/>
      <c r="P2253" s="1720"/>
    </row>
    <row r="2254" spans="1:16" ht="13.5" hidden="1" customHeight="1" outlineLevel="3" x14ac:dyDescent="0.2">
      <c r="A2254" s="459">
        <v>0</v>
      </c>
      <c r="B2254" s="459">
        <v>16</v>
      </c>
      <c r="C2254" s="459">
        <v>11</v>
      </c>
      <c r="D2254" s="460">
        <v>2</v>
      </c>
      <c r="E2254" s="460">
        <v>1</v>
      </c>
      <c r="G2254" s="1798" t="s">
        <v>45</v>
      </c>
      <c r="H2254" s="1783" t="s">
        <v>1239</v>
      </c>
      <c r="I2254" s="1750" t="s">
        <v>8035</v>
      </c>
      <c r="J2254" s="1785" t="s">
        <v>603</v>
      </c>
      <c r="K2254" s="1786" t="s">
        <v>642</v>
      </c>
      <c r="L2254" s="1787">
        <v>3857.7</v>
      </c>
      <c r="M2254" s="1787">
        <v>49.921721111111111</v>
      </c>
      <c r="N2254" s="1754">
        <v>192583.02353033301</v>
      </c>
      <c r="O2254" s="1788" t="s">
        <v>2974</v>
      </c>
      <c r="P2254" s="1721" t="s">
        <v>9611</v>
      </c>
    </row>
    <row r="2255" spans="1:16" ht="13.5" hidden="1" customHeight="1" outlineLevel="2" x14ac:dyDescent="0.2">
      <c r="A2255" s="459">
        <v>0</v>
      </c>
      <c r="B2255" s="459">
        <v>16</v>
      </c>
      <c r="C2255" s="459">
        <v>11</v>
      </c>
      <c r="D2255" s="460">
        <v>3</v>
      </c>
      <c r="E2255" s="460">
        <v>0</v>
      </c>
      <c r="G2255" s="1797"/>
      <c r="H2255" s="1777" t="s">
        <v>1238</v>
      </c>
      <c r="I2255" s="1742" t="s">
        <v>8036</v>
      </c>
      <c r="J2255" s="1779" t="s">
        <v>2745</v>
      </c>
      <c r="K2255" s="1780"/>
      <c r="L2255" s="1781"/>
      <c r="M2255" s="1781"/>
      <c r="N2255" s="1746"/>
      <c r="O2255" s="1782"/>
      <c r="P2255" s="1720"/>
    </row>
    <row r="2256" spans="1:16" ht="13.5" hidden="1" customHeight="1" outlineLevel="3" x14ac:dyDescent="0.2">
      <c r="A2256" s="459">
        <v>0</v>
      </c>
      <c r="B2256" s="459">
        <v>16</v>
      </c>
      <c r="C2256" s="459">
        <v>11</v>
      </c>
      <c r="D2256" s="460">
        <v>3</v>
      </c>
      <c r="E2256" s="460">
        <v>1</v>
      </c>
      <c r="G2256" s="1798" t="s">
        <v>49</v>
      </c>
      <c r="H2256" s="1783" t="s">
        <v>1239</v>
      </c>
      <c r="I2256" s="1750" t="s">
        <v>8037</v>
      </c>
      <c r="J2256" s="1785" t="s">
        <v>1884</v>
      </c>
      <c r="K2256" s="1786" t="s">
        <v>642</v>
      </c>
      <c r="L2256" s="1787" t="e">
        <v>#REF!</v>
      </c>
      <c r="M2256" s="1787">
        <v>58.073</v>
      </c>
      <c r="N2256" s="1754"/>
      <c r="O2256" s="1788"/>
      <c r="P2256" s="1721" t="s">
        <v>9611</v>
      </c>
    </row>
    <row r="2257" spans="1:16" ht="13.5" hidden="1" customHeight="1" outlineLevel="3" x14ac:dyDescent="0.2">
      <c r="A2257" s="459">
        <v>0</v>
      </c>
      <c r="B2257" s="459">
        <v>16</v>
      </c>
      <c r="C2257" s="459">
        <v>11</v>
      </c>
      <c r="D2257" s="460">
        <v>3</v>
      </c>
      <c r="E2257" s="460">
        <v>2</v>
      </c>
      <c r="G2257" s="1798" t="s">
        <v>49</v>
      </c>
      <c r="H2257" s="1783" t="s">
        <v>1239</v>
      </c>
      <c r="I2257" s="1750" t="s">
        <v>8038</v>
      </c>
      <c r="J2257" s="1785" t="s">
        <v>2979</v>
      </c>
      <c r="K2257" s="1786" t="s">
        <v>642</v>
      </c>
      <c r="L2257" s="1787" t="e">
        <v>#REF!</v>
      </c>
      <c r="M2257" s="1787">
        <v>229.82760000000005</v>
      </c>
      <c r="N2257" s="1754"/>
      <c r="O2257" s="1788"/>
      <c r="P2257" s="1721" t="s">
        <v>9611</v>
      </c>
    </row>
    <row r="2258" spans="1:16" ht="13.5" hidden="1" customHeight="1" outlineLevel="3" x14ac:dyDescent="0.2">
      <c r="A2258" s="459">
        <v>0</v>
      </c>
      <c r="B2258" s="459">
        <v>16</v>
      </c>
      <c r="C2258" s="459">
        <v>11</v>
      </c>
      <c r="D2258" s="460">
        <v>3</v>
      </c>
      <c r="E2258" s="460">
        <v>3</v>
      </c>
      <c r="G2258" s="1798" t="s">
        <v>49</v>
      </c>
      <c r="H2258" s="1783" t="s">
        <v>1239</v>
      </c>
      <c r="I2258" s="1750" t="s">
        <v>8039</v>
      </c>
      <c r="J2258" s="1785" t="s">
        <v>2980</v>
      </c>
      <c r="K2258" s="1786" t="s">
        <v>642</v>
      </c>
      <c r="L2258" s="1787" t="e">
        <v>#REF!</v>
      </c>
      <c r="M2258" s="1787">
        <v>141.82760000000002</v>
      </c>
      <c r="N2258" s="1754"/>
      <c r="O2258" s="1788"/>
      <c r="P2258" s="1721" t="s">
        <v>9611</v>
      </c>
    </row>
    <row r="2259" spans="1:16" ht="13.5" hidden="1" customHeight="1" outlineLevel="2" x14ac:dyDescent="0.2">
      <c r="A2259" s="459">
        <v>0</v>
      </c>
      <c r="B2259" s="459">
        <v>16</v>
      </c>
      <c r="C2259" s="459">
        <v>11</v>
      </c>
      <c r="D2259" s="460">
        <v>4</v>
      </c>
      <c r="E2259" s="460">
        <v>0</v>
      </c>
      <c r="G2259" s="1797"/>
      <c r="H2259" s="1777" t="s">
        <v>1238</v>
      </c>
      <c r="I2259" s="1742" t="s">
        <v>8040</v>
      </c>
      <c r="J2259" s="1779" t="s">
        <v>2817</v>
      </c>
      <c r="K2259" s="1780"/>
      <c r="L2259" s="1781"/>
      <c r="M2259" s="1781"/>
      <c r="N2259" s="1746"/>
      <c r="O2259" s="1782"/>
      <c r="P2259" s="1720"/>
    </row>
    <row r="2260" spans="1:16" ht="13.5" hidden="1" customHeight="1" outlineLevel="3" x14ac:dyDescent="0.2">
      <c r="A2260" s="459">
        <v>0</v>
      </c>
      <c r="B2260" s="459">
        <v>16</v>
      </c>
      <c r="C2260" s="459">
        <v>11</v>
      </c>
      <c r="D2260" s="460">
        <v>4</v>
      </c>
      <c r="E2260" s="460">
        <v>1</v>
      </c>
      <c r="G2260" s="1798" t="s">
        <v>49</v>
      </c>
      <c r="H2260" s="1783" t="s">
        <v>1239</v>
      </c>
      <c r="I2260" s="1750" t="s">
        <v>8041</v>
      </c>
      <c r="J2260" s="1785" t="s">
        <v>3033</v>
      </c>
      <c r="K2260" s="1786" t="s">
        <v>642</v>
      </c>
      <c r="L2260" s="1787" t="e">
        <v>#REF!</v>
      </c>
      <c r="M2260" s="1787">
        <v>1498.2455</v>
      </c>
      <c r="N2260" s="1754"/>
      <c r="O2260" s="1788"/>
      <c r="P2260" s="1721" t="s">
        <v>9611</v>
      </c>
    </row>
    <row r="2261" spans="1:16" ht="13.5" hidden="1" customHeight="1" outlineLevel="2" x14ac:dyDescent="0.2">
      <c r="A2261" s="459">
        <v>0</v>
      </c>
      <c r="B2261" s="459">
        <v>16</v>
      </c>
      <c r="C2261" s="459">
        <v>11</v>
      </c>
      <c r="D2261" s="460">
        <v>5</v>
      </c>
      <c r="E2261" s="460">
        <v>0</v>
      </c>
      <c r="G2261" s="1797"/>
      <c r="H2261" s="1777" t="s">
        <v>1238</v>
      </c>
      <c r="I2261" s="1742" t="s">
        <v>8042</v>
      </c>
      <c r="J2261" s="1779" t="s">
        <v>2814</v>
      </c>
      <c r="K2261" s="1780"/>
      <c r="L2261" s="1781"/>
      <c r="M2261" s="1781"/>
      <c r="N2261" s="1746"/>
      <c r="O2261" s="1782"/>
      <c r="P2261" s="1720"/>
    </row>
    <row r="2262" spans="1:16" ht="13.5" hidden="1" customHeight="1" outlineLevel="3" x14ac:dyDescent="0.2">
      <c r="A2262" s="459">
        <v>0</v>
      </c>
      <c r="B2262" s="459">
        <v>16</v>
      </c>
      <c r="C2262" s="459">
        <v>11</v>
      </c>
      <c r="D2262" s="460">
        <v>5</v>
      </c>
      <c r="E2262" s="460">
        <v>1</v>
      </c>
      <c r="G2262" s="1798" t="s">
        <v>49</v>
      </c>
      <c r="H2262" s="1783" t="s">
        <v>1239</v>
      </c>
      <c r="I2262" s="1750" t="s">
        <v>8043</v>
      </c>
      <c r="J2262" s="1751" t="s">
        <v>3025</v>
      </c>
      <c r="K2262" s="1786" t="s">
        <v>642</v>
      </c>
      <c r="L2262" s="1787" t="e">
        <v>#REF!</v>
      </c>
      <c r="M2262" s="1787">
        <v>825.00000000000011</v>
      </c>
      <c r="N2262" s="1754"/>
      <c r="O2262" s="1788"/>
      <c r="P2262" s="1721" t="s">
        <v>9611</v>
      </c>
    </row>
    <row r="2263" spans="1:16" ht="13.5" hidden="1" customHeight="1" outlineLevel="2" x14ac:dyDescent="0.2">
      <c r="A2263" s="459">
        <v>0</v>
      </c>
      <c r="B2263" s="459">
        <v>16</v>
      </c>
      <c r="C2263" s="459">
        <v>11</v>
      </c>
      <c r="D2263" s="460">
        <v>6</v>
      </c>
      <c r="E2263" s="460">
        <v>0</v>
      </c>
      <c r="G2263" s="1797"/>
      <c r="H2263" s="1777" t="s">
        <v>1238</v>
      </c>
      <c r="I2263" s="1742" t="s">
        <v>8044</v>
      </c>
      <c r="J2263" s="1779" t="s">
        <v>2818</v>
      </c>
      <c r="K2263" s="1780"/>
      <c r="L2263" s="1781"/>
      <c r="M2263" s="1781"/>
      <c r="N2263" s="1746"/>
      <c r="O2263" s="1782"/>
      <c r="P2263" s="1720"/>
    </row>
    <row r="2264" spans="1:16" ht="13.5" hidden="1" customHeight="1" outlineLevel="3" x14ac:dyDescent="0.2">
      <c r="A2264" s="459">
        <v>0</v>
      </c>
      <c r="B2264" s="459">
        <v>16</v>
      </c>
      <c r="C2264" s="459">
        <v>11</v>
      </c>
      <c r="D2264" s="460">
        <v>6</v>
      </c>
      <c r="E2264" s="460">
        <v>1</v>
      </c>
      <c r="G2264" s="1798" t="s">
        <v>49</v>
      </c>
      <c r="H2264" s="1783" t="s">
        <v>1239</v>
      </c>
      <c r="I2264" s="1750" t="s">
        <v>8045</v>
      </c>
      <c r="J2264" s="1785" t="s">
        <v>1518</v>
      </c>
      <c r="K2264" s="1786" t="s">
        <v>788</v>
      </c>
      <c r="L2264" s="1787" t="e">
        <v>#REF!</v>
      </c>
      <c r="M2264" s="1787">
        <v>10.114274999999999</v>
      </c>
      <c r="N2264" s="1754"/>
      <c r="O2264" s="1788"/>
      <c r="P2264" s="1721" t="s">
        <v>9611</v>
      </c>
    </row>
    <row r="2265" spans="1:16" ht="13.5" hidden="1" customHeight="1" outlineLevel="3" x14ac:dyDescent="0.2">
      <c r="A2265" s="459">
        <v>0</v>
      </c>
      <c r="B2265" s="459">
        <v>16</v>
      </c>
      <c r="C2265" s="459">
        <v>11</v>
      </c>
      <c r="D2265" s="460">
        <v>6</v>
      </c>
      <c r="E2265" s="460">
        <v>2</v>
      </c>
      <c r="G2265" s="1798" t="s">
        <v>49</v>
      </c>
      <c r="H2265" s="1783" t="s">
        <v>1239</v>
      </c>
      <c r="I2265" s="1750" t="s">
        <v>8046</v>
      </c>
      <c r="J2265" s="1785" t="s">
        <v>714</v>
      </c>
      <c r="K2265" s="1786" t="s">
        <v>788</v>
      </c>
      <c r="L2265" s="1787" t="e">
        <v>#REF!</v>
      </c>
      <c r="M2265" s="1787">
        <v>43.820583333333332</v>
      </c>
      <c r="N2265" s="1754"/>
      <c r="O2265" s="1788"/>
      <c r="P2265" s="1721" t="s">
        <v>9611</v>
      </c>
    </row>
    <row r="2266" spans="1:16" ht="13.5" hidden="1" customHeight="1" outlineLevel="3" x14ac:dyDescent="0.2">
      <c r="A2266" s="459">
        <v>0</v>
      </c>
      <c r="B2266" s="459">
        <v>16</v>
      </c>
      <c r="C2266" s="459">
        <v>11</v>
      </c>
      <c r="D2266" s="460">
        <v>6</v>
      </c>
      <c r="E2266" s="460">
        <v>3</v>
      </c>
      <c r="G2266" s="1798" t="s">
        <v>49</v>
      </c>
      <c r="H2266" s="1783" t="s">
        <v>1239</v>
      </c>
      <c r="I2266" s="1750" t="s">
        <v>8047</v>
      </c>
      <c r="J2266" s="1785" t="s">
        <v>3051</v>
      </c>
      <c r="K2266" s="1786" t="s">
        <v>788</v>
      </c>
      <c r="L2266" s="1787" t="e">
        <v>#REF!</v>
      </c>
      <c r="M2266" s="1787">
        <v>22.121324999999999</v>
      </c>
      <c r="N2266" s="1754"/>
      <c r="O2266" s="1788"/>
      <c r="P2266" s="1721" t="s">
        <v>9611</v>
      </c>
    </row>
    <row r="2267" spans="1:16" ht="13.5" hidden="1" customHeight="1" outlineLevel="2" x14ac:dyDescent="0.2">
      <c r="A2267" s="459">
        <v>0</v>
      </c>
      <c r="B2267" s="459">
        <v>16</v>
      </c>
      <c r="C2267" s="459">
        <v>11</v>
      </c>
      <c r="D2267" s="460">
        <v>7</v>
      </c>
      <c r="E2267" s="460">
        <v>0</v>
      </c>
      <c r="G2267" s="1797"/>
      <c r="H2267" s="1777" t="s">
        <v>1238</v>
      </c>
      <c r="I2267" s="1742" t="s">
        <v>8048</v>
      </c>
      <c r="J2267" s="1779" t="s">
        <v>1264</v>
      </c>
      <c r="K2267" s="1780"/>
      <c r="L2267" s="1781"/>
      <c r="M2267" s="1781"/>
      <c r="N2267" s="1746"/>
      <c r="O2267" s="1782"/>
      <c r="P2267" s="1720"/>
    </row>
    <row r="2268" spans="1:16" ht="13.5" hidden="1" customHeight="1" outlineLevel="3" x14ac:dyDescent="0.2">
      <c r="A2268" s="459">
        <v>0</v>
      </c>
      <c r="B2268" s="459">
        <v>16</v>
      </c>
      <c r="C2268" s="459">
        <v>11</v>
      </c>
      <c r="D2268" s="460">
        <v>7</v>
      </c>
      <c r="E2268" s="460">
        <v>1</v>
      </c>
      <c r="G2268" s="1798" t="s">
        <v>45</v>
      </c>
      <c r="H2268" s="1783" t="s">
        <v>1239</v>
      </c>
      <c r="I2268" s="1750" t="s">
        <v>8049</v>
      </c>
      <c r="J2268" s="1785" t="s">
        <v>735</v>
      </c>
      <c r="K2268" s="1786" t="s">
        <v>642</v>
      </c>
      <c r="L2268" s="1787" t="e">
        <v>#REF!</v>
      </c>
      <c r="M2268" s="1787">
        <v>40</v>
      </c>
      <c r="N2268" s="1754"/>
      <c r="O2268" s="1788"/>
      <c r="P2268" s="1721" t="s">
        <v>9611</v>
      </c>
    </row>
    <row r="2269" spans="1:16" ht="13.5" hidden="1" customHeight="1" outlineLevel="3" x14ac:dyDescent="0.2">
      <c r="A2269" s="459">
        <v>0</v>
      </c>
      <c r="B2269" s="459">
        <v>16</v>
      </c>
      <c r="C2269" s="459">
        <v>11</v>
      </c>
      <c r="D2269" s="460">
        <v>7</v>
      </c>
      <c r="E2269" s="460">
        <v>2</v>
      </c>
      <c r="G2269" s="1798" t="s">
        <v>49</v>
      </c>
      <c r="H2269" s="1783" t="s">
        <v>1239</v>
      </c>
      <c r="I2269" s="1750" t="s">
        <v>8050</v>
      </c>
      <c r="J2269" s="1785" t="s">
        <v>738</v>
      </c>
      <c r="K2269" s="1786" t="s">
        <v>642</v>
      </c>
      <c r="L2269" s="1787" t="e">
        <v>#REF!</v>
      </c>
      <c r="M2269" s="1787">
        <v>75</v>
      </c>
      <c r="N2269" s="1754"/>
      <c r="O2269" s="1788"/>
      <c r="P2269" s="1721" t="s">
        <v>9611</v>
      </c>
    </row>
    <row r="2270" spans="1:16" ht="13.5" hidden="1" customHeight="1" outlineLevel="3" x14ac:dyDescent="0.2">
      <c r="A2270" s="459">
        <v>0</v>
      </c>
      <c r="B2270" s="459">
        <v>16</v>
      </c>
      <c r="C2270" s="459">
        <v>11</v>
      </c>
      <c r="D2270" s="460">
        <v>7</v>
      </c>
      <c r="E2270" s="460">
        <v>3</v>
      </c>
      <c r="G2270" s="1798" t="s">
        <v>49</v>
      </c>
      <c r="H2270" s="1783" t="s">
        <v>1239</v>
      </c>
      <c r="I2270" s="1750" t="s">
        <v>8051</v>
      </c>
      <c r="J2270" s="1785" t="s">
        <v>3060</v>
      </c>
      <c r="K2270" s="1786" t="s">
        <v>642</v>
      </c>
      <c r="L2270" s="1787" t="e">
        <v>#REF!</v>
      </c>
      <c r="M2270" s="1787">
        <v>85</v>
      </c>
      <c r="N2270" s="1754"/>
      <c r="O2270" s="1788"/>
      <c r="P2270" s="1721" t="s">
        <v>9611</v>
      </c>
    </row>
    <row r="2271" spans="1:16" ht="13.5" hidden="1" customHeight="1" outlineLevel="3" x14ac:dyDescent="0.2">
      <c r="A2271" s="459">
        <v>0</v>
      </c>
      <c r="B2271" s="459">
        <v>16</v>
      </c>
      <c r="C2271" s="459">
        <v>11</v>
      </c>
      <c r="D2271" s="460">
        <v>7</v>
      </c>
      <c r="E2271" s="460">
        <v>4</v>
      </c>
      <c r="G2271" s="1798" t="s">
        <v>49</v>
      </c>
      <c r="H2271" s="1783" t="s">
        <v>1239</v>
      </c>
      <c r="I2271" s="1750" t="s">
        <v>8052</v>
      </c>
      <c r="J2271" s="1785" t="s">
        <v>743</v>
      </c>
      <c r="K2271" s="1786" t="s">
        <v>788</v>
      </c>
      <c r="L2271" s="1787" t="e">
        <v>#REF!</v>
      </c>
      <c r="M2271" s="1787">
        <v>28</v>
      </c>
      <c r="N2271" s="1754"/>
      <c r="O2271" s="1788"/>
      <c r="P2271" s="1721" t="s">
        <v>9611</v>
      </c>
    </row>
    <row r="2272" spans="1:16" ht="13.5" hidden="1" customHeight="1" outlineLevel="3" x14ac:dyDescent="0.2">
      <c r="A2272" s="459">
        <v>0</v>
      </c>
      <c r="B2272" s="459">
        <v>16</v>
      </c>
      <c r="C2272" s="459">
        <v>11</v>
      </c>
      <c r="D2272" s="460">
        <v>7</v>
      </c>
      <c r="E2272" s="460">
        <v>5</v>
      </c>
      <c r="G2272" s="1798" t="s">
        <v>49</v>
      </c>
      <c r="H2272" s="1783" t="s">
        <v>1239</v>
      </c>
      <c r="I2272" s="1750" t="s">
        <v>8053</v>
      </c>
      <c r="J2272" s="1785" t="s">
        <v>744</v>
      </c>
      <c r="K2272" s="1786" t="s">
        <v>788</v>
      </c>
      <c r="L2272" s="1787" t="e">
        <v>#REF!</v>
      </c>
      <c r="M2272" s="1787">
        <v>24</v>
      </c>
      <c r="N2272" s="1754"/>
      <c r="O2272" s="1788"/>
      <c r="P2272" s="1721" t="s">
        <v>9611</v>
      </c>
    </row>
    <row r="2273" spans="1:16" ht="13.5" hidden="1" customHeight="1" outlineLevel="1" x14ac:dyDescent="0.2">
      <c r="A2273" s="459">
        <v>0</v>
      </c>
      <c r="B2273" s="459">
        <v>16</v>
      </c>
      <c r="C2273" s="459">
        <v>12</v>
      </c>
      <c r="D2273" s="460">
        <v>0</v>
      </c>
      <c r="E2273" s="460">
        <v>5</v>
      </c>
      <c r="G2273" s="1796"/>
      <c r="H2273" s="1771" t="s">
        <v>39</v>
      </c>
      <c r="I2273" s="1735" t="s">
        <v>8054</v>
      </c>
      <c r="J2273" s="1773" t="s">
        <v>3072</v>
      </c>
      <c r="K2273" s="1774"/>
      <c r="L2273" s="1775"/>
      <c r="M2273" s="1775"/>
      <c r="N2273" s="1739"/>
      <c r="O2273" s="1776"/>
      <c r="P2273" s="1719"/>
    </row>
    <row r="2274" spans="1:16" ht="13.5" hidden="1" customHeight="1" outlineLevel="2" x14ac:dyDescent="0.2">
      <c r="A2274" s="459">
        <v>0</v>
      </c>
      <c r="B2274" s="459">
        <v>16</v>
      </c>
      <c r="C2274" s="459">
        <v>12</v>
      </c>
      <c r="D2274" s="460">
        <v>1</v>
      </c>
      <c r="E2274" s="460">
        <v>0</v>
      </c>
      <c r="G2274" s="1797"/>
      <c r="H2274" s="1777" t="s">
        <v>1238</v>
      </c>
      <c r="I2274" s="1742" t="s">
        <v>8055</v>
      </c>
      <c r="J2274" s="1779" t="s">
        <v>23</v>
      </c>
      <c r="K2274" s="1780"/>
      <c r="L2274" s="1781"/>
      <c r="M2274" s="1781"/>
      <c r="N2274" s="1746"/>
      <c r="O2274" s="1782"/>
      <c r="P2274" s="1720"/>
    </row>
    <row r="2275" spans="1:16" ht="13.5" hidden="1" customHeight="1" outlineLevel="3" x14ac:dyDescent="0.2">
      <c r="A2275" s="459">
        <v>0</v>
      </c>
      <c r="B2275" s="459">
        <v>16</v>
      </c>
      <c r="C2275" s="459">
        <v>12</v>
      </c>
      <c r="D2275" s="460">
        <v>1</v>
      </c>
      <c r="E2275" s="460">
        <v>1</v>
      </c>
      <c r="G2275" s="1798" t="s">
        <v>45</v>
      </c>
      <c r="H2275" s="1783" t="s">
        <v>1239</v>
      </c>
      <c r="I2275" s="1750" t="s">
        <v>8056</v>
      </c>
      <c r="J2275" s="1785" t="s">
        <v>2973</v>
      </c>
      <c r="K2275" s="1786" t="s">
        <v>642</v>
      </c>
      <c r="L2275" s="1787" t="e">
        <v>#REF!</v>
      </c>
      <c r="M2275" s="1787">
        <v>44.585233333333335</v>
      </c>
      <c r="N2275" s="1754"/>
      <c r="O2275" s="1788"/>
      <c r="P2275" s="1721" t="s">
        <v>9611</v>
      </c>
    </row>
    <row r="2276" spans="1:16" ht="13.5" hidden="1" customHeight="1" outlineLevel="2" x14ac:dyDescent="0.2">
      <c r="A2276" s="459">
        <v>0</v>
      </c>
      <c r="B2276" s="459">
        <v>16</v>
      </c>
      <c r="C2276" s="459">
        <v>12</v>
      </c>
      <c r="D2276" s="460">
        <v>2</v>
      </c>
      <c r="E2276" s="460">
        <v>0</v>
      </c>
      <c r="G2276" s="1797"/>
      <c r="H2276" s="1777" t="s">
        <v>1238</v>
      </c>
      <c r="I2276" s="1742" t="s">
        <v>8057</v>
      </c>
      <c r="J2276" s="1743" t="s">
        <v>2815</v>
      </c>
      <c r="K2276" s="1780"/>
      <c r="L2276" s="1781"/>
      <c r="M2276" s="1781"/>
      <c r="N2276" s="1746">
        <v>7488.2581666666701</v>
      </c>
      <c r="O2276" s="1782"/>
      <c r="P2276" s="1720"/>
    </row>
    <row r="2277" spans="1:16" ht="13.5" hidden="1" customHeight="1" outlineLevel="3" x14ac:dyDescent="0.2">
      <c r="A2277" s="459">
        <v>0</v>
      </c>
      <c r="B2277" s="459">
        <v>16</v>
      </c>
      <c r="C2277" s="459">
        <v>12</v>
      </c>
      <c r="D2277" s="460">
        <v>2</v>
      </c>
      <c r="E2277" s="460">
        <v>1</v>
      </c>
      <c r="G2277" s="1798" t="s">
        <v>45</v>
      </c>
      <c r="H2277" s="1783" t="s">
        <v>1239</v>
      </c>
      <c r="I2277" s="1750" t="s">
        <v>8058</v>
      </c>
      <c r="J2277" s="1785" t="s">
        <v>603</v>
      </c>
      <c r="K2277" s="1786" t="s">
        <v>642</v>
      </c>
      <c r="L2277" s="1787">
        <v>150</v>
      </c>
      <c r="M2277" s="1787">
        <v>49.921721111111111</v>
      </c>
      <c r="N2277" s="1754">
        <v>7488.2581666666701</v>
      </c>
      <c r="O2277" s="1788" t="s">
        <v>2974</v>
      </c>
      <c r="P2277" s="1721" t="s">
        <v>9611</v>
      </c>
    </row>
    <row r="2278" spans="1:16" ht="13.5" hidden="1" customHeight="1" outlineLevel="2" x14ac:dyDescent="0.2">
      <c r="A2278" s="459">
        <v>0</v>
      </c>
      <c r="B2278" s="459">
        <v>16</v>
      </c>
      <c r="C2278" s="459">
        <v>12</v>
      </c>
      <c r="D2278" s="460">
        <v>3</v>
      </c>
      <c r="E2278" s="460">
        <v>0</v>
      </c>
      <c r="G2278" s="1797"/>
      <c r="H2278" s="1777" t="s">
        <v>1238</v>
      </c>
      <c r="I2278" s="1742" t="s">
        <v>8059</v>
      </c>
      <c r="J2278" s="1779" t="s">
        <v>2745</v>
      </c>
      <c r="K2278" s="1780"/>
      <c r="L2278" s="1781"/>
      <c r="M2278" s="1781"/>
      <c r="N2278" s="1746"/>
      <c r="O2278" s="1782"/>
      <c r="P2278" s="1720"/>
    </row>
    <row r="2279" spans="1:16" ht="13.5" hidden="1" customHeight="1" outlineLevel="3" x14ac:dyDescent="0.2">
      <c r="A2279" s="459">
        <v>0</v>
      </c>
      <c r="B2279" s="459">
        <v>16</v>
      </c>
      <c r="C2279" s="459">
        <v>12</v>
      </c>
      <c r="D2279" s="460">
        <v>3</v>
      </c>
      <c r="E2279" s="460">
        <v>1</v>
      </c>
      <c r="G2279" s="1798" t="s">
        <v>49</v>
      </c>
      <c r="H2279" s="1783" t="s">
        <v>1239</v>
      </c>
      <c r="I2279" s="1750" t="s">
        <v>8060</v>
      </c>
      <c r="J2279" s="1785" t="s">
        <v>1884</v>
      </c>
      <c r="K2279" s="1786" t="s">
        <v>642</v>
      </c>
      <c r="L2279" s="1787" t="e">
        <v>#REF!</v>
      </c>
      <c r="M2279" s="1787">
        <v>58.073</v>
      </c>
      <c r="N2279" s="1754"/>
      <c r="O2279" s="1788"/>
      <c r="P2279" s="1721" t="s">
        <v>9611</v>
      </c>
    </row>
    <row r="2280" spans="1:16" ht="13.5" hidden="1" customHeight="1" outlineLevel="3" x14ac:dyDescent="0.2">
      <c r="A2280" s="459">
        <v>0</v>
      </c>
      <c r="B2280" s="459">
        <v>16</v>
      </c>
      <c r="C2280" s="459">
        <v>12</v>
      </c>
      <c r="D2280" s="460">
        <v>3</v>
      </c>
      <c r="E2280" s="460">
        <v>2</v>
      </c>
      <c r="G2280" s="1798" t="s">
        <v>49</v>
      </c>
      <c r="H2280" s="1783" t="s">
        <v>1239</v>
      </c>
      <c r="I2280" s="1750" t="s">
        <v>8061</v>
      </c>
      <c r="J2280" s="1785" t="s">
        <v>2979</v>
      </c>
      <c r="K2280" s="1786" t="s">
        <v>642</v>
      </c>
      <c r="L2280" s="1787" t="e">
        <v>#REF!</v>
      </c>
      <c r="M2280" s="1787">
        <v>229.82760000000005</v>
      </c>
      <c r="N2280" s="1754"/>
      <c r="O2280" s="1788"/>
      <c r="P2280" s="1721" t="s">
        <v>9611</v>
      </c>
    </row>
    <row r="2281" spans="1:16" ht="13.5" hidden="1" customHeight="1" outlineLevel="3" x14ac:dyDescent="0.2">
      <c r="A2281" s="459">
        <v>0</v>
      </c>
      <c r="B2281" s="459">
        <v>16</v>
      </c>
      <c r="C2281" s="459">
        <v>12</v>
      </c>
      <c r="D2281" s="460">
        <v>3</v>
      </c>
      <c r="E2281" s="460">
        <v>3</v>
      </c>
      <c r="G2281" s="1798" t="s">
        <v>49</v>
      </c>
      <c r="H2281" s="1783" t="s">
        <v>1239</v>
      </c>
      <c r="I2281" s="1750" t="s">
        <v>8062</v>
      </c>
      <c r="J2281" s="1785" t="s">
        <v>2980</v>
      </c>
      <c r="K2281" s="1786" t="s">
        <v>642</v>
      </c>
      <c r="L2281" s="1787" t="e">
        <v>#REF!</v>
      </c>
      <c r="M2281" s="1787">
        <v>141.82760000000002</v>
      </c>
      <c r="N2281" s="1754"/>
      <c r="O2281" s="1788"/>
      <c r="P2281" s="1721" t="s">
        <v>9611</v>
      </c>
    </row>
    <row r="2282" spans="1:16" ht="13.5" hidden="1" customHeight="1" outlineLevel="2" x14ac:dyDescent="0.2">
      <c r="A2282" s="459">
        <v>0</v>
      </c>
      <c r="B2282" s="459">
        <v>16</v>
      </c>
      <c r="C2282" s="459">
        <v>12</v>
      </c>
      <c r="D2282" s="460">
        <v>4</v>
      </c>
      <c r="E2282" s="460">
        <v>0</v>
      </c>
      <c r="G2282" s="1797"/>
      <c r="H2282" s="1777" t="s">
        <v>1238</v>
      </c>
      <c r="I2282" s="1742" t="s">
        <v>8063</v>
      </c>
      <c r="J2282" s="1779" t="s">
        <v>2817</v>
      </c>
      <c r="K2282" s="1780"/>
      <c r="L2282" s="1781"/>
      <c r="M2282" s="1781"/>
      <c r="N2282" s="1746"/>
      <c r="O2282" s="1782"/>
      <c r="P2282" s="1720"/>
    </row>
    <row r="2283" spans="1:16" ht="13.5" hidden="1" customHeight="1" outlineLevel="3" x14ac:dyDescent="0.2">
      <c r="A2283" s="459">
        <v>0</v>
      </c>
      <c r="B2283" s="459">
        <v>16</v>
      </c>
      <c r="C2283" s="459">
        <v>12</v>
      </c>
      <c r="D2283" s="460">
        <v>4</v>
      </c>
      <c r="E2283" s="460">
        <v>1</v>
      </c>
      <c r="G2283" s="1798" t="s">
        <v>49</v>
      </c>
      <c r="H2283" s="1783" t="s">
        <v>1239</v>
      </c>
      <c r="I2283" s="1750" t="s">
        <v>8064</v>
      </c>
      <c r="J2283" s="1785" t="s">
        <v>3033</v>
      </c>
      <c r="K2283" s="1786" t="s">
        <v>642</v>
      </c>
      <c r="L2283" s="1787" t="e">
        <v>#REF!</v>
      </c>
      <c r="M2283" s="1787">
        <v>1498.2455</v>
      </c>
      <c r="N2283" s="1754"/>
      <c r="O2283" s="1788"/>
      <c r="P2283" s="1721" t="s">
        <v>9611</v>
      </c>
    </row>
    <row r="2284" spans="1:16" ht="13.5" hidden="1" customHeight="1" outlineLevel="3" x14ac:dyDescent="0.2">
      <c r="A2284" s="459">
        <v>0</v>
      </c>
      <c r="B2284" s="459">
        <v>16</v>
      </c>
      <c r="C2284" s="459">
        <v>12</v>
      </c>
      <c r="D2284" s="460">
        <v>4</v>
      </c>
      <c r="E2284" s="460">
        <v>2</v>
      </c>
      <c r="G2284" s="1798" t="s">
        <v>49</v>
      </c>
      <c r="H2284" s="1783" t="s">
        <v>1239</v>
      </c>
      <c r="I2284" s="1750" t="s">
        <v>8065</v>
      </c>
      <c r="J2284" s="1785" t="s">
        <v>3026</v>
      </c>
      <c r="K2284" s="1786" t="s">
        <v>642</v>
      </c>
      <c r="L2284" s="1787" t="e">
        <v>#REF!</v>
      </c>
      <c r="M2284" s="1787">
        <v>898.24550000000011</v>
      </c>
      <c r="N2284" s="1754"/>
      <c r="O2284" s="1788"/>
      <c r="P2284" s="1721" t="s">
        <v>9611</v>
      </c>
    </row>
    <row r="2285" spans="1:16" ht="13.5" hidden="1" customHeight="1" outlineLevel="2" x14ac:dyDescent="0.2">
      <c r="A2285" s="459">
        <v>0</v>
      </c>
      <c r="B2285" s="459">
        <v>16</v>
      </c>
      <c r="C2285" s="459">
        <v>12</v>
      </c>
      <c r="D2285" s="460">
        <v>5</v>
      </c>
      <c r="E2285" s="460">
        <v>0</v>
      </c>
      <c r="G2285" s="1797"/>
      <c r="H2285" s="1777" t="s">
        <v>1238</v>
      </c>
      <c r="I2285" s="1742" t="s">
        <v>8066</v>
      </c>
      <c r="J2285" s="1779" t="s">
        <v>2814</v>
      </c>
      <c r="K2285" s="1780"/>
      <c r="L2285" s="1781"/>
      <c r="M2285" s="1781"/>
      <c r="N2285" s="1746"/>
      <c r="O2285" s="1782"/>
      <c r="P2285" s="1720"/>
    </row>
    <row r="2286" spans="1:16" ht="13.5" hidden="1" customHeight="1" outlineLevel="3" x14ac:dyDescent="0.2">
      <c r="A2286" s="459">
        <v>0</v>
      </c>
      <c r="B2286" s="459">
        <v>16</v>
      </c>
      <c r="C2286" s="459">
        <v>12</v>
      </c>
      <c r="D2286" s="460">
        <v>5</v>
      </c>
      <c r="E2286" s="460">
        <v>1</v>
      </c>
      <c r="G2286" s="1798" t="s">
        <v>49</v>
      </c>
      <c r="H2286" s="1783" t="s">
        <v>1239</v>
      </c>
      <c r="I2286" s="1750" t="s">
        <v>8067</v>
      </c>
      <c r="J2286" s="1751" t="s">
        <v>3025</v>
      </c>
      <c r="K2286" s="1786" t="s">
        <v>642</v>
      </c>
      <c r="L2286" s="1787" t="e">
        <v>#REF!</v>
      </c>
      <c r="M2286" s="1787">
        <v>825.00000000000011</v>
      </c>
      <c r="N2286" s="1754"/>
      <c r="O2286" s="1788"/>
      <c r="P2286" s="1721" t="s">
        <v>9611</v>
      </c>
    </row>
    <row r="2287" spans="1:16" ht="13.5" hidden="1" customHeight="1" outlineLevel="2" x14ac:dyDescent="0.2">
      <c r="A2287" s="459">
        <v>0</v>
      </c>
      <c r="B2287" s="459">
        <v>16</v>
      </c>
      <c r="C2287" s="459">
        <v>12</v>
      </c>
      <c r="D2287" s="460">
        <v>6</v>
      </c>
      <c r="E2287" s="460">
        <v>0</v>
      </c>
      <c r="G2287" s="1797"/>
      <c r="H2287" s="1777" t="s">
        <v>1238</v>
      </c>
      <c r="I2287" s="1742" t="s">
        <v>8068</v>
      </c>
      <c r="J2287" s="1779" t="s">
        <v>2818</v>
      </c>
      <c r="K2287" s="1780"/>
      <c r="L2287" s="1781"/>
      <c r="M2287" s="1781"/>
      <c r="N2287" s="1746"/>
      <c r="O2287" s="1782"/>
      <c r="P2287" s="1720"/>
    </row>
    <row r="2288" spans="1:16" ht="13.5" hidden="1" customHeight="1" outlineLevel="3" x14ac:dyDescent="0.2">
      <c r="A2288" s="459">
        <v>0</v>
      </c>
      <c r="B2288" s="459">
        <v>16</v>
      </c>
      <c r="C2288" s="459">
        <v>12</v>
      </c>
      <c r="D2288" s="460">
        <v>6</v>
      </c>
      <c r="E2288" s="460">
        <v>1</v>
      </c>
      <c r="G2288" s="1798" t="s">
        <v>49</v>
      </c>
      <c r="H2288" s="1783" t="s">
        <v>1239</v>
      </c>
      <c r="I2288" s="1750" t="s">
        <v>8069</v>
      </c>
      <c r="J2288" s="1785" t="s">
        <v>1518</v>
      </c>
      <c r="K2288" s="1786" t="s">
        <v>788</v>
      </c>
      <c r="L2288" s="1787" t="e">
        <v>#REF!</v>
      </c>
      <c r="M2288" s="1787">
        <v>10.114274999999999</v>
      </c>
      <c r="N2288" s="1754"/>
      <c r="O2288" s="1788"/>
      <c r="P2288" s="1721" t="s">
        <v>9611</v>
      </c>
    </row>
    <row r="2289" spans="1:16" ht="13.5" hidden="1" customHeight="1" outlineLevel="3" x14ac:dyDescent="0.2">
      <c r="A2289" s="459">
        <v>0</v>
      </c>
      <c r="B2289" s="459">
        <v>16</v>
      </c>
      <c r="C2289" s="459">
        <v>12</v>
      </c>
      <c r="D2289" s="460">
        <v>6</v>
      </c>
      <c r="E2289" s="460">
        <v>2</v>
      </c>
      <c r="G2289" s="1798" t="s">
        <v>49</v>
      </c>
      <c r="H2289" s="1783" t="s">
        <v>1239</v>
      </c>
      <c r="I2289" s="1750" t="s">
        <v>8070</v>
      </c>
      <c r="J2289" s="1785" t="s">
        <v>714</v>
      </c>
      <c r="K2289" s="1786" t="s">
        <v>788</v>
      </c>
      <c r="L2289" s="1787" t="e">
        <v>#REF!</v>
      </c>
      <c r="M2289" s="1787">
        <v>43.820583333333332</v>
      </c>
      <c r="N2289" s="1754"/>
      <c r="O2289" s="1788"/>
      <c r="P2289" s="1721" t="s">
        <v>9611</v>
      </c>
    </row>
    <row r="2290" spans="1:16" ht="13.5" hidden="1" customHeight="1" outlineLevel="3" x14ac:dyDescent="0.2">
      <c r="A2290" s="459">
        <v>0</v>
      </c>
      <c r="B2290" s="459">
        <v>16</v>
      </c>
      <c r="C2290" s="459">
        <v>12</v>
      </c>
      <c r="D2290" s="460">
        <v>6</v>
      </c>
      <c r="E2290" s="460">
        <v>3</v>
      </c>
      <c r="G2290" s="1798" t="s">
        <v>49</v>
      </c>
      <c r="H2290" s="1783" t="s">
        <v>1239</v>
      </c>
      <c r="I2290" s="1750" t="s">
        <v>8071</v>
      </c>
      <c r="J2290" s="1785" t="s">
        <v>3051</v>
      </c>
      <c r="K2290" s="1786" t="s">
        <v>788</v>
      </c>
      <c r="L2290" s="1787" t="e">
        <v>#REF!</v>
      </c>
      <c r="M2290" s="1787">
        <v>22.121324999999999</v>
      </c>
      <c r="N2290" s="1754"/>
      <c r="O2290" s="1788"/>
      <c r="P2290" s="1721" t="s">
        <v>9611</v>
      </c>
    </row>
    <row r="2291" spans="1:16" ht="13.5" hidden="1" customHeight="1" outlineLevel="2" x14ac:dyDescent="0.2">
      <c r="A2291" s="459">
        <v>0</v>
      </c>
      <c r="B2291" s="459">
        <v>16</v>
      </c>
      <c r="C2291" s="459">
        <v>12</v>
      </c>
      <c r="D2291" s="460">
        <v>7</v>
      </c>
      <c r="E2291" s="460">
        <v>0</v>
      </c>
      <c r="G2291" s="1797"/>
      <c r="H2291" s="1777" t="s">
        <v>1238</v>
      </c>
      <c r="I2291" s="1742" t="s">
        <v>8072</v>
      </c>
      <c r="J2291" s="1779" t="s">
        <v>1264</v>
      </c>
      <c r="K2291" s="1780"/>
      <c r="L2291" s="1781"/>
      <c r="M2291" s="1781"/>
      <c r="N2291" s="1746"/>
      <c r="O2291" s="1782"/>
      <c r="P2291" s="1720"/>
    </row>
    <row r="2292" spans="1:16" ht="13.5" hidden="1" customHeight="1" outlineLevel="3" x14ac:dyDescent="0.2">
      <c r="A2292" s="459">
        <v>0</v>
      </c>
      <c r="B2292" s="459">
        <v>16</v>
      </c>
      <c r="C2292" s="459">
        <v>12</v>
      </c>
      <c r="D2292" s="460">
        <v>7</v>
      </c>
      <c r="E2292" s="460">
        <v>1</v>
      </c>
      <c r="G2292" s="1798" t="s">
        <v>45</v>
      </c>
      <c r="H2292" s="1783" t="s">
        <v>1239</v>
      </c>
      <c r="I2292" s="1750" t="s">
        <v>8073</v>
      </c>
      <c r="J2292" s="1785" t="s">
        <v>735</v>
      </c>
      <c r="K2292" s="1786" t="s">
        <v>642</v>
      </c>
      <c r="L2292" s="1787" t="e">
        <v>#REF!</v>
      </c>
      <c r="M2292" s="1787">
        <v>40</v>
      </c>
      <c r="N2292" s="1754"/>
      <c r="O2292" s="1788"/>
      <c r="P2292" s="1721" t="s">
        <v>9611</v>
      </c>
    </row>
    <row r="2293" spans="1:16" ht="13.5" hidden="1" customHeight="1" outlineLevel="3" x14ac:dyDescent="0.2">
      <c r="A2293" s="459">
        <v>0</v>
      </c>
      <c r="B2293" s="459">
        <v>16</v>
      </c>
      <c r="C2293" s="459">
        <v>12</v>
      </c>
      <c r="D2293" s="460">
        <v>7</v>
      </c>
      <c r="E2293" s="460">
        <v>2</v>
      </c>
      <c r="G2293" s="1798" t="s">
        <v>49</v>
      </c>
      <c r="H2293" s="1783" t="s">
        <v>1239</v>
      </c>
      <c r="I2293" s="1750" t="s">
        <v>8074</v>
      </c>
      <c r="J2293" s="1785" t="s">
        <v>738</v>
      </c>
      <c r="K2293" s="1786" t="s">
        <v>642</v>
      </c>
      <c r="L2293" s="1787" t="e">
        <v>#REF!</v>
      </c>
      <c r="M2293" s="1787">
        <v>75</v>
      </c>
      <c r="N2293" s="1754"/>
      <c r="O2293" s="1788"/>
      <c r="P2293" s="1721" t="s">
        <v>9611</v>
      </c>
    </row>
    <row r="2294" spans="1:16" ht="13.5" hidden="1" customHeight="1" outlineLevel="3" x14ac:dyDescent="0.2">
      <c r="A2294" s="459">
        <v>0</v>
      </c>
      <c r="B2294" s="459">
        <v>16</v>
      </c>
      <c r="C2294" s="459">
        <v>12</v>
      </c>
      <c r="D2294" s="460">
        <v>7</v>
      </c>
      <c r="E2294" s="460">
        <v>3</v>
      </c>
      <c r="G2294" s="1798" t="s">
        <v>49</v>
      </c>
      <c r="H2294" s="1783" t="s">
        <v>1239</v>
      </c>
      <c r="I2294" s="1750" t="s">
        <v>8075</v>
      </c>
      <c r="J2294" s="1785" t="s">
        <v>3060</v>
      </c>
      <c r="K2294" s="1786" t="s">
        <v>642</v>
      </c>
      <c r="L2294" s="1787" t="e">
        <v>#REF!</v>
      </c>
      <c r="M2294" s="1787">
        <v>85</v>
      </c>
      <c r="N2294" s="1754"/>
      <c r="O2294" s="1788"/>
      <c r="P2294" s="1721" t="s">
        <v>9611</v>
      </c>
    </row>
    <row r="2295" spans="1:16" ht="13.5" hidden="1" customHeight="1" outlineLevel="3" x14ac:dyDescent="0.2">
      <c r="A2295" s="459">
        <v>0</v>
      </c>
      <c r="B2295" s="459">
        <v>16</v>
      </c>
      <c r="C2295" s="459">
        <v>12</v>
      </c>
      <c r="D2295" s="460">
        <v>7</v>
      </c>
      <c r="E2295" s="460">
        <v>4</v>
      </c>
      <c r="G2295" s="1798" t="s">
        <v>49</v>
      </c>
      <c r="H2295" s="1783" t="s">
        <v>1239</v>
      </c>
      <c r="I2295" s="1750" t="s">
        <v>8076</v>
      </c>
      <c r="J2295" s="1785" t="s">
        <v>743</v>
      </c>
      <c r="K2295" s="1786" t="s">
        <v>788</v>
      </c>
      <c r="L2295" s="1787" t="e">
        <v>#REF!</v>
      </c>
      <c r="M2295" s="1787">
        <v>28</v>
      </c>
      <c r="N2295" s="1754"/>
      <c r="O2295" s="1788"/>
      <c r="P2295" s="1721" t="s">
        <v>9611</v>
      </c>
    </row>
    <row r="2296" spans="1:16" ht="13.5" hidden="1" customHeight="1" outlineLevel="3" x14ac:dyDescent="0.2">
      <c r="A2296" s="459">
        <v>0</v>
      </c>
      <c r="B2296" s="459">
        <v>16</v>
      </c>
      <c r="C2296" s="459">
        <v>12</v>
      </c>
      <c r="D2296" s="460">
        <v>7</v>
      </c>
      <c r="E2296" s="460">
        <v>5</v>
      </c>
      <c r="G2296" s="1798" t="s">
        <v>49</v>
      </c>
      <c r="H2296" s="1783" t="s">
        <v>1239</v>
      </c>
      <c r="I2296" s="1750" t="s">
        <v>8077</v>
      </c>
      <c r="J2296" s="1785" t="s">
        <v>744</v>
      </c>
      <c r="K2296" s="1786" t="s">
        <v>788</v>
      </c>
      <c r="L2296" s="1787" t="e">
        <v>#REF!</v>
      </c>
      <c r="M2296" s="1787">
        <v>24</v>
      </c>
      <c r="N2296" s="1754"/>
      <c r="O2296" s="1788"/>
      <c r="P2296" s="1721" t="s">
        <v>9611</v>
      </c>
    </row>
    <row r="2297" spans="1:16" ht="13.5" hidden="1" customHeight="1" outlineLevel="1" x14ac:dyDescent="0.2">
      <c r="A2297" s="459">
        <v>0</v>
      </c>
      <c r="B2297" s="459">
        <v>16</v>
      </c>
      <c r="C2297" s="459">
        <v>13</v>
      </c>
      <c r="D2297" s="460">
        <v>0</v>
      </c>
      <c r="E2297" s="460">
        <v>5</v>
      </c>
      <c r="G2297" s="1796"/>
      <c r="H2297" s="1771" t="s">
        <v>39</v>
      </c>
      <c r="I2297" s="1735" t="s">
        <v>8078</v>
      </c>
      <c r="J2297" s="1773" t="s">
        <v>3073</v>
      </c>
      <c r="K2297" s="1774"/>
      <c r="L2297" s="1775"/>
      <c r="M2297" s="1775"/>
      <c r="N2297" s="1739"/>
      <c r="O2297" s="1776"/>
      <c r="P2297" s="1719"/>
    </row>
    <row r="2298" spans="1:16" ht="13.5" hidden="1" customHeight="1" outlineLevel="2" x14ac:dyDescent="0.2">
      <c r="A2298" s="459">
        <v>0</v>
      </c>
      <c r="B2298" s="459">
        <v>16</v>
      </c>
      <c r="C2298" s="459">
        <v>13</v>
      </c>
      <c r="D2298" s="460">
        <v>1</v>
      </c>
      <c r="E2298" s="460">
        <v>0</v>
      </c>
      <c r="G2298" s="1797"/>
      <c r="H2298" s="1777" t="s">
        <v>1238</v>
      </c>
      <c r="I2298" s="1742" t="s">
        <v>8079</v>
      </c>
      <c r="J2298" s="1779" t="s">
        <v>23</v>
      </c>
      <c r="K2298" s="1780"/>
      <c r="L2298" s="1781"/>
      <c r="M2298" s="1781"/>
      <c r="N2298" s="1746"/>
      <c r="O2298" s="1782"/>
      <c r="P2298" s="1720"/>
    </row>
    <row r="2299" spans="1:16" ht="13.5" hidden="1" customHeight="1" outlineLevel="3" x14ac:dyDescent="0.2">
      <c r="A2299" s="459">
        <v>0</v>
      </c>
      <c r="B2299" s="459">
        <v>16</v>
      </c>
      <c r="C2299" s="459">
        <v>13</v>
      </c>
      <c r="D2299" s="460">
        <v>1</v>
      </c>
      <c r="E2299" s="460">
        <v>1</v>
      </c>
      <c r="G2299" s="1798" t="s">
        <v>45</v>
      </c>
      <c r="H2299" s="1783" t="s">
        <v>1239</v>
      </c>
      <c r="I2299" s="1750" t="s">
        <v>8080</v>
      </c>
      <c r="J2299" s="1785" t="s">
        <v>2973</v>
      </c>
      <c r="K2299" s="1786" t="s">
        <v>642</v>
      </c>
      <c r="L2299" s="1787" t="e">
        <v>#REF!</v>
      </c>
      <c r="M2299" s="1787">
        <v>44.585233333333335</v>
      </c>
      <c r="N2299" s="1754"/>
      <c r="O2299" s="1788"/>
      <c r="P2299" s="1721" t="s">
        <v>9611</v>
      </c>
    </row>
    <row r="2300" spans="1:16" ht="13.5" hidden="1" customHeight="1" outlineLevel="3" x14ac:dyDescent="0.2">
      <c r="A2300" s="459">
        <v>0</v>
      </c>
      <c r="B2300" s="459">
        <v>16</v>
      </c>
      <c r="C2300" s="459">
        <v>13</v>
      </c>
      <c r="D2300" s="460">
        <v>1</v>
      </c>
      <c r="E2300" s="460">
        <v>2</v>
      </c>
      <c r="G2300" s="1798" t="s">
        <v>45</v>
      </c>
      <c r="H2300" s="1783" t="s">
        <v>1239</v>
      </c>
      <c r="I2300" s="1750" t="s">
        <v>8081</v>
      </c>
      <c r="J2300" s="1785" t="s">
        <v>614</v>
      </c>
      <c r="K2300" s="1786" t="s">
        <v>642</v>
      </c>
      <c r="L2300" s="1787" t="e">
        <v>#REF!</v>
      </c>
      <c r="M2300" s="1787">
        <v>30.185233333333336</v>
      </c>
      <c r="N2300" s="1754"/>
      <c r="O2300" s="1788" t="s">
        <v>3057</v>
      </c>
      <c r="P2300" s="1721" t="s">
        <v>9611</v>
      </c>
    </row>
    <row r="2301" spans="1:16" ht="13.5" hidden="1" customHeight="1" outlineLevel="2" x14ac:dyDescent="0.2">
      <c r="A2301" s="459">
        <v>0</v>
      </c>
      <c r="B2301" s="459">
        <v>16</v>
      </c>
      <c r="C2301" s="459">
        <v>13</v>
      </c>
      <c r="D2301" s="460">
        <v>2</v>
      </c>
      <c r="E2301" s="460">
        <v>0</v>
      </c>
      <c r="G2301" s="1797"/>
      <c r="H2301" s="1777" t="s">
        <v>1238</v>
      </c>
      <c r="I2301" s="1742" t="s">
        <v>8082</v>
      </c>
      <c r="J2301" s="1743" t="s">
        <v>2815</v>
      </c>
      <c r="K2301" s="1780"/>
      <c r="L2301" s="1781"/>
      <c r="M2301" s="1781"/>
      <c r="N2301" s="1746">
        <v>6689.5106288888901</v>
      </c>
      <c r="O2301" s="1782"/>
      <c r="P2301" s="1720"/>
    </row>
    <row r="2302" spans="1:16" ht="13.5" hidden="1" customHeight="1" outlineLevel="3" x14ac:dyDescent="0.2">
      <c r="A2302" s="459">
        <v>0</v>
      </c>
      <c r="B2302" s="459">
        <v>16</v>
      </c>
      <c r="C2302" s="459">
        <v>13</v>
      </c>
      <c r="D2302" s="460">
        <v>2</v>
      </c>
      <c r="E2302" s="460">
        <v>1</v>
      </c>
      <c r="G2302" s="1798" t="s">
        <v>45</v>
      </c>
      <c r="H2302" s="1783" t="s">
        <v>1239</v>
      </c>
      <c r="I2302" s="1750" t="s">
        <v>8083</v>
      </c>
      <c r="J2302" s="1785" t="s">
        <v>603</v>
      </c>
      <c r="K2302" s="1786" t="s">
        <v>642</v>
      </c>
      <c r="L2302" s="1787">
        <v>134</v>
      </c>
      <c r="M2302" s="1787">
        <v>49.921721111111111</v>
      </c>
      <c r="N2302" s="1754">
        <v>6689.5106288888901</v>
      </c>
      <c r="O2302" s="1788" t="s">
        <v>2974</v>
      </c>
      <c r="P2302" s="1721" t="s">
        <v>9611</v>
      </c>
    </row>
    <row r="2303" spans="1:16" ht="13.5" hidden="1" customHeight="1" outlineLevel="2" x14ac:dyDescent="0.2">
      <c r="A2303" s="459">
        <v>0</v>
      </c>
      <c r="B2303" s="459">
        <v>16</v>
      </c>
      <c r="C2303" s="459">
        <v>13</v>
      </c>
      <c r="D2303" s="460">
        <v>3</v>
      </c>
      <c r="E2303" s="460">
        <v>0</v>
      </c>
      <c r="G2303" s="1797"/>
      <c r="H2303" s="1777" t="s">
        <v>1238</v>
      </c>
      <c r="I2303" s="1742" t="s">
        <v>8084</v>
      </c>
      <c r="J2303" s="1779" t="s">
        <v>2745</v>
      </c>
      <c r="K2303" s="1780"/>
      <c r="L2303" s="1781"/>
      <c r="M2303" s="1781"/>
      <c r="N2303" s="1746"/>
      <c r="O2303" s="1782"/>
      <c r="P2303" s="1720"/>
    </row>
    <row r="2304" spans="1:16" ht="13.5" hidden="1" customHeight="1" outlineLevel="3" x14ac:dyDescent="0.2">
      <c r="A2304" s="459">
        <v>0</v>
      </c>
      <c r="B2304" s="459">
        <v>16</v>
      </c>
      <c r="C2304" s="459">
        <v>13</v>
      </c>
      <c r="D2304" s="460">
        <v>3</v>
      </c>
      <c r="E2304" s="460">
        <v>1</v>
      </c>
      <c r="G2304" s="1798" t="s">
        <v>49</v>
      </c>
      <c r="H2304" s="1783" t="s">
        <v>1239</v>
      </c>
      <c r="I2304" s="1750" t="s">
        <v>8085</v>
      </c>
      <c r="J2304" s="1785" t="s">
        <v>1884</v>
      </c>
      <c r="K2304" s="1786" t="s">
        <v>642</v>
      </c>
      <c r="L2304" s="1787" t="e">
        <v>#REF!</v>
      </c>
      <c r="M2304" s="1787">
        <v>58.073</v>
      </c>
      <c r="N2304" s="1754"/>
      <c r="O2304" s="1788"/>
      <c r="P2304" s="1721" t="s">
        <v>9611</v>
      </c>
    </row>
    <row r="2305" spans="1:16" ht="13.5" hidden="1" customHeight="1" outlineLevel="3" x14ac:dyDescent="0.2">
      <c r="A2305" s="459">
        <v>0</v>
      </c>
      <c r="B2305" s="459">
        <v>16</v>
      </c>
      <c r="C2305" s="459">
        <v>13</v>
      </c>
      <c r="D2305" s="460">
        <v>3</v>
      </c>
      <c r="E2305" s="460">
        <v>2</v>
      </c>
      <c r="G2305" s="1798" t="s">
        <v>49</v>
      </c>
      <c r="H2305" s="1783" t="s">
        <v>1239</v>
      </c>
      <c r="I2305" s="1750" t="s">
        <v>8086</v>
      </c>
      <c r="J2305" s="1785" t="s">
        <v>2979</v>
      </c>
      <c r="K2305" s="1786" t="s">
        <v>642</v>
      </c>
      <c r="L2305" s="1787" t="e">
        <v>#REF!</v>
      </c>
      <c r="M2305" s="1787">
        <v>229.82760000000005</v>
      </c>
      <c r="N2305" s="1754"/>
      <c r="O2305" s="1788"/>
      <c r="P2305" s="1721" t="s">
        <v>9611</v>
      </c>
    </row>
    <row r="2306" spans="1:16" ht="13.5" hidden="1" customHeight="1" outlineLevel="3" x14ac:dyDescent="0.2">
      <c r="A2306" s="459">
        <v>0</v>
      </c>
      <c r="B2306" s="459">
        <v>16</v>
      </c>
      <c r="C2306" s="459">
        <v>13</v>
      </c>
      <c r="D2306" s="460">
        <v>3</v>
      </c>
      <c r="E2306" s="460">
        <v>3</v>
      </c>
      <c r="G2306" s="1798" t="s">
        <v>49</v>
      </c>
      <c r="H2306" s="1783" t="s">
        <v>1239</v>
      </c>
      <c r="I2306" s="1750" t="s">
        <v>8087</v>
      </c>
      <c r="J2306" s="1785" t="s">
        <v>2980</v>
      </c>
      <c r="K2306" s="1786" t="s">
        <v>642</v>
      </c>
      <c r="L2306" s="1787" t="e">
        <v>#REF!</v>
      </c>
      <c r="M2306" s="1787">
        <v>141.82760000000002</v>
      </c>
      <c r="N2306" s="1754"/>
      <c r="O2306" s="1788"/>
      <c r="P2306" s="1721" t="s">
        <v>9611</v>
      </c>
    </row>
    <row r="2307" spans="1:16" ht="13.5" hidden="1" customHeight="1" outlineLevel="2" x14ac:dyDescent="0.2">
      <c r="A2307" s="459">
        <v>0</v>
      </c>
      <c r="B2307" s="459">
        <v>16</v>
      </c>
      <c r="C2307" s="459">
        <v>13</v>
      </c>
      <c r="D2307" s="460">
        <v>4</v>
      </c>
      <c r="E2307" s="460">
        <v>0</v>
      </c>
      <c r="G2307" s="1797"/>
      <c r="H2307" s="1777" t="s">
        <v>1238</v>
      </c>
      <c r="I2307" s="1742" t="s">
        <v>8088</v>
      </c>
      <c r="J2307" s="1779" t="s">
        <v>2817</v>
      </c>
      <c r="K2307" s="1780"/>
      <c r="L2307" s="1781"/>
      <c r="M2307" s="1781"/>
      <c r="N2307" s="1746"/>
      <c r="O2307" s="1782"/>
      <c r="P2307" s="1720"/>
    </row>
    <row r="2308" spans="1:16" ht="13.5" hidden="1" customHeight="1" outlineLevel="3" x14ac:dyDescent="0.2">
      <c r="A2308" s="459">
        <v>0</v>
      </c>
      <c r="B2308" s="459">
        <v>16</v>
      </c>
      <c r="C2308" s="459">
        <v>13</v>
      </c>
      <c r="D2308" s="460">
        <v>4</v>
      </c>
      <c r="E2308" s="460">
        <v>1</v>
      </c>
      <c r="G2308" s="1798" t="s">
        <v>49</v>
      </c>
      <c r="H2308" s="1783" t="s">
        <v>1239</v>
      </c>
      <c r="I2308" s="1750" t="s">
        <v>8089</v>
      </c>
      <c r="J2308" s="1785" t="s">
        <v>3026</v>
      </c>
      <c r="K2308" s="1786" t="s">
        <v>642</v>
      </c>
      <c r="L2308" s="1787" t="e">
        <v>#REF!</v>
      </c>
      <c r="M2308" s="1787">
        <v>898.24550000000011</v>
      </c>
      <c r="N2308" s="1754"/>
      <c r="O2308" s="1788"/>
      <c r="P2308" s="1721" t="s">
        <v>9611</v>
      </c>
    </row>
    <row r="2309" spans="1:16" ht="13.5" hidden="1" customHeight="1" outlineLevel="3" x14ac:dyDescent="0.2">
      <c r="A2309" s="459">
        <v>0</v>
      </c>
      <c r="B2309" s="459">
        <v>16</v>
      </c>
      <c r="C2309" s="459">
        <v>13</v>
      </c>
      <c r="D2309" s="460">
        <v>4</v>
      </c>
      <c r="E2309" s="460">
        <v>2</v>
      </c>
      <c r="G2309" s="1798" t="s">
        <v>49</v>
      </c>
      <c r="H2309" s="1783" t="s">
        <v>1239</v>
      </c>
      <c r="I2309" s="1750" t="s">
        <v>8090</v>
      </c>
      <c r="J2309" s="1785" t="s">
        <v>3030</v>
      </c>
      <c r="K2309" s="1786" t="s">
        <v>642</v>
      </c>
      <c r="L2309" s="1787" t="e">
        <v>#REF!</v>
      </c>
      <c r="M2309" s="1787">
        <v>1448.2455000000002</v>
      </c>
      <c r="N2309" s="1754"/>
      <c r="O2309" s="1788"/>
      <c r="P2309" s="1721" t="s">
        <v>9611</v>
      </c>
    </row>
    <row r="2310" spans="1:16" ht="13.5" hidden="1" customHeight="1" outlineLevel="2" x14ac:dyDescent="0.2">
      <c r="A2310" s="459">
        <v>0</v>
      </c>
      <c r="B2310" s="459">
        <v>16</v>
      </c>
      <c r="C2310" s="459">
        <v>13</v>
      </c>
      <c r="D2310" s="460">
        <v>5</v>
      </c>
      <c r="E2310" s="460">
        <v>0</v>
      </c>
      <c r="G2310" s="1797"/>
      <c r="H2310" s="1777" t="s">
        <v>1238</v>
      </c>
      <c r="I2310" s="1742" t="s">
        <v>8091</v>
      </c>
      <c r="J2310" s="1779" t="s">
        <v>2818</v>
      </c>
      <c r="K2310" s="1780"/>
      <c r="L2310" s="1781"/>
      <c r="M2310" s="1781"/>
      <c r="N2310" s="1746"/>
      <c r="O2310" s="1782"/>
      <c r="P2310" s="1720"/>
    </row>
    <row r="2311" spans="1:16" ht="13.5" hidden="1" customHeight="1" outlineLevel="3" x14ac:dyDescent="0.2">
      <c r="A2311" s="459">
        <v>0</v>
      </c>
      <c r="B2311" s="459">
        <v>16</v>
      </c>
      <c r="C2311" s="459">
        <v>13</v>
      </c>
      <c r="D2311" s="460">
        <v>5</v>
      </c>
      <c r="E2311" s="460">
        <v>1</v>
      </c>
      <c r="G2311" s="1798" t="s">
        <v>49</v>
      </c>
      <c r="H2311" s="1783" t="s">
        <v>1239</v>
      </c>
      <c r="I2311" s="1750" t="s">
        <v>8092</v>
      </c>
      <c r="J2311" s="1785" t="s">
        <v>1518</v>
      </c>
      <c r="K2311" s="1786" t="s">
        <v>788</v>
      </c>
      <c r="L2311" s="1787" t="e">
        <v>#REF!</v>
      </c>
      <c r="M2311" s="1787">
        <v>10.114274999999999</v>
      </c>
      <c r="N2311" s="1754"/>
      <c r="O2311" s="1788"/>
      <c r="P2311" s="1721" t="s">
        <v>9611</v>
      </c>
    </row>
    <row r="2312" spans="1:16" ht="13.5" hidden="1" customHeight="1" outlineLevel="3" x14ac:dyDescent="0.2">
      <c r="A2312" s="459">
        <v>0</v>
      </c>
      <c r="B2312" s="459">
        <v>16</v>
      </c>
      <c r="C2312" s="459">
        <v>13</v>
      </c>
      <c r="D2312" s="460">
        <v>5</v>
      </c>
      <c r="E2312" s="460">
        <v>2</v>
      </c>
      <c r="G2312" s="1798" t="s">
        <v>49</v>
      </c>
      <c r="H2312" s="1783" t="s">
        <v>1239</v>
      </c>
      <c r="I2312" s="1750" t="s">
        <v>8093</v>
      </c>
      <c r="J2312" s="1785" t="s">
        <v>714</v>
      </c>
      <c r="K2312" s="1786" t="s">
        <v>788</v>
      </c>
      <c r="L2312" s="1787" t="e">
        <v>#REF!</v>
      </c>
      <c r="M2312" s="1787">
        <v>43.820583333333332</v>
      </c>
      <c r="N2312" s="1754"/>
      <c r="O2312" s="1788"/>
      <c r="P2312" s="1721" t="s">
        <v>9611</v>
      </c>
    </row>
    <row r="2313" spans="1:16" ht="13.5" hidden="1" customHeight="1" outlineLevel="2" x14ac:dyDescent="0.2">
      <c r="A2313" s="459">
        <v>0</v>
      </c>
      <c r="B2313" s="459">
        <v>16</v>
      </c>
      <c r="C2313" s="459">
        <v>13</v>
      </c>
      <c r="D2313" s="460">
        <v>6</v>
      </c>
      <c r="E2313" s="460">
        <v>0</v>
      </c>
      <c r="G2313" s="1797"/>
      <c r="H2313" s="1777" t="s">
        <v>1238</v>
      </c>
      <c r="I2313" s="1742" t="s">
        <v>8094</v>
      </c>
      <c r="J2313" s="1779" t="s">
        <v>1264</v>
      </c>
      <c r="K2313" s="1780"/>
      <c r="L2313" s="1781"/>
      <c r="M2313" s="1781"/>
      <c r="N2313" s="1746"/>
      <c r="O2313" s="1782"/>
      <c r="P2313" s="1720"/>
    </row>
    <row r="2314" spans="1:16" ht="13.5" hidden="1" customHeight="1" outlineLevel="3" x14ac:dyDescent="0.2">
      <c r="A2314" s="459">
        <v>0</v>
      </c>
      <c r="B2314" s="459">
        <v>16</v>
      </c>
      <c r="C2314" s="459">
        <v>13</v>
      </c>
      <c r="D2314" s="460">
        <v>6</v>
      </c>
      <c r="E2314" s="460">
        <v>1</v>
      </c>
      <c r="G2314" s="1798" t="s">
        <v>45</v>
      </c>
      <c r="H2314" s="1783" t="s">
        <v>1239</v>
      </c>
      <c r="I2314" s="1750" t="s">
        <v>8095</v>
      </c>
      <c r="J2314" s="1785" t="s">
        <v>735</v>
      </c>
      <c r="K2314" s="1786" t="s">
        <v>642</v>
      </c>
      <c r="L2314" s="1787" t="e">
        <v>#REF!</v>
      </c>
      <c r="M2314" s="1787">
        <v>40</v>
      </c>
      <c r="N2314" s="1754"/>
      <c r="O2314" s="1788"/>
      <c r="P2314" s="1721" t="s">
        <v>9611</v>
      </c>
    </row>
    <row r="2315" spans="1:16" ht="13.5" hidden="1" customHeight="1" outlineLevel="3" x14ac:dyDescent="0.2">
      <c r="A2315" s="459">
        <v>0</v>
      </c>
      <c r="B2315" s="459">
        <v>16</v>
      </c>
      <c r="C2315" s="459">
        <v>13</v>
      </c>
      <c r="D2315" s="460">
        <v>6</v>
      </c>
      <c r="E2315" s="460">
        <v>2</v>
      </c>
      <c r="G2315" s="1798" t="s">
        <v>45</v>
      </c>
      <c r="H2315" s="1783" t="s">
        <v>1239</v>
      </c>
      <c r="I2315" s="1750" t="s">
        <v>8096</v>
      </c>
      <c r="J2315" s="1785" t="s">
        <v>734</v>
      </c>
      <c r="K2315" s="1786" t="s">
        <v>642</v>
      </c>
      <c r="L2315" s="1787" t="e">
        <v>#REF!</v>
      </c>
      <c r="M2315" s="1787">
        <v>40</v>
      </c>
      <c r="N2315" s="1754"/>
      <c r="O2315" s="1788"/>
      <c r="P2315" s="1721" t="s">
        <v>9611</v>
      </c>
    </row>
    <row r="2316" spans="1:16" ht="13.5" hidden="1" customHeight="1" outlineLevel="3" x14ac:dyDescent="0.2">
      <c r="A2316" s="459">
        <v>0</v>
      </c>
      <c r="B2316" s="459">
        <v>16</v>
      </c>
      <c r="C2316" s="459">
        <v>13</v>
      </c>
      <c r="D2316" s="460">
        <v>6</v>
      </c>
      <c r="E2316" s="460">
        <v>3</v>
      </c>
      <c r="G2316" s="1798" t="s">
        <v>49</v>
      </c>
      <c r="H2316" s="1783" t="s">
        <v>1239</v>
      </c>
      <c r="I2316" s="1750" t="s">
        <v>8097</v>
      </c>
      <c r="J2316" s="1785" t="s">
        <v>738</v>
      </c>
      <c r="K2316" s="1786" t="s">
        <v>642</v>
      </c>
      <c r="L2316" s="1787" t="e">
        <v>#REF!</v>
      </c>
      <c r="M2316" s="1787">
        <v>75</v>
      </c>
      <c r="N2316" s="1754"/>
      <c r="O2316" s="1788"/>
      <c r="P2316" s="1721" t="s">
        <v>9611</v>
      </c>
    </row>
    <row r="2317" spans="1:16" ht="13.5" hidden="1" customHeight="1" outlineLevel="3" x14ac:dyDescent="0.2">
      <c r="A2317" s="459">
        <v>0</v>
      </c>
      <c r="B2317" s="459">
        <v>16</v>
      </c>
      <c r="C2317" s="459">
        <v>13</v>
      </c>
      <c r="D2317" s="460">
        <v>6</v>
      </c>
      <c r="E2317" s="460">
        <v>4</v>
      </c>
      <c r="G2317" s="1798" t="s">
        <v>49</v>
      </c>
      <c r="H2317" s="1783" t="s">
        <v>1239</v>
      </c>
      <c r="I2317" s="1750" t="s">
        <v>8098</v>
      </c>
      <c r="J2317" s="1785" t="s">
        <v>3060</v>
      </c>
      <c r="K2317" s="1786" t="s">
        <v>642</v>
      </c>
      <c r="L2317" s="1787" t="e">
        <v>#REF!</v>
      </c>
      <c r="M2317" s="1787">
        <v>85</v>
      </c>
      <c r="N2317" s="1754"/>
      <c r="O2317" s="1788"/>
      <c r="P2317" s="1721" t="s">
        <v>9611</v>
      </c>
    </row>
    <row r="2318" spans="1:16" ht="13.5" hidden="1" customHeight="1" outlineLevel="3" x14ac:dyDescent="0.2">
      <c r="A2318" s="459">
        <v>0</v>
      </c>
      <c r="B2318" s="459">
        <v>16</v>
      </c>
      <c r="C2318" s="459">
        <v>13</v>
      </c>
      <c r="D2318" s="460">
        <v>6</v>
      </c>
      <c r="E2318" s="460">
        <v>5</v>
      </c>
      <c r="G2318" s="1798" t="s">
        <v>49</v>
      </c>
      <c r="H2318" s="1783" t="s">
        <v>1239</v>
      </c>
      <c r="I2318" s="1750" t="s">
        <v>8099</v>
      </c>
      <c r="J2318" s="1785" t="s">
        <v>3059</v>
      </c>
      <c r="K2318" s="1786" t="s">
        <v>642</v>
      </c>
      <c r="L2318" s="1787" t="e">
        <v>#REF!</v>
      </c>
      <c r="M2318" s="1787">
        <v>85</v>
      </c>
      <c r="N2318" s="1754"/>
      <c r="O2318" s="1788"/>
      <c r="P2318" s="1721" t="s">
        <v>9611</v>
      </c>
    </row>
    <row r="2319" spans="1:16" ht="13.5" hidden="1" customHeight="1" outlineLevel="3" x14ac:dyDescent="0.2">
      <c r="A2319" s="459">
        <v>0</v>
      </c>
      <c r="B2319" s="459">
        <v>16</v>
      </c>
      <c r="C2319" s="459">
        <v>13</v>
      </c>
      <c r="D2319" s="460">
        <v>6</v>
      </c>
      <c r="E2319" s="460">
        <v>6</v>
      </c>
      <c r="G2319" s="1798" t="s">
        <v>49</v>
      </c>
      <c r="H2319" s="1783" t="s">
        <v>1239</v>
      </c>
      <c r="I2319" s="1750" t="s">
        <v>8100</v>
      </c>
      <c r="J2319" s="1785" t="s">
        <v>743</v>
      </c>
      <c r="K2319" s="1786" t="s">
        <v>788</v>
      </c>
      <c r="L2319" s="1787" t="e">
        <v>#REF!</v>
      </c>
      <c r="M2319" s="1787">
        <v>28</v>
      </c>
      <c r="N2319" s="1754"/>
      <c r="O2319" s="1788"/>
      <c r="P2319" s="1721" t="s">
        <v>9611</v>
      </c>
    </row>
    <row r="2320" spans="1:16" ht="13.5" hidden="1" customHeight="1" outlineLevel="3" x14ac:dyDescent="0.2">
      <c r="A2320" s="459">
        <v>0</v>
      </c>
      <c r="B2320" s="459">
        <v>16</v>
      </c>
      <c r="C2320" s="459">
        <v>13</v>
      </c>
      <c r="D2320" s="460">
        <v>6</v>
      </c>
      <c r="E2320" s="460">
        <v>7</v>
      </c>
      <c r="G2320" s="1798" t="s">
        <v>49</v>
      </c>
      <c r="H2320" s="1783" t="s">
        <v>1239</v>
      </c>
      <c r="I2320" s="1750" t="s">
        <v>8101</v>
      </c>
      <c r="J2320" s="1785" t="s">
        <v>744</v>
      </c>
      <c r="K2320" s="1786" t="s">
        <v>788</v>
      </c>
      <c r="L2320" s="1787" t="e">
        <v>#REF!</v>
      </c>
      <c r="M2320" s="1787">
        <v>24</v>
      </c>
      <c r="N2320" s="1754"/>
      <c r="O2320" s="1788"/>
      <c r="P2320" s="1721" t="s">
        <v>9611</v>
      </c>
    </row>
    <row r="2321" spans="1:16" ht="13.5" hidden="1" customHeight="1" outlineLevel="1" x14ac:dyDescent="0.2">
      <c r="A2321" s="459">
        <v>0</v>
      </c>
      <c r="B2321" s="459">
        <v>16</v>
      </c>
      <c r="C2321" s="459">
        <v>14</v>
      </c>
      <c r="D2321" s="460">
        <v>0</v>
      </c>
      <c r="E2321" s="460">
        <v>7</v>
      </c>
      <c r="G2321" s="1796"/>
      <c r="H2321" s="1771" t="s">
        <v>39</v>
      </c>
      <c r="I2321" s="1735" t="s">
        <v>8102</v>
      </c>
      <c r="J2321" s="1773" t="s">
        <v>3074</v>
      </c>
      <c r="K2321" s="1774"/>
      <c r="L2321" s="1775"/>
      <c r="M2321" s="1775"/>
      <c r="N2321" s="1739"/>
      <c r="O2321" s="1776"/>
      <c r="P2321" s="1719"/>
    </row>
    <row r="2322" spans="1:16" ht="13.5" hidden="1" customHeight="1" outlineLevel="2" x14ac:dyDescent="0.2">
      <c r="A2322" s="459">
        <v>0</v>
      </c>
      <c r="B2322" s="459">
        <v>16</v>
      </c>
      <c r="C2322" s="459">
        <v>14</v>
      </c>
      <c r="D2322" s="460">
        <v>1</v>
      </c>
      <c r="E2322" s="460">
        <v>0</v>
      </c>
      <c r="G2322" s="1797"/>
      <c r="H2322" s="1777" t="s">
        <v>1238</v>
      </c>
      <c r="I2322" s="1742" t="s">
        <v>8103</v>
      </c>
      <c r="J2322" s="1779" t="s">
        <v>23</v>
      </c>
      <c r="K2322" s="1780"/>
      <c r="L2322" s="1781"/>
      <c r="M2322" s="1781"/>
      <c r="N2322" s="1746"/>
      <c r="O2322" s="1782"/>
      <c r="P2322" s="1720"/>
    </row>
    <row r="2323" spans="1:16" ht="13.5" hidden="1" customHeight="1" outlineLevel="3" x14ac:dyDescent="0.2">
      <c r="A2323" s="459">
        <v>0</v>
      </c>
      <c r="B2323" s="459">
        <v>16</v>
      </c>
      <c r="C2323" s="459">
        <v>14</v>
      </c>
      <c r="D2323" s="460">
        <v>1</v>
      </c>
      <c r="E2323" s="460">
        <v>1</v>
      </c>
      <c r="G2323" s="1798" t="s">
        <v>45</v>
      </c>
      <c r="H2323" s="1783" t="s">
        <v>1239</v>
      </c>
      <c r="I2323" s="1750" t="s">
        <v>8104</v>
      </c>
      <c r="J2323" s="1785" t="s">
        <v>2973</v>
      </c>
      <c r="K2323" s="1786" t="s">
        <v>642</v>
      </c>
      <c r="L2323" s="1787" t="e">
        <v>#REF!</v>
      </c>
      <c r="M2323" s="1787">
        <v>44.585233333333335</v>
      </c>
      <c r="N2323" s="1754"/>
      <c r="O2323" s="1788"/>
      <c r="P2323" s="1721" t="s">
        <v>9611</v>
      </c>
    </row>
    <row r="2324" spans="1:16" ht="13.5" hidden="1" customHeight="1" outlineLevel="2" x14ac:dyDescent="0.2">
      <c r="A2324" s="459">
        <v>0</v>
      </c>
      <c r="B2324" s="459">
        <v>16</v>
      </c>
      <c r="C2324" s="459">
        <v>14</v>
      </c>
      <c r="D2324" s="460">
        <v>2</v>
      </c>
      <c r="E2324" s="460">
        <v>0</v>
      </c>
      <c r="G2324" s="1797"/>
      <c r="H2324" s="1777" t="s">
        <v>1238</v>
      </c>
      <c r="I2324" s="1742" t="s">
        <v>8105</v>
      </c>
      <c r="J2324" s="1779" t="s">
        <v>2745</v>
      </c>
      <c r="K2324" s="1780"/>
      <c r="L2324" s="1781"/>
      <c r="M2324" s="1781"/>
      <c r="N2324" s="1746"/>
      <c r="O2324" s="1782"/>
      <c r="P2324" s="1720"/>
    </row>
    <row r="2325" spans="1:16" ht="13.5" hidden="1" customHeight="1" outlineLevel="3" x14ac:dyDescent="0.2">
      <c r="A2325" s="459">
        <v>0</v>
      </c>
      <c r="B2325" s="459">
        <v>16</v>
      </c>
      <c r="C2325" s="459">
        <v>14</v>
      </c>
      <c r="D2325" s="460">
        <v>2</v>
      </c>
      <c r="E2325" s="460">
        <v>1</v>
      </c>
      <c r="G2325" s="1798" t="s">
        <v>49</v>
      </c>
      <c r="H2325" s="1783" t="s">
        <v>1239</v>
      </c>
      <c r="I2325" s="1750" t="s">
        <v>8106</v>
      </c>
      <c r="J2325" s="1785" t="s">
        <v>1884</v>
      </c>
      <c r="K2325" s="1786" t="s">
        <v>642</v>
      </c>
      <c r="L2325" s="1787" t="e">
        <v>#REF!</v>
      </c>
      <c r="M2325" s="1787">
        <v>58.073</v>
      </c>
      <c r="N2325" s="1754"/>
      <c r="O2325" s="1788"/>
      <c r="P2325" s="1721" t="s">
        <v>9611</v>
      </c>
    </row>
    <row r="2326" spans="1:16" ht="13.5" hidden="1" customHeight="1" outlineLevel="3" x14ac:dyDescent="0.2">
      <c r="A2326" s="459">
        <v>0</v>
      </c>
      <c r="B2326" s="459">
        <v>16</v>
      </c>
      <c r="C2326" s="459">
        <v>14</v>
      </c>
      <c r="D2326" s="460">
        <v>2</v>
      </c>
      <c r="E2326" s="460">
        <v>2</v>
      </c>
      <c r="G2326" s="1798" t="s">
        <v>49</v>
      </c>
      <c r="H2326" s="1783" t="s">
        <v>1239</v>
      </c>
      <c r="I2326" s="1750" t="s">
        <v>8107</v>
      </c>
      <c r="J2326" s="1785" t="s">
        <v>3058</v>
      </c>
      <c r="K2326" s="1786" t="s">
        <v>642</v>
      </c>
      <c r="L2326" s="1787" t="e">
        <v>#REF!</v>
      </c>
      <c r="M2326" s="1787">
        <v>117.6276</v>
      </c>
      <c r="N2326" s="1754"/>
      <c r="O2326" s="1788"/>
      <c r="P2326" s="1721" t="s">
        <v>9611</v>
      </c>
    </row>
    <row r="2327" spans="1:16" ht="13.5" hidden="1" customHeight="1" outlineLevel="2" x14ac:dyDescent="0.2">
      <c r="A2327" s="459">
        <v>0</v>
      </c>
      <c r="B2327" s="459">
        <v>16</v>
      </c>
      <c r="C2327" s="459">
        <v>14</v>
      </c>
      <c r="D2327" s="460">
        <v>3</v>
      </c>
      <c r="E2327" s="460">
        <v>0</v>
      </c>
      <c r="G2327" s="1797"/>
      <c r="H2327" s="1777" t="s">
        <v>1238</v>
      </c>
      <c r="I2327" s="1742" t="s">
        <v>8108</v>
      </c>
      <c r="J2327" s="1779" t="s">
        <v>2818</v>
      </c>
      <c r="K2327" s="1780"/>
      <c r="L2327" s="1781"/>
      <c r="M2327" s="1781"/>
      <c r="N2327" s="1746"/>
      <c r="O2327" s="1782"/>
      <c r="P2327" s="1720"/>
    </row>
    <row r="2328" spans="1:16" ht="13.5" hidden="1" customHeight="1" outlineLevel="3" x14ac:dyDescent="0.2">
      <c r="A2328" s="459">
        <v>0</v>
      </c>
      <c r="B2328" s="459">
        <v>16</v>
      </c>
      <c r="C2328" s="459">
        <v>14</v>
      </c>
      <c r="D2328" s="460">
        <v>3</v>
      </c>
      <c r="E2328" s="460">
        <v>1</v>
      </c>
      <c r="G2328" s="1798" t="s">
        <v>49</v>
      </c>
      <c r="H2328" s="1783" t="s">
        <v>1239</v>
      </c>
      <c r="I2328" s="1750" t="s">
        <v>8109</v>
      </c>
      <c r="J2328" s="1785" t="s">
        <v>1518</v>
      </c>
      <c r="K2328" s="1786" t="s">
        <v>788</v>
      </c>
      <c r="L2328" s="1787" t="e">
        <v>#REF!</v>
      </c>
      <c r="M2328" s="1787">
        <v>10.114274999999999</v>
      </c>
      <c r="N2328" s="1754"/>
      <c r="O2328" s="1788"/>
      <c r="P2328" s="1721" t="s">
        <v>9611</v>
      </c>
    </row>
    <row r="2329" spans="1:16" ht="13.5" hidden="1" customHeight="1" outlineLevel="3" x14ac:dyDescent="0.2">
      <c r="A2329" s="459">
        <v>0</v>
      </c>
      <c r="B2329" s="459">
        <v>16</v>
      </c>
      <c r="C2329" s="459">
        <v>14</v>
      </c>
      <c r="D2329" s="460">
        <v>3</v>
      </c>
      <c r="E2329" s="460">
        <v>2</v>
      </c>
      <c r="G2329" s="1798" t="s">
        <v>49</v>
      </c>
      <c r="H2329" s="1783" t="s">
        <v>1239</v>
      </c>
      <c r="I2329" s="1750" t="s">
        <v>8110</v>
      </c>
      <c r="J2329" s="1785" t="s">
        <v>714</v>
      </c>
      <c r="K2329" s="1786" t="s">
        <v>788</v>
      </c>
      <c r="L2329" s="1787" t="e">
        <v>#REF!</v>
      </c>
      <c r="M2329" s="1787">
        <v>43.820583333333332</v>
      </c>
      <c r="N2329" s="1754"/>
      <c r="O2329" s="1788"/>
      <c r="P2329" s="1721" t="s">
        <v>9611</v>
      </c>
    </row>
    <row r="2330" spans="1:16" ht="13.5" hidden="1" customHeight="1" outlineLevel="2" x14ac:dyDescent="0.2">
      <c r="A2330" s="459">
        <v>0</v>
      </c>
      <c r="B2330" s="459">
        <v>16</v>
      </c>
      <c r="C2330" s="459">
        <v>14</v>
      </c>
      <c r="D2330" s="460">
        <v>4</v>
      </c>
      <c r="E2330" s="460">
        <v>0</v>
      </c>
      <c r="G2330" s="1797"/>
      <c r="H2330" s="1777" t="s">
        <v>1238</v>
      </c>
      <c r="I2330" s="1742" t="s">
        <v>8111</v>
      </c>
      <c r="J2330" s="1779" t="s">
        <v>1264</v>
      </c>
      <c r="K2330" s="1780"/>
      <c r="L2330" s="1781"/>
      <c r="M2330" s="1781"/>
      <c r="N2330" s="1746"/>
      <c r="O2330" s="1782"/>
      <c r="P2330" s="1720"/>
    </row>
    <row r="2331" spans="1:16" ht="13.5" hidden="1" customHeight="1" outlineLevel="3" x14ac:dyDescent="0.2">
      <c r="A2331" s="459">
        <v>0</v>
      </c>
      <c r="B2331" s="459">
        <v>16</v>
      </c>
      <c r="C2331" s="459">
        <v>14</v>
      </c>
      <c r="D2331" s="460">
        <v>4</v>
      </c>
      <c r="E2331" s="460">
        <v>1</v>
      </c>
      <c r="G2331" s="1798" t="s">
        <v>45</v>
      </c>
      <c r="H2331" s="1783" t="s">
        <v>1239</v>
      </c>
      <c r="I2331" s="1750" t="s">
        <v>8112</v>
      </c>
      <c r="J2331" s="1785" t="s">
        <v>735</v>
      </c>
      <c r="K2331" s="1786" t="s">
        <v>642</v>
      </c>
      <c r="L2331" s="1787" t="e">
        <v>#REF!</v>
      </c>
      <c r="M2331" s="1787">
        <v>40</v>
      </c>
      <c r="N2331" s="1754"/>
      <c r="O2331" s="1788"/>
      <c r="P2331" s="1721" t="s">
        <v>9611</v>
      </c>
    </row>
    <row r="2332" spans="1:16" ht="13.5" hidden="1" customHeight="1" outlineLevel="3" x14ac:dyDescent="0.2">
      <c r="A2332" s="459">
        <v>0</v>
      </c>
      <c r="B2332" s="459">
        <v>16</v>
      </c>
      <c r="C2332" s="459">
        <v>14</v>
      </c>
      <c r="D2332" s="460">
        <v>4</v>
      </c>
      <c r="E2332" s="460">
        <v>2</v>
      </c>
      <c r="G2332" s="1798" t="s">
        <v>49</v>
      </c>
      <c r="H2332" s="1783" t="s">
        <v>1239</v>
      </c>
      <c r="I2332" s="1750" t="s">
        <v>8113</v>
      </c>
      <c r="J2332" s="1785" t="s">
        <v>738</v>
      </c>
      <c r="K2332" s="1786" t="s">
        <v>642</v>
      </c>
      <c r="L2332" s="1787" t="e">
        <v>#REF!</v>
      </c>
      <c r="M2332" s="1787">
        <v>75</v>
      </c>
      <c r="N2332" s="1754"/>
      <c r="O2332" s="1788"/>
      <c r="P2332" s="1721" t="s">
        <v>9611</v>
      </c>
    </row>
    <row r="2333" spans="1:16" ht="13.5" hidden="1" customHeight="1" outlineLevel="3" x14ac:dyDescent="0.2">
      <c r="A2333" s="459">
        <v>0</v>
      </c>
      <c r="B2333" s="459">
        <v>16</v>
      </c>
      <c r="C2333" s="459">
        <v>14</v>
      </c>
      <c r="D2333" s="460">
        <v>4</v>
      </c>
      <c r="E2333" s="460">
        <v>3</v>
      </c>
      <c r="G2333" s="1798" t="s">
        <v>49</v>
      </c>
      <c r="H2333" s="1783" t="s">
        <v>1239</v>
      </c>
      <c r="I2333" s="1750" t="s">
        <v>8114</v>
      </c>
      <c r="J2333" s="1785" t="s">
        <v>743</v>
      </c>
      <c r="K2333" s="1786" t="s">
        <v>788</v>
      </c>
      <c r="L2333" s="1787" t="e">
        <v>#REF!</v>
      </c>
      <c r="M2333" s="1787">
        <v>28</v>
      </c>
      <c r="N2333" s="1754"/>
      <c r="O2333" s="1788"/>
      <c r="P2333" s="1721" t="s">
        <v>9611</v>
      </c>
    </row>
    <row r="2334" spans="1:16" ht="13.5" hidden="1" customHeight="1" outlineLevel="3" x14ac:dyDescent="0.2">
      <c r="A2334" s="459">
        <v>0</v>
      </c>
      <c r="B2334" s="459">
        <v>16</v>
      </c>
      <c r="C2334" s="459">
        <v>14</v>
      </c>
      <c r="D2334" s="460">
        <v>4</v>
      </c>
      <c r="E2334" s="460">
        <v>4</v>
      </c>
      <c r="G2334" s="1798" t="s">
        <v>49</v>
      </c>
      <c r="H2334" s="1783" t="s">
        <v>1239</v>
      </c>
      <c r="I2334" s="1750" t="s">
        <v>8115</v>
      </c>
      <c r="J2334" s="1785" t="s">
        <v>744</v>
      </c>
      <c r="K2334" s="1786" t="s">
        <v>788</v>
      </c>
      <c r="L2334" s="1787" t="e">
        <v>#REF!</v>
      </c>
      <c r="M2334" s="1787">
        <v>24</v>
      </c>
      <c r="N2334" s="1754"/>
      <c r="O2334" s="1788"/>
      <c r="P2334" s="1721" t="s">
        <v>9611</v>
      </c>
    </row>
    <row r="2335" spans="1:16" ht="13.5" hidden="1" customHeight="1" outlineLevel="1" x14ac:dyDescent="0.2">
      <c r="A2335" s="459">
        <v>0</v>
      </c>
      <c r="B2335" s="459">
        <v>16</v>
      </c>
      <c r="C2335" s="459">
        <v>15</v>
      </c>
      <c r="D2335" s="460">
        <v>0</v>
      </c>
      <c r="E2335" s="460">
        <v>4</v>
      </c>
      <c r="G2335" s="1796"/>
      <c r="H2335" s="1771" t="s">
        <v>39</v>
      </c>
      <c r="I2335" s="1735" t="s">
        <v>8116</v>
      </c>
      <c r="J2335" s="1773" t="s">
        <v>3075</v>
      </c>
      <c r="K2335" s="1774"/>
      <c r="L2335" s="1775"/>
      <c r="M2335" s="1775"/>
      <c r="N2335" s="1739"/>
      <c r="O2335" s="1776"/>
      <c r="P2335" s="1719"/>
    </row>
    <row r="2336" spans="1:16" ht="13.5" hidden="1" customHeight="1" outlineLevel="2" x14ac:dyDescent="0.2">
      <c r="A2336" s="459">
        <v>0</v>
      </c>
      <c r="B2336" s="459">
        <v>16</v>
      </c>
      <c r="C2336" s="459">
        <v>15</v>
      </c>
      <c r="D2336" s="460">
        <v>1</v>
      </c>
      <c r="E2336" s="460">
        <v>0</v>
      </c>
      <c r="G2336" s="1797"/>
      <c r="H2336" s="1777" t="s">
        <v>1238</v>
      </c>
      <c r="I2336" s="1742" t="s">
        <v>8117</v>
      </c>
      <c r="J2336" s="1779" t="s">
        <v>23</v>
      </c>
      <c r="K2336" s="1780"/>
      <c r="L2336" s="1781"/>
      <c r="M2336" s="1781"/>
      <c r="N2336" s="1746"/>
      <c r="O2336" s="1782"/>
      <c r="P2336" s="1720"/>
    </row>
    <row r="2337" spans="1:16" ht="13.5" hidden="1" customHeight="1" outlineLevel="3" x14ac:dyDescent="0.2">
      <c r="A2337" s="459">
        <v>0</v>
      </c>
      <c r="B2337" s="459">
        <v>16</v>
      </c>
      <c r="C2337" s="459">
        <v>15</v>
      </c>
      <c r="D2337" s="460">
        <v>1</v>
      </c>
      <c r="E2337" s="460">
        <v>1</v>
      </c>
      <c r="G2337" s="1798" t="s">
        <v>45</v>
      </c>
      <c r="H2337" s="1783" t="s">
        <v>1239</v>
      </c>
      <c r="I2337" s="1750" t="s">
        <v>8118</v>
      </c>
      <c r="J2337" s="1785" t="s">
        <v>2973</v>
      </c>
      <c r="K2337" s="1786" t="s">
        <v>642</v>
      </c>
      <c r="L2337" s="1787" t="e">
        <v>#REF!</v>
      </c>
      <c r="M2337" s="1787">
        <v>44.585233333333335</v>
      </c>
      <c r="N2337" s="1754"/>
      <c r="O2337" s="1788"/>
      <c r="P2337" s="1721" t="s">
        <v>9611</v>
      </c>
    </row>
    <row r="2338" spans="1:16" ht="13.5" hidden="1" customHeight="1" outlineLevel="2" x14ac:dyDescent="0.2">
      <c r="A2338" s="459">
        <v>0</v>
      </c>
      <c r="B2338" s="459">
        <v>16</v>
      </c>
      <c r="C2338" s="459">
        <v>15</v>
      </c>
      <c r="D2338" s="460">
        <v>2</v>
      </c>
      <c r="E2338" s="460">
        <v>0</v>
      </c>
      <c r="G2338" s="1797"/>
      <c r="H2338" s="1777" t="s">
        <v>1238</v>
      </c>
      <c r="I2338" s="1742" t="s">
        <v>8119</v>
      </c>
      <c r="J2338" s="1779" t="s">
        <v>1264</v>
      </c>
      <c r="K2338" s="1780"/>
      <c r="L2338" s="1781"/>
      <c r="M2338" s="1781"/>
      <c r="N2338" s="1746"/>
      <c r="O2338" s="1782"/>
      <c r="P2338" s="1720"/>
    </row>
    <row r="2339" spans="1:16" ht="13.5" hidden="1" customHeight="1" outlineLevel="3" x14ac:dyDescent="0.2">
      <c r="A2339" s="459">
        <v>0</v>
      </c>
      <c r="B2339" s="459">
        <v>16</v>
      </c>
      <c r="C2339" s="459">
        <v>15</v>
      </c>
      <c r="D2339" s="460">
        <v>2</v>
      </c>
      <c r="E2339" s="460">
        <v>1</v>
      </c>
      <c r="G2339" s="1798" t="s">
        <v>45</v>
      </c>
      <c r="H2339" s="1783" t="s">
        <v>1239</v>
      </c>
      <c r="I2339" s="1750" t="s">
        <v>8120</v>
      </c>
      <c r="J2339" s="1785" t="s">
        <v>735</v>
      </c>
      <c r="K2339" s="1786" t="s">
        <v>642</v>
      </c>
      <c r="L2339" s="1787" t="e">
        <v>#REF!</v>
      </c>
      <c r="M2339" s="1787">
        <v>40</v>
      </c>
      <c r="N2339" s="1754"/>
      <c r="O2339" s="1788"/>
      <c r="P2339" s="1721" t="s">
        <v>9611</v>
      </c>
    </row>
    <row r="2340" spans="1:16" ht="13.5" customHeight="1" collapsed="1" x14ac:dyDescent="0.2">
      <c r="A2340" s="459">
        <v>0</v>
      </c>
      <c r="B2340" s="459">
        <v>17</v>
      </c>
      <c r="C2340" s="459">
        <v>0</v>
      </c>
      <c r="D2340" s="460">
        <v>2</v>
      </c>
      <c r="E2340" s="460">
        <v>1</v>
      </c>
      <c r="F2340" s="474"/>
      <c r="G2340" s="1794"/>
      <c r="H2340" s="1766" t="s">
        <v>1237</v>
      </c>
      <c r="I2340" s="1728" t="s">
        <v>8121</v>
      </c>
      <c r="J2340" s="1795" t="s">
        <v>26</v>
      </c>
      <c r="K2340" s="1768"/>
      <c r="L2340" s="1769"/>
      <c r="M2340" s="1769"/>
      <c r="N2340" s="1732"/>
      <c r="O2340" s="1770"/>
      <c r="P2340" s="1718"/>
    </row>
    <row r="2341" spans="1:16" ht="13.5" hidden="1" customHeight="1" outlineLevel="1" x14ac:dyDescent="0.2">
      <c r="A2341" s="459">
        <v>0</v>
      </c>
      <c r="B2341" s="459">
        <v>17</v>
      </c>
      <c r="C2341" s="459">
        <v>1</v>
      </c>
      <c r="D2341" s="460">
        <v>0</v>
      </c>
      <c r="E2341" s="460">
        <v>1</v>
      </c>
      <c r="G2341" s="1796"/>
      <c r="H2341" s="1771" t="s">
        <v>39</v>
      </c>
      <c r="I2341" s="1735" t="s">
        <v>8122</v>
      </c>
      <c r="J2341" s="1773" t="s">
        <v>3076</v>
      </c>
      <c r="K2341" s="1774"/>
      <c r="L2341" s="1775"/>
      <c r="M2341" s="1775"/>
      <c r="N2341" s="1739"/>
      <c r="O2341" s="1776"/>
      <c r="P2341" s="1719"/>
    </row>
    <row r="2342" spans="1:16" ht="13.5" hidden="1" customHeight="1" outlineLevel="2" x14ac:dyDescent="0.2">
      <c r="A2342" s="459">
        <v>0</v>
      </c>
      <c r="B2342" s="459">
        <v>17</v>
      </c>
      <c r="C2342" s="459">
        <v>1</v>
      </c>
      <c r="D2342" s="460">
        <v>1</v>
      </c>
      <c r="E2342" s="460">
        <v>0</v>
      </c>
      <c r="G2342" s="1797"/>
      <c r="H2342" s="1777" t="s">
        <v>1238</v>
      </c>
      <c r="I2342" s="1742" t="s">
        <v>8123</v>
      </c>
      <c r="J2342" s="1779" t="s">
        <v>1569</v>
      </c>
      <c r="K2342" s="1780"/>
      <c r="L2342" s="1781"/>
      <c r="M2342" s="1781"/>
      <c r="N2342" s="1746"/>
      <c r="O2342" s="1782"/>
      <c r="P2342" s="1720"/>
    </row>
    <row r="2343" spans="1:16" ht="13.5" hidden="1" customHeight="1" outlineLevel="3" x14ac:dyDescent="0.2">
      <c r="A2343" s="459">
        <v>0</v>
      </c>
      <c r="B2343" s="459">
        <v>17</v>
      </c>
      <c r="C2343" s="459">
        <v>1</v>
      </c>
      <c r="D2343" s="460">
        <v>1</v>
      </c>
      <c r="E2343" s="460">
        <v>1</v>
      </c>
      <c r="G2343" s="1798" t="s">
        <v>51</v>
      </c>
      <c r="H2343" s="1783" t="s">
        <v>1239</v>
      </c>
      <c r="I2343" s="1750" t="s">
        <v>8124</v>
      </c>
      <c r="J2343" s="1785" t="s">
        <v>1560</v>
      </c>
      <c r="K2343" s="1786" t="s">
        <v>642</v>
      </c>
      <c r="L2343" s="1787" t="e">
        <v>#REF!</v>
      </c>
      <c r="M2343" s="1787">
        <v>1.7585555555555554</v>
      </c>
      <c r="N2343" s="1754"/>
      <c r="O2343" s="1788"/>
      <c r="P2343" s="1721" t="s">
        <v>9611</v>
      </c>
    </row>
    <row r="2344" spans="1:16" ht="13.5" hidden="1" customHeight="1" outlineLevel="3" x14ac:dyDescent="0.2">
      <c r="A2344" s="459">
        <v>0</v>
      </c>
      <c r="B2344" s="459">
        <v>17</v>
      </c>
      <c r="C2344" s="459">
        <v>1</v>
      </c>
      <c r="D2344" s="460">
        <v>1</v>
      </c>
      <c r="E2344" s="460">
        <v>2</v>
      </c>
      <c r="G2344" s="1798" t="s">
        <v>51</v>
      </c>
      <c r="H2344" s="1783" t="s">
        <v>1239</v>
      </c>
      <c r="I2344" s="1750" t="s">
        <v>8125</v>
      </c>
      <c r="J2344" s="1785" t="s">
        <v>1561</v>
      </c>
      <c r="K2344" s="1786" t="s">
        <v>642</v>
      </c>
      <c r="L2344" s="1787" t="e">
        <v>#REF!</v>
      </c>
      <c r="M2344" s="1787">
        <v>4.3491600000000004</v>
      </c>
      <c r="N2344" s="1754"/>
      <c r="O2344" s="1788"/>
      <c r="P2344" s="1721" t="s">
        <v>9611</v>
      </c>
    </row>
    <row r="2345" spans="1:16" ht="13.5" hidden="1" customHeight="1" outlineLevel="3" x14ac:dyDescent="0.2">
      <c r="A2345" s="459">
        <v>0</v>
      </c>
      <c r="B2345" s="459">
        <v>17</v>
      </c>
      <c r="C2345" s="459">
        <v>1</v>
      </c>
      <c r="D2345" s="460">
        <v>1</v>
      </c>
      <c r="E2345" s="460">
        <v>3</v>
      </c>
      <c r="G2345" s="1798" t="s">
        <v>51</v>
      </c>
      <c r="H2345" s="1783" t="s">
        <v>1239</v>
      </c>
      <c r="I2345" s="1750" t="s">
        <v>8126</v>
      </c>
      <c r="J2345" s="1785" t="s">
        <v>774</v>
      </c>
      <c r="K2345" s="1786" t="s">
        <v>642</v>
      </c>
      <c r="L2345" s="1787" t="e">
        <v>#REF!</v>
      </c>
      <c r="M2345" s="1787">
        <v>12.1275</v>
      </c>
      <c r="N2345" s="1754"/>
      <c r="O2345" s="1788"/>
      <c r="P2345" s="1721" t="s">
        <v>9611</v>
      </c>
    </row>
    <row r="2346" spans="1:16" ht="13.5" hidden="1" customHeight="1" outlineLevel="3" x14ac:dyDescent="0.2">
      <c r="A2346" s="459">
        <v>0</v>
      </c>
      <c r="B2346" s="459">
        <v>17</v>
      </c>
      <c r="C2346" s="459">
        <v>1</v>
      </c>
      <c r="D2346" s="460">
        <v>1</v>
      </c>
      <c r="E2346" s="460">
        <v>4</v>
      </c>
      <c r="G2346" s="1798" t="s">
        <v>51</v>
      </c>
      <c r="H2346" s="1783" t="s">
        <v>1239</v>
      </c>
      <c r="I2346" s="1750" t="s">
        <v>8127</v>
      </c>
      <c r="J2346" s="1785" t="s">
        <v>3091</v>
      </c>
      <c r="K2346" s="1786" t="s">
        <v>642</v>
      </c>
      <c r="L2346" s="1787" t="e">
        <v>#REF!</v>
      </c>
      <c r="M2346" s="1787">
        <v>22.507959374999999</v>
      </c>
      <c r="N2346" s="1754"/>
      <c r="O2346" s="1788"/>
      <c r="P2346" s="1721" t="s">
        <v>9611</v>
      </c>
    </row>
    <row r="2347" spans="1:16" ht="13.5" hidden="1" customHeight="1" outlineLevel="3" x14ac:dyDescent="0.2">
      <c r="A2347" s="459">
        <v>0</v>
      </c>
      <c r="B2347" s="459">
        <v>17</v>
      </c>
      <c r="C2347" s="459">
        <v>1</v>
      </c>
      <c r="D2347" s="460">
        <v>1</v>
      </c>
      <c r="E2347" s="460">
        <v>5</v>
      </c>
      <c r="G2347" s="1798" t="s">
        <v>51</v>
      </c>
      <c r="H2347" s="1783" t="s">
        <v>1239</v>
      </c>
      <c r="I2347" s="1750" t="s">
        <v>8128</v>
      </c>
      <c r="J2347" s="1751" t="s">
        <v>3528</v>
      </c>
      <c r="K2347" s="1752" t="s">
        <v>642</v>
      </c>
      <c r="L2347" s="1753" t="e">
        <v>#REF!</v>
      </c>
      <c r="M2347" s="1787">
        <v>76.674746222222225</v>
      </c>
      <c r="N2347" s="1754"/>
      <c r="O2347" s="1755"/>
      <c r="P2347" s="1721" t="s">
        <v>9611</v>
      </c>
    </row>
    <row r="2348" spans="1:16" ht="13.5" hidden="1" customHeight="1" outlineLevel="2" x14ac:dyDescent="0.2">
      <c r="A2348" s="459">
        <v>0</v>
      </c>
      <c r="B2348" s="459">
        <v>17</v>
      </c>
      <c r="C2348" s="459">
        <v>1</v>
      </c>
      <c r="D2348" s="460">
        <v>2</v>
      </c>
      <c r="E2348" s="460">
        <v>0</v>
      </c>
      <c r="G2348" s="1797"/>
      <c r="H2348" s="1777" t="s">
        <v>1238</v>
      </c>
      <c r="I2348" s="1742" t="s">
        <v>8129</v>
      </c>
      <c r="J2348" s="1779" t="s">
        <v>1547</v>
      </c>
      <c r="K2348" s="1780"/>
      <c r="L2348" s="1781"/>
      <c r="M2348" s="1781"/>
      <c r="N2348" s="1746"/>
      <c r="O2348" s="1782"/>
      <c r="P2348" s="1720"/>
    </row>
    <row r="2349" spans="1:16" ht="13.5" hidden="1" customHeight="1" outlineLevel="3" x14ac:dyDescent="0.2">
      <c r="A2349" s="459">
        <v>0</v>
      </c>
      <c r="B2349" s="459">
        <v>17</v>
      </c>
      <c r="C2349" s="459">
        <v>1</v>
      </c>
      <c r="D2349" s="460">
        <v>2</v>
      </c>
      <c r="E2349" s="460">
        <v>1</v>
      </c>
      <c r="G2349" s="1798" t="s">
        <v>51</v>
      </c>
      <c r="H2349" s="1783" t="s">
        <v>1239</v>
      </c>
      <c r="I2349" s="1750" t="s">
        <v>8130</v>
      </c>
      <c r="J2349" s="1785" t="s">
        <v>3104</v>
      </c>
      <c r="K2349" s="1786" t="s">
        <v>642</v>
      </c>
      <c r="L2349" s="1787" t="e">
        <v>#REF!</v>
      </c>
      <c r="M2349" s="1787">
        <v>1.7585555555555554</v>
      </c>
      <c r="N2349" s="1754"/>
      <c r="O2349" s="1788"/>
      <c r="P2349" s="1721" t="s">
        <v>9611</v>
      </c>
    </row>
    <row r="2350" spans="1:16" ht="13.5" hidden="1" customHeight="1" outlineLevel="3" x14ac:dyDescent="0.2">
      <c r="A2350" s="459">
        <v>0</v>
      </c>
      <c r="B2350" s="459">
        <v>17</v>
      </c>
      <c r="C2350" s="459">
        <v>1</v>
      </c>
      <c r="D2350" s="460">
        <v>2</v>
      </c>
      <c r="E2350" s="460">
        <v>2</v>
      </c>
      <c r="G2350" s="1798" t="s">
        <v>51</v>
      </c>
      <c r="H2350" s="1783" t="s">
        <v>1239</v>
      </c>
      <c r="I2350" s="1750" t="s">
        <v>8131</v>
      </c>
      <c r="J2350" s="1785" t="s">
        <v>1936</v>
      </c>
      <c r="K2350" s="1786" t="s">
        <v>642</v>
      </c>
      <c r="L2350" s="1787" t="e">
        <v>#REF!</v>
      </c>
      <c r="M2350" s="1787">
        <v>4.3491600000000004</v>
      </c>
      <c r="N2350" s="1754"/>
      <c r="O2350" s="1788"/>
      <c r="P2350" s="1721" t="s">
        <v>9611</v>
      </c>
    </row>
    <row r="2351" spans="1:16" ht="13.5" hidden="1" customHeight="1" outlineLevel="3" x14ac:dyDescent="0.2">
      <c r="A2351" s="459">
        <v>0</v>
      </c>
      <c r="B2351" s="459">
        <v>17</v>
      </c>
      <c r="C2351" s="459">
        <v>1</v>
      </c>
      <c r="D2351" s="460">
        <v>2</v>
      </c>
      <c r="E2351" s="460">
        <v>3</v>
      </c>
      <c r="G2351" s="1798" t="s">
        <v>51</v>
      </c>
      <c r="H2351" s="1783" t="s">
        <v>1239</v>
      </c>
      <c r="I2351" s="1750" t="s">
        <v>8132</v>
      </c>
      <c r="J2351" s="1785" t="s">
        <v>3103</v>
      </c>
      <c r="K2351" s="1786" t="s">
        <v>642</v>
      </c>
      <c r="L2351" s="1787" t="e">
        <v>#REF!</v>
      </c>
      <c r="M2351" s="1787">
        <v>12.1275</v>
      </c>
      <c r="N2351" s="1754"/>
      <c r="O2351" s="1788"/>
      <c r="P2351" s="1721" t="s">
        <v>9611</v>
      </c>
    </row>
    <row r="2352" spans="1:16" ht="13.5" hidden="1" customHeight="1" outlineLevel="3" x14ac:dyDescent="0.2">
      <c r="A2352" s="459">
        <v>0</v>
      </c>
      <c r="B2352" s="459">
        <v>17</v>
      </c>
      <c r="C2352" s="459">
        <v>1</v>
      </c>
      <c r="D2352" s="460">
        <v>2</v>
      </c>
      <c r="E2352" s="460">
        <v>4</v>
      </c>
      <c r="G2352" s="1798" t="s">
        <v>51</v>
      </c>
      <c r="H2352" s="1783" t="s">
        <v>1239</v>
      </c>
      <c r="I2352" s="1750" t="s">
        <v>8133</v>
      </c>
      <c r="J2352" s="1785" t="s">
        <v>3105</v>
      </c>
      <c r="K2352" s="1786" t="s">
        <v>642</v>
      </c>
      <c r="L2352" s="1787" t="e">
        <v>#REF!</v>
      </c>
      <c r="M2352" s="1787">
        <v>70.567030666666668</v>
      </c>
      <c r="N2352" s="1754"/>
      <c r="O2352" s="1788"/>
      <c r="P2352" s="1721" t="s">
        <v>9611</v>
      </c>
    </row>
    <row r="2353" spans="1:16" ht="13.5" hidden="1" customHeight="1" outlineLevel="3" x14ac:dyDescent="0.2">
      <c r="A2353" s="459">
        <v>0</v>
      </c>
      <c r="B2353" s="459">
        <v>17</v>
      </c>
      <c r="C2353" s="459">
        <v>1</v>
      </c>
      <c r="D2353" s="460">
        <v>2</v>
      </c>
      <c r="E2353" s="460">
        <v>5</v>
      </c>
      <c r="G2353" s="1798" t="s">
        <v>51</v>
      </c>
      <c r="H2353" s="1783" t="s">
        <v>1239</v>
      </c>
      <c r="I2353" s="1750" t="s">
        <v>8134</v>
      </c>
      <c r="J2353" s="1785" t="s">
        <v>771</v>
      </c>
      <c r="K2353" s="1786" t="s">
        <v>642</v>
      </c>
      <c r="L2353" s="1787" t="e">
        <v>#REF!</v>
      </c>
      <c r="M2353" s="1787">
        <v>13.636363636363637</v>
      </c>
      <c r="N2353" s="1754"/>
      <c r="O2353" s="1788"/>
      <c r="P2353" s="1721" t="s">
        <v>9611</v>
      </c>
    </row>
    <row r="2354" spans="1:16" ht="13.5" hidden="1" customHeight="1" outlineLevel="2" x14ac:dyDescent="0.2">
      <c r="A2354" s="459">
        <v>0</v>
      </c>
      <c r="B2354" s="459">
        <v>17</v>
      </c>
      <c r="C2354" s="459">
        <v>1</v>
      </c>
      <c r="D2354" s="460">
        <v>3</v>
      </c>
      <c r="E2354" s="460">
        <v>0</v>
      </c>
      <c r="G2354" s="1797"/>
      <c r="H2354" s="1777" t="s">
        <v>1238</v>
      </c>
      <c r="I2354" s="1742" t="s">
        <v>8135</v>
      </c>
      <c r="J2354" s="1779" t="s">
        <v>15</v>
      </c>
      <c r="K2354" s="1780"/>
      <c r="L2354" s="1781"/>
      <c r="M2354" s="1781"/>
      <c r="N2354" s="1746"/>
      <c r="O2354" s="1782"/>
      <c r="P2354" s="1720"/>
    </row>
    <row r="2355" spans="1:16" ht="13.5" hidden="1" customHeight="1" outlineLevel="3" x14ac:dyDescent="0.2">
      <c r="A2355" s="459">
        <v>0</v>
      </c>
      <c r="B2355" s="459">
        <v>17</v>
      </c>
      <c r="C2355" s="459">
        <v>1</v>
      </c>
      <c r="D2355" s="460">
        <v>3</v>
      </c>
      <c r="E2355" s="460">
        <v>1</v>
      </c>
      <c r="G2355" s="1798" t="s">
        <v>51</v>
      </c>
      <c r="H2355" s="1783" t="s">
        <v>1239</v>
      </c>
      <c r="I2355" s="1750" t="s">
        <v>8136</v>
      </c>
      <c r="J2355" s="1785" t="s">
        <v>3529</v>
      </c>
      <c r="K2355" s="1786" t="s">
        <v>642</v>
      </c>
      <c r="L2355" s="1787" t="e">
        <v>#REF!</v>
      </c>
      <c r="M2355" s="1787">
        <v>42</v>
      </c>
      <c r="N2355" s="1754"/>
      <c r="O2355" s="1788"/>
      <c r="P2355" s="1721" t="s">
        <v>9611</v>
      </c>
    </row>
    <row r="2356" spans="1:16" ht="13.5" hidden="1" customHeight="1" outlineLevel="3" x14ac:dyDescent="0.2">
      <c r="A2356" s="459">
        <v>0</v>
      </c>
      <c r="B2356" s="459">
        <v>17</v>
      </c>
      <c r="C2356" s="459">
        <v>1</v>
      </c>
      <c r="D2356" s="460">
        <v>3</v>
      </c>
      <c r="E2356" s="460">
        <v>2</v>
      </c>
      <c r="G2356" s="1798" t="s">
        <v>51</v>
      </c>
      <c r="H2356" s="1783" t="s">
        <v>1239</v>
      </c>
      <c r="I2356" s="1750" t="s">
        <v>8137</v>
      </c>
      <c r="J2356" s="1785" t="s">
        <v>784</v>
      </c>
      <c r="K2356" s="1786" t="s">
        <v>642</v>
      </c>
      <c r="L2356" s="1787" t="e">
        <v>#REF!</v>
      </c>
      <c r="M2356" s="1787">
        <v>40</v>
      </c>
      <c r="N2356" s="1754"/>
      <c r="O2356" s="1788"/>
      <c r="P2356" s="1721" t="s">
        <v>9611</v>
      </c>
    </row>
    <row r="2357" spans="1:16" ht="13.5" hidden="1" customHeight="1" outlineLevel="3" x14ac:dyDescent="0.2">
      <c r="A2357" s="459">
        <v>0</v>
      </c>
      <c r="B2357" s="459">
        <v>17</v>
      </c>
      <c r="C2357" s="459">
        <v>1</v>
      </c>
      <c r="D2357" s="460">
        <v>3</v>
      </c>
      <c r="E2357" s="460">
        <v>3</v>
      </c>
      <c r="G2357" s="1798" t="s">
        <v>51</v>
      </c>
      <c r="H2357" s="1783" t="s">
        <v>1239</v>
      </c>
      <c r="I2357" s="1750" t="s">
        <v>8138</v>
      </c>
      <c r="J2357" s="1785" t="s">
        <v>785</v>
      </c>
      <c r="K2357" s="1786" t="s">
        <v>642</v>
      </c>
      <c r="L2357" s="1787" t="e">
        <v>#REF!</v>
      </c>
      <c r="M2357" s="1787">
        <v>40</v>
      </c>
      <c r="N2357" s="1754"/>
      <c r="O2357" s="1788"/>
      <c r="P2357" s="1721" t="s">
        <v>9611</v>
      </c>
    </row>
    <row r="2358" spans="1:16" ht="13.5" hidden="1" customHeight="1" outlineLevel="3" x14ac:dyDescent="0.2">
      <c r="A2358" s="459">
        <v>0</v>
      </c>
      <c r="B2358" s="459">
        <v>17</v>
      </c>
      <c r="C2358" s="459">
        <v>1</v>
      </c>
      <c r="D2358" s="460">
        <v>3</v>
      </c>
      <c r="E2358" s="460">
        <v>4</v>
      </c>
      <c r="G2358" s="1798" t="s">
        <v>51</v>
      </c>
      <c r="H2358" s="1783" t="s">
        <v>1239</v>
      </c>
      <c r="I2358" s="1750" t="s">
        <v>8139</v>
      </c>
      <c r="J2358" s="1785" t="s">
        <v>786</v>
      </c>
      <c r="K2358" s="1786" t="s">
        <v>642</v>
      </c>
      <c r="L2358" s="1787" t="e">
        <v>#REF!</v>
      </c>
      <c r="M2358" s="1787">
        <v>40</v>
      </c>
      <c r="N2358" s="1754"/>
      <c r="O2358" s="1788"/>
      <c r="P2358" s="1721" t="s">
        <v>9611</v>
      </c>
    </row>
    <row r="2359" spans="1:16" ht="13.5" hidden="1" customHeight="1" outlineLevel="3" x14ac:dyDescent="0.2">
      <c r="A2359" s="459">
        <v>0</v>
      </c>
      <c r="B2359" s="459">
        <v>17</v>
      </c>
      <c r="C2359" s="459">
        <v>1</v>
      </c>
      <c r="D2359" s="460">
        <v>3</v>
      </c>
      <c r="E2359" s="460">
        <v>5</v>
      </c>
      <c r="G2359" s="1798" t="s">
        <v>51</v>
      </c>
      <c r="H2359" s="1783" t="s">
        <v>1239</v>
      </c>
      <c r="I2359" s="1750" t="s">
        <v>8140</v>
      </c>
      <c r="J2359" s="1785" t="s">
        <v>3109</v>
      </c>
      <c r="K2359" s="1786" t="s">
        <v>642</v>
      </c>
      <c r="L2359" s="1787" t="e">
        <v>#REF!</v>
      </c>
      <c r="M2359" s="1787">
        <v>40</v>
      </c>
      <c r="N2359" s="1754"/>
      <c r="O2359" s="1788"/>
      <c r="P2359" s="1721" t="s">
        <v>9611</v>
      </c>
    </row>
    <row r="2360" spans="1:16" ht="13.5" hidden="1" customHeight="1" outlineLevel="1" x14ac:dyDescent="0.2">
      <c r="A2360" s="459">
        <v>0</v>
      </c>
      <c r="B2360" s="459">
        <v>17</v>
      </c>
      <c r="C2360" s="459">
        <v>2</v>
      </c>
      <c r="D2360" s="460">
        <v>0</v>
      </c>
      <c r="E2360" s="460">
        <v>5</v>
      </c>
      <c r="G2360" s="1796"/>
      <c r="H2360" s="1771" t="s">
        <v>39</v>
      </c>
      <c r="I2360" s="1735" t="s">
        <v>8141</v>
      </c>
      <c r="J2360" s="1773" t="s">
        <v>3110</v>
      </c>
      <c r="K2360" s="1774"/>
      <c r="L2360" s="1775"/>
      <c r="M2360" s="1775"/>
      <c r="N2360" s="1739"/>
      <c r="O2360" s="1776"/>
      <c r="P2360" s="1719"/>
    </row>
    <row r="2361" spans="1:16" ht="13.5" hidden="1" customHeight="1" outlineLevel="2" x14ac:dyDescent="0.2">
      <c r="A2361" s="459">
        <v>0</v>
      </c>
      <c r="B2361" s="459">
        <v>17</v>
      </c>
      <c r="C2361" s="459">
        <v>2</v>
      </c>
      <c r="D2361" s="460">
        <v>1</v>
      </c>
      <c r="E2361" s="460">
        <v>0</v>
      </c>
      <c r="G2361" s="1797"/>
      <c r="H2361" s="1777" t="s">
        <v>1238</v>
      </c>
      <c r="I2361" s="1742" t="s">
        <v>8142</v>
      </c>
      <c r="J2361" s="1779" t="s">
        <v>1548</v>
      </c>
      <c r="K2361" s="1780"/>
      <c r="L2361" s="1781"/>
      <c r="M2361" s="1781"/>
      <c r="N2361" s="1746"/>
      <c r="O2361" s="1782"/>
      <c r="P2361" s="1720"/>
    </row>
    <row r="2362" spans="1:16" ht="13.5" hidden="1" customHeight="1" outlineLevel="3" x14ac:dyDescent="0.2">
      <c r="A2362" s="459">
        <v>0</v>
      </c>
      <c r="B2362" s="459">
        <v>17</v>
      </c>
      <c r="C2362" s="459">
        <v>2</v>
      </c>
      <c r="D2362" s="460">
        <v>1</v>
      </c>
      <c r="E2362" s="460">
        <v>1</v>
      </c>
      <c r="G2362" s="1798" t="s">
        <v>51</v>
      </c>
      <c r="H2362" s="1783" t="s">
        <v>1239</v>
      </c>
      <c r="I2362" s="1750" t="s">
        <v>8143</v>
      </c>
      <c r="J2362" s="1785" t="s">
        <v>757</v>
      </c>
      <c r="K2362" s="1786" t="s">
        <v>642</v>
      </c>
      <c r="L2362" s="1787" t="e">
        <v>#REF!</v>
      </c>
      <c r="M2362" s="1787">
        <v>48.294267209876544</v>
      </c>
      <c r="N2362" s="1754"/>
      <c r="O2362" s="1788"/>
      <c r="P2362" s="1721" t="s">
        <v>9611</v>
      </c>
    </row>
    <row r="2363" spans="1:16" ht="13.5" hidden="1" customHeight="1" outlineLevel="2" x14ac:dyDescent="0.2">
      <c r="A2363" s="459">
        <v>0</v>
      </c>
      <c r="B2363" s="459">
        <v>17</v>
      </c>
      <c r="C2363" s="459">
        <v>2</v>
      </c>
      <c r="D2363" s="460">
        <v>2</v>
      </c>
      <c r="E2363" s="460">
        <v>0</v>
      </c>
      <c r="G2363" s="1797"/>
      <c r="H2363" s="1777" t="s">
        <v>1238</v>
      </c>
      <c r="I2363" s="1742" t="s">
        <v>8144</v>
      </c>
      <c r="J2363" s="1779" t="s">
        <v>1569</v>
      </c>
      <c r="K2363" s="1780"/>
      <c r="L2363" s="1781"/>
      <c r="M2363" s="1781"/>
      <c r="N2363" s="1746"/>
      <c r="O2363" s="1782"/>
      <c r="P2363" s="1720"/>
    </row>
    <row r="2364" spans="1:16" ht="13.5" hidden="1" customHeight="1" outlineLevel="3" x14ac:dyDescent="0.2">
      <c r="A2364" s="459">
        <v>0</v>
      </c>
      <c r="B2364" s="459">
        <v>17</v>
      </c>
      <c r="C2364" s="459">
        <v>2</v>
      </c>
      <c r="D2364" s="460">
        <v>2</v>
      </c>
      <c r="E2364" s="460">
        <v>1</v>
      </c>
      <c r="G2364" s="1798" t="s">
        <v>51</v>
      </c>
      <c r="H2364" s="1783" t="s">
        <v>1239</v>
      </c>
      <c r="I2364" s="1750" t="s">
        <v>8145</v>
      </c>
      <c r="J2364" s="1785" t="s">
        <v>1560</v>
      </c>
      <c r="K2364" s="1786" t="s">
        <v>642</v>
      </c>
      <c r="L2364" s="1787" t="e">
        <v>#REF!</v>
      </c>
      <c r="M2364" s="1787">
        <v>1.7585555555555554</v>
      </c>
      <c r="N2364" s="1754"/>
      <c r="O2364" s="1788"/>
      <c r="P2364" s="1721" t="s">
        <v>9611</v>
      </c>
    </row>
    <row r="2365" spans="1:16" ht="13.5" hidden="1" customHeight="1" outlineLevel="3" x14ac:dyDescent="0.2">
      <c r="A2365" s="459">
        <v>0</v>
      </c>
      <c r="B2365" s="459">
        <v>17</v>
      </c>
      <c r="C2365" s="459">
        <v>2</v>
      </c>
      <c r="D2365" s="460">
        <v>2</v>
      </c>
      <c r="E2365" s="460">
        <v>2</v>
      </c>
      <c r="G2365" s="1798" t="s">
        <v>51</v>
      </c>
      <c r="H2365" s="1783" t="s">
        <v>1239</v>
      </c>
      <c r="I2365" s="1750" t="s">
        <v>8146</v>
      </c>
      <c r="J2365" s="1785" t="s">
        <v>1561</v>
      </c>
      <c r="K2365" s="1786" t="s">
        <v>642</v>
      </c>
      <c r="L2365" s="1787" t="e">
        <v>#REF!</v>
      </c>
      <c r="M2365" s="1787">
        <v>4.3491600000000004</v>
      </c>
      <c r="N2365" s="1754"/>
      <c r="O2365" s="1788"/>
      <c r="P2365" s="1721" t="s">
        <v>9611</v>
      </c>
    </row>
    <row r="2366" spans="1:16" ht="13.5" hidden="1" customHeight="1" outlineLevel="3" x14ac:dyDescent="0.2">
      <c r="A2366" s="459">
        <v>0</v>
      </c>
      <c r="B2366" s="459">
        <v>17</v>
      </c>
      <c r="C2366" s="459">
        <v>2</v>
      </c>
      <c r="D2366" s="460">
        <v>2</v>
      </c>
      <c r="E2366" s="460">
        <v>3</v>
      </c>
      <c r="G2366" s="1798" t="s">
        <v>51</v>
      </c>
      <c r="H2366" s="1783" t="s">
        <v>1239</v>
      </c>
      <c r="I2366" s="1750" t="s">
        <v>8147</v>
      </c>
      <c r="J2366" s="1785" t="s">
        <v>774</v>
      </c>
      <c r="K2366" s="1786" t="s">
        <v>642</v>
      </c>
      <c r="L2366" s="1787" t="e">
        <v>#REF!</v>
      </c>
      <c r="M2366" s="1787">
        <v>12.1275</v>
      </c>
      <c r="N2366" s="1754"/>
      <c r="O2366" s="1788"/>
      <c r="P2366" s="1721" t="s">
        <v>9611</v>
      </c>
    </row>
    <row r="2367" spans="1:16" ht="13.5" hidden="1" customHeight="1" outlineLevel="3" x14ac:dyDescent="0.2">
      <c r="A2367" s="459">
        <v>0</v>
      </c>
      <c r="B2367" s="459">
        <v>17</v>
      </c>
      <c r="C2367" s="459">
        <v>2</v>
      </c>
      <c r="D2367" s="460">
        <v>2</v>
      </c>
      <c r="E2367" s="460">
        <v>4</v>
      </c>
      <c r="G2367" s="1798" t="s">
        <v>51</v>
      </c>
      <c r="H2367" s="1783" t="s">
        <v>1239</v>
      </c>
      <c r="I2367" s="1750" t="s">
        <v>8148</v>
      </c>
      <c r="J2367" s="1785" t="s">
        <v>3091</v>
      </c>
      <c r="K2367" s="1786" t="s">
        <v>642</v>
      </c>
      <c r="L2367" s="1787" t="e">
        <v>#REF!</v>
      </c>
      <c r="M2367" s="1787">
        <v>22.507959374999999</v>
      </c>
      <c r="N2367" s="1754"/>
      <c r="O2367" s="1788"/>
      <c r="P2367" s="1721" t="s">
        <v>9611</v>
      </c>
    </row>
    <row r="2368" spans="1:16" ht="13.5" hidden="1" customHeight="1" outlineLevel="3" x14ac:dyDescent="0.2">
      <c r="A2368" s="459">
        <v>0</v>
      </c>
      <c r="B2368" s="459">
        <v>17</v>
      </c>
      <c r="C2368" s="459">
        <v>2</v>
      </c>
      <c r="D2368" s="460">
        <v>2</v>
      </c>
      <c r="E2368" s="460">
        <v>5</v>
      </c>
      <c r="G2368" s="1798" t="s">
        <v>51</v>
      </c>
      <c r="H2368" s="1783" t="s">
        <v>1239</v>
      </c>
      <c r="I2368" s="1750" t="s">
        <v>8149</v>
      </c>
      <c r="J2368" s="1751" t="s">
        <v>3528</v>
      </c>
      <c r="K2368" s="1752" t="s">
        <v>642</v>
      </c>
      <c r="L2368" s="1753" t="e">
        <v>#REF!</v>
      </c>
      <c r="M2368" s="1787">
        <v>76.674746222222225</v>
      </c>
      <c r="N2368" s="1754"/>
      <c r="O2368" s="1755"/>
      <c r="P2368" s="1721" t="s">
        <v>9611</v>
      </c>
    </row>
    <row r="2369" spans="1:16" ht="13.5" hidden="1" customHeight="1" outlineLevel="3" x14ac:dyDescent="0.2">
      <c r="A2369" s="459">
        <v>0</v>
      </c>
      <c r="B2369" s="459">
        <v>17</v>
      </c>
      <c r="C2369" s="459">
        <v>2</v>
      </c>
      <c r="D2369" s="460">
        <v>2</v>
      </c>
      <c r="E2369" s="460">
        <v>6</v>
      </c>
      <c r="G2369" s="1798" t="s">
        <v>51</v>
      </c>
      <c r="H2369" s="1783" t="s">
        <v>1239</v>
      </c>
      <c r="I2369" s="1750" t="s">
        <v>8150</v>
      </c>
      <c r="J2369" s="1785" t="s">
        <v>770</v>
      </c>
      <c r="K2369" s="1786" t="s">
        <v>642</v>
      </c>
      <c r="L2369" s="1787" t="e">
        <v>#REF!</v>
      </c>
      <c r="M2369" s="1787">
        <v>8.7283160650000013</v>
      </c>
      <c r="N2369" s="1754"/>
      <c r="O2369" s="1788"/>
      <c r="P2369" s="1721" t="s">
        <v>9611</v>
      </c>
    </row>
    <row r="2370" spans="1:16" ht="13.5" hidden="1" customHeight="1" outlineLevel="2" x14ac:dyDescent="0.2">
      <c r="A2370" s="459">
        <v>0</v>
      </c>
      <c r="B2370" s="459">
        <v>17</v>
      </c>
      <c r="C2370" s="459">
        <v>2</v>
      </c>
      <c r="D2370" s="460">
        <v>3</v>
      </c>
      <c r="E2370" s="460">
        <v>0</v>
      </c>
      <c r="G2370" s="1797"/>
      <c r="H2370" s="1777" t="s">
        <v>1238</v>
      </c>
      <c r="I2370" s="1742" t="s">
        <v>8151</v>
      </c>
      <c r="J2370" s="1779" t="s">
        <v>1547</v>
      </c>
      <c r="K2370" s="1780"/>
      <c r="L2370" s="1781"/>
      <c r="M2370" s="1781"/>
      <c r="N2370" s="1746"/>
      <c r="O2370" s="1782"/>
      <c r="P2370" s="1720"/>
    </row>
    <row r="2371" spans="1:16" ht="13.5" hidden="1" customHeight="1" outlineLevel="3" x14ac:dyDescent="0.2">
      <c r="A2371" s="459">
        <v>0</v>
      </c>
      <c r="B2371" s="459">
        <v>17</v>
      </c>
      <c r="C2371" s="459">
        <v>2</v>
      </c>
      <c r="D2371" s="460">
        <v>3</v>
      </c>
      <c r="E2371" s="460">
        <v>1</v>
      </c>
      <c r="G2371" s="1798" t="s">
        <v>51</v>
      </c>
      <c r="H2371" s="1783" t="s">
        <v>1239</v>
      </c>
      <c r="I2371" s="1750" t="s">
        <v>8152</v>
      </c>
      <c r="J2371" s="1785" t="s">
        <v>3104</v>
      </c>
      <c r="K2371" s="1786" t="s">
        <v>642</v>
      </c>
      <c r="L2371" s="1787" t="e">
        <v>#REF!</v>
      </c>
      <c r="M2371" s="1787">
        <v>1.7585555555555554</v>
      </c>
      <c r="N2371" s="1754"/>
      <c r="O2371" s="1788"/>
      <c r="P2371" s="1721" t="s">
        <v>9611</v>
      </c>
    </row>
    <row r="2372" spans="1:16" ht="13.5" hidden="1" customHeight="1" outlineLevel="3" x14ac:dyDescent="0.2">
      <c r="A2372" s="459">
        <v>0</v>
      </c>
      <c r="B2372" s="459">
        <v>17</v>
      </c>
      <c r="C2372" s="459">
        <v>2</v>
      </c>
      <c r="D2372" s="460">
        <v>3</v>
      </c>
      <c r="E2372" s="460">
        <v>2</v>
      </c>
      <c r="G2372" s="1798" t="s">
        <v>51</v>
      </c>
      <c r="H2372" s="1783" t="s">
        <v>1239</v>
      </c>
      <c r="I2372" s="1750" t="s">
        <v>8153</v>
      </c>
      <c r="J2372" s="1785" t="s">
        <v>1936</v>
      </c>
      <c r="K2372" s="1786" t="s">
        <v>642</v>
      </c>
      <c r="L2372" s="1787" t="e">
        <v>#REF!</v>
      </c>
      <c r="M2372" s="1787">
        <v>4.3491600000000004</v>
      </c>
      <c r="N2372" s="1754"/>
      <c r="O2372" s="1788"/>
      <c r="P2372" s="1721" t="s">
        <v>9611</v>
      </c>
    </row>
    <row r="2373" spans="1:16" ht="13.5" hidden="1" customHeight="1" outlineLevel="3" x14ac:dyDescent="0.2">
      <c r="A2373" s="459">
        <v>0</v>
      </c>
      <c r="B2373" s="459">
        <v>17</v>
      </c>
      <c r="C2373" s="459">
        <v>2</v>
      </c>
      <c r="D2373" s="460">
        <v>3</v>
      </c>
      <c r="E2373" s="460">
        <v>3</v>
      </c>
      <c r="G2373" s="1798" t="s">
        <v>51</v>
      </c>
      <c r="H2373" s="1783" t="s">
        <v>1239</v>
      </c>
      <c r="I2373" s="1750" t="s">
        <v>8154</v>
      </c>
      <c r="J2373" s="1785" t="s">
        <v>3103</v>
      </c>
      <c r="K2373" s="1786" t="s">
        <v>642</v>
      </c>
      <c r="L2373" s="1787" t="e">
        <v>#REF!</v>
      </c>
      <c r="M2373" s="1787">
        <v>12.1275</v>
      </c>
      <c r="N2373" s="1754"/>
      <c r="O2373" s="1788"/>
      <c r="P2373" s="1721" t="s">
        <v>9611</v>
      </c>
    </row>
    <row r="2374" spans="1:16" ht="13.5" hidden="1" customHeight="1" outlineLevel="3" x14ac:dyDescent="0.2">
      <c r="A2374" s="459">
        <v>0</v>
      </c>
      <c r="B2374" s="459">
        <v>17</v>
      </c>
      <c r="C2374" s="459">
        <v>2</v>
      </c>
      <c r="D2374" s="460">
        <v>3</v>
      </c>
      <c r="E2374" s="460">
        <v>4</v>
      </c>
      <c r="G2374" s="1798" t="s">
        <v>51</v>
      </c>
      <c r="H2374" s="1783" t="s">
        <v>1239</v>
      </c>
      <c r="I2374" s="1750" t="s">
        <v>8155</v>
      </c>
      <c r="J2374" s="1785" t="s">
        <v>3100</v>
      </c>
      <c r="K2374" s="1786" t="s">
        <v>642</v>
      </c>
      <c r="L2374" s="1787" t="e">
        <v>#REF!</v>
      </c>
      <c r="M2374" s="1787">
        <v>22.507959374999999</v>
      </c>
      <c r="N2374" s="1754"/>
      <c r="O2374" s="1788"/>
      <c r="P2374" s="1721" t="s">
        <v>9611</v>
      </c>
    </row>
    <row r="2375" spans="1:16" ht="13.5" hidden="1" customHeight="1" outlineLevel="3" x14ac:dyDescent="0.2">
      <c r="A2375" s="459">
        <v>0</v>
      </c>
      <c r="B2375" s="459">
        <v>17</v>
      </c>
      <c r="C2375" s="459">
        <v>2</v>
      </c>
      <c r="D2375" s="460">
        <v>3</v>
      </c>
      <c r="E2375" s="460">
        <v>5</v>
      </c>
      <c r="G2375" s="1798" t="s">
        <v>51</v>
      </c>
      <c r="H2375" s="1783" t="s">
        <v>1239</v>
      </c>
      <c r="I2375" s="1750" t="s">
        <v>8156</v>
      </c>
      <c r="J2375" s="1785" t="s">
        <v>3105</v>
      </c>
      <c r="K2375" s="1786" t="s">
        <v>642</v>
      </c>
      <c r="L2375" s="1787" t="e">
        <v>#REF!</v>
      </c>
      <c r="M2375" s="1787">
        <v>70.567030666666668</v>
      </c>
      <c r="N2375" s="1754"/>
      <c r="O2375" s="1788"/>
      <c r="P2375" s="1721" t="s">
        <v>9611</v>
      </c>
    </row>
    <row r="2376" spans="1:16" ht="13.5" hidden="1" customHeight="1" outlineLevel="3" x14ac:dyDescent="0.2">
      <c r="A2376" s="459">
        <v>0</v>
      </c>
      <c r="B2376" s="459">
        <v>17</v>
      </c>
      <c r="C2376" s="459">
        <v>2</v>
      </c>
      <c r="D2376" s="460">
        <v>3</v>
      </c>
      <c r="E2376" s="460">
        <v>6</v>
      </c>
      <c r="G2376" s="1798" t="s">
        <v>51</v>
      </c>
      <c r="H2376" s="1783" t="s">
        <v>1239</v>
      </c>
      <c r="I2376" s="1750" t="s">
        <v>8157</v>
      </c>
      <c r="J2376" s="1785" t="s">
        <v>3106</v>
      </c>
      <c r="K2376" s="1786" t="s">
        <v>642</v>
      </c>
      <c r="L2376" s="1787" t="e">
        <v>#REF!</v>
      </c>
      <c r="M2376" s="1787">
        <v>80</v>
      </c>
      <c r="N2376" s="1754"/>
      <c r="O2376" s="1788"/>
      <c r="P2376" s="1721" t="s">
        <v>9611</v>
      </c>
    </row>
    <row r="2377" spans="1:16" ht="13.5" hidden="1" customHeight="1" outlineLevel="3" x14ac:dyDescent="0.2">
      <c r="A2377" s="459">
        <v>0</v>
      </c>
      <c r="B2377" s="459">
        <v>17</v>
      </c>
      <c r="C2377" s="459">
        <v>2</v>
      </c>
      <c r="D2377" s="460">
        <v>3</v>
      </c>
      <c r="E2377" s="460">
        <v>7</v>
      </c>
      <c r="G2377" s="1798" t="s">
        <v>51</v>
      </c>
      <c r="H2377" s="1783" t="s">
        <v>1239</v>
      </c>
      <c r="I2377" s="1750" t="s">
        <v>8158</v>
      </c>
      <c r="J2377" s="1785" t="s">
        <v>771</v>
      </c>
      <c r="K2377" s="1786" t="s">
        <v>642</v>
      </c>
      <c r="L2377" s="1787" t="e">
        <v>#REF!</v>
      </c>
      <c r="M2377" s="1787">
        <v>13.636363636363637</v>
      </c>
      <c r="N2377" s="1754"/>
      <c r="O2377" s="1788"/>
      <c r="P2377" s="1721" t="s">
        <v>9611</v>
      </c>
    </row>
    <row r="2378" spans="1:16" ht="13.5" hidden="1" customHeight="1" outlineLevel="2" x14ac:dyDescent="0.2">
      <c r="A2378" s="459">
        <v>0</v>
      </c>
      <c r="B2378" s="459">
        <v>17</v>
      </c>
      <c r="C2378" s="459">
        <v>2</v>
      </c>
      <c r="D2378" s="460">
        <v>4</v>
      </c>
      <c r="E2378" s="460">
        <v>0</v>
      </c>
      <c r="G2378" s="1797"/>
      <c r="H2378" s="1777" t="s">
        <v>1238</v>
      </c>
      <c r="I2378" s="1742" t="s">
        <v>8159</v>
      </c>
      <c r="J2378" s="1779" t="s">
        <v>15</v>
      </c>
      <c r="K2378" s="1780"/>
      <c r="L2378" s="1781"/>
      <c r="M2378" s="1781"/>
      <c r="N2378" s="1746"/>
      <c r="O2378" s="1782"/>
      <c r="P2378" s="1720"/>
    </row>
    <row r="2379" spans="1:16" ht="13.5" hidden="1" customHeight="1" outlineLevel="3" x14ac:dyDescent="0.2">
      <c r="A2379" s="459">
        <v>0</v>
      </c>
      <c r="B2379" s="459">
        <v>17</v>
      </c>
      <c r="C2379" s="459">
        <v>2</v>
      </c>
      <c r="D2379" s="460">
        <v>4</v>
      </c>
      <c r="E2379" s="460">
        <v>1</v>
      </c>
      <c r="G2379" s="1798" t="s">
        <v>51</v>
      </c>
      <c r="H2379" s="1783" t="s">
        <v>1239</v>
      </c>
      <c r="I2379" s="1750" t="s">
        <v>8160</v>
      </c>
      <c r="J2379" s="1785" t="s">
        <v>3108</v>
      </c>
      <c r="K2379" s="1786" t="s">
        <v>642</v>
      </c>
      <c r="L2379" s="1787" t="e">
        <v>#REF!</v>
      </c>
      <c r="M2379" s="1787">
        <v>40</v>
      </c>
      <c r="N2379" s="1754"/>
      <c r="O2379" s="1788"/>
      <c r="P2379" s="1721" t="s">
        <v>9611</v>
      </c>
    </row>
    <row r="2380" spans="1:16" ht="13.5" hidden="1" customHeight="1" outlineLevel="3" x14ac:dyDescent="0.2">
      <c r="A2380" s="459">
        <v>0</v>
      </c>
      <c r="B2380" s="459">
        <v>17</v>
      </c>
      <c r="C2380" s="459">
        <v>2</v>
      </c>
      <c r="D2380" s="460">
        <v>4</v>
      </c>
      <c r="E2380" s="460">
        <v>2</v>
      </c>
      <c r="G2380" s="1798" t="s">
        <v>51</v>
      </c>
      <c r="H2380" s="1783" t="s">
        <v>1239</v>
      </c>
      <c r="I2380" s="1750" t="s">
        <v>8161</v>
      </c>
      <c r="J2380" s="1785" t="s">
        <v>3529</v>
      </c>
      <c r="K2380" s="1786" t="s">
        <v>642</v>
      </c>
      <c r="L2380" s="1787" t="e">
        <v>#REF!</v>
      </c>
      <c r="M2380" s="1787">
        <v>42</v>
      </c>
      <c r="N2380" s="1754"/>
      <c r="O2380" s="1788"/>
      <c r="P2380" s="1721" t="s">
        <v>9611</v>
      </c>
    </row>
    <row r="2381" spans="1:16" ht="13.5" hidden="1" customHeight="1" outlineLevel="3" x14ac:dyDescent="0.2">
      <c r="A2381" s="459">
        <v>0</v>
      </c>
      <c r="B2381" s="459">
        <v>17</v>
      </c>
      <c r="C2381" s="459">
        <v>2</v>
      </c>
      <c r="D2381" s="460">
        <v>4</v>
      </c>
      <c r="E2381" s="460">
        <v>3</v>
      </c>
      <c r="G2381" s="1798" t="s">
        <v>51</v>
      </c>
      <c r="H2381" s="1783" t="s">
        <v>1239</v>
      </c>
      <c r="I2381" s="1750" t="s">
        <v>8162</v>
      </c>
      <c r="J2381" s="1785" t="s">
        <v>784</v>
      </c>
      <c r="K2381" s="1786" t="s">
        <v>642</v>
      </c>
      <c r="L2381" s="1787" t="e">
        <v>#REF!</v>
      </c>
      <c r="M2381" s="1787">
        <v>40</v>
      </c>
      <c r="N2381" s="1754"/>
      <c r="O2381" s="1788"/>
      <c r="P2381" s="1721" t="s">
        <v>9611</v>
      </c>
    </row>
    <row r="2382" spans="1:16" ht="13.5" hidden="1" customHeight="1" outlineLevel="3" x14ac:dyDescent="0.2">
      <c r="A2382" s="459">
        <v>0</v>
      </c>
      <c r="B2382" s="459">
        <v>17</v>
      </c>
      <c r="C2382" s="459">
        <v>2</v>
      </c>
      <c r="D2382" s="460">
        <v>4</v>
      </c>
      <c r="E2382" s="460">
        <v>4</v>
      </c>
      <c r="G2382" s="1798" t="s">
        <v>51</v>
      </c>
      <c r="H2382" s="1783" t="s">
        <v>1239</v>
      </c>
      <c r="I2382" s="1750" t="s">
        <v>8163</v>
      </c>
      <c r="J2382" s="1785" t="s">
        <v>1568</v>
      </c>
      <c r="K2382" s="1786" t="s">
        <v>642</v>
      </c>
      <c r="L2382" s="1787" t="e">
        <v>#REF!</v>
      </c>
      <c r="M2382" s="1787">
        <v>20</v>
      </c>
      <c r="N2382" s="1754"/>
      <c r="O2382" s="1788"/>
      <c r="P2382" s="1721" t="s">
        <v>9611</v>
      </c>
    </row>
    <row r="2383" spans="1:16" ht="13.5" hidden="1" customHeight="1" outlineLevel="3" x14ac:dyDescent="0.2">
      <c r="A2383" s="459">
        <v>0</v>
      </c>
      <c r="B2383" s="459">
        <v>17</v>
      </c>
      <c r="C2383" s="459">
        <v>2</v>
      </c>
      <c r="D2383" s="460">
        <v>4</v>
      </c>
      <c r="E2383" s="460">
        <v>5</v>
      </c>
      <c r="G2383" s="1798" t="s">
        <v>51</v>
      </c>
      <c r="H2383" s="1783" t="s">
        <v>1239</v>
      </c>
      <c r="I2383" s="1750" t="s">
        <v>8164</v>
      </c>
      <c r="J2383" s="1785" t="s">
        <v>785</v>
      </c>
      <c r="K2383" s="1786" t="s">
        <v>642</v>
      </c>
      <c r="L2383" s="1787" t="e">
        <v>#REF!</v>
      </c>
      <c r="M2383" s="1787">
        <v>40</v>
      </c>
      <c r="N2383" s="1754"/>
      <c r="O2383" s="1788"/>
      <c r="P2383" s="1721" t="s">
        <v>9611</v>
      </c>
    </row>
    <row r="2384" spans="1:16" ht="13.5" hidden="1" customHeight="1" outlineLevel="3" x14ac:dyDescent="0.2">
      <c r="A2384" s="459">
        <v>0</v>
      </c>
      <c r="B2384" s="459">
        <v>17</v>
      </c>
      <c r="C2384" s="459">
        <v>2</v>
      </c>
      <c r="D2384" s="460">
        <v>4</v>
      </c>
      <c r="E2384" s="460">
        <v>6</v>
      </c>
      <c r="G2384" s="1798" t="s">
        <v>51</v>
      </c>
      <c r="H2384" s="1783" t="s">
        <v>1239</v>
      </c>
      <c r="I2384" s="1750" t="s">
        <v>8165</v>
      </c>
      <c r="J2384" s="1785" t="s">
        <v>786</v>
      </c>
      <c r="K2384" s="1786" t="s">
        <v>642</v>
      </c>
      <c r="L2384" s="1787" t="e">
        <v>#REF!</v>
      </c>
      <c r="M2384" s="1787">
        <v>40</v>
      </c>
      <c r="N2384" s="1754"/>
      <c r="O2384" s="1788"/>
      <c r="P2384" s="1721" t="s">
        <v>9611</v>
      </c>
    </row>
    <row r="2385" spans="1:16" ht="13.5" hidden="1" customHeight="1" outlineLevel="3" x14ac:dyDescent="0.2">
      <c r="A2385" s="459">
        <v>0</v>
      </c>
      <c r="B2385" s="459">
        <v>17</v>
      </c>
      <c r="C2385" s="459">
        <v>2</v>
      </c>
      <c r="D2385" s="460">
        <v>4</v>
      </c>
      <c r="E2385" s="460">
        <v>7</v>
      </c>
      <c r="G2385" s="1798" t="s">
        <v>51</v>
      </c>
      <c r="H2385" s="1783" t="s">
        <v>1239</v>
      </c>
      <c r="I2385" s="1750" t="s">
        <v>8166</v>
      </c>
      <c r="J2385" s="1785" t="s">
        <v>3107</v>
      </c>
      <c r="K2385" s="1786" t="s">
        <v>642</v>
      </c>
      <c r="L2385" s="1787" t="e">
        <v>#REF!</v>
      </c>
      <c r="M2385" s="1787">
        <v>400</v>
      </c>
      <c r="N2385" s="1754"/>
      <c r="O2385" s="1788"/>
      <c r="P2385" s="1721" t="s">
        <v>9611</v>
      </c>
    </row>
    <row r="2386" spans="1:16" ht="13.5" hidden="1" customHeight="1" outlineLevel="3" x14ac:dyDescent="0.2">
      <c r="A2386" s="459">
        <v>0</v>
      </c>
      <c r="B2386" s="459">
        <v>17</v>
      </c>
      <c r="C2386" s="459">
        <v>2</v>
      </c>
      <c r="D2386" s="460">
        <v>4</v>
      </c>
      <c r="E2386" s="460">
        <v>8</v>
      </c>
      <c r="G2386" s="1798" t="s">
        <v>51</v>
      </c>
      <c r="H2386" s="1783" t="s">
        <v>1239</v>
      </c>
      <c r="I2386" s="1750" t="s">
        <v>8167</v>
      </c>
      <c r="J2386" s="1785" t="s">
        <v>3109</v>
      </c>
      <c r="K2386" s="1786" t="s">
        <v>642</v>
      </c>
      <c r="L2386" s="1787" t="e">
        <v>#REF!</v>
      </c>
      <c r="M2386" s="1787">
        <v>40</v>
      </c>
      <c r="N2386" s="1754"/>
      <c r="O2386" s="1788"/>
      <c r="P2386" s="1721" t="s">
        <v>9611</v>
      </c>
    </row>
    <row r="2387" spans="1:16" ht="13.5" hidden="1" customHeight="1" outlineLevel="1" x14ac:dyDescent="0.2">
      <c r="A2387" s="459">
        <v>0</v>
      </c>
      <c r="B2387" s="459">
        <v>17</v>
      </c>
      <c r="C2387" s="459">
        <v>3</v>
      </c>
      <c r="D2387" s="460">
        <v>0</v>
      </c>
      <c r="E2387" s="460">
        <v>8</v>
      </c>
      <c r="G2387" s="1796"/>
      <c r="H2387" s="1771" t="s">
        <v>39</v>
      </c>
      <c r="I2387" s="1735" t="s">
        <v>8168</v>
      </c>
      <c r="J2387" s="1773" t="s">
        <v>3111</v>
      </c>
      <c r="K2387" s="1774"/>
      <c r="L2387" s="1775"/>
      <c r="M2387" s="1775"/>
      <c r="N2387" s="1739"/>
      <c r="O2387" s="1776"/>
      <c r="P2387" s="1719"/>
    </row>
    <row r="2388" spans="1:16" ht="13.5" hidden="1" customHeight="1" outlineLevel="2" x14ac:dyDescent="0.2">
      <c r="A2388" s="459">
        <v>0</v>
      </c>
      <c r="B2388" s="459">
        <v>17</v>
      </c>
      <c r="C2388" s="459">
        <v>3</v>
      </c>
      <c r="D2388" s="460">
        <v>1</v>
      </c>
      <c r="E2388" s="460">
        <v>0</v>
      </c>
      <c r="G2388" s="1797"/>
      <c r="H2388" s="1777" t="s">
        <v>1238</v>
      </c>
      <c r="I2388" s="1742" t="s">
        <v>8169</v>
      </c>
      <c r="J2388" s="1779" t="s">
        <v>1548</v>
      </c>
      <c r="K2388" s="1780"/>
      <c r="L2388" s="1781"/>
      <c r="M2388" s="1781"/>
      <c r="N2388" s="1746"/>
      <c r="O2388" s="1782"/>
      <c r="P2388" s="1720"/>
    </row>
    <row r="2389" spans="1:16" ht="13.5" hidden="1" customHeight="1" outlineLevel="3" x14ac:dyDescent="0.2">
      <c r="A2389" s="459">
        <v>0</v>
      </c>
      <c r="B2389" s="459">
        <v>17</v>
      </c>
      <c r="C2389" s="459">
        <v>3</v>
      </c>
      <c r="D2389" s="460">
        <v>1</v>
      </c>
      <c r="E2389" s="460">
        <v>1</v>
      </c>
      <c r="G2389" s="1798" t="s">
        <v>51</v>
      </c>
      <c r="H2389" s="1783" t="s">
        <v>1239</v>
      </c>
      <c r="I2389" s="1750" t="s">
        <v>8170</v>
      </c>
      <c r="J2389" s="1785" t="s">
        <v>757</v>
      </c>
      <c r="K2389" s="1786" t="s">
        <v>642</v>
      </c>
      <c r="L2389" s="1787" t="e">
        <v>#REF!</v>
      </c>
      <c r="M2389" s="1787">
        <v>48.294267209876544</v>
      </c>
      <c r="N2389" s="1754"/>
      <c r="O2389" s="1788"/>
      <c r="P2389" s="1721" t="s">
        <v>9611</v>
      </c>
    </row>
    <row r="2390" spans="1:16" ht="13.5" hidden="1" customHeight="1" outlineLevel="2" x14ac:dyDescent="0.2">
      <c r="A2390" s="459">
        <v>0</v>
      </c>
      <c r="B2390" s="459">
        <v>17</v>
      </c>
      <c r="C2390" s="459">
        <v>3</v>
      </c>
      <c r="D2390" s="460">
        <v>2</v>
      </c>
      <c r="E2390" s="460">
        <v>0</v>
      </c>
      <c r="G2390" s="1797"/>
      <c r="H2390" s="1777" t="s">
        <v>1238</v>
      </c>
      <c r="I2390" s="1742" t="s">
        <v>8171</v>
      </c>
      <c r="J2390" s="1779" t="s">
        <v>1569</v>
      </c>
      <c r="K2390" s="1780"/>
      <c r="L2390" s="1781"/>
      <c r="M2390" s="1781"/>
      <c r="N2390" s="1746"/>
      <c r="O2390" s="1782"/>
      <c r="P2390" s="1720"/>
    </row>
    <row r="2391" spans="1:16" ht="13.5" hidden="1" customHeight="1" outlineLevel="3" x14ac:dyDescent="0.2">
      <c r="A2391" s="459">
        <v>0</v>
      </c>
      <c r="B2391" s="459">
        <v>17</v>
      </c>
      <c r="C2391" s="459">
        <v>3</v>
      </c>
      <c r="D2391" s="460">
        <v>2</v>
      </c>
      <c r="E2391" s="460">
        <v>1</v>
      </c>
      <c r="G2391" s="1798" t="s">
        <v>51</v>
      </c>
      <c r="H2391" s="1783" t="s">
        <v>1239</v>
      </c>
      <c r="I2391" s="1750" t="s">
        <v>8172</v>
      </c>
      <c r="J2391" s="1785" t="s">
        <v>1560</v>
      </c>
      <c r="K2391" s="1786" t="s">
        <v>642</v>
      </c>
      <c r="L2391" s="1787" t="e">
        <v>#REF!</v>
      </c>
      <c r="M2391" s="1787">
        <v>1.7585555555555554</v>
      </c>
      <c r="N2391" s="1754"/>
      <c r="O2391" s="1788"/>
      <c r="P2391" s="1721" t="s">
        <v>9611</v>
      </c>
    </row>
    <row r="2392" spans="1:16" ht="13.5" hidden="1" customHeight="1" outlineLevel="3" x14ac:dyDescent="0.2">
      <c r="A2392" s="459">
        <v>0</v>
      </c>
      <c r="B2392" s="459">
        <v>17</v>
      </c>
      <c r="C2392" s="459">
        <v>3</v>
      </c>
      <c r="D2392" s="460">
        <v>2</v>
      </c>
      <c r="E2392" s="460">
        <v>2</v>
      </c>
      <c r="G2392" s="1798" t="s">
        <v>51</v>
      </c>
      <c r="H2392" s="1783" t="s">
        <v>1239</v>
      </c>
      <c r="I2392" s="1750" t="s">
        <v>8173</v>
      </c>
      <c r="J2392" s="1785" t="s">
        <v>1561</v>
      </c>
      <c r="K2392" s="1786" t="s">
        <v>642</v>
      </c>
      <c r="L2392" s="1787" t="e">
        <v>#REF!</v>
      </c>
      <c r="M2392" s="1787">
        <v>4.3491600000000004</v>
      </c>
      <c r="N2392" s="1754"/>
      <c r="O2392" s="1788"/>
      <c r="P2392" s="1721" t="s">
        <v>9611</v>
      </c>
    </row>
    <row r="2393" spans="1:16" ht="13.5" hidden="1" customHeight="1" outlineLevel="3" x14ac:dyDescent="0.2">
      <c r="A2393" s="459">
        <v>0</v>
      </c>
      <c r="B2393" s="459">
        <v>17</v>
      </c>
      <c r="C2393" s="459">
        <v>3</v>
      </c>
      <c r="D2393" s="460">
        <v>2</v>
      </c>
      <c r="E2393" s="460">
        <v>3</v>
      </c>
      <c r="G2393" s="1798" t="s">
        <v>51</v>
      </c>
      <c r="H2393" s="1783" t="s">
        <v>1239</v>
      </c>
      <c r="I2393" s="1750" t="s">
        <v>8174</v>
      </c>
      <c r="J2393" s="1785" t="s">
        <v>774</v>
      </c>
      <c r="K2393" s="1786" t="s">
        <v>642</v>
      </c>
      <c r="L2393" s="1787" t="e">
        <v>#REF!</v>
      </c>
      <c r="M2393" s="1787">
        <v>12.1275</v>
      </c>
      <c r="N2393" s="1754"/>
      <c r="O2393" s="1788"/>
      <c r="P2393" s="1721" t="s">
        <v>9611</v>
      </c>
    </row>
    <row r="2394" spans="1:16" ht="13.5" hidden="1" customHeight="1" outlineLevel="3" x14ac:dyDescent="0.2">
      <c r="A2394" s="459">
        <v>0</v>
      </c>
      <c r="B2394" s="459">
        <v>17</v>
      </c>
      <c r="C2394" s="459">
        <v>3</v>
      </c>
      <c r="D2394" s="460">
        <v>2</v>
      </c>
      <c r="E2394" s="460">
        <v>4</v>
      </c>
      <c r="G2394" s="1798" t="s">
        <v>51</v>
      </c>
      <c r="H2394" s="1783" t="s">
        <v>1239</v>
      </c>
      <c r="I2394" s="1750" t="s">
        <v>8175</v>
      </c>
      <c r="J2394" s="1785" t="s">
        <v>3091</v>
      </c>
      <c r="K2394" s="1786" t="s">
        <v>642</v>
      </c>
      <c r="L2394" s="1787" t="e">
        <v>#REF!</v>
      </c>
      <c r="M2394" s="1787">
        <v>22.507959374999999</v>
      </c>
      <c r="N2394" s="1754"/>
      <c r="O2394" s="1788"/>
      <c r="P2394" s="1721" t="s">
        <v>9611</v>
      </c>
    </row>
    <row r="2395" spans="1:16" ht="13.5" hidden="1" customHeight="1" outlineLevel="3" x14ac:dyDescent="0.2">
      <c r="A2395" s="459">
        <v>0</v>
      </c>
      <c r="B2395" s="459">
        <v>17</v>
      </c>
      <c r="C2395" s="459">
        <v>3</v>
      </c>
      <c r="D2395" s="460">
        <v>2</v>
      </c>
      <c r="E2395" s="460">
        <v>5</v>
      </c>
      <c r="G2395" s="1798" t="s">
        <v>51</v>
      </c>
      <c r="H2395" s="1783" t="s">
        <v>1239</v>
      </c>
      <c r="I2395" s="1750" t="s">
        <v>8176</v>
      </c>
      <c r="J2395" s="1751" t="s">
        <v>3528</v>
      </c>
      <c r="K2395" s="1752" t="s">
        <v>642</v>
      </c>
      <c r="L2395" s="1753" t="e">
        <v>#REF!</v>
      </c>
      <c r="M2395" s="1787">
        <v>76.674746222222225</v>
      </c>
      <c r="N2395" s="1754"/>
      <c r="O2395" s="1755"/>
      <c r="P2395" s="1721" t="s">
        <v>9611</v>
      </c>
    </row>
    <row r="2396" spans="1:16" ht="13.5" hidden="1" customHeight="1" outlineLevel="3" x14ac:dyDescent="0.2">
      <c r="A2396" s="459">
        <v>0</v>
      </c>
      <c r="B2396" s="459">
        <v>17</v>
      </c>
      <c r="C2396" s="459">
        <v>3</v>
      </c>
      <c r="D2396" s="460">
        <v>2</v>
      </c>
      <c r="E2396" s="460">
        <v>6</v>
      </c>
      <c r="G2396" s="1798" t="s">
        <v>51</v>
      </c>
      <c r="H2396" s="1783" t="s">
        <v>1239</v>
      </c>
      <c r="I2396" s="1750" t="s">
        <v>8177</v>
      </c>
      <c r="J2396" s="1785" t="s">
        <v>770</v>
      </c>
      <c r="K2396" s="1786" t="s">
        <v>642</v>
      </c>
      <c r="L2396" s="1787" t="e">
        <v>#REF!</v>
      </c>
      <c r="M2396" s="1787">
        <v>8.7283160650000013</v>
      </c>
      <c r="N2396" s="1754"/>
      <c r="O2396" s="1788"/>
      <c r="P2396" s="1721" t="s">
        <v>9611</v>
      </c>
    </row>
    <row r="2397" spans="1:16" ht="13.5" hidden="1" customHeight="1" outlineLevel="2" x14ac:dyDescent="0.2">
      <c r="A2397" s="459">
        <v>0</v>
      </c>
      <c r="B2397" s="459">
        <v>17</v>
      </c>
      <c r="C2397" s="459">
        <v>3</v>
      </c>
      <c r="D2397" s="460">
        <v>3</v>
      </c>
      <c r="E2397" s="460">
        <v>0</v>
      </c>
      <c r="G2397" s="1797"/>
      <c r="H2397" s="1777" t="s">
        <v>1238</v>
      </c>
      <c r="I2397" s="1742" t="s">
        <v>8178</v>
      </c>
      <c r="J2397" s="1779" t="s">
        <v>1547</v>
      </c>
      <c r="K2397" s="1780"/>
      <c r="L2397" s="1781"/>
      <c r="M2397" s="1781"/>
      <c r="N2397" s="1746"/>
      <c r="O2397" s="1782"/>
      <c r="P2397" s="1720"/>
    </row>
    <row r="2398" spans="1:16" ht="13.5" hidden="1" customHeight="1" outlineLevel="3" x14ac:dyDescent="0.2">
      <c r="A2398" s="459">
        <v>0</v>
      </c>
      <c r="B2398" s="459">
        <v>17</v>
      </c>
      <c r="C2398" s="459">
        <v>3</v>
      </c>
      <c r="D2398" s="460">
        <v>3</v>
      </c>
      <c r="E2398" s="460">
        <v>1</v>
      </c>
      <c r="G2398" s="1798" t="s">
        <v>51</v>
      </c>
      <c r="H2398" s="1783" t="s">
        <v>1239</v>
      </c>
      <c r="I2398" s="1750" t="s">
        <v>8179</v>
      </c>
      <c r="J2398" s="1785" t="s">
        <v>3104</v>
      </c>
      <c r="K2398" s="1786" t="s">
        <v>642</v>
      </c>
      <c r="L2398" s="1787" t="e">
        <v>#REF!</v>
      </c>
      <c r="M2398" s="1787">
        <v>1.7585555555555554</v>
      </c>
      <c r="N2398" s="1754"/>
      <c r="O2398" s="1788"/>
      <c r="P2398" s="1721" t="s">
        <v>9611</v>
      </c>
    </row>
    <row r="2399" spans="1:16" ht="13.5" hidden="1" customHeight="1" outlineLevel="3" x14ac:dyDescent="0.2">
      <c r="A2399" s="459">
        <v>0</v>
      </c>
      <c r="B2399" s="459">
        <v>17</v>
      </c>
      <c r="C2399" s="459">
        <v>3</v>
      </c>
      <c r="D2399" s="460">
        <v>3</v>
      </c>
      <c r="E2399" s="460">
        <v>2</v>
      </c>
      <c r="G2399" s="1798" t="s">
        <v>51</v>
      </c>
      <c r="H2399" s="1783" t="s">
        <v>1239</v>
      </c>
      <c r="I2399" s="1750" t="s">
        <v>8180</v>
      </c>
      <c r="J2399" s="1785" t="s">
        <v>1936</v>
      </c>
      <c r="K2399" s="1786" t="s">
        <v>642</v>
      </c>
      <c r="L2399" s="1787" t="e">
        <v>#REF!</v>
      </c>
      <c r="M2399" s="1787">
        <v>4.3491600000000004</v>
      </c>
      <c r="N2399" s="1754"/>
      <c r="O2399" s="1788"/>
      <c r="P2399" s="1721" t="s">
        <v>9611</v>
      </c>
    </row>
    <row r="2400" spans="1:16" ht="13.5" hidden="1" customHeight="1" outlineLevel="3" x14ac:dyDescent="0.2">
      <c r="A2400" s="459">
        <v>0</v>
      </c>
      <c r="B2400" s="459">
        <v>17</v>
      </c>
      <c r="C2400" s="459">
        <v>3</v>
      </c>
      <c r="D2400" s="460">
        <v>3</v>
      </c>
      <c r="E2400" s="460">
        <v>3</v>
      </c>
      <c r="G2400" s="1798" t="s">
        <v>51</v>
      </c>
      <c r="H2400" s="1783" t="s">
        <v>1239</v>
      </c>
      <c r="I2400" s="1750" t="s">
        <v>8181</v>
      </c>
      <c r="J2400" s="1785" t="s">
        <v>3103</v>
      </c>
      <c r="K2400" s="1786" t="s">
        <v>642</v>
      </c>
      <c r="L2400" s="1787" t="e">
        <v>#REF!</v>
      </c>
      <c r="M2400" s="1787">
        <v>12.1275</v>
      </c>
      <c r="N2400" s="1754"/>
      <c r="O2400" s="1788"/>
      <c r="P2400" s="1721" t="s">
        <v>9611</v>
      </c>
    </row>
    <row r="2401" spans="1:16" ht="13.5" hidden="1" customHeight="1" outlineLevel="3" x14ac:dyDescent="0.2">
      <c r="A2401" s="459">
        <v>0</v>
      </c>
      <c r="B2401" s="459">
        <v>17</v>
      </c>
      <c r="C2401" s="459">
        <v>3</v>
      </c>
      <c r="D2401" s="460">
        <v>3</v>
      </c>
      <c r="E2401" s="460">
        <v>4</v>
      </c>
      <c r="G2401" s="1798" t="s">
        <v>51</v>
      </c>
      <c r="H2401" s="1783" t="s">
        <v>1239</v>
      </c>
      <c r="I2401" s="1750" t="s">
        <v>8182</v>
      </c>
      <c r="J2401" s="1785" t="s">
        <v>3105</v>
      </c>
      <c r="K2401" s="1786" t="s">
        <v>642</v>
      </c>
      <c r="L2401" s="1787" t="e">
        <v>#REF!</v>
      </c>
      <c r="M2401" s="1787">
        <v>70.567030666666668</v>
      </c>
      <c r="N2401" s="1754"/>
      <c r="O2401" s="1788"/>
      <c r="P2401" s="1721" t="s">
        <v>9611</v>
      </c>
    </row>
    <row r="2402" spans="1:16" ht="13.5" hidden="1" customHeight="1" outlineLevel="3" x14ac:dyDescent="0.2">
      <c r="A2402" s="459">
        <v>0</v>
      </c>
      <c r="B2402" s="459">
        <v>17</v>
      </c>
      <c r="C2402" s="459">
        <v>3</v>
      </c>
      <c r="D2402" s="460">
        <v>3</v>
      </c>
      <c r="E2402" s="460">
        <v>5</v>
      </c>
      <c r="G2402" s="1798" t="s">
        <v>51</v>
      </c>
      <c r="H2402" s="1783" t="s">
        <v>1239</v>
      </c>
      <c r="I2402" s="1750" t="s">
        <v>8183</v>
      </c>
      <c r="J2402" s="1785" t="s">
        <v>771</v>
      </c>
      <c r="K2402" s="1786" t="s">
        <v>642</v>
      </c>
      <c r="L2402" s="1787" t="e">
        <v>#REF!</v>
      </c>
      <c r="M2402" s="1787">
        <v>13.636363636363637</v>
      </c>
      <c r="N2402" s="1754"/>
      <c r="O2402" s="1788"/>
      <c r="P2402" s="1721" t="s">
        <v>9611</v>
      </c>
    </row>
    <row r="2403" spans="1:16" ht="13.5" hidden="1" customHeight="1" outlineLevel="2" x14ac:dyDescent="0.2">
      <c r="A2403" s="459">
        <v>0</v>
      </c>
      <c r="B2403" s="459">
        <v>17</v>
      </c>
      <c r="C2403" s="459">
        <v>3</v>
      </c>
      <c r="D2403" s="460">
        <v>4</v>
      </c>
      <c r="E2403" s="460">
        <v>0</v>
      </c>
      <c r="G2403" s="1797"/>
      <c r="H2403" s="1777" t="s">
        <v>1238</v>
      </c>
      <c r="I2403" s="1742" t="s">
        <v>8184</v>
      </c>
      <c r="J2403" s="1779" t="s">
        <v>15</v>
      </c>
      <c r="K2403" s="1780"/>
      <c r="L2403" s="1781"/>
      <c r="M2403" s="1781"/>
      <c r="N2403" s="1746"/>
      <c r="O2403" s="1782"/>
      <c r="P2403" s="1720"/>
    </row>
    <row r="2404" spans="1:16" ht="13.5" hidden="1" customHeight="1" outlineLevel="3" x14ac:dyDescent="0.2">
      <c r="A2404" s="459">
        <v>0</v>
      </c>
      <c r="B2404" s="459">
        <v>17</v>
      </c>
      <c r="C2404" s="459">
        <v>3</v>
      </c>
      <c r="D2404" s="460">
        <v>4</v>
      </c>
      <c r="E2404" s="460">
        <v>1</v>
      </c>
      <c r="G2404" s="1798" t="s">
        <v>51</v>
      </c>
      <c r="H2404" s="1783" t="s">
        <v>1239</v>
      </c>
      <c r="I2404" s="1750" t="s">
        <v>8185</v>
      </c>
      <c r="J2404" s="1785" t="s">
        <v>3108</v>
      </c>
      <c r="K2404" s="1786" t="s">
        <v>642</v>
      </c>
      <c r="L2404" s="1787" t="e">
        <v>#REF!</v>
      </c>
      <c r="M2404" s="1787">
        <v>40</v>
      </c>
      <c r="N2404" s="1754"/>
      <c r="O2404" s="1788"/>
      <c r="P2404" s="1721" t="s">
        <v>9611</v>
      </c>
    </row>
    <row r="2405" spans="1:16" ht="13.5" hidden="1" customHeight="1" outlineLevel="3" x14ac:dyDescent="0.2">
      <c r="A2405" s="459">
        <v>0</v>
      </c>
      <c r="B2405" s="459">
        <v>17</v>
      </c>
      <c r="C2405" s="459">
        <v>3</v>
      </c>
      <c r="D2405" s="460">
        <v>4</v>
      </c>
      <c r="E2405" s="460">
        <v>2</v>
      </c>
      <c r="G2405" s="1798" t="s">
        <v>51</v>
      </c>
      <c r="H2405" s="1783" t="s">
        <v>1239</v>
      </c>
      <c r="I2405" s="1750" t="s">
        <v>8186</v>
      </c>
      <c r="J2405" s="1785" t="s">
        <v>3529</v>
      </c>
      <c r="K2405" s="1786" t="s">
        <v>642</v>
      </c>
      <c r="L2405" s="1787" t="e">
        <v>#REF!</v>
      </c>
      <c r="M2405" s="1787">
        <v>42</v>
      </c>
      <c r="N2405" s="1754"/>
      <c r="O2405" s="1788"/>
      <c r="P2405" s="1721" t="s">
        <v>9611</v>
      </c>
    </row>
    <row r="2406" spans="1:16" ht="13.5" hidden="1" customHeight="1" outlineLevel="3" x14ac:dyDescent="0.2">
      <c r="A2406" s="459">
        <v>0</v>
      </c>
      <c r="B2406" s="459">
        <v>17</v>
      </c>
      <c r="C2406" s="459">
        <v>3</v>
      </c>
      <c r="D2406" s="460">
        <v>4</v>
      </c>
      <c r="E2406" s="460">
        <v>3</v>
      </c>
      <c r="G2406" s="1798" t="s">
        <v>51</v>
      </c>
      <c r="H2406" s="1783" t="s">
        <v>1239</v>
      </c>
      <c r="I2406" s="1750" t="s">
        <v>8187</v>
      </c>
      <c r="J2406" s="1785" t="s">
        <v>784</v>
      </c>
      <c r="K2406" s="1786" t="s">
        <v>642</v>
      </c>
      <c r="L2406" s="1787" t="e">
        <v>#REF!</v>
      </c>
      <c r="M2406" s="1787">
        <v>40</v>
      </c>
      <c r="N2406" s="1754"/>
      <c r="O2406" s="1788"/>
      <c r="P2406" s="1721" t="s">
        <v>9611</v>
      </c>
    </row>
    <row r="2407" spans="1:16" ht="13.5" hidden="1" customHeight="1" outlineLevel="3" x14ac:dyDescent="0.2">
      <c r="A2407" s="459">
        <v>0</v>
      </c>
      <c r="B2407" s="459">
        <v>17</v>
      </c>
      <c r="C2407" s="459">
        <v>3</v>
      </c>
      <c r="D2407" s="460">
        <v>4</v>
      </c>
      <c r="E2407" s="460">
        <v>4</v>
      </c>
      <c r="G2407" s="1798" t="s">
        <v>51</v>
      </c>
      <c r="H2407" s="1783" t="s">
        <v>1239</v>
      </c>
      <c r="I2407" s="1750" t="s">
        <v>8188</v>
      </c>
      <c r="J2407" s="1785" t="s">
        <v>1568</v>
      </c>
      <c r="K2407" s="1786" t="s">
        <v>642</v>
      </c>
      <c r="L2407" s="1787" t="e">
        <v>#REF!</v>
      </c>
      <c r="M2407" s="1787">
        <v>20</v>
      </c>
      <c r="N2407" s="1754"/>
      <c r="O2407" s="1788"/>
      <c r="P2407" s="1721" t="s">
        <v>9611</v>
      </c>
    </row>
    <row r="2408" spans="1:16" ht="13.5" hidden="1" customHeight="1" outlineLevel="3" x14ac:dyDescent="0.2">
      <c r="A2408" s="459">
        <v>0</v>
      </c>
      <c r="B2408" s="459">
        <v>17</v>
      </c>
      <c r="C2408" s="459">
        <v>3</v>
      </c>
      <c r="D2408" s="460">
        <v>4</v>
      </c>
      <c r="E2408" s="460">
        <v>5</v>
      </c>
      <c r="G2408" s="1798" t="s">
        <v>51</v>
      </c>
      <c r="H2408" s="1783" t="s">
        <v>1239</v>
      </c>
      <c r="I2408" s="1750" t="s">
        <v>8189</v>
      </c>
      <c r="J2408" s="1785" t="s">
        <v>785</v>
      </c>
      <c r="K2408" s="1786" t="s">
        <v>642</v>
      </c>
      <c r="L2408" s="1787" t="e">
        <v>#REF!</v>
      </c>
      <c r="M2408" s="1787">
        <v>40</v>
      </c>
      <c r="N2408" s="1754"/>
      <c r="O2408" s="1788"/>
      <c r="P2408" s="1721" t="s">
        <v>9611</v>
      </c>
    </row>
    <row r="2409" spans="1:16" ht="13.5" hidden="1" customHeight="1" outlineLevel="3" x14ac:dyDescent="0.2">
      <c r="A2409" s="459">
        <v>0</v>
      </c>
      <c r="B2409" s="459">
        <v>17</v>
      </c>
      <c r="C2409" s="459">
        <v>3</v>
      </c>
      <c r="D2409" s="460">
        <v>4</v>
      </c>
      <c r="E2409" s="460">
        <v>6</v>
      </c>
      <c r="G2409" s="1798" t="s">
        <v>51</v>
      </c>
      <c r="H2409" s="1783" t="s">
        <v>1239</v>
      </c>
      <c r="I2409" s="1750" t="s">
        <v>8190</v>
      </c>
      <c r="J2409" s="1785" t="s">
        <v>786</v>
      </c>
      <c r="K2409" s="1786" t="s">
        <v>642</v>
      </c>
      <c r="L2409" s="1787" t="e">
        <v>#REF!</v>
      </c>
      <c r="M2409" s="1787">
        <v>40</v>
      </c>
      <c r="N2409" s="1754"/>
      <c r="O2409" s="1788"/>
      <c r="P2409" s="1721" t="s">
        <v>9611</v>
      </c>
    </row>
    <row r="2410" spans="1:16" ht="13.5" hidden="1" customHeight="1" outlineLevel="3" x14ac:dyDescent="0.2">
      <c r="A2410" s="459">
        <v>0</v>
      </c>
      <c r="B2410" s="459">
        <v>17</v>
      </c>
      <c r="C2410" s="459">
        <v>3</v>
      </c>
      <c r="D2410" s="460">
        <v>4</v>
      </c>
      <c r="E2410" s="460">
        <v>7</v>
      </c>
      <c r="G2410" s="1798" t="s">
        <v>51</v>
      </c>
      <c r="H2410" s="1783" t="s">
        <v>1239</v>
      </c>
      <c r="I2410" s="1750" t="s">
        <v>8191</v>
      </c>
      <c r="J2410" s="1785" t="s">
        <v>3109</v>
      </c>
      <c r="K2410" s="1786" t="s">
        <v>642</v>
      </c>
      <c r="L2410" s="1787" t="e">
        <v>#REF!</v>
      </c>
      <c r="M2410" s="1787">
        <v>40</v>
      </c>
      <c r="N2410" s="1754"/>
      <c r="O2410" s="1788"/>
      <c r="P2410" s="1721" t="s">
        <v>9611</v>
      </c>
    </row>
    <row r="2411" spans="1:16" ht="13.5" hidden="1" customHeight="1" outlineLevel="1" x14ac:dyDescent="0.2">
      <c r="A2411" s="459">
        <v>0</v>
      </c>
      <c r="B2411" s="459">
        <v>17</v>
      </c>
      <c r="C2411" s="459">
        <v>4</v>
      </c>
      <c r="D2411" s="460">
        <v>0</v>
      </c>
      <c r="E2411" s="460">
        <v>7</v>
      </c>
      <c r="G2411" s="1796"/>
      <c r="H2411" s="1771" t="s">
        <v>39</v>
      </c>
      <c r="I2411" s="1735" t="s">
        <v>8192</v>
      </c>
      <c r="J2411" s="1773" t="s">
        <v>3112</v>
      </c>
      <c r="K2411" s="1774"/>
      <c r="L2411" s="1775"/>
      <c r="M2411" s="1775"/>
      <c r="N2411" s="1739"/>
      <c r="O2411" s="1776"/>
      <c r="P2411" s="1719"/>
    </row>
    <row r="2412" spans="1:16" ht="13.5" hidden="1" customHeight="1" outlineLevel="2" x14ac:dyDescent="0.2">
      <c r="A2412" s="459">
        <v>0</v>
      </c>
      <c r="B2412" s="459">
        <v>17</v>
      </c>
      <c r="C2412" s="459">
        <v>4</v>
      </c>
      <c r="D2412" s="460">
        <v>1</v>
      </c>
      <c r="E2412" s="460">
        <v>0</v>
      </c>
      <c r="G2412" s="1797"/>
      <c r="H2412" s="1777" t="s">
        <v>1238</v>
      </c>
      <c r="I2412" s="1742" t="s">
        <v>8193</v>
      </c>
      <c r="J2412" s="1779" t="s">
        <v>1548</v>
      </c>
      <c r="K2412" s="1780"/>
      <c r="L2412" s="1781"/>
      <c r="M2412" s="1781"/>
      <c r="N2412" s="1746"/>
      <c r="O2412" s="1782"/>
      <c r="P2412" s="1720"/>
    </row>
    <row r="2413" spans="1:16" ht="13.5" hidden="1" customHeight="1" outlineLevel="3" x14ac:dyDescent="0.2">
      <c r="A2413" s="459">
        <v>0</v>
      </c>
      <c r="B2413" s="459">
        <v>17</v>
      </c>
      <c r="C2413" s="459">
        <v>4</v>
      </c>
      <c r="D2413" s="460">
        <v>1</v>
      </c>
      <c r="E2413" s="460">
        <v>1</v>
      </c>
      <c r="G2413" s="1798" t="s">
        <v>51</v>
      </c>
      <c r="H2413" s="1783" t="s">
        <v>1239</v>
      </c>
      <c r="I2413" s="1750" t="s">
        <v>8194</v>
      </c>
      <c r="J2413" s="1785" t="s">
        <v>757</v>
      </c>
      <c r="K2413" s="1786" t="s">
        <v>642</v>
      </c>
      <c r="L2413" s="1787" t="e">
        <v>#REF!</v>
      </c>
      <c r="M2413" s="1787">
        <v>48.294267209876544</v>
      </c>
      <c r="N2413" s="1754"/>
      <c r="O2413" s="1788"/>
      <c r="P2413" s="1721" t="s">
        <v>9611</v>
      </c>
    </row>
    <row r="2414" spans="1:16" ht="13.5" hidden="1" customHeight="1" outlineLevel="2" x14ac:dyDescent="0.2">
      <c r="A2414" s="459">
        <v>0</v>
      </c>
      <c r="B2414" s="459">
        <v>17</v>
      </c>
      <c r="C2414" s="459">
        <v>4</v>
      </c>
      <c r="D2414" s="460">
        <v>2</v>
      </c>
      <c r="E2414" s="460">
        <v>0</v>
      </c>
      <c r="G2414" s="1797"/>
      <c r="H2414" s="1777" t="s">
        <v>1238</v>
      </c>
      <c r="I2414" s="1742" t="s">
        <v>8195</v>
      </c>
      <c r="J2414" s="1779" t="s">
        <v>1569</v>
      </c>
      <c r="K2414" s="1780"/>
      <c r="L2414" s="1781"/>
      <c r="M2414" s="1781"/>
      <c r="N2414" s="1746"/>
      <c r="O2414" s="1782"/>
      <c r="P2414" s="1720"/>
    </row>
    <row r="2415" spans="1:16" ht="13.5" hidden="1" customHeight="1" outlineLevel="3" x14ac:dyDescent="0.2">
      <c r="A2415" s="459">
        <v>0</v>
      </c>
      <c r="B2415" s="459">
        <v>17</v>
      </c>
      <c r="C2415" s="459">
        <v>4</v>
      </c>
      <c r="D2415" s="460">
        <v>2</v>
      </c>
      <c r="E2415" s="460">
        <v>1</v>
      </c>
      <c r="G2415" s="1798" t="s">
        <v>51</v>
      </c>
      <c r="H2415" s="1783" t="s">
        <v>1239</v>
      </c>
      <c r="I2415" s="1750" t="s">
        <v>8196</v>
      </c>
      <c r="J2415" s="1785" t="s">
        <v>1560</v>
      </c>
      <c r="K2415" s="1786" t="s">
        <v>642</v>
      </c>
      <c r="L2415" s="1787" t="e">
        <v>#REF!</v>
      </c>
      <c r="M2415" s="1787">
        <v>1.7585555555555554</v>
      </c>
      <c r="N2415" s="1754"/>
      <c r="O2415" s="1788"/>
      <c r="P2415" s="1721" t="s">
        <v>9611</v>
      </c>
    </row>
    <row r="2416" spans="1:16" ht="13.5" hidden="1" customHeight="1" outlineLevel="3" x14ac:dyDescent="0.2">
      <c r="A2416" s="459">
        <v>0</v>
      </c>
      <c r="B2416" s="459">
        <v>17</v>
      </c>
      <c r="C2416" s="459">
        <v>4</v>
      </c>
      <c r="D2416" s="460">
        <v>2</v>
      </c>
      <c r="E2416" s="460">
        <v>2</v>
      </c>
      <c r="G2416" s="1798" t="s">
        <v>51</v>
      </c>
      <c r="H2416" s="1783" t="s">
        <v>1239</v>
      </c>
      <c r="I2416" s="1750" t="s">
        <v>8197</v>
      </c>
      <c r="J2416" s="1785" t="s">
        <v>1561</v>
      </c>
      <c r="K2416" s="1786" t="s">
        <v>642</v>
      </c>
      <c r="L2416" s="1787" t="e">
        <v>#REF!</v>
      </c>
      <c r="M2416" s="1787">
        <v>4.3491600000000004</v>
      </c>
      <c r="N2416" s="1754"/>
      <c r="O2416" s="1788"/>
      <c r="P2416" s="1721" t="s">
        <v>9611</v>
      </c>
    </row>
    <row r="2417" spans="1:16" ht="13.5" hidden="1" customHeight="1" outlineLevel="3" x14ac:dyDescent="0.2">
      <c r="A2417" s="459">
        <v>0</v>
      </c>
      <c r="B2417" s="459">
        <v>17</v>
      </c>
      <c r="C2417" s="459">
        <v>4</v>
      </c>
      <c r="D2417" s="460">
        <v>2</v>
      </c>
      <c r="E2417" s="460">
        <v>3</v>
      </c>
      <c r="G2417" s="1798" t="s">
        <v>51</v>
      </c>
      <c r="H2417" s="1783" t="s">
        <v>1239</v>
      </c>
      <c r="I2417" s="1750" t="s">
        <v>8198</v>
      </c>
      <c r="J2417" s="1785" t="s">
        <v>774</v>
      </c>
      <c r="K2417" s="1786" t="s">
        <v>642</v>
      </c>
      <c r="L2417" s="1787" t="e">
        <v>#REF!</v>
      </c>
      <c r="M2417" s="1787">
        <v>12.1275</v>
      </c>
      <c r="N2417" s="1754"/>
      <c r="O2417" s="1788"/>
      <c r="P2417" s="1721" t="s">
        <v>9611</v>
      </c>
    </row>
    <row r="2418" spans="1:16" ht="13.5" hidden="1" customHeight="1" outlineLevel="3" x14ac:dyDescent="0.2">
      <c r="A2418" s="459">
        <v>0</v>
      </c>
      <c r="B2418" s="459">
        <v>17</v>
      </c>
      <c r="C2418" s="459">
        <v>4</v>
      </c>
      <c r="D2418" s="460">
        <v>2</v>
      </c>
      <c r="E2418" s="460">
        <v>4</v>
      </c>
      <c r="G2418" s="1798" t="s">
        <v>51</v>
      </c>
      <c r="H2418" s="1783" t="s">
        <v>1239</v>
      </c>
      <c r="I2418" s="1750" t="s">
        <v>8199</v>
      </c>
      <c r="J2418" s="1751" t="s">
        <v>3528</v>
      </c>
      <c r="K2418" s="1752" t="s">
        <v>642</v>
      </c>
      <c r="L2418" s="1753" t="e">
        <v>#REF!</v>
      </c>
      <c r="M2418" s="1787">
        <v>76.674746222222225</v>
      </c>
      <c r="N2418" s="1754"/>
      <c r="O2418" s="1755"/>
      <c r="P2418" s="1721" t="s">
        <v>9611</v>
      </c>
    </row>
    <row r="2419" spans="1:16" ht="13.5" hidden="1" customHeight="1" outlineLevel="3" x14ac:dyDescent="0.2">
      <c r="A2419" s="459">
        <v>0</v>
      </c>
      <c r="B2419" s="459">
        <v>17</v>
      </c>
      <c r="C2419" s="459">
        <v>4</v>
      </c>
      <c r="D2419" s="460">
        <v>2</v>
      </c>
      <c r="E2419" s="460">
        <v>5</v>
      </c>
      <c r="G2419" s="1798" t="s">
        <v>51</v>
      </c>
      <c r="H2419" s="1783" t="s">
        <v>1239</v>
      </c>
      <c r="I2419" s="1750" t="s">
        <v>8200</v>
      </c>
      <c r="J2419" s="1785" t="s">
        <v>770</v>
      </c>
      <c r="K2419" s="1786" t="s">
        <v>642</v>
      </c>
      <c r="L2419" s="1787" t="e">
        <v>#REF!</v>
      </c>
      <c r="M2419" s="1787">
        <v>8.7283160650000013</v>
      </c>
      <c r="N2419" s="1754"/>
      <c r="O2419" s="1788"/>
      <c r="P2419" s="1721" t="s">
        <v>9611</v>
      </c>
    </row>
    <row r="2420" spans="1:16" ht="13.5" hidden="1" customHeight="1" outlineLevel="2" x14ac:dyDescent="0.2">
      <c r="A2420" s="459">
        <v>0</v>
      </c>
      <c r="B2420" s="459">
        <v>17</v>
      </c>
      <c r="C2420" s="459">
        <v>4</v>
      </c>
      <c r="D2420" s="460">
        <v>3</v>
      </c>
      <c r="E2420" s="460">
        <v>0</v>
      </c>
      <c r="G2420" s="1797"/>
      <c r="H2420" s="1777" t="s">
        <v>1238</v>
      </c>
      <c r="I2420" s="1742" t="s">
        <v>8201</v>
      </c>
      <c r="J2420" s="1779" t="s">
        <v>1547</v>
      </c>
      <c r="K2420" s="1780"/>
      <c r="L2420" s="1781"/>
      <c r="M2420" s="1781"/>
      <c r="N2420" s="1746"/>
      <c r="O2420" s="1782"/>
      <c r="P2420" s="1720"/>
    </row>
    <row r="2421" spans="1:16" ht="13.5" hidden="1" customHeight="1" outlineLevel="3" x14ac:dyDescent="0.2">
      <c r="A2421" s="459">
        <v>0</v>
      </c>
      <c r="B2421" s="459">
        <v>17</v>
      </c>
      <c r="C2421" s="459">
        <v>4</v>
      </c>
      <c r="D2421" s="460">
        <v>3</v>
      </c>
      <c r="E2421" s="460">
        <v>1</v>
      </c>
      <c r="G2421" s="1798" t="s">
        <v>51</v>
      </c>
      <c r="H2421" s="1783" t="s">
        <v>1239</v>
      </c>
      <c r="I2421" s="1750" t="s">
        <v>8202</v>
      </c>
      <c r="J2421" s="1785" t="s">
        <v>3104</v>
      </c>
      <c r="K2421" s="1786" t="s">
        <v>642</v>
      </c>
      <c r="L2421" s="1787" t="e">
        <v>#REF!</v>
      </c>
      <c r="M2421" s="1787">
        <v>1.7585555555555554</v>
      </c>
      <c r="N2421" s="1754"/>
      <c r="O2421" s="1788"/>
      <c r="P2421" s="1721" t="s">
        <v>9611</v>
      </c>
    </row>
    <row r="2422" spans="1:16" ht="13.5" hidden="1" customHeight="1" outlineLevel="3" x14ac:dyDescent="0.2">
      <c r="A2422" s="459">
        <v>0</v>
      </c>
      <c r="B2422" s="459">
        <v>17</v>
      </c>
      <c r="C2422" s="459">
        <v>4</v>
      </c>
      <c r="D2422" s="460">
        <v>3</v>
      </c>
      <c r="E2422" s="460">
        <v>2</v>
      </c>
      <c r="G2422" s="1798" t="s">
        <v>51</v>
      </c>
      <c r="H2422" s="1783" t="s">
        <v>1239</v>
      </c>
      <c r="I2422" s="1750" t="s">
        <v>8203</v>
      </c>
      <c r="J2422" s="1785" t="s">
        <v>1936</v>
      </c>
      <c r="K2422" s="1786" t="s">
        <v>642</v>
      </c>
      <c r="L2422" s="1787" t="e">
        <v>#REF!</v>
      </c>
      <c r="M2422" s="1787">
        <v>4.3491600000000004</v>
      </c>
      <c r="N2422" s="1754"/>
      <c r="O2422" s="1788"/>
      <c r="P2422" s="1721" t="s">
        <v>9611</v>
      </c>
    </row>
    <row r="2423" spans="1:16" ht="13.5" hidden="1" customHeight="1" outlineLevel="3" x14ac:dyDescent="0.2">
      <c r="A2423" s="459">
        <v>0</v>
      </c>
      <c r="B2423" s="459">
        <v>17</v>
      </c>
      <c r="C2423" s="459">
        <v>4</v>
      </c>
      <c r="D2423" s="460">
        <v>3</v>
      </c>
      <c r="E2423" s="460">
        <v>3</v>
      </c>
      <c r="G2423" s="1798" t="s">
        <v>51</v>
      </c>
      <c r="H2423" s="1783" t="s">
        <v>1239</v>
      </c>
      <c r="I2423" s="1750" t="s">
        <v>8204</v>
      </c>
      <c r="J2423" s="1785" t="s">
        <v>3103</v>
      </c>
      <c r="K2423" s="1786" t="s">
        <v>642</v>
      </c>
      <c r="L2423" s="1787" t="e">
        <v>#REF!</v>
      </c>
      <c r="M2423" s="1787">
        <v>12.1275</v>
      </c>
      <c r="N2423" s="1754"/>
      <c r="O2423" s="1788"/>
      <c r="P2423" s="1721" t="s">
        <v>9611</v>
      </c>
    </row>
    <row r="2424" spans="1:16" ht="13.5" hidden="1" customHeight="1" outlineLevel="3" x14ac:dyDescent="0.2">
      <c r="A2424" s="459">
        <v>0</v>
      </c>
      <c r="B2424" s="459">
        <v>17</v>
      </c>
      <c r="C2424" s="459">
        <v>4</v>
      </c>
      <c r="D2424" s="460">
        <v>3</v>
      </c>
      <c r="E2424" s="460">
        <v>4</v>
      </c>
      <c r="G2424" s="1798" t="s">
        <v>51</v>
      </c>
      <c r="H2424" s="1783" t="s">
        <v>1239</v>
      </c>
      <c r="I2424" s="1750" t="s">
        <v>8205</v>
      </c>
      <c r="J2424" s="1785" t="s">
        <v>3105</v>
      </c>
      <c r="K2424" s="1786" t="s">
        <v>642</v>
      </c>
      <c r="L2424" s="1787" t="e">
        <v>#REF!</v>
      </c>
      <c r="M2424" s="1787">
        <v>70.567030666666668</v>
      </c>
      <c r="N2424" s="1754"/>
      <c r="O2424" s="1788"/>
      <c r="P2424" s="1721" t="s">
        <v>9611</v>
      </c>
    </row>
    <row r="2425" spans="1:16" ht="13.5" hidden="1" customHeight="1" outlineLevel="3" x14ac:dyDescent="0.2">
      <c r="A2425" s="459">
        <v>0</v>
      </c>
      <c r="B2425" s="459">
        <v>17</v>
      </c>
      <c r="C2425" s="459">
        <v>4</v>
      </c>
      <c r="D2425" s="460">
        <v>3</v>
      </c>
      <c r="E2425" s="460">
        <v>5</v>
      </c>
      <c r="G2425" s="1798" t="s">
        <v>51</v>
      </c>
      <c r="H2425" s="1783" t="s">
        <v>1239</v>
      </c>
      <c r="I2425" s="1750" t="s">
        <v>8206</v>
      </c>
      <c r="J2425" s="1785" t="s">
        <v>771</v>
      </c>
      <c r="K2425" s="1786" t="s">
        <v>642</v>
      </c>
      <c r="L2425" s="1787" t="e">
        <v>#REF!</v>
      </c>
      <c r="M2425" s="1787">
        <v>13.636363636363637</v>
      </c>
      <c r="N2425" s="1754"/>
      <c r="O2425" s="1788"/>
      <c r="P2425" s="1721" t="s">
        <v>9611</v>
      </c>
    </row>
    <row r="2426" spans="1:16" ht="13.5" hidden="1" customHeight="1" outlineLevel="2" x14ac:dyDescent="0.2">
      <c r="A2426" s="459">
        <v>0</v>
      </c>
      <c r="B2426" s="459">
        <v>17</v>
      </c>
      <c r="C2426" s="459">
        <v>4</v>
      </c>
      <c r="D2426" s="460">
        <v>4</v>
      </c>
      <c r="E2426" s="460">
        <v>0</v>
      </c>
      <c r="G2426" s="1797"/>
      <c r="H2426" s="1777" t="s">
        <v>1238</v>
      </c>
      <c r="I2426" s="1742" t="s">
        <v>8207</v>
      </c>
      <c r="J2426" s="1779" t="s">
        <v>15</v>
      </c>
      <c r="K2426" s="1780"/>
      <c r="L2426" s="1781"/>
      <c r="M2426" s="1781"/>
      <c r="N2426" s="1746"/>
      <c r="O2426" s="1782"/>
      <c r="P2426" s="1720"/>
    </row>
    <row r="2427" spans="1:16" ht="13.5" hidden="1" customHeight="1" outlineLevel="3" x14ac:dyDescent="0.2">
      <c r="A2427" s="459">
        <v>0</v>
      </c>
      <c r="B2427" s="459">
        <v>17</v>
      </c>
      <c r="C2427" s="459">
        <v>4</v>
      </c>
      <c r="D2427" s="460">
        <v>4</v>
      </c>
      <c r="E2427" s="460">
        <v>1</v>
      </c>
      <c r="G2427" s="1798" t="s">
        <v>51</v>
      </c>
      <c r="H2427" s="1783" t="s">
        <v>1239</v>
      </c>
      <c r="I2427" s="1750" t="s">
        <v>8208</v>
      </c>
      <c r="J2427" s="1785" t="s">
        <v>3108</v>
      </c>
      <c r="K2427" s="1786" t="s">
        <v>642</v>
      </c>
      <c r="L2427" s="1787" t="e">
        <v>#REF!</v>
      </c>
      <c r="M2427" s="1787">
        <v>40</v>
      </c>
      <c r="N2427" s="1754"/>
      <c r="O2427" s="1788"/>
      <c r="P2427" s="1721" t="s">
        <v>9611</v>
      </c>
    </row>
    <row r="2428" spans="1:16" ht="13.5" hidden="1" customHeight="1" outlineLevel="3" x14ac:dyDescent="0.2">
      <c r="A2428" s="459">
        <v>0</v>
      </c>
      <c r="B2428" s="459">
        <v>17</v>
      </c>
      <c r="C2428" s="459">
        <v>4</v>
      </c>
      <c r="D2428" s="460">
        <v>4</v>
      </c>
      <c r="E2428" s="460">
        <v>2</v>
      </c>
      <c r="G2428" s="1798" t="s">
        <v>51</v>
      </c>
      <c r="H2428" s="1783" t="s">
        <v>1239</v>
      </c>
      <c r="I2428" s="1750" t="s">
        <v>8209</v>
      </c>
      <c r="J2428" s="1785" t="s">
        <v>3529</v>
      </c>
      <c r="K2428" s="1786" t="s">
        <v>642</v>
      </c>
      <c r="L2428" s="1787" t="e">
        <v>#REF!</v>
      </c>
      <c r="M2428" s="1787">
        <v>42</v>
      </c>
      <c r="N2428" s="1754"/>
      <c r="O2428" s="1788"/>
      <c r="P2428" s="1721" t="s">
        <v>9611</v>
      </c>
    </row>
    <row r="2429" spans="1:16" ht="13.5" hidden="1" customHeight="1" outlineLevel="3" x14ac:dyDescent="0.2">
      <c r="A2429" s="459">
        <v>0</v>
      </c>
      <c r="B2429" s="459">
        <v>17</v>
      </c>
      <c r="C2429" s="459">
        <v>4</v>
      </c>
      <c r="D2429" s="460">
        <v>4</v>
      </c>
      <c r="E2429" s="460">
        <v>3</v>
      </c>
      <c r="G2429" s="1798" t="s">
        <v>51</v>
      </c>
      <c r="H2429" s="1783" t="s">
        <v>1239</v>
      </c>
      <c r="I2429" s="1750" t="s">
        <v>8210</v>
      </c>
      <c r="J2429" s="1785" t="s">
        <v>784</v>
      </c>
      <c r="K2429" s="1786" t="s">
        <v>642</v>
      </c>
      <c r="L2429" s="1787" t="e">
        <v>#REF!</v>
      </c>
      <c r="M2429" s="1787">
        <v>40</v>
      </c>
      <c r="N2429" s="1754"/>
      <c r="O2429" s="1788"/>
      <c r="P2429" s="1721" t="s">
        <v>9611</v>
      </c>
    </row>
    <row r="2430" spans="1:16" ht="13.5" hidden="1" customHeight="1" outlineLevel="3" x14ac:dyDescent="0.2">
      <c r="A2430" s="459">
        <v>0</v>
      </c>
      <c r="B2430" s="459">
        <v>17</v>
      </c>
      <c r="C2430" s="459">
        <v>4</v>
      </c>
      <c r="D2430" s="460">
        <v>4</v>
      </c>
      <c r="E2430" s="460">
        <v>4</v>
      </c>
      <c r="G2430" s="1798" t="s">
        <v>51</v>
      </c>
      <c r="H2430" s="1783" t="s">
        <v>1239</v>
      </c>
      <c r="I2430" s="1750" t="s">
        <v>8211</v>
      </c>
      <c r="J2430" s="1785" t="s">
        <v>1568</v>
      </c>
      <c r="K2430" s="1786" t="s">
        <v>642</v>
      </c>
      <c r="L2430" s="1787" t="e">
        <v>#REF!</v>
      </c>
      <c r="M2430" s="1787">
        <v>20</v>
      </c>
      <c r="N2430" s="1754"/>
      <c r="O2430" s="1788"/>
      <c r="P2430" s="1721" t="s">
        <v>9611</v>
      </c>
    </row>
    <row r="2431" spans="1:16" ht="13.5" hidden="1" customHeight="1" outlineLevel="3" x14ac:dyDescent="0.2">
      <c r="A2431" s="459">
        <v>0</v>
      </c>
      <c r="B2431" s="459">
        <v>17</v>
      </c>
      <c r="C2431" s="459">
        <v>4</v>
      </c>
      <c r="D2431" s="460">
        <v>4</v>
      </c>
      <c r="E2431" s="460">
        <v>5</v>
      </c>
      <c r="G2431" s="1798" t="s">
        <v>51</v>
      </c>
      <c r="H2431" s="1783" t="s">
        <v>1239</v>
      </c>
      <c r="I2431" s="1750" t="s">
        <v>8212</v>
      </c>
      <c r="J2431" s="1785" t="s">
        <v>785</v>
      </c>
      <c r="K2431" s="1786" t="s">
        <v>642</v>
      </c>
      <c r="L2431" s="1787" t="e">
        <v>#REF!</v>
      </c>
      <c r="M2431" s="1787">
        <v>40</v>
      </c>
      <c r="N2431" s="1754"/>
      <c r="O2431" s="1788"/>
      <c r="P2431" s="1721" t="s">
        <v>9611</v>
      </c>
    </row>
    <row r="2432" spans="1:16" ht="13.5" hidden="1" customHeight="1" outlineLevel="3" x14ac:dyDescent="0.2">
      <c r="A2432" s="459">
        <v>0</v>
      </c>
      <c r="B2432" s="459">
        <v>17</v>
      </c>
      <c r="C2432" s="459">
        <v>4</v>
      </c>
      <c r="D2432" s="460">
        <v>4</v>
      </c>
      <c r="E2432" s="460">
        <v>6</v>
      </c>
      <c r="G2432" s="1798" t="s">
        <v>51</v>
      </c>
      <c r="H2432" s="1783" t="s">
        <v>1239</v>
      </c>
      <c r="I2432" s="1750" t="s">
        <v>8213</v>
      </c>
      <c r="J2432" s="1785" t="s">
        <v>786</v>
      </c>
      <c r="K2432" s="1786" t="s">
        <v>642</v>
      </c>
      <c r="L2432" s="1787" t="e">
        <v>#REF!</v>
      </c>
      <c r="M2432" s="1787">
        <v>40</v>
      </c>
      <c r="N2432" s="1754"/>
      <c r="O2432" s="1788"/>
      <c r="P2432" s="1721" t="s">
        <v>9611</v>
      </c>
    </row>
    <row r="2433" spans="1:16" ht="13.5" hidden="1" customHeight="1" outlineLevel="3" x14ac:dyDescent="0.2">
      <c r="A2433" s="459">
        <v>0</v>
      </c>
      <c r="B2433" s="459">
        <v>17</v>
      </c>
      <c r="C2433" s="459">
        <v>4</v>
      </c>
      <c r="D2433" s="460">
        <v>4</v>
      </c>
      <c r="E2433" s="460">
        <v>7</v>
      </c>
      <c r="G2433" s="1798" t="s">
        <v>51</v>
      </c>
      <c r="H2433" s="1783" t="s">
        <v>1239</v>
      </c>
      <c r="I2433" s="1750" t="s">
        <v>8214</v>
      </c>
      <c r="J2433" s="1785" t="s">
        <v>3109</v>
      </c>
      <c r="K2433" s="1786" t="s">
        <v>642</v>
      </c>
      <c r="L2433" s="1787" t="e">
        <v>#REF!</v>
      </c>
      <c r="M2433" s="1787">
        <v>40</v>
      </c>
      <c r="N2433" s="1754"/>
      <c r="O2433" s="1788"/>
      <c r="P2433" s="1721" t="s">
        <v>9611</v>
      </c>
    </row>
    <row r="2434" spans="1:16" ht="13.5" hidden="1" customHeight="1" outlineLevel="1" x14ac:dyDescent="0.2">
      <c r="A2434" s="459">
        <v>0</v>
      </c>
      <c r="B2434" s="459">
        <v>17</v>
      </c>
      <c r="C2434" s="459">
        <v>5</v>
      </c>
      <c r="D2434" s="460">
        <v>0</v>
      </c>
      <c r="E2434" s="460">
        <v>7</v>
      </c>
      <c r="G2434" s="1796"/>
      <c r="H2434" s="1771" t="s">
        <v>39</v>
      </c>
      <c r="I2434" s="1735" t="s">
        <v>8215</v>
      </c>
      <c r="J2434" s="1773" t="s">
        <v>3113</v>
      </c>
      <c r="K2434" s="1774"/>
      <c r="L2434" s="1775"/>
      <c r="M2434" s="1775"/>
      <c r="N2434" s="1739"/>
      <c r="O2434" s="1776"/>
      <c r="P2434" s="1719"/>
    </row>
    <row r="2435" spans="1:16" ht="13.5" hidden="1" customHeight="1" outlineLevel="2" x14ac:dyDescent="0.2">
      <c r="A2435" s="459">
        <v>0</v>
      </c>
      <c r="B2435" s="459">
        <v>17</v>
      </c>
      <c r="C2435" s="459">
        <v>5</v>
      </c>
      <c r="D2435" s="460">
        <v>1</v>
      </c>
      <c r="E2435" s="460">
        <v>0</v>
      </c>
      <c r="G2435" s="1797"/>
      <c r="H2435" s="1777" t="s">
        <v>1238</v>
      </c>
      <c r="I2435" s="1742" t="s">
        <v>8216</v>
      </c>
      <c r="J2435" s="1779" t="s">
        <v>1548</v>
      </c>
      <c r="K2435" s="1780"/>
      <c r="L2435" s="1781"/>
      <c r="M2435" s="1781"/>
      <c r="N2435" s="1746"/>
      <c r="O2435" s="1782"/>
      <c r="P2435" s="1720"/>
    </row>
    <row r="2436" spans="1:16" ht="13.5" hidden="1" customHeight="1" outlineLevel="3" x14ac:dyDescent="0.2">
      <c r="A2436" s="459">
        <v>0</v>
      </c>
      <c r="B2436" s="459">
        <v>17</v>
      </c>
      <c r="C2436" s="459">
        <v>5</v>
      </c>
      <c r="D2436" s="460">
        <v>1</v>
      </c>
      <c r="E2436" s="460">
        <v>1</v>
      </c>
      <c r="G2436" s="1798" t="s">
        <v>51</v>
      </c>
      <c r="H2436" s="1783" t="s">
        <v>1239</v>
      </c>
      <c r="I2436" s="1750" t="s">
        <v>8217</v>
      </c>
      <c r="J2436" s="1785" t="s">
        <v>757</v>
      </c>
      <c r="K2436" s="1786" t="s">
        <v>642</v>
      </c>
      <c r="L2436" s="1787" t="e">
        <v>#REF!</v>
      </c>
      <c r="M2436" s="1787">
        <v>48.294267209876544</v>
      </c>
      <c r="N2436" s="1754"/>
      <c r="O2436" s="1788"/>
      <c r="P2436" s="1721" t="s">
        <v>9611</v>
      </c>
    </row>
    <row r="2437" spans="1:16" ht="13.5" hidden="1" customHeight="1" outlineLevel="2" x14ac:dyDescent="0.2">
      <c r="A2437" s="459">
        <v>0</v>
      </c>
      <c r="B2437" s="459">
        <v>17</v>
      </c>
      <c r="C2437" s="459">
        <v>5</v>
      </c>
      <c r="D2437" s="460">
        <v>2</v>
      </c>
      <c r="E2437" s="460">
        <v>0</v>
      </c>
      <c r="G2437" s="1797"/>
      <c r="H2437" s="1777" t="s">
        <v>1238</v>
      </c>
      <c r="I2437" s="1742" t="s">
        <v>8218</v>
      </c>
      <c r="J2437" s="1779" t="s">
        <v>1569</v>
      </c>
      <c r="K2437" s="1780"/>
      <c r="L2437" s="1781"/>
      <c r="M2437" s="1781"/>
      <c r="N2437" s="1746"/>
      <c r="O2437" s="1782"/>
      <c r="P2437" s="1720"/>
    </row>
    <row r="2438" spans="1:16" ht="13.5" hidden="1" customHeight="1" outlineLevel="3" x14ac:dyDescent="0.2">
      <c r="A2438" s="459">
        <v>0</v>
      </c>
      <c r="B2438" s="459">
        <v>17</v>
      </c>
      <c r="C2438" s="459">
        <v>5</v>
      </c>
      <c r="D2438" s="460">
        <v>2</v>
      </c>
      <c r="E2438" s="460">
        <v>1</v>
      </c>
      <c r="G2438" s="1798" t="s">
        <v>51</v>
      </c>
      <c r="H2438" s="1783" t="s">
        <v>1239</v>
      </c>
      <c r="I2438" s="1750" t="s">
        <v>8219</v>
      </c>
      <c r="J2438" s="1785" t="s">
        <v>1560</v>
      </c>
      <c r="K2438" s="1786" t="s">
        <v>642</v>
      </c>
      <c r="L2438" s="1787" t="e">
        <v>#REF!</v>
      </c>
      <c r="M2438" s="1787">
        <v>1.7585555555555554</v>
      </c>
      <c r="N2438" s="1754"/>
      <c r="O2438" s="1788"/>
      <c r="P2438" s="1721" t="s">
        <v>9611</v>
      </c>
    </row>
    <row r="2439" spans="1:16" ht="13.5" hidden="1" customHeight="1" outlineLevel="3" x14ac:dyDescent="0.2">
      <c r="A2439" s="459">
        <v>0</v>
      </c>
      <c r="B2439" s="459">
        <v>17</v>
      </c>
      <c r="C2439" s="459">
        <v>5</v>
      </c>
      <c r="D2439" s="460">
        <v>2</v>
      </c>
      <c r="E2439" s="460">
        <v>2</v>
      </c>
      <c r="G2439" s="1798" t="s">
        <v>51</v>
      </c>
      <c r="H2439" s="1783" t="s">
        <v>1239</v>
      </c>
      <c r="I2439" s="1750" t="s">
        <v>8220</v>
      </c>
      <c r="J2439" s="1785" t="s">
        <v>1561</v>
      </c>
      <c r="K2439" s="1786" t="s">
        <v>642</v>
      </c>
      <c r="L2439" s="1787" t="e">
        <v>#REF!</v>
      </c>
      <c r="M2439" s="1787">
        <v>4.3491600000000004</v>
      </c>
      <c r="N2439" s="1754"/>
      <c r="O2439" s="1788"/>
      <c r="P2439" s="1721" t="s">
        <v>9611</v>
      </c>
    </row>
    <row r="2440" spans="1:16" ht="13.5" hidden="1" customHeight="1" outlineLevel="3" x14ac:dyDescent="0.2">
      <c r="A2440" s="459">
        <v>0</v>
      </c>
      <c r="B2440" s="459">
        <v>17</v>
      </c>
      <c r="C2440" s="459">
        <v>5</v>
      </c>
      <c r="D2440" s="460">
        <v>2</v>
      </c>
      <c r="E2440" s="460">
        <v>3</v>
      </c>
      <c r="G2440" s="1798" t="s">
        <v>51</v>
      </c>
      <c r="H2440" s="1783" t="s">
        <v>1239</v>
      </c>
      <c r="I2440" s="1750" t="s">
        <v>8221</v>
      </c>
      <c r="J2440" s="1785" t="s">
        <v>774</v>
      </c>
      <c r="K2440" s="1786" t="s">
        <v>642</v>
      </c>
      <c r="L2440" s="1787" t="e">
        <v>#REF!</v>
      </c>
      <c r="M2440" s="1787">
        <v>12.1275</v>
      </c>
      <c r="N2440" s="1754"/>
      <c r="O2440" s="1788"/>
      <c r="P2440" s="1721" t="s">
        <v>9611</v>
      </c>
    </row>
    <row r="2441" spans="1:16" ht="13.5" hidden="1" customHeight="1" outlineLevel="3" x14ac:dyDescent="0.2">
      <c r="A2441" s="459">
        <v>0</v>
      </c>
      <c r="B2441" s="459">
        <v>17</v>
      </c>
      <c r="C2441" s="459">
        <v>5</v>
      </c>
      <c r="D2441" s="460">
        <v>2</v>
      </c>
      <c r="E2441" s="460">
        <v>4</v>
      </c>
      <c r="G2441" s="1798" t="s">
        <v>51</v>
      </c>
      <c r="H2441" s="1783" t="s">
        <v>1239</v>
      </c>
      <c r="I2441" s="1750" t="s">
        <v>8222</v>
      </c>
      <c r="J2441" s="1751" t="s">
        <v>3528</v>
      </c>
      <c r="K2441" s="1752" t="s">
        <v>642</v>
      </c>
      <c r="L2441" s="1753" t="e">
        <v>#REF!</v>
      </c>
      <c r="M2441" s="1787">
        <v>76.674746222222225</v>
      </c>
      <c r="N2441" s="1754"/>
      <c r="O2441" s="1755"/>
      <c r="P2441" s="1721" t="s">
        <v>9611</v>
      </c>
    </row>
    <row r="2442" spans="1:16" ht="13.5" hidden="1" customHeight="1" outlineLevel="3" x14ac:dyDescent="0.2">
      <c r="A2442" s="459">
        <v>0</v>
      </c>
      <c r="B2442" s="459">
        <v>17</v>
      </c>
      <c r="C2442" s="459">
        <v>5</v>
      </c>
      <c r="D2442" s="460">
        <v>2</v>
      </c>
      <c r="E2442" s="460">
        <v>5</v>
      </c>
      <c r="G2442" s="1798" t="s">
        <v>51</v>
      </c>
      <c r="H2442" s="1783" t="s">
        <v>1239</v>
      </c>
      <c r="I2442" s="1750" t="s">
        <v>8223</v>
      </c>
      <c r="J2442" s="1785" t="s">
        <v>770</v>
      </c>
      <c r="K2442" s="1786" t="s">
        <v>642</v>
      </c>
      <c r="L2442" s="1787" t="e">
        <v>#REF!</v>
      </c>
      <c r="M2442" s="1787">
        <v>8.7283160650000013</v>
      </c>
      <c r="N2442" s="1754"/>
      <c r="O2442" s="1788"/>
      <c r="P2442" s="1721" t="s">
        <v>9611</v>
      </c>
    </row>
    <row r="2443" spans="1:16" ht="13.5" hidden="1" customHeight="1" outlineLevel="2" x14ac:dyDescent="0.2">
      <c r="A2443" s="459">
        <v>0</v>
      </c>
      <c r="B2443" s="459">
        <v>17</v>
      </c>
      <c r="C2443" s="459">
        <v>5</v>
      </c>
      <c r="D2443" s="460">
        <v>3</v>
      </c>
      <c r="E2443" s="460">
        <v>0</v>
      </c>
      <c r="G2443" s="1797"/>
      <c r="H2443" s="1777" t="s">
        <v>1238</v>
      </c>
      <c r="I2443" s="1742" t="s">
        <v>8224</v>
      </c>
      <c r="J2443" s="1779" t="s">
        <v>1547</v>
      </c>
      <c r="K2443" s="1780"/>
      <c r="L2443" s="1781"/>
      <c r="M2443" s="1781"/>
      <c r="N2443" s="1746"/>
      <c r="O2443" s="1782"/>
      <c r="P2443" s="1720"/>
    </row>
    <row r="2444" spans="1:16" ht="13.5" hidden="1" customHeight="1" outlineLevel="3" x14ac:dyDescent="0.2">
      <c r="A2444" s="459">
        <v>0</v>
      </c>
      <c r="B2444" s="459">
        <v>17</v>
      </c>
      <c r="C2444" s="459">
        <v>5</v>
      </c>
      <c r="D2444" s="460">
        <v>3</v>
      </c>
      <c r="E2444" s="460">
        <v>1</v>
      </c>
      <c r="G2444" s="1798" t="s">
        <v>51</v>
      </c>
      <c r="H2444" s="1783" t="s">
        <v>1239</v>
      </c>
      <c r="I2444" s="1750" t="s">
        <v>8225</v>
      </c>
      <c r="J2444" s="1785" t="s">
        <v>3104</v>
      </c>
      <c r="K2444" s="1786" t="s">
        <v>642</v>
      </c>
      <c r="L2444" s="1787" t="e">
        <v>#REF!</v>
      </c>
      <c r="M2444" s="1787">
        <v>1.7585555555555554</v>
      </c>
      <c r="N2444" s="1754"/>
      <c r="O2444" s="1788"/>
      <c r="P2444" s="1721" t="s">
        <v>9611</v>
      </c>
    </row>
    <row r="2445" spans="1:16" ht="13.5" hidden="1" customHeight="1" outlineLevel="3" x14ac:dyDescent="0.2">
      <c r="A2445" s="459">
        <v>0</v>
      </c>
      <c r="B2445" s="459">
        <v>17</v>
      </c>
      <c r="C2445" s="459">
        <v>5</v>
      </c>
      <c r="D2445" s="460">
        <v>3</v>
      </c>
      <c r="E2445" s="460">
        <v>2</v>
      </c>
      <c r="G2445" s="1798" t="s">
        <v>51</v>
      </c>
      <c r="H2445" s="1783" t="s">
        <v>1239</v>
      </c>
      <c r="I2445" s="1750" t="s">
        <v>8226</v>
      </c>
      <c r="J2445" s="1785" t="s">
        <v>1936</v>
      </c>
      <c r="K2445" s="1786" t="s">
        <v>642</v>
      </c>
      <c r="L2445" s="1787" t="e">
        <v>#REF!</v>
      </c>
      <c r="M2445" s="1787">
        <v>4.3491600000000004</v>
      </c>
      <c r="N2445" s="1754"/>
      <c r="O2445" s="1788"/>
      <c r="P2445" s="1721" t="s">
        <v>9611</v>
      </c>
    </row>
    <row r="2446" spans="1:16" ht="13.5" hidden="1" customHeight="1" outlineLevel="3" x14ac:dyDescent="0.2">
      <c r="A2446" s="459">
        <v>0</v>
      </c>
      <c r="B2446" s="459">
        <v>17</v>
      </c>
      <c r="C2446" s="459">
        <v>5</v>
      </c>
      <c r="D2446" s="460">
        <v>3</v>
      </c>
      <c r="E2446" s="460">
        <v>3</v>
      </c>
      <c r="G2446" s="1798" t="s">
        <v>51</v>
      </c>
      <c r="H2446" s="1783" t="s">
        <v>1239</v>
      </c>
      <c r="I2446" s="1750" t="s">
        <v>8227</v>
      </c>
      <c r="J2446" s="1785" t="s">
        <v>3103</v>
      </c>
      <c r="K2446" s="1786" t="s">
        <v>642</v>
      </c>
      <c r="L2446" s="1787" t="e">
        <v>#REF!</v>
      </c>
      <c r="M2446" s="1787">
        <v>12.1275</v>
      </c>
      <c r="N2446" s="1754"/>
      <c r="O2446" s="1788"/>
      <c r="P2446" s="1721" t="s">
        <v>9611</v>
      </c>
    </row>
    <row r="2447" spans="1:16" ht="13.5" hidden="1" customHeight="1" outlineLevel="3" x14ac:dyDescent="0.2">
      <c r="A2447" s="459">
        <v>0</v>
      </c>
      <c r="B2447" s="459">
        <v>17</v>
      </c>
      <c r="C2447" s="459">
        <v>5</v>
      </c>
      <c r="D2447" s="460">
        <v>3</v>
      </c>
      <c r="E2447" s="460">
        <v>4</v>
      </c>
      <c r="G2447" s="1798" t="s">
        <v>51</v>
      </c>
      <c r="H2447" s="1783" t="s">
        <v>1239</v>
      </c>
      <c r="I2447" s="1750" t="s">
        <v>8228</v>
      </c>
      <c r="J2447" s="1785" t="s">
        <v>3105</v>
      </c>
      <c r="K2447" s="1786" t="s">
        <v>642</v>
      </c>
      <c r="L2447" s="1787" t="e">
        <v>#REF!</v>
      </c>
      <c r="M2447" s="1787">
        <v>70.567030666666668</v>
      </c>
      <c r="N2447" s="1754"/>
      <c r="O2447" s="1788"/>
      <c r="P2447" s="1721" t="s">
        <v>9611</v>
      </c>
    </row>
    <row r="2448" spans="1:16" ht="13.5" hidden="1" customHeight="1" outlineLevel="3" x14ac:dyDescent="0.2">
      <c r="A2448" s="459">
        <v>0</v>
      </c>
      <c r="B2448" s="459">
        <v>17</v>
      </c>
      <c r="C2448" s="459">
        <v>5</v>
      </c>
      <c r="D2448" s="460">
        <v>3</v>
      </c>
      <c r="E2448" s="460">
        <v>5</v>
      </c>
      <c r="G2448" s="1798" t="s">
        <v>51</v>
      </c>
      <c r="H2448" s="1783" t="s">
        <v>1239</v>
      </c>
      <c r="I2448" s="1750" t="s">
        <v>8229</v>
      </c>
      <c r="J2448" s="1785" t="s">
        <v>771</v>
      </c>
      <c r="K2448" s="1786" t="s">
        <v>642</v>
      </c>
      <c r="L2448" s="1787" t="e">
        <v>#REF!</v>
      </c>
      <c r="M2448" s="1787">
        <v>13.636363636363637</v>
      </c>
      <c r="N2448" s="1754"/>
      <c r="O2448" s="1788"/>
      <c r="P2448" s="1721" t="s">
        <v>9611</v>
      </c>
    </row>
    <row r="2449" spans="1:16" ht="13.5" hidden="1" customHeight="1" outlineLevel="2" x14ac:dyDescent="0.2">
      <c r="A2449" s="459">
        <v>0</v>
      </c>
      <c r="B2449" s="459">
        <v>17</v>
      </c>
      <c r="C2449" s="459">
        <v>5</v>
      </c>
      <c r="D2449" s="460">
        <v>4</v>
      </c>
      <c r="E2449" s="460">
        <v>0</v>
      </c>
      <c r="G2449" s="1797"/>
      <c r="H2449" s="1777" t="s">
        <v>1238</v>
      </c>
      <c r="I2449" s="1742" t="s">
        <v>8230</v>
      </c>
      <c r="J2449" s="1779" t="s">
        <v>15</v>
      </c>
      <c r="K2449" s="1780"/>
      <c r="L2449" s="1781"/>
      <c r="M2449" s="1781"/>
      <c r="N2449" s="1746"/>
      <c r="O2449" s="1782"/>
      <c r="P2449" s="1720"/>
    </row>
    <row r="2450" spans="1:16" ht="13.5" hidden="1" customHeight="1" outlineLevel="3" x14ac:dyDescent="0.2">
      <c r="A2450" s="459">
        <v>0</v>
      </c>
      <c r="B2450" s="459">
        <v>17</v>
      </c>
      <c r="C2450" s="459">
        <v>5</v>
      </c>
      <c r="D2450" s="460">
        <v>4</v>
      </c>
      <c r="E2450" s="460">
        <v>1</v>
      </c>
      <c r="G2450" s="1798" t="s">
        <v>51</v>
      </c>
      <c r="H2450" s="1783" t="s">
        <v>1239</v>
      </c>
      <c r="I2450" s="1750" t="s">
        <v>8231</v>
      </c>
      <c r="J2450" s="1785" t="s">
        <v>3108</v>
      </c>
      <c r="K2450" s="1786" t="s">
        <v>642</v>
      </c>
      <c r="L2450" s="1787" t="e">
        <v>#REF!</v>
      </c>
      <c r="M2450" s="1787">
        <v>40</v>
      </c>
      <c r="N2450" s="1754"/>
      <c r="O2450" s="1788"/>
      <c r="P2450" s="1721" t="s">
        <v>9611</v>
      </c>
    </row>
    <row r="2451" spans="1:16" ht="13.5" hidden="1" customHeight="1" outlineLevel="3" x14ac:dyDescent="0.2">
      <c r="A2451" s="459">
        <v>0</v>
      </c>
      <c r="B2451" s="459">
        <v>17</v>
      </c>
      <c r="C2451" s="459">
        <v>5</v>
      </c>
      <c r="D2451" s="460">
        <v>4</v>
      </c>
      <c r="E2451" s="460">
        <v>2</v>
      </c>
      <c r="G2451" s="1798" t="s">
        <v>51</v>
      </c>
      <c r="H2451" s="1783" t="s">
        <v>1239</v>
      </c>
      <c r="I2451" s="1750" t="s">
        <v>8232</v>
      </c>
      <c r="J2451" s="1785" t="s">
        <v>3529</v>
      </c>
      <c r="K2451" s="1786" t="s">
        <v>642</v>
      </c>
      <c r="L2451" s="1787" t="e">
        <v>#REF!</v>
      </c>
      <c r="M2451" s="1787">
        <v>42</v>
      </c>
      <c r="N2451" s="1754"/>
      <c r="O2451" s="1788"/>
      <c r="P2451" s="1721" t="s">
        <v>9611</v>
      </c>
    </row>
    <row r="2452" spans="1:16" ht="13.5" hidden="1" customHeight="1" outlineLevel="3" x14ac:dyDescent="0.2">
      <c r="A2452" s="459">
        <v>0</v>
      </c>
      <c r="B2452" s="459">
        <v>17</v>
      </c>
      <c r="C2452" s="459">
        <v>5</v>
      </c>
      <c r="D2452" s="460">
        <v>4</v>
      </c>
      <c r="E2452" s="460">
        <v>3</v>
      </c>
      <c r="G2452" s="1798" t="s">
        <v>51</v>
      </c>
      <c r="H2452" s="1783" t="s">
        <v>1239</v>
      </c>
      <c r="I2452" s="1750" t="s">
        <v>8233</v>
      </c>
      <c r="J2452" s="1785" t="s">
        <v>784</v>
      </c>
      <c r="K2452" s="1786" t="s">
        <v>642</v>
      </c>
      <c r="L2452" s="1787" t="e">
        <v>#REF!</v>
      </c>
      <c r="M2452" s="1787">
        <v>40</v>
      </c>
      <c r="N2452" s="1754"/>
      <c r="O2452" s="1788"/>
      <c r="P2452" s="1721" t="s">
        <v>9611</v>
      </c>
    </row>
    <row r="2453" spans="1:16" ht="13.5" hidden="1" customHeight="1" outlineLevel="3" x14ac:dyDescent="0.2">
      <c r="A2453" s="459">
        <v>0</v>
      </c>
      <c r="B2453" s="459">
        <v>17</v>
      </c>
      <c r="C2453" s="459">
        <v>5</v>
      </c>
      <c r="D2453" s="460">
        <v>4</v>
      </c>
      <c r="E2453" s="460">
        <v>4</v>
      </c>
      <c r="G2453" s="1798" t="s">
        <v>51</v>
      </c>
      <c r="H2453" s="1783" t="s">
        <v>1239</v>
      </c>
      <c r="I2453" s="1750" t="s">
        <v>8234</v>
      </c>
      <c r="J2453" s="1785" t="s">
        <v>1568</v>
      </c>
      <c r="K2453" s="1786" t="s">
        <v>642</v>
      </c>
      <c r="L2453" s="1787" t="e">
        <v>#REF!</v>
      </c>
      <c r="M2453" s="1787">
        <v>20</v>
      </c>
      <c r="N2453" s="1754"/>
      <c r="O2453" s="1788"/>
      <c r="P2453" s="1721" t="s">
        <v>9611</v>
      </c>
    </row>
    <row r="2454" spans="1:16" ht="13.5" hidden="1" customHeight="1" outlineLevel="3" x14ac:dyDescent="0.2">
      <c r="A2454" s="459">
        <v>0</v>
      </c>
      <c r="B2454" s="459">
        <v>17</v>
      </c>
      <c r="C2454" s="459">
        <v>5</v>
      </c>
      <c r="D2454" s="460">
        <v>4</v>
      </c>
      <c r="E2454" s="460">
        <v>5</v>
      </c>
      <c r="G2454" s="1798" t="s">
        <v>51</v>
      </c>
      <c r="H2454" s="1783" t="s">
        <v>1239</v>
      </c>
      <c r="I2454" s="1750" t="s">
        <v>8235</v>
      </c>
      <c r="J2454" s="1785" t="s">
        <v>785</v>
      </c>
      <c r="K2454" s="1786" t="s">
        <v>642</v>
      </c>
      <c r="L2454" s="1787" t="e">
        <v>#REF!</v>
      </c>
      <c r="M2454" s="1787">
        <v>40</v>
      </c>
      <c r="N2454" s="1754"/>
      <c r="O2454" s="1788"/>
      <c r="P2454" s="1721" t="s">
        <v>9611</v>
      </c>
    </row>
    <row r="2455" spans="1:16" ht="13.5" hidden="1" customHeight="1" outlineLevel="3" x14ac:dyDescent="0.2">
      <c r="A2455" s="459">
        <v>0</v>
      </c>
      <c r="B2455" s="459">
        <v>17</v>
      </c>
      <c r="C2455" s="459">
        <v>5</v>
      </c>
      <c r="D2455" s="460">
        <v>4</v>
      </c>
      <c r="E2455" s="460">
        <v>6</v>
      </c>
      <c r="G2455" s="1798" t="s">
        <v>51</v>
      </c>
      <c r="H2455" s="1783" t="s">
        <v>1239</v>
      </c>
      <c r="I2455" s="1750" t="s">
        <v>8236</v>
      </c>
      <c r="J2455" s="1785" t="s">
        <v>786</v>
      </c>
      <c r="K2455" s="1786" t="s">
        <v>642</v>
      </c>
      <c r="L2455" s="1787" t="e">
        <v>#REF!</v>
      </c>
      <c r="M2455" s="1787">
        <v>40</v>
      </c>
      <c r="N2455" s="1754"/>
      <c r="O2455" s="1788"/>
      <c r="P2455" s="1721" t="s">
        <v>9611</v>
      </c>
    </row>
    <row r="2456" spans="1:16" ht="13.5" hidden="1" customHeight="1" outlineLevel="3" x14ac:dyDescent="0.2">
      <c r="A2456" s="459">
        <v>0</v>
      </c>
      <c r="B2456" s="459">
        <v>17</v>
      </c>
      <c r="C2456" s="459">
        <v>5</v>
      </c>
      <c r="D2456" s="460">
        <v>4</v>
      </c>
      <c r="E2456" s="460">
        <v>7</v>
      </c>
      <c r="G2456" s="1798" t="s">
        <v>51</v>
      </c>
      <c r="H2456" s="1783" t="s">
        <v>1239</v>
      </c>
      <c r="I2456" s="1750" t="s">
        <v>8237</v>
      </c>
      <c r="J2456" s="1785" t="s">
        <v>3109</v>
      </c>
      <c r="K2456" s="1786" t="s">
        <v>642</v>
      </c>
      <c r="L2456" s="1787" t="e">
        <v>#REF!</v>
      </c>
      <c r="M2456" s="1787">
        <v>40</v>
      </c>
      <c r="N2456" s="1754"/>
      <c r="O2456" s="1788"/>
      <c r="P2456" s="1721" t="s">
        <v>9611</v>
      </c>
    </row>
    <row r="2457" spans="1:16" ht="13.5" hidden="1" customHeight="1" outlineLevel="1" x14ac:dyDescent="0.2">
      <c r="A2457" s="459">
        <v>0</v>
      </c>
      <c r="B2457" s="459">
        <v>17</v>
      </c>
      <c r="C2457" s="459">
        <v>6</v>
      </c>
      <c r="D2457" s="460">
        <v>0</v>
      </c>
      <c r="E2457" s="460">
        <v>7</v>
      </c>
      <c r="G2457" s="1796"/>
      <c r="H2457" s="1771" t="s">
        <v>39</v>
      </c>
      <c r="I2457" s="1735" t="s">
        <v>8238</v>
      </c>
      <c r="J2457" s="1773" t="s">
        <v>3114</v>
      </c>
      <c r="K2457" s="1774"/>
      <c r="L2457" s="1775"/>
      <c r="M2457" s="1775"/>
      <c r="N2457" s="1739"/>
      <c r="O2457" s="1776"/>
      <c r="P2457" s="1719"/>
    </row>
    <row r="2458" spans="1:16" ht="13.5" hidden="1" customHeight="1" outlineLevel="2" x14ac:dyDescent="0.2">
      <c r="A2458" s="459">
        <v>0</v>
      </c>
      <c r="B2458" s="459">
        <v>17</v>
      </c>
      <c r="C2458" s="459">
        <v>6</v>
      </c>
      <c r="D2458" s="460">
        <v>1</v>
      </c>
      <c r="E2458" s="460">
        <v>0</v>
      </c>
      <c r="G2458" s="1797"/>
      <c r="H2458" s="1777" t="s">
        <v>1238</v>
      </c>
      <c r="I2458" s="1742" t="s">
        <v>8239</v>
      </c>
      <c r="J2458" s="1779" t="s">
        <v>1548</v>
      </c>
      <c r="K2458" s="1780"/>
      <c r="L2458" s="1781"/>
      <c r="M2458" s="1781"/>
      <c r="N2458" s="1746"/>
      <c r="O2458" s="1782"/>
      <c r="P2458" s="1720"/>
    </row>
    <row r="2459" spans="1:16" ht="13.5" hidden="1" customHeight="1" outlineLevel="3" x14ac:dyDescent="0.2">
      <c r="A2459" s="459">
        <v>0</v>
      </c>
      <c r="B2459" s="459">
        <v>17</v>
      </c>
      <c r="C2459" s="459">
        <v>6</v>
      </c>
      <c r="D2459" s="460">
        <v>1</v>
      </c>
      <c r="E2459" s="460">
        <v>1</v>
      </c>
      <c r="G2459" s="1798" t="s">
        <v>51</v>
      </c>
      <c r="H2459" s="1783" t="s">
        <v>1239</v>
      </c>
      <c r="I2459" s="1750" t="s">
        <v>8240</v>
      </c>
      <c r="J2459" s="1785" t="s">
        <v>757</v>
      </c>
      <c r="K2459" s="1786" t="s">
        <v>642</v>
      </c>
      <c r="L2459" s="1787" t="e">
        <v>#REF!</v>
      </c>
      <c r="M2459" s="1787">
        <v>48.294267209876544</v>
      </c>
      <c r="N2459" s="1754"/>
      <c r="O2459" s="1788"/>
      <c r="P2459" s="1721" t="s">
        <v>9611</v>
      </c>
    </row>
    <row r="2460" spans="1:16" ht="13.5" hidden="1" customHeight="1" outlineLevel="2" x14ac:dyDescent="0.2">
      <c r="A2460" s="459">
        <v>0</v>
      </c>
      <c r="B2460" s="459">
        <v>17</v>
      </c>
      <c r="C2460" s="459">
        <v>6</v>
      </c>
      <c r="D2460" s="460">
        <v>2</v>
      </c>
      <c r="E2460" s="460">
        <v>0</v>
      </c>
      <c r="G2460" s="1797"/>
      <c r="H2460" s="1777" t="s">
        <v>1238</v>
      </c>
      <c r="I2460" s="1742" t="s">
        <v>8241</v>
      </c>
      <c r="J2460" s="1779" t="s">
        <v>1569</v>
      </c>
      <c r="K2460" s="1780"/>
      <c r="L2460" s="1781"/>
      <c r="M2460" s="1781"/>
      <c r="N2460" s="1746"/>
      <c r="O2460" s="1782"/>
      <c r="P2460" s="1720"/>
    </row>
    <row r="2461" spans="1:16" ht="13.5" hidden="1" customHeight="1" outlineLevel="3" x14ac:dyDescent="0.2">
      <c r="A2461" s="459">
        <v>0</v>
      </c>
      <c r="B2461" s="459">
        <v>17</v>
      </c>
      <c r="C2461" s="459">
        <v>6</v>
      </c>
      <c r="D2461" s="460">
        <v>2</v>
      </c>
      <c r="E2461" s="460">
        <v>1</v>
      </c>
      <c r="G2461" s="1798" t="s">
        <v>51</v>
      </c>
      <c r="H2461" s="1783" t="s">
        <v>1239</v>
      </c>
      <c r="I2461" s="1750" t="s">
        <v>8242</v>
      </c>
      <c r="J2461" s="1785" t="s">
        <v>1560</v>
      </c>
      <c r="K2461" s="1786" t="s">
        <v>642</v>
      </c>
      <c r="L2461" s="1787" t="e">
        <v>#REF!</v>
      </c>
      <c r="M2461" s="1787">
        <v>1.7585555555555554</v>
      </c>
      <c r="N2461" s="1754"/>
      <c r="O2461" s="1788"/>
      <c r="P2461" s="1721" t="s">
        <v>9611</v>
      </c>
    </row>
    <row r="2462" spans="1:16" ht="13.5" hidden="1" customHeight="1" outlineLevel="3" x14ac:dyDescent="0.2">
      <c r="A2462" s="459">
        <v>0</v>
      </c>
      <c r="B2462" s="459">
        <v>17</v>
      </c>
      <c r="C2462" s="459">
        <v>6</v>
      </c>
      <c r="D2462" s="460">
        <v>2</v>
      </c>
      <c r="E2462" s="460">
        <v>2</v>
      </c>
      <c r="G2462" s="1798" t="s">
        <v>51</v>
      </c>
      <c r="H2462" s="1783" t="s">
        <v>1239</v>
      </c>
      <c r="I2462" s="1750" t="s">
        <v>8243</v>
      </c>
      <c r="J2462" s="1785" t="s">
        <v>1561</v>
      </c>
      <c r="K2462" s="1786" t="s">
        <v>642</v>
      </c>
      <c r="L2462" s="1787" t="e">
        <v>#REF!</v>
      </c>
      <c r="M2462" s="1787">
        <v>4.3491600000000004</v>
      </c>
      <c r="N2462" s="1754"/>
      <c r="O2462" s="1788"/>
      <c r="P2462" s="1721" t="s">
        <v>9611</v>
      </c>
    </row>
    <row r="2463" spans="1:16" ht="13.5" hidden="1" customHeight="1" outlineLevel="3" x14ac:dyDescent="0.2">
      <c r="A2463" s="459">
        <v>0</v>
      </c>
      <c r="B2463" s="459">
        <v>17</v>
      </c>
      <c r="C2463" s="459">
        <v>6</v>
      </c>
      <c r="D2463" s="460">
        <v>2</v>
      </c>
      <c r="E2463" s="460">
        <v>3</v>
      </c>
      <c r="G2463" s="1798" t="s">
        <v>51</v>
      </c>
      <c r="H2463" s="1783" t="s">
        <v>1239</v>
      </c>
      <c r="I2463" s="1750" t="s">
        <v>8244</v>
      </c>
      <c r="J2463" s="1785" t="s">
        <v>774</v>
      </c>
      <c r="K2463" s="1786" t="s">
        <v>642</v>
      </c>
      <c r="L2463" s="1787" t="e">
        <v>#REF!</v>
      </c>
      <c r="M2463" s="1787">
        <v>12.1275</v>
      </c>
      <c r="N2463" s="1754"/>
      <c r="O2463" s="1788"/>
      <c r="P2463" s="1721" t="s">
        <v>9611</v>
      </c>
    </row>
    <row r="2464" spans="1:16" ht="13.5" hidden="1" customHeight="1" outlineLevel="3" x14ac:dyDescent="0.2">
      <c r="A2464" s="459">
        <v>0</v>
      </c>
      <c r="B2464" s="459">
        <v>17</v>
      </c>
      <c r="C2464" s="459">
        <v>6</v>
      </c>
      <c r="D2464" s="460">
        <v>2</v>
      </c>
      <c r="E2464" s="460">
        <v>4</v>
      </c>
      <c r="G2464" s="1798" t="s">
        <v>51</v>
      </c>
      <c r="H2464" s="1783" t="s">
        <v>1239</v>
      </c>
      <c r="I2464" s="1750" t="s">
        <v>8245</v>
      </c>
      <c r="J2464" s="1785" t="s">
        <v>3091</v>
      </c>
      <c r="K2464" s="1786" t="s">
        <v>642</v>
      </c>
      <c r="L2464" s="1787" t="e">
        <v>#REF!</v>
      </c>
      <c r="M2464" s="1787">
        <v>22.507959374999999</v>
      </c>
      <c r="N2464" s="1754"/>
      <c r="O2464" s="1788"/>
      <c r="P2464" s="1721" t="s">
        <v>9611</v>
      </c>
    </row>
    <row r="2465" spans="1:16" ht="13.5" hidden="1" customHeight="1" outlineLevel="3" x14ac:dyDescent="0.2">
      <c r="A2465" s="459">
        <v>0</v>
      </c>
      <c r="B2465" s="459">
        <v>17</v>
      </c>
      <c r="C2465" s="459">
        <v>6</v>
      </c>
      <c r="D2465" s="460">
        <v>2</v>
      </c>
      <c r="E2465" s="460">
        <v>5</v>
      </c>
      <c r="G2465" s="1798" t="s">
        <v>51</v>
      </c>
      <c r="H2465" s="1783" t="s">
        <v>1239</v>
      </c>
      <c r="I2465" s="1750" t="s">
        <v>8246</v>
      </c>
      <c r="J2465" s="1751" t="s">
        <v>3528</v>
      </c>
      <c r="K2465" s="1752" t="s">
        <v>642</v>
      </c>
      <c r="L2465" s="1753" t="e">
        <v>#REF!</v>
      </c>
      <c r="M2465" s="1787">
        <v>76.674746222222225</v>
      </c>
      <c r="N2465" s="1754"/>
      <c r="O2465" s="1755"/>
      <c r="P2465" s="1721" t="s">
        <v>9611</v>
      </c>
    </row>
    <row r="2466" spans="1:16" ht="13.5" hidden="1" customHeight="1" outlineLevel="3" x14ac:dyDescent="0.2">
      <c r="A2466" s="459">
        <v>0</v>
      </c>
      <c r="B2466" s="459">
        <v>17</v>
      </c>
      <c r="C2466" s="459">
        <v>6</v>
      </c>
      <c r="D2466" s="460">
        <v>2</v>
      </c>
      <c r="E2466" s="460">
        <v>6</v>
      </c>
      <c r="G2466" s="1798" t="s">
        <v>51</v>
      </c>
      <c r="H2466" s="1783" t="s">
        <v>1239</v>
      </c>
      <c r="I2466" s="1750" t="s">
        <v>8247</v>
      </c>
      <c r="J2466" s="1785" t="s">
        <v>770</v>
      </c>
      <c r="K2466" s="1786" t="s">
        <v>642</v>
      </c>
      <c r="L2466" s="1787" t="e">
        <v>#REF!</v>
      </c>
      <c r="M2466" s="1787">
        <v>8.7283160650000013</v>
      </c>
      <c r="N2466" s="1754"/>
      <c r="O2466" s="1788"/>
      <c r="P2466" s="1721" t="s">
        <v>9611</v>
      </c>
    </row>
    <row r="2467" spans="1:16" ht="13.5" hidden="1" customHeight="1" outlineLevel="2" x14ac:dyDescent="0.2">
      <c r="A2467" s="459">
        <v>0</v>
      </c>
      <c r="B2467" s="459">
        <v>17</v>
      </c>
      <c r="C2467" s="459">
        <v>6</v>
      </c>
      <c r="D2467" s="460">
        <v>3</v>
      </c>
      <c r="E2467" s="460">
        <v>0</v>
      </c>
      <c r="G2467" s="1797"/>
      <c r="H2467" s="1777" t="s">
        <v>1238</v>
      </c>
      <c r="I2467" s="1742" t="s">
        <v>8248</v>
      </c>
      <c r="J2467" s="1779" t="s">
        <v>1547</v>
      </c>
      <c r="K2467" s="1780"/>
      <c r="L2467" s="1781"/>
      <c r="M2467" s="1781"/>
      <c r="N2467" s="1746"/>
      <c r="O2467" s="1782"/>
      <c r="P2467" s="1720"/>
    </row>
    <row r="2468" spans="1:16" ht="13.5" hidden="1" customHeight="1" outlineLevel="3" x14ac:dyDescent="0.2">
      <c r="A2468" s="459">
        <v>0</v>
      </c>
      <c r="B2468" s="459">
        <v>17</v>
      </c>
      <c r="C2468" s="459">
        <v>6</v>
      </c>
      <c r="D2468" s="460">
        <v>3</v>
      </c>
      <c r="E2468" s="460">
        <v>1</v>
      </c>
      <c r="G2468" s="1798" t="s">
        <v>51</v>
      </c>
      <c r="H2468" s="1783" t="s">
        <v>1239</v>
      </c>
      <c r="I2468" s="1750" t="s">
        <v>8249</v>
      </c>
      <c r="J2468" s="1785" t="s">
        <v>3104</v>
      </c>
      <c r="K2468" s="1786" t="s">
        <v>642</v>
      </c>
      <c r="L2468" s="1787" t="e">
        <v>#REF!</v>
      </c>
      <c r="M2468" s="1787">
        <v>1.7585555555555554</v>
      </c>
      <c r="N2468" s="1754"/>
      <c r="O2468" s="1788"/>
      <c r="P2468" s="1721" t="s">
        <v>9611</v>
      </c>
    </row>
    <row r="2469" spans="1:16" ht="13.5" hidden="1" customHeight="1" outlineLevel="3" x14ac:dyDescent="0.2">
      <c r="A2469" s="459">
        <v>0</v>
      </c>
      <c r="B2469" s="459">
        <v>17</v>
      </c>
      <c r="C2469" s="459">
        <v>6</v>
      </c>
      <c r="D2469" s="460">
        <v>3</v>
      </c>
      <c r="E2469" s="460">
        <v>2</v>
      </c>
      <c r="G2469" s="1798" t="s">
        <v>51</v>
      </c>
      <c r="H2469" s="1783" t="s">
        <v>1239</v>
      </c>
      <c r="I2469" s="1750" t="s">
        <v>8250</v>
      </c>
      <c r="J2469" s="1785" t="s">
        <v>1936</v>
      </c>
      <c r="K2469" s="1786" t="s">
        <v>642</v>
      </c>
      <c r="L2469" s="1787" t="e">
        <v>#REF!</v>
      </c>
      <c r="M2469" s="1787">
        <v>4.3491600000000004</v>
      </c>
      <c r="N2469" s="1754"/>
      <c r="O2469" s="1788"/>
      <c r="P2469" s="1721" t="s">
        <v>9611</v>
      </c>
    </row>
    <row r="2470" spans="1:16" ht="13.5" hidden="1" customHeight="1" outlineLevel="3" x14ac:dyDescent="0.2">
      <c r="A2470" s="459">
        <v>0</v>
      </c>
      <c r="B2470" s="459">
        <v>17</v>
      </c>
      <c r="C2470" s="459">
        <v>6</v>
      </c>
      <c r="D2470" s="460">
        <v>3</v>
      </c>
      <c r="E2470" s="460">
        <v>3</v>
      </c>
      <c r="G2470" s="1798" t="s">
        <v>51</v>
      </c>
      <c r="H2470" s="1783" t="s">
        <v>1239</v>
      </c>
      <c r="I2470" s="1750" t="s">
        <v>8251</v>
      </c>
      <c r="J2470" s="1785" t="s">
        <v>3103</v>
      </c>
      <c r="K2470" s="1786" t="s">
        <v>642</v>
      </c>
      <c r="L2470" s="1787" t="e">
        <v>#REF!</v>
      </c>
      <c r="M2470" s="1787">
        <v>12.1275</v>
      </c>
      <c r="N2470" s="1754"/>
      <c r="O2470" s="1788"/>
      <c r="P2470" s="1721" t="s">
        <v>9611</v>
      </c>
    </row>
    <row r="2471" spans="1:16" ht="13.5" hidden="1" customHeight="1" outlineLevel="3" x14ac:dyDescent="0.2">
      <c r="A2471" s="459">
        <v>0</v>
      </c>
      <c r="B2471" s="459">
        <v>17</v>
      </c>
      <c r="C2471" s="459">
        <v>6</v>
      </c>
      <c r="D2471" s="460">
        <v>3</v>
      </c>
      <c r="E2471" s="460">
        <v>4</v>
      </c>
      <c r="G2471" s="1798" t="s">
        <v>51</v>
      </c>
      <c r="H2471" s="1783" t="s">
        <v>1239</v>
      </c>
      <c r="I2471" s="1750" t="s">
        <v>8252</v>
      </c>
      <c r="J2471" s="1785" t="s">
        <v>3105</v>
      </c>
      <c r="K2471" s="1786" t="s">
        <v>642</v>
      </c>
      <c r="L2471" s="1787" t="e">
        <v>#REF!</v>
      </c>
      <c r="M2471" s="1787">
        <v>70.567030666666668</v>
      </c>
      <c r="N2471" s="1754"/>
      <c r="O2471" s="1788"/>
      <c r="P2471" s="1721" t="s">
        <v>9611</v>
      </c>
    </row>
    <row r="2472" spans="1:16" ht="13.5" hidden="1" customHeight="1" outlineLevel="3" x14ac:dyDescent="0.2">
      <c r="A2472" s="459">
        <v>0</v>
      </c>
      <c r="B2472" s="459">
        <v>17</v>
      </c>
      <c r="C2472" s="459">
        <v>6</v>
      </c>
      <c r="D2472" s="460">
        <v>3</v>
      </c>
      <c r="E2472" s="460">
        <v>5</v>
      </c>
      <c r="G2472" s="1798" t="s">
        <v>51</v>
      </c>
      <c r="H2472" s="1783" t="s">
        <v>1239</v>
      </c>
      <c r="I2472" s="1750" t="s">
        <v>8253</v>
      </c>
      <c r="J2472" s="1785" t="s">
        <v>771</v>
      </c>
      <c r="K2472" s="1786" t="s">
        <v>642</v>
      </c>
      <c r="L2472" s="1787" t="e">
        <v>#REF!</v>
      </c>
      <c r="M2472" s="1787">
        <v>13.636363636363637</v>
      </c>
      <c r="N2472" s="1754"/>
      <c r="O2472" s="1788"/>
      <c r="P2472" s="1721" t="s">
        <v>9611</v>
      </c>
    </row>
    <row r="2473" spans="1:16" ht="13.5" hidden="1" customHeight="1" outlineLevel="2" x14ac:dyDescent="0.2">
      <c r="A2473" s="459">
        <v>0</v>
      </c>
      <c r="B2473" s="459">
        <v>17</v>
      </c>
      <c r="C2473" s="459">
        <v>6</v>
      </c>
      <c r="D2473" s="460">
        <v>4</v>
      </c>
      <c r="E2473" s="460">
        <v>0</v>
      </c>
      <c r="G2473" s="1797"/>
      <c r="H2473" s="1777" t="s">
        <v>1238</v>
      </c>
      <c r="I2473" s="1742" t="s">
        <v>8254</v>
      </c>
      <c r="J2473" s="1779" t="s">
        <v>15</v>
      </c>
      <c r="K2473" s="1780"/>
      <c r="L2473" s="1781"/>
      <c r="M2473" s="1781"/>
      <c r="N2473" s="1746"/>
      <c r="O2473" s="1782"/>
      <c r="P2473" s="1720"/>
    </row>
    <row r="2474" spans="1:16" ht="13.5" hidden="1" customHeight="1" outlineLevel="3" x14ac:dyDescent="0.2">
      <c r="A2474" s="459">
        <v>0</v>
      </c>
      <c r="B2474" s="459">
        <v>17</v>
      </c>
      <c r="C2474" s="459">
        <v>6</v>
      </c>
      <c r="D2474" s="460">
        <v>4</v>
      </c>
      <c r="E2474" s="460">
        <v>1</v>
      </c>
      <c r="G2474" s="1798" t="s">
        <v>51</v>
      </c>
      <c r="H2474" s="1783" t="s">
        <v>1239</v>
      </c>
      <c r="I2474" s="1750" t="s">
        <v>8255</v>
      </c>
      <c r="J2474" s="1785" t="s">
        <v>3108</v>
      </c>
      <c r="K2474" s="1786" t="s">
        <v>642</v>
      </c>
      <c r="L2474" s="1787" t="e">
        <v>#REF!</v>
      </c>
      <c r="M2474" s="1787">
        <v>40</v>
      </c>
      <c r="N2474" s="1754"/>
      <c r="O2474" s="1788"/>
      <c r="P2474" s="1721" t="s">
        <v>9611</v>
      </c>
    </row>
    <row r="2475" spans="1:16" ht="13.5" hidden="1" customHeight="1" outlineLevel="3" x14ac:dyDescent="0.2">
      <c r="A2475" s="459">
        <v>0</v>
      </c>
      <c r="B2475" s="459">
        <v>17</v>
      </c>
      <c r="C2475" s="459">
        <v>6</v>
      </c>
      <c r="D2475" s="460">
        <v>4</v>
      </c>
      <c r="E2475" s="460">
        <v>2</v>
      </c>
      <c r="G2475" s="1798" t="s">
        <v>51</v>
      </c>
      <c r="H2475" s="1783" t="s">
        <v>1239</v>
      </c>
      <c r="I2475" s="1750" t="s">
        <v>8256</v>
      </c>
      <c r="J2475" s="1785" t="s">
        <v>3529</v>
      </c>
      <c r="K2475" s="1786" t="s">
        <v>642</v>
      </c>
      <c r="L2475" s="1787" t="e">
        <v>#REF!</v>
      </c>
      <c r="M2475" s="1787">
        <v>42</v>
      </c>
      <c r="N2475" s="1754"/>
      <c r="O2475" s="1788"/>
      <c r="P2475" s="1721" t="s">
        <v>9611</v>
      </c>
    </row>
    <row r="2476" spans="1:16" ht="13.5" hidden="1" customHeight="1" outlineLevel="3" x14ac:dyDescent="0.2">
      <c r="A2476" s="459">
        <v>0</v>
      </c>
      <c r="B2476" s="459">
        <v>17</v>
      </c>
      <c r="C2476" s="459">
        <v>6</v>
      </c>
      <c r="D2476" s="460">
        <v>4</v>
      </c>
      <c r="E2476" s="460">
        <v>3</v>
      </c>
      <c r="G2476" s="1798" t="s">
        <v>51</v>
      </c>
      <c r="H2476" s="1783" t="s">
        <v>1239</v>
      </c>
      <c r="I2476" s="1750" t="s">
        <v>8257</v>
      </c>
      <c r="J2476" s="1785" t="s">
        <v>784</v>
      </c>
      <c r="K2476" s="1786" t="s">
        <v>642</v>
      </c>
      <c r="L2476" s="1787" t="e">
        <v>#REF!</v>
      </c>
      <c r="M2476" s="1787">
        <v>40</v>
      </c>
      <c r="N2476" s="1754"/>
      <c r="O2476" s="1788"/>
      <c r="P2476" s="1721" t="s">
        <v>9611</v>
      </c>
    </row>
    <row r="2477" spans="1:16" ht="13.5" hidden="1" customHeight="1" outlineLevel="3" x14ac:dyDescent="0.2">
      <c r="A2477" s="459">
        <v>0</v>
      </c>
      <c r="B2477" s="459">
        <v>17</v>
      </c>
      <c r="C2477" s="459">
        <v>6</v>
      </c>
      <c r="D2477" s="460">
        <v>4</v>
      </c>
      <c r="E2477" s="460">
        <v>4</v>
      </c>
      <c r="G2477" s="1798" t="s">
        <v>51</v>
      </c>
      <c r="H2477" s="1783" t="s">
        <v>1239</v>
      </c>
      <c r="I2477" s="1750" t="s">
        <v>8258</v>
      </c>
      <c r="J2477" s="1785" t="s">
        <v>1568</v>
      </c>
      <c r="K2477" s="1786" t="s">
        <v>642</v>
      </c>
      <c r="L2477" s="1787" t="e">
        <v>#REF!</v>
      </c>
      <c r="M2477" s="1787">
        <v>20</v>
      </c>
      <c r="N2477" s="1754"/>
      <c r="O2477" s="1788"/>
      <c r="P2477" s="1721" t="s">
        <v>9611</v>
      </c>
    </row>
    <row r="2478" spans="1:16" ht="13.5" hidden="1" customHeight="1" outlineLevel="3" x14ac:dyDescent="0.2">
      <c r="A2478" s="459">
        <v>0</v>
      </c>
      <c r="B2478" s="459">
        <v>17</v>
      </c>
      <c r="C2478" s="459">
        <v>6</v>
      </c>
      <c r="D2478" s="460">
        <v>4</v>
      </c>
      <c r="E2478" s="460">
        <v>5</v>
      </c>
      <c r="G2478" s="1798" t="s">
        <v>51</v>
      </c>
      <c r="H2478" s="1783" t="s">
        <v>1239</v>
      </c>
      <c r="I2478" s="1750" t="s">
        <v>8259</v>
      </c>
      <c r="J2478" s="1785" t="s">
        <v>785</v>
      </c>
      <c r="K2478" s="1786" t="s">
        <v>642</v>
      </c>
      <c r="L2478" s="1787" t="e">
        <v>#REF!</v>
      </c>
      <c r="M2478" s="1787">
        <v>40</v>
      </c>
      <c r="N2478" s="1754"/>
      <c r="O2478" s="1788"/>
      <c r="P2478" s="1721" t="s">
        <v>9611</v>
      </c>
    </row>
    <row r="2479" spans="1:16" ht="13.5" hidden="1" customHeight="1" outlineLevel="3" x14ac:dyDescent="0.2">
      <c r="A2479" s="459">
        <v>0</v>
      </c>
      <c r="B2479" s="459">
        <v>17</v>
      </c>
      <c r="C2479" s="459">
        <v>6</v>
      </c>
      <c r="D2479" s="460">
        <v>4</v>
      </c>
      <c r="E2479" s="460">
        <v>6</v>
      </c>
      <c r="G2479" s="1798" t="s">
        <v>51</v>
      </c>
      <c r="H2479" s="1783" t="s">
        <v>1239</v>
      </c>
      <c r="I2479" s="1750" t="s">
        <v>8260</v>
      </c>
      <c r="J2479" s="1785" t="s">
        <v>786</v>
      </c>
      <c r="K2479" s="1786" t="s">
        <v>642</v>
      </c>
      <c r="L2479" s="1787" t="e">
        <v>#REF!</v>
      </c>
      <c r="M2479" s="1787">
        <v>40</v>
      </c>
      <c r="N2479" s="1754"/>
      <c r="O2479" s="1788"/>
      <c r="P2479" s="1721" t="s">
        <v>9611</v>
      </c>
    </row>
    <row r="2480" spans="1:16" ht="13.5" hidden="1" customHeight="1" outlineLevel="3" x14ac:dyDescent="0.2">
      <c r="A2480" s="459">
        <v>0</v>
      </c>
      <c r="B2480" s="459">
        <v>17</v>
      </c>
      <c r="C2480" s="459">
        <v>6</v>
      </c>
      <c r="D2480" s="460">
        <v>4</v>
      </c>
      <c r="E2480" s="460">
        <v>7</v>
      </c>
      <c r="G2480" s="1798" t="s">
        <v>51</v>
      </c>
      <c r="H2480" s="1783" t="s">
        <v>1239</v>
      </c>
      <c r="I2480" s="1750" t="s">
        <v>8261</v>
      </c>
      <c r="J2480" s="1785" t="s">
        <v>3109</v>
      </c>
      <c r="K2480" s="1786" t="s">
        <v>642</v>
      </c>
      <c r="L2480" s="1787" t="e">
        <v>#REF!</v>
      </c>
      <c r="M2480" s="1787">
        <v>40</v>
      </c>
      <c r="N2480" s="1754"/>
      <c r="O2480" s="1788"/>
      <c r="P2480" s="1721" t="s">
        <v>9611</v>
      </c>
    </row>
    <row r="2481" spans="1:16" ht="13.5" hidden="1" customHeight="1" outlineLevel="1" x14ac:dyDescent="0.2">
      <c r="A2481" s="459">
        <v>0</v>
      </c>
      <c r="B2481" s="459">
        <v>17</v>
      </c>
      <c r="C2481" s="459">
        <v>7</v>
      </c>
      <c r="D2481" s="460">
        <v>0</v>
      </c>
      <c r="E2481" s="460">
        <v>7</v>
      </c>
      <c r="G2481" s="1796"/>
      <c r="H2481" s="1771" t="s">
        <v>39</v>
      </c>
      <c r="I2481" s="1735" t="s">
        <v>8262</v>
      </c>
      <c r="J2481" s="1773" t="s">
        <v>3115</v>
      </c>
      <c r="K2481" s="1774"/>
      <c r="L2481" s="1775"/>
      <c r="M2481" s="1775"/>
      <c r="N2481" s="1739"/>
      <c r="O2481" s="1776"/>
      <c r="P2481" s="1719"/>
    </row>
    <row r="2482" spans="1:16" ht="13.5" hidden="1" customHeight="1" outlineLevel="2" x14ac:dyDescent="0.2">
      <c r="A2482" s="459">
        <v>0</v>
      </c>
      <c r="B2482" s="459">
        <v>17</v>
      </c>
      <c r="C2482" s="459">
        <v>7</v>
      </c>
      <c r="D2482" s="460">
        <v>1</v>
      </c>
      <c r="E2482" s="460">
        <v>0</v>
      </c>
      <c r="G2482" s="1797"/>
      <c r="H2482" s="1777" t="s">
        <v>1238</v>
      </c>
      <c r="I2482" s="1742" t="s">
        <v>8263</v>
      </c>
      <c r="J2482" s="1779" t="s">
        <v>1548</v>
      </c>
      <c r="K2482" s="1780"/>
      <c r="L2482" s="1781"/>
      <c r="M2482" s="1781"/>
      <c r="N2482" s="1746"/>
      <c r="O2482" s="1782"/>
      <c r="P2482" s="1720"/>
    </row>
    <row r="2483" spans="1:16" ht="13.5" hidden="1" customHeight="1" outlineLevel="3" x14ac:dyDescent="0.2">
      <c r="A2483" s="459">
        <v>0</v>
      </c>
      <c r="B2483" s="459">
        <v>17</v>
      </c>
      <c r="C2483" s="459">
        <v>7</v>
      </c>
      <c r="D2483" s="460">
        <v>1</v>
      </c>
      <c r="E2483" s="460">
        <v>1</v>
      </c>
      <c r="G2483" s="1798" t="s">
        <v>51</v>
      </c>
      <c r="H2483" s="1783" t="s">
        <v>1239</v>
      </c>
      <c r="I2483" s="1750" t="s">
        <v>8264</v>
      </c>
      <c r="J2483" s="1785" t="s">
        <v>757</v>
      </c>
      <c r="K2483" s="1786" t="s">
        <v>642</v>
      </c>
      <c r="L2483" s="1787" t="e">
        <v>#REF!</v>
      </c>
      <c r="M2483" s="1787">
        <v>48.294267209876544</v>
      </c>
      <c r="N2483" s="1754"/>
      <c r="O2483" s="1788"/>
      <c r="P2483" s="1721" t="s">
        <v>9611</v>
      </c>
    </row>
    <row r="2484" spans="1:16" ht="13.5" hidden="1" customHeight="1" outlineLevel="2" x14ac:dyDescent="0.2">
      <c r="A2484" s="459">
        <v>0</v>
      </c>
      <c r="B2484" s="459">
        <v>17</v>
      </c>
      <c r="C2484" s="459">
        <v>7</v>
      </c>
      <c r="D2484" s="460">
        <v>2</v>
      </c>
      <c r="E2484" s="460">
        <v>0</v>
      </c>
      <c r="G2484" s="1797"/>
      <c r="H2484" s="1777" t="s">
        <v>1238</v>
      </c>
      <c r="I2484" s="1742" t="s">
        <v>8265</v>
      </c>
      <c r="J2484" s="1779" t="s">
        <v>1569</v>
      </c>
      <c r="K2484" s="1780"/>
      <c r="L2484" s="1781"/>
      <c r="M2484" s="1781"/>
      <c r="N2484" s="1746"/>
      <c r="O2484" s="1782"/>
      <c r="P2484" s="1720"/>
    </row>
    <row r="2485" spans="1:16" ht="13.5" hidden="1" customHeight="1" outlineLevel="3" x14ac:dyDescent="0.2">
      <c r="A2485" s="459">
        <v>0</v>
      </c>
      <c r="B2485" s="459">
        <v>17</v>
      </c>
      <c r="C2485" s="459">
        <v>7</v>
      </c>
      <c r="D2485" s="460">
        <v>2</v>
      </c>
      <c r="E2485" s="460">
        <v>1</v>
      </c>
      <c r="G2485" s="1798" t="s">
        <v>51</v>
      </c>
      <c r="H2485" s="1783" t="s">
        <v>1239</v>
      </c>
      <c r="I2485" s="1750" t="s">
        <v>8266</v>
      </c>
      <c r="J2485" s="1785" t="s">
        <v>1560</v>
      </c>
      <c r="K2485" s="1786" t="s">
        <v>642</v>
      </c>
      <c r="L2485" s="1787" t="e">
        <v>#REF!</v>
      </c>
      <c r="M2485" s="1787">
        <v>1.7585555555555554</v>
      </c>
      <c r="N2485" s="1754"/>
      <c r="O2485" s="1788"/>
      <c r="P2485" s="1721" t="s">
        <v>9611</v>
      </c>
    </row>
    <row r="2486" spans="1:16" ht="13.5" hidden="1" customHeight="1" outlineLevel="3" x14ac:dyDescent="0.2">
      <c r="A2486" s="459">
        <v>0</v>
      </c>
      <c r="B2486" s="459">
        <v>17</v>
      </c>
      <c r="C2486" s="459">
        <v>7</v>
      </c>
      <c r="D2486" s="460">
        <v>2</v>
      </c>
      <c r="E2486" s="460">
        <v>2</v>
      </c>
      <c r="G2486" s="1798" t="s">
        <v>51</v>
      </c>
      <c r="H2486" s="1783" t="s">
        <v>1239</v>
      </c>
      <c r="I2486" s="1750" t="s">
        <v>8267</v>
      </c>
      <c r="J2486" s="1785" t="s">
        <v>1561</v>
      </c>
      <c r="K2486" s="1786" t="s">
        <v>642</v>
      </c>
      <c r="L2486" s="1787" t="e">
        <v>#REF!</v>
      </c>
      <c r="M2486" s="1787">
        <v>4.3491600000000004</v>
      </c>
      <c r="N2486" s="1754"/>
      <c r="O2486" s="1788"/>
      <c r="P2486" s="1721" t="s">
        <v>9611</v>
      </c>
    </row>
    <row r="2487" spans="1:16" ht="13.5" hidden="1" customHeight="1" outlineLevel="3" x14ac:dyDescent="0.2">
      <c r="A2487" s="459">
        <v>0</v>
      </c>
      <c r="B2487" s="459">
        <v>17</v>
      </c>
      <c r="C2487" s="459">
        <v>7</v>
      </c>
      <c r="D2487" s="460">
        <v>2</v>
      </c>
      <c r="E2487" s="460">
        <v>3</v>
      </c>
      <c r="G2487" s="1798" t="s">
        <v>51</v>
      </c>
      <c r="H2487" s="1783" t="s">
        <v>1239</v>
      </c>
      <c r="I2487" s="1750" t="s">
        <v>8268</v>
      </c>
      <c r="J2487" s="1785" t="s">
        <v>774</v>
      </c>
      <c r="K2487" s="1786" t="s">
        <v>642</v>
      </c>
      <c r="L2487" s="1787" t="e">
        <v>#REF!</v>
      </c>
      <c r="M2487" s="1787">
        <v>12.1275</v>
      </c>
      <c r="N2487" s="1754"/>
      <c r="O2487" s="1788"/>
      <c r="P2487" s="1721" t="s">
        <v>9611</v>
      </c>
    </row>
    <row r="2488" spans="1:16" ht="13.5" hidden="1" customHeight="1" outlineLevel="3" x14ac:dyDescent="0.2">
      <c r="A2488" s="459">
        <v>0</v>
      </c>
      <c r="B2488" s="459">
        <v>17</v>
      </c>
      <c r="C2488" s="459">
        <v>7</v>
      </c>
      <c r="D2488" s="460">
        <v>2</v>
      </c>
      <c r="E2488" s="460">
        <v>4</v>
      </c>
      <c r="G2488" s="1798" t="s">
        <v>51</v>
      </c>
      <c r="H2488" s="1783" t="s">
        <v>1239</v>
      </c>
      <c r="I2488" s="1750" t="s">
        <v>8269</v>
      </c>
      <c r="J2488" s="1785" t="s">
        <v>3094</v>
      </c>
      <c r="K2488" s="1786" t="s">
        <v>642</v>
      </c>
      <c r="L2488" s="1787" t="e">
        <v>#REF!</v>
      </c>
      <c r="M2488" s="1787">
        <v>20.468868749999999</v>
      </c>
      <c r="N2488" s="1754"/>
      <c r="O2488" s="1788"/>
      <c r="P2488" s="1721" t="s">
        <v>9611</v>
      </c>
    </row>
    <row r="2489" spans="1:16" ht="13.5" hidden="1" customHeight="1" outlineLevel="3" x14ac:dyDescent="0.2">
      <c r="A2489" s="459">
        <v>0</v>
      </c>
      <c r="B2489" s="459">
        <v>17</v>
      </c>
      <c r="C2489" s="459">
        <v>7</v>
      </c>
      <c r="D2489" s="460">
        <v>2</v>
      </c>
      <c r="E2489" s="460">
        <v>5</v>
      </c>
      <c r="G2489" s="1798" t="s">
        <v>51</v>
      </c>
      <c r="H2489" s="1783" t="s">
        <v>1239</v>
      </c>
      <c r="I2489" s="1750" t="s">
        <v>8270</v>
      </c>
      <c r="J2489" s="1751" t="s">
        <v>3528</v>
      </c>
      <c r="K2489" s="1752" t="s">
        <v>642</v>
      </c>
      <c r="L2489" s="1753" t="e">
        <v>#REF!</v>
      </c>
      <c r="M2489" s="1787">
        <v>76.674746222222225</v>
      </c>
      <c r="N2489" s="1754"/>
      <c r="O2489" s="1755"/>
      <c r="P2489" s="1721" t="s">
        <v>9611</v>
      </c>
    </row>
    <row r="2490" spans="1:16" ht="13.5" hidden="1" customHeight="1" outlineLevel="3" x14ac:dyDescent="0.2">
      <c r="A2490" s="459">
        <v>0</v>
      </c>
      <c r="B2490" s="459">
        <v>17</v>
      </c>
      <c r="C2490" s="459">
        <v>7</v>
      </c>
      <c r="D2490" s="460">
        <v>2</v>
      </c>
      <c r="E2490" s="460">
        <v>6</v>
      </c>
      <c r="G2490" s="1798" t="s">
        <v>51</v>
      </c>
      <c r="H2490" s="1783" t="s">
        <v>1239</v>
      </c>
      <c r="I2490" s="1750" t="s">
        <v>8271</v>
      </c>
      <c r="J2490" s="1785" t="s">
        <v>3097</v>
      </c>
      <c r="K2490" s="1786" t="s">
        <v>642</v>
      </c>
      <c r="L2490" s="1787" t="e">
        <v>#REF!</v>
      </c>
      <c r="M2490" s="1787">
        <v>66.75</v>
      </c>
      <c r="N2490" s="1754"/>
      <c r="O2490" s="1788"/>
      <c r="P2490" s="1721" t="s">
        <v>9611</v>
      </c>
    </row>
    <row r="2491" spans="1:16" ht="13.5" hidden="1" customHeight="1" outlineLevel="3" x14ac:dyDescent="0.2">
      <c r="A2491" s="459">
        <v>0</v>
      </c>
      <c r="B2491" s="459">
        <v>17</v>
      </c>
      <c r="C2491" s="459">
        <v>7</v>
      </c>
      <c r="D2491" s="460">
        <v>2</v>
      </c>
      <c r="E2491" s="460">
        <v>7</v>
      </c>
      <c r="G2491" s="1798" t="s">
        <v>51</v>
      </c>
      <c r="H2491" s="1783" t="s">
        <v>1239</v>
      </c>
      <c r="I2491" s="1750" t="s">
        <v>8272</v>
      </c>
      <c r="J2491" s="1785" t="s">
        <v>3095</v>
      </c>
      <c r="K2491" s="1786" t="s">
        <v>642</v>
      </c>
      <c r="L2491" s="1787" t="e">
        <v>#REF!</v>
      </c>
      <c r="M2491" s="1787">
        <v>39.599999999999994</v>
      </c>
      <c r="N2491" s="1754"/>
      <c r="O2491" s="1788"/>
      <c r="P2491" s="1721" t="s">
        <v>9611</v>
      </c>
    </row>
    <row r="2492" spans="1:16" ht="13.5" hidden="1" customHeight="1" outlineLevel="3" x14ac:dyDescent="0.2">
      <c r="A2492" s="459">
        <v>0</v>
      </c>
      <c r="B2492" s="459">
        <v>17</v>
      </c>
      <c r="C2492" s="459">
        <v>7</v>
      </c>
      <c r="D2492" s="460">
        <v>2</v>
      </c>
      <c r="E2492" s="460">
        <v>8</v>
      </c>
      <c r="G2492" s="1798" t="s">
        <v>51</v>
      </c>
      <c r="H2492" s="1783" t="s">
        <v>1239</v>
      </c>
      <c r="I2492" s="1750" t="s">
        <v>8273</v>
      </c>
      <c r="J2492" s="1785" t="s">
        <v>770</v>
      </c>
      <c r="K2492" s="1786" t="s">
        <v>642</v>
      </c>
      <c r="L2492" s="1787" t="e">
        <v>#REF!</v>
      </c>
      <c r="M2492" s="1787">
        <v>8.7283160650000013</v>
      </c>
      <c r="N2492" s="1754"/>
      <c r="O2492" s="1788"/>
      <c r="P2492" s="1721" t="s">
        <v>9611</v>
      </c>
    </row>
    <row r="2493" spans="1:16" ht="13.5" hidden="1" customHeight="1" outlineLevel="2" x14ac:dyDescent="0.2">
      <c r="A2493" s="459">
        <v>0</v>
      </c>
      <c r="B2493" s="459">
        <v>17</v>
      </c>
      <c r="C2493" s="459">
        <v>7</v>
      </c>
      <c r="D2493" s="460">
        <v>3</v>
      </c>
      <c r="E2493" s="460">
        <v>0</v>
      </c>
      <c r="G2493" s="1797"/>
      <c r="H2493" s="1777" t="s">
        <v>1238</v>
      </c>
      <c r="I2493" s="1742" t="s">
        <v>8274</v>
      </c>
      <c r="J2493" s="1779" t="s">
        <v>1547</v>
      </c>
      <c r="K2493" s="1780"/>
      <c r="L2493" s="1781"/>
      <c r="M2493" s="1781"/>
      <c r="N2493" s="1746"/>
      <c r="O2493" s="1782"/>
      <c r="P2493" s="1720"/>
    </row>
    <row r="2494" spans="1:16" ht="13.5" hidden="1" customHeight="1" outlineLevel="3" x14ac:dyDescent="0.2">
      <c r="A2494" s="459">
        <v>0</v>
      </c>
      <c r="B2494" s="459">
        <v>17</v>
      </c>
      <c r="C2494" s="459">
        <v>7</v>
      </c>
      <c r="D2494" s="460">
        <v>3</v>
      </c>
      <c r="E2494" s="460">
        <v>1</v>
      </c>
      <c r="G2494" s="1798" t="s">
        <v>51</v>
      </c>
      <c r="H2494" s="1783" t="s">
        <v>1239</v>
      </c>
      <c r="I2494" s="1750" t="s">
        <v>8275</v>
      </c>
      <c r="J2494" s="1785" t="s">
        <v>3104</v>
      </c>
      <c r="K2494" s="1786" t="s">
        <v>642</v>
      </c>
      <c r="L2494" s="1787" t="e">
        <v>#REF!</v>
      </c>
      <c r="M2494" s="1787">
        <v>1.7585555555555554</v>
      </c>
      <c r="N2494" s="1754"/>
      <c r="O2494" s="1788"/>
      <c r="P2494" s="1721" t="s">
        <v>9611</v>
      </c>
    </row>
    <row r="2495" spans="1:16" ht="13.5" hidden="1" customHeight="1" outlineLevel="3" x14ac:dyDescent="0.2">
      <c r="A2495" s="459">
        <v>0</v>
      </c>
      <c r="B2495" s="459">
        <v>17</v>
      </c>
      <c r="C2495" s="459">
        <v>7</v>
      </c>
      <c r="D2495" s="460">
        <v>3</v>
      </c>
      <c r="E2495" s="460">
        <v>2</v>
      </c>
      <c r="G2495" s="1798" t="s">
        <v>51</v>
      </c>
      <c r="H2495" s="1783" t="s">
        <v>1239</v>
      </c>
      <c r="I2495" s="1750" t="s">
        <v>8276</v>
      </c>
      <c r="J2495" s="1785" t="s">
        <v>1936</v>
      </c>
      <c r="K2495" s="1786" t="s">
        <v>642</v>
      </c>
      <c r="L2495" s="1787" t="e">
        <v>#REF!</v>
      </c>
      <c r="M2495" s="1787">
        <v>4.3491600000000004</v>
      </c>
      <c r="N2495" s="1754"/>
      <c r="O2495" s="1788"/>
      <c r="P2495" s="1721" t="s">
        <v>9611</v>
      </c>
    </row>
    <row r="2496" spans="1:16" ht="13.5" hidden="1" customHeight="1" outlineLevel="3" x14ac:dyDescent="0.2">
      <c r="A2496" s="459">
        <v>0</v>
      </c>
      <c r="B2496" s="459">
        <v>17</v>
      </c>
      <c r="C2496" s="459">
        <v>7</v>
      </c>
      <c r="D2496" s="460">
        <v>3</v>
      </c>
      <c r="E2496" s="460">
        <v>3</v>
      </c>
      <c r="G2496" s="1798" t="s">
        <v>51</v>
      </c>
      <c r="H2496" s="1783" t="s">
        <v>1239</v>
      </c>
      <c r="I2496" s="1750" t="s">
        <v>8277</v>
      </c>
      <c r="J2496" s="1785" t="s">
        <v>3103</v>
      </c>
      <c r="K2496" s="1786" t="s">
        <v>642</v>
      </c>
      <c r="L2496" s="1787" t="e">
        <v>#REF!</v>
      </c>
      <c r="M2496" s="1787">
        <v>12.1275</v>
      </c>
      <c r="N2496" s="1754"/>
      <c r="O2496" s="1788"/>
      <c r="P2496" s="1721" t="s">
        <v>9611</v>
      </c>
    </row>
    <row r="2497" spans="1:16" ht="13.5" hidden="1" customHeight="1" outlineLevel="3" x14ac:dyDescent="0.2">
      <c r="A2497" s="459">
        <v>0</v>
      </c>
      <c r="B2497" s="459">
        <v>17</v>
      </c>
      <c r="C2497" s="459">
        <v>7</v>
      </c>
      <c r="D2497" s="460">
        <v>3</v>
      </c>
      <c r="E2497" s="460">
        <v>4</v>
      </c>
      <c r="G2497" s="1798" t="s">
        <v>51</v>
      </c>
      <c r="H2497" s="1783" t="s">
        <v>1239</v>
      </c>
      <c r="I2497" s="1750" t="s">
        <v>8278</v>
      </c>
      <c r="J2497" s="1785" t="s">
        <v>3101</v>
      </c>
      <c r="K2497" s="1786" t="s">
        <v>642</v>
      </c>
      <c r="L2497" s="1787" t="e">
        <v>#REF!</v>
      </c>
      <c r="M2497" s="1787">
        <v>20.468868749999999</v>
      </c>
      <c r="N2497" s="1754"/>
      <c r="O2497" s="1788"/>
      <c r="P2497" s="1721" t="s">
        <v>9611</v>
      </c>
    </row>
    <row r="2498" spans="1:16" ht="13.5" hidden="1" customHeight="1" outlineLevel="3" x14ac:dyDescent="0.2">
      <c r="A2498" s="459">
        <v>0</v>
      </c>
      <c r="B2498" s="459">
        <v>17</v>
      </c>
      <c r="C2498" s="459">
        <v>7</v>
      </c>
      <c r="D2498" s="460">
        <v>3</v>
      </c>
      <c r="E2498" s="460">
        <v>5</v>
      </c>
      <c r="G2498" s="1798" t="s">
        <v>51</v>
      </c>
      <c r="H2498" s="1783" t="s">
        <v>1239</v>
      </c>
      <c r="I2498" s="1750" t="s">
        <v>8279</v>
      </c>
      <c r="J2498" s="1785" t="s">
        <v>3105</v>
      </c>
      <c r="K2498" s="1786" t="s">
        <v>642</v>
      </c>
      <c r="L2498" s="1787" t="e">
        <v>#REF!</v>
      </c>
      <c r="M2498" s="1787">
        <v>70.567030666666668</v>
      </c>
      <c r="N2498" s="1754"/>
      <c r="O2498" s="1788"/>
      <c r="P2498" s="1721" t="s">
        <v>9611</v>
      </c>
    </row>
    <row r="2499" spans="1:16" ht="13.5" hidden="1" customHeight="1" outlineLevel="3" x14ac:dyDescent="0.2">
      <c r="A2499" s="459">
        <v>0</v>
      </c>
      <c r="B2499" s="459">
        <v>17</v>
      </c>
      <c r="C2499" s="459">
        <v>7</v>
      </c>
      <c r="D2499" s="460">
        <v>3</v>
      </c>
      <c r="E2499" s="460">
        <v>6</v>
      </c>
      <c r="G2499" s="1798" t="s">
        <v>51</v>
      </c>
      <c r="H2499" s="1783" t="s">
        <v>1239</v>
      </c>
      <c r="I2499" s="1750" t="s">
        <v>8280</v>
      </c>
      <c r="J2499" s="1785" t="s">
        <v>3099</v>
      </c>
      <c r="K2499" s="1786" t="s">
        <v>642</v>
      </c>
      <c r="L2499" s="1787" t="e">
        <v>#REF!</v>
      </c>
      <c r="M2499" s="1787">
        <v>39.599999999999994</v>
      </c>
      <c r="N2499" s="1754"/>
      <c r="O2499" s="1788"/>
      <c r="P2499" s="1721" t="s">
        <v>9611</v>
      </c>
    </row>
    <row r="2500" spans="1:16" ht="13.5" hidden="1" customHeight="1" outlineLevel="3" x14ac:dyDescent="0.2">
      <c r="A2500" s="459">
        <v>0</v>
      </c>
      <c r="B2500" s="459">
        <v>17</v>
      </c>
      <c r="C2500" s="459">
        <v>7</v>
      </c>
      <c r="D2500" s="460">
        <v>3</v>
      </c>
      <c r="E2500" s="460">
        <v>7</v>
      </c>
      <c r="G2500" s="1798" t="s">
        <v>51</v>
      </c>
      <c r="H2500" s="1783" t="s">
        <v>1239</v>
      </c>
      <c r="I2500" s="1750" t="s">
        <v>8281</v>
      </c>
      <c r="J2500" s="1785" t="s">
        <v>771</v>
      </c>
      <c r="K2500" s="1786" t="s">
        <v>642</v>
      </c>
      <c r="L2500" s="1787" t="e">
        <v>#REF!</v>
      </c>
      <c r="M2500" s="1787">
        <v>13.636363636363637</v>
      </c>
      <c r="N2500" s="1754"/>
      <c r="O2500" s="1788"/>
      <c r="P2500" s="1721" t="s">
        <v>9611</v>
      </c>
    </row>
    <row r="2501" spans="1:16" ht="13.5" hidden="1" customHeight="1" outlineLevel="2" x14ac:dyDescent="0.2">
      <c r="A2501" s="459">
        <v>0</v>
      </c>
      <c r="B2501" s="459">
        <v>17</v>
      </c>
      <c r="C2501" s="459">
        <v>7</v>
      </c>
      <c r="D2501" s="460">
        <v>4</v>
      </c>
      <c r="E2501" s="460">
        <v>0</v>
      </c>
      <c r="G2501" s="1797"/>
      <c r="H2501" s="1777" t="s">
        <v>1238</v>
      </c>
      <c r="I2501" s="1742" t="s">
        <v>8282</v>
      </c>
      <c r="J2501" s="1779" t="s">
        <v>15</v>
      </c>
      <c r="K2501" s="1780"/>
      <c r="L2501" s="1781"/>
      <c r="M2501" s="1781"/>
      <c r="N2501" s="1746"/>
      <c r="O2501" s="1782"/>
      <c r="P2501" s="1720"/>
    </row>
    <row r="2502" spans="1:16" ht="13.5" hidden="1" customHeight="1" outlineLevel="3" x14ac:dyDescent="0.2">
      <c r="A2502" s="459">
        <v>0</v>
      </c>
      <c r="B2502" s="459">
        <v>17</v>
      </c>
      <c r="C2502" s="459">
        <v>7</v>
      </c>
      <c r="D2502" s="460">
        <v>4</v>
      </c>
      <c r="E2502" s="460">
        <v>1</v>
      </c>
      <c r="G2502" s="1798" t="s">
        <v>51</v>
      </c>
      <c r="H2502" s="1783" t="s">
        <v>1239</v>
      </c>
      <c r="I2502" s="1750" t="s">
        <v>8283</v>
      </c>
      <c r="J2502" s="1785" t="s">
        <v>3108</v>
      </c>
      <c r="K2502" s="1786" t="s">
        <v>642</v>
      </c>
      <c r="L2502" s="1787" t="e">
        <v>#REF!</v>
      </c>
      <c r="M2502" s="1787">
        <v>40</v>
      </c>
      <c r="N2502" s="1754"/>
      <c r="O2502" s="1788"/>
      <c r="P2502" s="1721" t="s">
        <v>9611</v>
      </c>
    </row>
    <row r="2503" spans="1:16" ht="12" hidden="1" customHeight="1" outlineLevel="3" x14ac:dyDescent="0.2">
      <c r="A2503" s="459">
        <v>0</v>
      </c>
      <c r="B2503" s="459">
        <v>17</v>
      </c>
      <c r="C2503" s="459">
        <v>7</v>
      </c>
      <c r="D2503" s="460">
        <v>4</v>
      </c>
      <c r="E2503" s="460">
        <v>2</v>
      </c>
      <c r="G2503" s="1798" t="s">
        <v>51</v>
      </c>
      <c r="H2503" s="1783" t="s">
        <v>1239</v>
      </c>
      <c r="I2503" s="1750" t="s">
        <v>8284</v>
      </c>
      <c r="J2503" s="1785" t="s">
        <v>3529</v>
      </c>
      <c r="K2503" s="1786" t="s">
        <v>642</v>
      </c>
      <c r="L2503" s="1787" t="e">
        <v>#REF!</v>
      </c>
      <c r="M2503" s="1787">
        <v>42</v>
      </c>
      <c r="N2503" s="1754"/>
      <c r="O2503" s="1788"/>
      <c r="P2503" s="1721" t="s">
        <v>9611</v>
      </c>
    </row>
    <row r="2504" spans="1:16" ht="13.5" hidden="1" customHeight="1" outlineLevel="3" x14ac:dyDescent="0.2">
      <c r="A2504" s="459">
        <v>0</v>
      </c>
      <c r="B2504" s="459">
        <v>17</v>
      </c>
      <c r="C2504" s="459">
        <v>7</v>
      </c>
      <c r="D2504" s="460">
        <v>4</v>
      </c>
      <c r="E2504" s="460">
        <v>3</v>
      </c>
      <c r="G2504" s="1798" t="s">
        <v>51</v>
      </c>
      <c r="H2504" s="1783" t="s">
        <v>1239</v>
      </c>
      <c r="I2504" s="1750" t="s">
        <v>8285</v>
      </c>
      <c r="J2504" s="1785" t="s">
        <v>784</v>
      </c>
      <c r="K2504" s="1786" t="s">
        <v>642</v>
      </c>
      <c r="L2504" s="1787" t="e">
        <v>#REF!</v>
      </c>
      <c r="M2504" s="1787">
        <v>40</v>
      </c>
      <c r="N2504" s="1754"/>
      <c r="O2504" s="1788"/>
      <c r="P2504" s="1721" t="s">
        <v>9611</v>
      </c>
    </row>
    <row r="2505" spans="1:16" ht="13.5" hidden="1" customHeight="1" outlineLevel="3" x14ac:dyDescent="0.2">
      <c r="A2505" s="459">
        <v>0</v>
      </c>
      <c r="B2505" s="459">
        <v>17</v>
      </c>
      <c r="C2505" s="459">
        <v>7</v>
      </c>
      <c r="D2505" s="460">
        <v>4</v>
      </c>
      <c r="E2505" s="460">
        <v>4</v>
      </c>
      <c r="G2505" s="1798" t="s">
        <v>51</v>
      </c>
      <c r="H2505" s="1783" t="s">
        <v>1239</v>
      </c>
      <c r="I2505" s="1750" t="s">
        <v>8286</v>
      </c>
      <c r="J2505" s="1785" t="s">
        <v>783</v>
      </c>
      <c r="K2505" s="1786" t="s">
        <v>642</v>
      </c>
      <c r="L2505" s="1787" t="e">
        <v>#REF!</v>
      </c>
      <c r="M2505" s="1787">
        <v>40</v>
      </c>
      <c r="N2505" s="1754"/>
      <c r="O2505" s="1788"/>
      <c r="P2505" s="1721" t="s">
        <v>9611</v>
      </c>
    </row>
    <row r="2506" spans="1:16" ht="13.5" hidden="1" customHeight="1" outlineLevel="3" x14ac:dyDescent="0.2">
      <c r="A2506" s="459">
        <v>0</v>
      </c>
      <c r="B2506" s="459">
        <v>17</v>
      </c>
      <c r="C2506" s="459">
        <v>7</v>
      </c>
      <c r="D2506" s="460">
        <v>4</v>
      </c>
      <c r="E2506" s="460">
        <v>5</v>
      </c>
      <c r="G2506" s="1798" t="s">
        <v>51</v>
      </c>
      <c r="H2506" s="1783" t="s">
        <v>1239</v>
      </c>
      <c r="I2506" s="1750" t="s">
        <v>8287</v>
      </c>
      <c r="J2506" s="1785" t="s">
        <v>1568</v>
      </c>
      <c r="K2506" s="1786" t="s">
        <v>642</v>
      </c>
      <c r="L2506" s="1787" t="e">
        <v>#REF!</v>
      </c>
      <c r="M2506" s="1787">
        <v>20</v>
      </c>
      <c r="N2506" s="1754"/>
      <c r="O2506" s="1788"/>
      <c r="P2506" s="1721" t="s">
        <v>9611</v>
      </c>
    </row>
    <row r="2507" spans="1:16" ht="13.5" hidden="1" customHeight="1" outlineLevel="3" x14ac:dyDescent="0.2">
      <c r="A2507" s="459">
        <v>0</v>
      </c>
      <c r="B2507" s="459">
        <v>17</v>
      </c>
      <c r="C2507" s="459">
        <v>7</v>
      </c>
      <c r="D2507" s="460">
        <v>4</v>
      </c>
      <c r="E2507" s="460">
        <v>6</v>
      </c>
      <c r="G2507" s="1798" t="s">
        <v>51</v>
      </c>
      <c r="H2507" s="1783" t="s">
        <v>1239</v>
      </c>
      <c r="I2507" s="1750" t="s">
        <v>8288</v>
      </c>
      <c r="J2507" s="1785" t="s">
        <v>785</v>
      </c>
      <c r="K2507" s="1786" t="s">
        <v>642</v>
      </c>
      <c r="L2507" s="1787" t="e">
        <v>#REF!</v>
      </c>
      <c r="M2507" s="1787">
        <v>40</v>
      </c>
      <c r="N2507" s="1754"/>
      <c r="O2507" s="1788"/>
      <c r="P2507" s="1721" t="s">
        <v>9611</v>
      </c>
    </row>
    <row r="2508" spans="1:16" ht="13.5" hidden="1" customHeight="1" outlineLevel="3" x14ac:dyDescent="0.2">
      <c r="A2508" s="459">
        <v>0</v>
      </c>
      <c r="B2508" s="459">
        <v>17</v>
      </c>
      <c r="C2508" s="459">
        <v>7</v>
      </c>
      <c r="D2508" s="460">
        <v>4</v>
      </c>
      <c r="E2508" s="460">
        <v>7</v>
      </c>
      <c r="G2508" s="1798" t="s">
        <v>51</v>
      </c>
      <c r="H2508" s="1783" t="s">
        <v>1239</v>
      </c>
      <c r="I2508" s="1750" t="s">
        <v>8289</v>
      </c>
      <c r="J2508" s="1785" t="s">
        <v>786</v>
      </c>
      <c r="K2508" s="1786" t="s">
        <v>642</v>
      </c>
      <c r="L2508" s="1787" t="e">
        <v>#REF!</v>
      </c>
      <c r="M2508" s="1787">
        <v>40</v>
      </c>
      <c r="N2508" s="1754"/>
      <c r="O2508" s="1788"/>
      <c r="P2508" s="1721" t="s">
        <v>9611</v>
      </c>
    </row>
    <row r="2509" spans="1:16" ht="13.5" hidden="1" customHeight="1" outlineLevel="3" x14ac:dyDescent="0.2">
      <c r="A2509" s="459">
        <v>0</v>
      </c>
      <c r="B2509" s="459">
        <v>17</v>
      </c>
      <c r="C2509" s="459">
        <v>7</v>
      </c>
      <c r="D2509" s="460">
        <v>4</v>
      </c>
      <c r="E2509" s="460">
        <v>8</v>
      </c>
      <c r="G2509" s="1798" t="s">
        <v>51</v>
      </c>
      <c r="H2509" s="1783" t="s">
        <v>1239</v>
      </c>
      <c r="I2509" s="1750" t="s">
        <v>8290</v>
      </c>
      <c r="J2509" s="1785" t="s">
        <v>3109</v>
      </c>
      <c r="K2509" s="1786" t="s">
        <v>642</v>
      </c>
      <c r="L2509" s="1787" t="e">
        <v>#REF!</v>
      </c>
      <c r="M2509" s="1787">
        <v>40</v>
      </c>
      <c r="N2509" s="1754"/>
      <c r="O2509" s="1788"/>
      <c r="P2509" s="1721" t="s">
        <v>9611</v>
      </c>
    </row>
    <row r="2510" spans="1:16" ht="13.5" hidden="1" customHeight="1" outlineLevel="1" x14ac:dyDescent="0.2">
      <c r="A2510" s="459">
        <v>0</v>
      </c>
      <c r="B2510" s="459">
        <v>17</v>
      </c>
      <c r="C2510" s="459">
        <v>8</v>
      </c>
      <c r="D2510" s="460">
        <v>0</v>
      </c>
      <c r="E2510" s="460">
        <v>8</v>
      </c>
      <c r="G2510" s="1796"/>
      <c r="H2510" s="1771" t="s">
        <v>39</v>
      </c>
      <c r="I2510" s="1735" t="s">
        <v>8291</v>
      </c>
      <c r="J2510" s="1773" t="s">
        <v>3116</v>
      </c>
      <c r="K2510" s="1774"/>
      <c r="L2510" s="1775"/>
      <c r="M2510" s="1775"/>
      <c r="N2510" s="1739"/>
      <c r="O2510" s="1776"/>
      <c r="P2510" s="1719"/>
    </row>
    <row r="2511" spans="1:16" ht="13.5" hidden="1" customHeight="1" outlineLevel="2" x14ac:dyDescent="0.2">
      <c r="A2511" s="459">
        <v>0</v>
      </c>
      <c r="B2511" s="459">
        <v>17</v>
      </c>
      <c r="C2511" s="459">
        <v>8</v>
      </c>
      <c r="D2511" s="460">
        <v>1</v>
      </c>
      <c r="E2511" s="460">
        <v>0</v>
      </c>
      <c r="G2511" s="1797"/>
      <c r="H2511" s="1777" t="s">
        <v>1238</v>
      </c>
      <c r="I2511" s="1742" t="s">
        <v>8292</v>
      </c>
      <c r="J2511" s="1779" t="s">
        <v>1569</v>
      </c>
      <c r="K2511" s="1780"/>
      <c r="L2511" s="1781"/>
      <c r="M2511" s="1781"/>
      <c r="N2511" s="1746"/>
      <c r="O2511" s="1782"/>
      <c r="P2511" s="1720"/>
    </row>
    <row r="2512" spans="1:16" ht="13.5" hidden="1" customHeight="1" outlineLevel="3" x14ac:dyDescent="0.2">
      <c r="A2512" s="459">
        <v>0</v>
      </c>
      <c r="B2512" s="459">
        <v>17</v>
      </c>
      <c r="C2512" s="459">
        <v>8</v>
      </c>
      <c r="D2512" s="460">
        <v>1</v>
      </c>
      <c r="E2512" s="460">
        <v>1</v>
      </c>
      <c r="G2512" s="1798" t="s">
        <v>51</v>
      </c>
      <c r="H2512" s="1783" t="s">
        <v>1239</v>
      </c>
      <c r="I2512" s="1750" t="s">
        <v>8293</v>
      </c>
      <c r="J2512" s="1785" t="s">
        <v>1560</v>
      </c>
      <c r="K2512" s="1786" t="s">
        <v>642</v>
      </c>
      <c r="L2512" s="1787" t="e">
        <v>#REF!</v>
      </c>
      <c r="M2512" s="1787">
        <v>1.7585555555555554</v>
      </c>
      <c r="N2512" s="1754"/>
      <c r="O2512" s="1788"/>
      <c r="P2512" s="1721" t="s">
        <v>9611</v>
      </c>
    </row>
    <row r="2513" spans="1:16" ht="13.5" hidden="1" customHeight="1" outlineLevel="3" x14ac:dyDescent="0.2">
      <c r="A2513" s="459">
        <v>0</v>
      </c>
      <c r="B2513" s="459">
        <v>17</v>
      </c>
      <c r="C2513" s="459">
        <v>8</v>
      </c>
      <c r="D2513" s="460">
        <v>1</v>
      </c>
      <c r="E2513" s="460">
        <v>2</v>
      </c>
      <c r="G2513" s="1798" t="s">
        <v>51</v>
      </c>
      <c r="H2513" s="1783" t="s">
        <v>1239</v>
      </c>
      <c r="I2513" s="1750" t="s">
        <v>8294</v>
      </c>
      <c r="J2513" s="1785" t="s">
        <v>1561</v>
      </c>
      <c r="K2513" s="1786" t="s">
        <v>642</v>
      </c>
      <c r="L2513" s="1787" t="e">
        <v>#REF!</v>
      </c>
      <c r="M2513" s="1787">
        <v>4.3491600000000004</v>
      </c>
      <c r="N2513" s="1754"/>
      <c r="O2513" s="1788"/>
      <c r="P2513" s="1721" t="s">
        <v>9611</v>
      </c>
    </row>
    <row r="2514" spans="1:16" ht="13.5" hidden="1" customHeight="1" outlineLevel="3" x14ac:dyDescent="0.2">
      <c r="A2514" s="459">
        <v>0</v>
      </c>
      <c r="B2514" s="459">
        <v>17</v>
      </c>
      <c r="C2514" s="459">
        <v>8</v>
      </c>
      <c r="D2514" s="460">
        <v>1</v>
      </c>
      <c r="E2514" s="460">
        <v>3</v>
      </c>
      <c r="G2514" s="1798" t="s">
        <v>51</v>
      </c>
      <c r="H2514" s="1783" t="s">
        <v>1239</v>
      </c>
      <c r="I2514" s="1750" t="s">
        <v>8295</v>
      </c>
      <c r="J2514" s="1785" t="s">
        <v>774</v>
      </c>
      <c r="K2514" s="1786" t="s">
        <v>642</v>
      </c>
      <c r="L2514" s="1787" t="e">
        <v>#REF!</v>
      </c>
      <c r="M2514" s="1787">
        <v>12.1275</v>
      </c>
      <c r="N2514" s="1754"/>
      <c r="O2514" s="1788"/>
      <c r="P2514" s="1721" t="s">
        <v>9611</v>
      </c>
    </row>
    <row r="2515" spans="1:16" ht="13.5" hidden="1" customHeight="1" outlineLevel="3" x14ac:dyDescent="0.2">
      <c r="A2515" s="459">
        <v>0</v>
      </c>
      <c r="B2515" s="459">
        <v>17</v>
      </c>
      <c r="C2515" s="459">
        <v>8</v>
      </c>
      <c r="D2515" s="460">
        <v>1</v>
      </c>
      <c r="E2515" s="460">
        <v>4</v>
      </c>
      <c r="G2515" s="1798" t="s">
        <v>51</v>
      </c>
      <c r="H2515" s="1783" t="s">
        <v>1239</v>
      </c>
      <c r="I2515" s="1750" t="s">
        <v>8296</v>
      </c>
      <c r="J2515" s="1785" t="s">
        <v>3094</v>
      </c>
      <c r="K2515" s="1786" t="s">
        <v>642</v>
      </c>
      <c r="L2515" s="1787" t="e">
        <v>#REF!</v>
      </c>
      <c r="M2515" s="1787">
        <v>20.468868749999999</v>
      </c>
      <c r="N2515" s="1754"/>
      <c r="O2515" s="1788"/>
      <c r="P2515" s="1721" t="s">
        <v>9611</v>
      </c>
    </row>
    <row r="2516" spans="1:16" ht="13.5" hidden="1" customHeight="1" outlineLevel="3" x14ac:dyDescent="0.2">
      <c r="A2516" s="459">
        <v>0</v>
      </c>
      <c r="B2516" s="459">
        <v>17</v>
      </c>
      <c r="C2516" s="459">
        <v>8</v>
      </c>
      <c r="D2516" s="460">
        <v>1</v>
      </c>
      <c r="E2516" s="460">
        <v>5</v>
      </c>
      <c r="G2516" s="1798" t="s">
        <v>51</v>
      </c>
      <c r="H2516" s="1783" t="s">
        <v>1239</v>
      </c>
      <c r="I2516" s="1750" t="s">
        <v>8297</v>
      </c>
      <c r="J2516" s="1751" t="s">
        <v>3528</v>
      </c>
      <c r="K2516" s="1752" t="s">
        <v>642</v>
      </c>
      <c r="L2516" s="1753" t="e">
        <v>#REF!</v>
      </c>
      <c r="M2516" s="1787">
        <v>76.674746222222225</v>
      </c>
      <c r="N2516" s="1754"/>
      <c r="O2516" s="1755"/>
      <c r="P2516" s="1721" t="s">
        <v>9611</v>
      </c>
    </row>
    <row r="2517" spans="1:16" ht="13.5" hidden="1" customHeight="1" outlineLevel="3" x14ac:dyDescent="0.2">
      <c r="A2517" s="459">
        <v>0</v>
      </c>
      <c r="B2517" s="459">
        <v>17</v>
      </c>
      <c r="C2517" s="459">
        <v>8</v>
      </c>
      <c r="D2517" s="460">
        <v>1</v>
      </c>
      <c r="E2517" s="460">
        <v>6</v>
      </c>
      <c r="G2517" s="1798" t="s">
        <v>51</v>
      </c>
      <c r="H2517" s="1783" t="s">
        <v>1239</v>
      </c>
      <c r="I2517" s="1750" t="s">
        <v>8298</v>
      </c>
      <c r="J2517" s="1785" t="s">
        <v>3095</v>
      </c>
      <c r="K2517" s="1786" t="s">
        <v>642</v>
      </c>
      <c r="L2517" s="1787" t="e">
        <v>#REF!</v>
      </c>
      <c r="M2517" s="1787">
        <v>39.599999999999994</v>
      </c>
      <c r="N2517" s="1754"/>
      <c r="O2517" s="1788"/>
      <c r="P2517" s="1721" t="s">
        <v>9611</v>
      </c>
    </row>
    <row r="2518" spans="1:16" ht="13.5" hidden="1" customHeight="1" outlineLevel="2" x14ac:dyDescent="0.2">
      <c r="A2518" s="459">
        <v>0</v>
      </c>
      <c r="B2518" s="459">
        <v>17</v>
      </c>
      <c r="C2518" s="459">
        <v>8</v>
      </c>
      <c r="D2518" s="460">
        <v>2</v>
      </c>
      <c r="E2518" s="460">
        <v>0</v>
      </c>
      <c r="G2518" s="1797"/>
      <c r="H2518" s="1777" t="s">
        <v>1238</v>
      </c>
      <c r="I2518" s="1742" t="s">
        <v>8299</v>
      </c>
      <c r="J2518" s="1779" t="s">
        <v>1547</v>
      </c>
      <c r="K2518" s="1780"/>
      <c r="L2518" s="1781"/>
      <c r="M2518" s="1781"/>
      <c r="N2518" s="1746"/>
      <c r="O2518" s="1782"/>
      <c r="P2518" s="1720"/>
    </row>
    <row r="2519" spans="1:16" ht="13.5" hidden="1" customHeight="1" outlineLevel="3" x14ac:dyDescent="0.2">
      <c r="A2519" s="459">
        <v>0</v>
      </c>
      <c r="B2519" s="459">
        <v>17</v>
      </c>
      <c r="C2519" s="459">
        <v>8</v>
      </c>
      <c r="D2519" s="460">
        <v>2</v>
      </c>
      <c r="E2519" s="460">
        <v>1</v>
      </c>
      <c r="G2519" s="1798" t="s">
        <v>51</v>
      </c>
      <c r="H2519" s="1783" t="s">
        <v>1239</v>
      </c>
      <c r="I2519" s="1750" t="s">
        <v>8300</v>
      </c>
      <c r="J2519" s="1785" t="s">
        <v>3104</v>
      </c>
      <c r="K2519" s="1786" t="s">
        <v>642</v>
      </c>
      <c r="L2519" s="1787" t="e">
        <v>#REF!</v>
      </c>
      <c r="M2519" s="1787">
        <v>1.7585555555555554</v>
      </c>
      <c r="N2519" s="1754"/>
      <c r="O2519" s="1788"/>
      <c r="P2519" s="1721" t="s">
        <v>9611</v>
      </c>
    </row>
    <row r="2520" spans="1:16" ht="13.5" hidden="1" customHeight="1" outlineLevel="3" x14ac:dyDescent="0.2">
      <c r="A2520" s="459">
        <v>0</v>
      </c>
      <c r="B2520" s="459">
        <v>17</v>
      </c>
      <c r="C2520" s="459">
        <v>8</v>
      </c>
      <c r="D2520" s="460">
        <v>2</v>
      </c>
      <c r="E2520" s="460">
        <v>2</v>
      </c>
      <c r="G2520" s="1798" t="s">
        <v>51</v>
      </c>
      <c r="H2520" s="1783" t="s">
        <v>1239</v>
      </c>
      <c r="I2520" s="1750" t="s">
        <v>8301</v>
      </c>
      <c r="J2520" s="1785" t="s">
        <v>1936</v>
      </c>
      <c r="K2520" s="1786" t="s">
        <v>642</v>
      </c>
      <c r="L2520" s="1787" t="e">
        <v>#REF!</v>
      </c>
      <c r="M2520" s="1787">
        <v>4.3491600000000004</v>
      </c>
      <c r="N2520" s="1754"/>
      <c r="O2520" s="1788"/>
      <c r="P2520" s="1721" t="s">
        <v>9611</v>
      </c>
    </row>
    <row r="2521" spans="1:16" ht="13.5" hidden="1" customHeight="1" outlineLevel="3" x14ac:dyDescent="0.2">
      <c r="A2521" s="459">
        <v>0</v>
      </c>
      <c r="B2521" s="459">
        <v>17</v>
      </c>
      <c r="C2521" s="459">
        <v>8</v>
      </c>
      <c r="D2521" s="460">
        <v>2</v>
      </c>
      <c r="E2521" s="460">
        <v>3</v>
      </c>
      <c r="G2521" s="1798" t="s">
        <v>51</v>
      </c>
      <c r="H2521" s="1783" t="s">
        <v>1239</v>
      </c>
      <c r="I2521" s="1750" t="s">
        <v>8302</v>
      </c>
      <c r="J2521" s="1785" t="s">
        <v>3103</v>
      </c>
      <c r="K2521" s="1786" t="s">
        <v>642</v>
      </c>
      <c r="L2521" s="1787" t="e">
        <v>#REF!</v>
      </c>
      <c r="M2521" s="1787">
        <v>12.1275</v>
      </c>
      <c r="N2521" s="1754"/>
      <c r="O2521" s="1788"/>
      <c r="P2521" s="1721" t="s">
        <v>9611</v>
      </c>
    </row>
    <row r="2522" spans="1:16" ht="13.5" hidden="1" customHeight="1" outlineLevel="3" x14ac:dyDescent="0.2">
      <c r="A2522" s="459">
        <v>0</v>
      </c>
      <c r="B2522" s="459">
        <v>17</v>
      </c>
      <c r="C2522" s="459">
        <v>8</v>
      </c>
      <c r="D2522" s="460">
        <v>2</v>
      </c>
      <c r="E2522" s="460">
        <v>4</v>
      </c>
      <c r="G2522" s="1798" t="s">
        <v>51</v>
      </c>
      <c r="H2522" s="1783" t="s">
        <v>1239</v>
      </c>
      <c r="I2522" s="1750" t="s">
        <v>8303</v>
      </c>
      <c r="J2522" s="1785" t="s">
        <v>3101</v>
      </c>
      <c r="K2522" s="1786" t="s">
        <v>642</v>
      </c>
      <c r="L2522" s="1787" t="e">
        <v>#REF!</v>
      </c>
      <c r="M2522" s="1787">
        <v>20.468868749999999</v>
      </c>
      <c r="N2522" s="1754"/>
      <c r="O2522" s="1788"/>
      <c r="P2522" s="1721" t="s">
        <v>9611</v>
      </c>
    </row>
    <row r="2523" spans="1:16" ht="13.5" hidden="1" customHeight="1" outlineLevel="3" x14ac:dyDescent="0.2">
      <c r="A2523" s="459">
        <v>0</v>
      </c>
      <c r="B2523" s="459">
        <v>17</v>
      </c>
      <c r="C2523" s="459">
        <v>8</v>
      </c>
      <c r="D2523" s="460">
        <v>2</v>
      </c>
      <c r="E2523" s="460">
        <v>5</v>
      </c>
      <c r="G2523" s="1798" t="s">
        <v>51</v>
      </c>
      <c r="H2523" s="1783" t="s">
        <v>1239</v>
      </c>
      <c r="I2523" s="1750" t="s">
        <v>8304</v>
      </c>
      <c r="J2523" s="1785" t="s">
        <v>3105</v>
      </c>
      <c r="K2523" s="1786" t="s">
        <v>642</v>
      </c>
      <c r="L2523" s="1787" t="e">
        <v>#REF!</v>
      </c>
      <c r="M2523" s="1787">
        <v>70.567030666666668</v>
      </c>
      <c r="N2523" s="1754"/>
      <c r="O2523" s="1788"/>
      <c r="P2523" s="1721" t="s">
        <v>9611</v>
      </c>
    </row>
    <row r="2524" spans="1:16" ht="13.5" hidden="1" customHeight="1" outlineLevel="3" x14ac:dyDescent="0.2">
      <c r="A2524" s="459">
        <v>0</v>
      </c>
      <c r="B2524" s="459">
        <v>17</v>
      </c>
      <c r="C2524" s="459">
        <v>8</v>
      </c>
      <c r="D2524" s="460">
        <v>2</v>
      </c>
      <c r="E2524" s="460">
        <v>6</v>
      </c>
      <c r="G2524" s="1798" t="s">
        <v>51</v>
      </c>
      <c r="H2524" s="1783" t="s">
        <v>1239</v>
      </c>
      <c r="I2524" s="1750" t="s">
        <v>8305</v>
      </c>
      <c r="J2524" s="1785" t="s">
        <v>771</v>
      </c>
      <c r="K2524" s="1786" t="s">
        <v>642</v>
      </c>
      <c r="L2524" s="1787" t="e">
        <v>#REF!</v>
      </c>
      <c r="M2524" s="1787">
        <v>13.636363636363637</v>
      </c>
      <c r="N2524" s="1754"/>
      <c r="O2524" s="1788"/>
      <c r="P2524" s="1721" t="s">
        <v>9611</v>
      </c>
    </row>
    <row r="2525" spans="1:16" ht="13.5" hidden="1" customHeight="1" outlineLevel="2" x14ac:dyDescent="0.2">
      <c r="A2525" s="459">
        <v>0</v>
      </c>
      <c r="B2525" s="459">
        <v>17</v>
      </c>
      <c r="C2525" s="459">
        <v>8</v>
      </c>
      <c r="D2525" s="460">
        <v>3</v>
      </c>
      <c r="E2525" s="460">
        <v>0</v>
      </c>
      <c r="G2525" s="1797"/>
      <c r="H2525" s="1777" t="s">
        <v>1238</v>
      </c>
      <c r="I2525" s="1742" t="s">
        <v>8306</v>
      </c>
      <c r="J2525" s="1779" t="s">
        <v>15</v>
      </c>
      <c r="K2525" s="1780"/>
      <c r="L2525" s="1781"/>
      <c r="M2525" s="1781"/>
      <c r="N2525" s="1746"/>
      <c r="O2525" s="1782"/>
      <c r="P2525" s="1720"/>
    </row>
    <row r="2526" spans="1:16" ht="12" hidden="1" customHeight="1" outlineLevel="3" x14ac:dyDescent="0.2">
      <c r="A2526" s="459">
        <v>0</v>
      </c>
      <c r="B2526" s="459">
        <v>17</v>
      </c>
      <c r="C2526" s="459">
        <v>8</v>
      </c>
      <c r="D2526" s="460">
        <v>3</v>
      </c>
      <c r="E2526" s="460">
        <v>1</v>
      </c>
      <c r="G2526" s="1798" t="s">
        <v>51</v>
      </c>
      <c r="H2526" s="1783" t="s">
        <v>1239</v>
      </c>
      <c r="I2526" s="1750" t="s">
        <v>8307</v>
      </c>
      <c r="J2526" s="1785" t="s">
        <v>3529</v>
      </c>
      <c r="K2526" s="1786" t="s">
        <v>642</v>
      </c>
      <c r="L2526" s="1787" t="e">
        <v>#REF!</v>
      </c>
      <c r="M2526" s="1787">
        <v>42</v>
      </c>
      <c r="N2526" s="1754"/>
      <c r="O2526" s="1788"/>
      <c r="P2526" s="1721" t="s">
        <v>9611</v>
      </c>
    </row>
    <row r="2527" spans="1:16" ht="13.5" hidden="1" customHeight="1" outlineLevel="3" x14ac:dyDescent="0.2">
      <c r="A2527" s="459">
        <v>0</v>
      </c>
      <c r="B2527" s="459">
        <v>17</v>
      </c>
      <c r="C2527" s="459">
        <v>8</v>
      </c>
      <c r="D2527" s="460">
        <v>3</v>
      </c>
      <c r="E2527" s="460">
        <v>2</v>
      </c>
      <c r="G2527" s="1798" t="s">
        <v>51</v>
      </c>
      <c r="H2527" s="1783" t="s">
        <v>1239</v>
      </c>
      <c r="I2527" s="1750" t="s">
        <v>8308</v>
      </c>
      <c r="J2527" s="1785" t="s">
        <v>784</v>
      </c>
      <c r="K2527" s="1786" t="s">
        <v>642</v>
      </c>
      <c r="L2527" s="1787" t="e">
        <v>#REF!</v>
      </c>
      <c r="M2527" s="1787">
        <v>40</v>
      </c>
      <c r="N2527" s="1754"/>
      <c r="O2527" s="1788"/>
      <c r="P2527" s="1721" t="s">
        <v>9611</v>
      </c>
    </row>
    <row r="2528" spans="1:16" ht="13.5" hidden="1" customHeight="1" outlineLevel="3" x14ac:dyDescent="0.2">
      <c r="A2528" s="459">
        <v>0</v>
      </c>
      <c r="B2528" s="459">
        <v>17</v>
      </c>
      <c r="C2528" s="459">
        <v>8</v>
      </c>
      <c r="D2528" s="460">
        <v>3</v>
      </c>
      <c r="E2528" s="460">
        <v>3</v>
      </c>
      <c r="G2528" s="1798" t="s">
        <v>51</v>
      </c>
      <c r="H2528" s="1783" t="s">
        <v>1239</v>
      </c>
      <c r="I2528" s="1750" t="s">
        <v>8309</v>
      </c>
      <c r="J2528" s="1785" t="s">
        <v>783</v>
      </c>
      <c r="K2528" s="1786" t="s">
        <v>642</v>
      </c>
      <c r="L2528" s="1787" t="e">
        <v>#REF!</v>
      </c>
      <c r="M2528" s="1787">
        <v>40</v>
      </c>
      <c r="N2528" s="1754"/>
      <c r="O2528" s="1788"/>
      <c r="P2528" s="1721" t="s">
        <v>9611</v>
      </c>
    </row>
    <row r="2529" spans="1:16" ht="13.5" hidden="1" customHeight="1" outlineLevel="3" x14ac:dyDescent="0.2">
      <c r="A2529" s="459">
        <v>0</v>
      </c>
      <c r="B2529" s="459">
        <v>17</v>
      </c>
      <c r="C2529" s="459">
        <v>8</v>
      </c>
      <c r="D2529" s="460">
        <v>3</v>
      </c>
      <c r="E2529" s="460">
        <v>4</v>
      </c>
      <c r="G2529" s="1798" t="s">
        <v>51</v>
      </c>
      <c r="H2529" s="1783" t="s">
        <v>1239</v>
      </c>
      <c r="I2529" s="1750" t="s">
        <v>8310</v>
      </c>
      <c r="J2529" s="1785" t="s">
        <v>785</v>
      </c>
      <c r="K2529" s="1786" t="s">
        <v>642</v>
      </c>
      <c r="L2529" s="1787" t="e">
        <v>#REF!</v>
      </c>
      <c r="M2529" s="1787">
        <v>40</v>
      </c>
      <c r="N2529" s="1754"/>
      <c r="O2529" s="1788"/>
      <c r="P2529" s="1721" t="s">
        <v>9611</v>
      </c>
    </row>
    <row r="2530" spans="1:16" ht="13.5" hidden="1" customHeight="1" outlineLevel="3" x14ac:dyDescent="0.2">
      <c r="A2530" s="459">
        <v>0</v>
      </c>
      <c r="B2530" s="459">
        <v>17</v>
      </c>
      <c r="C2530" s="459">
        <v>8</v>
      </c>
      <c r="D2530" s="460">
        <v>3</v>
      </c>
      <c r="E2530" s="460">
        <v>5</v>
      </c>
      <c r="G2530" s="1798" t="s">
        <v>51</v>
      </c>
      <c r="H2530" s="1783" t="s">
        <v>1239</v>
      </c>
      <c r="I2530" s="1750" t="s">
        <v>8311</v>
      </c>
      <c r="J2530" s="1785" t="s">
        <v>786</v>
      </c>
      <c r="K2530" s="1786" t="s">
        <v>642</v>
      </c>
      <c r="L2530" s="1787" t="e">
        <v>#REF!</v>
      </c>
      <c r="M2530" s="1787">
        <v>40</v>
      </c>
      <c r="N2530" s="1754"/>
      <c r="O2530" s="1788"/>
      <c r="P2530" s="1721" t="s">
        <v>9611</v>
      </c>
    </row>
    <row r="2531" spans="1:16" ht="13.5" hidden="1" customHeight="1" outlineLevel="3" x14ac:dyDescent="0.2">
      <c r="A2531" s="459">
        <v>0</v>
      </c>
      <c r="B2531" s="459">
        <v>17</v>
      </c>
      <c r="C2531" s="459">
        <v>8</v>
      </c>
      <c r="D2531" s="460">
        <v>3</v>
      </c>
      <c r="E2531" s="460">
        <v>6</v>
      </c>
      <c r="G2531" s="1798" t="s">
        <v>51</v>
      </c>
      <c r="H2531" s="1783" t="s">
        <v>1239</v>
      </c>
      <c r="I2531" s="1750" t="s">
        <v>8312</v>
      </c>
      <c r="J2531" s="1785" t="s">
        <v>3109</v>
      </c>
      <c r="K2531" s="1786" t="s">
        <v>642</v>
      </c>
      <c r="L2531" s="1787" t="e">
        <v>#REF!</v>
      </c>
      <c r="M2531" s="1787">
        <v>40</v>
      </c>
      <c r="N2531" s="1754"/>
      <c r="O2531" s="1788"/>
      <c r="P2531" s="1721" t="s">
        <v>9611</v>
      </c>
    </row>
    <row r="2532" spans="1:16" ht="13.5" hidden="1" customHeight="1" outlineLevel="1" x14ac:dyDescent="0.2">
      <c r="A2532" s="459">
        <v>0</v>
      </c>
      <c r="B2532" s="459">
        <v>17</v>
      </c>
      <c r="C2532" s="459">
        <v>9</v>
      </c>
      <c r="D2532" s="460">
        <v>0</v>
      </c>
      <c r="E2532" s="460">
        <v>6</v>
      </c>
      <c r="G2532" s="1796"/>
      <c r="H2532" s="1771" t="s">
        <v>39</v>
      </c>
      <c r="I2532" s="1735" t="s">
        <v>8313</v>
      </c>
      <c r="J2532" s="1773" t="s">
        <v>3117</v>
      </c>
      <c r="K2532" s="1774"/>
      <c r="L2532" s="1775"/>
      <c r="M2532" s="1775"/>
      <c r="N2532" s="1739"/>
      <c r="O2532" s="1776"/>
      <c r="P2532" s="1719"/>
    </row>
    <row r="2533" spans="1:16" ht="13.5" hidden="1" customHeight="1" outlineLevel="2" x14ac:dyDescent="0.2">
      <c r="A2533" s="459">
        <v>0</v>
      </c>
      <c r="B2533" s="459">
        <v>17</v>
      </c>
      <c r="C2533" s="459">
        <v>9</v>
      </c>
      <c r="D2533" s="460">
        <v>1</v>
      </c>
      <c r="E2533" s="460">
        <v>0</v>
      </c>
      <c r="G2533" s="1797"/>
      <c r="H2533" s="1777" t="s">
        <v>1238</v>
      </c>
      <c r="I2533" s="1742" t="s">
        <v>8314</v>
      </c>
      <c r="J2533" s="1779" t="s">
        <v>1569</v>
      </c>
      <c r="K2533" s="1780"/>
      <c r="L2533" s="1781"/>
      <c r="M2533" s="1781"/>
      <c r="N2533" s="1746"/>
      <c r="O2533" s="1782"/>
      <c r="P2533" s="1720"/>
    </row>
    <row r="2534" spans="1:16" ht="13.5" hidden="1" customHeight="1" outlineLevel="3" x14ac:dyDescent="0.2">
      <c r="A2534" s="459">
        <v>0</v>
      </c>
      <c r="B2534" s="459">
        <v>17</v>
      </c>
      <c r="C2534" s="459">
        <v>9</v>
      </c>
      <c r="D2534" s="460">
        <v>1</v>
      </c>
      <c r="E2534" s="460">
        <v>1</v>
      </c>
      <c r="G2534" s="1798" t="s">
        <v>51</v>
      </c>
      <c r="H2534" s="1783" t="s">
        <v>1239</v>
      </c>
      <c r="I2534" s="1750" t="s">
        <v>8315</v>
      </c>
      <c r="J2534" s="1785" t="s">
        <v>1560</v>
      </c>
      <c r="K2534" s="1786" t="s">
        <v>642</v>
      </c>
      <c r="L2534" s="1787" t="e">
        <v>#REF!</v>
      </c>
      <c r="M2534" s="1787">
        <v>1.7585555555555554</v>
      </c>
      <c r="N2534" s="1754"/>
      <c r="O2534" s="1788"/>
      <c r="P2534" s="1721" t="s">
        <v>9611</v>
      </c>
    </row>
    <row r="2535" spans="1:16" ht="13.5" hidden="1" customHeight="1" outlineLevel="3" x14ac:dyDescent="0.2">
      <c r="A2535" s="459">
        <v>0</v>
      </c>
      <c r="B2535" s="459">
        <v>17</v>
      </c>
      <c r="C2535" s="459">
        <v>9</v>
      </c>
      <c r="D2535" s="460">
        <v>1</v>
      </c>
      <c r="E2535" s="460">
        <v>2</v>
      </c>
      <c r="G2535" s="1798" t="s">
        <v>51</v>
      </c>
      <c r="H2535" s="1783" t="s">
        <v>1239</v>
      </c>
      <c r="I2535" s="1750" t="s">
        <v>8316</v>
      </c>
      <c r="J2535" s="1785" t="s">
        <v>1561</v>
      </c>
      <c r="K2535" s="1786" t="s">
        <v>642</v>
      </c>
      <c r="L2535" s="1787" t="e">
        <v>#REF!</v>
      </c>
      <c r="M2535" s="1787">
        <v>4.3491600000000004</v>
      </c>
      <c r="N2535" s="1754"/>
      <c r="O2535" s="1788"/>
      <c r="P2535" s="1721" t="s">
        <v>9611</v>
      </c>
    </row>
    <row r="2536" spans="1:16" ht="13.5" hidden="1" customHeight="1" outlineLevel="3" x14ac:dyDescent="0.2">
      <c r="A2536" s="459">
        <v>0</v>
      </c>
      <c r="B2536" s="459">
        <v>17</v>
      </c>
      <c r="C2536" s="459">
        <v>9</v>
      </c>
      <c r="D2536" s="460">
        <v>1</v>
      </c>
      <c r="E2536" s="460">
        <v>3</v>
      </c>
      <c r="G2536" s="1798" t="s">
        <v>51</v>
      </c>
      <c r="H2536" s="1783" t="s">
        <v>1239</v>
      </c>
      <c r="I2536" s="1750" t="s">
        <v>8317</v>
      </c>
      <c r="J2536" s="1785" t="s">
        <v>774</v>
      </c>
      <c r="K2536" s="1786" t="s">
        <v>642</v>
      </c>
      <c r="L2536" s="1787" t="e">
        <v>#REF!</v>
      </c>
      <c r="M2536" s="1787">
        <v>12.1275</v>
      </c>
      <c r="N2536" s="1754"/>
      <c r="O2536" s="1788"/>
      <c r="P2536" s="1721" t="s">
        <v>9611</v>
      </c>
    </row>
    <row r="2537" spans="1:16" ht="13.5" hidden="1" customHeight="1" outlineLevel="3" x14ac:dyDescent="0.2">
      <c r="A2537" s="459">
        <v>0</v>
      </c>
      <c r="B2537" s="459">
        <v>17</v>
      </c>
      <c r="C2537" s="459">
        <v>9</v>
      </c>
      <c r="D2537" s="460">
        <v>1</v>
      </c>
      <c r="E2537" s="460">
        <v>4</v>
      </c>
      <c r="G2537" s="1798" t="s">
        <v>51</v>
      </c>
      <c r="H2537" s="1783" t="s">
        <v>1239</v>
      </c>
      <c r="I2537" s="1750" t="s">
        <v>8318</v>
      </c>
      <c r="J2537" s="1751" t="s">
        <v>3528</v>
      </c>
      <c r="K2537" s="1752" t="s">
        <v>642</v>
      </c>
      <c r="L2537" s="1753" t="e">
        <v>#REF!</v>
      </c>
      <c r="M2537" s="1787">
        <v>76.674746222222225</v>
      </c>
      <c r="N2537" s="1754"/>
      <c r="O2537" s="1755"/>
      <c r="P2537" s="1721" t="s">
        <v>9611</v>
      </c>
    </row>
    <row r="2538" spans="1:16" ht="13.5" hidden="1" customHeight="1" outlineLevel="2" x14ac:dyDescent="0.2">
      <c r="A2538" s="459">
        <v>0</v>
      </c>
      <c r="B2538" s="459">
        <v>17</v>
      </c>
      <c r="C2538" s="459">
        <v>9</v>
      </c>
      <c r="D2538" s="460">
        <v>2</v>
      </c>
      <c r="E2538" s="460">
        <v>0</v>
      </c>
      <c r="G2538" s="1797"/>
      <c r="H2538" s="1777" t="s">
        <v>1238</v>
      </c>
      <c r="I2538" s="1742" t="s">
        <v>8319</v>
      </c>
      <c r="J2538" s="1779" t="s">
        <v>1547</v>
      </c>
      <c r="K2538" s="1780"/>
      <c r="L2538" s="1781"/>
      <c r="M2538" s="1781"/>
      <c r="N2538" s="1746"/>
      <c r="O2538" s="1782"/>
      <c r="P2538" s="1720"/>
    </row>
    <row r="2539" spans="1:16" ht="13.5" hidden="1" customHeight="1" outlineLevel="3" x14ac:dyDescent="0.2">
      <c r="A2539" s="459">
        <v>0</v>
      </c>
      <c r="B2539" s="459">
        <v>17</v>
      </c>
      <c r="C2539" s="459">
        <v>9</v>
      </c>
      <c r="D2539" s="460">
        <v>2</v>
      </c>
      <c r="E2539" s="460">
        <v>1</v>
      </c>
      <c r="G2539" s="1798" t="s">
        <v>51</v>
      </c>
      <c r="H2539" s="1783" t="s">
        <v>1239</v>
      </c>
      <c r="I2539" s="1750" t="s">
        <v>8320</v>
      </c>
      <c r="J2539" s="1785" t="s">
        <v>3104</v>
      </c>
      <c r="K2539" s="1786" t="s">
        <v>642</v>
      </c>
      <c r="L2539" s="1787" t="e">
        <v>#REF!</v>
      </c>
      <c r="M2539" s="1787">
        <v>1.7585555555555554</v>
      </c>
      <c r="N2539" s="1754"/>
      <c r="O2539" s="1788"/>
      <c r="P2539" s="1721" t="s">
        <v>9611</v>
      </c>
    </row>
    <row r="2540" spans="1:16" ht="13.5" hidden="1" customHeight="1" outlineLevel="3" x14ac:dyDescent="0.2">
      <c r="A2540" s="459">
        <v>0</v>
      </c>
      <c r="B2540" s="459">
        <v>17</v>
      </c>
      <c r="C2540" s="459">
        <v>9</v>
      </c>
      <c r="D2540" s="460">
        <v>2</v>
      </c>
      <c r="E2540" s="460">
        <v>2</v>
      </c>
      <c r="G2540" s="1798" t="s">
        <v>51</v>
      </c>
      <c r="H2540" s="1783" t="s">
        <v>1239</v>
      </c>
      <c r="I2540" s="1750" t="s">
        <v>8321</v>
      </c>
      <c r="J2540" s="1785" t="s">
        <v>1936</v>
      </c>
      <c r="K2540" s="1786" t="s">
        <v>642</v>
      </c>
      <c r="L2540" s="1787" t="e">
        <v>#REF!</v>
      </c>
      <c r="M2540" s="1787">
        <v>4.3491600000000004</v>
      </c>
      <c r="N2540" s="1754"/>
      <c r="O2540" s="1788"/>
      <c r="P2540" s="1721" t="s">
        <v>9611</v>
      </c>
    </row>
    <row r="2541" spans="1:16" ht="13.5" hidden="1" customHeight="1" outlineLevel="3" x14ac:dyDescent="0.2">
      <c r="A2541" s="459">
        <v>0</v>
      </c>
      <c r="B2541" s="459">
        <v>17</v>
      </c>
      <c r="C2541" s="459">
        <v>9</v>
      </c>
      <c r="D2541" s="460">
        <v>2</v>
      </c>
      <c r="E2541" s="460">
        <v>3</v>
      </c>
      <c r="G2541" s="1798" t="s">
        <v>51</v>
      </c>
      <c r="H2541" s="1783" t="s">
        <v>1239</v>
      </c>
      <c r="I2541" s="1750" t="s">
        <v>8322</v>
      </c>
      <c r="J2541" s="1785" t="s">
        <v>3103</v>
      </c>
      <c r="K2541" s="1786" t="s">
        <v>642</v>
      </c>
      <c r="L2541" s="1787" t="e">
        <v>#REF!</v>
      </c>
      <c r="M2541" s="1787">
        <v>12.1275</v>
      </c>
      <c r="N2541" s="1754"/>
      <c r="O2541" s="1788"/>
      <c r="P2541" s="1721" t="s">
        <v>9611</v>
      </c>
    </row>
    <row r="2542" spans="1:16" ht="13.5" hidden="1" customHeight="1" outlineLevel="3" x14ac:dyDescent="0.2">
      <c r="A2542" s="459">
        <v>0</v>
      </c>
      <c r="B2542" s="459">
        <v>17</v>
      </c>
      <c r="C2542" s="459">
        <v>9</v>
      </c>
      <c r="D2542" s="460">
        <v>2</v>
      </c>
      <c r="E2542" s="460">
        <v>4</v>
      </c>
      <c r="G2542" s="1798" t="s">
        <v>51</v>
      </c>
      <c r="H2542" s="1783" t="s">
        <v>1239</v>
      </c>
      <c r="I2542" s="1750" t="s">
        <v>8323</v>
      </c>
      <c r="J2542" s="1785" t="s">
        <v>3105</v>
      </c>
      <c r="K2542" s="1786" t="s">
        <v>642</v>
      </c>
      <c r="L2542" s="1787" t="e">
        <v>#REF!</v>
      </c>
      <c r="M2542" s="1787">
        <v>70.567030666666668</v>
      </c>
      <c r="N2542" s="1754"/>
      <c r="O2542" s="1788"/>
      <c r="P2542" s="1721" t="s">
        <v>9611</v>
      </c>
    </row>
    <row r="2543" spans="1:16" ht="13.5" hidden="1" customHeight="1" outlineLevel="2" x14ac:dyDescent="0.2">
      <c r="A2543" s="459">
        <v>0</v>
      </c>
      <c r="B2543" s="459">
        <v>17</v>
      </c>
      <c r="C2543" s="459">
        <v>9</v>
      </c>
      <c r="D2543" s="460">
        <v>3</v>
      </c>
      <c r="E2543" s="460">
        <v>0</v>
      </c>
      <c r="G2543" s="1797"/>
      <c r="H2543" s="1777" t="s">
        <v>1238</v>
      </c>
      <c r="I2543" s="1742" t="s">
        <v>8324</v>
      </c>
      <c r="J2543" s="1779" t="s">
        <v>15</v>
      </c>
      <c r="K2543" s="1780"/>
      <c r="L2543" s="1781"/>
      <c r="M2543" s="1781"/>
      <c r="N2543" s="1746"/>
      <c r="O2543" s="1782"/>
      <c r="P2543" s="1720"/>
    </row>
    <row r="2544" spans="1:16" ht="12" hidden="1" customHeight="1" outlineLevel="3" x14ac:dyDescent="0.2">
      <c r="A2544" s="459">
        <v>0</v>
      </c>
      <c r="B2544" s="459">
        <v>17</v>
      </c>
      <c r="C2544" s="459">
        <v>9</v>
      </c>
      <c r="D2544" s="460">
        <v>3</v>
      </c>
      <c r="E2544" s="460">
        <v>1</v>
      </c>
      <c r="G2544" s="1798" t="s">
        <v>51</v>
      </c>
      <c r="H2544" s="1783" t="s">
        <v>1239</v>
      </c>
      <c r="I2544" s="1750" t="s">
        <v>8325</v>
      </c>
      <c r="J2544" s="1785" t="s">
        <v>3529</v>
      </c>
      <c r="K2544" s="1786" t="s">
        <v>642</v>
      </c>
      <c r="L2544" s="1787" t="e">
        <v>#REF!</v>
      </c>
      <c r="M2544" s="1787">
        <v>42</v>
      </c>
      <c r="N2544" s="1754"/>
      <c r="O2544" s="1788"/>
      <c r="P2544" s="1721" t="s">
        <v>9611</v>
      </c>
    </row>
    <row r="2545" spans="1:16" ht="13.5" hidden="1" customHeight="1" outlineLevel="3" x14ac:dyDescent="0.2">
      <c r="A2545" s="459">
        <v>0</v>
      </c>
      <c r="B2545" s="459">
        <v>17</v>
      </c>
      <c r="C2545" s="459">
        <v>9</v>
      </c>
      <c r="D2545" s="460">
        <v>3</v>
      </c>
      <c r="E2545" s="460">
        <v>2</v>
      </c>
      <c r="G2545" s="1798" t="s">
        <v>51</v>
      </c>
      <c r="H2545" s="1783" t="s">
        <v>1239</v>
      </c>
      <c r="I2545" s="1750" t="s">
        <v>8326</v>
      </c>
      <c r="J2545" s="1785" t="s">
        <v>784</v>
      </c>
      <c r="K2545" s="1786" t="s">
        <v>642</v>
      </c>
      <c r="L2545" s="1787" t="e">
        <v>#REF!</v>
      </c>
      <c r="M2545" s="1787">
        <v>40</v>
      </c>
      <c r="N2545" s="1754"/>
      <c r="O2545" s="1788"/>
      <c r="P2545" s="1721" t="s">
        <v>9611</v>
      </c>
    </row>
    <row r="2546" spans="1:16" ht="13.5" hidden="1" customHeight="1" outlineLevel="3" x14ac:dyDescent="0.2">
      <c r="A2546" s="459">
        <v>0</v>
      </c>
      <c r="B2546" s="459">
        <v>17</v>
      </c>
      <c r="C2546" s="459">
        <v>9</v>
      </c>
      <c r="D2546" s="460">
        <v>3</v>
      </c>
      <c r="E2546" s="460">
        <v>3</v>
      </c>
      <c r="G2546" s="1798" t="s">
        <v>51</v>
      </c>
      <c r="H2546" s="1783" t="s">
        <v>1239</v>
      </c>
      <c r="I2546" s="1750" t="s">
        <v>8327</v>
      </c>
      <c r="J2546" s="1785" t="s">
        <v>785</v>
      </c>
      <c r="K2546" s="1786" t="s">
        <v>642</v>
      </c>
      <c r="L2546" s="1787" t="e">
        <v>#REF!</v>
      </c>
      <c r="M2546" s="1787">
        <v>40</v>
      </c>
      <c r="N2546" s="1754"/>
      <c r="O2546" s="1788"/>
      <c r="P2546" s="1721" t="s">
        <v>9611</v>
      </c>
    </row>
    <row r="2547" spans="1:16" ht="13.5" hidden="1" customHeight="1" outlineLevel="3" x14ac:dyDescent="0.2">
      <c r="A2547" s="459">
        <v>0</v>
      </c>
      <c r="B2547" s="459">
        <v>17</v>
      </c>
      <c r="C2547" s="459">
        <v>9</v>
      </c>
      <c r="D2547" s="460">
        <v>3</v>
      </c>
      <c r="E2547" s="460">
        <v>4</v>
      </c>
      <c r="G2547" s="1798" t="s">
        <v>51</v>
      </c>
      <c r="H2547" s="1783" t="s">
        <v>1239</v>
      </c>
      <c r="I2547" s="1750" t="s">
        <v>8328</v>
      </c>
      <c r="J2547" s="1785" t="s">
        <v>3109</v>
      </c>
      <c r="K2547" s="1786" t="s">
        <v>642</v>
      </c>
      <c r="L2547" s="1787" t="e">
        <v>#REF!</v>
      </c>
      <c r="M2547" s="1787">
        <v>40</v>
      </c>
      <c r="N2547" s="1754"/>
      <c r="O2547" s="1788"/>
      <c r="P2547" s="1721" t="s">
        <v>9611</v>
      </c>
    </row>
    <row r="2548" spans="1:16" ht="13.5" hidden="1" customHeight="1" outlineLevel="1" x14ac:dyDescent="0.2">
      <c r="A2548" s="459">
        <v>0</v>
      </c>
      <c r="B2548" s="459">
        <v>17</v>
      </c>
      <c r="C2548" s="459">
        <v>10</v>
      </c>
      <c r="D2548" s="460">
        <v>0</v>
      </c>
      <c r="E2548" s="460">
        <v>4</v>
      </c>
      <c r="G2548" s="1796"/>
      <c r="H2548" s="1771" t="s">
        <v>39</v>
      </c>
      <c r="I2548" s="1735" t="s">
        <v>8329</v>
      </c>
      <c r="J2548" s="1773" t="s">
        <v>3118</v>
      </c>
      <c r="K2548" s="1774"/>
      <c r="L2548" s="1775"/>
      <c r="M2548" s="1775"/>
      <c r="N2548" s="1739"/>
      <c r="O2548" s="1776"/>
      <c r="P2548" s="1719"/>
    </row>
    <row r="2549" spans="1:16" ht="13.5" hidden="1" customHeight="1" outlineLevel="2" x14ac:dyDescent="0.2">
      <c r="A2549" s="459">
        <v>0</v>
      </c>
      <c r="B2549" s="459">
        <v>17</v>
      </c>
      <c r="C2549" s="459">
        <v>10</v>
      </c>
      <c r="D2549" s="460">
        <v>1</v>
      </c>
      <c r="E2549" s="460">
        <v>0</v>
      </c>
      <c r="G2549" s="1797"/>
      <c r="H2549" s="1777" t="s">
        <v>1238</v>
      </c>
      <c r="I2549" s="1742" t="s">
        <v>8330</v>
      </c>
      <c r="J2549" s="1779" t="s">
        <v>1569</v>
      </c>
      <c r="K2549" s="1780"/>
      <c r="L2549" s="1781"/>
      <c r="M2549" s="1781"/>
      <c r="N2549" s="1746"/>
      <c r="O2549" s="1782"/>
      <c r="P2549" s="1720"/>
    </row>
    <row r="2550" spans="1:16" ht="13.5" hidden="1" customHeight="1" outlineLevel="3" x14ac:dyDescent="0.2">
      <c r="A2550" s="459">
        <v>0</v>
      </c>
      <c r="B2550" s="459">
        <v>17</v>
      </c>
      <c r="C2550" s="459">
        <v>10</v>
      </c>
      <c r="D2550" s="460">
        <v>1</v>
      </c>
      <c r="E2550" s="460">
        <v>1</v>
      </c>
      <c r="G2550" s="1798" t="s">
        <v>51</v>
      </c>
      <c r="H2550" s="1783" t="s">
        <v>1239</v>
      </c>
      <c r="I2550" s="1750" t="s">
        <v>8331</v>
      </c>
      <c r="J2550" s="1785" t="s">
        <v>1560</v>
      </c>
      <c r="K2550" s="1786" t="s">
        <v>642</v>
      </c>
      <c r="L2550" s="1787" t="e">
        <v>#REF!</v>
      </c>
      <c r="M2550" s="1787">
        <v>1.7585555555555554</v>
      </c>
      <c r="N2550" s="1754"/>
      <c r="O2550" s="1788"/>
      <c r="P2550" s="1721" t="s">
        <v>9611</v>
      </c>
    </row>
    <row r="2551" spans="1:16" ht="13.5" hidden="1" customHeight="1" outlineLevel="3" x14ac:dyDescent="0.2">
      <c r="A2551" s="459">
        <v>0</v>
      </c>
      <c r="B2551" s="459">
        <v>17</v>
      </c>
      <c r="C2551" s="459">
        <v>10</v>
      </c>
      <c r="D2551" s="460">
        <v>1</v>
      </c>
      <c r="E2551" s="460">
        <v>2</v>
      </c>
      <c r="G2551" s="1798" t="s">
        <v>51</v>
      </c>
      <c r="H2551" s="1783" t="s">
        <v>1239</v>
      </c>
      <c r="I2551" s="1750" t="s">
        <v>8332</v>
      </c>
      <c r="J2551" s="1785" t="s">
        <v>1561</v>
      </c>
      <c r="K2551" s="1786" t="s">
        <v>642</v>
      </c>
      <c r="L2551" s="1787" t="e">
        <v>#REF!</v>
      </c>
      <c r="M2551" s="1787">
        <v>4.3491600000000004</v>
      </c>
      <c r="N2551" s="1754"/>
      <c r="O2551" s="1788"/>
      <c r="P2551" s="1721" t="s">
        <v>9611</v>
      </c>
    </row>
    <row r="2552" spans="1:16" ht="13.5" hidden="1" customHeight="1" outlineLevel="3" x14ac:dyDescent="0.2">
      <c r="A2552" s="459">
        <v>0</v>
      </c>
      <c r="B2552" s="459">
        <v>17</v>
      </c>
      <c r="C2552" s="459">
        <v>10</v>
      </c>
      <c r="D2552" s="460">
        <v>1</v>
      </c>
      <c r="E2552" s="460">
        <v>3</v>
      </c>
      <c r="G2552" s="1798" t="s">
        <v>51</v>
      </c>
      <c r="H2552" s="1783" t="s">
        <v>1239</v>
      </c>
      <c r="I2552" s="1750" t="s">
        <v>8333</v>
      </c>
      <c r="J2552" s="1785" t="s">
        <v>774</v>
      </c>
      <c r="K2552" s="1786" t="s">
        <v>642</v>
      </c>
      <c r="L2552" s="1787" t="e">
        <v>#REF!</v>
      </c>
      <c r="M2552" s="1787">
        <v>12.1275</v>
      </c>
      <c r="N2552" s="1754"/>
      <c r="O2552" s="1788"/>
      <c r="P2552" s="1721" t="s">
        <v>9611</v>
      </c>
    </row>
    <row r="2553" spans="1:16" ht="13.5" hidden="1" customHeight="1" outlineLevel="3" x14ac:dyDescent="0.2">
      <c r="A2553" s="459">
        <v>0</v>
      </c>
      <c r="B2553" s="459">
        <v>17</v>
      </c>
      <c r="C2553" s="459">
        <v>10</v>
      </c>
      <c r="D2553" s="460">
        <v>1</v>
      </c>
      <c r="E2553" s="460">
        <v>4</v>
      </c>
      <c r="G2553" s="1798" t="s">
        <v>51</v>
      </c>
      <c r="H2553" s="1783" t="s">
        <v>1239</v>
      </c>
      <c r="I2553" s="1750" t="s">
        <v>8334</v>
      </c>
      <c r="J2553" s="1751" t="s">
        <v>3528</v>
      </c>
      <c r="K2553" s="1752" t="s">
        <v>642</v>
      </c>
      <c r="L2553" s="1753" t="e">
        <v>#REF!</v>
      </c>
      <c r="M2553" s="1787">
        <v>76.674746222222225</v>
      </c>
      <c r="N2553" s="1754"/>
      <c r="O2553" s="1755"/>
      <c r="P2553" s="1721" t="s">
        <v>9611</v>
      </c>
    </row>
    <row r="2554" spans="1:16" ht="13.5" hidden="1" customHeight="1" outlineLevel="2" x14ac:dyDescent="0.2">
      <c r="A2554" s="459">
        <v>0</v>
      </c>
      <c r="B2554" s="459">
        <v>17</v>
      </c>
      <c r="C2554" s="459">
        <v>10</v>
      </c>
      <c r="D2554" s="460">
        <v>2</v>
      </c>
      <c r="E2554" s="460">
        <v>0</v>
      </c>
      <c r="G2554" s="1797"/>
      <c r="H2554" s="1777" t="s">
        <v>1238</v>
      </c>
      <c r="I2554" s="1742" t="s">
        <v>8335</v>
      </c>
      <c r="J2554" s="1779" t="s">
        <v>1547</v>
      </c>
      <c r="K2554" s="1780"/>
      <c r="L2554" s="1781"/>
      <c r="M2554" s="1781"/>
      <c r="N2554" s="1746"/>
      <c r="O2554" s="1782"/>
      <c r="P2554" s="1720"/>
    </row>
    <row r="2555" spans="1:16" ht="13.5" hidden="1" customHeight="1" outlineLevel="3" x14ac:dyDescent="0.2">
      <c r="A2555" s="459">
        <v>0</v>
      </c>
      <c r="B2555" s="459">
        <v>17</v>
      </c>
      <c r="C2555" s="459">
        <v>10</v>
      </c>
      <c r="D2555" s="460">
        <v>2</v>
      </c>
      <c r="E2555" s="460">
        <v>1</v>
      </c>
      <c r="G2555" s="1798" t="s">
        <v>51</v>
      </c>
      <c r="H2555" s="1783" t="s">
        <v>1239</v>
      </c>
      <c r="I2555" s="1750" t="s">
        <v>8336</v>
      </c>
      <c r="J2555" s="1785" t="s">
        <v>3104</v>
      </c>
      <c r="K2555" s="1786" t="s">
        <v>642</v>
      </c>
      <c r="L2555" s="1787" t="e">
        <v>#REF!</v>
      </c>
      <c r="M2555" s="1787">
        <v>1.7585555555555554</v>
      </c>
      <c r="N2555" s="1754"/>
      <c r="O2555" s="1788"/>
      <c r="P2555" s="1721" t="s">
        <v>9611</v>
      </c>
    </row>
    <row r="2556" spans="1:16" ht="13.5" hidden="1" customHeight="1" outlineLevel="3" x14ac:dyDescent="0.2">
      <c r="A2556" s="459">
        <v>0</v>
      </c>
      <c r="B2556" s="459">
        <v>17</v>
      </c>
      <c r="C2556" s="459">
        <v>10</v>
      </c>
      <c r="D2556" s="460">
        <v>2</v>
      </c>
      <c r="E2556" s="460">
        <v>2</v>
      </c>
      <c r="G2556" s="1798" t="s">
        <v>51</v>
      </c>
      <c r="H2556" s="1783" t="s">
        <v>1239</v>
      </c>
      <c r="I2556" s="1750" t="s">
        <v>8337</v>
      </c>
      <c r="J2556" s="1785" t="s">
        <v>1936</v>
      </c>
      <c r="K2556" s="1786" t="s">
        <v>642</v>
      </c>
      <c r="L2556" s="1787" t="e">
        <v>#REF!</v>
      </c>
      <c r="M2556" s="1787">
        <v>4.3491600000000004</v>
      </c>
      <c r="N2556" s="1754"/>
      <c r="O2556" s="1788"/>
      <c r="P2556" s="1721" t="s">
        <v>9611</v>
      </c>
    </row>
    <row r="2557" spans="1:16" ht="13.5" hidden="1" customHeight="1" outlineLevel="3" x14ac:dyDescent="0.2">
      <c r="A2557" s="459">
        <v>0</v>
      </c>
      <c r="B2557" s="459">
        <v>17</v>
      </c>
      <c r="C2557" s="459">
        <v>10</v>
      </c>
      <c r="D2557" s="460">
        <v>2</v>
      </c>
      <c r="E2557" s="460">
        <v>3</v>
      </c>
      <c r="G2557" s="1798" t="s">
        <v>51</v>
      </c>
      <c r="H2557" s="1783" t="s">
        <v>1239</v>
      </c>
      <c r="I2557" s="1750" t="s">
        <v>8338</v>
      </c>
      <c r="J2557" s="1785" t="s">
        <v>3103</v>
      </c>
      <c r="K2557" s="1786" t="s">
        <v>642</v>
      </c>
      <c r="L2557" s="1787" t="e">
        <v>#REF!</v>
      </c>
      <c r="M2557" s="1787">
        <v>12.1275</v>
      </c>
      <c r="N2557" s="1754"/>
      <c r="O2557" s="1788"/>
      <c r="P2557" s="1721" t="s">
        <v>9611</v>
      </c>
    </row>
    <row r="2558" spans="1:16" ht="13.5" hidden="1" customHeight="1" outlineLevel="3" x14ac:dyDescent="0.2">
      <c r="A2558" s="459">
        <v>0</v>
      </c>
      <c r="B2558" s="459">
        <v>17</v>
      </c>
      <c r="C2558" s="459">
        <v>10</v>
      </c>
      <c r="D2558" s="460">
        <v>2</v>
      </c>
      <c r="E2558" s="460">
        <v>4</v>
      </c>
      <c r="G2558" s="1798" t="s">
        <v>51</v>
      </c>
      <c r="H2558" s="1783" t="s">
        <v>1239</v>
      </c>
      <c r="I2558" s="1750" t="s">
        <v>8339</v>
      </c>
      <c r="J2558" s="1785" t="s">
        <v>3105</v>
      </c>
      <c r="K2558" s="1786" t="s">
        <v>642</v>
      </c>
      <c r="L2558" s="1787" t="e">
        <v>#REF!</v>
      </c>
      <c r="M2558" s="1787">
        <v>70.567030666666668</v>
      </c>
      <c r="N2558" s="1754"/>
      <c r="O2558" s="1788"/>
      <c r="P2558" s="1721" t="s">
        <v>9611</v>
      </c>
    </row>
    <row r="2559" spans="1:16" ht="13.5" hidden="1" customHeight="1" outlineLevel="2" x14ac:dyDescent="0.2">
      <c r="A2559" s="459">
        <v>0</v>
      </c>
      <c r="B2559" s="459">
        <v>17</v>
      </c>
      <c r="C2559" s="459">
        <v>10</v>
      </c>
      <c r="D2559" s="460">
        <v>3</v>
      </c>
      <c r="E2559" s="460">
        <v>0</v>
      </c>
      <c r="G2559" s="1797"/>
      <c r="H2559" s="1777" t="s">
        <v>1238</v>
      </c>
      <c r="I2559" s="1742" t="s">
        <v>8340</v>
      </c>
      <c r="J2559" s="1779" t="s">
        <v>15</v>
      </c>
      <c r="K2559" s="1780"/>
      <c r="L2559" s="1781"/>
      <c r="M2559" s="1781"/>
      <c r="N2559" s="1746"/>
      <c r="O2559" s="1782"/>
      <c r="P2559" s="1720"/>
    </row>
    <row r="2560" spans="1:16" ht="12" hidden="1" customHeight="1" outlineLevel="3" x14ac:dyDescent="0.2">
      <c r="A2560" s="459">
        <v>0</v>
      </c>
      <c r="B2560" s="459">
        <v>17</v>
      </c>
      <c r="C2560" s="459">
        <v>10</v>
      </c>
      <c r="D2560" s="460">
        <v>3</v>
      </c>
      <c r="E2560" s="460">
        <v>1</v>
      </c>
      <c r="G2560" s="1798" t="s">
        <v>51</v>
      </c>
      <c r="H2560" s="1783" t="s">
        <v>1239</v>
      </c>
      <c r="I2560" s="1750" t="s">
        <v>8341</v>
      </c>
      <c r="J2560" s="1785" t="s">
        <v>3529</v>
      </c>
      <c r="K2560" s="1786" t="s">
        <v>642</v>
      </c>
      <c r="L2560" s="1787" t="e">
        <v>#REF!</v>
      </c>
      <c r="M2560" s="1787">
        <v>42</v>
      </c>
      <c r="N2560" s="1754"/>
      <c r="O2560" s="1788"/>
      <c r="P2560" s="1721" t="s">
        <v>9611</v>
      </c>
    </row>
    <row r="2561" spans="1:16" ht="13.5" hidden="1" customHeight="1" outlineLevel="3" x14ac:dyDescent="0.2">
      <c r="A2561" s="459">
        <v>0</v>
      </c>
      <c r="B2561" s="459">
        <v>17</v>
      </c>
      <c r="C2561" s="459">
        <v>10</v>
      </c>
      <c r="D2561" s="460">
        <v>3</v>
      </c>
      <c r="E2561" s="460">
        <v>2</v>
      </c>
      <c r="G2561" s="1798" t="s">
        <v>51</v>
      </c>
      <c r="H2561" s="1783" t="s">
        <v>1239</v>
      </c>
      <c r="I2561" s="1750" t="s">
        <v>8342</v>
      </c>
      <c r="J2561" s="1785" t="s">
        <v>784</v>
      </c>
      <c r="K2561" s="1786" t="s">
        <v>642</v>
      </c>
      <c r="L2561" s="1787" t="e">
        <v>#REF!</v>
      </c>
      <c r="M2561" s="1787">
        <v>40</v>
      </c>
      <c r="N2561" s="1754"/>
      <c r="O2561" s="1788"/>
      <c r="P2561" s="1721" t="s">
        <v>9611</v>
      </c>
    </row>
    <row r="2562" spans="1:16" ht="13.5" hidden="1" customHeight="1" outlineLevel="3" x14ac:dyDescent="0.2">
      <c r="A2562" s="459">
        <v>0</v>
      </c>
      <c r="B2562" s="459">
        <v>17</v>
      </c>
      <c r="C2562" s="459">
        <v>10</v>
      </c>
      <c r="D2562" s="460">
        <v>3</v>
      </c>
      <c r="E2562" s="460">
        <v>3</v>
      </c>
      <c r="G2562" s="1798" t="s">
        <v>51</v>
      </c>
      <c r="H2562" s="1783" t="s">
        <v>1239</v>
      </c>
      <c r="I2562" s="1750" t="s">
        <v>8343</v>
      </c>
      <c r="J2562" s="1785" t="s">
        <v>785</v>
      </c>
      <c r="K2562" s="1786" t="s">
        <v>642</v>
      </c>
      <c r="L2562" s="1787" t="e">
        <v>#REF!</v>
      </c>
      <c r="M2562" s="1787">
        <v>40</v>
      </c>
      <c r="N2562" s="1754"/>
      <c r="O2562" s="1788"/>
      <c r="P2562" s="1721" t="s">
        <v>9611</v>
      </c>
    </row>
    <row r="2563" spans="1:16" ht="13.5" hidden="1" customHeight="1" outlineLevel="3" x14ac:dyDescent="0.2">
      <c r="A2563" s="459">
        <v>0</v>
      </c>
      <c r="B2563" s="459">
        <v>17</v>
      </c>
      <c r="C2563" s="459">
        <v>10</v>
      </c>
      <c r="D2563" s="460">
        <v>3</v>
      </c>
      <c r="E2563" s="460">
        <v>4</v>
      </c>
      <c r="G2563" s="1798" t="s">
        <v>51</v>
      </c>
      <c r="H2563" s="1783" t="s">
        <v>1239</v>
      </c>
      <c r="I2563" s="1750" t="s">
        <v>8344</v>
      </c>
      <c r="J2563" s="1785" t="s">
        <v>3109</v>
      </c>
      <c r="K2563" s="1786" t="s">
        <v>642</v>
      </c>
      <c r="L2563" s="1787" t="e">
        <v>#REF!</v>
      </c>
      <c r="M2563" s="1787">
        <v>40</v>
      </c>
      <c r="N2563" s="1754"/>
      <c r="O2563" s="1788"/>
      <c r="P2563" s="1721" t="s">
        <v>9611</v>
      </c>
    </row>
    <row r="2564" spans="1:16" ht="13.5" hidden="1" customHeight="1" outlineLevel="1" x14ac:dyDescent="0.2">
      <c r="A2564" s="459">
        <v>0</v>
      </c>
      <c r="B2564" s="459">
        <v>17</v>
      </c>
      <c r="C2564" s="459">
        <v>11</v>
      </c>
      <c r="D2564" s="460">
        <v>0</v>
      </c>
      <c r="E2564" s="460">
        <v>4</v>
      </c>
      <c r="G2564" s="1796"/>
      <c r="H2564" s="1771" t="s">
        <v>39</v>
      </c>
      <c r="I2564" s="1735" t="s">
        <v>8345</v>
      </c>
      <c r="J2564" s="1773" t="s">
        <v>3119</v>
      </c>
      <c r="K2564" s="1774"/>
      <c r="L2564" s="1775"/>
      <c r="M2564" s="1775"/>
      <c r="N2564" s="1739"/>
      <c r="O2564" s="1776"/>
      <c r="P2564" s="1719"/>
    </row>
    <row r="2565" spans="1:16" ht="13.5" hidden="1" customHeight="1" outlineLevel="2" x14ac:dyDescent="0.2">
      <c r="A2565" s="459">
        <v>0</v>
      </c>
      <c r="B2565" s="459">
        <v>17</v>
      </c>
      <c r="C2565" s="459">
        <v>11</v>
      </c>
      <c r="D2565" s="460">
        <v>1</v>
      </c>
      <c r="E2565" s="460">
        <v>0</v>
      </c>
      <c r="G2565" s="1797"/>
      <c r="H2565" s="1777" t="s">
        <v>1238</v>
      </c>
      <c r="I2565" s="1742" t="s">
        <v>8346</v>
      </c>
      <c r="J2565" s="1779" t="s">
        <v>1569</v>
      </c>
      <c r="K2565" s="1780"/>
      <c r="L2565" s="1781"/>
      <c r="M2565" s="1781"/>
      <c r="N2565" s="1746"/>
      <c r="O2565" s="1782"/>
      <c r="P2565" s="1720"/>
    </row>
    <row r="2566" spans="1:16" ht="13.5" hidden="1" customHeight="1" outlineLevel="3" x14ac:dyDescent="0.2">
      <c r="A2566" s="459">
        <v>0</v>
      </c>
      <c r="B2566" s="459">
        <v>17</v>
      </c>
      <c r="C2566" s="459">
        <v>11</v>
      </c>
      <c r="D2566" s="460">
        <v>1</v>
      </c>
      <c r="E2566" s="460">
        <v>1</v>
      </c>
      <c r="G2566" s="1798" t="s">
        <v>51</v>
      </c>
      <c r="H2566" s="1783" t="s">
        <v>1239</v>
      </c>
      <c r="I2566" s="1750" t="s">
        <v>8347</v>
      </c>
      <c r="J2566" s="1785" t="s">
        <v>1560</v>
      </c>
      <c r="K2566" s="1786" t="s">
        <v>642</v>
      </c>
      <c r="L2566" s="1787" t="e">
        <v>#REF!</v>
      </c>
      <c r="M2566" s="1787">
        <v>1.7585555555555554</v>
      </c>
      <c r="N2566" s="1754"/>
      <c r="O2566" s="1788"/>
      <c r="P2566" s="1721" t="s">
        <v>9611</v>
      </c>
    </row>
    <row r="2567" spans="1:16" ht="13.5" hidden="1" customHeight="1" outlineLevel="3" x14ac:dyDescent="0.2">
      <c r="A2567" s="459">
        <v>0</v>
      </c>
      <c r="B2567" s="459">
        <v>17</v>
      </c>
      <c r="C2567" s="459">
        <v>11</v>
      </c>
      <c r="D2567" s="460">
        <v>1</v>
      </c>
      <c r="E2567" s="460">
        <v>2</v>
      </c>
      <c r="G2567" s="1798" t="s">
        <v>51</v>
      </c>
      <c r="H2567" s="1783" t="s">
        <v>1239</v>
      </c>
      <c r="I2567" s="1750" t="s">
        <v>8348</v>
      </c>
      <c r="J2567" s="1785" t="s">
        <v>1561</v>
      </c>
      <c r="K2567" s="1786" t="s">
        <v>642</v>
      </c>
      <c r="L2567" s="1787" t="e">
        <v>#REF!</v>
      </c>
      <c r="M2567" s="1787">
        <v>4.3491600000000004</v>
      </c>
      <c r="N2567" s="1754"/>
      <c r="O2567" s="1788"/>
      <c r="P2567" s="1721" t="s">
        <v>9611</v>
      </c>
    </row>
    <row r="2568" spans="1:16" ht="13.5" hidden="1" customHeight="1" outlineLevel="3" x14ac:dyDescent="0.2">
      <c r="A2568" s="459">
        <v>0</v>
      </c>
      <c r="B2568" s="459">
        <v>17</v>
      </c>
      <c r="C2568" s="459">
        <v>11</v>
      </c>
      <c r="D2568" s="460">
        <v>1</v>
      </c>
      <c r="E2568" s="460">
        <v>3</v>
      </c>
      <c r="G2568" s="1798" t="s">
        <v>51</v>
      </c>
      <c r="H2568" s="1783" t="s">
        <v>1239</v>
      </c>
      <c r="I2568" s="1750" t="s">
        <v>8349</v>
      </c>
      <c r="J2568" s="1785" t="s">
        <v>774</v>
      </c>
      <c r="K2568" s="1786" t="s">
        <v>642</v>
      </c>
      <c r="L2568" s="1787" t="e">
        <v>#REF!</v>
      </c>
      <c r="M2568" s="1787">
        <v>12.1275</v>
      </c>
      <c r="N2568" s="1754"/>
      <c r="O2568" s="1788"/>
      <c r="P2568" s="1721" t="s">
        <v>9611</v>
      </c>
    </row>
    <row r="2569" spans="1:16" ht="13.5" hidden="1" customHeight="1" outlineLevel="3" x14ac:dyDescent="0.2">
      <c r="A2569" s="459">
        <v>0</v>
      </c>
      <c r="B2569" s="459">
        <v>17</v>
      </c>
      <c r="C2569" s="459">
        <v>11</v>
      </c>
      <c r="D2569" s="460">
        <v>1</v>
      </c>
      <c r="E2569" s="460">
        <v>4</v>
      </c>
      <c r="G2569" s="1798" t="s">
        <v>51</v>
      </c>
      <c r="H2569" s="1783" t="s">
        <v>1239</v>
      </c>
      <c r="I2569" s="1750" t="s">
        <v>8350</v>
      </c>
      <c r="J2569" s="1751" t="s">
        <v>3528</v>
      </c>
      <c r="K2569" s="1752" t="s">
        <v>642</v>
      </c>
      <c r="L2569" s="1753" t="e">
        <v>#REF!</v>
      </c>
      <c r="M2569" s="1787">
        <v>76.674746222222225</v>
      </c>
      <c r="N2569" s="1754"/>
      <c r="O2569" s="1755"/>
      <c r="P2569" s="1721" t="s">
        <v>9611</v>
      </c>
    </row>
    <row r="2570" spans="1:16" ht="13.5" hidden="1" customHeight="1" outlineLevel="2" x14ac:dyDescent="0.2">
      <c r="A2570" s="459">
        <v>0</v>
      </c>
      <c r="B2570" s="459">
        <v>17</v>
      </c>
      <c r="C2570" s="459">
        <v>11</v>
      </c>
      <c r="D2570" s="460">
        <v>2</v>
      </c>
      <c r="E2570" s="460">
        <v>0</v>
      </c>
      <c r="G2570" s="1797"/>
      <c r="H2570" s="1777" t="s">
        <v>1238</v>
      </c>
      <c r="I2570" s="1742" t="s">
        <v>8351</v>
      </c>
      <c r="J2570" s="1779" t="s">
        <v>1547</v>
      </c>
      <c r="K2570" s="1780"/>
      <c r="L2570" s="1781"/>
      <c r="M2570" s="1781"/>
      <c r="N2570" s="1746"/>
      <c r="O2570" s="1782"/>
      <c r="P2570" s="1720"/>
    </row>
    <row r="2571" spans="1:16" ht="13.5" hidden="1" customHeight="1" outlineLevel="3" x14ac:dyDescent="0.2">
      <c r="A2571" s="459">
        <v>0</v>
      </c>
      <c r="B2571" s="459">
        <v>17</v>
      </c>
      <c r="C2571" s="459">
        <v>11</v>
      </c>
      <c r="D2571" s="460">
        <v>2</v>
      </c>
      <c r="E2571" s="460">
        <v>1</v>
      </c>
      <c r="G2571" s="1798" t="s">
        <v>51</v>
      </c>
      <c r="H2571" s="1783" t="s">
        <v>1239</v>
      </c>
      <c r="I2571" s="1750" t="s">
        <v>8352</v>
      </c>
      <c r="J2571" s="1785" t="s">
        <v>3104</v>
      </c>
      <c r="K2571" s="1786" t="s">
        <v>642</v>
      </c>
      <c r="L2571" s="1787" t="e">
        <v>#REF!</v>
      </c>
      <c r="M2571" s="1787">
        <v>1.7585555555555554</v>
      </c>
      <c r="N2571" s="1754"/>
      <c r="O2571" s="1788"/>
      <c r="P2571" s="1721" t="s">
        <v>9611</v>
      </c>
    </row>
    <row r="2572" spans="1:16" ht="13.5" hidden="1" customHeight="1" outlineLevel="3" x14ac:dyDescent="0.2">
      <c r="A2572" s="459">
        <v>0</v>
      </c>
      <c r="B2572" s="459">
        <v>17</v>
      </c>
      <c r="C2572" s="459">
        <v>11</v>
      </c>
      <c r="D2572" s="460">
        <v>2</v>
      </c>
      <c r="E2572" s="460">
        <v>2</v>
      </c>
      <c r="G2572" s="1798" t="s">
        <v>51</v>
      </c>
      <c r="H2572" s="1783" t="s">
        <v>1239</v>
      </c>
      <c r="I2572" s="1750" t="s">
        <v>8353</v>
      </c>
      <c r="J2572" s="1785" t="s">
        <v>1936</v>
      </c>
      <c r="K2572" s="1786" t="s">
        <v>642</v>
      </c>
      <c r="L2572" s="1787" t="e">
        <v>#REF!</v>
      </c>
      <c r="M2572" s="1787">
        <v>4.3491600000000004</v>
      </c>
      <c r="N2572" s="1754"/>
      <c r="O2572" s="1788"/>
      <c r="P2572" s="1721" t="s">
        <v>9611</v>
      </c>
    </row>
    <row r="2573" spans="1:16" ht="13.5" hidden="1" customHeight="1" outlineLevel="3" x14ac:dyDescent="0.2">
      <c r="A2573" s="459">
        <v>0</v>
      </c>
      <c r="B2573" s="459">
        <v>17</v>
      </c>
      <c r="C2573" s="459">
        <v>11</v>
      </c>
      <c r="D2573" s="460">
        <v>2</v>
      </c>
      <c r="E2573" s="460">
        <v>3</v>
      </c>
      <c r="G2573" s="1798" t="s">
        <v>51</v>
      </c>
      <c r="H2573" s="1783" t="s">
        <v>1239</v>
      </c>
      <c r="I2573" s="1750" t="s">
        <v>8354</v>
      </c>
      <c r="J2573" s="1785" t="s">
        <v>3103</v>
      </c>
      <c r="K2573" s="1786" t="s">
        <v>642</v>
      </c>
      <c r="L2573" s="1787" t="e">
        <v>#REF!</v>
      </c>
      <c r="M2573" s="1787">
        <v>12.1275</v>
      </c>
      <c r="N2573" s="1754"/>
      <c r="O2573" s="1788"/>
      <c r="P2573" s="1721" t="s">
        <v>9611</v>
      </c>
    </row>
    <row r="2574" spans="1:16" ht="13.5" hidden="1" customHeight="1" outlineLevel="3" x14ac:dyDescent="0.2">
      <c r="A2574" s="459">
        <v>0</v>
      </c>
      <c r="B2574" s="459">
        <v>17</v>
      </c>
      <c r="C2574" s="459">
        <v>11</v>
      </c>
      <c r="D2574" s="460">
        <v>2</v>
      </c>
      <c r="E2574" s="460">
        <v>4</v>
      </c>
      <c r="G2574" s="1798" t="s">
        <v>51</v>
      </c>
      <c r="H2574" s="1783" t="s">
        <v>1239</v>
      </c>
      <c r="I2574" s="1750" t="s">
        <v>8355</v>
      </c>
      <c r="J2574" s="1785" t="s">
        <v>3105</v>
      </c>
      <c r="K2574" s="1786" t="s">
        <v>642</v>
      </c>
      <c r="L2574" s="1787" t="e">
        <v>#REF!</v>
      </c>
      <c r="M2574" s="1787">
        <v>70.567030666666668</v>
      </c>
      <c r="N2574" s="1754"/>
      <c r="O2574" s="1788"/>
      <c r="P2574" s="1721" t="s">
        <v>9611</v>
      </c>
    </row>
    <row r="2575" spans="1:16" ht="13.5" hidden="1" customHeight="1" outlineLevel="2" x14ac:dyDescent="0.2">
      <c r="A2575" s="459">
        <v>0</v>
      </c>
      <c r="B2575" s="459">
        <v>17</v>
      </c>
      <c r="C2575" s="459">
        <v>11</v>
      </c>
      <c r="D2575" s="460">
        <v>3</v>
      </c>
      <c r="E2575" s="460">
        <v>0</v>
      </c>
      <c r="G2575" s="1797"/>
      <c r="H2575" s="1777" t="s">
        <v>1238</v>
      </c>
      <c r="I2575" s="1742" t="s">
        <v>8356</v>
      </c>
      <c r="J2575" s="1779" t="s">
        <v>15</v>
      </c>
      <c r="K2575" s="1780"/>
      <c r="L2575" s="1781"/>
      <c r="M2575" s="1781"/>
      <c r="N2575" s="1746"/>
      <c r="O2575" s="1782"/>
      <c r="P2575" s="1720"/>
    </row>
    <row r="2576" spans="1:16" ht="12" hidden="1" customHeight="1" outlineLevel="3" x14ac:dyDescent="0.2">
      <c r="A2576" s="459">
        <v>0</v>
      </c>
      <c r="B2576" s="459">
        <v>17</v>
      </c>
      <c r="C2576" s="459">
        <v>11</v>
      </c>
      <c r="D2576" s="460">
        <v>3</v>
      </c>
      <c r="E2576" s="460">
        <v>1</v>
      </c>
      <c r="G2576" s="1798" t="s">
        <v>51</v>
      </c>
      <c r="H2576" s="1783" t="s">
        <v>1239</v>
      </c>
      <c r="I2576" s="1750" t="s">
        <v>8357</v>
      </c>
      <c r="J2576" s="1785" t="s">
        <v>3529</v>
      </c>
      <c r="K2576" s="1786" t="s">
        <v>642</v>
      </c>
      <c r="L2576" s="1787" t="e">
        <v>#REF!</v>
      </c>
      <c r="M2576" s="1787">
        <v>42</v>
      </c>
      <c r="N2576" s="1754"/>
      <c r="O2576" s="1788"/>
      <c r="P2576" s="1721" t="s">
        <v>9611</v>
      </c>
    </row>
    <row r="2577" spans="1:16" ht="13.5" hidden="1" customHeight="1" outlineLevel="3" x14ac:dyDescent="0.2">
      <c r="A2577" s="459">
        <v>0</v>
      </c>
      <c r="B2577" s="459">
        <v>17</v>
      </c>
      <c r="C2577" s="459">
        <v>11</v>
      </c>
      <c r="D2577" s="460">
        <v>3</v>
      </c>
      <c r="E2577" s="460">
        <v>2</v>
      </c>
      <c r="G2577" s="1798" t="s">
        <v>51</v>
      </c>
      <c r="H2577" s="1783" t="s">
        <v>1239</v>
      </c>
      <c r="I2577" s="1750" t="s">
        <v>8358</v>
      </c>
      <c r="J2577" s="1785" t="s">
        <v>784</v>
      </c>
      <c r="K2577" s="1786" t="s">
        <v>642</v>
      </c>
      <c r="L2577" s="1787" t="e">
        <v>#REF!</v>
      </c>
      <c r="M2577" s="1787">
        <v>40</v>
      </c>
      <c r="N2577" s="1754"/>
      <c r="O2577" s="1788"/>
      <c r="P2577" s="1721" t="s">
        <v>9611</v>
      </c>
    </row>
    <row r="2578" spans="1:16" ht="13.5" hidden="1" customHeight="1" outlineLevel="3" x14ac:dyDescent="0.2">
      <c r="A2578" s="459">
        <v>0</v>
      </c>
      <c r="B2578" s="459">
        <v>17</v>
      </c>
      <c r="C2578" s="459">
        <v>11</v>
      </c>
      <c r="D2578" s="460">
        <v>3</v>
      </c>
      <c r="E2578" s="460">
        <v>3</v>
      </c>
      <c r="G2578" s="1798" t="s">
        <v>51</v>
      </c>
      <c r="H2578" s="1783" t="s">
        <v>1239</v>
      </c>
      <c r="I2578" s="1750" t="s">
        <v>8359</v>
      </c>
      <c r="J2578" s="1785" t="s">
        <v>785</v>
      </c>
      <c r="K2578" s="1786" t="s">
        <v>642</v>
      </c>
      <c r="L2578" s="1787" t="e">
        <v>#REF!</v>
      </c>
      <c r="M2578" s="1787">
        <v>40</v>
      </c>
      <c r="N2578" s="1754"/>
      <c r="O2578" s="1788"/>
      <c r="P2578" s="1721" t="s">
        <v>9611</v>
      </c>
    </row>
    <row r="2579" spans="1:16" ht="13.5" hidden="1" customHeight="1" outlineLevel="3" x14ac:dyDescent="0.2">
      <c r="A2579" s="459">
        <v>0</v>
      </c>
      <c r="B2579" s="459">
        <v>17</v>
      </c>
      <c r="C2579" s="459">
        <v>11</v>
      </c>
      <c r="D2579" s="460">
        <v>3</v>
      </c>
      <c r="E2579" s="460">
        <v>4</v>
      </c>
      <c r="G2579" s="1798" t="s">
        <v>51</v>
      </c>
      <c r="H2579" s="1783" t="s">
        <v>1239</v>
      </c>
      <c r="I2579" s="1750" t="s">
        <v>8360</v>
      </c>
      <c r="J2579" s="1785" t="s">
        <v>3109</v>
      </c>
      <c r="K2579" s="1786" t="s">
        <v>642</v>
      </c>
      <c r="L2579" s="1787" t="e">
        <v>#REF!</v>
      </c>
      <c r="M2579" s="1787">
        <v>40</v>
      </c>
      <c r="N2579" s="1754"/>
      <c r="O2579" s="1788"/>
      <c r="P2579" s="1721" t="s">
        <v>9611</v>
      </c>
    </row>
    <row r="2580" spans="1:16" ht="13.5" hidden="1" customHeight="1" outlineLevel="1" x14ac:dyDescent="0.2">
      <c r="A2580" s="459">
        <v>0</v>
      </c>
      <c r="B2580" s="459">
        <v>17</v>
      </c>
      <c r="C2580" s="459">
        <v>12</v>
      </c>
      <c r="D2580" s="460">
        <v>0</v>
      </c>
      <c r="E2580" s="460">
        <v>4</v>
      </c>
      <c r="G2580" s="1796"/>
      <c r="H2580" s="1771" t="s">
        <v>39</v>
      </c>
      <c r="I2580" s="1735" t="s">
        <v>8361</v>
      </c>
      <c r="J2580" s="1773" t="s">
        <v>3120</v>
      </c>
      <c r="K2580" s="1774"/>
      <c r="L2580" s="1775"/>
      <c r="M2580" s="1775"/>
      <c r="N2580" s="1739"/>
      <c r="O2580" s="1776"/>
      <c r="P2580" s="1719"/>
    </row>
    <row r="2581" spans="1:16" ht="13.5" hidden="1" customHeight="1" outlineLevel="2" x14ac:dyDescent="0.2">
      <c r="A2581" s="459">
        <v>0</v>
      </c>
      <c r="B2581" s="459">
        <v>17</v>
      </c>
      <c r="C2581" s="459">
        <v>12</v>
      </c>
      <c r="D2581" s="460">
        <v>1</v>
      </c>
      <c r="E2581" s="460">
        <v>0</v>
      </c>
      <c r="G2581" s="1797"/>
      <c r="H2581" s="1777" t="s">
        <v>1238</v>
      </c>
      <c r="I2581" s="1742" t="s">
        <v>8362</v>
      </c>
      <c r="J2581" s="1779" t="s">
        <v>1569</v>
      </c>
      <c r="K2581" s="1780"/>
      <c r="L2581" s="1781"/>
      <c r="M2581" s="1781"/>
      <c r="N2581" s="1746"/>
      <c r="O2581" s="1782"/>
      <c r="P2581" s="1720"/>
    </row>
    <row r="2582" spans="1:16" ht="13.5" hidden="1" customHeight="1" outlineLevel="3" x14ac:dyDescent="0.2">
      <c r="A2582" s="459">
        <v>0</v>
      </c>
      <c r="B2582" s="459">
        <v>17</v>
      </c>
      <c r="C2582" s="459">
        <v>12</v>
      </c>
      <c r="D2582" s="460">
        <v>1</v>
      </c>
      <c r="E2582" s="460">
        <v>1</v>
      </c>
      <c r="G2582" s="1798" t="s">
        <v>51</v>
      </c>
      <c r="H2582" s="1783" t="s">
        <v>1239</v>
      </c>
      <c r="I2582" s="1750" t="s">
        <v>8363</v>
      </c>
      <c r="J2582" s="1785" t="s">
        <v>1560</v>
      </c>
      <c r="K2582" s="1786" t="s">
        <v>642</v>
      </c>
      <c r="L2582" s="1787" t="e">
        <v>#REF!</v>
      </c>
      <c r="M2582" s="1787">
        <v>1.7585555555555554</v>
      </c>
      <c r="N2582" s="1754"/>
      <c r="O2582" s="1788"/>
      <c r="P2582" s="1721" t="s">
        <v>9611</v>
      </c>
    </row>
    <row r="2583" spans="1:16" ht="13.5" hidden="1" customHeight="1" outlineLevel="3" x14ac:dyDescent="0.2">
      <c r="A2583" s="459">
        <v>0</v>
      </c>
      <c r="B2583" s="459">
        <v>17</v>
      </c>
      <c r="C2583" s="459">
        <v>12</v>
      </c>
      <c r="D2583" s="460">
        <v>1</v>
      </c>
      <c r="E2583" s="460">
        <v>2</v>
      </c>
      <c r="G2583" s="1798" t="s">
        <v>51</v>
      </c>
      <c r="H2583" s="1783" t="s">
        <v>1239</v>
      </c>
      <c r="I2583" s="1750" t="s">
        <v>8364</v>
      </c>
      <c r="J2583" s="1785" t="s">
        <v>1561</v>
      </c>
      <c r="K2583" s="1786" t="s">
        <v>642</v>
      </c>
      <c r="L2583" s="1787" t="e">
        <v>#REF!</v>
      </c>
      <c r="M2583" s="1787">
        <v>4.3491600000000004</v>
      </c>
      <c r="N2583" s="1754"/>
      <c r="O2583" s="1788"/>
      <c r="P2583" s="1721" t="s">
        <v>9611</v>
      </c>
    </row>
    <row r="2584" spans="1:16" ht="13.5" hidden="1" customHeight="1" outlineLevel="3" x14ac:dyDescent="0.2">
      <c r="A2584" s="459">
        <v>0</v>
      </c>
      <c r="B2584" s="459">
        <v>17</v>
      </c>
      <c r="C2584" s="459">
        <v>12</v>
      </c>
      <c r="D2584" s="460">
        <v>1</v>
      </c>
      <c r="E2584" s="460">
        <v>3</v>
      </c>
      <c r="G2584" s="1798" t="s">
        <v>51</v>
      </c>
      <c r="H2584" s="1783" t="s">
        <v>1239</v>
      </c>
      <c r="I2584" s="1750" t="s">
        <v>8365</v>
      </c>
      <c r="J2584" s="1785" t="s">
        <v>774</v>
      </c>
      <c r="K2584" s="1786" t="s">
        <v>642</v>
      </c>
      <c r="L2584" s="1787" t="e">
        <v>#REF!</v>
      </c>
      <c r="M2584" s="1787">
        <v>12.1275</v>
      </c>
      <c r="N2584" s="1754"/>
      <c r="O2584" s="1788"/>
      <c r="P2584" s="1721" t="s">
        <v>9611</v>
      </c>
    </row>
    <row r="2585" spans="1:16" ht="13.5" hidden="1" customHeight="1" outlineLevel="3" x14ac:dyDescent="0.2">
      <c r="A2585" s="459">
        <v>0</v>
      </c>
      <c r="B2585" s="459">
        <v>17</v>
      </c>
      <c r="C2585" s="459">
        <v>12</v>
      </c>
      <c r="D2585" s="460">
        <v>1</v>
      </c>
      <c r="E2585" s="460">
        <v>4</v>
      </c>
      <c r="G2585" s="1798" t="s">
        <v>51</v>
      </c>
      <c r="H2585" s="1783" t="s">
        <v>1239</v>
      </c>
      <c r="I2585" s="1750" t="s">
        <v>8366</v>
      </c>
      <c r="J2585" s="1751" t="s">
        <v>3528</v>
      </c>
      <c r="K2585" s="1752" t="s">
        <v>642</v>
      </c>
      <c r="L2585" s="1753" t="e">
        <v>#REF!</v>
      </c>
      <c r="M2585" s="1787">
        <v>76.674746222222225</v>
      </c>
      <c r="N2585" s="1754"/>
      <c r="O2585" s="1755"/>
      <c r="P2585" s="1721" t="s">
        <v>9611</v>
      </c>
    </row>
    <row r="2586" spans="1:16" ht="13.5" hidden="1" customHeight="1" outlineLevel="2" x14ac:dyDescent="0.2">
      <c r="A2586" s="459">
        <v>0</v>
      </c>
      <c r="B2586" s="459">
        <v>17</v>
      </c>
      <c r="C2586" s="459">
        <v>12</v>
      </c>
      <c r="D2586" s="460">
        <v>2</v>
      </c>
      <c r="E2586" s="460">
        <v>0</v>
      </c>
      <c r="G2586" s="1797"/>
      <c r="H2586" s="1777" t="s">
        <v>1238</v>
      </c>
      <c r="I2586" s="1742" t="s">
        <v>8367</v>
      </c>
      <c r="J2586" s="1779" t="s">
        <v>1547</v>
      </c>
      <c r="K2586" s="1780"/>
      <c r="L2586" s="1781"/>
      <c r="M2586" s="1781"/>
      <c r="N2586" s="1746"/>
      <c r="O2586" s="1782"/>
      <c r="P2586" s="1720"/>
    </row>
    <row r="2587" spans="1:16" ht="13.5" hidden="1" customHeight="1" outlineLevel="3" x14ac:dyDescent="0.2">
      <c r="A2587" s="459">
        <v>0</v>
      </c>
      <c r="B2587" s="459">
        <v>17</v>
      </c>
      <c r="C2587" s="459">
        <v>12</v>
      </c>
      <c r="D2587" s="460">
        <v>2</v>
      </c>
      <c r="E2587" s="460">
        <v>1</v>
      </c>
      <c r="G2587" s="1798" t="s">
        <v>51</v>
      </c>
      <c r="H2587" s="1783" t="s">
        <v>1239</v>
      </c>
      <c r="I2587" s="1750" t="s">
        <v>8368</v>
      </c>
      <c r="J2587" s="1785" t="s">
        <v>3104</v>
      </c>
      <c r="K2587" s="1786" t="s">
        <v>642</v>
      </c>
      <c r="L2587" s="1787" t="e">
        <v>#REF!</v>
      </c>
      <c r="M2587" s="1787">
        <v>1.7585555555555554</v>
      </c>
      <c r="N2587" s="1754"/>
      <c r="O2587" s="1788"/>
      <c r="P2587" s="1721" t="s">
        <v>9611</v>
      </c>
    </row>
    <row r="2588" spans="1:16" ht="13.5" hidden="1" customHeight="1" outlineLevel="3" x14ac:dyDescent="0.2">
      <c r="A2588" s="459">
        <v>0</v>
      </c>
      <c r="B2588" s="459">
        <v>17</v>
      </c>
      <c r="C2588" s="459">
        <v>12</v>
      </c>
      <c r="D2588" s="460">
        <v>2</v>
      </c>
      <c r="E2588" s="460">
        <v>2</v>
      </c>
      <c r="G2588" s="1798" t="s">
        <v>51</v>
      </c>
      <c r="H2588" s="1783" t="s">
        <v>1239</v>
      </c>
      <c r="I2588" s="1750" t="s">
        <v>8369</v>
      </c>
      <c r="J2588" s="1785" t="s">
        <v>1936</v>
      </c>
      <c r="K2588" s="1786" t="s">
        <v>642</v>
      </c>
      <c r="L2588" s="1787" t="e">
        <v>#REF!</v>
      </c>
      <c r="M2588" s="1787">
        <v>4.3491600000000004</v>
      </c>
      <c r="N2588" s="1754"/>
      <c r="O2588" s="1788"/>
      <c r="P2588" s="1721" t="s">
        <v>9611</v>
      </c>
    </row>
    <row r="2589" spans="1:16" ht="18" hidden="1" customHeight="1" outlineLevel="3" x14ac:dyDescent="0.2">
      <c r="A2589" s="459">
        <v>0</v>
      </c>
      <c r="B2589" s="459">
        <v>17</v>
      </c>
      <c r="C2589" s="459">
        <v>12</v>
      </c>
      <c r="D2589" s="460">
        <v>2</v>
      </c>
      <c r="E2589" s="460">
        <v>3</v>
      </c>
      <c r="G2589" s="1798" t="s">
        <v>51</v>
      </c>
      <c r="H2589" s="1783" t="s">
        <v>1239</v>
      </c>
      <c r="I2589" s="1750" t="s">
        <v>8370</v>
      </c>
      <c r="J2589" s="1785" t="s">
        <v>3103</v>
      </c>
      <c r="K2589" s="1786" t="s">
        <v>642</v>
      </c>
      <c r="L2589" s="1787" t="e">
        <v>#REF!</v>
      </c>
      <c r="M2589" s="1787">
        <v>12.1275</v>
      </c>
      <c r="N2589" s="1754"/>
      <c r="O2589" s="1788"/>
      <c r="P2589" s="1721" t="s">
        <v>9611</v>
      </c>
    </row>
    <row r="2590" spans="1:16" ht="13.5" hidden="1" customHeight="1" outlineLevel="3" x14ac:dyDescent="0.2">
      <c r="A2590" s="459">
        <v>0</v>
      </c>
      <c r="B2590" s="459">
        <v>17</v>
      </c>
      <c r="C2590" s="459">
        <v>12</v>
      </c>
      <c r="D2590" s="460">
        <v>2</v>
      </c>
      <c r="E2590" s="460">
        <v>4</v>
      </c>
      <c r="G2590" s="1798" t="s">
        <v>51</v>
      </c>
      <c r="H2590" s="1783" t="s">
        <v>1239</v>
      </c>
      <c r="I2590" s="1750" t="s">
        <v>8371</v>
      </c>
      <c r="J2590" s="1785" t="s">
        <v>3105</v>
      </c>
      <c r="K2590" s="1786" t="s">
        <v>642</v>
      </c>
      <c r="L2590" s="1787" t="e">
        <v>#REF!</v>
      </c>
      <c r="M2590" s="1787">
        <v>70.567030666666668</v>
      </c>
      <c r="N2590" s="1754"/>
      <c r="O2590" s="1788"/>
      <c r="P2590" s="1721" t="s">
        <v>9611</v>
      </c>
    </row>
    <row r="2591" spans="1:16" ht="13.5" hidden="1" customHeight="1" outlineLevel="2" x14ac:dyDescent="0.2">
      <c r="A2591" s="459">
        <v>0</v>
      </c>
      <c r="B2591" s="459">
        <v>17</v>
      </c>
      <c r="C2591" s="459">
        <v>12</v>
      </c>
      <c r="D2591" s="460">
        <v>3</v>
      </c>
      <c r="E2591" s="460">
        <v>0</v>
      </c>
      <c r="G2591" s="1797"/>
      <c r="H2591" s="1777" t="s">
        <v>1238</v>
      </c>
      <c r="I2591" s="1742" t="s">
        <v>8372</v>
      </c>
      <c r="J2591" s="1779" t="s">
        <v>15</v>
      </c>
      <c r="K2591" s="1780"/>
      <c r="L2591" s="1781"/>
      <c r="M2591" s="1781"/>
      <c r="N2591" s="1746"/>
      <c r="O2591" s="1782"/>
      <c r="P2591" s="1720"/>
    </row>
    <row r="2592" spans="1:16" ht="12" hidden="1" customHeight="1" outlineLevel="3" x14ac:dyDescent="0.2">
      <c r="A2592" s="459">
        <v>0</v>
      </c>
      <c r="B2592" s="459">
        <v>17</v>
      </c>
      <c r="C2592" s="459">
        <v>12</v>
      </c>
      <c r="D2592" s="460">
        <v>3</v>
      </c>
      <c r="E2592" s="460">
        <v>1</v>
      </c>
      <c r="G2592" s="1798" t="s">
        <v>51</v>
      </c>
      <c r="H2592" s="1783" t="s">
        <v>1239</v>
      </c>
      <c r="I2592" s="1750" t="s">
        <v>8373</v>
      </c>
      <c r="J2592" s="1785" t="s">
        <v>3529</v>
      </c>
      <c r="K2592" s="1786" t="s">
        <v>642</v>
      </c>
      <c r="L2592" s="1787" t="e">
        <v>#REF!</v>
      </c>
      <c r="M2592" s="1787">
        <v>42</v>
      </c>
      <c r="N2592" s="1754"/>
      <c r="O2592" s="1788"/>
      <c r="P2592" s="1721" t="s">
        <v>9611</v>
      </c>
    </row>
    <row r="2593" spans="1:16" ht="13.5" hidden="1" customHeight="1" outlineLevel="3" x14ac:dyDescent="0.2">
      <c r="A2593" s="459">
        <v>0</v>
      </c>
      <c r="B2593" s="459">
        <v>17</v>
      </c>
      <c r="C2593" s="459">
        <v>12</v>
      </c>
      <c r="D2593" s="460">
        <v>3</v>
      </c>
      <c r="E2593" s="460">
        <v>2</v>
      </c>
      <c r="G2593" s="1798" t="s">
        <v>51</v>
      </c>
      <c r="H2593" s="1783" t="s">
        <v>1239</v>
      </c>
      <c r="I2593" s="1750" t="s">
        <v>8374</v>
      </c>
      <c r="J2593" s="1785" t="s">
        <v>784</v>
      </c>
      <c r="K2593" s="1786" t="s">
        <v>642</v>
      </c>
      <c r="L2593" s="1787" t="e">
        <v>#REF!</v>
      </c>
      <c r="M2593" s="1787">
        <v>40</v>
      </c>
      <c r="N2593" s="1754"/>
      <c r="O2593" s="1788"/>
      <c r="P2593" s="1721" t="s">
        <v>9611</v>
      </c>
    </row>
    <row r="2594" spans="1:16" ht="13.5" hidden="1" customHeight="1" outlineLevel="3" x14ac:dyDescent="0.2">
      <c r="A2594" s="459">
        <v>0</v>
      </c>
      <c r="B2594" s="459">
        <v>17</v>
      </c>
      <c r="C2594" s="459">
        <v>12</v>
      </c>
      <c r="D2594" s="460">
        <v>3</v>
      </c>
      <c r="E2594" s="460">
        <v>3</v>
      </c>
      <c r="G2594" s="1798" t="s">
        <v>51</v>
      </c>
      <c r="H2594" s="1783" t="s">
        <v>1239</v>
      </c>
      <c r="I2594" s="1750" t="s">
        <v>8375</v>
      </c>
      <c r="J2594" s="1785" t="s">
        <v>785</v>
      </c>
      <c r="K2594" s="1786" t="s">
        <v>642</v>
      </c>
      <c r="L2594" s="1787" t="e">
        <v>#REF!</v>
      </c>
      <c r="M2594" s="1787">
        <v>40</v>
      </c>
      <c r="N2594" s="1754"/>
      <c r="O2594" s="1788"/>
      <c r="P2594" s="1721" t="s">
        <v>9611</v>
      </c>
    </row>
    <row r="2595" spans="1:16" ht="13.5" hidden="1" customHeight="1" outlineLevel="3" x14ac:dyDescent="0.2">
      <c r="A2595" s="459">
        <v>0</v>
      </c>
      <c r="B2595" s="459">
        <v>17</v>
      </c>
      <c r="C2595" s="459">
        <v>12</v>
      </c>
      <c r="D2595" s="460">
        <v>3</v>
      </c>
      <c r="E2595" s="460">
        <v>4</v>
      </c>
      <c r="G2595" s="1798" t="s">
        <v>51</v>
      </c>
      <c r="H2595" s="1783" t="s">
        <v>1239</v>
      </c>
      <c r="I2595" s="1750" t="s">
        <v>8376</v>
      </c>
      <c r="J2595" s="1785" t="s">
        <v>3109</v>
      </c>
      <c r="K2595" s="1786" t="s">
        <v>642</v>
      </c>
      <c r="L2595" s="1787" t="e">
        <v>#REF!</v>
      </c>
      <c r="M2595" s="1787">
        <v>40</v>
      </c>
      <c r="N2595" s="1754"/>
      <c r="O2595" s="1788"/>
      <c r="P2595" s="1721" t="s">
        <v>9611</v>
      </c>
    </row>
    <row r="2596" spans="1:16" ht="13.5" hidden="1" customHeight="1" outlineLevel="1" x14ac:dyDescent="0.2">
      <c r="A2596" s="459">
        <v>0</v>
      </c>
      <c r="B2596" s="459">
        <v>17</v>
      </c>
      <c r="C2596" s="459">
        <v>13</v>
      </c>
      <c r="D2596" s="460">
        <v>0</v>
      </c>
      <c r="E2596" s="460">
        <v>4</v>
      </c>
      <c r="G2596" s="1796"/>
      <c r="H2596" s="1771" t="s">
        <v>39</v>
      </c>
      <c r="I2596" s="1735" t="s">
        <v>8377</v>
      </c>
      <c r="J2596" s="1773" t="s">
        <v>3121</v>
      </c>
      <c r="K2596" s="1774"/>
      <c r="L2596" s="1775"/>
      <c r="M2596" s="1775"/>
      <c r="N2596" s="1739"/>
      <c r="O2596" s="1776"/>
      <c r="P2596" s="1719"/>
    </row>
    <row r="2597" spans="1:16" ht="13.5" hidden="1" customHeight="1" outlineLevel="2" x14ac:dyDescent="0.2">
      <c r="A2597" s="459">
        <v>0</v>
      </c>
      <c r="B2597" s="459">
        <v>17</v>
      </c>
      <c r="C2597" s="459">
        <v>13</v>
      </c>
      <c r="D2597" s="460">
        <v>1</v>
      </c>
      <c r="E2597" s="460">
        <v>0</v>
      </c>
      <c r="G2597" s="1797"/>
      <c r="H2597" s="1777" t="s">
        <v>1238</v>
      </c>
      <c r="I2597" s="1742" t="s">
        <v>8378</v>
      </c>
      <c r="J2597" s="1779" t="s">
        <v>1569</v>
      </c>
      <c r="K2597" s="1780"/>
      <c r="L2597" s="1781"/>
      <c r="M2597" s="1781"/>
      <c r="N2597" s="1746"/>
      <c r="O2597" s="1782"/>
      <c r="P2597" s="1720"/>
    </row>
    <row r="2598" spans="1:16" ht="13.5" hidden="1" customHeight="1" outlineLevel="3" x14ac:dyDescent="0.2">
      <c r="A2598" s="459">
        <v>0</v>
      </c>
      <c r="B2598" s="459">
        <v>17</v>
      </c>
      <c r="C2598" s="459">
        <v>13</v>
      </c>
      <c r="D2598" s="460">
        <v>1</v>
      </c>
      <c r="E2598" s="460">
        <v>1</v>
      </c>
      <c r="G2598" s="1798" t="s">
        <v>51</v>
      </c>
      <c r="H2598" s="1783" t="s">
        <v>1239</v>
      </c>
      <c r="I2598" s="1750" t="s">
        <v>8379</v>
      </c>
      <c r="J2598" s="1785" t="s">
        <v>1560</v>
      </c>
      <c r="K2598" s="1786" t="s">
        <v>642</v>
      </c>
      <c r="L2598" s="1787" t="e">
        <v>#REF!</v>
      </c>
      <c r="M2598" s="1787">
        <v>1.7585555555555554</v>
      </c>
      <c r="N2598" s="1754"/>
      <c r="O2598" s="1788"/>
      <c r="P2598" s="1721" t="s">
        <v>9611</v>
      </c>
    </row>
    <row r="2599" spans="1:16" ht="13.5" hidden="1" customHeight="1" outlineLevel="3" x14ac:dyDescent="0.2">
      <c r="A2599" s="459">
        <v>0</v>
      </c>
      <c r="B2599" s="459">
        <v>17</v>
      </c>
      <c r="C2599" s="459">
        <v>13</v>
      </c>
      <c r="D2599" s="460">
        <v>1</v>
      </c>
      <c r="E2599" s="460">
        <v>2</v>
      </c>
      <c r="G2599" s="1798" t="s">
        <v>51</v>
      </c>
      <c r="H2599" s="1783" t="s">
        <v>1239</v>
      </c>
      <c r="I2599" s="1750" t="s">
        <v>8380</v>
      </c>
      <c r="J2599" s="1785" t="s">
        <v>1561</v>
      </c>
      <c r="K2599" s="1786" t="s">
        <v>642</v>
      </c>
      <c r="L2599" s="1787" t="e">
        <v>#REF!</v>
      </c>
      <c r="M2599" s="1787">
        <v>4.3491600000000004</v>
      </c>
      <c r="N2599" s="1754"/>
      <c r="O2599" s="1788"/>
      <c r="P2599" s="1721" t="s">
        <v>9611</v>
      </c>
    </row>
    <row r="2600" spans="1:16" ht="13.5" hidden="1" customHeight="1" outlineLevel="3" x14ac:dyDescent="0.2">
      <c r="A2600" s="459">
        <v>0</v>
      </c>
      <c r="B2600" s="459">
        <v>17</v>
      </c>
      <c r="C2600" s="459">
        <v>13</v>
      </c>
      <c r="D2600" s="460">
        <v>1</v>
      </c>
      <c r="E2600" s="460">
        <v>3</v>
      </c>
      <c r="G2600" s="1798" t="s">
        <v>51</v>
      </c>
      <c r="H2600" s="1783" t="s">
        <v>1239</v>
      </c>
      <c r="I2600" s="1750" t="s">
        <v>8381</v>
      </c>
      <c r="J2600" s="1785" t="s">
        <v>774</v>
      </c>
      <c r="K2600" s="1786" t="s">
        <v>642</v>
      </c>
      <c r="L2600" s="1787" t="e">
        <v>#REF!</v>
      </c>
      <c r="M2600" s="1787">
        <v>12.1275</v>
      </c>
      <c r="N2600" s="1754"/>
      <c r="O2600" s="1788"/>
      <c r="P2600" s="1721" t="s">
        <v>9611</v>
      </c>
    </row>
    <row r="2601" spans="1:16" ht="13.5" hidden="1" customHeight="1" outlineLevel="3" x14ac:dyDescent="0.2">
      <c r="A2601" s="459">
        <v>0</v>
      </c>
      <c r="B2601" s="459">
        <v>17</v>
      </c>
      <c r="C2601" s="459">
        <v>13</v>
      </c>
      <c r="D2601" s="460">
        <v>1</v>
      </c>
      <c r="E2601" s="460">
        <v>4</v>
      </c>
      <c r="G2601" s="1798" t="s">
        <v>51</v>
      </c>
      <c r="H2601" s="1783" t="s">
        <v>1239</v>
      </c>
      <c r="I2601" s="1750" t="s">
        <v>8382</v>
      </c>
      <c r="J2601" s="1751" t="s">
        <v>3528</v>
      </c>
      <c r="K2601" s="1752" t="s">
        <v>642</v>
      </c>
      <c r="L2601" s="1753" t="e">
        <v>#REF!</v>
      </c>
      <c r="M2601" s="1787">
        <v>76.674746222222225</v>
      </c>
      <c r="N2601" s="1754"/>
      <c r="O2601" s="1755"/>
      <c r="P2601" s="1721" t="s">
        <v>9611</v>
      </c>
    </row>
    <row r="2602" spans="1:16" ht="13.5" hidden="1" customHeight="1" outlineLevel="2" x14ac:dyDescent="0.2">
      <c r="A2602" s="459">
        <v>0</v>
      </c>
      <c r="B2602" s="459">
        <v>17</v>
      </c>
      <c r="C2602" s="459">
        <v>13</v>
      </c>
      <c r="D2602" s="460">
        <v>2</v>
      </c>
      <c r="E2602" s="460">
        <v>0</v>
      </c>
      <c r="G2602" s="1797"/>
      <c r="H2602" s="1777" t="s">
        <v>1238</v>
      </c>
      <c r="I2602" s="1742" t="s">
        <v>8383</v>
      </c>
      <c r="J2602" s="1779" t="s">
        <v>1547</v>
      </c>
      <c r="K2602" s="1780"/>
      <c r="L2602" s="1781"/>
      <c r="M2602" s="1781"/>
      <c r="N2602" s="1746"/>
      <c r="O2602" s="1782"/>
      <c r="P2602" s="1720"/>
    </row>
    <row r="2603" spans="1:16" ht="13.5" hidden="1" customHeight="1" outlineLevel="3" x14ac:dyDescent="0.2">
      <c r="A2603" s="459">
        <v>0</v>
      </c>
      <c r="B2603" s="459">
        <v>17</v>
      </c>
      <c r="C2603" s="459">
        <v>13</v>
      </c>
      <c r="D2603" s="460">
        <v>2</v>
      </c>
      <c r="E2603" s="460">
        <v>1</v>
      </c>
      <c r="G2603" s="1798" t="s">
        <v>51</v>
      </c>
      <c r="H2603" s="1783" t="s">
        <v>1239</v>
      </c>
      <c r="I2603" s="1750" t="s">
        <v>8384</v>
      </c>
      <c r="J2603" s="1785" t="s">
        <v>3104</v>
      </c>
      <c r="K2603" s="1786" t="s">
        <v>642</v>
      </c>
      <c r="L2603" s="1787" t="e">
        <v>#REF!</v>
      </c>
      <c r="M2603" s="1787">
        <v>1.7585555555555554</v>
      </c>
      <c r="N2603" s="1754"/>
      <c r="O2603" s="1788"/>
      <c r="P2603" s="1721" t="s">
        <v>9611</v>
      </c>
    </row>
    <row r="2604" spans="1:16" ht="13.5" hidden="1" customHeight="1" outlineLevel="3" x14ac:dyDescent="0.2">
      <c r="A2604" s="459">
        <v>0</v>
      </c>
      <c r="B2604" s="459">
        <v>17</v>
      </c>
      <c r="C2604" s="459">
        <v>13</v>
      </c>
      <c r="D2604" s="460">
        <v>2</v>
      </c>
      <c r="E2604" s="460">
        <v>2</v>
      </c>
      <c r="G2604" s="1798" t="s">
        <v>51</v>
      </c>
      <c r="H2604" s="1783" t="s">
        <v>1239</v>
      </c>
      <c r="I2604" s="1750" t="s">
        <v>8385</v>
      </c>
      <c r="J2604" s="1785" t="s">
        <v>1936</v>
      </c>
      <c r="K2604" s="1786" t="s">
        <v>642</v>
      </c>
      <c r="L2604" s="1787" t="e">
        <v>#REF!</v>
      </c>
      <c r="M2604" s="1787">
        <v>4.3491600000000004</v>
      </c>
      <c r="N2604" s="1754"/>
      <c r="O2604" s="1788"/>
      <c r="P2604" s="1721" t="s">
        <v>9611</v>
      </c>
    </row>
    <row r="2605" spans="1:16" ht="13.5" hidden="1" customHeight="1" outlineLevel="3" x14ac:dyDescent="0.2">
      <c r="A2605" s="459">
        <v>0</v>
      </c>
      <c r="B2605" s="459">
        <v>17</v>
      </c>
      <c r="C2605" s="459">
        <v>13</v>
      </c>
      <c r="D2605" s="460">
        <v>2</v>
      </c>
      <c r="E2605" s="460">
        <v>3</v>
      </c>
      <c r="G2605" s="1798" t="s">
        <v>51</v>
      </c>
      <c r="H2605" s="1783" t="s">
        <v>1239</v>
      </c>
      <c r="I2605" s="1750" t="s">
        <v>8386</v>
      </c>
      <c r="J2605" s="1785" t="s">
        <v>3103</v>
      </c>
      <c r="K2605" s="1786" t="s">
        <v>642</v>
      </c>
      <c r="L2605" s="1787" t="e">
        <v>#REF!</v>
      </c>
      <c r="M2605" s="1787">
        <v>12.1275</v>
      </c>
      <c r="N2605" s="1754"/>
      <c r="O2605" s="1788"/>
      <c r="P2605" s="1721" t="s">
        <v>9611</v>
      </c>
    </row>
    <row r="2606" spans="1:16" ht="13.5" hidden="1" customHeight="1" outlineLevel="3" x14ac:dyDescent="0.2">
      <c r="A2606" s="459">
        <v>0</v>
      </c>
      <c r="B2606" s="459">
        <v>17</v>
      </c>
      <c r="C2606" s="459">
        <v>13</v>
      </c>
      <c r="D2606" s="460">
        <v>2</v>
      </c>
      <c r="E2606" s="460">
        <v>4</v>
      </c>
      <c r="G2606" s="1798" t="s">
        <v>51</v>
      </c>
      <c r="H2606" s="1783" t="s">
        <v>1239</v>
      </c>
      <c r="I2606" s="1750" t="s">
        <v>8387</v>
      </c>
      <c r="J2606" s="1785" t="s">
        <v>3105</v>
      </c>
      <c r="K2606" s="1786" t="s">
        <v>642</v>
      </c>
      <c r="L2606" s="1787" t="e">
        <v>#REF!</v>
      </c>
      <c r="M2606" s="1787">
        <v>70.567030666666668</v>
      </c>
      <c r="N2606" s="1754"/>
      <c r="O2606" s="1788"/>
      <c r="P2606" s="1721" t="s">
        <v>9611</v>
      </c>
    </row>
    <row r="2607" spans="1:16" ht="13.5" hidden="1" customHeight="1" outlineLevel="2" x14ac:dyDescent="0.2">
      <c r="A2607" s="459">
        <v>0</v>
      </c>
      <c r="B2607" s="459">
        <v>17</v>
      </c>
      <c r="C2607" s="459">
        <v>13</v>
      </c>
      <c r="D2607" s="460">
        <v>3</v>
      </c>
      <c r="E2607" s="460">
        <v>0</v>
      </c>
      <c r="G2607" s="1797"/>
      <c r="H2607" s="1777" t="s">
        <v>1238</v>
      </c>
      <c r="I2607" s="1742" t="s">
        <v>8388</v>
      </c>
      <c r="J2607" s="1779" t="s">
        <v>15</v>
      </c>
      <c r="K2607" s="1780"/>
      <c r="L2607" s="1781"/>
      <c r="M2607" s="1781"/>
      <c r="N2607" s="1746"/>
      <c r="O2607" s="1782"/>
      <c r="P2607" s="1720"/>
    </row>
    <row r="2608" spans="1:16" ht="12" hidden="1" customHeight="1" outlineLevel="3" x14ac:dyDescent="0.2">
      <c r="A2608" s="459">
        <v>0</v>
      </c>
      <c r="B2608" s="459">
        <v>17</v>
      </c>
      <c r="C2608" s="459">
        <v>13</v>
      </c>
      <c r="D2608" s="460">
        <v>3</v>
      </c>
      <c r="E2608" s="460">
        <v>1</v>
      </c>
      <c r="G2608" s="1798" t="s">
        <v>51</v>
      </c>
      <c r="H2608" s="1783" t="s">
        <v>1239</v>
      </c>
      <c r="I2608" s="1750" t="s">
        <v>8389</v>
      </c>
      <c r="J2608" s="1785" t="s">
        <v>3529</v>
      </c>
      <c r="K2608" s="1786" t="s">
        <v>642</v>
      </c>
      <c r="L2608" s="1787" t="e">
        <v>#REF!</v>
      </c>
      <c r="M2608" s="1787">
        <v>42</v>
      </c>
      <c r="N2608" s="1754"/>
      <c r="O2608" s="1788"/>
      <c r="P2608" s="1721" t="s">
        <v>9611</v>
      </c>
    </row>
    <row r="2609" spans="1:16" ht="13.5" hidden="1" customHeight="1" outlineLevel="3" x14ac:dyDescent="0.2">
      <c r="A2609" s="459">
        <v>0</v>
      </c>
      <c r="B2609" s="459">
        <v>17</v>
      </c>
      <c r="C2609" s="459">
        <v>13</v>
      </c>
      <c r="D2609" s="460">
        <v>3</v>
      </c>
      <c r="E2609" s="460">
        <v>2</v>
      </c>
      <c r="G2609" s="1798" t="s">
        <v>51</v>
      </c>
      <c r="H2609" s="1783" t="s">
        <v>1239</v>
      </c>
      <c r="I2609" s="1750" t="s">
        <v>8390</v>
      </c>
      <c r="J2609" s="1785" t="s">
        <v>784</v>
      </c>
      <c r="K2609" s="1786" t="s">
        <v>642</v>
      </c>
      <c r="L2609" s="1787" t="e">
        <v>#REF!</v>
      </c>
      <c r="M2609" s="1787">
        <v>40</v>
      </c>
      <c r="N2609" s="1754"/>
      <c r="O2609" s="1788"/>
      <c r="P2609" s="1721" t="s">
        <v>9611</v>
      </c>
    </row>
    <row r="2610" spans="1:16" ht="13.5" hidden="1" customHeight="1" outlineLevel="3" x14ac:dyDescent="0.2">
      <c r="A2610" s="459">
        <v>0</v>
      </c>
      <c r="B2610" s="459">
        <v>17</v>
      </c>
      <c r="C2610" s="459">
        <v>13</v>
      </c>
      <c r="D2610" s="460">
        <v>3</v>
      </c>
      <c r="E2610" s="460">
        <v>3</v>
      </c>
      <c r="G2610" s="1798" t="s">
        <v>51</v>
      </c>
      <c r="H2610" s="1783" t="s">
        <v>1239</v>
      </c>
      <c r="I2610" s="1750" t="s">
        <v>8391</v>
      </c>
      <c r="J2610" s="1785" t="s">
        <v>785</v>
      </c>
      <c r="K2610" s="1786" t="s">
        <v>642</v>
      </c>
      <c r="L2610" s="1787" t="e">
        <v>#REF!</v>
      </c>
      <c r="M2610" s="1787">
        <v>40</v>
      </c>
      <c r="N2610" s="1754"/>
      <c r="O2610" s="1788"/>
      <c r="P2610" s="1721" t="s">
        <v>9611</v>
      </c>
    </row>
    <row r="2611" spans="1:16" ht="13.5" hidden="1" customHeight="1" outlineLevel="3" x14ac:dyDescent="0.2">
      <c r="A2611" s="459">
        <v>0</v>
      </c>
      <c r="B2611" s="459">
        <v>17</v>
      </c>
      <c r="C2611" s="459">
        <v>13</v>
      </c>
      <c r="D2611" s="460">
        <v>3</v>
      </c>
      <c r="E2611" s="460">
        <v>4</v>
      </c>
      <c r="G2611" s="1798" t="s">
        <v>51</v>
      </c>
      <c r="H2611" s="1783" t="s">
        <v>1239</v>
      </c>
      <c r="I2611" s="1750" t="s">
        <v>8392</v>
      </c>
      <c r="J2611" s="1785" t="s">
        <v>3109</v>
      </c>
      <c r="K2611" s="1786" t="s">
        <v>642</v>
      </c>
      <c r="L2611" s="1787" t="e">
        <v>#REF!</v>
      </c>
      <c r="M2611" s="1787">
        <v>40</v>
      </c>
      <c r="N2611" s="1754"/>
      <c r="O2611" s="1788"/>
      <c r="P2611" s="1721" t="s">
        <v>9611</v>
      </c>
    </row>
    <row r="2612" spans="1:16" ht="13.5" hidden="1" customHeight="1" outlineLevel="1" x14ac:dyDescent="0.2">
      <c r="A2612" s="459">
        <v>0</v>
      </c>
      <c r="B2612" s="459">
        <v>17</v>
      </c>
      <c r="C2612" s="459">
        <v>14</v>
      </c>
      <c r="D2612" s="460">
        <v>0</v>
      </c>
      <c r="E2612" s="460">
        <v>4</v>
      </c>
      <c r="G2612" s="1796"/>
      <c r="H2612" s="1771" t="s">
        <v>39</v>
      </c>
      <c r="I2612" s="1735" t="s">
        <v>8393</v>
      </c>
      <c r="J2612" s="1773" t="s">
        <v>3122</v>
      </c>
      <c r="K2612" s="1774"/>
      <c r="L2612" s="1775"/>
      <c r="M2612" s="1775"/>
      <c r="N2612" s="1739"/>
      <c r="O2612" s="1776"/>
      <c r="P2612" s="1719"/>
    </row>
    <row r="2613" spans="1:16" ht="13.5" hidden="1" customHeight="1" outlineLevel="2" x14ac:dyDescent="0.2">
      <c r="A2613" s="459">
        <v>0</v>
      </c>
      <c r="B2613" s="459">
        <v>17</v>
      </c>
      <c r="C2613" s="459">
        <v>14</v>
      </c>
      <c r="D2613" s="460">
        <v>1</v>
      </c>
      <c r="E2613" s="460">
        <v>0</v>
      </c>
      <c r="G2613" s="1797"/>
      <c r="H2613" s="1777" t="s">
        <v>1238</v>
      </c>
      <c r="I2613" s="1742" t="s">
        <v>8394</v>
      </c>
      <c r="J2613" s="1779" t="s">
        <v>1569</v>
      </c>
      <c r="K2613" s="1780"/>
      <c r="L2613" s="1781"/>
      <c r="M2613" s="1781"/>
      <c r="N2613" s="1746"/>
      <c r="O2613" s="1782"/>
      <c r="P2613" s="1720"/>
    </row>
    <row r="2614" spans="1:16" ht="13.5" hidden="1" customHeight="1" outlineLevel="3" x14ac:dyDescent="0.2">
      <c r="A2614" s="459">
        <v>0</v>
      </c>
      <c r="B2614" s="459">
        <v>17</v>
      </c>
      <c r="C2614" s="459">
        <v>14</v>
      </c>
      <c r="D2614" s="460">
        <v>1</v>
      </c>
      <c r="E2614" s="460">
        <v>1</v>
      </c>
      <c r="G2614" s="1798" t="s">
        <v>51</v>
      </c>
      <c r="H2614" s="1783" t="s">
        <v>1239</v>
      </c>
      <c r="I2614" s="1750" t="s">
        <v>8395</v>
      </c>
      <c r="J2614" s="1785" t="s">
        <v>1560</v>
      </c>
      <c r="K2614" s="1786" t="s">
        <v>642</v>
      </c>
      <c r="L2614" s="1787" t="e">
        <v>#REF!</v>
      </c>
      <c r="M2614" s="1787">
        <v>1.7585555555555554</v>
      </c>
      <c r="N2614" s="1754"/>
      <c r="O2614" s="1788"/>
      <c r="P2614" s="1721" t="s">
        <v>9611</v>
      </c>
    </row>
    <row r="2615" spans="1:16" ht="13.5" hidden="1" customHeight="1" outlineLevel="3" x14ac:dyDescent="0.2">
      <c r="A2615" s="459">
        <v>0</v>
      </c>
      <c r="B2615" s="459">
        <v>17</v>
      </c>
      <c r="C2615" s="459">
        <v>14</v>
      </c>
      <c r="D2615" s="460">
        <v>1</v>
      </c>
      <c r="E2615" s="460">
        <v>2</v>
      </c>
      <c r="G2615" s="1798" t="s">
        <v>51</v>
      </c>
      <c r="H2615" s="1783" t="s">
        <v>1239</v>
      </c>
      <c r="I2615" s="1750" t="s">
        <v>8396</v>
      </c>
      <c r="J2615" s="1785" t="s">
        <v>1561</v>
      </c>
      <c r="K2615" s="1786" t="s">
        <v>642</v>
      </c>
      <c r="L2615" s="1787" t="e">
        <v>#REF!</v>
      </c>
      <c r="M2615" s="1787">
        <v>4.3491600000000004</v>
      </c>
      <c r="N2615" s="1754"/>
      <c r="O2615" s="1788"/>
      <c r="P2615" s="1721" t="s">
        <v>9611</v>
      </c>
    </row>
    <row r="2616" spans="1:16" ht="13.5" hidden="1" customHeight="1" outlineLevel="3" x14ac:dyDescent="0.2">
      <c r="A2616" s="459">
        <v>0</v>
      </c>
      <c r="B2616" s="459">
        <v>17</v>
      </c>
      <c r="C2616" s="459">
        <v>14</v>
      </c>
      <c r="D2616" s="460">
        <v>1</v>
      </c>
      <c r="E2616" s="460">
        <v>3</v>
      </c>
      <c r="G2616" s="1798" t="s">
        <v>51</v>
      </c>
      <c r="H2616" s="1783" t="s">
        <v>1239</v>
      </c>
      <c r="I2616" s="1750" t="s">
        <v>8397</v>
      </c>
      <c r="J2616" s="1785" t="s">
        <v>774</v>
      </c>
      <c r="K2616" s="1786" t="s">
        <v>642</v>
      </c>
      <c r="L2616" s="1787" t="e">
        <v>#REF!</v>
      </c>
      <c r="M2616" s="1787">
        <v>12.1275</v>
      </c>
      <c r="N2616" s="1754"/>
      <c r="O2616" s="1788"/>
      <c r="P2616" s="1721" t="s">
        <v>9611</v>
      </c>
    </row>
    <row r="2617" spans="1:16" ht="13.5" hidden="1" customHeight="1" outlineLevel="3" x14ac:dyDescent="0.2">
      <c r="A2617" s="459">
        <v>0</v>
      </c>
      <c r="B2617" s="459">
        <v>17</v>
      </c>
      <c r="C2617" s="459">
        <v>14</v>
      </c>
      <c r="D2617" s="460">
        <v>1</v>
      </c>
      <c r="E2617" s="460">
        <v>4</v>
      </c>
      <c r="G2617" s="1798" t="s">
        <v>51</v>
      </c>
      <c r="H2617" s="1783" t="s">
        <v>1239</v>
      </c>
      <c r="I2617" s="1750" t="s">
        <v>8398</v>
      </c>
      <c r="J2617" s="1751" t="s">
        <v>3528</v>
      </c>
      <c r="K2617" s="1752" t="s">
        <v>642</v>
      </c>
      <c r="L2617" s="1753" t="e">
        <v>#REF!</v>
      </c>
      <c r="M2617" s="1787">
        <v>76.674746222222225</v>
      </c>
      <c r="N2617" s="1754"/>
      <c r="O2617" s="1755"/>
      <c r="P2617" s="1721" t="s">
        <v>9611</v>
      </c>
    </row>
    <row r="2618" spans="1:16" ht="13.5" hidden="1" customHeight="1" outlineLevel="2" x14ac:dyDescent="0.2">
      <c r="A2618" s="459">
        <v>0</v>
      </c>
      <c r="B2618" s="459">
        <v>17</v>
      </c>
      <c r="C2618" s="459">
        <v>14</v>
      </c>
      <c r="D2618" s="460">
        <v>2</v>
      </c>
      <c r="E2618" s="460">
        <v>0</v>
      </c>
      <c r="G2618" s="1797"/>
      <c r="H2618" s="1777" t="s">
        <v>1238</v>
      </c>
      <c r="I2618" s="1742" t="s">
        <v>8399</v>
      </c>
      <c r="J2618" s="1779" t="s">
        <v>1547</v>
      </c>
      <c r="K2618" s="1780"/>
      <c r="L2618" s="1781"/>
      <c r="M2618" s="1781"/>
      <c r="N2618" s="1746"/>
      <c r="O2618" s="1782"/>
      <c r="P2618" s="1720"/>
    </row>
    <row r="2619" spans="1:16" ht="13.5" hidden="1" customHeight="1" outlineLevel="3" x14ac:dyDescent="0.2">
      <c r="A2619" s="459">
        <v>0</v>
      </c>
      <c r="B2619" s="459">
        <v>17</v>
      </c>
      <c r="C2619" s="459">
        <v>14</v>
      </c>
      <c r="D2619" s="460">
        <v>2</v>
      </c>
      <c r="E2619" s="460">
        <v>1</v>
      </c>
      <c r="G2619" s="1798" t="s">
        <v>51</v>
      </c>
      <c r="H2619" s="1783" t="s">
        <v>1239</v>
      </c>
      <c r="I2619" s="1750" t="s">
        <v>8400</v>
      </c>
      <c r="J2619" s="1785" t="s">
        <v>3104</v>
      </c>
      <c r="K2619" s="1786" t="s">
        <v>642</v>
      </c>
      <c r="L2619" s="1787" t="e">
        <v>#REF!</v>
      </c>
      <c r="M2619" s="1787">
        <v>1.7585555555555554</v>
      </c>
      <c r="N2619" s="1754"/>
      <c r="O2619" s="1788"/>
      <c r="P2619" s="1721" t="s">
        <v>9611</v>
      </c>
    </row>
    <row r="2620" spans="1:16" ht="13.5" hidden="1" customHeight="1" outlineLevel="3" x14ac:dyDescent="0.2">
      <c r="A2620" s="459">
        <v>0</v>
      </c>
      <c r="B2620" s="459">
        <v>17</v>
      </c>
      <c r="C2620" s="459">
        <v>14</v>
      </c>
      <c r="D2620" s="460">
        <v>2</v>
      </c>
      <c r="E2620" s="460">
        <v>2</v>
      </c>
      <c r="G2620" s="1798" t="s">
        <v>51</v>
      </c>
      <c r="H2620" s="1783" t="s">
        <v>1239</v>
      </c>
      <c r="I2620" s="1750" t="s">
        <v>8401</v>
      </c>
      <c r="J2620" s="1785" t="s">
        <v>1936</v>
      </c>
      <c r="K2620" s="1786" t="s">
        <v>642</v>
      </c>
      <c r="L2620" s="1787" t="e">
        <v>#REF!</v>
      </c>
      <c r="M2620" s="1787">
        <v>4.3491600000000004</v>
      </c>
      <c r="N2620" s="1754"/>
      <c r="O2620" s="1788"/>
      <c r="P2620" s="1721" t="s">
        <v>9611</v>
      </c>
    </row>
    <row r="2621" spans="1:16" ht="13.5" hidden="1" customHeight="1" outlineLevel="3" x14ac:dyDescent="0.2">
      <c r="A2621" s="459">
        <v>0</v>
      </c>
      <c r="B2621" s="459">
        <v>17</v>
      </c>
      <c r="C2621" s="459">
        <v>14</v>
      </c>
      <c r="D2621" s="460">
        <v>2</v>
      </c>
      <c r="E2621" s="460">
        <v>3</v>
      </c>
      <c r="G2621" s="1798" t="s">
        <v>51</v>
      </c>
      <c r="H2621" s="1783" t="s">
        <v>1239</v>
      </c>
      <c r="I2621" s="1750" t="s">
        <v>8402</v>
      </c>
      <c r="J2621" s="1785" t="s">
        <v>3103</v>
      </c>
      <c r="K2621" s="1786" t="s">
        <v>642</v>
      </c>
      <c r="L2621" s="1787" t="e">
        <v>#REF!</v>
      </c>
      <c r="M2621" s="1787">
        <v>12.1275</v>
      </c>
      <c r="N2621" s="1754"/>
      <c r="O2621" s="1788"/>
      <c r="P2621" s="1721" t="s">
        <v>9611</v>
      </c>
    </row>
    <row r="2622" spans="1:16" ht="13.5" hidden="1" customHeight="1" outlineLevel="2" x14ac:dyDescent="0.2">
      <c r="A2622" s="459">
        <v>0</v>
      </c>
      <c r="B2622" s="459">
        <v>17</v>
      </c>
      <c r="C2622" s="459">
        <v>14</v>
      </c>
      <c r="D2622" s="460">
        <v>3</v>
      </c>
      <c r="E2622" s="460">
        <v>0</v>
      </c>
      <c r="G2622" s="1797"/>
      <c r="H2622" s="1777" t="s">
        <v>1238</v>
      </c>
      <c r="I2622" s="1742" t="s">
        <v>8403</v>
      </c>
      <c r="J2622" s="1779" t="s">
        <v>15</v>
      </c>
      <c r="K2622" s="1780"/>
      <c r="L2622" s="1781"/>
      <c r="M2622" s="1781"/>
      <c r="N2622" s="1746"/>
      <c r="O2622" s="1782"/>
      <c r="P2622" s="1720"/>
    </row>
    <row r="2623" spans="1:16" ht="12" hidden="1" customHeight="1" outlineLevel="3" x14ac:dyDescent="0.2">
      <c r="A2623" s="459">
        <v>0</v>
      </c>
      <c r="B2623" s="459">
        <v>17</v>
      </c>
      <c r="C2623" s="459">
        <v>14</v>
      </c>
      <c r="D2623" s="460">
        <v>3</v>
      </c>
      <c r="E2623" s="460">
        <v>1</v>
      </c>
      <c r="G2623" s="1798" t="s">
        <v>51</v>
      </c>
      <c r="H2623" s="1783" t="s">
        <v>1239</v>
      </c>
      <c r="I2623" s="1750" t="s">
        <v>8404</v>
      </c>
      <c r="J2623" s="1785" t="s">
        <v>3529</v>
      </c>
      <c r="K2623" s="1786" t="s">
        <v>642</v>
      </c>
      <c r="L2623" s="1787" t="e">
        <v>#REF!</v>
      </c>
      <c r="M2623" s="1787">
        <v>42</v>
      </c>
      <c r="N2623" s="1754"/>
      <c r="O2623" s="1788"/>
      <c r="P2623" s="1721" t="s">
        <v>9611</v>
      </c>
    </row>
    <row r="2624" spans="1:16" ht="13.5" hidden="1" customHeight="1" outlineLevel="3" x14ac:dyDescent="0.2">
      <c r="A2624" s="459">
        <v>0</v>
      </c>
      <c r="B2624" s="459">
        <v>17</v>
      </c>
      <c r="C2624" s="459">
        <v>14</v>
      </c>
      <c r="D2624" s="460">
        <v>3</v>
      </c>
      <c r="E2624" s="460">
        <v>2</v>
      </c>
      <c r="G2624" s="1798" t="s">
        <v>51</v>
      </c>
      <c r="H2624" s="1783" t="s">
        <v>1239</v>
      </c>
      <c r="I2624" s="1750" t="s">
        <v>8405</v>
      </c>
      <c r="J2624" s="1785" t="s">
        <v>784</v>
      </c>
      <c r="K2624" s="1786" t="s">
        <v>642</v>
      </c>
      <c r="L2624" s="1787" t="e">
        <v>#REF!</v>
      </c>
      <c r="M2624" s="1787">
        <v>40</v>
      </c>
      <c r="N2624" s="1754"/>
      <c r="O2624" s="1788"/>
      <c r="P2624" s="1721" t="s">
        <v>9611</v>
      </c>
    </row>
    <row r="2625" spans="1:16" ht="13.5" hidden="1" customHeight="1" outlineLevel="3" x14ac:dyDescent="0.2">
      <c r="A2625" s="459">
        <v>0</v>
      </c>
      <c r="B2625" s="459">
        <v>17</v>
      </c>
      <c r="C2625" s="459">
        <v>14</v>
      </c>
      <c r="D2625" s="460">
        <v>3</v>
      </c>
      <c r="E2625" s="460">
        <v>3</v>
      </c>
      <c r="G2625" s="1798" t="s">
        <v>51</v>
      </c>
      <c r="H2625" s="1783" t="s">
        <v>1239</v>
      </c>
      <c r="I2625" s="1750" t="s">
        <v>8406</v>
      </c>
      <c r="J2625" s="1785" t="s">
        <v>785</v>
      </c>
      <c r="K2625" s="1786" t="s">
        <v>642</v>
      </c>
      <c r="L2625" s="1787" t="e">
        <v>#REF!</v>
      </c>
      <c r="M2625" s="1787">
        <v>40</v>
      </c>
      <c r="N2625" s="1754"/>
      <c r="O2625" s="1788"/>
      <c r="P2625" s="1721" t="s">
        <v>9611</v>
      </c>
    </row>
    <row r="2626" spans="1:16" ht="13.5" customHeight="1" collapsed="1" x14ac:dyDescent="0.2">
      <c r="A2626" s="459">
        <v>0</v>
      </c>
      <c r="B2626" s="459">
        <v>18</v>
      </c>
      <c r="C2626" s="459">
        <v>0</v>
      </c>
      <c r="D2626" s="460">
        <v>3</v>
      </c>
      <c r="E2626" s="460">
        <v>3</v>
      </c>
      <c r="F2626" s="474"/>
      <c r="G2626" s="1794"/>
      <c r="H2626" s="1766" t="s">
        <v>1237</v>
      </c>
      <c r="I2626" s="1728" t="s">
        <v>8407</v>
      </c>
      <c r="J2626" s="1795" t="s">
        <v>52</v>
      </c>
      <c r="K2626" s="1768"/>
      <c r="L2626" s="1769"/>
      <c r="M2626" s="1769"/>
      <c r="N2626" s="1732"/>
      <c r="O2626" s="1770"/>
      <c r="P2626" s="1718"/>
    </row>
    <row r="2627" spans="1:16" ht="13.5" hidden="1" customHeight="1" outlineLevel="1" x14ac:dyDescent="0.2">
      <c r="A2627" s="459">
        <v>0</v>
      </c>
      <c r="B2627" s="459">
        <v>18</v>
      </c>
      <c r="C2627" s="459">
        <v>1</v>
      </c>
      <c r="D2627" s="460">
        <v>0</v>
      </c>
      <c r="E2627" s="460">
        <v>3</v>
      </c>
      <c r="G2627" s="1796"/>
      <c r="H2627" s="1771" t="s">
        <v>39</v>
      </c>
      <c r="I2627" s="1735" t="s">
        <v>8408</v>
      </c>
      <c r="J2627" s="1773" t="s">
        <v>5508</v>
      </c>
      <c r="K2627" s="1774"/>
      <c r="L2627" s="1775"/>
      <c r="M2627" s="1775"/>
      <c r="N2627" s="1739"/>
      <c r="O2627" s="1776"/>
      <c r="P2627" s="1719"/>
    </row>
    <row r="2628" spans="1:16" ht="13.5" hidden="1" customHeight="1" outlineLevel="2" x14ac:dyDescent="0.2">
      <c r="A2628" s="459">
        <v>0</v>
      </c>
      <c r="B2628" s="459">
        <v>18</v>
      </c>
      <c r="C2628" s="459">
        <v>1</v>
      </c>
      <c r="D2628" s="460">
        <v>1</v>
      </c>
      <c r="E2628" s="460">
        <v>0</v>
      </c>
      <c r="G2628" s="1797"/>
      <c r="H2628" s="1777" t="s">
        <v>1238</v>
      </c>
      <c r="I2628" s="1742" t="s">
        <v>8409</v>
      </c>
      <c r="J2628" s="1779" t="s">
        <v>28</v>
      </c>
      <c r="K2628" s="1780"/>
      <c r="L2628" s="1781"/>
      <c r="M2628" s="1781"/>
      <c r="N2628" s="1746">
        <v>10971.603999999999</v>
      </c>
      <c r="O2628" s="1782">
        <v>0.65503403947659899</v>
      </c>
      <c r="P2628" s="1720"/>
    </row>
    <row r="2629" spans="1:16" ht="13.5" hidden="1" customHeight="1" outlineLevel="3" x14ac:dyDescent="0.2">
      <c r="A2629" s="459">
        <v>0</v>
      </c>
      <c r="B2629" s="459">
        <v>18</v>
      </c>
      <c r="C2629" s="459">
        <v>1</v>
      </c>
      <c r="D2629" s="460">
        <v>1</v>
      </c>
      <c r="E2629" s="460">
        <v>1</v>
      </c>
      <c r="G2629" s="1798" t="s">
        <v>52</v>
      </c>
      <c r="H2629" s="1783" t="s">
        <v>1239</v>
      </c>
      <c r="I2629" s="1750" t="s">
        <v>8410</v>
      </c>
      <c r="J2629" s="1785" t="s">
        <v>791</v>
      </c>
      <c r="K2629" s="1786" t="s">
        <v>788</v>
      </c>
      <c r="L2629" s="1787">
        <v>472.09999999999991</v>
      </c>
      <c r="M2629" s="1787">
        <v>23.240000000000002</v>
      </c>
      <c r="N2629" s="1754">
        <v>10971.603999999999</v>
      </c>
      <c r="O2629" s="1788" t="s">
        <v>3252</v>
      </c>
      <c r="P2629" s="1721" t="s">
        <v>9611</v>
      </c>
    </row>
    <row r="2630" spans="1:16" ht="13.5" hidden="1" customHeight="1" outlineLevel="2" x14ac:dyDescent="0.2">
      <c r="A2630" s="459">
        <v>0</v>
      </c>
      <c r="B2630" s="459">
        <v>18</v>
      </c>
      <c r="C2630" s="459">
        <v>1</v>
      </c>
      <c r="D2630" s="460">
        <v>2</v>
      </c>
      <c r="E2630" s="460">
        <v>0</v>
      </c>
      <c r="G2630" s="1797"/>
      <c r="H2630" s="1777" t="s">
        <v>1238</v>
      </c>
      <c r="I2630" s="1742" t="s">
        <v>8411</v>
      </c>
      <c r="J2630" s="1779" t="s">
        <v>29</v>
      </c>
      <c r="K2630" s="1780"/>
      <c r="L2630" s="1781"/>
      <c r="M2630" s="1781"/>
      <c r="N2630" s="1746">
        <v>1066855.46829102</v>
      </c>
      <c r="O2630" s="1782"/>
      <c r="P2630" s="1720"/>
    </row>
    <row r="2631" spans="1:16" ht="13.5" hidden="1" customHeight="1" outlineLevel="3" x14ac:dyDescent="0.2">
      <c r="A2631" s="459">
        <v>0</v>
      </c>
      <c r="B2631" s="459">
        <v>18</v>
      </c>
      <c r="C2631" s="459">
        <v>1</v>
      </c>
      <c r="D2631" s="460">
        <v>2</v>
      </c>
      <c r="E2631" s="460">
        <v>1</v>
      </c>
      <c r="G2631" s="1798" t="s">
        <v>52</v>
      </c>
      <c r="H2631" s="1783" t="s">
        <v>1239</v>
      </c>
      <c r="I2631" s="1750" t="s">
        <v>8412</v>
      </c>
      <c r="J2631" s="1785" t="s">
        <v>3247</v>
      </c>
      <c r="K2631" s="1786" t="s">
        <v>642</v>
      </c>
      <c r="L2631" s="1787">
        <v>33.400000000000006</v>
      </c>
      <c r="M2631" s="1787">
        <v>1906.3139681515586</v>
      </c>
      <c r="N2631" s="1754">
        <v>63670.8865362621</v>
      </c>
      <c r="O2631" s="1788" t="s">
        <v>3252</v>
      </c>
      <c r="P2631" s="1721" t="s">
        <v>9611</v>
      </c>
    </row>
    <row r="2632" spans="1:16" ht="13.5" hidden="1" customHeight="1" outlineLevel="3" x14ac:dyDescent="0.2">
      <c r="A2632" s="459">
        <v>0</v>
      </c>
      <c r="B2632" s="459">
        <v>18</v>
      </c>
      <c r="C2632" s="459">
        <v>1</v>
      </c>
      <c r="D2632" s="460">
        <v>2</v>
      </c>
      <c r="E2632" s="460">
        <v>2</v>
      </c>
      <c r="G2632" s="1798" t="s">
        <v>52</v>
      </c>
      <c r="H2632" s="1783" t="s">
        <v>1239</v>
      </c>
      <c r="I2632" s="1750" t="s">
        <v>8413</v>
      </c>
      <c r="J2632" s="1785" t="s">
        <v>3248</v>
      </c>
      <c r="K2632" s="1786" t="s">
        <v>642</v>
      </c>
      <c r="L2632" s="1787">
        <v>4.0000000000000009</v>
      </c>
      <c r="M2632" s="1787">
        <v>2650.4955587130289</v>
      </c>
      <c r="N2632" s="1754">
        <v>10601.982234852099</v>
      </c>
      <c r="O2632" s="1788" t="s">
        <v>3252</v>
      </c>
      <c r="P2632" s="1721" t="s">
        <v>9611</v>
      </c>
    </row>
    <row r="2633" spans="1:16" ht="13.5" hidden="1" customHeight="1" outlineLevel="3" x14ac:dyDescent="0.2">
      <c r="A2633" s="459">
        <v>0</v>
      </c>
      <c r="B2633" s="459">
        <v>18</v>
      </c>
      <c r="C2633" s="459">
        <v>1</v>
      </c>
      <c r="D2633" s="460">
        <v>2</v>
      </c>
      <c r="E2633" s="460">
        <v>3</v>
      </c>
      <c r="G2633" s="1798" t="s">
        <v>52</v>
      </c>
      <c r="H2633" s="1783" t="s">
        <v>1239</v>
      </c>
      <c r="I2633" s="1750" t="s">
        <v>8414</v>
      </c>
      <c r="J2633" s="1785" t="s">
        <v>3249</v>
      </c>
      <c r="K2633" s="1786" t="s">
        <v>642</v>
      </c>
      <c r="L2633" s="1787">
        <v>107.01499999999997</v>
      </c>
      <c r="M2633" s="1787">
        <v>2873.7896511695099</v>
      </c>
      <c r="N2633" s="1754">
        <v>307538.59951990499</v>
      </c>
      <c r="O2633" s="1788" t="s">
        <v>3252</v>
      </c>
      <c r="P2633" s="1721" t="s">
        <v>9611</v>
      </c>
    </row>
    <row r="2634" spans="1:16" ht="13.5" hidden="1" customHeight="1" outlineLevel="3" x14ac:dyDescent="0.2">
      <c r="A2634" s="459">
        <v>0</v>
      </c>
      <c r="B2634" s="459">
        <v>18</v>
      </c>
      <c r="C2634" s="459">
        <v>1</v>
      </c>
      <c r="D2634" s="460">
        <v>2</v>
      </c>
      <c r="E2634" s="460">
        <v>4</v>
      </c>
      <c r="G2634" s="1798" t="s">
        <v>52</v>
      </c>
      <c r="H2634" s="1783" t="s">
        <v>1239</v>
      </c>
      <c r="I2634" s="1750" t="s">
        <v>8415</v>
      </c>
      <c r="J2634" s="1785" t="s">
        <v>3250</v>
      </c>
      <c r="K2634" s="1786" t="s">
        <v>642</v>
      </c>
      <c r="L2634" s="1787">
        <v>134.535</v>
      </c>
      <c r="M2634" s="1787">
        <v>3623.4139814918053</v>
      </c>
      <c r="N2634" s="1754">
        <v>487476</v>
      </c>
      <c r="O2634" s="1788" t="s">
        <v>3252</v>
      </c>
      <c r="P2634" s="1721" t="s">
        <v>9611</v>
      </c>
    </row>
    <row r="2635" spans="1:16" ht="13.5" hidden="1" customHeight="1" outlineLevel="3" x14ac:dyDescent="0.2">
      <c r="A2635" s="459">
        <v>0</v>
      </c>
      <c r="B2635" s="459">
        <v>18</v>
      </c>
      <c r="C2635" s="459">
        <v>1</v>
      </c>
      <c r="D2635" s="460">
        <v>2</v>
      </c>
      <c r="E2635" s="460">
        <v>5</v>
      </c>
      <c r="G2635" s="1798" t="s">
        <v>52</v>
      </c>
      <c r="H2635" s="1783" t="s">
        <v>1239</v>
      </c>
      <c r="I2635" s="1750" t="s">
        <v>8416</v>
      </c>
      <c r="J2635" s="1785" t="s">
        <v>3253</v>
      </c>
      <c r="K2635" s="1786" t="s">
        <v>534</v>
      </c>
      <c r="L2635" s="1787">
        <v>1</v>
      </c>
      <c r="M2635" s="1787">
        <v>197568</v>
      </c>
      <c r="N2635" s="1754">
        <v>197568</v>
      </c>
      <c r="O2635" s="1788" t="s">
        <v>3251</v>
      </c>
      <c r="P2635" s="1721" t="s">
        <v>9611</v>
      </c>
    </row>
    <row r="2636" spans="1:16" ht="12.75" hidden="1" customHeight="1" outlineLevel="2" x14ac:dyDescent="0.2">
      <c r="A2636" s="459">
        <v>0</v>
      </c>
      <c r="B2636" s="459">
        <v>18</v>
      </c>
      <c r="C2636" s="459">
        <v>1</v>
      </c>
      <c r="D2636" s="460">
        <v>3</v>
      </c>
      <c r="E2636" s="460">
        <v>0</v>
      </c>
      <c r="G2636" s="1797"/>
      <c r="H2636" s="1777" t="s">
        <v>1238</v>
      </c>
      <c r="I2636" s="1742" t="s">
        <v>8417</v>
      </c>
      <c r="J2636" s="1779" t="s">
        <v>2819</v>
      </c>
      <c r="K2636" s="1780"/>
      <c r="L2636" s="1781"/>
      <c r="M2636" s="1781"/>
      <c r="N2636" s="1746"/>
      <c r="O2636" s="1782"/>
      <c r="P2636" s="1720"/>
    </row>
    <row r="2637" spans="1:16" ht="12.75" hidden="1" customHeight="1" outlineLevel="3" x14ac:dyDescent="0.2">
      <c r="A2637" s="459">
        <v>0</v>
      </c>
      <c r="B2637" s="459">
        <v>18</v>
      </c>
      <c r="C2637" s="459">
        <v>1</v>
      </c>
      <c r="D2637" s="460">
        <v>3</v>
      </c>
      <c r="E2637" s="460">
        <v>1</v>
      </c>
      <c r="G2637" s="1798" t="s">
        <v>52</v>
      </c>
      <c r="H2637" s="1783" t="s">
        <v>1239</v>
      </c>
      <c r="I2637" s="1750" t="s">
        <v>8418</v>
      </c>
      <c r="J2637" s="1785" t="s">
        <v>797</v>
      </c>
      <c r="K2637" s="1786" t="s">
        <v>642</v>
      </c>
      <c r="L2637" s="1787" t="e">
        <v>#REF!</v>
      </c>
      <c r="M2637" s="1787">
        <v>1403.9850000000001</v>
      </c>
      <c r="N2637" s="1754"/>
      <c r="O2637" s="1788" t="s">
        <v>3251</v>
      </c>
      <c r="P2637" s="1721" t="s">
        <v>9611</v>
      </c>
    </row>
    <row r="2638" spans="1:16" ht="13.5" hidden="1" customHeight="1" outlineLevel="1" x14ac:dyDescent="0.2">
      <c r="A2638" s="459">
        <v>0</v>
      </c>
      <c r="B2638" s="459">
        <v>18</v>
      </c>
      <c r="C2638" s="459">
        <v>2</v>
      </c>
      <c r="D2638" s="460">
        <v>0</v>
      </c>
      <c r="E2638" s="460">
        <v>1</v>
      </c>
      <c r="G2638" s="1796"/>
      <c r="H2638" s="1771" t="s">
        <v>39</v>
      </c>
      <c r="I2638" s="1735" t="s">
        <v>8419</v>
      </c>
      <c r="J2638" s="1773" t="s">
        <v>5509</v>
      </c>
      <c r="K2638" s="1774"/>
      <c r="L2638" s="1775"/>
      <c r="M2638" s="1775"/>
      <c r="N2638" s="1739"/>
      <c r="O2638" s="1776"/>
      <c r="P2638" s="1719"/>
    </row>
    <row r="2639" spans="1:16" ht="13.5" hidden="1" customHeight="1" outlineLevel="2" x14ac:dyDescent="0.2">
      <c r="A2639" s="459">
        <v>0</v>
      </c>
      <c r="B2639" s="459">
        <v>18</v>
      </c>
      <c r="C2639" s="459">
        <v>2</v>
      </c>
      <c r="D2639" s="460">
        <v>1</v>
      </c>
      <c r="E2639" s="460">
        <v>0</v>
      </c>
      <c r="G2639" s="1797"/>
      <c r="H2639" s="1777" t="s">
        <v>1238</v>
      </c>
      <c r="I2639" s="1742" t="s">
        <v>8420</v>
      </c>
      <c r="J2639" s="1779" t="s">
        <v>28</v>
      </c>
      <c r="K2639" s="1780"/>
      <c r="L2639" s="1781"/>
      <c r="M2639" s="1781"/>
      <c r="N2639" s="1746">
        <v>478.74400000000003</v>
      </c>
      <c r="O2639" s="1782">
        <v>2.85822944571445E-2</v>
      </c>
      <c r="P2639" s="1720"/>
    </row>
    <row r="2640" spans="1:16" ht="13.5" hidden="1" customHeight="1" outlineLevel="3" x14ac:dyDescent="0.2">
      <c r="A2640" s="459">
        <v>0</v>
      </c>
      <c r="B2640" s="459">
        <v>18</v>
      </c>
      <c r="C2640" s="459">
        <v>2</v>
      </c>
      <c r="D2640" s="460">
        <v>1</v>
      </c>
      <c r="E2640" s="460">
        <v>1</v>
      </c>
      <c r="G2640" s="1798" t="s">
        <v>52</v>
      </c>
      <c r="H2640" s="1783" t="s">
        <v>1239</v>
      </c>
      <c r="I2640" s="1750" t="s">
        <v>8421</v>
      </c>
      <c r="J2640" s="1785" t="s">
        <v>791</v>
      </c>
      <c r="K2640" s="1786" t="s">
        <v>788</v>
      </c>
      <c r="L2640" s="1787">
        <v>20.6</v>
      </c>
      <c r="M2640" s="1787">
        <v>23.240000000000002</v>
      </c>
      <c r="N2640" s="1754">
        <v>478.74400000000003</v>
      </c>
      <c r="O2640" s="1788" t="s">
        <v>3252</v>
      </c>
      <c r="P2640" s="1721" t="s">
        <v>9611</v>
      </c>
    </row>
    <row r="2641" spans="1:16" ht="13.5" hidden="1" customHeight="1" outlineLevel="2" x14ac:dyDescent="0.2">
      <c r="A2641" s="459">
        <v>0</v>
      </c>
      <c r="B2641" s="459">
        <v>18</v>
      </c>
      <c r="C2641" s="459">
        <v>2</v>
      </c>
      <c r="D2641" s="460">
        <v>2</v>
      </c>
      <c r="E2641" s="460">
        <v>0</v>
      </c>
      <c r="G2641" s="1797"/>
      <c r="H2641" s="1777" t="s">
        <v>1238</v>
      </c>
      <c r="I2641" s="1742" t="s">
        <v>8422</v>
      </c>
      <c r="J2641" s="1779" t="s">
        <v>29</v>
      </c>
      <c r="K2641" s="1780"/>
      <c r="L2641" s="1781"/>
      <c r="M2641" s="1781"/>
      <c r="N2641" s="1746">
        <v>18223.1524392147</v>
      </c>
      <c r="O2641" s="1782"/>
      <c r="P2641" s="1720"/>
    </row>
    <row r="2642" spans="1:16" ht="13.5" hidden="1" customHeight="1" outlineLevel="3" x14ac:dyDescent="0.2">
      <c r="A2642" s="459">
        <v>0</v>
      </c>
      <c r="B2642" s="459">
        <v>18</v>
      </c>
      <c r="C2642" s="459">
        <v>2</v>
      </c>
      <c r="D2642" s="460">
        <v>2</v>
      </c>
      <c r="E2642" s="460">
        <v>1</v>
      </c>
      <c r="G2642" s="1798" t="s">
        <v>52</v>
      </c>
      <c r="H2642" s="1783" t="s">
        <v>1239</v>
      </c>
      <c r="I2642" s="1750" t="s">
        <v>8423</v>
      </c>
      <c r="J2642" s="1785" t="s">
        <v>3247</v>
      </c>
      <c r="K2642" s="1786" t="s">
        <v>642</v>
      </c>
      <c r="L2642" s="1787">
        <v>6</v>
      </c>
      <c r="M2642" s="1787">
        <v>1906.3139681515586</v>
      </c>
      <c r="N2642" s="1754">
        <v>11437.883808909401</v>
      </c>
      <c r="O2642" s="1788" t="s">
        <v>3252</v>
      </c>
      <c r="P2642" s="1721" t="s">
        <v>9611</v>
      </c>
    </row>
    <row r="2643" spans="1:16" ht="13.5" hidden="1" customHeight="1" outlineLevel="3" x14ac:dyDescent="0.2">
      <c r="A2643" s="459">
        <v>0</v>
      </c>
      <c r="B2643" s="459">
        <v>18</v>
      </c>
      <c r="C2643" s="459">
        <v>2</v>
      </c>
      <c r="D2643" s="460">
        <v>2</v>
      </c>
      <c r="E2643" s="460">
        <v>2</v>
      </c>
      <c r="G2643" s="1798" t="s">
        <v>52</v>
      </c>
      <c r="H2643" s="1783" t="s">
        <v>1239</v>
      </c>
      <c r="I2643" s="1750" t="s">
        <v>8424</v>
      </c>
      <c r="J2643" s="1785" t="s">
        <v>3248</v>
      </c>
      <c r="K2643" s="1786" t="s">
        <v>642</v>
      </c>
      <c r="L2643" s="1787">
        <v>2.5600000000000005</v>
      </c>
      <c r="M2643" s="1787">
        <v>2650.4955587130289</v>
      </c>
      <c r="N2643" s="1754">
        <v>6785.2686303053597</v>
      </c>
      <c r="O2643" s="1788" t="s">
        <v>3252</v>
      </c>
      <c r="P2643" s="1721" t="s">
        <v>9611</v>
      </c>
    </row>
    <row r="2644" spans="1:16" ht="12.75" hidden="1" customHeight="1" outlineLevel="2" x14ac:dyDescent="0.2">
      <c r="A2644" s="459">
        <v>0</v>
      </c>
      <c r="B2644" s="459">
        <v>18</v>
      </c>
      <c r="C2644" s="459">
        <v>2</v>
      </c>
      <c r="D2644" s="460">
        <v>3</v>
      </c>
      <c r="E2644" s="460">
        <v>0</v>
      </c>
      <c r="G2644" s="1797"/>
      <c r="H2644" s="1777" t="s">
        <v>1238</v>
      </c>
      <c r="I2644" s="1742" t="s">
        <v>8425</v>
      </c>
      <c r="J2644" s="1779" t="s">
        <v>2819</v>
      </c>
      <c r="K2644" s="1780"/>
      <c r="L2644" s="1781"/>
      <c r="M2644" s="1781"/>
      <c r="N2644" s="1746"/>
      <c r="O2644" s="1782"/>
      <c r="P2644" s="1720"/>
    </row>
    <row r="2645" spans="1:16" ht="12.75" hidden="1" customHeight="1" outlineLevel="3" x14ac:dyDescent="0.2">
      <c r="A2645" s="459">
        <v>0</v>
      </c>
      <c r="B2645" s="459">
        <v>18</v>
      </c>
      <c r="C2645" s="459">
        <v>2</v>
      </c>
      <c r="D2645" s="460">
        <v>3</v>
      </c>
      <c r="E2645" s="460">
        <v>1</v>
      </c>
      <c r="G2645" s="1798" t="s">
        <v>52</v>
      </c>
      <c r="H2645" s="1783" t="s">
        <v>1239</v>
      </c>
      <c r="I2645" s="1750" t="s">
        <v>8426</v>
      </c>
      <c r="J2645" s="1785" t="s">
        <v>797</v>
      </c>
      <c r="K2645" s="1786" t="s">
        <v>642</v>
      </c>
      <c r="L2645" s="1787" t="e">
        <v>#REF!</v>
      </c>
      <c r="M2645" s="1787">
        <v>1403.9850000000001</v>
      </c>
      <c r="N2645" s="1754"/>
      <c r="O2645" s="1788" t="s">
        <v>3251</v>
      </c>
      <c r="P2645" s="1721" t="s">
        <v>9611</v>
      </c>
    </row>
    <row r="2646" spans="1:16" ht="12.75" hidden="1" customHeight="1" outlineLevel="2" x14ac:dyDescent="0.2">
      <c r="A2646" s="459">
        <v>0</v>
      </c>
      <c r="B2646" s="459">
        <v>18</v>
      </c>
      <c r="C2646" s="459">
        <v>2</v>
      </c>
      <c r="D2646" s="460">
        <v>4</v>
      </c>
      <c r="E2646" s="460">
        <v>0</v>
      </c>
      <c r="G2646" s="1797"/>
      <c r="H2646" s="1777" t="s">
        <v>1238</v>
      </c>
      <c r="I2646" s="1742" t="s">
        <v>8427</v>
      </c>
      <c r="J2646" s="1779" t="s">
        <v>3259</v>
      </c>
      <c r="K2646" s="1780"/>
      <c r="L2646" s="1781"/>
      <c r="M2646" s="1781"/>
      <c r="N2646" s="1746"/>
      <c r="O2646" s="1782"/>
      <c r="P2646" s="1720"/>
    </row>
    <row r="2647" spans="1:16" ht="12.75" hidden="1" customHeight="1" outlineLevel="3" x14ac:dyDescent="0.2">
      <c r="A2647" s="459">
        <v>0</v>
      </c>
      <c r="B2647" s="459">
        <v>18</v>
      </c>
      <c r="C2647" s="459">
        <v>2</v>
      </c>
      <c r="D2647" s="460">
        <v>4</v>
      </c>
      <c r="E2647" s="460">
        <v>1</v>
      </c>
      <c r="G2647" s="1798" t="s">
        <v>52</v>
      </c>
      <c r="H2647" s="1783" t="s">
        <v>1239</v>
      </c>
      <c r="I2647" s="1750" t="s">
        <v>8428</v>
      </c>
      <c r="J2647" s="1785" t="s">
        <v>794</v>
      </c>
      <c r="K2647" s="1786" t="s">
        <v>642</v>
      </c>
      <c r="L2647" s="1787" t="e">
        <v>#REF!</v>
      </c>
      <c r="M2647" s="1787">
        <v>2122.5413895570964</v>
      </c>
      <c r="N2647" s="1754"/>
      <c r="O2647" s="1788" t="s">
        <v>3251</v>
      </c>
      <c r="P2647" s="1721" t="s">
        <v>9611</v>
      </c>
    </row>
    <row r="2648" spans="1:16" ht="13.5" hidden="1" customHeight="1" outlineLevel="1" x14ac:dyDescent="0.2">
      <c r="A2648" s="459">
        <v>0</v>
      </c>
      <c r="B2648" s="459">
        <v>18</v>
      </c>
      <c r="C2648" s="459">
        <v>3</v>
      </c>
      <c r="D2648" s="460">
        <v>0</v>
      </c>
      <c r="E2648" s="460">
        <v>1</v>
      </c>
      <c r="G2648" s="1796"/>
      <c r="H2648" s="1771" t="s">
        <v>39</v>
      </c>
      <c r="I2648" s="1735" t="s">
        <v>8429</v>
      </c>
      <c r="J2648" s="1773" t="s">
        <v>5511</v>
      </c>
      <c r="K2648" s="1774"/>
      <c r="L2648" s="1775"/>
      <c r="M2648" s="1775"/>
      <c r="N2648" s="1739"/>
      <c r="O2648" s="1776"/>
      <c r="P2648" s="1719"/>
    </row>
    <row r="2649" spans="1:16" ht="13.5" hidden="1" customHeight="1" outlineLevel="2" x14ac:dyDescent="0.2">
      <c r="A2649" s="459">
        <v>0</v>
      </c>
      <c r="B2649" s="459">
        <v>18</v>
      </c>
      <c r="C2649" s="459">
        <v>3</v>
      </c>
      <c r="D2649" s="460">
        <v>1</v>
      </c>
      <c r="E2649" s="460">
        <v>0</v>
      </c>
      <c r="G2649" s="1797"/>
      <c r="H2649" s="1777" t="s">
        <v>1238</v>
      </c>
      <c r="I2649" s="1742" t="s">
        <v>8430</v>
      </c>
      <c r="J2649" s="1779" t="s">
        <v>28</v>
      </c>
      <c r="K2649" s="1780"/>
      <c r="L2649" s="1781"/>
      <c r="M2649" s="1781"/>
      <c r="N2649" s="1746">
        <v>223.10400000000001</v>
      </c>
      <c r="O2649" s="1782">
        <v>1.33199042130382E-2</v>
      </c>
      <c r="P2649" s="1720"/>
    </row>
    <row r="2650" spans="1:16" ht="13.5" hidden="1" customHeight="1" outlineLevel="3" x14ac:dyDescent="0.2">
      <c r="A2650" s="459">
        <v>0</v>
      </c>
      <c r="B2650" s="459">
        <v>18</v>
      </c>
      <c r="C2650" s="459">
        <v>3</v>
      </c>
      <c r="D2650" s="460">
        <v>1</v>
      </c>
      <c r="E2650" s="460">
        <v>1</v>
      </c>
      <c r="G2650" s="1798" t="s">
        <v>52</v>
      </c>
      <c r="H2650" s="1783" t="s">
        <v>1239</v>
      </c>
      <c r="I2650" s="1750" t="s">
        <v>8431</v>
      </c>
      <c r="J2650" s="1785" t="s">
        <v>791</v>
      </c>
      <c r="K2650" s="1786" t="s">
        <v>788</v>
      </c>
      <c r="L2650" s="1787">
        <v>9.6000000000000014</v>
      </c>
      <c r="M2650" s="1787">
        <v>23.240000000000002</v>
      </c>
      <c r="N2650" s="1754">
        <v>223.10400000000001</v>
      </c>
      <c r="O2650" s="1788" t="s">
        <v>3252</v>
      </c>
      <c r="P2650" s="1721" t="s">
        <v>9611</v>
      </c>
    </row>
    <row r="2651" spans="1:16" ht="13.5" hidden="1" customHeight="1" outlineLevel="2" x14ac:dyDescent="0.2">
      <c r="A2651" s="459">
        <v>0</v>
      </c>
      <c r="B2651" s="459">
        <v>18</v>
      </c>
      <c r="C2651" s="459">
        <v>3</v>
      </c>
      <c r="D2651" s="460">
        <v>2</v>
      </c>
      <c r="E2651" s="460">
        <v>0</v>
      </c>
      <c r="G2651" s="1797"/>
      <c r="H2651" s="1777" t="s">
        <v>1238</v>
      </c>
      <c r="I2651" s="1742" t="s">
        <v>8432</v>
      </c>
      <c r="J2651" s="1779" t="s">
        <v>29</v>
      </c>
      <c r="K2651" s="1780"/>
      <c r="L2651" s="1781"/>
      <c r="M2651" s="1781"/>
      <c r="N2651" s="1746">
        <v>6785.2686303053597</v>
      </c>
      <c r="O2651" s="1782"/>
      <c r="P2651" s="1720"/>
    </row>
    <row r="2652" spans="1:16" ht="13.5" hidden="1" customHeight="1" outlineLevel="3" x14ac:dyDescent="0.2">
      <c r="A2652" s="459">
        <v>0</v>
      </c>
      <c r="B2652" s="459">
        <v>18</v>
      </c>
      <c r="C2652" s="459">
        <v>3</v>
      </c>
      <c r="D2652" s="460">
        <v>2</v>
      </c>
      <c r="E2652" s="460">
        <v>1</v>
      </c>
      <c r="G2652" s="1798" t="s">
        <v>52</v>
      </c>
      <c r="H2652" s="1783" t="s">
        <v>1239</v>
      </c>
      <c r="I2652" s="1750" t="s">
        <v>8433</v>
      </c>
      <c r="J2652" s="1785" t="s">
        <v>3248</v>
      </c>
      <c r="K2652" s="1786" t="s">
        <v>642</v>
      </c>
      <c r="L2652" s="1787">
        <v>2.5600000000000005</v>
      </c>
      <c r="M2652" s="1787">
        <v>2650.4955587130289</v>
      </c>
      <c r="N2652" s="1754">
        <v>6785.2686303053597</v>
      </c>
      <c r="O2652" s="1788" t="s">
        <v>3252</v>
      </c>
      <c r="P2652" s="1721" t="s">
        <v>9611</v>
      </c>
    </row>
    <row r="2653" spans="1:16" ht="12.75" hidden="1" customHeight="1" outlineLevel="2" x14ac:dyDescent="0.2">
      <c r="A2653" s="459">
        <v>0</v>
      </c>
      <c r="B2653" s="459">
        <v>18</v>
      </c>
      <c r="C2653" s="459">
        <v>3</v>
      </c>
      <c r="D2653" s="460">
        <v>3</v>
      </c>
      <c r="E2653" s="460">
        <v>0</v>
      </c>
      <c r="G2653" s="1797"/>
      <c r="H2653" s="1777" t="s">
        <v>1238</v>
      </c>
      <c r="I2653" s="1742" t="s">
        <v>8434</v>
      </c>
      <c r="J2653" s="1779" t="s">
        <v>3259</v>
      </c>
      <c r="K2653" s="1780"/>
      <c r="L2653" s="1781"/>
      <c r="M2653" s="1781"/>
      <c r="N2653" s="1746"/>
      <c r="O2653" s="1782"/>
      <c r="P2653" s="1720"/>
    </row>
    <row r="2654" spans="1:16" ht="12.75" hidden="1" customHeight="1" outlineLevel="3" x14ac:dyDescent="0.2">
      <c r="A2654" s="459">
        <v>0</v>
      </c>
      <c r="B2654" s="459">
        <v>18</v>
      </c>
      <c r="C2654" s="459">
        <v>3</v>
      </c>
      <c r="D2654" s="460">
        <v>3</v>
      </c>
      <c r="E2654" s="460">
        <v>1</v>
      </c>
      <c r="G2654" s="1798" t="s">
        <v>52</v>
      </c>
      <c r="H2654" s="1783" t="s">
        <v>1239</v>
      </c>
      <c r="I2654" s="1750" t="s">
        <v>8435</v>
      </c>
      <c r="J2654" s="1785" t="s">
        <v>794</v>
      </c>
      <c r="K2654" s="1786" t="s">
        <v>642</v>
      </c>
      <c r="L2654" s="1787" t="e">
        <v>#REF!</v>
      </c>
      <c r="M2654" s="1787">
        <v>2122.5413895570964</v>
      </c>
      <c r="N2654" s="1754"/>
      <c r="O2654" s="1788" t="s">
        <v>3251</v>
      </c>
      <c r="P2654" s="1721" t="s">
        <v>9611</v>
      </c>
    </row>
    <row r="2655" spans="1:16" ht="12.75" hidden="1" customHeight="1" outlineLevel="2" x14ac:dyDescent="0.2">
      <c r="A2655" s="459">
        <v>0</v>
      </c>
      <c r="B2655" s="459">
        <v>18</v>
      </c>
      <c r="C2655" s="459">
        <v>3</v>
      </c>
      <c r="D2655" s="460">
        <v>4</v>
      </c>
      <c r="E2655" s="460">
        <v>0</v>
      </c>
      <c r="G2655" s="1797"/>
      <c r="H2655" s="1777" t="s">
        <v>1238</v>
      </c>
      <c r="I2655" s="1742" t="s">
        <v>8436</v>
      </c>
      <c r="J2655" s="1779" t="s">
        <v>799</v>
      </c>
      <c r="K2655" s="1780"/>
      <c r="L2655" s="1781"/>
      <c r="M2655" s="1781"/>
      <c r="N2655" s="1746"/>
      <c r="O2655" s="1782"/>
      <c r="P2655" s="1720"/>
    </row>
    <row r="2656" spans="1:16" ht="13.5" hidden="1" customHeight="1" outlineLevel="3" x14ac:dyDescent="0.2">
      <c r="A2656" s="459">
        <v>0</v>
      </c>
      <c r="B2656" s="459">
        <v>18</v>
      </c>
      <c r="C2656" s="459">
        <v>3</v>
      </c>
      <c r="D2656" s="460">
        <v>4</v>
      </c>
      <c r="E2656" s="460">
        <v>1</v>
      </c>
      <c r="G2656" s="1798" t="s">
        <v>52</v>
      </c>
      <c r="H2656" s="1783" t="s">
        <v>1239</v>
      </c>
      <c r="I2656" s="1750" t="s">
        <v>8437</v>
      </c>
      <c r="J2656" s="1785" t="s">
        <v>799</v>
      </c>
      <c r="K2656" s="1786" t="s">
        <v>642</v>
      </c>
      <c r="L2656" s="1787" t="e">
        <v>#REF!</v>
      </c>
      <c r="M2656" s="1787">
        <v>1533.99</v>
      </c>
      <c r="N2656" s="1754"/>
      <c r="O2656" s="1788" t="s">
        <v>3251</v>
      </c>
      <c r="P2656" s="1721" t="s">
        <v>9611</v>
      </c>
    </row>
    <row r="2657" spans="1:16" ht="13.5" hidden="1" customHeight="1" outlineLevel="1" x14ac:dyDescent="0.2">
      <c r="A2657" s="459">
        <v>0</v>
      </c>
      <c r="B2657" s="459">
        <v>18</v>
      </c>
      <c r="C2657" s="459">
        <v>4</v>
      </c>
      <c r="D2657" s="460">
        <v>0</v>
      </c>
      <c r="E2657" s="460">
        <v>1</v>
      </c>
      <c r="G2657" s="1796"/>
      <c r="H2657" s="1771" t="s">
        <v>39</v>
      </c>
      <c r="I2657" s="1735" t="s">
        <v>8438</v>
      </c>
      <c r="J2657" s="1773" t="s">
        <v>5510</v>
      </c>
      <c r="K2657" s="1774"/>
      <c r="L2657" s="1775"/>
      <c r="M2657" s="1775"/>
      <c r="N2657" s="1739"/>
      <c r="O2657" s="1776"/>
      <c r="P2657" s="1719"/>
    </row>
    <row r="2658" spans="1:16" ht="13.5" hidden="1" customHeight="1" outlineLevel="2" x14ac:dyDescent="0.2">
      <c r="A2658" s="459">
        <v>0</v>
      </c>
      <c r="B2658" s="459">
        <v>18</v>
      </c>
      <c r="C2658" s="459">
        <v>4</v>
      </c>
      <c r="D2658" s="460">
        <v>1</v>
      </c>
      <c r="E2658" s="460">
        <v>0</v>
      </c>
      <c r="G2658" s="1797"/>
      <c r="H2658" s="1777" t="s">
        <v>1238</v>
      </c>
      <c r="I2658" s="1742" t="s">
        <v>8439</v>
      </c>
      <c r="J2658" s="1779" t="s">
        <v>28</v>
      </c>
      <c r="K2658" s="1780"/>
      <c r="L2658" s="1781"/>
      <c r="M2658" s="1781"/>
      <c r="N2658" s="1746">
        <v>223.10400000000001</v>
      </c>
      <c r="O2658" s="1782">
        <v>1.33199042130382E-2</v>
      </c>
      <c r="P2658" s="1720"/>
    </row>
    <row r="2659" spans="1:16" ht="13.5" hidden="1" customHeight="1" outlineLevel="3" x14ac:dyDescent="0.2">
      <c r="A2659" s="459">
        <v>0</v>
      </c>
      <c r="B2659" s="459">
        <v>18</v>
      </c>
      <c r="C2659" s="459">
        <v>4</v>
      </c>
      <c r="D2659" s="460">
        <v>1</v>
      </c>
      <c r="E2659" s="460">
        <v>1</v>
      </c>
      <c r="G2659" s="1798" t="s">
        <v>52</v>
      </c>
      <c r="H2659" s="1783" t="s">
        <v>1239</v>
      </c>
      <c r="I2659" s="1750" t="s">
        <v>8440</v>
      </c>
      <c r="J2659" s="1785" t="s">
        <v>791</v>
      </c>
      <c r="K2659" s="1786" t="s">
        <v>788</v>
      </c>
      <c r="L2659" s="1787">
        <v>9.6000000000000014</v>
      </c>
      <c r="M2659" s="1787">
        <v>23.240000000000002</v>
      </c>
      <c r="N2659" s="1754">
        <v>223.10400000000001</v>
      </c>
      <c r="O2659" s="1788" t="s">
        <v>3252</v>
      </c>
      <c r="P2659" s="1721" t="s">
        <v>9611</v>
      </c>
    </row>
    <row r="2660" spans="1:16" ht="13.5" hidden="1" customHeight="1" outlineLevel="2" x14ac:dyDescent="0.2">
      <c r="A2660" s="459">
        <v>0</v>
      </c>
      <c r="B2660" s="459">
        <v>18</v>
      </c>
      <c r="C2660" s="459">
        <v>4</v>
      </c>
      <c r="D2660" s="460">
        <v>2</v>
      </c>
      <c r="E2660" s="460">
        <v>0</v>
      </c>
      <c r="G2660" s="1797"/>
      <c r="H2660" s="1777" t="s">
        <v>1238</v>
      </c>
      <c r="I2660" s="1742" t="s">
        <v>8441</v>
      </c>
      <c r="J2660" s="1779" t="s">
        <v>29</v>
      </c>
      <c r="K2660" s="1780"/>
      <c r="L2660" s="1781"/>
      <c r="M2660" s="1781"/>
      <c r="N2660" s="1746">
        <v>6785.2686303053597</v>
      </c>
      <c r="O2660" s="1782"/>
      <c r="P2660" s="1720"/>
    </row>
    <row r="2661" spans="1:16" ht="13.5" hidden="1" customHeight="1" outlineLevel="3" x14ac:dyDescent="0.2">
      <c r="A2661" s="459">
        <v>0</v>
      </c>
      <c r="B2661" s="459">
        <v>18</v>
      </c>
      <c r="C2661" s="459">
        <v>4</v>
      </c>
      <c r="D2661" s="460">
        <v>2</v>
      </c>
      <c r="E2661" s="460">
        <v>1</v>
      </c>
      <c r="G2661" s="1798" t="s">
        <v>52</v>
      </c>
      <c r="H2661" s="1783" t="s">
        <v>1239</v>
      </c>
      <c r="I2661" s="1750" t="s">
        <v>8442</v>
      </c>
      <c r="J2661" s="1785" t="s">
        <v>3248</v>
      </c>
      <c r="K2661" s="1786" t="s">
        <v>642</v>
      </c>
      <c r="L2661" s="1787">
        <v>2.5600000000000005</v>
      </c>
      <c r="M2661" s="1787">
        <v>2650.4955587130289</v>
      </c>
      <c r="N2661" s="1754">
        <v>6785.2686303053597</v>
      </c>
      <c r="O2661" s="1788" t="s">
        <v>3252</v>
      </c>
      <c r="P2661" s="1721" t="s">
        <v>9611</v>
      </c>
    </row>
    <row r="2662" spans="1:16" ht="12.75" hidden="1" customHeight="1" outlineLevel="2" x14ac:dyDescent="0.2">
      <c r="A2662" s="459">
        <v>0</v>
      </c>
      <c r="B2662" s="459">
        <v>18</v>
      </c>
      <c r="C2662" s="459">
        <v>4</v>
      </c>
      <c r="D2662" s="460">
        <v>3</v>
      </c>
      <c r="E2662" s="460">
        <v>0</v>
      </c>
      <c r="G2662" s="1797"/>
      <c r="H2662" s="1777" t="s">
        <v>1238</v>
      </c>
      <c r="I2662" s="1742" t="s">
        <v>8443</v>
      </c>
      <c r="J2662" s="1779" t="s">
        <v>799</v>
      </c>
      <c r="K2662" s="1780"/>
      <c r="L2662" s="1781"/>
      <c r="M2662" s="1781"/>
      <c r="N2662" s="1746"/>
      <c r="O2662" s="1782"/>
      <c r="P2662" s="1720"/>
    </row>
    <row r="2663" spans="1:16" ht="13.5" hidden="1" customHeight="1" outlineLevel="3" x14ac:dyDescent="0.2">
      <c r="A2663" s="459">
        <v>0</v>
      </c>
      <c r="B2663" s="459">
        <v>18</v>
      </c>
      <c r="C2663" s="459">
        <v>4</v>
      </c>
      <c r="D2663" s="460">
        <v>3</v>
      </c>
      <c r="E2663" s="460">
        <v>1</v>
      </c>
      <c r="G2663" s="1798" t="s">
        <v>52</v>
      </c>
      <c r="H2663" s="1783" t="s">
        <v>1239</v>
      </c>
      <c r="I2663" s="1750" t="s">
        <v>8444</v>
      </c>
      <c r="J2663" s="1785" t="s">
        <v>799</v>
      </c>
      <c r="K2663" s="1786" t="s">
        <v>642</v>
      </c>
      <c r="L2663" s="1787" t="e">
        <v>#REF!</v>
      </c>
      <c r="M2663" s="1787">
        <v>1533.99</v>
      </c>
      <c r="N2663" s="1754"/>
      <c r="O2663" s="1788" t="s">
        <v>3251</v>
      </c>
      <c r="P2663" s="1721" t="s">
        <v>9611</v>
      </c>
    </row>
    <row r="2664" spans="1:16" ht="13.5" hidden="1" customHeight="1" outlineLevel="1" x14ac:dyDescent="0.2">
      <c r="A2664" s="459">
        <v>0</v>
      </c>
      <c r="B2664" s="459">
        <v>18</v>
      </c>
      <c r="C2664" s="459">
        <v>5</v>
      </c>
      <c r="D2664" s="460">
        <v>0</v>
      </c>
      <c r="E2664" s="460">
        <v>1</v>
      </c>
      <c r="G2664" s="1796"/>
      <c r="H2664" s="1771" t="s">
        <v>39</v>
      </c>
      <c r="I2664" s="1735" t="s">
        <v>8445</v>
      </c>
      <c r="J2664" s="1773" t="s">
        <v>5512</v>
      </c>
      <c r="K2664" s="1774"/>
      <c r="L2664" s="1775"/>
      <c r="M2664" s="1775"/>
      <c r="N2664" s="1739"/>
      <c r="O2664" s="1776"/>
      <c r="P2664" s="1719"/>
    </row>
    <row r="2665" spans="1:16" ht="13.5" hidden="1" customHeight="1" outlineLevel="2" x14ac:dyDescent="0.2">
      <c r="A2665" s="459">
        <v>0</v>
      </c>
      <c r="B2665" s="459">
        <v>18</v>
      </c>
      <c r="C2665" s="459">
        <v>5</v>
      </c>
      <c r="D2665" s="460">
        <v>1</v>
      </c>
      <c r="E2665" s="460">
        <v>0</v>
      </c>
      <c r="G2665" s="1797"/>
      <c r="H2665" s="1777" t="s">
        <v>1238</v>
      </c>
      <c r="I2665" s="1742" t="s">
        <v>8446</v>
      </c>
      <c r="J2665" s="1779" t="s">
        <v>28</v>
      </c>
      <c r="K2665" s="1780"/>
      <c r="L2665" s="1781"/>
      <c r="M2665" s="1781"/>
      <c r="N2665" s="1746">
        <v>223.10400000000001</v>
      </c>
      <c r="O2665" s="1782">
        <v>1.33199042130382E-2</v>
      </c>
      <c r="P2665" s="1720"/>
    </row>
    <row r="2666" spans="1:16" ht="13.5" hidden="1" customHeight="1" outlineLevel="3" x14ac:dyDescent="0.2">
      <c r="A2666" s="459">
        <v>0</v>
      </c>
      <c r="B2666" s="459">
        <v>18</v>
      </c>
      <c r="C2666" s="459">
        <v>5</v>
      </c>
      <c r="D2666" s="460">
        <v>1</v>
      </c>
      <c r="E2666" s="460">
        <v>1</v>
      </c>
      <c r="G2666" s="1798" t="s">
        <v>52</v>
      </c>
      <c r="H2666" s="1783" t="s">
        <v>1239</v>
      </c>
      <c r="I2666" s="1750" t="s">
        <v>8447</v>
      </c>
      <c r="J2666" s="1785" t="s">
        <v>791</v>
      </c>
      <c r="K2666" s="1786" t="s">
        <v>788</v>
      </c>
      <c r="L2666" s="1787">
        <v>9.6000000000000014</v>
      </c>
      <c r="M2666" s="1787">
        <v>23.240000000000002</v>
      </c>
      <c r="N2666" s="1754">
        <v>223.10400000000001</v>
      </c>
      <c r="O2666" s="1788" t="s">
        <v>3252</v>
      </c>
      <c r="P2666" s="1721" t="s">
        <v>9611</v>
      </c>
    </row>
    <row r="2667" spans="1:16" ht="13.5" hidden="1" customHeight="1" outlineLevel="2" x14ac:dyDescent="0.2">
      <c r="A2667" s="459">
        <v>0</v>
      </c>
      <c r="B2667" s="459">
        <v>18</v>
      </c>
      <c r="C2667" s="459">
        <v>5</v>
      </c>
      <c r="D2667" s="460">
        <v>2</v>
      </c>
      <c r="E2667" s="460">
        <v>0</v>
      </c>
      <c r="G2667" s="1797"/>
      <c r="H2667" s="1777" t="s">
        <v>1238</v>
      </c>
      <c r="I2667" s="1742" t="s">
        <v>8448</v>
      </c>
      <c r="J2667" s="1779" t="s">
        <v>29</v>
      </c>
      <c r="K2667" s="1780"/>
      <c r="L2667" s="1781"/>
      <c r="M2667" s="1781"/>
      <c r="N2667" s="1746">
        <v>6785.2686303053597</v>
      </c>
      <c r="O2667" s="1782"/>
      <c r="P2667" s="1720"/>
    </row>
    <row r="2668" spans="1:16" ht="13.5" hidden="1" customHeight="1" outlineLevel="3" x14ac:dyDescent="0.2">
      <c r="A2668" s="459">
        <v>0</v>
      </c>
      <c r="B2668" s="459">
        <v>18</v>
      </c>
      <c r="C2668" s="459">
        <v>5</v>
      </c>
      <c r="D2668" s="460">
        <v>2</v>
      </c>
      <c r="E2668" s="460">
        <v>1</v>
      </c>
      <c r="G2668" s="1798" t="s">
        <v>52</v>
      </c>
      <c r="H2668" s="1783" t="s">
        <v>1239</v>
      </c>
      <c r="I2668" s="1750" t="s">
        <v>8449</v>
      </c>
      <c r="J2668" s="1785" t="s">
        <v>3248</v>
      </c>
      <c r="K2668" s="1786" t="s">
        <v>642</v>
      </c>
      <c r="L2668" s="1787">
        <v>2.5600000000000005</v>
      </c>
      <c r="M2668" s="1787">
        <v>2650.4955587130289</v>
      </c>
      <c r="N2668" s="1754">
        <v>6785.2686303053597</v>
      </c>
      <c r="O2668" s="1788" t="s">
        <v>3252</v>
      </c>
      <c r="P2668" s="1721" t="s">
        <v>9611</v>
      </c>
    </row>
    <row r="2669" spans="1:16" ht="12.75" hidden="1" customHeight="1" outlineLevel="2" x14ac:dyDescent="0.2">
      <c r="A2669" s="459">
        <v>0</v>
      </c>
      <c r="B2669" s="459">
        <v>18</v>
      </c>
      <c r="C2669" s="459">
        <v>5</v>
      </c>
      <c r="D2669" s="460">
        <v>3</v>
      </c>
      <c r="E2669" s="460">
        <v>0</v>
      </c>
      <c r="G2669" s="1797"/>
      <c r="H2669" s="1777" t="s">
        <v>1238</v>
      </c>
      <c r="I2669" s="1742" t="s">
        <v>8450</v>
      </c>
      <c r="J2669" s="1779" t="s">
        <v>799</v>
      </c>
      <c r="K2669" s="1780"/>
      <c r="L2669" s="1781"/>
      <c r="M2669" s="1781"/>
      <c r="N2669" s="1746"/>
      <c r="O2669" s="1782"/>
      <c r="P2669" s="1720"/>
    </row>
    <row r="2670" spans="1:16" ht="13.5" hidden="1" customHeight="1" outlineLevel="3" x14ac:dyDescent="0.2">
      <c r="A2670" s="459">
        <v>0</v>
      </c>
      <c r="B2670" s="459">
        <v>18</v>
      </c>
      <c r="C2670" s="459">
        <v>5</v>
      </c>
      <c r="D2670" s="460">
        <v>3</v>
      </c>
      <c r="E2670" s="460">
        <v>1</v>
      </c>
      <c r="G2670" s="1798" t="s">
        <v>52</v>
      </c>
      <c r="H2670" s="1783" t="s">
        <v>1239</v>
      </c>
      <c r="I2670" s="1750" t="s">
        <v>8451</v>
      </c>
      <c r="J2670" s="1785" t="s">
        <v>799</v>
      </c>
      <c r="K2670" s="1786" t="s">
        <v>642</v>
      </c>
      <c r="L2670" s="1787" t="e">
        <v>#REF!</v>
      </c>
      <c r="M2670" s="1787">
        <v>1533.99</v>
      </c>
      <c r="N2670" s="1754"/>
      <c r="O2670" s="1788" t="s">
        <v>3251</v>
      </c>
      <c r="P2670" s="1721" t="s">
        <v>9611</v>
      </c>
    </row>
    <row r="2671" spans="1:16" ht="13.5" hidden="1" customHeight="1" outlineLevel="1" x14ac:dyDescent="0.2">
      <c r="A2671" s="459">
        <v>0</v>
      </c>
      <c r="B2671" s="459">
        <v>18</v>
      </c>
      <c r="C2671" s="459">
        <v>6</v>
      </c>
      <c r="D2671" s="460">
        <v>0</v>
      </c>
      <c r="E2671" s="460">
        <v>1</v>
      </c>
      <c r="G2671" s="1796"/>
      <c r="H2671" s="1771" t="s">
        <v>39</v>
      </c>
      <c r="I2671" s="1735" t="s">
        <v>8452</v>
      </c>
      <c r="J2671" s="1773" t="s">
        <v>5513</v>
      </c>
      <c r="K2671" s="1774"/>
      <c r="L2671" s="1775"/>
      <c r="M2671" s="1775"/>
      <c r="N2671" s="1739"/>
      <c r="O2671" s="1776"/>
      <c r="P2671" s="1719"/>
    </row>
    <row r="2672" spans="1:16" ht="13.5" hidden="1" customHeight="1" outlineLevel="2" x14ac:dyDescent="0.2">
      <c r="A2672" s="459">
        <v>0</v>
      </c>
      <c r="B2672" s="459">
        <v>18</v>
      </c>
      <c r="C2672" s="459">
        <v>6</v>
      </c>
      <c r="D2672" s="460">
        <v>1</v>
      </c>
      <c r="E2672" s="460">
        <v>0</v>
      </c>
      <c r="G2672" s="1797"/>
      <c r="H2672" s="1777" t="s">
        <v>1238</v>
      </c>
      <c r="I2672" s="1742" t="s">
        <v>8453</v>
      </c>
      <c r="J2672" s="1779" t="s">
        <v>28</v>
      </c>
      <c r="K2672" s="1780"/>
      <c r="L2672" s="1781"/>
      <c r="M2672" s="1781"/>
      <c r="N2672" s="1746">
        <v>341.62799999999999</v>
      </c>
      <c r="O2672" s="1782">
        <v>2.03961033262148E-2</v>
      </c>
      <c r="P2672" s="1720"/>
    </row>
    <row r="2673" spans="1:16" ht="13.5" hidden="1" customHeight="1" outlineLevel="3" x14ac:dyDescent="0.2">
      <c r="A2673" s="459">
        <v>0</v>
      </c>
      <c r="B2673" s="459">
        <v>18</v>
      </c>
      <c r="C2673" s="459">
        <v>6</v>
      </c>
      <c r="D2673" s="460">
        <v>1</v>
      </c>
      <c r="E2673" s="460">
        <v>1</v>
      </c>
      <c r="G2673" s="1798" t="s">
        <v>52</v>
      </c>
      <c r="H2673" s="1783" t="s">
        <v>1239</v>
      </c>
      <c r="I2673" s="1750" t="s">
        <v>8454</v>
      </c>
      <c r="J2673" s="1785" t="s">
        <v>791</v>
      </c>
      <c r="K2673" s="1786" t="s">
        <v>788</v>
      </c>
      <c r="L2673" s="1787">
        <v>14.700000000000001</v>
      </c>
      <c r="M2673" s="1787">
        <v>23.240000000000002</v>
      </c>
      <c r="N2673" s="1754">
        <v>341.62799999999999</v>
      </c>
      <c r="O2673" s="1788" t="s">
        <v>3252</v>
      </c>
      <c r="P2673" s="1721" t="s">
        <v>9611</v>
      </c>
    </row>
    <row r="2674" spans="1:16" ht="13.5" hidden="1" customHeight="1" outlineLevel="2" x14ac:dyDescent="0.2">
      <c r="A2674" s="459">
        <v>0</v>
      </c>
      <c r="B2674" s="459">
        <v>18</v>
      </c>
      <c r="C2674" s="459">
        <v>6</v>
      </c>
      <c r="D2674" s="460">
        <v>2</v>
      </c>
      <c r="E2674" s="460">
        <v>0</v>
      </c>
      <c r="G2674" s="1797"/>
      <c r="H2674" s="1777" t="s">
        <v>1238</v>
      </c>
      <c r="I2674" s="1742" t="s">
        <v>8455</v>
      </c>
      <c r="J2674" s="1779" t="s">
        <v>29</v>
      </c>
      <c r="K2674" s="1780"/>
      <c r="L2674" s="1781"/>
      <c r="M2674" s="1781"/>
      <c r="N2674" s="1746">
        <v>10388.202030111799</v>
      </c>
      <c r="O2674" s="1782"/>
      <c r="P2674" s="1720"/>
    </row>
    <row r="2675" spans="1:16" ht="13.5" hidden="1" customHeight="1" outlineLevel="3" x14ac:dyDescent="0.2">
      <c r="A2675" s="459">
        <v>0</v>
      </c>
      <c r="B2675" s="459">
        <v>18</v>
      </c>
      <c r="C2675" s="459">
        <v>6</v>
      </c>
      <c r="D2675" s="460">
        <v>2</v>
      </c>
      <c r="E2675" s="460">
        <v>1</v>
      </c>
      <c r="G2675" s="1798" t="s">
        <v>52</v>
      </c>
      <c r="H2675" s="1783" t="s">
        <v>1239</v>
      </c>
      <c r="I2675" s="1750" t="s">
        <v>8456</v>
      </c>
      <c r="J2675" s="1785" t="s">
        <v>3247</v>
      </c>
      <c r="K2675" s="1786" t="s">
        <v>642</v>
      </c>
      <c r="L2675" s="1787">
        <v>1.8900000000000001</v>
      </c>
      <c r="M2675" s="1787">
        <v>1906.3139681515586</v>
      </c>
      <c r="N2675" s="1754">
        <v>3602.9333998064499</v>
      </c>
      <c r="O2675" s="1788" t="s">
        <v>3252</v>
      </c>
      <c r="P2675" s="1721" t="s">
        <v>9611</v>
      </c>
    </row>
    <row r="2676" spans="1:16" ht="13.5" hidden="1" customHeight="1" outlineLevel="3" x14ac:dyDescent="0.2">
      <c r="A2676" s="459">
        <v>0</v>
      </c>
      <c r="B2676" s="459">
        <v>18</v>
      </c>
      <c r="C2676" s="459">
        <v>6</v>
      </c>
      <c r="D2676" s="460">
        <v>2</v>
      </c>
      <c r="E2676" s="460">
        <v>2</v>
      </c>
      <c r="G2676" s="1798" t="s">
        <v>52</v>
      </c>
      <c r="H2676" s="1783" t="s">
        <v>1239</v>
      </c>
      <c r="I2676" s="1750" t="s">
        <v>8457</v>
      </c>
      <c r="J2676" s="1785" t="s">
        <v>3248</v>
      </c>
      <c r="K2676" s="1786" t="s">
        <v>642</v>
      </c>
      <c r="L2676" s="1787">
        <v>2.5600000000000005</v>
      </c>
      <c r="M2676" s="1787">
        <v>2650.4955587130289</v>
      </c>
      <c r="N2676" s="1754">
        <v>6785.2686303053597</v>
      </c>
      <c r="O2676" s="1788" t="s">
        <v>3252</v>
      </c>
      <c r="P2676" s="1721" t="s">
        <v>9611</v>
      </c>
    </row>
    <row r="2677" spans="1:16" ht="12.75" hidden="1" customHeight="1" outlineLevel="2" x14ac:dyDescent="0.2">
      <c r="A2677" s="459">
        <v>0</v>
      </c>
      <c r="B2677" s="459">
        <v>18</v>
      </c>
      <c r="C2677" s="459">
        <v>6</v>
      </c>
      <c r="D2677" s="460">
        <v>3</v>
      </c>
      <c r="E2677" s="460">
        <v>0</v>
      </c>
      <c r="G2677" s="1797"/>
      <c r="H2677" s="1777" t="s">
        <v>1238</v>
      </c>
      <c r="I2677" s="1742" t="s">
        <v>8458</v>
      </c>
      <c r="J2677" s="1779" t="s">
        <v>799</v>
      </c>
      <c r="K2677" s="1780"/>
      <c r="L2677" s="1781"/>
      <c r="M2677" s="1781"/>
      <c r="N2677" s="1746"/>
      <c r="O2677" s="1782"/>
      <c r="P2677" s="1720"/>
    </row>
    <row r="2678" spans="1:16" ht="13.5" hidden="1" customHeight="1" outlineLevel="3" x14ac:dyDescent="0.2">
      <c r="A2678" s="459">
        <v>0</v>
      </c>
      <c r="B2678" s="459">
        <v>18</v>
      </c>
      <c r="C2678" s="459">
        <v>6</v>
      </c>
      <c r="D2678" s="460">
        <v>3</v>
      </c>
      <c r="E2678" s="460">
        <v>1</v>
      </c>
      <c r="G2678" s="1798" t="s">
        <v>52</v>
      </c>
      <c r="H2678" s="1783" t="s">
        <v>1239</v>
      </c>
      <c r="I2678" s="1750" t="s">
        <v>8459</v>
      </c>
      <c r="J2678" s="1785" t="s">
        <v>799</v>
      </c>
      <c r="K2678" s="1786" t="s">
        <v>642</v>
      </c>
      <c r="L2678" s="1787" t="e">
        <v>#REF!</v>
      </c>
      <c r="M2678" s="1787">
        <v>1533.99</v>
      </c>
      <c r="N2678" s="1754"/>
      <c r="O2678" s="1788" t="s">
        <v>3251</v>
      </c>
      <c r="P2678" s="1721" t="s">
        <v>9611</v>
      </c>
    </row>
    <row r="2679" spans="1:16" ht="13.5" hidden="1" customHeight="1" outlineLevel="1" x14ac:dyDescent="0.2">
      <c r="A2679" s="459">
        <v>0</v>
      </c>
      <c r="B2679" s="459">
        <v>18</v>
      </c>
      <c r="C2679" s="459">
        <v>7</v>
      </c>
      <c r="D2679" s="460">
        <v>0</v>
      </c>
      <c r="E2679" s="460">
        <v>1</v>
      </c>
      <c r="G2679" s="1796"/>
      <c r="H2679" s="1771" t="s">
        <v>39</v>
      </c>
      <c r="I2679" s="1735" t="s">
        <v>8460</v>
      </c>
      <c r="J2679" s="1773" t="s">
        <v>5514</v>
      </c>
      <c r="K2679" s="1774"/>
      <c r="L2679" s="1775"/>
      <c r="M2679" s="1775"/>
      <c r="N2679" s="1739"/>
      <c r="O2679" s="1776"/>
      <c r="P2679" s="1719"/>
    </row>
    <row r="2680" spans="1:16" ht="13.5" hidden="1" customHeight="1" outlineLevel="2" x14ac:dyDescent="0.2">
      <c r="A2680" s="459">
        <v>0</v>
      </c>
      <c r="B2680" s="459">
        <v>18</v>
      </c>
      <c r="C2680" s="459">
        <v>7</v>
      </c>
      <c r="D2680" s="460">
        <v>1</v>
      </c>
      <c r="E2680" s="460">
        <v>0</v>
      </c>
      <c r="G2680" s="1797"/>
      <c r="H2680" s="1777" t="s">
        <v>1238</v>
      </c>
      <c r="I2680" s="1742" t="s">
        <v>8461</v>
      </c>
      <c r="J2680" s="1779" t="s">
        <v>28</v>
      </c>
      <c r="K2680" s="1780"/>
      <c r="L2680" s="1781"/>
      <c r="M2680" s="1781"/>
      <c r="N2680" s="1746">
        <v>611.21199999999999</v>
      </c>
      <c r="O2680" s="1782">
        <v>3.6490987583636003E-2</v>
      </c>
      <c r="P2680" s="1720"/>
    </row>
    <row r="2681" spans="1:16" ht="13.5" hidden="1" customHeight="1" outlineLevel="3" x14ac:dyDescent="0.2">
      <c r="A2681" s="459">
        <v>0</v>
      </c>
      <c r="B2681" s="459">
        <v>18</v>
      </c>
      <c r="C2681" s="459">
        <v>7</v>
      </c>
      <c r="D2681" s="460">
        <v>1</v>
      </c>
      <c r="E2681" s="460">
        <v>1</v>
      </c>
      <c r="G2681" s="1798" t="s">
        <v>52</v>
      </c>
      <c r="H2681" s="1783" t="s">
        <v>1239</v>
      </c>
      <c r="I2681" s="1750" t="s">
        <v>8462</v>
      </c>
      <c r="J2681" s="1785" t="s">
        <v>791</v>
      </c>
      <c r="K2681" s="1786" t="s">
        <v>788</v>
      </c>
      <c r="L2681" s="1787">
        <v>26.3</v>
      </c>
      <c r="M2681" s="1787">
        <v>23.240000000000002</v>
      </c>
      <c r="N2681" s="1754">
        <v>611.21199999999999</v>
      </c>
      <c r="O2681" s="1788" t="s">
        <v>3252</v>
      </c>
      <c r="P2681" s="1721" t="s">
        <v>9611</v>
      </c>
    </row>
    <row r="2682" spans="1:16" ht="13.5" hidden="1" customHeight="1" outlineLevel="2" x14ac:dyDescent="0.2">
      <c r="A2682" s="459">
        <v>0</v>
      </c>
      <c r="B2682" s="459">
        <v>18</v>
      </c>
      <c r="C2682" s="459">
        <v>7</v>
      </c>
      <c r="D2682" s="460">
        <v>2</v>
      </c>
      <c r="E2682" s="460">
        <v>0</v>
      </c>
      <c r="G2682" s="1797"/>
      <c r="H2682" s="1777" t="s">
        <v>1238</v>
      </c>
      <c r="I2682" s="1742" t="s">
        <v>8463</v>
      </c>
      <c r="J2682" s="1779" t="s">
        <v>29</v>
      </c>
      <c r="K2682" s="1780"/>
      <c r="L2682" s="1781"/>
      <c r="M2682" s="1781"/>
      <c r="N2682" s="1746">
        <v>19195.372562971999</v>
      </c>
      <c r="O2682" s="1782"/>
      <c r="P2682" s="1720"/>
    </row>
    <row r="2683" spans="1:16" ht="13.5" hidden="1" customHeight="1" outlineLevel="3" x14ac:dyDescent="0.2">
      <c r="A2683" s="459">
        <v>0</v>
      </c>
      <c r="B2683" s="459">
        <v>18</v>
      </c>
      <c r="C2683" s="459">
        <v>7</v>
      </c>
      <c r="D2683" s="460">
        <v>2</v>
      </c>
      <c r="E2683" s="460">
        <v>1</v>
      </c>
      <c r="G2683" s="1798" t="s">
        <v>52</v>
      </c>
      <c r="H2683" s="1783" t="s">
        <v>1239</v>
      </c>
      <c r="I2683" s="1750" t="s">
        <v>8464</v>
      </c>
      <c r="J2683" s="1785" t="s">
        <v>3247</v>
      </c>
      <c r="K2683" s="1786" t="s">
        <v>642</v>
      </c>
      <c r="L2683" s="1787">
        <v>6.51</v>
      </c>
      <c r="M2683" s="1787">
        <v>1906.3139681515586</v>
      </c>
      <c r="N2683" s="1754">
        <v>12410.1039326666</v>
      </c>
      <c r="O2683" s="1788" t="s">
        <v>3252</v>
      </c>
      <c r="P2683" s="1721" t="s">
        <v>9611</v>
      </c>
    </row>
    <row r="2684" spans="1:16" ht="13.5" hidden="1" customHeight="1" outlineLevel="3" x14ac:dyDescent="0.2">
      <c r="A2684" s="459">
        <v>0</v>
      </c>
      <c r="B2684" s="459">
        <v>18</v>
      </c>
      <c r="C2684" s="459">
        <v>7</v>
      </c>
      <c r="D2684" s="460">
        <v>2</v>
      </c>
      <c r="E2684" s="460">
        <v>2</v>
      </c>
      <c r="G2684" s="1798" t="s">
        <v>52</v>
      </c>
      <c r="H2684" s="1783" t="s">
        <v>1239</v>
      </c>
      <c r="I2684" s="1750" t="s">
        <v>8465</v>
      </c>
      <c r="J2684" s="1785" t="s">
        <v>3248</v>
      </c>
      <c r="K2684" s="1786" t="s">
        <v>642</v>
      </c>
      <c r="L2684" s="1787">
        <v>2.5600000000000005</v>
      </c>
      <c r="M2684" s="1787">
        <v>2650.4955587130289</v>
      </c>
      <c r="N2684" s="1754">
        <v>6785.2686303053597</v>
      </c>
      <c r="O2684" s="1788" t="s">
        <v>3252</v>
      </c>
      <c r="P2684" s="1721" t="s">
        <v>9611</v>
      </c>
    </row>
    <row r="2685" spans="1:16" ht="12.75" hidden="1" customHeight="1" outlineLevel="2" x14ac:dyDescent="0.2">
      <c r="A2685" s="459">
        <v>0</v>
      </c>
      <c r="B2685" s="459">
        <v>18</v>
      </c>
      <c r="C2685" s="459">
        <v>7</v>
      </c>
      <c r="D2685" s="460">
        <v>3</v>
      </c>
      <c r="E2685" s="460">
        <v>0</v>
      </c>
      <c r="G2685" s="1797"/>
      <c r="H2685" s="1777" t="s">
        <v>1238</v>
      </c>
      <c r="I2685" s="1742" t="s">
        <v>8466</v>
      </c>
      <c r="J2685" s="1779" t="s">
        <v>2819</v>
      </c>
      <c r="K2685" s="1780"/>
      <c r="L2685" s="1781"/>
      <c r="M2685" s="1781"/>
      <c r="N2685" s="1746"/>
      <c r="O2685" s="1782"/>
      <c r="P2685" s="1720"/>
    </row>
    <row r="2686" spans="1:16" ht="12.75" hidden="1" customHeight="1" outlineLevel="3" x14ac:dyDescent="0.2">
      <c r="A2686" s="459">
        <v>0</v>
      </c>
      <c r="B2686" s="459">
        <v>18</v>
      </c>
      <c r="C2686" s="459">
        <v>7</v>
      </c>
      <c r="D2686" s="460">
        <v>3</v>
      </c>
      <c r="E2686" s="460">
        <v>1</v>
      </c>
      <c r="G2686" s="1798" t="s">
        <v>52</v>
      </c>
      <c r="H2686" s="1783" t="s">
        <v>1239</v>
      </c>
      <c r="I2686" s="1750" t="s">
        <v>8467</v>
      </c>
      <c r="J2686" s="1785" t="s">
        <v>797</v>
      </c>
      <c r="K2686" s="1786" t="s">
        <v>642</v>
      </c>
      <c r="L2686" s="1787" t="e">
        <v>#REF!</v>
      </c>
      <c r="M2686" s="1787">
        <v>1403.9850000000001</v>
      </c>
      <c r="N2686" s="1754"/>
      <c r="O2686" s="1788" t="s">
        <v>3251</v>
      </c>
      <c r="P2686" s="1721" t="s">
        <v>9611</v>
      </c>
    </row>
    <row r="2687" spans="1:16" ht="12.75" hidden="1" customHeight="1" outlineLevel="2" x14ac:dyDescent="0.2">
      <c r="A2687" s="459">
        <v>0</v>
      </c>
      <c r="B2687" s="459">
        <v>18</v>
      </c>
      <c r="C2687" s="459">
        <v>7</v>
      </c>
      <c r="D2687" s="460">
        <v>4</v>
      </c>
      <c r="E2687" s="460">
        <v>0</v>
      </c>
      <c r="G2687" s="1797"/>
      <c r="H2687" s="1777" t="s">
        <v>1238</v>
      </c>
      <c r="I2687" s="1742" t="s">
        <v>8468</v>
      </c>
      <c r="J2687" s="1779" t="s">
        <v>799</v>
      </c>
      <c r="K2687" s="1780"/>
      <c r="L2687" s="1781"/>
      <c r="M2687" s="1781"/>
      <c r="N2687" s="1746"/>
      <c r="O2687" s="1782"/>
      <c r="P2687" s="1720"/>
    </row>
    <row r="2688" spans="1:16" ht="13.5" hidden="1" customHeight="1" outlineLevel="3" x14ac:dyDescent="0.2">
      <c r="A2688" s="459">
        <v>0</v>
      </c>
      <c r="B2688" s="459">
        <v>18</v>
      </c>
      <c r="C2688" s="459">
        <v>7</v>
      </c>
      <c r="D2688" s="460">
        <v>4</v>
      </c>
      <c r="E2688" s="460">
        <v>1</v>
      </c>
      <c r="G2688" s="1798" t="s">
        <v>52</v>
      </c>
      <c r="H2688" s="1783" t="s">
        <v>1239</v>
      </c>
      <c r="I2688" s="1750" t="s">
        <v>8469</v>
      </c>
      <c r="J2688" s="1785" t="s">
        <v>799</v>
      </c>
      <c r="K2688" s="1786" t="s">
        <v>642</v>
      </c>
      <c r="L2688" s="1787" t="e">
        <v>#REF!</v>
      </c>
      <c r="M2688" s="1787">
        <v>1533.99</v>
      </c>
      <c r="N2688" s="1754"/>
      <c r="O2688" s="1788" t="s">
        <v>3251</v>
      </c>
      <c r="P2688" s="1721" t="s">
        <v>9611</v>
      </c>
    </row>
    <row r="2689" spans="1:16" ht="13.5" hidden="1" customHeight="1" outlineLevel="1" x14ac:dyDescent="0.2">
      <c r="A2689" s="459">
        <v>0</v>
      </c>
      <c r="B2689" s="459">
        <v>18</v>
      </c>
      <c r="C2689" s="459">
        <v>8</v>
      </c>
      <c r="D2689" s="460">
        <v>0</v>
      </c>
      <c r="E2689" s="460">
        <v>1</v>
      </c>
      <c r="G2689" s="1796"/>
      <c r="H2689" s="1771" t="s">
        <v>39</v>
      </c>
      <c r="I2689" s="1735" t="s">
        <v>8470</v>
      </c>
      <c r="J2689" s="1773" t="s">
        <v>5515</v>
      </c>
      <c r="K2689" s="1774"/>
      <c r="L2689" s="1775"/>
      <c r="M2689" s="1775"/>
      <c r="N2689" s="1739"/>
      <c r="O2689" s="1776"/>
      <c r="P2689" s="1719"/>
    </row>
    <row r="2690" spans="1:16" ht="13.5" hidden="1" customHeight="1" outlineLevel="2" x14ac:dyDescent="0.2">
      <c r="A2690" s="459">
        <v>0</v>
      </c>
      <c r="B2690" s="459">
        <v>18</v>
      </c>
      <c r="C2690" s="459">
        <v>8</v>
      </c>
      <c r="D2690" s="460">
        <v>1</v>
      </c>
      <c r="E2690" s="460">
        <v>0</v>
      </c>
      <c r="G2690" s="1797"/>
      <c r="H2690" s="1777" t="s">
        <v>1238</v>
      </c>
      <c r="I2690" s="1742" t="s">
        <v>8471</v>
      </c>
      <c r="J2690" s="1779" t="s">
        <v>28</v>
      </c>
      <c r="K2690" s="1780"/>
      <c r="L2690" s="1781"/>
      <c r="M2690" s="1781"/>
      <c r="N2690" s="1746">
        <v>1531.5160000000001</v>
      </c>
      <c r="O2690" s="1782">
        <v>9.1435592462418697E-2</v>
      </c>
      <c r="P2690" s="1720"/>
    </row>
    <row r="2691" spans="1:16" ht="13.5" hidden="1" customHeight="1" outlineLevel="3" x14ac:dyDescent="0.2">
      <c r="A2691" s="459">
        <v>0</v>
      </c>
      <c r="B2691" s="459">
        <v>18</v>
      </c>
      <c r="C2691" s="459">
        <v>8</v>
      </c>
      <c r="D2691" s="460">
        <v>1</v>
      </c>
      <c r="E2691" s="460">
        <v>1</v>
      </c>
      <c r="G2691" s="1798" t="s">
        <v>52</v>
      </c>
      <c r="H2691" s="1783" t="s">
        <v>1239</v>
      </c>
      <c r="I2691" s="1750" t="s">
        <v>8472</v>
      </c>
      <c r="J2691" s="1785" t="s">
        <v>791</v>
      </c>
      <c r="K2691" s="1786" t="s">
        <v>788</v>
      </c>
      <c r="L2691" s="1787">
        <v>65.900000000000006</v>
      </c>
      <c r="M2691" s="1787">
        <v>23.240000000000002</v>
      </c>
      <c r="N2691" s="1754">
        <v>1531.5160000000001</v>
      </c>
      <c r="O2691" s="1788" t="s">
        <v>3252</v>
      </c>
      <c r="P2691" s="1721" t="s">
        <v>9611</v>
      </c>
    </row>
    <row r="2692" spans="1:16" ht="13.5" hidden="1" customHeight="1" outlineLevel="2" x14ac:dyDescent="0.2">
      <c r="A2692" s="459">
        <v>0</v>
      </c>
      <c r="B2692" s="459">
        <v>18</v>
      </c>
      <c r="C2692" s="459">
        <v>8</v>
      </c>
      <c r="D2692" s="460">
        <v>2</v>
      </c>
      <c r="E2692" s="460">
        <v>0</v>
      </c>
      <c r="G2692" s="1797"/>
      <c r="H2692" s="1777" t="s">
        <v>1238</v>
      </c>
      <c r="I2692" s="1742" t="s">
        <v>8473</v>
      </c>
      <c r="J2692" s="1779" t="s">
        <v>29</v>
      </c>
      <c r="K2692" s="1780"/>
      <c r="L2692" s="1781"/>
      <c r="M2692" s="1781"/>
      <c r="N2692" s="1746">
        <v>112804.919969054</v>
      </c>
      <c r="O2692" s="1782"/>
      <c r="P2692" s="1720"/>
    </row>
    <row r="2693" spans="1:16" ht="13.5" hidden="1" customHeight="1" outlineLevel="3" x14ac:dyDescent="0.2">
      <c r="A2693" s="459">
        <v>0</v>
      </c>
      <c r="B2693" s="459">
        <v>18</v>
      </c>
      <c r="C2693" s="459">
        <v>8</v>
      </c>
      <c r="D2693" s="460">
        <v>2</v>
      </c>
      <c r="E2693" s="460">
        <v>1</v>
      </c>
      <c r="G2693" s="1798" t="s">
        <v>52</v>
      </c>
      <c r="H2693" s="1783" t="s">
        <v>1239</v>
      </c>
      <c r="I2693" s="1750" t="s">
        <v>8474</v>
      </c>
      <c r="J2693" s="1785" t="s">
        <v>3247</v>
      </c>
      <c r="K2693" s="1786" t="s">
        <v>642</v>
      </c>
      <c r="L2693" s="1787">
        <v>55.615000000000002</v>
      </c>
      <c r="M2693" s="1787">
        <v>1906.3139681515586</v>
      </c>
      <c r="N2693" s="1754">
        <v>106019.651338749</v>
      </c>
      <c r="O2693" s="1788" t="s">
        <v>3252</v>
      </c>
      <c r="P2693" s="1721" t="s">
        <v>9611</v>
      </c>
    </row>
    <row r="2694" spans="1:16" ht="13.5" hidden="1" customHeight="1" outlineLevel="3" x14ac:dyDescent="0.2">
      <c r="A2694" s="459">
        <v>0</v>
      </c>
      <c r="B2694" s="459">
        <v>18</v>
      </c>
      <c r="C2694" s="459">
        <v>8</v>
      </c>
      <c r="D2694" s="460">
        <v>2</v>
      </c>
      <c r="E2694" s="460">
        <v>2</v>
      </c>
      <c r="G2694" s="1798" t="s">
        <v>52</v>
      </c>
      <c r="H2694" s="1783" t="s">
        <v>1239</v>
      </c>
      <c r="I2694" s="1750" t="s">
        <v>8475</v>
      </c>
      <c r="J2694" s="1785" t="s">
        <v>3248</v>
      </c>
      <c r="K2694" s="1786" t="s">
        <v>642</v>
      </c>
      <c r="L2694" s="1787">
        <v>2.5600000000000005</v>
      </c>
      <c r="M2694" s="1787">
        <v>2650.4955587130289</v>
      </c>
      <c r="N2694" s="1754">
        <v>6785.2686303053597</v>
      </c>
      <c r="O2694" s="1788" t="s">
        <v>3252</v>
      </c>
      <c r="P2694" s="1721" t="s">
        <v>9611</v>
      </c>
    </row>
    <row r="2695" spans="1:16" ht="12.75" hidden="1" customHeight="1" outlineLevel="2" x14ac:dyDescent="0.2">
      <c r="A2695" s="459">
        <v>0</v>
      </c>
      <c r="B2695" s="459">
        <v>18</v>
      </c>
      <c r="C2695" s="459">
        <v>8</v>
      </c>
      <c r="D2695" s="460">
        <v>3</v>
      </c>
      <c r="E2695" s="460">
        <v>0</v>
      </c>
      <c r="G2695" s="1797"/>
      <c r="H2695" s="1777" t="s">
        <v>1238</v>
      </c>
      <c r="I2695" s="1742" t="s">
        <v>8476</v>
      </c>
      <c r="J2695" s="1779" t="s">
        <v>3259</v>
      </c>
      <c r="K2695" s="1780"/>
      <c r="L2695" s="1781"/>
      <c r="M2695" s="1781"/>
      <c r="N2695" s="1746"/>
      <c r="O2695" s="1782"/>
      <c r="P2695" s="1720"/>
    </row>
    <row r="2696" spans="1:16" ht="12.75" hidden="1" customHeight="1" outlineLevel="3" x14ac:dyDescent="0.2">
      <c r="A2696" s="459">
        <v>0</v>
      </c>
      <c r="B2696" s="459">
        <v>18</v>
      </c>
      <c r="C2696" s="459">
        <v>8</v>
      </c>
      <c r="D2696" s="460">
        <v>3</v>
      </c>
      <c r="E2696" s="460">
        <v>1</v>
      </c>
      <c r="G2696" s="1798" t="s">
        <v>52</v>
      </c>
      <c r="H2696" s="1783" t="s">
        <v>1239</v>
      </c>
      <c r="I2696" s="1750" t="s">
        <v>8477</v>
      </c>
      <c r="J2696" s="1785" t="s">
        <v>794</v>
      </c>
      <c r="K2696" s="1786" t="s">
        <v>642</v>
      </c>
      <c r="L2696" s="1787" t="e">
        <v>#REF!</v>
      </c>
      <c r="M2696" s="1787">
        <v>2122.5413895570964</v>
      </c>
      <c r="N2696" s="1754"/>
      <c r="O2696" s="1788" t="s">
        <v>3251</v>
      </c>
      <c r="P2696" s="1721" t="s">
        <v>9611</v>
      </c>
    </row>
    <row r="2697" spans="1:16" ht="13.5" hidden="1" customHeight="1" outlineLevel="1" x14ac:dyDescent="0.2">
      <c r="A2697" s="459">
        <v>0</v>
      </c>
      <c r="B2697" s="459">
        <v>18</v>
      </c>
      <c r="C2697" s="459">
        <v>9</v>
      </c>
      <c r="D2697" s="460">
        <v>0</v>
      </c>
      <c r="E2697" s="460">
        <v>1</v>
      </c>
      <c r="G2697" s="1796"/>
      <c r="H2697" s="1771" t="s">
        <v>39</v>
      </c>
      <c r="I2697" s="1735" t="s">
        <v>8478</v>
      </c>
      <c r="J2697" s="1773" t="s">
        <v>5516</v>
      </c>
      <c r="K2697" s="1774"/>
      <c r="L2697" s="1775"/>
      <c r="M2697" s="1775"/>
      <c r="N2697" s="1739"/>
      <c r="O2697" s="1776"/>
      <c r="P2697" s="1719"/>
    </row>
    <row r="2698" spans="1:16" ht="13.5" hidden="1" customHeight="1" outlineLevel="2" x14ac:dyDescent="0.2">
      <c r="A2698" s="459">
        <v>0</v>
      </c>
      <c r="B2698" s="459">
        <v>18</v>
      </c>
      <c r="C2698" s="459">
        <v>9</v>
      </c>
      <c r="D2698" s="460">
        <v>1</v>
      </c>
      <c r="E2698" s="460">
        <v>0</v>
      </c>
      <c r="G2698" s="1797"/>
      <c r="H2698" s="1777" t="s">
        <v>1238</v>
      </c>
      <c r="I2698" s="1742" t="s">
        <v>8479</v>
      </c>
      <c r="J2698" s="1779" t="s">
        <v>28</v>
      </c>
      <c r="K2698" s="1780"/>
      <c r="L2698" s="1781"/>
      <c r="M2698" s="1781"/>
      <c r="N2698" s="1746">
        <v>4080.944</v>
      </c>
      <c r="O2698" s="1782">
        <v>0.24364324789682401</v>
      </c>
      <c r="P2698" s="1720"/>
    </row>
    <row r="2699" spans="1:16" ht="13.5" hidden="1" customHeight="1" outlineLevel="3" x14ac:dyDescent="0.2">
      <c r="A2699" s="459">
        <v>0</v>
      </c>
      <c r="B2699" s="459">
        <v>18</v>
      </c>
      <c r="C2699" s="459">
        <v>9</v>
      </c>
      <c r="D2699" s="460">
        <v>1</v>
      </c>
      <c r="E2699" s="460">
        <v>1</v>
      </c>
      <c r="G2699" s="1798" t="s">
        <v>52</v>
      </c>
      <c r="H2699" s="1783" t="s">
        <v>1239</v>
      </c>
      <c r="I2699" s="1750" t="s">
        <v>8480</v>
      </c>
      <c r="J2699" s="1785" t="s">
        <v>791</v>
      </c>
      <c r="K2699" s="1786" t="s">
        <v>788</v>
      </c>
      <c r="L2699" s="1787">
        <v>175.59999999999997</v>
      </c>
      <c r="M2699" s="1787">
        <v>23.240000000000002</v>
      </c>
      <c r="N2699" s="1754">
        <v>4080.944</v>
      </c>
      <c r="O2699" s="1788" t="s">
        <v>3252</v>
      </c>
      <c r="P2699" s="1721" t="s">
        <v>9611</v>
      </c>
    </row>
    <row r="2700" spans="1:16" ht="13.5" hidden="1" customHeight="1" outlineLevel="2" x14ac:dyDescent="0.2">
      <c r="A2700" s="459">
        <v>0</v>
      </c>
      <c r="B2700" s="459">
        <v>18</v>
      </c>
      <c r="C2700" s="459">
        <v>9</v>
      </c>
      <c r="D2700" s="460">
        <v>2</v>
      </c>
      <c r="E2700" s="460">
        <v>0</v>
      </c>
      <c r="G2700" s="1797"/>
      <c r="H2700" s="1777" t="s">
        <v>1238</v>
      </c>
      <c r="I2700" s="1742" t="s">
        <v>8481</v>
      </c>
      <c r="J2700" s="1779" t="s">
        <v>29</v>
      </c>
      <c r="K2700" s="1780"/>
      <c r="L2700" s="1781"/>
      <c r="M2700" s="1781"/>
      <c r="N2700" s="1746">
        <v>180422.03830841501</v>
      </c>
      <c r="O2700" s="1782"/>
      <c r="P2700" s="1720"/>
    </row>
    <row r="2701" spans="1:16" ht="13.5" hidden="1" customHeight="1" outlineLevel="3" x14ac:dyDescent="0.2">
      <c r="A2701" s="459">
        <v>0</v>
      </c>
      <c r="B2701" s="459">
        <v>18</v>
      </c>
      <c r="C2701" s="459">
        <v>9</v>
      </c>
      <c r="D2701" s="460">
        <v>2</v>
      </c>
      <c r="E2701" s="460">
        <v>1</v>
      </c>
      <c r="G2701" s="1798" t="s">
        <v>52</v>
      </c>
      <c r="H2701" s="1783" t="s">
        <v>1239</v>
      </c>
      <c r="I2701" s="1750" t="s">
        <v>8482</v>
      </c>
      <c r="J2701" s="1785" t="s">
        <v>3247</v>
      </c>
      <c r="K2701" s="1786" t="s">
        <v>642</v>
      </c>
      <c r="L2701" s="1787">
        <v>16.41</v>
      </c>
      <c r="M2701" s="1787">
        <v>1906.3139681515586</v>
      </c>
      <c r="N2701" s="1754">
        <v>31282.612217367099</v>
      </c>
      <c r="O2701" s="1788" t="s">
        <v>3252</v>
      </c>
      <c r="P2701" s="1721" t="s">
        <v>9611</v>
      </c>
    </row>
    <row r="2702" spans="1:16" ht="13.5" hidden="1" customHeight="1" outlineLevel="3" x14ac:dyDescent="0.2">
      <c r="A2702" s="459">
        <v>0</v>
      </c>
      <c r="B2702" s="459">
        <v>18</v>
      </c>
      <c r="C2702" s="459">
        <v>9</v>
      </c>
      <c r="D2702" s="460">
        <v>2</v>
      </c>
      <c r="E2702" s="460">
        <v>2</v>
      </c>
      <c r="G2702" s="1798" t="s">
        <v>52</v>
      </c>
      <c r="H2702" s="1783" t="s">
        <v>1239</v>
      </c>
      <c r="I2702" s="1750" t="s">
        <v>8483</v>
      </c>
      <c r="J2702" s="1785" t="s">
        <v>3248</v>
      </c>
      <c r="K2702" s="1786" t="s">
        <v>642</v>
      </c>
      <c r="L2702" s="1787">
        <v>18.45</v>
      </c>
      <c r="M2702" s="1787">
        <v>2650.4955587130289</v>
      </c>
      <c r="N2702" s="1754">
        <v>48901.643058255402</v>
      </c>
      <c r="O2702" s="1788" t="s">
        <v>3252</v>
      </c>
      <c r="P2702" s="1721" t="s">
        <v>9611</v>
      </c>
    </row>
    <row r="2703" spans="1:16" ht="13.5" hidden="1" customHeight="1" outlineLevel="3" x14ac:dyDescent="0.2">
      <c r="A2703" s="459">
        <v>0</v>
      </c>
      <c r="B2703" s="459">
        <v>18</v>
      </c>
      <c r="C2703" s="459">
        <v>9</v>
      </c>
      <c r="D2703" s="460">
        <v>2</v>
      </c>
      <c r="E2703" s="460">
        <v>3</v>
      </c>
      <c r="G2703" s="1798" t="s">
        <v>52</v>
      </c>
      <c r="H2703" s="1783" t="s">
        <v>1239</v>
      </c>
      <c r="I2703" s="1750" t="s">
        <v>8484</v>
      </c>
      <c r="J2703" s="1785" t="s">
        <v>3249</v>
      </c>
      <c r="K2703" s="1786" t="s">
        <v>642</v>
      </c>
      <c r="L2703" s="1787">
        <v>34.880000000000003</v>
      </c>
      <c r="M2703" s="1787">
        <v>2873.7896511695099</v>
      </c>
      <c r="N2703" s="1754">
        <v>100237.783032793</v>
      </c>
      <c r="O2703" s="1788" t="s">
        <v>3252</v>
      </c>
      <c r="P2703" s="1721" t="s">
        <v>9611</v>
      </c>
    </row>
    <row r="2704" spans="1:16" ht="12.75" hidden="1" customHeight="1" outlineLevel="2" x14ac:dyDescent="0.2">
      <c r="A2704" s="459">
        <v>0</v>
      </c>
      <c r="B2704" s="459">
        <v>18</v>
      </c>
      <c r="C2704" s="459">
        <v>9</v>
      </c>
      <c r="D2704" s="460">
        <v>3</v>
      </c>
      <c r="E2704" s="460">
        <v>0</v>
      </c>
      <c r="G2704" s="1797"/>
      <c r="H2704" s="1777" t="s">
        <v>1238</v>
      </c>
      <c r="I2704" s="1742" t="s">
        <v>8485</v>
      </c>
      <c r="J2704" s="1779" t="s">
        <v>2819</v>
      </c>
      <c r="K2704" s="1780"/>
      <c r="L2704" s="1781"/>
      <c r="M2704" s="1781"/>
      <c r="N2704" s="1746"/>
      <c r="O2704" s="1782"/>
      <c r="P2704" s="1720"/>
    </row>
    <row r="2705" spans="1:16" ht="12.75" hidden="1" customHeight="1" outlineLevel="3" x14ac:dyDescent="0.2">
      <c r="A2705" s="459">
        <v>0</v>
      </c>
      <c r="B2705" s="459">
        <v>18</v>
      </c>
      <c r="C2705" s="459">
        <v>9</v>
      </c>
      <c r="D2705" s="460">
        <v>3</v>
      </c>
      <c r="E2705" s="460">
        <v>1</v>
      </c>
      <c r="G2705" s="1798" t="s">
        <v>52</v>
      </c>
      <c r="H2705" s="1783" t="s">
        <v>1239</v>
      </c>
      <c r="I2705" s="1750" t="s">
        <v>8486</v>
      </c>
      <c r="J2705" s="1785" t="s">
        <v>797</v>
      </c>
      <c r="K2705" s="1786" t="s">
        <v>642</v>
      </c>
      <c r="L2705" s="1787" t="e">
        <v>#REF!</v>
      </c>
      <c r="M2705" s="1787">
        <v>1403.9850000000001</v>
      </c>
      <c r="N2705" s="1754"/>
      <c r="O2705" s="1788" t="s">
        <v>3251</v>
      </c>
      <c r="P2705" s="1721" t="s">
        <v>9611</v>
      </c>
    </row>
    <row r="2706" spans="1:16" ht="12.75" hidden="1" customHeight="1" outlineLevel="2" x14ac:dyDescent="0.2">
      <c r="A2706" s="459">
        <v>0</v>
      </c>
      <c r="B2706" s="459">
        <v>18</v>
      </c>
      <c r="C2706" s="459">
        <v>9</v>
      </c>
      <c r="D2706" s="460">
        <v>4</v>
      </c>
      <c r="E2706" s="460">
        <v>0</v>
      </c>
      <c r="G2706" s="1797"/>
      <c r="H2706" s="1777" t="s">
        <v>1238</v>
      </c>
      <c r="I2706" s="1742" t="s">
        <v>8487</v>
      </c>
      <c r="J2706" s="1779" t="s">
        <v>3259</v>
      </c>
      <c r="K2706" s="1780"/>
      <c r="L2706" s="1781"/>
      <c r="M2706" s="1781"/>
      <c r="N2706" s="1746"/>
      <c r="O2706" s="1782"/>
      <c r="P2706" s="1720"/>
    </row>
    <row r="2707" spans="1:16" ht="12.75" hidden="1" customHeight="1" outlineLevel="3" x14ac:dyDescent="0.2">
      <c r="A2707" s="459">
        <v>0</v>
      </c>
      <c r="B2707" s="459">
        <v>18</v>
      </c>
      <c r="C2707" s="459">
        <v>9</v>
      </c>
      <c r="D2707" s="460">
        <v>4</v>
      </c>
      <c r="E2707" s="460">
        <v>1</v>
      </c>
      <c r="G2707" s="1798" t="s">
        <v>52</v>
      </c>
      <c r="H2707" s="1783" t="s">
        <v>1239</v>
      </c>
      <c r="I2707" s="1750" t="s">
        <v>8488</v>
      </c>
      <c r="J2707" s="1785" t="s">
        <v>794</v>
      </c>
      <c r="K2707" s="1786" t="s">
        <v>642</v>
      </c>
      <c r="L2707" s="1787" t="e">
        <v>#REF!</v>
      </c>
      <c r="M2707" s="1787">
        <v>2122.5413895570964</v>
      </c>
      <c r="N2707" s="1754"/>
      <c r="O2707" s="1788" t="s">
        <v>3251</v>
      </c>
      <c r="P2707" s="1721" t="s">
        <v>9611</v>
      </c>
    </row>
    <row r="2708" spans="1:16" ht="13.5" hidden="1" customHeight="1" outlineLevel="1" x14ac:dyDescent="0.2">
      <c r="A2708" s="459">
        <v>0</v>
      </c>
      <c r="B2708" s="459">
        <v>18</v>
      </c>
      <c r="C2708" s="459">
        <v>10</v>
      </c>
      <c r="D2708" s="460">
        <v>0</v>
      </c>
      <c r="E2708" s="460">
        <v>1</v>
      </c>
      <c r="G2708" s="1796"/>
      <c r="H2708" s="1771" t="s">
        <v>39</v>
      </c>
      <c r="I2708" s="1735" t="s">
        <v>8489</v>
      </c>
      <c r="J2708" s="1773" t="s">
        <v>5517</v>
      </c>
      <c r="K2708" s="1774"/>
      <c r="L2708" s="1775"/>
      <c r="M2708" s="1775"/>
      <c r="N2708" s="1739"/>
      <c r="O2708" s="1776"/>
      <c r="P2708" s="1719"/>
    </row>
    <row r="2709" spans="1:16" ht="13.5" hidden="1" customHeight="1" outlineLevel="2" x14ac:dyDescent="0.2">
      <c r="A2709" s="459">
        <v>0</v>
      </c>
      <c r="B2709" s="459">
        <v>18</v>
      </c>
      <c r="C2709" s="459">
        <v>10</v>
      </c>
      <c r="D2709" s="460">
        <v>1</v>
      </c>
      <c r="E2709" s="460">
        <v>0</v>
      </c>
      <c r="G2709" s="1797"/>
      <c r="H2709" s="1777" t="s">
        <v>1238</v>
      </c>
      <c r="I2709" s="1742" t="s">
        <v>8490</v>
      </c>
      <c r="J2709" s="1779" t="s">
        <v>28</v>
      </c>
      <c r="K2709" s="1780"/>
      <c r="L2709" s="1781"/>
      <c r="M2709" s="1781"/>
      <c r="N2709" s="1746">
        <v>32647.552</v>
      </c>
      <c r="O2709" s="1782">
        <v>1.9491459831745901</v>
      </c>
      <c r="P2709" s="1720"/>
    </row>
    <row r="2710" spans="1:16" ht="13.5" hidden="1" customHeight="1" outlineLevel="3" x14ac:dyDescent="0.2">
      <c r="A2710" s="459">
        <v>0</v>
      </c>
      <c r="B2710" s="459">
        <v>18</v>
      </c>
      <c r="C2710" s="459">
        <v>10</v>
      </c>
      <c r="D2710" s="460">
        <v>1</v>
      </c>
      <c r="E2710" s="460">
        <v>1</v>
      </c>
      <c r="G2710" s="1798" t="s">
        <v>52</v>
      </c>
      <c r="H2710" s="1783" t="s">
        <v>1239</v>
      </c>
      <c r="I2710" s="1750" t="s">
        <v>8491</v>
      </c>
      <c r="J2710" s="1785" t="s">
        <v>791</v>
      </c>
      <c r="K2710" s="1786" t="s">
        <v>788</v>
      </c>
      <c r="L2710" s="1787">
        <v>1404.7999999999997</v>
      </c>
      <c r="M2710" s="1787">
        <v>23.240000000000002</v>
      </c>
      <c r="N2710" s="1754">
        <v>32647.552</v>
      </c>
      <c r="O2710" s="1788" t="s">
        <v>3252</v>
      </c>
      <c r="P2710" s="1721" t="s">
        <v>9611</v>
      </c>
    </row>
    <row r="2711" spans="1:16" ht="13.5" hidden="1" customHeight="1" outlineLevel="2" x14ac:dyDescent="0.2">
      <c r="A2711" s="459">
        <v>0</v>
      </c>
      <c r="B2711" s="459">
        <v>18</v>
      </c>
      <c r="C2711" s="459">
        <v>10</v>
      </c>
      <c r="D2711" s="460">
        <v>2</v>
      </c>
      <c r="E2711" s="460">
        <v>0</v>
      </c>
      <c r="G2711" s="1797"/>
      <c r="H2711" s="1777" t="s">
        <v>1238</v>
      </c>
      <c r="I2711" s="1742" t="s">
        <v>8492</v>
      </c>
      <c r="J2711" s="1779" t="s">
        <v>29</v>
      </c>
      <c r="K2711" s="1780"/>
      <c r="L2711" s="1781"/>
      <c r="M2711" s="1781"/>
      <c r="N2711" s="1746">
        <v>1443376.3064673201</v>
      </c>
      <c r="O2711" s="1782"/>
      <c r="P2711" s="1720"/>
    </row>
    <row r="2712" spans="1:16" ht="13.5" hidden="1" customHeight="1" outlineLevel="3" x14ac:dyDescent="0.2">
      <c r="A2712" s="459">
        <v>0</v>
      </c>
      <c r="B2712" s="459">
        <v>18</v>
      </c>
      <c r="C2712" s="459">
        <v>10</v>
      </c>
      <c r="D2712" s="460">
        <v>2</v>
      </c>
      <c r="E2712" s="460">
        <v>1</v>
      </c>
      <c r="G2712" s="1798" t="s">
        <v>52</v>
      </c>
      <c r="H2712" s="1783" t="s">
        <v>1239</v>
      </c>
      <c r="I2712" s="1750" t="s">
        <v>8493</v>
      </c>
      <c r="J2712" s="1785" t="s">
        <v>3247</v>
      </c>
      <c r="K2712" s="1786" t="s">
        <v>642</v>
      </c>
      <c r="L2712" s="1787">
        <v>131.28</v>
      </c>
      <c r="M2712" s="1787">
        <v>1906.3139681515586</v>
      </c>
      <c r="N2712" s="1754">
        <v>250260.897738937</v>
      </c>
      <c r="O2712" s="1788" t="s">
        <v>3252</v>
      </c>
      <c r="P2712" s="1721" t="s">
        <v>9611</v>
      </c>
    </row>
    <row r="2713" spans="1:16" ht="13.5" hidden="1" customHeight="1" outlineLevel="3" x14ac:dyDescent="0.2">
      <c r="A2713" s="459">
        <v>0</v>
      </c>
      <c r="B2713" s="459">
        <v>18</v>
      </c>
      <c r="C2713" s="459">
        <v>10</v>
      </c>
      <c r="D2713" s="460">
        <v>2</v>
      </c>
      <c r="E2713" s="460">
        <v>2</v>
      </c>
      <c r="G2713" s="1798" t="s">
        <v>52</v>
      </c>
      <c r="H2713" s="1783" t="s">
        <v>1239</v>
      </c>
      <c r="I2713" s="1750" t="s">
        <v>8494</v>
      </c>
      <c r="J2713" s="1785" t="s">
        <v>3248</v>
      </c>
      <c r="K2713" s="1786" t="s">
        <v>642</v>
      </c>
      <c r="L2713" s="1787">
        <v>147.6</v>
      </c>
      <c r="M2713" s="1787">
        <v>2650.4955587130289</v>
      </c>
      <c r="N2713" s="1754">
        <v>391213.14446604298</v>
      </c>
      <c r="O2713" s="1788" t="s">
        <v>3252</v>
      </c>
      <c r="P2713" s="1721" t="s">
        <v>9611</v>
      </c>
    </row>
    <row r="2714" spans="1:16" ht="13.5" hidden="1" customHeight="1" outlineLevel="3" x14ac:dyDescent="0.2">
      <c r="A2714" s="459">
        <v>0</v>
      </c>
      <c r="B2714" s="459">
        <v>18</v>
      </c>
      <c r="C2714" s="459">
        <v>10</v>
      </c>
      <c r="D2714" s="460">
        <v>2</v>
      </c>
      <c r="E2714" s="460">
        <v>3</v>
      </c>
      <c r="G2714" s="1798" t="s">
        <v>52</v>
      </c>
      <c r="H2714" s="1783" t="s">
        <v>1239</v>
      </c>
      <c r="I2714" s="1750" t="s">
        <v>8495</v>
      </c>
      <c r="J2714" s="1785" t="s">
        <v>3249</v>
      </c>
      <c r="K2714" s="1786" t="s">
        <v>642</v>
      </c>
      <c r="L2714" s="1787">
        <v>279.04000000000002</v>
      </c>
      <c r="M2714" s="1787">
        <v>2873.7896511695099</v>
      </c>
      <c r="N2714" s="1754">
        <v>801902.26426234003</v>
      </c>
      <c r="O2714" s="1788" t="s">
        <v>3252</v>
      </c>
      <c r="P2714" s="1721" t="s">
        <v>9611</v>
      </c>
    </row>
    <row r="2715" spans="1:16" ht="12.75" hidden="1" customHeight="1" outlineLevel="2" x14ac:dyDescent="0.2">
      <c r="A2715" s="459">
        <v>0</v>
      </c>
      <c r="B2715" s="459">
        <v>18</v>
      </c>
      <c r="C2715" s="459">
        <v>10</v>
      </c>
      <c r="D2715" s="460">
        <v>3</v>
      </c>
      <c r="E2715" s="460">
        <v>0</v>
      </c>
      <c r="G2715" s="1797"/>
      <c r="H2715" s="1777" t="s">
        <v>1238</v>
      </c>
      <c r="I2715" s="1742" t="s">
        <v>8496</v>
      </c>
      <c r="J2715" s="1779" t="s">
        <v>2819</v>
      </c>
      <c r="K2715" s="1780"/>
      <c r="L2715" s="1781"/>
      <c r="M2715" s="1781"/>
      <c r="N2715" s="1746"/>
      <c r="O2715" s="1782"/>
      <c r="P2715" s="1720"/>
    </row>
    <row r="2716" spans="1:16" ht="12.75" hidden="1" customHeight="1" outlineLevel="3" x14ac:dyDescent="0.2">
      <c r="A2716" s="459">
        <v>0</v>
      </c>
      <c r="B2716" s="459">
        <v>18</v>
      </c>
      <c r="C2716" s="459">
        <v>10</v>
      </c>
      <c r="D2716" s="460">
        <v>3</v>
      </c>
      <c r="E2716" s="460">
        <v>1</v>
      </c>
      <c r="G2716" s="1798" t="s">
        <v>52</v>
      </c>
      <c r="H2716" s="1783" t="s">
        <v>1239</v>
      </c>
      <c r="I2716" s="1750" t="s">
        <v>8497</v>
      </c>
      <c r="J2716" s="1785" t="s">
        <v>797</v>
      </c>
      <c r="K2716" s="1786" t="s">
        <v>642</v>
      </c>
      <c r="L2716" s="1787" t="e">
        <v>#REF!</v>
      </c>
      <c r="M2716" s="1787">
        <v>1403.9850000000001</v>
      </c>
      <c r="N2716" s="1754"/>
      <c r="O2716" s="1788" t="s">
        <v>3251</v>
      </c>
      <c r="P2716" s="1721" t="s">
        <v>9611</v>
      </c>
    </row>
    <row r="2717" spans="1:16" ht="12.75" hidden="1" customHeight="1" outlineLevel="2" x14ac:dyDescent="0.2">
      <c r="A2717" s="459">
        <v>0</v>
      </c>
      <c r="B2717" s="459">
        <v>18</v>
      </c>
      <c r="C2717" s="459">
        <v>10</v>
      </c>
      <c r="D2717" s="460">
        <v>4</v>
      </c>
      <c r="E2717" s="460">
        <v>0</v>
      </c>
      <c r="G2717" s="1797"/>
      <c r="H2717" s="1777" t="s">
        <v>1238</v>
      </c>
      <c r="I2717" s="1742" t="s">
        <v>8498</v>
      </c>
      <c r="J2717" s="1779" t="s">
        <v>3259</v>
      </c>
      <c r="K2717" s="1780"/>
      <c r="L2717" s="1781"/>
      <c r="M2717" s="1781"/>
      <c r="N2717" s="1746"/>
      <c r="O2717" s="1782"/>
      <c r="P2717" s="1720"/>
    </row>
    <row r="2718" spans="1:16" ht="12.75" hidden="1" customHeight="1" outlineLevel="3" x14ac:dyDescent="0.2">
      <c r="A2718" s="459">
        <v>0</v>
      </c>
      <c r="B2718" s="459">
        <v>18</v>
      </c>
      <c r="C2718" s="459">
        <v>10</v>
      </c>
      <c r="D2718" s="460">
        <v>4</v>
      </c>
      <c r="E2718" s="460">
        <v>1</v>
      </c>
      <c r="G2718" s="1798" t="s">
        <v>52</v>
      </c>
      <c r="H2718" s="1783" t="s">
        <v>1239</v>
      </c>
      <c r="I2718" s="1750" t="s">
        <v>8499</v>
      </c>
      <c r="J2718" s="1785" t="s">
        <v>794</v>
      </c>
      <c r="K2718" s="1786" t="s">
        <v>642</v>
      </c>
      <c r="L2718" s="1787" t="e">
        <v>#REF!</v>
      </c>
      <c r="M2718" s="1787">
        <v>2122.5413895570964</v>
      </c>
      <c r="N2718" s="1754"/>
      <c r="O2718" s="1788" t="s">
        <v>3251</v>
      </c>
      <c r="P2718" s="1721" t="s">
        <v>9611</v>
      </c>
    </row>
    <row r="2719" spans="1:16" ht="13.5" hidden="1" customHeight="1" outlineLevel="1" x14ac:dyDescent="0.2">
      <c r="A2719" s="459">
        <v>0</v>
      </c>
      <c r="B2719" s="459">
        <v>18</v>
      </c>
      <c r="C2719" s="459">
        <v>11</v>
      </c>
      <c r="D2719" s="460">
        <v>0</v>
      </c>
      <c r="E2719" s="460">
        <v>1</v>
      </c>
      <c r="G2719" s="1796"/>
      <c r="H2719" s="1771" t="s">
        <v>39</v>
      </c>
      <c r="I2719" s="1735" t="s">
        <v>8500</v>
      </c>
      <c r="J2719" s="1773" t="s">
        <v>5518</v>
      </c>
      <c r="K2719" s="1774"/>
      <c r="L2719" s="1775"/>
      <c r="M2719" s="1775"/>
      <c r="N2719" s="1739"/>
      <c r="O2719" s="1776"/>
      <c r="P2719" s="1719"/>
    </row>
    <row r="2720" spans="1:16" ht="13.5" hidden="1" customHeight="1" outlineLevel="2" x14ac:dyDescent="0.2">
      <c r="A2720" s="459">
        <v>0</v>
      </c>
      <c r="B2720" s="459">
        <v>18</v>
      </c>
      <c r="C2720" s="459">
        <v>11</v>
      </c>
      <c r="D2720" s="460">
        <v>1</v>
      </c>
      <c r="E2720" s="460">
        <v>0</v>
      </c>
      <c r="G2720" s="1797"/>
      <c r="H2720" s="1777" t="s">
        <v>1238</v>
      </c>
      <c r="I2720" s="1742" t="s">
        <v>8501</v>
      </c>
      <c r="J2720" s="1779" t="s">
        <v>28</v>
      </c>
      <c r="K2720" s="1780"/>
      <c r="L2720" s="1781"/>
      <c r="M2720" s="1781"/>
      <c r="N2720" s="1746">
        <v>58746.072</v>
      </c>
      <c r="O2720" s="1782">
        <v>3.50729727809563</v>
      </c>
      <c r="P2720" s="1720"/>
    </row>
    <row r="2721" spans="1:16" ht="13.5" hidden="1" customHeight="1" outlineLevel="3" x14ac:dyDescent="0.2">
      <c r="A2721" s="459">
        <v>0</v>
      </c>
      <c r="B2721" s="459">
        <v>18</v>
      </c>
      <c r="C2721" s="459">
        <v>11</v>
      </c>
      <c r="D2721" s="460">
        <v>1</v>
      </c>
      <c r="E2721" s="460">
        <v>1</v>
      </c>
      <c r="G2721" s="1798" t="s">
        <v>52</v>
      </c>
      <c r="H2721" s="1783" t="s">
        <v>1239</v>
      </c>
      <c r="I2721" s="1750" t="s">
        <v>8502</v>
      </c>
      <c r="J2721" s="1785" t="s">
        <v>791</v>
      </c>
      <c r="K2721" s="1786" t="s">
        <v>788</v>
      </c>
      <c r="L2721" s="1787">
        <v>2527.7999999999993</v>
      </c>
      <c r="M2721" s="1787">
        <v>23.240000000000002</v>
      </c>
      <c r="N2721" s="1754">
        <v>58746.072</v>
      </c>
      <c r="O2721" s="1788" t="s">
        <v>3252</v>
      </c>
      <c r="P2721" s="1721" t="s">
        <v>9611</v>
      </c>
    </row>
    <row r="2722" spans="1:16" ht="13.5" hidden="1" customHeight="1" outlineLevel="2" x14ac:dyDescent="0.2">
      <c r="A2722" s="459">
        <v>0</v>
      </c>
      <c r="B2722" s="459">
        <v>18</v>
      </c>
      <c r="C2722" s="459">
        <v>11</v>
      </c>
      <c r="D2722" s="460">
        <v>2</v>
      </c>
      <c r="E2722" s="460">
        <v>0</v>
      </c>
      <c r="G2722" s="1797"/>
      <c r="H2722" s="1777" t="s">
        <v>1238</v>
      </c>
      <c r="I2722" s="1742" t="s">
        <v>8503</v>
      </c>
      <c r="J2722" s="1779" t="s">
        <v>29</v>
      </c>
      <c r="K2722" s="1780"/>
      <c r="L2722" s="1781"/>
      <c r="M2722" s="1781"/>
      <c r="N2722" s="1746">
        <v>2758088.76857745</v>
      </c>
      <c r="O2722" s="1782"/>
      <c r="P2722" s="1720"/>
    </row>
    <row r="2723" spans="1:16" ht="13.5" hidden="1" customHeight="1" outlineLevel="3" x14ac:dyDescent="0.2">
      <c r="A2723" s="459">
        <v>0</v>
      </c>
      <c r="B2723" s="459">
        <v>18</v>
      </c>
      <c r="C2723" s="459">
        <v>11</v>
      </c>
      <c r="D2723" s="460">
        <v>2</v>
      </c>
      <c r="E2723" s="460">
        <v>1</v>
      </c>
      <c r="G2723" s="1798" t="s">
        <v>52</v>
      </c>
      <c r="H2723" s="1783" t="s">
        <v>1239</v>
      </c>
      <c r="I2723" s="1750" t="s">
        <v>8504</v>
      </c>
      <c r="J2723" s="1785" t="s">
        <v>3247</v>
      </c>
      <c r="K2723" s="1786" t="s">
        <v>642</v>
      </c>
      <c r="L2723" s="1787">
        <v>217.8</v>
      </c>
      <c r="M2723" s="1787">
        <v>1906.3139681515586</v>
      </c>
      <c r="N2723" s="1754">
        <v>415195.18226340902</v>
      </c>
      <c r="O2723" s="1788" t="s">
        <v>3252</v>
      </c>
      <c r="P2723" s="1721" t="s">
        <v>9611</v>
      </c>
    </row>
    <row r="2724" spans="1:16" ht="13.5" hidden="1" customHeight="1" outlineLevel="3" x14ac:dyDescent="0.2">
      <c r="A2724" s="459">
        <v>0</v>
      </c>
      <c r="B2724" s="459">
        <v>18</v>
      </c>
      <c r="C2724" s="459">
        <v>11</v>
      </c>
      <c r="D2724" s="460">
        <v>2</v>
      </c>
      <c r="E2724" s="460">
        <v>2</v>
      </c>
      <c r="G2724" s="1798" t="s">
        <v>52</v>
      </c>
      <c r="H2724" s="1783" t="s">
        <v>1239</v>
      </c>
      <c r="I2724" s="1750" t="s">
        <v>8505</v>
      </c>
      <c r="J2724" s="1785" t="s">
        <v>3248</v>
      </c>
      <c r="K2724" s="1786" t="s">
        <v>642</v>
      </c>
      <c r="L2724" s="1787">
        <v>356.78500000000003</v>
      </c>
      <c r="M2724" s="1787">
        <v>2650.4955587130289</v>
      </c>
      <c r="N2724" s="1754">
        <v>945657.05791542795</v>
      </c>
      <c r="O2724" s="1788" t="s">
        <v>3252</v>
      </c>
      <c r="P2724" s="1721" t="s">
        <v>9611</v>
      </c>
    </row>
    <row r="2725" spans="1:16" ht="13.5" hidden="1" customHeight="1" outlineLevel="3" x14ac:dyDescent="0.2">
      <c r="A2725" s="459">
        <v>0</v>
      </c>
      <c r="B2725" s="459">
        <v>18</v>
      </c>
      <c r="C2725" s="459">
        <v>11</v>
      </c>
      <c r="D2725" s="460">
        <v>2</v>
      </c>
      <c r="E2725" s="460">
        <v>3</v>
      </c>
      <c r="G2725" s="1798" t="s">
        <v>52</v>
      </c>
      <c r="H2725" s="1783" t="s">
        <v>1239</v>
      </c>
      <c r="I2725" s="1750" t="s">
        <v>8506</v>
      </c>
      <c r="J2725" s="1785" t="s">
        <v>3249</v>
      </c>
      <c r="K2725" s="1786" t="s">
        <v>642</v>
      </c>
      <c r="L2725" s="1787">
        <v>486.20000000000005</v>
      </c>
      <c r="M2725" s="1787">
        <v>2873.7896511695099</v>
      </c>
      <c r="N2725" s="1754">
        <v>1397236.52839862</v>
      </c>
      <c r="O2725" s="1788" t="s">
        <v>3252</v>
      </c>
      <c r="P2725" s="1721" t="s">
        <v>9611</v>
      </c>
    </row>
    <row r="2726" spans="1:16" ht="12.75" hidden="1" customHeight="1" outlineLevel="2" x14ac:dyDescent="0.2">
      <c r="A2726" s="459">
        <v>0</v>
      </c>
      <c r="B2726" s="459">
        <v>18</v>
      </c>
      <c r="C2726" s="459">
        <v>11</v>
      </c>
      <c r="D2726" s="460">
        <v>3</v>
      </c>
      <c r="E2726" s="460">
        <v>0</v>
      </c>
      <c r="G2726" s="1797"/>
      <c r="H2726" s="1777" t="s">
        <v>1238</v>
      </c>
      <c r="I2726" s="1742" t="s">
        <v>8507</v>
      </c>
      <c r="J2726" s="1779" t="s">
        <v>2819</v>
      </c>
      <c r="K2726" s="1780"/>
      <c r="L2726" s="1781"/>
      <c r="M2726" s="1781"/>
      <c r="N2726" s="1746"/>
      <c r="O2726" s="1782"/>
      <c r="P2726" s="1720"/>
    </row>
    <row r="2727" spans="1:16" ht="12.75" hidden="1" customHeight="1" outlineLevel="3" x14ac:dyDescent="0.2">
      <c r="A2727" s="459">
        <v>0</v>
      </c>
      <c r="B2727" s="459">
        <v>18</v>
      </c>
      <c r="C2727" s="459">
        <v>11</v>
      </c>
      <c r="D2727" s="460">
        <v>3</v>
      </c>
      <c r="E2727" s="460">
        <v>1</v>
      </c>
      <c r="G2727" s="1798" t="s">
        <v>52</v>
      </c>
      <c r="H2727" s="1783" t="s">
        <v>1239</v>
      </c>
      <c r="I2727" s="1750" t="s">
        <v>8508</v>
      </c>
      <c r="J2727" s="1785" t="s">
        <v>797</v>
      </c>
      <c r="K2727" s="1786" t="s">
        <v>642</v>
      </c>
      <c r="L2727" s="1787" t="e">
        <v>#REF!</v>
      </c>
      <c r="M2727" s="1787">
        <v>1403.9850000000001</v>
      </c>
      <c r="N2727" s="1754"/>
      <c r="O2727" s="1788" t="s">
        <v>3251</v>
      </c>
      <c r="P2727" s="1721" t="s">
        <v>9611</v>
      </c>
    </row>
    <row r="2728" spans="1:16" ht="12.75" hidden="1" customHeight="1" outlineLevel="2" x14ac:dyDescent="0.2">
      <c r="A2728" s="459">
        <v>0</v>
      </c>
      <c r="B2728" s="459">
        <v>18</v>
      </c>
      <c r="C2728" s="459">
        <v>11</v>
      </c>
      <c r="D2728" s="460">
        <v>4</v>
      </c>
      <c r="E2728" s="460">
        <v>0</v>
      </c>
      <c r="G2728" s="1797"/>
      <c r="H2728" s="1777" t="s">
        <v>1238</v>
      </c>
      <c r="I2728" s="1742" t="s">
        <v>8509</v>
      </c>
      <c r="J2728" s="1779" t="s">
        <v>3259</v>
      </c>
      <c r="K2728" s="1780"/>
      <c r="L2728" s="1781"/>
      <c r="M2728" s="1781"/>
      <c r="N2728" s="1746"/>
      <c r="O2728" s="1782"/>
      <c r="P2728" s="1720"/>
    </row>
    <row r="2729" spans="1:16" ht="12.75" hidden="1" customHeight="1" outlineLevel="3" x14ac:dyDescent="0.2">
      <c r="A2729" s="459">
        <v>0</v>
      </c>
      <c r="B2729" s="459">
        <v>18</v>
      </c>
      <c r="C2729" s="459">
        <v>11</v>
      </c>
      <c r="D2729" s="460">
        <v>4</v>
      </c>
      <c r="E2729" s="460">
        <v>1</v>
      </c>
      <c r="G2729" s="1798" t="s">
        <v>52</v>
      </c>
      <c r="H2729" s="1783" t="s">
        <v>1239</v>
      </c>
      <c r="I2729" s="1750" t="s">
        <v>8510</v>
      </c>
      <c r="J2729" s="1785" t="s">
        <v>794</v>
      </c>
      <c r="K2729" s="1786" t="s">
        <v>642</v>
      </c>
      <c r="L2729" s="1787" t="e">
        <v>#REF!</v>
      </c>
      <c r="M2729" s="1787">
        <v>2122.5413895570964</v>
      </c>
      <c r="N2729" s="1754"/>
      <c r="O2729" s="1788" t="s">
        <v>3251</v>
      </c>
      <c r="P2729" s="1721" t="s">
        <v>9611</v>
      </c>
    </row>
    <row r="2730" spans="1:16" ht="13.5" hidden="1" customHeight="1" outlineLevel="1" x14ac:dyDescent="0.2">
      <c r="A2730" s="459">
        <v>0</v>
      </c>
      <c r="B2730" s="459">
        <v>18</v>
      </c>
      <c r="C2730" s="459">
        <v>12</v>
      </c>
      <c r="D2730" s="460">
        <v>0</v>
      </c>
      <c r="E2730" s="460">
        <v>1</v>
      </c>
      <c r="G2730" s="1796"/>
      <c r="H2730" s="1771" t="s">
        <v>39</v>
      </c>
      <c r="I2730" s="1735" t="s">
        <v>8511</v>
      </c>
      <c r="J2730" s="1773" t="s">
        <v>5519</v>
      </c>
      <c r="K2730" s="1774"/>
      <c r="L2730" s="1775"/>
      <c r="M2730" s="1775"/>
      <c r="N2730" s="1739"/>
      <c r="O2730" s="1776"/>
      <c r="P2730" s="1719"/>
    </row>
    <row r="2731" spans="1:16" ht="13.5" hidden="1" customHeight="1" outlineLevel="2" x14ac:dyDescent="0.2">
      <c r="A2731" s="459">
        <v>0</v>
      </c>
      <c r="B2731" s="459">
        <v>18</v>
      </c>
      <c r="C2731" s="459">
        <v>12</v>
      </c>
      <c r="D2731" s="460">
        <v>1</v>
      </c>
      <c r="E2731" s="460">
        <v>0</v>
      </c>
      <c r="G2731" s="1797"/>
      <c r="H2731" s="1777" t="s">
        <v>1238</v>
      </c>
      <c r="I2731" s="1742" t="s">
        <v>8512</v>
      </c>
      <c r="J2731" s="1779" t="s">
        <v>28</v>
      </c>
      <c r="K2731" s="1780"/>
      <c r="L2731" s="1781"/>
      <c r="M2731" s="1781"/>
      <c r="N2731" s="1746">
        <v>3160.64</v>
      </c>
      <c r="O2731" s="1782">
        <v>0.18869864301804201</v>
      </c>
      <c r="P2731" s="1720"/>
    </row>
    <row r="2732" spans="1:16" ht="13.5" hidden="1" customHeight="1" outlineLevel="3" x14ac:dyDescent="0.2">
      <c r="A2732" s="459">
        <v>0</v>
      </c>
      <c r="B2732" s="459">
        <v>18</v>
      </c>
      <c r="C2732" s="459">
        <v>12</v>
      </c>
      <c r="D2732" s="460">
        <v>1</v>
      </c>
      <c r="E2732" s="460">
        <v>1</v>
      </c>
      <c r="G2732" s="1798" t="s">
        <v>52</v>
      </c>
      <c r="H2732" s="1783" t="s">
        <v>1239</v>
      </c>
      <c r="I2732" s="1750" t="s">
        <v>8513</v>
      </c>
      <c r="J2732" s="1785" t="s">
        <v>791</v>
      </c>
      <c r="K2732" s="1786" t="s">
        <v>788</v>
      </c>
      <c r="L2732" s="1787">
        <v>136</v>
      </c>
      <c r="M2732" s="1787">
        <v>23.240000000000002</v>
      </c>
      <c r="N2732" s="1754">
        <v>3160.64</v>
      </c>
      <c r="O2732" s="1788" t="s">
        <v>3252</v>
      </c>
      <c r="P2732" s="1721" t="s">
        <v>9611</v>
      </c>
    </row>
    <row r="2733" spans="1:16" ht="13.5" hidden="1" customHeight="1" outlineLevel="2" x14ac:dyDescent="0.2">
      <c r="A2733" s="459">
        <v>0</v>
      </c>
      <c r="B2733" s="459">
        <v>18</v>
      </c>
      <c r="C2733" s="459">
        <v>12</v>
      </c>
      <c r="D2733" s="460">
        <v>2</v>
      </c>
      <c r="E2733" s="460">
        <v>0</v>
      </c>
      <c r="G2733" s="1797"/>
      <c r="H2733" s="1777" t="s">
        <v>1238</v>
      </c>
      <c r="I2733" s="1742" t="s">
        <v>8514</v>
      </c>
      <c r="J2733" s="1779" t="s">
        <v>29</v>
      </c>
      <c r="K2733" s="1780"/>
      <c r="L2733" s="1781"/>
      <c r="M2733" s="1781"/>
      <c r="N2733" s="1746">
        <v>142210.563665903</v>
      </c>
      <c r="O2733" s="1782"/>
      <c r="P2733" s="1720"/>
    </row>
    <row r="2734" spans="1:16" ht="13.5" hidden="1" customHeight="1" outlineLevel="3" x14ac:dyDescent="0.2">
      <c r="A2734" s="459">
        <v>0</v>
      </c>
      <c r="B2734" s="459">
        <v>18</v>
      </c>
      <c r="C2734" s="459">
        <v>12</v>
      </c>
      <c r="D2734" s="460">
        <v>2</v>
      </c>
      <c r="E2734" s="460">
        <v>1</v>
      </c>
      <c r="G2734" s="1798" t="s">
        <v>52</v>
      </c>
      <c r="H2734" s="1783" t="s">
        <v>1239</v>
      </c>
      <c r="I2734" s="1750" t="s">
        <v>8515</v>
      </c>
      <c r="J2734" s="1785" t="s">
        <v>3247</v>
      </c>
      <c r="K2734" s="1786" t="s">
        <v>642</v>
      </c>
      <c r="L2734" s="1787">
        <v>9.9</v>
      </c>
      <c r="M2734" s="1787">
        <v>1906.3139681515586</v>
      </c>
      <c r="N2734" s="1754">
        <v>18872.508284700401</v>
      </c>
      <c r="O2734" s="1788" t="s">
        <v>3252</v>
      </c>
      <c r="P2734" s="1721" t="s">
        <v>9611</v>
      </c>
    </row>
    <row r="2735" spans="1:16" ht="13.5" hidden="1" customHeight="1" outlineLevel="3" x14ac:dyDescent="0.2">
      <c r="A2735" s="459">
        <v>0</v>
      </c>
      <c r="B2735" s="459">
        <v>18</v>
      </c>
      <c r="C2735" s="459">
        <v>12</v>
      </c>
      <c r="D2735" s="460">
        <v>2</v>
      </c>
      <c r="E2735" s="460">
        <v>2</v>
      </c>
      <c r="G2735" s="1798" t="s">
        <v>52</v>
      </c>
      <c r="H2735" s="1783" t="s">
        <v>1239</v>
      </c>
      <c r="I2735" s="1750" t="s">
        <v>8516</v>
      </c>
      <c r="J2735" s="1785" t="s">
        <v>3248</v>
      </c>
      <c r="K2735" s="1786" t="s">
        <v>642</v>
      </c>
      <c r="L2735" s="1787">
        <v>14.115</v>
      </c>
      <c r="M2735" s="1787">
        <v>2650.4955587130289</v>
      </c>
      <c r="N2735" s="1754">
        <v>37411.744811234399</v>
      </c>
      <c r="O2735" s="1788" t="s">
        <v>3252</v>
      </c>
      <c r="P2735" s="1721" t="s">
        <v>9611</v>
      </c>
    </row>
    <row r="2736" spans="1:16" ht="13.5" hidden="1" customHeight="1" outlineLevel="3" x14ac:dyDescent="0.2">
      <c r="A2736" s="459">
        <v>0</v>
      </c>
      <c r="B2736" s="459">
        <v>18</v>
      </c>
      <c r="C2736" s="459">
        <v>12</v>
      </c>
      <c r="D2736" s="460">
        <v>2</v>
      </c>
      <c r="E2736" s="460">
        <v>3</v>
      </c>
      <c r="G2736" s="1798" t="s">
        <v>52</v>
      </c>
      <c r="H2736" s="1783" t="s">
        <v>1239</v>
      </c>
      <c r="I2736" s="1750" t="s">
        <v>8517</v>
      </c>
      <c r="J2736" s="1785" t="s">
        <v>3249</v>
      </c>
      <c r="K2736" s="1786" t="s">
        <v>642</v>
      </c>
      <c r="L2736" s="1787">
        <v>29.900000000000006</v>
      </c>
      <c r="M2736" s="1787">
        <v>2873.7896511695099</v>
      </c>
      <c r="N2736" s="1754">
        <v>85926.310569968395</v>
      </c>
      <c r="O2736" s="1788" t="s">
        <v>3252</v>
      </c>
      <c r="P2736" s="1721" t="s">
        <v>9611</v>
      </c>
    </row>
    <row r="2737" spans="1:16" ht="12.75" hidden="1" customHeight="1" outlineLevel="2" x14ac:dyDescent="0.2">
      <c r="A2737" s="459">
        <v>0</v>
      </c>
      <c r="B2737" s="459">
        <v>18</v>
      </c>
      <c r="C2737" s="459">
        <v>12</v>
      </c>
      <c r="D2737" s="460">
        <v>3</v>
      </c>
      <c r="E2737" s="460">
        <v>0</v>
      </c>
      <c r="G2737" s="1797"/>
      <c r="H2737" s="1777" t="s">
        <v>1238</v>
      </c>
      <c r="I2737" s="1742" t="s">
        <v>8518</v>
      </c>
      <c r="J2737" s="1779" t="s">
        <v>2819</v>
      </c>
      <c r="K2737" s="1780"/>
      <c r="L2737" s="1781"/>
      <c r="M2737" s="1781"/>
      <c r="N2737" s="1746"/>
      <c r="O2737" s="1782"/>
      <c r="P2737" s="1720"/>
    </row>
    <row r="2738" spans="1:16" ht="12.75" hidden="1" customHeight="1" outlineLevel="3" x14ac:dyDescent="0.2">
      <c r="A2738" s="459">
        <v>0</v>
      </c>
      <c r="B2738" s="459">
        <v>18</v>
      </c>
      <c r="C2738" s="459">
        <v>12</v>
      </c>
      <c r="D2738" s="460">
        <v>3</v>
      </c>
      <c r="E2738" s="460">
        <v>1</v>
      </c>
      <c r="G2738" s="1798" t="s">
        <v>52</v>
      </c>
      <c r="H2738" s="1783" t="s">
        <v>1239</v>
      </c>
      <c r="I2738" s="1750" t="s">
        <v>8519</v>
      </c>
      <c r="J2738" s="1785" t="s">
        <v>797</v>
      </c>
      <c r="K2738" s="1786" t="s">
        <v>642</v>
      </c>
      <c r="L2738" s="1787" t="e">
        <v>#REF!</v>
      </c>
      <c r="M2738" s="1787">
        <v>1403.9850000000001</v>
      </c>
      <c r="N2738" s="1754"/>
      <c r="O2738" s="1788" t="s">
        <v>3251</v>
      </c>
      <c r="P2738" s="1721" t="s">
        <v>9611</v>
      </c>
    </row>
    <row r="2739" spans="1:16" ht="12.75" hidden="1" customHeight="1" outlineLevel="2" x14ac:dyDescent="0.2">
      <c r="A2739" s="459">
        <v>0</v>
      </c>
      <c r="B2739" s="459">
        <v>18</v>
      </c>
      <c r="C2739" s="459">
        <v>12</v>
      </c>
      <c r="D2739" s="460">
        <v>4</v>
      </c>
      <c r="E2739" s="460">
        <v>0</v>
      </c>
      <c r="G2739" s="1797"/>
      <c r="H2739" s="1777" t="s">
        <v>1238</v>
      </c>
      <c r="I2739" s="1742" t="s">
        <v>8520</v>
      </c>
      <c r="J2739" s="1779" t="s">
        <v>3259</v>
      </c>
      <c r="K2739" s="1780"/>
      <c r="L2739" s="1781"/>
      <c r="M2739" s="1781"/>
      <c r="N2739" s="1746"/>
      <c r="O2739" s="1782"/>
      <c r="P2739" s="1720"/>
    </row>
    <row r="2740" spans="1:16" ht="12.75" hidden="1" customHeight="1" outlineLevel="3" x14ac:dyDescent="0.2">
      <c r="A2740" s="459">
        <v>0</v>
      </c>
      <c r="B2740" s="459">
        <v>18</v>
      </c>
      <c r="C2740" s="459">
        <v>12</v>
      </c>
      <c r="D2740" s="460">
        <v>4</v>
      </c>
      <c r="E2740" s="460">
        <v>1</v>
      </c>
      <c r="G2740" s="1798" t="s">
        <v>52</v>
      </c>
      <c r="H2740" s="1783" t="s">
        <v>1239</v>
      </c>
      <c r="I2740" s="1750" t="s">
        <v>8521</v>
      </c>
      <c r="J2740" s="1785" t="s">
        <v>794</v>
      </c>
      <c r="K2740" s="1786" t="s">
        <v>642</v>
      </c>
      <c r="L2740" s="1787" t="e">
        <v>#REF!</v>
      </c>
      <c r="M2740" s="1787">
        <v>2122.5413895570964</v>
      </c>
      <c r="N2740" s="1754"/>
      <c r="O2740" s="1788" t="s">
        <v>3251</v>
      </c>
      <c r="P2740" s="1721" t="s">
        <v>9611</v>
      </c>
    </row>
    <row r="2741" spans="1:16" ht="13.5" hidden="1" customHeight="1" outlineLevel="1" x14ac:dyDescent="0.2">
      <c r="A2741" s="459">
        <v>0</v>
      </c>
      <c r="B2741" s="459">
        <v>18</v>
      </c>
      <c r="C2741" s="459">
        <v>13</v>
      </c>
      <c r="D2741" s="460">
        <v>0</v>
      </c>
      <c r="E2741" s="460">
        <v>1</v>
      </c>
      <c r="G2741" s="1796"/>
      <c r="H2741" s="1771" t="s">
        <v>39</v>
      </c>
      <c r="I2741" s="1735" t="s">
        <v>8522</v>
      </c>
      <c r="J2741" s="1773" t="s">
        <v>5520</v>
      </c>
      <c r="K2741" s="1774"/>
      <c r="L2741" s="1775"/>
      <c r="M2741" s="1775"/>
      <c r="N2741" s="1739"/>
      <c r="O2741" s="1776"/>
      <c r="P2741" s="1719"/>
    </row>
    <row r="2742" spans="1:16" ht="13.5" hidden="1" customHeight="1" outlineLevel="2" x14ac:dyDescent="0.2">
      <c r="A2742" s="459">
        <v>0</v>
      </c>
      <c r="B2742" s="459">
        <v>18</v>
      </c>
      <c r="C2742" s="459">
        <v>13</v>
      </c>
      <c r="D2742" s="460">
        <v>1</v>
      </c>
      <c r="E2742" s="460">
        <v>0</v>
      </c>
      <c r="G2742" s="1797"/>
      <c r="H2742" s="1777" t="s">
        <v>1238</v>
      </c>
      <c r="I2742" s="1742" t="s">
        <v>8523</v>
      </c>
      <c r="J2742" s="1779" t="s">
        <v>28</v>
      </c>
      <c r="K2742" s="1780"/>
      <c r="L2742" s="1781"/>
      <c r="M2742" s="1781"/>
      <c r="N2742" s="1746">
        <v>1861.5239999999999</v>
      </c>
      <c r="O2742" s="1782">
        <v>0.11113795077753801</v>
      </c>
      <c r="P2742" s="1720"/>
    </row>
    <row r="2743" spans="1:16" ht="13.5" hidden="1" customHeight="1" outlineLevel="3" x14ac:dyDescent="0.2">
      <c r="A2743" s="459">
        <v>0</v>
      </c>
      <c r="B2743" s="459">
        <v>18</v>
      </c>
      <c r="C2743" s="459">
        <v>13</v>
      </c>
      <c r="D2743" s="460">
        <v>1</v>
      </c>
      <c r="E2743" s="460">
        <v>1</v>
      </c>
      <c r="G2743" s="1798" t="s">
        <v>52</v>
      </c>
      <c r="H2743" s="1783" t="s">
        <v>1239</v>
      </c>
      <c r="I2743" s="1750" t="s">
        <v>8524</v>
      </c>
      <c r="J2743" s="1785" t="s">
        <v>791</v>
      </c>
      <c r="K2743" s="1786" t="s">
        <v>788</v>
      </c>
      <c r="L2743" s="1787">
        <v>80.099999999999994</v>
      </c>
      <c r="M2743" s="1787">
        <v>23.240000000000002</v>
      </c>
      <c r="N2743" s="1754">
        <v>1861.5239999999999</v>
      </c>
      <c r="O2743" s="1788" t="s">
        <v>3252</v>
      </c>
      <c r="P2743" s="1721" t="s">
        <v>9611</v>
      </c>
    </row>
    <row r="2744" spans="1:16" ht="13.5" hidden="1" customHeight="1" outlineLevel="2" x14ac:dyDescent="0.2">
      <c r="A2744" s="459">
        <v>0</v>
      </c>
      <c r="B2744" s="459">
        <v>18</v>
      </c>
      <c r="C2744" s="459">
        <v>13</v>
      </c>
      <c r="D2744" s="460">
        <v>2</v>
      </c>
      <c r="E2744" s="460">
        <v>0</v>
      </c>
      <c r="G2744" s="1797"/>
      <c r="H2744" s="1777" t="s">
        <v>1238</v>
      </c>
      <c r="I2744" s="1742" t="s">
        <v>8525</v>
      </c>
      <c r="J2744" s="1779" t="s">
        <v>29</v>
      </c>
      <c r="K2744" s="1780"/>
      <c r="L2744" s="1781"/>
      <c r="M2744" s="1781"/>
      <c r="N2744" s="1746">
        <v>94528.5867973969</v>
      </c>
      <c r="O2744" s="1782"/>
      <c r="P2744" s="1720"/>
    </row>
    <row r="2745" spans="1:16" ht="13.5" hidden="1" customHeight="1" outlineLevel="3" x14ac:dyDescent="0.2">
      <c r="A2745" s="459">
        <v>0</v>
      </c>
      <c r="B2745" s="459">
        <v>18</v>
      </c>
      <c r="C2745" s="459">
        <v>13</v>
      </c>
      <c r="D2745" s="460">
        <v>2</v>
      </c>
      <c r="E2745" s="460">
        <v>1</v>
      </c>
      <c r="G2745" s="1798" t="s">
        <v>52</v>
      </c>
      <c r="H2745" s="1783" t="s">
        <v>1239</v>
      </c>
      <c r="I2745" s="1750" t="s">
        <v>8526</v>
      </c>
      <c r="J2745" s="1785" t="s">
        <v>3247</v>
      </c>
      <c r="K2745" s="1786" t="s">
        <v>642</v>
      </c>
      <c r="L2745" s="1787">
        <v>11.94</v>
      </c>
      <c r="M2745" s="1787">
        <v>1906.3139681515586</v>
      </c>
      <c r="N2745" s="1754">
        <v>22761.388779729601</v>
      </c>
      <c r="O2745" s="1788" t="s">
        <v>3252</v>
      </c>
      <c r="P2745" s="1721" t="s">
        <v>9611</v>
      </c>
    </row>
    <row r="2746" spans="1:16" ht="13.5" hidden="1" customHeight="1" outlineLevel="3" x14ac:dyDescent="0.2">
      <c r="A2746" s="459">
        <v>0</v>
      </c>
      <c r="B2746" s="459">
        <v>18</v>
      </c>
      <c r="C2746" s="459">
        <v>13</v>
      </c>
      <c r="D2746" s="460">
        <v>2</v>
      </c>
      <c r="E2746" s="460">
        <v>2</v>
      </c>
      <c r="G2746" s="1798" t="s">
        <v>52</v>
      </c>
      <c r="H2746" s="1783" t="s">
        <v>1239</v>
      </c>
      <c r="I2746" s="1750" t="s">
        <v>8527</v>
      </c>
      <c r="J2746" s="1785" t="s">
        <v>3248</v>
      </c>
      <c r="K2746" s="1786" t="s">
        <v>642</v>
      </c>
      <c r="L2746" s="1787">
        <v>10.965</v>
      </c>
      <c r="M2746" s="1787">
        <v>2650.4955587130289</v>
      </c>
      <c r="N2746" s="1754">
        <v>29062.6838012884</v>
      </c>
      <c r="O2746" s="1788" t="s">
        <v>3252</v>
      </c>
      <c r="P2746" s="1721" t="s">
        <v>9611</v>
      </c>
    </row>
    <row r="2747" spans="1:16" ht="13.5" hidden="1" customHeight="1" outlineLevel="3" x14ac:dyDescent="0.2">
      <c r="A2747" s="459">
        <v>0</v>
      </c>
      <c r="B2747" s="459">
        <v>18</v>
      </c>
      <c r="C2747" s="459">
        <v>13</v>
      </c>
      <c r="D2747" s="460">
        <v>2</v>
      </c>
      <c r="E2747" s="460">
        <v>3</v>
      </c>
      <c r="G2747" s="1798" t="s">
        <v>52</v>
      </c>
      <c r="H2747" s="1783" t="s">
        <v>1239</v>
      </c>
      <c r="I2747" s="1750" t="s">
        <v>8528</v>
      </c>
      <c r="J2747" s="1785" t="s">
        <v>3249</v>
      </c>
      <c r="K2747" s="1786" t="s">
        <v>642</v>
      </c>
      <c r="L2747" s="1787">
        <v>14.86</v>
      </c>
      <c r="M2747" s="1787">
        <v>2873.7896511695099</v>
      </c>
      <c r="N2747" s="1754">
        <v>42704.514216378899</v>
      </c>
      <c r="O2747" s="1788" t="s">
        <v>3252</v>
      </c>
      <c r="P2747" s="1721" t="s">
        <v>9611</v>
      </c>
    </row>
    <row r="2748" spans="1:16" ht="12.75" hidden="1" customHeight="1" outlineLevel="2" x14ac:dyDescent="0.2">
      <c r="A2748" s="459">
        <v>0</v>
      </c>
      <c r="B2748" s="459">
        <v>18</v>
      </c>
      <c r="C2748" s="459">
        <v>13</v>
      </c>
      <c r="D2748" s="460">
        <v>3</v>
      </c>
      <c r="E2748" s="460">
        <v>0</v>
      </c>
      <c r="G2748" s="1797"/>
      <c r="H2748" s="1777" t="s">
        <v>1238</v>
      </c>
      <c r="I2748" s="1742" t="s">
        <v>8529</v>
      </c>
      <c r="J2748" s="1779" t="s">
        <v>2819</v>
      </c>
      <c r="K2748" s="1780"/>
      <c r="L2748" s="1781"/>
      <c r="M2748" s="1781"/>
      <c r="N2748" s="1746"/>
      <c r="O2748" s="1782"/>
      <c r="P2748" s="1720"/>
    </row>
    <row r="2749" spans="1:16" ht="12.75" hidden="1" customHeight="1" outlineLevel="3" x14ac:dyDescent="0.2">
      <c r="A2749" s="459">
        <v>0</v>
      </c>
      <c r="B2749" s="459">
        <v>18</v>
      </c>
      <c r="C2749" s="459">
        <v>13</v>
      </c>
      <c r="D2749" s="460">
        <v>3</v>
      </c>
      <c r="E2749" s="460">
        <v>1</v>
      </c>
      <c r="G2749" s="1798" t="s">
        <v>52</v>
      </c>
      <c r="H2749" s="1783" t="s">
        <v>1239</v>
      </c>
      <c r="I2749" s="1750" t="s">
        <v>8530</v>
      </c>
      <c r="J2749" s="1785" t="s">
        <v>797</v>
      </c>
      <c r="K2749" s="1786" t="s">
        <v>642</v>
      </c>
      <c r="L2749" s="1787" t="e">
        <v>#REF!</v>
      </c>
      <c r="M2749" s="1787">
        <v>1403.9850000000001</v>
      </c>
      <c r="N2749" s="1754"/>
      <c r="O2749" s="1788" t="s">
        <v>3251</v>
      </c>
      <c r="P2749" s="1721" t="s">
        <v>9611</v>
      </c>
    </row>
    <row r="2750" spans="1:16" ht="12.75" hidden="1" customHeight="1" outlineLevel="2" x14ac:dyDescent="0.2">
      <c r="A2750" s="459">
        <v>0</v>
      </c>
      <c r="B2750" s="459">
        <v>18</v>
      </c>
      <c r="C2750" s="459">
        <v>13</v>
      </c>
      <c r="D2750" s="460">
        <v>4</v>
      </c>
      <c r="E2750" s="460">
        <v>0</v>
      </c>
      <c r="G2750" s="1797"/>
      <c r="H2750" s="1777" t="s">
        <v>1238</v>
      </c>
      <c r="I2750" s="1742" t="s">
        <v>8531</v>
      </c>
      <c r="J2750" s="1779" t="s">
        <v>3259</v>
      </c>
      <c r="K2750" s="1780"/>
      <c r="L2750" s="1781"/>
      <c r="M2750" s="1781"/>
      <c r="N2750" s="1746"/>
      <c r="O2750" s="1782"/>
      <c r="P2750" s="1720"/>
    </row>
    <row r="2751" spans="1:16" ht="12.75" hidden="1" customHeight="1" outlineLevel="3" x14ac:dyDescent="0.2">
      <c r="A2751" s="459">
        <v>0</v>
      </c>
      <c r="B2751" s="459">
        <v>18</v>
      </c>
      <c r="C2751" s="459">
        <v>13</v>
      </c>
      <c r="D2751" s="460">
        <v>4</v>
      </c>
      <c r="E2751" s="460">
        <v>1</v>
      </c>
      <c r="G2751" s="1798" t="s">
        <v>52</v>
      </c>
      <c r="H2751" s="1783" t="s">
        <v>1239</v>
      </c>
      <c r="I2751" s="1750" t="s">
        <v>8532</v>
      </c>
      <c r="J2751" s="1785" t="s">
        <v>794</v>
      </c>
      <c r="K2751" s="1786" t="s">
        <v>642</v>
      </c>
      <c r="L2751" s="1787" t="e">
        <v>#REF!</v>
      </c>
      <c r="M2751" s="1787">
        <v>2122.5413895570964</v>
      </c>
      <c r="N2751" s="1754"/>
      <c r="O2751" s="1788" t="s">
        <v>3251</v>
      </c>
      <c r="P2751" s="1721" t="s">
        <v>9611</v>
      </c>
    </row>
    <row r="2752" spans="1:16" ht="13.5" hidden="1" customHeight="1" outlineLevel="1" x14ac:dyDescent="0.2">
      <c r="A2752" s="459">
        <v>0</v>
      </c>
      <c r="B2752" s="459">
        <v>18</v>
      </c>
      <c r="C2752" s="459">
        <v>14</v>
      </c>
      <c r="D2752" s="460">
        <v>0</v>
      </c>
      <c r="E2752" s="460">
        <v>1</v>
      </c>
      <c r="G2752" s="1796"/>
      <c r="H2752" s="1771" t="s">
        <v>39</v>
      </c>
      <c r="I2752" s="1735" t="s">
        <v>8533</v>
      </c>
      <c r="J2752" s="1773" t="s">
        <v>5521</v>
      </c>
      <c r="K2752" s="1774"/>
      <c r="L2752" s="1775"/>
      <c r="M2752" s="1775"/>
      <c r="N2752" s="1739">
        <v>51022.711000224299</v>
      </c>
      <c r="O2752" s="1776">
        <v>3.0461920145426302</v>
      </c>
      <c r="P2752" s="1719"/>
    </row>
    <row r="2753" spans="1:16" ht="13.5" hidden="1" customHeight="1" outlineLevel="2" x14ac:dyDescent="0.2">
      <c r="A2753" s="459">
        <v>0</v>
      </c>
      <c r="B2753" s="459">
        <v>18</v>
      </c>
      <c r="C2753" s="459">
        <v>14</v>
      </c>
      <c r="D2753" s="460">
        <v>1</v>
      </c>
      <c r="E2753" s="460">
        <v>0</v>
      </c>
      <c r="G2753" s="1797"/>
      <c r="H2753" s="1777" t="s">
        <v>1238</v>
      </c>
      <c r="I2753" s="1742" t="s">
        <v>8534</v>
      </c>
      <c r="J2753" s="1779" t="s">
        <v>28</v>
      </c>
      <c r="K2753" s="1780"/>
      <c r="L2753" s="1781"/>
      <c r="M2753" s="1781"/>
      <c r="N2753" s="1746">
        <v>1519.896</v>
      </c>
      <c r="O2753" s="1782">
        <v>9.0741847451322896E-2</v>
      </c>
      <c r="P2753" s="1720"/>
    </row>
    <row r="2754" spans="1:16" ht="13.5" hidden="1" customHeight="1" outlineLevel="3" x14ac:dyDescent="0.2">
      <c r="A2754" s="459">
        <v>0</v>
      </c>
      <c r="B2754" s="459">
        <v>18</v>
      </c>
      <c r="C2754" s="459">
        <v>14</v>
      </c>
      <c r="D2754" s="460">
        <v>1</v>
      </c>
      <c r="E2754" s="460">
        <v>1</v>
      </c>
      <c r="G2754" s="1798" t="s">
        <v>52</v>
      </c>
      <c r="H2754" s="1783" t="s">
        <v>1239</v>
      </c>
      <c r="I2754" s="1750" t="s">
        <v>8535</v>
      </c>
      <c r="J2754" s="1785" t="s">
        <v>791</v>
      </c>
      <c r="K2754" s="1786" t="s">
        <v>788</v>
      </c>
      <c r="L2754" s="1787">
        <v>65.400000000000006</v>
      </c>
      <c r="M2754" s="1787">
        <v>23.240000000000002</v>
      </c>
      <c r="N2754" s="1754">
        <v>1519.896</v>
      </c>
      <c r="O2754" s="1788" t="s">
        <v>3252</v>
      </c>
      <c r="P2754" s="1721" t="s">
        <v>9611</v>
      </c>
    </row>
    <row r="2755" spans="1:16" ht="13.5" hidden="1" customHeight="1" outlineLevel="2" x14ac:dyDescent="0.2">
      <c r="A2755" s="459">
        <v>0</v>
      </c>
      <c r="B2755" s="459">
        <v>18</v>
      </c>
      <c r="C2755" s="459">
        <v>14</v>
      </c>
      <c r="D2755" s="460">
        <v>2</v>
      </c>
      <c r="E2755" s="460">
        <v>0</v>
      </c>
      <c r="G2755" s="1797"/>
      <c r="H2755" s="1777" t="s">
        <v>1238</v>
      </c>
      <c r="I2755" s="1742" t="s">
        <v>8536</v>
      </c>
      <c r="J2755" s="1779" t="s">
        <v>29</v>
      </c>
      <c r="K2755" s="1780"/>
      <c r="L2755" s="1781"/>
      <c r="M2755" s="1781"/>
      <c r="N2755" s="1746">
        <v>49502.815000224298</v>
      </c>
      <c r="O2755" s="1782"/>
      <c r="P2755" s="1720"/>
    </row>
    <row r="2756" spans="1:16" ht="13.5" hidden="1" customHeight="1" outlineLevel="3" x14ac:dyDescent="0.2">
      <c r="A2756" s="459">
        <v>0</v>
      </c>
      <c r="B2756" s="459">
        <v>18</v>
      </c>
      <c r="C2756" s="459">
        <v>14</v>
      </c>
      <c r="D2756" s="460">
        <v>2</v>
      </c>
      <c r="E2756" s="460">
        <v>1</v>
      </c>
      <c r="G2756" s="1798" t="s">
        <v>52</v>
      </c>
      <c r="H2756" s="1783" t="s">
        <v>1239</v>
      </c>
      <c r="I2756" s="1750" t="s">
        <v>8537</v>
      </c>
      <c r="J2756" s="1785" t="s">
        <v>3247</v>
      </c>
      <c r="K2756" s="1786" t="s">
        <v>642</v>
      </c>
      <c r="L2756" s="1787">
        <v>20.740000000000002</v>
      </c>
      <c r="M2756" s="1787">
        <v>1906.3139681515586</v>
      </c>
      <c r="N2756" s="1754">
        <v>39536.951699463301</v>
      </c>
      <c r="O2756" s="1788" t="s">
        <v>3252</v>
      </c>
      <c r="P2756" s="1721" t="s">
        <v>9611</v>
      </c>
    </row>
    <row r="2757" spans="1:16" ht="13.5" hidden="1" customHeight="1" outlineLevel="3" x14ac:dyDescent="0.2">
      <c r="A2757" s="459">
        <v>0</v>
      </c>
      <c r="B2757" s="459">
        <v>18</v>
      </c>
      <c r="C2757" s="459">
        <v>14</v>
      </c>
      <c r="D2757" s="460">
        <v>2</v>
      </c>
      <c r="E2757" s="460">
        <v>2</v>
      </c>
      <c r="G2757" s="1798" t="s">
        <v>52</v>
      </c>
      <c r="H2757" s="1783" t="s">
        <v>1239</v>
      </c>
      <c r="I2757" s="1750" t="s">
        <v>8538</v>
      </c>
      <c r="J2757" s="1785" t="s">
        <v>3248</v>
      </c>
      <c r="K2757" s="1786" t="s">
        <v>642</v>
      </c>
      <c r="L2757" s="1787">
        <v>3.7600000000000007</v>
      </c>
      <c r="M2757" s="1787">
        <v>2650.4955587130289</v>
      </c>
      <c r="N2757" s="1754">
        <v>9965.8633007609897</v>
      </c>
      <c r="O2757" s="1788" t="s">
        <v>3252</v>
      </c>
      <c r="P2757" s="1721" t="s">
        <v>9611</v>
      </c>
    </row>
    <row r="2758" spans="1:16" ht="13.5" hidden="1" customHeight="1" outlineLevel="1" x14ac:dyDescent="0.2">
      <c r="A2758" s="459">
        <v>0</v>
      </c>
      <c r="B2758" s="459">
        <v>18</v>
      </c>
      <c r="C2758" s="459">
        <v>15</v>
      </c>
      <c r="D2758" s="460">
        <v>0</v>
      </c>
      <c r="E2758" s="460">
        <v>2</v>
      </c>
      <c r="G2758" s="1796"/>
      <c r="H2758" s="1771" t="s">
        <v>39</v>
      </c>
      <c r="I2758" s="1735" t="s">
        <v>8539</v>
      </c>
      <c r="J2758" s="1773" t="s">
        <v>5522</v>
      </c>
      <c r="K2758" s="1774"/>
      <c r="L2758" s="1775"/>
      <c r="M2758" s="1775"/>
      <c r="N2758" s="1739">
        <v>23283.38</v>
      </c>
      <c r="O2758" s="1776">
        <v>1.39007992396268</v>
      </c>
      <c r="P2758" s="1719"/>
    </row>
    <row r="2759" spans="1:16" ht="12.75" hidden="1" customHeight="1" outlineLevel="2" x14ac:dyDescent="0.2">
      <c r="A2759" s="459">
        <v>0</v>
      </c>
      <c r="B2759" s="459">
        <v>18</v>
      </c>
      <c r="C2759" s="459">
        <v>15</v>
      </c>
      <c r="D2759" s="460">
        <v>1</v>
      </c>
      <c r="E2759" s="460">
        <v>0</v>
      </c>
      <c r="G2759" s="1797"/>
      <c r="H2759" s="1777" t="s">
        <v>1238</v>
      </c>
      <c r="I2759" s="1742" t="s">
        <v>8540</v>
      </c>
      <c r="J2759" s="1779" t="s">
        <v>2746</v>
      </c>
      <c r="K2759" s="1780"/>
      <c r="L2759" s="1781"/>
      <c r="M2759" s="1781"/>
      <c r="N2759" s="1746">
        <v>20883.38</v>
      </c>
      <c r="O2759" s="1782"/>
      <c r="P2759" s="1720"/>
    </row>
    <row r="2760" spans="1:16" ht="12.75" hidden="1" customHeight="1" outlineLevel="3" x14ac:dyDescent="0.2">
      <c r="A2760" s="459">
        <v>0</v>
      </c>
      <c r="B2760" s="459">
        <v>18</v>
      </c>
      <c r="C2760" s="459">
        <v>15</v>
      </c>
      <c r="D2760" s="460">
        <v>1</v>
      </c>
      <c r="E2760" s="460">
        <v>1</v>
      </c>
      <c r="G2760" s="1798" t="s">
        <v>52</v>
      </c>
      <c r="H2760" s="1783" t="s">
        <v>1239</v>
      </c>
      <c r="I2760" s="1750" t="s">
        <v>8541</v>
      </c>
      <c r="J2760" s="1785" t="s">
        <v>817</v>
      </c>
      <c r="K2760" s="1786" t="s">
        <v>534</v>
      </c>
      <c r="L2760" s="1787">
        <v>1</v>
      </c>
      <c r="M2760" s="1787">
        <v>2306.36</v>
      </c>
      <c r="N2760" s="1754">
        <v>2306.36</v>
      </c>
      <c r="O2760" s="1788" t="s">
        <v>3252</v>
      </c>
      <c r="P2760" s="1721" t="s">
        <v>9611</v>
      </c>
    </row>
    <row r="2761" spans="1:16" ht="13.5" hidden="1" customHeight="1" outlineLevel="3" x14ac:dyDescent="0.2">
      <c r="A2761" s="459">
        <v>0</v>
      </c>
      <c r="B2761" s="459">
        <v>18</v>
      </c>
      <c r="C2761" s="459">
        <v>15</v>
      </c>
      <c r="D2761" s="460">
        <v>1</v>
      </c>
      <c r="E2761" s="460">
        <v>2</v>
      </c>
      <c r="G2761" s="1798" t="s">
        <v>52</v>
      </c>
      <c r="H2761" s="1783" t="s">
        <v>1239</v>
      </c>
      <c r="I2761" s="1750" t="s">
        <v>8542</v>
      </c>
      <c r="J2761" s="1785" t="s">
        <v>819</v>
      </c>
      <c r="K2761" s="1786" t="s">
        <v>534</v>
      </c>
      <c r="L2761" s="1787">
        <v>7</v>
      </c>
      <c r="M2761" s="1787">
        <v>2653.86</v>
      </c>
      <c r="N2761" s="1754">
        <v>18577.02</v>
      </c>
      <c r="O2761" s="1788" t="s">
        <v>3252</v>
      </c>
      <c r="P2761" s="1721" t="s">
        <v>9611</v>
      </c>
    </row>
    <row r="2762" spans="1:16" ht="13.5" hidden="1" customHeight="1" outlineLevel="2" x14ac:dyDescent="0.2">
      <c r="A2762" s="459">
        <v>0</v>
      </c>
      <c r="B2762" s="459">
        <v>18</v>
      </c>
      <c r="C2762" s="459">
        <v>15</v>
      </c>
      <c r="D2762" s="460">
        <v>2</v>
      </c>
      <c r="E2762" s="460">
        <v>0</v>
      </c>
      <c r="G2762" s="1797"/>
      <c r="H2762" s="1777" t="s">
        <v>1238</v>
      </c>
      <c r="I2762" s="1742" t="s">
        <v>8543</v>
      </c>
      <c r="J2762" s="1779" t="s">
        <v>15</v>
      </c>
      <c r="K2762" s="1780"/>
      <c r="L2762" s="1781"/>
      <c r="M2762" s="1781"/>
      <c r="N2762" s="1746">
        <v>2400</v>
      </c>
      <c r="O2762" s="1782"/>
      <c r="P2762" s="1720"/>
    </row>
    <row r="2763" spans="1:16" ht="13.5" hidden="1" customHeight="1" outlineLevel="3" x14ac:dyDescent="0.2">
      <c r="A2763" s="459">
        <v>0</v>
      </c>
      <c r="B2763" s="459">
        <v>18</v>
      </c>
      <c r="C2763" s="459">
        <v>15</v>
      </c>
      <c r="D2763" s="460">
        <v>2</v>
      </c>
      <c r="E2763" s="460">
        <v>1</v>
      </c>
      <c r="G2763" s="1798" t="s">
        <v>52</v>
      </c>
      <c r="H2763" s="1783" t="s">
        <v>1239</v>
      </c>
      <c r="I2763" s="1750" t="s">
        <v>8544</v>
      </c>
      <c r="J2763" s="1785" t="s">
        <v>846</v>
      </c>
      <c r="K2763" s="1786" t="s">
        <v>534</v>
      </c>
      <c r="L2763" s="1787">
        <v>8</v>
      </c>
      <c r="M2763" s="1787">
        <v>300</v>
      </c>
      <c r="N2763" s="1754">
        <v>2400</v>
      </c>
      <c r="O2763" s="1788" t="s">
        <v>3252</v>
      </c>
      <c r="P2763" s="1721" t="s">
        <v>9611</v>
      </c>
    </row>
    <row r="2764" spans="1:16" ht="13.5" hidden="1" customHeight="1" outlineLevel="1" x14ac:dyDescent="0.2">
      <c r="A2764" s="459">
        <v>0</v>
      </c>
      <c r="B2764" s="459">
        <v>18</v>
      </c>
      <c r="C2764" s="459">
        <v>16</v>
      </c>
      <c r="D2764" s="460">
        <v>0</v>
      </c>
      <c r="E2764" s="460">
        <v>1</v>
      </c>
      <c r="G2764" s="1796"/>
      <c r="H2764" s="1771" t="s">
        <v>39</v>
      </c>
      <c r="I2764" s="1735" t="s">
        <v>8545</v>
      </c>
      <c r="J2764" s="1773" t="s">
        <v>5523</v>
      </c>
      <c r="K2764" s="1774"/>
      <c r="L2764" s="1775"/>
      <c r="M2764" s="1775"/>
      <c r="N2764" s="1739">
        <v>16680.66</v>
      </c>
      <c r="O2764" s="1776">
        <v>0.995879918828251</v>
      </c>
      <c r="P2764" s="1719"/>
    </row>
    <row r="2765" spans="1:16" ht="12.75" hidden="1" customHeight="1" outlineLevel="2" x14ac:dyDescent="0.2">
      <c r="A2765" s="459">
        <v>0</v>
      </c>
      <c r="B2765" s="459">
        <v>18</v>
      </c>
      <c r="C2765" s="459">
        <v>16</v>
      </c>
      <c r="D2765" s="460">
        <v>1</v>
      </c>
      <c r="E2765" s="460">
        <v>0</v>
      </c>
      <c r="G2765" s="1797"/>
      <c r="H2765" s="1777" t="s">
        <v>1238</v>
      </c>
      <c r="I2765" s="1742" t="s">
        <v>8546</v>
      </c>
      <c r="J2765" s="1779" t="s">
        <v>2746</v>
      </c>
      <c r="K2765" s="1780"/>
      <c r="L2765" s="1781"/>
      <c r="M2765" s="1781"/>
      <c r="N2765" s="1746">
        <v>14880.66</v>
      </c>
      <c r="O2765" s="1782"/>
      <c r="P2765" s="1720"/>
    </row>
    <row r="2766" spans="1:16" ht="12.75" hidden="1" customHeight="1" outlineLevel="3" x14ac:dyDescent="0.2">
      <c r="A2766" s="459">
        <v>0</v>
      </c>
      <c r="B2766" s="459">
        <v>18</v>
      </c>
      <c r="C2766" s="459">
        <v>16</v>
      </c>
      <c r="D2766" s="460">
        <v>1</v>
      </c>
      <c r="E2766" s="460">
        <v>1</v>
      </c>
      <c r="G2766" s="1798" t="s">
        <v>52</v>
      </c>
      <c r="H2766" s="1783" t="s">
        <v>1239</v>
      </c>
      <c r="I2766" s="1750" t="s">
        <v>8547</v>
      </c>
      <c r="J2766" s="1785" t="s">
        <v>817</v>
      </c>
      <c r="K2766" s="1786" t="s">
        <v>534</v>
      </c>
      <c r="L2766" s="1787">
        <v>3</v>
      </c>
      <c r="M2766" s="1787">
        <v>2306.36</v>
      </c>
      <c r="N2766" s="1754">
        <v>6919.08</v>
      </c>
      <c r="O2766" s="1788" t="s">
        <v>3252</v>
      </c>
      <c r="P2766" s="1721" t="s">
        <v>9611</v>
      </c>
    </row>
    <row r="2767" spans="1:16" ht="13.5" hidden="1" customHeight="1" outlineLevel="3" x14ac:dyDescent="0.2">
      <c r="A2767" s="459">
        <v>0</v>
      </c>
      <c r="B2767" s="459">
        <v>18</v>
      </c>
      <c r="C2767" s="459">
        <v>16</v>
      </c>
      <c r="D2767" s="460">
        <v>1</v>
      </c>
      <c r="E2767" s="460">
        <v>2</v>
      </c>
      <c r="G2767" s="1798" t="s">
        <v>52</v>
      </c>
      <c r="H2767" s="1783" t="s">
        <v>1239</v>
      </c>
      <c r="I2767" s="1750" t="s">
        <v>8548</v>
      </c>
      <c r="J2767" s="1785" t="s">
        <v>819</v>
      </c>
      <c r="K2767" s="1786" t="s">
        <v>534</v>
      </c>
      <c r="L2767" s="1787">
        <v>3</v>
      </c>
      <c r="M2767" s="1787">
        <v>2653.86</v>
      </c>
      <c r="N2767" s="1754">
        <v>7961.58</v>
      </c>
      <c r="O2767" s="1788" t="s">
        <v>3252</v>
      </c>
      <c r="P2767" s="1721" t="s">
        <v>9611</v>
      </c>
    </row>
    <row r="2768" spans="1:16" ht="13.5" hidden="1" customHeight="1" outlineLevel="2" x14ac:dyDescent="0.2">
      <c r="A2768" s="459">
        <v>0</v>
      </c>
      <c r="B2768" s="459">
        <v>18</v>
      </c>
      <c r="C2768" s="459">
        <v>16</v>
      </c>
      <c r="D2768" s="460">
        <v>2</v>
      </c>
      <c r="E2768" s="460">
        <v>0</v>
      </c>
      <c r="G2768" s="1797"/>
      <c r="H2768" s="1777" t="s">
        <v>1238</v>
      </c>
      <c r="I2768" s="1742" t="s">
        <v>8549</v>
      </c>
      <c r="J2768" s="1779" t="s">
        <v>15</v>
      </c>
      <c r="K2768" s="1780"/>
      <c r="L2768" s="1781"/>
      <c r="M2768" s="1781"/>
      <c r="N2768" s="1746">
        <v>1800</v>
      </c>
      <c r="O2768" s="1782"/>
      <c r="P2768" s="1720"/>
    </row>
    <row r="2769" spans="1:16" ht="13.5" hidden="1" customHeight="1" outlineLevel="3" x14ac:dyDescent="0.2">
      <c r="A2769" s="459">
        <v>0</v>
      </c>
      <c r="B2769" s="459">
        <v>18</v>
      </c>
      <c r="C2769" s="459">
        <v>16</v>
      </c>
      <c r="D2769" s="460">
        <v>2</v>
      </c>
      <c r="E2769" s="460">
        <v>1</v>
      </c>
      <c r="G2769" s="1798" t="s">
        <v>52</v>
      </c>
      <c r="H2769" s="1783" t="s">
        <v>1239</v>
      </c>
      <c r="I2769" s="1750" t="s">
        <v>8550</v>
      </c>
      <c r="J2769" s="1785" t="s">
        <v>846</v>
      </c>
      <c r="K2769" s="1786" t="s">
        <v>534</v>
      </c>
      <c r="L2769" s="1787">
        <v>6</v>
      </c>
      <c r="M2769" s="1787">
        <v>300</v>
      </c>
      <c r="N2769" s="1754">
        <v>1800</v>
      </c>
      <c r="O2769" s="1788" t="s">
        <v>3252</v>
      </c>
      <c r="P2769" s="1721" t="s">
        <v>9611</v>
      </c>
    </row>
    <row r="2770" spans="1:16" ht="13.5" hidden="1" customHeight="1" outlineLevel="1" x14ac:dyDescent="0.2">
      <c r="A2770" s="459">
        <v>0</v>
      </c>
      <c r="B2770" s="459">
        <v>18</v>
      </c>
      <c r="C2770" s="459">
        <v>17</v>
      </c>
      <c r="D2770" s="460">
        <v>0</v>
      </c>
      <c r="E2770" s="460">
        <v>1</v>
      </c>
      <c r="G2770" s="1796"/>
      <c r="H2770" s="1771" t="s">
        <v>39</v>
      </c>
      <c r="I2770" s="1735" t="s">
        <v>8551</v>
      </c>
      <c r="J2770" s="1773" t="s">
        <v>5524</v>
      </c>
      <c r="K2770" s="1774"/>
      <c r="L2770" s="1775"/>
      <c r="M2770" s="1775"/>
      <c r="N2770" s="1739">
        <v>20329.52</v>
      </c>
      <c r="O2770" s="1776">
        <v>1.21372659879269</v>
      </c>
      <c r="P2770" s="1719"/>
    </row>
    <row r="2771" spans="1:16" ht="12.75" hidden="1" customHeight="1" outlineLevel="2" x14ac:dyDescent="0.2">
      <c r="A2771" s="459">
        <v>0</v>
      </c>
      <c r="B2771" s="459">
        <v>18</v>
      </c>
      <c r="C2771" s="459">
        <v>17</v>
      </c>
      <c r="D2771" s="460">
        <v>1</v>
      </c>
      <c r="E2771" s="460">
        <v>0</v>
      </c>
      <c r="G2771" s="1797"/>
      <c r="H2771" s="1777" t="s">
        <v>1238</v>
      </c>
      <c r="I2771" s="1742" t="s">
        <v>8552</v>
      </c>
      <c r="J2771" s="1779" t="s">
        <v>2746</v>
      </c>
      <c r="K2771" s="1780"/>
      <c r="L2771" s="1781"/>
      <c r="M2771" s="1781"/>
      <c r="N2771" s="1746">
        <v>18229.52</v>
      </c>
      <c r="O2771" s="1782"/>
      <c r="P2771" s="1720"/>
    </row>
    <row r="2772" spans="1:16" ht="12.75" hidden="1" customHeight="1" outlineLevel="3" x14ac:dyDescent="0.2">
      <c r="A2772" s="459">
        <v>0</v>
      </c>
      <c r="B2772" s="459">
        <v>18</v>
      </c>
      <c r="C2772" s="459">
        <v>17</v>
      </c>
      <c r="D2772" s="460">
        <v>1</v>
      </c>
      <c r="E2772" s="460">
        <v>1</v>
      </c>
      <c r="G2772" s="1798" t="s">
        <v>52</v>
      </c>
      <c r="H2772" s="1783" t="s">
        <v>1239</v>
      </c>
      <c r="I2772" s="1750" t="s">
        <v>8553</v>
      </c>
      <c r="J2772" s="1785" t="s">
        <v>817</v>
      </c>
      <c r="K2772" s="1786" t="s">
        <v>534</v>
      </c>
      <c r="L2772" s="1787">
        <v>1</v>
      </c>
      <c r="M2772" s="1787">
        <v>2306.36</v>
      </c>
      <c r="N2772" s="1754">
        <v>2306.36</v>
      </c>
      <c r="O2772" s="1788" t="s">
        <v>3252</v>
      </c>
      <c r="P2772" s="1721" t="s">
        <v>9611</v>
      </c>
    </row>
    <row r="2773" spans="1:16" ht="13.5" hidden="1" customHeight="1" outlineLevel="3" x14ac:dyDescent="0.2">
      <c r="A2773" s="459">
        <v>0</v>
      </c>
      <c r="B2773" s="459">
        <v>18</v>
      </c>
      <c r="C2773" s="459">
        <v>17</v>
      </c>
      <c r="D2773" s="460">
        <v>1</v>
      </c>
      <c r="E2773" s="460">
        <v>2</v>
      </c>
      <c r="G2773" s="1798" t="s">
        <v>52</v>
      </c>
      <c r="H2773" s="1783" t="s">
        <v>1239</v>
      </c>
      <c r="I2773" s="1750" t="s">
        <v>8554</v>
      </c>
      <c r="J2773" s="1785" t="s">
        <v>819</v>
      </c>
      <c r="K2773" s="1786" t="s">
        <v>534</v>
      </c>
      <c r="L2773" s="1787">
        <v>6</v>
      </c>
      <c r="M2773" s="1787">
        <v>2653.86</v>
      </c>
      <c r="N2773" s="1754">
        <v>15923.16</v>
      </c>
      <c r="O2773" s="1788" t="s">
        <v>3252</v>
      </c>
      <c r="P2773" s="1721" t="s">
        <v>9611</v>
      </c>
    </row>
    <row r="2774" spans="1:16" ht="13.5" hidden="1" customHeight="1" outlineLevel="2" x14ac:dyDescent="0.2">
      <c r="A2774" s="459">
        <v>0</v>
      </c>
      <c r="B2774" s="459">
        <v>18</v>
      </c>
      <c r="C2774" s="459">
        <v>17</v>
      </c>
      <c r="D2774" s="460">
        <v>2</v>
      </c>
      <c r="E2774" s="460">
        <v>0</v>
      </c>
      <c r="G2774" s="1797"/>
      <c r="H2774" s="1777" t="s">
        <v>1238</v>
      </c>
      <c r="I2774" s="1742" t="s">
        <v>8555</v>
      </c>
      <c r="J2774" s="1779" t="s">
        <v>15</v>
      </c>
      <c r="K2774" s="1780"/>
      <c r="L2774" s="1781"/>
      <c r="M2774" s="1781"/>
      <c r="N2774" s="1746">
        <v>2100</v>
      </c>
      <c r="O2774" s="1782"/>
      <c r="P2774" s="1720"/>
    </row>
    <row r="2775" spans="1:16" ht="13.5" hidden="1" customHeight="1" outlineLevel="3" x14ac:dyDescent="0.2">
      <c r="A2775" s="459">
        <v>0</v>
      </c>
      <c r="B2775" s="459">
        <v>18</v>
      </c>
      <c r="C2775" s="459">
        <v>17</v>
      </c>
      <c r="D2775" s="460">
        <v>2</v>
      </c>
      <c r="E2775" s="460">
        <v>1</v>
      </c>
      <c r="G2775" s="1798" t="s">
        <v>52</v>
      </c>
      <c r="H2775" s="1783" t="s">
        <v>1239</v>
      </c>
      <c r="I2775" s="1750" t="s">
        <v>8556</v>
      </c>
      <c r="J2775" s="1785" t="s">
        <v>846</v>
      </c>
      <c r="K2775" s="1786" t="s">
        <v>534</v>
      </c>
      <c r="L2775" s="1787">
        <v>7</v>
      </c>
      <c r="M2775" s="1787">
        <v>300</v>
      </c>
      <c r="N2775" s="1754">
        <v>2100</v>
      </c>
      <c r="O2775" s="1788" t="s">
        <v>3252</v>
      </c>
      <c r="P2775" s="1721" t="s">
        <v>9611</v>
      </c>
    </row>
    <row r="2776" spans="1:16" ht="13.5" hidden="1" customHeight="1" outlineLevel="1" x14ac:dyDescent="0.2">
      <c r="A2776" s="459">
        <v>0</v>
      </c>
      <c r="B2776" s="459">
        <v>18</v>
      </c>
      <c r="C2776" s="459">
        <v>18</v>
      </c>
      <c r="D2776" s="460">
        <v>0</v>
      </c>
      <c r="E2776" s="460">
        <v>1</v>
      </c>
      <c r="G2776" s="1796"/>
      <c r="H2776" s="1771" t="s">
        <v>39</v>
      </c>
      <c r="I2776" s="1735" t="s">
        <v>8557</v>
      </c>
      <c r="J2776" s="1773" t="s">
        <v>5525</v>
      </c>
      <c r="K2776" s="1774"/>
      <c r="L2776" s="1775"/>
      <c r="M2776" s="1775"/>
      <c r="N2776" s="1739">
        <v>39767.32</v>
      </c>
      <c r="O2776" s="1776">
        <v>2.3742151337906998</v>
      </c>
      <c r="P2776" s="1719"/>
    </row>
    <row r="2777" spans="1:16" ht="12.75" hidden="1" customHeight="1" outlineLevel="2" x14ac:dyDescent="0.2">
      <c r="A2777" s="459">
        <v>0</v>
      </c>
      <c r="B2777" s="459">
        <v>18</v>
      </c>
      <c r="C2777" s="459">
        <v>18</v>
      </c>
      <c r="D2777" s="460">
        <v>1</v>
      </c>
      <c r="E2777" s="460">
        <v>0</v>
      </c>
      <c r="G2777" s="1797"/>
      <c r="H2777" s="1777" t="s">
        <v>1238</v>
      </c>
      <c r="I2777" s="1742" t="s">
        <v>8558</v>
      </c>
      <c r="J2777" s="1779" t="s">
        <v>2746</v>
      </c>
      <c r="K2777" s="1780"/>
      <c r="L2777" s="1781"/>
      <c r="M2777" s="1781"/>
      <c r="N2777" s="1746">
        <v>32984.04</v>
      </c>
      <c r="O2777" s="1782"/>
      <c r="P2777" s="1720"/>
    </row>
    <row r="2778" spans="1:16" ht="12.75" hidden="1" customHeight="1" outlineLevel="3" x14ac:dyDescent="0.2">
      <c r="A2778" s="459">
        <v>0</v>
      </c>
      <c r="B2778" s="459">
        <v>18</v>
      </c>
      <c r="C2778" s="459">
        <v>18</v>
      </c>
      <c r="D2778" s="460">
        <v>1</v>
      </c>
      <c r="E2778" s="460">
        <v>1</v>
      </c>
      <c r="G2778" s="1798" t="s">
        <v>52</v>
      </c>
      <c r="H2778" s="1783" t="s">
        <v>1239</v>
      </c>
      <c r="I2778" s="1750" t="s">
        <v>8559</v>
      </c>
      <c r="J2778" s="1785" t="s">
        <v>809</v>
      </c>
      <c r="K2778" s="1786" t="s">
        <v>534</v>
      </c>
      <c r="L2778" s="1787">
        <v>7</v>
      </c>
      <c r="M2778" s="1787">
        <v>2306.36</v>
      </c>
      <c r="N2778" s="1754">
        <v>16144.52</v>
      </c>
      <c r="O2778" s="1788" t="s">
        <v>3252</v>
      </c>
      <c r="P2778" s="1721" t="s">
        <v>9611</v>
      </c>
    </row>
    <row r="2779" spans="1:16" ht="12.75" hidden="1" customHeight="1" outlineLevel="3" x14ac:dyDescent="0.2">
      <c r="A2779" s="459">
        <v>0</v>
      </c>
      <c r="B2779" s="459">
        <v>18</v>
      </c>
      <c r="C2779" s="459">
        <v>18</v>
      </c>
      <c r="D2779" s="460">
        <v>1</v>
      </c>
      <c r="E2779" s="460">
        <v>2</v>
      </c>
      <c r="G2779" s="1798" t="s">
        <v>52</v>
      </c>
      <c r="H2779" s="1783" t="s">
        <v>1239</v>
      </c>
      <c r="I2779" s="1750" t="s">
        <v>8560</v>
      </c>
      <c r="J2779" s="1785" t="s">
        <v>817</v>
      </c>
      <c r="K2779" s="1786" t="s">
        <v>534</v>
      </c>
      <c r="L2779" s="1787">
        <v>5</v>
      </c>
      <c r="M2779" s="1787">
        <v>2306.36</v>
      </c>
      <c r="N2779" s="1754">
        <v>11531.8</v>
      </c>
      <c r="O2779" s="1788" t="s">
        <v>3252</v>
      </c>
      <c r="P2779" s="1721" t="s">
        <v>9611</v>
      </c>
    </row>
    <row r="2780" spans="1:16" ht="13.5" hidden="1" customHeight="1" outlineLevel="3" x14ac:dyDescent="0.2">
      <c r="A2780" s="459">
        <v>0</v>
      </c>
      <c r="B2780" s="459">
        <v>18</v>
      </c>
      <c r="C2780" s="459">
        <v>18</v>
      </c>
      <c r="D2780" s="460">
        <v>1</v>
      </c>
      <c r="E2780" s="460">
        <v>3</v>
      </c>
      <c r="G2780" s="1798" t="s">
        <v>52</v>
      </c>
      <c r="H2780" s="1783" t="s">
        <v>1239</v>
      </c>
      <c r="I2780" s="1750" t="s">
        <v>8561</v>
      </c>
      <c r="J2780" s="1785" t="s">
        <v>819</v>
      </c>
      <c r="K2780" s="1786" t="s">
        <v>534</v>
      </c>
      <c r="L2780" s="1787">
        <v>2</v>
      </c>
      <c r="M2780" s="1787">
        <v>2653.86</v>
      </c>
      <c r="N2780" s="1754">
        <v>5307.72</v>
      </c>
      <c r="O2780" s="1788" t="s">
        <v>3252</v>
      </c>
      <c r="P2780" s="1721" t="s">
        <v>9611</v>
      </c>
    </row>
    <row r="2781" spans="1:16" ht="13.5" hidden="1" customHeight="1" outlineLevel="2" x14ac:dyDescent="0.2">
      <c r="A2781" s="459">
        <v>0</v>
      </c>
      <c r="B2781" s="459">
        <v>18</v>
      </c>
      <c r="C2781" s="459">
        <v>18</v>
      </c>
      <c r="D2781" s="460">
        <v>2</v>
      </c>
      <c r="E2781" s="460">
        <v>0</v>
      </c>
      <c r="G2781" s="1797"/>
      <c r="H2781" s="1777" t="s">
        <v>1238</v>
      </c>
      <c r="I2781" s="1742" t="s">
        <v>8562</v>
      </c>
      <c r="J2781" s="1779" t="s">
        <v>2820</v>
      </c>
      <c r="K2781" s="1780"/>
      <c r="L2781" s="1781"/>
      <c r="M2781" s="1781"/>
      <c r="N2781" s="1746">
        <v>2583.2800000000002</v>
      </c>
      <c r="O2781" s="1782"/>
      <c r="P2781" s="1720"/>
    </row>
    <row r="2782" spans="1:16" ht="13.5" hidden="1" customHeight="1" outlineLevel="3" x14ac:dyDescent="0.2">
      <c r="A2782" s="459">
        <v>0</v>
      </c>
      <c r="B2782" s="459">
        <v>18</v>
      </c>
      <c r="C2782" s="459">
        <v>18</v>
      </c>
      <c r="D2782" s="460">
        <v>2</v>
      </c>
      <c r="E2782" s="460">
        <v>1</v>
      </c>
      <c r="G2782" s="1798" t="s">
        <v>52</v>
      </c>
      <c r="H2782" s="1783" t="s">
        <v>1239</v>
      </c>
      <c r="I2782" s="1750" t="s">
        <v>8563</v>
      </c>
      <c r="J2782" s="1785" t="s">
        <v>1266</v>
      </c>
      <c r="K2782" s="1786" t="s">
        <v>534</v>
      </c>
      <c r="L2782" s="1787">
        <v>2</v>
      </c>
      <c r="M2782" s="1787">
        <v>1291.6400000000001</v>
      </c>
      <c r="N2782" s="1754">
        <v>2583.2800000000002</v>
      </c>
      <c r="O2782" s="1788" t="s">
        <v>3258</v>
      </c>
      <c r="P2782" s="1721" t="s">
        <v>9611</v>
      </c>
    </row>
    <row r="2783" spans="1:16" ht="13.5" hidden="1" customHeight="1" outlineLevel="2" x14ac:dyDescent="0.2">
      <c r="A2783" s="459">
        <v>0</v>
      </c>
      <c r="B2783" s="459">
        <v>18</v>
      </c>
      <c r="C2783" s="459">
        <v>18</v>
      </c>
      <c r="D2783" s="460">
        <v>3</v>
      </c>
      <c r="E2783" s="460">
        <v>0</v>
      </c>
      <c r="G2783" s="1797"/>
      <c r="H2783" s="1777" t="s">
        <v>1238</v>
      </c>
      <c r="I2783" s="1742" t="s">
        <v>8564</v>
      </c>
      <c r="J2783" s="1779" t="s">
        <v>15</v>
      </c>
      <c r="K2783" s="1780"/>
      <c r="L2783" s="1781"/>
      <c r="M2783" s="1781"/>
      <c r="N2783" s="1746">
        <v>4200</v>
      </c>
      <c r="O2783" s="1782"/>
      <c r="P2783" s="1720"/>
    </row>
    <row r="2784" spans="1:16" ht="13.5" hidden="1" customHeight="1" outlineLevel="3" x14ac:dyDescent="0.2">
      <c r="A2784" s="459">
        <v>0</v>
      </c>
      <c r="B2784" s="459">
        <v>18</v>
      </c>
      <c r="C2784" s="459">
        <v>18</v>
      </c>
      <c r="D2784" s="460">
        <v>3</v>
      </c>
      <c r="E2784" s="460">
        <v>1</v>
      </c>
      <c r="G2784" s="1798" t="s">
        <v>52</v>
      </c>
      <c r="H2784" s="1783" t="s">
        <v>1239</v>
      </c>
      <c r="I2784" s="1750" t="s">
        <v>8565</v>
      </c>
      <c r="J2784" s="1785" t="s">
        <v>846</v>
      </c>
      <c r="K2784" s="1786" t="s">
        <v>534</v>
      </c>
      <c r="L2784" s="1787">
        <v>14</v>
      </c>
      <c r="M2784" s="1787">
        <v>300</v>
      </c>
      <c r="N2784" s="1754">
        <v>4200</v>
      </c>
      <c r="O2784" s="1788" t="s">
        <v>3252</v>
      </c>
      <c r="P2784" s="1721" t="s">
        <v>9611</v>
      </c>
    </row>
    <row r="2785" spans="1:16" ht="13.5" hidden="1" customHeight="1" outlineLevel="1" x14ac:dyDescent="0.2">
      <c r="A2785" s="459">
        <v>0</v>
      </c>
      <c r="B2785" s="459">
        <v>18</v>
      </c>
      <c r="C2785" s="459">
        <v>19</v>
      </c>
      <c r="D2785" s="460">
        <v>0</v>
      </c>
      <c r="E2785" s="460">
        <v>1</v>
      </c>
      <c r="G2785" s="1796"/>
      <c r="H2785" s="1771" t="s">
        <v>39</v>
      </c>
      <c r="I2785" s="1735" t="s">
        <v>8566</v>
      </c>
      <c r="J2785" s="1773" t="s">
        <v>5526</v>
      </c>
      <c r="K2785" s="1774"/>
      <c r="L2785" s="1775"/>
      <c r="M2785" s="1775"/>
      <c r="N2785" s="1739">
        <v>318138.56</v>
      </c>
      <c r="O2785" s="1776">
        <v>18.993721070325599</v>
      </c>
      <c r="P2785" s="1719"/>
    </row>
    <row r="2786" spans="1:16" ht="12.75" hidden="1" customHeight="1" outlineLevel="2" x14ac:dyDescent="0.2">
      <c r="A2786" s="459">
        <v>0</v>
      </c>
      <c r="B2786" s="459">
        <v>18</v>
      </c>
      <c r="C2786" s="459">
        <v>19</v>
      </c>
      <c r="D2786" s="460">
        <v>1</v>
      </c>
      <c r="E2786" s="460">
        <v>0</v>
      </c>
      <c r="G2786" s="1797"/>
      <c r="H2786" s="1777" t="s">
        <v>1238</v>
      </c>
      <c r="I2786" s="1742" t="s">
        <v>8567</v>
      </c>
      <c r="J2786" s="1779" t="s">
        <v>2746</v>
      </c>
      <c r="K2786" s="1780"/>
      <c r="L2786" s="1781"/>
      <c r="M2786" s="1781"/>
      <c r="N2786" s="1746">
        <v>263872.32</v>
      </c>
      <c r="O2786" s="1782"/>
      <c r="P2786" s="1720"/>
    </row>
    <row r="2787" spans="1:16" ht="12.75" hidden="1" customHeight="1" outlineLevel="3" x14ac:dyDescent="0.2">
      <c r="A2787" s="459">
        <v>0</v>
      </c>
      <c r="B2787" s="459">
        <v>18</v>
      </c>
      <c r="C2787" s="459">
        <v>19</v>
      </c>
      <c r="D2787" s="460">
        <v>1</v>
      </c>
      <c r="E2787" s="460">
        <v>1</v>
      </c>
      <c r="G2787" s="1798" t="s">
        <v>52</v>
      </c>
      <c r="H2787" s="1783" t="s">
        <v>1239</v>
      </c>
      <c r="I2787" s="1750" t="s">
        <v>8568</v>
      </c>
      <c r="J2787" s="1785" t="s">
        <v>809</v>
      </c>
      <c r="K2787" s="1786" t="s">
        <v>534</v>
      </c>
      <c r="L2787" s="1787">
        <v>56</v>
      </c>
      <c r="M2787" s="1787">
        <v>2306.36</v>
      </c>
      <c r="N2787" s="1754">
        <v>129156.16</v>
      </c>
      <c r="O2787" s="1788" t="s">
        <v>3252</v>
      </c>
      <c r="P2787" s="1721" t="s">
        <v>9611</v>
      </c>
    </row>
    <row r="2788" spans="1:16" ht="12.75" hidden="1" customHeight="1" outlineLevel="3" x14ac:dyDescent="0.2">
      <c r="A2788" s="459">
        <v>0</v>
      </c>
      <c r="B2788" s="459">
        <v>18</v>
      </c>
      <c r="C2788" s="459">
        <v>19</v>
      </c>
      <c r="D2788" s="460">
        <v>1</v>
      </c>
      <c r="E2788" s="460">
        <v>2</v>
      </c>
      <c r="G2788" s="1798" t="s">
        <v>52</v>
      </c>
      <c r="H2788" s="1783" t="s">
        <v>1239</v>
      </c>
      <c r="I2788" s="1750" t="s">
        <v>8569</v>
      </c>
      <c r="J2788" s="1785" t="s">
        <v>817</v>
      </c>
      <c r="K2788" s="1786" t="s">
        <v>534</v>
      </c>
      <c r="L2788" s="1787">
        <v>40</v>
      </c>
      <c r="M2788" s="1787">
        <v>2306.36</v>
      </c>
      <c r="N2788" s="1754">
        <v>92254.399999999994</v>
      </c>
      <c r="O2788" s="1788" t="s">
        <v>3252</v>
      </c>
      <c r="P2788" s="1721" t="s">
        <v>9611</v>
      </c>
    </row>
    <row r="2789" spans="1:16" ht="13.5" hidden="1" customHeight="1" outlineLevel="3" x14ac:dyDescent="0.2">
      <c r="A2789" s="459">
        <v>0</v>
      </c>
      <c r="B2789" s="459">
        <v>18</v>
      </c>
      <c r="C2789" s="459">
        <v>19</v>
      </c>
      <c r="D2789" s="460">
        <v>1</v>
      </c>
      <c r="E2789" s="460">
        <v>3</v>
      </c>
      <c r="G2789" s="1798" t="s">
        <v>52</v>
      </c>
      <c r="H2789" s="1783" t="s">
        <v>1239</v>
      </c>
      <c r="I2789" s="1750" t="s">
        <v>8570</v>
      </c>
      <c r="J2789" s="1785" t="s">
        <v>819</v>
      </c>
      <c r="K2789" s="1786" t="s">
        <v>534</v>
      </c>
      <c r="L2789" s="1787">
        <v>16</v>
      </c>
      <c r="M2789" s="1787">
        <v>2653.86</v>
      </c>
      <c r="N2789" s="1754">
        <v>42461.760000000002</v>
      </c>
      <c r="O2789" s="1788" t="s">
        <v>3252</v>
      </c>
      <c r="P2789" s="1721" t="s">
        <v>9611</v>
      </c>
    </row>
    <row r="2790" spans="1:16" ht="13.5" hidden="1" customHeight="1" outlineLevel="2" x14ac:dyDescent="0.2">
      <c r="A2790" s="459">
        <v>0</v>
      </c>
      <c r="B2790" s="459">
        <v>18</v>
      </c>
      <c r="C2790" s="459">
        <v>19</v>
      </c>
      <c r="D2790" s="460">
        <v>2</v>
      </c>
      <c r="E2790" s="460">
        <v>0</v>
      </c>
      <c r="G2790" s="1797"/>
      <c r="H2790" s="1777" t="s">
        <v>1238</v>
      </c>
      <c r="I2790" s="1742" t="s">
        <v>8571</v>
      </c>
      <c r="J2790" s="1779" t="s">
        <v>2820</v>
      </c>
      <c r="K2790" s="1780"/>
      <c r="L2790" s="1781"/>
      <c r="M2790" s="1781"/>
      <c r="N2790" s="1746">
        <v>20666.240000000002</v>
      </c>
      <c r="O2790" s="1782"/>
      <c r="P2790" s="1720"/>
    </row>
    <row r="2791" spans="1:16" ht="13.5" hidden="1" customHeight="1" outlineLevel="3" x14ac:dyDescent="0.2">
      <c r="A2791" s="459">
        <v>0</v>
      </c>
      <c r="B2791" s="459">
        <v>18</v>
      </c>
      <c r="C2791" s="459">
        <v>19</v>
      </c>
      <c r="D2791" s="460">
        <v>2</v>
      </c>
      <c r="E2791" s="460">
        <v>1</v>
      </c>
      <c r="G2791" s="1798" t="s">
        <v>52</v>
      </c>
      <c r="H2791" s="1783" t="s">
        <v>1239</v>
      </c>
      <c r="I2791" s="1750" t="s">
        <v>8572</v>
      </c>
      <c r="J2791" s="1785" t="s">
        <v>1266</v>
      </c>
      <c r="K2791" s="1786" t="s">
        <v>534</v>
      </c>
      <c r="L2791" s="1787">
        <v>16</v>
      </c>
      <c r="M2791" s="1787">
        <v>1291.6400000000001</v>
      </c>
      <c r="N2791" s="1754">
        <v>20666.240000000002</v>
      </c>
      <c r="O2791" s="1788" t="s">
        <v>3258</v>
      </c>
      <c r="P2791" s="1721" t="s">
        <v>9611</v>
      </c>
    </row>
    <row r="2792" spans="1:16" ht="13.5" hidden="1" customHeight="1" outlineLevel="2" x14ac:dyDescent="0.2">
      <c r="A2792" s="459">
        <v>0</v>
      </c>
      <c r="B2792" s="459">
        <v>18</v>
      </c>
      <c r="C2792" s="459">
        <v>19</v>
      </c>
      <c r="D2792" s="460">
        <v>3</v>
      </c>
      <c r="E2792" s="460">
        <v>0</v>
      </c>
      <c r="G2792" s="1797"/>
      <c r="H2792" s="1777" t="s">
        <v>1238</v>
      </c>
      <c r="I2792" s="1742" t="s">
        <v>8573</v>
      </c>
      <c r="J2792" s="1779" t="s">
        <v>15</v>
      </c>
      <c r="K2792" s="1780"/>
      <c r="L2792" s="1781"/>
      <c r="M2792" s="1781"/>
      <c r="N2792" s="1746">
        <v>33600</v>
      </c>
      <c r="O2792" s="1782"/>
      <c r="P2792" s="1720"/>
    </row>
    <row r="2793" spans="1:16" ht="13.5" hidden="1" customHeight="1" outlineLevel="3" x14ac:dyDescent="0.2">
      <c r="A2793" s="459">
        <v>0</v>
      </c>
      <c r="B2793" s="459">
        <v>18</v>
      </c>
      <c r="C2793" s="459">
        <v>19</v>
      </c>
      <c r="D2793" s="460">
        <v>3</v>
      </c>
      <c r="E2793" s="460">
        <v>1</v>
      </c>
      <c r="G2793" s="1798" t="s">
        <v>52</v>
      </c>
      <c r="H2793" s="1783" t="s">
        <v>1239</v>
      </c>
      <c r="I2793" s="1750" t="s">
        <v>8574</v>
      </c>
      <c r="J2793" s="1785" t="s">
        <v>846</v>
      </c>
      <c r="K2793" s="1786" t="s">
        <v>534</v>
      </c>
      <c r="L2793" s="1787">
        <v>112</v>
      </c>
      <c r="M2793" s="1787">
        <v>300</v>
      </c>
      <c r="N2793" s="1754">
        <v>33600</v>
      </c>
      <c r="O2793" s="1788" t="s">
        <v>3252</v>
      </c>
      <c r="P2793" s="1721" t="s">
        <v>9611</v>
      </c>
    </row>
    <row r="2794" spans="1:16" ht="13.5" hidden="1" customHeight="1" outlineLevel="1" x14ac:dyDescent="0.2">
      <c r="A2794" s="459">
        <v>0</v>
      </c>
      <c r="B2794" s="459">
        <v>18</v>
      </c>
      <c r="C2794" s="459">
        <v>20</v>
      </c>
      <c r="D2794" s="460">
        <v>0</v>
      </c>
      <c r="E2794" s="460">
        <v>1</v>
      </c>
      <c r="G2794" s="1796"/>
      <c r="H2794" s="1771" t="s">
        <v>39</v>
      </c>
      <c r="I2794" s="1735" t="s">
        <v>8575</v>
      </c>
      <c r="J2794" s="1773" t="s">
        <v>5527</v>
      </c>
      <c r="K2794" s="1774"/>
      <c r="L2794" s="1775"/>
      <c r="M2794" s="1775"/>
      <c r="N2794" s="1739">
        <v>724140.12</v>
      </c>
      <c r="O2794" s="1776">
        <v>43.233097726701502</v>
      </c>
      <c r="P2794" s="1719"/>
    </row>
    <row r="2795" spans="1:16" ht="12.75" hidden="1" customHeight="1" outlineLevel="2" x14ac:dyDescent="0.2">
      <c r="A2795" s="459">
        <v>0</v>
      </c>
      <c r="B2795" s="459">
        <v>18</v>
      </c>
      <c r="C2795" s="459">
        <v>20</v>
      </c>
      <c r="D2795" s="460">
        <v>1</v>
      </c>
      <c r="E2795" s="460">
        <v>0</v>
      </c>
      <c r="G2795" s="1797"/>
      <c r="H2795" s="1777" t="s">
        <v>1238</v>
      </c>
      <c r="I2795" s="1742" t="s">
        <v>8576</v>
      </c>
      <c r="J2795" s="1779" t="s">
        <v>2746</v>
      </c>
      <c r="K2795" s="1780"/>
      <c r="L2795" s="1781"/>
      <c r="M2795" s="1781"/>
      <c r="N2795" s="1746">
        <v>616524.04</v>
      </c>
      <c r="O2795" s="1782"/>
      <c r="P2795" s="1720"/>
    </row>
    <row r="2796" spans="1:16" ht="12.75" hidden="1" customHeight="1" outlineLevel="3" x14ac:dyDescent="0.2">
      <c r="A2796" s="459">
        <v>0</v>
      </c>
      <c r="B2796" s="459">
        <v>18</v>
      </c>
      <c r="C2796" s="459">
        <v>20</v>
      </c>
      <c r="D2796" s="460">
        <v>1</v>
      </c>
      <c r="E2796" s="460">
        <v>1</v>
      </c>
      <c r="G2796" s="1798" t="s">
        <v>52</v>
      </c>
      <c r="H2796" s="1783" t="s">
        <v>1239</v>
      </c>
      <c r="I2796" s="1750" t="s">
        <v>8577</v>
      </c>
      <c r="J2796" s="1785" t="s">
        <v>809</v>
      </c>
      <c r="K2796" s="1786" t="s">
        <v>534</v>
      </c>
      <c r="L2796" s="1787">
        <v>132</v>
      </c>
      <c r="M2796" s="1787">
        <v>2306.36</v>
      </c>
      <c r="N2796" s="1754">
        <v>304439.52</v>
      </c>
      <c r="O2796" s="1788" t="s">
        <v>3252</v>
      </c>
      <c r="P2796" s="1721" t="s">
        <v>9611</v>
      </c>
    </row>
    <row r="2797" spans="1:16" ht="12.75" hidden="1" customHeight="1" outlineLevel="3" x14ac:dyDescent="0.2">
      <c r="A2797" s="459">
        <v>0</v>
      </c>
      <c r="B2797" s="459">
        <v>18</v>
      </c>
      <c r="C2797" s="459">
        <v>20</v>
      </c>
      <c r="D2797" s="460">
        <v>1</v>
      </c>
      <c r="E2797" s="460">
        <v>2</v>
      </c>
      <c r="G2797" s="1798" t="s">
        <v>52</v>
      </c>
      <c r="H2797" s="1783" t="s">
        <v>1239</v>
      </c>
      <c r="I2797" s="1750" t="s">
        <v>8578</v>
      </c>
      <c r="J2797" s="1785" t="s">
        <v>817</v>
      </c>
      <c r="K2797" s="1786" t="s">
        <v>534</v>
      </c>
      <c r="L2797" s="1787">
        <v>110</v>
      </c>
      <c r="M2797" s="1787">
        <v>2306.36</v>
      </c>
      <c r="N2797" s="1754">
        <v>253699.6</v>
      </c>
      <c r="O2797" s="1788" t="s">
        <v>3252</v>
      </c>
      <c r="P2797" s="1721" t="s">
        <v>9611</v>
      </c>
    </row>
    <row r="2798" spans="1:16" ht="13.5" hidden="1" customHeight="1" outlineLevel="3" x14ac:dyDescent="0.2">
      <c r="A2798" s="459">
        <v>0</v>
      </c>
      <c r="B2798" s="459">
        <v>18</v>
      </c>
      <c r="C2798" s="459">
        <v>20</v>
      </c>
      <c r="D2798" s="460">
        <v>1</v>
      </c>
      <c r="E2798" s="460">
        <v>3</v>
      </c>
      <c r="G2798" s="1798" t="s">
        <v>52</v>
      </c>
      <c r="H2798" s="1783" t="s">
        <v>1239</v>
      </c>
      <c r="I2798" s="1750" t="s">
        <v>8579</v>
      </c>
      <c r="J2798" s="1785" t="s">
        <v>819</v>
      </c>
      <c r="K2798" s="1786" t="s">
        <v>534</v>
      </c>
      <c r="L2798" s="1787">
        <v>22</v>
      </c>
      <c r="M2798" s="1787">
        <v>2653.86</v>
      </c>
      <c r="N2798" s="1754">
        <v>58384.92</v>
      </c>
      <c r="O2798" s="1788" t="s">
        <v>3252</v>
      </c>
      <c r="P2798" s="1721" t="s">
        <v>9611</v>
      </c>
    </row>
    <row r="2799" spans="1:16" ht="13.5" hidden="1" customHeight="1" outlineLevel="2" x14ac:dyDescent="0.2">
      <c r="A2799" s="459">
        <v>0</v>
      </c>
      <c r="B2799" s="459">
        <v>18</v>
      </c>
      <c r="C2799" s="459">
        <v>20</v>
      </c>
      <c r="D2799" s="460">
        <v>2</v>
      </c>
      <c r="E2799" s="460">
        <v>0</v>
      </c>
      <c r="G2799" s="1797"/>
      <c r="H2799" s="1777" t="s">
        <v>1238</v>
      </c>
      <c r="I2799" s="1742" t="s">
        <v>8580</v>
      </c>
      <c r="J2799" s="1779" t="s">
        <v>2820</v>
      </c>
      <c r="K2799" s="1780"/>
      <c r="L2799" s="1781"/>
      <c r="M2799" s="1781"/>
      <c r="N2799" s="1746">
        <v>28416.080000000002</v>
      </c>
      <c r="O2799" s="1782"/>
      <c r="P2799" s="1720"/>
    </row>
    <row r="2800" spans="1:16" ht="13.5" hidden="1" customHeight="1" outlineLevel="3" x14ac:dyDescent="0.2">
      <c r="A2800" s="459">
        <v>0</v>
      </c>
      <c r="B2800" s="459">
        <v>18</v>
      </c>
      <c r="C2800" s="459">
        <v>20</v>
      </c>
      <c r="D2800" s="460">
        <v>2</v>
      </c>
      <c r="E2800" s="460">
        <v>1</v>
      </c>
      <c r="G2800" s="1798" t="s">
        <v>52</v>
      </c>
      <c r="H2800" s="1783" t="s">
        <v>1239</v>
      </c>
      <c r="I2800" s="1750" t="s">
        <v>8581</v>
      </c>
      <c r="J2800" s="1785" t="s">
        <v>1266</v>
      </c>
      <c r="K2800" s="1786" t="s">
        <v>534</v>
      </c>
      <c r="L2800" s="1787">
        <v>22</v>
      </c>
      <c r="M2800" s="1787">
        <v>1291.6400000000001</v>
      </c>
      <c r="N2800" s="1754">
        <v>28416.080000000002</v>
      </c>
      <c r="O2800" s="1788" t="s">
        <v>3258</v>
      </c>
      <c r="P2800" s="1721" t="s">
        <v>9611</v>
      </c>
    </row>
    <row r="2801" spans="1:16" ht="13.5" hidden="1" customHeight="1" outlineLevel="2" x14ac:dyDescent="0.2">
      <c r="A2801" s="459">
        <v>0</v>
      </c>
      <c r="B2801" s="459">
        <v>18</v>
      </c>
      <c r="C2801" s="459">
        <v>20</v>
      </c>
      <c r="D2801" s="460">
        <v>3</v>
      </c>
      <c r="E2801" s="460">
        <v>0</v>
      </c>
      <c r="G2801" s="1797"/>
      <c r="H2801" s="1777" t="s">
        <v>1238</v>
      </c>
      <c r="I2801" s="1742" t="s">
        <v>8582</v>
      </c>
      <c r="J2801" s="1779" t="s">
        <v>15</v>
      </c>
      <c r="K2801" s="1780"/>
      <c r="L2801" s="1781"/>
      <c r="M2801" s="1781"/>
      <c r="N2801" s="1746">
        <v>79200</v>
      </c>
      <c r="O2801" s="1782"/>
      <c r="P2801" s="1720"/>
    </row>
    <row r="2802" spans="1:16" ht="13.5" hidden="1" customHeight="1" outlineLevel="3" x14ac:dyDescent="0.2">
      <c r="A2802" s="459">
        <v>0</v>
      </c>
      <c r="B2802" s="459">
        <v>18</v>
      </c>
      <c r="C2802" s="459">
        <v>20</v>
      </c>
      <c r="D2802" s="460">
        <v>3</v>
      </c>
      <c r="E2802" s="460">
        <v>1</v>
      </c>
      <c r="G2802" s="1798" t="s">
        <v>52</v>
      </c>
      <c r="H2802" s="1783" t="s">
        <v>1239</v>
      </c>
      <c r="I2802" s="1750" t="s">
        <v>8583</v>
      </c>
      <c r="J2802" s="1785" t="s">
        <v>846</v>
      </c>
      <c r="K2802" s="1786" t="s">
        <v>534</v>
      </c>
      <c r="L2802" s="1787">
        <v>264</v>
      </c>
      <c r="M2802" s="1787">
        <v>300</v>
      </c>
      <c r="N2802" s="1754">
        <v>79200</v>
      </c>
      <c r="O2802" s="1788" t="s">
        <v>3252</v>
      </c>
      <c r="P2802" s="1721" t="s">
        <v>9611</v>
      </c>
    </row>
    <row r="2803" spans="1:16" ht="13.5" hidden="1" customHeight="1" outlineLevel="1" x14ac:dyDescent="0.2">
      <c r="A2803" s="459">
        <v>0</v>
      </c>
      <c r="B2803" s="459">
        <v>18</v>
      </c>
      <c r="C2803" s="459">
        <v>21</v>
      </c>
      <c r="D2803" s="460">
        <v>0</v>
      </c>
      <c r="E2803" s="460">
        <v>1</v>
      </c>
      <c r="G2803" s="1796"/>
      <c r="H2803" s="1771" t="s">
        <v>39</v>
      </c>
      <c r="I2803" s="1735" t="s">
        <v>8584</v>
      </c>
      <c r="J2803" s="1773" t="s">
        <v>5528</v>
      </c>
      <c r="K2803" s="1774"/>
      <c r="L2803" s="1775"/>
      <c r="M2803" s="1775"/>
      <c r="N2803" s="1739">
        <v>45947.26</v>
      </c>
      <c r="O2803" s="1776">
        <v>2.74317404462297</v>
      </c>
      <c r="P2803" s="1719"/>
    </row>
    <row r="2804" spans="1:16" ht="12.75" hidden="1" customHeight="1" outlineLevel="2" x14ac:dyDescent="0.2">
      <c r="A2804" s="459">
        <v>0</v>
      </c>
      <c r="B2804" s="459">
        <v>18</v>
      </c>
      <c r="C2804" s="459">
        <v>21</v>
      </c>
      <c r="D2804" s="460">
        <v>1</v>
      </c>
      <c r="E2804" s="460">
        <v>0</v>
      </c>
      <c r="G2804" s="1797"/>
      <c r="H2804" s="1777" t="s">
        <v>1238</v>
      </c>
      <c r="I2804" s="1742" t="s">
        <v>8585</v>
      </c>
      <c r="J2804" s="1779" t="s">
        <v>2746</v>
      </c>
      <c r="K2804" s="1780"/>
      <c r="L2804" s="1781"/>
      <c r="M2804" s="1781"/>
      <c r="N2804" s="1746">
        <v>39555.620000000003</v>
      </c>
      <c r="O2804" s="1782"/>
      <c r="P2804" s="1720"/>
    </row>
    <row r="2805" spans="1:16" ht="12.75" hidden="1" customHeight="1" outlineLevel="3" x14ac:dyDescent="0.2">
      <c r="A2805" s="459">
        <v>0</v>
      </c>
      <c r="B2805" s="459">
        <v>18</v>
      </c>
      <c r="C2805" s="459">
        <v>21</v>
      </c>
      <c r="D2805" s="460">
        <v>1</v>
      </c>
      <c r="E2805" s="460">
        <v>1</v>
      </c>
      <c r="G2805" s="1798" t="s">
        <v>52</v>
      </c>
      <c r="H2805" s="1783" t="s">
        <v>1239</v>
      </c>
      <c r="I2805" s="1750" t="s">
        <v>8586</v>
      </c>
      <c r="J2805" s="1785" t="s">
        <v>809</v>
      </c>
      <c r="K2805" s="1786" t="s">
        <v>534</v>
      </c>
      <c r="L2805" s="1787">
        <v>8</v>
      </c>
      <c r="M2805" s="1787">
        <v>2306.36</v>
      </c>
      <c r="N2805" s="1754">
        <v>18450.88</v>
      </c>
      <c r="O2805" s="1788" t="s">
        <v>3252</v>
      </c>
      <c r="P2805" s="1721" t="s">
        <v>9611</v>
      </c>
    </row>
    <row r="2806" spans="1:16" ht="12.75" hidden="1" customHeight="1" outlineLevel="3" x14ac:dyDescent="0.2">
      <c r="A2806" s="459">
        <v>0</v>
      </c>
      <c r="B2806" s="459">
        <v>18</v>
      </c>
      <c r="C2806" s="459">
        <v>21</v>
      </c>
      <c r="D2806" s="460">
        <v>1</v>
      </c>
      <c r="E2806" s="460">
        <v>2</v>
      </c>
      <c r="G2806" s="1798" t="s">
        <v>52</v>
      </c>
      <c r="H2806" s="1783" t="s">
        <v>1239</v>
      </c>
      <c r="I2806" s="1750" t="s">
        <v>8587</v>
      </c>
      <c r="J2806" s="1785" t="s">
        <v>817</v>
      </c>
      <c r="K2806" s="1786" t="s">
        <v>534</v>
      </c>
      <c r="L2806" s="1787">
        <v>8</v>
      </c>
      <c r="M2806" s="1787">
        <v>2306.36</v>
      </c>
      <c r="N2806" s="1754">
        <v>18450.88</v>
      </c>
      <c r="O2806" s="1788" t="s">
        <v>3252</v>
      </c>
      <c r="P2806" s="1721" t="s">
        <v>9611</v>
      </c>
    </row>
    <row r="2807" spans="1:16" ht="13.5" hidden="1" customHeight="1" outlineLevel="3" x14ac:dyDescent="0.2">
      <c r="A2807" s="459">
        <v>0</v>
      </c>
      <c r="B2807" s="459">
        <v>18</v>
      </c>
      <c r="C2807" s="459">
        <v>21</v>
      </c>
      <c r="D2807" s="460">
        <v>1</v>
      </c>
      <c r="E2807" s="460">
        <v>3</v>
      </c>
      <c r="G2807" s="1798" t="s">
        <v>52</v>
      </c>
      <c r="H2807" s="1783" t="s">
        <v>1239</v>
      </c>
      <c r="I2807" s="1750" t="s">
        <v>8588</v>
      </c>
      <c r="J2807" s="1785" t="s">
        <v>819</v>
      </c>
      <c r="K2807" s="1786" t="s">
        <v>534</v>
      </c>
      <c r="L2807" s="1787">
        <v>1</v>
      </c>
      <c r="M2807" s="1787">
        <v>2653.86</v>
      </c>
      <c r="N2807" s="1754">
        <v>2653.86</v>
      </c>
      <c r="O2807" s="1788" t="s">
        <v>3252</v>
      </c>
      <c r="P2807" s="1721" t="s">
        <v>9611</v>
      </c>
    </row>
    <row r="2808" spans="1:16" ht="13.5" hidden="1" customHeight="1" outlineLevel="2" x14ac:dyDescent="0.2">
      <c r="A2808" s="459">
        <v>0</v>
      </c>
      <c r="B2808" s="459">
        <v>18</v>
      </c>
      <c r="C2808" s="459">
        <v>21</v>
      </c>
      <c r="D2808" s="460">
        <v>2</v>
      </c>
      <c r="E2808" s="460">
        <v>0</v>
      </c>
      <c r="G2808" s="1797"/>
      <c r="H2808" s="1777" t="s">
        <v>1238</v>
      </c>
      <c r="I2808" s="1742" t="s">
        <v>8589</v>
      </c>
      <c r="J2808" s="1779" t="s">
        <v>2820</v>
      </c>
      <c r="K2808" s="1780"/>
      <c r="L2808" s="1781"/>
      <c r="M2808" s="1781"/>
      <c r="N2808" s="1746">
        <v>1291.6400000000001</v>
      </c>
      <c r="O2808" s="1782"/>
      <c r="P2808" s="1720"/>
    </row>
    <row r="2809" spans="1:16" ht="13.5" hidden="1" customHeight="1" outlineLevel="3" x14ac:dyDescent="0.2">
      <c r="A2809" s="459">
        <v>0</v>
      </c>
      <c r="B2809" s="459">
        <v>18</v>
      </c>
      <c r="C2809" s="459">
        <v>21</v>
      </c>
      <c r="D2809" s="460">
        <v>2</v>
      </c>
      <c r="E2809" s="460">
        <v>1</v>
      </c>
      <c r="G2809" s="1798" t="s">
        <v>52</v>
      </c>
      <c r="H2809" s="1783" t="s">
        <v>1239</v>
      </c>
      <c r="I2809" s="1750" t="s">
        <v>8590</v>
      </c>
      <c r="J2809" s="1785" t="s">
        <v>1266</v>
      </c>
      <c r="K2809" s="1786" t="s">
        <v>534</v>
      </c>
      <c r="L2809" s="1787">
        <v>1</v>
      </c>
      <c r="M2809" s="1787">
        <v>1291.6400000000001</v>
      </c>
      <c r="N2809" s="1754">
        <v>1291.6400000000001</v>
      </c>
      <c r="O2809" s="1788" t="s">
        <v>3258</v>
      </c>
      <c r="P2809" s="1721" t="s">
        <v>9611</v>
      </c>
    </row>
    <row r="2810" spans="1:16" ht="13.5" hidden="1" customHeight="1" outlineLevel="2" x14ac:dyDescent="0.2">
      <c r="A2810" s="459">
        <v>0</v>
      </c>
      <c r="B2810" s="459">
        <v>18</v>
      </c>
      <c r="C2810" s="459">
        <v>21</v>
      </c>
      <c r="D2810" s="460">
        <v>3</v>
      </c>
      <c r="E2810" s="460">
        <v>0</v>
      </c>
      <c r="G2810" s="1797"/>
      <c r="H2810" s="1777" t="s">
        <v>1238</v>
      </c>
      <c r="I2810" s="1742" t="s">
        <v>8591</v>
      </c>
      <c r="J2810" s="1779" t="s">
        <v>15</v>
      </c>
      <c r="K2810" s="1780"/>
      <c r="L2810" s="1781"/>
      <c r="M2810" s="1781"/>
      <c r="N2810" s="1746">
        <v>5100</v>
      </c>
      <c r="O2810" s="1782"/>
      <c r="P2810" s="1720"/>
    </row>
    <row r="2811" spans="1:16" ht="13.5" hidden="1" customHeight="1" outlineLevel="3" x14ac:dyDescent="0.2">
      <c r="A2811" s="459">
        <v>0</v>
      </c>
      <c r="B2811" s="459">
        <v>18</v>
      </c>
      <c r="C2811" s="459">
        <v>21</v>
      </c>
      <c r="D2811" s="460">
        <v>3</v>
      </c>
      <c r="E2811" s="460">
        <v>1</v>
      </c>
      <c r="G2811" s="1798" t="s">
        <v>52</v>
      </c>
      <c r="H2811" s="1783" t="s">
        <v>1239</v>
      </c>
      <c r="I2811" s="1750" t="s">
        <v>8592</v>
      </c>
      <c r="J2811" s="1785" t="s">
        <v>846</v>
      </c>
      <c r="K2811" s="1786" t="s">
        <v>534</v>
      </c>
      <c r="L2811" s="1787">
        <v>17</v>
      </c>
      <c r="M2811" s="1787">
        <v>300</v>
      </c>
      <c r="N2811" s="1754">
        <v>5100</v>
      </c>
      <c r="O2811" s="1788" t="s">
        <v>3252</v>
      </c>
      <c r="P2811" s="1721" t="s">
        <v>9611</v>
      </c>
    </row>
    <row r="2812" spans="1:16" ht="13.5" hidden="1" customHeight="1" outlineLevel="1" x14ac:dyDescent="0.2">
      <c r="A2812" s="459">
        <v>0</v>
      </c>
      <c r="B2812" s="459">
        <v>18</v>
      </c>
      <c r="C2812" s="459">
        <v>22</v>
      </c>
      <c r="D2812" s="460">
        <v>0</v>
      </c>
      <c r="E2812" s="460">
        <v>1</v>
      </c>
      <c r="G2812" s="1796"/>
      <c r="H2812" s="1771" t="s">
        <v>39</v>
      </c>
      <c r="I2812" s="1735" t="s">
        <v>8593</v>
      </c>
      <c r="J2812" s="1773" t="s">
        <v>5529</v>
      </c>
      <c r="K2812" s="1774"/>
      <c r="L2812" s="1775"/>
      <c r="M2812" s="1775"/>
      <c r="N2812" s="1739">
        <v>10772.94</v>
      </c>
      <c r="O2812" s="1776">
        <v>0.64317326848827505</v>
      </c>
      <c r="P2812" s="1719"/>
    </row>
    <row r="2813" spans="1:16" ht="12.75" hidden="1" customHeight="1" outlineLevel="2" x14ac:dyDescent="0.2">
      <c r="A2813" s="459">
        <v>0</v>
      </c>
      <c r="B2813" s="459">
        <v>18</v>
      </c>
      <c r="C2813" s="459">
        <v>22</v>
      </c>
      <c r="D2813" s="460">
        <v>1</v>
      </c>
      <c r="E2813" s="460">
        <v>0</v>
      </c>
      <c r="G2813" s="1797"/>
      <c r="H2813" s="1777" t="s">
        <v>1238</v>
      </c>
      <c r="I2813" s="1742" t="s">
        <v>8594</v>
      </c>
      <c r="J2813" s="1779" t="s">
        <v>2746</v>
      </c>
      <c r="K2813" s="1780"/>
      <c r="L2813" s="1781"/>
      <c r="M2813" s="1781"/>
      <c r="N2813" s="1746">
        <v>9572.94</v>
      </c>
      <c r="O2813" s="1782"/>
      <c r="P2813" s="1720"/>
    </row>
    <row r="2814" spans="1:16" ht="12.75" hidden="1" customHeight="1" outlineLevel="3" x14ac:dyDescent="0.2">
      <c r="A2814" s="459">
        <v>0</v>
      </c>
      <c r="B2814" s="459">
        <v>18</v>
      </c>
      <c r="C2814" s="459">
        <v>22</v>
      </c>
      <c r="D2814" s="460">
        <v>1</v>
      </c>
      <c r="E2814" s="460">
        <v>1</v>
      </c>
      <c r="G2814" s="1798" t="s">
        <v>52</v>
      </c>
      <c r="H2814" s="1783" t="s">
        <v>1239</v>
      </c>
      <c r="I2814" s="1750" t="s">
        <v>8595</v>
      </c>
      <c r="J2814" s="1785" t="s">
        <v>809</v>
      </c>
      <c r="K2814" s="1786" t="s">
        <v>534</v>
      </c>
      <c r="L2814" s="1787">
        <v>1</v>
      </c>
      <c r="M2814" s="1787">
        <v>2306.36</v>
      </c>
      <c r="N2814" s="1754">
        <v>2306.36</v>
      </c>
      <c r="O2814" s="1788" t="s">
        <v>3252</v>
      </c>
      <c r="P2814" s="1721" t="s">
        <v>9611</v>
      </c>
    </row>
    <row r="2815" spans="1:16" ht="12.75" hidden="1" customHeight="1" outlineLevel="3" x14ac:dyDescent="0.2">
      <c r="A2815" s="459">
        <v>0</v>
      </c>
      <c r="B2815" s="459">
        <v>18</v>
      </c>
      <c r="C2815" s="459">
        <v>22</v>
      </c>
      <c r="D2815" s="460">
        <v>1</v>
      </c>
      <c r="E2815" s="460">
        <v>2</v>
      </c>
      <c r="G2815" s="1798" t="s">
        <v>52</v>
      </c>
      <c r="H2815" s="1783" t="s">
        <v>1239</v>
      </c>
      <c r="I2815" s="1750" t="s">
        <v>8596</v>
      </c>
      <c r="J2815" s="1785" t="s">
        <v>817</v>
      </c>
      <c r="K2815" s="1786" t="s">
        <v>534</v>
      </c>
      <c r="L2815" s="1787">
        <v>2</v>
      </c>
      <c r="M2815" s="1787">
        <v>2306.36</v>
      </c>
      <c r="N2815" s="1754">
        <v>4612.72</v>
      </c>
      <c r="O2815" s="1788" t="s">
        <v>3252</v>
      </c>
      <c r="P2815" s="1721" t="s">
        <v>9611</v>
      </c>
    </row>
    <row r="2816" spans="1:16" ht="13.5" hidden="1" customHeight="1" outlineLevel="3" x14ac:dyDescent="0.2">
      <c r="A2816" s="459">
        <v>0</v>
      </c>
      <c r="B2816" s="459">
        <v>18</v>
      </c>
      <c r="C2816" s="459">
        <v>22</v>
      </c>
      <c r="D2816" s="460">
        <v>1</v>
      </c>
      <c r="E2816" s="460">
        <v>3</v>
      </c>
      <c r="G2816" s="1798" t="s">
        <v>52</v>
      </c>
      <c r="H2816" s="1783" t="s">
        <v>1239</v>
      </c>
      <c r="I2816" s="1750" t="s">
        <v>8597</v>
      </c>
      <c r="J2816" s="1785" t="s">
        <v>819</v>
      </c>
      <c r="K2816" s="1786" t="s">
        <v>534</v>
      </c>
      <c r="L2816" s="1787">
        <v>1</v>
      </c>
      <c r="M2816" s="1787">
        <v>2653.86</v>
      </c>
      <c r="N2816" s="1754">
        <v>2653.86</v>
      </c>
      <c r="O2816" s="1788" t="s">
        <v>3252</v>
      </c>
      <c r="P2816" s="1721" t="s">
        <v>9611</v>
      </c>
    </row>
    <row r="2817" spans="1:16" ht="13.5" hidden="1" customHeight="1" outlineLevel="2" x14ac:dyDescent="0.2">
      <c r="A2817" s="459">
        <v>0</v>
      </c>
      <c r="B2817" s="459">
        <v>18</v>
      </c>
      <c r="C2817" s="459">
        <v>22</v>
      </c>
      <c r="D2817" s="460">
        <v>2</v>
      </c>
      <c r="E2817" s="460">
        <v>0</v>
      </c>
      <c r="G2817" s="1797"/>
      <c r="H2817" s="1777" t="s">
        <v>1238</v>
      </c>
      <c r="I2817" s="1742" t="s">
        <v>8598</v>
      </c>
      <c r="J2817" s="1779" t="s">
        <v>15</v>
      </c>
      <c r="K2817" s="1780"/>
      <c r="L2817" s="1781"/>
      <c r="M2817" s="1781"/>
      <c r="N2817" s="1746">
        <v>1200</v>
      </c>
      <c r="O2817" s="1782"/>
      <c r="P2817" s="1720"/>
    </row>
    <row r="2818" spans="1:16" ht="13.5" hidden="1" customHeight="1" outlineLevel="3" x14ac:dyDescent="0.2">
      <c r="A2818" s="459">
        <v>0</v>
      </c>
      <c r="B2818" s="459">
        <v>18</v>
      </c>
      <c r="C2818" s="459">
        <v>22</v>
      </c>
      <c r="D2818" s="460">
        <v>2</v>
      </c>
      <c r="E2818" s="460">
        <v>1</v>
      </c>
      <c r="G2818" s="1798" t="s">
        <v>52</v>
      </c>
      <c r="H2818" s="1783" t="s">
        <v>1239</v>
      </c>
      <c r="I2818" s="1750" t="s">
        <v>8599</v>
      </c>
      <c r="J2818" s="1785" t="s">
        <v>846</v>
      </c>
      <c r="K2818" s="1786" t="s">
        <v>534</v>
      </c>
      <c r="L2818" s="1787">
        <v>4</v>
      </c>
      <c r="M2818" s="1787">
        <v>300</v>
      </c>
      <c r="N2818" s="1754">
        <v>1200</v>
      </c>
      <c r="O2818" s="1788" t="s">
        <v>3252</v>
      </c>
      <c r="P2818" s="1721" t="s">
        <v>9611</v>
      </c>
    </row>
    <row r="2819" spans="1:16" ht="13.5" hidden="1" customHeight="1" outlineLevel="1" x14ac:dyDescent="0.2">
      <c r="A2819" s="459">
        <v>0</v>
      </c>
      <c r="B2819" s="459">
        <v>18</v>
      </c>
      <c r="C2819" s="459">
        <v>23</v>
      </c>
      <c r="D2819" s="460">
        <v>0</v>
      </c>
      <c r="E2819" s="460">
        <v>1</v>
      </c>
      <c r="G2819" s="1796"/>
      <c r="H2819" s="1771" t="s">
        <v>39</v>
      </c>
      <c r="I2819" s="1735" t="s">
        <v>8600</v>
      </c>
      <c r="J2819" s="1773" t="s">
        <v>5530</v>
      </c>
      <c r="K2819" s="1774"/>
      <c r="L2819" s="1775"/>
      <c r="M2819" s="1775"/>
      <c r="N2819" s="1739"/>
      <c r="O2819" s="1776"/>
      <c r="P2819" s="1719"/>
    </row>
    <row r="2820" spans="1:16" ht="13.5" hidden="1" customHeight="1" outlineLevel="2" x14ac:dyDescent="0.2">
      <c r="A2820" s="459">
        <v>0</v>
      </c>
      <c r="B2820" s="459">
        <v>18</v>
      </c>
      <c r="C2820" s="459">
        <v>23</v>
      </c>
      <c r="D2820" s="460">
        <v>1</v>
      </c>
      <c r="E2820" s="460">
        <v>0</v>
      </c>
      <c r="G2820" s="1797"/>
      <c r="H2820" s="1777" t="s">
        <v>1238</v>
      </c>
      <c r="I2820" s="1742" t="s">
        <v>8601</v>
      </c>
      <c r="J2820" s="1779" t="s">
        <v>2747</v>
      </c>
      <c r="K2820" s="1780"/>
      <c r="L2820" s="1781"/>
      <c r="M2820" s="1781"/>
      <c r="N2820" s="1746">
        <v>6313.74</v>
      </c>
      <c r="O2820" s="1782"/>
      <c r="P2820" s="1720"/>
    </row>
    <row r="2821" spans="1:16" ht="13.5" hidden="1" customHeight="1" outlineLevel="3" x14ac:dyDescent="0.2">
      <c r="A2821" s="459">
        <v>0</v>
      </c>
      <c r="B2821" s="459">
        <v>18</v>
      </c>
      <c r="C2821" s="459">
        <v>23</v>
      </c>
      <c r="D2821" s="460">
        <v>1</v>
      </c>
      <c r="E2821" s="460">
        <v>1</v>
      </c>
      <c r="G2821" s="1798" t="s">
        <v>52</v>
      </c>
      <c r="H2821" s="1783" t="s">
        <v>1239</v>
      </c>
      <c r="I2821" s="1750" t="s">
        <v>8602</v>
      </c>
      <c r="J2821" s="1785" t="s">
        <v>3530</v>
      </c>
      <c r="K2821" s="1786" t="s">
        <v>788</v>
      </c>
      <c r="L2821" s="1787">
        <v>20.399999999999999</v>
      </c>
      <c r="M2821" s="1787">
        <v>66.849999999999994</v>
      </c>
      <c r="N2821" s="1754">
        <v>1363.74</v>
      </c>
      <c r="O2821" s="1788" t="s">
        <v>3252</v>
      </c>
      <c r="P2821" s="1721" t="s">
        <v>9611</v>
      </c>
    </row>
    <row r="2822" spans="1:16" ht="13.5" hidden="1" customHeight="1" outlineLevel="3" x14ac:dyDescent="0.2">
      <c r="A2822" s="459">
        <v>0</v>
      </c>
      <c r="B2822" s="459">
        <v>18</v>
      </c>
      <c r="C2822" s="459">
        <v>23</v>
      </c>
      <c r="D2822" s="460">
        <v>1</v>
      </c>
      <c r="E2822" s="460">
        <v>2</v>
      </c>
      <c r="G2822" s="1798" t="s">
        <v>52</v>
      </c>
      <c r="H2822" s="1783" t="s">
        <v>1239</v>
      </c>
      <c r="I2822" s="1750" t="s">
        <v>8603</v>
      </c>
      <c r="J2822" s="1785" t="s">
        <v>1960</v>
      </c>
      <c r="K2822" s="1786" t="s">
        <v>534</v>
      </c>
      <c r="L2822" s="1787">
        <v>4</v>
      </c>
      <c r="M2822" s="1787">
        <v>1237.5</v>
      </c>
      <c r="N2822" s="1754">
        <v>4950</v>
      </c>
      <c r="O2822" s="1788" t="s">
        <v>3252</v>
      </c>
      <c r="P2822" s="1721" t="s">
        <v>9611</v>
      </c>
    </row>
    <row r="2823" spans="1:16" ht="13.5" hidden="1" customHeight="1" outlineLevel="2" x14ac:dyDescent="0.2">
      <c r="A2823" s="459">
        <v>0</v>
      </c>
      <c r="B2823" s="459">
        <v>18</v>
      </c>
      <c r="C2823" s="459">
        <v>23</v>
      </c>
      <c r="D2823" s="460">
        <v>2</v>
      </c>
      <c r="E2823" s="460">
        <v>0</v>
      </c>
      <c r="G2823" s="1797"/>
      <c r="H2823" s="1777" t="s">
        <v>1238</v>
      </c>
      <c r="I2823" s="1742" t="s">
        <v>8604</v>
      </c>
      <c r="J2823" s="1779" t="s">
        <v>1953</v>
      </c>
      <c r="K2823" s="1780"/>
      <c r="L2823" s="1781"/>
      <c r="M2823" s="1781"/>
      <c r="N2823" s="1746"/>
      <c r="O2823" s="1782"/>
      <c r="P2823" s="1720"/>
    </row>
    <row r="2824" spans="1:16" ht="13.5" hidden="1" customHeight="1" outlineLevel="3" x14ac:dyDescent="0.2">
      <c r="A2824" s="459">
        <v>0</v>
      </c>
      <c r="B2824" s="459">
        <v>18</v>
      </c>
      <c r="C2824" s="459">
        <v>23</v>
      </c>
      <c r="D2824" s="460">
        <v>2</v>
      </c>
      <c r="E2824" s="460">
        <v>1</v>
      </c>
      <c r="G2824" s="1798" t="s">
        <v>52</v>
      </c>
      <c r="H2824" s="1783" t="s">
        <v>1239</v>
      </c>
      <c r="I2824" s="1750" t="s">
        <v>8605</v>
      </c>
      <c r="J2824" s="1785" t="s">
        <v>3254</v>
      </c>
      <c r="K2824" s="1786" t="s">
        <v>788</v>
      </c>
      <c r="L2824" s="1787" t="e">
        <v>#REF!</v>
      </c>
      <c r="M2824" s="1787">
        <v>820</v>
      </c>
      <c r="N2824" s="1754"/>
      <c r="O2824" s="1788" t="s">
        <v>3251</v>
      </c>
      <c r="P2824" s="1721" t="s">
        <v>9611</v>
      </c>
    </row>
    <row r="2825" spans="1:16" ht="13.5" hidden="1" customHeight="1" outlineLevel="3" x14ac:dyDescent="0.2">
      <c r="A2825" s="459">
        <v>0</v>
      </c>
      <c r="B2825" s="459">
        <v>18</v>
      </c>
      <c r="C2825" s="459">
        <v>23</v>
      </c>
      <c r="D2825" s="460">
        <v>2</v>
      </c>
      <c r="E2825" s="460">
        <v>2</v>
      </c>
      <c r="G2825" s="1798" t="s">
        <v>52</v>
      </c>
      <c r="H2825" s="1783" t="s">
        <v>1239</v>
      </c>
      <c r="I2825" s="1750" t="s">
        <v>8606</v>
      </c>
      <c r="J2825" s="1785" t="s">
        <v>3255</v>
      </c>
      <c r="K2825" s="1786" t="s">
        <v>788</v>
      </c>
      <c r="L2825" s="1787" t="e">
        <v>#REF!</v>
      </c>
      <c r="M2825" s="1787">
        <v>520</v>
      </c>
      <c r="N2825" s="1754"/>
      <c r="O2825" s="1788" t="s">
        <v>3251</v>
      </c>
      <c r="P2825" s="1721" t="s">
        <v>9611</v>
      </c>
    </row>
    <row r="2826" spans="1:16" ht="12.75" hidden="1" customHeight="1" outlineLevel="2" x14ac:dyDescent="0.2">
      <c r="A2826" s="459">
        <v>0</v>
      </c>
      <c r="B2826" s="459">
        <v>18</v>
      </c>
      <c r="C2826" s="459">
        <v>23</v>
      </c>
      <c r="D2826" s="460">
        <v>3</v>
      </c>
      <c r="E2826" s="460">
        <v>0</v>
      </c>
      <c r="G2826" s="1797"/>
      <c r="H2826" s="1777" t="s">
        <v>1238</v>
      </c>
      <c r="I2826" s="1742" t="s">
        <v>8607</v>
      </c>
      <c r="J2826" s="1779" t="s">
        <v>3257</v>
      </c>
      <c r="K2826" s="1780"/>
      <c r="L2826" s="1781"/>
      <c r="M2826" s="1781"/>
      <c r="N2826" s="1746"/>
      <c r="O2826" s="1782"/>
      <c r="P2826" s="1720"/>
    </row>
    <row r="2827" spans="1:16" ht="12.75" hidden="1" customHeight="1" outlineLevel="3" x14ac:dyDescent="0.2">
      <c r="A2827" s="459">
        <v>0</v>
      </c>
      <c r="B2827" s="459">
        <v>18</v>
      </c>
      <c r="C2827" s="459">
        <v>23</v>
      </c>
      <c r="D2827" s="460">
        <v>3</v>
      </c>
      <c r="E2827" s="460">
        <v>1</v>
      </c>
      <c r="G2827" s="1798" t="s">
        <v>52</v>
      </c>
      <c r="H2827" s="1783" t="s">
        <v>1239</v>
      </c>
      <c r="I2827" s="1750" t="s">
        <v>8608</v>
      </c>
      <c r="J2827" s="1785" t="s">
        <v>3256</v>
      </c>
      <c r="K2827" s="1786" t="s">
        <v>642</v>
      </c>
      <c r="L2827" s="1787" t="e">
        <v>#REF!</v>
      </c>
      <c r="M2827" s="1787">
        <v>1240</v>
      </c>
      <c r="N2827" s="1754"/>
      <c r="O2827" s="1788" t="s">
        <v>3251</v>
      </c>
      <c r="P2827" s="1721" t="s">
        <v>9611</v>
      </c>
    </row>
    <row r="2828" spans="1:16" ht="13.5" hidden="1" customHeight="1" outlineLevel="2" x14ac:dyDescent="0.2">
      <c r="A2828" s="459">
        <v>0</v>
      </c>
      <c r="B2828" s="459">
        <v>18</v>
      </c>
      <c r="C2828" s="459">
        <v>23</v>
      </c>
      <c r="D2828" s="460">
        <v>4</v>
      </c>
      <c r="E2828" s="460">
        <v>0</v>
      </c>
      <c r="G2828" s="1797"/>
      <c r="H2828" s="1777" t="s">
        <v>1238</v>
      </c>
      <c r="I2828" s="1742" t="s">
        <v>8609</v>
      </c>
      <c r="J2828" s="1779" t="s">
        <v>15</v>
      </c>
      <c r="K2828" s="1780"/>
      <c r="L2828" s="1781"/>
      <c r="M2828" s="1781"/>
      <c r="N2828" s="1746">
        <v>1200</v>
      </c>
      <c r="O2828" s="1782">
        <v>7.1643202522796004E-2</v>
      </c>
      <c r="P2828" s="1720"/>
    </row>
    <row r="2829" spans="1:16" ht="13.5" hidden="1" customHeight="1" outlineLevel="3" x14ac:dyDescent="0.2">
      <c r="A2829" s="459">
        <v>0</v>
      </c>
      <c r="B2829" s="459">
        <v>18</v>
      </c>
      <c r="C2829" s="459">
        <v>23</v>
      </c>
      <c r="D2829" s="460">
        <v>4</v>
      </c>
      <c r="E2829" s="460">
        <v>1</v>
      </c>
      <c r="G2829" s="1798" t="s">
        <v>52</v>
      </c>
      <c r="H2829" s="1783" t="s">
        <v>1239</v>
      </c>
      <c r="I2829" s="1750" t="s">
        <v>8610</v>
      </c>
      <c r="J2829" s="1785" t="s">
        <v>845</v>
      </c>
      <c r="K2829" s="1786" t="s">
        <v>534</v>
      </c>
      <c r="L2829" s="1787">
        <v>4</v>
      </c>
      <c r="M2829" s="1787">
        <v>300</v>
      </c>
      <c r="N2829" s="1754">
        <v>1200</v>
      </c>
      <c r="O2829" s="1788" t="s">
        <v>3252</v>
      </c>
      <c r="P2829" s="1721" t="s">
        <v>9611</v>
      </c>
    </row>
    <row r="2830" spans="1:16" ht="13.5" hidden="1" customHeight="1" outlineLevel="1" x14ac:dyDescent="0.2">
      <c r="A2830" s="459">
        <v>0</v>
      </c>
      <c r="B2830" s="459">
        <v>18</v>
      </c>
      <c r="C2830" s="459">
        <v>24</v>
      </c>
      <c r="D2830" s="460">
        <v>0</v>
      </c>
      <c r="E2830" s="460">
        <v>1</v>
      </c>
      <c r="G2830" s="1796"/>
      <c r="H2830" s="1771" t="s">
        <v>39</v>
      </c>
      <c r="I2830" s="1735" t="s">
        <v>8611</v>
      </c>
      <c r="J2830" s="1773" t="s">
        <v>5531</v>
      </c>
      <c r="K2830" s="1774"/>
      <c r="L2830" s="1775"/>
      <c r="M2830" s="1775"/>
      <c r="N2830" s="1739"/>
      <c r="O2830" s="1776"/>
      <c r="P2830" s="1719"/>
    </row>
    <row r="2831" spans="1:16" ht="13.5" hidden="1" customHeight="1" outlineLevel="2" x14ac:dyDescent="0.2">
      <c r="A2831" s="459">
        <v>0</v>
      </c>
      <c r="B2831" s="459">
        <v>18</v>
      </c>
      <c r="C2831" s="459">
        <v>24</v>
      </c>
      <c r="D2831" s="460">
        <v>1</v>
      </c>
      <c r="E2831" s="460">
        <v>0</v>
      </c>
      <c r="G2831" s="1797"/>
      <c r="H2831" s="1777" t="s">
        <v>1238</v>
      </c>
      <c r="I2831" s="1742" t="s">
        <v>8612</v>
      </c>
      <c r="J2831" s="1779" t="s">
        <v>2747</v>
      </c>
      <c r="K2831" s="1780"/>
      <c r="L2831" s="1781"/>
      <c r="M2831" s="1781"/>
      <c r="N2831" s="1746">
        <v>3156.87</v>
      </c>
      <c r="O2831" s="1782"/>
      <c r="P2831" s="1720"/>
    </row>
    <row r="2832" spans="1:16" ht="13.5" hidden="1" customHeight="1" outlineLevel="3" x14ac:dyDescent="0.2">
      <c r="A2832" s="459">
        <v>0</v>
      </c>
      <c r="B2832" s="459">
        <v>18</v>
      </c>
      <c r="C2832" s="459">
        <v>24</v>
      </c>
      <c r="D2832" s="460">
        <v>1</v>
      </c>
      <c r="E2832" s="460">
        <v>1</v>
      </c>
      <c r="G2832" s="1798" t="s">
        <v>52</v>
      </c>
      <c r="H2832" s="1783" t="s">
        <v>1239</v>
      </c>
      <c r="I2832" s="1750" t="s">
        <v>8613</v>
      </c>
      <c r="J2832" s="1785" t="s">
        <v>3530</v>
      </c>
      <c r="K2832" s="1786" t="s">
        <v>788</v>
      </c>
      <c r="L2832" s="1787">
        <v>10.199999999999999</v>
      </c>
      <c r="M2832" s="1787">
        <v>66.849999999999994</v>
      </c>
      <c r="N2832" s="1754">
        <v>681.87</v>
      </c>
      <c r="O2832" s="1788" t="s">
        <v>3252</v>
      </c>
      <c r="P2832" s="1721" t="s">
        <v>9611</v>
      </c>
    </row>
    <row r="2833" spans="1:16" ht="13.5" hidden="1" customHeight="1" outlineLevel="3" x14ac:dyDescent="0.2">
      <c r="A2833" s="459">
        <v>0</v>
      </c>
      <c r="B2833" s="459">
        <v>18</v>
      </c>
      <c r="C2833" s="459">
        <v>24</v>
      </c>
      <c r="D2833" s="460">
        <v>1</v>
      </c>
      <c r="E2833" s="460">
        <v>2</v>
      </c>
      <c r="G2833" s="1798" t="s">
        <v>52</v>
      </c>
      <c r="H2833" s="1783" t="s">
        <v>1239</v>
      </c>
      <c r="I2833" s="1750" t="s">
        <v>8614</v>
      </c>
      <c r="J2833" s="1785" t="s">
        <v>1960</v>
      </c>
      <c r="K2833" s="1786" t="s">
        <v>534</v>
      </c>
      <c r="L2833" s="1787">
        <v>2</v>
      </c>
      <c r="M2833" s="1787">
        <v>1237.5</v>
      </c>
      <c r="N2833" s="1754">
        <v>2475</v>
      </c>
      <c r="O2833" s="1788" t="s">
        <v>3252</v>
      </c>
      <c r="P2833" s="1721" t="s">
        <v>9611</v>
      </c>
    </row>
    <row r="2834" spans="1:16" ht="13.5" hidden="1" customHeight="1" outlineLevel="2" x14ac:dyDescent="0.2">
      <c r="A2834" s="459">
        <v>0</v>
      </c>
      <c r="B2834" s="459">
        <v>18</v>
      </c>
      <c r="C2834" s="459">
        <v>24</v>
      </c>
      <c r="D2834" s="460">
        <v>2</v>
      </c>
      <c r="E2834" s="460">
        <v>0</v>
      </c>
      <c r="G2834" s="1797"/>
      <c r="H2834" s="1777" t="s">
        <v>1238</v>
      </c>
      <c r="I2834" s="1742" t="s">
        <v>8615</v>
      </c>
      <c r="J2834" s="1779" t="s">
        <v>1953</v>
      </c>
      <c r="K2834" s="1780"/>
      <c r="L2834" s="1781"/>
      <c r="M2834" s="1781"/>
      <c r="N2834" s="1746"/>
      <c r="O2834" s="1782"/>
      <c r="P2834" s="1720"/>
    </row>
    <row r="2835" spans="1:16" ht="13.5" hidden="1" customHeight="1" outlineLevel="3" x14ac:dyDescent="0.2">
      <c r="A2835" s="459">
        <v>0</v>
      </c>
      <c r="B2835" s="459">
        <v>18</v>
      </c>
      <c r="C2835" s="459">
        <v>24</v>
      </c>
      <c r="D2835" s="460">
        <v>2</v>
      </c>
      <c r="E2835" s="460">
        <v>1</v>
      </c>
      <c r="G2835" s="1798" t="s">
        <v>52</v>
      </c>
      <c r="H2835" s="1783" t="s">
        <v>1239</v>
      </c>
      <c r="I2835" s="1750" t="s">
        <v>8616</v>
      </c>
      <c r="J2835" s="1785" t="s">
        <v>3254</v>
      </c>
      <c r="K2835" s="1786" t="s">
        <v>788</v>
      </c>
      <c r="L2835" s="1787" t="e">
        <v>#REF!</v>
      </c>
      <c r="M2835" s="1787">
        <v>820</v>
      </c>
      <c r="N2835" s="1754"/>
      <c r="O2835" s="1788" t="s">
        <v>3251</v>
      </c>
      <c r="P2835" s="1721" t="s">
        <v>9611</v>
      </c>
    </row>
    <row r="2836" spans="1:16" ht="13.5" hidden="1" customHeight="1" outlineLevel="3" x14ac:dyDescent="0.2">
      <c r="A2836" s="459">
        <v>0</v>
      </c>
      <c r="B2836" s="459">
        <v>18</v>
      </c>
      <c r="C2836" s="459">
        <v>24</v>
      </c>
      <c r="D2836" s="460">
        <v>2</v>
      </c>
      <c r="E2836" s="460">
        <v>2</v>
      </c>
      <c r="G2836" s="1798" t="s">
        <v>52</v>
      </c>
      <c r="H2836" s="1783" t="s">
        <v>1239</v>
      </c>
      <c r="I2836" s="1750" t="s">
        <v>8617</v>
      </c>
      <c r="J2836" s="1785" t="s">
        <v>3255</v>
      </c>
      <c r="K2836" s="1786" t="s">
        <v>788</v>
      </c>
      <c r="L2836" s="1787" t="e">
        <v>#REF!</v>
      </c>
      <c r="M2836" s="1787">
        <v>520</v>
      </c>
      <c r="N2836" s="1754"/>
      <c r="O2836" s="1788" t="s">
        <v>3251</v>
      </c>
      <c r="P2836" s="1721" t="s">
        <v>9611</v>
      </c>
    </row>
    <row r="2837" spans="1:16" ht="13.5" hidden="1" customHeight="1" outlineLevel="2" x14ac:dyDescent="0.2">
      <c r="A2837" s="459">
        <v>0</v>
      </c>
      <c r="B2837" s="459">
        <v>18</v>
      </c>
      <c r="C2837" s="459">
        <v>24</v>
      </c>
      <c r="D2837" s="460">
        <v>3</v>
      </c>
      <c r="E2837" s="460">
        <v>0</v>
      </c>
      <c r="G2837" s="1797"/>
      <c r="H2837" s="1777" t="s">
        <v>1238</v>
      </c>
      <c r="I2837" s="1742" t="s">
        <v>8618</v>
      </c>
      <c r="J2837" s="1779" t="s">
        <v>15</v>
      </c>
      <c r="K2837" s="1780"/>
      <c r="L2837" s="1781"/>
      <c r="M2837" s="1781"/>
      <c r="N2837" s="1746">
        <v>600</v>
      </c>
      <c r="O2837" s="1782">
        <v>3.5821601261398002E-2</v>
      </c>
      <c r="P2837" s="1720"/>
    </row>
    <row r="2838" spans="1:16" ht="13.5" hidden="1" customHeight="1" outlineLevel="3" x14ac:dyDescent="0.2">
      <c r="A2838" s="459">
        <v>0</v>
      </c>
      <c r="B2838" s="459">
        <v>18</v>
      </c>
      <c r="C2838" s="459">
        <v>24</v>
      </c>
      <c r="D2838" s="460">
        <v>3</v>
      </c>
      <c r="E2838" s="460">
        <v>1</v>
      </c>
      <c r="G2838" s="1798" t="s">
        <v>52</v>
      </c>
      <c r="H2838" s="1783" t="s">
        <v>1239</v>
      </c>
      <c r="I2838" s="1750" t="s">
        <v>8619</v>
      </c>
      <c r="J2838" s="1785" t="s">
        <v>845</v>
      </c>
      <c r="K2838" s="1786" t="s">
        <v>534</v>
      </c>
      <c r="L2838" s="1787">
        <v>2</v>
      </c>
      <c r="M2838" s="1787">
        <v>300</v>
      </c>
      <c r="N2838" s="1754">
        <v>600</v>
      </c>
      <c r="O2838" s="1788" t="s">
        <v>3252</v>
      </c>
      <c r="P2838" s="1721" t="s">
        <v>9611</v>
      </c>
    </row>
    <row r="2839" spans="1:16" ht="13.5" hidden="1" customHeight="1" outlineLevel="1" x14ac:dyDescent="0.2">
      <c r="A2839" s="459">
        <v>0</v>
      </c>
      <c r="B2839" s="459">
        <v>18</v>
      </c>
      <c r="C2839" s="459">
        <v>25</v>
      </c>
      <c r="D2839" s="460">
        <v>0</v>
      </c>
      <c r="E2839" s="460">
        <v>1</v>
      </c>
      <c r="G2839" s="1796"/>
      <c r="H2839" s="1771" t="s">
        <v>39</v>
      </c>
      <c r="I2839" s="1735" t="s">
        <v>8620</v>
      </c>
      <c r="J2839" s="1773" t="s">
        <v>5532</v>
      </c>
      <c r="K2839" s="1774"/>
      <c r="L2839" s="1775"/>
      <c r="M2839" s="1775"/>
      <c r="N2839" s="1739"/>
      <c r="O2839" s="1776"/>
      <c r="P2839" s="1719"/>
    </row>
    <row r="2840" spans="1:16" ht="13.5" hidden="1" customHeight="1" outlineLevel="2" x14ac:dyDescent="0.2">
      <c r="A2840" s="459">
        <v>0</v>
      </c>
      <c r="B2840" s="459">
        <v>18</v>
      </c>
      <c r="C2840" s="459">
        <v>25</v>
      </c>
      <c r="D2840" s="460">
        <v>1</v>
      </c>
      <c r="E2840" s="460">
        <v>0</v>
      </c>
      <c r="G2840" s="1797"/>
      <c r="H2840" s="1777" t="s">
        <v>1238</v>
      </c>
      <c r="I2840" s="1742" t="s">
        <v>8621</v>
      </c>
      <c r="J2840" s="1779" t="s">
        <v>2747</v>
      </c>
      <c r="K2840" s="1780"/>
      <c r="L2840" s="1781"/>
      <c r="M2840" s="1781"/>
      <c r="N2840" s="1746">
        <v>4735.3050000000003</v>
      </c>
      <c r="O2840" s="1782"/>
      <c r="P2840" s="1720"/>
    </row>
    <row r="2841" spans="1:16" ht="13.5" hidden="1" customHeight="1" outlineLevel="3" x14ac:dyDescent="0.2">
      <c r="A2841" s="459">
        <v>0</v>
      </c>
      <c r="B2841" s="459">
        <v>18</v>
      </c>
      <c r="C2841" s="459">
        <v>25</v>
      </c>
      <c r="D2841" s="460">
        <v>1</v>
      </c>
      <c r="E2841" s="460">
        <v>1</v>
      </c>
      <c r="G2841" s="1798" t="s">
        <v>52</v>
      </c>
      <c r="H2841" s="1783" t="s">
        <v>1239</v>
      </c>
      <c r="I2841" s="1750" t="s">
        <v>8622</v>
      </c>
      <c r="J2841" s="1785" t="s">
        <v>3530</v>
      </c>
      <c r="K2841" s="1786" t="s">
        <v>788</v>
      </c>
      <c r="L2841" s="1787">
        <v>15.299999999999999</v>
      </c>
      <c r="M2841" s="1787">
        <v>66.849999999999994</v>
      </c>
      <c r="N2841" s="1754">
        <v>1022.8049999999999</v>
      </c>
      <c r="O2841" s="1788" t="s">
        <v>3252</v>
      </c>
      <c r="P2841" s="1721" t="s">
        <v>9611</v>
      </c>
    </row>
    <row r="2842" spans="1:16" ht="13.5" hidden="1" customHeight="1" outlineLevel="3" x14ac:dyDescent="0.2">
      <c r="A2842" s="459">
        <v>0</v>
      </c>
      <c r="B2842" s="459">
        <v>18</v>
      </c>
      <c r="C2842" s="459">
        <v>25</v>
      </c>
      <c r="D2842" s="460">
        <v>1</v>
      </c>
      <c r="E2842" s="460">
        <v>2</v>
      </c>
      <c r="G2842" s="1798" t="s">
        <v>52</v>
      </c>
      <c r="H2842" s="1783" t="s">
        <v>1239</v>
      </c>
      <c r="I2842" s="1750" t="s">
        <v>8623</v>
      </c>
      <c r="J2842" s="1785" t="s">
        <v>1960</v>
      </c>
      <c r="K2842" s="1786" t="s">
        <v>534</v>
      </c>
      <c r="L2842" s="1787">
        <v>3</v>
      </c>
      <c r="M2842" s="1787">
        <v>1237.5</v>
      </c>
      <c r="N2842" s="1754">
        <v>3712.5</v>
      </c>
      <c r="O2842" s="1788" t="s">
        <v>3252</v>
      </c>
      <c r="P2842" s="1721" t="s">
        <v>9611</v>
      </c>
    </row>
    <row r="2843" spans="1:16" ht="13.5" hidden="1" customHeight="1" outlineLevel="2" x14ac:dyDescent="0.2">
      <c r="A2843" s="459">
        <v>0</v>
      </c>
      <c r="B2843" s="459">
        <v>18</v>
      </c>
      <c r="C2843" s="459">
        <v>25</v>
      </c>
      <c r="D2843" s="460">
        <v>2</v>
      </c>
      <c r="E2843" s="460">
        <v>0</v>
      </c>
      <c r="G2843" s="1797"/>
      <c r="H2843" s="1777" t="s">
        <v>1238</v>
      </c>
      <c r="I2843" s="1742" t="s">
        <v>8624</v>
      </c>
      <c r="J2843" s="1779" t="s">
        <v>1953</v>
      </c>
      <c r="K2843" s="1780"/>
      <c r="L2843" s="1781"/>
      <c r="M2843" s="1781"/>
      <c r="N2843" s="1746"/>
      <c r="O2843" s="1782"/>
      <c r="P2843" s="1720"/>
    </row>
    <row r="2844" spans="1:16" ht="13.5" hidden="1" customHeight="1" outlineLevel="3" x14ac:dyDescent="0.2">
      <c r="A2844" s="459">
        <v>0</v>
      </c>
      <c r="B2844" s="459">
        <v>18</v>
      </c>
      <c r="C2844" s="459">
        <v>25</v>
      </c>
      <c r="D2844" s="460">
        <v>2</v>
      </c>
      <c r="E2844" s="460">
        <v>1</v>
      </c>
      <c r="G2844" s="1798" t="s">
        <v>52</v>
      </c>
      <c r="H2844" s="1783" t="s">
        <v>1239</v>
      </c>
      <c r="I2844" s="1750" t="s">
        <v>8625</v>
      </c>
      <c r="J2844" s="1785" t="s">
        <v>3254</v>
      </c>
      <c r="K2844" s="1786" t="s">
        <v>788</v>
      </c>
      <c r="L2844" s="1787" t="e">
        <v>#REF!</v>
      </c>
      <c r="M2844" s="1787">
        <v>820</v>
      </c>
      <c r="N2844" s="1754"/>
      <c r="O2844" s="1788" t="s">
        <v>3251</v>
      </c>
      <c r="P2844" s="1721" t="s">
        <v>9611</v>
      </c>
    </row>
    <row r="2845" spans="1:16" ht="13.5" hidden="1" customHeight="1" outlineLevel="3" x14ac:dyDescent="0.2">
      <c r="A2845" s="459">
        <v>0</v>
      </c>
      <c r="B2845" s="459">
        <v>18</v>
      </c>
      <c r="C2845" s="459">
        <v>25</v>
      </c>
      <c r="D2845" s="460">
        <v>2</v>
      </c>
      <c r="E2845" s="460">
        <v>2</v>
      </c>
      <c r="G2845" s="1798" t="s">
        <v>52</v>
      </c>
      <c r="H2845" s="1783" t="s">
        <v>1239</v>
      </c>
      <c r="I2845" s="1750" t="s">
        <v>8626</v>
      </c>
      <c r="J2845" s="1785" t="s">
        <v>3255</v>
      </c>
      <c r="K2845" s="1786" t="s">
        <v>788</v>
      </c>
      <c r="L2845" s="1787" t="e">
        <v>#REF!</v>
      </c>
      <c r="M2845" s="1787">
        <v>520</v>
      </c>
      <c r="N2845" s="1754"/>
      <c r="O2845" s="1788" t="s">
        <v>3251</v>
      </c>
      <c r="P2845" s="1721" t="s">
        <v>9611</v>
      </c>
    </row>
    <row r="2846" spans="1:16" ht="13.5" hidden="1" customHeight="1" outlineLevel="2" x14ac:dyDescent="0.2">
      <c r="A2846" s="459">
        <v>0</v>
      </c>
      <c r="B2846" s="459">
        <v>18</v>
      </c>
      <c r="C2846" s="459">
        <v>25</v>
      </c>
      <c r="D2846" s="460">
        <v>3</v>
      </c>
      <c r="E2846" s="460">
        <v>0</v>
      </c>
      <c r="G2846" s="1797"/>
      <c r="H2846" s="1777" t="s">
        <v>1238</v>
      </c>
      <c r="I2846" s="1742" t="s">
        <v>8627</v>
      </c>
      <c r="J2846" s="1779" t="s">
        <v>15</v>
      </c>
      <c r="K2846" s="1780"/>
      <c r="L2846" s="1781"/>
      <c r="M2846" s="1781"/>
      <c r="N2846" s="1746">
        <v>900</v>
      </c>
      <c r="O2846" s="1782">
        <v>5.3732401892097E-2</v>
      </c>
      <c r="P2846" s="1720"/>
    </row>
    <row r="2847" spans="1:16" ht="13.5" hidden="1" customHeight="1" outlineLevel="3" x14ac:dyDescent="0.2">
      <c r="A2847" s="459">
        <v>0</v>
      </c>
      <c r="B2847" s="459">
        <v>18</v>
      </c>
      <c r="C2847" s="459">
        <v>25</v>
      </c>
      <c r="D2847" s="460">
        <v>3</v>
      </c>
      <c r="E2847" s="460">
        <v>1</v>
      </c>
      <c r="G2847" s="1798" t="s">
        <v>52</v>
      </c>
      <c r="H2847" s="1783" t="s">
        <v>1239</v>
      </c>
      <c r="I2847" s="1750" t="s">
        <v>8628</v>
      </c>
      <c r="J2847" s="1785" t="s">
        <v>845</v>
      </c>
      <c r="K2847" s="1786" t="s">
        <v>534</v>
      </c>
      <c r="L2847" s="1787">
        <v>3</v>
      </c>
      <c r="M2847" s="1787">
        <v>300</v>
      </c>
      <c r="N2847" s="1754">
        <v>900</v>
      </c>
      <c r="O2847" s="1788" t="s">
        <v>3252</v>
      </c>
      <c r="P2847" s="1721" t="s">
        <v>9611</v>
      </c>
    </row>
    <row r="2848" spans="1:16" ht="13.5" hidden="1" customHeight="1" outlineLevel="1" x14ac:dyDescent="0.2">
      <c r="A2848" s="459">
        <v>0</v>
      </c>
      <c r="B2848" s="459">
        <v>18</v>
      </c>
      <c r="C2848" s="459">
        <v>26</v>
      </c>
      <c r="D2848" s="460">
        <v>0</v>
      </c>
      <c r="E2848" s="460">
        <v>1</v>
      </c>
      <c r="G2848" s="1796"/>
      <c r="H2848" s="1771" t="s">
        <v>39</v>
      </c>
      <c r="I2848" s="1735" t="s">
        <v>8629</v>
      </c>
      <c r="J2848" s="1773" t="s">
        <v>5533</v>
      </c>
      <c r="K2848" s="1774"/>
      <c r="L2848" s="1775"/>
      <c r="M2848" s="1775"/>
      <c r="N2848" s="1739"/>
      <c r="O2848" s="1776"/>
      <c r="P2848" s="1719"/>
    </row>
    <row r="2849" spans="1:16" ht="13.5" hidden="1" customHeight="1" outlineLevel="2" x14ac:dyDescent="0.2">
      <c r="A2849" s="459">
        <v>0</v>
      </c>
      <c r="B2849" s="459">
        <v>18</v>
      </c>
      <c r="C2849" s="459">
        <v>26</v>
      </c>
      <c r="D2849" s="460">
        <v>1</v>
      </c>
      <c r="E2849" s="460">
        <v>0</v>
      </c>
      <c r="G2849" s="1797"/>
      <c r="H2849" s="1777" t="s">
        <v>1238</v>
      </c>
      <c r="I2849" s="1742" t="s">
        <v>8630</v>
      </c>
      <c r="J2849" s="1779" t="s">
        <v>2747</v>
      </c>
      <c r="K2849" s="1780"/>
      <c r="L2849" s="1781"/>
      <c r="M2849" s="1781"/>
      <c r="N2849" s="1746">
        <v>4735.3050000000003</v>
      </c>
      <c r="O2849" s="1782"/>
      <c r="P2849" s="1720"/>
    </row>
    <row r="2850" spans="1:16" ht="13.5" hidden="1" customHeight="1" outlineLevel="3" x14ac:dyDescent="0.2">
      <c r="A2850" s="459">
        <v>0</v>
      </c>
      <c r="B2850" s="459">
        <v>18</v>
      </c>
      <c r="C2850" s="459">
        <v>26</v>
      </c>
      <c r="D2850" s="460">
        <v>1</v>
      </c>
      <c r="E2850" s="460">
        <v>1</v>
      </c>
      <c r="G2850" s="1798" t="s">
        <v>52</v>
      </c>
      <c r="H2850" s="1783" t="s">
        <v>1239</v>
      </c>
      <c r="I2850" s="1750" t="s">
        <v>8631</v>
      </c>
      <c r="J2850" s="1785" t="s">
        <v>3530</v>
      </c>
      <c r="K2850" s="1786" t="s">
        <v>788</v>
      </c>
      <c r="L2850" s="1787">
        <v>15.299999999999999</v>
      </c>
      <c r="M2850" s="1787">
        <v>66.849999999999994</v>
      </c>
      <c r="N2850" s="1754">
        <v>1022.8049999999999</v>
      </c>
      <c r="O2850" s="1788" t="s">
        <v>3252</v>
      </c>
      <c r="P2850" s="1721" t="s">
        <v>9611</v>
      </c>
    </row>
    <row r="2851" spans="1:16" ht="13.5" hidden="1" customHeight="1" outlineLevel="3" x14ac:dyDescent="0.2">
      <c r="A2851" s="459">
        <v>0</v>
      </c>
      <c r="B2851" s="459">
        <v>18</v>
      </c>
      <c r="C2851" s="459">
        <v>26</v>
      </c>
      <c r="D2851" s="460">
        <v>1</v>
      </c>
      <c r="E2851" s="460">
        <v>2</v>
      </c>
      <c r="G2851" s="1798" t="s">
        <v>52</v>
      </c>
      <c r="H2851" s="1783" t="s">
        <v>1239</v>
      </c>
      <c r="I2851" s="1750" t="s">
        <v>8632</v>
      </c>
      <c r="J2851" s="1785" t="s">
        <v>1960</v>
      </c>
      <c r="K2851" s="1786" t="s">
        <v>534</v>
      </c>
      <c r="L2851" s="1787">
        <v>3</v>
      </c>
      <c r="M2851" s="1787">
        <v>1237.5</v>
      </c>
      <c r="N2851" s="1754">
        <v>3712.5</v>
      </c>
      <c r="O2851" s="1788" t="s">
        <v>3252</v>
      </c>
      <c r="P2851" s="1721" t="s">
        <v>9611</v>
      </c>
    </row>
    <row r="2852" spans="1:16" ht="13.5" hidden="1" customHeight="1" outlineLevel="2" x14ac:dyDescent="0.2">
      <c r="A2852" s="459">
        <v>0</v>
      </c>
      <c r="B2852" s="459">
        <v>18</v>
      </c>
      <c r="C2852" s="459">
        <v>26</v>
      </c>
      <c r="D2852" s="460">
        <v>2</v>
      </c>
      <c r="E2852" s="460">
        <v>0</v>
      </c>
      <c r="G2852" s="1797"/>
      <c r="H2852" s="1777" t="s">
        <v>1238</v>
      </c>
      <c r="I2852" s="1742" t="s">
        <v>8633</v>
      </c>
      <c r="J2852" s="1779" t="s">
        <v>1953</v>
      </c>
      <c r="K2852" s="1780"/>
      <c r="L2852" s="1781"/>
      <c r="M2852" s="1781"/>
      <c r="N2852" s="1746"/>
      <c r="O2852" s="1782"/>
      <c r="P2852" s="1720"/>
    </row>
    <row r="2853" spans="1:16" ht="13.5" hidden="1" customHeight="1" outlineLevel="3" x14ac:dyDescent="0.2">
      <c r="A2853" s="459">
        <v>0</v>
      </c>
      <c r="B2853" s="459">
        <v>18</v>
      </c>
      <c r="C2853" s="459">
        <v>26</v>
      </c>
      <c r="D2853" s="460">
        <v>2</v>
      </c>
      <c r="E2853" s="460">
        <v>1</v>
      </c>
      <c r="G2853" s="1798" t="s">
        <v>52</v>
      </c>
      <c r="H2853" s="1783" t="s">
        <v>1239</v>
      </c>
      <c r="I2853" s="1750" t="s">
        <v>8634</v>
      </c>
      <c r="J2853" s="1785" t="s">
        <v>3254</v>
      </c>
      <c r="K2853" s="1786" t="s">
        <v>788</v>
      </c>
      <c r="L2853" s="1787" t="e">
        <v>#REF!</v>
      </c>
      <c r="M2853" s="1787">
        <v>820</v>
      </c>
      <c r="N2853" s="1754"/>
      <c r="O2853" s="1788" t="s">
        <v>3251</v>
      </c>
      <c r="P2853" s="1721" t="s">
        <v>9611</v>
      </c>
    </row>
    <row r="2854" spans="1:16" ht="13.5" hidden="1" customHeight="1" outlineLevel="3" x14ac:dyDescent="0.2">
      <c r="A2854" s="459">
        <v>0</v>
      </c>
      <c r="B2854" s="459">
        <v>18</v>
      </c>
      <c r="C2854" s="459">
        <v>26</v>
      </c>
      <c r="D2854" s="460">
        <v>2</v>
      </c>
      <c r="E2854" s="460">
        <v>2</v>
      </c>
      <c r="G2854" s="1798" t="s">
        <v>52</v>
      </c>
      <c r="H2854" s="1783" t="s">
        <v>1239</v>
      </c>
      <c r="I2854" s="1750" t="s">
        <v>8635</v>
      </c>
      <c r="J2854" s="1785" t="s">
        <v>3255</v>
      </c>
      <c r="K2854" s="1786" t="s">
        <v>788</v>
      </c>
      <c r="L2854" s="1787" t="e">
        <v>#REF!</v>
      </c>
      <c r="M2854" s="1787">
        <v>520</v>
      </c>
      <c r="N2854" s="1754"/>
      <c r="O2854" s="1788" t="s">
        <v>3251</v>
      </c>
      <c r="P2854" s="1721" t="s">
        <v>9611</v>
      </c>
    </row>
    <row r="2855" spans="1:16" ht="13.5" hidden="1" customHeight="1" outlineLevel="2" x14ac:dyDescent="0.2">
      <c r="A2855" s="459">
        <v>0</v>
      </c>
      <c r="B2855" s="459">
        <v>18</v>
      </c>
      <c r="C2855" s="459">
        <v>26</v>
      </c>
      <c r="D2855" s="460">
        <v>3</v>
      </c>
      <c r="E2855" s="460">
        <v>0</v>
      </c>
      <c r="G2855" s="1797"/>
      <c r="H2855" s="1777" t="s">
        <v>1238</v>
      </c>
      <c r="I2855" s="1742" t="s">
        <v>8636</v>
      </c>
      <c r="J2855" s="1779" t="s">
        <v>15</v>
      </c>
      <c r="K2855" s="1780"/>
      <c r="L2855" s="1781"/>
      <c r="M2855" s="1781"/>
      <c r="N2855" s="1746">
        <v>900</v>
      </c>
      <c r="O2855" s="1782">
        <v>5.3732401892097E-2</v>
      </c>
      <c r="P2855" s="1720"/>
    </row>
    <row r="2856" spans="1:16" ht="13.5" hidden="1" customHeight="1" outlineLevel="3" x14ac:dyDescent="0.2">
      <c r="A2856" s="459">
        <v>0</v>
      </c>
      <c r="B2856" s="459">
        <v>18</v>
      </c>
      <c r="C2856" s="459">
        <v>26</v>
      </c>
      <c r="D2856" s="460">
        <v>3</v>
      </c>
      <c r="E2856" s="460">
        <v>1</v>
      </c>
      <c r="G2856" s="1798" t="s">
        <v>52</v>
      </c>
      <c r="H2856" s="1783" t="s">
        <v>1239</v>
      </c>
      <c r="I2856" s="1750" t="s">
        <v>8637</v>
      </c>
      <c r="J2856" s="1785" t="s">
        <v>845</v>
      </c>
      <c r="K2856" s="1786" t="s">
        <v>534</v>
      </c>
      <c r="L2856" s="1787">
        <v>3</v>
      </c>
      <c r="M2856" s="1787">
        <v>300</v>
      </c>
      <c r="N2856" s="1754">
        <v>900</v>
      </c>
      <c r="O2856" s="1788" t="s">
        <v>3252</v>
      </c>
      <c r="P2856" s="1721" t="s">
        <v>9611</v>
      </c>
    </row>
    <row r="2857" spans="1:16" ht="13.5" hidden="1" customHeight="1" outlineLevel="1" x14ac:dyDescent="0.2">
      <c r="A2857" s="459">
        <v>0</v>
      </c>
      <c r="B2857" s="459">
        <v>18</v>
      </c>
      <c r="C2857" s="459">
        <v>27</v>
      </c>
      <c r="D2857" s="460">
        <v>0</v>
      </c>
      <c r="E2857" s="460">
        <v>1</v>
      </c>
      <c r="G2857" s="1796"/>
      <c r="H2857" s="1771" t="s">
        <v>39</v>
      </c>
      <c r="I2857" s="1735" t="s">
        <v>8638</v>
      </c>
      <c r="J2857" s="1773" t="s">
        <v>5534</v>
      </c>
      <c r="K2857" s="1774"/>
      <c r="L2857" s="1775"/>
      <c r="M2857" s="1775"/>
      <c r="N2857" s="1739"/>
      <c r="O2857" s="1776"/>
      <c r="P2857" s="1719"/>
    </row>
    <row r="2858" spans="1:16" ht="13.5" hidden="1" customHeight="1" outlineLevel="2" x14ac:dyDescent="0.2">
      <c r="A2858" s="459">
        <v>0</v>
      </c>
      <c r="B2858" s="459">
        <v>18</v>
      </c>
      <c r="C2858" s="459">
        <v>27</v>
      </c>
      <c r="D2858" s="460">
        <v>1</v>
      </c>
      <c r="E2858" s="460">
        <v>0</v>
      </c>
      <c r="G2858" s="1797"/>
      <c r="H2858" s="1777" t="s">
        <v>1238</v>
      </c>
      <c r="I2858" s="1742" t="s">
        <v>8639</v>
      </c>
      <c r="J2858" s="1779" t="s">
        <v>2747</v>
      </c>
      <c r="K2858" s="1780"/>
      <c r="L2858" s="1781"/>
      <c r="M2858" s="1781"/>
      <c r="N2858" s="1746">
        <v>6313.74</v>
      </c>
      <c r="O2858" s="1782"/>
      <c r="P2858" s="1720"/>
    </row>
    <row r="2859" spans="1:16" ht="13.5" hidden="1" customHeight="1" outlineLevel="3" x14ac:dyDescent="0.2">
      <c r="A2859" s="459">
        <v>0</v>
      </c>
      <c r="B2859" s="459">
        <v>18</v>
      </c>
      <c r="C2859" s="459">
        <v>27</v>
      </c>
      <c r="D2859" s="460">
        <v>1</v>
      </c>
      <c r="E2859" s="460">
        <v>1</v>
      </c>
      <c r="G2859" s="1798" t="s">
        <v>52</v>
      </c>
      <c r="H2859" s="1783" t="s">
        <v>1239</v>
      </c>
      <c r="I2859" s="1750" t="s">
        <v>8640</v>
      </c>
      <c r="J2859" s="1785" t="s">
        <v>3530</v>
      </c>
      <c r="K2859" s="1786" t="s">
        <v>788</v>
      </c>
      <c r="L2859" s="1787">
        <v>20.399999999999999</v>
      </c>
      <c r="M2859" s="1787">
        <v>66.849999999999994</v>
      </c>
      <c r="N2859" s="1754">
        <v>1363.74</v>
      </c>
      <c r="O2859" s="1788" t="s">
        <v>3252</v>
      </c>
      <c r="P2859" s="1721" t="s">
        <v>9611</v>
      </c>
    </row>
    <row r="2860" spans="1:16" ht="13.5" hidden="1" customHeight="1" outlineLevel="3" x14ac:dyDescent="0.2">
      <c r="A2860" s="459">
        <v>0</v>
      </c>
      <c r="B2860" s="459">
        <v>18</v>
      </c>
      <c r="C2860" s="459">
        <v>27</v>
      </c>
      <c r="D2860" s="460">
        <v>1</v>
      </c>
      <c r="E2860" s="460">
        <v>2</v>
      </c>
      <c r="G2860" s="1798" t="s">
        <v>52</v>
      </c>
      <c r="H2860" s="1783" t="s">
        <v>1239</v>
      </c>
      <c r="I2860" s="1750" t="s">
        <v>8641</v>
      </c>
      <c r="J2860" s="1785" t="s">
        <v>1960</v>
      </c>
      <c r="K2860" s="1786" t="s">
        <v>534</v>
      </c>
      <c r="L2860" s="1787">
        <v>4</v>
      </c>
      <c r="M2860" s="1787">
        <v>1237.5</v>
      </c>
      <c r="N2860" s="1754">
        <v>4950</v>
      </c>
      <c r="O2860" s="1788" t="s">
        <v>3252</v>
      </c>
      <c r="P2860" s="1721" t="s">
        <v>9611</v>
      </c>
    </row>
    <row r="2861" spans="1:16" ht="13.5" hidden="1" customHeight="1" outlineLevel="2" x14ac:dyDescent="0.2">
      <c r="A2861" s="459">
        <v>0</v>
      </c>
      <c r="B2861" s="459">
        <v>18</v>
      </c>
      <c r="C2861" s="459">
        <v>27</v>
      </c>
      <c r="D2861" s="460">
        <v>2</v>
      </c>
      <c r="E2861" s="460">
        <v>0</v>
      </c>
      <c r="G2861" s="1797"/>
      <c r="H2861" s="1777" t="s">
        <v>1238</v>
      </c>
      <c r="I2861" s="1742" t="s">
        <v>8642</v>
      </c>
      <c r="J2861" s="1779" t="s">
        <v>1953</v>
      </c>
      <c r="K2861" s="1780"/>
      <c r="L2861" s="1781"/>
      <c r="M2861" s="1781"/>
      <c r="N2861" s="1746"/>
      <c r="O2861" s="1782"/>
      <c r="P2861" s="1720"/>
    </row>
    <row r="2862" spans="1:16" ht="13.5" hidden="1" customHeight="1" outlineLevel="3" x14ac:dyDescent="0.2">
      <c r="A2862" s="459">
        <v>0</v>
      </c>
      <c r="B2862" s="459">
        <v>18</v>
      </c>
      <c r="C2862" s="459">
        <v>27</v>
      </c>
      <c r="D2862" s="460">
        <v>2</v>
      </c>
      <c r="E2862" s="460">
        <v>1</v>
      </c>
      <c r="G2862" s="1798" t="s">
        <v>52</v>
      </c>
      <c r="H2862" s="1783" t="s">
        <v>1239</v>
      </c>
      <c r="I2862" s="1750" t="s">
        <v>8643</v>
      </c>
      <c r="J2862" s="1785" t="s">
        <v>3254</v>
      </c>
      <c r="K2862" s="1786" t="s">
        <v>788</v>
      </c>
      <c r="L2862" s="1787" t="e">
        <v>#REF!</v>
      </c>
      <c r="M2862" s="1787">
        <v>820</v>
      </c>
      <c r="N2862" s="1754"/>
      <c r="O2862" s="1788" t="s">
        <v>3251</v>
      </c>
      <c r="P2862" s="1721" t="s">
        <v>9611</v>
      </c>
    </row>
    <row r="2863" spans="1:16" ht="13.5" hidden="1" customHeight="1" outlineLevel="3" x14ac:dyDescent="0.2">
      <c r="A2863" s="459">
        <v>0</v>
      </c>
      <c r="B2863" s="459">
        <v>18</v>
      </c>
      <c r="C2863" s="459">
        <v>27</v>
      </c>
      <c r="D2863" s="460">
        <v>2</v>
      </c>
      <c r="E2863" s="460">
        <v>2</v>
      </c>
      <c r="G2863" s="1798" t="s">
        <v>52</v>
      </c>
      <c r="H2863" s="1783" t="s">
        <v>1239</v>
      </c>
      <c r="I2863" s="1750" t="s">
        <v>8644</v>
      </c>
      <c r="J2863" s="1785" t="s">
        <v>3255</v>
      </c>
      <c r="K2863" s="1786" t="s">
        <v>788</v>
      </c>
      <c r="L2863" s="1787" t="e">
        <v>#REF!</v>
      </c>
      <c r="M2863" s="1787">
        <v>520</v>
      </c>
      <c r="N2863" s="1754"/>
      <c r="O2863" s="1788" t="s">
        <v>3251</v>
      </c>
      <c r="P2863" s="1721" t="s">
        <v>9611</v>
      </c>
    </row>
    <row r="2864" spans="1:16" ht="13.5" hidden="1" customHeight="1" outlineLevel="2" x14ac:dyDescent="0.2">
      <c r="A2864" s="459">
        <v>0</v>
      </c>
      <c r="B2864" s="459">
        <v>18</v>
      </c>
      <c r="C2864" s="459">
        <v>27</v>
      </c>
      <c r="D2864" s="460">
        <v>3</v>
      </c>
      <c r="E2864" s="460">
        <v>0</v>
      </c>
      <c r="G2864" s="1797"/>
      <c r="H2864" s="1777" t="s">
        <v>1238</v>
      </c>
      <c r="I2864" s="1742" t="s">
        <v>8645</v>
      </c>
      <c r="J2864" s="1779" t="s">
        <v>15</v>
      </c>
      <c r="K2864" s="1780"/>
      <c r="L2864" s="1781"/>
      <c r="M2864" s="1781"/>
      <c r="N2864" s="1746">
        <v>1200</v>
      </c>
      <c r="O2864" s="1782">
        <v>7.1643202522796004E-2</v>
      </c>
      <c r="P2864" s="1720"/>
    </row>
    <row r="2865" spans="1:16" ht="13.5" hidden="1" customHeight="1" outlineLevel="3" x14ac:dyDescent="0.2">
      <c r="A2865" s="459">
        <v>0</v>
      </c>
      <c r="B2865" s="459">
        <v>18</v>
      </c>
      <c r="C2865" s="459">
        <v>27</v>
      </c>
      <c r="D2865" s="460">
        <v>3</v>
      </c>
      <c r="E2865" s="460">
        <v>1</v>
      </c>
      <c r="G2865" s="1798" t="s">
        <v>52</v>
      </c>
      <c r="H2865" s="1783" t="s">
        <v>1239</v>
      </c>
      <c r="I2865" s="1750" t="s">
        <v>8646</v>
      </c>
      <c r="J2865" s="1785" t="s">
        <v>845</v>
      </c>
      <c r="K2865" s="1786" t="s">
        <v>534</v>
      </c>
      <c r="L2865" s="1787">
        <v>4</v>
      </c>
      <c r="M2865" s="1787">
        <v>300</v>
      </c>
      <c r="N2865" s="1754">
        <v>1200</v>
      </c>
      <c r="O2865" s="1788" t="s">
        <v>3252</v>
      </c>
      <c r="P2865" s="1721" t="s">
        <v>9611</v>
      </c>
    </row>
    <row r="2866" spans="1:16" ht="13.5" hidden="1" customHeight="1" outlineLevel="1" x14ac:dyDescent="0.2">
      <c r="A2866" s="459">
        <v>0</v>
      </c>
      <c r="B2866" s="459">
        <v>18</v>
      </c>
      <c r="C2866" s="459">
        <v>28</v>
      </c>
      <c r="D2866" s="460">
        <v>0</v>
      </c>
      <c r="E2866" s="460">
        <v>1</v>
      </c>
      <c r="G2866" s="1796"/>
      <c r="H2866" s="1771" t="s">
        <v>39</v>
      </c>
      <c r="I2866" s="1735" t="s">
        <v>8647</v>
      </c>
      <c r="J2866" s="1773" t="s">
        <v>5535</v>
      </c>
      <c r="K2866" s="1774"/>
      <c r="L2866" s="1775"/>
      <c r="M2866" s="1775"/>
      <c r="N2866" s="1739"/>
      <c r="O2866" s="1776"/>
      <c r="P2866" s="1719"/>
    </row>
    <row r="2867" spans="1:16" ht="13.5" hidden="1" customHeight="1" outlineLevel="2" x14ac:dyDescent="0.2">
      <c r="A2867" s="459">
        <v>0</v>
      </c>
      <c r="B2867" s="459">
        <v>18</v>
      </c>
      <c r="C2867" s="459">
        <v>28</v>
      </c>
      <c r="D2867" s="460">
        <v>1</v>
      </c>
      <c r="E2867" s="460">
        <v>0</v>
      </c>
      <c r="G2867" s="1797"/>
      <c r="H2867" s="1777" t="s">
        <v>1238</v>
      </c>
      <c r="I2867" s="1742" t="s">
        <v>8648</v>
      </c>
      <c r="J2867" s="1779" t="s">
        <v>2747</v>
      </c>
      <c r="K2867" s="1780"/>
      <c r="L2867" s="1781"/>
      <c r="M2867" s="1781"/>
      <c r="N2867" s="1746">
        <v>6313.74</v>
      </c>
      <c r="O2867" s="1782"/>
      <c r="P2867" s="1720"/>
    </row>
    <row r="2868" spans="1:16" ht="13.5" hidden="1" customHeight="1" outlineLevel="3" x14ac:dyDescent="0.2">
      <c r="A2868" s="459">
        <v>0</v>
      </c>
      <c r="B2868" s="459">
        <v>18</v>
      </c>
      <c r="C2868" s="459">
        <v>28</v>
      </c>
      <c r="D2868" s="460">
        <v>1</v>
      </c>
      <c r="E2868" s="460">
        <v>1</v>
      </c>
      <c r="G2868" s="1798" t="s">
        <v>52</v>
      </c>
      <c r="H2868" s="1783" t="s">
        <v>1239</v>
      </c>
      <c r="I2868" s="1750" t="s">
        <v>8649</v>
      </c>
      <c r="J2868" s="1785" t="s">
        <v>3530</v>
      </c>
      <c r="K2868" s="1786" t="s">
        <v>788</v>
      </c>
      <c r="L2868" s="1787">
        <v>20.399999999999999</v>
      </c>
      <c r="M2868" s="1787">
        <v>66.849999999999994</v>
      </c>
      <c r="N2868" s="1754">
        <v>1363.74</v>
      </c>
      <c r="O2868" s="1788" t="s">
        <v>3252</v>
      </c>
      <c r="P2868" s="1721" t="s">
        <v>9611</v>
      </c>
    </row>
    <row r="2869" spans="1:16" ht="13.5" hidden="1" customHeight="1" outlineLevel="3" x14ac:dyDescent="0.2">
      <c r="A2869" s="459">
        <v>0</v>
      </c>
      <c r="B2869" s="459">
        <v>18</v>
      </c>
      <c r="C2869" s="459">
        <v>28</v>
      </c>
      <c r="D2869" s="460">
        <v>1</v>
      </c>
      <c r="E2869" s="460">
        <v>2</v>
      </c>
      <c r="G2869" s="1798" t="s">
        <v>52</v>
      </c>
      <c r="H2869" s="1783" t="s">
        <v>1239</v>
      </c>
      <c r="I2869" s="1750" t="s">
        <v>8650</v>
      </c>
      <c r="J2869" s="1785" t="s">
        <v>1960</v>
      </c>
      <c r="K2869" s="1786" t="s">
        <v>534</v>
      </c>
      <c r="L2869" s="1787">
        <v>4</v>
      </c>
      <c r="M2869" s="1787">
        <v>1237.5</v>
      </c>
      <c r="N2869" s="1754">
        <v>4950</v>
      </c>
      <c r="O2869" s="1788" t="s">
        <v>3252</v>
      </c>
      <c r="P2869" s="1721" t="s">
        <v>9611</v>
      </c>
    </row>
    <row r="2870" spans="1:16" ht="13.5" hidden="1" customHeight="1" outlineLevel="2" x14ac:dyDescent="0.2">
      <c r="A2870" s="459">
        <v>0</v>
      </c>
      <c r="B2870" s="459">
        <v>18</v>
      </c>
      <c r="C2870" s="459">
        <v>28</v>
      </c>
      <c r="D2870" s="460">
        <v>2</v>
      </c>
      <c r="E2870" s="460">
        <v>0</v>
      </c>
      <c r="G2870" s="1797"/>
      <c r="H2870" s="1777" t="s">
        <v>1238</v>
      </c>
      <c r="I2870" s="1742" t="s">
        <v>8651</v>
      </c>
      <c r="J2870" s="1779" t="s">
        <v>1953</v>
      </c>
      <c r="K2870" s="1780"/>
      <c r="L2870" s="1781"/>
      <c r="M2870" s="1781"/>
      <c r="N2870" s="1746"/>
      <c r="O2870" s="1782"/>
      <c r="P2870" s="1720"/>
    </row>
    <row r="2871" spans="1:16" ht="13.5" hidden="1" customHeight="1" outlineLevel="3" x14ac:dyDescent="0.2">
      <c r="A2871" s="459">
        <v>0</v>
      </c>
      <c r="B2871" s="459">
        <v>18</v>
      </c>
      <c r="C2871" s="459">
        <v>28</v>
      </c>
      <c r="D2871" s="460">
        <v>2</v>
      </c>
      <c r="E2871" s="460">
        <v>1</v>
      </c>
      <c r="G2871" s="1798" t="s">
        <v>52</v>
      </c>
      <c r="H2871" s="1783" t="s">
        <v>1239</v>
      </c>
      <c r="I2871" s="1750" t="s">
        <v>8652</v>
      </c>
      <c r="J2871" s="1785" t="s">
        <v>3254</v>
      </c>
      <c r="K2871" s="1786" t="s">
        <v>788</v>
      </c>
      <c r="L2871" s="1787" t="e">
        <v>#REF!</v>
      </c>
      <c r="M2871" s="1787">
        <v>820</v>
      </c>
      <c r="N2871" s="1754"/>
      <c r="O2871" s="1788" t="s">
        <v>3251</v>
      </c>
      <c r="P2871" s="1721" t="s">
        <v>9611</v>
      </c>
    </row>
    <row r="2872" spans="1:16" ht="13.5" hidden="1" customHeight="1" outlineLevel="3" x14ac:dyDescent="0.2">
      <c r="A2872" s="459">
        <v>0</v>
      </c>
      <c r="B2872" s="459">
        <v>18</v>
      </c>
      <c r="C2872" s="459">
        <v>28</v>
      </c>
      <c r="D2872" s="460">
        <v>2</v>
      </c>
      <c r="E2872" s="460">
        <v>2</v>
      </c>
      <c r="G2872" s="1798" t="s">
        <v>52</v>
      </c>
      <c r="H2872" s="1783" t="s">
        <v>1239</v>
      </c>
      <c r="I2872" s="1750" t="s">
        <v>8653</v>
      </c>
      <c r="J2872" s="1785" t="s">
        <v>3255</v>
      </c>
      <c r="K2872" s="1786" t="s">
        <v>788</v>
      </c>
      <c r="L2872" s="1787" t="e">
        <v>#REF!</v>
      </c>
      <c r="M2872" s="1787">
        <v>520</v>
      </c>
      <c r="N2872" s="1754"/>
      <c r="O2872" s="1788" t="s">
        <v>3251</v>
      </c>
      <c r="P2872" s="1721" t="s">
        <v>9611</v>
      </c>
    </row>
    <row r="2873" spans="1:16" ht="13.5" hidden="1" customHeight="1" outlineLevel="2" x14ac:dyDescent="0.2">
      <c r="A2873" s="459">
        <v>0</v>
      </c>
      <c r="B2873" s="459">
        <v>18</v>
      </c>
      <c r="C2873" s="459">
        <v>28</v>
      </c>
      <c r="D2873" s="460">
        <v>3</v>
      </c>
      <c r="E2873" s="460">
        <v>0</v>
      </c>
      <c r="G2873" s="1797"/>
      <c r="H2873" s="1777" t="s">
        <v>1238</v>
      </c>
      <c r="I2873" s="1742" t="s">
        <v>8654</v>
      </c>
      <c r="J2873" s="1779" t="s">
        <v>15</v>
      </c>
      <c r="K2873" s="1780"/>
      <c r="L2873" s="1781"/>
      <c r="M2873" s="1781"/>
      <c r="N2873" s="1746">
        <v>1200</v>
      </c>
      <c r="O2873" s="1782">
        <v>7.1643202522796004E-2</v>
      </c>
      <c r="P2873" s="1720"/>
    </row>
    <row r="2874" spans="1:16" ht="13.5" hidden="1" customHeight="1" outlineLevel="3" x14ac:dyDescent="0.2">
      <c r="A2874" s="459">
        <v>0</v>
      </c>
      <c r="B2874" s="459">
        <v>18</v>
      </c>
      <c r="C2874" s="459">
        <v>28</v>
      </c>
      <c r="D2874" s="460">
        <v>3</v>
      </c>
      <c r="E2874" s="460">
        <v>1</v>
      </c>
      <c r="G2874" s="1798" t="s">
        <v>52</v>
      </c>
      <c r="H2874" s="1783" t="s">
        <v>1239</v>
      </c>
      <c r="I2874" s="1750" t="s">
        <v>8655</v>
      </c>
      <c r="J2874" s="1785" t="s">
        <v>845</v>
      </c>
      <c r="K2874" s="1786" t="s">
        <v>534</v>
      </c>
      <c r="L2874" s="1787">
        <v>4</v>
      </c>
      <c r="M2874" s="1787">
        <v>300</v>
      </c>
      <c r="N2874" s="1754">
        <v>1200</v>
      </c>
      <c r="O2874" s="1788" t="s">
        <v>3252</v>
      </c>
      <c r="P2874" s="1721" t="s">
        <v>9611</v>
      </c>
    </row>
    <row r="2875" spans="1:16" ht="13.5" hidden="1" customHeight="1" outlineLevel="1" x14ac:dyDescent="0.2">
      <c r="A2875" s="459">
        <v>0</v>
      </c>
      <c r="B2875" s="459">
        <v>18</v>
      </c>
      <c r="C2875" s="459">
        <v>29</v>
      </c>
      <c r="D2875" s="460">
        <v>0</v>
      </c>
      <c r="E2875" s="460">
        <v>1</v>
      </c>
      <c r="G2875" s="1796"/>
      <c r="H2875" s="1771" t="s">
        <v>39</v>
      </c>
      <c r="I2875" s="1735" t="s">
        <v>8656</v>
      </c>
      <c r="J2875" s="1773" t="s">
        <v>5536</v>
      </c>
      <c r="K2875" s="1774"/>
      <c r="L2875" s="1775"/>
      <c r="M2875" s="1775"/>
      <c r="N2875" s="1739"/>
      <c r="O2875" s="1776"/>
      <c r="P2875" s="1719"/>
    </row>
    <row r="2876" spans="1:16" ht="13.5" hidden="1" customHeight="1" outlineLevel="2" x14ac:dyDescent="0.2">
      <c r="A2876" s="459">
        <v>0</v>
      </c>
      <c r="B2876" s="459">
        <v>18</v>
      </c>
      <c r="C2876" s="459">
        <v>29</v>
      </c>
      <c r="D2876" s="460">
        <v>1</v>
      </c>
      <c r="E2876" s="460">
        <v>0</v>
      </c>
      <c r="G2876" s="1797"/>
      <c r="H2876" s="1777" t="s">
        <v>1238</v>
      </c>
      <c r="I2876" s="1742" t="s">
        <v>8657</v>
      </c>
      <c r="J2876" s="1779" t="s">
        <v>2747</v>
      </c>
      <c r="K2876" s="1780"/>
      <c r="L2876" s="1781"/>
      <c r="M2876" s="1781"/>
      <c r="N2876" s="1746">
        <v>4735.3050000000003</v>
      </c>
      <c r="O2876" s="1782"/>
      <c r="P2876" s="1720"/>
    </row>
    <row r="2877" spans="1:16" ht="13.5" hidden="1" customHeight="1" outlineLevel="3" x14ac:dyDescent="0.2">
      <c r="A2877" s="459">
        <v>0</v>
      </c>
      <c r="B2877" s="459">
        <v>18</v>
      </c>
      <c r="C2877" s="459">
        <v>29</v>
      </c>
      <c r="D2877" s="460">
        <v>1</v>
      </c>
      <c r="E2877" s="460">
        <v>1</v>
      </c>
      <c r="G2877" s="1798" t="s">
        <v>52</v>
      </c>
      <c r="H2877" s="1783" t="s">
        <v>1239</v>
      </c>
      <c r="I2877" s="1750" t="s">
        <v>8658</v>
      </c>
      <c r="J2877" s="1785" t="s">
        <v>3530</v>
      </c>
      <c r="K2877" s="1786" t="s">
        <v>788</v>
      </c>
      <c r="L2877" s="1787">
        <v>15.299999999999999</v>
      </c>
      <c r="M2877" s="1787">
        <v>66.849999999999994</v>
      </c>
      <c r="N2877" s="1754">
        <v>1022.8049999999999</v>
      </c>
      <c r="O2877" s="1788" t="s">
        <v>3252</v>
      </c>
      <c r="P2877" s="1721" t="s">
        <v>9611</v>
      </c>
    </row>
    <row r="2878" spans="1:16" ht="13.5" hidden="1" customHeight="1" outlineLevel="3" x14ac:dyDescent="0.2">
      <c r="A2878" s="459">
        <v>0</v>
      </c>
      <c r="B2878" s="459">
        <v>18</v>
      </c>
      <c r="C2878" s="459">
        <v>29</v>
      </c>
      <c r="D2878" s="460">
        <v>1</v>
      </c>
      <c r="E2878" s="460">
        <v>2</v>
      </c>
      <c r="G2878" s="1798" t="s">
        <v>52</v>
      </c>
      <c r="H2878" s="1783" t="s">
        <v>1239</v>
      </c>
      <c r="I2878" s="1750" t="s">
        <v>8659</v>
      </c>
      <c r="J2878" s="1785" t="s">
        <v>1960</v>
      </c>
      <c r="K2878" s="1786" t="s">
        <v>534</v>
      </c>
      <c r="L2878" s="1787">
        <v>3</v>
      </c>
      <c r="M2878" s="1787">
        <v>1237.5</v>
      </c>
      <c r="N2878" s="1754">
        <v>3712.5</v>
      </c>
      <c r="O2878" s="1788" t="s">
        <v>3252</v>
      </c>
      <c r="P2878" s="1721" t="s">
        <v>9611</v>
      </c>
    </row>
    <row r="2879" spans="1:16" ht="13.5" hidden="1" customHeight="1" outlineLevel="2" x14ac:dyDescent="0.2">
      <c r="A2879" s="459">
        <v>0</v>
      </c>
      <c r="B2879" s="459">
        <v>18</v>
      </c>
      <c r="C2879" s="459">
        <v>29</v>
      </c>
      <c r="D2879" s="460">
        <v>2</v>
      </c>
      <c r="E2879" s="460">
        <v>0</v>
      </c>
      <c r="G2879" s="1797"/>
      <c r="H2879" s="1777" t="s">
        <v>1238</v>
      </c>
      <c r="I2879" s="1742" t="s">
        <v>8660</v>
      </c>
      <c r="J2879" s="1779" t="s">
        <v>1953</v>
      </c>
      <c r="K2879" s="1780"/>
      <c r="L2879" s="1781"/>
      <c r="M2879" s="1781"/>
      <c r="N2879" s="1746"/>
      <c r="O2879" s="1782"/>
      <c r="P2879" s="1720"/>
    </row>
    <row r="2880" spans="1:16" ht="13.5" hidden="1" customHeight="1" outlineLevel="3" x14ac:dyDescent="0.2">
      <c r="A2880" s="459">
        <v>0</v>
      </c>
      <c r="B2880" s="459">
        <v>18</v>
      </c>
      <c r="C2880" s="459">
        <v>29</v>
      </c>
      <c r="D2880" s="460">
        <v>2</v>
      </c>
      <c r="E2880" s="460">
        <v>1</v>
      </c>
      <c r="G2880" s="1798" t="s">
        <v>52</v>
      </c>
      <c r="H2880" s="1783" t="s">
        <v>1239</v>
      </c>
      <c r="I2880" s="1750" t="s">
        <v>8661</v>
      </c>
      <c r="J2880" s="1785" t="s">
        <v>3254</v>
      </c>
      <c r="K2880" s="1786" t="s">
        <v>788</v>
      </c>
      <c r="L2880" s="1787" t="e">
        <v>#REF!</v>
      </c>
      <c r="M2880" s="1787">
        <v>820</v>
      </c>
      <c r="N2880" s="1754"/>
      <c r="O2880" s="1788" t="s">
        <v>3251</v>
      </c>
      <c r="P2880" s="1721" t="s">
        <v>9611</v>
      </c>
    </row>
    <row r="2881" spans="1:16" ht="13.5" hidden="1" customHeight="1" outlineLevel="3" x14ac:dyDescent="0.2">
      <c r="A2881" s="459">
        <v>0</v>
      </c>
      <c r="B2881" s="459">
        <v>18</v>
      </c>
      <c r="C2881" s="459">
        <v>29</v>
      </c>
      <c r="D2881" s="460">
        <v>2</v>
      </c>
      <c r="E2881" s="460">
        <v>2</v>
      </c>
      <c r="G2881" s="1798" t="s">
        <v>52</v>
      </c>
      <c r="H2881" s="1783" t="s">
        <v>1239</v>
      </c>
      <c r="I2881" s="1750" t="s">
        <v>8662</v>
      </c>
      <c r="J2881" s="1785" t="s">
        <v>3255</v>
      </c>
      <c r="K2881" s="1786" t="s">
        <v>788</v>
      </c>
      <c r="L2881" s="1787" t="e">
        <v>#REF!</v>
      </c>
      <c r="M2881" s="1787">
        <v>520</v>
      </c>
      <c r="N2881" s="1754"/>
      <c r="O2881" s="1788" t="s">
        <v>3251</v>
      </c>
      <c r="P2881" s="1721" t="s">
        <v>9611</v>
      </c>
    </row>
    <row r="2882" spans="1:16" ht="12.75" hidden="1" customHeight="1" outlineLevel="2" x14ac:dyDescent="0.2">
      <c r="A2882" s="459">
        <v>0</v>
      </c>
      <c r="B2882" s="459">
        <v>18</v>
      </c>
      <c r="C2882" s="459">
        <v>29</v>
      </c>
      <c r="D2882" s="460">
        <v>3</v>
      </c>
      <c r="E2882" s="460">
        <v>0</v>
      </c>
      <c r="G2882" s="1797"/>
      <c r="H2882" s="1777" t="s">
        <v>1238</v>
      </c>
      <c r="I2882" s="1742" t="s">
        <v>8663</v>
      </c>
      <c r="J2882" s="1779" t="s">
        <v>3257</v>
      </c>
      <c r="K2882" s="1780"/>
      <c r="L2882" s="1781"/>
      <c r="M2882" s="1781"/>
      <c r="N2882" s="1746"/>
      <c r="O2882" s="1782"/>
      <c r="P2882" s="1720"/>
    </row>
    <row r="2883" spans="1:16" ht="12.75" hidden="1" customHeight="1" outlineLevel="3" x14ac:dyDescent="0.2">
      <c r="A2883" s="459">
        <v>0</v>
      </c>
      <c r="B2883" s="459">
        <v>18</v>
      </c>
      <c r="C2883" s="459">
        <v>29</v>
      </c>
      <c r="D2883" s="460">
        <v>3</v>
      </c>
      <c r="E2883" s="460">
        <v>1</v>
      </c>
      <c r="G2883" s="1798" t="s">
        <v>52</v>
      </c>
      <c r="H2883" s="1783" t="s">
        <v>1239</v>
      </c>
      <c r="I2883" s="1750" t="s">
        <v>8664</v>
      </c>
      <c r="J2883" s="1785" t="s">
        <v>3256</v>
      </c>
      <c r="K2883" s="1786" t="s">
        <v>642</v>
      </c>
      <c r="L2883" s="1787" t="e">
        <v>#REF!</v>
      </c>
      <c r="M2883" s="1787">
        <v>1240</v>
      </c>
      <c r="N2883" s="1754"/>
      <c r="O2883" s="1788" t="s">
        <v>3251</v>
      </c>
      <c r="P2883" s="1721" t="s">
        <v>9611</v>
      </c>
    </row>
    <row r="2884" spans="1:16" ht="13.5" hidden="1" customHeight="1" outlineLevel="2" x14ac:dyDescent="0.2">
      <c r="A2884" s="459">
        <v>0</v>
      </c>
      <c r="B2884" s="459">
        <v>18</v>
      </c>
      <c r="C2884" s="459">
        <v>29</v>
      </c>
      <c r="D2884" s="460">
        <v>4</v>
      </c>
      <c r="E2884" s="460">
        <v>0</v>
      </c>
      <c r="G2884" s="1797"/>
      <c r="H2884" s="1777" t="s">
        <v>1238</v>
      </c>
      <c r="I2884" s="1742" t="s">
        <v>8665</v>
      </c>
      <c r="J2884" s="1779" t="s">
        <v>15</v>
      </c>
      <c r="K2884" s="1780"/>
      <c r="L2884" s="1781"/>
      <c r="M2884" s="1781"/>
      <c r="N2884" s="1746">
        <v>900</v>
      </c>
      <c r="O2884" s="1782">
        <v>5.3732401892097E-2</v>
      </c>
      <c r="P2884" s="1720"/>
    </row>
    <row r="2885" spans="1:16" ht="13.5" hidden="1" customHeight="1" outlineLevel="3" x14ac:dyDescent="0.2">
      <c r="A2885" s="459">
        <v>0</v>
      </c>
      <c r="B2885" s="459">
        <v>18</v>
      </c>
      <c r="C2885" s="459">
        <v>29</v>
      </c>
      <c r="D2885" s="460">
        <v>4</v>
      </c>
      <c r="E2885" s="460">
        <v>1</v>
      </c>
      <c r="G2885" s="1798" t="s">
        <v>52</v>
      </c>
      <c r="H2885" s="1783" t="s">
        <v>1239</v>
      </c>
      <c r="I2885" s="1750" t="s">
        <v>8666</v>
      </c>
      <c r="J2885" s="1785" t="s">
        <v>845</v>
      </c>
      <c r="K2885" s="1786" t="s">
        <v>534</v>
      </c>
      <c r="L2885" s="1787">
        <v>3</v>
      </c>
      <c r="M2885" s="1787">
        <v>300</v>
      </c>
      <c r="N2885" s="1754">
        <v>900</v>
      </c>
      <c r="O2885" s="1788" t="s">
        <v>3252</v>
      </c>
      <c r="P2885" s="1721" t="s">
        <v>9611</v>
      </c>
    </row>
    <row r="2886" spans="1:16" ht="13.5" hidden="1" customHeight="1" outlineLevel="1" x14ac:dyDescent="0.2">
      <c r="A2886" s="459">
        <v>0</v>
      </c>
      <c r="B2886" s="459">
        <v>18</v>
      </c>
      <c r="C2886" s="459">
        <v>30</v>
      </c>
      <c r="D2886" s="460">
        <v>0</v>
      </c>
      <c r="E2886" s="460">
        <v>1</v>
      </c>
      <c r="G2886" s="1796"/>
      <c r="H2886" s="1771" t="s">
        <v>39</v>
      </c>
      <c r="I2886" s="1735" t="s">
        <v>8667</v>
      </c>
      <c r="J2886" s="1773" t="s">
        <v>5537</v>
      </c>
      <c r="K2886" s="1774"/>
      <c r="L2886" s="1775"/>
      <c r="M2886" s="1775"/>
      <c r="N2886" s="1739"/>
      <c r="O2886" s="1776"/>
      <c r="P2886" s="1719"/>
    </row>
    <row r="2887" spans="1:16" ht="13.5" hidden="1" customHeight="1" outlineLevel="2" x14ac:dyDescent="0.2">
      <c r="A2887" s="459">
        <v>0</v>
      </c>
      <c r="B2887" s="459">
        <v>18</v>
      </c>
      <c r="C2887" s="459">
        <v>30</v>
      </c>
      <c r="D2887" s="460">
        <v>1</v>
      </c>
      <c r="E2887" s="460">
        <v>0</v>
      </c>
      <c r="G2887" s="1797"/>
      <c r="H2887" s="1777" t="s">
        <v>1238</v>
      </c>
      <c r="I2887" s="1742" t="s">
        <v>8668</v>
      </c>
      <c r="J2887" s="1779" t="s">
        <v>2747</v>
      </c>
      <c r="K2887" s="1780"/>
      <c r="L2887" s="1781"/>
      <c r="M2887" s="1781"/>
      <c r="N2887" s="1746">
        <v>3156.87</v>
      </c>
      <c r="O2887" s="1782"/>
      <c r="P2887" s="1720"/>
    </row>
    <row r="2888" spans="1:16" ht="13.5" hidden="1" customHeight="1" outlineLevel="3" x14ac:dyDescent="0.2">
      <c r="A2888" s="459">
        <v>0</v>
      </c>
      <c r="B2888" s="459">
        <v>18</v>
      </c>
      <c r="C2888" s="459">
        <v>30</v>
      </c>
      <c r="D2888" s="460">
        <v>1</v>
      </c>
      <c r="E2888" s="460">
        <v>1</v>
      </c>
      <c r="G2888" s="1798" t="s">
        <v>52</v>
      </c>
      <c r="H2888" s="1783" t="s">
        <v>1239</v>
      </c>
      <c r="I2888" s="1750" t="s">
        <v>8669</v>
      </c>
      <c r="J2888" s="1785" t="s">
        <v>3530</v>
      </c>
      <c r="K2888" s="1786" t="s">
        <v>788</v>
      </c>
      <c r="L2888" s="1787">
        <v>10.199999999999999</v>
      </c>
      <c r="M2888" s="1787">
        <v>66.849999999999994</v>
      </c>
      <c r="N2888" s="1754">
        <v>681.87</v>
      </c>
      <c r="O2888" s="1788" t="s">
        <v>3252</v>
      </c>
      <c r="P2888" s="1721" t="s">
        <v>9611</v>
      </c>
    </row>
    <row r="2889" spans="1:16" ht="13.5" hidden="1" customHeight="1" outlineLevel="3" x14ac:dyDescent="0.2">
      <c r="A2889" s="459">
        <v>0</v>
      </c>
      <c r="B2889" s="459">
        <v>18</v>
      </c>
      <c r="C2889" s="459">
        <v>30</v>
      </c>
      <c r="D2889" s="460">
        <v>1</v>
      </c>
      <c r="E2889" s="460">
        <v>2</v>
      </c>
      <c r="G2889" s="1798" t="s">
        <v>52</v>
      </c>
      <c r="H2889" s="1783" t="s">
        <v>1239</v>
      </c>
      <c r="I2889" s="1750" t="s">
        <v>8670</v>
      </c>
      <c r="J2889" s="1785" t="s">
        <v>1960</v>
      </c>
      <c r="K2889" s="1786" t="s">
        <v>534</v>
      </c>
      <c r="L2889" s="1787">
        <v>2</v>
      </c>
      <c r="M2889" s="1787">
        <v>1237.5</v>
      </c>
      <c r="N2889" s="1754">
        <v>2475</v>
      </c>
      <c r="O2889" s="1788" t="s">
        <v>3252</v>
      </c>
      <c r="P2889" s="1721" t="s">
        <v>9611</v>
      </c>
    </row>
    <row r="2890" spans="1:16" ht="13.5" hidden="1" customHeight="1" outlineLevel="2" x14ac:dyDescent="0.2">
      <c r="A2890" s="459">
        <v>0</v>
      </c>
      <c r="B2890" s="459">
        <v>18</v>
      </c>
      <c r="C2890" s="459">
        <v>30</v>
      </c>
      <c r="D2890" s="460">
        <v>2</v>
      </c>
      <c r="E2890" s="460">
        <v>0</v>
      </c>
      <c r="G2890" s="1797"/>
      <c r="H2890" s="1777" t="s">
        <v>1238</v>
      </c>
      <c r="I2890" s="1742" t="s">
        <v>8671</v>
      </c>
      <c r="J2890" s="1779" t="s">
        <v>1953</v>
      </c>
      <c r="K2890" s="1780"/>
      <c r="L2890" s="1781"/>
      <c r="M2890" s="1781"/>
      <c r="N2890" s="1746"/>
      <c r="O2890" s="1782"/>
      <c r="P2890" s="1720"/>
    </row>
    <row r="2891" spans="1:16" ht="13.5" hidden="1" customHeight="1" outlineLevel="3" x14ac:dyDescent="0.2">
      <c r="A2891" s="459">
        <v>0</v>
      </c>
      <c r="B2891" s="459">
        <v>18</v>
      </c>
      <c r="C2891" s="459">
        <v>30</v>
      </c>
      <c r="D2891" s="460">
        <v>2</v>
      </c>
      <c r="E2891" s="460">
        <v>1</v>
      </c>
      <c r="G2891" s="1798" t="s">
        <v>52</v>
      </c>
      <c r="H2891" s="1783" t="s">
        <v>1239</v>
      </c>
      <c r="I2891" s="1750" t="s">
        <v>8672</v>
      </c>
      <c r="J2891" s="1785" t="s">
        <v>3254</v>
      </c>
      <c r="K2891" s="1786" t="s">
        <v>788</v>
      </c>
      <c r="L2891" s="1787" t="e">
        <v>#REF!</v>
      </c>
      <c r="M2891" s="1787">
        <v>820</v>
      </c>
      <c r="N2891" s="1754"/>
      <c r="O2891" s="1788" t="s">
        <v>3251</v>
      </c>
      <c r="P2891" s="1721" t="s">
        <v>9611</v>
      </c>
    </row>
    <row r="2892" spans="1:16" ht="13.5" hidden="1" customHeight="1" outlineLevel="3" x14ac:dyDescent="0.2">
      <c r="A2892" s="459">
        <v>0</v>
      </c>
      <c r="B2892" s="459">
        <v>18</v>
      </c>
      <c r="C2892" s="459">
        <v>30</v>
      </c>
      <c r="D2892" s="460">
        <v>2</v>
      </c>
      <c r="E2892" s="460">
        <v>2</v>
      </c>
      <c r="G2892" s="1798" t="s">
        <v>52</v>
      </c>
      <c r="H2892" s="1783" t="s">
        <v>1239</v>
      </c>
      <c r="I2892" s="1750" t="s">
        <v>8673</v>
      </c>
      <c r="J2892" s="1785" t="s">
        <v>3255</v>
      </c>
      <c r="K2892" s="1786" t="s">
        <v>788</v>
      </c>
      <c r="L2892" s="1787" t="e">
        <v>#REF!</v>
      </c>
      <c r="M2892" s="1787">
        <v>520</v>
      </c>
      <c r="N2892" s="1754"/>
      <c r="O2892" s="1788" t="s">
        <v>3251</v>
      </c>
      <c r="P2892" s="1721" t="s">
        <v>9611</v>
      </c>
    </row>
    <row r="2893" spans="1:16" ht="12.75" hidden="1" customHeight="1" outlineLevel="2" x14ac:dyDescent="0.2">
      <c r="A2893" s="459">
        <v>0</v>
      </c>
      <c r="B2893" s="459">
        <v>18</v>
      </c>
      <c r="C2893" s="459">
        <v>30</v>
      </c>
      <c r="D2893" s="460">
        <v>3</v>
      </c>
      <c r="E2893" s="460">
        <v>0</v>
      </c>
      <c r="G2893" s="1797"/>
      <c r="H2893" s="1777" t="s">
        <v>1238</v>
      </c>
      <c r="I2893" s="1742" t="s">
        <v>8674</v>
      </c>
      <c r="J2893" s="1779" t="s">
        <v>3257</v>
      </c>
      <c r="K2893" s="1780"/>
      <c r="L2893" s="1781"/>
      <c r="M2893" s="1781"/>
      <c r="N2893" s="1746"/>
      <c r="O2893" s="1782"/>
      <c r="P2893" s="1720"/>
    </row>
    <row r="2894" spans="1:16" ht="12.75" hidden="1" customHeight="1" outlineLevel="3" x14ac:dyDescent="0.2">
      <c r="A2894" s="459">
        <v>0</v>
      </c>
      <c r="B2894" s="459">
        <v>18</v>
      </c>
      <c r="C2894" s="459">
        <v>30</v>
      </c>
      <c r="D2894" s="460">
        <v>3</v>
      </c>
      <c r="E2894" s="460">
        <v>1</v>
      </c>
      <c r="G2894" s="1798" t="s">
        <v>52</v>
      </c>
      <c r="H2894" s="1783" t="s">
        <v>1239</v>
      </c>
      <c r="I2894" s="1750" t="s">
        <v>8675</v>
      </c>
      <c r="J2894" s="1785" t="s">
        <v>3256</v>
      </c>
      <c r="K2894" s="1786" t="s">
        <v>642</v>
      </c>
      <c r="L2894" s="1787" t="e">
        <v>#REF!</v>
      </c>
      <c r="M2894" s="1787">
        <v>1240</v>
      </c>
      <c r="N2894" s="1754"/>
      <c r="O2894" s="1788" t="s">
        <v>3251</v>
      </c>
      <c r="P2894" s="1721" t="s">
        <v>9611</v>
      </c>
    </row>
    <row r="2895" spans="1:16" ht="13.5" hidden="1" customHeight="1" outlineLevel="2" x14ac:dyDescent="0.2">
      <c r="A2895" s="459">
        <v>0</v>
      </c>
      <c r="B2895" s="459">
        <v>18</v>
      </c>
      <c r="C2895" s="459">
        <v>30</v>
      </c>
      <c r="D2895" s="460">
        <v>4</v>
      </c>
      <c r="E2895" s="460">
        <v>0</v>
      </c>
      <c r="G2895" s="1797"/>
      <c r="H2895" s="1777" t="s">
        <v>1238</v>
      </c>
      <c r="I2895" s="1742" t="s">
        <v>8676</v>
      </c>
      <c r="J2895" s="1779" t="s">
        <v>15</v>
      </c>
      <c r="K2895" s="1780"/>
      <c r="L2895" s="1781"/>
      <c r="M2895" s="1781"/>
      <c r="N2895" s="1746">
        <v>600</v>
      </c>
      <c r="O2895" s="1782">
        <v>3.5821601261398002E-2</v>
      </c>
      <c r="P2895" s="1720"/>
    </row>
    <row r="2896" spans="1:16" ht="13.5" hidden="1" customHeight="1" outlineLevel="3" x14ac:dyDescent="0.2">
      <c r="A2896" s="459">
        <v>0</v>
      </c>
      <c r="B2896" s="459">
        <v>18</v>
      </c>
      <c r="C2896" s="459">
        <v>30</v>
      </c>
      <c r="D2896" s="460">
        <v>4</v>
      </c>
      <c r="E2896" s="460">
        <v>1</v>
      </c>
      <c r="G2896" s="1798" t="s">
        <v>52</v>
      </c>
      <c r="H2896" s="1783" t="s">
        <v>1239</v>
      </c>
      <c r="I2896" s="1750" t="s">
        <v>8677</v>
      </c>
      <c r="J2896" s="1785" t="s">
        <v>845</v>
      </c>
      <c r="K2896" s="1786" t="s">
        <v>534</v>
      </c>
      <c r="L2896" s="1787">
        <v>2</v>
      </c>
      <c r="M2896" s="1787">
        <v>300</v>
      </c>
      <c r="N2896" s="1754">
        <v>600</v>
      </c>
      <c r="O2896" s="1788" t="s">
        <v>3252</v>
      </c>
      <c r="P2896" s="1721" t="s">
        <v>9611</v>
      </c>
    </row>
    <row r="2897" spans="1:16" ht="13.5" hidden="1" customHeight="1" outlineLevel="1" x14ac:dyDescent="0.2">
      <c r="A2897" s="459">
        <v>0</v>
      </c>
      <c r="B2897" s="459">
        <v>18</v>
      </c>
      <c r="C2897" s="459">
        <v>31</v>
      </c>
      <c r="D2897" s="460">
        <v>0</v>
      </c>
      <c r="E2897" s="460">
        <v>1</v>
      </c>
      <c r="G2897" s="1796"/>
      <c r="H2897" s="1771" t="s">
        <v>39</v>
      </c>
      <c r="I2897" s="1735" t="s">
        <v>8678</v>
      </c>
      <c r="J2897" s="1773" t="s">
        <v>5538</v>
      </c>
      <c r="K2897" s="1774"/>
      <c r="L2897" s="1775"/>
      <c r="M2897" s="1775"/>
      <c r="N2897" s="1739"/>
      <c r="O2897" s="1776"/>
      <c r="P2897" s="1719"/>
    </row>
    <row r="2898" spans="1:16" ht="13.5" hidden="1" customHeight="1" outlineLevel="2" x14ac:dyDescent="0.2">
      <c r="A2898" s="459">
        <v>0</v>
      </c>
      <c r="B2898" s="459">
        <v>18</v>
      </c>
      <c r="C2898" s="459">
        <v>31</v>
      </c>
      <c r="D2898" s="460">
        <v>1</v>
      </c>
      <c r="E2898" s="460">
        <v>0</v>
      </c>
      <c r="G2898" s="1797"/>
      <c r="H2898" s="1777" t="s">
        <v>1238</v>
      </c>
      <c r="I2898" s="1742" t="s">
        <v>8679</v>
      </c>
      <c r="J2898" s="1779" t="s">
        <v>2747</v>
      </c>
      <c r="K2898" s="1780"/>
      <c r="L2898" s="1781"/>
      <c r="M2898" s="1781"/>
      <c r="N2898" s="1746">
        <v>2868.5</v>
      </c>
      <c r="O2898" s="1782"/>
      <c r="P2898" s="1720"/>
    </row>
    <row r="2899" spans="1:16" ht="13.5" hidden="1" customHeight="1" outlineLevel="3" x14ac:dyDescent="0.2">
      <c r="A2899" s="459">
        <v>0</v>
      </c>
      <c r="B2899" s="459">
        <v>18</v>
      </c>
      <c r="C2899" s="459">
        <v>31</v>
      </c>
      <c r="D2899" s="460">
        <v>1</v>
      </c>
      <c r="E2899" s="460">
        <v>1</v>
      </c>
      <c r="G2899" s="1798" t="s">
        <v>52</v>
      </c>
      <c r="H2899" s="1783" t="s">
        <v>1239</v>
      </c>
      <c r="I2899" s="1750" t="s">
        <v>8680</v>
      </c>
      <c r="J2899" s="1785" t="s">
        <v>3530</v>
      </c>
      <c r="K2899" s="1786" t="s">
        <v>788</v>
      </c>
      <c r="L2899" s="1787">
        <v>10</v>
      </c>
      <c r="M2899" s="1787">
        <v>66.849999999999994</v>
      </c>
      <c r="N2899" s="1754">
        <v>668.5</v>
      </c>
      <c r="O2899" s="1788" t="s">
        <v>3252</v>
      </c>
      <c r="P2899" s="1721" t="s">
        <v>9611</v>
      </c>
    </row>
    <row r="2900" spans="1:16" ht="13.5" hidden="1" customHeight="1" outlineLevel="3" x14ac:dyDescent="0.2">
      <c r="A2900" s="459">
        <v>0</v>
      </c>
      <c r="B2900" s="459">
        <v>18</v>
      </c>
      <c r="C2900" s="459">
        <v>31</v>
      </c>
      <c r="D2900" s="460">
        <v>1</v>
      </c>
      <c r="E2900" s="460">
        <v>2</v>
      </c>
      <c r="G2900" s="1798" t="s">
        <v>52</v>
      </c>
      <c r="H2900" s="1783" t="s">
        <v>1239</v>
      </c>
      <c r="I2900" s="1750" t="s">
        <v>8681</v>
      </c>
      <c r="J2900" s="1785" t="s">
        <v>837</v>
      </c>
      <c r="K2900" s="1786" t="s">
        <v>534</v>
      </c>
      <c r="L2900" s="1787">
        <v>2</v>
      </c>
      <c r="M2900" s="1787">
        <v>1100</v>
      </c>
      <c r="N2900" s="1754">
        <v>2200</v>
      </c>
      <c r="O2900" s="1788" t="s">
        <v>3252</v>
      </c>
      <c r="P2900" s="1721" t="s">
        <v>9611</v>
      </c>
    </row>
    <row r="2901" spans="1:16" ht="13.5" hidden="1" customHeight="1" outlineLevel="2" x14ac:dyDescent="0.2">
      <c r="A2901" s="459">
        <v>0</v>
      </c>
      <c r="B2901" s="459">
        <v>18</v>
      </c>
      <c r="C2901" s="459">
        <v>31</v>
      </c>
      <c r="D2901" s="460">
        <v>2</v>
      </c>
      <c r="E2901" s="460">
        <v>0</v>
      </c>
      <c r="G2901" s="1797"/>
      <c r="H2901" s="1777" t="s">
        <v>1238</v>
      </c>
      <c r="I2901" s="1742" t="s">
        <v>8682</v>
      </c>
      <c r="J2901" s="1779" t="s">
        <v>1953</v>
      </c>
      <c r="K2901" s="1780"/>
      <c r="L2901" s="1781"/>
      <c r="M2901" s="1781"/>
      <c r="N2901" s="1746"/>
      <c r="O2901" s="1782"/>
      <c r="P2901" s="1720"/>
    </row>
    <row r="2902" spans="1:16" ht="13.5" hidden="1" customHeight="1" outlineLevel="3" x14ac:dyDescent="0.2">
      <c r="A2902" s="459">
        <v>0</v>
      </c>
      <c r="B2902" s="459">
        <v>18</v>
      </c>
      <c r="C2902" s="459">
        <v>31</v>
      </c>
      <c r="D2902" s="460">
        <v>2</v>
      </c>
      <c r="E2902" s="460">
        <v>1</v>
      </c>
      <c r="G2902" s="1798" t="s">
        <v>52</v>
      </c>
      <c r="H2902" s="1783" t="s">
        <v>1239</v>
      </c>
      <c r="I2902" s="1750" t="s">
        <v>8683</v>
      </c>
      <c r="J2902" s="1785" t="s">
        <v>3254</v>
      </c>
      <c r="K2902" s="1786" t="s">
        <v>788</v>
      </c>
      <c r="L2902" s="1787" t="e">
        <v>#REF!</v>
      </c>
      <c r="M2902" s="1787">
        <v>820</v>
      </c>
      <c r="N2902" s="1754"/>
      <c r="O2902" s="1788" t="s">
        <v>3251</v>
      </c>
      <c r="P2902" s="1721" t="s">
        <v>9611</v>
      </c>
    </row>
    <row r="2903" spans="1:16" ht="13.5" hidden="1" customHeight="1" outlineLevel="3" x14ac:dyDescent="0.2">
      <c r="A2903" s="459">
        <v>0</v>
      </c>
      <c r="B2903" s="459">
        <v>18</v>
      </c>
      <c r="C2903" s="459">
        <v>31</v>
      </c>
      <c r="D2903" s="460">
        <v>2</v>
      </c>
      <c r="E2903" s="460">
        <v>2</v>
      </c>
      <c r="G2903" s="1798" t="s">
        <v>52</v>
      </c>
      <c r="H2903" s="1783" t="s">
        <v>1239</v>
      </c>
      <c r="I2903" s="1750" t="s">
        <v>8684</v>
      </c>
      <c r="J2903" s="1785" t="s">
        <v>3255</v>
      </c>
      <c r="K2903" s="1786" t="s">
        <v>788</v>
      </c>
      <c r="L2903" s="1787" t="e">
        <v>#REF!</v>
      </c>
      <c r="M2903" s="1787">
        <v>520</v>
      </c>
      <c r="N2903" s="1754"/>
      <c r="O2903" s="1788" t="s">
        <v>3251</v>
      </c>
      <c r="P2903" s="1721" t="s">
        <v>9611</v>
      </c>
    </row>
    <row r="2904" spans="1:16" ht="13.5" hidden="1" customHeight="1" outlineLevel="2" x14ac:dyDescent="0.2">
      <c r="A2904" s="459">
        <v>0</v>
      </c>
      <c r="B2904" s="459">
        <v>18</v>
      </c>
      <c r="C2904" s="459">
        <v>31</v>
      </c>
      <c r="D2904" s="460">
        <v>3</v>
      </c>
      <c r="E2904" s="460">
        <v>0</v>
      </c>
      <c r="G2904" s="1797"/>
      <c r="H2904" s="1777" t="s">
        <v>1238</v>
      </c>
      <c r="I2904" s="1742" t="s">
        <v>8685</v>
      </c>
      <c r="J2904" s="1779" t="s">
        <v>15</v>
      </c>
      <c r="K2904" s="1780"/>
      <c r="L2904" s="1781"/>
      <c r="M2904" s="1781"/>
      <c r="N2904" s="1746">
        <v>600</v>
      </c>
      <c r="O2904" s="1782">
        <v>3.5821601261398002E-2</v>
      </c>
      <c r="P2904" s="1720"/>
    </row>
    <row r="2905" spans="1:16" ht="13.5" hidden="1" customHeight="1" outlineLevel="3" x14ac:dyDescent="0.2">
      <c r="A2905" s="459">
        <v>0</v>
      </c>
      <c r="B2905" s="459">
        <v>18</v>
      </c>
      <c r="C2905" s="459">
        <v>31</v>
      </c>
      <c r="D2905" s="460">
        <v>3</v>
      </c>
      <c r="E2905" s="460">
        <v>1</v>
      </c>
      <c r="G2905" s="1798" t="s">
        <v>52</v>
      </c>
      <c r="H2905" s="1783" t="s">
        <v>1239</v>
      </c>
      <c r="I2905" s="1750" t="s">
        <v>8686</v>
      </c>
      <c r="J2905" s="1785" t="s">
        <v>845</v>
      </c>
      <c r="K2905" s="1786" t="s">
        <v>534</v>
      </c>
      <c r="L2905" s="1787">
        <v>2</v>
      </c>
      <c r="M2905" s="1787">
        <v>300</v>
      </c>
      <c r="N2905" s="1754">
        <v>600</v>
      </c>
      <c r="O2905" s="1788" t="s">
        <v>3252</v>
      </c>
      <c r="P2905" s="1721" t="s">
        <v>9611</v>
      </c>
    </row>
    <row r="2906" spans="1:16" ht="13.5" hidden="1" customHeight="1" outlineLevel="1" x14ac:dyDescent="0.2">
      <c r="A2906" s="459">
        <v>0</v>
      </c>
      <c r="B2906" s="459">
        <v>18</v>
      </c>
      <c r="C2906" s="459">
        <v>32</v>
      </c>
      <c r="D2906" s="460">
        <v>0</v>
      </c>
      <c r="E2906" s="460">
        <v>1</v>
      </c>
      <c r="G2906" s="1796"/>
      <c r="H2906" s="1771" t="s">
        <v>39</v>
      </c>
      <c r="I2906" s="1735" t="s">
        <v>8687</v>
      </c>
      <c r="J2906" s="1773" t="s">
        <v>5539</v>
      </c>
      <c r="K2906" s="1774"/>
      <c r="L2906" s="1775"/>
      <c r="M2906" s="1775"/>
      <c r="N2906" s="1739"/>
      <c r="O2906" s="1776"/>
      <c r="P2906" s="1719"/>
    </row>
    <row r="2907" spans="1:16" ht="13.5" hidden="1" customHeight="1" outlineLevel="2" x14ac:dyDescent="0.2">
      <c r="A2907" s="459">
        <v>0</v>
      </c>
      <c r="B2907" s="459">
        <v>18</v>
      </c>
      <c r="C2907" s="459">
        <v>32</v>
      </c>
      <c r="D2907" s="460">
        <v>1</v>
      </c>
      <c r="E2907" s="460">
        <v>0</v>
      </c>
      <c r="G2907" s="1797"/>
      <c r="H2907" s="1777" t="s">
        <v>1238</v>
      </c>
      <c r="I2907" s="1742" t="s">
        <v>8688</v>
      </c>
      <c r="J2907" s="1779" t="s">
        <v>2747</v>
      </c>
      <c r="K2907" s="1780"/>
      <c r="L2907" s="1781"/>
      <c r="M2907" s="1781"/>
      <c r="N2907" s="1746">
        <v>22948</v>
      </c>
      <c r="O2907" s="1782"/>
      <c r="P2907" s="1720"/>
    </row>
    <row r="2908" spans="1:16" ht="13.5" hidden="1" customHeight="1" outlineLevel="3" x14ac:dyDescent="0.2">
      <c r="A2908" s="459">
        <v>0</v>
      </c>
      <c r="B2908" s="459">
        <v>18</v>
      </c>
      <c r="C2908" s="459">
        <v>32</v>
      </c>
      <c r="D2908" s="460">
        <v>1</v>
      </c>
      <c r="E2908" s="460">
        <v>1</v>
      </c>
      <c r="G2908" s="1798" t="s">
        <v>52</v>
      </c>
      <c r="H2908" s="1783" t="s">
        <v>1239</v>
      </c>
      <c r="I2908" s="1750" t="s">
        <v>8689</v>
      </c>
      <c r="J2908" s="1785" t="s">
        <v>3530</v>
      </c>
      <c r="K2908" s="1786" t="s">
        <v>788</v>
      </c>
      <c r="L2908" s="1787">
        <v>80</v>
      </c>
      <c r="M2908" s="1787">
        <v>66.849999999999994</v>
      </c>
      <c r="N2908" s="1754">
        <v>5348</v>
      </c>
      <c r="O2908" s="1788" t="s">
        <v>3252</v>
      </c>
      <c r="P2908" s="1721" t="s">
        <v>9611</v>
      </c>
    </row>
    <row r="2909" spans="1:16" ht="13.5" hidden="1" customHeight="1" outlineLevel="3" x14ac:dyDescent="0.2">
      <c r="A2909" s="459">
        <v>0</v>
      </c>
      <c r="B2909" s="459">
        <v>18</v>
      </c>
      <c r="C2909" s="459">
        <v>32</v>
      </c>
      <c r="D2909" s="460">
        <v>1</v>
      </c>
      <c r="E2909" s="460">
        <v>2</v>
      </c>
      <c r="G2909" s="1798" t="s">
        <v>52</v>
      </c>
      <c r="H2909" s="1783" t="s">
        <v>1239</v>
      </c>
      <c r="I2909" s="1750" t="s">
        <v>8690</v>
      </c>
      <c r="J2909" s="1785" t="s">
        <v>837</v>
      </c>
      <c r="K2909" s="1786" t="s">
        <v>534</v>
      </c>
      <c r="L2909" s="1787">
        <v>16</v>
      </c>
      <c r="M2909" s="1787">
        <v>1100</v>
      </c>
      <c r="N2909" s="1754">
        <v>17600</v>
      </c>
      <c r="O2909" s="1788" t="s">
        <v>3252</v>
      </c>
      <c r="P2909" s="1721" t="s">
        <v>9611</v>
      </c>
    </row>
    <row r="2910" spans="1:16" ht="13.5" hidden="1" customHeight="1" outlineLevel="2" x14ac:dyDescent="0.2">
      <c r="A2910" s="459">
        <v>0</v>
      </c>
      <c r="B2910" s="459">
        <v>18</v>
      </c>
      <c r="C2910" s="459">
        <v>32</v>
      </c>
      <c r="D2910" s="460">
        <v>2</v>
      </c>
      <c r="E2910" s="460">
        <v>0</v>
      </c>
      <c r="G2910" s="1797"/>
      <c r="H2910" s="1777" t="s">
        <v>1238</v>
      </c>
      <c r="I2910" s="1742" t="s">
        <v>8691</v>
      </c>
      <c r="J2910" s="1779" t="s">
        <v>1953</v>
      </c>
      <c r="K2910" s="1780"/>
      <c r="L2910" s="1781"/>
      <c r="M2910" s="1781"/>
      <c r="N2910" s="1746"/>
      <c r="O2910" s="1782"/>
      <c r="P2910" s="1720"/>
    </row>
    <row r="2911" spans="1:16" ht="13.5" hidden="1" customHeight="1" outlineLevel="3" x14ac:dyDescent="0.2">
      <c r="A2911" s="459">
        <v>0</v>
      </c>
      <c r="B2911" s="459">
        <v>18</v>
      </c>
      <c r="C2911" s="459">
        <v>32</v>
      </c>
      <c r="D2911" s="460">
        <v>2</v>
      </c>
      <c r="E2911" s="460">
        <v>1</v>
      </c>
      <c r="G2911" s="1798" t="s">
        <v>52</v>
      </c>
      <c r="H2911" s="1783" t="s">
        <v>1239</v>
      </c>
      <c r="I2911" s="1750" t="s">
        <v>8692</v>
      </c>
      <c r="J2911" s="1785" t="s">
        <v>3254</v>
      </c>
      <c r="K2911" s="1786" t="s">
        <v>788</v>
      </c>
      <c r="L2911" s="1787" t="e">
        <v>#REF!</v>
      </c>
      <c r="M2911" s="1787">
        <v>820</v>
      </c>
      <c r="N2911" s="1754"/>
      <c r="O2911" s="1788" t="s">
        <v>3251</v>
      </c>
      <c r="P2911" s="1721" t="s">
        <v>9611</v>
      </c>
    </row>
    <row r="2912" spans="1:16" ht="13.5" hidden="1" customHeight="1" outlineLevel="3" x14ac:dyDescent="0.2">
      <c r="A2912" s="459">
        <v>0</v>
      </c>
      <c r="B2912" s="459">
        <v>18</v>
      </c>
      <c r="C2912" s="459">
        <v>32</v>
      </c>
      <c r="D2912" s="460">
        <v>2</v>
      </c>
      <c r="E2912" s="460">
        <v>2</v>
      </c>
      <c r="G2912" s="1798" t="s">
        <v>52</v>
      </c>
      <c r="H2912" s="1783" t="s">
        <v>1239</v>
      </c>
      <c r="I2912" s="1750" t="s">
        <v>8693</v>
      </c>
      <c r="J2912" s="1785" t="s">
        <v>3255</v>
      </c>
      <c r="K2912" s="1786" t="s">
        <v>788</v>
      </c>
      <c r="L2912" s="1787" t="e">
        <v>#REF!</v>
      </c>
      <c r="M2912" s="1787">
        <v>520</v>
      </c>
      <c r="N2912" s="1754"/>
      <c r="O2912" s="1788" t="s">
        <v>3251</v>
      </c>
      <c r="P2912" s="1721" t="s">
        <v>9611</v>
      </c>
    </row>
    <row r="2913" spans="1:16" ht="13.5" hidden="1" customHeight="1" outlineLevel="2" x14ac:dyDescent="0.2">
      <c r="A2913" s="459">
        <v>0</v>
      </c>
      <c r="B2913" s="459">
        <v>18</v>
      </c>
      <c r="C2913" s="459">
        <v>32</v>
      </c>
      <c r="D2913" s="460">
        <v>3</v>
      </c>
      <c r="E2913" s="460">
        <v>0</v>
      </c>
      <c r="G2913" s="1797"/>
      <c r="H2913" s="1777" t="s">
        <v>1238</v>
      </c>
      <c r="I2913" s="1742" t="s">
        <v>8694</v>
      </c>
      <c r="J2913" s="1779" t="s">
        <v>15</v>
      </c>
      <c r="K2913" s="1780"/>
      <c r="L2913" s="1781"/>
      <c r="M2913" s="1781"/>
      <c r="N2913" s="1746">
        <v>4800</v>
      </c>
      <c r="O2913" s="1782">
        <v>0.28657281009118402</v>
      </c>
      <c r="P2913" s="1720"/>
    </row>
    <row r="2914" spans="1:16" ht="13.5" hidden="1" customHeight="1" outlineLevel="3" x14ac:dyDescent="0.2">
      <c r="A2914" s="459">
        <v>0</v>
      </c>
      <c r="B2914" s="459">
        <v>18</v>
      </c>
      <c r="C2914" s="459">
        <v>32</v>
      </c>
      <c r="D2914" s="460">
        <v>3</v>
      </c>
      <c r="E2914" s="460">
        <v>1</v>
      </c>
      <c r="G2914" s="1798" t="s">
        <v>52</v>
      </c>
      <c r="H2914" s="1783" t="s">
        <v>1239</v>
      </c>
      <c r="I2914" s="1750" t="s">
        <v>8695</v>
      </c>
      <c r="J2914" s="1785" t="s">
        <v>845</v>
      </c>
      <c r="K2914" s="1786" t="s">
        <v>534</v>
      </c>
      <c r="L2914" s="1787">
        <v>16</v>
      </c>
      <c r="M2914" s="1787">
        <v>300</v>
      </c>
      <c r="N2914" s="1754">
        <v>4800</v>
      </c>
      <c r="O2914" s="1788" t="s">
        <v>3252</v>
      </c>
      <c r="P2914" s="1721" t="s">
        <v>9611</v>
      </c>
    </row>
    <row r="2915" spans="1:16" ht="13.5" hidden="1" customHeight="1" outlineLevel="1" x14ac:dyDescent="0.2">
      <c r="A2915" s="459">
        <v>0</v>
      </c>
      <c r="B2915" s="459">
        <v>18</v>
      </c>
      <c r="C2915" s="459">
        <v>33</v>
      </c>
      <c r="D2915" s="460">
        <v>0</v>
      </c>
      <c r="E2915" s="460">
        <v>1</v>
      </c>
      <c r="G2915" s="1796"/>
      <c r="H2915" s="1771" t="s">
        <v>39</v>
      </c>
      <c r="I2915" s="1735" t="s">
        <v>8696</v>
      </c>
      <c r="J2915" s="1773" t="s">
        <v>5540</v>
      </c>
      <c r="K2915" s="1774"/>
      <c r="L2915" s="1775"/>
      <c r="M2915" s="1775"/>
      <c r="N2915" s="1739"/>
      <c r="O2915" s="1776"/>
      <c r="P2915" s="1719"/>
    </row>
    <row r="2916" spans="1:16" ht="13.5" hidden="1" customHeight="1" outlineLevel="2" x14ac:dyDescent="0.2">
      <c r="A2916" s="459">
        <v>0</v>
      </c>
      <c r="B2916" s="459">
        <v>18</v>
      </c>
      <c r="C2916" s="459">
        <v>33</v>
      </c>
      <c r="D2916" s="460">
        <v>1</v>
      </c>
      <c r="E2916" s="460">
        <v>0</v>
      </c>
      <c r="G2916" s="1797"/>
      <c r="H2916" s="1777" t="s">
        <v>1238</v>
      </c>
      <c r="I2916" s="1742" t="s">
        <v>8697</v>
      </c>
      <c r="J2916" s="1779" t="s">
        <v>2747</v>
      </c>
      <c r="K2916" s="1780"/>
      <c r="L2916" s="1781"/>
      <c r="M2916" s="1781"/>
      <c r="N2916" s="1746">
        <v>63107</v>
      </c>
      <c r="O2916" s="1782"/>
      <c r="P2916" s="1720"/>
    </row>
    <row r="2917" spans="1:16" ht="13.5" hidden="1" customHeight="1" outlineLevel="3" x14ac:dyDescent="0.2">
      <c r="A2917" s="459">
        <v>0</v>
      </c>
      <c r="B2917" s="459">
        <v>18</v>
      </c>
      <c r="C2917" s="459">
        <v>33</v>
      </c>
      <c r="D2917" s="460">
        <v>1</v>
      </c>
      <c r="E2917" s="460">
        <v>1</v>
      </c>
      <c r="G2917" s="1798" t="s">
        <v>52</v>
      </c>
      <c r="H2917" s="1783" t="s">
        <v>1239</v>
      </c>
      <c r="I2917" s="1750" t="s">
        <v>8698</v>
      </c>
      <c r="J2917" s="1785" t="s">
        <v>3530</v>
      </c>
      <c r="K2917" s="1786" t="s">
        <v>788</v>
      </c>
      <c r="L2917" s="1787">
        <v>220</v>
      </c>
      <c r="M2917" s="1787">
        <v>66.849999999999994</v>
      </c>
      <c r="N2917" s="1754">
        <v>14707</v>
      </c>
      <c r="O2917" s="1788" t="s">
        <v>3252</v>
      </c>
      <c r="P2917" s="1721" t="s">
        <v>9611</v>
      </c>
    </row>
    <row r="2918" spans="1:16" ht="13.5" hidden="1" customHeight="1" outlineLevel="3" x14ac:dyDescent="0.2">
      <c r="A2918" s="459">
        <v>0</v>
      </c>
      <c r="B2918" s="459">
        <v>18</v>
      </c>
      <c r="C2918" s="459">
        <v>33</v>
      </c>
      <c r="D2918" s="460">
        <v>1</v>
      </c>
      <c r="E2918" s="460">
        <v>2</v>
      </c>
      <c r="G2918" s="1798" t="s">
        <v>52</v>
      </c>
      <c r="H2918" s="1783" t="s">
        <v>1239</v>
      </c>
      <c r="I2918" s="1750" t="s">
        <v>8699</v>
      </c>
      <c r="J2918" s="1785" t="s">
        <v>837</v>
      </c>
      <c r="K2918" s="1786" t="s">
        <v>534</v>
      </c>
      <c r="L2918" s="1787">
        <v>44</v>
      </c>
      <c r="M2918" s="1787">
        <v>1100</v>
      </c>
      <c r="N2918" s="1754">
        <v>48400</v>
      </c>
      <c r="O2918" s="1788" t="s">
        <v>3252</v>
      </c>
      <c r="P2918" s="1721" t="s">
        <v>9611</v>
      </c>
    </row>
    <row r="2919" spans="1:16" ht="13.5" hidden="1" customHeight="1" outlineLevel="2" x14ac:dyDescent="0.2">
      <c r="A2919" s="459">
        <v>0</v>
      </c>
      <c r="B2919" s="459">
        <v>18</v>
      </c>
      <c r="C2919" s="459">
        <v>33</v>
      </c>
      <c r="D2919" s="460">
        <v>2</v>
      </c>
      <c r="E2919" s="460">
        <v>0</v>
      </c>
      <c r="G2919" s="1797"/>
      <c r="H2919" s="1777" t="s">
        <v>1238</v>
      </c>
      <c r="I2919" s="1742" t="s">
        <v>8700</v>
      </c>
      <c r="J2919" s="1779" t="s">
        <v>1953</v>
      </c>
      <c r="K2919" s="1780"/>
      <c r="L2919" s="1781"/>
      <c r="M2919" s="1781"/>
      <c r="N2919" s="1746"/>
      <c r="O2919" s="1782"/>
      <c r="P2919" s="1720"/>
    </row>
    <row r="2920" spans="1:16" ht="13.5" hidden="1" customHeight="1" outlineLevel="3" x14ac:dyDescent="0.2">
      <c r="A2920" s="459">
        <v>0</v>
      </c>
      <c r="B2920" s="459">
        <v>18</v>
      </c>
      <c r="C2920" s="459">
        <v>33</v>
      </c>
      <c r="D2920" s="460">
        <v>2</v>
      </c>
      <c r="E2920" s="460">
        <v>1</v>
      </c>
      <c r="G2920" s="1798" t="s">
        <v>52</v>
      </c>
      <c r="H2920" s="1783" t="s">
        <v>1239</v>
      </c>
      <c r="I2920" s="1750" t="s">
        <v>8701</v>
      </c>
      <c r="J2920" s="1785" t="s">
        <v>3254</v>
      </c>
      <c r="K2920" s="1786" t="s">
        <v>788</v>
      </c>
      <c r="L2920" s="1787" t="e">
        <v>#REF!</v>
      </c>
      <c r="M2920" s="1787">
        <v>820</v>
      </c>
      <c r="N2920" s="1754"/>
      <c r="O2920" s="1788" t="s">
        <v>3251</v>
      </c>
      <c r="P2920" s="1721" t="s">
        <v>9611</v>
      </c>
    </row>
    <row r="2921" spans="1:16" ht="13.5" hidden="1" customHeight="1" outlineLevel="3" x14ac:dyDescent="0.2">
      <c r="A2921" s="459">
        <v>0</v>
      </c>
      <c r="B2921" s="459">
        <v>18</v>
      </c>
      <c r="C2921" s="459">
        <v>33</v>
      </c>
      <c r="D2921" s="460">
        <v>2</v>
      </c>
      <c r="E2921" s="460">
        <v>2</v>
      </c>
      <c r="G2921" s="1798" t="s">
        <v>52</v>
      </c>
      <c r="H2921" s="1783" t="s">
        <v>1239</v>
      </c>
      <c r="I2921" s="1750" t="s">
        <v>8702</v>
      </c>
      <c r="J2921" s="1785" t="s">
        <v>3255</v>
      </c>
      <c r="K2921" s="1786" t="s">
        <v>788</v>
      </c>
      <c r="L2921" s="1787" t="e">
        <v>#REF!</v>
      </c>
      <c r="M2921" s="1787">
        <v>520</v>
      </c>
      <c r="N2921" s="1754"/>
      <c r="O2921" s="1788" t="s">
        <v>3251</v>
      </c>
      <c r="P2921" s="1721" t="s">
        <v>9611</v>
      </c>
    </row>
    <row r="2922" spans="1:16" ht="13.5" hidden="1" customHeight="1" outlineLevel="2" x14ac:dyDescent="0.2">
      <c r="A2922" s="459">
        <v>0</v>
      </c>
      <c r="B2922" s="459">
        <v>18</v>
      </c>
      <c r="C2922" s="459">
        <v>33</v>
      </c>
      <c r="D2922" s="460">
        <v>3</v>
      </c>
      <c r="E2922" s="460">
        <v>0</v>
      </c>
      <c r="G2922" s="1797"/>
      <c r="H2922" s="1777" t="s">
        <v>1238</v>
      </c>
      <c r="I2922" s="1742" t="s">
        <v>8703</v>
      </c>
      <c r="J2922" s="1779" t="s">
        <v>15</v>
      </c>
      <c r="K2922" s="1780"/>
      <c r="L2922" s="1781"/>
      <c r="M2922" s="1781"/>
      <c r="N2922" s="1746">
        <v>13200</v>
      </c>
      <c r="O2922" s="1782">
        <v>0.788075227750756</v>
      </c>
      <c r="P2922" s="1720"/>
    </row>
    <row r="2923" spans="1:16" ht="13.5" hidden="1" customHeight="1" outlineLevel="3" x14ac:dyDescent="0.2">
      <c r="A2923" s="459">
        <v>0</v>
      </c>
      <c r="B2923" s="459">
        <v>18</v>
      </c>
      <c r="C2923" s="459">
        <v>33</v>
      </c>
      <c r="D2923" s="460">
        <v>3</v>
      </c>
      <c r="E2923" s="460">
        <v>1</v>
      </c>
      <c r="G2923" s="1798" t="s">
        <v>52</v>
      </c>
      <c r="H2923" s="1783" t="s">
        <v>1239</v>
      </c>
      <c r="I2923" s="1750" t="s">
        <v>8704</v>
      </c>
      <c r="J2923" s="1785" t="s">
        <v>845</v>
      </c>
      <c r="K2923" s="1786" t="s">
        <v>534</v>
      </c>
      <c r="L2923" s="1787">
        <v>44</v>
      </c>
      <c r="M2923" s="1787">
        <v>300</v>
      </c>
      <c r="N2923" s="1754">
        <v>13200</v>
      </c>
      <c r="O2923" s="1788" t="s">
        <v>3252</v>
      </c>
      <c r="P2923" s="1721" t="s">
        <v>9611</v>
      </c>
    </row>
    <row r="2924" spans="1:16" ht="13.5" hidden="1" customHeight="1" outlineLevel="1" x14ac:dyDescent="0.2">
      <c r="A2924" s="459">
        <v>0</v>
      </c>
      <c r="B2924" s="459">
        <v>18</v>
      </c>
      <c r="C2924" s="459">
        <v>34</v>
      </c>
      <c r="D2924" s="460">
        <v>0</v>
      </c>
      <c r="E2924" s="460">
        <v>1</v>
      </c>
      <c r="G2924" s="1796"/>
      <c r="H2924" s="1771" t="s">
        <v>39</v>
      </c>
      <c r="I2924" s="1735" t="s">
        <v>8705</v>
      </c>
      <c r="J2924" s="1773" t="s">
        <v>5541</v>
      </c>
      <c r="K2924" s="1774"/>
      <c r="L2924" s="1775"/>
      <c r="M2924" s="1775"/>
      <c r="N2924" s="1739"/>
      <c r="O2924" s="1776"/>
      <c r="P2924" s="1719"/>
    </row>
    <row r="2925" spans="1:16" ht="13.5" hidden="1" customHeight="1" outlineLevel="2" x14ac:dyDescent="0.2">
      <c r="A2925" s="459">
        <v>0</v>
      </c>
      <c r="B2925" s="459">
        <v>18</v>
      </c>
      <c r="C2925" s="459">
        <v>34</v>
      </c>
      <c r="D2925" s="460">
        <v>1</v>
      </c>
      <c r="E2925" s="460">
        <v>0</v>
      </c>
      <c r="G2925" s="1797"/>
      <c r="H2925" s="1777" t="s">
        <v>1238</v>
      </c>
      <c r="I2925" s="1742" t="s">
        <v>8706</v>
      </c>
      <c r="J2925" s="1779" t="s">
        <v>2747</v>
      </c>
      <c r="K2925" s="1780"/>
      <c r="L2925" s="1781"/>
      <c r="M2925" s="1781"/>
      <c r="N2925" s="1746">
        <v>2868.5</v>
      </c>
      <c r="O2925" s="1782"/>
      <c r="P2925" s="1720"/>
    </row>
    <row r="2926" spans="1:16" ht="13.5" hidden="1" customHeight="1" outlineLevel="3" x14ac:dyDescent="0.2">
      <c r="A2926" s="459">
        <v>0</v>
      </c>
      <c r="B2926" s="459">
        <v>18</v>
      </c>
      <c r="C2926" s="459">
        <v>34</v>
      </c>
      <c r="D2926" s="460">
        <v>1</v>
      </c>
      <c r="E2926" s="460">
        <v>1</v>
      </c>
      <c r="G2926" s="1798" t="s">
        <v>52</v>
      </c>
      <c r="H2926" s="1783" t="s">
        <v>1239</v>
      </c>
      <c r="I2926" s="1750" t="s">
        <v>8707</v>
      </c>
      <c r="J2926" s="1785" t="s">
        <v>3530</v>
      </c>
      <c r="K2926" s="1786" t="s">
        <v>788</v>
      </c>
      <c r="L2926" s="1787">
        <v>10</v>
      </c>
      <c r="M2926" s="1787">
        <v>66.849999999999994</v>
      </c>
      <c r="N2926" s="1754">
        <v>668.5</v>
      </c>
      <c r="O2926" s="1788" t="s">
        <v>3252</v>
      </c>
      <c r="P2926" s="1721" t="s">
        <v>9611</v>
      </c>
    </row>
    <row r="2927" spans="1:16" ht="13.5" hidden="1" customHeight="1" outlineLevel="3" x14ac:dyDescent="0.2">
      <c r="A2927" s="459">
        <v>0</v>
      </c>
      <c r="B2927" s="459">
        <v>18</v>
      </c>
      <c r="C2927" s="459">
        <v>34</v>
      </c>
      <c r="D2927" s="460">
        <v>1</v>
      </c>
      <c r="E2927" s="460">
        <v>2</v>
      </c>
      <c r="G2927" s="1798" t="s">
        <v>52</v>
      </c>
      <c r="H2927" s="1783" t="s">
        <v>1239</v>
      </c>
      <c r="I2927" s="1750" t="s">
        <v>8708</v>
      </c>
      <c r="J2927" s="1785" t="s">
        <v>837</v>
      </c>
      <c r="K2927" s="1786" t="s">
        <v>534</v>
      </c>
      <c r="L2927" s="1787">
        <v>2</v>
      </c>
      <c r="M2927" s="1787">
        <v>1100</v>
      </c>
      <c r="N2927" s="1754">
        <v>2200</v>
      </c>
      <c r="O2927" s="1788" t="s">
        <v>3252</v>
      </c>
      <c r="P2927" s="1721" t="s">
        <v>9611</v>
      </c>
    </row>
    <row r="2928" spans="1:16" ht="13.5" hidden="1" customHeight="1" outlineLevel="2" x14ac:dyDescent="0.2">
      <c r="A2928" s="459">
        <v>0</v>
      </c>
      <c r="B2928" s="459">
        <v>18</v>
      </c>
      <c r="C2928" s="459">
        <v>34</v>
      </c>
      <c r="D2928" s="460">
        <v>2</v>
      </c>
      <c r="E2928" s="460">
        <v>0</v>
      </c>
      <c r="G2928" s="1797"/>
      <c r="H2928" s="1777" t="s">
        <v>1238</v>
      </c>
      <c r="I2928" s="1742" t="s">
        <v>8709</v>
      </c>
      <c r="J2928" s="1779" t="s">
        <v>1953</v>
      </c>
      <c r="K2928" s="1780"/>
      <c r="L2928" s="1781"/>
      <c r="M2928" s="1781"/>
      <c r="N2928" s="1746"/>
      <c r="O2928" s="1782"/>
      <c r="P2928" s="1720"/>
    </row>
    <row r="2929" spans="1:16" ht="13.5" hidden="1" customHeight="1" outlineLevel="3" x14ac:dyDescent="0.2">
      <c r="A2929" s="459">
        <v>0</v>
      </c>
      <c r="B2929" s="459">
        <v>18</v>
      </c>
      <c r="C2929" s="459">
        <v>34</v>
      </c>
      <c r="D2929" s="460">
        <v>2</v>
      </c>
      <c r="E2929" s="460">
        <v>1</v>
      </c>
      <c r="G2929" s="1798" t="s">
        <v>52</v>
      </c>
      <c r="H2929" s="1783" t="s">
        <v>1239</v>
      </c>
      <c r="I2929" s="1750" t="s">
        <v>8710</v>
      </c>
      <c r="J2929" s="1785" t="s">
        <v>3254</v>
      </c>
      <c r="K2929" s="1786" t="s">
        <v>788</v>
      </c>
      <c r="L2929" s="1787" t="e">
        <v>#REF!</v>
      </c>
      <c r="M2929" s="1787">
        <v>820</v>
      </c>
      <c r="N2929" s="1754"/>
      <c r="O2929" s="1788" t="s">
        <v>3251</v>
      </c>
      <c r="P2929" s="1721" t="s">
        <v>9611</v>
      </c>
    </row>
    <row r="2930" spans="1:16" ht="13.5" hidden="1" customHeight="1" outlineLevel="3" x14ac:dyDescent="0.2">
      <c r="A2930" s="459">
        <v>0</v>
      </c>
      <c r="B2930" s="459">
        <v>18</v>
      </c>
      <c r="C2930" s="459">
        <v>34</v>
      </c>
      <c r="D2930" s="460">
        <v>2</v>
      </c>
      <c r="E2930" s="460">
        <v>2</v>
      </c>
      <c r="G2930" s="1798" t="s">
        <v>52</v>
      </c>
      <c r="H2930" s="1783" t="s">
        <v>1239</v>
      </c>
      <c r="I2930" s="1750" t="s">
        <v>8711</v>
      </c>
      <c r="J2930" s="1785" t="s">
        <v>3255</v>
      </c>
      <c r="K2930" s="1786" t="s">
        <v>788</v>
      </c>
      <c r="L2930" s="1787" t="e">
        <v>#REF!</v>
      </c>
      <c r="M2930" s="1787">
        <v>520</v>
      </c>
      <c r="N2930" s="1754"/>
      <c r="O2930" s="1788" t="s">
        <v>3251</v>
      </c>
      <c r="P2930" s="1721" t="s">
        <v>9611</v>
      </c>
    </row>
    <row r="2931" spans="1:16" ht="13.5" hidden="1" customHeight="1" outlineLevel="2" x14ac:dyDescent="0.2">
      <c r="A2931" s="459">
        <v>0</v>
      </c>
      <c r="B2931" s="459">
        <v>18</v>
      </c>
      <c r="C2931" s="459">
        <v>34</v>
      </c>
      <c r="D2931" s="460">
        <v>3</v>
      </c>
      <c r="E2931" s="460">
        <v>0</v>
      </c>
      <c r="G2931" s="1797"/>
      <c r="H2931" s="1777" t="s">
        <v>1238</v>
      </c>
      <c r="I2931" s="1742" t="s">
        <v>8712</v>
      </c>
      <c r="J2931" s="1779" t="s">
        <v>15</v>
      </c>
      <c r="K2931" s="1780"/>
      <c r="L2931" s="1781"/>
      <c r="M2931" s="1781"/>
      <c r="N2931" s="1746">
        <v>600</v>
      </c>
      <c r="O2931" s="1782">
        <v>3.5821601261398002E-2</v>
      </c>
      <c r="P2931" s="1720"/>
    </row>
    <row r="2932" spans="1:16" ht="13.5" hidden="1" customHeight="1" outlineLevel="3" x14ac:dyDescent="0.2">
      <c r="A2932" s="459">
        <v>0</v>
      </c>
      <c r="B2932" s="459">
        <v>18</v>
      </c>
      <c r="C2932" s="459">
        <v>34</v>
      </c>
      <c r="D2932" s="460">
        <v>3</v>
      </c>
      <c r="E2932" s="460">
        <v>1</v>
      </c>
      <c r="G2932" s="1798" t="s">
        <v>52</v>
      </c>
      <c r="H2932" s="1783" t="s">
        <v>1239</v>
      </c>
      <c r="I2932" s="1750" t="s">
        <v>8713</v>
      </c>
      <c r="J2932" s="1785" t="s">
        <v>845</v>
      </c>
      <c r="K2932" s="1786" t="s">
        <v>534</v>
      </c>
      <c r="L2932" s="1787">
        <v>2</v>
      </c>
      <c r="M2932" s="1787">
        <v>300</v>
      </c>
      <c r="N2932" s="1754">
        <v>600</v>
      </c>
      <c r="O2932" s="1788" t="s">
        <v>3252</v>
      </c>
      <c r="P2932" s="1721" t="s">
        <v>9611</v>
      </c>
    </row>
    <row r="2933" spans="1:16" ht="13.5" hidden="1" customHeight="1" outlineLevel="1" x14ac:dyDescent="0.2">
      <c r="A2933" s="459">
        <v>0</v>
      </c>
      <c r="B2933" s="459">
        <v>18</v>
      </c>
      <c r="C2933" s="459">
        <v>35</v>
      </c>
      <c r="D2933" s="460">
        <v>0</v>
      </c>
      <c r="E2933" s="460">
        <v>1</v>
      </c>
      <c r="G2933" s="1796"/>
      <c r="H2933" s="1771" t="s">
        <v>39</v>
      </c>
      <c r="I2933" s="1735" t="s">
        <v>8714</v>
      </c>
      <c r="J2933" s="1773" t="s">
        <v>5542</v>
      </c>
      <c r="K2933" s="1774"/>
      <c r="L2933" s="1775"/>
      <c r="M2933" s="1775"/>
      <c r="N2933" s="1739"/>
      <c r="O2933" s="1776"/>
      <c r="P2933" s="1719"/>
    </row>
    <row r="2934" spans="1:16" ht="13.5" hidden="1" customHeight="1" outlineLevel="2" x14ac:dyDescent="0.2">
      <c r="A2934" s="459">
        <v>0</v>
      </c>
      <c r="B2934" s="459">
        <v>18</v>
      </c>
      <c r="C2934" s="459">
        <v>35</v>
      </c>
      <c r="D2934" s="460">
        <v>1</v>
      </c>
      <c r="E2934" s="460">
        <v>0</v>
      </c>
      <c r="G2934" s="1797"/>
      <c r="H2934" s="1777" t="s">
        <v>1238</v>
      </c>
      <c r="I2934" s="1742" t="s">
        <v>8715</v>
      </c>
      <c r="J2934" s="1779" t="s">
        <v>2747</v>
      </c>
      <c r="K2934" s="1780"/>
      <c r="L2934" s="1781"/>
      <c r="M2934" s="1781"/>
      <c r="N2934" s="1746">
        <v>2868.5</v>
      </c>
      <c r="O2934" s="1782"/>
      <c r="P2934" s="1720"/>
    </row>
    <row r="2935" spans="1:16" ht="13.5" hidden="1" customHeight="1" outlineLevel="3" x14ac:dyDescent="0.2">
      <c r="A2935" s="459">
        <v>0</v>
      </c>
      <c r="B2935" s="459">
        <v>18</v>
      </c>
      <c r="C2935" s="459">
        <v>35</v>
      </c>
      <c r="D2935" s="460">
        <v>1</v>
      </c>
      <c r="E2935" s="460">
        <v>1</v>
      </c>
      <c r="G2935" s="1798" t="s">
        <v>52</v>
      </c>
      <c r="H2935" s="1783" t="s">
        <v>1239</v>
      </c>
      <c r="I2935" s="1750" t="s">
        <v>8716</v>
      </c>
      <c r="J2935" s="1785" t="s">
        <v>3530</v>
      </c>
      <c r="K2935" s="1786" t="s">
        <v>788</v>
      </c>
      <c r="L2935" s="1787">
        <v>10</v>
      </c>
      <c r="M2935" s="1787">
        <v>66.849999999999994</v>
      </c>
      <c r="N2935" s="1754">
        <v>668.5</v>
      </c>
      <c r="O2935" s="1788" t="s">
        <v>3252</v>
      </c>
      <c r="P2935" s="1721" t="s">
        <v>9611</v>
      </c>
    </row>
    <row r="2936" spans="1:16" ht="13.5" hidden="1" customHeight="1" outlineLevel="3" x14ac:dyDescent="0.2">
      <c r="A2936" s="459">
        <v>0</v>
      </c>
      <c r="B2936" s="459">
        <v>18</v>
      </c>
      <c r="C2936" s="459">
        <v>35</v>
      </c>
      <c r="D2936" s="460">
        <v>1</v>
      </c>
      <c r="E2936" s="460">
        <v>2</v>
      </c>
      <c r="G2936" s="1798" t="s">
        <v>52</v>
      </c>
      <c r="H2936" s="1783" t="s">
        <v>1239</v>
      </c>
      <c r="I2936" s="1750" t="s">
        <v>8717</v>
      </c>
      <c r="J2936" s="1785" t="s">
        <v>837</v>
      </c>
      <c r="K2936" s="1786" t="s">
        <v>534</v>
      </c>
      <c r="L2936" s="1787">
        <v>2</v>
      </c>
      <c r="M2936" s="1787">
        <v>1100</v>
      </c>
      <c r="N2936" s="1754">
        <v>2200</v>
      </c>
      <c r="O2936" s="1788" t="s">
        <v>3252</v>
      </c>
      <c r="P2936" s="1721" t="s">
        <v>9611</v>
      </c>
    </row>
    <row r="2937" spans="1:16" ht="13.5" hidden="1" customHeight="1" outlineLevel="2" x14ac:dyDescent="0.2">
      <c r="A2937" s="459">
        <v>0</v>
      </c>
      <c r="B2937" s="459">
        <v>18</v>
      </c>
      <c r="C2937" s="459">
        <v>35</v>
      </c>
      <c r="D2937" s="460">
        <v>2</v>
      </c>
      <c r="E2937" s="460">
        <v>0</v>
      </c>
      <c r="G2937" s="1797"/>
      <c r="H2937" s="1777" t="s">
        <v>1238</v>
      </c>
      <c r="I2937" s="1742" t="s">
        <v>8718</v>
      </c>
      <c r="J2937" s="1779" t="s">
        <v>1953</v>
      </c>
      <c r="K2937" s="1780"/>
      <c r="L2937" s="1781"/>
      <c r="M2937" s="1781"/>
      <c r="N2937" s="1746"/>
      <c r="O2937" s="1782"/>
      <c r="P2937" s="1720"/>
    </row>
    <row r="2938" spans="1:16" ht="13.5" hidden="1" customHeight="1" outlineLevel="3" x14ac:dyDescent="0.2">
      <c r="A2938" s="459">
        <v>0</v>
      </c>
      <c r="B2938" s="459">
        <v>18</v>
      </c>
      <c r="C2938" s="459">
        <v>35</v>
      </c>
      <c r="D2938" s="460">
        <v>2</v>
      </c>
      <c r="E2938" s="460">
        <v>1</v>
      </c>
      <c r="G2938" s="1798" t="s">
        <v>52</v>
      </c>
      <c r="H2938" s="1783" t="s">
        <v>1239</v>
      </c>
      <c r="I2938" s="1750" t="s">
        <v>8719</v>
      </c>
      <c r="J2938" s="1785" t="s">
        <v>3254</v>
      </c>
      <c r="K2938" s="1786" t="s">
        <v>788</v>
      </c>
      <c r="L2938" s="1787" t="e">
        <v>#REF!</v>
      </c>
      <c r="M2938" s="1787">
        <v>820</v>
      </c>
      <c r="N2938" s="1754"/>
      <c r="O2938" s="1788" t="s">
        <v>3251</v>
      </c>
      <c r="P2938" s="1721" t="s">
        <v>9611</v>
      </c>
    </row>
    <row r="2939" spans="1:16" ht="13.5" hidden="1" customHeight="1" outlineLevel="3" x14ac:dyDescent="0.2">
      <c r="A2939" s="459">
        <v>0</v>
      </c>
      <c r="B2939" s="459">
        <v>18</v>
      </c>
      <c r="C2939" s="459">
        <v>35</v>
      </c>
      <c r="D2939" s="460">
        <v>2</v>
      </c>
      <c r="E2939" s="460">
        <v>2</v>
      </c>
      <c r="G2939" s="1798" t="s">
        <v>52</v>
      </c>
      <c r="H2939" s="1783" t="s">
        <v>1239</v>
      </c>
      <c r="I2939" s="1750" t="s">
        <v>8720</v>
      </c>
      <c r="J2939" s="1785" t="s">
        <v>3255</v>
      </c>
      <c r="K2939" s="1786" t="s">
        <v>788</v>
      </c>
      <c r="L2939" s="1787" t="e">
        <v>#REF!</v>
      </c>
      <c r="M2939" s="1787">
        <v>520</v>
      </c>
      <c r="N2939" s="1754"/>
      <c r="O2939" s="1788" t="s">
        <v>3251</v>
      </c>
      <c r="P2939" s="1721" t="s">
        <v>9611</v>
      </c>
    </row>
    <row r="2940" spans="1:16" ht="12.75" hidden="1" customHeight="1" outlineLevel="2" x14ac:dyDescent="0.2">
      <c r="A2940" s="459">
        <v>0</v>
      </c>
      <c r="B2940" s="459">
        <v>18</v>
      </c>
      <c r="C2940" s="459">
        <v>35</v>
      </c>
      <c r="D2940" s="460">
        <v>3</v>
      </c>
      <c r="E2940" s="460">
        <v>0</v>
      </c>
      <c r="G2940" s="1797"/>
      <c r="H2940" s="1777" t="s">
        <v>1238</v>
      </c>
      <c r="I2940" s="1742" t="s">
        <v>8721</v>
      </c>
      <c r="J2940" s="1779" t="s">
        <v>3257</v>
      </c>
      <c r="K2940" s="1780"/>
      <c r="L2940" s="1781"/>
      <c r="M2940" s="1781"/>
      <c r="N2940" s="1746"/>
      <c r="O2940" s="1782"/>
      <c r="P2940" s="1720"/>
    </row>
    <row r="2941" spans="1:16" ht="12.75" hidden="1" customHeight="1" outlineLevel="3" x14ac:dyDescent="0.2">
      <c r="A2941" s="459">
        <v>0</v>
      </c>
      <c r="B2941" s="459">
        <v>18</v>
      </c>
      <c r="C2941" s="459">
        <v>35</v>
      </c>
      <c r="D2941" s="460">
        <v>3</v>
      </c>
      <c r="E2941" s="460">
        <v>1</v>
      </c>
      <c r="G2941" s="1798" t="s">
        <v>52</v>
      </c>
      <c r="H2941" s="1783" t="s">
        <v>1239</v>
      </c>
      <c r="I2941" s="1750" t="s">
        <v>8722</v>
      </c>
      <c r="J2941" s="1785" t="s">
        <v>3256</v>
      </c>
      <c r="K2941" s="1786" t="s">
        <v>642</v>
      </c>
      <c r="L2941" s="1787" t="e">
        <v>#REF!</v>
      </c>
      <c r="M2941" s="1787">
        <v>1240</v>
      </c>
      <c r="N2941" s="1754"/>
      <c r="O2941" s="1788" t="s">
        <v>3251</v>
      </c>
      <c r="P2941" s="1721" t="s">
        <v>9611</v>
      </c>
    </row>
    <row r="2942" spans="1:16" ht="13.5" hidden="1" customHeight="1" outlineLevel="2" x14ac:dyDescent="0.2">
      <c r="A2942" s="459">
        <v>0</v>
      </c>
      <c r="B2942" s="459">
        <v>18</v>
      </c>
      <c r="C2942" s="459">
        <v>35</v>
      </c>
      <c r="D2942" s="460">
        <v>4</v>
      </c>
      <c r="E2942" s="460">
        <v>0</v>
      </c>
      <c r="G2942" s="1797"/>
      <c r="H2942" s="1777" t="s">
        <v>1238</v>
      </c>
      <c r="I2942" s="1742" t="s">
        <v>8723</v>
      </c>
      <c r="J2942" s="1779" t="s">
        <v>15</v>
      </c>
      <c r="K2942" s="1780"/>
      <c r="L2942" s="1781"/>
      <c r="M2942" s="1781"/>
      <c r="N2942" s="1746">
        <v>600</v>
      </c>
      <c r="O2942" s="1782">
        <v>3.5821601261398002E-2</v>
      </c>
      <c r="P2942" s="1720"/>
    </row>
    <row r="2943" spans="1:16" ht="13.5" hidden="1" customHeight="1" outlineLevel="3" x14ac:dyDescent="0.2">
      <c r="A2943" s="459">
        <v>0</v>
      </c>
      <c r="B2943" s="459">
        <v>18</v>
      </c>
      <c r="C2943" s="459">
        <v>35</v>
      </c>
      <c r="D2943" s="460">
        <v>4</v>
      </c>
      <c r="E2943" s="460">
        <v>1</v>
      </c>
      <c r="G2943" s="1798" t="s">
        <v>52</v>
      </c>
      <c r="H2943" s="1783" t="s">
        <v>1239</v>
      </c>
      <c r="I2943" s="1750" t="s">
        <v>8724</v>
      </c>
      <c r="J2943" s="1785" t="s">
        <v>845</v>
      </c>
      <c r="K2943" s="1786" t="s">
        <v>534</v>
      </c>
      <c r="L2943" s="1787">
        <v>2</v>
      </c>
      <c r="M2943" s="1787">
        <v>300</v>
      </c>
      <c r="N2943" s="1754">
        <v>600</v>
      </c>
      <c r="O2943" s="1788" t="s">
        <v>3252</v>
      </c>
      <c r="P2943" s="1721" t="s">
        <v>9611</v>
      </c>
    </row>
    <row r="2944" spans="1:16" ht="13.5" hidden="1" customHeight="1" outlineLevel="1" x14ac:dyDescent="0.2">
      <c r="A2944" s="459">
        <v>0</v>
      </c>
      <c r="B2944" s="459">
        <v>18</v>
      </c>
      <c r="C2944" s="459">
        <v>36</v>
      </c>
      <c r="D2944" s="460">
        <v>0</v>
      </c>
      <c r="E2944" s="460">
        <v>1</v>
      </c>
      <c r="G2944" s="1796"/>
      <c r="H2944" s="1771" t="s">
        <v>39</v>
      </c>
      <c r="I2944" s="1735" t="s">
        <v>8725</v>
      </c>
      <c r="J2944" s="1773" t="s">
        <v>5543</v>
      </c>
      <c r="K2944" s="1774"/>
      <c r="L2944" s="1775"/>
      <c r="M2944" s="1775"/>
      <c r="N2944" s="1739"/>
      <c r="O2944" s="1776"/>
      <c r="P2944" s="1719"/>
    </row>
    <row r="2945" spans="1:16" ht="13.5" hidden="1" customHeight="1" outlineLevel="2" x14ac:dyDescent="0.2">
      <c r="A2945" s="459">
        <v>0</v>
      </c>
      <c r="B2945" s="459">
        <v>18</v>
      </c>
      <c r="C2945" s="459">
        <v>36</v>
      </c>
      <c r="D2945" s="460">
        <v>1</v>
      </c>
      <c r="E2945" s="460">
        <v>0</v>
      </c>
      <c r="G2945" s="1797"/>
      <c r="H2945" s="1777" t="s">
        <v>1238</v>
      </c>
      <c r="I2945" s="1742" t="s">
        <v>8726</v>
      </c>
      <c r="J2945" s="1779" t="s">
        <v>2747</v>
      </c>
      <c r="K2945" s="1780"/>
      <c r="L2945" s="1781"/>
      <c r="M2945" s="1781"/>
      <c r="N2945" s="1746">
        <v>1434.25</v>
      </c>
      <c r="O2945" s="1782"/>
      <c r="P2945" s="1720"/>
    </row>
    <row r="2946" spans="1:16" ht="13.5" hidden="1" customHeight="1" outlineLevel="3" x14ac:dyDescent="0.2">
      <c r="A2946" s="459">
        <v>0</v>
      </c>
      <c r="B2946" s="459">
        <v>18</v>
      </c>
      <c r="C2946" s="459">
        <v>36</v>
      </c>
      <c r="D2946" s="460">
        <v>1</v>
      </c>
      <c r="E2946" s="460">
        <v>1</v>
      </c>
      <c r="G2946" s="1798" t="s">
        <v>52</v>
      </c>
      <c r="H2946" s="1783" t="s">
        <v>1239</v>
      </c>
      <c r="I2946" s="1750" t="s">
        <v>8727</v>
      </c>
      <c r="J2946" s="1785" t="s">
        <v>3530</v>
      </c>
      <c r="K2946" s="1786" t="s">
        <v>788</v>
      </c>
      <c r="L2946" s="1787">
        <v>5</v>
      </c>
      <c r="M2946" s="1787">
        <v>66.849999999999994</v>
      </c>
      <c r="N2946" s="1754">
        <v>334.25</v>
      </c>
      <c r="O2946" s="1788" t="s">
        <v>3252</v>
      </c>
      <c r="P2946" s="1721" t="s">
        <v>9611</v>
      </c>
    </row>
    <row r="2947" spans="1:16" ht="13.5" hidden="1" customHeight="1" outlineLevel="3" x14ac:dyDescent="0.2">
      <c r="A2947" s="459">
        <v>0</v>
      </c>
      <c r="B2947" s="459">
        <v>18</v>
      </c>
      <c r="C2947" s="459">
        <v>36</v>
      </c>
      <c r="D2947" s="460">
        <v>1</v>
      </c>
      <c r="E2947" s="460">
        <v>2</v>
      </c>
      <c r="G2947" s="1798" t="s">
        <v>52</v>
      </c>
      <c r="H2947" s="1783" t="s">
        <v>1239</v>
      </c>
      <c r="I2947" s="1750" t="s">
        <v>8728</v>
      </c>
      <c r="J2947" s="1785" t="s">
        <v>837</v>
      </c>
      <c r="K2947" s="1786" t="s">
        <v>534</v>
      </c>
      <c r="L2947" s="1787">
        <v>1</v>
      </c>
      <c r="M2947" s="1787">
        <v>1100</v>
      </c>
      <c r="N2947" s="1754">
        <v>1100</v>
      </c>
      <c r="O2947" s="1788" t="s">
        <v>3252</v>
      </c>
      <c r="P2947" s="1721" t="s">
        <v>9611</v>
      </c>
    </row>
    <row r="2948" spans="1:16" ht="12.75" hidden="1" customHeight="1" outlineLevel="2" x14ac:dyDescent="0.2">
      <c r="A2948" s="459">
        <v>0</v>
      </c>
      <c r="B2948" s="459">
        <v>18</v>
      </c>
      <c r="C2948" s="459">
        <v>36</v>
      </c>
      <c r="D2948" s="460">
        <v>2</v>
      </c>
      <c r="E2948" s="460">
        <v>0</v>
      </c>
      <c r="G2948" s="1797"/>
      <c r="H2948" s="1777" t="s">
        <v>1238</v>
      </c>
      <c r="I2948" s="1742" t="s">
        <v>8729</v>
      </c>
      <c r="J2948" s="1779" t="s">
        <v>3257</v>
      </c>
      <c r="K2948" s="1780"/>
      <c r="L2948" s="1781"/>
      <c r="M2948" s="1781"/>
      <c r="N2948" s="1746"/>
      <c r="O2948" s="1782"/>
      <c r="P2948" s="1720"/>
    </row>
    <row r="2949" spans="1:16" ht="12.75" hidden="1" customHeight="1" outlineLevel="3" x14ac:dyDescent="0.2">
      <c r="A2949" s="459">
        <v>0</v>
      </c>
      <c r="B2949" s="459">
        <v>18</v>
      </c>
      <c r="C2949" s="459">
        <v>36</v>
      </c>
      <c r="D2949" s="460">
        <v>2</v>
      </c>
      <c r="E2949" s="460">
        <v>1</v>
      </c>
      <c r="G2949" s="1798" t="s">
        <v>52</v>
      </c>
      <c r="H2949" s="1783" t="s">
        <v>1239</v>
      </c>
      <c r="I2949" s="1750" t="s">
        <v>8730</v>
      </c>
      <c r="J2949" s="1785" t="s">
        <v>3256</v>
      </c>
      <c r="K2949" s="1786" t="s">
        <v>642</v>
      </c>
      <c r="L2949" s="1787" t="e">
        <v>#REF!</v>
      </c>
      <c r="M2949" s="1787">
        <v>1240</v>
      </c>
      <c r="N2949" s="1754"/>
      <c r="O2949" s="1788" t="s">
        <v>3251</v>
      </c>
      <c r="P2949" s="1721" t="s">
        <v>9611</v>
      </c>
    </row>
    <row r="2950" spans="1:16" ht="12.75" hidden="1" customHeight="1" outlineLevel="2" x14ac:dyDescent="0.2">
      <c r="A2950" s="459">
        <v>0</v>
      </c>
      <c r="B2950" s="459">
        <v>18</v>
      </c>
      <c r="C2950" s="459">
        <v>36</v>
      </c>
      <c r="D2950" s="460">
        <v>3</v>
      </c>
      <c r="E2950" s="460">
        <v>0</v>
      </c>
      <c r="G2950" s="1797"/>
      <c r="H2950" s="1777" t="s">
        <v>1238</v>
      </c>
      <c r="I2950" s="1742" t="s">
        <v>8731</v>
      </c>
      <c r="J2950" s="1779" t="s">
        <v>30</v>
      </c>
      <c r="K2950" s="1780"/>
      <c r="L2950" s="1781"/>
      <c r="M2950" s="1781"/>
      <c r="N2950" s="1746">
        <v>2405</v>
      </c>
      <c r="O2950" s="1782"/>
      <c r="P2950" s="1720"/>
    </row>
    <row r="2951" spans="1:16" ht="12.75" hidden="1" customHeight="1" outlineLevel="3" x14ac:dyDescent="0.2">
      <c r="A2951" s="459">
        <v>0</v>
      </c>
      <c r="B2951" s="459">
        <v>18</v>
      </c>
      <c r="C2951" s="459">
        <v>36</v>
      </c>
      <c r="D2951" s="460">
        <v>3</v>
      </c>
      <c r="E2951" s="460">
        <v>1</v>
      </c>
      <c r="G2951" s="1798" t="s">
        <v>52</v>
      </c>
      <c r="H2951" s="1783" t="s">
        <v>1239</v>
      </c>
      <c r="I2951" s="1750" t="s">
        <v>8732</v>
      </c>
      <c r="J2951" s="1785" t="s">
        <v>843</v>
      </c>
      <c r="K2951" s="1786" t="s">
        <v>534</v>
      </c>
      <c r="L2951" s="1787">
        <v>1</v>
      </c>
      <c r="M2951" s="1787">
        <v>2405</v>
      </c>
      <c r="N2951" s="1754">
        <v>2405</v>
      </c>
      <c r="O2951" s="1788"/>
      <c r="P2951" s="1721" t="s">
        <v>9611</v>
      </c>
    </row>
    <row r="2952" spans="1:16" ht="13.5" hidden="1" customHeight="1" outlineLevel="2" x14ac:dyDescent="0.2">
      <c r="A2952" s="459">
        <v>0</v>
      </c>
      <c r="B2952" s="459">
        <v>18</v>
      </c>
      <c r="C2952" s="459">
        <v>36</v>
      </c>
      <c r="D2952" s="460">
        <v>4</v>
      </c>
      <c r="E2952" s="460">
        <v>0</v>
      </c>
      <c r="G2952" s="1797"/>
      <c r="H2952" s="1777" t="s">
        <v>1238</v>
      </c>
      <c r="I2952" s="1742" t="s">
        <v>8733</v>
      </c>
      <c r="J2952" s="1779" t="s">
        <v>15</v>
      </c>
      <c r="K2952" s="1780"/>
      <c r="L2952" s="1781"/>
      <c r="M2952" s="1781"/>
      <c r="N2952" s="1746">
        <v>300</v>
      </c>
      <c r="O2952" s="1782">
        <v>1.7910800630699001E-2</v>
      </c>
      <c r="P2952" s="1720"/>
    </row>
    <row r="2953" spans="1:16" ht="13.5" hidden="1" customHeight="1" outlineLevel="3" x14ac:dyDescent="0.2">
      <c r="A2953" s="459">
        <v>0</v>
      </c>
      <c r="B2953" s="459">
        <v>18</v>
      </c>
      <c r="C2953" s="459">
        <v>36</v>
      </c>
      <c r="D2953" s="460">
        <v>4</v>
      </c>
      <c r="E2953" s="460">
        <v>1</v>
      </c>
      <c r="G2953" s="1798" t="s">
        <v>52</v>
      </c>
      <c r="H2953" s="1783" t="s">
        <v>1239</v>
      </c>
      <c r="I2953" s="1750" t="s">
        <v>8734</v>
      </c>
      <c r="J2953" s="1785" t="s">
        <v>845</v>
      </c>
      <c r="K2953" s="1786" t="s">
        <v>534</v>
      </c>
      <c r="L2953" s="1787">
        <v>1</v>
      </c>
      <c r="M2953" s="1787">
        <v>300</v>
      </c>
      <c r="N2953" s="1754">
        <v>300</v>
      </c>
      <c r="O2953" s="1788" t="s">
        <v>3252</v>
      </c>
      <c r="P2953" s="1721" t="s">
        <v>9611</v>
      </c>
    </row>
    <row r="2954" spans="1:16" ht="13.9" customHeight="1" collapsed="1" x14ac:dyDescent="0.2">
      <c r="A2954" s="459">
        <v>0</v>
      </c>
      <c r="B2954" s="459">
        <v>19</v>
      </c>
      <c r="C2954" s="459">
        <v>0</v>
      </c>
      <c r="D2954" s="460">
        <v>4</v>
      </c>
      <c r="E2954" s="460">
        <v>1</v>
      </c>
      <c r="F2954" s="569"/>
      <c r="G2954" s="1794"/>
      <c r="H2954" s="1766" t="s">
        <v>1237</v>
      </c>
      <c r="I2954" s="1728" t="s">
        <v>8735</v>
      </c>
      <c r="J2954" s="1795" t="s">
        <v>53</v>
      </c>
      <c r="K2954" s="1768"/>
      <c r="L2954" s="1769"/>
      <c r="M2954" s="1769"/>
      <c r="N2954" s="1732">
        <v>500535.85</v>
      </c>
      <c r="O2954" s="1770">
        <v>29.8833260595582</v>
      </c>
      <c r="P2954" s="1724"/>
    </row>
    <row r="2955" spans="1:16" ht="13.9" hidden="1" customHeight="1" outlineLevel="1" x14ac:dyDescent="0.2">
      <c r="A2955" s="459">
        <v>0</v>
      </c>
      <c r="B2955" s="459">
        <v>19</v>
      </c>
      <c r="C2955" s="459">
        <v>1</v>
      </c>
      <c r="D2955" s="460">
        <v>0</v>
      </c>
      <c r="E2955" s="460">
        <v>1</v>
      </c>
      <c r="F2955" s="569"/>
      <c r="G2955" s="1796"/>
      <c r="H2955" s="1771" t="s">
        <v>39</v>
      </c>
      <c r="I2955" s="1735" t="s">
        <v>8736</v>
      </c>
      <c r="J2955" s="1773" t="s">
        <v>3077</v>
      </c>
      <c r="K2955" s="1774"/>
      <c r="L2955" s="1775"/>
      <c r="M2955" s="1775"/>
      <c r="N2955" s="1739">
        <v>110511.67</v>
      </c>
      <c r="O2955" s="1776"/>
      <c r="P2955" s="1725"/>
    </row>
    <row r="2956" spans="1:16" ht="15.75" hidden="1" customHeight="1" outlineLevel="2" x14ac:dyDescent="0.2">
      <c r="A2956" s="459">
        <v>0</v>
      </c>
      <c r="B2956" s="459">
        <v>19</v>
      </c>
      <c r="C2956" s="459">
        <v>1</v>
      </c>
      <c r="D2956" s="460">
        <v>1</v>
      </c>
      <c r="E2956" s="460">
        <v>0</v>
      </c>
      <c r="F2956" s="569"/>
      <c r="G2956" s="1797"/>
      <c r="H2956" s="1777" t="s">
        <v>1238</v>
      </c>
      <c r="I2956" s="1742" t="s">
        <v>8737</v>
      </c>
      <c r="J2956" s="1779" t="s">
        <v>32</v>
      </c>
      <c r="K2956" s="1780"/>
      <c r="L2956" s="1781"/>
      <c r="M2956" s="1781"/>
      <c r="N2956" s="1746">
        <v>14835.12</v>
      </c>
      <c r="O2956" s="1782"/>
      <c r="P2956" s="1720"/>
    </row>
    <row r="2957" spans="1:16" ht="13.9" hidden="1" customHeight="1" outlineLevel="3" x14ac:dyDescent="0.2">
      <c r="A2957" s="459">
        <v>0</v>
      </c>
      <c r="B2957" s="459">
        <v>19</v>
      </c>
      <c r="C2957" s="459">
        <v>1</v>
      </c>
      <c r="D2957" s="460">
        <v>1</v>
      </c>
      <c r="E2957" s="460">
        <v>1</v>
      </c>
      <c r="F2957" s="569"/>
      <c r="G2957" s="1798" t="s">
        <v>53</v>
      </c>
      <c r="H2957" s="1783" t="s">
        <v>1239</v>
      </c>
      <c r="I2957" s="1750" t="s">
        <v>8738</v>
      </c>
      <c r="J2957" s="1785" t="s">
        <v>1267</v>
      </c>
      <c r="K2957" s="1786" t="s">
        <v>1130</v>
      </c>
      <c r="L2957" s="1787">
        <v>1</v>
      </c>
      <c r="M2957" s="1787">
        <v>14835.119999999999</v>
      </c>
      <c r="N2957" s="1754">
        <v>14835.12</v>
      </c>
      <c r="O2957" s="1788"/>
      <c r="P2957" s="1721" t="s">
        <v>9611</v>
      </c>
    </row>
    <row r="2958" spans="1:16" ht="13.9" hidden="1" customHeight="1" outlineLevel="2" x14ac:dyDescent="0.2">
      <c r="A2958" s="459">
        <v>0</v>
      </c>
      <c r="B2958" s="459">
        <v>19</v>
      </c>
      <c r="C2958" s="459">
        <v>1</v>
      </c>
      <c r="D2958" s="460">
        <v>2</v>
      </c>
      <c r="E2958" s="460">
        <v>0</v>
      </c>
      <c r="F2958" s="569"/>
      <c r="G2958" s="1797"/>
      <c r="H2958" s="1777" t="s">
        <v>1238</v>
      </c>
      <c r="I2958" s="1742" t="s">
        <v>8739</v>
      </c>
      <c r="J2958" s="1779" t="s">
        <v>2821</v>
      </c>
      <c r="K2958" s="1780"/>
      <c r="L2958" s="1781"/>
      <c r="M2958" s="1781"/>
      <c r="N2958" s="1746">
        <v>67242.11</v>
      </c>
      <c r="O2958" s="1782"/>
      <c r="P2958" s="1720"/>
    </row>
    <row r="2959" spans="1:16" ht="13.9" hidden="1" customHeight="1" outlineLevel="3" x14ac:dyDescent="0.2">
      <c r="A2959" s="459">
        <v>0</v>
      </c>
      <c r="B2959" s="459">
        <v>19</v>
      </c>
      <c r="C2959" s="459">
        <v>1</v>
      </c>
      <c r="D2959" s="460">
        <v>2</v>
      </c>
      <c r="E2959" s="460">
        <v>1</v>
      </c>
      <c r="F2959" s="569"/>
      <c r="G2959" s="1798" t="s">
        <v>53</v>
      </c>
      <c r="H2959" s="1783" t="s">
        <v>1239</v>
      </c>
      <c r="I2959" s="1750" t="s">
        <v>8740</v>
      </c>
      <c r="J2959" s="1785" t="s">
        <v>1268</v>
      </c>
      <c r="K2959" s="1786" t="s">
        <v>1130</v>
      </c>
      <c r="L2959" s="1787">
        <v>1</v>
      </c>
      <c r="M2959" s="1787">
        <v>67242.11</v>
      </c>
      <c r="N2959" s="1754">
        <v>67242.11</v>
      </c>
      <c r="O2959" s="1788"/>
      <c r="P2959" s="1721" t="s">
        <v>9611</v>
      </c>
    </row>
    <row r="2960" spans="1:16" ht="13.9" hidden="1" customHeight="1" outlineLevel="2" x14ac:dyDescent="0.2">
      <c r="A2960" s="459">
        <v>0</v>
      </c>
      <c r="B2960" s="459">
        <v>19</v>
      </c>
      <c r="C2960" s="459">
        <v>1</v>
      </c>
      <c r="D2960" s="460">
        <v>3</v>
      </c>
      <c r="E2960" s="460">
        <v>0</v>
      </c>
      <c r="F2960" s="569"/>
      <c r="G2960" s="1797"/>
      <c r="H2960" s="1777" t="s">
        <v>1238</v>
      </c>
      <c r="I2960" s="1742" t="s">
        <v>8741</v>
      </c>
      <c r="J2960" s="1779" t="s">
        <v>2822</v>
      </c>
      <c r="K2960" s="1780"/>
      <c r="L2960" s="1781"/>
      <c r="M2960" s="1781"/>
      <c r="N2960" s="1746">
        <v>22157.8</v>
      </c>
      <c r="O2960" s="1782"/>
      <c r="P2960" s="1720"/>
    </row>
    <row r="2961" spans="1:16" ht="13.9" hidden="1" customHeight="1" outlineLevel="3" x14ac:dyDescent="0.2">
      <c r="A2961" s="459">
        <v>0</v>
      </c>
      <c r="B2961" s="459">
        <v>19</v>
      </c>
      <c r="C2961" s="459">
        <v>1</v>
      </c>
      <c r="D2961" s="460">
        <v>3</v>
      </c>
      <c r="E2961" s="460">
        <v>1</v>
      </c>
      <c r="F2961" s="569"/>
      <c r="G2961" s="1798" t="s">
        <v>53</v>
      </c>
      <c r="H2961" s="1783" t="s">
        <v>1239</v>
      </c>
      <c r="I2961" s="1750" t="s">
        <v>8742</v>
      </c>
      <c r="J2961" s="1785" t="s">
        <v>1269</v>
      </c>
      <c r="K2961" s="1786" t="s">
        <v>1130</v>
      </c>
      <c r="L2961" s="1787">
        <v>1</v>
      </c>
      <c r="M2961" s="1787">
        <v>22157.8</v>
      </c>
      <c r="N2961" s="1754">
        <v>22157.8</v>
      </c>
      <c r="O2961" s="1788"/>
      <c r="P2961" s="1721" t="s">
        <v>9611</v>
      </c>
    </row>
    <row r="2962" spans="1:16" ht="13.9" hidden="1" customHeight="1" outlineLevel="2" x14ac:dyDescent="0.2">
      <c r="A2962" s="459">
        <v>0</v>
      </c>
      <c r="B2962" s="459">
        <v>19</v>
      </c>
      <c r="C2962" s="459">
        <v>1</v>
      </c>
      <c r="D2962" s="460">
        <v>4</v>
      </c>
      <c r="E2962" s="460">
        <v>0</v>
      </c>
      <c r="F2962" s="569"/>
      <c r="G2962" s="1797"/>
      <c r="H2962" s="1777" t="s">
        <v>1238</v>
      </c>
      <c r="I2962" s="1742" t="s">
        <v>8743</v>
      </c>
      <c r="J2962" s="1779" t="s">
        <v>15</v>
      </c>
      <c r="K2962" s="1780"/>
      <c r="L2962" s="1781"/>
      <c r="M2962" s="1781"/>
      <c r="N2962" s="1746">
        <v>6276.64</v>
      </c>
      <c r="O2962" s="1782"/>
      <c r="P2962" s="1720"/>
    </row>
    <row r="2963" spans="1:16" ht="13.9" hidden="1" customHeight="1" outlineLevel="3" x14ac:dyDescent="0.2">
      <c r="A2963" s="459">
        <v>0</v>
      </c>
      <c r="B2963" s="459">
        <v>19</v>
      </c>
      <c r="C2963" s="459">
        <v>1</v>
      </c>
      <c r="D2963" s="460">
        <v>4</v>
      </c>
      <c r="E2963" s="460">
        <v>1</v>
      </c>
      <c r="F2963" s="569"/>
      <c r="G2963" s="1798" t="s">
        <v>53</v>
      </c>
      <c r="H2963" s="1783" t="s">
        <v>1239</v>
      </c>
      <c r="I2963" s="1750" t="s">
        <v>8744</v>
      </c>
      <c r="J2963" s="1785" t="s">
        <v>1270</v>
      </c>
      <c r="K2963" s="1786" t="s">
        <v>1130</v>
      </c>
      <c r="L2963" s="1787">
        <v>1</v>
      </c>
      <c r="M2963" s="1787">
        <v>6276.64</v>
      </c>
      <c r="N2963" s="1754">
        <v>6276.64</v>
      </c>
      <c r="O2963" s="1788"/>
      <c r="P2963" s="1721" t="s">
        <v>9611</v>
      </c>
    </row>
    <row r="2964" spans="1:16" ht="13.9" hidden="1" customHeight="1" outlineLevel="1" x14ac:dyDescent="0.2">
      <c r="A2964" s="459">
        <v>0</v>
      </c>
      <c r="B2964" s="459">
        <v>19</v>
      </c>
      <c r="C2964" s="459">
        <v>2</v>
      </c>
      <c r="D2964" s="460">
        <v>0</v>
      </c>
      <c r="E2964" s="460">
        <v>1</v>
      </c>
      <c r="F2964" s="569"/>
      <c r="G2964" s="1796"/>
      <c r="H2964" s="1771" t="s">
        <v>39</v>
      </c>
      <c r="I2964" s="1735" t="s">
        <v>8745</v>
      </c>
      <c r="J2964" s="1773" t="s">
        <v>3078</v>
      </c>
      <c r="K2964" s="1774"/>
      <c r="L2964" s="1775"/>
      <c r="M2964" s="1775"/>
      <c r="N2964" s="1739">
        <v>6937.22</v>
      </c>
      <c r="O2964" s="1776"/>
      <c r="P2964" s="1725"/>
    </row>
    <row r="2965" spans="1:16" ht="13.9" hidden="1" customHeight="1" outlineLevel="2" x14ac:dyDescent="0.2">
      <c r="A2965" s="459">
        <v>0</v>
      </c>
      <c r="B2965" s="459">
        <v>19</v>
      </c>
      <c r="C2965" s="459">
        <v>2</v>
      </c>
      <c r="D2965" s="460">
        <v>1</v>
      </c>
      <c r="E2965" s="460">
        <v>0</v>
      </c>
      <c r="F2965" s="569"/>
      <c r="G2965" s="1797"/>
      <c r="H2965" s="1777" t="s">
        <v>1238</v>
      </c>
      <c r="I2965" s="1742" t="s">
        <v>8746</v>
      </c>
      <c r="J2965" s="1779" t="s">
        <v>2821</v>
      </c>
      <c r="K2965" s="1780"/>
      <c r="L2965" s="1781"/>
      <c r="M2965" s="1781"/>
      <c r="N2965" s="1746">
        <v>528.02</v>
      </c>
      <c r="O2965" s="1782"/>
      <c r="P2965" s="1720"/>
    </row>
    <row r="2966" spans="1:16" ht="13.9" hidden="1" customHeight="1" outlineLevel="3" x14ac:dyDescent="0.2">
      <c r="A2966" s="459">
        <v>0</v>
      </c>
      <c r="B2966" s="459">
        <v>19</v>
      </c>
      <c r="C2966" s="459">
        <v>2</v>
      </c>
      <c r="D2966" s="460">
        <v>1</v>
      </c>
      <c r="E2966" s="460">
        <v>1</v>
      </c>
      <c r="F2966" s="569"/>
      <c r="G2966" s="1798" t="s">
        <v>53</v>
      </c>
      <c r="H2966" s="1783" t="s">
        <v>1239</v>
      </c>
      <c r="I2966" s="1750" t="s">
        <v>8747</v>
      </c>
      <c r="J2966" s="1785" t="s">
        <v>1268</v>
      </c>
      <c r="K2966" s="1786" t="s">
        <v>1130</v>
      </c>
      <c r="L2966" s="1787">
        <v>1</v>
      </c>
      <c r="M2966" s="1787">
        <v>528.02</v>
      </c>
      <c r="N2966" s="1754">
        <v>528.02</v>
      </c>
      <c r="O2966" s="1788"/>
      <c r="P2966" s="1721" t="s">
        <v>9611</v>
      </c>
    </row>
    <row r="2967" spans="1:16" ht="13.9" hidden="1" customHeight="1" outlineLevel="2" x14ac:dyDescent="0.2">
      <c r="A2967" s="459">
        <v>0</v>
      </c>
      <c r="B2967" s="459">
        <v>19</v>
      </c>
      <c r="C2967" s="459">
        <v>2</v>
      </c>
      <c r="D2967" s="460">
        <v>2</v>
      </c>
      <c r="E2967" s="460">
        <v>0</v>
      </c>
      <c r="F2967" s="569"/>
      <c r="G2967" s="1797"/>
      <c r="H2967" s="1777" t="s">
        <v>1238</v>
      </c>
      <c r="I2967" s="1742" t="s">
        <v>8748</v>
      </c>
      <c r="J2967" s="1779" t="s">
        <v>15</v>
      </c>
      <c r="K2967" s="1780"/>
      <c r="L2967" s="1781"/>
      <c r="M2967" s="1781"/>
      <c r="N2967" s="1746">
        <v>6409.2</v>
      </c>
      <c r="O2967" s="1782"/>
      <c r="P2967" s="1720"/>
    </row>
    <row r="2968" spans="1:16" ht="13.9" hidden="1" customHeight="1" outlineLevel="3" x14ac:dyDescent="0.2">
      <c r="A2968" s="459">
        <v>0</v>
      </c>
      <c r="B2968" s="459">
        <v>19</v>
      </c>
      <c r="C2968" s="459">
        <v>2</v>
      </c>
      <c r="D2968" s="460">
        <v>2</v>
      </c>
      <c r="E2968" s="460">
        <v>1</v>
      </c>
      <c r="F2968" s="569"/>
      <c r="G2968" s="1798" t="s">
        <v>53</v>
      </c>
      <c r="H2968" s="1783" t="s">
        <v>1239</v>
      </c>
      <c r="I2968" s="1750" t="s">
        <v>8749</v>
      </c>
      <c r="J2968" s="1785" t="s">
        <v>1270</v>
      </c>
      <c r="K2968" s="1786" t="s">
        <v>1130</v>
      </c>
      <c r="L2968" s="1787">
        <v>1</v>
      </c>
      <c r="M2968" s="1787">
        <v>6409.2</v>
      </c>
      <c r="N2968" s="1754">
        <v>6409.2</v>
      </c>
      <c r="O2968" s="1788"/>
      <c r="P2968" s="1721" t="s">
        <v>9611</v>
      </c>
    </row>
    <row r="2969" spans="1:16" ht="13.9" hidden="1" customHeight="1" outlineLevel="1" x14ac:dyDescent="0.2">
      <c r="A2969" s="459">
        <v>0</v>
      </c>
      <c r="B2969" s="459">
        <v>19</v>
      </c>
      <c r="C2969" s="459">
        <v>3</v>
      </c>
      <c r="D2969" s="460">
        <v>0</v>
      </c>
      <c r="E2969" s="460">
        <v>1</v>
      </c>
      <c r="F2969" s="569"/>
      <c r="G2969" s="1796"/>
      <c r="H2969" s="1771" t="s">
        <v>39</v>
      </c>
      <c r="I2969" s="1735" t="s">
        <v>8750</v>
      </c>
      <c r="J2969" s="1773" t="s">
        <v>3079</v>
      </c>
      <c r="K2969" s="1774"/>
      <c r="L2969" s="1775"/>
      <c r="M2969" s="1775"/>
      <c r="N2969" s="1739">
        <v>7556.02</v>
      </c>
      <c r="O2969" s="1776"/>
      <c r="P2969" s="1725"/>
    </row>
    <row r="2970" spans="1:16" ht="13.9" hidden="1" customHeight="1" outlineLevel="2" x14ac:dyDescent="0.2">
      <c r="A2970" s="459">
        <v>0</v>
      </c>
      <c r="B2970" s="459">
        <v>19</v>
      </c>
      <c r="C2970" s="459">
        <v>3</v>
      </c>
      <c r="D2970" s="460">
        <v>1</v>
      </c>
      <c r="E2970" s="460">
        <v>0</v>
      </c>
      <c r="F2970" s="569"/>
      <c r="G2970" s="1797"/>
      <c r="H2970" s="1777" t="s">
        <v>1238</v>
      </c>
      <c r="I2970" s="1742" t="s">
        <v>8751</v>
      </c>
      <c r="J2970" s="1779" t="s">
        <v>2821</v>
      </c>
      <c r="K2970" s="1780"/>
      <c r="L2970" s="1781"/>
      <c r="M2970" s="1781"/>
      <c r="N2970" s="1746">
        <v>528.02</v>
      </c>
      <c r="O2970" s="1782"/>
      <c r="P2970" s="1720"/>
    </row>
    <row r="2971" spans="1:16" ht="13.9" hidden="1" customHeight="1" outlineLevel="3" x14ac:dyDescent="0.2">
      <c r="A2971" s="459">
        <v>0</v>
      </c>
      <c r="B2971" s="459">
        <v>19</v>
      </c>
      <c r="C2971" s="459">
        <v>3</v>
      </c>
      <c r="D2971" s="460">
        <v>1</v>
      </c>
      <c r="E2971" s="460">
        <v>1</v>
      </c>
      <c r="F2971" s="569"/>
      <c r="G2971" s="1798" t="s">
        <v>53</v>
      </c>
      <c r="H2971" s="1783" t="s">
        <v>1239</v>
      </c>
      <c r="I2971" s="1750" t="s">
        <v>8752</v>
      </c>
      <c r="J2971" s="1785" t="s">
        <v>1268</v>
      </c>
      <c r="K2971" s="1786" t="s">
        <v>1130</v>
      </c>
      <c r="L2971" s="1787">
        <v>1</v>
      </c>
      <c r="M2971" s="1787">
        <v>528.02</v>
      </c>
      <c r="N2971" s="1754">
        <v>528.02</v>
      </c>
      <c r="O2971" s="1788"/>
      <c r="P2971" s="1721" t="s">
        <v>9611</v>
      </c>
    </row>
    <row r="2972" spans="1:16" ht="13.9" hidden="1" customHeight="1" outlineLevel="2" x14ac:dyDescent="0.2">
      <c r="A2972" s="459">
        <v>0</v>
      </c>
      <c r="B2972" s="459">
        <v>19</v>
      </c>
      <c r="C2972" s="459">
        <v>3</v>
      </c>
      <c r="D2972" s="460">
        <v>2</v>
      </c>
      <c r="E2972" s="460">
        <v>0</v>
      </c>
      <c r="F2972" s="569"/>
      <c r="G2972" s="1797"/>
      <c r="H2972" s="1777" t="s">
        <v>1238</v>
      </c>
      <c r="I2972" s="1742" t="s">
        <v>8753</v>
      </c>
      <c r="J2972" s="1779" t="s">
        <v>15</v>
      </c>
      <c r="K2972" s="1780"/>
      <c r="L2972" s="1781"/>
      <c r="M2972" s="1781"/>
      <c r="N2972" s="1746">
        <v>7028</v>
      </c>
      <c r="O2972" s="1782"/>
      <c r="P2972" s="1720"/>
    </row>
    <row r="2973" spans="1:16" ht="13.9" hidden="1" customHeight="1" outlineLevel="3" x14ac:dyDescent="0.2">
      <c r="A2973" s="459">
        <v>0</v>
      </c>
      <c r="B2973" s="459">
        <v>19</v>
      </c>
      <c r="C2973" s="459">
        <v>3</v>
      </c>
      <c r="D2973" s="460">
        <v>2</v>
      </c>
      <c r="E2973" s="460">
        <v>1</v>
      </c>
      <c r="F2973" s="569"/>
      <c r="G2973" s="1798" t="s">
        <v>53</v>
      </c>
      <c r="H2973" s="1783" t="s">
        <v>1239</v>
      </c>
      <c r="I2973" s="1750" t="s">
        <v>8754</v>
      </c>
      <c r="J2973" s="1785" t="s">
        <v>1270</v>
      </c>
      <c r="K2973" s="1786" t="s">
        <v>1130</v>
      </c>
      <c r="L2973" s="1787">
        <v>1</v>
      </c>
      <c r="M2973" s="1787">
        <v>7028</v>
      </c>
      <c r="N2973" s="1754">
        <v>7028</v>
      </c>
      <c r="O2973" s="1788"/>
      <c r="P2973" s="1721" t="s">
        <v>9611</v>
      </c>
    </row>
    <row r="2974" spans="1:16" ht="13.9" hidden="1" customHeight="1" outlineLevel="1" x14ac:dyDescent="0.2">
      <c r="A2974" s="459">
        <v>0</v>
      </c>
      <c r="B2974" s="459">
        <v>19</v>
      </c>
      <c r="C2974" s="459">
        <v>4</v>
      </c>
      <c r="D2974" s="460">
        <v>0</v>
      </c>
      <c r="E2974" s="460">
        <v>1</v>
      </c>
      <c r="F2974" s="569"/>
      <c r="G2974" s="1796"/>
      <c r="H2974" s="1771" t="s">
        <v>39</v>
      </c>
      <c r="I2974" s="1735" t="s">
        <v>8755</v>
      </c>
      <c r="J2974" s="1773" t="s">
        <v>3080</v>
      </c>
      <c r="K2974" s="1774"/>
      <c r="L2974" s="1775"/>
      <c r="M2974" s="1775"/>
      <c r="N2974" s="1739">
        <v>7556.02</v>
      </c>
      <c r="O2974" s="1776"/>
      <c r="P2974" s="1725"/>
    </row>
    <row r="2975" spans="1:16" ht="13.9" hidden="1" customHeight="1" outlineLevel="2" x14ac:dyDescent="0.2">
      <c r="A2975" s="459">
        <v>0</v>
      </c>
      <c r="B2975" s="459">
        <v>19</v>
      </c>
      <c r="C2975" s="459">
        <v>4</v>
      </c>
      <c r="D2975" s="460">
        <v>1</v>
      </c>
      <c r="E2975" s="460">
        <v>0</v>
      </c>
      <c r="F2975" s="569"/>
      <c r="G2975" s="1797"/>
      <c r="H2975" s="1777" t="s">
        <v>1238</v>
      </c>
      <c r="I2975" s="1742" t="s">
        <v>8756</v>
      </c>
      <c r="J2975" s="1779" t="s">
        <v>2821</v>
      </c>
      <c r="K2975" s="1780"/>
      <c r="L2975" s="1781"/>
      <c r="M2975" s="1781"/>
      <c r="N2975" s="1746">
        <v>528.02</v>
      </c>
      <c r="O2975" s="1782"/>
      <c r="P2975" s="1720"/>
    </row>
    <row r="2976" spans="1:16" ht="13.9" hidden="1" customHeight="1" outlineLevel="3" x14ac:dyDescent="0.2">
      <c r="A2976" s="459">
        <v>0</v>
      </c>
      <c r="B2976" s="459">
        <v>19</v>
      </c>
      <c r="C2976" s="459">
        <v>4</v>
      </c>
      <c r="D2976" s="460">
        <v>1</v>
      </c>
      <c r="E2976" s="460">
        <v>1</v>
      </c>
      <c r="F2976" s="569"/>
      <c r="G2976" s="1798" t="s">
        <v>53</v>
      </c>
      <c r="H2976" s="1783" t="s">
        <v>1239</v>
      </c>
      <c r="I2976" s="1750" t="s">
        <v>8757</v>
      </c>
      <c r="J2976" s="1785" t="s">
        <v>1268</v>
      </c>
      <c r="K2976" s="1786" t="s">
        <v>1130</v>
      </c>
      <c r="L2976" s="1787">
        <v>1</v>
      </c>
      <c r="M2976" s="1787">
        <v>528.02</v>
      </c>
      <c r="N2976" s="1754">
        <v>528.02</v>
      </c>
      <c r="O2976" s="1788"/>
      <c r="P2976" s="1721" t="s">
        <v>9611</v>
      </c>
    </row>
    <row r="2977" spans="1:16" ht="13.9" hidden="1" customHeight="1" outlineLevel="2" x14ac:dyDescent="0.2">
      <c r="A2977" s="459">
        <v>0</v>
      </c>
      <c r="B2977" s="459">
        <v>19</v>
      </c>
      <c r="C2977" s="459">
        <v>4</v>
      </c>
      <c r="D2977" s="460">
        <v>2</v>
      </c>
      <c r="E2977" s="460">
        <v>0</v>
      </c>
      <c r="F2977" s="569"/>
      <c r="G2977" s="1797"/>
      <c r="H2977" s="1777" t="s">
        <v>1238</v>
      </c>
      <c r="I2977" s="1742" t="s">
        <v>8758</v>
      </c>
      <c r="J2977" s="1779" t="s">
        <v>15</v>
      </c>
      <c r="K2977" s="1780"/>
      <c r="L2977" s="1781"/>
      <c r="M2977" s="1781"/>
      <c r="N2977" s="1746">
        <v>7028</v>
      </c>
      <c r="O2977" s="1782"/>
      <c r="P2977" s="1720"/>
    </row>
    <row r="2978" spans="1:16" ht="13.9" hidden="1" customHeight="1" outlineLevel="3" x14ac:dyDescent="0.2">
      <c r="A2978" s="459">
        <v>0</v>
      </c>
      <c r="B2978" s="459">
        <v>19</v>
      </c>
      <c r="C2978" s="459">
        <v>4</v>
      </c>
      <c r="D2978" s="460">
        <v>2</v>
      </c>
      <c r="E2978" s="460">
        <v>1</v>
      </c>
      <c r="F2978" s="569"/>
      <c r="G2978" s="1798" t="s">
        <v>53</v>
      </c>
      <c r="H2978" s="1783" t="s">
        <v>1239</v>
      </c>
      <c r="I2978" s="1750" t="s">
        <v>8759</v>
      </c>
      <c r="J2978" s="1785" t="s">
        <v>1270</v>
      </c>
      <c r="K2978" s="1786" t="s">
        <v>1130</v>
      </c>
      <c r="L2978" s="1787">
        <v>1</v>
      </c>
      <c r="M2978" s="1787">
        <v>7028</v>
      </c>
      <c r="N2978" s="1754">
        <v>7028</v>
      </c>
      <c r="O2978" s="1788"/>
      <c r="P2978" s="1721" t="s">
        <v>9611</v>
      </c>
    </row>
    <row r="2979" spans="1:16" ht="13.9" hidden="1" customHeight="1" outlineLevel="1" x14ac:dyDescent="0.2">
      <c r="A2979" s="459">
        <v>0</v>
      </c>
      <c r="B2979" s="459">
        <v>19</v>
      </c>
      <c r="C2979" s="459">
        <v>5</v>
      </c>
      <c r="D2979" s="460">
        <v>0</v>
      </c>
      <c r="E2979" s="460">
        <v>1</v>
      </c>
      <c r="F2979" s="569"/>
      <c r="G2979" s="1796"/>
      <c r="H2979" s="1771" t="s">
        <v>39</v>
      </c>
      <c r="I2979" s="1735" t="s">
        <v>8760</v>
      </c>
      <c r="J2979" s="1773" t="s">
        <v>3081</v>
      </c>
      <c r="K2979" s="1774"/>
      <c r="L2979" s="1775"/>
      <c r="M2979" s="1775"/>
      <c r="N2979" s="1739">
        <v>7556.02</v>
      </c>
      <c r="O2979" s="1776"/>
      <c r="P2979" s="1725"/>
    </row>
    <row r="2980" spans="1:16" ht="13.9" hidden="1" customHeight="1" outlineLevel="2" x14ac:dyDescent="0.2">
      <c r="A2980" s="459">
        <v>0</v>
      </c>
      <c r="B2980" s="459">
        <v>19</v>
      </c>
      <c r="C2980" s="459">
        <v>5</v>
      </c>
      <c r="D2980" s="460">
        <v>1</v>
      </c>
      <c r="E2980" s="460">
        <v>0</v>
      </c>
      <c r="F2980" s="569"/>
      <c r="G2980" s="1797"/>
      <c r="H2980" s="1777" t="s">
        <v>1238</v>
      </c>
      <c r="I2980" s="1742" t="s">
        <v>8761</v>
      </c>
      <c r="J2980" s="1779" t="s">
        <v>2821</v>
      </c>
      <c r="K2980" s="1780"/>
      <c r="L2980" s="1781"/>
      <c r="M2980" s="1781"/>
      <c r="N2980" s="1746">
        <v>528.02</v>
      </c>
      <c r="O2980" s="1782"/>
      <c r="P2980" s="1720"/>
    </row>
    <row r="2981" spans="1:16" ht="13.9" hidden="1" customHeight="1" outlineLevel="3" x14ac:dyDescent="0.2">
      <c r="A2981" s="459">
        <v>0</v>
      </c>
      <c r="B2981" s="459">
        <v>19</v>
      </c>
      <c r="C2981" s="459">
        <v>5</v>
      </c>
      <c r="D2981" s="460">
        <v>1</v>
      </c>
      <c r="E2981" s="460">
        <v>1</v>
      </c>
      <c r="F2981" s="569"/>
      <c r="G2981" s="1798" t="s">
        <v>53</v>
      </c>
      <c r="H2981" s="1783" t="s">
        <v>1239</v>
      </c>
      <c r="I2981" s="1750" t="s">
        <v>8762</v>
      </c>
      <c r="J2981" s="1785" t="s">
        <v>1268</v>
      </c>
      <c r="K2981" s="1786" t="s">
        <v>1130</v>
      </c>
      <c r="L2981" s="1787">
        <v>1</v>
      </c>
      <c r="M2981" s="1787">
        <v>528.02</v>
      </c>
      <c r="N2981" s="1754">
        <v>528.02</v>
      </c>
      <c r="O2981" s="1788"/>
      <c r="P2981" s="1721" t="s">
        <v>9611</v>
      </c>
    </row>
    <row r="2982" spans="1:16" ht="13.9" hidden="1" customHeight="1" outlineLevel="2" x14ac:dyDescent="0.2">
      <c r="A2982" s="459">
        <v>0</v>
      </c>
      <c r="B2982" s="459">
        <v>19</v>
      </c>
      <c r="C2982" s="459">
        <v>5</v>
      </c>
      <c r="D2982" s="460">
        <v>2</v>
      </c>
      <c r="E2982" s="460">
        <v>0</v>
      </c>
      <c r="F2982" s="569"/>
      <c r="G2982" s="1797"/>
      <c r="H2982" s="1777" t="s">
        <v>1238</v>
      </c>
      <c r="I2982" s="1742" t="s">
        <v>8763</v>
      </c>
      <c r="J2982" s="1779" t="s">
        <v>15</v>
      </c>
      <c r="K2982" s="1780"/>
      <c r="L2982" s="1781"/>
      <c r="M2982" s="1781"/>
      <c r="N2982" s="1746">
        <v>7028</v>
      </c>
      <c r="O2982" s="1782"/>
      <c r="P2982" s="1720"/>
    </row>
    <row r="2983" spans="1:16" ht="13.9" hidden="1" customHeight="1" outlineLevel="3" x14ac:dyDescent="0.2">
      <c r="A2983" s="459">
        <v>0</v>
      </c>
      <c r="B2983" s="459">
        <v>19</v>
      </c>
      <c r="C2983" s="459">
        <v>5</v>
      </c>
      <c r="D2983" s="460">
        <v>2</v>
      </c>
      <c r="E2983" s="460">
        <v>1</v>
      </c>
      <c r="F2983" s="569"/>
      <c r="G2983" s="1798" t="s">
        <v>53</v>
      </c>
      <c r="H2983" s="1783" t="s">
        <v>1239</v>
      </c>
      <c r="I2983" s="1750" t="s">
        <v>8764</v>
      </c>
      <c r="J2983" s="1785" t="s">
        <v>1270</v>
      </c>
      <c r="K2983" s="1786" t="s">
        <v>1130</v>
      </c>
      <c r="L2983" s="1787">
        <v>1</v>
      </c>
      <c r="M2983" s="1787">
        <v>7028</v>
      </c>
      <c r="N2983" s="1754">
        <v>7028</v>
      </c>
      <c r="O2983" s="1788"/>
      <c r="P2983" s="1721" t="s">
        <v>9611</v>
      </c>
    </row>
    <row r="2984" spans="1:16" ht="13.9" hidden="1" customHeight="1" outlineLevel="1" x14ac:dyDescent="0.2">
      <c r="A2984" s="459">
        <v>0</v>
      </c>
      <c r="B2984" s="459">
        <v>19</v>
      </c>
      <c r="C2984" s="459">
        <v>6</v>
      </c>
      <c r="D2984" s="460">
        <v>0</v>
      </c>
      <c r="E2984" s="460">
        <v>1</v>
      </c>
      <c r="F2984" s="569"/>
      <c r="G2984" s="1796"/>
      <c r="H2984" s="1771" t="s">
        <v>39</v>
      </c>
      <c r="I2984" s="1735" t="s">
        <v>8765</v>
      </c>
      <c r="J2984" s="1773" t="s">
        <v>3082</v>
      </c>
      <c r="K2984" s="1774"/>
      <c r="L2984" s="1775"/>
      <c r="M2984" s="1775"/>
      <c r="N2984" s="1739">
        <v>7667.62</v>
      </c>
      <c r="O2984" s="1776"/>
      <c r="P2984" s="1725"/>
    </row>
    <row r="2985" spans="1:16" ht="13.9" hidden="1" customHeight="1" outlineLevel="2" x14ac:dyDescent="0.2">
      <c r="A2985" s="459">
        <v>0</v>
      </c>
      <c r="B2985" s="459">
        <v>19</v>
      </c>
      <c r="C2985" s="459">
        <v>6</v>
      </c>
      <c r="D2985" s="460">
        <v>1</v>
      </c>
      <c r="E2985" s="460">
        <v>0</v>
      </c>
      <c r="F2985" s="569"/>
      <c r="G2985" s="1797"/>
      <c r="H2985" s="1777" t="s">
        <v>1238</v>
      </c>
      <c r="I2985" s="1742" t="s">
        <v>8766</v>
      </c>
      <c r="J2985" s="1779" t="s">
        <v>2821</v>
      </c>
      <c r="K2985" s="1780"/>
      <c r="L2985" s="1781"/>
      <c r="M2985" s="1781"/>
      <c r="N2985" s="1746">
        <v>528.02</v>
      </c>
      <c r="O2985" s="1782"/>
      <c r="P2985" s="1720"/>
    </row>
    <row r="2986" spans="1:16" ht="13.9" hidden="1" customHeight="1" outlineLevel="3" x14ac:dyDescent="0.2">
      <c r="A2986" s="459">
        <v>0</v>
      </c>
      <c r="B2986" s="459">
        <v>19</v>
      </c>
      <c r="C2986" s="459">
        <v>6</v>
      </c>
      <c r="D2986" s="460">
        <v>1</v>
      </c>
      <c r="E2986" s="460">
        <v>1</v>
      </c>
      <c r="F2986" s="569"/>
      <c r="G2986" s="1798" t="s">
        <v>53</v>
      </c>
      <c r="H2986" s="1783" t="s">
        <v>1239</v>
      </c>
      <c r="I2986" s="1750" t="s">
        <v>8767</v>
      </c>
      <c r="J2986" s="1785" t="s">
        <v>1268</v>
      </c>
      <c r="K2986" s="1786" t="s">
        <v>1130</v>
      </c>
      <c r="L2986" s="1787">
        <v>1</v>
      </c>
      <c r="M2986" s="1787">
        <v>528.02</v>
      </c>
      <c r="N2986" s="1754">
        <v>528.02</v>
      </c>
      <c r="O2986" s="1788"/>
      <c r="P2986" s="1721" t="s">
        <v>9611</v>
      </c>
    </row>
    <row r="2987" spans="1:16" ht="13.9" hidden="1" customHeight="1" outlineLevel="2" x14ac:dyDescent="0.2">
      <c r="A2987" s="459">
        <v>0</v>
      </c>
      <c r="B2987" s="459">
        <v>19</v>
      </c>
      <c r="C2987" s="459">
        <v>6</v>
      </c>
      <c r="D2987" s="460">
        <v>2</v>
      </c>
      <c r="E2987" s="460">
        <v>0</v>
      </c>
      <c r="F2987" s="569"/>
      <c r="G2987" s="1797"/>
      <c r="H2987" s="1777" t="s">
        <v>1238</v>
      </c>
      <c r="I2987" s="1742" t="s">
        <v>8768</v>
      </c>
      <c r="J2987" s="1779" t="s">
        <v>15</v>
      </c>
      <c r="K2987" s="1780"/>
      <c r="L2987" s="1781"/>
      <c r="M2987" s="1781"/>
      <c r="N2987" s="1746">
        <v>7139.6</v>
      </c>
      <c r="O2987" s="1782"/>
      <c r="P2987" s="1720"/>
    </row>
    <row r="2988" spans="1:16" ht="13.9" hidden="1" customHeight="1" outlineLevel="3" x14ac:dyDescent="0.2">
      <c r="A2988" s="459">
        <v>0</v>
      </c>
      <c r="B2988" s="459">
        <v>19</v>
      </c>
      <c r="C2988" s="459">
        <v>6</v>
      </c>
      <c r="D2988" s="460">
        <v>2</v>
      </c>
      <c r="E2988" s="460">
        <v>1</v>
      </c>
      <c r="F2988" s="569"/>
      <c r="G2988" s="1798" t="s">
        <v>53</v>
      </c>
      <c r="H2988" s="1783" t="s">
        <v>1239</v>
      </c>
      <c r="I2988" s="1750" t="s">
        <v>8769</v>
      </c>
      <c r="J2988" s="1785" t="s">
        <v>1270</v>
      </c>
      <c r="K2988" s="1786" t="s">
        <v>1130</v>
      </c>
      <c r="L2988" s="1787">
        <v>1</v>
      </c>
      <c r="M2988" s="1787">
        <v>7139.6</v>
      </c>
      <c r="N2988" s="1754">
        <v>7139.6</v>
      </c>
      <c r="O2988" s="1788"/>
      <c r="P2988" s="1721" t="s">
        <v>9611</v>
      </c>
    </row>
    <row r="2989" spans="1:16" ht="13.9" hidden="1" customHeight="1" outlineLevel="1" x14ac:dyDescent="0.2">
      <c r="A2989" s="459">
        <v>0</v>
      </c>
      <c r="B2989" s="459">
        <v>19</v>
      </c>
      <c r="C2989" s="459">
        <v>7</v>
      </c>
      <c r="D2989" s="460">
        <v>0</v>
      </c>
      <c r="E2989" s="460">
        <v>1</v>
      </c>
      <c r="F2989" s="569"/>
      <c r="G2989" s="1796"/>
      <c r="H2989" s="1771" t="s">
        <v>39</v>
      </c>
      <c r="I2989" s="1735" t="s">
        <v>8770</v>
      </c>
      <c r="J2989" s="1773" t="s">
        <v>3083</v>
      </c>
      <c r="K2989" s="1774"/>
      <c r="L2989" s="1775"/>
      <c r="M2989" s="1775"/>
      <c r="N2989" s="1739">
        <v>28431.88</v>
      </c>
      <c r="O2989" s="1776"/>
      <c r="P2989" s="1725"/>
    </row>
    <row r="2990" spans="1:16" ht="15.75" hidden="1" customHeight="1" outlineLevel="2" x14ac:dyDescent="0.2">
      <c r="A2990" s="459">
        <v>0</v>
      </c>
      <c r="B2990" s="459">
        <v>19</v>
      </c>
      <c r="C2990" s="459">
        <v>7</v>
      </c>
      <c r="D2990" s="460">
        <v>1</v>
      </c>
      <c r="E2990" s="460">
        <v>0</v>
      </c>
      <c r="F2990" s="569"/>
      <c r="G2990" s="1797"/>
      <c r="H2990" s="1777" t="s">
        <v>1238</v>
      </c>
      <c r="I2990" s="1742" t="s">
        <v>8771</v>
      </c>
      <c r="J2990" s="1779" t="s">
        <v>32</v>
      </c>
      <c r="K2990" s="1780"/>
      <c r="L2990" s="1781"/>
      <c r="M2990" s="1781"/>
      <c r="N2990" s="1746">
        <v>4387.07</v>
      </c>
      <c r="O2990" s="1782"/>
      <c r="P2990" s="1720"/>
    </row>
    <row r="2991" spans="1:16" ht="13.9" hidden="1" customHeight="1" outlineLevel="3" x14ac:dyDescent="0.2">
      <c r="A2991" s="459">
        <v>0</v>
      </c>
      <c r="B2991" s="459">
        <v>19</v>
      </c>
      <c r="C2991" s="459">
        <v>7</v>
      </c>
      <c r="D2991" s="460">
        <v>1</v>
      </c>
      <c r="E2991" s="460">
        <v>1</v>
      </c>
      <c r="F2991" s="569"/>
      <c r="G2991" s="1798" t="s">
        <v>53</v>
      </c>
      <c r="H2991" s="1783" t="s">
        <v>1239</v>
      </c>
      <c r="I2991" s="1750" t="s">
        <v>8772</v>
      </c>
      <c r="J2991" s="1785" t="s">
        <v>1267</v>
      </c>
      <c r="K2991" s="1786" t="s">
        <v>1130</v>
      </c>
      <c r="L2991" s="1787">
        <v>1</v>
      </c>
      <c r="M2991" s="1787">
        <v>4387.07</v>
      </c>
      <c r="N2991" s="1754">
        <v>4387.07</v>
      </c>
      <c r="O2991" s="1788"/>
      <c r="P2991" s="1721" t="s">
        <v>9611</v>
      </c>
    </row>
    <row r="2992" spans="1:16" ht="13.9" hidden="1" customHeight="1" outlineLevel="2" x14ac:dyDescent="0.2">
      <c r="A2992" s="459">
        <v>0</v>
      </c>
      <c r="B2992" s="459">
        <v>19</v>
      </c>
      <c r="C2992" s="459">
        <v>7</v>
      </c>
      <c r="D2992" s="460">
        <v>2</v>
      </c>
      <c r="E2992" s="460">
        <v>0</v>
      </c>
      <c r="F2992" s="569"/>
      <c r="G2992" s="1797"/>
      <c r="H2992" s="1777" t="s">
        <v>1238</v>
      </c>
      <c r="I2992" s="1742" t="s">
        <v>8773</v>
      </c>
      <c r="J2992" s="1779" t="s">
        <v>2821</v>
      </c>
      <c r="K2992" s="1780"/>
      <c r="L2992" s="1781"/>
      <c r="M2992" s="1781"/>
      <c r="N2992" s="1746">
        <v>16905.21</v>
      </c>
      <c r="O2992" s="1782"/>
      <c r="P2992" s="1720"/>
    </row>
    <row r="2993" spans="1:16" ht="13.9" hidden="1" customHeight="1" outlineLevel="3" x14ac:dyDescent="0.2">
      <c r="A2993" s="459">
        <v>0</v>
      </c>
      <c r="B2993" s="459">
        <v>19</v>
      </c>
      <c r="C2993" s="459">
        <v>7</v>
      </c>
      <c r="D2993" s="460">
        <v>2</v>
      </c>
      <c r="E2993" s="460">
        <v>1</v>
      </c>
      <c r="F2993" s="569"/>
      <c r="G2993" s="1798" t="s">
        <v>53</v>
      </c>
      <c r="H2993" s="1783" t="s">
        <v>1239</v>
      </c>
      <c r="I2993" s="1750" t="s">
        <v>8774</v>
      </c>
      <c r="J2993" s="1785" t="s">
        <v>1268</v>
      </c>
      <c r="K2993" s="1786" t="s">
        <v>1130</v>
      </c>
      <c r="L2993" s="1787">
        <v>1</v>
      </c>
      <c r="M2993" s="1787">
        <v>16905.21</v>
      </c>
      <c r="N2993" s="1754">
        <v>16905.21</v>
      </c>
      <c r="O2993" s="1788"/>
      <c r="P2993" s="1721" t="s">
        <v>9611</v>
      </c>
    </row>
    <row r="2994" spans="1:16" ht="13.9" hidden="1" customHeight="1" outlineLevel="2" x14ac:dyDescent="0.2">
      <c r="A2994" s="459">
        <v>0</v>
      </c>
      <c r="B2994" s="459">
        <v>19</v>
      </c>
      <c r="C2994" s="459">
        <v>7</v>
      </c>
      <c r="D2994" s="460">
        <v>3</v>
      </c>
      <c r="E2994" s="460">
        <v>0</v>
      </c>
      <c r="F2994" s="569"/>
      <c r="G2994" s="1797"/>
      <c r="H2994" s="1777" t="s">
        <v>1238</v>
      </c>
      <c r="I2994" s="1742" t="s">
        <v>8775</v>
      </c>
      <c r="J2994" s="1779" t="s">
        <v>15</v>
      </c>
      <c r="K2994" s="1780"/>
      <c r="L2994" s="1781"/>
      <c r="M2994" s="1781"/>
      <c r="N2994" s="1746">
        <v>7139.6</v>
      </c>
      <c r="O2994" s="1782"/>
      <c r="P2994" s="1720"/>
    </row>
    <row r="2995" spans="1:16" ht="13.9" hidden="1" customHeight="1" outlineLevel="3" x14ac:dyDescent="0.2">
      <c r="A2995" s="459">
        <v>0</v>
      </c>
      <c r="B2995" s="459">
        <v>19</v>
      </c>
      <c r="C2995" s="459">
        <v>7</v>
      </c>
      <c r="D2995" s="460">
        <v>3</v>
      </c>
      <c r="E2995" s="460">
        <v>1</v>
      </c>
      <c r="F2995" s="569"/>
      <c r="G2995" s="1798" t="s">
        <v>53</v>
      </c>
      <c r="H2995" s="1783" t="s">
        <v>1239</v>
      </c>
      <c r="I2995" s="1750" t="s">
        <v>8776</v>
      </c>
      <c r="J2995" s="1785" t="s">
        <v>1270</v>
      </c>
      <c r="K2995" s="1786" t="s">
        <v>1130</v>
      </c>
      <c r="L2995" s="1787">
        <v>1</v>
      </c>
      <c r="M2995" s="1787">
        <v>7139.6</v>
      </c>
      <c r="N2995" s="1754">
        <v>7139.6</v>
      </c>
      <c r="O2995" s="1788"/>
      <c r="P2995" s="1721" t="s">
        <v>9611</v>
      </c>
    </row>
    <row r="2996" spans="1:16" ht="13.9" hidden="1" customHeight="1" outlineLevel="1" x14ac:dyDescent="0.2">
      <c r="A2996" s="459">
        <v>0</v>
      </c>
      <c r="B2996" s="459">
        <v>19</v>
      </c>
      <c r="C2996" s="459">
        <v>8</v>
      </c>
      <c r="D2996" s="460">
        <v>0</v>
      </c>
      <c r="E2996" s="460">
        <v>1</v>
      </c>
      <c r="F2996" s="569"/>
      <c r="G2996" s="1796"/>
      <c r="H2996" s="1771" t="s">
        <v>39</v>
      </c>
      <c r="I2996" s="1735" t="s">
        <v>8777</v>
      </c>
      <c r="J2996" s="1773" t="s">
        <v>3084</v>
      </c>
      <c r="K2996" s="1774"/>
      <c r="L2996" s="1775"/>
      <c r="M2996" s="1775"/>
      <c r="N2996" s="1739">
        <v>38811.06</v>
      </c>
      <c r="O2996" s="1776"/>
      <c r="P2996" s="1725"/>
    </row>
    <row r="2997" spans="1:16" ht="15.75" hidden="1" customHeight="1" outlineLevel="2" x14ac:dyDescent="0.2">
      <c r="A2997" s="459">
        <v>0</v>
      </c>
      <c r="B2997" s="459">
        <v>19</v>
      </c>
      <c r="C2997" s="459">
        <v>8</v>
      </c>
      <c r="D2997" s="460">
        <v>1</v>
      </c>
      <c r="E2997" s="460">
        <v>0</v>
      </c>
      <c r="F2997" s="569"/>
      <c r="G2997" s="1797"/>
      <c r="H2997" s="1777" t="s">
        <v>1238</v>
      </c>
      <c r="I2997" s="1742" t="s">
        <v>8778</v>
      </c>
      <c r="J2997" s="1779" t="s">
        <v>32</v>
      </c>
      <c r="K2997" s="1780"/>
      <c r="L2997" s="1781"/>
      <c r="M2997" s="1781"/>
      <c r="N2997" s="1746">
        <v>5408.04</v>
      </c>
      <c r="O2997" s="1782"/>
      <c r="P2997" s="1720"/>
    </row>
    <row r="2998" spans="1:16" ht="13.9" hidden="1" customHeight="1" outlineLevel="3" x14ac:dyDescent="0.2">
      <c r="A2998" s="459">
        <v>0</v>
      </c>
      <c r="B2998" s="459">
        <v>19</v>
      </c>
      <c r="C2998" s="459">
        <v>8</v>
      </c>
      <c r="D2998" s="460">
        <v>1</v>
      </c>
      <c r="E2998" s="460">
        <v>1</v>
      </c>
      <c r="F2998" s="569"/>
      <c r="G2998" s="1798" t="s">
        <v>53</v>
      </c>
      <c r="H2998" s="1783" t="s">
        <v>1239</v>
      </c>
      <c r="I2998" s="1750" t="s">
        <v>8779</v>
      </c>
      <c r="J2998" s="1785" t="s">
        <v>1267</v>
      </c>
      <c r="K2998" s="1786" t="s">
        <v>1130</v>
      </c>
      <c r="L2998" s="1787">
        <v>1</v>
      </c>
      <c r="M2998" s="1787">
        <v>5408.04</v>
      </c>
      <c r="N2998" s="1754">
        <v>5408.04</v>
      </c>
      <c r="O2998" s="1788"/>
      <c r="P2998" s="1721" t="s">
        <v>9611</v>
      </c>
    </row>
    <row r="2999" spans="1:16" ht="13.9" hidden="1" customHeight="1" outlineLevel="2" x14ac:dyDescent="0.2">
      <c r="A2999" s="459">
        <v>0</v>
      </c>
      <c r="B2999" s="459">
        <v>19</v>
      </c>
      <c r="C2999" s="459">
        <v>8</v>
      </c>
      <c r="D2999" s="460">
        <v>2</v>
      </c>
      <c r="E2999" s="460">
        <v>0</v>
      </c>
      <c r="F2999" s="569"/>
      <c r="G2999" s="1797"/>
      <c r="H2999" s="1777" t="s">
        <v>1238</v>
      </c>
      <c r="I2999" s="1742" t="s">
        <v>8780</v>
      </c>
      <c r="J2999" s="1779" t="s">
        <v>2821</v>
      </c>
      <c r="K2999" s="1780"/>
      <c r="L2999" s="1781"/>
      <c r="M2999" s="1781"/>
      <c r="N2999" s="1746">
        <v>20630.86</v>
      </c>
      <c r="O2999" s="1782"/>
      <c r="P2999" s="1720"/>
    </row>
    <row r="3000" spans="1:16" ht="13.9" hidden="1" customHeight="1" outlineLevel="3" x14ac:dyDescent="0.2">
      <c r="A3000" s="459">
        <v>0</v>
      </c>
      <c r="B3000" s="459">
        <v>19</v>
      </c>
      <c r="C3000" s="459">
        <v>8</v>
      </c>
      <c r="D3000" s="460">
        <v>2</v>
      </c>
      <c r="E3000" s="460">
        <v>1</v>
      </c>
      <c r="F3000" s="569"/>
      <c r="G3000" s="1798" t="s">
        <v>53</v>
      </c>
      <c r="H3000" s="1783" t="s">
        <v>1239</v>
      </c>
      <c r="I3000" s="1750" t="s">
        <v>8781</v>
      </c>
      <c r="J3000" s="1785" t="s">
        <v>1268</v>
      </c>
      <c r="K3000" s="1786" t="s">
        <v>1130</v>
      </c>
      <c r="L3000" s="1787">
        <v>1</v>
      </c>
      <c r="M3000" s="1787">
        <v>20630.860000000004</v>
      </c>
      <c r="N3000" s="1754">
        <v>20630.86</v>
      </c>
      <c r="O3000" s="1788"/>
      <c r="P3000" s="1721" t="s">
        <v>9611</v>
      </c>
    </row>
    <row r="3001" spans="1:16" ht="13.9" hidden="1" customHeight="1" outlineLevel="2" x14ac:dyDescent="0.2">
      <c r="A3001" s="459">
        <v>0</v>
      </c>
      <c r="B3001" s="459">
        <v>19</v>
      </c>
      <c r="C3001" s="459">
        <v>8</v>
      </c>
      <c r="D3001" s="460">
        <v>3</v>
      </c>
      <c r="E3001" s="460">
        <v>0</v>
      </c>
      <c r="F3001" s="569"/>
      <c r="G3001" s="1797"/>
      <c r="H3001" s="1777" t="s">
        <v>1238</v>
      </c>
      <c r="I3001" s="1742" t="s">
        <v>8782</v>
      </c>
      <c r="J3001" s="1779" t="s">
        <v>2822</v>
      </c>
      <c r="K3001" s="1780"/>
      <c r="L3001" s="1781"/>
      <c r="M3001" s="1781"/>
      <c r="N3001" s="1746">
        <v>8778</v>
      </c>
      <c r="O3001" s="1782"/>
      <c r="P3001" s="1720"/>
    </row>
    <row r="3002" spans="1:16" ht="13.9" hidden="1" customHeight="1" outlineLevel="3" x14ac:dyDescent="0.2">
      <c r="A3002" s="459">
        <v>0</v>
      </c>
      <c r="B3002" s="459">
        <v>19</v>
      </c>
      <c r="C3002" s="459">
        <v>8</v>
      </c>
      <c r="D3002" s="460">
        <v>3</v>
      </c>
      <c r="E3002" s="460">
        <v>1</v>
      </c>
      <c r="F3002" s="569"/>
      <c r="G3002" s="1798" t="s">
        <v>53</v>
      </c>
      <c r="H3002" s="1783" t="s">
        <v>1239</v>
      </c>
      <c r="I3002" s="1750" t="s">
        <v>8783</v>
      </c>
      <c r="J3002" s="1785" t="s">
        <v>1269</v>
      </c>
      <c r="K3002" s="1786" t="s">
        <v>1130</v>
      </c>
      <c r="L3002" s="1787">
        <v>1</v>
      </c>
      <c r="M3002" s="1787">
        <v>8778</v>
      </c>
      <c r="N3002" s="1754">
        <v>8778</v>
      </c>
      <c r="O3002" s="1788"/>
      <c r="P3002" s="1721" t="s">
        <v>9611</v>
      </c>
    </row>
    <row r="3003" spans="1:16" ht="13.9" hidden="1" customHeight="1" outlineLevel="2" x14ac:dyDescent="0.2">
      <c r="A3003" s="459">
        <v>0</v>
      </c>
      <c r="B3003" s="459">
        <v>19</v>
      </c>
      <c r="C3003" s="459">
        <v>8</v>
      </c>
      <c r="D3003" s="460">
        <v>4</v>
      </c>
      <c r="E3003" s="460">
        <v>0</v>
      </c>
      <c r="F3003" s="569"/>
      <c r="G3003" s="1797"/>
      <c r="H3003" s="1777" t="s">
        <v>1238</v>
      </c>
      <c r="I3003" s="1742" t="s">
        <v>8784</v>
      </c>
      <c r="J3003" s="1779" t="s">
        <v>15</v>
      </c>
      <c r="K3003" s="1780"/>
      <c r="L3003" s="1781"/>
      <c r="M3003" s="1781"/>
      <c r="N3003" s="1746">
        <v>3994.16</v>
      </c>
      <c r="O3003" s="1782"/>
      <c r="P3003" s="1720"/>
    </row>
    <row r="3004" spans="1:16" ht="13.9" hidden="1" customHeight="1" outlineLevel="3" x14ac:dyDescent="0.2">
      <c r="A3004" s="459">
        <v>0</v>
      </c>
      <c r="B3004" s="459">
        <v>19</v>
      </c>
      <c r="C3004" s="459">
        <v>8</v>
      </c>
      <c r="D3004" s="460">
        <v>4</v>
      </c>
      <c r="E3004" s="460">
        <v>1</v>
      </c>
      <c r="F3004" s="569"/>
      <c r="G3004" s="1798" t="s">
        <v>53</v>
      </c>
      <c r="H3004" s="1783" t="s">
        <v>1239</v>
      </c>
      <c r="I3004" s="1750" t="s">
        <v>8785</v>
      </c>
      <c r="J3004" s="1785" t="s">
        <v>1270</v>
      </c>
      <c r="K3004" s="1786" t="s">
        <v>1130</v>
      </c>
      <c r="L3004" s="1787">
        <v>1</v>
      </c>
      <c r="M3004" s="1787">
        <v>3994.16</v>
      </c>
      <c r="N3004" s="1754">
        <v>3994.16</v>
      </c>
      <c r="O3004" s="1788"/>
      <c r="P3004" s="1721" t="s">
        <v>9611</v>
      </c>
    </row>
    <row r="3005" spans="1:16" ht="13.9" hidden="1" customHeight="1" outlineLevel="1" x14ac:dyDescent="0.2">
      <c r="A3005" s="459">
        <v>0</v>
      </c>
      <c r="B3005" s="459">
        <v>19</v>
      </c>
      <c r="C3005" s="459">
        <v>9</v>
      </c>
      <c r="D3005" s="460">
        <v>0</v>
      </c>
      <c r="E3005" s="460">
        <v>1</v>
      </c>
      <c r="F3005" s="569"/>
      <c r="G3005" s="1796"/>
      <c r="H3005" s="1771" t="s">
        <v>39</v>
      </c>
      <c r="I3005" s="1735" t="s">
        <v>8786</v>
      </c>
      <c r="J3005" s="1773" t="s">
        <v>3085</v>
      </c>
      <c r="K3005" s="1774"/>
      <c r="L3005" s="1775"/>
      <c r="M3005" s="1775"/>
      <c r="N3005" s="1739">
        <v>10604.46</v>
      </c>
      <c r="O3005" s="1776"/>
      <c r="P3005" s="1725"/>
    </row>
    <row r="3006" spans="1:16" ht="15.75" hidden="1" customHeight="1" outlineLevel="2" x14ac:dyDescent="0.2">
      <c r="A3006" s="459">
        <v>0</v>
      </c>
      <c r="B3006" s="459">
        <v>19</v>
      </c>
      <c r="C3006" s="459">
        <v>9</v>
      </c>
      <c r="D3006" s="460">
        <v>1</v>
      </c>
      <c r="E3006" s="460">
        <v>0</v>
      </c>
      <c r="F3006" s="569"/>
      <c r="G3006" s="1797"/>
      <c r="H3006" s="1777" t="s">
        <v>1238</v>
      </c>
      <c r="I3006" s="1742" t="s">
        <v>8787</v>
      </c>
      <c r="J3006" s="1779" t="s">
        <v>32</v>
      </c>
      <c r="K3006" s="1780"/>
      <c r="L3006" s="1781"/>
      <c r="M3006" s="1781"/>
      <c r="N3006" s="1746">
        <v>5974.08</v>
      </c>
      <c r="O3006" s="1782"/>
      <c r="P3006" s="1720"/>
    </row>
    <row r="3007" spans="1:16" ht="13.9" hidden="1" customHeight="1" outlineLevel="3" x14ac:dyDescent="0.2">
      <c r="A3007" s="459">
        <v>0</v>
      </c>
      <c r="B3007" s="459">
        <v>19</v>
      </c>
      <c r="C3007" s="459">
        <v>9</v>
      </c>
      <c r="D3007" s="460">
        <v>1</v>
      </c>
      <c r="E3007" s="460">
        <v>1</v>
      </c>
      <c r="F3007" s="569"/>
      <c r="G3007" s="1798" t="s">
        <v>53</v>
      </c>
      <c r="H3007" s="1783" t="s">
        <v>1239</v>
      </c>
      <c r="I3007" s="1750" t="s">
        <v>8788</v>
      </c>
      <c r="J3007" s="1785" t="s">
        <v>1267</v>
      </c>
      <c r="K3007" s="1786" t="s">
        <v>1130</v>
      </c>
      <c r="L3007" s="1787">
        <v>1</v>
      </c>
      <c r="M3007" s="1787">
        <v>5974.08</v>
      </c>
      <c r="N3007" s="1754">
        <v>5974.08</v>
      </c>
      <c r="O3007" s="1788"/>
      <c r="P3007" s="1721" t="s">
        <v>9611</v>
      </c>
    </row>
    <row r="3008" spans="1:16" ht="13.9" hidden="1" customHeight="1" outlineLevel="2" x14ac:dyDescent="0.2">
      <c r="A3008" s="459">
        <v>0</v>
      </c>
      <c r="B3008" s="459">
        <v>19</v>
      </c>
      <c r="C3008" s="459">
        <v>9</v>
      </c>
      <c r="D3008" s="460">
        <v>2</v>
      </c>
      <c r="E3008" s="460">
        <v>0</v>
      </c>
      <c r="F3008" s="569"/>
      <c r="G3008" s="1797"/>
      <c r="H3008" s="1777" t="s">
        <v>1238</v>
      </c>
      <c r="I3008" s="1742" t="s">
        <v>8789</v>
      </c>
      <c r="J3008" s="1779" t="s">
        <v>2821</v>
      </c>
      <c r="K3008" s="1780"/>
      <c r="L3008" s="1781"/>
      <c r="M3008" s="1781"/>
      <c r="N3008" s="1746">
        <v>1866.14</v>
      </c>
      <c r="O3008" s="1782"/>
      <c r="P3008" s="1720"/>
    </row>
    <row r="3009" spans="1:16" ht="13.9" hidden="1" customHeight="1" outlineLevel="3" x14ac:dyDescent="0.2">
      <c r="A3009" s="459">
        <v>0</v>
      </c>
      <c r="B3009" s="459">
        <v>19</v>
      </c>
      <c r="C3009" s="459">
        <v>9</v>
      </c>
      <c r="D3009" s="460">
        <v>2</v>
      </c>
      <c r="E3009" s="460">
        <v>1</v>
      </c>
      <c r="F3009" s="569"/>
      <c r="G3009" s="1798" t="s">
        <v>53</v>
      </c>
      <c r="H3009" s="1783" t="s">
        <v>1239</v>
      </c>
      <c r="I3009" s="1750" t="s">
        <v>8790</v>
      </c>
      <c r="J3009" s="1785" t="s">
        <v>1268</v>
      </c>
      <c r="K3009" s="1786" t="s">
        <v>1130</v>
      </c>
      <c r="L3009" s="1787">
        <v>1</v>
      </c>
      <c r="M3009" s="1787">
        <v>1866.1399999999999</v>
      </c>
      <c r="N3009" s="1754">
        <v>1866.14</v>
      </c>
      <c r="O3009" s="1788"/>
      <c r="P3009" s="1721" t="s">
        <v>9611</v>
      </c>
    </row>
    <row r="3010" spans="1:16" ht="13.9" hidden="1" customHeight="1" outlineLevel="2" x14ac:dyDescent="0.2">
      <c r="A3010" s="459">
        <v>0</v>
      </c>
      <c r="B3010" s="459">
        <v>19</v>
      </c>
      <c r="C3010" s="459">
        <v>9</v>
      </c>
      <c r="D3010" s="460">
        <v>3</v>
      </c>
      <c r="E3010" s="460">
        <v>0</v>
      </c>
      <c r="F3010" s="569"/>
      <c r="G3010" s="1797"/>
      <c r="H3010" s="1777" t="s">
        <v>1238</v>
      </c>
      <c r="I3010" s="1742" t="s">
        <v>8791</v>
      </c>
      <c r="J3010" s="1779" t="s">
        <v>15</v>
      </c>
      <c r="K3010" s="1780"/>
      <c r="L3010" s="1781"/>
      <c r="M3010" s="1781"/>
      <c r="N3010" s="1746">
        <v>2764.24</v>
      </c>
      <c r="O3010" s="1782"/>
      <c r="P3010" s="1720"/>
    </row>
    <row r="3011" spans="1:16" ht="13.9" hidden="1" customHeight="1" outlineLevel="3" x14ac:dyDescent="0.2">
      <c r="A3011" s="459">
        <v>0</v>
      </c>
      <c r="B3011" s="459">
        <v>19</v>
      </c>
      <c r="C3011" s="459">
        <v>9</v>
      </c>
      <c r="D3011" s="460">
        <v>3</v>
      </c>
      <c r="E3011" s="460">
        <v>1</v>
      </c>
      <c r="F3011" s="569"/>
      <c r="G3011" s="1798" t="s">
        <v>53</v>
      </c>
      <c r="H3011" s="1783" t="s">
        <v>1239</v>
      </c>
      <c r="I3011" s="1750" t="s">
        <v>8792</v>
      </c>
      <c r="J3011" s="1785" t="s">
        <v>1270</v>
      </c>
      <c r="K3011" s="1786" t="s">
        <v>1130</v>
      </c>
      <c r="L3011" s="1787">
        <v>1</v>
      </c>
      <c r="M3011" s="1787">
        <v>2764.24</v>
      </c>
      <c r="N3011" s="1754">
        <v>2764.24</v>
      </c>
      <c r="O3011" s="1788"/>
      <c r="P3011" s="1721" t="s">
        <v>9611</v>
      </c>
    </row>
    <row r="3012" spans="1:16" ht="13.9" hidden="1" customHeight="1" outlineLevel="1" x14ac:dyDescent="0.2">
      <c r="A3012" s="459">
        <v>0</v>
      </c>
      <c r="B3012" s="459">
        <v>19</v>
      </c>
      <c r="C3012" s="459">
        <v>10</v>
      </c>
      <c r="D3012" s="460">
        <v>0</v>
      </c>
      <c r="E3012" s="460">
        <v>1</v>
      </c>
      <c r="F3012" s="569"/>
      <c r="G3012" s="1796"/>
      <c r="H3012" s="1771" t="s">
        <v>39</v>
      </c>
      <c r="I3012" s="1735" t="s">
        <v>8793</v>
      </c>
      <c r="J3012" s="1773" t="s">
        <v>3086</v>
      </c>
      <c r="K3012" s="1774"/>
      <c r="L3012" s="1775"/>
      <c r="M3012" s="1775"/>
      <c r="N3012" s="1739">
        <v>82140</v>
      </c>
      <c r="O3012" s="1776"/>
      <c r="P3012" s="1725"/>
    </row>
    <row r="3013" spans="1:16" ht="15.75" hidden="1" customHeight="1" outlineLevel="2" x14ac:dyDescent="0.2">
      <c r="A3013" s="459">
        <v>0</v>
      </c>
      <c r="B3013" s="459">
        <v>19</v>
      </c>
      <c r="C3013" s="459">
        <v>10</v>
      </c>
      <c r="D3013" s="460">
        <v>1</v>
      </c>
      <c r="E3013" s="460">
        <v>0</v>
      </c>
      <c r="F3013" s="569"/>
      <c r="G3013" s="1797"/>
      <c r="H3013" s="1777" t="s">
        <v>1238</v>
      </c>
      <c r="I3013" s="1742" t="s">
        <v>8794</v>
      </c>
      <c r="J3013" s="1779" t="s">
        <v>32</v>
      </c>
      <c r="K3013" s="1780"/>
      <c r="L3013" s="1781"/>
      <c r="M3013" s="1781"/>
      <c r="N3013" s="1746">
        <v>47792.639999999999</v>
      </c>
      <c r="O3013" s="1782"/>
      <c r="P3013" s="1720"/>
    </row>
    <row r="3014" spans="1:16" ht="13.9" hidden="1" customHeight="1" outlineLevel="3" x14ac:dyDescent="0.2">
      <c r="A3014" s="459">
        <v>0</v>
      </c>
      <c r="B3014" s="459">
        <v>19</v>
      </c>
      <c r="C3014" s="459">
        <v>10</v>
      </c>
      <c r="D3014" s="460">
        <v>1</v>
      </c>
      <c r="E3014" s="460">
        <v>1</v>
      </c>
      <c r="F3014" s="569"/>
      <c r="G3014" s="1798" t="s">
        <v>53</v>
      </c>
      <c r="H3014" s="1783" t="s">
        <v>1239</v>
      </c>
      <c r="I3014" s="1750" t="s">
        <v>8795</v>
      </c>
      <c r="J3014" s="1785" t="s">
        <v>1267</v>
      </c>
      <c r="K3014" s="1786" t="s">
        <v>1130</v>
      </c>
      <c r="L3014" s="1787">
        <v>1</v>
      </c>
      <c r="M3014" s="1787">
        <v>47792.639999999999</v>
      </c>
      <c r="N3014" s="1754">
        <v>47792.639999999999</v>
      </c>
      <c r="O3014" s="1788"/>
      <c r="P3014" s="1721" t="s">
        <v>9611</v>
      </c>
    </row>
    <row r="3015" spans="1:16" ht="13.9" hidden="1" customHeight="1" outlineLevel="2" x14ac:dyDescent="0.2">
      <c r="A3015" s="459">
        <v>0</v>
      </c>
      <c r="B3015" s="459">
        <v>19</v>
      </c>
      <c r="C3015" s="459">
        <v>10</v>
      </c>
      <c r="D3015" s="460">
        <v>2</v>
      </c>
      <c r="E3015" s="460">
        <v>0</v>
      </c>
      <c r="F3015" s="569"/>
      <c r="G3015" s="1797"/>
      <c r="H3015" s="1777" t="s">
        <v>1238</v>
      </c>
      <c r="I3015" s="1742" t="s">
        <v>8796</v>
      </c>
      <c r="J3015" s="1779" t="s">
        <v>2821</v>
      </c>
      <c r="K3015" s="1780"/>
      <c r="L3015" s="1781"/>
      <c r="M3015" s="1781"/>
      <c r="N3015" s="1746">
        <v>14929.12</v>
      </c>
      <c r="O3015" s="1782"/>
      <c r="P3015" s="1720"/>
    </row>
    <row r="3016" spans="1:16" ht="13.9" hidden="1" customHeight="1" outlineLevel="3" x14ac:dyDescent="0.2">
      <c r="A3016" s="459">
        <v>0</v>
      </c>
      <c r="B3016" s="459">
        <v>19</v>
      </c>
      <c r="C3016" s="459">
        <v>10</v>
      </c>
      <c r="D3016" s="460">
        <v>2</v>
      </c>
      <c r="E3016" s="460">
        <v>1</v>
      </c>
      <c r="F3016" s="569"/>
      <c r="G3016" s="1798" t="s">
        <v>53</v>
      </c>
      <c r="H3016" s="1783" t="s">
        <v>1239</v>
      </c>
      <c r="I3016" s="1750" t="s">
        <v>8797</v>
      </c>
      <c r="J3016" s="1785" t="s">
        <v>1268</v>
      </c>
      <c r="K3016" s="1786" t="s">
        <v>1130</v>
      </c>
      <c r="L3016" s="1787">
        <v>1</v>
      </c>
      <c r="M3016" s="1787">
        <v>14929.119999999999</v>
      </c>
      <c r="N3016" s="1754">
        <v>14929.12</v>
      </c>
      <c r="O3016" s="1788"/>
      <c r="P3016" s="1721" t="s">
        <v>9611</v>
      </c>
    </row>
    <row r="3017" spans="1:16" ht="13.9" hidden="1" customHeight="1" outlineLevel="2" x14ac:dyDescent="0.2">
      <c r="A3017" s="459">
        <v>0</v>
      </c>
      <c r="B3017" s="459">
        <v>19</v>
      </c>
      <c r="C3017" s="459">
        <v>10</v>
      </c>
      <c r="D3017" s="460">
        <v>3</v>
      </c>
      <c r="E3017" s="460">
        <v>0</v>
      </c>
      <c r="F3017" s="569"/>
      <c r="G3017" s="1797"/>
      <c r="H3017" s="1777" t="s">
        <v>1238</v>
      </c>
      <c r="I3017" s="1742" t="s">
        <v>8798</v>
      </c>
      <c r="J3017" s="1779" t="s">
        <v>15</v>
      </c>
      <c r="K3017" s="1780"/>
      <c r="L3017" s="1781"/>
      <c r="M3017" s="1781"/>
      <c r="N3017" s="1746">
        <v>19418.240000000002</v>
      </c>
      <c r="O3017" s="1782"/>
      <c r="P3017" s="1720"/>
    </row>
    <row r="3018" spans="1:16" ht="13.9" hidden="1" customHeight="1" outlineLevel="3" x14ac:dyDescent="0.2">
      <c r="A3018" s="459">
        <v>0</v>
      </c>
      <c r="B3018" s="459">
        <v>19</v>
      </c>
      <c r="C3018" s="459">
        <v>10</v>
      </c>
      <c r="D3018" s="460">
        <v>3</v>
      </c>
      <c r="E3018" s="460">
        <v>1</v>
      </c>
      <c r="F3018" s="569"/>
      <c r="G3018" s="1798" t="s">
        <v>53</v>
      </c>
      <c r="H3018" s="1783" t="s">
        <v>1239</v>
      </c>
      <c r="I3018" s="1750" t="s">
        <v>8799</v>
      </c>
      <c r="J3018" s="1785" t="s">
        <v>1270</v>
      </c>
      <c r="K3018" s="1786" t="s">
        <v>1130</v>
      </c>
      <c r="L3018" s="1787">
        <v>1</v>
      </c>
      <c r="M3018" s="1787">
        <v>19418.240000000002</v>
      </c>
      <c r="N3018" s="1754">
        <v>19418.240000000002</v>
      </c>
      <c r="O3018" s="1788"/>
      <c r="P3018" s="1721" t="s">
        <v>9611</v>
      </c>
    </row>
    <row r="3019" spans="1:16" ht="13.9" hidden="1" customHeight="1" outlineLevel="1" x14ac:dyDescent="0.2">
      <c r="A3019" s="459">
        <v>0</v>
      </c>
      <c r="B3019" s="459">
        <v>19</v>
      </c>
      <c r="C3019" s="459">
        <v>11</v>
      </c>
      <c r="D3019" s="460">
        <v>0</v>
      </c>
      <c r="E3019" s="460">
        <v>1</v>
      </c>
      <c r="F3019" s="569"/>
      <c r="G3019" s="1796"/>
      <c r="H3019" s="1771" t="s">
        <v>39</v>
      </c>
      <c r="I3019" s="1735" t="s">
        <v>8800</v>
      </c>
      <c r="J3019" s="1773" t="s">
        <v>3087</v>
      </c>
      <c r="K3019" s="1774"/>
      <c r="L3019" s="1775"/>
      <c r="M3019" s="1775"/>
      <c r="N3019" s="1739">
        <v>179316.28</v>
      </c>
      <c r="O3019" s="1776"/>
      <c r="P3019" s="1725"/>
    </row>
    <row r="3020" spans="1:16" ht="15.75" hidden="1" customHeight="1" outlineLevel="2" x14ac:dyDescent="0.2">
      <c r="A3020" s="459">
        <v>0</v>
      </c>
      <c r="B3020" s="459">
        <v>19</v>
      </c>
      <c r="C3020" s="459">
        <v>11</v>
      </c>
      <c r="D3020" s="460">
        <v>1</v>
      </c>
      <c r="E3020" s="460">
        <v>0</v>
      </c>
      <c r="F3020" s="569"/>
      <c r="G3020" s="1797"/>
      <c r="H3020" s="1777" t="s">
        <v>1238</v>
      </c>
      <c r="I3020" s="1742" t="s">
        <v>8801</v>
      </c>
      <c r="J3020" s="1779" t="s">
        <v>32</v>
      </c>
      <c r="K3020" s="1780"/>
      <c r="L3020" s="1781"/>
      <c r="M3020" s="1781"/>
      <c r="N3020" s="1746">
        <v>93083.32</v>
      </c>
      <c r="O3020" s="1782"/>
      <c r="P3020" s="1720"/>
    </row>
    <row r="3021" spans="1:16" ht="13.9" hidden="1" customHeight="1" outlineLevel="3" x14ac:dyDescent="0.2">
      <c r="A3021" s="459">
        <v>0</v>
      </c>
      <c r="B3021" s="459">
        <v>19</v>
      </c>
      <c r="C3021" s="459">
        <v>11</v>
      </c>
      <c r="D3021" s="460">
        <v>1</v>
      </c>
      <c r="E3021" s="460">
        <v>1</v>
      </c>
      <c r="F3021" s="569"/>
      <c r="G3021" s="1798" t="s">
        <v>53</v>
      </c>
      <c r="H3021" s="1783" t="s">
        <v>1239</v>
      </c>
      <c r="I3021" s="1750" t="s">
        <v>8802</v>
      </c>
      <c r="J3021" s="1785" t="s">
        <v>1267</v>
      </c>
      <c r="K3021" s="1786" t="s">
        <v>1130</v>
      </c>
      <c r="L3021" s="1787">
        <v>1</v>
      </c>
      <c r="M3021" s="1787">
        <v>93083.319999999992</v>
      </c>
      <c r="N3021" s="1754">
        <v>93083.32</v>
      </c>
      <c r="O3021" s="1788"/>
      <c r="P3021" s="1721" t="s">
        <v>9611</v>
      </c>
    </row>
    <row r="3022" spans="1:16" ht="13.9" hidden="1" customHeight="1" outlineLevel="2" x14ac:dyDescent="0.2">
      <c r="A3022" s="459">
        <v>0</v>
      </c>
      <c r="B3022" s="459">
        <v>19</v>
      </c>
      <c r="C3022" s="459">
        <v>11</v>
      </c>
      <c r="D3022" s="460">
        <v>2</v>
      </c>
      <c r="E3022" s="460">
        <v>0</v>
      </c>
      <c r="F3022" s="569"/>
      <c r="G3022" s="1797"/>
      <c r="H3022" s="1777" t="s">
        <v>1238</v>
      </c>
      <c r="I3022" s="1742" t="s">
        <v>8803</v>
      </c>
      <c r="J3022" s="1779" t="s">
        <v>2821</v>
      </c>
      <c r="K3022" s="1780"/>
      <c r="L3022" s="1781"/>
      <c r="M3022" s="1781"/>
      <c r="N3022" s="1746">
        <v>32804.639999999999</v>
      </c>
      <c r="O3022" s="1782"/>
      <c r="P3022" s="1720"/>
    </row>
    <row r="3023" spans="1:16" ht="13.9" hidden="1" customHeight="1" outlineLevel="3" x14ac:dyDescent="0.2">
      <c r="A3023" s="459">
        <v>0</v>
      </c>
      <c r="B3023" s="459">
        <v>19</v>
      </c>
      <c r="C3023" s="459">
        <v>11</v>
      </c>
      <c r="D3023" s="460">
        <v>2</v>
      </c>
      <c r="E3023" s="460">
        <v>1</v>
      </c>
      <c r="F3023" s="569"/>
      <c r="G3023" s="1798" t="s">
        <v>53</v>
      </c>
      <c r="H3023" s="1783" t="s">
        <v>1239</v>
      </c>
      <c r="I3023" s="1750" t="s">
        <v>8804</v>
      </c>
      <c r="J3023" s="1785" t="s">
        <v>1268</v>
      </c>
      <c r="K3023" s="1786" t="s">
        <v>1130</v>
      </c>
      <c r="L3023" s="1787">
        <v>1</v>
      </c>
      <c r="M3023" s="1787">
        <v>32804.639999999999</v>
      </c>
      <c r="N3023" s="1754">
        <v>32804.639999999999</v>
      </c>
      <c r="O3023" s="1788"/>
      <c r="P3023" s="1721" t="s">
        <v>9611</v>
      </c>
    </row>
    <row r="3024" spans="1:16" ht="13.9" hidden="1" customHeight="1" outlineLevel="2" x14ac:dyDescent="0.2">
      <c r="A3024" s="459">
        <v>0</v>
      </c>
      <c r="B3024" s="459">
        <v>19</v>
      </c>
      <c r="C3024" s="459">
        <v>11</v>
      </c>
      <c r="D3024" s="460">
        <v>3</v>
      </c>
      <c r="E3024" s="460">
        <v>0</v>
      </c>
      <c r="F3024" s="569"/>
      <c r="G3024" s="1797"/>
      <c r="H3024" s="1777" t="s">
        <v>1238</v>
      </c>
      <c r="I3024" s="1742" t="s">
        <v>8805</v>
      </c>
      <c r="J3024" s="1779" t="s">
        <v>15</v>
      </c>
      <c r="K3024" s="1780"/>
      <c r="L3024" s="1781"/>
      <c r="M3024" s="1781"/>
      <c r="N3024" s="1746">
        <v>53428.32</v>
      </c>
      <c r="O3024" s="1782"/>
      <c r="P3024" s="1720"/>
    </row>
    <row r="3025" spans="1:16" ht="13.9" hidden="1" customHeight="1" outlineLevel="3" x14ac:dyDescent="0.2">
      <c r="A3025" s="459">
        <v>0</v>
      </c>
      <c r="B3025" s="459">
        <v>19</v>
      </c>
      <c r="C3025" s="459">
        <v>11</v>
      </c>
      <c r="D3025" s="460">
        <v>3</v>
      </c>
      <c r="E3025" s="460">
        <v>1</v>
      </c>
      <c r="F3025" s="569"/>
      <c r="G3025" s="1798" t="s">
        <v>53</v>
      </c>
      <c r="H3025" s="1783" t="s">
        <v>1239</v>
      </c>
      <c r="I3025" s="1750" t="s">
        <v>8806</v>
      </c>
      <c r="J3025" s="1785" t="s">
        <v>1270</v>
      </c>
      <c r="K3025" s="1786" t="s">
        <v>1130</v>
      </c>
      <c r="L3025" s="1787">
        <v>1</v>
      </c>
      <c r="M3025" s="1787">
        <v>53428.32</v>
      </c>
      <c r="N3025" s="1754">
        <v>53428.32</v>
      </c>
      <c r="O3025" s="1788"/>
      <c r="P3025" s="1721" t="s">
        <v>9611</v>
      </c>
    </row>
    <row r="3026" spans="1:16" ht="13.9" hidden="1" customHeight="1" outlineLevel="1" x14ac:dyDescent="0.2">
      <c r="A3026" s="459">
        <v>0</v>
      </c>
      <c r="B3026" s="459">
        <v>19</v>
      </c>
      <c r="C3026" s="459">
        <v>12</v>
      </c>
      <c r="D3026" s="460">
        <v>0</v>
      </c>
      <c r="E3026" s="460">
        <v>1</v>
      </c>
      <c r="F3026" s="569"/>
      <c r="G3026" s="1796"/>
      <c r="H3026" s="1771" t="s">
        <v>39</v>
      </c>
      <c r="I3026" s="1735" t="s">
        <v>8807</v>
      </c>
      <c r="J3026" s="1773" t="s">
        <v>3088</v>
      </c>
      <c r="K3026" s="1774"/>
      <c r="L3026" s="1775"/>
      <c r="M3026" s="1775"/>
      <c r="N3026" s="1739">
        <v>8437.39</v>
      </c>
      <c r="O3026" s="1776"/>
      <c r="P3026" s="1725"/>
    </row>
    <row r="3027" spans="1:16" ht="15.75" hidden="1" customHeight="1" outlineLevel="2" x14ac:dyDescent="0.2">
      <c r="A3027" s="459">
        <v>0</v>
      </c>
      <c r="B3027" s="459">
        <v>19</v>
      </c>
      <c r="C3027" s="459">
        <v>12</v>
      </c>
      <c r="D3027" s="460">
        <v>1</v>
      </c>
      <c r="E3027" s="460">
        <v>0</v>
      </c>
      <c r="F3027" s="569"/>
      <c r="G3027" s="1797"/>
      <c r="H3027" s="1777" t="s">
        <v>1238</v>
      </c>
      <c r="I3027" s="1742" t="s">
        <v>8808</v>
      </c>
      <c r="J3027" s="1779" t="s">
        <v>32</v>
      </c>
      <c r="K3027" s="1780"/>
      <c r="L3027" s="1781"/>
      <c r="M3027" s="1781"/>
      <c r="N3027" s="1746">
        <v>4354.07</v>
      </c>
      <c r="O3027" s="1782"/>
      <c r="P3027" s="1720"/>
    </row>
    <row r="3028" spans="1:16" ht="13.9" hidden="1" customHeight="1" outlineLevel="3" x14ac:dyDescent="0.2">
      <c r="A3028" s="459">
        <v>0</v>
      </c>
      <c r="B3028" s="459">
        <v>19</v>
      </c>
      <c r="C3028" s="459">
        <v>12</v>
      </c>
      <c r="D3028" s="460">
        <v>1</v>
      </c>
      <c r="E3028" s="460">
        <v>1</v>
      </c>
      <c r="F3028" s="569"/>
      <c r="G3028" s="1798" t="s">
        <v>53</v>
      </c>
      <c r="H3028" s="1783" t="s">
        <v>1239</v>
      </c>
      <c r="I3028" s="1750" t="s">
        <v>8809</v>
      </c>
      <c r="J3028" s="1785" t="s">
        <v>1267</v>
      </c>
      <c r="K3028" s="1786" t="s">
        <v>1130</v>
      </c>
      <c r="L3028" s="1787">
        <v>1</v>
      </c>
      <c r="M3028" s="1787">
        <v>4354.07</v>
      </c>
      <c r="N3028" s="1754">
        <v>4354.07</v>
      </c>
      <c r="O3028" s="1788"/>
      <c r="P3028" s="1721" t="s">
        <v>9611</v>
      </c>
    </row>
    <row r="3029" spans="1:16" ht="13.9" hidden="1" customHeight="1" outlineLevel="2" x14ac:dyDescent="0.2">
      <c r="A3029" s="459">
        <v>0</v>
      </c>
      <c r="B3029" s="459">
        <v>19</v>
      </c>
      <c r="C3029" s="459">
        <v>12</v>
      </c>
      <c r="D3029" s="460">
        <v>2</v>
      </c>
      <c r="E3029" s="460">
        <v>0</v>
      </c>
      <c r="F3029" s="569"/>
      <c r="G3029" s="1797"/>
      <c r="H3029" s="1777" t="s">
        <v>1238</v>
      </c>
      <c r="I3029" s="1742" t="s">
        <v>8810</v>
      </c>
      <c r="J3029" s="1779" t="s">
        <v>2821</v>
      </c>
      <c r="K3029" s="1780"/>
      <c r="L3029" s="1781"/>
      <c r="M3029" s="1781"/>
      <c r="N3029" s="1746">
        <v>1739.64</v>
      </c>
      <c r="O3029" s="1782"/>
      <c r="P3029" s="1720"/>
    </row>
    <row r="3030" spans="1:16" ht="13.9" hidden="1" customHeight="1" outlineLevel="3" x14ac:dyDescent="0.2">
      <c r="A3030" s="459">
        <v>0</v>
      </c>
      <c r="B3030" s="459">
        <v>19</v>
      </c>
      <c r="C3030" s="459">
        <v>12</v>
      </c>
      <c r="D3030" s="460">
        <v>2</v>
      </c>
      <c r="E3030" s="460">
        <v>1</v>
      </c>
      <c r="F3030" s="569"/>
      <c r="G3030" s="1798" t="s">
        <v>53</v>
      </c>
      <c r="H3030" s="1783" t="s">
        <v>1239</v>
      </c>
      <c r="I3030" s="1750" t="s">
        <v>8811</v>
      </c>
      <c r="J3030" s="1785" t="s">
        <v>1268</v>
      </c>
      <c r="K3030" s="1786" t="s">
        <v>1130</v>
      </c>
      <c r="L3030" s="1787">
        <v>1</v>
      </c>
      <c r="M3030" s="1787">
        <v>1739.6399999999999</v>
      </c>
      <c r="N3030" s="1754">
        <v>1739.64</v>
      </c>
      <c r="O3030" s="1788"/>
      <c r="P3030" s="1721" t="s">
        <v>9611</v>
      </c>
    </row>
    <row r="3031" spans="1:16" ht="13.9" hidden="1" customHeight="1" outlineLevel="2" x14ac:dyDescent="0.2">
      <c r="A3031" s="459">
        <v>0</v>
      </c>
      <c r="B3031" s="459">
        <v>19</v>
      </c>
      <c r="C3031" s="459">
        <v>12</v>
      </c>
      <c r="D3031" s="460">
        <v>3</v>
      </c>
      <c r="E3031" s="460">
        <v>0</v>
      </c>
      <c r="F3031" s="569"/>
      <c r="G3031" s="1797"/>
      <c r="H3031" s="1777" t="s">
        <v>1238</v>
      </c>
      <c r="I3031" s="1742" t="s">
        <v>8812</v>
      </c>
      <c r="J3031" s="1779" t="s">
        <v>15</v>
      </c>
      <c r="K3031" s="1780"/>
      <c r="L3031" s="1781"/>
      <c r="M3031" s="1781"/>
      <c r="N3031" s="1746">
        <v>2343.6799999999998</v>
      </c>
      <c r="O3031" s="1782"/>
      <c r="P3031" s="1720"/>
    </row>
    <row r="3032" spans="1:16" ht="13.9" hidden="1" customHeight="1" outlineLevel="3" x14ac:dyDescent="0.2">
      <c r="A3032" s="459">
        <v>0</v>
      </c>
      <c r="B3032" s="459">
        <v>19</v>
      </c>
      <c r="C3032" s="459">
        <v>12</v>
      </c>
      <c r="D3032" s="460">
        <v>3</v>
      </c>
      <c r="E3032" s="460">
        <v>1</v>
      </c>
      <c r="F3032" s="569"/>
      <c r="G3032" s="1798" t="s">
        <v>53</v>
      </c>
      <c r="H3032" s="1783" t="s">
        <v>1239</v>
      </c>
      <c r="I3032" s="1750" t="s">
        <v>8813</v>
      </c>
      <c r="J3032" s="1785" t="s">
        <v>1270</v>
      </c>
      <c r="K3032" s="1786" t="s">
        <v>1130</v>
      </c>
      <c r="L3032" s="1787">
        <v>1</v>
      </c>
      <c r="M3032" s="1787">
        <v>2343.6799999999998</v>
      </c>
      <c r="N3032" s="1754">
        <v>2343.6799999999998</v>
      </c>
      <c r="O3032" s="1788"/>
      <c r="P3032" s="1721" t="s">
        <v>9611</v>
      </c>
    </row>
    <row r="3033" spans="1:16" ht="13.9" hidden="1" customHeight="1" outlineLevel="1" x14ac:dyDescent="0.2">
      <c r="A3033" s="459">
        <v>0</v>
      </c>
      <c r="B3033" s="459">
        <v>19</v>
      </c>
      <c r="C3033" s="459">
        <v>13</v>
      </c>
      <c r="D3033" s="460">
        <v>0</v>
      </c>
      <c r="E3033" s="460">
        <v>1</v>
      </c>
      <c r="F3033" s="569"/>
      <c r="G3033" s="1796"/>
      <c r="H3033" s="1771" t="s">
        <v>39</v>
      </c>
      <c r="I3033" s="1735" t="s">
        <v>8814</v>
      </c>
      <c r="J3033" s="1773" t="s">
        <v>3089</v>
      </c>
      <c r="K3033" s="1774"/>
      <c r="L3033" s="1775"/>
      <c r="M3033" s="1775"/>
      <c r="N3033" s="1739">
        <v>3820.45</v>
      </c>
      <c r="O3033" s="1776"/>
      <c r="P3033" s="1725"/>
    </row>
    <row r="3034" spans="1:16" ht="15.75" hidden="1" customHeight="1" outlineLevel="2" x14ac:dyDescent="0.2">
      <c r="A3034" s="459">
        <v>0</v>
      </c>
      <c r="B3034" s="459">
        <v>19</v>
      </c>
      <c r="C3034" s="459">
        <v>13</v>
      </c>
      <c r="D3034" s="460">
        <v>1</v>
      </c>
      <c r="E3034" s="460">
        <v>0</v>
      </c>
      <c r="F3034" s="569"/>
      <c r="G3034" s="1797"/>
      <c r="H3034" s="1777" t="s">
        <v>1238</v>
      </c>
      <c r="I3034" s="1742" t="s">
        <v>8815</v>
      </c>
      <c r="J3034" s="1779" t="s">
        <v>32</v>
      </c>
      <c r="K3034" s="1780"/>
      <c r="L3034" s="1781"/>
      <c r="M3034" s="1781"/>
      <c r="N3034" s="1746">
        <v>1244.02</v>
      </c>
      <c r="O3034" s="1782"/>
      <c r="P3034" s="1720"/>
    </row>
    <row r="3035" spans="1:16" ht="13.9" hidden="1" customHeight="1" outlineLevel="3" x14ac:dyDescent="0.2">
      <c r="A3035" s="459">
        <v>0</v>
      </c>
      <c r="B3035" s="459">
        <v>19</v>
      </c>
      <c r="C3035" s="459">
        <v>13</v>
      </c>
      <c r="D3035" s="460">
        <v>1</v>
      </c>
      <c r="E3035" s="460">
        <v>1</v>
      </c>
      <c r="F3035" s="569"/>
      <c r="G3035" s="1798" t="s">
        <v>53</v>
      </c>
      <c r="H3035" s="1783" t="s">
        <v>1239</v>
      </c>
      <c r="I3035" s="1750" t="s">
        <v>8816</v>
      </c>
      <c r="J3035" s="1785" t="s">
        <v>1267</v>
      </c>
      <c r="K3035" s="1786" t="s">
        <v>1130</v>
      </c>
      <c r="L3035" s="1787">
        <v>1</v>
      </c>
      <c r="M3035" s="1787">
        <v>1244.02</v>
      </c>
      <c r="N3035" s="1754">
        <v>1244.02</v>
      </c>
      <c r="O3035" s="1788"/>
      <c r="P3035" s="1721" t="s">
        <v>9611</v>
      </c>
    </row>
    <row r="3036" spans="1:16" ht="13.9" hidden="1" customHeight="1" outlineLevel="2" x14ac:dyDescent="0.2">
      <c r="A3036" s="459">
        <v>0</v>
      </c>
      <c r="B3036" s="459">
        <v>19</v>
      </c>
      <c r="C3036" s="459">
        <v>13</v>
      </c>
      <c r="D3036" s="460">
        <v>2</v>
      </c>
      <c r="E3036" s="460">
        <v>0</v>
      </c>
      <c r="F3036" s="569"/>
      <c r="G3036" s="1797"/>
      <c r="H3036" s="1777" t="s">
        <v>1238</v>
      </c>
      <c r="I3036" s="1742" t="s">
        <v>8817</v>
      </c>
      <c r="J3036" s="1779" t="s">
        <v>2821</v>
      </c>
      <c r="K3036" s="1780"/>
      <c r="L3036" s="1781"/>
      <c r="M3036" s="1781"/>
      <c r="N3036" s="1746">
        <v>346.03</v>
      </c>
      <c r="O3036" s="1782"/>
      <c r="P3036" s="1720"/>
    </row>
    <row r="3037" spans="1:16" ht="13.9" hidden="1" customHeight="1" outlineLevel="3" x14ac:dyDescent="0.2">
      <c r="A3037" s="459">
        <v>0</v>
      </c>
      <c r="B3037" s="459">
        <v>19</v>
      </c>
      <c r="C3037" s="459">
        <v>13</v>
      </c>
      <c r="D3037" s="460">
        <v>2</v>
      </c>
      <c r="E3037" s="460">
        <v>1</v>
      </c>
      <c r="F3037" s="569"/>
      <c r="G3037" s="1798" t="s">
        <v>53</v>
      </c>
      <c r="H3037" s="1783" t="s">
        <v>1239</v>
      </c>
      <c r="I3037" s="1750" t="s">
        <v>8818</v>
      </c>
      <c r="J3037" s="1785" t="s">
        <v>1268</v>
      </c>
      <c r="K3037" s="1786" t="s">
        <v>1130</v>
      </c>
      <c r="L3037" s="1787">
        <v>1</v>
      </c>
      <c r="M3037" s="1787">
        <v>346.03</v>
      </c>
      <c r="N3037" s="1754">
        <v>346.03</v>
      </c>
      <c r="O3037" s="1788"/>
      <c r="P3037" s="1721" t="s">
        <v>9611</v>
      </c>
    </row>
    <row r="3038" spans="1:16" ht="13.9" hidden="1" customHeight="1" outlineLevel="2" x14ac:dyDescent="0.2">
      <c r="A3038" s="459">
        <v>0</v>
      </c>
      <c r="B3038" s="459">
        <v>19</v>
      </c>
      <c r="C3038" s="459">
        <v>13</v>
      </c>
      <c r="D3038" s="460">
        <v>3</v>
      </c>
      <c r="E3038" s="460">
        <v>0</v>
      </c>
      <c r="F3038" s="569"/>
      <c r="G3038" s="1797"/>
      <c r="H3038" s="1777" t="s">
        <v>1238</v>
      </c>
      <c r="I3038" s="1742" t="s">
        <v>8819</v>
      </c>
      <c r="J3038" s="1779" t="s">
        <v>15</v>
      </c>
      <c r="K3038" s="1780"/>
      <c r="L3038" s="1781"/>
      <c r="M3038" s="1781"/>
      <c r="N3038" s="1746">
        <v>2230.4</v>
      </c>
      <c r="O3038" s="1782"/>
      <c r="P3038" s="1720"/>
    </row>
    <row r="3039" spans="1:16" ht="13.9" hidden="1" customHeight="1" outlineLevel="3" x14ac:dyDescent="0.2">
      <c r="A3039" s="459">
        <v>0</v>
      </c>
      <c r="B3039" s="459">
        <v>19</v>
      </c>
      <c r="C3039" s="459">
        <v>13</v>
      </c>
      <c r="D3039" s="460">
        <v>3</v>
      </c>
      <c r="E3039" s="460">
        <v>1</v>
      </c>
      <c r="F3039" s="569"/>
      <c r="G3039" s="1798" t="s">
        <v>53</v>
      </c>
      <c r="H3039" s="1783" t="s">
        <v>1239</v>
      </c>
      <c r="I3039" s="1750" t="s">
        <v>8820</v>
      </c>
      <c r="J3039" s="1785" t="s">
        <v>1270</v>
      </c>
      <c r="K3039" s="1786" t="s">
        <v>1130</v>
      </c>
      <c r="L3039" s="1787">
        <v>1</v>
      </c>
      <c r="M3039" s="1787">
        <v>2230.4</v>
      </c>
      <c r="N3039" s="1754">
        <v>2230.4</v>
      </c>
      <c r="O3039" s="1788"/>
      <c r="P3039" s="1721" t="s">
        <v>9611</v>
      </c>
    </row>
    <row r="3040" spans="1:16" ht="13.9" hidden="1" customHeight="1" outlineLevel="1" x14ac:dyDescent="0.2">
      <c r="A3040" s="459">
        <v>0</v>
      </c>
      <c r="B3040" s="459">
        <v>19</v>
      </c>
      <c r="C3040" s="459">
        <v>14</v>
      </c>
      <c r="D3040" s="460">
        <v>0</v>
      </c>
      <c r="E3040" s="460">
        <v>1</v>
      </c>
      <c r="F3040" s="569"/>
      <c r="G3040" s="1796"/>
      <c r="H3040" s="1771" t="s">
        <v>39</v>
      </c>
      <c r="I3040" s="1735" t="s">
        <v>8821</v>
      </c>
      <c r="J3040" s="1773" t="s">
        <v>3090</v>
      </c>
      <c r="K3040" s="1774"/>
      <c r="L3040" s="1775"/>
      <c r="M3040" s="1775"/>
      <c r="N3040" s="1739">
        <v>1189.76</v>
      </c>
      <c r="O3040" s="1776"/>
      <c r="P3040" s="1725"/>
    </row>
    <row r="3041" spans="1:16" ht="13.9" hidden="1" customHeight="1" outlineLevel="2" x14ac:dyDescent="0.2">
      <c r="A3041" s="459">
        <v>0</v>
      </c>
      <c r="B3041" s="459">
        <v>19</v>
      </c>
      <c r="C3041" s="459">
        <v>14</v>
      </c>
      <c r="D3041" s="460">
        <v>1</v>
      </c>
      <c r="E3041" s="460">
        <v>0</v>
      </c>
      <c r="F3041" s="569"/>
      <c r="G3041" s="1797"/>
      <c r="H3041" s="1777" t="s">
        <v>1238</v>
      </c>
      <c r="I3041" s="1742" t="s">
        <v>8822</v>
      </c>
      <c r="J3041" s="1779" t="s">
        <v>2821</v>
      </c>
      <c r="K3041" s="1780"/>
      <c r="L3041" s="1781"/>
      <c r="M3041" s="1781"/>
      <c r="N3041" s="1746">
        <v>600</v>
      </c>
      <c r="O3041" s="1782"/>
      <c r="P3041" s="1720"/>
    </row>
    <row r="3042" spans="1:16" ht="13.9" hidden="1" customHeight="1" outlineLevel="3" x14ac:dyDescent="0.2">
      <c r="A3042" s="459">
        <v>0</v>
      </c>
      <c r="B3042" s="459">
        <v>19</v>
      </c>
      <c r="C3042" s="459">
        <v>14</v>
      </c>
      <c r="D3042" s="460">
        <v>1</v>
      </c>
      <c r="E3042" s="460">
        <v>1</v>
      </c>
      <c r="F3042" s="569"/>
      <c r="G3042" s="1798" t="s">
        <v>53</v>
      </c>
      <c r="H3042" s="1783" t="s">
        <v>1239</v>
      </c>
      <c r="I3042" s="1750" t="s">
        <v>8823</v>
      </c>
      <c r="J3042" s="1785" t="s">
        <v>1268</v>
      </c>
      <c r="K3042" s="1786" t="s">
        <v>1130</v>
      </c>
      <c r="L3042" s="1787">
        <v>1</v>
      </c>
      <c r="M3042" s="1787">
        <v>600</v>
      </c>
      <c r="N3042" s="1754">
        <v>600</v>
      </c>
      <c r="O3042" s="1788"/>
      <c r="P3042" s="1721" t="s">
        <v>9611</v>
      </c>
    </row>
    <row r="3043" spans="1:16" ht="13.9" hidden="1" customHeight="1" outlineLevel="2" x14ac:dyDescent="0.2">
      <c r="A3043" s="459">
        <v>0</v>
      </c>
      <c r="B3043" s="459">
        <v>19</v>
      </c>
      <c r="C3043" s="459">
        <v>14</v>
      </c>
      <c r="D3043" s="460">
        <v>2</v>
      </c>
      <c r="E3043" s="460">
        <v>0</v>
      </c>
      <c r="F3043" s="569"/>
      <c r="G3043" s="1797"/>
      <c r="H3043" s="1777" t="s">
        <v>1238</v>
      </c>
      <c r="I3043" s="1742" t="s">
        <v>8824</v>
      </c>
      <c r="J3043" s="1779" t="s">
        <v>15</v>
      </c>
      <c r="K3043" s="1780"/>
      <c r="L3043" s="1781"/>
      <c r="M3043" s="1781"/>
      <c r="N3043" s="1746">
        <v>589.76</v>
      </c>
      <c r="O3043" s="1782"/>
      <c r="P3043" s="1720"/>
    </row>
    <row r="3044" spans="1:16" ht="13.9" hidden="1" customHeight="1" outlineLevel="3" x14ac:dyDescent="0.2">
      <c r="A3044" s="459">
        <v>0</v>
      </c>
      <c r="B3044" s="459">
        <v>19</v>
      </c>
      <c r="C3044" s="459">
        <v>14</v>
      </c>
      <c r="D3044" s="460">
        <v>2</v>
      </c>
      <c r="E3044" s="460">
        <v>1</v>
      </c>
      <c r="F3044" s="569"/>
      <c r="G3044" s="1798" t="s">
        <v>53</v>
      </c>
      <c r="H3044" s="1783" t="s">
        <v>1239</v>
      </c>
      <c r="I3044" s="1750" t="s">
        <v>8825</v>
      </c>
      <c r="J3044" s="1785" t="s">
        <v>1270</v>
      </c>
      <c r="K3044" s="1786" t="s">
        <v>1130</v>
      </c>
      <c r="L3044" s="1787">
        <v>1</v>
      </c>
      <c r="M3044" s="1787">
        <v>589.76</v>
      </c>
      <c r="N3044" s="1754">
        <v>589.76</v>
      </c>
      <c r="O3044" s="1788"/>
      <c r="P3044" s="1721" t="s">
        <v>9611</v>
      </c>
    </row>
    <row r="3045" spans="1:16" ht="13.9" customHeight="1" collapsed="1" x14ac:dyDescent="0.2">
      <c r="A3045" s="459">
        <v>0</v>
      </c>
      <c r="B3045" s="459">
        <v>20</v>
      </c>
      <c r="C3045" s="459">
        <v>0</v>
      </c>
      <c r="D3045" s="460">
        <v>2</v>
      </c>
      <c r="E3045" s="460">
        <v>1</v>
      </c>
      <c r="F3045" s="569"/>
      <c r="G3045" s="1794"/>
      <c r="H3045" s="1766" t="s">
        <v>1237</v>
      </c>
      <c r="I3045" s="1728" t="s">
        <v>8826</v>
      </c>
      <c r="J3045" s="1795" t="s">
        <v>33</v>
      </c>
      <c r="K3045" s="1768"/>
      <c r="L3045" s="1769"/>
      <c r="M3045" s="1769"/>
      <c r="N3045" s="1732">
        <v>34721</v>
      </c>
      <c r="O3045" s="1770">
        <v>2.0729363623283299</v>
      </c>
      <c r="P3045" s="1724"/>
    </row>
    <row r="3046" spans="1:16" ht="13.9" hidden="1" customHeight="1" outlineLevel="1" x14ac:dyDescent="0.2">
      <c r="A3046" s="459">
        <v>0</v>
      </c>
      <c r="B3046" s="459">
        <v>20</v>
      </c>
      <c r="C3046" s="459">
        <v>1</v>
      </c>
      <c r="D3046" s="460">
        <v>0</v>
      </c>
      <c r="E3046" s="460">
        <v>1</v>
      </c>
      <c r="F3046" s="569"/>
      <c r="G3046" s="1796"/>
      <c r="H3046" s="1771" t="s">
        <v>39</v>
      </c>
      <c r="I3046" s="1735" t="s">
        <v>8827</v>
      </c>
      <c r="J3046" s="1773" t="s">
        <v>33</v>
      </c>
      <c r="K3046" s="1774"/>
      <c r="L3046" s="1775"/>
      <c r="M3046" s="1775"/>
      <c r="N3046" s="1739">
        <v>34721</v>
      </c>
      <c r="O3046" s="1776"/>
      <c r="P3046" s="1725"/>
    </row>
    <row r="3047" spans="1:16" ht="13.9" hidden="1" customHeight="1" outlineLevel="2" x14ac:dyDescent="0.2">
      <c r="A3047" s="459">
        <v>0</v>
      </c>
      <c r="B3047" s="459">
        <v>20</v>
      </c>
      <c r="C3047" s="459">
        <v>1</v>
      </c>
      <c r="D3047" s="460">
        <v>1</v>
      </c>
      <c r="E3047" s="460">
        <v>0</v>
      </c>
      <c r="F3047" s="569"/>
      <c r="G3047" s="1797"/>
      <c r="H3047" s="1777" t="s">
        <v>1238</v>
      </c>
      <c r="I3047" s="1742" t="s">
        <v>8828</v>
      </c>
      <c r="J3047" s="1779" t="s">
        <v>2823</v>
      </c>
      <c r="K3047" s="1780"/>
      <c r="L3047" s="1781"/>
      <c r="M3047" s="1781"/>
      <c r="N3047" s="1746">
        <v>34721</v>
      </c>
      <c r="O3047" s="1782"/>
      <c r="P3047" s="1720"/>
    </row>
    <row r="3048" spans="1:16" ht="13.9" hidden="1" customHeight="1" outlineLevel="3" x14ac:dyDescent="0.2">
      <c r="A3048" s="459">
        <v>0</v>
      </c>
      <c r="B3048" s="459">
        <v>20</v>
      </c>
      <c r="C3048" s="459">
        <v>1</v>
      </c>
      <c r="D3048" s="460">
        <v>1</v>
      </c>
      <c r="E3048" s="460">
        <v>1</v>
      </c>
      <c r="F3048" s="569"/>
      <c r="G3048" s="1798" t="s">
        <v>33</v>
      </c>
      <c r="H3048" s="1783" t="s">
        <v>1239</v>
      </c>
      <c r="I3048" s="1750" t="s">
        <v>8829</v>
      </c>
      <c r="J3048" s="1785" t="s">
        <v>1006</v>
      </c>
      <c r="K3048" s="1786" t="s">
        <v>3260</v>
      </c>
      <c r="L3048" s="1787">
        <v>1</v>
      </c>
      <c r="M3048" s="1787">
        <v>34721</v>
      </c>
      <c r="N3048" s="1754">
        <v>34721</v>
      </c>
      <c r="O3048" s="1788"/>
      <c r="P3048" s="1721" t="s">
        <v>9611</v>
      </c>
    </row>
    <row r="3049" spans="1:16" ht="13.9" customHeight="1" collapsed="1" x14ac:dyDescent="0.2">
      <c r="A3049" s="459">
        <v>0</v>
      </c>
      <c r="B3049" s="459">
        <v>21</v>
      </c>
      <c r="C3049" s="459">
        <v>0</v>
      </c>
      <c r="D3049" s="460">
        <v>1</v>
      </c>
      <c r="E3049" s="460">
        <v>1</v>
      </c>
      <c r="F3049" s="569"/>
      <c r="G3049" s="1794"/>
      <c r="H3049" s="1766" t="s">
        <v>1237</v>
      </c>
      <c r="I3049" s="1728" t="s">
        <v>8830</v>
      </c>
      <c r="J3049" s="1795" t="s">
        <v>2530</v>
      </c>
      <c r="K3049" s="1768"/>
      <c r="L3049" s="1769"/>
      <c r="M3049" s="1769"/>
      <c r="N3049" s="1732"/>
      <c r="O3049" s="1770"/>
      <c r="P3049" s="1723"/>
    </row>
    <row r="3050" spans="1:16" ht="13.9" hidden="1" customHeight="1" outlineLevel="1" x14ac:dyDescent="0.2">
      <c r="A3050" s="459">
        <v>0</v>
      </c>
      <c r="B3050" s="459">
        <v>21</v>
      </c>
      <c r="C3050" s="459">
        <v>1</v>
      </c>
      <c r="D3050" s="460">
        <v>0</v>
      </c>
      <c r="E3050" s="460">
        <v>1</v>
      </c>
      <c r="F3050" s="130"/>
      <c r="G3050" s="1796"/>
      <c r="H3050" s="1771" t="s">
        <v>39</v>
      </c>
      <c r="I3050" s="1735" t="s">
        <v>8831</v>
      </c>
      <c r="J3050" s="1773" t="s">
        <v>3123</v>
      </c>
      <c r="K3050" s="1774"/>
      <c r="L3050" s="1775"/>
      <c r="M3050" s="1775"/>
      <c r="N3050" s="1739"/>
      <c r="O3050" s="1776"/>
      <c r="P3050" s="1725"/>
    </row>
    <row r="3051" spans="1:16" ht="13.9" hidden="1" customHeight="1" outlineLevel="2" x14ac:dyDescent="0.2">
      <c r="A3051" s="459">
        <v>0</v>
      </c>
      <c r="B3051" s="459">
        <v>21</v>
      </c>
      <c r="C3051" s="459">
        <v>1</v>
      </c>
      <c r="D3051" s="460">
        <v>1</v>
      </c>
      <c r="E3051" s="460">
        <v>0</v>
      </c>
      <c r="F3051" s="130"/>
      <c r="G3051" s="1797"/>
      <c r="H3051" s="1777" t="s">
        <v>1238</v>
      </c>
      <c r="I3051" s="1742" t="s">
        <v>8832</v>
      </c>
      <c r="J3051" s="1779" t="s">
        <v>2824</v>
      </c>
      <c r="K3051" s="1780"/>
      <c r="L3051" s="1781"/>
      <c r="M3051" s="1781"/>
      <c r="N3051" s="1746"/>
      <c r="O3051" s="1782"/>
      <c r="P3051" s="1720"/>
    </row>
    <row r="3052" spans="1:16" ht="13.9" hidden="1" customHeight="1" outlineLevel="3" x14ac:dyDescent="0.2">
      <c r="A3052" s="459">
        <v>0</v>
      </c>
      <c r="B3052" s="459">
        <v>21</v>
      </c>
      <c r="C3052" s="459">
        <v>1</v>
      </c>
      <c r="D3052" s="460">
        <v>1</v>
      </c>
      <c r="E3052" s="460">
        <v>1</v>
      </c>
      <c r="F3052" s="130"/>
      <c r="G3052" s="1798" t="s">
        <v>2383</v>
      </c>
      <c r="H3052" s="1783" t="s">
        <v>1239</v>
      </c>
      <c r="I3052" s="1750" t="s">
        <v>8833</v>
      </c>
      <c r="J3052" s="1785" t="s">
        <v>894</v>
      </c>
      <c r="K3052" s="1786" t="s">
        <v>642</v>
      </c>
      <c r="L3052" s="1787" t="e">
        <v>#REF!</v>
      </c>
      <c r="M3052" s="1787">
        <v>10.11778</v>
      </c>
      <c r="N3052" s="1754"/>
      <c r="O3052" s="1788"/>
      <c r="P3052" s="1721" t="s">
        <v>9611</v>
      </c>
    </row>
    <row r="3053" spans="1:16" ht="13.9" hidden="1" customHeight="1" outlineLevel="3" x14ac:dyDescent="0.2">
      <c r="A3053" s="459">
        <v>0</v>
      </c>
      <c r="B3053" s="459">
        <v>21</v>
      </c>
      <c r="C3053" s="459">
        <v>1</v>
      </c>
      <c r="D3053" s="460">
        <v>1</v>
      </c>
      <c r="E3053" s="460">
        <v>2</v>
      </c>
      <c r="F3053" s="130"/>
      <c r="G3053" s="1798" t="s">
        <v>2383</v>
      </c>
      <c r="H3053" s="1783" t="s">
        <v>1239</v>
      </c>
      <c r="I3053" s="1750" t="s">
        <v>8834</v>
      </c>
      <c r="J3053" s="1785" t="s">
        <v>854</v>
      </c>
      <c r="K3053" s="1786" t="s">
        <v>642</v>
      </c>
      <c r="L3053" s="1787" t="e">
        <v>#REF!</v>
      </c>
      <c r="M3053" s="1787">
        <v>3.28945</v>
      </c>
      <c r="N3053" s="1754"/>
      <c r="O3053" s="1788"/>
      <c r="P3053" s="1721" t="s">
        <v>9611</v>
      </c>
    </row>
    <row r="3054" spans="1:16" ht="13.9" hidden="1" customHeight="1" outlineLevel="3" x14ac:dyDescent="0.2">
      <c r="A3054" s="459">
        <v>0</v>
      </c>
      <c r="B3054" s="459">
        <v>21</v>
      </c>
      <c r="C3054" s="459">
        <v>1</v>
      </c>
      <c r="D3054" s="460">
        <v>1</v>
      </c>
      <c r="E3054" s="460">
        <v>3</v>
      </c>
      <c r="F3054" s="130"/>
      <c r="G3054" s="1798" t="s">
        <v>2383</v>
      </c>
      <c r="H3054" s="1783" t="s">
        <v>1239</v>
      </c>
      <c r="I3054" s="1750" t="s">
        <v>8835</v>
      </c>
      <c r="J3054" s="1785" t="s">
        <v>853</v>
      </c>
      <c r="K3054" s="1786" t="s">
        <v>642</v>
      </c>
      <c r="L3054" s="1787" t="e">
        <v>#REF!</v>
      </c>
      <c r="M3054" s="1787">
        <v>10.893750000000001</v>
      </c>
      <c r="N3054" s="1754"/>
      <c r="O3054" s="1788"/>
      <c r="P3054" s="1721" t="s">
        <v>9611</v>
      </c>
    </row>
    <row r="3055" spans="1:16" ht="13.9" hidden="1" customHeight="1" outlineLevel="2" x14ac:dyDescent="0.2">
      <c r="A3055" s="459">
        <v>0</v>
      </c>
      <c r="B3055" s="459">
        <v>21</v>
      </c>
      <c r="C3055" s="459">
        <v>1</v>
      </c>
      <c r="D3055" s="460">
        <v>2</v>
      </c>
      <c r="E3055" s="460">
        <v>0</v>
      </c>
      <c r="F3055" s="130"/>
      <c r="G3055" s="1797"/>
      <c r="H3055" s="1777" t="s">
        <v>1238</v>
      </c>
      <c r="I3055" s="1742" t="s">
        <v>8836</v>
      </c>
      <c r="J3055" s="1779" t="s">
        <v>2750</v>
      </c>
      <c r="K3055" s="1780"/>
      <c r="L3055" s="1781"/>
      <c r="M3055" s="1781"/>
      <c r="N3055" s="1746"/>
      <c r="O3055" s="1782"/>
      <c r="P3055" s="1720"/>
    </row>
    <row r="3056" spans="1:16" ht="12.75" hidden="1" outlineLevel="3" x14ac:dyDescent="0.2">
      <c r="A3056" s="459">
        <v>0</v>
      </c>
      <c r="B3056" s="459">
        <v>21</v>
      </c>
      <c r="C3056" s="459">
        <v>1</v>
      </c>
      <c r="D3056" s="460">
        <v>2</v>
      </c>
      <c r="E3056" s="460">
        <v>1</v>
      </c>
      <c r="F3056" s="130"/>
      <c r="G3056" s="1798" t="s">
        <v>2383</v>
      </c>
      <c r="H3056" s="1783" t="s">
        <v>1239</v>
      </c>
      <c r="I3056" s="1750" t="s">
        <v>8837</v>
      </c>
      <c r="J3056" s="1785" t="s">
        <v>3531</v>
      </c>
      <c r="K3056" s="1786" t="s">
        <v>642</v>
      </c>
      <c r="L3056" s="1787" t="e">
        <v>#REF!</v>
      </c>
      <c r="M3056" s="1787">
        <v>35.786235333333337</v>
      </c>
      <c r="N3056" s="1754"/>
      <c r="O3056" s="1788"/>
      <c r="P3056" s="1721" t="s">
        <v>9611</v>
      </c>
    </row>
    <row r="3057" spans="1:16" ht="12.75" hidden="1" outlineLevel="3" x14ac:dyDescent="0.2">
      <c r="A3057" s="459">
        <v>0</v>
      </c>
      <c r="B3057" s="459">
        <v>21</v>
      </c>
      <c r="C3057" s="459">
        <v>1</v>
      </c>
      <c r="D3057" s="460">
        <v>2</v>
      </c>
      <c r="E3057" s="460">
        <v>2</v>
      </c>
      <c r="F3057" s="130"/>
      <c r="G3057" s="1798" t="s">
        <v>2383</v>
      </c>
      <c r="H3057" s="1783" t="s">
        <v>1239</v>
      </c>
      <c r="I3057" s="1750" t="s">
        <v>8838</v>
      </c>
      <c r="J3057" s="1785" t="s">
        <v>3531</v>
      </c>
      <c r="K3057" s="1786" t="s">
        <v>642</v>
      </c>
      <c r="L3057" s="1787" t="e">
        <v>#REF!</v>
      </c>
      <c r="M3057" s="1787">
        <v>35.786235333333337</v>
      </c>
      <c r="N3057" s="1754"/>
      <c r="O3057" s="1788"/>
      <c r="P3057" s="1721" t="s">
        <v>9611</v>
      </c>
    </row>
    <row r="3058" spans="1:16" ht="12.75" hidden="1" outlineLevel="3" x14ac:dyDescent="0.2">
      <c r="A3058" s="459">
        <v>0</v>
      </c>
      <c r="B3058" s="459">
        <v>21</v>
      </c>
      <c r="C3058" s="459">
        <v>1</v>
      </c>
      <c r="D3058" s="460">
        <v>2</v>
      </c>
      <c r="E3058" s="460">
        <v>3</v>
      </c>
      <c r="F3058" s="130"/>
      <c r="G3058" s="1798" t="s">
        <v>2383</v>
      </c>
      <c r="H3058" s="1783" t="s">
        <v>1239</v>
      </c>
      <c r="I3058" s="1750" t="s">
        <v>8839</v>
      </c>
      <c r="J3058" s="1785" t="s">
        <v>5336</v>
      </c>
      <c r="K3058" s="1786" t="s">
        <v>642</v>
      </c>
      <c r="L3058" s="1787" t="e">
        <v>#REF!</v>
      </c>
      <c r="M3058" s="1787">
        <v>68.50855555555556</v>
      </c>
      <c r="N3058" s="1754"/>
      <c r="O3058" s="1788"/>
      <c r="P3058" s="1721" t="s">
        <v>9611</v>
      </c>
    </row>
    <row r="3059" spans="1:16" ht="13.9" hidden="1" customHeight="1" outlineLevel="2" x14ac:dyDescent="0.2">
      <c r="A3059" s="459">
        <v>0</v>
      </c>
      <c r="B3059" s="459">
        <v>21</v>
      </c>
      <c r="C3059" s="459">
        <v>1</v>
      </c>
      <c r="D3059" s="460">
        <v>3</v>
      </c>
      <c r="E3059" s="460">
        <v>0</v>
      </c>
      <c r="F3059" s="130"/>
      <c r="G3059" s="1797"/>
      <c r="H3059" s="1777" t="s">
        <v>1238</v>
      </c>
      <c r="I3059" s="1742" t="s">
        <v>8840</v>
      </c>
      <c r="J3059" s="1779" t="s">
        <v>2825</v>
      </c>
      <c r="K3059" s="1780"/>
      <c r="L3059" s="1781"/>
      <c r="M3059" s="1781"/>
      <c r="N3059" s="1746"/>
      <c r="O3059" s="1782"/>
      <c r="P3059" s="1720"/>
    </row>
    <row r="3060" spans="1:16" ht="13.9" hidden="1" customHeight="1" outlineLevel="3" x14ac:dyDescent="0.2">
      <c r="A3060" s="459">
        <v>0</v>
      </c>
      <c r="B3060" s="459">
        <v>21</v>
      </c>
      <c r="C3060" s="459">
        <v>1</v>
      </c>
      <c r="D3060" s="460">
        <v>3</v>
      </c>
      <c r="E3060" s="460">
        <v>1</v>
      </c>
      <c r="F3060" s="130"/>
      <c r="G3060" s="1798" t="s">
        <v>2383</v>
      </c>
      <c r="H3060" s="1783" t="s">
        <v>1239</v>
      </c>
      <c r="I3060" s="1750" t="s">
        <v>8841</v>
      </c>
      <c r="J3060" s="1785" t="s">
        <v>3129</v>
      </c>
      <c r="K3060" s="1786" t="s">
        <v>642</v>
      </c>
      <c r="L3060" s="1787" t="e">
        <v>#REF!</v>
      </c>
      <c r="M3060" s="1787">
        <v>412.93298484848486</v>
      </c>
      <c r="N3060" s="1754"/>
      <c r="O3060" s="1788" t="s">
        <v>3125</v>
      </c>
      <c r="P3060" s="1721" t="s">
        <v>9611</v>
      </c>
    </row>
    <row r="3061" spans="1:16" ht="13.9" hidden="1" customHeight="1" outlineLevel="3" x14ac:dyDescent="0.2">
      <c r="A3061" s="459">
        <v>0</v>
      </c>
      <c r="B3061" s="459">
        <v>21</v>
      </c>
      <c r="C3061" s="459">
        <v>1</v>
      </c>
      <c r="D3061" s="460">
        <v>3</v>
      </c>
      <c r="E3061" s="460">
        <v>2</v>
      </c>
      <c r="F3061" s="130"/>
      <c r="G3061" s="1798" t="s">
        <v>2383</v>
      </c>
      <c r="H3061" s="1783" t="s">
        <v>1239</v>
      </c>
      <c r="I3061" s="1750" t="s">
        <v>8842</v>
      </c>
      <c r="J3061" s="1785" t="s">
        <v>5345</v>
      </c>
      <c r="K3061" s="1786" t="s">
        <v>642</v>
      </c>
      <c r="L3061" s="1787" t="e">
        <v>#REF!</v>
      </c>
      <c r="M3061" s="1787">
        <v>1102</v>
      </c>
      <c r="N3061" s="1754"/>
      <c r="O3061" s="1788"/>
      <c r="P3061" s="1721" t="s">
        <v>9611</v>
      </c>
    </row>
    <row r="3062" spans="1:16" ht="13.9" hidden="1" customHeight="1" outlineLevel="3" x14ac:dyDescent="0.2">
      <c r="A3062" s="459">
        <v>0</v>
      </c>
      <c r="B3062" s="459">
        <v>21</v>
      </c>
      <c r="C3062" s="459">
        <v>1</v>
      </c>
      <c r="D3062" s="460">
        <v>3</v>
      </c>
      <c r="E3062" s="460">
        <v>3</v>
      </c>
      <c r="F3062" s="130"/>
      <c r="G3062" s="1798" t="s">
        <v>2383</v>
      </c>
      <c r="H3062" s="1783" t="s">
        <v>1239</v>
      </c>
      <c r="I3062" s="1750" t="s">
        <v>8843</v>
      </c>
      <c r="J3062" s="1785" t="s">
        <v>5346</v>
      </c>
      <c r="K3062" s="1786" t="s">
        <v>788</v>
      </c>
      <c r="L3062" s="1787" t="e">
        <v>#REF!</v>
      </c>
      <c r="M3062" s="1787">
        <v>211.47737545454549</v>
      </c>
      <c r="N3062" s="1754"/>
      <c r="O3062" s="1788"/>
      <c r="P3062" s="1721" t="s">
        <v>9611</v>
      </c>
    </row>
    <row r="3063" spans="1:16" ht="13.9" hidden="1" customHeight="1" outlineLevel="3" x14ac:dyDescent="0.2">
      <c r="A3063" s="459">
        <v>0</v>
      </c>
      <c r="B3063" s="459">
        <v>21</v>
      </c>
      <c r="C3063" s="459">
        <v>1</v>
      </c>
      <c r="D3063" s="460">
        <v>3</v>
      </c>
      <c r="E3063" s="460">
        <v>4</v>
      </c>
      <c r="F3063" s="130"/>
      <c r="G3063" s="1798" t="s">
        <v>2383</v>
      </c>
      <c r="H3063" s="1783" t="s">
        <v>1239</v>
      </c>
      <c r="I3063" s="1750" t="s">
        <v>8844</v>
      </c>
      <c r="J3063" s="1785" t="s">
        <v>5341</v>
      </c>
      <c r="K3063" s="1786" t="s">
        <v>788</v>
      </c>
      <c r="L3063" s="1787" t="e">
        <v>#REF!</v>
      </c>
      <c r="M3063" s="1787">
        <v>150.38018545454545</v>
      </c>
      <c r="N3063" s="1754"/>
      <c r="O3063" s="1788"/>
      <c r="P3063" s="1721" t="s">
        <v>9611</v>
      </c>
    </row>
    <row r="3064" spans="1:16" ht="13.9" hidden="1" customHeight="1" outlineLevel="3" x14ac:dyDescent="0.2">
      <c r="A3064" s="459">
        <v>0</v>
      </c>
      <c r="B3064" s="459">
        <v>21</v>
      </c>
      <c r="C3064" s="459">
        <v>1</v>
      </c>
      <c r="D3064" s="460">
        <v>3</v>
      </c>
      <c r="E3064" s="460">
        <v>5</v>
      </c>
      <c r="F3064" s="130"/>
      <c r="G3064" s="1798" t="s">
        <v>2383</v>
      </c>
      <c r="H3064" s="1783" t="s">
        <v>1239</v>
      </c>
      <c r="I3064" s="1750" t="s">
        <v>8845</v>
      </c>
      <c r="J3064" s="1785" t="s">
        <v>5347</v>
      </c>
      <c r="K3064" s="1786" t="s">
        <v>642</v>
      </c>
      <c r="L3064" s="1787" t="e">
        <v>#REF!</v>
      </c>
      <c r="M3064" s="1787">
        <v>443.28559999999999</v>
      </c>
      <c r="N3064" s="1754"/>
      <c r="O3064" s="1788"/>
      <c r="P3064" s="1721" t="s">
        <v>9611</v>
      </c>
    </row>
    <row r="3065" spans="1:16" ht="13.9" hidden="1" customHeight="1" outlineLevel="3" x14ac:dyDescent="0.2">
      <c r="A3065" s="459">
        <v>0</v>
      </c>
      <c r="B3065" s="459">
        <v>21</v>
      </c>
      <c r="C3065" s="459">
        <v>1</v>
      </c>
      <c r="D3065" s="460">
        <v>3</v>
      </c>
      <c r="E3065" s="460">
        <v>6</v>
      </c>
      <c r="F3065" s="130"/>
      <c r="G3065" s="1798" t="s">
        <v>2383</v>
      </c>
      <c r="H3065" s="1783" t="s">
        <v>1239</v>
      </c>
      <c r="I3065" s="1750" t="s">
        <v>8846</v>
      </c>
      <c r="J3065" s="1785" t="s">
        <v>3165</v>
      </c>
      <c r="K3065" s="1786" t="s">
        <v>788</v>
      </c>
      <c r="L3065" s="1787" t="e">
        <v>#REF!</v>
      </c>
      <c r="M3065" s="1787">
        <v>173.83200000000002</v>
      </c>
      <c r="N3065" s="1754"/>
      <c r="O3065" s="1788"/>
      <c r="P3065" s="1721" t="s">
        <v>9611</v>
      </c>
    </row>
    <row r="3066" spans="1:16" ht="13.9" hidden="1" customHeight="1" outlineLevel="3" x14ac:dyDescent="0.2">
      <c r="A3066" s="459">
        <v>0</v>
      </c>
      <c r="B3066" s="459">
        <v>21</v>
      </c>
      <c r="C3066" s="459">
        <v>1</v>
      </c>
      <c r="D3066" s="460">
        <v>3</v>
      </c>
      <c r="E3066" s="460">
        <v>7</v>
      </c>
      <c r="F3066" s="130"/>
      <c r="G3066" s="1798" t="s">
        <v>2383</v>
      </c>
      <c r="H3066" s="1783" t="s">
        <v>1239</v>
      </c>
      <c r="I3066" s="1750" t="s">
        <v>8847</v>
      </c>
      <c r="J3066" s="1785" t="s">
        <v>3144</v>
      </c>
      <c r="K3066" s="1786" t="s">
        <v>642</v>
      </c>
      <c r="L3066" s="1787" t="e">
        <v>#REF!</v>
      </c>
      <c r="M3066" s="1787">
        <v>1843.3440000000001</v>
      </c>
      <c r="N3066" s="1754"/>
      <c r="O3066" s="1788"/>
      <c r="P3066" s="1721" t="s">
        <v>9611</v>
      </c>
    </row>
    <row r="3067" spans="1:16" ht="13.9" hidden="1" customHeight="1" outlineLevel="3" x14ac:dyDescent="0.2">
      <c r="A3067" s="459">
        <v>0</v>
      </c>
      <c r="B3067" s="459">
        <v>21</v>
      </c>
      <c r="C3067" s="459">
        <v>1</v>
      </c>
      <c r="D3067" s="460">
        <v>3</v>
      </c>
      <c r="E3067" s="460">
        <v>8</v>
      </c>
      <c r="F3067" s="130"/>
      <c r="G3067" s="1798" t="s">
        <v>2383</v>
      </c>
      <c r="H3067" s="1783" t="s">
        <v>1239</v>
      </c>
      <c r="I3067" s="1750" t="s">
        <v>8848</v>
      </c>
      <c r="J3067" s="1785" t="s">
        <v>5338</v>
      </c>
      <c r="K3067" s="1786" t="s">
        <v>642</v>
      </c>
      <c r="L3067" s="1787" t="e">
        <v>#REF!</v>
      </c>
      <c r="M3067" s="1787">
        <v>807.74</v>
      </c>
      <c r="N3067" s="1754"/>
      <c r="O3067" s="1788"/>
      <c r="P3067" s="1721" t="s">
        <v>9611</v>
      </c>
    </row>
    <row r="3068" spans="1:16" ht="13.9" hidden="1" customHeight="1" outlineLevel="3" x14ac:dyDescent="0.2">
      <c r="A3068" s="459">
        <v>0</v>
      </c>
      <c r="B3068" s="459">
        <v>21</v>
      </c>
      <c r="C3068" s="459">
        <v>1</v>
      </c>
      <c r="D3068" s="460">
        <v>3</v>
      </c>
      <c r="E3068" s="460">
        <v>9</v>
      </c>
      <c r="F3068" s="130"/>
      <c r="G3068" s="1798" t="s">
        <v>2383</v>
      </c>
      <c r="H3068" s="1783" t="s">
        <v>1239</v>
      </c>
      <c r="I3068" s="1750" t="s">
        <v>8849</v>
      </c>
      <c r="J3068" s="1785" t="s">
        <v>5339</v>
      </c>
      <c r="K3068" s="1786" t="s">
        <v>642</v>
      </c>
      <c r="L3068" s="1787" t="e">
        <v>#REF!</v>
      </c>
      <c r="M3068" s="1787">
        <v>172.02560000000003</v>
      </c>
      <c r="N3068" s="1754"/>
      <c r="O3068" s="1788" t="s">
        <v>5348</v>
      </c>
      <c r="P3068" s="1721" t="s">
        <v>9611</v>
      </c>
    </row>
    <row r="3069" spans="1:16" ht="13.9" hidden="1" customHeight="1" outlineLevel="3" x14ac:dyDescent="0.2">
      <c r="A3069" s="459">
        <v>0</v>
      </c>
      <c r="B3069" s="459">
        <v>21</v>
      </c>
      <c r="C3069" s="459">
        <v>1</v>
      </c>
      <c r="D3069" s="460">
        <v>3</v>
      </c>
      <c r="E3069" s="460">
        <v>10</v>
      </c>
      <c r="F3069" s="130"/>
      <c r="G3069" s="1798" t="s">
        <v>2383</v>
      </c>
      <c r="H3069" s="1783" t="s">
        <v>1239</v>
      </c>
      <c r="I3069" s="1750" t="s">
        <v>8850</v>
      </c>
      <c r="J3069" s="1785" t="s">
        <v>5340</v>
      </c>
      <c r="K3069" s="1786" t="s">
        <v>788</v>
      </c>
      <c r="L3069" s="1787" t="e">
        <v>#REF!</v>
      </c>
      <c r="M3069" s="1787">
        <v>130.09937545454545</v>
      </c>
      <c r="N3069" s="1754"/>
      <c r="O3069" s="1788" t="s">
        <v>1652</v>
      </c>
      <c r="P3069" s="1721" t="s">
        <v>9611</v>
      </c>
    </row>
    <row r="3070" spans="1:16" ht="13.9" hidden="1" customHeight="1" outlineLevel="3" x14ac:dyDescent="0.2">
      <c r="A3070" s="459">
        <v>0</v>
      </c>
      <c r="B3070" s="459">
        <v>21</v>
      </c>
      <c r="C3070" s="459">
        <v>1</v>
      </c>
      <c r="D3070" s="460">
        <v>3</v>
      </c>
      <c r="E3070" s="460">
        <v>11</v>
      </c>
      <c r="F3070" s="130"/>
      <c r="G3070" s="1798" t="s">
        <v>2383</v>
      </c>
      <c r="H3070" s="1783" t="s">
        <v>1239</v>
      </c>
      <c r="I3070" s="1750" t="s">
        <v>8851</v>
      </c>
      <c r="J3070" s="1785" t="s">
        <v>3146</v>
      </c>
      <c r="K3070" s="1786" t="s">
        <v>642</v>
      </c>
      <c r="L3070" s="1787" t="e">
        <v>#REF!</v>
      </c>
      <c r="M3070" s="1787">
        <v>164.30200000000002</v>
      </c>
      <c r="N3070" s="1754"/>
      <c r="O3070" s="1788"/>
      <c r="P3070" s="1721" t="s">
        <v>9611</v>
      </c>
    </row>
    <row r="3071" spans="1:16" ht="13.9" hidden="1" customHeight="1" outlineLevel="3" x14ac:dyDescent="0.2">
      <c r="A3071" s="459">
        <v>0</v>
      </c>
      <c r="B3071" s="459">
        <v>21</v>
      </c>
      <c r="C3071" s="459">
        <v>1</v>
      </c>
      <c r="D3071" s="460">
        <v>3</v>
      </c>
      <c r="E3071" s="460">
        <v>12</v>
      </c>
      <c r="F3071" s="130"/>
      <c r="G3071" s="1798" t="s">
        <v>2383</v>
      </c>
      <c r="H3071" s="1783" t="s">
        <v>1239</v>
      </c>
      <c r="I3071" s="1750" t="s">
        <v>8852</v>
      </c>
      <c r="J3071" s="1785" t="s">
        <v>2876</v>
      </c>
      <c r="K3071" s="1786" t="s">
        <v>642</v>
      </c>
      <c r="L3071" s="1787" t="e">
        <v>#REF!</v>
      </c>
      <c r="M3071" s="1787">
        <v>1448.2455000000002</v>
      </c>
      <c r="N3071" s="1754"/>
      <c r="O3071" s="1788"/>
      <c r="P3071" s="1721" t="s">
        <v>9611</v>
      </c>
    </row>
    <row r="3072" spans="1:16" ht="13.9" hidden="1" customHeight="1" outlineLevel="3" x14ac:dyDescent="0.2">
      <c r="A3072" s="459">
        <v>0</v>
      </c>
      <c r="B3072" s="459">
        <v>21</v>
      </c>
      <c r="C3072" s="459">
        <v>1</v>
      </c>
      <c r="D3072" s="460">
        <v>3</v>
      </c>
      <c r="E3072" s="460">
        <v>13</v>
      </c>
      <c r="F3072" s="130"/>
      <c r="G3072" s="1798" t="s">
        <v>2383</v>
      </c>
      <c r="H3072" s="1783" t="s">
        <v>1239</v>
      </c>
      <c r="I3072" s="1750" t="s">
        <v>8853</v>
      </c>
      <c r="J3072" s="1785" t="s">
        <v>2872</v>
      </c>
      <c r="K3072" s="1786" t="s">
        <v>642</v>
      </c>
      <c r="L3072" s="1787" t="e">
        <v>#REF!</v>
      </c>
      <c r="M3072" s="1787">
        <v>898.24550000000011</v>
      </c>
      <c r="N3072" s="1754"/>
      <c r="O3072" s="1788"/>
      <c r="P3072" s="1721" t="s">
        <v>9611</v>
      </c>
    </row>
    <row r="3073" spans="1:16" ht="13.9" hidden="1" customHeight="1" outlineLevel="2" x14ac:dyDescent="0.2">
      <c r="A3073" s="459">
        <v>0</v>
      </c>
      <c r="B3073" s="459">
        <v>21</v>
      </c>
      <c r="C3073" s="459">
        <v>1</v>
      </c>
      <c r="D3073" s="460">
        <v>4</v>
      </c>
      <c r="E3073" s="460">
        <v>0</v>
      </c>
      <c r="F3073" s="130"/>
      <c r="G3073" s="1797"/>
      <c r="H3073" s="1777" t="s">
        <v>1238</v>
      </c>
      <c r="I3073" s="1742" t="s">
        <v>8854</v>
      </c>
      <c r="J3073" s="1779" t="s">
        <v>1264</v>
      </c>
      <c r="K3073" s="1780"/>
      <c r="L3073" s="1781"/>
      <c r="M3073" s="1781"/>
      <c r="N3073" s="1746"/>
      <c r="O3073" s="1782"/>
      <c r="P3073" s="1720"/>
    </row>
    <row r="3074" spans="1:16" ht="13.9" hidden="1" customHeight="1" outlineLevel="3" x14ac:dyDescent="0.2">
      <c r="A3074" s="459">
        <v>0</v>
      </c>
      <c r="B3074" s="459">
        <v>21</v>
      </c>
      <c r="C3074" s="459">
        <v>1</v>
      </c>
      <c r="D3074" s="460">
        <v>4</v>
      </c>
      <c r="E3074" s="460">
        <v>1</v>
      </c>
      <c r="F3074" s="130"/>
      <c r="G3074" s="1798" t="s">
        <v>2383</v>
      </c>
      <c r="H3074" s="1783" t="s">
        <v>1239</v>
      </c>
      <c r="I3074" s="1750" t="s">
        <v>8855</v>
      </c>
      <c r="J3074" s="1785" t="s">
        <v>924</v>
      </c>
      <c r="K3074" s="1786" t="s">
        <v>642</v>
      </c>
      <c r="L3074" s="1787" t="e">
        <v>#REF!</v>
      </c>
      <c r="M3074" s="1787">
        <v>62</v>
      </c>
      <c r="N3074" s="1754"/>
      <c r="O3074" s="1788"/>
      <c r="P3074" s="1721" t="s">
        <v>9611</v>
      </c>
    </row>
    <row r="3075" spans="1:16" ht="13.9" hidden="1" customHeight="1" outlineLevel="3" x14ac:dyDescent="0.2">
      <c r="A3075" s="459">
        <v>0</v>
      </c>
      <c r="B3075" s="459">
        <v>21</v>
      </c>
      <c r="C3075" s="459">
        <v>1</v>
      </c>
      <c r="D3075" s="460">
        <v>4</v>
      </c>
      <c r="E3075" s="460">
        <v>2</v>
      </c>
      <c r="F3075" s="130"/>
      <c r="G3075" s="1798" t="s">
        <v>2383</v>
      </c>
      <c r="H3075" s="1783" t="s">
        <v>1239</v>
      </c>
      <c r="I3075" s="1750" t="s">
        <v>8856</v>
      </c>
      <c r="J3075" s="1785" t="s">
        <v>927</v>
      </c>
      <c r="K3075" s="1786" t="s">
        <v>642</v>
      </c>
      <c r="L3075" s="1787" t="e">
        <v>#REF!</v>
      </c>
      <c r="M3075" s="1787">
        <v>95</v>
      </c>
      <c r="N3075" s="1754"/>
      <c r="O3075" s="1788"/>
      <c r="P3075" s="1721" t="s">
        <v>9611</v>
      </c>
    </row>
    <row r="3076" spans="1:16" ht="13.9" hidden="1" customHeight="1" outlineLevel="3" x14ac:dyDescent="0.2">
      <c r="A3076" s="459">
        <v>0</v>
      </c>
      <c r="B3076" s="459">
        <v>21</v>
      </c>
      <c r="C3076" s="459">
        <v>1</v>
      </c>
      <c r="D3076" s="460">
        <v>4</v>
      </c>
      <c r="E3076" s="460">
        <v>3</v>
      </c>
      <c r="F3076" s="130"/>
      <c r="G3076" s="1798" t="s">
        <v>2383</v>
      </c>
      <c r="H3076" s="1783" t="s">
        <v>1239</v>
      </c>
      <c r="I3076" s="1750" t="s">
        <v>8857</v>
      </c>
      <c r="J3076" s="1785" t="s">
        <v>928</v>
      </c>
      <c r="K3076" s="1786" t="s">
        <v>642</v>
      </c>
      <c r="L3076" s="1787" t="e">
        <v>#REF!</v>
      </c>
      <c r="M3076" s="1787">
        <v>85</v>
      </c>
      <c r="N3076" s="1754"/>
      <c r="O3076" s="1788"/>
      <c r="P3076" s="1721" t="s">
        <v>9611</v>
      </c>
    </row>
    <row r="3077" spans="1:16" ht="13.9" hidden="1" customHeight="1" outlineLevel="3" x14ac:dyDescent="0.2">
      <c r="A3077" s="459">
        <v>0</v>
      </c>
      <c r="B3077" s="459">
        <v>21</v>
      </c>
      <c r="C3077" s="459">
        <v>1</v>
      </c>
      <c r="D3077" s="460">
        <v>4</v>
      </c>
      <c r="E3077" s="460">
        <v>4</v>
      </c>
      <c r="F3077" s="130"/>
      <c r="G3077" s="1798" t="s">
        <v>2383</v>
      </c>
      <c r="H3077" s="1783" t="s">
        <v>1239</v>
      </c>
      <c r="I3077" s="1750" t="s">
        <v>8858</v>
      </c>
      <c r="J3077" s="1785" t="s">
        <v>3152</v>
      </c>
      <c r="K3077" s="1786" t="s">
        <v>788</v>
      </c>
      <c r="L3077" s="1787" t="e">
        <v>#REF!</v>
      </c>
      <c r="M3077" s="1787">
        <v>120</v>
      </c>
      <c r="N3077" s="1754"/>
      <c r="O3077" s="1788"/>
      <c r="P3077" s="1721" t="s">
        <v>9611</v>
      </c>
    </row>
    <row r="3078" spans="1:16" ht="13.9" hidden="1" customHeight="1" outlineLevel="3" x14ac:dyDescent="0.2">
      <c r="A3078" s="459">
        <v>0</v>
      </c>
      <c r="B3078" s="459">
        <v>21</v>
      </c>
      <c r="C3078" s="459">
        <v>1</v>
      </c>
      <c r="D3078" s="460">
        <v>4</v>
      </c>
      <c r="E3078" s="460">
        <v>5</v>
      </c>
      <c r="F3078" s="130"/>
      <c r="G3078" s="1798" t="s">
        <v>2383</v>
      </c>
      <c r="H3078" s="1783" t="s">
        <v>1239</v>
      </c>
      <c r="I3078" s="1750" t="s">
        <v>8859</v>
      </c>
      <c r="J3078" s="1785" t="s">
        <v>3153</v>
      </c>
      <c r="K3078" s="1786" t="s">
        <v>642</v>
      </c>
      <c r="L3078" s="1787" t="e">
        <v>#REF!</v>
      </c>
      <c r="M3078" s="1787">
        <v>95</v>
      </c>
      <c r="N3078" s="1754"/>
      <c r="O3078" s="1788"/>
      <c r="P3078" s="1721" t="s">
        <v>9611</v>
      </c>
    </row>
    <row r="3079" spans="1:16" ht="13.9" hidden="1" customHeight="1" outlineLevel="3" x14ac:dyDescent="0.2">
      <c r="A3079" s="459">
        <v>0</v>
      </c>
      <c r="B3079" s="459">
        <v>21</v>
      </c>
      <c r="C3079" s="459">
        <v>1</v>
      </c>
      <c r="D3079" s="460">
        <v>4</v>
      </c>
      <c r="E3079" s="460">
        <v>6</v>
      </c>
      <c r="F3079" s="130"/>
      <c r="G3079" s="1798" t="s">
        <v>2383</v>
      </c>
      <c r="H3079" s="1783" t="s">
        <v>1239</v>
      </c>
      <c r="I3079" s="1750" t="s">
        <v>8860</v>
      </c>
      <c r="J3079" s="1785" t="s">
        <v>925</v>
      </c>
      <c r="K3079" s="1786" t="s">
        <v>642</v>
      </c>
      <c r="L3079" s="1787" t="e">
        <v>#REF!</v>
      </c>
      <c r="M3079" s="1787">
        <v>58</v>
      </c>
      <c r="N3079" s="1754"/>
      <c r="O3079" s="1788"/>
      <c r="P3079" s="1721" t="s">
        <v>9611</v>
      </c>
    </row>
    <row r="3080" spans="1:16" ht="13.9" hidden="1" customHeight="1" outlineLevel="3" x14ac:dyDescent="0.2">
      <c r="A3080" s="459">
        <v>0</v>
      </c>
      <c r="B3080" s="459">
        <v>21</v>
      </c>
      <c r="C3080" s="459">
        <v>1</v>
      </c>
      <c r="D3080" s="460">
        <v>4</v>
      </c>
      <c r="E3080" s="460">
        <v>7</v>
      </c>
      <c r="F3080" s="130"/>
      <c r="G3080" s="1798" t="s">
        <v>2383</v>
      </c>
      <c r="H3080" s="1783" t="s">
        <v>1239</v>
      </c>
      <c r="I3080" s="1750" t="s">
        <v>8861</v>
      </c>
      <c r="J3080" s="1785" t="s">
        <v>926</v>
      </c>
      <c r="K3080" s="1786" t="s">
        <v>642</v>
      </c>
      <c r="L3080" s="1787" t="e">
        <v>#REF!</v>
      </c>
      <c r="M3080" s="1787">
        <v>58</v>
      </c>
      <c r="N3080" s="1754"/>
      <c r="O3080" s="1788"/>
      <c r="P3080" s="1721" t="s">
        <v>9611</v>
      </c>
    </row>
    <row r="3081" spans="1:16" ht="13.9" hidden="1" customHeight="1" outlineLevel="1" x14ac:dyDescent="0.2">
      <c r="A3081" s="459">
        <v>0</v>
      </c>
      <c r="B3081" s="459">
        <v>21</v>
      </c>
      <c r="C3081" s="459">
        <v>2</v>
      </c>
      <c r="D3081" s="460">
        <v>0</v>
      </c>
      <c r="E3081" s="460">
        <v>7</v>
      </c>
      <c r="F3081" s="130"/>
      <c r="G3081" s="1796"/>
      <c r="H3081" s="1771" t="s">
        <v>39</v>
      </c>
      <c r="I3081" s="1735" t="s">
        <v>8862</v>
      </c>
      <c r="J3081" s="1773" t="s">
        <v>3155</v>
      </c>
      <c r="K3081" s="1774"/>
      <c r="L3081" s="1775"/>
      <c r="M3081" s="1775"/>
      <c r="N3081" s="1739"/>
      <c r="O3081" s="1776"/>
      <c r="P3081" s="1725"/>
    </row>
    <row r="3082" spans="1:16" ht="13.9" hidden="1" customHeight="1" outlineLevel="2" x14ac:dyDescent="0.2">
      <c r="A3082" s="459">
        <v>0</v>
      </c>
      <c r="B3082" s="459">
        <v>21</v>
      </c>
      <c r="C3082" s="459">
        <v>2</v>
      </c>
      <c r="D3082" s="460">
        <v>1</v>
      </c>
      <c r="E3082" s="460">
        <v>0</v>
      </c>
      <c r="F3082" s="130"/>
      <c r="G3082" s="1797"/>
      <c r="H3082" s="1777" t="s">
        <v>1238</v>
      </c>
      <c r="I3082" s="1742" t="s">
        <v>8863</v>
      </c>
      <c r="J3082" s="1779" t="s">
        <v>2824</v>
      </c>
      <c r="K3082" s="1780"/>
      <c r="L3082" s="1781"/>
      <c r="M3082" s="1781"/>
      <c r="N3082" s="1746"/>
      <c r="O3082" s="1782"/>
      <c r="P3082" s="1720"/>
    </row>
    <row r="3083" spans="1:16" ht="13.9" hidden="1" customHeight="1" outlineLevel="3" x14ac:dyDescent="0.2">
      <c r="A3083" s="459">
        <v>0</v>
      </c>
      <c r="B3083" s="459">
        <v>21</v>
      </c>
      <c r="C3083" s="459">
        <v>2</v>
      </c>
      <c r="D3083" s="460">
        <v>1</v>
      </c>
      <c r="E3083" s="460">
        <v>1</v>
      </c>
      <c r="F3083" s="130"/>
      <c r="G3083" s="1798" t="s">
        <v>2383</v>
      </c>
      <c r="H3083" s="1783" t="s">
        <v>1239</v>
      </c>
      <c r="I3083" s="1750" t="s">
        <v>8864</v>
      </c>
      <c r="J3083" s="1785" t="s">
        <v>894</v>
      </c>
      <c r="K3083" s="1786" t="s">
        <v>642</v>
      </c>
      <c r="L3083" s="1787" t="e">
        <v>#REF!</v>
      </c>
      <c r="M3083" s="1787">
        <v>10.11778</v>
      </c>
      <c r="N3083" s="1754"/>
      <c r="O3083" s="1788"/>
      <c r="P3083" s="1721" t="s">
        <v>9611</v>
      </c>
    </row>
    <row r="3084" spans="1:16" ht="13.9" hidden="1" customHeight="1" outlineLevel="3" x14ac:dyDescent="0.2">
      <c r="A3084" s="459">
        <v>0</v>
      </c>
      <c r="B3084" s="459">
        <v>21</v>
      </c>
      <c r="C3084" s="459">
        <v>2</v>
      </c>
      <c r="D3084" s="460">
        <v>1</v>
      </c>
      <c r="E3084" s="460">
        <v>2</v>
      </c>
      <c r="F3084" s="130"/>
      <c r="G3084" s="1798" t="s">
        <v>2383</v>
      </c>
      <c r="H3084" s="1783" t="s">
        <v>1239</v>
      </c>
      <c r="I3084" s="1750" t="s">
        <v>8865</v>
      </c>
      <c r="J3084" s="1785" t="s">
        <v>854</v>
      </c>
      <c r="K3084" s="1786" t="s">
        <v>642</v>
      </c>
      <c r="L3084" s="1787" t="e">
        <v>#REF!</v>
      </c>
      <c r="M3084" s="1787">
        <v>3.28945</v>
      </c>
      <c r="N3084" s="1754"/>
      <c r="O3084" s="1788"/>
      <c r="P3084" s="1721" t="s">
        <v>9611</v>
      </c>
    </row>
    <row r="3085" spans="1:16" ht="13.9" hidden="1" customHeight="1" outlineLevel="3" x14ac:dyDescent="0.2">
      <c r="A3085" s="459">
        <v>0</v>
      </c>
      <c r="B3085" s="459">
        <v>21</v>
      </c>
      <c r="C3085" s="459">
        <v>2</v>
      </c>
      <c r="D3085" s="460">
        <v>1</v>
      </c>
      <c r="E3085" s="460">
        <v>3</v>
      </c>
      <c r="F3085" s="130"/>
      <c r="G3085" s="1798" t="s">
        <v>2383</v>
      </c>
      <c r="H3085" s="1783" t="s">
        <v>1239</v>
      </c>
      <c r="I3085" s="1750" t="s">
        <v>8866</v>
      </c>
      <c r="J3085" s="1785" t="s">
        <v>853</v>
      </c>
      <c r="K3085" s="1786" t="s">
        <v>642</v>
      </c>
      <c r="L3085" s="1787" t="e">
        <v>#REF!</v>
      </c>
      <c r="M3085" s="1787">
        <v>10.893750000000001</v>
      </c>
      <c r="N3085" s="1754"/>
      <c r="O3085" s="1788"/>
      <c r="P3085" s="1721" t="s">
        <v>9611</v>
      </c>
    </row>
    <row r="3086" spans="1:16" ht="13.9" hidden="1" customHeight="1" outlineLevel="2" x14ac:dyDescent="0.2">
      <c r="A3086" s="459">
        <v>0</v>
      </c>
      <c r="B3086" s="459">
        <v>21</v>
      </c>
      <c r="C3086" s="459">
        <v>2</v>
      </c>
      <c r="D3086" s="460">
        <v>2</v>
      </c>
      <c r="E3086" s="460">
        <v>0</v>
      </c>
      <c r="F3086" s="130"/>
      <c r="G3086" s="1797"/>
      <c r="H3086" s="1777" t="s">
        <v>1238</v>
      </c>
      <c r="I3086" s="1742" t="s">
        <v>8867</v>
      </c>
      <c r="J3086" s="1779" t="s">
        <v>2825</v>
      </c>
      <c r="K3086" s="1780"/>
      <c r="L3086" s="1781"/>
      <c r="M3086" s="1781"/>
      <c r="N3086" s="1746"/>
      <c r="O3086" s="1782"/>
      <c r="P3086" s="1720"/>
    </row>
    <row r="3087" spans="1:16" ht="13.9" hidden="1" customHeight="1" outlineLevel="3" x14ac:dyDescent="0.2">
      <c r="A3087" s="459">
        <v>0</v>
      </c>
      <c r="B3087" s="459">
        <v>21</v>
      </c>
      <c r="C3087" s="459">
        <v>2</v>
      </c>
      <c r="D3087" s="460">
        <v>2</v>
      </c>
      <c r="E3087" s="460">
        <v>1</v>
      </c>
      <c r="F3087" s="130"/>
      <c r="G3087" s="1798" t="s">
        <v>2383</v>
      </c>
      <c r="H3087" s="1783" t="s">
        <v>1239</v>
      </c>
      <c r="I3087" s="1750" t="s">
        <v>8868</v>
      </c>
      <c r="J3087" s="1785" t="s">
        <v>5345</v>
      </c>
      <c r="K3087" s="1786" t="s">
        <v>642</v>
      </c>
      <c r="L3087" s="1787" t="e">
        <v>#REF!</v>
      </c>
      <c r="M3087" s="1787">
        <v>1102</v>
      </c>
      <c r="N3087" s="1754"/>
      <c r="O3087" s="1788"/>
      <c r="P3087" s="1721" t="s">
        <v>9611</v>
      </c>
    </row>
    <row r="3088" spans="1:16" ht="13.9" hidden="1" customHeight="1" outlineLevel="3" x14ac:dyDescent="0.2">
      <c r="A3088" s="459">
        <v>0</v>
      </c>
      <c r="B3088" s="459">
        <v>21</v>
      </c>
      <c r="C3088" s="459">
        <v>2</v>
      </c>
      <c r="D3088" s="460">
        <v>2</v>
      </c>
      <c r="E3088" s="460">
        <v>2</v>
      </c>
      <c r="F3088" s="130"/>
      <c r="G3088" s="1798" t="s">
        <v>2383</v>
      </c>
      <c r="H3088" s="1783" t="s">
        <v>1239</v>
      </c>
      <c r="I3088" s="1750" t="s">
        <v>8869</v>
      </c>
      <c r="J3088" s="1785" t="s">
        <v>5346</v>
      </c>
      <c r="K3088" s="1786" t="s">
        <v>788</v>
      </c>
      <c r="L3088" s="1787" t="e">
        <v>#REF!</v>
      </c>
      <c r="M3088" s="1787">
        <v>211.47737545454549</v>
      </c>
      <c r="N3088" s="1754"/>
      <c r="O3088" s="1788"/>
      <c r="P3088" s="1721" t="s">
        <v>9611</v>
      </c>
    </row>
    <row r="3089" spans="1:16" ht="13.9" hidden="1" customHeight="1" outlineLevel="3" x14ac:dyDescent="0.2">
      <c r="A3089" s="459">
        <v>0</v>
      </c>
      <c r="B3089" s="459">
        <v>21</v>
      </c>
      <c r="C3089" s="459">
        <v>2</v>
      </c>
      <c r="D3089" s="460">
        <v>2</v>
      </c>
      <c r="E3089" s="460">
        <v>3</v>
      </c>
      <c r="F3089" s="130"/>
      <c r="G3089" s="1798" t="s">
        <v>2383</v>
      </c>
      <c r="H3089" s="1783" t="s">
        <v>1239</v>
      </c>
      <c r="I3089" s="1750" t="s">
        <v>8870</v>
      </c>
      <c r="J3089" s="1785" t="s">
        <v>5341</v>
      </c>
      <c r="K3089" s="1786" t="s">
        <v>788</v>
      </c>
      <c r="L3089" s="1787" t="e">
        <v>#REF!</v>
      </c>
      <c r="M3089" s="1787">
        <v>150.38018545454545</v>
      </c>
      <c r="N3089" s="1754"/>
      <c r="O3089" s="1788"/>
      <c r="P3089" s="1721" t="s">
        <v>9611</v>
      </c>
    </row>
    <row r="3090" spans="1:16" ht="13.9" hidden="1" customHeight="1" outlineLevel="3" x14ac:dyDescent="0.2">
      <c r="A3090" s="459">
        <v>0</v>
      </c>
      <c r="B3090" s="459">
        <v>21</v>
      </c>
      <c r="C3090" s="459">
        <v>2</v>
      </c>
      <c r="D3090" s="460">
        <v>2</v>
      </c>
      <c r="E3090" s="460">
        <v>4</v>
      </c>
      <c r="F3090" s="130"/>
      <c r="G3090" s="1798" t="s">
        <v>2383</v>
      </c>
      <c r="H3090" s="1783" t="s">
        <v>1239</v>
      </c>
      <c r="I3090" s="1750" t="s">
        <v>8871</v>
      </c>
      <c r="J3090" s="1785" t="s">
        <v>5347</v>
      </c>
      <c r="K3090" s="1786" t="s">
        <v>642</v>
      </c>
      <c r="L3090" s="1787" t="e">
        <v>#REF!</v>
      </c>
      <c r="M3090" s="1787">
        <v>443.28559999999999</v>
      </c>
      <c r="N3090" s="1754"/>
      <c r="O3090" s="1788"/>
      <c r="P3090" s="1721" t="s">
        <v>9611</v>
      </c>
    </row>
    <row r="3091" spans="1:16" ht="13.9" hidden="1" customHeight="1" outlineLevel="3" x14ac:dyDescent="0.2">
      <c r="A3091" s="459">
        <v>0</v>
      </c>
      <c r="B3091" s="459">
        <v>21</v>
      </c>
      <c r="C3091" s="459">
        <v>2</v>
      </c>
      <c r="D3091" s="460">
        <v>2</v>
      </c>
      <c r="E3091" s="460">
        <v>5</v>
      </c>
      <c r="F3091" s="130"/>
      <c r="G3091" s="1798" t="s">
        <v>2383</v>
      </c>
      <c r="H3091" s="1783" t="s">
        <v>1239</v>
      </c>
      <c r="I3091" s="1750" t="s">
        <v>8872</v>
      </c>
      <c r="J3091" s="1785" t="s">
        <v>5338</v>
      </c>
      <c r="K3091" s="1786" t="s">
        <v>642</v>
      </c>
      <c r="L3091" s="1787" t="e">
        <v>#REF!</v>
      </c>
      <c r="M3091" s="1787">
        <v>807.74</v>
      </c>
      <c r="N3091" s="1754"/>
      <c r="O3091" s="1788"/>
      <c r="P3091" s="1721" t="s">
        <v>9611</v>
      </c>
    </row>
    <row r="3092" spans="1:16" ht="13.9" hidden="1" customHeight="1" outlineLevel="3" x14ac:dyDescent="0.2">
      <c r="A3092" s="459">
        <v>0</v>
      </c>
      <c r="B3092" s="459">
        <v>21</v>
      </c>
      <c r="C3092" s="459">
        <v>2</v>
      </c>
      <c r="D3092" s="460">
        <v>2</v>
      </c>
      <c r="E3092" s="460">
        <v>6</v>
      </c>
      <c r="F3092" s="130"/>
      <c r="G3092" s="1798" t="s">
        <v>2383</v>
      </c>
      <c r="H3092" s="1783" t="s">
        <v>1239</v>
      </c>
      <c r="I3092" s="1750" t="s">
        <v>8873</v>
      </c>
      <c r="J3092" s="1785" t="s">
        <v>5339</v>
      </c>
      <c r="K3092" s="1786" t="s">
        <v>642</v>
      </c>
      <c r="L3092" s="1787" t="e">
        <v>#REF!</v>
      </c>
      <c r="M3092" s="1787">
        <v>172.02560000000003</v>
      </c>
      <c r="N3092" s="1754"/>
      <c r="O3092" s="1788" t="s">
        <v>5348</v>
      </c>
      <c r="P3092" s="1721" t="s">
        <v>9611</v>
      </c>
    </row>
    <row r="3093" spans="1:16" ht="13.9" hidden="1" customHeight="1" outlineLevel="3" x14ac:dyDescent="0.2">
      <c r="A3093" s="459">
        <v>0</v>
      </c>
      <c r="B3093" s="459">
        <v>21</v>
      </c>
      <c r="C3093" s="459">
        <v>2</v>
      </c>
      <c r="D3093" s="460">
        <v>2</v>
      </c>
      <c r="E3093" s="460">
        <v>7</v>
      </c>
      <c r="F3093" s="130"/>
      <c r="G3093" s="1798" t="s">
        <v>2383</v>
      </c>
      <c r="H3093" s="1783" t="s">
        <v>1239</v>
      </c>
      <c r="I3093" s="1750" t="s">
        <v>8874</v>
      </c>
      <c r="J3093" s="1785" t="s">
        <v>5340</v>
      </c>
      <c r="K3093" s="1786" t="s">
        <v>788</v>
      </c>
      <c r="L3093" s="1787" t="e">
        <v>#REF!</v>
      </c>
      <c r="M3093" s="1787">
        <v>130.09937545454545</v>
      </c>
      <c r="N3093" s="1754"/>
      <c r="O3093" s="1788" t="s">
        <v>1652</v>
      </c>
      <c r="P3093" s="1721" t="s">
        <v>9611</v>
      </c>
    </row>
    <row r="3094" spans="1:16" ht="13.9" hidden="1" customHeight="1" outlineLevel="3" x14ac:dyDescent="0.2">
      <c r="A3094" s="459">
        <v>0</v>
      </c>
      <c r="B3094" s="459">
        <v>21</v>
      </c>
      <c r="C3094" s="459">
        <v>2</v>
      </c>
      <c r="D3094" s="460">
        <v>2</v>
      </c>
      <c r="E3094" s="460">
        <v>8</v>
      </c>
      <c r="F3094" s="130"/>
      <c r="G3094" s="1798" t="s">
        <v>2383</v>
      </c>
      <c r="H3094" s="1783" t="s">
        <v>1239</v>
      </c>
      <c r="I3094" s="1750" t="s">
        <v>8875</v>
      </c>
      <c r="J3094" s="1785" t="s">
        <v>3146</v>
      </c>
      <c r="K3094" s="1786" t="s">
        <v>642</v>
      </c>
      <c r="L3094" s="1787" t="e">
        <v>#REF!</v>
      </c>
      <c r="M3094" s="1787">
        <v>164.30200000000002</v>
      </c>
      <c r="N3094" s="1754"/>
      <c r="O3094" s="1788"/>
      <c r="P3094" s="1721" t="s">
        <v>9611</v>
      </c>
    </row>
    <row r="3095" spans="1:16" ht="13.9" hidden="1" customHeight="1" outlineLevel="2" x14ac:dyDescent="0.2">
      <c r="A3095" s="459">
        <v>0</v>
      </c>
      <c r="B3095" s="459">
        <v>21</v>
      </c>
      <c r="C3095" s="459">
        <v>2</v>
      </c>
      <c r="D3095" s="460">
        <v>3</v>
      </c>
      <c r="E3095" s="460">
        <v>0</v>
      </c>
      <c r="F3095" s="130"/>
      <c r="G3095" s="1797"/>
      <c r="H3095" s="1777" t="s">
        <v>1238</v>
      </c>
      <c r="I3095" s="1742" t="s">
        <v>8876</v>
      </c>
      <c r="J3095" s="1779" t="s">
        <v>1264</v>
      </c>
      <c r="K3095" s="1780"/>
      <c r="L3095" s="1781"/>
      <c r="M3095" s="1781"/>
      <c r="N3095" s="1746"/>
      <c r="O3095" s="1782"/>
      <c r="P3095" s="1720"/>
    </row>
    <row r="3096" spans="1:16" ht="13.9" hidden="1" customHeight="1" outlineLevel="3" x14ac:dyDescent="0.2">
      <c r="A3096" s="459">
        <v>0</v>
      </c>
      <c r="B3096" s="459">
        <v>21</v>
      </c>
      <c r="C3096" s="459">
        <v>2</v>
      </c>
      <c r="D3096" s="460">
        <v>3</v>
      </c>
      <c r="E3096" s="460">
        <v>1</v>
      </c>
      <c r="F3096" s="130"/>
      <c r="G3096" s="1798" t="s">
        <v>2383</v>
      </c>
      <c r="H3096" s="1783" t="s">
        <v>1239</v>
      </c>
      <c r="I3096" s="1750" t="s">
        <v>8877</v>
      </c>
      <c r="J3096" s="1785" t="s">
        <v>924</v>
      </c>
      <c r="K3096" s="1786" t="s">
        <v>642</v>
      </c>
      <c r="L3096" s="1787" t="e">
        <v>#REF!</v>
      </c>
      <c r="M3096" s="1787">
        <v>62</v>
      </c>
      <c r="N3096" s="1754"/>
      <c r="O3096" s="1788"/>
      <c r="P3096" s="1721" t="s">
        <v>9611</v>
      </c>
    </row>
    <row r="3097" spans="1:16" ht="13.9" hidden="1" customHeight="1" outlineLevel="3" x14ac:dyDescent="0.2">
      <c r="A3097" s="459">
        <v>0</v>
      </c>
      <c r="B3097" s="459">
        <v>21</v>
      </c>
      <c r="C3097" s="459">
        <v>2</v>
      </c>
      <c r="D3097" s="460">
        <v>3</v>
      </c>
      <c r="E3097" s="460">
        <v>2</v>
      </c>
      <c r="F3097" s="130"/>
      <c r="G3097" s="1798" t="s">
        <v>2383</v>
      </c>
      <c r="H3097" s="1783" t="s">
        <v>1239</v>
      </c>
      <c r="I3097" s="1750" t="s">
        <v>8878</v>
      </c>
      <c r="J3097" s="1785" t="s">
        <v>927</v>
      </c>
      <c r="K3097" s="1786" t="s">
        <v>642</v>
      </c>
      <c r="L3097" s="1787" t="e">
        <v>#REF!</v>
      </c>
      <c r="M3097" s="1787">
        <v>95</v>
      </c>
      <c r="N3097" s="1754"/>
      <c r="O3097" s="1788"/>
      <c r="P3097" s="1721" t="s">
        <v>9611</v>
      </c>
    </row>
    <row r="3098" spans="1:16" ht="13.9" hidden="1" customHeight="1" outlineLevel="3" x14ac:dyDescent="0.2">
      <c r="A3098" s="459">
        <v>0</v>
      </c>
      <c r="B3098" s="459">
        <v>21</v>
      </c>
      <c r="C3098" s="459">
        <v>2</v>
      </c>
      <c r="D3098" s="460">
        <v>3</v>
      </c>
      <c r="E3098" s="460">
        <v>3</v>
      </c>
      <c r="F3098" s="130"/>
      <c r="G3098" s="1798" t="s">
        <v>2383</v>
      </c>
      <c r="H3098" s="1783" t="s">
        <v>1239</v>
      </c>
      <c r="I3098" s="1750" t="s">
        <v>8879</v>
      </c>
      <c r="J3098" s="1785" t="s">
        <v>928</v>
      </c>
      <c r="K3098" s="1786" t="s">
        <v>642</v>
      </c>
      <c r="L3098" s="1787" t="e">
        <v>#REF!</v>
      </c>
      <c r="M3098" s="1787">
        <v>85</v>
      </c>
      <c r="N3098" s="1754"/>
      <c r="O3098" s="1788"/>
      <c r="P3098" s="1721" t="s">
        <v>9611</v>
      </c>
    </row>
    <row r="3099" spans="1:16" ht="13.9" hidden="1" customHeight="1" outlineLevel="3" x14ac:dyDescent="0.2">
      <c r="A3099" s="459">
        <v>0</v>
      </c>
      <c r="B3099" s="459">
        <v>21</v>
      </c>
      <c r="C3099" s="459">
        <v>2</v>
      </c>
      <c r="D3099" s="460">
        <v>3</v>
      </c>
      <c r="E3099" s="460">
        <v>4</v>
      </c>
      <c r="F3099" s="130"/>
      <c r="G3099" s="1798" t="s">
        <v>2383</v>
      </c>
      <c r="H3099" s="1783" t="s">
        <v>1239</v>
      </c>
      <c r="I3099" s="1750" t="s">
        <v>8880</v>
      </c>
      <c r="J3099" s="1785" t="s">
        <v>3152</v>
      </c>
      <c r="K3099" s="1786" t="s">
        <v>642</v>
      </c>
      <c r="L3099" s="1787" t="e">
        <v>#REF!</v>
      </c>
      <c r="M3099" s="1787">
        <v>120</v>
      </c>
      <c r="N3099" s="1754"/>
      <c r="O3099" s="1788"/>
      <c r="P3099" s="1721" t="s">
        <v>9611</v>
      </c>
    </row>
    <row r="3100" spans="1:16" ht="13.9" hidden="1" customHeight="1" outlineLevel="1" x14ac:dyDescent="0.2">
      <c r="A3100" s="459">
        <v>0</v>
      </c>
      <c r="B3100" s="459">
        <v>21</v>
      </c>
      <c r="C3100" s="459">
        <v>3</v>
      </c>
      <c r="D3100" s="460">
        <v>0</v>
      </c>
      <c r="E3100" s="460">
        <v>4</v>
      </c>
      <c r="F3100" s="130"/>
      <c r="G3100" s="1796"/>
      <c r="H3100" s="1771" t="s">
        <v>39</v>
      </c>
      <c r="I3100" s="1735" t="s">
        <v>8881</v>
      </c>
      <c r="J3100" s="1773" t="s">
        <v>3156</v>
      </c>
      <c r="K3100" s="1774"/>
      <c r="L3100" s="1775"/>
      <c r="M3100" s="1775"/>
      <c r="N3100" s="1739"/>
      <c r="O3100" s="1776"/>
      <c r="P3100" s="1725"/>
    </row>
    <row r="3101" spans="1:16" ht="13.9" hidden="1" customHeight="1" outlineLevel="2" x14ac:dyDescent="0.2">
      <c r="A3101" s="459">
        <v>0</v>
      </c>
      <c r="B3101" s="459">
        <v>21</v>
      </c>
      <c r="C3101" s="459">
        <v>3</v>
      </c>
      <c r="D3101" s="460">
        <v>1</v>
      </c>
      <c r="E3101" s="460">
        <v>0</v>
      </c>
      <c r="F3101" s="130"/>
      <c r="G3101" s="1797"/>
      <c r="H3101" s="1777" t="s">
        <v>1238</v>
      </c>
      <c r="I3101" s="1742" t="s">
        <v>8882</v>
      </c>
      <c r="J3101" s="1779" t="s">
        <v>2824</v>
      </c>
      <c r="K3101" s="1780"/>
      <c r="L3101" s="1781"/>
      <c r="M3101" s="1781"/>
      <c r="N3101" s="1746"/>
      <c r="O3101" s="1782"/>
      <c r="P3101" s="1720"/>
    </row>
    <row r="3102" spans="1:16" ht="13.9" hidden="1" customHeight="1" outlineLevel="3" x14ac:dyDescent="0.2">
      <c r="A3102" s="459">
        <v>0</v>
      </c>
      <c r="B3102" s="459">
        <v>21</v>
      </c>
      <c r="C3102" s="459">
        <v>3</v>
      </c>
      <c r="D3102" s="460">
        <v>1</v>
      </c>
      <c r="E3102" s="460">
        <v>1</v>
      </c>
      <c r="F3102" s="130"/>
      <c r="G3102" s="1798" t="s">
        <v>2383</v>
      </c>
      <c r="H3102" s="1783" t="s">
        <v>1239</v>
      </c>
      <c r="I3102" s="1750" t="s">
        <v>8883</v>
      </c>
      <c r="J3102" s="1785" t="s">
        <v>894</v>
      </c>
      <c r="K3102" s="1786" t="s">
        <v>642</v>
      </c>
      <c r="L3102" s="1787" t="e">
        <v>#REF!</v>
      </c>
      <c r="M3102" s="1787">
        <v>10.11778</v>
      </c>
      <c r="N3102" s="1754"/>
      <c r="O3102" s="1788"/>
      <c r="P3102" s="1721" t="s">
        <v>9611</v>
      </c>
    </row>
    <row r="3103" spans="1:16" ht="13.9" hidden="1" customHeight="1" outlineLevel="3" x14ac:dyDescent="0.2">
      <c r="A3103" s="459">
        <v>0</v>
      </c>
      <c r="B3103" s="459">
        <v>21</v>
      </c>
      <c r="C3103" s="459">
        <v>3</v>
      </c>
      <c r="D3103" s="460">
        <v>1</v>
      </c>
      <c r="E3103" s="460">
        <v>2</v>
      </c>
      <c r="F3103" s="130"/>
      <c r="G3103" s="1798" t="s">
        <v>2383</v>
      </c>
      <c r="H3103" s="1783" t="s">
        <v>1239</v>
      </c>
      <c r="I3103" s="1750" t="s">
        <v>8884</v>
      </c>
      <c r="J3103" s="1785" t="s">
        <v>854</v>
      </c>
      <c r="K3103" s="1786" t="s">
        <v>642</v>
      </c>
      <c r="L3103" s="1787" t="e">
        <v>#REF!</v>
      </c>
      <c r="M3103" s="1787">
        <v>3.28945</v>
      </c>
      <c r="N3103" s="1754"/>
      <c r="O3103" s="1788"/>
      <c r="P3103" s="1721" t="s">
        <v>9611</v>
      </c>
    </row>
    <row r="3104" spans="1:16" ht="13.9" hidden="1" customHeight="1" outlineLevel="3" x14ac:dyDescent="0.2">
      <c r="A3104" s="459">
        <v>0</v>
      </c>
      <c r="B3104" s="459">
        <v>21</v>
      </c>
      <c r="C3104" s="459">
        <v>3</v>
      </c>
      <c r="D3104" s="460">
        <v>1</v>
      </c>
      <c r="E3104" s="460">
        <v>3</v>
      </c>
      <c r="F3104" s="130"/>
      <c r="G3104" s="1798" t="s">
        <v>2383</v>
      </c>
      <c r="H3104" s="1783" t="s">
        <v>1239</v>
      </c>
      <c r="I3104" s="1750" t="s">
        <v>8885</v>
      </c>
      <c r="J3104" s="1785" t="s">
        <v>853</v>
      </c>
      <c r="K3104" s="1786" t="s">
        <v>642</v>
      </c>
      <c r="L3104" s="1787" t="e">
        <v>#REF!</v>
      </c>
      <c r="M3104" s="1787">
        <v>10.893750000000001</v>
      </c>
      <c r="N3104" s="1754"/>
      <c r="O3104" s="1788"/>
      <c r="P3104" s="1721" t="s">
        <v>9611</v>
      </c>
    </row>
    <row r="3105" spans="1:16" ht="13.9" hidden="1" customHeight="1" outlineLevel="2" x14ac:dyDescent="0.2">
      <c r="A3105" s="459">
        <v>0</v>
      </c>
      <c r="B3105" s="459">
        <v>21</v>
      </c>
      <c r="C3105" s="459">
        <v>3</v>
      </c>
      <c r="D3105" s="460">
        <v>2</v>
      </c>
      <c r="E3105" s="460">
        <v>0</v>
      </c>
      <c r="F3105" s="130"/>
      <c r="G3105" s="1797"/>
      <c r="H3105" s="1777" t="s">
        <v>1238</v>
      </c>
      <c r="I3105" s="1742" t="s">
        <v>8886</v>
      </c>
      <c r="J3105" s="1779" t="s">
        <v>2750</v>
      </c>
      <c r="K3105" s="1780"/>
      <c r="L3105" s="1781"/>
      <c r="M3105" s="1781"/>
      <c r="N3105" s="1746"/>
      <c r="O3105" s="1782"/>
      <c r="P3105" s="1720"/>
    </row>
    <row r="3106" spans="1:16" ht="12.75" hidden="1" outlineLevel="3" x14ac:dyDescent="0.2">
      <c r="A3106" s="459">
        <v>0</v>
      </c>
      <c r="B3106" s="459">
        <v>21</v>
      </c>
      <c r="C3106" s="459">
        <v>3</v>
      </c>
      <c r="D3106" s="460">
        <v>2</v>
      </c>
      <c r="E3106" s="460">
        <v>1</v>
      </c>
      <c r="F3106" s="130"/>
      <c r="G3106" s="1798" t="s">
        <v>2383</v>
      </c>
      <c r="H3106" s="1783" t="s">
        <v>1239</v>
      </c>
      <c r="I3106" s="1750" t="s">
        <v>8887</v>
      </c>
      <c r="J3106" s="1785" t="s">
        <v>5336</v>
      </c>
      <c r="K3106" s="1786" t="s">
        <v>642</v>
      </c>
      <c r="L3106" s="1787" t="e">
        <v>#REF!</v>
      </c>
      <c r="M3106" s="1787">
        <v>68.50855555555556</v>
      </c>
      <c r="N3106" s="1754"/>
      <c r="O3106" s="1788"/>
      <c r="P3106" s="1721" t="s">
        <v>9611</v>
      </c>
    </row>
    <row r="3107" spans="1:16" ht="13.9" hidden="1" customHeight="1" outlineLevel="2" x14ac:dyDescent="0.2">
      <c r="A3107" s="459">
        <v>0</v>
      </c>
      <c r="B3107" s="459">
        <v>21</v>
      </c>
      <c r="C3107" s="459">
        <v>3</v>
      </c>
      <c r="D3107" s="460">
        <v>3</v>
      </c>
      <c r="E3107" s="460">
        <v>0</v>
      </c>
      <c r="F3107" s="130"/>
      <c r="G3107" s="1797"/>
      <c r="H3107" s="1777" t="s">
        <v>1238</v>
      </c>
      <c r="I3107" s="1742" t="s">
        <v>8888</v>
      </c>
      <c r="J3107" s="1779" t="s">
        <v>2825</v>
      </c>
      <c r="K3107" s="1780"/>
      <c r="L3107" s="1781"/>
      <c r="M3107" s="1781"/>
      <c r="N3107" s="1746"/>
      <c r="O3107" s="1782"/>
      <c r="P3107" s="1720"/>
    </row>
    <row r="3108" spans="1:16" ht="13.9" hidden="1" customHeight="1" outlineLevel="3" x14ac:dyDescent="0.2">
      <c r="A3108" s="459">
        <v>0</v>
      </c>
      <c r="B3108" s="459">
        <v>21</v>
      </c>
      <c r="C3108" s="459">
        <v>3</v>
      </c>
      <c r="D3108" s="460">
        <v>3</v>
      </c>
      <c r="E3108" s="460">
        <v>1</v>
      </c>
      <c r="F3108" s="130"/>
      <c r="G3108" s="1798" t="s">
        <v>2383</v>
      </c>
      <c r="H3108" s="1783" t="s">
        <v>1239</v>
      </c>
      <c r="I3108" s="1750" t="s">
        <v>8889</v>
      </c>
      <c r="J3108" s="1785" t="s">
        <v>5345</v>
      </c>
      <c r="K3108" s="1786" t="s">
        <v>642</v>
      </c>
      <c r="L3108" s="1787" t="e">
        <v>#REF!</v>
      </c>
      <c r="M3108" s="1787">
        <v>1102</v>
      </c>
      <c r="N3108" s="1754"/>
      <c r="O3108" s="1788"/>
      <c r="P3108" s="1721" t="s">
        <v>9611</v>
      </c>
    </row>
    <row r="3109" spans="1:16" ht="13.9" hidden="1" customHeight="1" outlineLevel="3" x14ac:dyDescent="0.2">
      <c r="A3109" s="459">
        <v>0</v>
      </c>
      <c r="B3109" s="459">
        <v>21</v>
      </c>
      <c r="C3109" s="459">
        <v>3</v>
      </c>
      <c r="D3109" s="460">
        <v>3</v>
      </c>
      <c r="E3109" s="460">
        <v>2</v>
      </c>
      <c r="F3109" s="130"/>
      <c r="G3109" s="1798" t="s">
        <v>2383</v>
      </c>
      <c r="H3109" s="1783" t="s">
        <v>1239</v>
      </c>
      <c r="I3109" s="1750" t="s">
        <v>8890</v>
      </c>
      <c r="J3109" s="1785" t="s">
        <v>5346</v>
      </c>
      <c r="K3109" s="1786" t="s">
        <v>788</v>
      </c>
      <c r="L3109" s="1787" t="e">
        <v>#REF!</v>
      </c>
      <c r="M3109" s="1787">
        <v>211.47737545454549</v>
      </c>
      <c r="N3109" s="1754"/>
      <c r="O3109" s="1788"/>
      <c r="P3109" s="1721" t="s">
        <v>9611</v>
      </c>
    </row>
    <row r="3110" spans="1:16" ht="13.9" hidden="1" customHeight="1" outlineLevel="3" x14ac:dyDescent="0.2">
      <c r="A3110" s="459">
        <v>0</v>
      </c>
      <c r="B3110" s="459">
        <v>21</v>
      </c>
      <c r="C3110" s="459">
        <v>3</v>
      </c>
      <c r="D3110" s="460">
        <v>3</v>
      </c>
      <c r="E3110" s="460">
        <v>3</v>
      </c>
      <c r="F3110" s="130"/>
      <c r="G3110" s="1798" t="s">
        <v>2383</v>
      </c>
      <c r="H3110" s="1783" t="s">
        <v>1239</v>
      </c>
      <c r="I3110" s="1750" t="s">
        <v>8891</v>
      </c>
      <c r="J3110" s="1785" t="s">
        <v>5341</v>
      </c>
      <c r="K3110" s="1786" t="s">
        <v>788</v>
      </c>
      <c r="L3110" s="1787" t="e">
        <v>#REF!</v>
      </c>
      <c r="M3110" s="1787">
        <v>150.38018545454545</v>
      </c>
      <c r="N3110" s="1754"/>
      <c r="O3110" s="1788"/>
      <c r="P3110" s="1721" t="s">
        <v>9611</v>
      </c>
    </row>
    <row r="3111" spans="1:16" ht="13.9" hidden="1" customHeight="1" outlineLevel="3" x14ac:dyDescent="0.2">
      <c r="A3111" s="459">
        <v>0</v>
      </c>
      <c r="B3111" s="459">
        <v>21</v>
      </c>
      <c r="C3111" s="459">
        <v>3</v>
      </c>
      <c r="D3111" s="460">
        <v>3</v>
      </c>
      <c r="E3111" s="460">
        <v>4</v>
      </c>
      <c r="F3111" s="130"/>
      <c r="G3111" s="1798" t="s">
        <v>2383</v>
      </c>
      <c r="H3111" s="1783" t="s">
        <v>1239</v>
      </c>
      <c r="I3111" s="1750" t="s">
        <v>8892</v>
      </c>
      <c r="J3111" s="1785" t="s">
        <v>5347</v>
      </c>
      <c r="K3111" s="1786" t="s">
        <v>642</v>
      </c>
      <c r="L3111" s="1787" t="e">
        <v>#REF!</v>
      </c>
      <c r="M3111" s="1787">
        <v>443.28559999999999</v>
      </c>
      <c r="N3111" s="1754"/>
      <c r="O3111" s="1788"/>
      <c r="P3111" s="1721" t="s">
        <v>9611</v>
      </c>
    </row>
    <row r="3112" spans="1:16" ht="13.9" hidden="1" customHeight="1" outlineLevel="3" x14ac:dyDescent="0.2">
      <c r="A3112" s="459">
        <v>0</v>
      </c>
      <c r="B3112" s="459">
        <v>21</v>
      </c>
      <c r="C3112" s="459">
        <v>3</v>
      </c>
      <c r="D3112" s="460">
        <v>3</v>
      </c>
      <c r="E3112" s="460">
        <v>5</v>
      </c>
      <c r="F3112" s="130"/>
      <c r="G3112" s="1798" t="s">
        <v>2383</v>
      </c>
      <c r="H3112" s="1783" t="s">
        <v>1239</v>
      </c>
      <c r="I3112" s="1750" t="s">
        <v>8893</v>
      </c>
      <c r="J3112" s="1785" t="s">
        <v>5338</v>
      </c>
      <c r="K3112" s="1786" t="s">
        <v>642</v>
      </c>
      <c r="L3112" s="1787" t="e">
        <v>#REF!</v>
      </c>
      <c r="M3112" s="1787">
        <v>807.74</v>
      </c>
      <c r="N3112" s="1754"/>
      <c r="O3112" s="1788"/>
      <c r="P3112" s="1721" t="s">
        <v>9611</v>
      </c>
    </row>
    <row r="3113" spans="1:16" ht="13.9" hidden="1" customHeight="1" outlineLevel="3" x14ac:dyDescent="0.2">
      <c r="A3113" s="459">
        <v>0</v>
      </c>
      <c r="B3113" s="459">
        <v>21</v>
      </c>
      <c r="C3113" s="459">
        <v>3</v>
      </c>
      <c r="D3113" s="460">
        <v>3</v>
      </c>
      <c r="E3113" s="460">
        <v>6</v>
      </c>
      <c r="F3113" s="130"/>
      <c r="G3113" s="1798" t="s">
        <v>2383</v>
      </c>
      <c r="H3113" s="1783" t="s">
        <v>1239</v>
      </c>
      <c r="I3113" s="1750" t="s">
        <v>8894</v>
      </c>
      <c r="J3113" s="1785" t="s">
        <v>5339</v>
      </c>
      <c r="K3113" s="1786" t="s">
        <v>642</v>
      </c>
      <c r="L3113" s="1787" t="e">
        <v>#REF!</v>
      </c>
      <c r="M3113" s="1787">
        <v>172.02560000000003</v>
      </c>
      <c r="N3113" s="1754"/>
      <c r="O3113" s="1788" t="s">
        <v>5348</v>
      </c>
      <c r="P3113" s="1721" t="s">
        <v>9611</v>
      </c>
    </row>
    <row r="3114" spans="1:16" ht="13.9" hidden="1" customHeight="1" outlineLevel="3" x14ac:dyDescent="0.2">
      <c r="A3114" s="459">
        <v>0</v>
      </c>
      <c r="B3114" s="459">
        <v>21</v>
      </c>
      <c r="C3114" s="459">
        <v>3</v>
      </c>
      <c r="D3114" s="460">
        <v>3</v>
      </c>
      <c r="E3114" s="460">
        <v>7</v>
      </c>
      <c r="F3114" s="130"/>
      <c r="G3114" s="1798" t="s">
        <v>2383</v>
      </c>
      <c r="H3114" s="1783" t="s">
        <v>1239</v>
      </c>
      <c r="I3114" s="1750" t="s">
        <v>8895</v>
      </c>
      <c r="J3114" s="1785" t="s">
        <v>5340</v>
      </c>
      <c r="K3114" s="1786" t="s">
        <v>788</v>
      </c>
      <c r="L3114" s="1787" t="e">
        <v>#REF!</v>
      </c>
      <c r="M3114" s="1787">
        <v>130.09937545454545</v>
      </c>
      <c r="N3114" s="1754"/>
      <c r="O3114" s="1788" t="s">
        <v>1652</v>
      </c>
      <c r="P3114" s="1721" t="s">
        <v>9611</v>
      </c>
    </row>
    <row r="3115" spans="1:16" ht="13.9" hidden="1" customHeight="1" outlineLevel="3" x14ac:dyDescent="0.2">
      <c r="A3115" s="459">
        <v>0</v>
      </c>
      <c r="B3115" s="459">
        <v>21</v>
      </c>
      <c r="C3115" s="459">
        <v>3</v>
      </c>
      <c r="D3115" s="460">
        <v>3</v>
      </c>
      <c r="E3115" s="460">
        <v>8</v>
      </c>
      <c r="F3115" s="130"/>
      <c r="G3115" s="1798" t="s">
        <v>2383</v>
      </c>
      <c r="H3115" s="1783" t="s">
        <v>1239</v>
      </c>
      <c r="I3115" s="1750" t="s">
        <v>8896</v>
      </c>
      <c r="J3115" s="1785" t="s">
        <v>3146</v>
      </c>
      <c r="K3115" s="1786" t="s">
        <v>642</v>
      </c>
      <c r="L3115" s="1787" t="e">
        <v>#REF!</v>
      </c>
      <c r="M3115" s="1787">
        <v>164.30200000000002</v>
      </c>
      <c r="N3115" s="1754"/>
      <c r="O3115" s="1788"/>
      <c r="P3115" s="1721" t="s">
        <v>9611</v>
      </c>
    </row>
    <row r="3116" spans="1:16" ht="13.9" hidden="1" customHeight="1" outlineLevel="3" x14ac:dyDescent="0.2">
      <c r="A3116" s="459">
        <v>0</v>
      </c>
      <c r="B3116" s="459">
        <v>21</v>
      </c>
      <c r="C3116" s="459">
        <v>3</v>
      </c>
      <c r="D3116" s="460">
        <v>3</v>
      </c>
      <c r="E3116" s="460">
        <v>9</v>
      </c>
      <c r="F3116" s="130"/>
      <c r="G3116" s="1798" t="s">
        <v>2383</v>
      </c>
      <c r="H3116" s="1783" t="s">
        <v>1239</v>
      </c>
      <c r="I3116" s="1750" t="s">
        <v>8897</v>
      </c>
      <c r="J3116" s="1785" t="s">
        <v>4223</v>
      </c>
      <c r="K3116" s="1786" t="s">
        <v>642</v>
      </c>
      <c r="L3116" s="1787" t="e">
        <v>#REF!</v>
      </c>
      <c r="M3116" s="1787">
        <v>450.23927500000002</v>
      </c>
      <c r="N3116" s="1754"/>
      <c r="O3116" s="1788"/>
      <c r="P3116" s="1721" t="s">
        <v>9611</v>
      </c>
    </row>
    <row r="3117" spans="1:16" ht="13.9" hidden="1" customHeight="1" outlineLevel="2" x14ac:dyDescent="0.2">
      <c r="A3117" s="459">
        <v>0</v>
      </c>
      <c r="B3117" s="459">
        <v>21</v>
      </c>
      <c r="C3117" s="459">
        <v>3</v>
      </c>
      <c r="D3117" s="460">
        <v>4</v>
      </c>
      <c r="E3117" s="460">
        <v>0</v>
      </c>
      <c r="F3117" s="130"/>
      <c r="G3117" s="1797"/>
      <c r="H3117" s="1777" t="s">
        <v>1238</v>
      </c>
      <c r="I3117" s="1742" t="s">
        <v>8898</v>
      </c>
      <c r="J3117" s="1779" t="s">
        <v>1264</v>
      </c>
      <c r="K3117" s="1780"/>
      <c r="L3117" s="1781"/>
      <c r="M3117" s="1781"/>
      <c r="N3117" s="1746"/>
      <c r="O3117" s="1782"/>
      <c r="P3117" s="1720"/>
    </row>
    <row r="3118" spans="1:16" ht="13.9" hidden="1" customHeight="1" outlineLevel="3" x14ac:dyDescent="0.2">
      <c r="A3118" s="459">
        <v>0</v>
      </c>
      <c r="B3118" s="459">
        <v>21</v>
      </c>
      <c r="C3118" s="459">
        <v>3</v>
      </c>
      <c r="D3118" s="460">
        <v>4</v>
      </c>
      <c r="E3118" s="460">
        <v>1</v>
      </c>
      <c r="F3118" s="130"/>
      <c r="G3118" s="1798" t="s">
        <v>2383</v>
      </c>
      <c r="H3118" s="1783" t="s">
        <v>1239</v>
      </c>
      <c r="I3118" s="1750" t="s">
        <v>8899</v>
      </c>
      <c r="J3118" s="1785" t="s">
        <v>924</v>
      </c>
      <c r="K3118" s="1786" t="s">
        <v>642</v>
      </c>
      <c r="L3118" s="1787" t="e">
        <v>#REF!</v>
      </c>
      <c r="M3118" s="1787">
        <v>62</v>
      </c>
      <c r="N3118" s="1754"/>
      <c r="O3118" s="1788"/>
      <c r="P3118" s="1721" t="s">
        <v>9611</v>
      </c>
    </row>
    <row r="3119" spans="1:16" ht="13.9" hidden="1" customHeight="1" outlineLevel="3" x14ac:dyDescent="0.2">
      <c r="A3119" s="459">
        <v>0</v>
      </c>
      <c r="B3119" s="459">
        <v>21</v>
      </c>
      <c r="C3119" s="459">
        <v>3</v>
      </c>
      <c r="D3119" s="460">
        <v>4</v>
      </c>
      <c r="E3119" s="460">
        <v>2</v>
      </c>
      <c r="F3119" s="130"/>
      <c r="G3119" s="1798" t="s">
        <v>2383</v>
      </c>
      <c r="H3119" s="1783" t="s">
        <v>1239</v>
      </c>
      <c r="I3119" s="1750" t="s">
        <v>8900</v>
      </c>
      <c r="J3119" s="1785" t="s">
        <v>927</v>
      </c>
      <c r="K3119" s="1786" t="s">
        <v>642</v>
      </c>
      <c r="L3119" s="1787" t="e">
        <v>#REF!</v>
      </c>
      <c r="M3119" s="1787">
        <v>95</v>
      </c>
      <c r="N3119" s="1754"/>
      <c r="O3119" s="1788"/>
      <c r="P3119" s="1721" t="s">
        <v>9611</v>
      </c>
    </row>
    <row r="3120" spans="1:16" ht="13.9" hidden="1" customHeight="1" outlineLevel="3" x14ac:dyDescent="0.2">
      <c r="A3120" s="459">
        <v>0</v>
      </c>
      <c r="B3120" s="459">
        <v>21</v>
      </c>
      <c r="C3120" s="459">
        <v>3</v>
      </c>
      <c r="D3120" s="460">
        <v>4</v>
      </c>
      <c r="E3120" s="460">
        <v>3</v>
      </c>
      <c r="F3120" s="130"/>
      <c r="G3120" s="1798" t="s">
        <v>2383</v>
      </c>
      <c r="H3120" s="1783" t="s">
        <v>1239</v>
      </c>
      <c r="I3120" s="1750" t="s">
        <v>8901</v>
      </c>
      <c r="J3120" s="1785" t="s">
        <v>928</v>
      </c>
      <c r="K3120" s="1786" t="s">
        <v>642</v>
      </c>
      <c r="L3120" s="1787" t="e">
        <v>#REF!</v>
      </c>
      <c r="M3120" s="1787">
        <v>85</v>
      </c>
      <c r="N3120" s="1754"/>
      <c r="O3120" s="1788"/>
      <c r="P3120" s="1721" t="s">
        <v>9611</v>
      </c>
    </row>
    <row r="3121" spans="1:16" ht="13.9" hidden="1" customHeight="1" outlineLevel="3" x14ac:dyDescent="0.2">
      <c r="A3121" s="459">
        <v>0</v>
      </c>
      <c r="B3121" s="459">
        <v>21</v>
      </c>
      <c r="C3121" s="459">
        <v>3</v>
      </c>
      <c r="D3121" s="460">
        <v>4</v>
      </c>
      <c r="E3121" s="460">
        <v>4</v>
      </c>
      <c r="F3121" s="130"/>
      <c r="G3121" s="1798" t="s">
        <v>2383</v>
      </c>
      <c r="H3121" s="1783" t="s">
        <v>1239</v>
      </c>
      <c r="I3121" s="1750" t="s">
        <v>8902</v>
      </c>
      <c r="J3121" s="1785" t="s">
        <v>3152</v>
      </c>
      <c r="K3121" s="1786" t="s">
        <v>642</v>
      </c>
      <c r="L3121" s="1787" t="e">
        <v>#REF!</v>
      </c>
      <c r="M3121" s="1787">
        <v>120</v>
      </c>
      <c r="N3121" s="1754"/>
      <c r="O3121" s="1788"/>
      <c r="P3121" s="1721" t="s">
        <v>9611</v>
      </c>
    </row>
    <row r="3122" spans="1:16" ht="13.9" hidden="1" customHeight="1" outlineLevel="3" x14ac:dyDescent="0.2">
      <c r="A3122" s="459">
        <v>0</v>
      </c>
      <c r="B3122" s="459">
        <v>21</v>
      </c>
      <c r="C3122" s="459">
        <v>3</v>
      </c>
      <c r="D3122" s="460">
        <v>4</v>
      </c>
      <c r="E3122" s="460">
        <v>5</v>
      </c>
      <c r="F3122" s="130"/>
      <c r="G3122" s="1798" t="s">
        <v>2383</v>
      </c>
      <c r="H3122" s="1783" t="s">
        <v>1239</v>
      </c>
      <c r="I3122" s="1750" t="s">
        <v>8903</v>
      </c>
      <c r="J3122" s="1785" t="s">
        <v>926</v>
      </c>
      <c r="K3122" s="1786" t="s">
        <v>642</v>
      </c>
      <c r="L3122" s="1787" t="e">
        <v>#REF!</v>
      </c>
      <c r="M3122" s="1787">
        <v>58</v>
      </c>
      <c r="N3122" s="1754"/>
      <c r="O3122" s="1788"/>
      <c r="P3122" s="1721" t="s">
        <v>9611</v>
      </c>
    </row>
    <row r="3123" spans="1:16" ht="13.9" hidden="1" customHeight="1" outlineLevel="1" x14ac:dyDescent="0.2">
      <c r="A3123" s="459">
        <v>0</v>
      </c>
      <c r="B3123" s="459">
        <v>21</v>
      </c>
      <c r="C3123" s="459">
        <v>4</v>
      </c>
      <c r="D3123" s="460">
        <v>0</v>
      </c>
      <c r="E3123" s="460">
        <v>5</v>
      </c>
      <c r="F3123" s="130"/>
      <c r="G3123" s="1796"/>
      <c r="H3123" s="1771" t="s">
        <v>39</v>
      </c>
      <c r="I3123" s="1735" t="s">
        <v>8904</v>
      </c>
      <c r="J3123" s="1773" t="s">
        <v>3157</v>
      </c>
      <c r="K3123" s="1774"/>
      <c r="L3123" s="1775"/>
      <c r="M3123" s="1775"/>
      <c r="N3123" s="1739"/>
      <c r="O3123" s="1776"/>
      <c r="P3123" s="1725"/>
    </row>
    <row r="3124" spans="1:16" ht="13.9" hidden="1" customHeight="1" outlineLevel="2" x14ac:dyDescent="0.2">
      <c r="A3124" s="459">
        <v>0</v>
      </c>
      <c r="B3124" s="459">
        <v>21</v>
      </c>
      <c r="C3124" s="459">
        <v>4</v>
      </c>
      <c r="D3124" s="460">
        <v>1</v>
      </c>
      <c r="E3124" s="460">
        <v>0</v>
      </c>
      <c r="F3124" s="130"/>
      <c r="G3124" s="1797"/>
      <c r="H3124" s="1777" t="s">
        <v>1238</v>
      </c>
      <c r="I3124" s="1742" t="s">
        <v>8905</v>
      </c>
      <c r="J3124" s="1779" t="s">
        <v>2824</v>
      </c>
      <c r="K3124" s="1780"/>
      <c r="L3124" s="1781"/>
      <c r="M3124" s="1781"/>
      <c r="N3124" s="1746"/>
      <c r="O3124" s="1782"/>
      <c r="P3124" s="1720"/>
    </row>
    <row r="3125" spans="1:16" ht="13.9" hidden="1" customHeight="1" outlineLevel="3" x14ac:dyDescent="0.2">
      <c r="A3125" s="459">
        <v>0</v>
      </c>
      <c r="B3125" s="459">
        <v>21</v>
      </c>
      <c r="C3125" s="459">
        <v>4</v>
      </c>
      <c r="D3125" s="460">
        <v>1</v>
      </c>
      <c r="E3125" s="460">
        <v>1</v>
      </c>
      <c r="F3125" s="130"/>
      <c r="G3125" s="1798" t="s">
        <v>2383</v>
      </c>
      <c r="H3125" s="1783" t="s">
        <v>1239</v>
      </c>
      <c r="I3125" s="1750" t="s">
        <v>8906</v>
      </c>
      <c r="J3125" s="1785" t="s">
        <v>894</v>
      </c>
      <c r="K3125" s="1786" t="s">
        <v>642</v>
      </c>
      <c r="L3125" s="1787" t="e">
        <v>#REF!</v>
      </c>
      <c r="M3125" s="1787">
        <v>10.11778</v>
      </c>
      <c r="N3125" s="1754"/>
      <c r="O3125" s="1788"/>
      <c r="P3125" s="1721" t="s">
        <v>9611</v>
      </c>
    </row>
    <row r="3126" spans="1:16" ht="13.9" hidden="1" customHeight="1" outlineLevel="3" x14ac:dyDescent="0.2">
      <c r="A3126" s="459">
        <v>0</v>
      </c>
      <c r="B3126" s="459">
        <v>21</v>
      </c>
      <c r="C3126" s="459">
        <v>4</v>
      </c>
      <c r="D3126" s="460">
        <v>1</v>
      </c>
      <c r="E3126" s="460">
        <v>2</v>
      </c>
      <c r="F3126" s="130"/>
      <c r="G3126" s="1798" t="s">
        <v>2383</v>
      </c>
      <c r="H3126" s="1783" t="s">
        <v>1239</v>
      </c>
      <c r="I3126" s="1750" t="s">
        <v>8907</v>
      </c>
      <c r="J3126" s="1785" t="s">
        <v>854</v>
      </c>
      <c r="K3126" s="1786" t="s">
        <v>642</v>
      </c>
      <c r="L3126" s="1787" t="e">
        <v>#REF!</v>
      </c>
      <c r="M3126" s="1787">
        <v>3.28945</v>
      </c>
      <c r="N3126" s="1754"/>
      <c r="O3126" s="1788"/>
      <c r="P3126" s="1721" t="s">
        <v>9611</v>
      </c>
    </row>
    <row r="3127" spans="1:16" ht="13.9" hidden="1" customHeight="1" outlineLevel="3" x14ac:dyDescent="0.2">
      <c r="A3127" s="459">
        <v>0</v>
      </c>
      <c r="B3127" s="459">
        <v>21</v>
      </c>
      <c r="C3127" s="459">
        <v>4</v>
      </c>
      <c r="D3127" s="460">
        <v>1</v>
      </c>
      <c r="E3127" s="460">
        <v>3</v>
      </c>
      <c r="F3127" s="130"/>
      <c r="G3127" s="1798" t="s">
        <v>2383</v>
      </c>
      <c r="H3127" s="1783" t="s">
        <v>1239</v>
      </c>
      <c r="I3127" s="1750" t="s">
        <v>8908</v>
      </c>
      <c r="J3127" s="1785" t="s">
        <v>853</v>
      </c>
      <c r="K3127" s="1786" t="s">
        <v>642</v>
      </c>
      <c r="L3127" s="1787" t="e">
        <v>#REF!</v>
      </c>
      <c r="M3127" s="1787">
        <v>10.893750000000001</v>
      </c>
      <c r="N3127" s="1754"/>
      <c r="O3127" s="1788"/>
      <c r="P3127" s="1721" t="s">
        <v>9611</v>
      </c>
    </row>
    <row r="3128" spans="1:16" ht="13.9" hidden="1" customHeight="1" outlineLevel="2" x14ac:dyDescent="0.2">
      <c r="A3128" s="459">
        <v>0</v>
      </c>
      <c r="B3128" s="459">
        <v>21</v>
      </c>
      <c r="C3128" s="459">
        <v>4</v>
      </c>
      <c r="D3128" s="460">
        <v>2</v>
      </c>
      <c r="E3128" s="460">
        <v>0</v>
      </c>
      <c r="F3128" s="130"/>
      <c r="G3128" s="1797"/>
      <c r="H3128" s="1777" t="s">
        <v>1238</v>
      </c>
      <c r="I3128" s="1742" t="s">
        <v>8909</v>
      </c>
      <c r="J3128" s="1779" t="s">
        <v>2750</v>
      </c>
      <c r="K3128" s="1780"/>
      <c r="L3128" s="1781"/>
      <c r="M3128" s="1781"/>
      <c r="N3128" s="1746"/>
      <c r="O3128" s="1782"/>
      <c r="P3128" s="1720"/>
    </row>
    <row r="3129" spans="1:16" ht="12.75" hidden="1" outlineLevel="3" x14ac:dyDescent="0.2">
      <c r="A3129" s="459">
        <v>0</v>
      </c>
      <c r="B3129" s="459">
        <v>21</v>
      </c>
      <c r="C3129" s="459">
        <v>4</v>
      </c>
      <c r="D3129" s="460">
        <v>2</v>
      </c>
      <c r="E3129" s="460">
        <v>1</v>
      </c>
      <c r="F3129" s="130"/>
      <c r="G3129" s="1798" t="s">
        <v>2383</v>
      </c>
      <c r="H3129" s="1783" t="s">
        <v>1239</v>
      </c>
      <c r="I3129" s="1750" t="s">
        <v>8910</v>
      </c>
      <c r="J3129" s="1785" t="s">
        <v>3531</v>
      </c>
      <c r="K3129" s="1786" t="s">
        <v>642</v>
      </c>
      <c r="L3129" s="1787" t="e">
        <v>#REF!</v>
      </c>
      <c r="M3129" s="1787">
        <v>35.786235333333337</v>
      </c>
      <c r="N3129" s="1754"/>
      <c r="O3129" s="1788"/>
      <c r="P3129" s="1721" t="s">
        <v>9611</v>
      </c>
    </row>
    <row r="3130" spans="1:16" ht="13.9" hidden="1" customHeight="1" outlineLevel="2" x14ac:dyDescent="0.2">
      <c r="A3130" s="459">
        <v>0</v>
      </c>
      <c r="B3130" s="459">
        <v>21</v>
      </c>
      <c r="C3130" s="459">
        <v>4</v>
      </c>
      <c r="D3130" s="460">
        <v>3</v>
      </c>
      <c r="E3130" s="460">
        <v>0</v>
      </c>
      <c r="F3130" s="130"/>
      <c r="G3130" s="1797"/>
      <c r="H3130" s="1777" t="s">
        <v>1238</v>
      </c>
      <c r="I3130" s="1742" t="s">
        <v>8911</v>
      </c>
      <c r="J3130" s="1779" t="s">
        <v>2825</v>
      </c>
      <c r="K3130" s="1780"/>
      <c r="L3130" s="1781"/>
      <c r="M3130" s="1781"/>
      <c r="N3130" s="1746"/>
      <c r="O3130" s="1782"/>
      <c r="P3130" s="1720"/>
    </row>
    <row r="3131" spans="1:16" ht="13.9" hidden="1" customHeight="1" outlineLevel="3" x14ac:dyDescent="0.2">
      <c r="A3131" s="459">
        <v>0</v>
      </c>
      <c r="B3131" s="459">
        <v>21</v>
      </c>
      <c r="C3131" s="459">
        <v>4</v>
      </c>
      <c r="D3131" s="460">
        <v>3</v>
      </c>
      <c r="E3131" s="460">
        <v>1</v>
      </c>
      <c r="F3131" s="130"/>
      <c r="G3131" s="1798" t="s">
        <v>2383</v>
      </c>
      <c r="H3131" s="1783" t="s">
        <v>1239</v>
      </c>
      <c r="I3131" s="1750" t="s">
        <v>8912</v>
      </c>
      <c r="J3131" s="1785" t="s">
        <v>5345</v>
      </c>
      <c r="K3131" s="1786" t="s">
        <v>642</v>
      </c>
      <c r="L3131" s="1787" t="e">
        <v>#REF!</v>
      </c>
      <c r="M3131" s="1787">
        <v>1102</v>
      </c>
      <c r="N3131" s="1754"/>
      <c r="O3131" s="1788"/>
      <c r="P3131" s="1721" t="s">
        <v>9611</v>
      </c>
    </row>
    <row r="3132" spans="1:16" ht="13.9" hidden="1" customHeight="1" outlineLevel="3" x14ac:dyDescent="0.2">
      <c r="A3132" s="459">
        <v>0</v>
      </c>
      <c r="B3132" s="459">
        <v>21</v>
      </c>
      <c r="C3132" s="459">
        <v>4</v>
      </c>
      <c r="D3132" s="460">
        <v>3</v>
      </c>
      <c r="E3132" s="460">
        <v>2</v>
      </c>
      <c r="F3132" s="130"/>
      <c r="G3132" s="1798" t="s">
        <v>2383</v>
      </c>
      <c r="H3132" s="1783" t="s">
        <v>1239</v>
      </c>
      <c r="I3132" s="1750" t="s">
        <v>8913</v>
      </c>
      <c r="J3132" s="1785" t="s">
        <v>5346</v>
      </c>
      <c r="K3132" s="1786" t="s">
        <v>788</v>
      </c>
      <c r="L3132" s="1787" t="e">
        <v>#REF!</v>
      </c>
      <c r="M3132" s="1787">
        <v>211.47737545454549</v>
      </c>
      <c r="N3132" s="1754"/>
      <c r="O3132" s="1788"/>
      <c r="P3132" s="1721" t="s">
        <v>9611</v>
      </c>
    </row>
    <row r="3133" spans="1:16" ht="13.9" hidden="1" customHeight="1" outlineLevel="3" x14ac:dyDescent="0.2">
      <c r="A3133" s="459">
        <v>0</v>
      </c>
      <c r="B3133" s="459">
        <v>21</v>
      </c>
      <c r="C3133" s="459">
        <v>4</v>
      </c>
      <c r="D3133" s="460">
        <v>3</v>
      </c>
      <c r="E3133" s="460">
        <v>3</v>
      </c>
      <c r="F3133" s="130"/>
      <c r="G3133" s="1798" t="s">
        <v>2383</v>
      </c>
      <c r="H3133" s="1783" t="s">
        <v>1239</v>
      </c>
      <c r="I3133" s="1750" t="s">
        <v>8914</v>
      </c>
      <c r="J3133" s="1785" t="s">
        <v>5341</v>
      </c>
      <c r="K3133" s="1786" t="s">
        <v>788</v>
      </c>
      <c r="L3133" s="1787" t="e">
        <v>#REF!</v>
      </c>
      <c r="M3133" s="1787">
        <v>150.38018545454545</v>
      </c>
      <c r="N3133" s="1754"/>
      <c r="O3133" s="1788"/>
      <c r="P3133" s="1721" t="s">
        <v>9611</v>
      </c>
    </row>
    <row r="3134" spans="1:16" ht="13.9" hidden="1" customHeight="1" outlineLevel="3" x14ac:dyDescent="0.2">
      <c r="A3134" s="459">
        <v>0</v>
      </c>
      <c r="B3134" s="459">
        <v>21</v>
      </c>
      <c r="C3134" s="459">
        <v>4</v>
      </c>
      <c r="D3134" s="460">
        <v>3</v>
      </c>
      <c r="E3134" s="460">
        <v>4</v>
      </c>
      <c r="F3134" s="130"/>
      <c r="G3134" s="1798" t="s">
        <v>2383</v>
      </c>
      <c r="H3134" s="1783" t="s">
        <v>1239</v>
      </c>
      <c r="I3134" s="1750" t="s">
        <v>8915</v>
      </c>
      <c r="J3134" s="1785" t="s">
        <v>5347</v>
      </c>
      <c r="K3134" s="1786" t="s">
        <v>642</v>
      </c>
      <c r="L3134" s="1787" t="e">
        <v>#REF!</v>
      </c>
      <c r="M3134" s="1787">
        <v>443.28559999999999</v>
      </c>
      <c r="N3134" s="1754"/>
      <c r="O3134" s="1788"/>
      <c r="P3134" s="1721" t="s">
        <v>9611</v>
      </c>
    </row>
    <row r="3135" spans="1:16" ht="13.9" hidden="1" customHeight="1" outlineLevel="3" x14ac:dyDescent="0.2">
      <c r="A3135" s="459">
        <v>0</v>
      </c>
      <c r="B3135" s="459">
        <v>21</v>
      </c>
      <c r="C3135" s="459">
        <v>4</v>
      </c>
      <c r="D3135" s="460">
        <v>3</v>
      </c>
      <c r="E3135" s="460">
        <v>5</v>
      </c>
      <c r="F3135" s="130"/>
      <c r="G3135" s="1798" t="s">
        <v>2383</v>
      </c>
      <c r="H3135" s="1783" t="s">
        <v>1239</v>
      </c>
      <c r="I3135" s="1750" t="s">
        <v>8916</v>
      </c>
      <c r="J3135" s="1785" t="s">
        <v>3144</v>
      </c>
      <c r="K3135" s="1786" t="s">
        <v>642</v>
      </c>
      <c r="L3135" s="1787" t="e">
        <v>#REF!</v>
      </c>
      <c r="M3135" s="1787">
        <v>1843.3440000000001</v>
      </c>
      <c r="N3135" s="1754"/>
      <c r="O3135" s="1788" t="s">
        <v>3145</v>
      </c>
      <c r="P3135" s="1721" t="s">
        <v>9611</v>
      </c>
    </row>
    <row r="3136" spans="1:16" ht="13.9" hidden="1" customHeight="1" outlineLevel="3" x14ac:dyDescent="0.2">
      <c r="A3136" s="459">
        <v>0</v>
      </c>
      <c r="B3136" s="459">
        <v>21</v>
      </c>
      <c r="C3136" s="459">
        <v>4</v>
      </c>
      <c r="D3136" s="460">
        <v>3</v>
      </c>
      <c r="E3136" s="460">
        <v>6</v>
      </c>
      <c r="F3136" s="130"/>
      <c r="G3136" s="1798" t="s">
        <v>2383</v>
      </c>
      <c r="H3136" s="1783" t="s">
        <v>1239</v>
      </c>
      <c r="I3136" s="1750" t="s">
        <v>8917</v>
      </c>
      <c r="J3136" s="1785" t="s">
        <v>5338</v>
      </c>
      <c r="K3136" s="1786" t="s">
        <v>642</v>
      </c>
      <c r="L3136" s="1787" t="e">
        <v>#REF!</v>
      </c>
      <c r="M3136" s="1787">
        <v>807.74</v>
      </c>
      <c r="N3136" s="1754"/>
      <c r="O3136" s="1788"/>
      <c r="P3136" s="1721" t="s">
        <v>9611</v>
      </c>
    </row>
    <row r="3137" spans="1:16" ht="13.9" hidden="1" customHeight="1" outlineLevel="3" x14ac:dyDescent="0.2">
      <c r="A3137" s="459">
        <v>0</v>
      </c>
      <c r="B3137" s="459">
        <v>21</v>
      </c>
      <c r="C3137" s="459">
        <v>4</v>
      </c>
      <c r="D3137" s="460">
        <v>3</v>
      </c>
      <c r="E3137" s="460">
        <v>7</v>
      </c>
      <c r="F3137" s="130"/>
      <c r="G3137" s="1798" t="s">
        <v>2383</v>
      </c>
      <c r="H3137" s="1783" t="s">
        <v>1239</v>
      </c>
      <c r="I3137" s="1750" t="s">
        <v>8918</v>
      </c>
      <c r="J3137" s="1785" t="s">
        <v>5339</v>
      </c>
      <c r="K3137" s="1786" t="s">
        <v>642</v>
      </c>
      <c r="L3137" s="1787" t="e">
        <v>#REF!</v>
      </c>
      <c r="M3137" s="1787">
        <v>172.02560000000003</v>
      </c>
      <c r="N3137" s="1754"/>
      <c r="O3137" s="1788" t="s">
        <v>5348</v>
      </c>
      <c r="P3137" s="1721" t="s">
        <v>9611</v>
      </c>
    </row>
    <row r="3138" spans="1:16" ht="13.9" hidden="1" customHeight="1" outlineLevel="3" x14ac:dyDescent="0.2">
      <c r="A3138" s="459">
        <v>0</v>
      </c>
      <c r="B3138" s="459">
        <v>21</v>
      </c>
      <c r="C3138" s="459">
        <v>4</v>
      </c>
      <c r="D3138" s="460">
        <v>3</v>
      </c>
      <c r="E3138" s="460">
        <v>8</v>
      </c>
      <c r="F3138" s="130"/>
      <c r="G3138" s="1798" t="s">
        <v>2383</v>
      </c>
      <c r="H3138" s="1783" t="s">
        <v>1239</v>
      </c>
      <c r="I3138" s="1750" t="s">
        <v>8919</v>
      </c>
      <c r="J3138" s="1785" t="s">
        <v>5340</v>
      </c>
      <c r="K3138" s="1786" t="s">
        <v>788</v>
      </c>
      <c r="L3138" s="1787" t="e">
        <v>#REF!</v>
      </c>
      <c r="M3138" s="1787">
        <v>130.09937545454545</v>
      </c>
      <c r="N3138" s="1754"/>
      <c r="O3138" s="1788" t="s">
        <v>1652</v>
      </c>
      <c r="P3138" s="1721" t="s">
        <v>9611</v>
      </c>
    </row>
    <row r="3139" spans="1:16" ht="13.9" hidden="1" customHeight="1" outlineLevel="3" x14ac:dyDescent="0.2">
      <c r="A3139" s="459">
        <v>0</v>
      </c>
      <c r="B3139" s="459">
        <v>21</v>
      </c>
      <c r="C3139" s="459">
        <v>4</v>
      </c>
      <c r="D3139" s="460">
        <v>3</v>
      </c>
      <c r="E3139" s="460">
        <v>9</v>
      </c>
      <c r="F3139" s="130"/>
      <c r="G3139" s="1798" t="s">
        <v>2383</v>
      </c>
      <c r="H3139" s="1783" t="s">
        <v>1239</v>
      </c>
      <c r="I3139" s="1750" t="s">
        <v>8920</v>
      </c>
      <c r="J3139" s="1785" t="s">
        <v>3146</v>
      </c>
      <c r="K3139" s="1786" t="s">
        <v>642</v>
      </c>
      <c r="L3139" s="1787" t="e">
        <v>#REF!</v>
      </c>
      <c r="M3139" s="1787">
        <v>164.30200000000002</v>
      </c>
      <c r="N3139" s="1754"/>
      <c r="O3139" s="1788"/>
      <c r="P3139" s="1721" t="s">
        <v>9611</v>
      </c>
    </row>
    <row r="3140" spans="1:16" ht="13.9" hidden="1" customHeight="1" outlineLevel="2" x14ac:dyDescent="0.2">
      <c r="A3140" s="459">
        <v>0</v>
      </c>
      <c r="B3140" s="459">
        <v>21</v>
      </c>
      <c r="C3140" s="459">
        <v>4</v>
      </c>
      <c r="D3140" s="460">
        <v>4</v>
      </c>
      <c r="E3140" s="460">
        <v>0</v>
      </c>
      <c r="F3140" s="130"/>
      <c r="G3140" s="1797"/>
      <c r="H3140" s="1777" t="s">
        <v>1238</v>
      </c>
      <c r="I3140" s="1742" t="s">
        <v>8921</v>
      </c>
      <c r="J3140" s="1779" t="s">
        <v>1264</v>
      </c>
      <c r="K3140" s="1780"/>
      <c r="L3140" s="1781"/>
      <c r="M3140" s="1781"/>
      <c r="N3140" s="1746"/>
      <c r="O3140" s="1782"/>
      <c r="P3140" s="1720"/>
    </row>
    <row r="3141" spans="1:16" ht="13.9" hidden="1" customHeight="1" outlineLevel="3" x14ac:dyDescent="0.2">
      <c r="A3141" s="459">
        <v>0</v>
      </c>
      <c r="B3141" s="459">
        <v>21</v>
      </c>
      <c r="C3141" s="459">
        <v>4</v>
      </c>
      <c r="D3141" s="460">
        <v>4</v>
      </c>
      <c r="E3141" s="460">
        <v>1</v>
      </c>
      <c r="F3141" s="130"/>
      <c r="G3141" s="1798" t="s">
        <v>2383</v>
      </c>
      <c r="H3141" s="1783" t="s">
        <v>1239</v>
      </c>
      <c r="I3141" s="1750" t="s">
        <v>8922</v>
      </c>
      <c r="J3141" s="1785" t="s">
        <v>924</v>
      </c>
      <c r="K3141" s="1786" t="s">
        <v>642</v>
      </c>
      <c r="L3141" s="1787" t="e">
        <v>#REF!</v>
      </c>
      <c r="M3141" s="1787">
        <v>62</v>
      </c>
      <c r="N3141" s="1754"/>
      <c r="O3141" s="1788"/>
      <c r="P3141" s="1721" t="s">
        <v>9611</v>
      </c>
    </row>
    <row r="3142" spans="1:16" ht="13.9" hidden="1" customHeight="1" outlineLevel="3" x14ac:dyDescent="0.2">
      <c r="A3142" s="459">
        <v>0</v>
      </c>
      <c r="B3142" s="459">
        <v>21</v>
      </c>
      <c r="C3142" s="459">
        <v>4</v>
      </c>
      <c r="D3142" s="460">
        <v>4</v>
      </c>
      <c r="E3142" s="460">
        <v>2</v>
      </c>
      <c r="F3142" s="130"/>
      <c r="G3142" s="1798" t="s">
        <v>2383</v>
      </c>
      <c r="H3142" s="1783" t="s">
        <v>1239</v>
      </c>
      <c r="I3142" s="1750" t="s">
        <v>8923</v>
      </c>
      <c r="J3142" s="1785" t="s">
        <v>927</v>
      </c>
      <c r="K3142" s="1786" t="s">
        <v>642</v>
      </c>
      <c r="L3142" s="1787" t="e">
        <v>#REF!</v>
      </c>
      <c r="M3142" s="1787">
        <v>95</v>
      </c>
      <c r="N3142" s="1754"/>
      <c r="O3142" s="1788"/>
      <c r="P3142" s="1721" t="s">
        <v>9611</v>
      </c>
    </row>
    <row r="3143" spans="1:16" ht="13.9" hidden="1" customHeight="1" outlineLevel="3" x14ac:dyDescent="0.2">
      <c r="A3143" s="459">
        <v>0</v>
      </c>
      <c r="B3143" s="459">
        <v>21</v>
      </c>
      <c r="C3143" s="459">
        <v>4</v>
      </c>
      <c r="D3143" s="460">
        <v>4</v>
      </c>
      <c r="E3143" s="460">
        <v>3</v>
      </c>
      <c r="F3143" s="130"/>
      <c r="G3143" s="1798" t="s">
        <v>2383</v>
      </c>
      <c r="H3143" s="1783" t="s">
        <v>1239</v>
      </c>
      <c r="I3143" s="1750" t="s">
        <v>8924</v>
      </c>
      <c r="J3143" s="1785" t="s">
        <v>928</v>
      </c>
      <c r="K3143" s="1786" t="s">
        <v>642</v>
      </c>
      <c r="L3143" s="1787" t="e">
        <v>#REF!</v>
      </c>
      <c r="M3143" s="1787">
        <v>85</v>
      </c>
      <c r="N3143" s="1754"/>
      <c r="O3143" s="1788"/>
      <c r="P3143" s="1721" t="s">
        <v>9611</v>
      </c>
    </row>
    <row r="3144" spans="1:16" ht="13.9" hidden="1" customHeight="1" outlineLevel="3" x14ac:dyDescent="0.2">
      <c r="A3144" s="459">
        <v>0</v>
      </c>
      <c r="B3144" s="459">
        <v>21</v>
      </c>
      <c r="C3144" s="459">
        <v>4</v>
      </c>
      <c r="D3144" s="460">
        <v>4</v>
      </c>
      <c r="E3144" s="460">
        <v>4</v>
      </c>
      <c r="F3144" s="130"/>
      <c r="G3144" s="1798" t="s">
        <v>2383</v>
      </c>
      <c r="H3144" s="1783" t="s">
        <v>1239</v>
      </c>
      <c r="I3144" s="1750" t="s">
        <v>8925</v>
      </c>
      <c r="J3144" s="1785" t="s">
        <v>3152</v>
      </c>
      <c r="K3144" s="1786" t="s">
        <v>642</v>
      </c>
      <c r="L3144" s="1787" t="e">
        <v>#REF!</v>
      </c>
      <c r="M3144" s="1787">
        <v>120</v>
      </c>
      <c r="N3144" s="1754"/>
      <c r="O3144" s="1788"/>
      <c r="P3144" s="1721" t="s">
        <v>9611</v>
      </c>
    </row>
    <row r="3145" spans="1:16" ht="13.9" hidden="1" customHeight="1" outlineLevel="3" x14ac:dyDescent="0.2">
      <c r="A3145" s="459">
        <v>0</v>
      </c>
      <c r="B3145" s="459">
        <v>21</v>
      </c>
      <c r="C3145" s="459">
        <v>4</v>
      </c>
      <c r="D3145" s="460">
        <v>4</v>
      </c>
      <c r="E3145" s="460">
        <v>5</v>
      </c>
      <c r="F3145" s="130"/>
      <c r="G3145" s="1798" t="s">
        <v>2383</v>
      </c>
      <c r="H3145" s="1783" t="s">
        <v>1239</v>
      </c>
      <c r="I3145" s="1750" t="s">
        <v>8926</v>
      </c>
      <c r="J3145" s="1785" t="s">
        <v>925</v>
      </c>
      <c r="K3145" s="1786" t="s">
        <v>642</v>
      </c>
      <c r="L3145" s="1787" t="e">
        <v>#REF!</v>
      </c>
      <c r="M3145" s="1787">
        <v>58</v>
      </c>
      <c r="N3145" s="1754"/>
      <c r="O3145" s="1788"/>
      <c r="P3145" s="1721" t="s">
        <v>9611</v>
      </c>
    </row>
    <row r="3146" spans="1:16" ht="13.9" customHeight="1" collapsed="1" x14ac:dyDescent="0.2">
      <c r="A3146" s="459">
        <v>0</v>
      </c>
      <c r="B3146" s="459">
        <v>22</v>
      </c>
      <c r="C3146" s="459">
        <v>0</v>
      </c>
      <c r="D3146" s="460">
        <v>4</v>
      </c>
      <c r="E3146" s="460">
        <v>5</v>
      </c>
      <c r="F3146" s="569"/>
      <c r="G3146" s="1794"/>
      <c r="H3146" s="1766" t="s">
        <v>1237</v>
      </c>
      <c r="I3146" s="1728" t="s">
        <v>8927</v>
      </c>
      <c r="J3146" s="1795" t="s">
        <v>31</v>
      </c>
      <c r="K3146" s="1768"/>
      <c r="L3146" s="1769"/>
      <c r="M3146" s="1769"/>
      <c r="N3146" s="1732"/>
      <c r="O3146" s="1770"/>
      <c r="P3146" s="1723"/>
    </row>
    <row r="3147" spans="1:16" ht="13.9" hidden="1" customHeight="1" outlineLevel="1" x14ac:dyDescent="0.2">
      <c r="A3147" s="459">
        <v>0</v>
      </c>
      <c r="B3147" s="459">
        <v>22</v>
      </c>
      <c r="C3147" s="459">
        <v>1</v>
      </c>
      <c r="D3147" s="460">
        <v>0</v>
      </c>
      <c r="E3147" s="460">
        <v>5</v>
      </c>
      <c r="F3147" s="130"/>
      <c r="G3147" s="1796"/>
      <c r="H3147" s="1771" t="s">
        <v>39</v>
      </c>
      <c r="I3147" s="1735" t="s">
        <v>8928</v>
      </c>
      <c r="J3147" s="1773" t="s">
        <v>34</v>
      </c>
      <c r="K3147" s="1774"/>
      <c r="L3147" s="1775"/>
      <c r="M3147" s="1775"/>
      <c r="N3147" s="1739"/>
      <c r="O3147" s="1776"/>
      <c r="P3147" s="1725"/>
    </row>
    <row r="3148" spans="1:16" ht="13.9" hidden="1" customHeight="1" outlineLevel="2" x14ac:dyDescent="0.2">
      <c r="A3148" s="459">
        <v>0</v>
      </c>
      <c r="B3148" s="459">
        <v>22</v>
      </c>
      <c r="C3148" s="459">
        <v>1</v>
      </c>
      <c r="D3148" s="460">
        <v>1</v>
      </c>
      <c r="E3148" s="460">
        <v>0</v>
      </c>
      <c r="F3148" s="130"/>
      <c r="G3148" s="1797"/>
      <c r="H3148" s="1777" t="s">
        <v>1238</v>
      </c>
      <c r="I3148" s="1742" t="s">
        <v>8929</v>
      </c>
      <c r="J3148" s="1779" t="s">
        <v>2531</v>
      </c>
      <c r="K3148" s="1780"/>
      <c r="L3148" s="1781"/>
      <c r="M3148" s="1781"/>
      <c r="N3148" s="1746"/>
      <c r="O3148" s="1782"/>
      <c r="P3148" s="1720"/>
    </row>
    <row r="3149" spans="1:16" ht="13.9" hidden="1" customHeight="1" outlineLevel="3" x14ac:dyDescent="0.2">
      <c r="A3149" s="459">
        <v>0</v>
      </c>
      <c r="B3149" s="459">
        <v>22</v>
      </c>
      <c r="C3149" s="459">
        <v>1</v>
      </c>
      <c r="D3149" s="460">
        <v>1</v>
      </c>
      <c r="E3149" s="460">
        <v>1</v>
      </c>
      <c r="F3149" s="130"/>
      <c r="G3149" s="1798" t="s">
        <v>54</v>
      </c>
      <c r="H3149" s="1783" t="s">
        <v>1239</v>
      </c>
      <c r="I3149" s="1750" t="s">
        <v>8930</v>
      </c>
      <c r="J3149" s="1785" t="s">
        <v>1866</v>
      </c>
      <c r="K3149" s="1786" t="s">
        <v>642</v>
      </c>
      <c r="L3149" s="1787" t="e">
        <v>#REF!</v>
      </c>
      <c r="M3149" s="1787">
        <v>77.366820666666669</v>
      </c>
      <c r="N3149" s="1754"/>
      <c r="O3149" s="1788" t="s">
        <v>2976</v>
      </c>
      <c r="P3149" s="1721" t="s">
        <v>9611</v>
      </c>
    </row>
    <row r="3150" spans="1:16" ht="13.9" hidden="1" customHeight="1" outlineLevel="3" x14ac:dyDescent="0.2">
      <c r="A3150" s="459">
        <v>0</v>
      </c>
      <c r="B3150" s="459">
        <v>22</v>
      </c>
      <c r="C3150" s="459">
        <v>1</v>
      </c>
      <c r="D3150" s="460">
        <v>1</v>
      </c>
      <c r="E3150" s="460">
        <v>2</v>
      </c>
      <c r="F3150" s="130"/>
      <c r="G3150" s="1798" t="s">
        <v>54</v>
      </c>
      <c r="H3150" s="1783" t="s">
        <v>1239</v>
      </c>
      <c r="I3150" s="1750" t="s">
        <v>8931</v>
      </c>
      <c r="J3150" s="1785" t="s">
        <v>741</v>
      </c>
      <c r="K3150" s="1786" t="s">
        <v>642</v>
      </c>
      <c r="L3150" s="1787" t="e">
        <v>#REF!</v>
      </c>
      <c r="M3150" s="1787">
        <v>25</v>
      </c>
      <c r="N3150" s="1754"/>
      <c r="O3150" s="1788"/>
      <c r="P3150" s="1721" t="s">
        <v>9611</v>
      </c>
    </row>
    <row r="3151" spans="1:16" ht="13.9" hidden="1" customHeight="1" outlineLevel="2" x14ac:dyDescent="0.2">
      <c r="A3151" s="459">
        <v>0</v>
      </c>
      <c r="B3151" s="459">
        <v>22</v>
      </c>
      <c r="C3151" s="459">
        <v>1</v>
      </c>
      <c r="D3151" s="460">
        <v>2</v>
      </c>
      <c r="E3151" s="460">
        <v>0</v>
      </c>
      <c r="F3151" s="130"/>
      <c r="G3151" s="1797"/>
      <c r="H3151" s="1777" t="s">
        <v>1238</v>
      </c>
      <c r="I3151" s="1742" t="s">
        <v>8932</v>
      </c>
      <c r="J3151" s="1779" t="s">
        <v>2532</v>
      </c>
      <c r="K3151" s="1780"/>
      <c r="L3151" s="1781"/>
      <c r="M3151" s="1781"/>
      <c r="N3151" s="1746">
        <v>167496.70000000001</v>
      </c>
      <c r="O3151" s="1782"/>
      <c r="P3151" s="1720"/>
    </row>
    <row r="3152" spans="1:16" ht="13.9" hidden="1" customHeight="1" outlineLevel="3" x14ac:dyDescent="0.2">
      <c r="A3152" s="459">
        <v>0</v>
      </c>
      <c r="B3152" s="459">
        <v>22</v>
      </c>
      <c r="C3152" s="459">
        <v>1</v>
      </c>
      <c r="D3152" s="460">
        <v>2</v>
      </c>
      <c r="E3152" s="460">
        <v>1</v>
      </c>
      <c r="F3152" s="130"/>
      <c r="G3152" s="1798" t="s">
        <v>54</v>
      </c>
      <c r="H3152" s="1783" t="s">
        <v>1239</v>
      </c>
      <c r="I3152" s="1750" t="s">
        <v>8933</v>
      </c>
      <c r="J3152" s="1785" t="s">
        <v>2532</v>
      </c>
      <c r="K3152" s="1786" t="s">
        <v>1130</v>
      </c>
      <c r="L3152" s="1787">
        <v>1</v>
      </c>
      <c r="M3152" s="1787">
        <v>167496.70000000001</v>
      </c>
      <c r="N3152" s="1754">
        <v>167496.70000000001</v>
      </c>
      <c r="O3152" s="1788"/>
      <c r="P3152" s="1721" t="s">
        <v>9611</v>
      </c>
    </row>
    <row r="3153" spans="1:16" ht="13.9" hidden="1" customHeight="1" outlineLevel="2" x14ac:dyDescent="0.2">
      <c r="A3153" s="459">
        <v>0</v>
      </c>
      <c r="B3153" s="459">
        <v>22</v>
      </c>
      <c r="C3153" s="459">
        <v>1</v>
      </c>
      <c r="D3153" s="460">
        <v>3</v>
      </c>
      <c r="E3153" s="460">
        <v>0</v>
      </c>
      <c r="F3153" s="130"/>
      <c r="G3153" s="1797"/>
      <c r="H3153" s="1777" t="s">
        <v>1238</v>
      </c>
      <c r="I3153" s="1742" t="s">
        <v>8934</v>
      </c>
      <c r="J3153" s="1779" t="s">
        <v>2533</v>
      </c>
      <c r="K3153" s="1780"/>
      <c r="L3153" s="1781"/>
      <c r="M3153" s="1781"/>
      <c r="N3153" s="1746">
        <v>167496.70000000001</v>
      </c>
      <c r="O3153" s="1782"/>
      <c r="P3153" s="1720"/>
    </row>
    <row r="3154" spans="1:16" ht="13.9" hidden="1" customHeight="1" outlineLevel="3" x14ac:dyDescent="0.2">
      <c r="A3154" s="459">
        <v>0</v>
      </c>
      <c r="B3154" s="459">
        <v>22</v>
      </c>
      <c r="C3154" s="459">
        <v>1</v>
      </c>
      <c r="D3154" s="460">
        <v>3</v>
      </c>
      <c r="E3154" s="460">
        <v>1</v>
      </c>
      <c r="F3154" s="130"/>
      <c r="G3154" s="1798" t="s">
        <v>54</v>
      </c>
      <c r="H3154" s="1783" t="s">
        <v>1239</v>
      </c>
      <c r="I3154" s="1750" t="s">
        <v>8935</v>
      </c>
      <c r="J3154" s="1785" t="s">
        <v>2533</v>
      </c>
      <c r="K3154" s="1786" t="s">
        <v>1130</v>
      </c>
      <c r="L3154" s="1787">
        <v>1</v>
      </c>
      <c r="M3154" s="1787">
        <v>167496.70000000001</v>
      </c>
      <c r="N3154" s="1754">
        <v>167496.70000000001</v>
      </c>
      <c r="O3154" s="1788"/>
      <c r="P3154" s="1721" t="s">
        <v>9611</v>
      </c>
    </row>
    <row r="3155" spans="1:16" ht="13.9" hidden="1" customHeight="1" outlineLevel="1" x14ac:dyDescent="0.2">
      <c r="A3155" s="459">
        <v>0</v>
      </c>
      <c r="B3155" s="459">
        <v>22</v>
      </c>
      <c r="C3155" s="459">
        <v>2</v>
      </c>
      <c r="D3155" s="460">
        <v>0</v>
      </c>
      <c r="E3155" s="460">
        <v>1</v>
      </c>
      <c r="F3155" s="130"/>
      <c r="G3155" s="1796"/>
      <c r="H3155" s="1771" t="s">
        <v>39</v>
      </c>
      <c r="I3155" s="1735" t="s">
        <v>8936</v>
      </c>
      <c r="J3155" s="1773" t="s">
        <v>54</v>
      </c>
      <c r="K3155" s="1774"/>
      <c r="L3155" s="1775"/>
      <c r="M3155" s="1775"/>
      <c r="N3155" s="1739">
        <v>5698605.0458000004</v>
      </c>
      <c r="O3155" s="1776"/>
      <c r="P3155" s="1725"/>
    </row>
    <row r="3156" spans="1:16" ht="13.9" hidden="1" customHeight="1" outlineLevel="2" x14ac:dyDescent="0.2">
      <c r="A3156" s="459">
        <v>0</v>
      </c>
      <c r="B3156" s="459">
        <v>22</v>
      </c>
      <c r="C3156" s="459">
        <v>2</v>
      </c>
      <c r="D3156" s="460">
        <v>1</v>
      </c>
      <c r="E3156" s="460">
        <v>0</v>
      </c>
      <c r="F3156" s="130"/>
      <c r="G3156" s="1797"/>
      <c r="H3156" s="1777" t="s">
        <v>1238</v>
      </c>
      <c r="I3156" s="1742" t="s">
        <v>8937</v>
      </c>
      <c r="J3156" s="1779" t="s">
        <v>35</v>
      </c>
      <c r="K3156" s="1780"/>
      <c r="L3156" s="1781"/>
      <c r="M3156" s="1781"/>
      <c r="N3156" s="1746">
        <v>586238.44999999995</v>
      </c>
      <c r="O3156" s="1782"/>
      <c r="P3156" s="1720"/>
    </row>
    <row r="3157" spans="1:16" ht="13.9" hidden="1" customHeight="1" outlineLevel="3" x14ac:dyDescent="0.2">
      <c r="A3157" s="459">
        <v>0</v>
      </c>
      <c r="B3157" s="459">
        <v>22</v>
      </c>
      <c r="C3157" s="459">
        <v>2</v>
      </c>
      <c r="D3157" s="460">
        <v>1</v>
      </c>
      <c r="E3157" s="460">
        <v>1</v>
      </c>
      <c r="F3157" s="130"/>
      <c r="G3157" s="1798" t="s">
        <v>54</v>
      </c>
      <c r="H3157" s="1783" t="s">
        <v>1239</v>
      </c>
      <c r="I3157" s="1750" t="s">
        <v>8938</v>
      </c>
      <c r="J3157" s="1785" t="s">
        <v>1271</v>
      </c>
      <c r="K3157" s="1786" t="s">
        <v>1130</v>
      </c>
      <c r="L3157" s="1787">
        <v>1</v>
      </c>
      <c r="M3157" s="1787">
        <v>586238.45000000007</v>
      </c>
      <c r="N3157" s="1754">
        <v>586238.44999999995</v>
      </c>
      <c r="O3157" s="1788"/>
      <c r="P3157" s="1721" t="s">
        <v>9611</v>
      </c>
    </row>
    <row r="3158" spans="1:16" ht="13.9" hidden="1" customHeight="1" outlineLevel="2" x14ac:dyDescent="0.2">
      <c r="A3158" s="459">
        <v>0</v>
      </c>
      <c r="B3158" s="459">
        <v>22</v>
      </c>
      <c r="C3158" s="459">
        <v>2</v>
      </c>
      <c r="D3158" s="460">
        <v>2</v>
      </c>
      <c r="E3158" s="460">
        <v>0</v>
      </c>
      <c r="F3158" s="130"/>
      <c r="G3158" s="1797"/>
      <c r="H3158" s="1777" t="s">
        <v>1238</v>
      </c>
      <c r="I3158" s="1742" t="s">
        <v>8939</v>
      </c>
      <c r="J3158" s="1779" t="s">
        <v>36</v>
      </c>
      <c r="K3158" s="1780"/>
      <c r="L3158" s="1781"/>
      <c r="M3158" s="1781"/>
      <c r="N3158" s="1746">
        <v>4563982.4000000004</v>
      </c>
      <c r="O3158" s="1782"/>
      <c r="P3158" s="1720"/>
    </row>
    <row r="3159" spans="1:16" ht="13.9" hidden="1" customHeight="1" outlineLevel="3" x14ac:dyDescent="0.2">
      <c r="A3159" s="459">
        <v>0</v>
      </c>
      <c r="B3159" s="459">
        <v>22</v>
      </c>
      <c r="C3159" s="459">
        <v>2</v>
      </c>
      <c r="D3159" s="460">
        <v>2</v>
      </c>
      <c r="E3159" s="460">
        <v>1</v>
      </c>
      <c r="F3159" s="130"/>
      <c r="G3159" s="1798" t="s">
        <v>54</v>
      </c>
      <c r="H3159" s="1783" t="s">
        <v>1239</v>
      </c>
      <c r="I3159" s="1750" t="s">
        <v>8940</v>
      </c>
      <c r="J3159" s="1785" t="s">
        <v>1272</v>
      </c>
      <c r="K3159" s="1786" t="s">
        <v>1130</v>
      </c>
      <c r="L3159" s="1787">
        <v>1</v>
      </c>
      <c r="M3159" s="1787">
        <v>4563982.4000000004</v>
      </c>
      <c r="N3159" s="1754">
        <v>4563982.4000000004</v>
      </c>
      <c r="O3159" s="1788"/>
      <c r="P3159" s="1721" t="s">
        <v>9611</v>
      </c>
    </row>
    <row r="3160" spans="1:16" ht="13.9" hidden="1" customHeight="1" outlineLevel="2" x14ac:dyDescent="0.2">
      <c r="A3160" s="459">
        <v>0</v>
      </c>
      <c r="B3160" s="459">
        <v>22</v>
      </c>
      <c r="C3160" s="459">
        <v>2</v>
      </c>
      <c r="D3160" s="460">
        <v>3</v>
      </c>
      <c r="E3160" s="460">
        <v>0</v>
      </c>
      <c r="F3160" s="130"/>
      <c r="G3160" s="1797"/>
      <c r="H3160" s="1777" t="s">
        <v>1238</v>
      </c>
      <c r="I3160" s="1742" t="s">
        <v>8941</v>
      </c>
      <c r="J3160" s="1779" t="s">
        <v>37</v>
      </c>
      <c r="K3160" s="1780"/>
      <c r="L3160" s="1781"/>
      <c r="M3160" s="1781"/>
      <c r="N3160" s="1746">
        <v>184246.37</v>
      </c>
      <c r="O3160" s="1782"/>
      <c r="P3160" s="1720"/>
    </row>
    <row r="3161" spans="1:16" ht="13.9" hidden="1" customHeight="1" outlineLevel="3" x14ac:dyDescent="0.2">
      <c r="A3161" s="459">
        <v>0</v>
      </c>
      <c r="B3161" s="459">
        <v>22</v>
      </c>
      <c r="C3161" s="459">
        <v>2</v>
      </c>
      <c r="D3161" s="460">
        <v>3</v>
      </c>
      <c r="E3161" s="460">
        <v>1</v>
      </c>
      <c r="F3161" s="130"/>
      <c r="G3161" s="1798" t="s">
        <v>54</v>
      </c>
      <c r="H3161" s="1783" t="s">
        <v>1239</v>
      </c>
      <c r="I3161" s="1750" t="s">
        <v>8942</v>
      </c>
      <c r="J3161" s="1785" t="s">
        <v>37</v>
      </c>
      <c r="K3161" s="1786" t="s">
        <v>1130</v>
      </c>
      <c r="L3161" s="1787">
        <v>1</v>
      </c>
      <c r="M3161" s="1787">
        <v>184246.37000000002</v>
      </c>
      <c r="N3161" s="1754">
        <v>184246.37</v>
      </c>
      <c r="O3161" s="1788"/>
      <c r="P3161" s="1721" t="s">
        <v>9611</v>
      </c>
    </row>
    <row r="3162" spans="1:16" ht="13.9" hidden="1" customHeight="1" outlineLevel="2" x14ac:dyDescent="0.2">
      <c r="A3162" s="459">
        <v>0</v>
      </c>
      <c r="B3162" s="459">
        <v>22</v>
      </c>
      <c r="C3162" s="459">
        <v>2</v>
      </c>
      <c r="D3162" s="460">
        <v>4</v>
      </c>
      <c r="E3162" s="460">
        <v>0</v>
      </c>
      <c r="F3162" s="130"/>
      <c r="G3162" s="1797"/>
      <c r="H3162" s="1777" t="s">
        <v>1238</v>
      </c>
      <c r="I3162" s="1742" t="s">
        <v>8943</v>
      </c>
      <c r="J3162" s="1779" t="s">
        <v>38</v>
      </c>
      <c r="K3162" s="1780"/>
      <c r="L3162" s="1781"/>
      <c r="M3162" s="1781"/>
      <c r="N3162" s="1746">
        <v>213390.79579999999</v>
      </c>
      <c r="O3162" s="1782"/>
      <c r="P3162" s="1720"/>
    </row>
    <row r="3163" spans="1:16" ht="13.9" hidden="1" customHeight="1" outlineLevel="3" x14ac:dyDescent="0.2">
      <c r="A3163" s="459">
        <v>0</v>
      </c>
      <c r="B3163" s="459">
        <v>22</v>
      </c>
      <c r="C3163" s="459">
        <v>2</v>
      </c>
      <c r="D3163" s="460">
        <v>4</v>
      </c>
      <c r="E3163" s="460">
        <v>1</v>
      </c>
      <c r="F3163" s="130"/>
      <c r="G3163" s="1798" t="s">
        <v>54</v>
      </c>
      <c r="H3163" s="1783" t="s">
        <v>1239</v>
      </c>
      <c r="I3163" s="1750" t="s">
        <v>8944</v>
      </c>
      <c r="J3163" s="1785" t="s">
        <v>1273</v>
      </c>
      <c r="K3163" s="1786" t="s">
        <v>1130</v>
      </c>
      <c r="L3163" s="1787">
        <v>1</v>
      </c>
      <c r="M3163" s="1787">
        <v>133997.36000000002</v>
      </c>
      <c r="N3163" s="1754">
        <v>133997.35999999999</v>
      </c>
      <c r="O3163" s="1761" t="s">
        <v>5457</v>
      </c>
      <c r="P3163" s="1721" t="s">
        <v>9611</v>
      </c>
    </row>
    <row r="3164" spans="1:16" ht="13.9" hidden="1" customHeight="1" outlineLevel="3" x14ac:dyDescent="0.2">
      <c r="A3164" s="459">
        <v>0</v>
      </c>
      <c r="B3164" s="459">
        <v>22</v>
      </c>
      <c r="C3164" s="459">
        <v>2</v>
      </c>
      <c r="D3164" s="460">
        <v>4</v>
      </c>
      <c r="E3164" s="460">
        <v>2</v>
      </c>
      <c r="F3164" s="130"/>
      <c r="G3164" s="1798" t="s">
        <v>54</v>
      </c>
      <c r="H3164" s="1783" t="s">
        <v>1239</v>
      </c>
      <c r="I3164" s="1750" t="s">
        <v>8945</v>
      </c>
      <c r="J3164" s="1785" t="s">
        <v>2826</v>
      </c>
      <c r="K3164" s="1786" t="s">
        <v>1130</v>
      </c>
      <c r="L3164" s="1787">
        <v>1</v>
      </c>
      <c r="M3164" s="1787">
        <v>45894.09580000001</v>
      </c>
      <c r="N3164" s="1754">
        <v>45894.095800000003</v>
      </c>
      <c r="O3164" s="1788"/>
      <c r="P3164" s="1721" t="s">
        <v>9611</v>
      </c>
    </row>
    <row r="3165" spans="1:16" ht="13.9" hidden="1" customHeight="1" outlineLevel="3" x14ac:dyDescent="0.2">
      <c r="A3165" s="459">
        <v>0</v>
      </c>
      <c r="B3165" s="459">
        <v>22</v>
      </c>
      <c r="C3165" s="459">
        <v>2</v>
      </c>
      <c r="D3165" s="460">
        <v>4</v>
      </c>
      <c r="E3165" s="460">
        <v>3</v>
      </c>
      <c r="F3165" s="130"/>
      <c r="G3165" s="1798" t="s">
        <v>54</v>
      </c>
      <c r="H3165" s="1783" t="s">
        <v>1239</v>
      </c>
      <c r="I3165" s="1750" t="s">
        <v>8946</v>
      </c>
      <c r="J3165" s="1785" t="s">
        <v>2827</v>
      </c>
      <c r="K3165" s="1786" t="s">
        <v>1130</v>
      </c>
      <c r="L3165" s="1787">
        <v>1</v>
      </c>
      <c r="M3165" s="1787">
        <v>33499.340000000004</v>
      </c>
      <c r="N3165" s="1754">
        <v>33499.339999999997</v>
      </c>
      <c r="O3165" s="1788"/>
      <c r="P3165" s="1721" t="s">
        <v>9611</v>
      </c>
    </row>
    <row r="3166" spans="1:16" ht="13.9" hidden="1" customHeight="1" outlineLevel="2" x14ac:dyDescent="0.2">
      <c r="A3166" s="459">
        <v>0</v>
      </c>
      <c r="B3166" s="459">
        <v>22</v>
      </c>
      <c r="C3166" s="459">
        <v>2</v>
      </c>
      <c r="D3166" s="460">
        <v>5</v>
      </c>
      <c r="E3166" s="460">
        <v>0</v>
      </c>
      <c r="F3166" s="130"/>
      <c r="G3166" s="1797"/>
      <c r="H3166" s="1777" t="s">
        <v>1238</v>
      </c>
      <c r="I3166" s="1742" t="s">
        <v>8947</v>
      </c>
      <c r="J3166" s="1779" t="s">
        <v>1274</v>
      </c>
      <c r="K3166" s="1780"/>
      <c r="L3166" s="1781"/>
      <c r="M3166" s="1781"/>
      <c r="N3166" s="1746">
        <v>150747.03</v>
      </c>
      <c r="O3166" s="1782"/>
      <c r="P3166" s="1720"/>
    </row>
    <row r="3167" spans="1:16" ht="13.9" hidden="1" customHeight="1" outlineLevel="3" x14ac:dyDescent="0.2">
      <c r="A3167" s="459">
        <v>0</v>
      </c>
      <c r="B3167" s="459">
        <v>22</v>
      </c>
      <c r="C3167" s="459">
        <v>2</v>
      </c>
      <c r="D3167" s="460">
        <v>5</v>
      </c>
      <c r="E3167" s="460">
        <v>1</v>
      </c>
      <c r="F3167" s="130"/>
      <c r="G3167" s="1798" t="s">
        <v>54</v>
      </c>
      <c r="H3167" s="1783" t="s">
        <v>1239</v>
      </c>
      <c r="I3167" s="1750" t="s">
        <v>8948</v>
      </c>
      <c r="J3167" s="1785" t="s">
        <v>1275</v>
      </c>
      <c r="K3167" s="1786" t="s">
        <v>1130</v>
      </c>
      <c r="L3167" s="1787">
        <v>1</v>
      </c>
      <c r="M3167" s="1787">
        <v>83748.350000000006</v>
      </c>
      <c r="N3167" s="1754">
        <v>83748.350000000006</v>
      </c>
      <c r="O3167" s="1788"/>
      <c r="P3167" s="1721" t="s">
        <v>9611</v>
      </c>
    </row>
    <row r="3168" spans="1:16" ht="11.25" hidden="1" customHeight="1" outlineLevel="3" x14ac:dyDescent="0.2">
      <c r="A3168" s="459">
        <v>0</v>
      </c>
      <c r="B3168" s="459">
        <v>22</v>
      </c>
      <c r="C3168" s="459">
        <v>2</v>
      </c>
      <c r="D3168" s="460">
        <v>5</v>
      </c>
      <c r="E3168" s="460">
        <v>2</v>
      </c>
      <c r="F3168" s="130"/>
      <c r="G3168" s="1798" t="s">
        <v>54</v>
      </c>
      <c r="H3168" s="1783" t="s">
        <v>1239</v>
      </c>
      <c r="I3168" s="1750" t="s">
        <v>8949</v>
      </c>
      <c r="J3168" s="1785" t="s">
        <v>1276</v>
      </c>
      <c r="K3168" s="1786" t="s">
        <v>1130</v>
      </c>
      <c r="L3168" s="1787">
        <v>1</v>
      </c>
      <c r="M3168" s="1787">
        <v>66998.680000000008</v>
      </c>
      <c r="N3168" s="1754">
        <v>66998.679999999993</v>
      </c>
      <c r="O3168" s="1788"/>
      <c r="P3168" s="1721" t="s">
        <v>9611</v>
      </c>
    </row>
    <row r="3169" spans="1:16" ht="13.9" customHeight="1" collapsed="1" x14ac:dyDescent="0.2">
      <c r="A3169" s="459">
        <v>0</v>
      </c>
      <c r="B3169" s="459">
        <v>23</v>
      </c>
      <c r="C3169" s="459">
        <v>0</v>
      </c>
      <c r="D3169" s="460">
        <v>5</v>
      </c>
      <c r="E3169" s="460">
        <v>2</v>
      </c>
      <c r="F3169" s="569"/>
      <c r="G3169" s="1794"/>
      <c r="H3169" s="1766" t="s">
        <v>1237</v>
      </c>
      <c r="I3169" s="1728" t="s">
        <v>8950</v>
      </c>
      <c r="J3169" s="1795" t="s">
        <v>3154</v>
      </c>
      <c r="K3169" s="1768"/>
      <c r="L3169" s="1769"/>
      <c r="M3169" s="1769"/>
      <c r="N3169" s="1732"/>
      <c r="O3169" s="1770"/>
      <c r="P3169" s="1723"/>
    </row>
    <row r="3170" spans="1:16" ht="13.9" hidden="1" customHeight="1" outlineLevel="1" x14ac:dyDescent="0.2">
      <c r="A3170" s="459">
        <v>0</v>
      </c>
      <c r="B3170" s="459">
        <v>23</v>
      </c>
      <c r="C3170" s="459">
        <v>1</v>
      </c>
      <c r="D3170" s="460">
        <v>0</v>
      </c>
      <c r="E3170" s="460">
        <v>2</v>
      </c>
      <c r="F3170" s="130"/>
      <c r="G3170" s="1796"/>
      <c r="H3170" s="1771" t="s">
        <v>39</v>
      </c>
      <c r="I3170" s="1735" t="s">
        <v>8951</v>
      </c>
      <c r="J3170" s="1773" t="s">
        <v>2534</v>
      </c>
      <c r="K3170" s="1774"/>
      <c r="L3170" s="1775"/>
      <c r="M3170" s="1775"/>
      <c r="N3170" s="1739"/>
      <c r="O3170" s="1776"/>
      <c r="P3170" s="1725"/>
    </row>
    <row r="3171" spans="1:16" ht="13.9" hidden="1" customHeight="1" outlineLevel="2" x14ac:dyDescent="0.2">
      <c r="A3171" s="459">
        <v>0</v>
      </c>
      <c r="B3171" s="459">
        <v>23</v>
      </c>
      <c r="C3171" s="459">
        <v>1</v>
      </c>
      <c r="D3171" s="460">
        <v>1</v>
      </c>
      <c r="E3171" s="460">
        <v>0</v>
      </c>
      <c r="F3171" s="130"/>
      <c r="G3171" s="1797"/>
      <c r="H3171" s="1777" t="s">
        <v>1238</v>
      </c>
      <c r="I3171" s="1742" t="s">
        <v>8952</v>
      </c>
      <c r="J3171" s="1779" t="s">
        <v>2534</v>
      </c>
      <c r="K3171" s="1780"/>
      <c r="L3171" s="1781"/>
      <c r="M3171" s="1781"/>
      <c r="N3171" s="1746"/>
      <c r="O3171" s="1782"/>
      <c r="P3171" s="1720"/>
    </row>
    <row r="3172" spans="1:16" ht="12.75" hidden="1" outlineLevel="3" x14ac:dyDescent="0.2">
      <c r="A3172" s="459">
        <v>0</v>
      </c>
      <c r="B3172" s="459">
        <v>23</v>
      </c>
      <c r="C3172" s="459">
        <v>1</v>
      </c>
      <c r="D3172" s="460">
        <v>1</v>
      </c>
      <c r="E3172" s="460">
        <v>1</v>
      </c>
      <c r="F3172" s="130"/>
      <c r="G3172" s="1798" t="s">
        <v>55</v>
      </c>
      <c r="H3172" s="1783" t="s">
        <v>1239</v>
      </c>
      <c r="I3172" s="1784" t="s">
        <v>8953</v>
      </c>
      <c r="J3172" s="1785" t="s">
        <v>2534</v>
      </c>
      <c r="K3172" s="1786" t="s">
        <v>1130</v>
      </c>
      <c r="L3172" s="1787">
        <v>1</v>
      </c>
      <c r="M3172" s="1787" t="e">
        <v>#REF!</v>
      </c>
      <c r="N3172" s="1754"/>
      <c r="O3172" s="1788"/>
      <c r="P3172" s="1721" t="s">
        <v>9611</v>
      </c>
    </row>
    <row r="3173" spans="1:16" ht="12.75" hidden="1" x14ac:dyDescent="0.2">
      <c r="A3173" s="459">
        <v>0</v>
      </c>
      <c r="B3173" s="459">
        <v>23</v>
      </c>
      <c r="C3173" s="459">
        <v>1</v>
      </c>
      <c r="D3173" s="460">
        <v>1</v>
      </c>
      <c r="E3173" s="460">
        <v>1</v>
      </c>
      <c r="G3173" s="59"/>
      <c r="H3173" s="59"/>
      <c r="I3173" s="59"/>
      <c r="J3173" s="62"/>
      <c r="K3173" s="60"/>
      <c r="L3173" s="58" t="e">
        <v>#REF!</v>
      </c>
      <c r="M3173" s="64" t="e">
        <v>#REF!</v>
      </c>
      <c r="N3173" s="61" t="s">
        <v>1237</v>
      </c>
      <c r="O3173" s="62"/>
      <c r="P3173" s="63"/>
    </row>
    <row r="3174" spans="1:16" ht="15" customHeight="1" x14ac:dyDescent="0.2">
      <c r="F3174"/>
    </row>
    <row r="3175" spans="1:16" ht="15" customHeight="1" x14ac:dyDescent="0.2">
      <c r="F3175"/>
    </row>
    <row r="3176" spans="1:16" ht="15" customHeight="1" x14ac:dyDescent="0.2">
      <c r="F3176"/>
    </row>
    <row r="3177" spans="1:16" ht="15" customHeight="1" x14ac:dyDescent="0.2">
      <c r="F3177"/>
    </row>
    <row r="3178" spans="1:16" ht="15" customHeight="1" x14ac:dyDescent="0.2">
      <c r="F3178"/>
    </row>
    <row r="3179" spans="1:16" ht="15" customHeight="1" x14ac:dyDescent="0.2">
      <c r="F3179"/>
    </row>
    <row r="3180" spans="1:16" ht="15" customHeight="1" x14ac:dyDescent="0.2">
      <c r="F3180"/>
    </row>
    <row r="3181" spans="1:16" ht="15" customHeight="1" x14ac:dyDescent="0.2">
      <c r="F3181"/>
    </row>
    <row r="3182" spans="1:16" ht="15" customHeight="1" x14ac:dyDescent="0.2">
      <c r="F3182"/>
    </row>
    <row r="3183" spans="1:16" ht="15" customHeight="1" x14ac:dyDescent="0.2">
      <c r="F3183"/>
    </row>
    <row r="3184" spans="1:16" ht="15" customHeight="1" x14ac:dyDescent="0.2">
      <c r="F3184"/>
    </row>
    <row r="3185" spans="6:6" ht="15" customHeight="1" x14ac:dyDescent="0.2">
      <c r="F3185"/>
    </row>
    <row r="3186" spans="6:6" ht="15" customHeight="1" x14ac:dyDescent="0.2">
      <c r="F3186"/>
    </row>
    <row r="3187" spans="6:6" ht="15" customHeight="1" x14ac:dyDescent="0.2">
      <c r="F3187"/>
    </row>
    <row r="3188" spans="6:6" ht="15" customHeight="1" x14ac:dyDescent="0.2">
      <c r="F3188"/>
    </row>
    <row r="3189" spans="6:6" ht="15" customHeight="1" x14ac:dyDescent="0.2">
      <c r="F3189"/>
    </row>
    <row r="3190" spans="6:6" ht="15" customHeight="1" x14ac:dyDescent="0.2">
      <c r="F3190"/>
    </row>
    <row r="3191" spans="6:6" ht="15" customHeight="1" x14ac:dyDescent="0.2">
      <c r="F3191"/>
    </row>
    <row r="3192" spans="6:6" ht="15" customHeight="1" x14ac:dyDescent="0.2">
      <c r="F3192"/>
    </row>
    <row r="3193" spans="6:6" ht="15" customHeight="1" x14ac:dyDescent="0.2">
      <c r="F3193"/>
    </row>
    <row r="3194" spans="6:6" ht="15" customHeight="1" x14ac:dyDescent="0.2">
      <c r="F3194"/>
    </row>
    <row r="3195" spans="6:6" ht="15" customHeight="1" x14ac:dyDescent="0.2">
      <c r="F3195"/>
    </row>
    <row r="3196" spans="6:6" ht="15" customHeight="1" x14ac:dyDescent="0.2">
      <c r="F3196"/>
    </row>
    <row r="3197" spans="6:6" ht="15" customHeight="1" x14ac:dyDescent="0.2">
      <c r="F3197"/>
    </row>
    <row r="3198" spans="6:6" ht="15" customHeight="1" x14ac:dyDescent="0.2">
      <c r="F3198"/>
    </row>
    <row r="3199" spans="6:6" ht="15" customHeight="1" x14ac:dyDescent="0.2">
      <c r="F3199"/>
    </row>
    <row r="3200" spans="6:6" ht="15" customHeight="1" x14ac:dyDescent="0.2">
      <c r="F3200"/>
    </row>
    <row r="3201" spans="6:6" ht="15" customHeight="1" x14ac:dyDescent="0.2">
      <c r="F3201"/>
    </row>
    <row r="3202" spans="6:6" ht="15" customHeight="1" x14ac:dyDescent="0.2">
      <c r="F3202"/>
    </row>
    <row r="3203" spans="6:6" ht="15" customHeight="1" x14ac:dyDescent="0.2">
      <c r="F3203"/>
    </row>
    <row r="3204" spans="6:6" ht="15" customHeight="1" x14ac:dyDescent="0.2">
      <c r="F3204"/>
    </row>
    <row r="3205" spans="6:6" ht="15" customHeight="1" x14ac:dyDescent="0.2">
      <c r="F3205"/>
    </row>
    <row r="3206" spans="6:6" ht="15" customHeight="1" x14ac:dyDescent="0.2">
      <c r="F3206"/>
    </row>
    <row r="3207" spans="6:6" ht="15" customHeight="1" x14ac:dyDescent="0.2">
      <c r="F3207"/>
    </row>
    <row r="3208" spans="6:6" ht="15" customHeight="1" x14ac:dyDescent="0.2">
      <c r="F3208"/>
    </row>
    <row r="3209" spans="6:6" ht="15" customHeight="1" x14ac:dyDescent="0.2">
      <c r="F3209"/>
    </row>
    <row r="3210" spans="6:6" ht="15" customHeight="1" x14ac:dyDescent="0.2">
      <c r="F3210"/>
    </row>
    <row r="3211" spans="6:6" ht="15" customHeight="1" x14ac:dyDescent="0.2">
      <c r="F3211"/>
    </row>
    <row r="3212" spans="6:6" ht="15" customHeight="1" x14ac:dyDescent="0.2">
      <c r="F3212"/>
    </row>
    <row r="3213" spans="6:6" ht="15" customHeight="1" x14ac:dyDescent="0.2">
      <c r="F3213"/>
    </row>
    <row r="3214" spans="6:6" ht="15" customHeight="1" x14ac:dyDescent="0.2">
      <c r="F3214"/>
    </row>
    <row r="3215" spans="6:6" ht="15" customHeight="1" x14ac:dyDescent="0.2">
      <c r="F3215"/>
    </row>
    <row r="3216" spans="6:6" ht="15" customHeight="1" x14ac:dyDescent="0.2">
      <c r="F3216"/>
    </row>
    <row r="3217" spans="6:6" ht="15" customHeight="1" x14ac:dyDescent="0.2">
      <c r="F3217"/>
    </row>
    <row r="3218" spans="6:6" ht="15" customHeight="1" x14ac:dyDescent="0.2">
      <c r="F3218"/>
    </row>
    <row r="3219" spans="6:6" ht="15" customHeight="1" x14ac:dyDescent="0.2">
      <c r="F3219"/>
    </row>
    <row r="3220" spans="6:6" ht="15" customHeight="1" x14ac:dyDescent="0.2">
      <c r="F3220"/>
    </row>
    <row r="3221" spans="6:6" ht="15" customHeight="1" x14ac:dyDescent="0.2">
      <c r="F3221"/>
    </row>
    <row r="3222" spans="6:6" ht="15" customHeight="1" x14ac:dyDescent="0.2">
      <c r="F3222"/>
    </row>
    <row r="3223" spans="6:6" ht="15" customHeight="1" x14ac:dyDescent="0.2">
      <c r="F3223"/>
    </row>
    <row r="3224" spans="6:6" ht="15" customHeight="1" x14ac:dyDescent="0.2">
      <c r="F3224"/>
    </row>
    <row r="3225" spans="6:6" ht="15" customHeight="1" x14ac:dyDescent="0.2">
      <c r="F3225"/>
    </row>
    <row r="3226" spans="6:6" ht="15" customHeight="1" x14ac:dyDescent="0.2">
      <c r="F3226"/>
    </row>
    <row r="3227" spans="6:6" ht="15" customHeight="1" x14ac:dyDescent="0.2">
      <c r="F3227"/>
    </row>
    <row r="3228" spans="6:6" ht="15" customHeight="1" x14ac:dyDescent="0.2">
      <c r="F3228"/>
    </row>
    <row r="3229" spans="6:6" ht="15" customHeight="1" x14ac:dyDescent="0.2">
      <c r="F3229"/>
    </row>
    <row r="3230" spans="6:6" ht="15" customHeight="1" x14ac:dyDescent="0.2">
      <c r="F3230"/>
    </row>
    <row r="3231" spans="6:6" ht="15" customHeight="1" x14ac:dyDescent="0.2">
      <c r="F3231"/>
    </row>
    <row r="3232" spans="6:6" ht="15" customHeight="1" x14ac:dyDescent="0.2">
      <c r="F3232"/>
    </row>
    <row r="3233" spans="6:6" ht="15" customHeight="1" x14ac:dyDescent="0.2">
      <c r="F3233"/>
    </row>
    <row r="3234" spans="6:6" ht="15" customHeight="1" x14ac:dyDescent="0.2">
      <c r="F3234"/>
    </row>
    <row r="3235" spans="6:6" ht="15" customHeight="1" x14ac:dyDescent="0.2">
      <c r="F3235"/>
    </row>
    <row r="3236" spans="6:6" ht="15" customHeight="1" x14ac:dyDescent="0.2">
      <c r="F3236"/>
    </row>
    <row r="3237" spans="6:6" ht="15" customHeight="1" x14ac:dyDescent="0.2">
      <c r="F3237"/>
    </row>
    <row r="3238" spans="6:6" ht="15" customHeight="1" x14ac:dyDescent="0.2">
      <c r="F3238"/>
    </row>
    <row r="3239" spans="6:6" ht="15" customHeight="1" x14ac:dyDescent="0.2">
      <c r="F3239"/>
    </row>
    <row r="3240" spans="6:6" ht="15" customHeight="1" x14ac:dyDescent="0.2">
      <c r="F3240"/>
    </row>
    <row r="3241" spans="6:6" ht="15" customHeight="1" x14ac:dyDescent="0.2">
      <c r="F3241"/>
    </row>
    <row r="3242" spans="6:6" ht="15" customHeight="1" x14ac:dyDescent="0.2">
      <c r="F3242"/>
    </row>
    <row r="3243" spans="6:6" ht="15" customHeight="1" x14ac:dyDescent="0.2">
      <c r="F3243"/>
    </row>
    <row r="3244" spans="6:6" ht="15" customHeight="1" x14ac:dyDescent="0.2">
      <c r="F3244"/>
    </row>
    <row r="3245" spans="6:6" ht="15" customHeight="1" x14ac:dyDescent="0.2">
      <c r="F3245"/>
    </row>
    <row r="3246" spans="6:6" ht="15" customHeight="1" x14ac:dyDescent="0.2">
      <c r="F3246"/>
    </row>
    <row r="3247" spans="6:6" ht="15" customHeight="1" x14ac:dyDescent="0.2">
      <c r="F3247"/>
    </row>
    <row r="3248" spans="6:6" ht="15" customHeight="1" x14ac:dyDescent="0.2">
      <c r="F3248"/>
    </row>
    <row r="3249" spans="6:6" ht="15" customHeight="1" x14ac:dyDescent="0.2">
      <c r="F3249"/>
    </row>
    <row r="3250" spans="6:6" ht="15" customHeight="1" x14ac:dyDescent="0.2">
      <c r="F3250"/>
    </row>
    <row r="3251" spans="6:6" ht="15" customHeight="1" x14ac:dyDescent="0.2">
      <c r="F3251"/>
    </row>
    <row r="3252" spans="6:6" ht="15" customHeight="1" x14ac:dyDescent="0.2">
      <c r="F3252"/>
    </row>
    <row r="3253" spans="6:6" ht="15" customHeight="1" x14ac:dyDescent="0.2">
      <c r="F3253"/>
    </row>
    <row r="3254" spans="6:6" ht="15" customHeight="1" x14ac:dyDescent="0.2">
      <c r="F3254"/>
    </row>
    <row r="3255" spans="6:6" ht="15" customHeight="1" x14ac:dyDescent="0.2">
      <c r="F3255"/>
    </row>
    <row r="3256" spans="6:6" ht="15" customHeight="1" x14ac:dyDescent="0.2">
      <c r="F3256"/>
    </row>
    <row r="3257" spans="6:6" ht="15" customHeight="1" x14ac:dyDescent="0.2">
      <c r="F3257"/>
    </row>
    <row r="3258" spans="6:6" ht="15" customHeight="1" x14ac:dyDescent="0.2">
      <c r="F3258"/>
    </row>
    <row r="3259" spans="6:6" ht="15" customHeight="1" x14ac:dyDescent="0.2">
      <c r="F3259"/>
    </row>
    <row r="3260" spans="6:6" ht="15" customHeight="1" x14ac:dyDescent="0.2">
      <c r="F3260"/>
    </row>
    <row r="3261" spans="6:6" ht="15" customHeight="1" x14ac:dyDescent="0.2">
      <c r="F3261"/>
    </row>
    <row r="3262" spans="6:6" ht="15" customHeight="1" x14ac:dyDescent="0.2">
      <c r="F3262"/>
    </row>
    <row r="3263" spans="6:6" ht="15" customHeight="1" x14ac:dyDescent="0.2">
      <c r="F3263"/>
    </row>
    <row r="3264" spans="6:6" ht="15" customHeight="1" x14ac:dyDescent="0.2">
      <c r="F3264"/>
    </row>
    <row r="3265" spans="6:6" ht="15" customHeight="1" x14ac:dyDescent="0.2">
      <c r="F3265"/>
    </row>
    <row r="3266" spans="6:6" ht="15" customHeight="1" x14ac:dyDescent="0.2">
      <c r="F3266"/>
    </row>
    <row r="3267" spans="6:6" ht="15" customHeight="1" x14ac:dyDescent="0.2">
      <c r="F3267"/>
    </row>
    <row r="3268" spans="6:6" ht="15" customHeight="1" x14ac:dyDescent="0.2">
      <c r="F3268"/>
    </row>
    <row r="3269" spans="6:6" ht="15" customHeight="1" x14ac:dyDescent="0.2">
      <c r="F3269"/>
    </row>
    <row r="3270" spans="6:6" ht="15" customHeight="1" x14ac:dyDescent="0.2">
      <c r="F3270"/>
    </row>
    <row r="3271" spans="6:6" ht="15" customHeight="1" x14ac:dyDescent="0.2">
      <c r="F3271"/>
    </row>
    <row r="3272" spans="6:6" ht="15" customHeight="1" x14ac:dyDescent="0.2">
      <c r="F3272"/>
    </row>
    <row r="3273" spans="6:6" ht="15" customHeight="1" x14ac:dyDescent="0.2">
      <c r="F3273"/>
    </row>
    <row r="3274" spans="6:6" ht="15" customHeight="1" x14ac:dyDescent="0.2">
      <c r="F3274"/>
    </row>
    <row r="3275" spans="6:6" ht="15" customHeight="1" x14ac:dyDescent="0.2">
      <c r="F3275"/>
    </row>
    <row r="3276" spans="6:6" ht="15" customHeight="1" x14ac:dyDescent="0.2">
      <c r="F3276"/>
    </row>
    <row r="3277" spans="6:6" ht="15" customHeight="1" x14ac:dyDescent="0.2">
      <c r="F3277"/>
    </row>
    <row r="3278" spans="6:6" ht="15" customHeight="1" x14ac:dyDescent="0.2">
      <c r="F3278"/>
    </row>
    <row r="3279" spans="6:6" ht="15" customHeight="1" x14ac:dyDescent="0.2">
      <c r="F3279"/>
    </row>
    <row r="3280" spans="6:6" ht="15" customHeight="1" x14ac:dyDescent="0.2">
      <c r="F3280"/>
    </row>
    <row r="3281" spans="6:6" ht="15" customHeight="1" x14ac:dyDescent="0.2">
      <c r="F3281"/>
    </row>
    <row r="3282" spans="6:6" ht="15" customHeight="1" x14ac:dyDescent="0.2">
      <c r="F3282"/>
    </row>
    <row r="3283" spans="6:6" ht="15" customHeight="1" x14ac:dyDescent="0.2">
      <c r="F3283"/>
    </row>
    <row r="3284" spans="6:6" ht="15" customHeight="1" x14ac:dyDescent="0.2">
      <c r="F3284"/>
    </row>
    <row r="3285" spans="6:6" ht="15" customHeight="1" x14ac:dyDescent="0.2">
      <c r="F3285"/>
    </row>
    <row r="3286" spans="6:6" ht="15" customHeight="1" x14ac:dyDescent="0.2">
      <c r="F3286"/>
    </row>
    <row r="3287" spans="6:6" ht="15" customHeight="1" x14ac:dyDescent="0.2">
      <c r="F3287"/>
    </row>
    <row r="3288" spans="6:6" ht="15" customHeight="1" x14ac:dyDescent="0.2">
      <c r="F3288"/>
    </row>
    <row r="3289" spans="6:6" ht="15" customHeight="1" x14ac:dyDescent="0.2">
      <c r="F3289"/>
    </row>
    <row r="3290" spans="6:6" ht="15" customHeight="1" x14ac:dyDescent="0.2">
      <c r="F3290"/>
    </row>
    <row r="3291" spans="6:6" ht="15" customHeight="1" x14ac:dyDescent="0.2">
      <c r="F3291"/>
    </row>
    <row r="3292" spans="6:6" ht="15" customHeight="1" x14ac:dyDescent="0.2">
      <c r="F3292"/>
    </row>
    <row r="3293" spans="6:6" ht="15" customHeight="1" x14ac:dyDescent="0.2">
      <c r="F3293"/>
    </row>
    <row r="3294" spans="6:6" ht="15" customHeight="1" x14ac:dyDescent="0.2">
      <c r="F3294"/>
    </row>
    <row r="3295" spans="6:6" ht="15" customHeight="1" x14ac:dyDescent="0.2">
      <c r="F3295"/>
    </row>
    <row r="3296" spans="6:6" ht="15" customHeight="1" x14ac:dyDescent="0.2">
      <c r="F3296"/>
    </row>
    <row r="3297" spans="6:6" ht="15" customHeight="1" x14ac:dyDescent="0.2">
      <c r="F3297"/>
    </row>
    <row r="3298" spans="6:6" ht="15" customHeight="1" x14ac:dyDescent="0.2">
      <c r="F3298"/>
    </row>
    <row r="3299" spans="6:6" ht="15" customHeight="1" x14ac:dyDescent="0.2">
      <c r="F3299"/>
    </row>
    <row r="3300" spans="6:6" ht="15" customHeight="1" x14ac:dyDescent="0.2">
      <c r="F3300"/>
    </row>
    <row r="3301" spans="6:6" ht="15" customHeight="1" x14ac:dyDescent="0.2">
      <c r="F3301"/>
    </row>
    <row r="3302" spans="6:6" ht="15" customHeight="1" x14ac:dyDescent="0.2">
      <c r="F3302"/>
    </row>
    <row r="3303" spans="6:6" ht="15" customHeight="1" x14ac:dyDescent="0.2">
      <c r="F3303"/>
    </row>
    <row r="3304" spans="6:6" ht="15" customHeight="1" x14ac:dyDescent="0.2">
      <c r="F3304"/>
    </row>
    <row r="3305" spans="6:6" ht="15" customHeight="1" x14ac:dyDescent="0.2">
      <c r="F3305"/>
    </row>
    <row r="3306" spans="6:6" ht="15" customHeight="1" x14ac:dyDescent="0.2">
      <c r="F3306"/>
    </row>
    <row r="3307" spans="6:6" ht="15" customHeight="1" x14ac:dyDescent="0.2">
      <c r="F3307"/>
    </row>
    <row r="3308" spans="6:6" ht="15" customHeight="1" x14ac:dyDescent="0.2">
      <c r="F3308"/>
    </row>
    <row r="3309" spans="6:6" ht="15" customHeight="1" x14ac:dyDescent="0.2">
      <c r="F3309"/>
    </row>
    <row r="3310" spans="6:6" ht="15" customHeight="1" x14ac:dyDescent="0.2">
      <c r="F3310"/>
    </row>
    <row r="3311" spans="6:6" ht="15" customHeight="1" x14ac:dyDescent="0.2">
      <c r="F3311"/>
    </row>
    <row r="3312" spans="6:6" ht="15" customHeight="1" x14ac:dyDescent="0.2">
      <c r="F3312"/>
    </row>
    <row r="3313" spans="6:6" ht="15" customHeight="1" x14ac:dyDescent="0.2">
      <c r="F3313"/>
    </row>
    <row r="3314" spans="6:6" ht="15" customHeight="1" x14ac:dyDescent="0.2">
      <c r="F3314"/>
    </row>
    <row r="3315" spans="6:6" ht="15" customHeight="1" x14ac:dyDescent="0.2">
      <c r="F3315"/>
    </row>
    <row r="3316" spans="6:6" ht="15" customHeight="1" x14ac:dyDescent="0.2">
      <c r="F3316"/>
    </row>
    <row r="3317" spans="6:6" ht="15" customHeight="1" x14ac:dyDescent="0.2">
      <c r="F3317"/>
    </row>
    <row r="3318" spans="6:6" ht="15" customHeight="1" x14ac:dyDescent="0.2">
      <c r="F3318"/>
    </row>
    <row r="3319" spans="6:6" ht="15" customHeight="1" x14ac:dyDescent="0.2">
      <c r="F3319"/>
    </row>
    <row r="3320" spans="6:6" ht="15" customHeight="1" x14ac:dyDescent="0.2">
      <c r="F3320"/>
    </row>
    <row r="3321" spans="6:6" ht="15" customHeight="1" x14ac:dyDescent="0.2">
      <c r="F3321"/>
    </row>
    <row r="3322" spans="6:6" ht="15" customHeight="1" x14ac:dyDescent="0.2">
      <c r="F3322"/>
    </row>
    <row r="3323" spans="6:6" ht="15" customHeight="1" x14ac:dyDescent="0.2">
      <c r="F3323"/>
    </row>
    <row r="3324" spans="6:6" ht="15" customHeight="1" x14ac:dyDescent="0.2">
      <c r="F3324"/>
    </row>
    <row r="3325" spans="6:6" ht="15" customHeight="1" x14ac:dyDescent="0.2">
      <c r="F3325"/>
    </row>
    <row r="3326" spans="6:6" ht="15" customHeight="1" x14ac:dyDescent="0.2">
      <c r="F3326"/>
    </row>
    <row r="3327" spans="6:6" ht="15" customHeight="1" x14ac:dyDescent="0.2">
      <c r="F3327"/>
    </row>
    <row r="3328" spans="6:6" ht="15" customHeight="1" x14ac:dyDescent="0.2">
      <c r="F3328"/>
    </row>
    <row r="3329" spans="6:6" ht="15" customHeight="1" x14ac:dyDescent="0.2">
      <c r="F3329"/>
    </row>
    <row r="3330" spans="6:6" ht="15" customHeight="1" x14ac:dyDescent="0.2">
      <c r="F3330"/>
    </row>
    <row r="3331" spans="6:6" ht="15" customHeight="1" x14ac:dyDescent="0.2">
      <c r="F3331"/>
    </row>
    <row r="3332" spans="6:6" ht="15" customHeight="1" x14ac:dyDescent="0.2">
      <c r="F3332"/>
    </row>
    <row r="3333" spans="6:6" ht="15" customHeight="1" x14ac:dyDescent="0.2">
      <c r="F3333"/>
    </row>
    <row r="3334" spans="6:6" ht="15" customHeight="1" x14ac:dyDescent="0.2">
      <c r="F3334"/>
    </row>
    <row r="3335" spans="6:6" ht="15" customHeight="1" x14ac:dyDescent="0.2">
      <c r="F3335"/>
    </row>
    <row r="3336" spans="6:6" ht="15" customHeight="1" x14ac:dyDescent="0.2">
      <c r="F3336"/>
    </row>
    <row r="3337" spans="6:6" ht="15" customHeight="1" x14ac:dyDescent="0.2">
      <c r="F3337"/>
    </row>
    <row r="3338" spans="6:6" ht="15" customHeight="1" x14ac:dyDescent="0.2">
      <c r="F3338"/>
    </row>
    <row r="3339" spans="6:6" ht="15" customHeight="1" x14ac:dyDescent="0.2">
      <c r="F3339"/>
    </row>
    <row r="3340" spans="6:6" ht="15" customHeight="1" x14ac:dyDescent="0.2">
      <c r="F3340"/>
    </row>
    <row r="3341" spans="6:6" ht="15" customHeight="1" x14ac:dyDescent="0.2">
      <c r="F3341"/>
    </row>
    <row r="3342" spans="6:6" ht="15" customHeight="1" x14ac:dyDescent="0.2">
      <c r="F3342"/>
    </row>
    <row r="3343" spans="6:6" ht="15" customHeight="1" x14ac:dyDescent="0.2">
      <c r="F3343"/>
    </row>
    <row r="3344" spans="6:6" ht="15" customHeight="1" x14ac:dyDescent="0.2">
      <c r="F3344"/>
    </row>
    <row r="3345" spans="6:6" ht="15" customHeight="1" x14ac:dyDescent="0.2">
      <c r="F3345"/>
    </row>
    <row r="3346" spans="6:6" ht="15" customHeight="1" x14ac:dyDescent="0.2">
      <c r="F3346"/>
    </row>
    <row r="3347" spans="6:6" ht="15" customHeight="1" x14ac:dyDescent="0.2">
      <c r="F3347"/>
    </row>
    <row r="3348" spans="6:6" ht="15" customHeight="1" x14ac:dyDescent="0.2">
      <c r="F3348"/>
    </row>
    <row r="3349" spans="6:6" ht="15" customHeight="1" x14ac:dyDescent="0.2">
      <c r="F3349"/>
    </row>
    <row r="3350" spans="6:6" ht="15" customHeight="1" x14ac:dyDescent="0.2">
      <c r="F3350"/>
    </row>
    <row r="3351" spans="6:6" ht="15" customHeight="1" x14ac:dyDescent="0.2">
      <c r="F3351"/>
    </row>
    <row r="3352" spans="6:6" ht="15" customHeight="1" x14ac:dyDescent="0.2">
      <c r="F3352"/>
    </row>
    <row r="3353" spans="6:6" ht="15" customHeight="1" x14ac:dyDescent="0.2">
      <c r="F3353"/>
    </row>
    <row r="3354" spans="6:6" ht="15" customHeight="1" x14ac:dyDescent="0.2">
      <c r="F3354"/>
    </row>
    <row r="3355" spans="6:6" ht="15" customHeight="1" x14ac:dyDescent="0.2">
      <c r="F3355"/>
    </row>
    <row r="3356" spans="6:6" ht="15" customHeight="1" x14ac:dyDescent="0.2">
      <c r="F3356"/>
    </row>
    <row r="3357" spans="6:6" ht="15" customHeight="1" x14ac:dyDescent="0.2">
      <c r="F3357"/>
    </row>
    <row r="3358" spans="6:6" ht="15" customHeight="1" x14ac:dyDescent="0.2">
      <c r="F3358"/>
    </row>
    <row r="3359" spans="6:6" ht="15" customHeight="1" x14ac:dyDescent="0.2">
      <c r="F3359"/>
    </row>
    <row r="3360" spans="6:6" ht="15" customHeight="1" x14ac:dyDescent="0.2">
      <c r="F3360"/>
    </row>
    <row r="3361" spans="6:6" ht="15" customHeight="1" x14ac:dyDescent="0.2">
      <c r="F3361"/>
    </row>
    <row r="3362" spans="6:6" ht="15" customHeight="1" x14ac:dyDescent="0.2">
      <c r="F3362"/>
    </row>
    <row r="3363" spans="6:6" ht="15" customHeight="1" x14ac:dyDescent="0.2">
      <c r="F3363"/>
    </row>
    <row r="3364" spans="6:6" ht="15" customHeight="1" x14ac:dyDescent="0.2">
      <c r="F3364"/>
    </row>
    <row r="3365" spans="6:6" ht="15" customHeight="1" x14ac:dyDescent="0.2">
      <c r="F3365"/>
    </row>
    <row r="3366" spans="6:6" ht="15" customHeight="1" x14ac:dyDescent="0.2">
      <c r="F3366"/>
    </row>
    <row r="3367" spans="6:6" ht="15" customHeight="1" x14ac:dyDescent="0.2">
      <c r="F3367"/>
    </row>
    <row r="3368" spans="6:6" ht="15" customHeight="1" x14ac:dyDescent="0.2">
      <c r="F3368"/>
    </row>
    <row r="3369" spans="6:6" ht="15" customHeight="1" x14ac:dyDescent="0.2">
      <c r="F3369"/>
    </row>
    <row r="3370" spans="6:6" ht="15" customHeight="1" x14ac:dyDescent="0.2">
      <c r="F3370"/>
    </row>
    <row r="3371" spans="6:6" ht="15" customHeight="1" x14ac:dyDescent="0.2">
      <c r="F3371"/>
    </row>
    <row r="3372" spans="6:6" ht="15" customHeight="1" x14ac:dyDescent="0.2">
      <c r="F3372"/>
    </row>
    <row r="3373" spans="6:6" ht="15" customHeight="1" x14ac:dyDescent="0.2">
      <c r="F3373"/>
    </row>
    <row r="3374" spans="6:6" ht="15" customHeight="1" x14ac:dyDescent="0.2">
      <c r="F3374"/>
    </row>
    <row r="3375" spans="6:6" ht="15" customHeight="1" x14ac:dyDescent="0.2">
      <c r="F3375"/>
    </row>
    <row r="3376" spans="6:6" ht="15" customHeight="1" x14ac:dyDescent="0.2">
      <c r="F3376"/>
    </row>
    <row r="3377" spans="6:6" ht="15" customHeight="1" x14ac:dyDescent="0.2">
      <c r="F3377"/>
    </row>
    <row r="3378" spans="6:6" ht="15" customHeight="1" x14ac:dyDescent="0.2">
      <c r="F3378"/>
    </row>
    <row r="3379" spans="6:6" ht="15" customHeight="1" x14ac:dyDescent="0.2">
      <c r="F3379"/>
    </row>
    <row r="3380" spans="6:6" ht="15" customHeight="1" x14ac:dyDescent="0.2">
      <c r="F3380"/>
    </row>
    <row r="3381" spans="6:6" ht="15" customHeight="1" x14ac:dyDescent="0.2">
      <c r="F3381"/>
    </row>
    <row r="3382" spans="6:6" ht="15" customHeight="1" x14ac:dyDescent="0.2">
      <c r="F3382"/>
    </row>
    <row r="3383" spans="6:6" ht="15" customHeight="1" x14ac:dyDescent="0.2">
      <c r="F3383"/>
    </row>
    <row r="3384" spans="6:6" ht="15" customHeight="1" x14ac:dyDescent="0.2">
      <c r="F3384"/>
    </row>
    <row r="3385" spans="6:6" ht="15" customHeight="1" x14ac:dyDescent="0.2">
      <c r="F3385"/>
    </row>
    <row r="3386" spans="6:6" ht="15" customHeight="1" x14ac:dyDescent="0.2">
      <c r="F3386"/>
    </row>
    <row r="3387" spans="6:6" ht="15" customHeight="1" x14ac:dyDescent="0.2">
      <c r="F3387"/>
    </row>
    <row r="3388" spans="6:6" ht="15" customHeight="1" x14ac:dyDescent="0.2">
      <c r="F3388"/>
    </row>
    <row r="3389" spans="6:6" ht="15" customHeight="1" x14ac:dyDescent="0.2">
      <c r="F3389"/>
    </row>
    <row r="3390" spans="6:6" ht="15" customHeight="1" x14ac:dyDescent="0.2">
      <c r="F3390"/>
    </row>
    <row r="3391" spans="6:6" ht="15" customHeight="1" x14ac:dyDescent="0.2">
      <c r="F3391"/>
    </row>
    <row r="3392" spans="6:6" ht="15" customHeight="1" x14ac:dyDescent="0.2">
      <c r="F3392"/>
    </row>
    <row r="3393" spans="6:6" ht="15" customHeight="1" x14ac:dyDescent="0.2">
      <c r="F3393"/>
    </row>
    <row r="3394" spans="6:6" ht="15" customHeight="1" x14ac:dyDescent="0.2">
      <c r="F3394"/>
    </row>
    <row r="3395" spans="6:6" ht="15" customHeight="1" x14ac:dyDescent="0.2">
      <c r="F3395"/>
    </row>
    <row r="3396" spans="6:6" ht="15" customHeight="1" x14ac:dyDescent="0.2">
      <c r="F3396"/>
    </row>
    <row r="3397" spans="6:6" ht="15" customHeight="1" x14ac:dyDescent="0.2">
      <c r="F3397"/>
    </row>
    <row r="3398" spans="6:6" ht="15" customHeight="1" x14ac:dyDescent="0.2">
      <c r="F3398"/>
    </row>
    <row r="3399" spans="6:6" ht="15" customHeight="1" x14ac:dyDescent="0.2">
      <c r="F3399"/>
    </row>
    <row r="3400" spans="6:6" ht="15" customHeight="1" x14ac:dyDescent="0.2">
      <c r="F3400"/>
    </row>
    <row r="3401" spans="6:6" ht="15" customHeight="1" x14ac:dyDescent="0.2">
      <c r="F3401"/>
    </row>
    <row r="3402" spans="6:6" ht="15" customHeight="1" x14ac:dyDescent="0.2">
      <c r="F3402"/>
    </row>
    <row r="3403" spans="6:6" ht="15" customHeight="1" x14ac:dyDescent="0.2">
      <c r="F3403"/>
    </row>
    <row r="3404" spans="6:6" ht="15" customHeight="1" x14ac:dyDescent="0.2">
      <c r="F3404"/>
    </row>
    <row r="3405" spans="6:6" ht="15" customHeight="1" x14ac:dyDescent="0.2">
      <c r="F3405"/>
    </row>
    <row r="3406" spans="6:6" ht="15" customHeight="1" x14ac:dyDescent="0.2">
      <c r="F3406"/>
    </row>
    <row r="3407" spans="6:6" ht="15" customHeight="1" x14ac:dyDescent="0.2">
      <c r="F3407"/>
    </row>
    <row r="3408" spans="6:6" ht="15" customHeight="1" x14ac:dyDescent="0.2">
      <c r="F3408"/>
    </row>
    <row r="3409" spans="6:6" ht="15" customHeight="1" x14ac:dyDescent="0.2">
      <c r="F3409"/>
    </row>
    <row r="3410" spans="6:6" ht="15" customHeight="1" x14ac:dyDescent="0.2">
      <c r="F3410"/>
    </row>
    <row r="3411" spans="6:6" ht="15" customHeight="1" x14ac:dyDescent="0.2">
      <c r="F3411"/>
    </row>
    <row r="3412" spans="6:6" ht="15" customHeight="1" x14ac:dyDescent="0.2">
      <c r="F3412"/>
    </row>
    <row r="3413" spans="6:6" ht="15" customHeight="1" x14ac:dyDescent="0.2">
      <c r="F3413"/>
    </row>
    <row r="3414" spans="6:6" ht="15" customHeight="1" x14ac:dyDescent="0.2">
      <c r="F3414"/>
    </row>
    <row r="3415" spans="6:6" ht="15" customHeight="1" x14ac:dyDescent="0.2">
      <c r="F3415"/>
    </row>
    <row r="3416" spans="6:6" ht="15" customHeight="1" x14ac:dyDescent="0.2">
      <c r="F3416"/>
    </row>
    <row r="3417" spans="6:6" ht="15" customHeight="1" x14ac:dyDescent="0.2">
      <c r="F3417"/>
    </row>
    <row r="3418" spans="6:6" ht="15" customHeight="1" x14ac:dyDescent="0.2">
      <c r="F3418"/>
    </row>
    <row r="3419" spans="6:6" ht="15" customHeight="1" x14ac:dyDescent="0.2">
      <c r="F3419"/>
    </row>
    <row r="3420" spans="6:6" ht="15" customHeight="1" x14ac:dyDescent="0.2">
      <c r="F3420"/>
    </row>
    <row r="3421" spans="6:6" ht="15" customHeight="1" x14ac:dyDescent="0.2">
      <c r="F3421"/>
    </row>
    <row r="3422" spans="6:6" ht="15" customHeight="1" x14ac:dyDescent="0.2">
      <c r="F3422"/>
    </row>
    <row r="3423" spans="6:6" ht="15" customHeight="1" x14ac:dyDescent="0.2">
      <c r="F3423"/>
    </row>
    <row r="3424" spans="6:6" ht="15" customHeight="1" x14ac:dyDescent="0.2">
      <c r="F3424"/>
    </row>
    <row r="3425" spans="6:6" ht="15" customHeight="1" x14ac:dyDescent="0.2">
      <c r="F3425"/>
    </row>
    <row r="3426" spans="6:6" ht="15" customHeight="1" x14ac:dyDescent="0.2">
      <c r="F3426"/>
    </row>
    <row r="3427" spans="6:6" ht="15" customHeight="1" x14ac:dyDescent="0.2">
      <c r="F3427"/>
    </row>
    <row r="3428" spans="6:6" ht="15" customHeight="1" x14ac:dyDescent="0.2">
      <c r="F3428"/>
    </row>
    <row r="3429" spans="6:6" ht="15" customHeight="1" x14ac:dyDescent="0.2">
      <c r="F3429"/>
    </row>
    <row r="3430" spans="6:6" ht="15" customHeight="1" x14ac:dyDescent="0.2">
      <c r="F3430"/>
    </row>
    <row r="3431" spans="6:6" ht="15" customHeight="1" x14ac:dyDescent="0.2">
      <c r="F3431"/>
    </row>
    <row r="3432" spans="6:6" ht="15" customHeight="1" x14ac:dyDescent="0.2">
      <c r="F3432"/>
    </row>
    <row r="3433" spans="6:6" ht="15" customHeight="1" x14ac:dyDescent="0.2">
      <c r="F3433"/>
    </row>
    <row r="3434" spans="6:6" ht="15" customHeight="1" x14ac:dyDescent="0.2">
      <c r="F3434"/>
    </row>
    <row r="3435" spans="6:6" ht="15" customHeight="1" x14ac:dyDescent="0.2">
      <c r="F3435"/>
    </row>
    <row r="3436" spans="6:6" ht="15" customHeight="1" x14ac:dyDescent="0.2">
      <c r="F3436"/>
    </row>
    <row r="3437" spans="6:6" ht="15" customHeight="1" x14ac:dyDescent="0.2">
      <c r="F3437"/>
    </row>
    <row r="3438" spans="6:6" ht="15" customHeight="1" x14ac:dyDescent="0.2">
      <c r="F3438"/>
    </row>
    <row r="3439" spans="6:6" ht="15" customHeight="1" x14ac:dyDescent="0.2">
      <c r="F3439"/>
    </row>
    <row r="3440" spans="6:6" ht="15" customHeight="1" x14ac:dyDescent="0.2">
      <c r="F3440"/>
    </row>
    <row r="3441" spans="6:6" ht="15" customHeight="1" x14ac:dyDescent="0.2">
      <c r="F3441"/>
    </row>
    <row r="3442" spans="6:6" ht="15" customHeight="1" x14ac:dyDescent="0.2">
      <c r="F3442"/>
    </row>
    <row r="3443" spans="6:6" ht="15" customHeight="1" x14ac:dyDescent="0.2">
      <c r="F3443"/>
    </row>
    <row r="3444" spans="6:6" ht="15" customHeight="1" x14ac:dyDescent="0.2">
      <c r="F3444"/>
    </row>
    <row r="3445" spans="6:6" ht="15" customHeight="1" x14ac:dyDescent="0.2">
      <c r="F3445"/>
    </row>
    <row r="3446" spans="6:6" ht="15" customHeight="1" x14ac:dyDescent="0.2">
      <c r="F3446"/>
    </row>
    <row r="3447" spans="6:6" ht="15" customHeight="1" x14ac:dyDescent="0.2">
      <c r="F3447"/>
    </row>
    <row r="3448" spans="6:6" ht="15" customHeight="1" x14ac:dyDescent="0.2">
      <c r="F3448"/>
    </row>
    <row r="3449" spans="6:6" ht="15" customHeight="1" x14ac:dyDescent="0.2">
      <c r="F3449"/>
    </row>
    <row r="3450" spans="6:6" ht="15" customHeight="1" x14ac:dyDescent="0.2">
      <c r="F3450"/>
    </row>
    <row r="3451" spans="6:6" ht="15" customHeight="1" x14ac:dyDescent="0.2">
      <c r="F3451"/>
    </row>
    <row r="3452" spans="6:6" ht="15" customHeight="1" x14ac:dyDescent="0.2">
      <c r="F3452"/>
    </row>
    <row r="3453" spans="6:6" ht="15" customHeight="1" x14ac:dyDescent="0.2">
      <c r="F3453"/>
    </row>
    <row r="3454" spans="6:6" ht="15" customHeight="1" x14ac:dyDescent="0.2">
      <c r="F3454"/>
    </row>
    <row r="3455" spans="6:6" ht="15" customHeight="1" x14ac:dyDescent="0.2">
      <c r="F3455"/>
    </row>
    <row r="3456" spans="6:6" ht="15" customHeight="1" x14ac:dyDescent="0.2">
      <c r="F3456"/>
    </row>
    <row r="3457" spans="6:6" ht="15" customHeight="1" x14ac:dyDescent="0.2">
      <c r="F3457"/>
    </row>
    <row r="3458" spans="6:6" ht="15" customHeight="1" x14ac:dyDescent="0.2">
      <c r="F3458"/>
    </row>
    <row r="3459" spans="6:6" ht="15" customHeight="1" x14ac:dyDescent="0.2">
      <c r="F3459"/>
    </row>
    <row r="3460" spans="6:6" ht="15" customHeight="1" x14ac:dyDescent="0.2">
      <c r="F3460"/>
    </row>
    <row r="3461" spans="6:6" ht="15" customHeight="1" x14ac:dyDescent="0.2">
      <c r="F3461"/>
    </row>
    <row r="3462" spans="6:6" ht="15" customHeight="1" x14ac:dyDescent="0.2">
      <c r="F3462"/>
    </row>
    <row r="3463" spans="6:6" ht="15" customHeight="1" x14ac:dyDescent="0.2">
      <c r="F3463"/>
    </row>
    <row r="3464" spans="6:6" ht="15" customHeight="1" x14ac:dyDescent="0.2">
      <c r="F3464"/>
    </row>
    <row r="3465" spans="6:6" ht="15" customHeight="1" x14ac:dyDescent="0.2">
      <c r="F3465"/>
    </row>
    <row r="3466" spans="6:6" ht="15" customHeight="1" x14ac:dyDescent="0.2">
      <c r="F3466"/>
    </row>
    <row r="3467" spans="6:6" ht="15" customHeight="1" x14ac:dyDescent="0.2">
      <c r="F3467"/>
    </row>
    <row r="3468" spans="6:6" ht="15" customHeight="1" x14ac:dyDescent="0.2">
      <c r="F3468"/>
    </row>
    <row r="3469" spans="6:6" ht="15" customHeight="1" x14ac:dyDescent="0.2">
      <c r="F3469"/>
    </row>
    <row r="3470" spans="6:6" ht="15" customHeight="1" x14ac:dyDescent="0.2">
      <c r="F3470"/>
    </row>
    <row r="3471" spans="6:6" ht="15" customHeight="1" x14ac:dyDescent="0.2">
      <c r="F3471"/>
    </row>
    <row r="3472" spans="6:6" ht="15" customHeight="1" x14ac:dyDescent="0.2">
      <c r="F3472"/>
    </row>
    <row r="3473" spans="6:6" ht="15" customHeight="1" x14ac:dyDescent="0.2">
      <c r="F3473"/>
    </row>
    <row r="3474" spans="6:6" ht="15" customHeight="1" x14ac:dyDescent="0.2">
      <c r="F3474"/>
    </row>
    <row r="3475" spans="6:6" ht="15" customHeight="1" x14ac:dyDescent="0.2">
      <c r="F3475"/>
    </row>
    <row r="3476" spans="6:6" ht="15" customHeight="1" x14ac:dyDescent="0.2">
      <c r="F3476"/>
    </row>
    <row r="3477" spans="6:6" ht="15" customHeight="1" x14ac:dyDescent="0.2">
      <c r="F3477"/>
    </row>
    <row r="3478" spans="6:6" ht="15" customHeight="1" x14ac:dyDescent="0.2">
      <c r="F3478"/>
    </row>
    <row r="3479" spans="6:6" ht="15" customHeight="1" x14ac:dyDescent="0.2">
      <c r="F3479"/>
    </row>
    <row r="3480" spans="6:6" ht="15" customHeight="1" x14ac:dyDescent="0.2">
      <c r="F3480"/>
    </row>
    <row r="3481" spans="6:6" ht="15" customHeight="1" x14ac:dyDescent="0.2">
      <c r="F3481"/>
    </row>
    <row r="3482" spans="6:6" ht="15" customHeight="1" x14ac:dyDescent="0.2">
      <c r="F3482"/>
    </row>
    <row r="3483" spans="6:6" ht="15" customHeight="1" x14ac:dyDescent="0.2">
      <c r="F3483"/>
    </row>
    <row r="3484" spans="6:6" ht="15" customHeight="1" x14ac:dyDescent="0.2">
      <c r="F3484"/>
    </row>
    <row r="3485" spans="6:6" ht="15" customHeight="1" x14ac:dyDescent="0.2">
      <c r="F3485"/>
    </row>
    <row r="3486" spans="6:6" ht="15" customHeight="1" x14ac:dyDescent="0.2">
      <c r="F3486"/>
    </row>
    <row r="3487" spans="6:6" ht="15" customHeight="1" x14ac:dyDescent="0.2">
      <c r="F3487"/>
    </row>
    <row r="3488" spans="6:6" ht="15" customHeight="1" x14ac:dyDescent="0.2">
      <c r="F3488"/>
    </row>
    <row r="3489" spans="6:6" ht="15" customHeight="1" x14ac:dyDescent="0.2">
      <c r="F3489"/>
    </row>
    <row r="3490" spans="6:6" ht="15" customHeight="1" x14ac:dyDescent="0.2">
      <c r="F3490"/>
    </row>
    <row r="3491" spans="6:6" ht="15" customHeight="1" x14ac:dyDescent="0.2">
      <c r="F3491"/>
    </row>
    <row r="3492" spans="6:6" ht="15" customHeight="1" x14ac:dyDescent="0.2">
      <c r="F3492"/>
    </row>
    <row r="3493" spans="6:6" ht="15" customHeight="1" x14ac:dyDescent="0.2">
      <c r="F3493"/>
    </row>
    <row r="3494" spans="6:6" ht="15" customHeight="1" x14ac:dyDescent="0.2">
      <c r="F3494"/>
    </row>
    <row r="3495" spans="6:6" ht="15" customHeight="1" x14ac:dyDescent="0.2">
      <c r="F3495"/>
    </row>
    <row r="3496" spans="6:6" ht="15" customHeight="1" x14ac:dyDescent="0.2">
      <c r="F3496"/>
    </row>
    <row r="3497" spans="6:6" ht="15" customHeight="1" x14ac:dyDescent="0.2">
      <c r="F3497"/>
    </row>
    <row r="3498" spans="6:6" ht="15" customHeight="1" x14ac:dyDescent="0.2">
      <c r="F3498"/>
    </row>
    <row r="3499" spans="6:6" ht="15" customHeight="1" x14ac:dyDescent="0.2">
      <c r="F3499"/>
    </row>
    <row r="3500" spans="6:6" ht="15" customHeight="1" x14ac:dyDescent="0.2">
      <c r="F3500"/>
    </row>
    <row r="3501" spans="6:6" ht="15" customHeight="1" x14ac:dyDescent="0.2">
      <c r="F3501"/>
    </row>
    <row r="3502" spans="6:6" ht="15" customHeight="1" x14ac:dyDescent="0.2">
      <c r="F3502"/>
    </row>
    <row r="3503" spans="6:6" ht="15" customHeight="1" x14ac:dyDescent="0.2">
      <c r="F3503"/>
    </row>
    <row r="3504" spans="6:6" ht="15" customHeight="1" x14ac:dyDescent="0.2">
      <c r="F3504"/>
    </row>
    <row r="3505" spans="6:6" ht="15" customHeight="1" x14ac:dyDescent="0.2">
      <c r="F3505"/>
    </row>
    <row r="3506" spans="6:6" ht="15" customHeight="1" x14ac:dyDescent="0.2">
      <c r="F3506"/>
    </row>
    <row r="3507" spans="6:6" ht="15" customHeight="1" x14ac:dyDescent="0.2">
      <c r="F3507"/>
    </row>
    <row r="3508" spans="6:6" ht="15" customHeight="1" x14ac:dyDescent="0.2">
      <c r="F3508"/>
    </row>
    <row r="3509" spans="6:6" ht="15" customHeight="1" x14ac:dyDescent="0.2">
      <c r="F3509"/>
    </row>
    <row r="3510" spans="6:6" ht="15" customHeight="1" x14ac:dyDescent="0.2">
      <c r="F3510"/>
    </row>
    <row r="3511" spans="6:6" ht="15" customHeight="1" x14ac:dyDescent="0.2">
      <c r="F3511"/>
    </row>
    <row r="3512" spans="6:6" ht="15" customHeight="1" x14ac:dyDescent="0.2">
      <c r="F3512"/>
    </row>
    <row r="3513" spans="6:6" ht="15" customHeight="1" x14ac:dyDescent="0.2">
      <c r="F3513"/>
    </row>
    <row r="3514" spans="6:6" ht="15" customHeight="1" x14ac:dyDescent="0.2">
      <c r="F3514"/>
    </row>
    <row r="3515" spans="6:6" ht="15" customHeight="1" x14ac:dyDescent="0.2">
      <c r="F3515"/>
    </row>
    <row r="3516" spans="6:6" ht="15" customHeight="1" x14ac:dyDescent="0.2">
      <c r="F3516"/>
    </row>
    <row r="3517" spans="6:6" ht="15" customHeight="1" x14ac:dyDescent="0.2">
      <c r="F3517"/>
    </row>
    <row r="3518" spans="6:6" ht="15" customHeight="1" x14ac:dyDescent="0.2">
      <c r="F3518"/>
    </row>
    <row r="3519" spans="6:6" ht="15" customHeight="1" x14ac:dyDescent="0.2">
      <c r="F3519"/>
    </row>
    <row r="3520" spans="6:6" ht="15" customHeight="1" x14ac:dyDescent="0.2">
      <c r="F3520"/>
    </row>
    <row r="3521" spans="6:6" ht="15" customHeight="1" x14ac:dyDescent="0.2">
      <c r="F3521"/>
    </row>
    <row r="3522" spans="6:6" ht="15" customHeight="1" x14ac:dyDescent="0.2">
      <c r="F3522"/>
    </row>
    <row r="3523" spans="6:6" ht="15" customHeight="1" x14ac:dyDescent="0.2">
      <c r="F3523"/>
    </row>
    <row r="3524" spans="6:6" ht="15" customHeight="1" x14ac:dyDescent="0.2">
      <c r="F3524"/>
    </row>
    <row r="3525" spans="6:6" ht="15" customHeight="1" x14ac:dyDescent="0.2">
      <c r="F3525"/>
    </row>
    <row r="3526" spans="6:6" ht="15" customHeight="1" x14ac:dyDescent="0.2">
      <c r="F3526"/>
    </row>
    <row r="3527" spans="6:6" ht="15" customHeight="1" x14ac:dyDescent="0.2">
      <c r="F3527"/>
    </row>
    <row r="3528" spans="6:6" ht="15" customHeight="1" x14ac:dyDescent="0.2">
      <c r="F3528"/>
    </row>
    <row r="3529" spans="6:6" ht="15" customHeight="1" x14ac:dyDescent="0.2">
      <c r="F3529"/>
    </row>
    <row r="3530" spans="6:6" ht="15" customHeight="1" x14ac:dyDescent="0.2">
      <c r="F3530"/>
    </row>
    <row r="3531" spans="6:6" ht="15" customHeight="1" x14ac:dyDescent="0.2">
      <c r="F3531"/>
    </row>
    <row r="3532" spans="6:6" ht="15" customHeight="1" x14ac:dyDescent="0.2">
      <c r="F3532"/>
    </row>
    <row r="3533" spans="6:6" ht="15" customHeight="1" x14ac:dyDescent="0.2">
      <c r="F3533"/>
    </row>
    <row r="3534" spans="6:6" ht="15" customHeight="1" x14ac:dyDescent="0.2">
      <c r="F3534"/>
    </row>
    <row r="3535" spans="6:6" ht="15" customHeight="1" x14ac:dyDescent="0.2">
      <c r="F3535"/>
    </row>
    <row r="3536" spans="6:6" ht="15" customHeight="1" x14ac:dyDescent="0.2">
      <c r="F3536"/>
    </row>
    <row r="3537" spans="6:6" ht="15" customHeight="1" x14ac:dyDescent="0.2">
      <c r="F3537"/>
    </row>
    <row r="3538" spans="6:6" ht="15" customHeight="1" x14ac:dyDescent="0.2">
      <c r="F3538"/>
    </row>
    <row r="3539" spans="6:6" ht="15" customHeight="1" x14ac:dyDescent="0.2">
      <c r="F3539"/>
    </row>
    <row r="3540" spans="6:6" ht="15" customHeight="1" x14ac:dyDescent="0.2">
      <c r="F3540"/>
    </row>
    <row r="3541" spans="6:6" ht="15" customHeight="1" x14ac:dyDescent="0.2">
      <c r="F3541"/>
    </row>
    <row r="3542" spans="6:6" ht="15" customHeight="1" x14ac:dyDescent="0.2">
      <c r="F3542"/>
    </row>
    <row r="3543" spans="6:6" ht="15" customHeight="1" x14ac:dyDescent="0.2">
      <c r="F3543"/>
    </row>
    <row r="3544" spans="6:6" ht="15" customHeight="1" x14ac:dyDescent="0.2">
      <c r="F3544"/>
    </row>
    <row r="3545" spans="6:6" ht="15" customHeight="1" x14ac:dyDescent="0.2">
      <c r="F3545"/>
    </row>
    <row r="3546" spans="6:6" ht="15" customHeight="1" x14ac:dyDescent="0.2">
      <c r="F3546"/>
    </row>
    <row r="3547" spans="6:6" ht="15" customHeight="1" x14ac:dyDescent="0.2">
      <c r="F3547"/>
    </row>
    <row r="3548" spans="6:6" ht="15" customHeight="1" x14ac:dyDescent="0.2">
      <c r="F3548"/>
    </row>
    <row r="3549" spans="6:6" ht="15" customHeight="1" x14ac:dyDescent="0.2">
      <c r="F3549"/>
    </row>
    <row r="3550" spans="6:6" ht="15" customHeight="1" x14ac:dyDescent="0.2">
      <c r="F3550"/>
    </row>
    <row r="3551" spans="6:6" ht="15" customHeight="1" x14ac:dyDescent="0.2">
      <c r="F3551"/>
    </row>
    <row r="3552" spans="6:6" ht="15" customHeight="1" x14ac:dyDescent="0.2">
      <c r="F3552"/>
    </row>
    <row r="3553" spans="6:6" ht="15" customHeight="1" x14ac:dyDescent="0.2">
      <c r="F3553"/>
    </row>
    <row r="3554" spans="6:6" ht="15" customHeight="1" x14ac:dyDescent="0.2">
      <c r="F3554"/>
    </row>
    <row r="3555" spans="6:6" ht="15" customHeight="1" x14ac:dyDescent="0.2">
      <c r="F3555"/>
    </row>
    <row r="3556" spans="6:6" ht="15" customHeight="1" x14ac:dyDescent="0.2">
      <c r="F3556"/>
    </row>
    <row r="3557" spans="6:6" ht="15" customHeight="1" x14ac:dyDescent="0.2">
      <c r="F3557"/>
    </row>
    <row r="3558" spans="6:6" ht="15" customHeight="1" x14ac:dyDescent="0.2">
      <c r="F3558"/>
    </row>
    <row r="3559" spans="6:6" ht="15" customHeight="1" x14ac:dyDescent="0.2">
      <c r="F3559"/>
    </row>
    <row r="3560" spans="6:6" ht="15" customHeight="1" x14ac:dyDescent="0.2">
      <c r="F3560"/>
    </row>
    <row r="3561" spans="6:6" ht="15" customHeight="1" x14ac:dyDescent="0.2">
      <c r="F3561"/>
    </row>
    <row r="3562" spans="6:6" ht="15" customHeight="1" x14ac:dyDescent="0.2">
      <c r="F3562"/>
    </row>
    <row r="3563" spans="6:6" ht="15" customHeight="1" x14ac:dyDescent="0.2">
      <c r="F3563"/>
    </row>
    <row r="3564" spans="6:6" ht="15" customHeight="1" x14ac:dyDescent="0.2">
      <c r="F3564"/>
    </row>
    <row r="3565" spans="6:6" ht="15" customHeight="1" x14ac:dyDescent="0.2">
      <c r="F3565"/>
    </row>
    <row r="3566" spans="6:6" ht="15" customHeight="1" x14ac:dyDescent="0.2">
      <c r="F3566"/>
    </row>
    <row r="3567" spans="6:6" ht="15" customHeight="1" x14ac:dyDescent="0.2">
      <c r="F3567"/>
    </row>
    <row r="3568" spans="6:6" ht="15" customHeight="1" x14ac:dyDescent="0.2">
      <c r="F3568"/>
    </row>
    <row r="3569" spans="6:6" ht="15" customHeight="1" x14ac:dyDescent="0.2">
      <c r="F3569"/>
    </row>
    <row r="3570" spans="6:6" ht="15" customHeight="1" x14ac:dyDescent="0.2">
      <c r="F3570"/>
    </row>
    <row r="3571" spans="6:6" ht="15" customHeight="1" x14ac:dyDescent="0.2">
      <c r="F3571"/>
    </row>
    <row r="3572" spans="6:6" ht="15" customHeight="1" x14ac:dyDescent="0.2">
      <c r="F3572"/>
    </row>
    <row r="3573" spans="6:6" ht="15" customHeight="1" x14ac:dyDescent="0.2">
      <c r="F3573"/>
    </row>
    <row r="3574" spans="6:6" ht="15" customHeight="1" x14ac:dyDescent="0.2">
      <c r="F3574"/>
    </row>
    <row r="3575" spans="6:6" ht="15" customHeight="1" x14ac:dyDescent="0.2">
      <c r="F3575"/>
    </row>
    <row r="3576" spans="6:6" ht="15" customHeight="1" x14ac:dyDescent="0.2">
      <c r="F3576"/>
    </row>
    <row r="3577" spans="6:6" ht="15" customHeight="1" x14ac:dyDescent="0.2">
      <c r="F3577"/>
    </row>
    <row r="3578" spans="6:6" ht="15" customHeight="1" x14ac:dyDescent="0.2">
      <c r="F3578"/>
    </row>
    <row r="3579" spans="6:6" ht="15" customHeight="1" x14ac:dyDescent="0.2">
      <c r="F3579"/>
    </row>
    <row r="3580" spans="6:6" ht="15" customHeight="1" x14ac:dyDescent="0.2">
      <c r="F3580"/>
    </row>
    <row r="3581" spans="6:6" ht="15" customHeight="1" x14ac:dyDescent="0.2">
      <c r="F3581"/>
    </row>
    <row r="3582" spans="6:6" ht="15" customHeight="1" x14ac:dyDescent="0.2">
      <c r="F3582"/>
    </row>
    <row r="3583" spans="6:6" ht="15" customHeight="1" x14ac:dyDescent="0.2">
      <c r="F3583"/>
    </row>
    <row r="3584" spans="6:6" ht="15" customHeight="1" x14ac:dyDescent="0.2">
      <c r="F3584"/>
    </row>
    <row r="3585" spans="6:6" ht="15" customHeight="1" x14ac:dyDescent="0.2">
      <c r="F3585"/>
    </row>
    <row r="3586" spans="6:6" ht="15" customHeight="1" x14ac:dyDescent="0.2">
      <c r="F3586"/>
    </row>
    <row r="3587" spans="6:6" ht="15" customHeight="1" x14ac:dyDescent="0.2">
      <c r="F3587"/>
    </row>
    <row r="3588" spans="6:6" ht="15" customHeight="1" x14ac:dyDescent="0.2">
      <c r="F3588"/>
    </row>
    <row r="3589" spans="6:6" ht="15" customHeight="1" x14ac:dyDescent="0.2">
      <c r="F3589"/>
    </row>
    <row r="3590" spans="6:6" ht="15" customHeight="1" x14ac:dyDescent="0.2">
      <c r="F3590"/>
    </row>
    <row r="3591" spans="6:6" ht="15" customHeight="1" x14ac:dyDescent="0.2">
      <c r="F3591"/>
    </row>
    <row r="3592" spans="6:6" ht="15" customHeight="1" x14ac:dyDescent="0.2">
      <c r="F3592"/>
    </row>
    <row r="3593" spans="6:6" ht="15" customHeight="1" x14ac:dyDescent="0.2">
      <c r="F3593"/>
    </row>
    <row r="3594" spans="6:6" ht="15" customHeight="1" x14ac:dyDescent="0.2">
      <c r="F3594"/>
    </row>
    <row r="3595" spans="6:6" ht="15" customHeight="1" x14ac:dyDescent="0.2">
      <c r="F3595"/>
    </row>
    <row r="3596" spans="6:6" ht="15" customHeight="1" x14ac:dyDescent="0.2">
      <c r="F3596"/>
    </row>
    <row r="3597" spans="6:6" ht="15" customHeight="1" x14ac:dyDescent="0.2">
      <c r="F3597"/>
    </row>
    <row r="3598" spans="6:6" ht="15" customHeight="1" x14ac:dyDescent="0.2">
      <c r="F3598"/>
    </row>
    <row r="3599" spans="6:6" ht="15" customHeight="1" x14ac:dyDescent="0.2">
      <c r="F3599"/>
    </row>
    <row r="3600" spans="6:6" ht="15" customHeight="1" x14ac:dyDescent="0.2">
      <c r="F3600"/>
    </row>
    <row r="3601" spans="6:6" ht="15" customHeight="1" x14ac:dyDescent="0.2">
      <c r="F3601"/>
    </row>
    <row r="3602" spans="6:6" ht="15" customHeight="1" x14ac:dyDescent="0.2">
      <c r="F3602"/>
    </row>
    <row r="3603" spans="6:6" ht="15" customHeight="1" x14ac:dyDescent="0.2">
      <c r="F3603"/>
    </row>
    <row r="3604" spans="6:6" ht="15" customHeight="1" x14ac:dyDescent="0.2">
      <c r="F3604"/>
    </row>
    <row r="3605" spans="6:6" ht="15" customHeight="1" x14ac:dyDescent="0.2">
      <c r="F3605"/>
    </row>
    <row r="3606" spans="6:6" ht="15" customHeight="1" x14ac:dyDescent="0.2">
      <c r="F3606"/>
    </row>
    <row r="3607" spans="6:6" ht="15" customHeight="1" x14ac:dyDescent="0.2">
      <c r="F3607"/>
    </row>
    <row r="3608" spans="6:6" ht="15" customHeight="1" x14ac:dyDescent="0.2">
      <c r="F3608"/>
    </row>
    <row r="3609" spans="6:6" ht="15" customHeight="1" x14ac:dyDescent="0.2">
      <c r="F3609"/>
    </row>
    <row r="3610" spans="6:6" ht="15" customHeight="1" x14ac:dyDescent="0.2">
      <c r="F3610"/>
    </row>
    <row r="3611" spans="6:6" ht="15" customHeight="1" x14ac:dyDescent="0.2">
      <c r="F3611"/>
    </row>
    <row r="3612" spans="6:6" ht="15" customHeight="1" x14ac:dyDescent="0.2">
      <c r="F3612"/>
    </row>
    <row r="3613" spans="6:6" ht="15" customHeight="1" x14ac:dyDescent="0.2">
      <c r="F3613"/>
    </row>
    <row r="3614" spans="6:6" ht="15" customHeight="1" x14ac:dyDescent="0.2">
      <c r="F3614"/>
    </row>
    <row r="3615" spans="6:6" ht="15" customHeight="1" x14ac:dyDescent="0.2">
      <c r="F3615"/>
    </row>
    <row r="3616" spans="6:6" ht="15" customHeight="1" x14ac:dyDescent="0.2">
      <c r="F3616"/>
    </row>
    <row r="3617" spans="6:6" ht="15" customHeight="1" x14ac:dyDescent="0.2">
      <c r="F3617"/>
    </row>
    <row r="3618" spans="6:6" ht="15" customHeight="1" x14ac:dyDescent="0.2">
      <c r="F3618"/>
    </row>
    <row r="3619" spans="6:6" ht="15" customHeight="1" x14ac:dyDescent="0.2">
      <c r="F3619"/>
    </row>
    <row r="3620" spans="6:6" ht="15" customHeight="1" x14ac:dyDescent="0.2">
      <c r="F3620"/>
    </row>
    <row r="3621" spans="6:6" ht="15" customHeight="1" x14ac:dyDescent="0.2">
      <c r="F3621"/>
    </row>
    <row r="3622" spans="6:6" ht="15" customHeight="1" x14ac:dyDescent="0.2">
      <c r="F3622"/>
    </row>
    <row r="3623" spans="6:6" ht="15" customHeight="1" x14ac:dyDescent="0.2">
      <c r="F3623"/>
    </row>
    <row r="3624" spans="6:6" ht="15" customHeight="1" x14ac:dyDescent="0.2">
      <c r="F3624"/>
    </row>
    <row r="3625" spans="6:6" ht="15" customHeight="1" x14ac:dyDescent="0.2">
      <c r="F3625"/>
    </row>
    <row r="3626" spans="6:6" ht="15" customHeight="1" x14ac:dyDescent="0.2">
      <c r="F3626"/>
    </row>
    <row r="3627" spans="6:6" ht="15" customHeight="1" x14ac:dyDescent="0.2">
      <c r="F3627"/>
    </row>
    <row r="3628" spans="6:6" ht="15" customHeight="1" x14ac:dyDescent="0.2">
      <c r="F3628"/>
    </row>
    <row r="3629" spans="6:6" ht="15" customHeight="1" x14ac:dyDescent="0.2">
      <c r="F3629"/>
    </row>
    <row r="3630" spans="6:6" ht="15" customHeight="1" x14ac:dyDescent="0.2">
      <c r="F3630"/>
    </row>
    <row r="3631" spans="6:6" ht="15" customHeight="1" x14ac:dyDescent="0.2">
      <c r="F3631"/>
    </row>
    <row r="3632" spans="6:6" ht="15" customHeight="1" x14ac:dyDescent="0.2">
      <c r="F3632"/>
    </row>
    <row r="3633" spans="6:6" ht="15" customHeight="1" x14ac:dyDescent="0.2">
      <c r="F3633"/>
    </row>
    <row r="3634" spans="6:6" ht="15" customHeight="1" x14ac:dyDescent="0.2">
      <c r="F3634"/>
    </row>
    <row r="3635" spans="6:6" ht="15" customHeight="1" x14ac:dyDescent="0.2">
      <c r="F3635"/>
    </row>
    <row r="3636" spans="6:6" ht="15" customHeight="1" x14ac:dyDescent="0.2">
      <c r="F3636"/>
    </row>
    <row r="3637" spans="6:6" ht="15" customHeight="1" x14ac:dyDescent="0.2">
      <c r="F3637"/>
    </row>
    <row r="3638" spans="6:6" ht="15" customHeight="1" x14ac:dyDescent="0.2">
      <c r="F3638"/>
    </row>
    <row r="3639" spans="6:6" ht="15" customHeight="1" x14ac:dyDescent="0.2">
      <c r="F3639"/>
    </row>
    <row r="3640" spans="6:6" ht="15" customHeight="1" x14ac:dyDescent="0.2">
      <c r="F3640"/>
    </row>
    <row r="3641" spans="6:6" ht="15" customHeight="1" x14ac:dyDescent="0.2">
      <c r="F3641"/>
    </row>
    <row r="3642" spans="6:6" ht="15" customHeight="1" x14ac:dyDescent="0.2">
      <c r="F3642"/>
    </row>
    <row r="3643" spans="6:6" ht="15" customHeight="1" x14ac:dyDescent="0.2">
      <c r="F3643"/>
    </row>
    <row r="3644" spans="6:6" ht="15" customHeight="1" x14ac:dyDescent="0.2">
      <c r="F3644"/>
    </row>
    <row r="3645" spans="6:6" ht="15" customHeight="1" x14ac:dyDescent="0.2">
      <c r="F3645"/>
    </row>
    <row r="3646" spans="6:6" ht="15" customHeight="1" x14ac:dyDescent="0.2">
      <c r="F3646"/>
    </row>
    <row r="3647" spans="6:6" ht="15" customHeight="1" x14ac:dyDescent="0.2">
      <c r="F3647"/>
    </row>
    <row r="3648" spans="6:6" ht="15" customHeight="1" x14ac:dyDescent="0.2">
      <c r="F3648"/>
    </row>
    <row r="3649" spans="6:6" ht="15" customHeight="1" x14ac:dyDescent="0.2">
      <c r="F3649"/>
    </row>
    <row r="3650" spans="6:6" ht="15" customHeight="1" x14ac:dyDescent="0.2">
      <c r="F3650"/>
    </row>
    <row r="3651" spans="6:6" ht="15" customHeight="1" x14ac:dyDescent="0.2">
      <c r="F3651"/>
    </row>
    <row r="3652" spans="6:6" ht="15" customHeight="1" x14ac:dyDescent="0.2">
      <c r="F3652"/>
    </row>
    <row r="3653" spans="6:6" ht="15" customHeight="1" x14ac:dyDescent="0.2">
      <c r="F3653"/>
    </row>
    <row r="3654" spans="6:6" ht="15" customHeight="1" x14ac:dyDescent="0.2">
      <c r="F3654"/>
    </row>
    <row r="3655" spans="6:6" ht="15" customHeight="1" x14ac:dyDescent="0.2">
      <c r="F3655"/>
    </row>
    <row r="3656" spans="6:6" ht="15" customHeight="1" x14ac:dyDescent="0.2">
      <c r="F3656"/>
    </row>
    <row r="3657" spans="6:6" ht="15" customHeight="1" x14ac:dyDescent="0.2">
      <c r="F3657"/>
    </row>
    <row r="3658" spans="6:6" ht="15" customHeight="1" x14ac:dyDescent="0.2">
      <c r="F3658"/>
    </row>
    <row r="3659" spans="6:6" ht="15" customHeight="1" x14ac:dyDescent="0.2">
      <c r="F3659"/>
    </row>
    <row r="3660" spans="6:6" ht="15" customHeight="1" x14ac:dyDescent="0.2">
      <c r="F3660"/>
    </row>
    <row r="3661" spans="6:6" ht="15" customHeight="1" x14ac:dyDescent="0.2">
      <c r="F3661"/>
    </row>
    <row r="3662" spans="6:6" ht="15" customHeight="1" x14ac:dyDescent="0.2">
      <c r="F3662"/>
    </row>
    <row r="3663" spans="6:6" ht="15" customHeight="1" x14ac:dyDescent="0.2">
      <c r="F3663"/>
    </row>
    <row r="3664" spans="6:6" ht="15" customHeight="1" x14ac:dyDescent="0.2">
      <c r="F3664"/>
    </row>
    <row r="3665" spans="6:6" ht="15" customHeight="1" x14ac:dyDescent="0.2">
      <c r="F3665"/>
    </row>
    <row r="3666" spans="6:6" ht="15" customHeight="1" x14ac:dyDescent="0.2">
      <c r="F3666"/>
    </row>
    <row r="3667" spans="6:6" ht="15" customHeight="1" x14ac:dyDescent="0.2">
      <c r="F3667"/>
    </row>
    <row r="3668" spans="6:6" ht="15" customHeight="1" x14ac:dyDescent="0.2">
      <c r="F3668"/>
    </row>
    <row r="3669" spans="6:6" ht="15" customHeight="1" x14ac:dyDescent="0.2">
      <c r="F3669"/>
    </row>
    <row r="3670" spans="6:6" ht="15" customHeight="1" x14ac:dyDescent="0.2">
      <c r="F3670"/>
    </row>
    <row r="3671" spans="6:6" ht="15" customHeight="1" x14ac:dyDescent="0.2">
      <c r="F3671"/>
    </row>
    <row r="3672" spans="6:6" ht="15" customHeight="1" x14ac:dyDescent="0.2">
      <c r="F3672"/>
    </row>
    <row r="3673" spans="6:6" ht="15" customHeight="1" x14ac:dyDescent="0.2">
      <c r="F3673"/>
    </row>
    <row r="3674" spans="6:6" ht="15" customHeight="1" x14ac:dyDescent="0.2">
      <c r="F3674"/>
    </row>
    <row r="3675" spans="6:6" ht="15" customHeight="1" x14ac:dyDescent="0.2">
      <c r="F3675"/>
    </row>
    <row r="3676" spans="6:6" ht="15" customHeight="1" x14ac:dyDescent="0.2">
      <c r="F3676"/>
    </row>
    <row r="3677" spans="6:6" ht="15" customHeight="1" x14ac:dyDescent="0.2">
      <c r="F3677"/>
    </row>
    <row r="3678" spans="6:6" ht="15" customHeight="1" x14ac:dyDescent="0.2">
      <c r="F3678"/>
    </row>
    <row r="3679" spans="6:6" ht="15" customHeight="1" x14ac:dyDescent="0.2">
      <c r="F3679"/>
    </row>
    <row r="3680" spans="6:6" ht="15" customHeight="1" x14ac:dyDescent="0.2">
      <c r="F3680"/>
    </row>
    <row r="3681" spans="6:6" ht="15" customHeight="1" x14ac:dyDescent="0.2">
      <c r="F3681"/>
    </row>
    <row r="3682" spans="6:6" ht="15" customHeight="1" x14ac:dyDescent="0.2">
      <c r="F3682"/>
    </row>
    <row r="3683" spans="6:6" ht="15" customHeight="1" x14ac:dyDescent="0.2">
      <c r="F3683"/>
    </row>
    <row r="3684" spans="6:6" ht="15" customHeight="1" x14ac:dyDescent="0.2">
      <c r="F3684"/>
    </row>
    <row r="3685" spans="6:6" ht="15" customHeight="1" x14ac:dyDescent="0.2">
      <c r="F3685"/>
    </row>
    <row r="3686" spans="6:6" ht="15" customHeight="1" x14ac:dyDescent="0.2">
      <c r="F3686"/>
    </row>
    <row r="3687" spans="6:6" ht="15" customHeight="1" x14ac:dyDescent="0.2">
      <c r="F3687"/>
    </row>
    <row r="3688" spans="6:6" ht="15" customHeight="1" x14ac:dyDescent="0.2">
      <c r="F3688"/>
    </row>
    <row r="3689" spans="6:6" ht="15" customHeight="1" x14ac:dyDescent="0.2">
      <c r="F3689"/>
    </row>
    <row r="3690" spans="6:6" ht="15" customHeight="1" x14ac:dyDescent="0.2">
      <c r="F3690"/>
    </row>
    <row r="3691" spans="6:6" ht="15" customHeight="1" x14ac:dyDescent="0.2">
      <c r="F3691"/>
    </row>
    <row r="3692" spans="6:6" ht="15" customHeight="1" x14ac:dyDescent="0.2">
      <c r="F3692"/>
    </row>
    <row r="3693" spans="6:6" ht="15" customHeight="1" x14ac:dyDescent="0.2">
      <c r="F3693"/>
    </row>
    <row r="3694" spans="6:6" ht="15" customHeight="1" x14ac:dyDescent="0.2">
      <c r="F3694"/>
    </row>
    <row r="3695" spans="6:6" ht="15" customHeight="1" x14ac:dyDescent="0.2">
      <c r="F3695"/>
    </row>
    <row r="3696" spans="6:6" ht="15" customHeight="1" x14ac:dyDescent="0.2">
      <c r="F3696"/>
    </row>
    <row r="3697" spans="6:6" ht="15" customHeight="1" x14ac:dyDescent="0.2">
      <c r="F3697"/>
    </row>
    <row r="3698" spans="6:6" ht="15" customHeight="1" x14ac:dyDescent="0.2">
      <c r="F3698"/>
    </row>
    <row r="3699" spans="6:6" ht="15" customHeight="1" x14ac:dyDescent="0.2">
      <c r="F3699"/>
    </row>
    <row r="3700" spans="6:6" ht="15" customHeight="1" x14ac:dyDescent="0.2">
      <c r="F3700"/>
    </row>
    <row r="3701" spans="6:6" ht="15" customHeight="1" x14ac:dyDescent="0.2">
      <c r="F3701"/>
    </row>
    <row r="3702" spans="6:6" ht="15" customHeight="1" x14ac:dyDescent="0.2">
      <c r="F3702"/>
    </row>
    <row r="3703" spans="6:6" ht="15" customHeight="1" x14ac:dyDescent="0.2">
      <c r="F3703"/>
    </row>
    <row r="3704" spans="6:6" ht="15" customHeight="1" x14ac:dyDescent="0.2">
      <c r="F3704"/>
    </row>
    <row r="3705" spans="6:6" ht="15" customHeight="1" x14ac:dyDescent="0.2">
      <c r="F3705"/>
    </row>
    <row r="3706" spans="6:6" ht="15" customHeight="1" x14ac:dyDescent="0.2">
      <c r="F3706"/>
    </row>
    <row r="3707" spans="6:6" ht="15" customHeight="1" x14ac:dyDescent="0.2">
      <c r="F3707"/>
    </row>
    <row r="3708" spans="6:6" ht="15" customHeight="1" x14ac:dyDescent="0.2">
      <c r="F3708"/>
    </row>
    <row r="3709" spans="6:6" ht="15" customHeight="1" x14ac:dyDescent="0.2">
      <c r="F3709"/>
    </row>
    <row r="3710" spans="6:6" ht="15" customHeight="1" x14ac:dyDescent="0.2">
      <c r="F3710"/>
    </row>
    <row r="3711" spans="6:6" ht="15" customHeight="1" x14ac:dyDescent="0.2">
      <c r="F3711"/>
    </row>
    <row r="3712" spans="6:6" ht="15" customHeight="1" x14ac:dyDescent="0.2">
      <c r="F3712"/>
    </row>
    <row r="3713" spans="6:6" ht="15" customHeight="1" x14ac:dyDescent="0.2">
      <c r="F3713"/>
    </row>
    <row r="3714" spans="6:6" ht="15" customHeight="1" x14ac:dyDescent="0.2">
      <c r="F3714"/>
    </row>
    <row r="3715" spans="6:6" ht="15" customHeight="1" x14ac:dyDescent="0.2">
      <c r="F3715"/>
    </row>
    <row r="3716" spans="6:6" ht="15" customHeight="1" x14ac:dyDescent="0.2">
      <c r="F3716"/>
    </row>
    <row r="3717" spans="6:6" ht="15" customHeight="1" x14ac:dyDescent="0.2">
      <c r="F3717"/>
    </row>
    <row r="3718" spans="6:6" ht="15" customHeight="1" x14ac:dyDescent="0.2">
      <c r="F3718"/>
    </row>
    <row r="3719" spans="6:6" ht="15" customHeight="1" x14ac:dyDescent="0.2">
      <c r="F3719"/>
    </row>
    <row r="3720" spans="6:6" ht="15" customHeight="1" x14ac:dyDescent="0.2">
      <c r="F3720"/>
    </row>
    <row r="3721" spans="6:6" ht="15" customHeight="1" x14ac:dyDescent="0.2">
      <c r="F3721"/>
    </row>
    <row r="3722" spans="6:6" ht="15" customHeight="1" x14ac:dyDescent="0.2">
      <c r="F3722"/>
    </row>
    <row r="3723" spans="6:6" ht="15" customHeight="1" x14ac:dyDescent="0.2">
      <c r="F3723"/>
    </row>
    <row r="3724" spans="6:6" ht="15" customHeight="1" x14ac:dyDescent="0.2">
      <c r="F3724"/>
    </row>
    <row r="3725" spans="6:6" ht="15" customHeight="1" x14ac:dyDescent="0.2">
      <c r="F3725"/>
    </row>
    <row r="3726" spans="6:6" ht="15" customHeight="1" x14ac:dyDescent="0.2">
      <c r="F3726"/>
    </row>
    <row r="3727" spans="6:6" ht="15" customHeight="1" x14ac:dyDescent="0.2">
      <c r="F3727"/>
    </row>
    <row r="3728" spans="6:6" ht="15" customHeight="1" x14ac:dyDescent="0.2">
      <c r="F3728"/>
    </row>
    <row r="3729" spans="6:6" ht="15" customHeight="1" x14ac:dyDescent="0.2">
      <c r="F3729"/>
    </row>
    <row r="3730" spans="6:6" ht="15" customHeight="1" x14ac:dyDescent="0.2">
      <c r="F3730"/>
    </row>
    <row r="3731" spans="6:6" ht="15" customHeight="1" x14ac:dyDescent="0.2">
      <c r="F3731"/>
    </row>
    <row r="3732" spans="6:6" ht="15" customHeight="1" x14ac:dyDescent="0.2">
      <c r="F3732"/>
    </row>
    <row r="3733" spans="6:6" ht="15" customHeight="1" x14ac:dyDescent="0.2">
      <c r="F3733"/>
    </row>
    <row r="3734" spans="6:6" ht="15" customHeight="1" x14ac:dyDescent="0.2">
      <c r="F3734"/>
    </row>
    <row r="3735" spans="6:6" ht="15" customHeight="1" x14ac:dyDescent="0.2">
      <c r="F3735"/>
    </row>
    <row r="3736" spans="6:6" ht="15" customHeight="1" x14ac:dyDescent="0.2">
      <c r="F3736"/>
    </row>
    <row r="3737" spans="6:6" ht="15" customHeight="1" x14ac:dyDescent="0.2">
      <c r="F3737"/>
    </row>
    <row r="3738" spans="6:6" ht="15" customHeight="1" x14ac:dyDescent="0.2">
      <c r="F3738"/>
    </row>
    <row r="3739" spans="6:6" ht="15" customHeight="1" x14ac:dyDescent="0.2">
      <c r="F3739"/>
    </row>
    <row r="3740" spans="6:6" ht="15" customHeight="1" x14ac:dyDescent="0.2">
      <c r="F3740"/>
    </row>
    <row r="3741" spans="6:6" ht="15" customHeight="1" x14ac:dyDescent="0.2">
      <c r="F3741"/>
    </row>
    <row r="3742" spans="6:6" ht="15" customHeight="1" x14ac:dyDescent="0.2">
      <c r="F3742"/>
    </row>
    <row r="3743" spans="6:6" ht="15" customHeight="1" x14ac:dyDescent="0.2">
      <c r="F3743"/>
    </row>
    <row r="3744" spans="6:6" ht="15" customHeight="1" x14ac:dyDescent="0.2">
      <c r="F3744"/>
    </row>
    <row r="3745" spans="6:6" ht="15" customHeight="1" x14ac:dyDescent="0.2">
      <c r="F3745"/>
    </row>
    <row r="3746" spans="6:6" ht="15" customHeight="1" x14ac:dyDescent="0.2">
      <c r="F3746"/>
    </row>
    <row r="3747" spans="6:6" ht="15" customHeight="1" x14ac:dyDescent="0.2">
      <c r="F3747"/>
    </row>
    <row r="3748" spans="6:6" ht="15" customHeight="1" x14ac:dyDescent="0.2">
      <c r="F3748"/>
    </row>
    <row r="3749" spans="6:6" ht="15" customHeight="1" x14ac:dyDescent="0.2">
      <c r="F3749"/>
    </row>
    <row r="3750" spans="6:6" ht="15" customHeight="1" x14ac:dyDescent="0.2">
      <c r="F3750"/>
    </row>
    <row r="3751" spans="6:6" ht="15" customHeight="1" x14ac:dyDescent="0.2">
      <c r="F3751"/>
    </row>
    <row r="3752" spans="6:6" ht="15" customHeight="1" x14ac:dyDescent="0.2">
      <c r="F3752"/>
    </row>
    <row r="3753" spans="6:6" ht="15" customHeight="1" x14ac:dyDescent="0.2">
      <c r="F3753"/>
    </row>
    <row r="3754" spans="6:6" ht="15" customHeight="1" x14ac:dyDescent="0.2">
      <c r="F3754"/>
    </row>
    <row r="3755" spans="6:6" ht="15" customHeight="1" x14ac:dyDescent="0.2">
      <c r="F3755"/>
    </row>
    <row r="3756" spans="6:6" ht="15" customHeight="1" x14ac:dyDescent="0.2">
      <c r="F3756"/>
    </row>
    <row r="3757" spans="6:6" ht="15" customHeight="1" x14ac:dyDescent="0.2">
      <c r="F3757"/>
    </row>
    <row r="3758" spans="6:6" ht="15" customHeight="1" x14ac:dyDescent="0.2">
      <c r="F3758"/>
    </row>
    <row r="3759" spans="6:6" ht="15" customHeight="1" x14ac:dyDescent="0.2">
      <c r="F3759"/>
    </row>
    <row r="3760" spans="6:6" ht="15" customHeight="1" x14ac:dyDescent="0.2">
      <c r="F3760"/>
    </row>
    <row r="3761" spans="6:6" ht="15" customHeight="1" x14ac:dyDescent="0.2">
      <c r="F3761"/>
    </row>
    <row r="3762" spans="6:6" ht="15" customHeight="1" x14ac:dyDescent="0.2">
      <c r="F3762"/>
    </row>
    <row r="3763" spans="6:6" ht="15" customHeight="1" x14ac:dyDescent="0.2">
      <c r="F3763"/>
    </row>
    <row r="3764" spans="6:6" ht="15" customHeight="1" x14ac:dyDescent="0.2">
      <c r="F3764"/>
    </row>
    <row r="3765" spans="6:6" ht="15" customHeight="1" x14ac:dyDescent="0.2">
      <c r="F3765"/>
    </row>
    <row r="3766" spans="6:6" ht="15" customHeight="1" x14ac:dyDescent="0.2">
      <c r="F3766"/>
    </row>
    <row r="3767" spans="6:6" ht="15" customHeight="1" x14ac:dyDescent="0.2">
      <c r="F3767"/>
    </row>
    <row r="3768" spans="6:6" ht="15" customHeight="1" x14ac:dyDescent="0.2">
      <c r="F3768"/>
    </row>
    <row r="3769" spans="6:6" ht="15" customHeight="1" x14ac:dyDescent="0.2">
      <c r="F3769"/>
    </row>
    <row r="3770" spans="6:6" ht="15" customHeight="1" x14ac:dyDescent="0.2">
      <c r="F3770"/>
    </row>
    <row r="3771" spans="6:6" ht="15" customHeight="1" x14ac:dyDescent="0.2">
      <c r="F3771"/>
    </row>
    <row r="3772" spans="6:6" ht="15" customHeight="1" x14ac:dyDescent="0.2">
      <c r="F3772"/>
    </row>
    <row r="3773" spans="6:6" ht="15" customHeight="1" x14ac:dyDescent="0.2">
      <c r="F3773"/>
    </row>
    <row r="3774" spans="6:6" ht="15" customHeight="1" x14ac:dyDescent="0.2">
      <c r="F3774"/>
    </row>
    <row r="3775" spans="6:6" ht="15" customHeight="1" x14ac:dyDescent="0.2">
      <c r="F3775"/>
    </row>
    <row r="3776" spans="6:6" ht="15" customHeight="1" x14ac:dyDescent="0.2">
      <c r="F3776"/>
    </row>
    <row r="3777" spans="6:6" ht="15" customHeight="1" x14ac:dyDescent="0.2">
      <c r="F3777"/>
    </row>
    <row r="3778" spans="6:6" ht="15" customHeight="1" x14ac:dyDescent="0.2">
      <c r="F3778"/>
    </row>
    <row r="3779" spans="6:6" ht="15" customHeight="1" x14ac:dyDescent="0.2">
      <c r="F3779"/>
    </row>
    <row r="3780" spans="6:6" ht="15" customHeight="1" x14ac:dyDescent="0.2">
      <c r="F3780"/>
    </row>
    <row r="3781" spans="6:6" ht="15" customHeight="1" x14ac:dyDescent="0.2">
      <c r="F3781"/>
    </row>
    <row r="3782" spans="6:6" ht="15" customHeight="1" x14ac:dyDescent="0.2">
      <c r="F3782"/>
    </row>
    <row r="3783" spans="6:6" ht="15" customHeight="1" x14ac:dyDescent="0.2">
      <c r="F3783"/>
    </row>
    <row r="3784" spans="6:6" ht="15" customHeight="1" x14ac:dyDescent="0.2">
      <c r="F3784"/>
    </row>
    <row r="3785" spans="6:6" ht="15" customHeight="1" x14ac:dyDescent="0.2">
      <c r="F3785"/>
    </row>
    <row r="3786" spans="6:6" ht="15" customHeight="1" x14ac:dyDescent="0.2">
      <c r="F3786"/>
    </row>
    <row r="3787" spans="6:6" ht="15" customHeight="1" x14ac:dyDescent="0.2">
      <c r="F3787"/>
    </row>
    <row r="3788" spans="6:6" ht="15" customHeight="1" x14ac:dyDescent="0.2">
      <c r="F3788"/>
    </row>
    <row r="3789" spans="6:6" ht="15" customHeight="1" x14ac:dyDescent="0.2">
      <c r="F3789"/>
    </row>
    <row r="3790" spans="6:6" ht="15" customHeight="1" x14ac:dyDescent="0.2">
      <c r="F3790"/>
    </row>
    <row r="3791" spans="6:6" ht="15" customHeight="1" x14ac:dyDescent="0.2">
      <c r="F3791"/>
    </row>
    <row r="3792" spans="6:6" ht="15" customHeight="1" x14ac:dyDescent="0.2">
      <c r="F3792"/>
    </row>
    <row r="3793" spans="6:6" ht="15" customHeight="1" x14ac:dyDescent="0.2">
      <c r="F3793"/>
    </row>
    <row r="3794" spans="6:6" ht="15" customHeight="1" x14ac:dyDescent="0.2">
      <c r="F3794"/>
    </row>
    <row r="3795" spans="6:6" ht="15" customHeight="1" x14ac:dyDescent="0.2">
      <c r="F3795"/>
    </row>
    <row r="3796" spans="6:6" ht="15" customHeight="1" x14ac:dyDescent="0.2">
      <c r="F3796"/>
    </row>
    <row r="3797" spans="6:6" ht="15" customHeight="1" x14ac:dyDescent="0.2">
      <c r="F3797"/>
    </row>
    <row r="3798" spans="6:6" ht="15" customHeight="1" x14ac:dyDescent="0.2">
      <c r="F3798"/>
    </row>
    <row r="3799" spans="6:6" ht="15" customHeight="1" x14ac:dyDescent="0.2">
      <c r="F3799"/>
    </row>
    <row r="3800" spans="6:6" ht="15" customHeight="1" x14ac:dyDescent="0.2">
      <c r="F3800"/>
    </row>
    <row r="3801" spans="6:6" ht="15" customHeight="1" x14ac:dyDescent="0.2">
      <c r="F3801"/>
    </row>
    <row r="3802" spans="6:6" ht="15" customHeight="1" x14ac:dyDescent="0.2">
      <c r="F3802"/>
    </row>
    <row r="3803" spans="6:6" ht="15" customHeight="1" x14ac:dyDescent="0.2">
      <c r="F3803"/>
    </row>
    <row r="3804" spans="6:6" ht="15" customHeight="1" x14ac:dyDescent="0.2">
      <c r="F3804"/>
    </row>
    <row r="3805" spans="6:6" ht="15" customHeight="1" x14ac:dyDescent="0.2">
      <c r="F3805"/>
    </row>
    <row r="3806" spans="6:6" ht="15" customHeight="1" x14ac:dyDescent="0.2">
      <c r="F3806"/>
    </row>
    <row r="3807" spans="6:6" ht="15" customHeight="1" x14ac:dyDescent="0.2">
      <c r="F3807"/>
    </row>
    <row r="3808" spans="6:6" ht="15" customHeight="1" x14ac:dyDescent="0.2">
      <c r="F3808"/>
    </row>
    <row r="3809" spans="6:6" ht="15" customHeight="1" x14ac:dyDescent="0.2">
      <c r="F3809"/>
    </row>
    <row r="3810" spans="6:6" ht="15" customHeight="1" x14ac:dyDescent="0.2">
      <c r="F3810"/>
    </row>
    <row r="3811" spans="6:6" ht="15" customHeight="1" x14ac:dyDescent="0.2">
      <c r="F3811"/>
    </row>
    <row r="3812" spans="6:6" ht="15" customHeight="1" x14ac:dyDescent="0.2">
      <c r="F3812"/>
    </row>
    <row r="3813" spans="6:6" ht="15" customHeight="1" x14ac:dyDescent="0.2">
      <c r="F3813"/>
    </row>
    <row r="3814" spans="6:6" ht="15" customHeight="1" x14ac:dyDescent="0.2">
      <c r="F3814"/>
    </row>
    <row r="3815" spans="6:6" ht="15" customHeight="1" x14ac:dyDescent="0.2">
      <c r="F3815"/>
    </row>
    <row r="3816" spans="6:6" ht="15" customHeight="1" x14ac:dyDescent="0.2">
      <c r="F3816"/>
    </row>
    <row r="3817" spans="6:6" ht="15" customHeight="1" x14ac:dyDescent="0.2">
      <c r="F3817"/>
    </row>
    <row r="3818" spans="6:6" ht="15" customHeight="1" x14ac:dyDescent="0.2">
      <c r="F3818"/>
    </row>
    <row r="3819" spans="6:6" ht="15" customHeight="1" x14ac:dyDescent="0.2">
      <c r="F3819"/>
    </row>
    <row r="3820" spans="6:6" ht="15" customHeight="1" x14ac:dyDescent="0.2">
      <c r="F3820"/>
    </row>
    <row r="3821" spans="6:6" ht="15" customHeight="1" x14ac:dyDescent="0.2">
      <c r="F3821"/>
    </row>
    <row r="3822" spans="6:6" ht="15" customHeight="1" x14ac:dyDescent="0.2">
      <c r="F3822"/>
    </row>
    <row r="3823" spans="6:6" ht="15" customHeight="1" x14ac:dyDescent="0.2">
      <c r="F3823"/>
    </row>
    <row r="3824" spans="6:6" ht="15" customHeight="1" x14ac:dyDescent="0.2">
      <c r="F3824"/>
    </row>
    <row r="3825" spans="6:6" ht="15" customHeight="1" x14ac:dyDescent="0.2">
      <c r="F3825"/>
    </row>
    <row r="3826" spans="6:6" ht="15" customHeight="1" x14ac:dyDescent="0.2">
      <c r="F3826"/>
    </row>
    <row r="3827" spans="6:6" ht="15" customHeight="1" x14ac:dyDescent="0.2">
      <c r="F3827"/>
    </row>
    <row r="3828" spans="6:6" ht="15" customHeight="1" x14ac:dyDescent="0.2">
      <c r="F3828"/>
    </row>
    <row r="3829" spans="6:6" ht="15" customHeight="1" x14ac:dyDescent="0.2">
      <c r="F3829"/>
    </row>
    <row r="3830" spans="6:6" ht="15" customHeight="1" x14ac:dyDescent="0.2">
      <c r="F3830"/>
    </row>
    <row r="3831" spans="6:6" ht="15" customHeight="1" x14ac:dyDescent="0.2">
      <c r="F3831"/>
    </row>
    <row r="3832" spans="6:6" ht="15" customHeight="1" x14ac:dyDescent="0.2">
      <c r="F3832"/>
    </row>
    <row r="3833" spans="6:6" ht="15" customHeight="1" x14ac:dyDescent="0.2">
      <c r="F3833"/>
    </row>
    <row r="3834" spans="6:6" ht="15" customHeight="1" x14ac:dyDescent="0.2">
      <c r="F3834"/>
    </row>
    <row r="3835" spans="6:6" ht="15" customHeight="1" x14ac:dyDescent="0.2">
      <c r="F3835"/>
    </row>
    <row r="3836" spans="6:6" ht="15" customHeight="1" x14ac:dyDescent="0.2">
      <c r="F3836"/>
    </row>
    <row r="3837" spans="6:6" ht="15" customHeight="1" x14ac:dyDescent="0.2">
      <c r="F3837"/>
    </row>
    <row r="3838" spans="6:6" ht="15" customHeight="1" x14ac:dyDescent="0.2">
      <c r="F3838"/>
    </row>
    <row r="3839" spans="6:6" ht="15" customHeight="1" x14ac:dyDescent="0.2">
      <c r="F3839"/>
    </row>
    <row r="3840" spans="6:6" ht="15" customHeight="1" x14ac:dyDescent="0.2">
      <c r="F3840"/>
    </row>
    <row r="3841" spans="6:6" ht="15" customHeight="1" x14ac:dyDescent="0.2">
      <c r="F3841"/>
    </row>
    <row r="3842" spans="6:6" ht="15" customHeight="1" x14ac:dyDescent="0.2">
      <c r="F3842"/>
    </row>
    <row r="3843" spans="6:6" ht="15" customHeight="1" x14ac:dyDescent="0.2">
      <c r="F3843"/>
    </row>
    <row r="3844" spans="6:6" ht="15" customHeight="1" x14ac:dyDescent="0.2">
      <c r="F3844"/>
    </row>
    <row r="3845" spans="6:6" ht="15" customHeight="1" x14ac:dyDescent="0.2">
      <c r="F3845"/>
    </row>
    <row r="3846" spans="6:6" ht="15" customHeight="1" x14ac:dyDescent="0.2">
      <c r="F3846"/>
    </row>
    <row r="3847" spans="6:6" ht="15" customHeight="1" x14ac:dyDescent="0.2">
      <c r="F3847"/>
    </row>
    <row r="3848" spans="6:6" ht="15" customHeight="1" x14ac:dyDescent="0.2">
      <c r="F3848"/>
    </row>
    <row r="3849" spans="6:6" ht="15" customHeight="1" x14ac:dyDescent="0.2">
      <c r="F3849"/>
    </row>
    <row r="3850" spans="6:6" ht="15" customHeight="1" x14ac:dyDescent="0.2">
      <c r="F3850"/>
    </row>
    <row r="3851" spans="6:6" ht="15" customHeight="1" x14ac:dyDescent="0.2">
      <c r="F3851"/>
    </row>
    <row r="3852" spans="6:6" ht="15" customHeight="1" x14ac:dyDescent="0.2">
      <c r="F3852"/>
    </row>
    <row r="3853" spans="6:6" ht="15" customHeight="1" x14ac:dyDescent="0.2">
      <c r="F3853"/>
    </row>
    <row r="3854" spans="6:6" ht="15" customHeight="1" x14ac:dyDescent="0.2">
      <c r="F3854"/>
    </row>
    <row r="3855" spans="6:6" ht="15" customHeight="1" x14ac:dyDescent="0.2">
      <c r="F3855"/>
    </row>
    <row r="3856" spans="6:6" ht="15" customHeight="1" x14ac:dyDescent="0.2">
      <c r="F3856"/>
    </row>
    <row r="3857" spans="6:6" ht="15" customHeight="1" x14ac:dyDescent="0.2">
      <c r="F3857"/>
    </row>
    <row r="3858" spans="6:6" ht="15" customHeight="1" x14ac:dyDescent="0.2">
      <c r="F3858"/>
    </row>
    <row r="3859" spans="6:6" ht="15" customHeight="1" x14ac:dyDescent="0.2">
      <c r="F3859"/>
    </row>
    <row r="3860" spans="6:6" ht="15" customHeight="1" x14ac:dyDescent="0.2">
      <c r="F3860"/>
    </row>
    <row r="3861" spans="6:6" ht="15" customHeight="1" x14ac:dyDescent="0.2">
      <c r="F3861"/>
    </row>
    <row r="3862" spans="6:6" ht="15" customHeight="1" x14ac:dyDescent="0.2">
      <c r="F3862"/>
    </row>
    <row r="3863" spans="6:6" ht="15" customHeight="1" x14ac:dyDescent="0.2">
      <c r="F3863"/>
    </row>
    <row r="3864" spans="6:6" ht="15" customHeight="1" x14ac:dyDescent="0.2">
      <c r="F3864"/>
    </row>
    <row r="3865" spans="6:6" ht="15" customHeight="1" x14ac:dyDescent="0.2">
      <c r="F3865"/>
    </row>
    <row r="3866" spans="6:6" ht="15" customHeight="1" x14ac:dyDescent="0.2">
      <c r="F3866"/>
    </row>
    <row r="3867" spans="6:6" ht="15" customHeight="1" x14ac:dyDescent="0.2">
      <c r="F3867"/>
    </row>
    <row r="3868" spans="6:6" ht="15" customHeight="1" x14ac:dyDescent="0.2">
      <c r="F3868"/>
    </row>
    <row r="3869" spans="6:6" ht="15" customHeight="1" x14ac:dyDescent="0.2">
      <c r="F3869"/>
    </row>
    <row r="3870" spans="6:6" ht="15" customHeight="1" x14ac:dyDescent="0.2">
      <c r="F3870"/>
    </row>
    <row r="3871" spans="6:6" ht="15" customHeight="1" x14ac:dyDescent="0.2">
      <c r="F3871"/>
    </row>
    <row r="3872" spans="6:6" ht="15" customHeight="1" x14ac:dyDescent="0.2">
      <c r="F3872"/>
    </row>
    <row r="3873" spans="6:6" ht="15" customHeight="1" x14ac:dyDescent="0.2">
      <c r="F3873"/>
    </row>
    <row r="3874" spans="6:6" ht="15" customHeight="1" x14ac:dyDescent="0.2">
      <c r="F3874"/>
    </row>
    <row r="3875" spans="6:6" ht="15" customHeight="1" x14ac:dyDescent="0.2">
      <c r="F3875"/>
    </row>
    <row r="3876" spans="6:6" ht="15" customHeight="1" x14ac:dyDescent="0.2">
      <c r="F3876"/>
    </row>
    <row r="3877" spans="6:6" ht="15" customHeight="1" x14ac:dyDescent="0.2">
      <c r="F3877"/>
    </row>
    <row r="3878" spans="6:6" ht="15" customHeight="1" x14ac:dyDescent="0.2">
      <c r="F3878"/>
    </row>
    <row r="3879" spans="6:6" ht="15" customHeight="1" x14ac:dyDescent="0.2">
      <c r="F3879"/>
    </row>
    <row r="3880" spans="6:6" ht="15" customHeight="1" x14ac:dyDescent="0.2">
      <c r="F3880"/>
    </row>
    <row r="3881" spans="6:6" ht="15" customHeight="1" x14ac:dyDescent="0.2">
      <c r="F3881"/>
    </row>
    <row r="3882" spans="6:6" ht="15" customHeight="1" x14ac:dyDescent="0.2">
      <c r="F3882"/>
    </row>
    <row r="3883" spans="6:6" ht="15" customHeight="1" x14ac:dyDescent="0.2">
      <c r="F3883"/>
    </row>
    <row r="3884" spans="6:6" ht="15" customHeight="1" x14ac:dyDescent="0.2">
      <c r="F3884"/>
    </row>
    <row r="3885" spans="6:6" ht="15" customHeight="1" x14ac:dyDescent="0.2">
      <c r="F3885"/>
    </row>
    <row r="3886" spans="6:6" ht="15" customHeight="1" x14ac:dyDescent="0.2">
      <c r="F3886"/>
    </row>
    <row r="3887" spans="6:6" ht="15" customHeight="1" x14ac:dyDescent="0.2">
      <c r="F3887"/>
    </row>
    <row r="3888" spans="6:6" ht="15" customHeight="1" x14ac:dyDescent="0.2">
      <c r="F3888"/>
    </row>
    <row r="3889" spans="6:6" ht="15" customHeight="1" x14ac:dyDescent="0.2">
      <c r="F3889"/>
    </row>
    <row r="3890" spans="6:6" ht="15" customHeight="1" x14ac:dyDescent="0.2">
      <c r="F3890"/>
    </row>
    <row r="3891" spans="6:6" ht="15" customHeight="1" x14ac:dyDescent="0.2">
      <c r="F3891"/>
    </row>
    <row r="3892" spans="6:6" ht="15" customHeight="1" x14ac:dyDescent="0.2">
      <c r="F3892"/>
    </row>
    <row r="3893" spans="6:6" ht="15" customHeight="1" x14ac:dyDescent="0.2">
      <c r="F3893"/>
    </row>
    <row r="3894" spans="6:6" ht="15" customHeight="1" x14ac:dyDescent="0.2">
      <c r="F3894"/>
    </row>
    <row r="3895" spans="6:6" ht="15" customHeight="1" x14ac:dyDescent="0.2">
      <c r="F3895"/>
    </row>
    <row r="3896" spans="6:6" ht="15" customHeight="1" x14ac:dyDescent="0.2">
      <c r="F3896"/>
    </row>
    <row r="3897" spans="6:6" ht="15" customHeight="1" x14ac:dyDescent="0.2">
      <c r="F3897"/>
    </row>
    <row r="3898" spans="6:6" ht="15" customHeight="1" x14ac:dyDescent="0.2">
      <c r="F3898"/>
    </row>
    <row r="3899" spans="6:6" ht="15" customHeight="1" x14ac:dyDescent="0.2">
      <c r="F3899"/>
    </row>
    <row r="3900" spans="6:6" ht="15" customHeight="1" x14ac:dyDescent="0.2">
      <c r="F3900"/>
    </row>
    <row r="3901" spans="6:6" ht="15" customHeight="1" x14ac:dyDescent="0.2">
      <c r="F3901"/>
    </row>
    <row r="3902" spans="6:6" ht="15" customHeight="1" x14ac:dyDescent="0.2">
      <c r="F3902"/>
    </row>
    <row r="3903" spans="6:6" ht="15" customHeight="1" x14ac:dyDescent="0.2">
      <c r="F3903"/>
    </row>
    <row r="3904" spans="6:6" ht="15" customHeight="1" x14ac:dyDescent="0.2">
      <c r="F3904"/>
    </row>
    <row r="3905" spans="6:6" ht="15" customHeight="1" x14ac:dyDescent="0.2">
      <c r="F3905"/>
    </row>
    <row r="3906" spans="6:6" ht="15" customHeight="1" x14ac:dyDescent="0.2">
      <c r="F3906"/>
    </row>
    <row r="3907" spans="6:6" ht="15" customHeight="1" x14ac:dyDescent="0.2">
      <c r="F3907"/>
    </row>
    <row r="3908" spans="6:6" ht="15" customHeight="1" x14ac:dyDescent="0.2">
      <c r="F3908"/>
    </row>
    <row r="3909" spans="6:6" ht="15" customHeight="1" x14ac:dyDescent="0.2">
      <c r="F3909"/>
    </row>
    <row r="3910" spans="6:6" ht="15" customHeight="1" x14ac:dyDescent="0.2">
      <c r="F3910"/>
    </row>
    <row r="3911" spans="6:6" ht="15" customHeight="1" x14ac:dyDescent="0.2">
      <c r="F3911"/>
    </row>
    <row r="3912" spans="6:6" ht="15" customHeight="1" x14ac:dyDescent="0.2">
      <c r="F3912"/>
    </row>
    <row r="3913" spans="6:6" ht="15" customHeight="1" x14ac:dyDescent="0.2">
      <c r="F3913"/>
    </row>
    <row r="3914" spans="6:6" ht="15" customHeight="1" x14ac:dyDescent="0.2">
      <c r="F3914"/>
    </row>
    <row r="3915" spans="6:6" ht="15" customHeight="1" x14ac:dyDescent="0.2">
      <c r="F3915"/>
    </row>
    <row r="3916" spans="6:6" ht="15" customHeight="1" x14ac:dyDescent="0.2">
      <c r="F3916"/>
    </row>
    <row r="3917" spans="6:6" ht="15" customHeight="1" x14ac:dyDescent="0.2">
      <c r="F3917"/>
    </row>
    <row r="3918" spans="6:6" ht="15" customHeight="1" x14ac:dyDescent="0.2">
      <c r="F3918"/>
    </row>
    <row r="3919" spans="6:6" ht="15" customHeight="1" x14ac:dyDescent="0.2">
      <c r="F3919"/>
    </row>
    <row r="3920" spans="6:6" ht="15" customHeight="1" x14ac:dyDescent="0.2">
      <c r="F3920"/>
    </row>
    <row r="3921" spans="6:6" ht="15" customHeight="1" x14ac:dyDescent="0.2">
      <c r="F3921"/>
    </row>
    <row r="3922" spans="6:6" ht="15" customHeight="1" x14ac:dyDescent="0.2">
      <c r="F3922"/>
    </row>
    <row r="3923" spans="6:6" ht="15" customHeight="1" x14ac:dyDescent="0.2">
      <c r="F3923"/>
    </row>
    <row r="3924" spans="6:6" ht="15" customHeight="1" x14ac:dyDescent="0.2">
      <c r="F3924"/>
    </row>
    <row r="3925" spans="6:6" ht="15" customHeight="1" x14ac:dyDescent="0.2">
      <c r="F3925"/>
    </row>
    <row r="3926" spans="6:6" ht="15" customHeight="1" x14ac:dyDescent="0.2">
      <c r="F3926"/>
    </row>
    <row r="3927" spans="6:6" ht="15" customHeight="1" x14ac:dyDescent="0.2">
      <c r="F3927"/>
    </row>
    <row r="3928" spans="6:6" ht="15" customHeight="1" x14ac:dyDescent="0.2">
      <c r="F3928"/>
    </row>
    <row r="3929" spans="6:6" ht="15" customHeight="1" x14ac:dyDescent="0.2">
      <c r="F3929"/>
    </row>
    <row r="3930" spans="6:6" ht="15" customHeight="1" x14ac:dyDescent="0.2">
      <c r="F3930"/>
    </row>
    <row r="3931" spans="6:6" ht="15" customHeight="1" x14ac:dyDescent="0.2">
      <c r="F3931"/>
    </row>
    <row r="3932" spans="6:6" ht="15" customHeight="1" x14ac:dyDescent="0.2">
      <c r="F3932"/>
    </row>
    <row r="3933" spans="6:6" ht="15" customHeight="1" x14ac:dyDescent="0.2">
      <c r="F3933"/>
    </row>
    <row r="3934" spans="6:6" ht="15" customHeight="1" x14ac:dyDescent="0.2">
      <c r="F3934"/>
    </row>
    <row r="3935" spans="6:6" ht="15" customHeight="1" x14ac:dyDescent="0.2">
      <c r="F3935"/>
    </row>
    <row r="3936" spans="6:6" ht="15" customHeight="1" x14ac:dyDescent="0.2">
      <c r="F3936"/>
    </row>
    <row r="3937" spans="6:6" ht="15" customHeight="1" x14ac:dyDescent="0.2">
      <c r="F3937"/>
    </row>
    <row r="3938" spans="6:6" ht="15" customHeight="1" x14ac:dyDescent="0.2">
      <c r="F3938"/>
    </row>
    <row r="3939" spans="6:6" ht="15" customHeight="1" x14ac:dyDescent="0.2">
      <c r="F3939"/>
    </row>
    <row r="3940" spans="6:6" ht="15" customHeight="1" x14ac:dyDescent="0.2">
      <c r="F3940"/>
    </row>
    <row r="3941" spans="6:6" ht="15" customHeight="1" x14ac:dyDescent="0.2">
      <c r="F3941"/>
    </row>
    <row r="3942" spans="6:6" ht="15" customHeight="1" x14ac:dyDescent="0.2">
      <c r="F3942"/>
    </row>
    <row r="3943" spans="6:6" ht="15" customHeight="1" x14ac:dyDescent="0.2">
      <c r="F3943"/>
    </row>
    <row r="3944" spans="6:6" ht="15" customHeight="1" x14ac:dyDescent="0.2">
      <c r="F3944"/>
    </row>
    <row r="3945" spans="6:6" ht="15" customHeight="1" x14ac:dyDescent="0.2">
      <c r="F3945"/>
    </row>
    <row r="3946" spans="6:6" ht="15" customHeight="1" x14ac:dyDescent="0.2">
      <c r="F3946"/>
    </row>
    <row r="3947" spans="6:6" ht="15" customHeight="1" x14ac:dyDescent="0.2">
      <c r="F3947"/>
    </row>
    <row r="3948" spans="6:6" ht="15" customHeight="1" x14ac:dyDescent="0.2">
      <c r="F3948"/>
    </row>
    <row r="3949" spans="6:6" ht="15" customHeight="1" x14ac:dyDescent="0.2">
      <c r="F3949"/>
    </row>
    <row r="3950" spans="6:6" ht="15" customHeight="1" x14ac:dyDescent="0.2">
      <c r="F3950"/>
    </row>
    <row r="3951" spans="6:6" ht="15" customHeight="1" x14ac:dyDescent="0.2">
      <c r="F3951"/>
    </row>
    <row r="3952" spans="6:6" ht="15" customHeight="1" x14ac:dyDescent="0.2">
      <c r="F3952"/>
    </row>
    <row r="3953" spans="6:6" ht="15" customHeight="1" x14ac:dyDescent="0.2">
      <c r="F3953"/>
    </row>
    <row r="3954" spans="6:6" ht="15" customHeight="1" x14ac:dyDescent="0.2">
      <c r="F3954"/>
    </row>
    <row r="3955" spans="6:6" ht="15" customHeight="1" x14ac:dyDescent="0.2">
      <c r="F3955"/>
    </row>
    <row r="3956" spans="6:6" ht="15" customHeight="1" x14ac:dyDescent="0.2">
      <c r="F3956"/>
    </row>
    <row r="3957" spans="6:6" ht="15" customHeight="1" x14ac:dyDescent="0.2">
      <c r="F3957"/>
    </row>
    <row r="3958" spans="6:6" ht="15" customHeight="1" x14ac:dyDescent="0.2">
      <c r="F3958"/>
    </row>
    <row r="3959" spans="6:6" ht="15" customHeight="1" x14ac:dyDescent="0.2">
      <c r="F3959"/>
    </row>
    <row r="3960" spans="6:6" ht="15" customHeight="1" x14ac:dyDescent="0.2">
      <c r="F3960"/>
    </row>
    <row r="3961" spans="6:6" ht="15" customHeight="1" x14ac:dyDescent="0.2">
      <c r="F3961"/>
    </row>
    <row r="3962" spans="6:6" ht="15" customHeight="1" x14ac:dyDescent="0.2">
      <c r="F3962"/>
    </row>
    <row r="3963" spans="6:6" ht="15" customHeight="1" x14ac:dyDescent="0.2">
      <c r="F3963"/>
    </row>
    <row r="3964" spans="6:6" ht="15" customHeight="1" x14ac:dyDescent="0.2">
      <c r="F3964"/>
    </row>
    <row r="3965" spans="6:6" ht="15" customHeight="1" x14ac:dyDescent="0.2">
      <c r="F3965"/>
    </row>
    <row r="3966" spans="6:6" ht="15" customHeight="1" x14ac:dyDescent="0.2">
      <c r="F3966"/>
    </row>
    <row r="3967" spans="6:6" ht="15" customHeight="1" x14ac:dyDescent="0.2">
      <c r="F3967"/>
    </row>
    <row r="3968" spans="6:6" ht="15" customHeight="1" x14ac:dyDescent="0.2">
      <c r="F3968"/>
    </row>
    <row r="3969" spans="6:6" ht="15" customHeight="1" x14ac:dyDescent="0.2">
      <c r="F3969"/>
    </row>
    <row r="3970" spans="6:6" ht="15" customHeight="1" x14ac:dyDescent="0.2">
      <c r="F3970"/>
    </row>
    <row r="3971" spans="6:6" ht="15" customHeight="1" x14ac:dyDescent="0.2">
      <c r="F3971"/>
    </row>
    <row r="3972" spans="6:6" ht="15" customHeight="1" x14ac:dyDescent="0.2">
      <c r="F3972"/>
    </row>
    <row r="3973" spans="6:6" ht="15" customHeight="1" x14ac:dyDescent="0.2">
      <c r="F3973"/>
    </row>
    <row r="3974" spans="6:6" ht="15" customHeight="1" x14ac:dyDescent="0.2">
      <c r="F3974"/>
    </row>
    <row r="3975" spans="6:6" ht="15" customHeight="1" x14ac:dyDescent="0.2">
      <c r="F3975"/>
    </row>
    <row r="3976" spans="6:6" ht="15" customHeight="1" x14ac:dyDescent="0.2">
      <c r="F3976"/>
    </row>
    <row r="3977" spans="6:6" ht="15" customHeight="1" x14ac:dyDescent="0.2">
      <c r="F3977"/>
    </row>
    <row r="3978" spans="6:6" ht="15" customHeight="1" x14ac:dyDescent="0.2">
      <c r="F3978"/>
    </row>
    <row r="3979" spans="6:6" ht="15" customHeight="1" x14ac:dyDescent="0.2">
      <c r="F3979"/>
    </row>
    <row r="3980" spans="6:6" ht="15" customHeight="1" x14ac:dyDescent="0.2">
      <c r="F3980"/>
    </row>
    <row r="3981" spans="6:6" ht="15" customHeight="1" x14ac:dyDescent="0.2">
      <c r="F3981"/>
    </row>
    <row r="3982" spans="6:6" ht="15" customHeight="1" x14ac:dyDescent="0.2">
      <c r="F3982"/>
    </row>
    <row r="3983" spans="6:6" ht="15" customHeight="1" x14ac:dyDescent="0.2">
      <c r="F3983"/>
    </row>
    <row r="3984" spans="6:6" ht="15" customHeight="1" x14ac:dyDescent="0.2">
      <c r="F3984"/>
    </row>
    <row r="3985" spans="6:6" ht="15" customHeight="1" x14ac:dyDescent="0.2">
      <c r="F3985"/>
    </row>
    <row r="3986" spans="6:6" ht="15" customHeight="1" x14ac:dyDescent="0.2">
      <c r="F3986"/>
    </row>
    <row r="3987" spans="6:6" ht="15" customHeight="1" x14ac:dyDescent="0.2">
      <c r="F3987"/>
    </row>
    <row r="3988" spans="6:6" ht="15" customHeight="1" x14ac:dyDescent="0.2">
      <c r="F3988"/>
    </row>
    <row r="3989" spans="6:6" ht="15" customHeight="1" x14ac:dyDescent="0.2">
      <c r="F3989"/>
    </row>
    <row r="3990" spans="6:6" ht="15" customHeight="1" x14ac:dyDescent="0.2">
      <c r="F3990"/>
    </row>
    <row r="3991" spans="6:6" ht="15" customHeight="1" x14ac:dyDescent="0.2">
      <c r="F3991"/>
    </row>
    <row r="3992" spans="6:6" ht="15" customHeight="1" x14ac:dyDescent="0.2">
      <c r="F3992"/>
    </row>
    <row r="3993" spans="6:6" ht="15" customHeight="1" x14ac:dyDescent="0.2">
      <c r="F3993"/>
    </row>
    <row r="3994" spans="6:6" ht="15" customHeight="1" x14ac:dyDescent="0.2">
      <c r="F3994"/>
    </row>
    <row r="3995" spans="6:6" ht="15" customHeight="1" x14ac:dyDescent="0.2">
      <c r="F3995"/>
    </row>
    <row r="3996" spans="6:6" ht="15" customHeight="1" x14ac:dyDescent="0.2">
      <c r="F3996"/>
    </row>
    <row r="3997" spans="6:6" ht="15" customHeight="1" x14ac:dyDescent="0.2">
      <c r="F3997"/>
    </row>
    <row r="3998" spans="6:6" ht="15" customHeight="1" x14ac:dyDescent="0.2">
      <c r="F3998"/>
    </row>
    <row r="3999" spans="6:6" ht="15" customHeight="1" x14ac:dyDescent="0.2">
      <c r="F3999"/>
    </row>
    <row r="4000" spans="6:6" ht="15" customHeight="1" x14ac:dyDescent="0.2">
      <c r="F4000"/>
    </row>
    <row r="4001" spans="6:6" ht="15" customHeight="1" x14ac:dyDescent="0.2">
      <c r="F4001"/>
    </row>
    <row r="4002" spans="6:6" ht="15" customHeight="1" x14ac:dyDescent="0.2">
      <c r="F4002"/>
    </row>
    <row r="4003" spans="6:6" ht="15" customHeight="1" x14ac:dyDescent="0.2">
      <c r="F4003"/>
    </row>
    <row r="4004" spans="6:6" ht="15" customHeight="1" x14ac:dyDescent="0.2">
      <c r="F4004"/>
    </row>
    <row r="4005" spans="6:6" ht="15" customHeight="1" x14ac:dyDescent="0.2">
      <c r="F4005"/>
    </row>
    <row r="4006" spans="6:6" ht="15" customHeight="1" x14ac:dyDescent="0.2">
      <c r="F4006"/>
    </row>
    <row r="4007" spans="6:6" ht="15" customHeight="1" x14ac:dyDescent="0.2">
      <c r="F4007"/>
    </row>
    <row r="4008" spans="6:6" ht="15" customHeight="1" x14ac:dyDescent="0.2">
      <c r="F4008"/>
    </row>
    <row r="4009" spans="6:6" ht="15" customHeight="1" x14ac:dyDescent="0.2">
      <c r="F4009"/>
    </row>
    <row r="4010" spans="6:6" ht="15" customHeight="1" x14ac:dyDescent="0.2">
      <c r="F4010"/>
    </row>
    <row r="4011" spans="6:6" ht="15" customHeight="1" x14ac:dyDescent="0.2">
      <c r="F4011"/>
    </row>
    <row r="4012" spans="6:6" ht="15" customHeight="1" x14ac:dyDescent="0.2">
      <c r="F4012"/>
    </row>
    <row r="4013" spans="6:6" ht="15" customHeight="1" x14ac:dyDescent="0.2">
      <c r="F4013"/>
    </row>
    <row r="4014" spans="6:6" ht="15" customHeight="1" x14ac:dyDescent="0.2">
      <c r="F4014"/>
    </row>
    <row r="4015" spans="6:6" ht="15" customHeight="1" x14ac:dyDescent="0.2">
      <c r="F4015"/>
    </row>
    <row r="4016" spans="6:6" ht="15" customHeight="1" x14ac:dyDescent="0.2">
      <c r="F4016"/>
    </row>
    <row r="4017" spans="6:6" ht="15" customHeight="1" x14ac:dyDescent="0.2">
      <c r="F4017"/>
    </row>
    <row r="4018" spans="6:6" ht="15" customHeight="1" x14ac:dyDescent="0.2">
      <c r="F4018"/>
    </row>
    <row r="4019" spans="6:6" ht="15" customHeight="1" x14ac:dyDescent="0.2">
      <c r="F4019"/>
    </row>
    <row r="4020" spans="6:6" ht="15" customHeight="1" x14ac:dyDescent="0.2">
      <c r="F4020"/>
    </row>
    <row r="4021" spans="6:6" ht="15" customHeight="1" x14ac:dyDescent="0.2">
      <c r="F4021"/>
    </row>
    <row r="4022" spans="6:6" ht="15" customHeight="1" x14ac:dyDescent="0.2">
      <c r="F4022"/>
    </row>
    <row r="4023" spans="6:6" ht="15" customHeight="1" x14ac:dyDescent="0.2">
      <c r="F4023"/>
    </row>
    <row r="4024" spans="6:6" ht="15" customHeight="1" x14ac:dyDescent="0.2">
      <c r="F4024"/>
    </row>
    <row r="4025" spans="6:6" ht="15" customHeight="1" x14ac:dyDescent="0.2">
      <c r="F4025"/>
    </row>
    <row r="4026" spans="6:6" ht="15" customHeight="1" x14ac:dyDescent="0.2">
      <c r="F4026"/>
    </row>
    <row r="4027" spans="6:6" ht="15" customHeight="1" x14ac:dyDescent="0.2">
      <c r="F4027"/>
    </row>
    <row r="4028" spans="6:6" ht="15" customHeight="1" x14ac:dyDescent="0.2">
      <c r="F4028"/>
    </row>
    <row r="4029" spans="6:6" ht="15" customHeight="1" x14ac:dyDescent="0.2">
      <c r="F4029"/>
    </row>
    <row r="4030" spans="6:6" ht="15" customHeight="1" x14ac:dyDescent="0.2">
      <c r="F4030"/>
    </row>
    <row r="4031" spans="6:6" ht="15" customHeight="1" x14ac:dyDescent="0.2">
      <c r="F4031"/>
    </row>
    <row r="4032" spans="6:6" ht="15" customHeight="1" x14ac:dyDescent="0.2">
      <c r="F4032"/>
    </row>
    <row r="4033" spans="6:6" ht="15" customHeight="1" x14ac:dyDescent="0.2">
      <c r="F4033"/>
    </row>
    <row r="4034" spans="6:6" ht="15" customHeight="1" x14ac:dyDescent="0.2">
      <c r="F4034"/>
    </row>
    <row r="4035" spans="6:6" ht="15" customHeight="1" x14ac:dyDescent="0.2">
      <c r="F4035"/>
    </row>
    <row r="4036" spans="6:6" ht="15" customHeight="1" x14ac:dyDescent="0.2">
      <c r="F4036"/>
    </row>
    <row r="4037" spans="6:6" ht="15" customHeight="1" x14ac:dyDescent="0.2">
      <c r="F4037"/>
    </row>
    <row r="4038" spans="6:6" ht="15" customHeight="1" x14ac:dyDescent="0.2">
      <c r="F4038"/>
    </row>
    <row r="4039" spans="6:6" ht="15" customHeight="1" x14ac:dyDescent="0.2">
      <c r="F4039"/>
    </row>
    <row r="4040" spans="6:6" ht="15" customHeight="1" x14ac:dyDescent="0.2">
      <c r="F4040"/>
    </row>
    <row r="4041" spans="6:6" ht="15" customHeight="1" x14ac:dyDescent="0.2">
      <c r="F4041"/>
    </row>
    <row r="4042" spans="6:6" ht="15" customHeight="1" x14ac:dyDescent="0.2">
      <c r="F4042"/>
    </row>
    <row r="4043" spans="6:6" ht="15" customHeight="1" x14ac:dyDescent="0.2">
      <c r="F4043"/>
    </row>
    <row r="4044" spans="6:6" ht="15" customHeight="1" x14ac:dyDescent="0.2">
      <c r="F4044"/>
    </row>
    <row r="4045" spans="6:6" ht="15" customHeight="1" x14ac:dyDescent="0.2">
      <c r="F4045"/>
    </row>
    <row r="4046" spans="6:6" ht="15" customHeight="1" x14ac:dyDescent="0.2">
      <c r="F4046"/>
    </row>
    <row r="4047" spans="6:6" ht="15" customHeight="1" x14ac:dyDescent="0.2">
      <c r="F4047"/>
    </row>
    <row r="4048" spans="6:6" ht="15" customHeight="1" x14ac:dyDescent="0.2">
      <c r="F4048"/>
    </row>
    <row r="4049" spans="6:6" ht="15" customHeight="1" x14ac:dyDescent="0.2">
      <c r="F4049"/>
    </row>
    <row r="4050" spans="6:6" ht="15" customHeight="1" x14ac:dyDescent="0.2">
      <c r="F4050"/>
    </row>
    <row r="4051" spans="6:6" ht="15" customHeight="1" x14ac:dyDescent="0.2">
      <c r="F4051"/>
    </row>
    <row r="4052" spans="6:6" ht="15" customHeight="1" x14ac:dyDescent="0.2">
      <c r="F4052"/>
    </row>
    <row r="4053" spans="6:6" ht="15" customHeight="1" x14ac:dyDescent="0.2">
      <c r="F4053"/>
    </row>
    <row r="4054" spans="6:6" ht="15" customHeight="1" x14ac:dyDescent="0.2">
      <c r="F4054"/>
    </row>
    <row r="4055" spans="6:6" ht="15" customHeight="1" x14ac:dyDescent="0.2">
      <c r="F4055"/>
    </row>
    <row r="4056" spans="6:6" ht="15" customHeight="1" x14ac:dyDescent="0.2">
      <c r="F4056"/>
    </row>
    <row r="4057" spans="6:6" ht="15" customHeight="1" x14ac:dyDescent="0.2">
      <c r="F4057"/>
    </row>
    <row r="4058" spans="6:6" ht="15" customHeight="1" x14ac:dyDescent="0.2">
      <c r="F4058"/>
    </row>
    <row r="4059" spans="6:6" ht="15" customHeight="1" x14ac:dyDescent="0.2">
      <c r="F4059"/>
    </row>
    <row r="4060" spans="6:6" ht="15" customHeight="1" x14ac:dyDescent="0.2">
      <c r="F4060"/>
    </row>
    <row r="4061" spans="6:6" ht="15" customHeight="1" x14ac:dyDescent="0.2">
      <c r="F4061"/>
    </row>
    <row r="4062" spans="6:6" ht="15" customHeight="1" x14ac:dyDescent="0.2">
      <c r="F4062"/>
    </row>
    <row r="4063" spans="6:6" ht="15" customHeight="1" x14ac:dyDescent="0.2">
      <c r="F4063"/>
    </row>
    <row r="4064" spans="6:6" ht="15" customHeight="1" x14ac:dyDescent="0.2">
      <c r="F4064"/>
    </row>
    <row r="4065" spans="6:6" ht="15" customHeight="1" x14ac:dyDescent="0.2">
      <c r="F4065"/>
    </row>
    <row r="4066" spans="6:6" ht="15" customHeight="1" x14ac:dyDescent="0.2">
      <c r="F4066"/>
    </row>
    <row r="4067" spans="6:6" ht="15" customHeight="1" x14ac:dyDescent="0.2">
      <c r="F4067"/>
    </row>
    <row r="4068" spans="6:6" ht="15" customHeight="1" x14ac:dyDescent="0.2">
      <c r="F4068"/>
    </row>
    <row r="4069" spans="6:6" ht="15" customHeight="1" x14ac:dyDescent="0.2">
      <c r="F4069"/>
    </row>
    <row r="4070" spans="6:6" ht="15" customHeight="1" x14ac:dyDescent="0.2">
      <c r="F4070"/>
    </row>
    <row r="4071" spans="6:6" ht="15" customHeight="1" x14ac:dyDescent="0.2">
      <c r="F4071"/>
    </row>
    <row r="4072" spans="6:6" ht="15" customHeight="1" x14ac:dyDescent="0.2">
      <c r="F4072"/>
    </row>
    <row r="4073" spans="6:6" ht="15" customHeight="1" x14ac:dyDescent="0.2">
      <c r="F4073"/>
    </row>
    <row r="4074" spans="6:6" ht="15" customHeight="1" x14ac:dyDescent="0.2">
      <c r="F4074"/>
    </row>
    <row r="4075" spans="6:6" ht="15" customHeight="1" x14ac:dyDescent="0.2">
      <c r="F4075"/>
    </row>
    <row r="4076" spans="6:6" ht="15" customHeight="1" x14ac:dyDescent="0.2">
      <c r="F4076"/>
    </row>
    <row r="4077" spans="6:6" ht="15" customHeight="1" x14ac:dyDescent="0.2">
      <c r="F4077"/>
    </row>
    <row r="4078" spans="6:6" ht="15" customHeight="1" x14ac:dyDescent="0.2">
      <c r="F4078"/>
    </row>
    <row r="4079" spans="6:6" ht="15" customHeight="1" x14ac:dyDescent="0.2">
      <c r="F4079"/>
    </row>
    <row r="4080" spans="6:6" ht="15" customHeight="1" x14ac:dyDescent="0.2">
      <c r="F4080"/>
    </row>
    <row r="4081" spans="6:6" ht="15" customHeight="1" x14ac:dyDescent="0.2">
      <c r="F4081"/>
    </row>
    <row r="4082" spans="6:6" ht="15" customHeight="1" x14ac:dyDescent="0.2">
      <c r="F4082"/>
    </row>
    <row r="4083" spans="6:6" ht="15" customHeight="1" x14ac:dyDescent="0.2">
      <c r="F4083"/>
    </row>
    <row r="4084" spans="6:6" ht="15" customHeight="1" x14ac:dyDescent="0.2">
      <c r="F4084"/>
    </row>
    <row r="4085" spans="6:6" ht="15" customHeight="1" x14ac:dyDescent="0.2">
      <c r="F4085"/>
    </row>
    <row r="4086" spans="6:6" ht="15" customHeight="1" x14ac:dyDescent="0.2">
      <c r="F4086"/>
    </row>
    <row r="4087" spans="6:6" ht="15" customHeight="1" x14ac:dyDescent="0.2">
      <c r="F4087"/>
    </row>
    <row r="4088" spans="6:6" ht="15" customHeight="1" x14ac:dyDescent="0.2">
      <c r="F4088"/>
    </row>
    <row r="4089" spans="6:6" ht="15" customHeight="1" x14ac:dyDescent="0.2">
      <c r="F4089"/>
    </row>
    <row r="4090" spans="6:6" ht="15" customHeight="1" x14ac:dyDescent="0.2">
      <c r="F4090"/>
    </row>
    <row r="4091" spans="6:6" ht="15" customHeight="1" x14ac:dyDescent="0.2">
      <c r="F4091"/>
    </row>
    <row r="4092" spans="6:6" ht="15" customHeight="1" x14ac:dyDescent="0.2">
      <c r="F4092"/>
    </row>
    <row r="4093" spans="6:6" ht="15" customHeight="1" x14ac:dyDescent="0.2">
      <c r="F4093"/>
    </row>
    <row r="4094" spans="6:6" ht="15" customHeight="1" x14ac:dyDescent="0.2">
      <c r="F4094"/>
    </row>
    <row r="4095" spans="6:6" ht="15" customHeight="1" x14ac:dyDescent="0.2">
      <c r="F4095"/>
    </row>
    <row r="4096" spans="6:6" ht="15" customHeight="1" x14ac:dyDescent="0.2">
      <c r="F4096"/>
    </row>
    <row r="4097" spans="6:6" ht="15" customHeight="1" x14ac:dyDescent="0.2">
      <c r="F4097"/>
    </row>
    <row r="4098" spans="6:6" ht="15" customHeight="1" x14ac:dyDescent="0.2">
      <c r="F4098"/>
    </row>
    <row r="4099" spans="6:6" ht="15" customHeight="1" x14ac:dyDescent="0.2">
      <c r="F4099"/>
    </row>
    <row r="4100" spans="6:6" ht="15" customHeight="1" x14ac:dyDescent="0.2">
      <c r="F4100"/>
    </row>
    <row r="4101" spans="6:6" ht="15" customHeight="1" x14ac:dyDescent="0.2">
      <c r="F4101"/>
    </row>
    <row r="4102" spans="6:6" ht="15" customHeight="1" x14ac:dyDescent="0.2">
      <c r="F4102"/>
    </row>
    <row r="4103" spans="6:6" ht="15" customHeight="1" x14ac:dyDescent="0.2">
      <c r="F4103"/>
    </row>
    <row r="4104" spans="6:6" ht="15" customHeight="1" x14ac:dyDescent="0.2">
      <c r="F4104"/>
    </row>
    <row r="4105" spans="6:6" ht="15" customHeight="1" x14ac:dyDescent="0.2">
      <c r="F4105"/>
    </row>
    <row r="4106" spans="6:6" ht="15" customHeight="1" x14ac:dyDescent="0.2">
      <c r="F4106"/>
    </row>
    <row r="4107" spans="6:6" ht="15" customHeight="1" x14ac:dyDescent="0.2">
      <c r="F4107"/>
    </row>
    <row r="4108" spans="6:6" ht="15" customHeight="1" x14ac:dyDescent="0.2">
      <c r="F4108"/>
    </row>
    <row r="4109" spans="6:6" ht="15" customHeight="1" x14ac:dyDescent="0.2">
      <c r="F4109"/>
    </row>
    <row r="4110" spans="6:6" ht="15" customHeight="1" x14ac:dyDescent="0.2">
      <c r="F4110"/>
    </row>
    <row r="4111" spans="6:6" ht="15" customHeight="1" x14ac:dyDescent="0.2">
      <c r="F4111"/>
    </row>
    <row r="4112" spans="6:6" ht="15" customHeight="1" x14ac:dyDescent="0.2">
      <c r="F4112"/>
    </row>
    <row r="4113" spans="6:6" ht="15" customHeight="1" x14ac:dyDescent="0.2">
      <c r="F4113"/>
    </row>
    <row r="4114" spans="6:6" ht="15" customHeight="1" x14ac:dyDescent="0.2">
      <c r="F4114"/>
    </row>
    <row r="4115" spans="6:6" ht="15" customHeight="1" x14ac:dyDescent="0.2">
      <c r="F4115"/>
    </row>
    <row r="4116" spans="6:6" ht="15" customHeight="1" x14ac:dyDescent="0.2">
      <c r="F4116"/>
    </row>
    <row r="4117" spans="6:6" ht="15" customHeight="1" x14ac:dyDescent="0.2">
      <c r="F4117"/>
    </row>
    <row r="4118" spans="6:6" ht="15" customHeight="1" x14ac:dyDescent="0.2">
      <c r="F4118"/>
    </row>
    <row r="4119" spans="6:6" ht="15" customHeight="1" x14ac:dyDescent="0.2">
      <c r="F4119"/>
    </row>
    <row r="4120" spans="6:6" ht="15" customHeight="1" x14ac:dyDescent="0.2">
      <c r="F4120"/>
    </row>
    <row r="4121" spans="6:6" ht="15" customHeight="1" x14ac:dyDescent="0.2">
      <c r="F4121"/>
    </row>
    <row r="4122" spans="6:6" ht="15" customHeight="1" x14ac:dyDescent="0.2">
      <c r="F4122"/>
    </row>
    <row r="4123" spans="6:6" ht="15" customHeight="1" x14ac:dyDescent="0.2">
      <c r="F4123"/>
    </row>
    <row r="4124" spans="6:6" ht="15" customHeight="1" x14ac:dyDescent="0.2">
      <c r="F4124"/>
    </row>
    <row r="4125" spans="6:6" ht="15" customHeight="1" x14ac:dyDescent="0.2">
      <c r="F4125"/>
    </row>
    <row r="4126" spans="6:6" ht="15" customHeight="1" x14ac:dyDescent="0.2">
      <c r="F4126"/>
    </row>
    <row r="4127" spans="6:6" ht="15" customHeight="1" x14ac:dyDescent="0.2">
      <c r="F4127"/>
    </row>
    <row r="4128" spans="6:6" ht="15" customHeight="1" x14ac:dyDescent="0.2">
      <c r="F4128"/>
    </row>
    <row r="4129" spans="6:6" ht="15" customHeight="1" x14ac:dyDescent="0.2">
      <c r="F4129"/>
    </row>
    <row r="4130" spans="6:6" ht="15" customHeight="1" x14ac:dyDescent="0.2">
      <c r="F4130"/>
    </row>
    <row r="4131" spans="6:6" ht="15" customHeight="1" x14ac:dyDescent="0.2">
      <c r="F4131"/>
    </row>
    <row r="4132" spans="6:6" ht="15" customHeight="1" x14ac:dyDescent="0.2">
      <c r="F4132"/>
    </row>
    <row r="4133" spans="6:6" ht="15" customHeight="1" x14ac:dyDescent="0.2">
      <c r="F4133"/>
    </row>
    <row r="4134" spans="6:6" ht="15" customHeight="1" x14ac:dyDescent="0.2">
      <c r="F4134"/>
    </row>
    <row r="4135" spans="6:6" ht="15" customHeight="1" x14ac:dyDescent="0.2">
      <c r="F4135"/>
    </row>
    <row r="4136" spans="6:6" ht="15" customHeight="1" x14ac:dyDescent="0.2">
      <c r="F4136"/>
    </row>
    <row r="4137" spans="6:6" ht="15" customHeight="1" x14ac:dyDescent="0.2">
      <c r="F4137"/>
    </row>
    <row r="4138" spans="6:6" ht="15" customHeight="1" x14ac:dyDescent="0.2">
      <c r="F4138"/>
    </row>
    <row r="4139" spans="6:6" ht="15" customHeight="1" x14ac:dyDescent="0.2">
      <c r="F4139"/>
    </row>
    <row r="4140" spans="6:6" ht="15" customHeight="1" x14ac:dyDescent="0.2">
      <c r="F4140"/>
    </row>
    <row r="4141" spans="6:6" ht="15" customHeight="1" x14ac:dyDescent="0.2">
      <c r="F4141"/>
    </row>
    <row r="4142" spans="6:6" ht="15" customHeight="1" x14ac:dyDescent="0.2">
      <c r="F4142"/>
    </row>
    <row r="4143" spans="6:6" ht="15" customHeight="1" x14ac:dyDescent="0.2">
      <c r="F4143"/>
    </row>
    <row r="4144" spans="6:6" ht="15" customHeight="1" x14ac:dyDescent="0.2">
      <c r="F4144"/>
    </row>
    <row r="4145" spans="6:6" ht="15" customHeight="1" x14ac:dyDescent="0.2">
      <c r="F4145"/>
    </row>
    <row r="4146" spans="6:6" ht="15" customHeight="1" x14ac:dyDescent="0.2">
      <c r="F4146"/>
    </row>
    <row r="4147" spans="6:6" ht="15" customHeight="1" x14ac:dyDescent="0.2">
      <c r="F4147"/>
    </row>
    <row r="4148" spans="6:6" ht="15" customHeight="1" x14ac:dyDescent="0.2">
      <c r="F4148"/>
    </row>
    <row r="4149" spans="6:6" ht="15" customHeight="1" x14ac:dyDescent="0.2">
      <c r="F4149"/>
    </row>
    <row r="4150" spans="6:6" ht="15" customHeight="1" x14ac:dyDescent="0.2">
      <c r="F4150"/>
    </row>
    <row r="4151" spans="6:6" ht="15" customHeight="1" x14ac:dyDescent="0.2">
      <c r="F4151"/>
    </row>
    <row r="4152" spans="6:6" ht="15" customHeight="1" x14ac:dyDescent="0.2">
      <c r="F4152"/>
    </row>
    <row r="4153" spans="6:6" ht="15" customHeight="1" x14ac:dyDescent="0.2">
      <c r="F4153"/>
    </row>
    <row r="4154" spans="6:6" ht="15" customHeight="1" x14ac:dyDescent="0.2">
      <c r="F4154"/>
    </row>
    <row r="4155" spans="6:6" ht="15" customHeight="1" x14ac:dyDescent="0.2">
      <c r="F4155"/>
    </row>
    <row r="4156" spans="6:6" ht="15" customHeight="1" x14ac:dyDescent="0.2">
      <c r="F4156"/>
    </row>
    <row r="4157" spans="6:6" ht="15" customHeight="1" x14ac:dyDescent="0.2">
      <c r="F4157"/>
    </row>
    <row r="4158" spans="6:6" ht="15" customHeight="1" x14ac:dyDescent="0.2">
      <c r="F4158"/>
    </row>
    <row r="4159" spans="6:6" ht="15" customHeight="1" x14ac:dyDescent="0.2">
      <c r="F4159"/>
    </row>
    <row r="4160" spans="6:6" ht="15" customHeight="1" x14ac:dyDescent="0.2">
      <c r="F4160"/>
    </row>
    <row r="4161" spans="6:6" ht="15" customHeight="1" x14ac:dyDescent="0.2">
      <c r="F4161"/>
    </row>
    <row r="4162" spans="6:6" ht="15" customHeight="1" x14ac:dyDescent="0.2">
      <c r="F4162"/>
    </row>
    <row r="4163" spans="6:6" ht="15" customHeight="1" x14ac:dyDescent="0.2">
      <c r="F4163"/>
    </row>
    <row r="4164" spans="6:6" ht="15" customHeight="1" x14ac:dyDescent="0.2">
      <c r="F4164"/>
    </row>
    <row r="4165" spans="6:6" ht="15" customHeight="1" x14ac:dyDescent="0.2">
      <c r="F4165"/>
    </row>
    <row r="4166" spans="6:6" ht="15" customHeight="1" x14ac:dyDescent="0.2">
      <c r="F4166"/>
    </row>
    <row r="4167" spans="6:6" ht="15" customHeight="1" x14ac:dyDescent="0.2">
      <c r="F4167"/>
    </row>
    <row r="4168" spans="6:6" ht="15" customHeight="1" x14ac:dyDescent="0.2">
      <c r="F4168"/>
    </row>
    <row r="4169" spans="6:6" ht="15" customHeight="1" x14ac:dyDescent="0.2">
      <c r="F4169"/>
    </row>
    <row r="4170" spans="6:6" ht="15" customHeight="1" x14ac:dyDescent="0.2">
      <c r="F4170"/>
    </row>
    <row r="4171" spans="6:6" ht="15" customHeight="1" x14ac:dyDescent="0.2">
      <c r="F4171"/>
    </row>
    <row r="4172" spans="6:6" ht="15" customHeight="1" x14ac:dyDescent="0.2">
      <c r="F4172"/>
    </row>
    <row r="4173" spans="6:6" ht="15" customHeight="1" x14ac:dyDescent="0.2">
      <c r="F4173"/>
    </row>
    <row r="4174" spans="6:6" ht="15" customHeight="1" x14ac:dyDescent="0.2">
      <c r="F4174"/>
    </row>
    <row r="4175" spans="6:6" ht="15" customHeight="1" x14ac:dyDescent="0.2">
      <c r="F4175"/>
    </row>
    <row r="4176" spans="6:6" ht="15" customHeight="1" x14ac:dyDescent="0.2">
      <c r="F4176"/>
    </row>
    <row r="4177" spans="6:6" ht="15" customHeight="1" x14ac:dyDescent="0.2">
      <c r="F4177"/>
    </row>
    <row r="4178" spans="6:6" ht="15" customHeight="1" x14ac:dyDescent="0.2">
      <c r="F4178"/>
    </row>
    <row r="4179" spans="6:6" ht="15" customHeight="1" x14ac:dyDescent="0.2">
      <c r="F4179"/>
    </row>
    <row r="4180" spans="6:6" ht="15" customHeight="1" x14ac:dyDescent="0.2">
      <c r="F4180"/>
    </row>
    <row r="4181" spans="6:6" ht="15" customHeight="1" x14ac:dyDescent="0.2">
      <c r="F4181"/>
    </row>
    <row r="4182" spans="6:6" ht="15" customHeight="1" x14ac:dyDescent="0.2">
      <c r="F4182"/>
    </row>
    <row r="4183" spans="6:6" ht="15" customHeight="1" x14ac:dyDescent="0.2">
      <c r="F4183"/>
    </row>
    <row r="4184" spans="6:6" ht="15" customHeight="1" x14ac:dyDescent="0.2">
      <c r="F4184"/>
    </row>
    <row r="4185" spans="6:6" ht="15" customHeight="1" x14ac:dyDescent="0.2">
      <c r="F4185"/>
    </row>
    <row r="4186" spans="6:6" ht="15" customHeight="1" x14ac:dyDescent="0.2">
      <c r="F4186"/>
    </row>
    <row r="4187" spans="6:6" ht="15" customHeight="1" x14ac:dyDescent="0.2">
      <c r="F4187"/>
    </row>
    <row r="4188" spans="6:6" ht="15" customHeight="1" x14ac:dyDescent="0.2">
      <c r="F4188"/>
    </row>
    <row r="4189" spans="6:6" ht="15" customHeight="1" x14ac:dyDescent="0.2">
      <c r="F4189"/>
    </row>
    <row r="4190" spans="6:6" ht="15" customHeight="1" x14ac:dyDescent="0.2">
      <c r="F4190"/>
    </row>
    <row r="4191" spans="6:6" ht="15" customHeight="1" x14ac:dyDescent="0.2">
      <c r="F4191"/>
    </row>
    <row r="4192" spans="6:6" ht="15" customHeight="1" x14ac:dyDescent="0.2">
      <c r="F4192"/>
    </row>
    <row r="4193" spans="6:6" ht="15" customHeight="1" x14ac:dyDescent="0.2">
      <c r="F4193"/>
    </row>
    <row r="4194" spans="6:6" ht="15" customHeight="1" x14ac:dyDescent="0.2">
      <c r="F4194"/>
    </row>
    <row r="4195" spans="6:6" ht="15" customHeight="1" x14ac:dyDescent="0.2">
      <c r="F4195"/>
    </row>
    <row r="4196" spans="6:6" ht="15" customHeight="1" x14ac:dyDescent="0.2">
      <c r="F4196"/>
    </row>
    <row r="4197" spans="6:6" ht="15" customHeight="1" x14ac:dyDescent="0.2">
      <c r="F4197"/>
    </row>
    <row r="4198" spans="6:6" ht="15" customHeight="1" x14ac:dyDescent="0.2">
      <c r="F4198"/>
    </row>
    <row r="4199" spans="6:6" ht="15" customHeight="1" x14ac:dyDescent="0.2">
      <c r="F4199"/>
    </row>
    <row r="4200" spans="6:6" ht="15" customHeight="1" x14ac:dyDescent="0.2">
      <c r="F4200"/>
    </row>
    <row r="4201" spans="6:6" ht="15" customHeight="1" x14ac:dyDescent="0.2">
      <c r="F4201"/>
    </row>
    <row r="4202" spans="6:6" ht="15" customHeight="1" x14ac:dyDescent="0.2">
      <c r="F4202"/>
    </row>
    <row r="4203" spans="6:6" ht="15" customHeight="1" x14ac:dyDescent="0.2">
      <c r="F4203"/>
    </row>
    <row r="4204" spans="6:6" ht="15" customHeight="1" x14ac:dyDescent="0.2">
      <c r="F4204"/>
    </row>
    <row r="4205" spans="6:6" ht="15" customHeight="1" x14ac:dyDescent="0.2">
      <c r="F4205"/>
    </row>
    <row r="4206" spans="6:6" ht="15" customHeight="1" x14ac:dyDescent="0.2">
      <c r="F4206"/>
    </row>
    <row r="4207" spans="6:6" ht="15" customHeight="1" x14ac:dyDescent="0.2">
      <c r="F4207"/>
    </row>
    <row r="4208" spans="6:6" ht="15" customHeight="1" x14ac:dyDescent="0.2">
      <c r="F4208"/>
    </row>
    <row r="4209" spans="6:6" ht="15" customHeight="1" x14ac:dyDescent="0.2">
      <c r="F4209"/>
    </row>
    <row r="4210" spans="6:6" ht="15" customHeight="1" x14ac:dyDescent="0.2">
      <c r="F4210"/>
    </row>
    <row r="4211" spans="6:6" ht="15" customHeight="1" x14ac:dyDescent="0.2">
      <c r="F4211"/>
    </row>
    <row r="4212" spans="6:6" ht="15" customHeight="1" x14ac:dyDescent="0.2">
      <c r="F4212"/>
    </row>
    <row r="4213" spans="6:6" ht="15" customHeight="1" x14ac:dyDescent="0.2">
      <c r="F4213"/>
    </row>
    <row r="4214" spans="6:6" ht="15" customHeight="1" x14ac:dyDescent="0.2">
      <c r="F4214"/>
    </row>
    <row r="4215" spans="6:6" ht="15" customHeight="1" x14ac:dyDescent="0.2">
      <c r="F4215"/>
    </row>
    <row r="4216" spans="6:6" ht="15" customHeight="1" x14ac:dyDescent="0.2">
      <c r="F4216"/>
    </row>
    <row r="4217" spans="6:6" ht="15" customHeight="1" x14ac:dyDescent="0.2">
      <c r="F4217"/>
    </row>
    <row r="4218" spans="6:6" ht="15" customHeight="1" x14ac:dyDescent="0.2">
      <c r="F4218"/>
    </row>
    <row r="4219" spans="6:6" ht="15" customHeight="1" x14ac:dyDescent="0.2">
      <c r="F4219"/>
    </row>
    <row r="4220" spans="6:6" ht="15" customHeight="1" x14ac:dyDescent="0.2">
      <c r="F4220"/>
    </row>
    <row r="4221" spans="6:6" ht="15" customHeight="1" x14ac:dyDescent="0.2">
      <c r="F4221"/>
    </row>
    <row r="4222" spans="6:6" ht="15" customHeight="1" x14ac:dyDescent="0.2">
      <c r="F4222"/>
    </row>
    <row r="4223" spans="6:6" ht="15" customHeight="1" x14ac:dyDescent="0.2">
      <c r="F4223"/>
    </row>
    <row r="4224" spans="6:6" ht="15" customHeight="1" x14ac:dyDescent="0.2">
      <c r="F4224"/>
    </row>
    <row r="4225" spans="6:6" ht="15" customHeight="1" x14ac:dyDescent="0.2">
      <c r="F4225"/>
    </row>
    <row r="4226" spans="6:6" ht="15" customHeight="1" x14ac:dyDescent="0.2">
      <c r="F4226"/>
    </row>
    <row r="4227" spans="6:6" ht="15" customHeight="1" x14ac:dyDescent="0.2">
      <c r="F4227"/>
    </row>
    <row r="4228" spans="6:6" ht="15" customHeight="1" x14ac:dyDescent="0.2">
      <c r="F4228"/>
    </row>
    <row r="4229" spans="6:6" ht="15" customHeight="1" x14ac:dyDescent="0.2">
      <c r="F4229"/>
    </row>
    <row r="4230" spans="6:6" ht="15" customHeight="1" x14ac:dyDescent="0.2">
      <c r="F4230"/>
    </row>
    <row r="4231" spans="6:6" ht="15" customHeight="1" x14ac:dyDescent="0.2">
      <c r="F4231"/>
    </row>
    <row r="4232" spans="6:6" ht="15" customHeight="1" x14ac:dyDescent="0.2">
      <c r="F4232"/>
    </row>
    <row r="4233" spans="6:6" ht="15" customHeight="1" x14ac:dyDescent="0.2">
      <c r="F4233"/>
    </row>
    <row r="4234" spans="6:6" ht="15" customHeight="1" x14ac:dyDescent="0.2">
      <c r="F4234"/>
    </row>
    <row r="4235" spans="6:6" ht="15" customHeight="1" x14ac:dyDescent="0.2">
      <c r="F4235"/>
    </row>
    <row r="4236" spans="6:6" ht="15" customHeight="1" x14ac:dyDescent="0.2">
      <c r="F4236"/>
    </row>
    <row r="4237" spans="6:6" ht="15" customHeight="1" x14ac:dyDescent="0.2">
      <c r="F4237"/>
    </row>
    <row r="4238" spans="6:6" ht="15" customHeight="1" x14ac:dyDescent="0.2">
      <c r="F4238"/>
    </row>
    <row r="4239" spans="6:6" ht="15" customHeight="1" x14ac:dyDescent="0.2">
      <c r="F4239"/>
    </row>
    <row r="4240" spans="6:6" ht="15" customHeight="1" x14ac:dyDescent="0.2">
      <c r="F4240"/>
    </row>
    <row r="4241" spans="6:6" ht="15" customHeight="1" x14ac:dyDescent="0.2">
      <c r="F4241"/>
    </row>
    <row r="4242" spans="6:6" ht="15" customHeight="1" x14ac:dyDescent="0.2">
      <c r="F4242"/>
    </row>
    <row r="4243" spans="6:6" ht="15" customHeight="1" x14ac:dyDescent="0.2">
      <c r="F4243"/>
    </row>
    <row r="4244" spans="6:6" ht="15" customHeight="1" x14ac:dyDescent="0.2">
      <c r="F4244"/>
    </row>
    <row r="4245" spans="6:6" ht="15" customHeight="1" x14ac:dyDescent="0.2">
      <c r="F4245"/>
    </row>
    <row r="4246" spans="6:6" ht="15" customHeight="1" x14ac:dyDescent="0.2">
      <c r="F4246"/>
    </row>
    <row r="4247" spans="6:6" ht="15" customHeight="1" x14ac:dyDescent="0.2">
      <c r="F4247"/>
    </row>
    <row r="4248" spans="6:6" ht="15" customHeight="1" x14ac:dyDescent="0.2">
      <c r="F4248"/>
    </row>
    <row r="4249" spans="6:6" ht="15" customHeight="1" x14ac:dyDescent="0.2">
      <c r="F4249"/>
    </row>
    <row r="4250" spans="6:6" ht="15" customHeight="1" x14ac:dyDescent="0.2">
      <c r="F4250"/>
    </row>
    <row r="4251" spans="6:6" ht="15" customHeight="1" x14ac:dyDescent="0.2">
      <c r="F4251"/>
    </row>
    <row r="4252" spans="6:6" ht="15" customHeight="1" x14ac:dyDescent="0.2">
      <c r="F4252"/>
    </row>
    <row r="4253" spans="6:6" ht="15" customHeight="1" x14ac:dyDescent="0.2">
      <c r="F4253"/>
    </row>
    <row r="4254" spans="6:6" ht="15" customHeight="1" x14ac:dyDescent="0.2">
      <c r="F4254"/>
    </row>
    <row r="4255" spans="6:6" ht="15" customHeight="1" x14ac:dyDescent="0.2">
      <c r="F4255"/>
    </row>
    <row r="4256" spans="6:6" ht="15" customHeight="1" x14ac:dyDescent="0.2">
      <c r="F4256"/>
    </row>
    <row r="4257" spans="6:6" ht="15" customHeight="1" x14ac:dyDescent="0.2">
      <c r="F4257"/>
    </row>
    <row r="4258" spans="6:6" ht="15" customHeight="1" x14ac:dyDescent="0.2">
      <c r="F4258"/>
    </row>
    <row r="4259" spans="6:6" ht="15" customHeight="1" x14ac:dyDescent="0.2">
      <c r="F4259"/>
    </row>
    <row r="4260" spans="6:6" ht="15" customHeight="1" x14ac:dyDescent="0.2">
      <c r="F4260"/>
    </row>
    <row r="4261" spans="6:6" ht="15" customHeight="1" x14ac:dyDescent="0.2">
      <c r="F4261"/>
    </row>
    <row r="4262" spans="6:6" ht="15" customHeight="1" x14ac:dyDescent="0.2">
      <c r="F4262"/>
    </row>
    <row r="4263" spans="6:6" ht="15" customHeight="1" x14ac:dyDescent="0.2">
      <c r="F4263"/>
    </row>
    <row r="4264" spans="6:6" ht="15" customHeight="1" x14ac:dyDescent="0.2">
      <c r="F4264"/>
    </row>
    <row r="4265" spans="6:6" ht="15" customHeight="1" x14ac:dyDescent="0.2">
      <c r="F4265"/>
    </row>
    <row r="4266" spans="6:6" ht="15" customHeight="1" x14ac:dyDescent="0.2">
      <c r="F4266"/>
    </row>
    <row r="4267" spans="6:6" ht="15" customHeight="1" x14ac:dyDescent="0.2">
      <c r="F4267"/>
    </row>
    <row r="4268" spans="6:6" ht="15" customHeight="1" x14ac:dyDescent="0.2">
      <c r="F4268"/>
    </row>
    <row r="4269" spans="6:6" ht="15" customHeight="1" x14ac:dyDescent="0.2">
      <c r="F4269"/>
    </row>
    <row r="4270" spans="6:6" ht="15" customHeight="1" x14ac:dyDescent="0.2">
      <c r="F4270"/>
    </row>
    <row r="4271" spans="6:6" ht="15" customHeight="1" x14ac:dyDescent="0.2">
      <c r="F4271"/>
    </row>
    <row r="4272" spans="6:6" ht="15" customHeight="1" x14ac:dyDescent="0.2">
      <c r="F4272"/>
    </row>
    <row r="4273" spans="6:6" ht="15" customHeight="1" x14ac:dyDescent="0.2">
      <c r="F4273"/>
    </row>
    <row r="4274" spans="6:6" ht="15" customHeight="1" x14ac:dyDescent="0.2">
      <c r="F4274"/>
    </row>
    <row r="4275" spans="6:6" ht="15" customHeight="1" x14ac:dyDescent="0.2">
      <c r="F4275"/>
    </row>
    <row r="4276" spans="6:6" ht="15" customHeight="1" x14ac:dyDescent="0.2">
      <c r="F4276"/>
    </row>
    <row r="4277" spans="6:6" ht="15" customHeight="1" x14ac:dyDescent="0.2">
      <c r="F4277"/>
    </row>
    <row r="4278" spans="6:6" ht="15" customHeight="1" x14ac:dyDescent="0.2">
      <c r="F4278"/>
    </row>
    <row r="4279" spans="6:6" ht="15" customHeight="1" x14ac:dyDescent="0.2">
      <c r="F4279"/>
    </row>
    <row r="4280" spans="6:6" ht="15" customHeight="1" x14ac:dyDescent="0.2">
      <c r="F4280"/>
    </row>
    <row r="4281" spans="6:6" ht="15" customHeight="1" x14ac:dyDescent="0.2">
      <c r="F4281"/>
    </row>
    <row r="4282" spans="6:6" ht="15" customHeight="1" x14ac:dyDescent="0.2">
      <c r="F4282"/>
    </row>
    <row r="4283" spans="6:6" ht="15" customHeight="1" x14ac:dyDescent="0.2">
      <c r="F4283"/>
    </row>
    <row r="4284" spans="6:6" ht="15" customHeight="1" x14ac:dyDescent="0.2">
      <c r="F4284"/>
    </row>
    <row r="4285" spans="6:6" ht="15" customHeight="1" x14ac:dyDescent="0.2">
      <c r="F4285"/>
    </row>
    <row r="4286" spans="6:6" ht="15" customHeight="1" x14ac:dyDescent="0.2">
      <c r="F4286"/>
    </row>
    <row r="4287" spans="6:6" ht="15" customHeight="1" x14ac:dyDescent="0.2">
      <c r="F4287"/>
    </row>
    <row r="4288" spans="6:6" ht="15" customHeight="1" x14ac:dyDescent="0.2">
      <c r="F4288"/>
    </row>
    <row r="4289" spans="6:6" ht="15" customHeight="1" x14ac:dyDescent="0.2">
      <c r="F4289"/>
    </row>
    <row r="4290" spans="6:6" ht="15" customHeight="1" x14ac:dyDescent="0.2">
      <c r="F4290"/>
    </row>
    <row r="4291" spans="6:6" ht="15" customHeight="1" x14ac:dyDescent="0.2">
      <c r="F4291"/>
    </row>
    <row r="4292" spans="6:6" ht="15" customHeight="1" x14ac:dyDescent="0.2">
      <c r="F4292"/>
    </row>
    <row r="4293" spans="6:6" ht="15" customHeight="1" x14ac:dyDescent="0.2">
      <c r="F4293"/>
    </row>
    <row r="4294" spans="6:6" ht="15" customHeight="1" x14ac:dyDescent="0.2">
      <c r="F4294"/>
    </row>
    <row r="4295" spans="6:6" ht="15" customHeight="1" x14ac:dyDescent="0.2">
      <c r="F4295"/>
    </row>
    <row r="4296" spans="6:6" ht="15" customHeight="1" x14ac:dyDescent="0.2">
      <c r="F4296"/>
    </row>
    <row r="4297" spans="6:6" ht="15" customHeight="1" x14ac:dyDescent="0.2">
      <c r="F4297"/>
    </row>
    <row r="4298" spans="6:6" ht="15" customHeight="1" x14ac:dyDescent="0.2">
      <c r="F4298"/>
    </row>
    <row r="4299" spans="6:6" ht="15" customHeight="1" x14ac:dyDescent="0.2">
      <c r="F4299"/>
    </row>
    <row r="4300" spans="6:6" ht="15" customHeight="1" x14ac:dyDescent="0.2">
      <c r="F4300"/>
    </row>
    <row r="4301" spans="6:6" ht="15" customHeight="1" x14ac:dyDescent="0.2">
      <c r="F4301"/>
    </row>
    <row r="4302" spans="6:6" ht="15" customHeight="1" x14ac:dyDescent="0.2">
      <c r="F4302"/>
    </row>
    <row r="4303" spans="6:6" ht="15" customHeight="1" x14ac:dyDescent="0.2">
      <c r="F4303"/>
    </row>
    <row r="4304" spans="6:6" ht="15" customHeight="1" x14ac:dyDescent="0.2">
      <c r="F4304"/>
    </row>
    <row r="4305" spans="6:6" ht="15" customHeight="1" x14ac:dyDescent="0.2">
      <c r="F4305"/>
    </row>
    <row r="4306" spans="6:6" ht="15" customHeight="1" x14ac:dyDescent="0.2">
      <c r="F4306"/>
    </row>
    <row r="4307" spans="6:6" ht="15" customHeight="1" x14ac:dyDescent="0.2">
      <c r="F4307"/>
    </row>
    <row r="4308" spans="6:6" ht="15" customHeight="1" x14ac:dyDescent="0.2">
      <c r="F4308"/>
    </row>
    <row r="4309" spans="6:6" ht="15" customHeight="1" x14ac:dyDescent="0.2">
      <c r="F4309"/>
    </row>
    <row r="4310" spans="6:6" ht="15" customHeight="1" x14ac:dyDescent="0.2">
      <c r="F4310"/>
    </row>
    <row r="4311" spans="6:6" ht="15" customHeight="1" x14ac:dyDescent="0.2">
      <c r="F4311"/>
    </row>
    <row r="4312" spans="6:6" ht="15" customHeight="1" x14ac:dyDescent="0.2">
      <c r="F4312"/>
    </row>
    <row r="4313" spans="6:6" ht="15" customHeight="1" x14ac:dyDescent="0.2">
      <c r="F4313"/>
    </row>
    <row r="4314" spans="6:6" ht="15" customHeight="1" x14ac:dyDescent="0.2">
      <c r="F4314"/>
    </row>
    <row r="4315" spans="6:6" ht="15" customHeight="1" x14ac:dyDescent="0.2">
      <c r="F4315"/>
    </row>
    <row r="4316" spans="6:6" ht="15" customHeight="1" x14ac:dyDescent="0.2">
      <c r="F4316"/>
    </row>
    <row r="4317" spans="6:6" ht="15" customHeight="1" x14ac:dyDescent="0.2">
      <c r="F4317"/>
    </row>
    <row r="4318" spans="6:6" ht="15" customHeight="1" x14ac:dyDescent="0.2">
      <c r="F4318"/>
    </row>
    <row r="4319" spans="6:6" ht="15" customHeight="1" x14ac:dyDescent="0.2">
      <c r="F4319"/>
    </row>
    <row r="4320" spans="6:6" ht="15" customHeight="1" x14ac:dyDescent="0.2">
      <c r="F4320"/>
    </row>
    <row r="4321" spans="6:6" ht="15" customHeight="1" x14ac:dyDescent="0.2">
      <c r="F4321"/>
    </row>
    <row r="4322" spans="6:6" ht="15" customHeight="1" x14ac:dyDescent="0.2">
      <c r="F4322"/>
    </row>
    <row r="4323" spans="6:6" ht="15" customHeight="1" x14ac:dyDescent="0.2">
      <c r="F4323"/>
    </row>
    <row r="4324" spans="6:6" ht="15" customHeight="1" x14ac:dyDescent="0.2">
      <c r="F4324"/>
    </row>
    <row r="4325" spans="6:6" ht="15" customHeight="1" x14ac:dyDescent="0.2">
      <c r="F4325"/>
    </row>
    <row r="4326" spans="6:6" ht="15" customHeight="1" x14ac:dyDescent="0.2">
      <c r="F4326"/>
    </row>
    <row r="4327" spans="6:6" ht="15" customHeight="1" x14ac:dyDescent="0.2">
      <c r="F4327"/>
    </row>
    <row r="4328" spans="6:6" ht="15" customHeight="1" x14ac:dyDescent="0.2">
      <c r="F4328"/>
    </row>
    <row r="4329" spans="6:6" ht="15" customHeight="1" x14ac:dyDescent="0.2">
      <c r="F4329"/>
    </row>
    <row r="4330" spans="6:6" ht="15" customHeight="1" x14ac:dyDescent="0.2">
      <c r="F4330"/>
    </row>
    <row r="4331" spans="6:6" ht="15" customHeight="1" x14ac:dyDescent="0.2">
      <c r="F4331"/>
    </row>
    <row r="4332" spans="6:6" ht="15" customHeight="1" x14ac:dyDescent="0.2">
      <c r="F4332"/>
    </row>
    <row r="4333" spans="6:6" ht="15" customHeight="1" x14ac:dyDescent="0.2">
      <c r="F4333"/>
    </row>
    <row r="4334" spans="6:6" ht="15" customHeight="1" x14ac:dyDescent="0.2">
      <c r="F4334"/>
    </row>
    <row r="4335" spans="6:6" ht="15" customHeight="1" x14ac:dyDescent="0.2">
      <c r="F4335"/>
    </row>
    <row r="4336" spans="6:6" ht="15" customHeight="1" x14ac:dyDescent="0.2">
      <c r="F4336"/>
    </row>
    <row r="4337" spans="6:6" ht="15" customHeight="1" x14ac:dyDescent="0.2">
      <c r="F4337"/>
    </row>
    <row r="4338" spans="6:6" ht="15" customHeight="1" x14ac:dyDescent="0.2">
      <c r="F4338"/>
    </row>
    <row r="4339" spans="6:6" ht="15" customHeight="1" x14ac:dyDescent="0.2">
      <c r="F4339"/>
    </row>
    <row r="4340" spans="6:6" ht="15" customHeight="1" x14ac:dyDescent="0.2">
      <c r="F4340"/>
    </row>
    <row r="4341" spans="6:6" ht="15" customHeight="1" x14ac:dyDescent="0.2">
      <c r="F4341"/>
    </row>
    <row r="4342" spans="6:6" ht="15" customHeight="1" x14ac:dyDescent="0.2">
      <c r="F4342"/>
    </row>
    <row r="4343" spans="6:6" ht="15" customHeight="1" x14ac:dyDescent="0.2">
      <c r="F4343"/>
    </row>
    <row r="4344" spans="6:6" ht="15" customHeight="1" x14ac:dyDescent="0.2">
      <c r="F4344"/>
    </row>
    <row r="4345" spans="6:6" ht="15" customHeight="1" x14ac:dyDescent="0.2">
      <c r="F4345"/>
    </row>
    <row r="4346" spans="6:6" ht="15" customHeight="1" x14ac:dyDescent="0.2">
      <c r="F4346"/>
    </row>
    <row r="4347" spans="6:6" ht="15" customHeight="1" x14ac:dyDescent="0.2">
      <c r="F4347"/>
    </row>
    <row r="4348" spans="6:6" ht="15" customHeight="1" x14ac:dyDescent="0.2">
      <c r="F4348"/>
    </row>
    <row r="4349" spans="6:6" ht="15" customHeight="1" x14ac:dyDescent="0.2">
      <c r="F4349"/>
    </row>
    <row r="4350" spans="6:6" ht="15" customHeight="1" x14ac:dyDescent="0.2">
      <c r="F4350"/>
    </row>
    <row r="4351" spans="6:6" ht="15" customHeight="1" x14ac:dyDescent="0.2">
      <c r="F4351"/>
    </row>
    <row r="4352" spans="6:6" ht="15" customHeight="1" x14ac:dyDescent="0.2">
      <c r="F4352"/>
    </row>
    <row r="4353" spans="6:6" ht="15" customHeight="1" x14ac:dyDescent="0.2">
      <c r="F4353"/>
    </row>
    <row r="4354" spans="6:6" ht="15" customHeight="1" x14ac:dyDescent="0.2">
      <c r="F4354"/>
    </row>
    <row r="4355" spans="6:6" ht="15" customHeight="1" x14ac:dyDescent="0.2">
      <c r="F4355"/>
    </row>
    <row r="4356" spans="6:6" ht="15" customHeight="1" x14ac:dyDescent="0.2">
      <c r="F4356"/>
    </row>
    <row r="4357" spans="6:6" ht="15" customHeight="1" x14ac:dyDescent="0.2">
      <c r="F4357"/>
    </row>
    <row r="4358" spans="6:6" ht="15" customHeight="1" x14ac:dyDescent="0.2">
      <c r="F4358"/>
    </row>
    <row r="4359" spans="6:6" ht="15" customHeight="1" x14ac:dyDescent="0.2">
      <c r="F4359"/>
    </row>
    <row r="4360" spans="6:6" ht="15" customHeight="1" x14ac:dyDescent="0.2">
      <c r="F4360"/>
    </row>
    <row r="4361" spans="6:6" ht="15" customHeight="1" x14ac:dyDescent="0.2">
      <c r="F4361"/>
    </row>
    <row r="4362" spans="6:6" ht="15" customHeight="1" x14ac:dyDescent="0.2">
      <c r="F4362"/>
    </row>
    <row r="4363" spans="6:6" ht="15" customHeight="1" x14ac:dyDescent="0.2">
      <c r="F4363"/>
    </row>
    <row r="4364" spans="6:6" ht="15" customHeight="1" x14ac:dyDescent="0.2">
      <c r="F4364"/>
    </row>
    <row r="4365" spans="6:6" ht="15" customHeight="1" x14ac:dyDescent="0.2">
      <c r="F4365"/>
    </row>
    <row r="4366" spans="6:6" ht="15" customHeight="1" x14ac:dyDescent="0.2">
      <c r="F4366"/>
    </row>
    <row r="4367" spans="6:6" ht="15" customHeight="1" x14ac:dyDescent="0.2">
      <c r="F4367"/>
    </row>
    <row r="4368" spans="6:6" ht="15" customHeight="1" x14ac:dyDescent="0.2">
      <c r="F4368"/>
    </row>
    <row r="4369" spans="6:6" ht="15" customHeight="1" x14ac:dyDescent="0.2">
      <c r="F4369"/>
    </row>
    <row r="4370" spans="6:6" ht="15" customHeight="1" x14ac:dyDescent="0.2">
      <c r="F4370"/>
    </row>
    <row r="4371" spans="6:6" ht="15" customHeight="1" x14ac:dyDescent="0.2">
      <c r="F4371"/>
    </row>
    <row r="4372" spans="6:6" ht="15" customHeight="1" x14ac:dyDescent="0.2">
      <c r="F4372"/>
    </row>
    <row r="4373" spans="6:6" ht="15" customHeight="1" x14ac:dyDescent="0.2">
      <c r="F4373"/>
    </row>
    <row r="4374" spans="6:6" ht="15" customHeight="1" x14ac:dyDescent="0.2">
      <c r="F4374"/>
    </row>
    <row r="4375" spans="6:6" ht="15" customHeight="1" x14ac:dyDescent="0.2">
      <c r="F4375"/>
    </row>
    <row r="4376" spans="6:6" ht="15" customHeight="1" x14ac:dyDescent="0.2">
      <c r="F4376"/>
    </row>
    <row r="4377" spans="6:6" ht="15" customHeight="1" x14ac:dyDescent="0.2">
      <c r="F4377"/>
    </row>
    <row r="4378" spans="6:6" ht="15" customHeight="1" x14ac:dyDescent="0.2">
      <c r="F4378"/>
    </row>
    <row r="4379" spans="6:6" ht="15" customHeight="1" x14ac:dyDescent="0.2">
      <c r="F4379"/>
    </row>
    <row r="4380" spans="6:6" ht="15" customHeight="1" x14ac:dyDescent="0.2">
      <c r="F4380"/>
    </row>
    <row r="4381" spans="6:6" ht="15" customHeight="1" x14ac:dyDescent="0.2">
      <c r="F4381"/>
    </row>
    <row r="4382" spans="6:6" ht="15" customHeight="1" x14ac:dyDescent="0.2">
      <c r="F4382"/>
    </row>
    <row r="4383" spans="6:6" ht="15" customHeight="1" x14ac:dyDescent="0.2">
      <c r="F4383"/>
    </row>
    <row r="4384" spans="6:6" ht="15" customHeight="1" x14ac:dyDescent="0.2">
      <c r="F4384"/>
    </row>
    <row r="4385" spans="6:6" ht="15" customHeight="1" x14ac:dyDescent="0.2">
      <c r="F4385"/>
    </row>
    <row r="4386" spans="6:6" ht="15" customHeight="1" x14ac:dyDescent="0.2">
      <c r="F4386"/>
    </row>
    <row r="4387" spans="6:6" ht="15" customHeight="1" x14ac:dyDescent="0.2">
      <c r="F4387"/>
    </row>
    <row r="4388" spans="6:6" ht="15" customHeight="1" x14ac:dyDescent="0.2">
      <c r="F4388"/>
    </row>
    <row r="4389" spans="6:6" ht="15" customHeight="1" x14ac:dyDescent="0.2">
      <c r="F4389"/>
    </row>
    <row r="4390" spans="6:6" ht="15" customHeight="1" x14ac:dyDescent="0.2">
      <c r="F4390"/>
    </row>
    <row r="4391" spans="6:6" ht="15" customHeight="1" x14ac:dyDescent="0.2">
      <c r="F4391"/>
    </row>
    <row r="4392" spans="6:6" ht="15" customHeight="1" x14ac:dyDescent="0.2">
      <c r="F4392"/>
    </row>
    <row r="4393" spans="6:6" ht="15" customHeight="1" x14ac:dyDescent="0.2">
      <c r="F4393"/>
    </row>
    <row r="4394" spans="6:6" ht="15" customHeight="1" x14ac:dyDescent="0.2">
      <c r="F4394"/>
    </row>
    <row r="4395" spans="6:6" ht="15" customHeight="1" x14ac:dyDescent="0.2">
      <c r="F4395"/>
    </row>
    <row r="4396" spans="6:6" ht="15" customHeight="1" x14ac:dyDescent="0.2">
      <c r="F4396"/>
    </row>
    <row r="4397" spans="6:6" ht="15" customHeight="1" x14ac:dyDescent="0.2">
      <c r="F4397"/>
    </row>
    <row r="4398" spans="6:6" ht="15" customHeight="1" x14ac:dyDescent="0.2">
      <c r="F4398"/>
    </row>
    <row r="4399" spans="6:6" ht="15" customHeight="1" x14ac:dyDescent="0.2">
      <c r="F4399"/>
    </row>
    <row r="4400" spans="6:6" ht="15" customHeight="1" x14ac:dyDescent="0.2">
      <c r="F4400"/>
    </row>
    <row r="4401" spans="6:6" ht="15" customHeight="1" x14ac:dyDescent="0.2">
      <c r="F4401"/>
    </row>
    <row r="4402" spans="6:6" ht="15" customHeight="1" x14ac:dyDescent="0.2">
      <c r="F4402"/>
    </row>
    <row r="4403" spans="6:6" ht="15" customHeight="1" x14ac:dyDescent="0.2">
      <c r="F4403"/>
    </row>
    <row r="4404" spans="6:6" ht="15" customHeight="1" x14ac:dyDescent="0.2">
      <c r="F4404"/>
    </row>
    <row r="4405" spans="6:6" ht="15" customHeight="1" x14ac:dyDescent="0.2">
      <c r="F4405"/>
    </row>
    <row r="4406" spans="6:6" ht="15" customHeight="1" x14ac:dyDescent="0.2">
      <c r="F4406"/>
    </row>
    <row r="4407" spans="6:6" ht="15" customHeight="1" x14ac:dyDescent="0.2">
      <c r="F4407"/>
    </row>
    <row r="4408" spans="6:6" ht="15" customHeight="1" x14ac:dyDescent="0.2">
      <c r="F4408"/>
    </row>
    <row r="4409" spans="6:6" ht="15" customHeight="1" x14ac:dyDescent="0.2">
      <c r="F4409"/>
    </row>
    <row r="4410" spans="6:6" ht="15" customHeight="1" x14ac:dyDescent="0.2">
      <c r="F4410"/>
    </row>
    <row r="4411" spans="6:6" ht="15" customHeight="1" x14ac:dyDescent="0.2">
      <c r="F4411"/>
    </row>
    <row r="4412" spans="6:6" ht="15" customHeight="1" x14ac:dyDescent="0.2">
      <c r="F4412"/>
    </row>
    <row r="4413" spans="6:6" ht="15" customHeight="1" x14ac:dyDescent="0.2">
      <c r="F4413"/>
    </row>
    <row r="4414" spans="6:6" ht="15" customHeight="1" x14ac:dyDescent="0.2">
      <c r="F4414"/>
    </row>
    <row r="4415" spans="6:6" ht="15" customHeight="1" x14ac:dyDescent="0.2">
      <c r="F4415"/>
    </row>
    <row r="4416" spans="6:6" ht="15" customHeight="1" x14ac:dyDescent="0.2">
      <c r="F4416"/>
    </row>
    <row r="4417" spans="6:6" ht="15" customHeight="1" x14ac:dyDescent="0.2">
      <c r="F4417"/>
    </row>
    <row r="4418" spans="6:6" ht="15" customHeight="1" x14ac:dyDescent="0.2">
      <c r="F4418"/>
    </row>
    <row r="4419" spans="6:6" ht="15" customHeight="1" x14ac:dyDescent="0.2">
      <c r="F4419"/>
    </row>
    <row r="4420" spans="6:6" ht="15" customHeight="1" x14ac:dyDescent="0.2">
      <c r="F4420"/>
    </row>
    <row r="4421" spans="6:6" ht="15" customHeight="1" x14ac:dyDescent="0.2">
      <c r="F4421"/>
    </row>
    <row r="4422" spans="6:6" ht="15" customHeight="1" x14ac:dyDescent="0.2">
      <c r="F4422"/>
    </row>
    <row r="4423" spans="6:6" ht="15" customHeight="1" x14ac:dyDescent="0.2">
      <c r="F4423"/>
    </row>
    <row r="4424" spans="6:6" ht="15" customHeight="1" x14ac:dyDescent="0.2">
      <c r="F4424"/>
    </row>
    <row r="4425" spans="6:6" ht="15" customHeight="1" x14ac:dyDescent="0.2">
      <c r="F4425"/>
    </row>
    <row r="4426" spans="6:6" ht="15" customHeight="1" x14ac:dyDescent="0.2">
      <c r="F4426"/>
    </row>
    <row r="4427" spans="6:6" ht="15" customHeight="1" x14ac:dyDescent="0.2">
      <c r="F4427"/>
    </row>
    <row r="4428" spans="6:6" ht="15" customHeight="1" x14ac:dyDescent="0.2">
      <c r="F4428"/>
    </row>
    <row r="4429" spans="6:6" ht="15" customHeight="1" x14ac:dyDescent="0.2">
      <c r="F4429"/>
    </row>
    <row r="4430" spans="6:6" ht="15" customHeight="1" x14ac:dyDescent="0.2">
      <c r="F4430"/>
    </row>
    <row r="4431" spans="6:6" ht="15" customHeight="1" x14ac:dyDescent="0.2">
      <c r="F4431"/>
    </row>
    <row r="4432" spans="6:6" ht="15" customHeight="1" x14ac:dyDescent="0.2">
      <c r="F4432"/>
    </row>
    <row r="4433" spans="6:6" ht="15" customHeight="1" x14ac:dyDescent="0.2">
      <c r="F4433"/>
    </row>
    <row r="4434" spans="6:6" ht="15" customHeight="1" x14ac:dyDescent="0.2">
      <c r="F4434"/>
    </row>
    <row r="4435" spans="6:6" ht="15" customHeight="1" x14ac:dyDescent="0.2">
      <c r="F4435"/>
    </row>
    <row r="4436" spans="6:6" ht="15" customHeight="1" x14ac:dyDescent="0.2">
      <c r="F4436"/>
    </row>
    <row r="4437" spans="6:6" ht="15" customHeight="1" x14ac:dyDescent="0.2">
      <c r="F4437"/>
    </row>
    <row r="4438" spans="6:6" ht="15" customHeight="1" x14ac:dyDescent="0.2">
      <c r="F4438"/>
    </row>
    <row r="4439" spans="6:6" ht="15" customHeight="1" x14ac:dyDescent="0.2">
      <c r="F4439"/>
    </row>
    <row r="4440" spans="6:6" ht="15" customHeight="1" x14ac:dyDescent="0.2">
      <c r="F4440"/>
    </row>
    <row r="4441" spans="6:6" ht="15" customHeight="1" x14ac:dyDescent="0.2">
      <c r="F4441"/>
    </row>
    <row r="4442" spans="6:6" ht="15" customHeight="1" x14ac:dyDescent="0.2">
      <c r="F4442"/>
    </row>
    <row r="4443" spans="6:6" ht="15" customHeight="1" x14ac:dyDescent="0.2">
      <c r="F4443"/>
    </row>
    <row r="4444" spans="6:6" ht="15" customHeight="1" x14ac:dyDescent="0.2">
      <c r="F4444"/>
    </row>
    <row r="4445" spans="6:6" ht="15" customHeight="1" x14ac:dyDescent="0.2">
      <c r="F4445"/>
    </row>
    <row r="4446" spans="6:6" ht="15" customHeight="1" x14ac:dyDescent="0.2">
      <c r="F4446"/>
    </row>
    <row r="4447" spans="6:6" ht="15" customHeight="1" x14ac:dyDescent="0.2">
      <c r="F4447"/>
    </row>
    <row r="4448" spans="6:6" ht="15" customHeight="1" x14ac:dyDescent="0.2">
      <c r="F4448"/>
    </row>
    <row r="4449" spans="6:6" ht="15" customHeight="1" x14ac:dyDescent="0.2">
      <c r="F4449"/>
    </row>
    <row r="4450" spans="6:6" ht="15" customHeight="1" x14ac:dyDescent="0.2">
      <c r="F4450"/>
    </row>
    <row r="4451" spans="6:6" ht="15" customHeight="1" x14ac:dyDescent="0.2">
      <c r="F4451"/>
    </row>
    <row r="4452" spans="6:6" ht="15" customHeight="1" x14ac:dyDescent="0.2">
      <c r="F4452"/>
    </row>
    <row r="4453" spans="6:6" ht="15" customHeight="1" x14ac:dyDescent="0.2">
      <c r="F4453"/>
    </row>
    <row r="4454" spans="6:6" ht="15" customHeight="1" x14ac:dyDescent="0.2">
      <c r="F4454"/>
    </row>
    <row r="4455" spans="6:6" ht="15" customHeight="1" x14ac:dyDescent="0.2">
      <c r="F4455"/>
    </row>
    <row r="4456" spans="6:6" ht="15" customHeight="1" x14ac:dyDescent="0.2">
      <c r="F4456"/>
    </row>
    <row r="4457" spans="6:6" ht="15" customHeight="1" x14ac:dyDescent="0.2">
      <c r="F4457"/>
    </row>
    <row r="4458" spans="6:6" ht="15" customHeight="1" x14ac:dyDescent="0.2">
      <c r="F4458"/>
    </row>
    <row r="4459" spans="6:6" ht="15" customHeight="1" x14ac:dyDescent="0.2">
      <c r="F4459"/>
    </row>
    <row r="4460" spans="6:6" ht="15" customHeight="1" x14ac:dyDescent="0.2">
      <c r="F4460"/>
    </row>
    <row r="4461" spans="6:6" ht="15" customHeight="1" x14ac:dyDescent="0.2">
      <c r="F4461"/>
    </row>
    <row r="4462" spans="6:6" ht="15" customHeight="1" x14ac:dyDescent="0.2">
      <c r="F4462"/>
    </row>
    <row r="4463" spans="6:6" ht="15" customHeight="1" x14ac:dyDescent="0.2">
      <c r="F4463"/>
    </row>
    <row r="4464" spans="6:6" ht="15" customHeight="1" x14ac:dyDescent="0.2">
      <c r="F4464"/>
    </row>
    <row r="4465" spans="6:6" ht="15" customHeight="1" x14ac:dyDescent="0.2">
      <c r="F4465"/>
    </row>
    <row r="4466" spans="6:6" ht="15" customHeight="1" x14ac:dyDescent="0.2">
      <c r="F4466"/>
    </row>
    <row r="4467" spans="6:6" ht="15" customHeight="1" x14ac:dyDescent="0.2">
      <c r="F4467"/>
    </row>
    <row r="4468" spans="6:6" ht="15" customHeight="1" x14ac:dyDescent="0.2">
      <c r="F4468"/>
    </row>
    <row r="4469" spans="6:6" ht="15" customHeight="1" x14ac:dyDescent="0.2">
      <c r="F4469"/>
    </row>
    <row r="4470" spans="6:6" ht="15" customHeight="1" x14ac:dyDescent="0.2">
      <c r="F4470"/>
    </row>
    <row r="4471" spans="6:6" ht="15" customHeight="1" x14ac:dyDescent="0.2">
      <c r="F4471"/>
    </row>
    <row r="4472" spans="6:6" ht="15" customHeight="1" x14ac:dyDescent="0.2">
      <c r="F4472"/>
    </row>
    <row r="4473" spans="6:6" ht="15" customHeight="1" x14ac:dyDescent="0.2">
      <c r="F4473"/>
    </row>
    <row r="4474" spans="6:6" ht="15" customHeight="1" x14ac:dyDescent="0.2">
      <c r="F4474"/>
    </row>
    <row r="4475" spans="6:6" ht="15" customHeight="1" x14ac:dyDescent="0.2">
      <c r="F4475"/>
    </row>
    <row r="4476" spans="6:6" ht="15" customHeight="1" x14ac:dyDescent="0.2">
      <c r="F4476"/>
    </row>
    <row r="4477" spans="6:6" ht="15" customHeight="1" x14ac:dyDescent="0.2">
      <c r="F4477"/>
    </row>
    <row r="4478" spans="6:6" ht="15" customHeight="1" x14ac:dyDescent="0.2">
      <c r="F4478"/>
    </row>
    <row r="4479" spans="6:6" ht="15" customHeight="1" x14ac:dyDescent="0.2">
      <c r="F4479"/>
    </row>
    <row r="4480" spans="6:6" ht="15" customHeight="1" x14ac:dyDescent="0.2">
      <c r="F4480"/>
    </row>
    <row r="4481" spans="6:6" ht="15" customHeight="1" x14ac:dyDescent="0.2">
      <c r="F4481"/>
    </row>
    <row r="4482" spans="6:6" ht="15" customHeight="1" x14ac:dyDescent="0.2">
      <c r="F4482"/>
    </row>
    <row r="4483" spans="6:6" ht="15" customHeight="1" x14ac:dyDescent="0.2">
      <c r="F4483"/>
    </row>
    <row r="4484" spans="6:6" ht="15" customHeight="1" x14ac:dyDescent="0.2">
      <c r="F4484"/>
    </row>
    <row r="4485" spans="6:6" ht="15" customHeight="1" x14ac:dyDescent="0.2">
      <c r="F4485"/>
    </row>
    <row r="4486" spans="6:6" ht="15" customHeight="1" x14ac:dyDescent="0.2">
      <c r="F4486"/>
    </row>
    <row r="4487" spans="6:6" ht="15" customHeight="1" x14ac:dyDescent="0.2">
      <c r="F4487"/>
    </row>
    <row r="4488" spans="6:6" ht="15" customHeight="1" x14ac:dyDescent="0.2">
      <c r="F4488"/>
    </row>
    <row r="4489" spans="6:6" ht="15" customHeight="1" x14ac:dyDescent="0.2">
      <c r="F4489"/>
    </row>
    <row r="4490" spans="6:6" ht="15" customHeight="1" x14ac:dyDescent="0.2">
      <c r="F4490"/>
    </row>
    <row r="4491" spans="6:6" ht="15" customHeight="1" x14ac:dyDescent="0.2">
      <c r="F4491"/>
    </row>
    <row r="4492" spans="6:6" ht="15" customHeight="1" x14ac:dyDescent="0.2">
      <c r="F4492"/>
    </row>
    <row r="4493" spans="6:6" ht="15" customHeight="1" x14ac:dyDescent="0.2">
      <c r="F4493"/>
    </row>
    <row r="4494" spans="6:6" ht="15" customHeight="1" x14ac:dyDescent="0.2">
      <c r="F4494"/>
    </row>
    <row r="4495" spans="6:6" ht="15" customHeight="1" x14ac:dyDescent="0.2">
      <c r="F4495"/>
    </row>
    <row r="4496" spans="6:6" ht="15" customHeight="1" x14ac:dyDescent="0.2">
      <c r="F4496"/>
    </row>
    <row r="4497" spans="6:6" ht="15" customHeight="1" x14ac:dyDescent="0.2">
      <c r="F4497"/>
    </row>
    <row r="4498" spans="6:6" ht="15" customHeight="1" x14ac:dyDescent="0.2">
      <c r="F4498"/>
    </row>
    <row r="4499" spans="6:6" ht="15" customHeight="1" x14ac:dyDescent="0.2">
      <c r="F4499"/>
    </row>
    <row r="4500" spans="6:6" ht="15" customHeight="1" x14ac:dyDescent="0.2">
      <c r="F4500"/>
    </row>
    <row r="4501" spans="6:6" ht="15" customHeight="1" x14ac:dyDescent="0.2">
      <c r="F4501"/>
    </row>
    <row r="4502" spans="6:6" ht="15" customHeight="1" x14ac:dyDescent="0.2">
      <c r="F4502"/>
    </row>
    <row r="4503" spans="6:6" ht="15" customHeight="1" x14ac:dyDescent="0.2">
      <c r="F4503"/>
    </row>
    <row r="4504" spans="6:6" ht="15" customHeight="1" x14ac:dyDescent="0.2">
      <c r="F4504"/>
    </row>
    <row r="4505" spans="6:6" ht="15" customHeight="1" x14ac:dyDescent="0.2">
      <c r="F4505"/>
    </row>
    <row r="4506" spans="6:6" ht="15" customHeight="1" x14ac:dyDescent="0.2">
      <c r="F4506"/>
    </row>
    <row r="4507" spans="6:6" ht="15" customHeight="1" x14ac:dyDescent="0.2">
      <c r="F4507"/>
    </row>
    <row r="4508" spans="6:6" ht="15" customHeight="1" x14ac:dyDescent="0.2">
      <c r="F4508"/>
    </row>
    <row r="4509" spans="6:6" ht="15" customHeight="1" x14ac:dyDescent="0.2">
      <c r="F4509"/>
    </row>
    <row r="4510" spans="6:6" ht="15" customHeight="1" x14ac:dyDescent="0.2">
      <c r="F4510"/>
    </row>
    <row r="4511" spans="6:6" ht="15" customHeight="1" x14ac:dyDescent="0.2">
      <c r="F4511"/>
    </row>
    <row r="4512" spans="6:6" ht="15" customHeight="1" x14ac:dyDescent="0.2">
      <c r="F4512"/>
    </row>
    <row r="4513" spans="6:6" ht="15" customHeight="1" x14ac:dyDescent="0.2">
      <c r="F4513"/>
    </row>
    <row r="4514" spans="6:6" ht="15" customHeight="1" x14ac:dyDescent="0.2">
      <c r="F4514"/>
    </row>
    <row r="4515" spans="6:6" ht="15" customHeight="1" x14ac:dyDescent="0.2">
      <c r="F4515"/>
    </row>
    <row r="4516" spans="6:6" ht="15" customHeight="1" x14ac:dyDescent="0.2">
      <c r="F4516"/>
    </row>
    <row r="4517" spans="6:6" ht="15" customHeight="1" x14ac:dyDescent="0.2">
      <c r="F4517"/>
    </row>
    <row r="4518" spans="6:6" ht="15" customHeight="1" x14ac:dyDescent="0.2">
      <c r="F4518"/>
    </row>
    <row r="4519" spans="6:6" ht="15" customHeight="1" x14ac:dyDescent="0.2">
      <c r="F4519"/>
    </row>
    <row r="4520" spans="6:6" ht="15" customHeight="1" x14ac:dyDescent="0.2">
      <c r="F4520"/>
    </row>
    <row r="4521" spans="6:6" ht="15" customHeight="1" x14ac:dyDescent="0.2">
      <c r="F4521"/>
    </row>
    <row r="4522" spans="6:6" ht="15" customHeight="1" x14ac:dyDescent="0.2">
      <c r="F4522"/>
    </row>
    <row r="4523" spans="6:6" ht="15" customHeight="1" x14ac:dyDescent="0.2">
      <c r="F4523"/>
    </row>
    <row r="4524" spans="6:6" ht="15" customHeight="1" x14ac:dyDescent="0.2">
      <c r="F4524"/>
    </row>
    <row r="4525" spans="6:6" ht="15" customHeight="1" x14ac:dyDescent="0.2">
      <c r="F4525"/>
    </row>
    <row r="4526" spans="6:6" ht="15" customHeight="1" x14ac:dyDescent="0.2">
      <c r="F4526"/>
    </row>
    <row r="4527" spans="6:6" ht="15" customHeight="1" x14ac:dyDescent="0.2">
      <c r="F4527"/>
    </row>
    <row r="4528" spans="6:6" ht="15" customHeight="1" x14ac:dyDescent="0.2">
      <c r="F4528"/>
    </row>
    <row r="4529" spans="6:6" ht="15" customHeight="1" x14ac:dyDescent="0.2">
      <c r="F4529"/>
    </row>
    <row r="4530" spans="6:6" ht="15" customHeight="1" x14ac:dyDescent="0.2">
      <c r="F4530"/>
    </row>
    <row r="4531" spans="6:6" ht="15" customHeight="1" x14ac:dyDescent="0.2">
      <c r="F4531"/>
    </row>
    <row r="4532" spans="6:6" ht="15" customHeight="1" x14ac:dyDescent="0.2">
      <c r="F4532"/>
    </row>
    <row r="4533" spans="6:6" ht="15" customHeight="1" x14ac:dyDescent="0.2">
      <c r="F4533"/>
    </row>
    <row r="4534" spans="6:6" ht="15" customHeight="1" x14ac:dyDescent="0.2">
      <c r="F4534"/>
    </row>
    <row r="4535" spans="6:6" ht="15" customHeight="1" x14ac:dyDescent="0.2">
      <c r="F4535"/>
    </row>
    <row r="4536" spans="6:6" ht="15" customHeight="1" x14ac:dyDescent="0.2">
      <c r="F4536"/>
    </row>
    <row r="4537" spans="6:6" ht="15" customHeight="1" x14ac:dyDescent="0.2">
      <c r="F4537"/>
    </row>
    <row r="4538" spans="6:6" ht="15" customHeight="1" x14ac:dyDescent="0.2">
      <c r="F4538"/>
    </row>
    <row r="4539" spans="6:6" ht="15" customHeight="1" x14ac:dyDescent="0.2">
      <c r="F4539"/>
    </row>
    <row r="4540" spans="6:6" ht="15" customHeight="1" x14ac:dyDescent="0.2">
      <c r="F4540"/>
    </row>
    <row r="4541" spans="6:6" ht="15" customHeight="1" x14ac:dyDescent="0.2">
      <c r="F4541"/>
    </row>
    <row r="4542" spans="6:6" ht="15" customHeight="1" x14ac:dyDescent="0.2">
      <c r="F4542"/>
    </row>
    <row r="4543" spans="6:6" ht="15" customHeight="1" x14ac:dyDescent="0.2">
      <c r="F4543"/>
    </row>
    <row r="4544" spans="6:6" ht="15" customHeight="1" x14ac:dyDescent="0.2">
      <c r="F4544"/>
    </row>
    <row r="4545" spans="6:6" ht="15" customHeight="1" x14ac:dyDescent="0.2">
      <c r="F4545"/>
    </row>
    <row r="4546" spans="6:6" ht="15" customHeight="1" x14ac:dyDescent="0.2">
      <c r="F4546"/>
    </row>
    <row r="4547" spans="6:6" ht="15" customHeight="1" x14ac:dyDescent="0.2">
      <c r="F4547"/>
    </row>
    <row r="4548" spans="6:6" ht="15" customHeight="1" x14ac:dyDescent="0.2">
      <c r="F4548"/>
    </row>
    <row r="4549" spans="6:6" ht="15" customHeight="1" x14ac:dyDescent="0.2">
      <c r="F4549"/>
    </row>
    <row r="4550" spans="6:6" ht="15" customHeight="1" x14ac:dyDescent="0.2">
      <c r="F4550"/>
    </row>
    <row r="4551" spans="6:6" ht="15" customHeight="1" x14ac:dyDescent="0.2">
      <c r="F4551"/>
    </row>
    <row r="4552" spans="6:6" ht="15" customHeight="1" x14ac:dyDescent="0.2">
      <c r="F4552"/>
    </row>
    <row r="4553" spans="6:6" ht="15" customHeight="1" x14ac:dyDescent="0.2">
      <c r="F4553"/>
    </row>
    <row r="4554" spans="6:6" ht="15" customHeight="1" x14ac:dyDescent="0.2">
      <c r="F4554"/>
    </row>
    <row r="4555" spans="6:6" ht="15" customHeight="1" x14ac:dyDescent="0.2">
      <c r="F4555"/>
    </row>
    <row r="4556" spans="6:6" ht="15" customHeight="1" x14ac:dyDescent="0.2">
      <c r="F4556"/>
    </row>
    <row r="4557" spans="6:6" ht="15" customHeight="1" x14ac:dyDescent="0.2">
      <c r="F4557"/>
    </row>
    <row r="4558" spans="6:6" ht="15" customHeight="1" x14ac:dyDescent="0.2">
      <c r="F4558"/>
    </row>
    <row r="4559" spans="6:6" ht="15" customHeight="1" x14ac:dyDescent="0.2">
      <c r="F4559"/>
    </row>
    <row r="4560" spans="6:6" ht="15" customHeight="1" x14ac:dyDescent="0.2">
      <c r="F4560"/>
    </row>
    <row r="4561" spans="6:6" ht="15" customHeight="1" x14ac:dyDescent="0.2">
      <c r="F4561"/>
    </row>
    <row r="4562" spans="6:6" ht="15" customHeight="1" x14ac:dyDescent="0.2">
      <c r="F4562"/>
    </row>
    <row r="4563" spans="6:6" ht="15" customHeight="1" x14ac:dyDescent="0.2">
      <c r="F4563"/>
    </row>
    <row r="4564" spans="6:6" ht="15" customHeight="1" x14ac:dyDescent="0.2">
      <c r="F4564"/>
    </row>
    <row r="4565" spans="6:6" ht="15" customHeight="1" x14ac:dyDescent="0.2">
      <c r="F4565"/>
    </row>
    <row r="4566" spans="6:6" ht="15" customHeight="1" x14ac:dyDescent="0.2">
      <c r="F4566"/>
    </row>
    <row r="4567" spans="6:6" ht="15" customHeight="1" x14ac:dyDescent="0.2">
      <c r="F4567"/>
    </row>
    <row r="4568" spans="6:6" ht="15" customHeight="1" x14ac:dyDescent="0.2">
      <c r="F4568"/>
    </row>
    <row r="4569" spans="6:6" ht="15" customHeight="1" x14ac:dyDescent="0.2">
      <c r="F4569"/>
    </row>
    <row r="4570" spans="6:6" ht="15" customHeight="1" x14ac:dyDescent="0.2">
      <c r="F4570"/>
    </row>
    <row r="4571" spans="6:6" ht="15" customHeight="1" x14ac:dyDescent="0.2">
      <c r="F4571"/>
    </row>
    <row r="4572" spans="6:6" ht="15" customHeight="1" x14ac:dyDescent="0.2">
      <c r="F4572"/>
    </row>
    <row r="4573" spans="6:6" ht="15" customHeight="1" x14ac:dyDescent="0.2">
      <c r="F4573"/>
    </row>
    <row r="4574" spans="6:6" ht="15" customHeight="1" x14ac:dyDescent="0.2">
      <c r="F4574"/>
    </row>
    <row r="4575" spans="6:6" ht="15" customHeight="1" x14ac:dyDescent="0.2">
      <c r="F4575"/>
    </row>
    <row r="4576" spans="6:6" ht="15" customHeight="1" x14ac:dyDescent="0.2">
      <c r="F4576"/>
    </row>
    <row r="4577" spans="6:6" ht="15" customHeight="1" x14ac:dyDescent="0.2">
      <c r="F4577"/>
    </row>
    <row r="4578" spans="6:6" ht="15" customHeight="1" x14ac:dyDescent="0.2">
      <c r="F4578"/>
    </row>
    <row r="4579" spans="6:6" ht="15" customHeight="1" x14ac:dyDescent="0.2">
      <c r="F4579"/>
    </row>
    <row r="4580" spans="6:6" ht="15" customHeight="1" x14ac:dyDescent="0.2">
      <c r="F4580"/>
    </row>
    <row r="4581" spans="6:6" ht="15" customHeight="1" x14ac:dyDescent="0.2">
      <c r="F4581"/>
    </row>
    <row r="4582" spans="6:6" ht="15" customHeight="1" x14ac:dyDescent="0.2">
      <c r="F4582"/>
    </row>
    <row r="4583" spans="6:6" ht="15" customHeight="1" x14ac:dyDescent="0.2">
      <c r="F4583"/>
    </row>
    <row r="4584" spans="6:6" ht="15" customHeight="1" x14ac:dyDescent="0.2">
      <c r="F4584"/>
    </row>
    <row r="4585" spans="6:6" ht="15" customHeight="1" x14ac:dyDescent="0.2">
      <c r="F4585"/>
    </row>
    <row r="4586" spans="6:6" ht="15" customHeight="1" x14ac:dyDescent="0.2">
      <c r="F4586"/>
    </row>
    <row r="4587" spans="6:6" ht="15" customHeight="1" x14ac:dyDescent="0.2">
      <c r="F4587"/>
    </row>
    <row r="4588" spans="6:6" ht="15" customHeight="1" x14ac:dyDescent="0.2">
      <c r="F4588"/>
    </row>
    <row r="4589" spans="6:6" ht="15" customHeight="1" x14ac:dyDescent="0.2">
      <c r="F4589"/>
    </row>
    <row r="4590" spans="6:6" ht="15" customHeight="1" x14ac:dyDescent="0.2">
      <c r="F4590"/>
    </row>
    <row r="4591" spans="6:6" ht="15" customHeight="1" x14ac:dyDescent="0.2">
      <c r="F4591"/>
    </row>
    <row r="4592" spans="6:6" ht="15" customHeight="1" x14ac:dyDescent="0.2">
      <c r="F4592"/>
    </row>
    <row r="4593" spans="6:6" ht="15" customHeight="1" x14ac:dyDescent="0.2">
      <c r="F4593"/>
    </row>
    <row r="4594" spans="6:6" ht="15" customHeight="1" x14ac:dyDescent="0.2">
      <c r="F4594"/>
    </row>
    <row r="4595" spans="6:6" ht="15" customHeight="1" x14ac:dyDescent="0.2">
      <c r="F4595"/>
    </row>
    <row r="4596" spans="6:6" ht="15" customHeight="1" x14ac:dyDescent="0.2">
      <c r="F4596"/>
    </row>
    <row r="4597" spans="6:6" ht="15" customHeight="1" x14ac:dyDescent="0.2">
      <c r="F4597"/>
    </row>
    <row r="4598" spans="6:6" ht="15" customHeight="1" x14ac:dyDescent="0.2">
      <c r="F4598"/>
    </row>
    <row r="4599" spans="6:6" ht="15" customHeight="1" x14ac:dyDescent="0.2">
      <c r="F4599"/>
    </row>
    <row r="4600" spans="6:6" ht="15" customHeight="1" x14ac:dyDescent="0.2">
      <c r="F4600"/>
    </row>
    <row r="4601" spans="6:6" ht="15" customHeight="1" x14ac:dyDescent="0.2">
      <c r="F4601"/>
    </row>
    <row r="4602" spans="6:6" ht="15" customHeight="1" x14ac:dyDescent="0.2">
      <c r="F4602"/>
    </row>
    <row r="4603" spans="6:6" ht="15" customHeight="1" x14ac:dyDescent="0.2">
      <c r="F4603"/>
    </row>
    <row r="4604" spans="6:6" ht="15" customHeight="1" x14ac:dyDescent="0.2">
      <c r="F4604"/>
    </row>
    <row r="4605" spans="6:6" ht="15" customHeight="1" x14ac:dyDescent="0.2">
      <c r="F4605"/>
    </row>
    <row r="4606" spans="6:6" ht="15" customHeight="1" x14ac:dyDescent="0.2">
      <c r="F4606"/>
    </row>
    <row r="4607" spans="6:6" ht="15" customHeight="1" x14ac:dyDescent="0.2">
      <c r="F4607"/>
    </row>
    <row r="4608" spans="6:6" ht="15" customHeight="1" x14ac:dyDescent="0.2">
      <c r="F4608"/>
    </row>
    <row r="4609" spans="6:6" ht="15" customHeight="1" x14ac:dyDescent="0.2">
      <c r="F4609"/>
    </row>
    <row r="4610" spans="6:6" ht="15" customHeight="1" x14ac:dyDescent="0.2">
      <c r="F4610"/>
    </row>
    <row r="4611" spans="6:6" ht="15" customHeight="1" x14ac:dyDescent="0.2">
      <c r="F4611"/>
    </row>
    <row r="4612" spans="6:6" ht="15" customHeight="1" x14ac:dyDescent="0.2">
      <c r="F4612"/>
    </row>
    <row r="4613" spans="6:6" ht="15" customHeight="1" x14ac:dyDescent="0.2">
      <c r="F4613"/>
    </row>
    <row r="4614" spans="6:6" ht="15" customHeight="1" x14ac:dyDescent="0.2">
      <c r="F4614"/>
    </row>
    <row r="4615" spans="6:6" ht="15" customHeight="1" x14ac:dyDescent="0.2">
      <c r="F4615"/>
    </row>
    <row r="4616" spans="6:6" ht="15" customHeight="1" x14ac:dyDescent="0.2">
      <c r="F4616"/>
    </row>
    <row r="4617" spans="6:6" ht="15" customHeight="1" x14ac:dyDescent="0.2">
      <c r="F4617"/>
    </row>
    <row r="4618" spans="6:6" ht="15" customHeight="1" x14ac:dyDescent="0.2">
      <c r="F4618"/>
    </row>
    <row r="4619" spans="6:6" ht="15" customHeight="1" x14ac:dyDescent="0.2">
      <c r="F4619"/>
    </row>
    <row r="4620" spans="6:6" ht="15" customHeight="1" x14ac:dyDescent="0.2">
      <c r="F4620"/>
    </row>
    <row r="4621" spans="6:6" ht="15" customHeight="1" x14ac:dyDescent="0.2">
      <c r="F4621"/>
    </row>
    <row r="4622" spans="6:6" ht="15" customHeight="1" x14ac:dyDescent="0.2">
      <c r="F4622"/>
    </row>
    <row r="4623" spans="6:6" ht="15" customHeight="1" x14ac:dyDescent="0.2">
      <c r="F4623"/>
    </row>
    <row r="4624" spans="6:6" ht="15" customHeight="1" x14ac:dyDescent="0.2">
      <c r="F4624"/>
    </row>
    <row r="4625" spans="6:6" ht="15" customHeight="1" x14ac:dyDescent="0.2">
      <c r="F4625"/>
    </row>
    <row r="4626" spans="6:6" ht="15" customHeight="1" x14ac:dyDescent="0.2">
      <c r="F4626"/>
    </row>
    <row r="4627" spans="6:6" ht="15" customHeight="1" x14ac:dyDescent="0.2">
      <c r="F4627"/>
    </row>
    <row r="4628" spans="6:6" ht="15" customHeight="1" x14ac:dyDescent="0.2">
      <c r="F4628"/>
    </row>
    <row r="4629" spans="6:6" ht="15" customHeight="1" x14ac:dyDescent="0.2">
      <c r="F4629"/>
    </row>
    <row r="4630" spans="6:6" ht="15" customHeight="1" x14ac:dyDescent="0.2">
      <c r="F4630"/>
    </row>
    <row r="4631" spans="6:6" ht="15" customHeight="1" x14ac:dyDescent="0.2">
      <c r="F4631"/>
    </row>
    <row r="4632" spans="6:6" ht="15" customHeight="1" x14ac:dyDescent="0.2">
      <c r="F4632"/>
    </row>
    <row r="4633" spans="6:6" ht="15" customHeight="1" x14ac:dyDescent="0.2">
      <c r="F4633"/>
    </row>
    <row r="4634" spans="6:6" ht="15" customHeight="1" x14ac:dyDescent="0.2">
      <c r="F4634"/>
    </row>
    <row r="4635" spans="6:6" ht="15" customHeight="1" x14ac:dyDescent="0.2">
      <c r="F4635"/>
    </row>
    <row r="4636" spans="6:6" ht="15" customHeight="1" x14ac:dyDescent="0.2">
      <c r="F4636"/>
    </row>
    <row r="4637" spans="6:6" ht="15" customHeight="1" x14ac:dyDescent="0.2">
      <c r="F4637"/>
    </row>
    <row r="4638" spans="6:6" ht="15" customHeight="1" x14ac:dyDescent="0.2">
      <c r="F4638"/>
    </row>
    <row r="4639" spans="6:6" ht="15" customHeight="1" x14ac:dyDescent="0.2">
      <c r="F4639"/>
    </row>
    <row r="4640" spans="6:6" ht="15" customHeight="1" x14ac:dyDescent="0.2">
      <c r="F4640"/>
    </row>
    <row r="4641" spans="6:6" ht="15" customHeight="1" x14ac:dyDescent="0.2">
      <c r="F4641"/>
    </row>
    <row r="4642" spans="6:6" ht="15" customHeight="1" x14ac:dyDescent="0.2">
      <c r="F4642"/>
    </row>
    <row r="4643" spans="6:6" ht="15" customHeight="1" x14ac:dyDescent="0.2">
      <c r="F4643"/>
    </row>
    <row r="4644" spans="6:6" ht="15" customHeight="1" x14ac:dyDescent="0.2">
      <c r="F4644"/>
    </row>
    <row r="4645" spans="6:6" ht="15" customHeight="1" x14ac:dyDescent="0.2">
      <c r="F4645"/>
    </row>
    <row r="4646" spans="6:6" ht="15" customHeight="1" x14ac:dyDescent="0.2">
      <c r="F4646"/>
    </row>
    <row r="4647" spans="6:6" ht="15" customHeight="1" x14ac:dyDescent="0.2">
      <c r="F4647"/>
    </row>
    <row r="4648" spans="6:6" ht="15" customHeight="1" x14ac:dyDescent="0.2">
      <c r="F4648"/>
    </row>
    <row r="4649" spans="6:6" ht="15" customHeight="1" x14ac:dyDescent="0.2">
      <c r="F4649"/>
    </row>
    <row r="4650" spans="6:6" ht="15" customHeight="1" x14ac:dyDescent="0.2">
      <c r="F4650"/>
    </row>
    <row r="4651" spans="6:6" ht="15" customHeight="1" x14ac:dyDescent="0.2">
      <c r="F4651"/>
    </row>
    <row r="4652" spans="6:6" ht="15" customHeight="1" x14ac:dyDescent="0.2">
      <c r="F4652"/>
    </row>
    <row r="4653" spans="6:6" ht="15" customHeight="1" x14ac:dyDescent="0.2">
      <c r="F4653"/>
    </row>
    <row r="4654" spans="6:6" ht="15" customHeight="1" x14ac:dyDescent="0.2">
      <c r="F4654"/>
    </row>
    <row r="4655" spans="6:6" ht="15" customHeight="1" x14ac:dyDescent="0.2">
      <c r="F4655"/>
    </row>
    <row r="4656" spans="6:6" ht="15" customHeight="1" x14ac:dyDescent="0.2">
      <c r="F4656"/>
    </row>
    <row r="4657" spans="6:6" ht="15" customHeight="1" x14ac:dyDescent="0.2">
      <c r="F4657"/>
    </row>
    <row r="4658" spans="6:6" ht="15" customHeight="1" x14ac:dyDescent="0.2">
      <c r="F4658"/>
    </row>
    <row r="4659" spans="6:6" ht="15" customHeight="1" x14ac:dyDescent="0.2">
      <c r="F4659"/>
    </row>
    <row r="4660" spans="6:6" ht="15" customHeight="1" x14ac:dyDescent="0.2">
      <c r="F4660"/>
    </row>
    <row r="4661" spans="6:6" ht="15" customHeight="1" x14ac:dyDescent="0.2">
      <c r="F4661"/>
    </row>
    <row r="4662" spans="6:6" ht="15" customHeight="1" x14ac:dyDescent="0.2">
      <c r="F4662"/>
    </row>
    <row r="4663" spans="6:6" ht="15" customHeight="1" x14ac:dyDescent="0.2">
      <c r="F4663"/>
    </row>
    <row r="4664" spans="6:6" ht="15" customHeight="1" x14ac:dyDescent="0.2">
      <c r="F4664"/>
    </row>
    <row r="4665" spans="6:6" ht="15" customHeight="1" x14ac:dyDescent="0.2">
      <c r="F4665"/>
    </row>
    <row r="4666" spans="6:6" ht="15" customHeight="1" x14ac:dyDescent="0.2">
      <c r="F4666"/>
    </row>
    <row r="4667" spans="6:6" ht="15" customHeight="1" x14ac:dyDescent="0.2">
      <c r="F4667"/>
    </row>
    <row r="4668" spans="6:6" ht="15" customHeight="1" x14ac:dyDescent="0.2">
      <c r="F4668"/>
    </row>
    <row r="4669" spans="6:6" ht="15" customHeight="1" x14ac:dyDescent="0.2">
      <c r="F4669"/>
    </row>
    <row r="4670" spans="6:6" ht="15" customHeight="1" x14ac:dyDescent="0.2">
      <c r="F4670"/>
    </row>
    <row r="4671" spans="6:6" ht="15" customHeight="1" x14ac:dyDescent="0.2">
      <c r="F4671"/>
    </row>
    <row r="4672" spans="6:6" ht="15" customHeight="1" x14ac:dyDescent="0.2">
      <c r="F4672"/>
    </row>
    <row r="4673" spans="6:6" ht="15" customHeight="1" x14ac:dyDescent="0.2">
      <c r="F4673"/>
    </row>
    <row r="4674" spans="6:6" ht="15" customHeight="1" x14ac:dyDescent="0.2">
      <c r="F4674"/>
    </row>
    <row r="4675" spans="6:6" ht="15" customHeight="1" x14ac:dyDescent="0.2">
      <c r="F4675"/>
    </row>
    <row r="4676" spans="6:6" ht="15" customHeight="1" x14ac:dyDescent="0.2">
      <c r="F4676"/>
    </row>
    <row r="4677" spans="6:6" ht="15" customHeight="1" x14ac:dyDescent="0.2">
      <c r="F4677"/>
    </row>
    <row r="4678" spans="6:6" ht="15" customHeight="1" x14ac:dyDescent="0.2">
      <c r="F4678"/>
    </row>
    <row r="4679" spans="6:6" ht="15" customHeight="1" x14ac:dyDescent="0.2">
      <c r="F4679"/>
    </row>
    <row r="4680" spans="6:6" ht="15" customHeight="1" x14ac:dyDescent="0.2">
      <c r="F4680"/>
    </row>
    <row r="4681" spans="6:6" ht="15" customHeight="1" x14ac:dyDescent="0.2">
      <c r="F4681"/>
    </row>
    <row r="4682" spans="6:6" ht="15" customHeight="1" x14ac:dyDescent="0.2">
      <c r="F4682"/>
    </row>
    <row r="4683" spans="6:6" ht="15" customHeight="1" x14ac:dyDescent="0.2">
      <c r="F4683"/>
    </row>
    <row r="4684" spans="6:6" ht="15" customHeight="1" x14ac:dyDescent="0.2">
      <c r="F4684"/>
    </row>
    <row r="4685" spans="6:6" ht="15" customHeight="1" x14ac:dyDescent="0.2">
      <c r="F4685"/>
    </row>
    <row r="4686" spans="6:6" ht="15" customHeight="1" x14ac:dyDescent="0.2">
      <c r="F4686"/>
    </row>
    <row r="4687" spans="6:6" ht="15" customHeight="1" x14ac:dyDescent="0.2">
      <c r="F4687"/>
    </row>
    <row r="4688" spans="6:6" ht="15" customHeight="1" x14ac:dyDescent="0.2">
      <c r="F4688"/>
    </row>
    <row r="4689" spans="6:6" ht="15" customHeight="1" x14ac:dyDescent="0.2">
      <c r="F4689"/>
    </row>
    <row r="4690" spans="6:6" ht="15" customHeight="1" x14ac:dyDescent="0.2">
      <c r="F4690"/>
    </row>
    <row r="4691" spans="6:6" ht="15" customHeight="1" x14ac:dyDescent="0.2">
      <c r="F4691"/>
    </row>
    <row r="4692" spans="6:6" ht="15" customHeight="1" x14ac:dyDescent="0.2">
      <c r="F4692"/>
    </row>
    <row r="4693" spans="6:6" ht="15" customHeight="1" x14ac:dyDescent="0.2">
      <c r="F4693"/>
    </row>
    <row r="4694" spans="6:6" ht="15" customHeight="1" x14ac:dyDescent="0.2">
      <c r="F4694"/>
    </row>
    <row r="4695" spans="6:6" ht="15" customHeight="1" x14ac:dyDescent="0.2">
      <c r="F4695"/>
    </row>
    <row r="4696" spans="6:6" ht="15" customHeight="1" x14ac:dyDescent="0.2">
      <c r="F4696"/>
    </row>
    <row r="4697" spans="6:6" ht="15" customHeight="1" x14ac:dyDescent="0.2">
      <c r="F4697"/>
    </row>
    <row r="4698" spans="6:6" ht="15" customHeight="1" x14ac:dyDescent="0.2">
      <c r="F4698"/>
    </row>
    <row r="4699" spans="6:6" ht="15" customHeight="1" x14ac:dyDescent="0.2">
      <c r="F4699"/>
    </row>
    <row r="4700" spans="6:6" ht="15" customHeight="1" x14ac:dyDescent="0.2">
      <c r="F4700"/>
    </row>
    <row r="4701" spans="6:6" ht="15" customHeight="1" x14ac:dyDescent="0.2">
      <c r="F4701"/>
    </row>
    <row r="4702" spans="6:6" ht="15" customHeight="1" x14ac:dyDescent="0.2">
      <c r="F4702"/>
    </row>
    <row r="4703" spans="6:6" ht="15" customHeight="1" x14ac:dyDescent="0.2">
      <c r="F4703"/>
    </row>
    <row r="4704" spans="6:6" ht="15" customHeight="1" x14ac:dyDescent="0.2">
      <c r="F4704"/>
    </row>
    <row r="4705" spans="6:6" ht="15" customHeight="1" x14ac:dyDescent="0.2">
      <c r="F4705"/>
    </row>
    <row r="4706" spans="6:6" ht="15" customHeight="1" x14ac:dyDescent="0.2">
      <c r="F4706"/>
    </row>
    <row r="4707" spans="6:6" ht="15" customHeight="1" x14ac:dyDescent="0.2">
      <c r="F4707"/>
    </row>
    <row r="4708" spans="6:6" ht="15" customHeight="1" x14ac:dyDescent="0.2">
      <c r="F4708"/>
    </row>
    <row r="4709" spans="6:6" ht="15" customHeight="1" x14ac:dyDescent="0.2">
      <c r="F4709"/>
    </row>
    <row r="4710" spans="6:6" ht="15" customHeight="1" x14ac:dyDescent="0.2">
      <c r="F4710"/>
    </row>
    <row r="4711" spans="6:6" ht="15" customHeight="1" x14ac:dyDescent="0.2">
      <c r="F4711"/>
    </row>
    <row r="4712" spans="6:6" ht="15" customHeight="1" x14ac:dyDescent="0.2">
      <c r="F4712"/>
    </row>
    <row r="4713" spans="6:6" ht="15" customHeight="1" x14ac:dyDescent="0.2">
      <c r="F4713"/>
    </row>
    <row r="4714" spans="6:6" ht="15" customHeight="1" x14ac:dyDescent="0.2">
      <c r="F4714"/>
    </row>
    <row r="4715" spans="6:6" ht="15" customHeight="1" x14ac:dyDescent="0.2">
      <c r="F4715"/>
    </row>
    <row r="4716" spans="6:6" ht="15" customHeight="1" x14ac:dyDescent="0.2">
      <c r="F4716"/>
    </row>
    <row r="4717" spans="6:6" ht="15" customHeight="1" x14ac:dyDescent="0.2">
      <c r="F4717"/>
    </row>
    <row r="4718" spans="6:6" ht="15" customHeight="1" x14ac:dyDescent="0.2">
      <c r="F4718"/>
    </row>
    <row r="4719" spans="6:6" ht="15" customHeight="1" x14ac:dyDescent="0.2">
      <c r="F4719"/>
    </row>
    <row r="4720" spans="6:6" ht="15" customHeight="1" x14ac:dyDescent="0.2">
      <c r="F4720"/>
    </row>
    <row r="4721" spans="6:6" ht="15" customHeight="1" x14ac:dyDescent="0.2">
      <c r="F4721"/>
    </row>
    <row r="4722" spans="6:6" ht="15" customHeight="1" x14ac:dyDescent="0.2">
      <c r="F4722"/>
    </row>
    <row r="4723" spans="6:6" ht="15" customHeight="1" x14ac:dyDescent="0.2">
      <c r="F4723"/>
    </row>
    <row r="4724" spans="6:6" ht="15" customHeight="1" x14ac:dyDescent="0.2">
      <c r="F4724"/>
    </row>
    <row r="4725" spans="6:6" ht="15" customHeight="1" x14ac:dyDescent="0.2">
      <c r="F4725"/>
    </row>
    <row r="4726" spans="6:6" ht="15" customHeight="1" x14ac:dyDescent="0.2">
      <c r="F4726"/>
    </row>
    <row r="4727" spans="6:6" ht="15" customHeight="1" x14ac:dyDescent="0.2">
      <c r="F4727"/>
    </row>
    <row r="4728" spans="6:6" ht="15" customHeight="1" x14ac:dyDescent="0.2">
      <c r="F4728"/>
    </row>
    <row r="4729" spans="6:6" ht="15" customHeight="1" x14ac:dyDescent="0.2">
      <c r="F4729"/>
    </row>
    <row r="4730" spans="6:6" ht="15" customHeight="1" x14ac:dyDescent="0.2">
      <c r="F4730"/>
    </row>
    <row r="4731" spans="6:6" ht="15" customHeight="1" x14ac:dyDescent="0.2">
      <c r="F4731"/>
    </row>
    <row r="4732" spans="6:6" ht="15" customHeight="1" x14ac:dyDescent="0.2">
      <c r="F4732"/>
    </row>
    <row r="4733" spans="6:6" ht="15" customHeight="1" x14ac:dyDescent="0.2">
      <c r="F4733"/>
    </row>
    <row r="4734" spans="6:6" ht="15" customHeight="1" x14ac:dyDescent="0.2">
      <c r="F4734"/>
    </row>
    <row r="4735" spans="6:6" ht="15" customHeight="1" x14ac:dyDescent="0.2">
      <c r="F4735"/>
    </row>
    <row r="4736" spans="6:6" ht="15" customHeight="1" x14ac:dyDescent="0.2">
      <c r="F4736"/>
    </row>
    <row r="4737" spans="6:6" ht="15" customHeight="1" x14ac:dyDescent="0.2">
      <c r="F4737"/>
    </row>
    <row r="4738" spans="6:6" ht="15" customHeight="1" x14ac:dyDescent="0.2">
      <c r="F4738"/>
    </row>
    <row r="4739" spans="6:6" ht="15" customHeight="1" x14ac:dyDescent="0.2">
      <c r="F4739"/>
    </row>
    <row r="4740" spans="6:6" ht="15" customHeight="1" x14ac:dyDescent="0.2">
      <c r="F4740"/>
    </row>
    <row r="4741" spans="6:6" ht="15" customHeight="1" x14ac:dyDescent="0.2">
      <c r="F4741"/>
    </row>
    <row r="4742" spans="6:6" ht="15" customHeight="1" x14ac:dyDescent="0.2">
      <c r="F4742"/>
    </row>
    <row r="4743" spans="6:6" ht="15" customHeight="1" x14ac:dyDescent="0.2">
      <c r="F4743"/>
    </row>
    <row r="4744" spans="6:6" ht="15" customHeight="1" x14ac:dyDescent="0.2">
      <c r="F4744"/>
    </row>
    <row r="4745" spans="6:6" ht="15" customHeight="1" x14ac:dyDescent="0.2">
      <c r="F4745"/>
    </row>
    <row r="4746" spans="6:6" ht="15" customHeight="1" x14ac:dyDescent="0.2">
      <c r="F4746"/>
    </row>
    <row r="4747" spans="6:6" ht="15" customHeight="1" x14ac:dyDescent="0.2">
      <c r="F4747"/>
    </row>
    <row r="4748" spans="6:6" ht="15" customHeight="1" x14ac:dyDescent="0.2">
      <c r="F4748"/>
    </row>
    <row r="4749" spans="6:6" ht="15" customHeight="1" x14ac:dyDescent="0.2">
      <c r="F4749"/>
    </row>
    <row r="4750" spans="6:6" ht="15" customHeight="1" x14ac:dyDescent="0.2">
      <c r="F4750"/>
    </row>
    <row r="4751" spans="6:6" ht="15" customHeight="1" x14ac:dyDescent="0.2">
      <c r="F4751"/>
    </row>
    <row r="4752" spans="6:6" ht="15" customHeight="1" x14ac:dyDescent="0.2">
      <c r="F4752"/>
    </row>
    <row r="4753" spans="6:6" ht="15" customHeight="1" x14ac:dyDescent="0.2">
      <c r="F4753"/>
    </row>
    <row r="4754" spans="6:6" ht="15" customHeight="1" x14ac:dyDescent="0.2">
      <c r="F4754"/>
    </row>
    <row r="4755" spans="6:6" ht="15" customHeight="1" x14ac:dyDescent="0.2">
      <c r="F4755"/>
    </row>
    <row r="4756" spans="6:6" ht="15" customHeight="1" x14ac:dyDescent="0.2">
      <c r="F4756"/>
    </row>
    <row r="4757" spans="6:6" ht="15" customHeight="1" x14ac:dyDescent="0.2">
      <c r="F4757"/>
    </row>
    <row r="4758" spans="6:6" ht="15" customHeight="1" x14ac:dyDescent="0.2">
      <c r="F4758"/>
    </row>
    <row r="4759" spans="6:6" ht="15" customHeight="1" x14ac:dyDescent="0.2">
      <c r="F4759"/>
    </row>
    <row r="4760" spans="6:6" ht="15" customHeight="1" x14ac:dyDescent="0.2">
      <c r="F4760"/>
    </row>
    <row r="4761" spans="6:6" ht="15" customHeight="1" x14ac:dyDescent="0.2">
      <c r="F4761"/>
    </row>
    <row r="4762" spans="6:6" ht="15" customHeight="1" x14ac:dyDescent="0.2">
      <c r="F4762"/>
    </row>
    <row r="4763" spans="6:6" ht="15" customHeight="1" x14ac:dyDescent="0.2">
      <c r="F4763"/>
    </row>
    <row r="4764" spans="6:6" ht="15" customHeight="1" x14ac:dyDescent="0.2">
      <c r="F4764"/>
    </row>
    <row r="4765" spans="6:6" ht="15" customHeight="1" x14ac:dyDescent="0.2">
      <c r="F4765"/>
    </row>
    <row r="4766" spans="6:6" ht="15" customHeight="1" x14ac:dyDescent="0.2">
      <c r="F4766"/>
    </row>
    <row r="4767" spans="6:6" ht="15" customHeight="1" x14ac:dyDescent="0.2">
      <c r="F4767"/>
    </row>
    <row r="4768" spans="6:6" ht="15" customHeight="1" x14ac:dyDescent="0.2">
      <c r="F4768"/>
    </row>
    <row r="4769" spans="6:6" ht="15" customHeight="1" x14ac:dyDescent="0.2">
      <c r="F4769"/>
    </row>
    <row r="4770" spans="6:6" ht="15" customHeight="1" x14ac:dyDescent="0.2">
      <c r="F4770"/>
    </row>
    <row r="4771" spans="6:6" ht="15" customHeight="1" x14ac:dyDescent="0.2">
      <c r="F4771"/>
    </row>
    <row r="4772" spans="6:6" ht="15" customHeight="1" x14ac:dyDescent="0.2">
      <c r="F4772"/>
    </row>
    <row r="4773" spans="6:6" ht="15" customHeight="1" x14ac:dyDescent="0.2">
      <c r="F4773"/>
    </row>
    <row r="4774" spans="6:6" ht="15" customHeight="1" x14ac:dyDescent="0.2">
      <c r="F4774"/>
    </row>
    <row r="4775" spans="6:6" ht="15" customHeight="1" x14ac:dyDescent="0.2">
      <c r="F4775"/>
    </row>
    <row r="4776" spans="6:6" ht="15" customHeight="1" x14ac:dyDescent="0.2">
      <c r="F4776"/>
    </row>
    <row r="4777" spans="6:6" ht="15" customHeight="1" x14ac:dyDescent="0.2">
      <c r="F4777"/>
    </row>
    <row r="4778" spans="6:6" ht="15" customHeight="1" x14ac:dyDescent="0.2">
      <c r="F4778"/>
    </row>
    <row r="4779" spans="6:6" ht="15" customHeight="1" x14ac:dyDescent="0.2">
      <c r="F4779"/>
    </row>
    <row r="4780" spans="6:6" ht="15" customHeight="1" x14ac:dyDescent="0.2">
      <c r="F4780"/>
    </row>
    <row r="4781" spans="6:6" ht="15" customHeight="1" x14ac:dyDescent="0.2">
      <c r="F4781"/>
    </row>
    <row r="4782" spans="6:6" ht="15" customHeight="1" x14ac:dyDescent="0.2">
      <c r="F4782"/>
    </row>
    <row r="4783" spans="6:6" ht="15" customHeight="1" x14ac:dyDescent="0.2">
      <c r="F4783"/>
    </row>
    <row r="4784" spans="6:6" ht="15" customHeight="1" x14ac:dyDescent="0.2">
      <c r="F4784"/>
    </row>
    <row r="4785" spans="6:6" ht="15" customHeight="1" x14ac:dyDescent="0.2">
      <c r="F4785"/>
    </row>
    <row r="4786" spans="6:6" ht="15" customHeight="1" x14ac:dyDescent="0.2">
      <c r="F4786"/>
    </row>
    <row r="4787" spans="6:6" ht="15" customHeight="1" x14ac:dyDescent="0.2">
      <c r="F4787"/>
    </row>
    <row r="4788" spans="6:6" ht="15" customHeight="1" x14ac:dyDescent="0.2">
      <c r="F4788"/>
    </row>
    <row r="4789" spans="6:6" ht="15" customHeight="1" x14ac:dyDescent="0.2">
      <c r="F4789"/>
    </row>
    <row r="4790" spans="6:6" ht="15" customHeight="1" x14ac:dyDescent="0.2">
      <c r="F4790"/>
    </row>
    <row r="4791" spans="6:6" ht="15" customHeight="1" x14ac:dyDescent="0.2">
      <c r="F4791"/>
    </row>
    <row r="4792" spans="6:6" ht="15" customHeight="1" x14ac:dyDescent="0.2">
      <c r="F4792"/>
    </row>
    <row r="4793" spans="6:6" ht="15" customHeight="1" x14ac:dyDescent="0.2">
      <c r="F4793"/>
    </row>
    <row r="4794" spans="6:6" ht="15" customHeight="1" x14ac:dyDescent="0.2">
      <c r="F4794"/>
    </row>
    <row r="4795" spans="6:6" ht="15" customHeight="1" x14ac:dyDescent="0.2">
      <c r="F4795"/>
    </row>
    <row r="4796" spans="6:6" ht="15" customHeight="1" x14ac:dyDescent="0.2">
      <c r="F4796"/>
    </row>
    <row r="4797" spans="6:6" ht="15" customHeight="1" x14ac:dyDescent="0.2">
      <c r="F4797"/>
    </row>
    <row r="4798" spans="6:6" ht="15" customHeight="1" x14ac:dyDescent="0.2">
      <c r="F4798"/>
    </row>
    <row r="4799" spans="6:6" ht="15" customHeight="1" x14ac:dyDescent="0.2">
      <c r="F4799"/>
    </row>
    <row r="4800" spans="6:6" ht="15" customHeight="1" x14ac:dyDescent="0.2">
      <c r="F4800"/>
    </row>
    <row r="4801" spans="6:6" ht="15" customHeight="1" x14ac:dyDescent="0.2">
      <c r="F4801"/>
    </row>
    <row r="4802" spans="6:6" ht="15" customHeight="1" x14ac:dyDescent="0.2">
      <c r="F4802"/>
    </row>
    <row r="4803" spans="6:6" ht="15" customHeight="1" x14ac:dyDescent="0.2">
      <c r="F4803"/>
    </row>
    <row r="4804" spans="6:6" ht="15" customHeight="1" x14ac:dyDescent="0.2">
      <c r="F4804"/>
    </row>
    <row r="4805" spans="6:6" ht="15" customHeight="1" x14ac:dyDescent="0.2">
      <c r="F4805"/>
    </row>
    <row r="4806" spans="6:6" ht="15" customHeight="1" x14ac:dyDescent="0.2">
      <c r="F4806"/>
    </row>
    <row r="4807" spans="6:6" ht="15" customHeight="1" x14ac:dyDescent="0.2">
      <c r="F4807"/>
    </row>
    <row r="4808" spans="6:6" ht="15" customHeight="1" x14ac:dyDescent="0.2">
      <c r="F4808"/>
    </row>
    <row r="4809" spans="6:6" ht="15" customHeight="1" x14ac:dyDescent="0.2">
      <c r="F4809"/>
    </row>
    <row r="4810" spans="6:6" ht="15" customHeight="1" x14ac:dyDescent="0.2">
      <c r="F4810"/>
    </row>
    <row r="4811" spans="6:6" ht="15" customHeight="1" x14ac:dyDescent="0.2">
      <c r="F4811"/>
    </row>
    <row r="4812" spans="6:6" ht="15" customHeight="1" x14ac:dyDescent="0.2">
      <c r="F4812"/>
    </row>
    <row r="4813" spans="6:6" ht="15" customHeight="1" x14ac:dyDescent="0.2">
      <c r="F4813"/>
    </row>
    <row r="4814" spans="6:6" ht="15" customHeight="1" x14ac:dyDescent="0.2">
      <c r="F4814"/>
    </row>
    <row r="4815" spans="6:6" ht="15" customHeight="1" x14ac:dyDescent="0.2">
      <c r="F4815"/>
    </row>
    <row r="4816" spans="6:6" ht="15" customHeight="1" x14ac:dyDescent="0.2">
      <c r="F4816"/>
    </row>
    <row r="4817" spans="6:6" ht="15" customHeight="1" x14ac:dyDescent="0.2">
      <c r="F4817"/>
    </row>
    <row r="4818" spans="6:6" ht="15" customHeight="1" x14ac:dyDescent="0.2">
      <c r="F4818"/>
    </row>
    <row r="4819" spans="6:6" ht="15" customHeight="1" x14ac:dyDescent="0.2">
      <c r="F4819"/>
    </row>
    <row r="4820" spans="6:6" ht="15" customHeight="1" x14ac:dyDescent="0.2">
      <c r="F4820"/>
    </row>
    <row r="4821" spans="6:6" ht="15" customHeight="1" x14ac:dyDescent="0.2">
      <c r="F4821"/>
    </row>
    <row r="4822" spans="6:6" ht="15" customHeight="1" x14ac:dyDescent="0.2">
      <c r="F4822"/>
    </row>
    <row r="4823" spans="6:6" ht="15" customHeight="1" x14ac:dyDescent="0.2">
      <c r="F4823"/>
    </row>
    <row r="4824" spans="6:6" ht="15" customHeight="1" x14ac:dyDescent="0.2">
      <c r="F4824"/>
    </row>
    <row r="4825" spans="6:6" ht="15" customHeight="1" x14ac:dyDescent="0.2">
      <c r="F4825"/>
    </row>
    <row r="4826" spans="6:6" ht="15" customHeight="1" x14ac:dyDescent="0.2">
      <c r="F4826"/>
    </row>
    <row r="4827" spans="6:6" ht="15" customHeight="1" x14ac:dyDescent="0.2">
      <c r="F4827"/>
    </row>
    <row r="4828" spans="6:6" ht="15" customHeight="1" x14ac:dyDescent="0.2">
      <c r="F4828"/>
    </row>
    <row r="4829" spans="6:6" ht="15" customHeight="1" x14ac:dyDescent="0.2">
      <c r="F4829"/>
    </row>
    <row r="4830" spans="6:6" ht="15" customHeight="1" x14ac:dyDescent="0.2">
      <c r="F4830"/>
    </row>
    <row r="4831" spans="6:6" ht="15" customHeight="1" x14ac:dyDescent="0.2">
      <c r="F4831"/>
    </row>
    <row r="4832" spans="6:6" ht="15" customHeight="1" x14ac:dyDescent="0.2">
      <c r="F4832"/>
    </row>
    <row r="4833" spans="6:6" ht="15" customHeight="1" x14ac:dyDescent="0.2">
      <c r="F4833"/>
    </row>
    <row r="4834" spans="6:6" ht="15" customHeight="1" x14ac:dyDescent="0.2">
      <c r="F4834"/>
    </row>
    <row r="4835" spans="6:6" ht="15" customHeight="1" x14ac:dyDescent="0.2">
      <c r="F4835"/>
    </row>
    <row r="4836" spans="6:6" ht="15" customHeight="1" x14ac:dyDescent="0.2">
      <c r="F4836"/>
    </row>
    <row r="4837" spans="6:6" ht="15" customHeight="1" x14ac:dyDescent="0.2">
      <c r="F4837"/>
    </row>
    <row r="4838" spans="6:6" ht="15" customHeight="1" x14ac:dyDescent="0.2">
      <c r="F4838"/>
    </row>
    <row r="4839" spans="6:6" ht="15" customHeight="1" x14ac:dyDescent="0.2">
      <c r="F4839"/>
    </row>
    <row r="4840" spans="6:6" ht="15" customHeight="1" x14ac:dyDescent="0.2">
      <c r="F4840"/>
    </row>
    <row r="4841" spans="6:6" ht="15" customHeight="1" x14ac:dyDescent="0.2">
      <c r="F4841"/>
    </row>
    <row r="4842" spans="6:6" ht="15" customHeight="1" x14ac:dyDescent="0.2">
      <c r="F4842"/>
    </row>
    <row r="4843" spans="6:6" ht="15" customHeight="1" x14ac:dyDescent="0.2">
      <c r="F4843"/>
    </row>
    <row r="4844" spans="6:6" ht="15" customHeight="1" x14ac:dyDescent="0.2">
      <c r="F4844"/>
    </row>
    <row r="4845" spans="6:6" ht="15" customHeight="1" x14ac:dyDescent="0.2">
      <c r="F4845"/>
    </row>
    <row r="4846" spans="6:6" ht="15" customHeight="1" x14ac:dyDescent="0.2">
      <c r="F4846"/>
    </row>
    <row r="4847" spans="6:6" ht="15" customHeight="1" x14ac:dyDescent="0.2">
      <c r="F4847"/>
    </row>
    <row r="4848" spans="6:6" ht="15" customHeight="1" x14ac:dyDescent="0.2">
      <c r="F4848"/>
    </row>
    <row r="4849" spans="6:6" ht="15" customHeight="1" x14ac:dyDescent="0.2">
      <c r="F4849"/>
    </row>
    <row r="4850" spans="6:6" ht="15" customHeight="1" x14ac:dyDescent="0.2">
      <c r="F4850"/>
    </row>
    <row r="4851" spans="6:6" ht="15" customHeight="1" x14ac:dyDescent="0.2">
      <c r="F4851"/>
    </row>
    <row r="4852" spans="6:6" ht="15" customHeight="1" x14ac:dyDescent="0.2">
      <c r="F4852"/>
    </row>
    <row r="4853" spans="6:6" ht="15" customHeight="1" x14ac:dyDescent="0.2">
      <c r="F4853"/>
    </row>
    <row r="4854" spans="6:6" ht="15" customHeight="1" x14ac:dyDescent="0.2">
      <c r="F4854"/>
    </row>
    <row r="4855" spans="6:6" ht="15" customHeight="1" x14ac:dyDescent="0.2">
      <c r="F4855"/>
    </row>
    <row r="4856" spans="6:6" ht="15" customHeight="1" x14ac:dyDescent="0.2">
      <c r="F4856"/>
    </row>
    <row r="4857" spans="6:6" ht="15" customHeight="1" x14ac:dyDescent="0.2">
      <c r="F4857"/>
    </row>
    <row r="4858" spans="6:6" ht="15" customHeight="1" x14ac:dyDescent="0.2">
      <c r="F4858"/>
    </row>
    <row r="4859" spans="6:6" ht="15" customHeight="1" x14ac:dyDescent="0.2">
      <c r="F4859"/>
    </row>
    <row r="4860" spans="6:6" ht="15" customHeight="1" x14ac:dyDescent="0.2">
      <c r="F4860"/>
    </row>
    <row r="4861" spans="6:6" ht="15" customHeight="1" x14ac:dyDescent="0.2">
      <c r="F4861"/>
    </row>
    <row r="4862" spans="6:6" ht="15" customHeight="1" x14ac:dyDescent="0.2">
      <c r="F4862"/>
    </row>
    <row r="4863" spans="6:6" ht="15" customHeight="1" x14ac:dyDescent="0.2">
      <c r="F4863"/>
    </row>
    <row r="4864" spans="6:6" ht="15" customHeight="1" x14ac:dyDescent="0.2">
      <c r="F4864"/>
    </row>
    <row r="4865" spans="6:6" ht="15" customHeight="1" x14ac:dyDescent="0.2">
      <c r="F4865"/>
    </row>
    <row r="4866" spans="6:6" ht="15" customHeight="1" x14ac:dyDescent="0.2">
      <c r="F4866"/>
    </row>
    <row r="4867" spans="6:6" ht="15" customHeight="1" x14ac:dyDescent="0.2">
      <c r="F4867"/>
    </row>
    <row r="4868" spans="6:6" ht="15" customHeight="1" x14ac:dyDescent="0.2">
      <c r="F4868"/>
    </row>
    <row r="4869" spans="6:6" ht="15" customHeight="1" x14ac:dyDescent="0.2">
      <c r="F4869"/>
    </row>
    <row r="4870" spans="6:6" ht="15" customHeight="1" x14ac:dyDescent="0.2">
      <c r="F4870"/>
    </row>
    <row r="4871" spans="6:6" ht="15" customHeight="1" x14ac:dyDescent="0.2">
      <c r="F4871"/>
    </row>
    <row r="4872" spans="6:6" ht="15" customHeight="1" x14ac:dyDescent="0.2">
      <c r="F4872"/>
    </row>
    <row r="4873" spans="6:6" ht="15" customHeight="1" x14ac:dyDescent="0.2">
      <c r="F4873"/>
    </row>
    <row r="4874" spans="6:6" ht="15" customHeight="1" x14ac:dyDescent="0.2">
      <c r="F4874"/>
    </row>
    <row r="4875" spans="6:6" ht="15" customHeight="1" x14ac:dyDescent="0.2">
      <c r="F4875"/>
    </row>
    <row r="4876" spans="6:6" ht="15" customHeight="1" x14ac:dyDescent="0.2">
      <c r="F4876"/>
    </row>
    <row r="4877" spans="6:6" ht="15" customHeight="1" x14ac:dyDescent="0.2">
      <c r="F4877"/>
    </row>
    <row r="4878" spans="6:6" ht="15" customHeight="1" x14ac:dyDescent="0.2">
      <c r="F4878"/>
    </row>
    <row r="4879" spans="6:6" ht="15" customHeight="1" x14ac:dyDescent="0.2">
      <c r="F4879"/>
    </row>
    <row r="4880" spans="6:6" ht="15" customHeight="1" x14ac:dyDescent="0.2">
      <c r="F4880"/>
    </row>
    <row r="4881" spans="6:6" ht="15" customHeight="1" x14ac:dyDescent="0.2">
      <c r="F4881"/>
    </row>
    <row r="4882" spans="6:6" ht="15" customHeight="1" x14ac:dyDescent="0.2">
      <c r="F4882"/>
    </row>
    <row r="4883" spans="6:6" ht="15" customHeight="1" x14ac:dyDescent="0.2">
      <c r="F4883"/>
    </row>
    <row r="4884" spans="6:6" ht="15" customHeight="1" x14ac:dyDescent="0.2">
      <c r="F4884"/>
    </row>
    <row r="4885" spans="6:6" ht="15" customHeight="1" x14ac:dyDescent="0.2">
      <c r="F4885"/>
    </row>
    <row r="4886" spans="6:6" ht="15" customHeight="1" x14ac:dyDescent="0.2">
      <c r="F4886"/>
    </row>
    <row r="4887" spans="6:6" ht="15" customHeight="1" x14ac:dyDescent="0.2">
      <c r="F4887"/>
    </row>
    <row r="4888" spans="6:6" ht="15" customHeight="1" x14ac:dyDescent="0.2">
      <c r="F4888"/>
    </row>
    <row r="4889" spans="6:6" ht="15" customHeight="1" x14ac:dyDescent="0.2">
      <c r="F4889"/>
    </row>
    <row r="4890" spans="6:6" ht="15" customHeight="1" x14ac:dyDescent="0.2">
      <c r="F4890"/>
    </row>
    <row r="4891" spans="6:6" ht="15" customHeight="1" x14ac:dyDescent="0.2">
      <c r="F4891"/>
    </row>
    <row r="4892" spans="6:6" ht="15" customHeight="1" x14ac:dyDescent="0.2">
      <c r="F4892"/>
    </row>
    <row r="4893" spans="6:6" ht="15" customHeight="1" x14ac:dyDescent="0.2">
      <c r="F4893"/>
    </row>
    <row r="4894" spans="6:6" ht="15" customHeight="1" x14ac:dyDescent="0.2">
      <c r="F4894"/>
    </row>
    <row r="4895" spans="6:6" ht="15" customHeight="1" x14ac:dyDescent="0.2">
      <c r="F4895"/>
    </row>
    <row r="4896" spans="6:6" ht="15" customHeight="1" x14ac:dyDescent="0.2">
      <c r="F4896"/>
    </row>
    <row r="4897" spans="6:6" ht="15" customHeight="1" x14ac:dyDescent="0.2">
      <c r="F4897"/>
    </row>
    <row r="4898" spans="6:6" ht="15" customHeight="1" x14ac:dyDescent="0.2">
      <c r="F4898"/>
    </row>
    <row r="4899" spans="6:6" ht="15" customHeight="1" x14ac:dyDescent="0.2">
      <c r="F4899"/>
    </row>
    <row r="4900" spans="6:6" ht="15" customHeight="1" x14ac:dyDescent="0.2">
      <c r="F4900"/>
    </row>
    <row r="4901" spans="6:6" ht="15" customHeight="1" x14ac:dyDescent="0.2">
      <c r="F4901"/>
    </row>
    <row r="4902" spans="6:6" ht="15" customHeight="1" x14ac:dyDescent="0.2">
      <c r="F4902"/>
    </row>
    <row r="4903" spans="6:6" ht="15" customHeight="1" x14ac:dyDescent="0.2">
      <c r="F4903"/>
    </row>
    <row r="4904" spans="6:6" ht="15" customHeight="1" x14ac:dyDescent="0.2">
      <c r="F4904"/>
    </row>
    <row r="4905" spans="6:6" ht="15" customHeight="1" x14ac:dyDescent="0.2">
      <c r="F4905"/>
    </row>
    <row r="4906" spans="6:6" ht="15" customHeight="1" x14ac:dyDescent="0.2">
      <c r="F4906"/>
    </row>
    <row r="4907" spans="6:6" ht="15" customHeight="1" x14ac:dyDescent="0.2">
      <c r="F4907"/>
    </row>
    <row r="4908" spans="6:6" ht="15" customHeight="1" x14ac:dyDescent="0.2">
      <c r="F4908"/>
    </row>
    <row r="4909" spans="6:6" ht="15" customHeight="1" x14ac:dyDescent="0.2">
      <c r="F4909"/>
    </row>
    <row r="4910" spans="6:6" ht="15" customHeight="1" x14ac:dyDescent="0.2">
      <c r="F4910"/>
    </row>
    <row r="4911" spans="6:6" ht="15" customHeight="1" x14ac:dyDescent="0.2">
      <c r="F4911"/>
    </row>
    <row r="4912" spans="6:6" ht="15" customHeight="1" x14ac:dyDescent="0.2">
      <c r="F4912"/>
    </row>
    <row r="4913" spans="6:6" ht="15" customHeight="1" x14ac:dyDescent="0.2">
      <c r="F4913"/>
    </row>
    <row r="4914" spans="6:6" ht="15" customHeight="1" x14ac:dyDescent="0.2">
      <c r="F4914"/>
    </row>
    <row r="4915" spans="6:6" ht="15" customHeight="1" x14ac:dyDescent="0.2">
      <c r="F4915"/>
    </row>
    <row r="4916" spans="6:6" ht="15" customHeight="1" x14ac:dyDescent="0.2">
      <c r="F4916"/>
    </row>
    <row r="4917" spans="6:6" ht="15" customHeight="1" x14ac:dyDescent="0.2">
      <c r="F4917"/>
    </row>
    <row r="4918" spans="6:6" ht="15" customHeight="1" x14ac:dyDescent="0.2">
      <c r="F4918"/>
    </row>
    <row r="4919" spans="6:6" ht="15" customHeight="1" x14ac:dyDescent="0.2">
      <c r="F4919"/>
    </row>
    <row r="4920" spans="6:6" ht="15" customHeight="1" x14ac:dyDescent="0.2">
      <c r="F4920"/>
    </row>
    <row r="4921" spans="6:6" ht="15" customHeight="1" x14ac:dyDescent="0.2">
      <c r="F4921"/>
    </row>
    <row r="4922" spans="6:6" ht="15" customHeight="1" x14ac:dyDescent="0.2">
      <c r="F4922"/>
    </row>
    <row r="4923" spans="6:6" ht="15" customHeight="1" x14ac:dyDescent="0.2">
      <c r="F4923"/>
    </row>
    <row r="4924" spans="6:6" ht="15" customHeight="1" x14ac:dyDescent="0.2">
      <c r="F4924"/>
    </row>
    <row r="4925" spans="6:6" ht="15" customHeight="1" x14ac:dyDescent="0.2">
      <c r="F4925"/>
    </row>
    <row r="4926" spans="6:6" ht="15" customHeight="1" x14ac:dyDescent="0.2">
      <c r="F4926"/>
    </row>
    <row r="4927" spans="6:6" ht="15" customHeight="1" x14ac:dyDescent="0.2">
      <c r="F4927"/>
    </row>
    <row r="4928" spans="6:6" ht="15" customHeight="1" x14ac:dyDescent="0.2">
      <c r="F4928"/>
    </row>
    <row r="4929" spans="6:6" ht="15" customHeight="1" x14ac:dyDescent="0.2">
      <c r="F4929"/>
    </row>
    <row r="4930" spans="6:6" ht="15" customHeight="1" x14ac:dyDescent="0.2">
      <c r="F4930"/>
    </row>
    <row r="4931" spans="6:6" ht="15" customHeight="1" x14ac:dyDescent="0.2">
      <c r="F4931"/>
    </row>
    <row r="4932" spans="6:6" ht="15" customHeight="1" x14ac:dyDescent="0.2">
      <c r="F4932"/>
    </row>
    <row r="4933" spans="6:6" ht="15" customHeight="1" x14ac:dyDescent="0.2">
      <c r="F4933"/>
    </row>
    <row r="4934" spans="6:6" ht="15" customHeight="1" x14ac:dyDescent="0.2">
      <c r="F4934"/>
    </row>
    <row r="4935" spans="6:6" ht="15" customHeight="1" x14ac:dyDescent="0.2">
      <c r="F4935"/>
    </row>
    <row r="4936" spans="6:6" ht="15" customHeight="1" x14ac:dyDescent="0.2">
      <c r="F4936"/>
    </row>
    <row r="4937" spans="6:6" ht="15" customHeight="1" x14ac:dyDescent="0.2">
      <c r="F4937"/>
    </row>
    <row r="4938" spans="6:6" ht="15" customHeight="1" x14ac:dyDescent="0.2">
      <c r="F4938"/>
    </row>
    <row r="4939" spans="6:6" ht="15" customHeight="1" x14ac:dyDescent="0.2">
      <c r="F4939"/>
    </row>
    <row r="4940" spans="6:6" ht="15" customHeight="1" x14ac:dyDescent="0.2">
      <c r="F4940"/>
    </row>
    <row r="4941" spans="6:6" ht="15" customHeight="1" x14ac:dyDescent="0.2">
      <c r="F4941"/>
    </row>
    <row r="4942" spans="6:6" ht="15" customHeight="1" x14ac:dyDescent="0.2">
      <c r="F4942"/>
    </row>
    <row r="4943" spans="6:6" ht="15" customHeight="1" x14ac:dyDescent="0.2">
      <c r="F4943"/>
    </row>
    <row r="4944" spans="6:6" ht="15" customHeight="1" x14ac:dyDescent="0.2">
      <c r="F4944"/>
    </row>
    <row r="4945" spans="6:6" ht="15" customHeight="1" x14ac:dyDescent="0.2">
      <c r="F4945"/>
    </row>
    <row r="4946" spans="6:6" ht="15" customHeight="1" x14ac:dyDescent="0.2">
      <c r="F4946"/>
    </row>
    <row r="4947" spans="6:6" ht="15" customHeight="1" x14ac:dyDescent="0.2">
      <c r="F4947"/>
    </row>
    <row r="4948" spans="6:6" ht="15" customHeight="1" x14ac:dyDescent="0.2">
      <c r="F4948"/>
    </row>
    <row r="4949" spans="6:6" ht="15" customHeight="1" x14ac:dyDescent="0.2">
      <c r="F4949"/>
    </row>
    <row r="4950" spans="6:6" ht="15" customHeight="1" x14ac:dyDescent="0.2">
      <c r="F4950"/>
    </row>
    <row r="4951" spans="6:6" ht="15" customHeight="1" x14ac:dyDescent="0.2">
      <c r="F4951"/>
    </row>
    <row r="4952" spans="6:6" ht="15" customHeight="1" x14ac:dyDescent="0.2">
      <c r="F4952"/>
    </row>
    <row r="4953" spans="6:6" ht="15" customHeight="1" x14ac:dyDescent="0.2">
      <c r="F4953"/>
    </row>
    <row r="4954" spans="6:6" ht="15" customHeight="1" x14ac:dyDescent="0.2">
      <c r="F4954"/>
    </row>
    <row r="4955" spans="6:6" ht="15" customHeight="1" x14ac:dyDescent="0.2">
      <c r="F4955"/>
    </row>
    <row r="4956" spans="6:6" ht="15" customHeight="1" x14ac:dyDescent="0.2">
      <c r="F4956"/>
    </row>
    <row r="4957" spans="6:6" ht="15" customHeight="1" x14ac:dyDescent="0.2">
      <c r="F4957"/>
    </row>
    <row r="4958" spans="6:6" ht="15" customHeight="1" x14ac:dyDescent="0.2">
      <c r="F4958"/>
    </row>
    <row r="4959" spans="6:6" ht="15" customHeight="1" x14ac:dyDescent="0.2">
      <c r="F4959"/>
    </row>
    <row r="4960" spans="6:6" ht="15" customHeight="1" x14ac:dyDescent="0.2">
      <c r="F4960"/>
    </row>
    <row r="4961" spans="6:6" ht="15" customHeight="1" x14ac:dyDescent="0.2">
      <c r="F4961"/>
    </row>
    <row r="4962" spans="6:6" ht="15" customHeight="1" x14ac:dyDescent="0.2">
      <c r="F4962"/>
    </row>
    <row r="4963" spans="6:6" ht="15" customHeight="1" x14ac:dyDescent="0.2">
      <c r="F4963"/>
    </row>
    <row r="4964" spans="6:6" ht="15" customHeight="1" x14ac:dyDescent="0.2">
      <c r="F4964"/>
    </row>
    <row r="4965" spans="6:6" ht="15" customHeight="1" x14ac:dyDescent="0.2">
      <c r="F4965"/>
    </row>
    <row r="4966" spans="6:6" ht="15" customHeight="1" x14ac:dyDescent="0.2">
      <c r="F4966"/>
    </row>
    <row r="4967" spans="6:6" ht="15" customHeight="1" x14ac:dyDescent="0.2">
      <c r="F4967"/>
    </row>
    <row r="4968" spans="6:6" ht="15" customHeight="1" x14ac:dyDescent="0.2">
      <c r="F4968"/>
    </row>
    <row r="4969" spans="6:6" ht="15" customHeight="1" x14ac:dyDescent="0.2">
      <c r="F4969"/>
    </row>
    <row r="4970" spans="6:6" ht="15" customHeight="1" x14ac:dyDescent="0.2">
      <c r="F4970"/>
    </row>
    <row r="4971" spans="6:6" ht="15" customHeight="1" x14ac:dyDescent="0.2">
      <c r="F4971"/>
    </row>
    <row r="4972" spans="6:6" ht="15" customHeight="1" x14ac:dyDescent="0.2">
      <c r="F4972"/>
    </row>
    <row r="4973" spans="6:6" ht="15" customHeight="1" x14ac:dyDescent="0.2">
      <c r="F4973"/>
    </row>
    <row r="4974" spans="6:6" ht="15" customHeight="1" x14ac:dyDescent="0.2">
      <c r="F4974"/>
    </row>
    <row r="4975" spans="6:6" ht="15" customHeight="1" x14ac:dyDescent="0.2">
      <c r="F4975"/>
    </row>
    <row r="4976" spans="6:6" ht="15" customHeight="1" x14ac:dyDescent="0.2">
      <c r="F4976"/>
    </row>
    <row r="4977" spans="6:6" ht="15" customHeight="1" x14ac:dyDescent="0.2">
      <c r="F4977"/>
    </row>
    <row r="4978" spans="6:6" ht="15" customHeight="1" x14ac:dyDescent="0.2">
      <c r="F4978"/>
    </row>
    <row r="4979" spans="6:6" ht="15" customHeight="1" x14ac:dyDescent="0.2">
      <c r="F4979"/>
    </row>
    <row r="4980" spans="6:6" ht="15" customHeight="1" x14ac:dyDescent="0.2">
      <c r="F4980"/>
    </row>
    <row r="4981" spans="6:6" ht="15" customHeight="1" x14ac:dyDescent="0.2">
      <c r="F4981"/>
    </row>
    <row r="4982" spans="6:6" ht="15" customHeight="1" x14ac:dyDescent="0.2">
      <c r="F4982"/>
    </row>
    <row r="4983" spans="6:6" ht="15" customHeight="1" x14ac:dyDescent="0.2">
      <c r="F4983"/>
    </row>
    <row r="4984" spans="6:6" ht="15" customHeight="1" x14ac:dyDescent="0.2">
      <c r="F4984"/>
    </row>
    <row r="4985" spans="6:6" ht="15" customHeight="1" x14ac:dyDescent="0.2">
      <c r="F4985"/>
    </row>
    <row r="4986" spans="6:6" ht="15" customHeight="1" x14ac:dyDescent="0.2">
      <c r="F4986"/>
    </row>
    <row r="4987" spans="6:6" ht="15" customHeight="1" x14ac:dyDescent="0.2">
      <c r="F4987"/>
    </row>
    <row r="4988" spans="6:6" ht="15" customHeight="1" x14ac:dyDescent="0.2">
      <c r="F4988"/>
    </row>
    <row r="4989" spans="6:6" ht="15" customHeight="1" x14ac:dyDescent="0.2">
      <c r="F4989"/>
    </row>
    <row r="4990" spans="6:6" ht="15" customHeight="1" x14ac:dyDescent="0.2">
      <c r="F4990"/>
    </row>
    <row r="4991" spans="6:6" ht="15" customHeight="1" x14ac:dyDescent="0.2">
      <c r="F4991"/>
    </row>
    <row r="4992" spans="6:6" ht="15" customHeight="1" x14ac:dyDescent="0.2">
      <c r="F4992"/>
    </row>
    <row r="4993" spans="6:6" ht="15" customHeight="1" x14ac:dyDescent="0.2">
      <c r="F4993"/>
    </row>
    <row r="4994" spans="6:6" ht="15" customHeight="1" x14ac:dyDescent="0.2">
      <c r="F4994"/>
    </row>
    <row r="4995" spans="6:6" ht="15" customHeight="1" x14ac:dyDescent="0.2">
      <c r="F4995"/>
    </row>
    <row r="4996" spans="6:6" ht="15" customHeight="1" x14ac:dyDescent="0.2">
      <c r="F4996"/>
    </row>
    <row r="4997" spans="6:6" ht="15" customHeight="1" x14ac:dyDescent="0.2">
      <c r="F4997"/>
    </row>
    <row r="4998" spans="6:6" ht="15" customHeight="1" x14ac:dyDescent="0.2">
      <c r="F4998"/>
    </row>
    <row r="4999" spans="6:6" ht="15" customHeight="1" x14ac:dyDescent="0.2">
      <c r="F4999"/>
    </row>
    <row r="5000" spans="6:6" ht="15" customHeight="1" x14ac:dyDescent="0.2">
      <c r="F5000"/>
    </row>
    <row r="5001" spans="6:6" ht="15" customHeight="1" x14ac:dyDescent="0.2">
      <c r="F5001"/>
    </row>
    <row r="5002" spans="6:6" ht="15" customHeight="1" x14ac:dyDescent="0.2">
      <c r="F5002"/>
    </row>
    <row r="5003" spans="6:6" ht="15" customHeight="1" x14ac:dyDescent="0.2">
      <c r="F5003"/>
    </row>
    <row r="5004" spans="6:6" ht="15" customHeight="1" x14ac:dyDescent="0.2">
      <c r="F5004"/>
    </row>
    <row r="5005" spans="6:6" ht="15" customHeight="1" x14ac:dyDescent="0.2">
      <c r="F5005"/>
    </row>
    <row r="5006" spans="6:6" ht="15" customHeight="1" x14ac:dyDescent="0.2">
      <c r="F5006"/>
    </row>
    <row r="5007" spans="6:6" ht="15" customHeight="1" x14ac:dyDescent="0.2">
      <c r="F5007"/>
    </row>
    <row r="5008" spans="6:6" ht="15" customHeight="1" x14ac:dyDescent="0.2">
      <c r="F5008"/>
    </row>
    <row r="5009" spans="6:6" ht="15" customHeight="1" x14ac:dyDescent="0.2">
      <c r="F5009"/>
    </row>
    <row r="5010" spans="6:6" ht="15" customHeight="1" x14ac:dyDescent="0.2">
      <c r="F5010"/>
    </row>
    <row r="5011" spans="6:6" ht="15" customHeight="1" x14ac:dyDescent="0.2">
      <c r="F5011"/>
    </row>
    <row r="5012" spans="6:6" ht="15" customHeight="1" x14ac:dyDescent="0.2">
      <c r="F5012"/>
    </row>
    <row r="5013" spans="6:6" ht="15" customHeight="1" x14ac:dyDescent="0.2">
      <c r="F5013"/>
    </row>
    <row r="5014" spans="6:6" ht="15" customHeight="1" x14ac:dyDescent="0.2">
      <c r="F5014"/>
    </row>
    <row r="5015" spans="6:6" ht="15" customHeight="1" x14ac:dyDescent="0.2">
      <c r="F5015"/>
    </row>
    <row r="5016" spans="6:6" ht="15" customHeight="1" x14ac:dyDescent="0.2">
      <c r="F5016"/>
    </row>
    <row r="5017" spans="6:6" ht="15" customHeight="1" x14ac:dyDescent="0.2">
      <c r="F5017"/>
    </row>
    <row r="5018" spans="6:6" ht="15" customHeight="1" x14ac:dyDescent="0.2">
      <c r="F5018"/>
    </row>
    <row r="5019" spans="6:6" ht="15" customHeight="1" x14ac:dyDescent="0.2">
      <c r="F5019"/>
    </row>
    <row r="5020" spans="6:6" ht="15" customHeight="1" x14ac:dyDescent="0.2">
      <c r="F5020"/>
    </row>
    <row r="5021" spans="6:6" ht="15" customHeight="1" x14ac:dyDescent="0.2">
      <c r="F5021"/>
    </row>
    <row r="5022" spans="6:6" ht="15" customHeight="1" x14ac:dyDescent="0.2">
      <c r="F5022"/>
    </row>
    <row r="5023" spans="6:6" ht="15" customHeight="1" x14ac:dyDescent="0.2">
      <c r="F5023"/>
    </row>
    <row r="5024" spans="6:6" ht="15" customHeight="1" x14ac:dyDescent="0.2">
      <c r="F5024"/>
    </row>
    <row r="5025" spans="6:6" ht="15" customHeight="1" x14ac:dyDescent="0.2">
      <c r="F5025"/>
    </row>
    <row r="5026" spans="6:6" ht="15" customHeight="1" x14ac:dyDescent="0.2">
      <c r="F5026"/>
    </row>
    <row r="5027" spans="6:6" ht="15" customHeight="1" x14ac:dyDescent="0.2">
      <c r="F5027"/>
    </row>
    <row r="5028" spans="6:6" ht="15" customHeight="1" x14ac:dyDescent="0.2">
      <c r="F5028"/>
    </row>
    <row r="5029" spans="6:6" ht="15" customHeight="1" x14ac:dyDescent="0.2">
      <c r="F5029"/>
    </row>
    <row r="5030" spans="6:6" ht="15" customHeight="1" x14ac:dyDescent="0.2">
      <c r="F5030"/>
    </row>
    <row r="5031" spans="6:6" ht="15" customHeight="1" x14ac:dyDescent="0.2">
      <c r="F5031"/>
    </row>
    <row r="5032" spans="6:6" ht="15" customHeight="1" x14ac:dyDescent="0.2">
      <c r="F5032"/>
    </row>
    <row r="5033" spans="6:6" ht="15" customHeight="1" x14ac:dyDescent="0.2">
      <c r="F5033"/>
    </row>
    <row r="5034" spans="6:6" ht="15" customHeight="1" x14ac:dyDescent="0.2">
      <c r="F5034"/>
    </row>
    <row r="5035" spans="6:6" ht="15" customHeight="1" x14ac:dyDescent="0.2">
      <c r="F5035"/>
    </row>
    <row r="5036" spans="6:6" ht="15" customHeight="1" x14ac:dyDescent="0.2">
      <c r="F5036"/>
    </row>
    <row r="5037" spans="6:6" ht="15" customHeight="1" x14ac:dyDescent="0.2">
      <c r="F5037"/>
    </row>
    <row r="5038" spans="6:6" ht="15" customHeight="1" x14ac:dyDescent="0.2">
      <c r="F5038"/>
    </row>
    <row r="5039" spans="6:6" ht="15" customHeight="1" x14ac:dyDescent="0.2">
      <c r="F5039"/>
    </row>
    <row r="5040" spans="6:6" ht="15" customHeight="1" x14ac:dyDescent="0.2">
      <c r="F5040"/>
    </row>
    <row r="5041" spans="6:6" ht="15" customHeight="1" x14ac:dyDescent="0.2">
      <c r="F5041"/>
    </row>
    <row r="5042" spans="6:6" ht="15" customHeight="1" x14ac:dyDescent="0.2">
      <c r="F5042"/>
    </row>
    <row r="5043" spans="6:6" ht="15" customHeight="1" x14ac:dyDescent="0.2">
      <c r="F5043"/>
    </row>
    <row r="5044" spans="6:6" ht="15" customHeight="1" x14ac:dyDescent="0.2">
      <c r="F5044"/>
    </row>
    <row r="5045" spans="6:6" ht="15" customHeight="1" x14ac:dyDescent="0.2">
      <c r="F5045"/>
    </row>
    <row r="5046" spans="6:6" ht="15" customHeight="1" x14ac:dyDescent="0.2">
      <c r="F5046"/>
    </row>
    <row r="5047" spans="6:6" ht="15" customHeight="1" x14ac:dyDescent="0.2">
      <c r="F5047"/>
    </row>
    <row r="5048" spans="6:6" ht="15" customHeight="1" x14ac:dyDescent="0.2">
      <c r="F5048"/>
    </row>
    <row r="5049" spans="6:6" ht="15" customHeight="1" x14ac:dyDescent="0.2">
      <c r="F5049"/>
    </row>
    <row r="5050" spans="6:6" ht="15" customHeight="1" x14ac:dyDescent="0.2">
      <c r="F5050"/>
    </row>
    <row r="5051" spans="6:6" ht="15" customHeight="1" x14ac:dyDescent="0.2">
      <c r="F5051"/>
    </row>
    <row r="5052" spans="6:6" ht="15" customHeight="1" x14ac:dyDescent="0.2">
      <c r="F5052"/>
    </row>
    <row r="5053" spans="6:6" ht="15" customHeight="1" x14ac:dyDescent="0.2">
      <c r="F5053"/>
    </row>
    <row r="5054" spans="6:6" ht="15" customHeight="1" x14ac:dyDescent="0.2">
      <c r="F5054"/>
    </row>
    <row r="5055" spans="6:6" ht="15" customHeight="1" x14ac:dyDescent="0.2">
      <c r="F5055"/>
    </row>
    <row r="5056" spans="6:6" ht="15" customHeight="1" x14ac:dyDescent="0.2">
      <c r="F5056"/>
    </row>
    <row r="5057" spans="6:6" ht="15" customHeight="1" x14ac:dyDescent="0.2">
      <c r="F5057"/>
    </row>
    <row r="5058" spans="6:6" ht="15" customHeight="1" x14ac:dyDescent="0.2">
      <c r="F5058"/>
    </row>
    <row r="5059" spans="6:6" ht="15" customHeight="1" x14ac:dyDescent="0.2">
      <c r="F5059"/>
    </row>
    <row r="5060" spans="6:6" ht="15" customHeight="1" x14ac:dyDescent="0.2">
      <c r="F5060"/>
    </row>
    <row r="5061" spans="6:6" ht="15" customHeight="1" x14ac:dyDescent="0.2">
      <c r="F5061"/>
    </row>
    <row r="5062" spans="6:6" ht="15" customHeight="1" x14ac:dyDescent="0.2">
      <c r="F5062"/>
    </row>
    <row r="5063" spans="6:6" ht="15" customHeight="1" x14ac:dyDescent="0.2">
      <c r="F5063"/>
    </row>
    <row r="5064" spans="6:6" ht="15" customHeight="1" x14ac:dyDescent="0.2">
      <c r="F5064"/>
    </row>
    <row r="5065" spans="6:6" ht="15" customHeight="1" x14ac:dyDescent="0.2">
      <c r="F5065"/>
    </row>
    <row r="5066" spans="6:6" ht="15" customHeight="1" x14ac:dyDescent="0.2">
      <c r="F5066"/>
    </row>
    <row r="5067" spans="6:6" ht="15" customHeight="1" x14ac:dyDescent="0.2">
      <c r="F5067"/>
    </row>
    <row r="5068" spans="6:6" ht="15" customHeight="1" x14ac:dyDescent="0.2">
      <c r="F5068"/>
    </row>
    <row r="5069" spans="6:6" ht="15" customHeight="1" x14ac:dyDescent="0.2">
      <c r="F5069"/>
    </row>
    <row r="5070" spans="6:6" ht="15" customHeight="1" x14ac:dyDescent="0.2">
      <c r="F5070"/>
    </row>
    <row r="5071" spans="6:6" ht="15" customHeight="1" x14ac:dyDescent="0.2">
      <c r="F5071"/>
    </row>
    <row r="5072" spans="6:6" ht="15" customHeight="1" x14ac:dyDescent="0.2">
      <c r="F5072"/>
    </row>
    <row r="5073" spans="6:6" ht="15" customHeight="1" x14ac:dyDescent="0.2">
      <c r="F5073"/>
    </row>
    <row r="5074" spans="6:6" ht="15" customHeight="1" x14ac:dyDescent="0.2">
      <c r="F5074"/>
    </row>
    <row r="5075" spans="6:6" ht="15" customHeight="1" x14ac:dyDescent="0.2">
      <c r="F5075"/>
    </row>
    <row r="5076" spans="6:6" ht="15" customHeight="1" x14ac:dyDescent="0.2">
      <c r="F5076"/>
    </row>
    <row r="5077" spans="6:6" ht="15" customHeight="1" x14ac:dyDescent="0.2">
      <c r="F5077"/>
    </row>
    <row r="5078" spans="6:6" ht="15" customHeight="1" x14ac:dyDescent="0.2">
      <c r="F5078"/>
    </row>
    <row r="5079" spans="6:6" ht="15" customHeight="1" x14ac:dyDescent="0.2">
      <c r="F5079"/>
    </row>
    <row r="5080" spans="6:6" ht="15" customHeight="1" x14ac:dyDescent="0.2">
      <c r="F5080"/>
    </row>
    <row r="5081" spans="6:6" ht="15" customHeight="1" x14ac:dyDescent="0.2">
      <c r="F5081"/>
    </row>
    <row r="5082" spans="6:6" ht="15" customHeight="1" x14ac:dyDescent="0.2">
      <c r="F5082"/>
    </row>
    <row r="5083" spans="6:6" ht="15" customHeight="1" x14ac:dyDescent="0.2">
      <c r="F5083"/>
    </row>
    <row r="5084" spans="6:6" ht="15" customHeight="1" x14ac:dyDescent="0.2">
      <c r="F5084"/>
    </row>
    <row r="5085" spans="6:6" ht="15" customHeight="1" x14ac:dyDescent="0.2">
      <c r="F5085"/>
    </row>
    <row r="5086" spans="6:6" ht="15" customHeight="1" x14ac:dyDescent="0.2">
      <c r="F5086"/>
    </row>
    <row r="5087" spans="6:6" ht="15" customHeight="1" x14ac:dyDescent="0.2">
      <c r="F5087"/>
    </row>
    <row r="5088" spans="6:6" ht="15" customHeight="1" x14ac:dyDescent="0.2">
      <c r="F5088"/>
    </row>
    <row r="5089" spans="6:6" ht="15" customHeight="1" x14ac:dyDescent="0.2">
      <c r="F5089"/>
    </row>
    <row r="5090" spans="6:6" ht="15" customHeight="1" x14ac:dyDescent="0.2">
      <c r="F5090"/>
    </row>
    <row r="5091" spans="6:6" ht="15" customHeight="1" x14ac:dyDescent="0.2">
      <c r="F5091"/>
    </row>
    <row r="5092" spans="6:6" ht="15" customHeight="1" x14ac:dyDescent="0.2">
      <c r="F5092"/>
    </row>
    <row r="5093" spans="6:6" ht="15" customHeight="1" x14ac:dyDescent="0.2">
      <c r="F5093"/>
    </row>
    <row r="5094" spans="6:6" ht="15" customHeight="1" x14ac:dyDescent="0.2">
      <c r="F5094"/>
    </row>
    <row r="5095" spans="6:6" ht="15" customHeight="1" x14ac:dyDescent="0.2">
      <c r="F5095"/>
    </row>
    <row r="5096" spans="6:6" ht="15" customHeight="1" x14ac:dyDescent="0.2">
      <c r="F5096"/>
    </row>
    <row r="5097" spans="6:6" ht="15" customHeight="1" x14ac:dyDescent="0.2">
      <c r="F5097"/>
    </row>
    <row r="5098" spans="6:6" ht="15" customHeight="1" x14ac:dyDescent="0.2">
      <c r="F5098"/>
    </row>
    <row r="5099" spans="6:6" ht="15" customHeight="1" x14ac:dyDescent="0.2">
      <c r="F5099"/>
    </row>
    <row r="5100" spans="6:6" ht="15" customHeight="1" x14ac:dyDescent="0.2">
      <c r="F5100"/>
    </row>
    <row r="5101" spans="6:6" ht="15" customHeight="1" x14ac:dyDescent="0.2">
      <c r="F5101"/>
    </row>
    <row r="5102" spans="6:6" ht="15" customHeight="1" x14ac:dyDescent="0.2">
      <c r="F5102"/>
    </row>
    <row r="5103" spans="6:6" ht="15" customHeight="1" x14ac:dyDescent="0.2">
      <c r="F5103"/>
    </row>
    <row r="5104" spans="6:6" ht="15" customHeight="1" x14ac:dyDescent="0.2">
      <c r="F5104"/>
    </row>
    <row r="5105" spans="6:6" ht="15" customHeight="1" x14ac:dyDescent="0.2">
      <c r="F5105"/>
    </row>
    <row r="5106" spans="6:6" ht="15" customHeight="1" x14ac:dyDescent="0.2">
      <c r="F5106"/>
    </row>
    <row r="5107" spans="6:6" ht="15" customHeight="1" x14ac:dyDescent="0.2">
      <c r="F5107"/>
    </row>
    <row r="5108" spans="6:6" ht="15" customHeight="1" x14ac:dyDescent="0.2">
      <c r="F5108"/>
    </row>
    <row r="5109" spans="6:6" ht="15" customHeight="1" x14ac:dyDescent="0.2">
      <c r="F5109"/>
    </row>
    <row r="5110" spans="6:6" ht="15" customHeight="1" x14ac:dyDescent="0.2">
      <c r="F5110"/>
    </row>
    <row r="5111" spans="6:6" ht="15" customHeight="1" x14ac:dyDescent="0.2">
      <c r="F5111"/>
    </row>
    <row r="5112" spans="6:6" ht="15" customHeight="1" x14ac:dyDescent="0.2">
      <c r="F5112"/>
    </row>
    <row r="5113" spans="6:6" ht="15" customHeight="1" x14ac:dyDescent="0.2">
      <c r="F5113"/>
    </row>
    <row r="5114" spans="6:6" ht="15" customHeight="1" x14ac:dyDescent="0.2">
      <c r="F5114"/>
    </row>
    <row r="5115" spans="6:6" ht="15" customHeight="1" x14ac:dyDescent="0.2">
      <c r="F5115"/>
    </row>
    <row r="5116" spans="6:6" ht="15" customHeight="1" x14ac:dyDescent="0.2">
      <c r="F5116"/>
    </row>
    <row r="5117" spans="6:6" ht="15" customHeight="1" x14ac:dyDescent="0.2">
      <c r="F5117"/>
    </row>
    <row r="5118" spans="6:6" ht="15" customHeight="1" x14ac:dyDescent="0.2">
      <c r="F5118"/>
    </row>
    <row r="5119" spans="6:6" ht="15" customHeight="1" x14ac:dyDescent="0.2">
      <c r="F5119"/>
    </row>
    <row r="5120" spans="6:6" ht="15" customHeight="1" x14ac:dyDescent="0.2">
      <c r="F5120"/>
    </row>
    <row r="5121" spans="6:6" ht="15" customHeight="1" x14ac:dyDescent="0.2">
      <c r="F5121"/>
    </row>
    <row r="5122" spans="6:6" ht="15" customHeight="1" x14ac:dyDescent="0.2">
      <c r="F5122"/>
    </row>
    <row r="5123" spans="6:6" ht="15" customHeight="1" x14ac:dyDescent="0.2">
      <c r="F5123"/>
    </row>
    <row r="5124" spans="6:6" ht="15" customHeight="1" x14ac:dyDescent="0.2">
      <c r="F5124"/>
    </row>
    <row r="5125" spans="6:6" ht="15" customHeight="1" x14ac:dyDescent="0.2">
      <c r="F5125"/>
    </row>
    <row r="5126" spans="6:6" ht="15" customHeight="1" x14ac:dyDescent="0.2">
      <c r="F5126"/>
    </row>
    <row r="5127" spans="6:6" ht="15" customHeight="1" x14ac:dyDescent="0.2">
      <c r="F5127"/>
    </row>
    <row r="5128" spans="6:6" ht="15" customHeight="1" x14ac:dyDescent="0.2">
      <c r="F5128"/>
    </row>
    <row r="5129" spans="6:6" ht="15" customHeight="1" x14ac:dyDescent="0.2">
      <c r="F5129"/>
    </row>
    <row r="5130" spans="6:6" ht="15" customHeight="1" x14ac:dyDescent="0.2">
      <c r="F5130"/>
    </row>
    <row r="5131" spans="6:6" ht="15" customHeight="1" x14ac:dyDescent="0.2">
      <c r="F5131"/>
    </row>
    <row r="5132" spans="6:6" ht="15" customHeight="1" x14ac:dyDescent="0.2">
      <c r="F5132"/>
    </row>
    <row r="5133" spans="6:6" ht="15" customHeight="1" x14ac:dyDescent="0.2">
      <c r="F5133"/>
    </row>
    <row r="5134" spans="6:6" ht="15" customHeight="1" x14ac:dyDescent="0.2">
      <c r="F5134"/>
    </row>
    <row r="5135" spans="6:6" ht="15" customHeight="1" x14ac:dyDescent="0.2">
      <c r="F5135"/>
    </row>
    <row r="5136" spans="6:6" ht="15" customHeight="1" x14ac:dyDescent="0.2">
      <c r="F5136"/>
    </row>
    <row r="5137" spans="6:6" ht="15" customHeight="1" x14ac:dyDescent="0.2">
      <c r="F5137"/>
    </row>
    <row r="5138" spans="6:6" ht="15" customHeight="1" x14ac:dyDescent="0.2">
      <c r="F5138"/>
    </row>
    <row r="5139" spans="6:6" ht="15" customHeight="1" x14ac:dyDescent="0.2">
      <c r="F5139"/>
    </row>
    <row r="5140" spans="6:6" ht="15" customHeight="1" x14ac:dyDescent="0.2">
      <c r="F5140"/>
    </row>
    <row r="5141" spans="6:6" ht="15" customHeight="1" x14ac:dyDescent="0.2">
      <c r="F5141"/>
    </row>
    <row r="5142" spans="6:6" ht="15" customHeight="1" x14ac:dyDescent="0.2">
      <c r="F5142"/>
    </row>
    <row r="5143" spans="6:6" ht="15" customHeight="1" x14ac:dyDescent="0.2">
      <c r="F5143"/>
    </row>
    <row r="5144" spans="6:6" ht="15" customHeight="1" x14ac:dyDescent="0.2">
      <c r="F5144"/>
    </row>
    <row r="5145" spans="6:6" ht="15" customHeight="1" x14ac:dyDescent="0.2">
      <c r="F5145"/>
    </row>
    <row r="5146" spans="6:6" ht="15" customHeight="1" x14ac:dyDescent="0.2">
      <c r="F5146"/>
    </row>
    <row r="5147" spans="6:6" ht="15" customHeight="1" x14ac:dyDescent="0.2">
      <c r="F5147"/>
    </row>
    <row r="5148" spans="6:6" ht="15" customHeight="1" x14ac:dyDescent="0.2">
      <c r="F5148"/>
    </row>
    <row r="5149" spans="6:6" ht="15" customHeight="1" x14ac:dyDescent="0.2">
      <c r="F5149"/>
    </row>
    <row r="5150" spans="6:6" ht="15" customHeight="1" x14ac:dyDescent="0.2">
      <c r="F5150"/>
    </row>
    <row r="5151" spans="6:6" ht="15" customHeight="1" x14ac:dyDescent="0.2">
      <c r="F5151"/>
    </row>
    <row r="5152" spans="6:6" ht="15" customHeight="1" x14ac:dyDescent="0.2">
      <c r="F5152"/>
    </row>
    <row r="5153" spans="6:6" ht="15" customHeight="1" x14ac:dyDescent="0.2">
      <c r="F5153"/>
    </row>
    <row r="5154" spans="6:6" ht="15" customHeight="1" x14ac:dyDescent="0.2">
      <c r="F5154"/>
    </row>
    <row r="5155" spans="6:6" ht="15" customHeight="1" x14ac:dyDescent="0.2">
      <c r="F5155"/>
    </row>
    <row r="5156" spans="6:6" ht="15" customHeight="1" x14ac:dyDescent="0.2">
      <c r="F5156"/>
    </row>
    <row r="5157" spans="6:6" ht="15" customHeight="1" x14ac:dyDescent="0.2">
      <c r="F5157"/>
    </row>
    <row r="5158" spans="6:6" ht="15" customHeight="1" x14ac:dyDescent="0.2">
      <c r="F5158"/>
    </row>
    <row r="5159" spans="6:6" ht="15" customHeight="1" x14ac:dyDescent="0.2">
      <c r="F5159"/>
    </row>
    <row r="5160" spans="6:6" ht="15" customHeight="1" x14ac:dyDescent="0.2">
      <c r="F5160"/>
    </row>
    <row r="5161" spans="6:6" ht="15" customHeight="1" x14ac:dyDescent="0.2">
      <c r="F5161"/>
    </row>
    <row r="5162" spans="6:6" ht="15" customHeight="1" x14ac:dyDescent="0.2">
      <c r="F5162"/>
    </row>
    <row r="5163" spans="6:6" ht="15" customHeight="1" x14ac:dyDescent="0.2">
      <c r="F5163"/>
    </row>
    <row r="5164" spans="6:6" ht="15" customHeight="1" x14ac:dyDescent="0.2">
      <c r="F5164"/>
    </row>
    <row r="5165" spans="6:6" ht="15" customHeight="1" x14ac:dyDescent="0.2">
      <c r="F5165"/>
    </row>
    <row r="5166" spans="6:6" ht="15" customHeight="1" x14ac:dyDescent="0.2">
      <c r="F5166"/>
    </row>
    <row r="5167" spans="6:6" ht="15" customHeight="1" x14ac:dyDescent="0.2">
      <c r="F5167"/>
    </row>
    <row r="5168" spans="6:6" ht="15" customHeight="1" x14ac:dyDescent="0.2">
      <c r="F5168"/>
    </row>
    <row r="5169" spans="6:6" ht="15" customHeight="1" x14ac:dyDescent="0.2">
      <c r="F5169"/>
    </row>
    <row r="5170" spans="6:6" ht="15" customHeight="1" x14ac:dyDescent="0.2">
      <c r="F5170"/>
    </row>
    <row r="5171" spans="6:6" ht="15" customHeight="1" x14ac:dyDescent="0.2">
      <c r="F5171"/>
    </row>
    <row r="5172" spans="6:6" ht="15" customHeight="1" x14ac:dyDescent="0.2">
      <c r="F5172"/>
    </row>
    <row r="5173" spans="6:6" ht="15" customHeight="1" x14ac:dyDescent="0.2">
      <c r="F5173"/>
    </row>
    <row r="5174" spans="6:6" ht="15" customHeight="1" x14ac:dyDescent="0.2">
      <c r="F5174"/>
    </row>
    <row r="5175" spans="6:6" ht="15" customHeight="1" x14ac:dyDescent="0.2">
      <c r="F5175"/>
    </row>
    <row r="5176" spans="6:6" ht="15" customHeight="1" x14ac:dyDescent="0.2">
      <c r="F5176"/>
    </row>
    <row r="5177" spans="6:6" ht="15" customHeight="1" x14ac:dyDescent="0.2">
      <c r="F5177"/>
    </row>
    <row r="5178" spans="6:6" ht="15" customHeight="1" x14ac:dyDescent="0.2">
      <c r="F5178"/>
    </row>
    <row r="5179" spans="6:6" ht="15" customHeight="1" x14ac:dyDescent="0.2">
      <c r="F5179"/>
    </row>
    <row r="5180" spans="6:6" ht="15" customHeight="1" x14ac:dyDescent="0.2">
      <c r="F5180"/>
    </row>
    <row r="5181" spans="6:6" ht="15" customHeight="1" x14ac:dyDescent="0.2">
      <c r="F5181"/>
    </row>
    <row r="5182" spans="6:6" ht="15" customHeight="1" x14ac:dyDescent="0.2">
      <c r="F5182"/>
    </row>
    <row r="5183" spans="6:6" ht="15" customHeight="1" x14ac:dyDescent="0.2">
      <c r="F5183"/>
    </row>
    <row r="5184" spans="6:6" ht="15" customHeight="1" x14ac:dyDescent="0.2">
      <c r="F5184"/>
    </row>
    <row r="5185" spans="6:6" ht="15" customHeight="1" x14ac:dyDescent="0.2">
      <c r="F5185"/>
    </row>
    <row r="5186" spans="6:6" ht="15" customHeight="1" x14ac:dyDescent="0.2">
      <c r="F5186"/>
    </row>
    <row r="5187" spans="6:6" ht="15" customHeight="1" x14ac:dyDescent="0.2">
      <c r="F5187"/>
    </row>
    <row r="5188" spans="6:6" ht="15" customHeight="1" x14ac:dyDescent="0.2">
      <c r="F5188"/>
    </row>
    <row r="5189" spans="6:6" ht="15" customHeight="1" x14ac:dyDescent="0.2">
      <c r="F5189"/>
    </row>
    <row r="5190" spans="6:6" ht="15" customHeight="1" x14ac:dyDescent="0.2">
      <c r="F5190"/>
    </row>
    <row r="5191" spans="6:6" ht="15" customHeight="1" x14ac:dyDescent="0.2">
      <c r="F5191"/>
    </row>
    <row r="5192" spans="6:6" ht="15" customHeight="1" x14ac:dyDescent="0.2">
      <c r="F5192"/>
    </row>
    <row r="5193" spans="6:6" ht="15" customHeight="1" x14ac:dyDescent="0.2">
      <c r="F5193"/>
    </row>
    <row r="5194" spans="6:6" ht="15" customHeight="1" x14ac:dyDescent="0.2">
      <c r="F5194"/>
    </row>
    <row r="5195" spans="6:6" ht="15" customHeight="1" x14ac:dyDescent="0.2">
      <c r="F5195"/>
    </row>
    <row r="5196" spans="6:6" ht="15" customHeight="1" x14ac:dyDescent="0.2">
      <c r="F5196"/>
    </row>
    <row r="5197" spans="6:6" ht="15" customHeight="1" x14ac:dyDescent="0.2">
      <c r="F5197"/>
    </row>
    <row r="5198" spans="6:6" ht="15" customHeight="1" x14ac:dyDescent="0.2">
      <c r="F5198"/>
    </row>
    <row r="5199" spans="6:6" ht="15" customHeight="1" x14ac:dyDescent="0.2">
      <c r="F5199"/>
    </row>
    <row r="5200" spans="6:6" ht="15" customHeight="1" x14ac:dyDescent="0.2">
      <c r="F5200"/>
    </row>
    <row r="5201" spans="6:6" ht="15" customHeight="1" x14ac:dyDescent="0.2">
      <c r="F5201"/>
    </row>
    <row r="5202" spans="6:6" ht="15" customHeight="1" x14ac:dyDescent="0.2">
      <c r="F5202"/>
    </row>
    <row r="5203" spans="6:6" ht="15" customHeight="1" x14ac:dyDescent="0.2">
      <c r="F5203"/>
    </row>
    <row r="5204" spans="6:6" ht="15" customHeight="1" x14ac:dyDescent="0.2">
      <c r="F5204"/>
    </row>
    <row r="5205" spans="6:6" ht="15" customHeight="1" x14ac:dyDescent="0.2">
      <c r="F5205"/>
    </row>
    <row r="5206" spans="6:6" ht="15" customHeight="1" x14ac:dyDescent="0.2">
      <c r="F5206"/>
    </row>
    <row r="5207" spans="6:6" ht="15" customHeight="1" x14ac:dyDescent="0.2">
      <c r="F5207"/>
    </row>
    <row r="5208" spans="6:6" ht="15" customHeight="1" x14ac:dyDescent="0.2">
      <c r="F5208"/>
    </row>
    <row r="5209" spans="6:6" ht="15" customHeight="1" x14ac:dyDescent="0.2">
      <c r="F5209"/>
    </row>
    <row r="5210" spans="6:6" ht="15" customHeight="1" x14ac:dyDescent="0.2">
      <c r="F5210"/>
    </row>
    <row r="5211" spans="6:6" ht="15" customHeight="1" x14ac:dyDescent="0.2">
      <c r="F5211"/>
    </row>
    <row r="5212" spans="6:6" ht="15" customHeight="1" x14ac:dyDescent="0.2">
      <c r="F5212"/>
    </row>
    <row r="5213" spans="6:6" ht="15" customHeight="1" x14ac:dyDescent="0.2">
      <c r="F5213"/>
    </row>
    <row r="5214" spans="6:6" ht="15" customHeight="1" x14ac:dyDescent="0.2">
      <c r="F5214"/>
    </row>
    <row r="5215" spans="6:6" ht="15" customHeight="1" x14ac:dyDescent="0.2">
      <c r="F5215"/>
    </row>
    <row r="5216" spans="6:6" ht="15" customHeight="1" x14ac:dyDescent="0.2">
      <c r="F5216"/>
    </row>
    <row r="5217" spans="6:6" ht="15" customHeight="1" x14ac:dyDescent="0.2">
      <c r="F5217"/>
    </row>
    <row r="5218" spans="6:6" ht="15" customHeight="1" x14ac:dyDescent="0.2">
      <c r="F5218"/>
    </row>
    <row r="5219" spans="6:6" ht="15" customHeight="1" x14ac:dyDescent="0.2">
      <c r="F5219"/>
    </row>
    <row r="5220" spans="6:6" ht="15" customHeight="1" x14ac:dyDescent="0.2">
      <c r="F5220"/>
    </row>
    <row r="5221" spans="6:6" ht="15" customHeight="1" x14ac:dyDescent="0.2">
      <c r="F5221"/>
    </row>
    <row r="5222" spans="6:6" ht="15" customHeight="1" x14ac:dyDescent="0.2">
      <c r="F5222"/>
    </row>
    <row r="5223" spans="6:6" ht="15" customHeight="1" x14ac:dyDescent="0.2">
      <c r="F5223"/>
    </row>
    <row r="5224" spans="6:6" ht="15" customHeight="1" x14ac:dyDescent="0.2">
      <c r="F5224"/>
    </row>
    <row r="5225" spans="6:6" ht="15" customHeight="1" x14ac:dyDescent="0.2">
      <c r="F5225"/>
    </row>
    <row r="5226" spans="6:6" ht="15" customHeight="1" x14ac:dyDescent="0.2">
      <c r="F5226"/>
    </row>
    <row r="5227" spans="6:6" ht="15" customHeight="1" x14ac:dyDescent="0.2">
      <c r="F5227"/>
    </row>
    <row r="5228" spans="6:6" ht="15" customHeight="1" x14ac:dyDescent="0.2">
      <c r="F5228"/>
    </row>
    <row r="5229" spans="6:6" ht="15" customHeight="1" x14ac:dyDescent="0.2">
      <c r="F5229"/>
    </row>
    <row r="5230" spans="6:6" ht="15" customHeight="1" x14ac:dyDescent="0.2">
      <c r="F5230"/>
    </row>
    <row r="5231" spans="6:6" ht="15" customHeight="1" x14ac:dyDescent="0.2">
      <c r="F5231"/>
    </row>
    <row r="5232" spans="6:6" ht="15" customHeight="1" x14ac:dyDescent="0.2">
      <c r="F5232"/>
    </row>
    <row r="5233" spans="6:6" ht="15" customHeight="1" x14ac:dyDescent="0.2">
      <c r="F5233"/>
    </row>
    <row r="5234" spans="6:6" ht="15" customHeight="1" x14ac:dyDescent="0.2">
      <c r="F5234"/>
    </row>
    <row r="5235" spans="6:6" ht="15" customHeight="1" x14ac:dyDescent="0.2">
      <c r="F5235"/>
    </row>
    <row r="5236" spans="6:6" ht="15" customHeight="1" x14ac:dyDescent="0.2">
      <c r="F5236"/>
    </row>
    <row r="5237" spans="6:6" ht="15" customHeight="1" x14ac:dyDescent="0.2">
      <c r="F5237"/>
    </row>
    <row r="5238" spans="6:6" ht="15" customHeight="1" x14ac:dyDescent="0.2">
      <c r="F5238"/>
    </row>
    <row r="5239" spans="6:6" ht="15" customHeight="1" x14ac:dyDescent="0.2">
      <c r="F5239"/>
    </row>
    <row r="5240" spans="6:6" ht="15" customHeight="1" x14ac:dyDescent="0.2">
      <c r="F5240"/>
    </row>
    <row r="5241" spans="6:6" ht="15" customHeight="1" x14ac:dyDescent="0.2">
      <c r="F5241"/>
    </row>
    <row r="5242" spans="6:6" ht="15" customHeight="1" x14ac:dyDescent="0.2">
      <c r="F5242"/>
    </row>
    <row r="5243" spans="6:6" ht="15" customHeight="1" x14ac:dyDescent="0.2">
      <c r="F5243"/>
    </row>
    <row r="5244" spans="6:6" ht="15" customHeight="1" x14ac:dyDescent="0.2">
      <c r="F5244"/>
    </row>
    <row r="5245" spans="6:6" ht="15" customHeight="1" x14ac:dyDescent="0.2">
      <c r="F5245"/>
    </row>
    <row r="5246" spans="6:6" ht="15" customHeight="1" x14ac:dyDescent="0.2">
      <c r="F5246"/>
    </row>
    <row r="5247" spans="6:6" ht="15" customHeight="1" x14ac:dyDescent="0.2">
      <c r="F5247"/>
    </row>
    <row r="5248" spans="6:6" ht="15" customHeight="1" x14ac:dyDescent="0.2">
      <c r="F5248"/>
    </row>
    <row r="5249" spans="6:6" ht="15" customHeight="1" x14ac:dyDescent="0.2">
      <c r="F5249"/>
    </row>
    <row r="5250" spans="6:6" ht="15" customHeight="1" x14ac:dyDescent="0.2">
      <c r="F5250"/>
    </row>
    <row r="5251" spans="6:6" ht="15" customHeight="1" x14ac:dyDescent="0.2">
      <c r="F5251"/>
    </row>
    <row r="5252" spans="6:6" ht="15" customHeight="1" x14ac:dyDescent="0.2">
      <c r="F5252"/>
    </row>
    <row r="5253" spans="6:6" ht="15" customHeight="1" x14ac:dyDescent="0.2">
      <c r="F5253"/>
    </row>
    <row r="5254" spans="6:6" ht="15" customHeight="1" x14ac:dyDescent="0.2">
      <c r="F5254"/>
    </row>
    <row r="5255" spans="6:6" ht="15" customHeight="1" x14ac:dyDescent="0.2">
      <c r="F5255"/>
    </row>
    <row r="5256" spans="6:6" ht="15" customHeight="1" x14ac:dyDescent="0.2">
      <c r="F5256"/>
    </row>
    <row r="5257" spans="6:6" ht="15" customHeight="1" x14ac:dyDescent="0.2">
      <c r="F5257"/>
    </row>
    <row r="5258" spans="6:6" ht="15" customHeight="1" x14ac:dyDescent="0.2">
      <c r="F5258"/>
    </row>
    <row r="5259" spans="6:6" ht="15" customHeight="1" x14ac:dyDescent="0.2">
      <c r="F5259"/>
    </row>
    <row r="5260" spans="6:6" ht="15" customHeight="1" x14ac:dyDescent="0.2">
      <c r="F5260"/>
    </row>
    <row r="5261" spans="6:6" ht="15" customHeight="1" x14ac:dyDescent="0.2">
      <c r="F5261"/>
    </row>
    <row r="5262" spans="6:6" ht="15" customHeight="1" x14ac:dyDescent="0.2">
      <c r="F5262"/>
    </row>
    <row r="5263" spans="6:6" ht="15" customHeight="1" x14ac:dyDescent="0.2">
      <c r="F5263"/>
    </row>
    <row r="5264" spans="6:6" ht="15" customHeight="1" x14ac:dyDescent="0.2">
      <c r="F5264"/>
    </row>
    <row r="5265" spans="6:6" ht="15" customHeight="1" x14ac:dyDescent="0.2">
      <c r="F5265"/>
    </row>
    <row r="5266" spans="6:6" ht="15" customHeight="1" x14ac:dyDescent="0.2">
      <c r="F5266"/>
    </row>
    <row r="5267" spans="6:6" ht="15" customHeight="1" x14ac:dyDescent="0.2">
      <c r="F5267"/>
    </row>
    <row r="5268" spans="6:6" ht="15" customHeight="1" x14ac:dyDescent="0.2">
      <c r="F5268"/>
    </row>
    <row r="5269" spans="6:6" ht="15" customHeight="1" x14ac:dyDescent="0.2">
      <c r="F5269"/>
    </row>
    <row r="5270" spans="6:6" ht="15" customHeight="1" x14ac:dyDescent="0.2">
      <c r="F5270"/>
    </row>
    <row r="5271" spans="6:6" ht="15" customHeight="1" x14ac:dyDescent="0.2">
      <c r="F5271"/>
    </row>
    <row r="5272" spans="6:6" ht="15" customHeight="1" x14ac:dyDescent="0.2">
      <c r="F5272"/>
    </row>
    <row r="5273" spans="6:6" ht="15" customHeight="1" x14ac:dyDescent="0.2">
      <c r="F5273"/>
    </row>
    <row r="5274" spans="6:6" ht="15" customHeight="1" x14ac:dyDescent="0.2">
      <c r="F5274"/>
    </row>
    <row r="5275" spans="6:6" ht="15" customHeight="1" x14ac:dyDescent="0.2">
      <c r="F5275"/>
    </row>
    <row r="5276" spans="6:6" ht="15" customHeight="1" x14ac:dyDescent="0.2">
      <c r="F5276"/>
    </row>
    <row r="5277" spans="6:6" ht="15" customHeight="1" x14ac:dyDescent="0.2">
      <c r="F5277"/>
    </row>
    <row r="5278" spans="6:6" ht="15" customHeight="1" x14ac:dyDescent="0.2">
      <c r="F5278"/>
    </row>
    <row r="5279" spans="6:6" ht="15" customHeight="1" x14ac:dyDescent="0.2">
      <c r="F5279"/>
    </row>
    <row r="5280" spans="6:6" ht="15" customHeight="1" x14ac:dyDescent="0.2">
      <c r="F5280"/>
    </row>
    <row r="5281" spans="6:6" ht="15" customHeight="1" x14ac:dyDescent="0.2">
      <c r="F5281"/>
    </row>
    <row r="5282" spans="6:6" ht="15" customHeight="1" x14ac:dyDescent="0.2">
      <c r="F5282"/>
    </row>
    <row r="5283" spans="6:6" ht="15" customHeight="1" x14ac:dyDescent="0.2">
      <c r="F5283"/>
    </row>
    <row r="5284" spans="6:6" ht="15" customHeight="1" x14ac:dyDescent="0.2">
      <c r="F5284"/>
    </row>
    <row r="5285" spans="6:6" ht="15" customHeight="1" x14ac:dyDescent="0.2">
      <c r="F5285"/>
    </row>
    <row r="5286" spans="6:6" ht="15" customHeight="1" x14ac:dyDescent="0.2">
      <c r="F5286"/>
    </row>
    <row r="5287" spans="6:6" ht="15" customHeight="1" x14ac:dyDescent="0.2">
      <c r="F5287"/>
    </row>
    <row r="5288" spans="6:6" ht="15" customHeight="1" x14ac:dyDescent="0.2">
      <c r="F5288"/>
    </row>
    <row r="5289" spans="6:6" ht="15" customHeight="1" x14ac:dyDescent="0.2">
      <c r="F5289"/>
    </row>
    <row r="5290" spans="6:6" ht="15" customHeight="1" x14ac:dyDescent="0.2">
      <c r="F5290"/>
    </row>
    <row r="5291" spans="6:6" ht="15" customHeight="1" x14ac:dyDescent="0.2">
      <c r="F5291"/>
    </row>
    <row r="5292" spans="6:6" ht="15" customHeight="1" x14ac:dyDescent="0.2">
      <c r="F5292"/>
    </row>
    <row r="5293" spans="6:6" ht="15" customHeight="1" x14ac:dyDescent="0.2">
      <c r="F5293"/>
    </row>
    <row r="5294" spans="6:6" ht="15" customHeight="1" x14ac:dyDescent="0.2">
      <c r="F5294"/>
    </row>
    <row r="5295" spans="6:6" ht="15" customHeight="1" x14ac:dyDescent="0.2">
      <c r="F5295"/>
    </row>
    <row r="5296" spans="6:6" ht="15" customHeight="1" x14ac:dyDescent="0.2">
      <c r="F5296"/>
    </row>
    <row r="5297" spans="6:6" ht="15" customHeight="1" x14ac:dyDescent="0.2">
      <c r="F5297"/>
    </row>
    <row r="5298" spans="6:6" ht="15" customHeight="1" x14ac:dyDescent="0.2">
      <c r="F5298"/>
    </row>
    <row r="5299" spans="6:6" ht="15" customHeight="1" x14ac:dyDescent="0.2">
      <c r="F5299"/>
    </row>
    <row r="5300" spans="6:6" ht="15" customHeight="1" x14ac:dyDescent="0.2">
      <c r="F5300"/>
    </row>
    <row r="5301" spans="6:6" ht="15" customHeight="1" x14ac:dyDescent="0.2">
      <c r="F5301"/>
    </row>
    <row r="5302" spans="6:6" ht="15" customHeight="1" x14ac:dyDescent="0.2">
      <c r="F5302"/>
    </row>
    <row r="5303" spans="6:6" ht="15" customHeight="1" x14ac:dyDescent="0.2">
      <c r="F5303"/>
    </row>
    <row r="5304" spans="6:6" ht="15" customHeight="1" x14ac:dyDescent="0.2">
      <c r="F5304"/>
    </row>
    <row r="5305" spans="6:6" ht="15" customHeight="1" x14ac:dyDescent="0.2">
      <c r="F5305"/>
    </row>
    <row r="5306" spans="6:6" ht="15" customHeight="1" x14ac:dyDescent="0.2">
      <c r="F5306"/>
    </row>
    <row r="5307" spans="6:6" ht="15" customHeight="1" x14ac:dyDescent="0.2">
      <c r="F5307"/>
    </row>
    <row r="5308" spans="6:6" ht="15" customHeight="1" x14ac:dyDescent="0.2">
      <c r="F5308"/>
    </row>
    <row r="5309" spans="6:6" ht="15" customHeight="1" x14ac:dyDescent="0.2">
      <c r="F5309"/>
    </row>
    <row r="5310" spans="6:6" ht="15" customHeight="1" x14ac:dyDescent="0.2">
      <c r="F5310"/>
    </row>
    <row r="5311" spans="6:6" ht="15" customHeight="1" x14ac:dyDescent="0.2">
      <c r="F5311"/>
    </row>
    <row r="5312" spans="6:6" ht="15" customHeight="1" x14ac:dyDescent="0.2">
      <c r="F5312"/>
    </row>
    <row r="5313" spans="6:6" ht="15" customHeight="1" x14ac:dyDescent="0.2">
      <c r="F5313"/>
    </row>
    <row r="5314" spans="6:6" ht="15" customHeight="1" x14ac:dyDescent="0.2">
      <c r="F5314"/>
    </row>
    <row r="5315" spans="6:6" ht="15" customHeight="1" x14ac:dyDescent="0.2">
      <c r="F5315"/>
    </row>
    <row r="5316" spans="6:6" ht="15" customHeight="1" x14ac:dyDescent="0.2">
      <c r="F5316"/>
    </row>
    <row r="5317" spans="6:6" ht="15" customHeight="1" x14ac:dyDescent="0.2">
      <c r="F5317"/>
    </row>
    <row r="5318" spans="6:6" ht="15" customHeight="1" x14ac:dyDescent="0.2">
      <c r="F5318"/>
    </row>
    <row r="5319" spans="6:6" ht="15" customHeight="1" x14ac:dyDescent="0.2">
      <c r="F5319"/>
    </row>
    <row r="5320" spans="6:6" ht="15" customHeight="1" x14ac:dyDescent="0.2">
      <c r="F5320"/>
    </row>
    <row r="5321" spans="6:6" ht="15" customHeight="1" x14ac:dyDescent="0.2">
      <c r="F5321"/>
    </row>
    <row r="5322" spans="6:6" ht="15" customHeight="1" x14ac:dyDescent="0.2">
      <c r="F5322"/>
    </row>
    <row r="5323" spans="6:6" ht="15" customHeight="1" x14ac:dyDescent="0.2">
      <c r="F5323"/>
    </row>
    <row r="5324" spans="6:6" ht="15" customHeight="1" x14ac:dyDescent="0.2">
      <c r="F5324"/>
    </row>
    <row r="5325" spans="6:6" ht="15" customHeight="1" x14ac:dyDescent="0.2">
      <c r="F5325"/>
    </row>
    <row r="5326" spans="6:6" ht="15" customHeight="1" x14ac:dyDescent="0.2">
      <c r="F5326"/>
    </row>
    <row r="5327" spans="6:6" ht="15" customHeight="1" x14ac:dyDescent="0.2">
      <c r="F5327"/>
    </row>
    <row r="5328" spans="6:6" ht="15" customHeight="1" x14ac:dyDescent="0.2">
      <c r="F5328"/>
    </row>
    <row r="5329" spans="6:6" ht="15" customHeight="1" x14ac:dyDescent="0.2">
      <c r="F5329"/>
    </row>
    <row r="5330" spans="6:6" ht="15" customHeight="1" x14ac:dyDescent="0.2">
      <c r="F5330"/>
    </row>
    <row r="5331" spans="6:6" ht="15" customHeight="1" x14ac:dyDescent="0.2">
      <c r="F5331"/>
    </row>
    <row r="5332" spans="6:6" ht="15" customHeight="1" x14ac:dyDescent="0.2">
      <c r="F5332"/>
    </row>
    <row r="5333" spans="6:6" ht="15" customHeight="1" x14ac:dyDescent="0.2">
      <c r="F5333"/>
    </row>
    <row r="5334" spans="6:6" ht="15" customHeight="1" x14ac:dyDescent="0.2">
      <c r="F5334"/>
    </row>
    <row r="5335" spans="6:6" ht="15" customHeight="1" x14ac:dyDescent="0.2">
      <c r="F5335"/>
    </row>
    <row r="5336" spans="6:6" ht="15" customHeight="1" x14ac:dyDescent="0.2">
      <c r="F5336"/>
    </row>
    <row r="5337" spans="6:6" ht="15" customHeight="1" x14ac:dyDescent="0.2">
      <c r="F5337"/>
    </row>
    <row r="5338" spans="6:6" ht="15" customHeight="1" x14ac:dyDescent="0.2">
      <c r="F5338"/>
    </row>
    <row r="5339" spans="6:6" ht="15" customHeight="1" x14ac:dyDescent="0.2">
      <c r="F5339"/>
    </row>
    <row r="5340" spans="6:6" ht="15" customHeight="1" x14ac:dyDescent="0.2">
      <c r="F5340"/>
    </row>
    <row r="5341" spans="6:6" ht="15" customHeight="1" x14ac:dyDescent="0.2">
      <c r="F5341"/>
    </row>
    <row r="5342" spans="6:6" ht="15" customHeight="1" x14ac:dyDescent="0.2">
      <c r="F5342"/>
    </row>
    <row r="5343" spans="6:6" ht="15" customHeight="1" x14ac:dyDescent="0.2">
      <c r="F5343"/>
    </row>
    <row r="5344" spans="6:6" ht="15" customHeight="1" x14ac:dyDescent="0.2">
      <c r="F5344"/>
    </row>
    <row r="5345" spans="6:6" ht="15" customHeight="1" x14ac:dyDescent="0.2">
      <c r="F5345"/>
    </row>
    <row r="5346" spans="6:6" ht="15" customHeight="1" x14ac:dyDescent="0.2">
      <c r="F5346"/>
    </row>
    <row r="5347" spans="6:6" ht="15" customHeight="1" x14ac:dyDescent="0.2">
      <c r="F5347"/>
    </row>
    <row r="5348" spans="6:6" ht="15" customHeight="1" x14ac:dyDescent="0.2">
      <c r="F5348"/>
    </row>
    <row r="5349" spans="6:6" ht="15" customHeight="1" x14ac:dyDescent="0.2">
      <c r="F5349"/>
    </row>
    <row r="5350" spans="6:6" ht="15" customHeight="1" x14ac:dyDescent="0.2">
      <c r="F5350"/>
    </row>
    <row r="5351" spans="6:6" ht="15" customHeight="1" x14ac:dyDescent="0.2">
      <c r="F5351"/>
    </row>
    <row r="5352" spans="6:6" ht="15" customHeight="1" x14ac:dyDescent="0.2">
      <c r="F5352"/>
    </row>
    <row r="5353" spans="6:6" ht="15" customHeight="1" x14ac:dyDescent="0.2">
      <c r="F5353"/>
    </row>
    <row r="5354" spans="6:6" ht="15" customHeight="1" x14ac:dyDescent="0.2">
      <c r="F5354"/>
    </row>
    <row r="5355" spans="6:6" ht="15" customHeight="1" x14ac:dyDescent="0.2">
      <c r="F5355"/>
    </row>
    <row r="5356" spans="6:6" ht="15" customHeight="1" x14ac:dyDescent="0.2">
      <c r="F5356"/>
    </row>
    <row r="5357" spans="6:6" ht="15" customHeight="1" x14ac:dyDescent="0.2">
      <c r="F5357"/>
    </row>
    <row r="5358" spans="6:6" ht="15" customHeight="1" x14ac:dyDescent="0.2">
      <c r="F5358"/>
    </row>
    <row r="5359" spans="6:6" ht="15" customHeight="1" x14ac:dyDescent="0.2">
      <c r="F5359"/>
    </row>
    <row r="5360" spans="6:6" ht="15" customHeight="1" x14ac:dyDescent="0.2">
      <c r="F5360"/>
    </row>
    <row r="5361" spans="6:6" ht="15" customHeight="1" x14ac:dyDescent="0.2">
      <c r="F5361"/>
    </row>
    <row r="5362" spans="6:6" ht="15" customHeight="1" x14ac:dyDescent="0.2">
      <c r="F5362"/>
    </row>
    <row r="5363" spans="6:6" ht="15" customHeight="1" x14ac:dyDescent="0.2">
      <c r="F5363"/>
    </row>
    <row r="5364" spans="6:6" ht="15" customHeight="1" x14ac:dyDescent="0.2">
      <c r="F5364"/>
    </row>
    <row r="5365" spans="6:6" ht="15" customHeight="1" x14ac:dyDescent="0.2">
      <c r="F5365"/>
    </row>
    <row r="5366" spans="6:6" ht="15" customHeight="1" x14ac:dyDescent="0.2">
      <c r="F5366"/>
    </row>
    <row r="5367" spans="6:6" ht="15" customHeight="1" x14ac:dyDescent="0.2">
      <c r="F5367"/>
    </row>
    <row r="5368" spans="6:6" ht="15" customHeight="1" x14ac:dyDescent="0.2">
      <c r="F5368"/>
    </row>
    <row r="5369" spans="6:6" ht="15" customHeight="1" x14ac:dyDescent="0.2">
      <c r="F5369"/>
    </row>
    <row r="5370" spans="6:6" ht="15" customHeight="1" x14ac:dyDescent="0.2">
      <c r="F5370"/>
    </row>
    <row r="5371" spans="6:6" ht="15" customHeight="1" x14ac:dyDescent="0.2">
      <c r="F5371"/>
    </row>
    <row r="5372" spans="6:6" ht="15" customHeight="1" x14ac:dyDescent="0.2">
      <c r="F5372"/>
    </row>
    <row r="5373" spans="6:6" ht="15" customHeight="1" x14ac:dyDescent="0.2">
      <c r="F5373"/>
    </row>
    <row r="5374" spans="6:6" ht="15" customHeight="1" x14ac:dyDescent="0.2">
      <c r="F5374"/>
    </row>
    <row r="5375" spans="6:6" ht="15" customHeight="1" x14ac:dyDescent="0.2">
      <c r="F5375"/>
    </row>
    <row r="5376" spans="6:6" ht="15" customHeight="1" x14ac:dyDescent="0.2">
      <c r="F5376"/>
    </row>
    <row r="5377" spans="6:6" ht="15" customHeight="1" x14ac:dyDescent="0.2">
      <c r="F5377"/>
    </row>
    <row r="5378" spans="6:6" ht="15" customHeight="1" x14ac:dyDescent="0.2">
      <c r="F5378"/>
    </row>
    <row r="5379" spans="6:6" ht="15" customHeight="1" x14ac:dyDescent="0.2">
      <c r="F5379"/>
    </row>
    <row r="5380" spans="6:6" ht="15" customHeight="1" x14ac:dyDescent="0.2">
      <c r="F5380"/>
    </row>
    <row r="5381" spans="6:6" ht="15" customHeight="1" x14ac:dyDescent="0.2">
      <c r="F5381"/>
    </row>
    <row r="5382" spans="6:6" ht="15" customHeight="1" x14ac:dyDescent="0.2">
      <c r="F5382"/>
    </row>
    <row r="5383" spans="6:6" ht="15" customHeight="1" x14ac:dyDescent="0.2">
      <c r="F5383"/>
    </row>
    <row r="5384" spans="6:6" ht="15" customHeight="1" x14ac:dyDescent="0.2">
      <c r="F5384"/>
    </row>
    <row r="5385" spans="6:6" ht="15" customHeight="1" x14ac:dyDescent="0.2">
      <c r="F5385"/>
    </row>
    <row r="5386" spans="6:6" ht="15" customHeight="1" x14ac:dyDescent="0.2">
      <c r="F5386"/>
    </row>
    <row r="5387" spans="6:6" ht="15" customHeight="1" x14ac:dyDescent="0.2">
      <c r="F5387"/>
    </row>
    <row r="5388" spans="6:6" ht="15" customHeight="1" x14ac:dyDescent="0.2">
      <c r="F5388"/>
    </row>
    <row r="5389" spans="6:6" ht="15" customHeight="1" x14ac:dyDescent="0.2">
      <c r="F5389"/>
    </row>
    <row r="5390" spans="6:6" ht="15" customHeight="1" x14ac:dyDescent="0.2">
      <c r="F5390"/>
    </row>
    <row r="5391" spans="6:6" ht="15" customHeight="1" x14ac:dyDescent="0.2">
      <c r="F5391"/>
    </row>
    <row r="5392" spans="6:6" ht="15" customHeight="1" x14ac:dyDescent="0.2">
      <c r="F5392"/>
    </row>
    <row r="5393" spans="6:6" ht="15" customHeight="1" x14ac:dyDescent="0.2">
      <c r="F5393"/>
    </row>
    <row r="5394" spans="6:6" ht="15" customHeight="1" x14ac:dyDescent="0.2">
      <c r="F5394"/>
    </row>
    <row r="5395" spans="6:6" ht="15" customHeight="1" x14ac:dyDescent="0.2">
      <c r="F5395"/>
    </row>
    <row r="5396" spans="6:6" ht="15" customHeight="1" x14ac:dyDescent="0.2">
      <c r="F5396"/>
    </row>
    <row r="5397" spans="6:6" ht="15" customHeight="1" x14ac:dyDescent="0.2">
      <c r="F5397"/>
    </row>
    <row r="5398" spans="6:6" ht="15" customHeight="1" x14ac:dyDescent="0.2">
      <c r="F5398"/>
    </row>
    <row r="5399" spans="6:6" ht="15" customHeight="1" x14ac:dyDescent="0.2">
      <c r="F5399"/>
    </row>
    <row r="5400" spans="6:6" ht="15" customHeight="1" x14ac:dyDescent="0.2">
      <c r="F5400"/>
    </row>
    <row r="5401" spans="6:6" ht="15" customHeight="1" x14ac:dyDescent="0.2">
      <c r="F5401"/>
    </row>
    <row r="5402" spans="6:6" ht="15" customHeight="1" x14ac:dyDescent="0.2">
      <c r="F5402"/>
    </row>
    <row r="5403" spans="6:6" ht="15" customHeight="1" x14ac:dyDescent="0.2">
      <c r="F5403"/>
    </row>
    <row r="5404" spans="6:6" ht="15" customHeight="1" x14ac:dyDescent="0.2">
      <c r="F5404"/>
    </row>
    <row r="5405" spans="6:6" ht="15" customHeight="1" x14ac:dyDescent="0.2">
      <c r="F5405"/>
    </row>
    <row r="5406" spans="6:6" ht="15" customHeight="1" x14ac:dyDescent="0.2">
      <c r="F5406"/>
    </row>
    <row r="5407" spans="6:6" ht="15" customHeight="1" x14ac:dyDescent="0.2">
      <c r="F5407"/>
    </row>
    <row r="5408" spans="6:6" ht="15" customHeight="1" x14ac:dyDescent="0.2">
      <c r="F5408"/>
    </row>
    <row r="5409" spans="6:6" ht="15" customHeight="1" x14ac:dyDescent="0.2">
      <c r="F5409"/>
    </row>
    <row r="5410" spans="6:6" ht="15" customHeight="1" x14ac:dyDescent="0.2">
      <c r="F5410"/>
    </row>
    <row r="5411" spans="6:6" ht="15" customHeight="1" x14ac:dyDescent="0.2">
      <c r="F5411"/>
    </row>
    <row r="5412" spans="6:6" ht="15" customHeight="1" x14ac:dyDescent="0.2">
      <c r="F5412"/>
    </row>
    <row r="5413" spans="6:6" ht="15" customHeight="1" x14ac:dyDescent="0.2">
      <c r="F5413"/>
    </row>
    <row r="5414" spans="6:6" ht="15" customHeight="1" x14ac:dyDescent="0.2">
      <c r="F5414"/>
    </row>
    <row r="5415" spans="6:6" ht="15" customHeight="1" x14ac:dyDescent="0.2">
      <c r="F5415"/>
    </row>
    <row r="5416" spans="6:6" ht="15" customHeight="1" x14ac:dyDescent="0.2">
      <c r="F5416"/>
    </row>
    <row r="5417" spans="6:6" ht="15" customHeight="1" x14ac:dyDescent="0.2">
      <c r="F5417"/>
    </row>
    <row r="5418" spans="6:6" ht="15" customHeight="1" x14ac:dyDescent="0.2">
      <c r="F5418"/>
    </row>
    <row r="5419" spans="6:6" ht="15" customHeight="1" x14ac:dyDescent="0.2">
      <c r="F5419"/>
    </row>
    <row r="5420" spans="6:6" ht="15" customHeight="1" x14ac:dyDescent="0.2">
      <c r="F5420"/>
    </row>
    <row r="5421" spans="6:6" ht="15" customHeight="1" x14ac:dyDescent="0.2">
      <c r="F5421"/>
    </row>
    <row r="5422" spans="6:6" ht="15" customHeight="1" x14ac:dyDescent="0.2">
      <c r="F5422"/>
    </row>
    <row r="5423" spans="6:6" ht="15" customHeight="1" x14ac:dyDescent="0.2">
      <c r="F5423"/>
    </row>
    <row r="5424" spans="6:6" ht="15" customHeight="1" x14ac:dyDescent="0.2">
      <c r="F5424"/>
    </row>
    <row r="5425" spans="6:6" ht="15" customHeight="1" x14ac:dyDescent="0.2">
      <c r="F5425"/>
    </row>
    <row r="5426" spans="6:6" ht="15" customHeight="1" x14ac:dyDescent="0.2">
      <c r="F5426"/>
    </row>
    <row r="5427" spans="6:6" ht="15" customHeight="1" x14ac:dyDescent="0.2">
      <c r="F5427"/>
    </row>
    <row r="5428" spans="6:6" ht="15" customHeight="1" x14ac:dyDescent="0.2">
      <c r="F5428"/>
    </row>
    <row r="5429" spans="6:6" ht="15" customHeight="1" x14ac:dyDescent="0.2">
      <c r="F5429"/>
    </row>
    <row r="5430" spans="6:6" ht="15" customHeight="1" x14ac:dyDescent="0.2">
      <c r="F5430"/>
    </row>
    <row r="5431" spans="6:6" ht="15" customHeight="1" x14ac:dyDescent="0.2">
      <c r="F5431"/>
    </row>
    <row r="5432" spans="6:6" ht="15" customHeight="1" x14ac:dyDescent="0.2">
      <c r="F5432"/>
    </row>
    <row r="5433" spans="6:6" ht="15" customHeight="1" x14ac:dyDescent="0.2">
      <c r="F5433"/>
    </row>
    <row r="5434" spans="6:6" ht="15" customHeight="1" x14ac:dyDescent="0.2">
      <c r="F5434"/>
    </row>
    <row r="5435" spans="6:6" ht="15" customHeight="1" x14ac:dyDescent="0.2">
      <c r="F5435"/>
    </row>
    <row r="5436" spans="6:6" ht="15" customHeight="1" x14ac:dyDescent="0.2">
      <c r="F5436"/>
    </row>
    <row r="5437" spans="6:6" ht="15" customHeight="1" x14ac:dyDescent="0.2">
      <c r="F5437"/>
    </row>
    <row r="5438" spans="6:6" ht="15" customHeight="1" x14ac:dyDescent="0.2">
      <c r="F5438"/>
    </row>
    <row r="5439" spans="6:6" ht="15" customHeight="1" x14ac:dyDescent="0.2">
      <c r="F5439"/>
    </row>
    <row r="5440" spans="6:6" ht="15" customHeight="1" x14ac:dyDescent="0.2">
      <c r="F5440"/>
    </row>
    <row r="5441" spans="6:6" ht="15" customHeight="1" x14ac:dyDescent="0.2">
      <c r="F5441"/>
    </row>
    <row r="5442" spans="6:6" ht="15" customHeight="1" x14ac:dyDescent="0.2">
      <c r="F5442"/>
    </row>
    <row r="5443" spans="6:6" ht="15" customHeight="1" x14ac:dyDescent="0.2">
      <c r="F5443"/>
    </row>
    <row r="5444" spans="6:6" ht="15" customHeight="1" x14ac:dyDescent="0.2">
      <c r="F5444"/>
    </row>
    <row r="5445" spans="6:6" ht="15" customHeight="1" x14ac:dyDescent="0.2">
      <c r="F5445"/>
    </row>
    <row r="5446" spans="6:6" ht="15" customHeight="1" x14ac:dyDescent="0.2">
      <c r="F5446"/>
    </row>
    <row r="5447" spans="6:6" ht="15" customHeight="1" x14ac:dyDescent="0.2">
      <c r="F5447"/>
    </row>
    <row r="5448" spans="6:6" ht="15" customHeight="1" x14ac:dyDescent="0.2">
      <c r="F5448"/>
    </row>
    <row r="5449" spans="6:6" ht="15" customHeight="1" x14ac:dyDescent="0.2">
      <c r="F5449"/>
    </row>
    <row r="5450" spans="6:6" ht="15" customHeight="1" x14ac:dyDescent="0.2">
      <c r="F5450"/>
    </row>
    <row r="5451" spans="6:6" ht="15" customHeight="1" x14ac:dyDescent="0.2">
      <c r="F5451"/>
    </row>
    <row r="5452" spans="6:6" ht="15" customHeight="1" x14ac:dyDescent="0.2">
      <c r="F5452"/>
    </row>
    <row r="5453" spans="6:6" ht="15" customHeight="1" x14ac:dyDescent="0.2">
      <c r="F5453"/>
    </row>
    <row r="5454" spans="6:6" ht="15" customHeight="1" x14ac:dyDescent="0.2">
      <c r="F5454"/>
    </row>
    <row r="5455" spans="6:6" ht="15" customHeight="1" x14ac:dyDescent="0.2">
      <c r="F5455"/>
    </row>
    <row r="5456" spans="6:6" ht="15" customHeight="1" x14ac:dyDescent="0.2">
      <c r="F5456"/>
    </row>
    <row r="5457" spans="6:6" ht="15" customHeight="1" x14ac:dyDescent="0.2">
      <c r="F5457"/>
    </row>
    <row r="5458" spans="6:6" ht="15" customHeight="1" x14ac:dyDescent="0.2">
      <c r="F5458"/>
    </row>
    <row r="5459" spans="6:6" ht="15" customHeight="1" x14ac:dyDescent="0.2">
      <c r="F5459"/>
    </row>
    <row r="5460" spans="6:6" ht="15" customHeight="1" x14ac:dyDescent="0.2">
      <c r="F5460"/>
    </row>
    <row r="5461" spans="6:6" ht="15" customHeight="1" x14ac:dyDescent="0.2">
      <c r="F5461"/>
    </row>
    <row r="5462" spans="6:6" ht="15" customHeight="1" x14ac:dyDescent="0.2">
      <c r="F5462"/>
    </row>
    <row r="5463" spans="6:6" ht="15" customHeight="1" x14ac:dyDescent="0.2">
      <c r="F5463"/>
    </row>
    <row r="5464" spans="6:6" ht="15" customHeight="1" x14ac:dyDescent="0.2">
      <c r="F5464"/>
    </row>
    <row r="5465" spans="6:6" ht="15" customHeight="1" x14ac:dyDescent="0.2">
      <c r="F5465"/>
    </row>
    <row r="5466" spans="6:6" ht="15" customHeight="1" x14ac:dyDescent="0.2">
      <c r="F5466"/>
    </row>
    <row r="5467" spans="6:6" ht="15" customHeight="1" x14ac:dyDescent="0.2">
      <c r="F5467"/>
    </row>
    <row r="5468" spans="6:6" ht="15" customHeight="1" x14ac:dyDescent="0.2">
      <c r="F5468"/>
    </row>
    <row r="5469" spans="6:6" ht="15" customHeight="1" x14ac:dyDescent="0.2">
      <c r="F5469"/>
    </row>
    <row r="5470" spans="6:6" ht="15" customHeight="1" x14ac:dyDescent="0.2">
      <c r="F5470"/>
    </row>
    <row r="5471" spans="6:6" ht="15" customHeight="1" x14ac:dyDescent="0.2">
      <c r="F5471"/>
    </row>
    <row r="5472" spans="6:6" ht="15" customHeight="1" x14ac:dyDescent="0.2">
      <c r="F5472"/>
    </row>
    <row r="5473" spans="6:6" ht="15" customHeight="1" x14ac:dyDescent="0.2">
      <c r="F5473"/>
    </row>
    <row r="5474" spans="6:6" ht="15" customHeight="1" x14ac:dyDescent="0.2">
      <c r="F5474"/>
    </row>
    <row r="5475" spans="6:6" ht="15" customHeight="1" x14ac:dyDescent="0.2">
      <c r="F5475"/>
    </row>
    <row r="5476" spans="6:6" ht="15" customHeight="1" x14ac:dyDescent="0.2">
      <c r="F5476"/>
    </row>
    <row r="5477" spans="6:6" ht="15" customHeight="1" x14ac:dyDescent="0.2">
      <c r="F5477"/>
    </row>
    <row r="5478" spans="6:6" ht="15" customHeight="1" x14ac:dyDescent="0.2">
      <c r="F5478"/>
    </row>
    <row r="5479" spans="6:6" ht="15" customHeight="1" x14ac:dyDescent="0.2">
      <c r="F5479"/>
    </row>
    <row r="5480" spans="6:6" ht="15" customHeight="1" x14ac:dyDescent="0.2">
      <c r="F5480"/>
    </row>
    <row r="5481" spans="6:6" ht="15" customHeight="1" x14ac:dyDescent="0.2">
      <c r="F5481"/>
    </row>
    <row r="5482" spans="6:6" ht="15" customHeight="1" x14ac:dyDescent="0.2">
      <c r="F5482"/>
    </row>
    <row r="5483" spans="6:6" ht="15" customHeight="1" x14ac:dyDescent="0.2">
      <c r="F5483"/>
    </row>
    <row r="5484" spans="6:6" ht="15" customHeight="1" x14ac:dyDescent="0.2">
      <c r="F5484"/>
    </row>
    <row r="5485" spans="6:6" ht="15" customHeight="1" x14ac:dyDescent="0.2">
      <c r="F5485"/>
    </row>
    <row r="5486" spans="6:6" ht="15" customHeight="1" x14ac:dyDescent="0.2">
      <c r="F5486"/>
    </row>
    <row r="5487" spans="6:6" ht="15" customHeight="1" x14ac:dyDescent="0.2">
      <c r="F5487"/>
    </row>
    <row r="5488" spans="6:6" ht="15" customHeight="1" x14ac:dyDescent="0.2">
      <c r="F5488"/>
    </row>
    <row r="5489" spans="6:6" ht="15" customHeight="1" x14ac:dyDescent="0.2">
      <c r="F5489"/>
    </row>
    <row r="5490" spans="6:6" ht="15" customHeight="1" x14ac:dyDescent="0.2">
      <c r="F5490"/>
    </row>
    <row r="5491" spans="6:6" ht="15" customHeight="1" x14ac:dyDescent="0.2">
      <c r="F5491"/>
    </row>
    <row r="5492" spans="6:6" ht="15" customHeight="1" x14ac:dyDescent="0.2">
      <c r="F5492"/>
    </row>
    <row r="5493" spans="6:6" ht="15" customHeight="1" x14ac:dyDescent="0.2">
      <c r="F5493"/>
    </row>
    <row r="5494" spans="6:6" ht="15" customHeight="1" x14ac:dyDescent="0.2">
      <c r="F5494"/>
    </row>
    <row r="5495" spans="6:6" ht="15" customHeight="1" x14ac:dyDescent="0.2">
      <c r="F5495"/>
    </row>
    <row r="5496" spans="6:6" ht="15" customHeight="1" x14ac:dyDescent="0.2">
      <c r="F5496"/>
    </row>
    <row r="5497" spans="6:6" ht="15" customHeight="1" x14ac:dyDescent="0.2">
      <c r="F5497"/>
    </row>
    <row r="5498" spans="6:6" ht="15" customHeight="1" x14ac:dyDescent="0.2">
      <c r="F5498"/>
    </row>
    <row r="5499" spans="6:6" ht="15" customHeight="1" x14ac:dyDescent="0.2">
      <c r="F5499"/>
    </row>
    <row r="5500" spans="6:6" ht="15" customHeight="1" x14ac:dyDescent="0.2">
      <c r="F5500"/>
    </row>
    <row r="5501" spans="6:6" ht="15" customHeight="1" x14ac:dyDescent="0.2">
      <c r="F5501"/>
    </row>
    <row r="5502" spans="6:6" ht="15" customHeight="1" x14ac:dyDescent="0.2">
      <c r="F5502"/>
    </row>
    <row r="5503" spans="6:6" ht="15" customHeight="1" x14ac:dyDescent="0.2">
      <c r="F5503"/>
    </row>
    <row r="5504" spans="6:6" ht="15" customHeight="1" x14ac:dyDescent="0.2">
      <c r="F5504"/>
    </row>
    <row r="5505" spans="6:6" ht="15" customHeight="1" x14ac:dyDescent="0.2">
      <c r="F5505"/>
    </row>
    <row r="5506" spans="6:6" ht="15" customHeight="1" x14ac:dyDescent="0.2">
      <c r="F5506"/>
    </row>
    <row r="5507" spans="6:6" ht="15" customHeight="1" x14ac:dyDescent="0.2">
      <c r="F5507"/>
    </row>
    <row r="5508" spans="6:6" ht="15" customHeight="1" x14ac:dyDescent="0.2">
      <c r="F5508"/>
    </row>
    <row r="5509" spans="6:6" ht="15" customHeight="1" x14ac:dyDescent="0.2">
      <c r="F5509"/>
    </row>
    <row r="5510" spans="6:6" ht="15" customHeight="1" x14ac:dyDescent="0.2">
      <c r="F5510"/>
    </row>
    <row r="5511" spans="6:6" ht="15" customHeight="1" x14ac:dyDescent="0.2">
      <c r="F5511"/>
    </row>
    <row r="5512" spans="6:6" ht="15" customHeight="1" x14ac:dyDescent="0.2">
      <c r="F5512"/>
    </row>
    <row r="5513" spans="6:6" ht="15" customHeight="1" x14ac:dyDescent="0.2">
      <c r="F5513"/>
    </row>
    <row r="5514" spans="6:6" ht="15" customHeight="1" x14ac:dyDescent="0.2">
      <c r="F5514"/>
    </row>
    <row r="5515" spans="6:6" ht="15" customHeight="1" x14ac:dyDescent="0.2">
      <c r="F5515"/>
    </row>
    <row r="5516" spans="6:6" ht="15" customHeight="1" x14ac:dyDescent="0.2">
      <c r="F5516"/>
    </row>
    <row r="5517" spans="6:6" ht="15" customHeight="1" x14ac:dyDescent="0.2">
      <c r="F5517"/>
    </row>
    <row r="5518" spans="6:6" ht="15" customHeight="1" x14ac:dyDescent="0.2">
      <c r="F5518"/>
    </row>
    <row r="5519" spans="6:6" ht="15" customHeight="1" x14ac:dyDescent="0.2">
      <c r="F5519"/>
    </row>
    <row r="5520" spans="6:6" ht="15" customHeight="1" x14ac:dyDescent="0.2">
      <c r="F5520"/>
    </row>
    <row r="5521" spans="6:6" ht="15" customHeight="1" x14ac:dyDescent="0.2">
      <c r="F5521"/>
    </row>
    <row r="5522" spans="6:6" ht="15" customHeight="1" x14ac:dyDescent="0.2">
      <c r="F5522"/>
    </row>
    <row r="5523" spans="6:6" ht="15" customHeight="1" x14ac:dyDescent="0.2">
      <c r="F5523"/>
    </row>
    <row r="5524" spans="6:6" ht="15" customHeight="1" x14ac:dyDescent="0.2">
      <c r="F5524"/>
    </row>
    <row r="5525" spans="6:6" ht="15" customHeight="1" x14ac:dyDescent="0.2">
      <c r="F5525"/>
    </row>
    <row r="5526" spans="6:6" ht="15" customHeight="1" x14ac:dyDescent="0.2">
      <c r="F5526"/>
    </row>
    <row r="5527" spans="6:6" ht="15" customHeight="1" x14ac:dyDescent="0.2">
      <c r="F5527"/>
    </row>
    <row r="5528" spans="6:6" ht="15" customHeight="1" x14ac:dyDescent="0.2">
      <c r="F5528"/>
    </row>
    <row r="5529" spans="6:6" ht="15" customHeight="1" x14ac:dyDescent="0.2">
      <c r="F5529"/>
    </row>
    <row r="5530" spans="6:6" ht="15" customHeight="1" x14ac:dyDescent="0.2">
      <c r="F5530"/>
    </row>
    <row r="5531" spans="6:6" ht="15" customHeight="1" x14ac:dyDescent="0.2">
      <c r="F5531"/>
    </row>
    <row r="5532" spans="6:6" ht="15" customHeight="1" x14ac:dyDescent="0.2">
      <c r="F5532"/>
    </row>
    <row r="5533" spans="6:6" ht="15" customHeight="1" x14ac:dyDescent="0.2">
      <c r="F5533"/>
    </row>
    <row r="5534" spans="6:6" ht="15" customHeight="1" x14ac:dyDescent="0.2">
      <c r="F5534"/>
    </row>
    <row r="5535" spans="6:6" ht="15" customHeight="1" x14ac:dyDescent="0.2">
      <c r="F5535"/>
    </row>
    <row r="5536" spans="6:6" ht="15" customHeight="1" x14ac:dyDescent="0.2">
      <c r="F5536"/>
    </row>
    <row r="5537" spans="6:6" ht="15" customHeight="1" x14ac:dyDescent="0.2">
      <c r="F5537"/>
    </row>
    <row r="5538" spans="6:6" ht="15" customHeight="1" x14ac:dyDescent="0.2">
      <c r="F5538"/>
    </row>
    <row r="5539" spans="6:6" ht="15" customHeight="1" x14ac:dyDescent="0.2">
      <c r="F5539"/>
    </row>
    <row r="5540" spans="6:6" ht="15" customHeight="1" x14ac:dyDescent="0.2">
      <c r="F5540"/>
    </row>
    <row r="5541" spans="6:6" ht="15" customHeight="1" x14ac:dyDescent="0.2">
      <c r="F5541"/>
    </row>
    <row r="5542" spans="6:6" ht="15" customHeight="1" x14ac:dyDescent="0.2">
      <c r="F5542"/>
    </row>
    <row r="5543" spans="6:6" ht="15" customHeight="1" x14ac:dyDescent="0.2">
      <c r="F5543"/>
    </row>
    <row r="5544" spans="6:6" ht="15" customHeight="1" x14ac:dyDescent="0.2">
      <c r="F5544"/>
    </row>
    <row r="5545" spans="6:6" ht="15" customHeight="1" x14ac:dyDescent="0.2">
      <c r="F5545"/>
    </row>
    <row r="5546" spans="6:6" ht="15" customHeight="1" x14ac:dyDescent="0.2">
      <c r="F5546"/>
    </row>
    <row r="5547" spans="6:6" ht="15" customHeight="1" x14ac:dyDescent="0.2">
      <c r="F5547"/>
    </row>
    <row r="5548" spans="6:6" ht="15" customHeight="1" x14ac:dyDescent="0.2">
      <c r="F5548"/>
    </row>
    <row r="5549" spans="6:6" ht="15" customHeight="1" x14ac:dyDescent="0.2">
      <c r="F5549"/>
    </row>
    <row r="5550" spans="6:6" ht="15" customHeight="1" x14ac:dyDescent="0.2">
      <c r="F5550"/>
    </row>
    <row r="5551" spans="6:6" ht="15" customHeight="1" x14ac:dyDescent="0.2">
      <c r="F5551"/>
    </row>
    <row r="5552" spans="6:6" ht="15" customHeight="1" x14ac:dyDescent="0.2">
      <c r="F5552"/>
    </row>
    <row r="5553" spans="6:6" ht="15" customHeight="1" x14ac:dyDescent="0.2">
      <c r="F5553"/>
    </row>
    <row r="5554" spans="6:6" ht="15" customHeight="1" x14ac:dyDescent="0.2">
      <c r="F5554"/>
    </row>
    <row r="5555" spans="6:6" ht="15" customHeight="1" x14ac:dyDescent="0.2">
      <c r="F5555"/>
    </row>
    <row r="5556" spans="6:6" ht="15" customHeight="1" x14ac:dyDescent="0.2">
      <c r="F5556"/>
    </row>
    <row r="5557" spans="6:6" ht="15" customHeight="1" x14ac:dyDescent="0.2">
      <c r="F5557"/>
    </row>
    <row r="5558" spans="6:6" ht="15" customHeight="1" x14ac:dyDescent="0.2">
      <c r="F5558"/>
    </row>
    <row r="5559" spans="6:6" ht="15" customHeight="1" x14ac:dyDescent="0.2">
      <c r="F5559"/>
    </row>
    <row r="5560" spans="6:6" ht="15" customHeight="1" x14ac:dyDescent="0.2">
      <c r="F5560"/>
    </row>
    <row r="5561" spans="6:6" ht="15" customHeight="1" x14ac:dyDescent="0.2">
      <c r="F5561"/>
    </row>
    <row r="5562" spans="6:6" ht="15" customHeight="1" x14ac:dyDescent="0.2">
      <c r="F5562"/>
    </row>
    <row r="5563" spans="6:6" ht="15" customHeight="1" x14ac:dyDescent="0.2">
      <c r="F5563"/>
    </row>
    <row r="5564" spans="6:6" ht="15" customHeight="1" x14ac:dyDescent="0.2">
      <c r="F5564"/>
    </row>
    <row r="5565" spans="6:6" ht="15" customHeight="1" x14ac:dyDescent="0.2">
      <c r="F5565"/>
    </row>
    <row r="5566" spans="6:6" ht="15" customHeight="1" x14ac:dyDescent="0.2">
      <c r="F5566"/>
    </row>
    <row r="5567" spans="6:6" ht="15" customHeight="1" x14ac:dyDescent="0.2">
      <c r="F5567"/>
    </row>
    <row r="5568" spans="6:6" ht="15" customHeight="1" x14ac:dyDescent="0.2">
      <c r="F5568"/>
    </row>
    <row r="5569" spans="6:6" ht="15" customHeight="1" x14ac:dyDescent="0.2">
      <c r="F5569"/>
    </row>
    <row r="5570" spans="6:6" ht="15" customHeight="1" x14ac:dyDescent="0.2">
      <c r="F5570"/>
    </row>
    <row r="5571" spans="6:6" ht="15" customHeight="1" x14ac:dyDescent="0.2">
      <c r="F5571"/>
    </row>
    <row r="5572" spans="6:6" ht="15" customHeight="1" x14ac:dyDescent="0.2">
      <c r="F5572"/>
    </row>
    <row r="5573" spans="6:6" ht="15" customHeight="1" x14ac:dyDescent="0.2">
      <c r="F5573"/>
    </row>
    <row r="5574" spans="6:6" ht="15" customHeight="1" x14ac:dyDescent="0.2">
      <c r="F5574"/>
    </row>
    <row r="5575" spans="6:6" ht="15" customHeight="1" x14ac:dyDescent="0.2">
      <c r="F5575"/>
    </row>
    <row r="5576" spans="6:6" ht="15" customHeight="1" x14ac:dyDescent="0.2">
      <c r="F5576"/>
    </row>
    <row r="5577" spans="6:6" ht="15" customHeight="1" x14ac:dyDescent="0.2">
      <c r="F5577"/>
    </row>
    <row r="5578" spans="6:6" ht="15" customHeight="1" x14ac:dyDescent="0.2">
      <c r="F5578"/>
    </row>
    <row r="5579" spans="6:6" ht="15" customHeight="1" x14ac:dyDescent="0.2">
      <c r="F5579"/>
    </row>
    <row r="5580" spans="6:6" ht="15" customHeight="1" x14ac:dyDescent="0.2">
      <c r="F5580"/>
    </row>
    <row r="5581" spans="6:6" ht="15" customHeight="1" x14ac:dyDescent="0.2">
      <c r="F5581"/>
    </row>
    <row r="5582" spans="6:6" ht="15" customHeight="1" x14ac:dyDescent="0.2">
      <c r="F5582"/>
    </row>
    <row r="5583" spans="6:6" ht="15" customHeight="1" x14ac:dyDescent="0.2">
      <c r="F5583"/>
    </row>
    <row r="5584" spans="6:6" ht="15" customHeight="1" x14ac:dyDescent="0.2">
      <c r="F5584"/>
    </row>
    <row r="5585" spans="6:6" ht="15" customHeight="1" x14ac:dyDescent="0.2">
      <c r="F5585"/>
    </row>
    <row r="5586" spans="6:6" ht="15" customHeight="1" x14ac:dyDescent="0.2">
      <c r="F5586"/>
    </row>
    <row r="5587" spans="6:6" ht="15" customHeight="1" x14ac:dyDescent="0.2">
      <c r="F5587"/>
    </row>
    <row r="5588" spans="6:6" ht="15" customHeight="1" x14ac:dyDescent="0.2">
      <c r="F5588"/>
    </row>
    <row r="5589" spans="6:6" ht="15" customHeight="1" x14ac:dyDescent="0.2">
      <c r="F5589"/>
    </row>
    <row r="5590" spans="6:6" ht="15" customHeight="1" x14ac:dyDescent="0.2">
      <c r="F5590"/>
    </row>
    <row r="5591" spans="6:6" ht="15" customHeight="1" x14ac:dyDescent="0.2">
      <c r="F5591"/>
    </row>
    <row r="5592" spans="6:6" ht="15" customHeight="1" x14ac:dyDescent="0.2">
      <c r="F5592"/>
    </row>
    <row r="5593" spans="6:6" ht="15" customHeight="1" x14ac:dyDescent="0.2">
      <c r="F5593"/>
    </row>
    <row r="5594" spans="6:6" ht="15" customHeight="1" x14ac:dyDescent="0.2">
      <c r="F5594"/>
    </row>
    <row r="5595" spans="6:6" ht="15" customHeight="1" x14ac:dyDescent="0.2">
      <c r="F5595"/>
    </row>
    <row r="5596" spans="6:6" ht="15" customHeight="1" x14ac:dyDescent="0.2">
      <c r="F5596"/>
    </row>
    <row r="5597" spans="6:6" ht="15" customHeight="1" x14ac:dyDescent="0.2">
      <c r="F5597"/>
    </row>
    <row r="5598" spans="6:6" ht="15" customHeight="1" x14ac:dyDescent="0.2">
      <c r="F5598"/>
    </row>
    <row r="5599" spans="6:6" ht="15" customHeight="1" x14ac:dyDescent="0.2">
      <c r="F5599"/>
    </row>
    <row r="5600" spans="6:6" ht="15" customHeight="1" x14ac:dyDescent="0.2">
      <c r="F5600"/>
    </row>
    <row r="5601" spans="6:6" ht="15" customHeight="1" x14ac:dyDescent="0.2">
      <c r="F5601"/>
    </row>
    <row r="5602" spans="6:6" ht="15" customHeight="1" x14ac:dyDescent="0.2">
      <c r="F5602"/>
    </row>
    <row r="5603" spans="6:6" ht="15" customHeight="1" x14ac:dyDescent="0.2">
      <c r="F5603"/>
    </row>
    <row r="5604" spans="6:6" ht="15" customHeight="1" x14ac:dyDescent="0.2">
      <c r="F5604"/>
    </row>
    <row r="5605" spans="6:6" ht="15" customHeight="1" x14ac:dyDescent="0.2">
      <c r="F5605"/>
    </row>
    <row r="5606" spans="6:6" ht="15" customHeight="1" x14ac:dyDescent="0.2">
      <c r="F5606"/>
    </row>
    <row r="5607" spans="6:6" ht="15" customHeight="1" x14ac:dyDescent="0.2">
      <c r="F5607"/>
    </row>
    <row r="5608" spans="6:6" ht="15" customHeight="1" x14ac:dyDescent="0.2">
      <c r="F5608"/>
    </row>
    <row r="5609" spans="6:6" ht="15" customHeight="1" x14ac:dyDescent="0.2">
      <c r="F5609"/>
    </row>
    <row r="5610" spans="6:6" ht="15" customHeight="1" x14ac:dyDescent="0.2">
      <c r="F5610"/>
    </row>
    <row r="5611" spans="6:6" ht="15" customHeight="1" x14ac:dyDescent="0.2">
      <c r="F5611"/>
    </row>
    <row r="5612" spans="6:6" ht="15" customHeight="1" x14ac:dyDescent="0.2">
      <c r="F5612"/>
    </row>
    <row r="5613" spans="6:6" ht="15" customHeight="1" x14ac:dyDescent="0.2">
      <c r="F5613"/>
    </row>
    <row r="5614" spans="6:6" ht="15" customHeight="1" x14ac:dyDescent="0.2">
      <c r="F5614"/>
    </row>
    <row r="5615" spans="6:6" ht="15" customHeight="1" x14ac:dyDescent="0.2">
      <c r="F5615"/>
    </row>
    <row r="5616" spans="6:6" ht="15" customHeight="1" x14ac:dyDescent="0.2">
      <c r="F5616"/>
    </row>
    <row r="5617" spans="6:6" ht="15" customHeight="1" x14ac:dyDescent="0.2">
      <c r="F5617"/>
    </row>
    <row r="5618" spans="6:6" ht="15" customHeight="1" x14ac:dyDescent="0.2">
      <c r="F5618"/>
    </row>
    <row r="5619" spans="6:6" ht="15" customHeight="1" x14ac:dyDescent="0.2">
      <c r="F5619"/>
    </row>
    <row r="5620" spans="6:6" ht="15" customHeight="1" x14ac:dyDescent="0.2">
      <c r="F5620"/>
    </row>
    <row r="5621" spans="6:6" ht="15" customHeight="1" x14ac:dyDescent="0.2">
      <c r="F5621"/>
    </row>
    <row r="5622" spans="6:6" ht="15" customHeight="1" x14ac:dyDescent="0.2">
      <c r="F5622"/>
    </row>
    <row r="5623" spans="6:6" ht="15" customHeight="1" x14ac:dyDescent="0.2">
      <c r="F5623"/>
    </row>
    <row r="5624" spans="6:6" ht="15" customHeight="1" x14ac:dyDescent="0.2">
      <c r="F5624"/>
    </row>
    <row r="5625" spans="6:6" ht="15" customHeight="1" x14ac:dyDescent="0.2">
      <c r="F5625"/>
    </row>
    <row r="5626" spans="6:6" ht="15" customHeight="1" x14ac:dyDescent="0.2">
      <c r="F5626"/>
    </row>
    <row r="5627" spans="6:6" ht="15" customHeight="1" x14ac:dyDescent="0.2">
      <c r="F5627"/>
    </row>
    <row r="5628" spans="6:6" ht="15" customHeight="1" x14ac:dyDescent="0.2">
      <c r="F5628"/>
    </row>
    <row r="5629" spans="6:6" ht="15" customHeight="1" x14ac:dyDescent="0.2">
      <c r="F5629"/>
    </row>
    <row r="5630" spans="6:6" ht="15" customHeight="1" x14ac:dyDescent="0.2">
      <c r="F5630"/>
    </row>
    <row r="5631" spans="6:6" ht="15" customHeight="1" x14ac:dyDescent="0.2">
      <c r="F5631"/>
    </row>
    <row r="5632" spans="6:6" ht="15" customHeight="1" x14ac:dyDescent="0.2">
      <c r="F5632"/>
    </row>
    <row r="5633" spans="6:6" ht="15" customHeight="1" x14ac:dyDescent="0.2">
      <c r="F5633"/>
    </row>
    <row r="5634" spans="6:6" ht="15" customHeight="1" x14ac:dyDescent="0.2">
      <c r="F5634"/>
    </row>
    <row r="5635" spans="6:6" ht="15" customHeight="1" x14ac:dyDescent="0.2">
      <c r="F5635"/>
    </row>
    <row r="5636" spans="6:6" ht="15" customHeight="1" x14ac:dyDescent="0.2">
      <c r="F5636"/>
    </row>
    <row r="5637" spans="6:6" ht="15" customHeight="1" x14ac:dyDescent="0.2">
      <c r="F5637"/>
    </row>
    <row r="5638" spans="6:6" ht="15" customHeight="1" x14ac:dyDescent="0.2">
      <c r="F5638"/>
    </row>
    <row r="5639" spans="6:6" ht="15" customHeight="1" x14ac:dyDescent="0.2">
      <c r="F5639"/>
    </row>
    <row r="5640" spans="6:6" ht="15" customHeight="1" x14ac:dyDescent="0.2">
      <c r="F5640"/>
    </row>
    <row r="5641" spans="6:6" ht="15" customHeight="1" x14ac:dyDescent="0.2">
      <c r="F5641"/>
    </row>
    <row r="5642" spans="6:6" ht="15" customHeight="1" x14ac:dyDescent="0.2">
      <c r="F5642"/>
    </row>
    <row r="5643" spans="6:6" ht="15" customHeight="1" x14ac:dyDescent="0.2">
      <c r="F5643"/>
    </row>
    <row r="5644" spans="6:6" ht="15" customHeight="1" x14ac:dyDescent="0.2">
      <c r="F5644"/>
    </row>
    <row r="5645" spans="6:6" ht="15" customHeight="1" x14ac:dyDescent="0.2">
      <c r="F5645"/>
    </row>
    <row r="5646" spans="6:6" ht="15" customHeight="1" x14ac:dyDescent="0.2">
      <c r="F5646"/>
    </row>
    <row r="5647" spans="6:6" ht="15" customHeight="1" x14ac:dyDescent="0.2">
      <c r="F5647"/>
    </row>
    <row r="5648" spans="6:6" ht="15" customHeight="1" x14ac:dyDescent="0.2">
      <c r="F5648"/>
    </row>
    <row r="5649" spans="6:6" ht="15" customHeight="1" x14ac:dyDescent="0.2">
      <c r="F5649"/>
    </row>
    <row r="5650" spans="6:6" ht="15" customHeight="1" x14ac:dyDescent="0.2">
      <c r="F5650"/>
    </row>
    <row r="5651" spans="6:6" ht="15" customHeight="1" x14ac:dyDescent="0.2">
      <c r="F5651"/>
    </row>
    <row r="5652" spans="6:6" ht="15" customHeight="1" x14ac:dyDescent="0.2">
      <c r="F5652"/>
    </row>
    <row r="5653" spans="6:6" ht="15" customHeight="1" x14ac:dyDescent="0.2">
      <c r="F5653"/>
    </row>
    <row r="5654" spans="6:6" ht="15" customHeight="1" x14ac:dyDescent="0.2">
      <c r="F5654"/>
    </row>
    <row r="5655" spans="6:6" ht="15" customHeight="1" x14ac:dyDescent="0.2">
      <c r="F5655"/>
    </row>
    <row r="5656" spans="6:6" ht="15" customHeight="1" x14ac:dyDescent="0.2">
      <c r="F5656"/>
    </row>
    <row r="5657" spans="6:6" ht="15" customHeight="1" x14ac:dyDescent="0.2">
      <c r="F5657"/>
    </row>
    <row r="5658" spans="6:6" ht="15" customHeight="1" x14ac:dyDescent="0.2">
      <c r="F5658"/>
    </row>
    <row r="5659" spans="6:6" ht="15" customHeight="1" x14ac:dyDescent="0.2">
      <c r="F5659"/>
    </row>
    <row r="5660" spans="6:6" ht="15" customHeight="1" x14ac:dyDescent="0.2">
      <c r="F5660"/>
    </row>
    <row r="5661" spans="6:6" ht="15" customHeight="1" x14ac:dyDescent="0.2">
      <c r="F5661"/>
    </row>
    <row r="5662" spans="6:6" ht="15" customHeight="1" x14ac:dyDescent="0.2">
      <c r="F5662"/>
    </row>
    <row r="5663" spans="6:6" ht="15" customHeight="1" x14ac:dyDescent="0.2">
      <c r="F5663"/>
    </row>
    <row r="5664" spans="6:6" ht="15" customHeight="1" x14ac:dyDescent="0.2">
      <c r="F5664"/>
    </row>
    <row r="5665" spans="6:6" ht="15" customHeight="1" x14ac:dyDescent="0.2">
      <c r="F5665"/>
    </row>
    <row r="5666" spans="6:6" ht="15" customHeight="1" x14ac:dyDescent="0.2">
      <c r="F5666"/>
    </row>
    <row r="5667" spans="6:6" ht="15" customHeight="1" x14ac:dyDescent="0.2">
      <c r="F5667"/>
    </row>
    <row r="5668" spans="6:6" ht="15" customHeight="1" x14ac:dyDescent="0.2">
      <c r="F5668"/>
    </row>
    <row r="5669" spans="6:6" ht="15" customHeight="1" x14ac:dyDescent="0.2">
      <c r="F5669"/>
    </row>
    <row r="5670" spans="6:6" ht="15" customHeight="1" x14ac:dyDescent="0.2">
      <c r="F5670"/>
    </row>
    <row r="5671" spans="6:6" ht="15" customHeight="1" x14ac:dyDescent="0.2">
      <c r="F5671"/>
    </row>
    <row r="5672" spans="6:6" ht="15" customHeight="1" x14ac:dyDescent="0.2">
      <c r="F5672"/>
    </row>
    <row r="5673" spans="6:6" ht="15" customHeight="1" x14ac:dyDescent="0.2">
      <c r="F5673"/>
    </row>
    <row r="5674" spans="6:6" ht="15" customHeight="1" x14ac:dyDescent="0.2">
      <c r="F5674"/>
    </row>
    <row r="5675" spans="6:6" ht="15" customHeight="1" x14ac:dyDescent="0.2">
      <c r="F5675"/>
    </row>
    <row r="5676" spans="6:6" ht="15" customHeight="1" x14ac:dyDescent="0.2">
      <c r="F5676"/>
    </row>
    <row r="5677" spans="6:6" ht="15" customHeight="1" x14ac:dyDescent="0.2">
      <c r="F5677"/>
    </row>
    <row r="5678" spans="6:6" ht="15" customHeight="1" x14ac:dyDescent="0.2">
      <c r="F5678"/>
    </row>
    <row r="5679" spans="6:6" ht="15" customHeight="1" x14ac:dyDescent="0.2">
      <c r="F5679"/>
    </row>
    <row r="5680" spans="6:6" ht="15" customHeight="1" x14ac:dyDescent="0.2">
      <c r="F5680"/>
    </row>
    <row r="5681" spans="6:6" ht="15" customHeight="1" x14ac:dyDescent="0.2">
      <c r="F5681"/>
    </row>
    <row r="5682" spans="6:6" ht="15" customHeight="1" x14ac:dyDescent="0.2">
      <c r="F5682"/>
    </row>
    <row r="5683" spans="6:6" ht="15" customHeight="1" x14ac:dyDescent="0.2">
      <c r="F5683"/>
    </row>
    <row r="5684" spans="6:6" ht="15" customHeight="1" x14ac:dyDescent="0.2">
      <c r="F5684"/>
    </row>
    <row r="5685" spans="6:6" ht="15" customHeight="1" x14ac:dyDescent="0.2">
      <c r="F5685"/>
    </row>
    <row r="5686" spans="6:6" ht="15" customHeight="1" x14ac:dyDescent="0.2">
      <c r="F5686"/>
    </row>
    <row r="5687" spans="6:6" ht="15" customHeight="1" x14ac:dyDescent="0.2">
      <c r="F5687"/>
    </row>
    <row r="5688" spans="6:6" ht="15" customHeight="1" x14ac:dyDescent="0.2">
      <c r="F5688"/>
    </row>
    <row r="5689" spans="6:6" ht="15" customHeight="1" x14ac:dyDescent="0.2">
      <c r="F5689"/>
    </row>
    <row r="5690" spans="6:6" ht="15" customHeight="1" x14ac:dyDescent="0.2">
      <c r="F5690"/>
    </row>
    <row r="5691" spans="6:6" ht="15" customHeight="1" x14ac:dyDescent="0.2">
      <c r="F5691"/>
    </row>
    <row r="5692" spans="6:6" ht="15" customHeight="1" x14ac:dyDescent="0.2">
      <c r="F5692"/>
    </row>
    <row r="5693" spans="6:6" ht="15" customHeight="1" x14ac:dyDescent="0.2">
      <c r="F5693"/>
    </row>
    <row r="5694" spans="6:6" ht="15" customHeight="1" x14ac:dyDescent="0.2">
      <c r="F5694"/>
    </row>
    <row r="5695" spans="6:6" ht="15" customHeight="1" x14ac:dyDescent="0.2">
      <c r="F5695"/>
    </row>
    <row r="5696" spans="6:6" ht="15" customHeight="1" x14ac:dyDescent="0.2">
      <c r="F5696"/>
    </row>
    <row r="5697" spans="6:6" ht="15" customHeight="1" x14ac:dyDescent="0.2">
      <c r="F5697"/>
    </row>
    <row r="5698" spans="6:6" ht="15" customHeight="1" x14ac:dyDescent="0.2">
      <c r="F5698"/>
    </row>
    <row r="5699" spans="6:6" ht="15" customHeight="1" x14ac:dyDescent="0.2">
      <c r="F5699"/>
    </row>
    <row r="5700" spans="6:6" ht="15" customHeight="1" x14ac:dyDescent="0.2">
      <c r="F5700"/>
    </row>
    <row r="5701" spans="6:6" ht="15" customHeight="1" x14ac:dyDescent="0.2">
      <c r="F5701"/>
    </row>
    <row r="5702" spans="6:6" ht="15" customHeight="1" x14ac:dyDescent="0.2">
      <c r="F5702"/>
    </row>
    <row r="5703" spans="6:6" ht="15" customHeight="1" x14ac:dyDescent="0.2">
      <c r="F5703"/>
    </row>
    <row r="5704" spans="6:6" ht="15" customHeight="1" x14ac:dyDescent="0.2">
      <c r="F5704"/>
    </row>
    <row r="5705" spans="6:6" ht="15" customHeight="1" x14ac:dyDescent="0.2">
      <c r="F5705"/>
    </row>
    <row r="5706" spans="6:6" ht="15" customHeight="1" x14ac:dyDescent="0.2">
      <c r="F5706"/>
    </row>
    <row r="5707" spans="6:6" ht="15" customHeight="1" x14ac:dyDescent="0.2">
      <c r="F5707"/>
    </row>
    <row r="5708" spans="6:6" ht="15" customHeight="1" x14ac:dyDescent="0.2">
      <c r="F5708"/>
    </row>
    <row r="5709" spans="6:6" ht="15" customHeight="1" x14ac:dyDescent="0.2">
      <c r="F5709"/>
    </row>
    <row r="5710" spans="6:6" ht="15" customHeight="1" x14ac:dyDescent="0.2">
      <c r="F5710"/>
    </row>
    <row r="5711" spans="6:6" ht="15" customHeight="1" x14ac:dyDescent="0.2">
      <c r="F5711"/>
    </row>
    <row r="5712" spans="6:6" ht="15" customHeight="1" x14ac:dyDescent="0.2">
      <c r="F5712"/>
    </row>
    <row r="5713" spans="6:6" ht="15" customHeight="1" x14ac:dyDescent="0.2">
      <c r="F5713"/>
    </row>
    <row r="5714" spans="6:6" ht="15" customHeight="1" x14ac:dyDescent="0.2">
      <c r="F5714"/>
    </row>
    <row r="5715" spans="6:6" ht="15" customHeight="1" x14ac:dyDescent="0.2">
      <c r="F5715"/>
    </row>
    <row r="5716" spans="6:6" ht="15" customHeight="1" x14ac:dyDescent="0.2">
      <c r="F5716"/>
    </row>
    <row r="5717" spans="6:6" ht="15" customHeight="1" x14ac:dyDescent="0.2">
      <c r="F5717"/>
    </row>
    <row r="5718" spans="6:6" ht="15" customHeight="1" x14ac:dyDescent="0.2">
      <c r="F5718"/>
    </row>
    <row r="5719" spans="6:6" ht="15" customHeight="1" x14ac:dyDescent="0.2">
      <c r="F5719"/>
    </row>
    <row r="5720" spans="6:6" ht="15" customHeight="1" x14ac:dyDescent="0.2">
      <c r="F5720"/>
    </row>
    <row r="5721" spans="6:6" ht="15" customHeight="1" x14ac:dyDescent="0.2">
      <c r="F5721"/>
    </row>
    <row r="5722" spans="6:6" ht="15" customHeight="1" x14ac:dyDescent="0.2">
      <c r="F5722"/>
    </row>
    <row r="5723" spans="6:6" ht="15" customHeight="1" x14ac:dyDescent="0.2">
      <c r="F5723"/>
    </row>
    <row r="5724" spans="6:6" ht="15" customHeight="1" x14ac:dyDescent="0.2">
      <c r="F5724"/>
    </row>
    <row r="5725" spans="6:6" ht="15" customHeight="1" x14ac:dyDescent="0.2">
      <c r="F5725"/>
    </row>
    <row r="5726" spans="6:6" ht="15" customHeight="1" x14ac:dyDescent="0.2">
      <c r="F5726"/>
    </row>
    <row r="5727" spans="6:6" ht="15" customHeight="1" x14ac:dyDescent="0.2">
      <c r="F5727"/>
    </row>
    <row r="5728" spans="6:6" ht="15" customHeight="1" x14ac:dyDescent="0.2">
      <c r="F5728"/>
    </row>
    <row r="5729" spans="6:6" ht="15" customHeight="1" x14ac:dyDescent="0.2">
      <c r="F5729"/>
    </row>
    <row r="5730" spans="6:6" ht="15" customHeight="1" x14ac:dyDescent="0.2">
      <c r="F5730"/>
    </row>
    <row r="5731" spans="6:6" ht="15" customHeight="1" x14ac:dyDescent="0.2">
      <c r="F5731"/>
    </row>
    <row r="5732" spans="6:6" ht="15" customHeight="1" x14ac:dyDescent="0.2">
      <c r="F5732"/>
    </row>
    <row r="5733" spans="6:6" ht="15" customHeight="1" x14ac:dyDescent="0.2">
      <c r="F5733"/>
    </row>
    <row r="5734" spans="6:6" ht="15" customHeight="1" x14ac:dyDescent="0.2">
      <c r="F5734"/>
    </row>
    <row r="5735" spans="6:6" ht="15" customHeight="1" x14ac:dyDescent="0.2">
      <c r="F5735"/>
    </row>
    <row r="5736" spans="6:6" ht="15" customHeight="1" x14ac:dyDescent="0.2">
      <c r="F5736"/>
    </row>
    <row r="5737" spans="6:6" ht="15" customHeight="1" x14ac:dyDescent="0.2">
      <c r="F5737"/>
    </row>
    <row r="5738" spans="6:6" ht="15" customHeight="1" x14ac:dyDescent="0.2">
      <c r="F5738"/>
    </row>
    <row r="5739" spans="6:6" ht="15" customHeight="1" x14ac:dyDescent="0.2">
      <c r="F5739"/>
    </row>
    <row r="5740" spans="6:6" ht="15" customHeight="1" x14ac:dyDescent="0.2">
      <c r="F5740"/>
    </row>
    <row r="5741" spans="6:6" ht="15" customHeight="1" x14ac:dyDescent="0.2">
      <c r="F5741"/>
    </row>
    <row r="5742" spans="6:6" ht="15" customHeight="1" x14ac:dyDescent="0.2">
      <c r="F5742"/>
    </row>
    <row r="5743" spans="6:6" ht="15" customHeight="1" x14ac:dyDescent="0.2">
      <c r="F5743"/>
    </row>
    <row r="5744" spans="6:6" ht="15" customHeight="1" x14ac:dyDescent="0.2">
      <c r="F5744"/>
    </row>
    <row r="5745" spans="6:6" ht="15" customHeight="1" x14ac:dyDescent="0.2">
      <c r="F5745"/>
    </row>
    <row r="5746" spans="6:6" ht="15" customHeight="1" x14ac:dyDescent="0.2">
      <c r="F5746"/>
    </row>
    <row r="5747" spans="6:6" ht="15" customHeight="1" x14ac:dyDescent="0.2">
      <c r="F5747"/>
    </row>
    <row r="5748" spans="6:6" ht="15" customHeight="1" x14ac:dyDescent="0.2">
      <c r="F5748"/>
    </row>
    <row r="5749" spans="6:6" ht="15" customHeight="1" x14ac:dyDescent="0.2">
      <c r="F5749"/>
    </row>
    <row r="5750" spans="6:6" ht="15" customHeight="1" x14ac:dyDescent="0.2">
      <c r="F5750"/>
    </row>
    <row r="5751" spans="6:6" ht="15" customHeight="1" x14ac:dyDescent="0.2">
      <c r="F5751"/>
    </row>
    <row r="5752" spans="6:6" ht="15" customHeight="1" x14ac:dyDescent="0.2">
      <c r="F5752"/>
    </row>
    <row r="5753" spans="6:6" ht="15" customHeight="1" x14ac:dyDescent="0.2">
      <c r="F5753"/>
    </row>
    <row r="5754" spans="6:6" ht="15" customHeight="1" x14ac:dyDescent="0.2">
      <c r="F5754"/>
    </row>
    <row r="5755" spans="6:6" ht="15" customHeight="1" x14ac:dyDescent="0.2">
      <c r="F5755"/>
    </row>
    <row r="5756" spans="6:6" ht="15" customHeight="1" x14ac:dyDescent="0.2">
      <c r="F5756"/>
    </row>
    <row r="5757" spans="6:6" ht="15" customHeight="1" x14ac:dyDescent="0.2">
      <c r="F5757"/>
    </row>
    <row r="5758" spans="6:6" ht="15" customHeight="1" x14ac:dyDescent="0.2">
      <c r="F5758"/>
    </row>
    <row r="5759" spans="6:6" ht="15" customHeight="1" x14ac:dyDescent="0.2">
      <c r="F5759"/>
    </row>
    <row r="5760" spans="6:6" ht="15" customHeight="1" x14ac:dyDescent="0.2">
      <c r="F5760"/>
    </row>
    <row r="5761" spans="6:6" ht="15" customHeight="1" x14ac:dyDescent="0.2">
      <c r="F5761"/>
    </row>
    <row r="5762" spans="6:6" ht="15" customHeight="1" x14ac:dyDescent="0.2">
      <c r="F5762"/>
    </row>
    <row r="5763" spans="6:6" ht="15" customHeight="1" x14ac:dyDescent="0.2">
      <c r="F5763"/>
    </row>
    <row r="5764" spans="6:6" ht="15" customHeight="1" x14ac:dyDescent="0.2">
      <c r="F5764"/>
    </row>
    <row r="5765" spans="6:6" ht="15" customHeight="1" x14ac:dyDescent="0.2">
      <c r="F5765"/>
    </row>
    <row r="5766" spans="6:6" ht="15" customHeight="1" x14ac:dyDescent="0.2">
      <c r="F5766"/>
    </row>
    <row r="5767" spans="6:6" ht="15" customHeight="1" x14ac:dyDescent="0.2">
      <c r="F5767"/>
    </row>
    <row r="5768" spans="6:6" ht="15" customHeight="1" x14ac:dyDescent="0.2">
      <c r="F5768"/>
    </row>
    <row r="5769" spans="6:6" ht="15" customHeight="1" x14ac:dyDescent="0.2">
      <c r="F5769"/>
    </row>
    <row r="5770" spans="6:6" ht="15" customHeight="1" x14ac:dyDescent="0.2">
      <c r="F5770"/>
    </row>
    <row r="5771" spans="6:6" ht="15" customHeight="1" x14ac:dyDescent="0.2">
      <c r="F5771"/>
    </row>
    <row r="5772" spans="6:6" ht="15" customHeight="1" x14ac:dyDescent="0.2">
      <c r="F5772"/>
    </row>
    <row r="5773" spans="6:6" ht="15" customHeight="1" x14ac:dyDescent="0.2">
      <c r="F5773"/>
    </row>
    <row r="5774" spans="6:6" ht="15" customHeight="1" x14ac:dyDescent="0.2">
      <c r="F5774"/>
    </row>
    <row r="5775" spans="6:6" ht="15" customHeight="1" x14ac:dyDescent="0.2">
      <c r="F5775"/>
    </row>
    <row r="5776" spans="6:6" ht="15" customHeight="1" x14ac:dyDescent="0.2">
      <c r="F5776"/>
    </row>
    <row r="5777" spans="6:6" ht="15" customHeight="1" x14ac:dyDescent="0.2">
      <c r="F5777"/>
    </row>
    <row r="5778" spans="6:6" ht="15" customHeight="1" x14ac:dyDescent="0.2">
      <c r="F5778"/>
    </row>
    <row r="5779" spans="6:6" ht="15" customHeight="1" x14ac:dyDescent="0.2">
      <c r="F5779"/>
    </row>
    <row r="5780" spans="6:6" ht="15" customHeight="1" x14ac:dyDescent="0.2">
      <c r="F5780"/>
    </row>
    <row r="5781" spans="6:6" ht="15" customHeight="1" x14ac:dyDescent="0.2">
      <c r="F5781"/>
    </row>
    <row r="5782" spans="6:6" ht="15" customHeight="1" x14ac:dyDescent="0.2">
      <c r="F5782"/>
    </row>
    <row r="5783" spans="6:6" ht="15" customHeight="1" x14ac:dyDescent="0.2">
      <c r="F5783"/>
    </row>
    <row r="5784" spans="6:6" ht="15" customHeight="1" x14ac:dyDescent="0.2">
      <c r="F5784"/>
    </row>
    <row r="5785" spans="6:6" ht="15" customHeight="1" x14ac:dyDescent="0.2">
      <c r="F5785"/>
    </row>
    <row r="5786" spans="6:6" ht="15" customHeight="1" x14ac:dyDescent="0.2">
      <c r="F5786"/>
    </row>
    <row r="5787" spans="6:6" ht="15" customHeight="1" x14ac:dyDescent="0.2">
      <c r="F5787"/>
    </row>
    <row r="5788" spans="6:6" ht="15" customHeight="1" x14ac:dyDescent="0.2">
      <c r="F5788"/>
    </row>
    <row r="5789" spans="6:6" ht="15" customHeight="1" x14ac:dyDescent="0.2">
      <c r="F5789"/>
    </row>
    <row r="5790" spans="6:6" ht="15" customHeight="1" x14ac:dyDescent="0.2">
      <c r="F5790"/>
    </row>
    <row r="5791" spans="6:6" ht="15" customHeight="1" x14ac:dyDescent="0.2">
      <c r="F5791"/>
    </row>
    <row r="5792" spans="6:6" ht="15" customHeight="1" x14ac:dyDescent="0.2">
      <c r="F5792"/>
    </row>
    <row r="5793" spans="6:6" ht="15" customHeight="1" x14ac:dyDescent="0.2">
      <c r="F5793"/>
    </row>
    <row r="5794" spans="6:6" ht="15" customHeight="1" x14ac:dyDescent="0.2">
      <c r="F5794"/>
    </row>
    <row r="5795" spans="6:6" ht="15" customHeight="1" x14ac:dyDescent="0.2">
      <c r="F5795"/>
    </row>
    <row r="5796" spans="6:6" ht="15" customHeight="1" x14ac:dyDescent="0.2">
      <c r="F5796"/>
    </row>
    <row r="5797" spans="6:6" ht="15" customHeight="1" x14ac:dyDescent="0.2">
      <c r="F5797"/>
    </row>
    <row r="5798" spans="6:6" ht="15" customHeight="1" x14ac:dyDescent="0.2">
      <c r="F5798"/>
    </row>
    <row r="5799" spans="6:6" ht="15" customHeight="1" x14ac:dyDescent="0.2">
      <c r="F5799"/>
    </row>
    <row r="5800" spans="6:6" ht="15" customHeight="1" x14ac:dyDescent="0.2">
      <c r="F5800"/>
    </row>
    <row r="5801" spans="6:6" ht="15" customHeight="1" x14ac:dyDescent="0.2">
      <c r="F5801"/>
    </row>
    <row r="5802" spans="6:6" ht="15" customHeight="1" x14ac:dyDescent="0.2">
      <c r="F5802"/>
    </row>
    <row r="5803" spans="6:6" ht="15" customHeight="1" x14ac:dyDescent="0.2">
      <c r="F5803"/>
    </row>
    <row r="5804" spans="6:6" ht="15" customHeight="1" x14ac:dyDescent="0.2">
      <c r="F5804"/>
    </row>
    <row r="5805" spans="6:6" ht="15" customHeight="1" x14ac:dyDescent="0.2">
      <c r="F5805"/>
    </row>
    <row r="5806" spans="6:6" ht="15" customHeight="1" x14ac:dyDescent="0.2">
      <c r="F5806"/>
    </row>
    <row r="5807" spans="6:6" ht="15" customHeight="1" x14ac:dyDescent="0.2">
      <c r="F5807"/>
    </row>
    <row r="5808" spans="6:6" ht="15" customHeight="1" x14ac:dyDescent="0.2">
      <c r="F5808"/>
    </row>
    <row r="5809" spans="6:6" ht="15" customHeight="1" x14ac:dyDescent="0.2">
      <c r="F5809"/>
    </row>
    <row r="5810" spans="6:6" ht="15" customHeight="1" x14ac:dyDescent="0.2">
      <c r="F5810"/>
    </row>
    <row r="5811" spans="6:6" ht="15" customHeight="1" x14ac:dyDescent="0.2">
      <c r="F5811"/>
    </row>
    <row r="5812" spans="6:6" ht="15" customHeight="1" x14ac:dyDescent="0.2">
      <c r="F5812"/>
    </row>
    <row r="5813" spans="6:6" ht="15" customHeight="1" x14ac:dyDescent="0.2">
      <c r="F5813"/>
    </row>
    <row r="5814" spans="6:6" ht="15" customHeight="1" x14ac:dyDescent="0.2">
      <c r="F5814"/>
    </row>
    <row r="5815" spans="6:6" ht="15" customHeight="1" x14ac:dyDescent="0.2">
      <c r="F5815"/>
    </row>
    <row r="5816" spans="6:6" ht="15" customHeight="1" x14ac:dyDescent="0.2">
      <c r="F5816"/>
    </row>
    <row r="5817" spans="6:6" ht="15" customHeight="1" x14ac:dyDescent="0.2">
      <c r="F5817"/>
    </row>
    <row r="5818" spans="6:6" ht="15" customHeight="1" x14ac:dyDescent="0.2">
      <c r="F5818"/>
    </row>
    <row r="5819" spans="6:6" ht="15" customHeight="1" x14ac:dyDescent="0.2">
      <c r="F5819"/>
    </row>
    <row r="5820" spans="6:6" ht="15" customHeight="1" x14ac:dyDescent="0.2">
      <c r="F5820"/>
    </row>
    <row r="5821" spans="6:6" ht="15" customHeight="1" x14ac:dyDescent="0.2">
      <c r="F5821"/>
    </row>
    <row r="5822" spans="6:6" ht="15" customHeight="1" x14ac:dyDescent="0.2">
      <c r="F5822"/>
    </row>
    <row r="5823" spans="6:6" ht="15" customHeight="1" x14ac:dyDescent="0.2">
      <c r="F5823"/>
    </row>
    <row r="5824" spans="6:6" ht="15" customHeight="1" x14ac:dyDescent="0.2">
      <c r="F5824"/>
    </row>
    <row r="5825" spans="6:6" ht="15" customHeight="1" x14ac:dyDescent="0.2">
      <c r="F5825"/>
    </row>
    <row r="5826" spans="6:6" ht="15" customHeight="1" x14ac:dyDescent="0.2">
      <c r="F5826"/>
    </row>
    <row r="5827" spans="6:6" ht="15" customHeight="1" x14ac:dyDescent="0.2">
      <c r="F5827"/>
    </row>
    <row r="5828" spans="6:6" ht="15" customHeight="1" x14ac:dyDescent="0.2">
      <c r="F5828"/>
    </row>
    <row r="5829" spans="6:6" ht="15" customHeight="1" x14ac:dyDescent="0.2">
      <c r="F5829"/>
    </row>
    <row r="5830" spans="6:6" ht="15" customHeight="1" x14ac:dyDescent="0.2">
      <c r="F5830"/>
    </row>
    <row r="5831" spans="6:6" ht="15" customHeight="1" x14ac:dyDescent="0.2">
      <c r="F5831"/>
    </row>
    <row r="5832" spans="6:6" ht="15" customHeight="1" x14ac:dyDescent="0.2">
      <c r="F5832"/>
    </row>
    <row r="5833" spans="6:6" ht="15" customHeight="1" x14ac:dyDescent="0.2">
      <c r="F5833"/>
    </row>
    <row r="5834" spans="6:6" ht="15" customHeight="1" x14ac:dyDescent="0.2">
      <c r="F5834"/>
    </row>
    <row r="5835" spans="6:6" ht="15" customHeight="1" x14ac:dyDescent="0.2">
      <c r="F5835"/>
    </row>
    <row r="5836" spans="6:6" ht="15" customHeight="1" x14ac:dyDescent="0.2">
      <c r="F5836"/>
    </row>
    <row r="5837" spans="6:6" ht="15" customHeight="1" x14ac:dyDescent="0.2">
      <c r="F5837"/>
    </row>
    <row r="5838" spans="6:6" ht="15" customHeight="1" x14ac:dyDescent="0.2">
      <c r="F5838"/>
    </row>
    <row r="5839" spans="6:6" ht="15" customHeight="1" x14ac:dyDescent="0.2">
      <c r="F5839"/>
    </row>
    <row r="5840" spans="6:6" ht="15" customHeight="1" x14ac:dyDescent="0.2">
      <c r="F5840"/>
    </row>
    <row r="5841" spans="6:6" ht="15" customHeight="1" x14ac:dyDescent="0.2">
      <c r="F5841"/>
    </row>
    <row r="5842" spans="6:6" ht="15" customHeight="1" x14ac:dyDescent="0.2">
      <c r="F5842"/>
    </row>
    <row r="5843" spans="6:6" ht="15" customHeight="1" x14ac:dyDescent="0.2">
      <c r="F5843"/>
    </row>
    <row r="5844" spans="6:6" ht="15" customHeight="1" x14ac:dyDescent="0.2">
      <c r="F5844"/>
    </row>
    <row r="5845" spans="6:6" ht="15" customHeight="1" x14ac:dyDescent="0.2">
      <c r="F5845"/>
    </row>
    <row r="5846" spans="6:6" ht="15" customHeight="1" x14ac:dyDescent="0.2">
      <c r="F5846"/>
    </row>
    <row r="5847" spans="6:6" ht="15" customHeight="1" x14ac:dyDescent="0.2">
      <c r="F5847"/>
    </row>
    <row r="5848" spans="6:6" ht="15" customHeight="1" x14ac:dyDescent="0.2">
      <c r="F5848"/>
    </row>
    <row r="5849" spans="6:6" ht="15" customHeight="1" x14ac:dyDescent="0.2">
      <c r="F5849"/>
    </row>
    <row r="5850" spans="6:6" ht="15" customHeight="1" x14ac:dyDescent="0.2">
      <c r="F5850"/>
    </row>
    <row r="5851" spans="6:6" ht="15" customHeight="1" x14ac:dyDescent="0.2">
      <c r="F5851"/>
    </row>
    <row r="5852" spans="6:6" ht="15" customHeight="1" x14ac:dyDescent="0.2">
      <c r="F5852"/>
    </row>
    <row r="5853" spans="6:6" ht="15" customHeight="1" x14ac:dyDescent="0.2">
      <c r="F5853"/>
    </row>
    <row r="5854" spans="6:6" ht="15" customHeight="1" x14ac:dyDescent="0.2">
      <c r="F5854"/>
    </row>
    <row r="5855" spans="6:6" ht="15" customHeight="1" x14ac:dyDescent="0.2">
      <c r="F5855"/>
    </row>
    <row r="5856" spans="6:6" ht="15" customHeight="1" x14ac:dyDescent="0.2">
      <c r="F5856"/>
    </row>
    <row r="5857" spans="6:6" ht="15" customHeight="1" x14ac:dyDescent="0.2">
      <c r="F5857"/>
    </row>
    <row r="5858" spans="6:6" ht="15" customHeight="1" x14ac:dyDescent="0.2">
      <c r="F5858"/>
    </row>
    <row r="5859" spans="6:6" ht="15" customHeight="1" x14ac:dyDescent="0.2">
      <c r="F5859"/>
    </row>
    <row r="5860" spans="6:6" ht="15" customHeight="1" x14ac:dyDescent="0.2">
      <c r="F5860"/>
    </row>
    <row r="5861" spans="6:6" ht="15" customHeight="1" x14ac:dyDescent="0.2">
      <c r="F5861"/>
    </row>
    <row r="5862" spans="6:6" ht="15" customHeight="1" x14ac:dyDescent="0.2">
      <c r="F5862"/>
    </row>
    <row r="5863" spans="6:6" ht="15" customHeight="1" x14ac:dyDescent="0.2">
      <c r="F5863"/>
    </row>
    <row r="5864" spans="6:6" ht="15" customHeight="1" x14ac:dyDescent="0.2">
      <c r="F5864"/>
    </row>
    <row r="5865" spans="6:6" ht="15" customHeight="1" x14ac:dyDescent="0.2">
      <c r="F5865"/>
    </row>
    <row r="5866" spans="6:6" ht="15" customHeight="1" x14ac:dyDescent="0.2">
      <c r="F5866"/>
    </row>
    <row r="5867" spans="6:6" ht="15" customHeight="1" x14ac:dyDescent="0.2">
      <c r="F5867"/>
    </row>
    <row r="5868" spans="6:6" ht="15" customHeight="1" x14ac:dyDescent="0.2">
      <c r="F5868"/>
    </row>
    <row r="5869" spans="6:6" ht="15" customHeight="1" x14ac:dyDescent="0.2">
      <c r="F5869"/>
    </row>
    <row r="5870" spans="6:6" ht="15" customHeight="1" x14ac:dyDescent="0.2">
      <c r="F5870"/>
    </row>
    <row r="5871" spans="6:6" ht="15" customHeight="1" x14ac:dyDescent="0.2">
      <c r="F5871"/>
    </row>
    <row r="5872" spans="6:6" ht="15" customHeight="1" x14ac:dyDescent="0.2">
      <c r="F5872"/>
    </row>
    <row r="5873" spans="6:6" ht="15" customHeight="1" x14ac:dyDescent="0.2">
      <c r="F5873"/>
    </row>
    <row r="5874" spans="6:6" ht="15" customHeight="1" x14ac:dyDescent="0.2">
      <c r="F5874"/>
    </row>
    <row r="5875" spans="6:6" ht="15" customHeight="1" x14ac:dyDescent="0.2">
      <c r="F5875"/>
    </row>
    <row r="5876" spans="6:6" ht="15" customHeight="1" x14ac:dyDescent="0.2">
      <c r="F5876"/>
    </row>
    <row r="5877" spans="6:6" ht="15" customHeight="1" x14ac:dyDescent="0.2">
      <c r="F5877"/>
    </row>
    <row r="5878" spans="6:6" ht="15" customHeight="1" x14ac:dyDescent="0.2">
      <c r="F5878"/>
    </row>
    <row r="5879" spans="6:6" ht="15" customHeight="1" x14ac:dyDescent="0.2">
      <c r="F5879"/>
    </row>
    <row r="5880" spans="6:6" ht="15" customHeight="1" x14ac:dyDescent="0.2">
      <c r="F5880"/>
    </row>
    <row r="5881" spans="6:6" ht="15" customHeight="1" x14ac:dyDescent="0.2">
      <c r="F5881"/>
    </row>
    <row r="5882" spans="6:6" ht="15" customHeight="1" x14ac:dyDescent="0.2">
      <c r="F5882"/>
    </row>
    <row r="5883" spans="6:6" ht="15" customHeight="1" x14ac:dyDescent="0.2">
      <c r="F5883"/>
    </row>
    <row r="5884" spans="6:6" ht="15" customHeight="1" x14ac:dyDescent="0.2">
      <c r="F5884"/>
    </row>
    <row r="5885" spans="6:6" ht="15" customHeight="1" x14ac:dyDescent="0.2">
      <c r="F5885"/>
    </row>
    <row r="5886" spans="6:6" ht="15" customHeight="1" x14ac:dyDescent="0.2">
      <c r="F5886"/>
    </row>
    <row r="5887" spans="6:6" ht="15" customHeight="1" x14ac:dyDescent="0.2">
      <c r="F5887"/>
    </row>
    <row r="5888" spans="6:6" ht="15" customHeight="1" x14ac:dyDescent="0.2">
      <c r="F5888"/>
    </row>
    <row r="5889" spans="6:6" ht="15" customHeight="1" x14ac:dyDescent="0.2">
      <c r="F5889"/>
    </row>
    <row r="5890" spans="6:6" ht="15" customHeight="1" x14ac:dyDescent="0.2">
      <c r="F5890"/>
    </row>
    <row r="5891" spans="6:6" ht="15" customHeight="1" x14ac:dyDescent="0.2">
      <c r="F5891"/>
    </row>
    <row r="5892" spans="6:6" ht="15" customHeight="1" x14ac:dyDescent="0.2">
      <c r="F5892"/>
    </row>
    <row r="5893" spans="6:6" ht="15" customHeight="1" x14ac:dyDescent="0.2">
      <c r="F5893"/>
    </row>
    <row r="5894" spans="6:6" ht="15" customHeight="1" x14ac:dyDescent="0.2">
      <c r="F5894"/>
    </row>
    <row r="5895" spans="6:6" ht="15" customHeight="1" x14ac:dyDescent="0.2">
      <c r="F5895"/>
    </row>
    <row r="5896" spans="6:6" ht="15" customHeight="1" x14ac:dyDescent="0.2">
      <c r="F5896"/>
    </row>
    <row r="5897" spans="6:6" ht="15" customHeight="1" x14ac:dyDescent="0.2">
      <c r="F5897"/>
    </row>
    <row r="5898" spans="6:6" ht="15" customHeight="1" x14ac:dyDescent="0.2">
      <c r="F5898"/>
    </row>
    <row r="5899" spans="6:6" ht="15" customHeight="1" x14ac:dyDescent="0.2">
      <c r="F5899"/>
    </row>
    <row r="5900" spans="6:6" ht="15" customHeight="1" x14ac:dyDescent="0.2">
      <c r="F5900"/>
    </row>
    <row r="5901" spans="6:6" ht="15" customHeight="1" x14ac:dyDescent="0.2">
      <c r="F5901"/>
    </row>
    <row r="5902" spans="6:6" ht="15" customHeight="1" x14ac:dyDescent="0.2">
      <c r="F5902"/>
    </row>
    <row r="5903" spans="6:6" ht="15" customHeight="1" x14ac:dyDescent="0.2">
      <c r="F5903"/>
    </row>
    <row r="5904" spans="6:6" ht="15" customHeight="1" x14ac:dyDescent="0.2">
      <c r="F5904"/>
    </row>
    <row r="5905" spans="6:6" ht="15" customHeight="1" x14ac:dyDescent="0.2">
      <c r="F5905"/>
    </row>
    <row r="5906" spans="6:6" ht="15" customHeight="1" x14ac:dyDescent="0.2">
      <c r="F5906"/>
    </row>
    <row r="5907" spans="6:6" ht="15" customHeight="1" x14ac:dyDescent="0.2">
      <c r="F5907"/>
    </row>
    <row r="5908" spans="6:6" ht="15" customHeight="1" x14ac:dyDescent="0.2">
      <c r="F5908"/>
    </row>
    <row r="5909" spans="6:6" ht="15" customHeight="1" x14ac:dyDescent="0.2">
      <c r="F5909"/>
    </row>
    <row r="5910" spans="6:6" ht="15" customHeight="1" x14ac:dyDescent="0.2">
      <c r="F5910"/>
    </row>
    <row r="5911" spans="6:6" ht="15" customHeight="1" x14ac:dyDescent="0.2">
      <c r="F5911"/>
    </row>
    <row r="5912" spans="6:6" ht="15" customHeight="1" x14ac:dyDescent="0.2">
      <c r="F5912"/>
    </row>
    <row r="5913" spans="6:6" ht="15" customHeight="1" x14ac:dyDescent="0.2">
      <c r="F5913"/>
    </row>
    <row r="5914" spans="6:6" ht="15" customHeight="1" x14ac:dyDescent="0.2">
      <c r="F5914"/>
    </row>
    <row r="5915" spans="6:6" ht="15" customHeight="1" x14ac:dyDescent="0.2">
      <c r="F5915"/>
    </row>
    <row r="5916" spans="6:6" ht="15" customHeight="1" x14ac:dyDescent="0.2">
      <c r="F5916"/>
    </row>
    <row r="5917" spans="6:6" ht="15" customHeight="1" x14ac:dyDescent="0.2">
      <c r="F5917"/>
    </row>
    <row r="5918" spans="6:6" ht="15" customHeight="1" x14ac:dyDescent="0.2">
      <c r="F5918"/>
    </row>
    <row r="5919" spans="6:6" ht="15" customHeight="1" x14ac:dyDescent="0.2">
      <c r="F5919"/>
    </row>
    <row r="5920" spans="6:6" ht="15" customHeight="1" x14ac:dyDescent="0.2">
      <c r="F5920"/>
    </row>
    <row r="5921" spans="6:6" ht="15" customHeight="1" x14ac:dyDescent="0.2">
      <c r="F5921"/>
    </row>
    <row r="5922" spans="6:6" ht="15" customHeight="1" x14ac:dyDescent="0.2">
      <c r="F5922"/>
    </row>
    <row r="5923" spans="6:6" ht="15" customHeight="1" x14ac:dyDescent="0.2">
      <c r="F5923"/>
    </row>
    <row r="5924" spans="6:6" ht="15" customHeight="1" x14ac:dyDescent="0.2">
      <c r="F5924"/>
    </row>
    <row r="5925" spans="6:6" ht="15" customHeight="1" x14ac:dyDescent="0.2">
      <c r="F5925"/>
    </row>
    <row r="5926" spans="6:6" ht="15" customHeight="1" x14ac:dyDescent="0.2">
      <c r="F5926"/>
    </row>
    <row r="5927" spans="6:6" ht="15" customHeight="1" x14ac:dyDescent="0.2">
      <c r="F5927"/>
    </row>
    <row r="5928" spans="6:6" ht="15" customHeight="1" x14ac:dyDescent="0.2">
      <c r="F5928"/>
    </row>
    <row r="5929" spans="6:6" ht="15" customHeight="1" x14ac:dyDescent="0.2">
      <c r="F5929"/>
    </row>
    <row r="5930" spans="6:6" ht="15" customHeight="1" x14ac:dyDescent="0.2">
      <c r="F5930"/>
    </row>
    <row r="5931" spans="6:6" ht="15" customHeight="1" x14ac:dyDescent="0.2">
      <c r="F5931"/>
    </row>
    <row r="5932" spans="6:6" ht="15" customHeight="1" x14ac:dyDescent="0.2">
      <c r="F5932"/>
    </row>
    <row r="5933" spans="6:6" ht="15" customHeight="1" x14ac:dyDescent="0.2">
      <c r="F5933"/>
    </row>
    <row r="5934" spans="6:6" ht="15" customHeight="1" x14ac:dyDescent="0.2">
      <c r="F5934"/>
    </row>
    <row r="5935" spans="6:6" ht="15" customHeight="1" x14ac:dyDescent="0.2">
      <c r="F5935"/>
    </row>
    <row r="5936" spans="6:6" ht="15" customHeight="1" x14ac:dyDescent="0.2">
      <c r="F5936"/>
    </row>
    <row r="5937" spans="6:6" ht="15" customHeight="1" x14ac:dyDescent="0.2">
      <c r="F5937"/>
    </row>
    <row r="5938" spans="6:6" ht="15" customHeight="1" x14ac:dyDescent="0.2">
      <c r="F5938"/>
    </row>
    <row r="5939" spans="6:6" ht="15" customHeight="1" x14ac:dyDescent="0.2">
      <c r="F5939"/>
    </row>
    <row r="5940" spans="6:6" ht="15" customHeight="1" x14ac:dyDescent="0.2">
      <c r="F5940"/>
    </row>
    <row r="5941" spans="6:6" ht="15" customHeight="1" x14ac:dyDescent="0.2">
      <c r="F5941"/>
    </row>
    <row r="5942" spans="6:6" ht="15" customHeight="1" x14ac:dyDescent="0.2">
      <c r="F5942"/>
    </row>
    <row r="5943" spans="6:6" ht="15" customHeight="1" x14ac:dyDescent="0.2">
      <c r="F5943"/>
    </row>
    <row r="5944" spans="6:6" ht="15" customHeight="1" x14ac:dyDescent="0.2">
      <c r="F5944"/>
    </row>
    <row r="5945" spans="6:6" ht="15" customHeight="1" x14ac:dyDescent="0.2">
      <c r="F5945"/>
    </row>
    <row r="5946" spans="6:6" ht="15" customHeight="1" x14ac:dyDescent="0.2">
      <c r="F5946"/>
    </row>
    <row r="5947" spans="6:6" ht="15" customHeight="1" x14ac:dyDescent="0.2">
      <c r="F5947"/>
    </row>
    <row r="5948" spans="6:6" ht="15" customHeight="1" x14ac:dyDescent="0.2">
      <c r="F5948"/>
    </row>
    <row r="5949" spans="6:6" ht="15" customHeight="1" x14ac:dyDescent="0.2">
      <c r="F5949"/>
    </row>
    <row r="5950" spans="6:6" ht="15" customHeight="1" x14ac:dyDescent="0.2">
      <c r="F5950"/>
    </row>
    <row r="5951" spans="6:6" ht="15" customHeight="1" x14ac:dyDescent="0.2">
      <c r="F5951"/>
    </row>
    <row r="5952" spans="6:6" ht="15" customHeight="1" x14ac:dyDescent="0.2">
      <c r="F5952"/>
    </row>
    <row r="5953" spans="6:6" ht="15" customHeight="1" x14ac:dyDescent="0.2">
      <c r="F5953"/>
    </row>
    <row r="5954" spans="6:6" ht="15" customHeight="1" x14ac:dyDescent="0.2">
      <c r="F5954"/>
    </row>
    <row r="5955" spans="6:6" ht="15" customHeight="1" x14ac:dyDescent="0.2">
      <c r="F5955"/>
    </row>
    <row r="5956" spans="6:6" ht="15" customHeight="1" x14ac:dyDescent="0.2">
      <c r="F5956"/>
    </row>
    <row r="5957" spans="6:6" ht="15" customHeight="1" x14ac:dyDescent="0.2">
      <c r="F5957"/>
    </row>
    <row r="5958" spans="6:6" ht="15" customHeight="1" x14ac:dyDescent="0.2">
      <c r="F5958"/>
    </row>
    <row r="5959" spans="6:6" ht="15" customHeight="1" x14ac:dyDescent="0.2">
      <c r="F5959"/>
    </row>
    <row r="5960" spans="6:6" ht="15" customHeight="1" x14ac:dyDescent="0.2">
      <c r="F5960"/>
    </row>
    <row r="5961" spans="6:6" ht="15" customHeight="1" x14ac:dyDescent="0.2">
      <c r="F5961"/>
    </row>
    <row r="5962" spans="6:6" ht="15" customHeight="1" x14ac:dyDescent="0.2">
      <c r="F5962"/>
    </row>
    <row r="5963" spans="6:6" ht="15" customHeight="1" x14ac:dyDescent="0.2">
      <c r="F5963"/>
    </row>
    <row r="5964" spans="6:6" ht="15" customHeight="1" x14ac:dyDescent="0.2">
      <c r="F5964"/>
    </row>
    <row r="5965" spans="6:6" ht="15" customHeight="1" x14ac:dyDescent="0.2">
      <c r="F5965"/>
    </row>
    <row r="5966" spans="6:6" ht="15" customHeight="1" x14ac:dyDescent="0.2">
      <c r="F5966"/>
    </row>
    <row r="5967" spans="6:6" ht="15" customHeight="1" x14ac:dyDescent="0.2">
      <c r="F5967"/>
    </row>
    <row r="5968" spans="6:6" ht="15" customHeight="1" x14ac:dyDescent="0.2">
      <c r="F5968"/>
    </row>
    <row r="5969" spans="6:6" ht="15" customHeight="1" x14ac:dyDescent="0.2">
      <c r="F5969"/>
    </row>
    <row r="5970" spans="6:6" ht="15" customHeight="1" x14ac:dyDescent="0.2">
      <c r="F5970"/>
    </row>
    <row r="5971" spans="6:6" ht="15" customHeight="1" x14ac:dyDescent="0.2">
      <c r="F5971"/>
    </row>
    <row r="5972" spans="6:6" ht="15" customHeight="1" x14ac:dyDescent="0.2">
      <c r="F5972"/>
    </row>
    <row r="5973" spans="6:6" ht="15" customHeight="1" x14ac:dyDescent="0.2">
      <c r="F5973"/>
    </row>
    <row r="5974" spans="6:6" ht="15" customHeight="1" x14ac:dyDescent="0.2">
      <c r="F5974"/>
    </row>
    <row r="5975" spans="6:6" ht="15" customHeight="1" x14ac:dyDescent="0.2">
      <c r="F5975"/>
    </row>
    <row r="5976" spans="6:6" ht="15" customHeight="1" x14ac:dyDescent="0.2">
      <c r="F5976"/>
    </row>
    <row r="5977" spans="6:6" ht="15" customHeight="1" x14ac:dyDescent="0.2">
      <c r="F5977"/>
    </row>
    <row r="5978" spans="6:6" ht="15" customHeight="1" x14ac:dyDescent="0.2">
      <c r="F5978"/>
    </row>
    <row r="5979" spans="6:6" ht="15" customHeight="1" x14ac:dyDescent="0.2">
      <c r="F5979"/>
    </row>
    <row r="5980" spans="6:6" ht="15" customHeight="1" x14ac:dyDescent="0.2">
      <c r="F5980"/>
    </row>
    <row r="5981" spans="6:6" ht="15" customHeight="1" x14ac:dyDescent="0.2">
      <c r="F5981"/>
    </row>
    <row r="5982" spans="6:6" ht="15" customHeight="1" x14ac:dyDescent="0.2">
      <c r="F5982"/>
    </row>
    <row r="5983" spans="6:6" ht="15" customHeight="1" x14ac:dyDescent="0.2">
      <c r="F5983"/>
    </row>
    <row r="5984" spans="6:6" ht="15" customHeight="1" x14ac:dyDescent="0.2">
      <c r="F5984"/>
    </row>
    <row r="5985" spans="6:6" ht="15" customHeight="1" x14ac:dyDescent="0.2">
      <c r="F5985"/>
    </row>
    <row r="5986" spans="6:6" ht="15" customHeight="1" x14ac:dyDescent="0.2">
      <c r="F5986"/>
    </row>
    <row r="5987" spans="6:6" ht="15" customHeight="1" x14ac:dyDescent="0.2">
      <c r="F5987"/>
    </row>
    <row r="5988" spans="6:6" ht="15" customHeight="1" x14ac:dyDescent="0.2">
      <c r="F5988"/>
    </row>
    <row r="5989" spans="6:6" ht="15" customHeight="1" x14ac:dyDescent="0.2">
      <c r="F5989"/>
    </row>
    <row r="5990" spans="6:6" ht="15" customHeight="1" x14ac:dyDescent="0.2">
      <c r="F5990"/>
    </row>
    <row r="5991" spans="6:6" ht="15" customHeight="1" x14ac:dyDescent="0.2">
      <c r="F5991"/>
    </row>
    <row r="5992" spans="6:6" ht="15" customHeight="1" x14ac:dyDescent="0.2">
      <c r="F5992"/>
    </row>
    <row r="5993" spans="6:6" ht="15" customHeight="1" x14ac:dyDescent="0.2">
      <c r="F5993"/>
    </row>
    <row r="5994" spans="6:6" ht="15" customHeight="1" x14ac:dyDescent="0.2">
      <c r="F5994"/>
    </row>
    <row r="5995" spans="6:6" ht="15" customHeight="1" x14ac:dyDescent="0.2">
      <c r="F5995"/>
    </row>
    <row r="5996" spans="6:6" ht="15" customHeight="1" x14ac:dyDescent="0.2">
      <c r="F5996"/>
    </row>
    <row r="5997" spans="6:6" ht="15" customHeight="1" x14ac:dyDescent="0.2">
      <c r="F5997"/>
    </row>
    <row r="5998" spans="6:6" ht="15" customHeight="1" x14ac:dyDescent="0.2">
      <c r="F5998"/>
    </row>
    <row r="5999" spans="6:6" ht="15" customHeight="1" x14ac:dyDescent="0.2">
      <c r="F5999"/>
    </row>
    <row r="6000" spans="6:6" ht="15" customHeight="1" x14ac:dyDescent="0.2">
      <c r="F6000"/>
    </row>
    <row r="6001" spans="6:6" ht="15" customHeight="1" x14ac:dyDescent="0.2">
      <c r="F6001"/>
    </row>
    <row r="6002" spans="6:6" ht="15" customHeight="1" x14ac:dyDescent="0.2">
      <c r="F6002"/>
    </row>
    <row r="6003" spans="6:6" ht="15" customHeight="1" x14ac:dyDescent="0.2">
      <c r="F6003"/>
    </row>
    <row r="6004" spans="6:6" ht="15" customHeight="1" x14ac:dyDescent="0.2">
      <c r="F6004"/>
    </row>
    <row r="6005" spans="6:6" ht="15" customHeight="1" x14ac:dyDescent="0.2">
      <c r="F6005"/>
    </row>
    <row r="6006" spans="6:6" ht="15" customHeight="1" x14ac:dyDescent="0.2">
      <c r="F6006"/>
    </row>
    <row r="6007" spans="6:6" ht="15" customHeight="1" x14ac:dyDescent="0.2">
      <c r="F6007"/>
    </row>
    <row r="6008" spans="6:6" ht="15" customHeight="1" x14ac:dyDescent="0.2">
      <c r="F6008"/>
    </row>
    <row r="6009" spans="6:6" ht="15" customHeight="1" x14ac:dyDescent="0.2">
      <c r="F6009"/>
    </row>
    <row r="6010" spans="6:6" ht="15" customHeight="1" x14ac:dyDescent="0.2">
      <c r="F6010"/>
    </row>
    <row r="6011" spans="6:6" ht="15" customHeight="1" x14ac:dyDescent="0.2">
      <c r="F6011"/>
    </row>
    <row r="6012" spans="6:6" ht="15" customHeight="1" x14ac:dyDescent="0.2">
      <c r="F6012"/>
    </row>
    <row r="6013" spans="6:6" ht="15" customHeight="1" x14ac:dyDescent="0.2">
      <c r="F6013"/>
    </row>
    <row r="6014" spans="6:6" ht="15" customHeight="1" x14ac:dyDescent="0.2">
      <c r="F6014"/>
    </row>
    <row r="6015" spans="6:6" ht="15" customHeight="1" x14ac:dyDescent="0.2">
      <c r="F6015"/>
    </row>
    <row r="6016" spans="6:6" ht="15" customHeight="1" x14ac:dyDescent="0.2">
      <c r="F6016"/>
    </row>
    <row r="6017" spans="6:6" ht="15" customHeight="1" x14ac:dyDescent="0.2">
      <c r="F6017"/>
    </row>
    <row r="6018" spans="6:6" ht="15" customHeight="1" x14ac:dyDescent="0.2">
      <c r="F6018"/>
    </row>
    <row r="6019" spans="6:6" ht="15" customHeight="1" x14ac:dyDescent="0.2">
      <c r="F6019"/>
    </row>
    <row r="6020" spans="6:6" ht="15" customHeight="1" x14ac:dyDescent="0.2">
      <c r="F6020"/>
    </row>
    <row r="6021" spans="6:6" ht="15" customHeight="1" x14ac:dyDescent="0.2">
      <c r="F6021"/>
    </row>
    <row r="6022" spans="6:6" ht="15" customHeight="1" x14ac:dyDescent="0.2">
      <c r="F6022"/>
    </row>
    <row r="6023" spans="6:6" ht="15" customHeight="1" x14ac:dyDescent="0.2">
      <c r="F6023"/>
    </row>
    <row r="6024" spans="6:6" ht="15" customHeight="1" x14ac:dyDescent="0.2">
      <c r="F6024"/>
    </row>
    <row r="6025" spans="6:6" ht="15" customHeight="1" x14ac:dyDescent="0.2">
      <c r="F6025"/>
    </row>
    <row r="6026" spans="6:6" ht="15" customHeight="1" x14ac:dyDescent="0.2">
      <c r="F6026"/>
    </row>
    <row r="6027" spans="6:6" ht="15" customHeight="1" x14ac:dyDescent="0.2">
      <c r="F6027"/>
    </row>
    <row r="6028" spans="6:6" ht="15" customHeight="1" x14ac:dyDescent="0.2">
      <c r="F6028"/>
    </row>
    <row r="6029" spans="6:6" ht="15" customHeight="1" x14ac:dyDescent="0.2">
      <c r="F6029"/>
    </row>
    <row r="6030" spans="6:6" ht="15" customHeight="1" x14ac:dyDescent="0.2">
      <c r="F6030"/>
    </row>
    <row r="6031" spans="6:6" ht="15" customHeight="1" x14ac:dyDescent="0.2">
      <c r="F6031"/>
    </row>
    <row r="6032" spans="6:6" ht="15" customHeight="1" x14ac:dyDescent="0.2">
      <c r="F6032"/>
    </row>
    <row r="6033" spans="6:6" ht="15" customHeight="1" x14ac:dyDescent="0.2">
      <c r="F6033"/>
    </row>
    <row r="6034" spans="6:6" ht="15" customHeight="1" x14ac:dyDescent="0.2">
      <c r="F6034"/>
    </row>
    <row r="6035" spans="6:6" ht="15" customHeight="1" x14ac:dyDescent="0.2">
      <c r="F6035"/>
    </row>
    <row r="6036" spans="6:6" ht="15" customHeight="1" x14ac:dyDescent="0.2">
      <c r="F6036"/>
    </row>
    <row r="6037" spans="6:6" ht="15" customHeight="1" x14ac:dyDescent="0.2">
      <c r="F6037"/>
    </row>
    <row r="6038" spans="6:6" ht="15" customHeight="1" x14ac:dyDescent="0.2">
      <c r="F6038"/>
    </row>
    <row r="6039" spans="6:6" ht="15" customHeight="1" x14ac:dyDescent="0.2">
      <c r="F6039"/>
    </row>
    <row r="6040" spans="6:6" ht="15" customHeight="1" x14ac:dyDescent="0.2">
      <c r="F6040"/>
    </row>
    <row r="6041" spans="6:6" ht="15" customHeight="1" x14ac:dyDescent="0.2">
      <c r="F6041"/>
    </row>
    <row r="6042" spans="6:6" ht="15" customHeight="1" x14ac:dyDescent="0.2">
      <c r="F6042"/>
    </row>
    <row r="6043" spans="6:6" ht="15" customHeight="1" x14ac:dyDescent="0.2">
      <c r="F6043"/>
    </row>
    <row r="6044" spans="6:6" ht="15" customHeight="1" x14ac:dyDescent="0.2">
      <c r="F6044"/>
    </row>
    <row r="6045" spans="6:6" ht="15" customHeight="1" x14ac:dyDescent="0.2">
      <c r="F6045"/>
    </row>
    <row r="6046" spans="6:6" ht="15" customHeight="1" x14ac:dyDescent="0.2">
      <c r="F6046"/>
    </row>
    <row r="6047" spans="6:6" ht="15" customHeight="1" x14ac:dyDescent="0.2">
      <c r="F6047"/>
    </row>
    <row r="6048" spans="6:6" ht="15" customHeight="1" x14ac:dyDescent="0.2">
      <c r="F6048"/>
    </row>
    <row r="6049" spans="6:6" ht="15" customHeight="1" x14ac:dyDescent="0.2">
      <c r="F6049"/>
    </row>
    <row r="6050" spans="6:6" ht="15" customHeight="1" x14ac:dyDescent="0.2">
      <c r="F6050"/>
    </row>
    <row r="6051" spans="6:6" ht="15" customHeight="1" x14ac:dyDescent="0.2">
      <c r="F6051"/>
    </row>
    <row r="6052" spans="6:6" ht="15" customHeight="1" x14ac:dyDescent="0.2">
      <c r="F6052"/>
    </row>
    <row r="6053" spans="6:6" ht="15" customHeight="1" x14ac:dyDescent="0.2">
      <c r="F6053"/>
    </row>
    <row r="6054" spans="6:6" ht="15" customHeight="1" x14ac:dyDescent="0.2">
      <c r="F6054"/>
    </row>
    <row r="6055" spans="6:6" ht="15" customHeight="1" x14ac:dyDescent="0.2">
      <c r="F6055"/>
    </row>
    <row r="6056" spans="6:6" ht="15" customHeight="1" x14ac:dyDescent="0.2">
      <c r="F6056"/>
    </row>
    <row r="6057" spans="6:6" ht="15" customHeight="1" x14ac:dyDescent="0.2">
      <c r="F6057"/>
    </row>
    <row r="6058" spans="6:6" ht="15" customHeight="1" x14ac:dyDescent="0.2">
      <c r="F6058"/>
    </row>
    <row r="6059" spans="6:6" ht="15" customHeight="1" x14ac:dyDescent="0.2">
      <c r="F6059"/>
    </row>
    <row r="6060" spans="6:6" ht="15" customHeight="1" x14ac:dyDescent="0.2">
      <c r="F6060"/>
    </row>
    <row r="6061" spans="6:6" ht="15" customHeight="1" x14ac:dyDescent="0.2">
      <c r="F6061"/>
    </row>
    <row r="6062" spans="6:6" ht="15" customHeight="1" x14ac:dyDescent="0.2">
      <c r="F6062"/>
    </row>
    <row r="6063" spans="6:6" ht="15" customHeight="1" x14ac:dyDescent="0.2">
      <c r="F6063"/>
    </row>
    <row r="6064" spans="6:6" ht="15" customHeight="1" x14ac:dyDescent="0.2">
      <c r="F6064"/>
    </row>
    <row r="6065" spans="6:6" ht="15" customHeight="1" x14ac:dyDescent="0.2">
      <c r="F6065"/>
    </row>
    <row r="6066" spans="6:6" ht="15" customHeight="1" x14ac:dyDescent="0.2">
      <c r="F6066"/>
    </row>
    <row r="6067" spans="6:6" ht="15" customHeight="1" x14ac:dyDescent="0.2">
      <c r="F6067"/>
    </row>
    <row r="6068" spans="6:6" ht="15" customHeight="1" x14ac:dyDescent="0.2">
      <c r="F6068"/>
    </row>
    <row r="6069" spans="6:6" ht="15" customHeight="1" x14ac:dyDescent="0.2">
      <c r="F6069"/>
    </row>
    <row r="6070" spans="6:6" ht="15" customHeight="1" x14ac:dyDescent="0.2">
      <c r="F6070"/>
    </row>
    <row r="6071" spans="6:6" ht="15" customHeight="1" x14ac:dyDescent="0.2">
      <c r="F6071"/>
    </row>
    <row r="6072" spans="6:6" ht="15" customHeight="1" x14ac:dyDescent="0.2">
      <c r="F6072"/>
    </row>
    <row r="6073" spans="6:6" ht="15" customHeight="1" x14ac:dyDescent="0.2">
      <c r="F6073"/>
    </row>
    <row r="6074" spans="6:6" ht="15" customHeight="1" x14ac:dyDescent="0.2">
      <c r="F6074"/>
    </row>
    <row r="6075" spans="6:6" ht="15" customHeight="1" x14ac:dyDescent="0.2">
      <c r="F6075"/>
    </row>
    <row r="6076" spans="6:6" ht="15" customHeight="1" x14ac:dyDescent="0.2">
      <c r="F6076"/>
    </row>
    <row r="6077" spans="6:6" ht="15" customHeight="1" x14ac:dyDescent="0.2">
      <c r="F6077"/>
    </row>
    <row r="6078" spans="6:6" ht="15" customHeight="1" x14ac:dyDescent="0.2">
      <c r="F6078"/>
    </row>
    <row r="6079" spans="6:6" ht="15" customHeight="1" x14ac:dyDescent="0.2">
      <c r="F6079"/>
    </row>
    <row r="6080" spans="6:6" ht="15" customHeight="1" x14ac:dyDescent="0.2">
      <c r="F6080"/>
    </row>
    <row r="6081" spans="6:6" ht="15" customHeight="1" x14ac:dyDescent="0.2">
      <c r="F6081"/>
    </row>
    <row r="6082" spans="6:6" ht="15" customHeight="1" x14ac:dyDescent="0.2">
      <c r="F6082"/>
    </row>
    <row r="6083" spans="6:6" ht="15" customHeight="1" x14ac:dyDescent="0.2">
      <c r="F6083"/>
    </row>
    <row r="6084" spans="6:6" ht="15" customHeight="1" x14ac:dyDescent="0.2">
      <c r="F6084"/>
    </row>
    <row r="6085" spans="6:6" ht="15" customHeight="1" x14ac:dyDescent="0.2">
      <c r="F6085"/>
    </row>
    <row r="6086" spans="6:6" ht="15" customHeight="1" x14ac:dyDescent="0.2">
      <c r="F6086"/>
    </row>
    <row r="6087" spans="6:6" ht="15" customHeight="1" x14ac:dyDescent="0.2">
      <c r="F6087"/>
    </row>
    <row r="6088" spans="6:6" ht="15" customHeight="1" x14ac:dyDescent="0.2">
      <c r="F6088"/>
    </row>
    <row r="6089" spans="6:6" ht="15" customHeight="1" x14ac:dyDescent="0.2">
      <c r="F6089"/>
    </row>
    <row r="6090" spans="6:6" ht="15" customHeight="1" x14ac:dyDescent="0.2">
      <c r="F6090"/>
    </row>
    <row r="6091" spans="6:6" ht="15" customHeight="1" x14ac:dyDescent="0.2">
      <c r="F6091"/>
    </row>
    <row r="6092" spans="6:6" ht="15" customHeight="1" x14ac:dyDescent="0.2">
      <c r="F6092"/>
    </row>
    <row r="6093" spans="6:6" ht="15" customHeight="1" x14ac:dyDescent="0.2">
      <c r="F6093"/>
    </row>
    <row r="6094" spans="6:6" ht="15" customHeight="1" x14ac:dyDescent="0.2">
      <c r="F6094"/>
    </row>
    <row r="6095" spans="6:6" ht="15" customHeight="1" x14ac:dyDescent="0.2">
      <c r="F6095"/>
    </row>
    <row r="6096" spans="6:6" ht="15" customHeight="1" x14ac:dyDescent="0.2">
      <c r="F6096"/>
    </row>
    <row r="6097" spans="6:6" ht="15" customHeight="1" x14ac:dyDescent="0.2">
      <c r="F6097"/>
    </row>
    <row r="6098" spans="6:6" ht="15" customHeight="1" x14ac:dyDescent="0.2">
      <c r="F6098"/>
    </row>
    <row r="6099" spans="6:6" ht="15" customHeight="1" x14ac:dyDescent="0.2">
      <c r="F6099"/>
    </row>
    <row r="6100" spans="6:6" ht="15" customHeight="1" x14ac:dyDescent="0.2">
      <c r="F6100"/>
    </row>
    <row r="6101" spans="6:6" ht="15" customHeight="1" x14ac:dyDescent="0.2">
      <c r="F6101"/>
    </row>
    <row r="6102" spans="6:6" ht="15" customHeight="1" x14ac:dyDescent="0.2">
      <c r="F6102"/>
    </row>
    <row r="6103" spans="6:6" ht="15" customHeight="1" x14ac:dyDescent="0.2">
      <c r="F6103"/>
    </row>
    <row r="6104" spans="6:6" ht="15" customHeight="1" x14ac:dyDescent="0.2">
      <c r="F6104"/>
    </row>
    <row r="6105" spans="6:6" ht="15" customHeight="1" x14ac:dyDescent="0.2">
      <c r="F6105"/>
    </row>
    <row r="6106" spans="6:6" ht="15" customHeight="1" x14ac:dyDescent="0.2">
      <c r="F6106"/>
    </row>
    <row r="6107" spans="6:6" ht="15" customHeight="1" x14ac:dyDescent="0.2">
      <c r="F6107"/>
    </row>
    <row r="6108" spans="6:6" ht="15" customHeight="1" x14ac:dyDescent="0.2">
      <c r="F6108"/>
    </row>
    <row r="6109" spans="6:6" ht="15" customHeight="1" x14ac:dyDescent="0.2">
      <c r="F6109"/>
    </row>
    <row r="6110" spans="6:6" ht="15" customHeight="1" x14ac:dyDescent="0.2">
      <c r="F6110"/>
    </row>
    <row r="6111" spans="6:6" ht="15" customHeight="1" x14ac:dyDescent="0.2">
      <c r="F6111"/>
    </row>
    <row r="6112" spans="6:6" ht="15" customHeight="1" x14ac:dyDescent="0.2">
      <c r="F6112"/>
    </row>
    <row r="6113" spans="6:6" ht="15" customHeight="1" x14ac:dyDescent="0.2">
      <c r="F6113"/>
    </row>
    <row r="6114" spans="6:6" ht="15" customHeight="1" x14ac:dyDescent="0.2">
      <c r="F6114"/>
    </row>
    <row r="6115" spans="6:6" ht="15" customHeight="1" x14ac:dyDescent="0.2">
      <c r="F6115"/>
    </row>
    <row r="6116" spans="6:6" ht="15" customHeight="1" x14ac:dyDescent="0.2">
      <c r="F6116"/>
    </row>
    <row r="6117" spans="6:6" ht="15" customHeight="1" x14ac:dyDescent="0.2">
      <c r="F6117"/>
    </row>
    <row r="6118" spans="6:6" ht="15" customHeight="1" x14ac:dyDescent="0.2">
      <c r="F6118"/>
    </row>
    <row r="6119" spans="6:6" ht="15" customHeight="1" x14ac:dyDescent="0.2">
      <c r="F6119"/>
    </row>
    <row r="6120" spans="6:6" ht="15" customHeight="1" x14ac:dyDescent="0.2">
      <c r="F6120"/>
    </row>
    <row r="6121" spans="6:6" ht="15" customHeight="1" x14ac:dyDescent="0.2">
      <c r="F6121"/>
    </row>
    <row r="6122" spans="6:6" ht="15" customHeight="1" x14ac:dyDescent="0.2">
      <c r="F6122"/>
    </row>
    <row r="6123" spans="6:6" ht="15" customHeight="1" x14ac:dyDescent="0.2">
      <c r="F6123"/>
    </row>
    <row r="6124" spans="6:6" ht="15" customHeight="1" x14ac:dyDescent="0.2">
      <c r="F6124"/>
    </row>
    <row r="6125" spans="6:6" ht="15" customHeight="1" x14ac:dyDescent="0.2">
      <c r="F6125"/>
    </row>
    <row r="6126" spans="6:6" ht="15" customHeight="1" x14ac:dyDescent="0.2">
      <c r="F6126"/>
    </row>
    <row r="6127" spans="6:6" ht="15" customHeight="1" x14ac:dyDescent="0.2">
      <c r="F6127"/>
    </row>
    <row r="6128" spans="6:6" ht="15" customHeight="1" x14ac:dyDescent="0.2">
      <c r="F6128"/>
    </row>
    <row r="6129" spans="6:6" ht="15" customHeight="1" x14ac:dyDescent="0.2">
      <c r="F6129"/>
    </row>
    <row r="6130" spans="6:6" ht="15" customHeight="1" x14ac:dyDescent="0.2">
      <c r="F6130"/>
    </row>
    <row r="6131" spans="6:6" ht="15" customHeight="1" x14ac:dyDescent="0.2">
      <c r="F6131"/>
    </row>
    <row r="6132" spans="6:6" ht="15" customHeight="1" x14ac:dyDescent="0.2">
      <c r="F6132"/>
    </row>
    <row r="6133" spans="6:6" ht="15" customHeight="1" x14ac:dyDescent="0.2">
      <c r="F6133"/>
    </row>
    <row r="6134" spans="6:6" ht="15" customHeight="1" x14ac:dyDescent="0.2">
      <c r="F6134"/>
    </row>
    <row r="6135" spans="6:6" ht="15" customHeight="1" x14ac:dyDescent="0.2">
      <c r="F6135"/>
    </row>
    <row r="6136" spans="6:6" ht="15" customHeight="1" x14ac:dyDescent="0.2">
      <c r="F6136"/>
    </row>
    <row r="6137" spans="6:6" ht="15" customHeight="1" x14ac:dyDescent="0.2">
      <c r="F6137"/>
    </row>
    <row r="6138" spans="6:6" ht="15" customHeight="1" x14ac:dyDescent="0.2">
      <c r="F6138"/>
    </row>
    <row r="6139" spans="6:6" ht="15" customHeight="1" x14ac:dyDescent="0.2">
      <c r="F6139"/>
    </row>
    <row r="6140" spans="6:6" ht="15" customHeight="1" x14ac:dyDescent="0.2">
      <c r="F6140"/>
    </row>
    <row r="6141" spans="6:6" ht="15" customHeight="1" x14ac:dyDescent="0.2">
      <c r="F6141"/>
    </row>
    <row r="6142" spans="6:6" ht="15" customHeight="1" x14ac:dyDescent="0.2">
      <c r="F6142"/>
    </row>
    <row r="6143" spans="6:6" ht="15" customHeight="1" x14ac:dyDescent="0.2">
      <c r="F6143"/>
    </row>
    <row r="6144" spans="6:6" ht="15" customHeight="1" x14ac:dyDescent="0.2">
      <c r="F6144"/>
    </row>
    <row r="6145" spans="6:6" ht="15" customHeight="1" x14ac:dyDescent="0.2">
      <c r="F6145"/>
    </row>
    <row r="6146" spans="6:6" ht="15" customHeight="1" x14ac:dyDescent="0.2">
      <c r="F6146"/>
    </row>
    <row r="6147" spans="6:6" ht="15" customHeight="1" x14ac:dyDescent="0.2">
      <c r="F6147"/>
    </row>
    <row r="6148" spans="6:6" ht="15" customHeight="1" x14ac:dyDescent="0.2">
      <c r="F6148"/>
    </row>
    <row r="6149" spans="6:6" ht="15" customHeight="1" x14ac:dyDescent="0.2">
      <c r="F6149"/>
    </row>
    <row r="6150" spans="6:6" ht="15" customHeight="1" x14ac:dyDescent="0.2">
      <c r="F6150"/>
    </row>
    <row r="6151" spans="6:6" ht="15" customHeight="1" x14ac:dyDescent="0.2">
      <c r="F6151"/>
    </row>
    <row r="6152" spans="6:6" ht="15" customHeight="1" x14ac:dyDescent="0.2">
      <c r="F6152"/>
    </row>
    <row r="6153" spans="6:6" ht="15" customHeight="1" x14ac:dyDescent="0.2">
      <c r="F6153"/>
    </row>
    <row r="6154" spans="6:6" ht="15" customHeight="1" x14ac:dyDescent="0.2">
      <c r="F6154"/>
    </row>
    <row r="6155" spans="6:6" ht="15" customHeight="1" x14ac:dyDescent="0.2">
      <c r="F6155"/>
    </row>
    <row r="6156" spans="6:6" ht="15" customHeight="1" x14ac:dyDescent="0.2">
      <c r="F6156"/>
    </row>
    <row r="6157" spans="6:6" ht="15" customHeight="1" x14ac:dyDescent="0.2">
      <c r="F6157"/>
    </row>
    <row r="6158" spans="6:6" ht="15" customHeight="1" x14ac:dyDescent="0.2">
      <c r="F6158"/>
    </row>
    <row r="6159" spans="6:6" ht="15" customHeight="1" x14ac:dyDescent="0.2">
      <c r="F6159"/>
    </row>
    <row r="6160" spans="6:6" ht="15" customHeight="1" x14ac:dyDescent="0.2">
      <c r="F6160"/>
    </row>
    <row r="6161" spans="6:6" ht="15" customHeight="1" x14ac:dyDescent="0.2">
      <c r="F6161"/>
    </row>
    <row r="6162" spans="6:6" ht="15" customHeight="1" x14ac:dyDescent="0.2">
      <c r="F6162"/>
    </row>
    <row r="6163" spans="6:6" ht="15" customHeight="1" x14ac:dyDescent="0.2">
      <c r="F6163"/>
    </row>
    <row r="6164" spans="6:6" ht="15" customHeight="1" x14ac:dyDescent="0.2">
      <c r="F6164"/>
    </row>
    <row r="6165" spans="6:6" ht="15" customHeight="1" x14ac:dyDescent="0.2">
      <c r="F6165"/>
    </row>
    <row r="6166" spans="6:6" ht="15" customHeight="1" x14ac:dyDescent="0.2">
      <c r="F6166"/>
    </row>
    <row r="6167" spans="6:6" ht="15" customHeight="1" x14ac:dyDescent="0.2">
      <c r="F6167"/>
    </row>
    <row r="6168" spans="6:6" ht="15" customHeight="1" x14ac:dyDescent="0.2">
      <c r="F6168"/>
    </row>
    <row r="6169" spans="6:6" ht="15" customHeight="1" x14ac:dyDescent="0.2">
      <c r="F6169"/>
    </row>
    <row r="6170" spans="6:6" ht="15" customHeight="1" x14ac:dyDescent="0.2">
      <c r="F6170"/>
    </row>
    <row r="6171" spans="6:6" ht="15" customHeight="1" x14ac:dyDescent="0.2">
      <c r="F6171"/>
    </row>
    <row r="6172" spans="6:6" ht="15" customHeight="1" x14ac:dyDescent="0.2">
      <c r="F6172"/>
    </row>
    <row r="6173" spans="6:6" ht="15" customHeight="1" x14ac:dyDescent="0.2">
      <c r="F6173"/>
    </row>
    <row r="6174" spans="6:6" ht="15" customHeight="1" x14ac:dyDescent="0.2">
      <c r="F6174"/>
    </row>
    <row r="6175" spans="6:6" ht="15" customHeight="1" x14ac:dyDescent="0.2">
      <c r="F6175"/>
    </row>
    <row r="6176" spans="6:6" ht="15" customHeight="1" x14ac:dyDescent="0.2">
      <c r="F6176"/>
    </row>
    <row r="6177" spans="6:6" ht="15" customHeight="1" x14ac:dyDescent="0.2">
      <c r="F6177"/>
    </row>
    <row r="6178" spans="6:6" ht="15" customHeight="1" x14ac:dyDescent="0.2">
      <c r="F6178"/>
    </row>
    <row r="6179" spans="6:6" ht="15" customHeight="1" x14ac:dyDescent="0.2">
      <c r="F6179"/>
    </row>
    <row r="6180" spans="6:6" ht="15" customHeight="1" x14ac:dyDescent="0.2">
      <c r="F6180"/>
    </row>
    <row r="6181" spans="6:6" ht="15" customHeight="1" x14ac:dyDescent="0.2">
      <c r="F6181"/>
    </row>
    <row r="6182" spans="6:6" ht="15" customHeight="1" x14ac:dyDescent="0.2">
      <c r="F6182"/>
    </row>
    <row r="6183" spans="6:6" ht="15" customHeight="1" x14ac:dyDescent="0.2">
      <c r="F6183"/>
    </row>
    <row r="6184" spans="6:6" ht="15" customHeight="1" x14ac:dyDescent="0.2">
      <c r="F6184"/>
    </row>
    <row r="6185" spans="6:6" ht="15" customHeight="1" x14ac:dyDescent="0.2">
      <c r="F6185"/>
    </row>
    <row r="6186" spans="6:6" ht="15" customHeight="1" x14ac:dyDescent="0.2">
      <c r="F6186"/>
    </row>
    <row r="6187" spans="6:6" ht="15" customHeight="1" x14ac:dyDescent="0.2">
      <c r="F6187"/>
    </row>
    <row r="6188" spans="6:6" ht="15" customHeight="1" x14ac:dyDescent="0.2">
      <c r="F6188"/>
    </row>
    <row r="6189" spans="6:6" ht="15" customHeight="1" x14ac:dyDescent="0.2">
      <c r="F6189"/>
    </row>
    <row r="6190" spans="6:6" ht="15" customHeight="1" x14ac:dyDescent="0.2">
      <c r="F6190"/>
    </row>
    <row r="6191" spans="6:6" ht="15" customHeight="1" x14ac:dyDescent="0.2">
      <c r="F6191"/>
    </row>
    <row r="6192" spans="6:6" ht="15" customHeight="1" x14ac:dyDescent="0.2">
      <c r="F6192"/>
    </row>
    <row r="6193" spans="6:6" ht="15" customHeight="1" x14ac:dyDescent="0.2">
      <c r="F6193"/>
    </row>
    <row r="6194" spans="6:6" ht="15" customHeight="1" x14ac:dyDescent="0.2">
      <c r="F6194"/>
    </row>
    <row r="6195" spans="6:6" ht="15" customHeight="1" x14ac:dyDescent="0.2">
      <c r="F6195"/>
    </row>
    <row r="6196" spans="6:6" ht="15" customHeight="1" x14ac:dyDescent="0.2">
      <c r="F6196"/>
    </row>
    <row r="6197" spans="6:6" ht="15" customHeight="1" x14ac:dyDescent="0.2">
      <c r="F6197"/>
    </row>
    <row r="6198" spans="6:6" ht="15" customHeight="1" x14ac:dyDescent="0.2">
      <c r="F6198"/>
    </row>
    <row r="6199" spans="6:6" ht="15" customHeight="1" x14ac:dyDescent="0.2">
      <c r="F6199"/>
    </row>
    <row r="6200" spans="6:6" ht="15" customHeight="1" x14ac:dyDescent="0.2">
      <c r="F6200"/>
    </row>
    <row r="6201" spans="6:6" ht="15" customHeight="1" x14ac:dyDescent="0.2">
      <c r="F6201"/>
    </row>
    <row r="6202" spans="6:6" ht="15" customHeight="1" x14ac:dyDescent="0.2">
      <c r="F6202"/>
    </row>
    <row r="6203" spans="6:6" ht="15" customHeight="1" x14ac:dyDescent="0.2">
      <c r="F6203"/>
    </row>
    <row r="6204" spans="6:6" ht="15" customHeight="1" x14ac:dyDescent="0.2">
      <c r="F6204"/>
    </row>
    <row r="6205" spans="6:6" ht="15" customHeight="1" x14ac:dyDescent="0.2">
      <c r="F6205"/>
    </row>
    <row r="6206" spans="6:6" ht="15" customHeight="1" x14ac:dyDescent="0.2">
      <c r="F6206"/>
    </row>
    <row r="6207" spans="6:6" ht="15" customHeight="1" x14ac:dyDescent="0.2">
      <c r="F6207"/>
    </row>
    <row r="6208" spans="6:6" ht="15" customHeight="1" x14ac:dyDescent="0.2">
      <c r="F6208"/>
    </row>
    <row r="6209" spans="6:6" ht="15" customHeight="1" x14ac:dyDescent="0.2">
      <c r="F6209"/>
    </row>
    <row r="6210" spans="6:6" ht="15" customHeight="1" x14ac:dyDescent="0.2">
      <c r="F6210"/>
    </row>
    <row r="6211" spans="6:6" ht="15" customHeight="1" x14ac:dyDescent="0.2">
      <c r="F6211"/>
    </row>
    <row r="6212" spans="6:6" ht="15" customHeight="1" x14ac:dyDescent="0.2">
      <c r="F6212"/>
    </row>
    <row r="6213" spans="6:6" ht="15" customHeight="1" x14ac:dyDescent="0.2">
      <c r="F6213"/>
    </row>
    <row r="6214" spans="6:6" ht="15" customHeight="1" x14ac:dyDescent="0.2">
      <c r="F6214"/>
    </row>
    <row r="6215" spans="6:6" ht="15" customHeight="1" x14ac:dyDescent="0.2">
      <c r="F6215"/>
    </row>
    <row r="6216" spans="6:6" ht="15" customHeight="1" x14ac:dyDescent="0.2">
      <c r="F6216"/>
    </row>
    <row r="6217" spans="6:6" ht="15" customHeight="1" x14ac:dyDescent="0.2">
      <c r="F6217"/>
    </row>
    <row r="6218" spans="6:6" ht="15" customHeight="1" x14ac:dyDescent="0.2">
      <c r="F6218"/>
    </row>
    <row r="6219" spans="6:6" ht="15" customHeight="1" x14ac:dyDescent="0.2">
      <c r="F6219"/>
    </row>
    <row r="6220" spans="6:6" ht="15" customHeight="1" x14ac:dyDescent="0.2">
      <c r="F6220"/>
    </row>
    <row r="6221" spans="6:6" ht="15" customHeight="1" x14ac:dyDescent="0.2">
      <c r="F6221"/>
    </row>
    <row r="6222" spans="6:6" ht="15" customHeight="1" x14ac:dyDescent="0.2">
      <c r="F6222"/>
    </row>
    <row r="6223" spans="6:6" ht="15" customHeight="1" x14ac:dyDescent="0.2">
      <c r="F6223"/>
    </row>
    <row r="6224" spans="6:6" ht="15" customHeight="1" x14ac:dyDescent="0.2">
      <c r="F6224"/>
    </row>
    <row r="6225" spans="6:6" ht="15" customHeight="1" x14ac:dyDescent="0.2">
      <c r="F6225"/>
    </row>
    <row r="6226" spans="6:6" ht="15" customHeight="1" x14ac:dyDescent="0.2">
      <c r="F6226"/>
    </row>
    <row r="6227" spans="6:6" ht="15" customHeight="1" x14ac:dyDescent="0.2">
      <c r="F6227"/>
    </row>
    <row r="6228" spans="6:6" ht="15" customHeight="1" x14ac:dyDescent="0.2">
      <c r="F6228"/>
    </row>
    <row r="6229" spans="6:6" ht="15" customHeight="1" x14ac:dyDescent="0.2">
      <c r="F6229"/>
    </row>
    <row r="6230" spans="6:6" ht="15" customHeight="1" x14ac:dyDescent="0.2">
      <c r="F6230"/>
    </row>
    <row r="6231" spans="6:6" ht="15" customHeight="1" x14ac:dyDescent="0.2">
      <c r="F6231"/>
    </row>
    <row r="6232" spans="6:6" ht="15" customHeight="1" x14ac:dyDescent="0.2">
      <c r="F6232"/>
    </row>
    <row r="6233" spans="6:6" ht="15" customHeight="1" x14ac:dyDescent="0.2">
      <c r="F6233"/>
    </row>
    <row r="6234" spans="6:6" ht="15" customHeight="1" x14ac:dyDescent="0.2">
      <c r="F6234"/>
    </row>
    <row r="6235" spans="6:6" ht="15" customHeight="1" x14ac:dyDescent="0.2">
      <c r="F6235"/>
    </row>
    <row r="6236" spans="6:6" ht="15" customHeight="1" x14ac:dyDescent="0.2">
      <c r="F6236"/>
    </row>
    <row r="6237" spans="6:6" ht="15" customHeight="1" x14ac:dyDescent="0.2">
      <c r="F6237"/>
    </row>
    <row r="6238" spans="6:6" ht="15" customHeight="1" x14ac:dyDescent="0.2">
      <c r="F6238"/>
    </row>
    <row r="6239" spans="6:6" ht="15" customHeight="1" x14ac:dyDescent="0.2">
      <c r="F6239"/>
    </row>
    <row r="6240" spans="6:6" ht="15" customHeight="1" x14ac:dyDescent="0.2">
      <c r="F6240"/>
    </row>
    <row r="6241" spans="6:6" ht="15" customHeight="1" x14ac:dyDescent="0.2">
      <c r="F6241"/>
    </row>
    <row r="6242" spans="6:6" ht="15" customHeight="1" x14ac:dyDescent="0.2">
      <c r="F6242"/>
    </row>
    <row r="6243" spans="6:6" ht="15" customHeight="1" x14ac:dyDescent="0.2">
      <c r="F6243"/>
    </row>
    <row r="6244" spans="6:6" ht="15" customHeight="1" x14ac:dyDescent="0.2">
      <c r="F6244"/>
    </row>
    <row r="6245" spans="6:6" ht="15" customHeight="1" x14ac:dyDescent="0.2">
      <c r="F6245"/>
    </row>
    <row r="6246" spans="6:6" ht="15" customHeight="1" x14ac:dyDescent="0.2">
      <c r="F6246"/>
    </row>
    <row r="6247" spans="6:6" ht="15" customHeight="1" x14ac:dyDescent="0.2">
      <c r="F6247"/>
    </row>
    <row r="6248" spans="6:6" ht="15" customHeight="1" x14ac:dyDescent="0.2">
      <c r="F6248"/>
    </row>
    <row r="6249" spans="6:6" ht="15" customHeight="1" x14ac:dyDescent="0.2">
      <c r="F6249"/>
    </row>
    <row r="6250" spans="6:6" ht="15" customHeight="1" x14ac:dyDescent="0.2">
      <c r="F6250"/>
    </row>
    <row r="6251" spans="6:6" ht="15" customHeight="1" x14ac:dyDescent="0.2">
      <c r="F6251"/>
    </row>
    <row r="6252" spans="6:6" ht="15" customHeight="1" x14ac:dyDescent="0.2">
      <c r="F6252"/>
    </row>
    <row r="6253" spans="6:6" ht="15" customHeight="1" x14ac:dyDescent="0.2">
      <c r="F6253"/>
    </row>
    <row r="6254" spans="6:6" ht="15" customHeight="1" x14ac:dyDescent="0.2">
      <c r="F6254"/>
    </row>
    <row r="6255" spans="6:6" ht="15" customHeight="1" x14ac:dyDescent="0.2">
      <c r="F6255"/>
    </row>
    <row r="6256" spans="6:6" ht="15" customHeight="1" x14ac:dyDescent="0.2">
      <c r="F6256"/>
    </row>
    <row r="6257" spans="6:6" ht="15" customHeight="1" x14ac:dyDescent="0.2">
      <c r="F6257"/>
    </row>
    <row r="6258" spans="6:6" ht="15" customHeight="1" x14ac:dyDescent="0.2">
      <c r="F6258"/>
    </row>
    <row r="6259" spans="6:6" ht="15" customHeight="1" x14ac:dyDescent="0.2">
      <c r="F6259"/>
    </row>
    <row r="6260" spans="6:6" ht="15" customHeight="1" x14ac:dyDescent="0.2">
      <c r="F6260"/>
    </row>
    <row r="6261" spans="6:6" ht="15" customHeight="1" x14ac:dyDescent="0.2">
      <c r="F6261"/>
    </row>
    <row r="6262" spans="6:6" ht="15" customHeight="1" x14ac:dyDescent="0.2">
      <c r="F6262"/>
    </row>
    <row r="6263" spans="6:6" ht="15" customHeight="1" x14ac:dyDescent="0.2">
      <c r="F6263"/>
    </row>
    <row r="6264" spans="6:6" ht="15" customHeight="1" x14ac:dyDescent="0.2">
      <c r="F6264"/>
    </row>
    <row r="6265" spans="6:6" ht="15" customHeight="1" x14ac:dyDescent="0.2">
      <c r="F6265"/>
    </row>
    <row r="6266" spans="6:6" ht="15" customHeight="1" x14ac:dyDescent="0.2">
      <c r="F6266"/>
    </row>
    <row r="6267" spans="6:6" ht="15" customHeight="1" x14ac:dyDescent="0.2">
      <c r="F6267"/>
    </row>
    <row r="6268" spans="6:6" ht="15" customHeight="1" x14ac:dyDescent="0.2">
      <c r="F6268"/>
    </row>
    <row r="6269" spans="6:6" ht="15" customHeight="1" x14ac:dyDescent="0.2">
      <c r="F6269"/>
    </row>
    <row r="6270" spans="6:6" ht="15" customHeight="1" x14ac:dyDescent="0.2">
      <c r="F6270"/>
    </row>
    <row r="6271" spans="6:6" ht="15" customHeight="1" x14ac:dyDescent="0.2">
      <c r="F6271"/>
    </row>
    <row r="6272" spans="6:6" ht="15" customHeight="1" x14ac:dyDescent="0.2">
      <c r="F6272"/>
    </row>
    <row r="6273" spans="6:6" ht="15" customHeight="1" x14ac:dyDescent="0.2">
      <c r="F6273"/>
    </row>
    <row r="6274" spans="6:6" ht="15" customHeight="1" x14ac:dyDescent="0.2">
      <c r="F6274"/>
    </row>
    <row r="6275" spans="6:6" ht="15" customHeight="1" x14ac:dyDescent="0.2">
      <c r="F6275"/>
    </row>
    <row r="6276" spans="6:6" ht="15" customHeight="1" x14ac:dyDescent="0.2">
      <c r="F6276"/>
    </row>
    <row r="6277" spans="6:6" ht="15" customHeight="1" x14ac:dyDescent="0.2">
      <c r="F6277"/>
    </row>
    <row r="6278" spans="6:6" ht="15" customHeight="1" x14ac:dyDescent="0.2">
      <c r="F6278"/>
    </row>
    <row r="6279" spans="6:6" ht="15" customHeight="1" x14ac:dyDescent="0.2">
      <c r="F6279"/>
    </row>
    <row r="6280" spans="6:6" ht="15" customHeight="1" x14ac:dyDescent="0.2">
      <c r="F6280"/>
    </row>
    <row r="6281" spans="6:6" ht="15" customHeight="1" x14ac:dyDescent="0.2">
      <c r="F6281"/>
    </row>
    <row r="6282" spans="6:6" ht="15" customHeight="1" x14ac:dyDescent="0.2">
      <c r="F6282"/>
    </row>
    <row r="6283" spans="6:6" ht="15" customHeight="1" x14ac:dyDescent="0.2">
      <c r="F6283"/>
    </row>
    <row r="6284" spans="6:6" ht="15" customHeight="1" x14ac:dyDescent="0.2">
      <c r="F6284"/>
    </row>
    <row r="6285" spans="6:6" ht="15" customHeight="1" x14ac:dyDescent="0.2">
      <c r="F6285"/>
    </row>
    <row r="6286" spans="6:6" ht="15" customHeight="1" x14ac:dyDescent="0.2">
      <c r="F6286"/>
    </row>
    <row r="6287" spans="6:6" ht="15" customHeight="1" x14ac:dyDescent="0.2">
      <c r="F6287"/>
    </row>
    <row r="6288" spans="6:6" ht="15" customHeight="1" x14ac:dyDescent="0.2">
      <c r="F6288"/>
    </row>
    <row r="6289" spans="6:6" ht="15" customHeight="1" x14ac:dyDescent="0.2">
      <c r="F6289"/>
    </row>
    <row r="6290" spans="6:6" ht="15" customHeight="1" x14ac:dyDescent="0.2">
      <c r="F6290"/>
    </row>
    <row r="6291" spans="6:6" ht="15" customHeight="1" x14ac:dyDescent="0.2">
      <c r="F6291"/>
    </row>
    <row r="6292" spans="6:6" ht="15" customHeight="1" x14ac:dyDescent="0.2">
      <c r="F6292"/>
    </row>
    <row r="6293" spans="6:6" ht="15" customHeight="1" x14ac:dyDescent="0.2">
      <c r="F6293"/>
    </row>
    <row r="6294" spans="6:6" ht="15" customHeight="1" x14ac:dyDescent="0.2">
      <c r="F6294"/>
    </row>
    <row r="6295" spans="6:6" ht="15" customHeight="1" x14ac:dyDescent="0.2">
      <c r="F6295"/>
    </row>
    <row r="6296" spans="6:6" ht="15" customHeight="1" x14ac:dyDescent="0.2">
      <c r="F6296"/>
    </row>
    <row r="6297" spans="6:6" ht="15" customHeight="1" x14ac:dyDescent="0.2">
      <c r="F6297"/>
    </row>
    <row r="6298" spans="6:6" ht="15" customHeight="1" x14ac:dyDescent="0.2">
      <c r="F6298"/>
    </row>
    <row r="6299" spans="6:6" ht="15" customHeight="1" x14ac:dyDescent="0.2">
      <c r="F6299"/>
    </row>
    <row r="6300" spans="6:6" ht="15" customHeight="1" x14ac:dyDescent="0.2">
      <c r="F6300"/>
    </row>
    <row r="6301" spans="6:6" ht="15" customHeight="1" x14ac:dyDescent="0.2">
      <c r="F6301"/>
    </row>
    <row r="6302" spans="6:6" ht="15" customHeight="1" x14ac:dyDescent="0.2">
      <c r="F6302"/>
    </row>
    <row r="6303" spans="6:6" ht="15" customHeight="1" x14ac:dyDescent="0.2">
      <c r="F6303"/>
    </row>
    <row r="6304" spans="6:6" ht="15" customHeight="1" x14ac:dyDescent="0.2">
      <c r="F6304"/>
    </row>
    <row r="6305" spans="6:6" ht="15" customHeight="1" x14ac:dyDescent="0.2">
      <c r="F6305"/>
    </row>
    <row r="6306" spans="6:6" ht="15" customHeight="1" x14ac:dyDescent="0.2">
      <c r="F6306"/>
    </row>
    <row r="6307" spans="6:6" ht="15" customHeight="1" x14ac:dyDescent="0.2">
      <c r="F6307"/>
    </row>
    <row r="6308" spans="6:6" ht="15" customHeight="1" x14ac:dyDescent="0.2">
      <c r="F6308"/>
    </row>
    <row r="6309" spans="6:6" ht="15" customHeight="1" x14ac:dyDescent="0.2">
      <c r="F6309"/>
    </row>
    <row r="6310" spans="6:6" ht="15" customHeight="1" x14ac:dyDescent="0.2">
      <c r="F6310"/>
    </row>
    <row r="6311" spans="6:6" ht="15" customHeight="1" x14ac:dyDescent="0.2">
      <c r="F6311"/>
    </row>
    <row r="6312" spans="6:6" ht="15" customHeight="1" x14ac:dyDescent="0.2">
      <c r="F6312"/>
    </row>
    <row r="6313" spans="6:6" ht="15" customHeight="1" x14ac:dyDescent="0.2">
      <c r="F6313"/>
    </row>
    <row r="6314" spans="6:6" ht="15" customHeight="1" x14ac:dyDescent="0.2">
      <c r="F6314"/>
    </row>
    <row r="6315" spans="6:6" ht="15" customHeight="1" x14ac:dyDescent="0.2">
      <c r="F6315"/>
    </row>
    <row r="6316" spans="6:6" ht="15" customHeight="1" x14ac:dyDescent="0.2">
      <c r="F6316"/>
    </row>
    <row r="6317" spans="6:6" ht="15" customHeight="1" x14ac:dyDescent="0.2">
      <c r="F6317"/>
    </row>
    <row r="6318" spans="6:6" ht="15" customHeight="1" x14ac:dyDescent="0.2">
      <c r="F6318"/>
    </row>
    <row r="6319" spans="6:6" ht="15" customHeight="1" x14ac:dyDescent="0.2">
      <c r="F6319"/>
    </row>
    <row r="6320" spans="6:6" ht="15" customHeight="1" x14ac:dyDescent="0.2">
      <c r="F6320"/>
    </row>
    <row r="6321" spans="6:6" ht="15" customHeight="1" x14ac:dyDescent="0.2">
      <c r="F6321"/>
    </row>
    <row r="6322" spans="6:6" ht="15" customHeight="1" x14ac:dyDescent="0.2">
      <c r="F6322"/>
    </row>
    <row r="6323" spans="6:6" ht="15" customHeight="1" x14ac:dyDescent="0.2">
      <c r="F6323"/>
    </row>
    <row r="6324" spans="6:6" ht="15" customHeight="1" x14ac:dyDescent="0.2">
      <c r="F6324"/>
    </row>
    <row r="6325" spans="6:6" ht="15" customHeight="1" x14ac:dyDescent="0.2">
      <c r="F6325"/>
    </row>
    <row r="6326" spans="6:6" ht="15" customHeight="1" x14ac:dyDescent="0.2">
      <c r="F6326"/>
    </row>
    <row r="6327" spans="6:6" ht="15" customHeight="1" x14ac:dyDescent="0.2">
      <c r="F6327"/>
    </row>
    <row r="6328" spans="6:6" ht="15" customHeight="1" x14ac:dyDescent="0.2">
      <c r="F6328"/>
    </row>
    <row r="6329" spans="6:6" ht="15" customHeight="1" x14ac:dyDescent="0.2">
      <c r="F6329"/>
    </row>
    <row r="6330" spans="6:6" ht="15" customHeight="1" x14ac:dyDescent="0.2">
      <c r="F6330"/>
    </row>
    <row r="6331" spans="6:6" ht="15" customHeight="1" x14ac:dyDescent="0.2">
      <c r="F6331"/>
    </row>
    <row r="6332" spans="6:6" ht="15" customHeight="1" x14ac:dyDescent="0.2">
      <c r="F6332"/>
    </row>
    <row r="6333" spans="6:6" ht="15" customHeight="1" x14ac:dyDescent="0.2">
      <c r="F6333"/>
    </row>
    <row r="6334" spans="6:6" ht="15" customHeight="1" x14ac:dyDescent="0.2">
      <c r="F6334"/>
    </row>
    <row r="6335" spans="6:6" ht="15" customHeight="1" x14ac:dyDescent="0.2">
      <c r="F6335"/>
    </row>
    <row r="6336" spans="6:6" ht="15" customHeight="1" x14ac:dyDescent="0.2">
      <c r="F6336"/>
    </row>
    <row r="6337" spans="6:6" ht="15" customHeight="1" x14ac:dyDescent="0.2">
      <c r="F6337"/>
    </row>
    <row r="6338" spans="6:6" ht="15" customHeight="1" x14ac:dyDescent="0.2">
      <c r="F6338"/>
    </row>
    <row r="6339" spans="6:6" ht="15" customHeight="1" x14ac:dyDescent="0.2">
      <c r="F6339"/>
    </row>
    <row r="6340" spans="6:6" ht="15" customHeight="1" x14ac:dyDescent="0.2">
      <c r="F6340"/>
    </row>
    <row r="6341" spans="6:6" ht="15" customHeight="1" x14ac:dyDescent="0.2">
      <c r="F6341"/>
    </row>
    <row r="6342" spans="6:6" ht="15" customHeight="1" x14ac:dyDescent="0.2">
      <c r="F6342"/>
    </row>
    <row r="6343" spans="6:6" ht="15" customHeight="1" x14ac:dyDescent="0.2">
      <c r="F6343"/>
    </row>
    <row r="6344" spans="6:6" ht="15" customHeight="1" x14ac:dyDescent="0.2">
      <c r="F6344"/>
    </row>
    <row r="6345" spans="6:6" ht="15" customHeight="1" x14ac:dyDescent="0.2">
      <c r="F6345"/>
    </row>
    <row r="6346" spans="6:6" ht="15" customHeight="1" x14ac:dyDescent="0.2">
      <c r="F6346"/>
    </row>
    <row r="6347" spans="6:6" ht="15" customHeight="1" x14ac:dyDescent="0.2">
      <c r="F6347"/>
    </row>
    <row r="6348" spans="6:6" ht="15" customHeight="1" x14ac:dyDescent="0.2">
      <c r="F6348"/>
    </row>
    <row r="6349" spans="6:6" ht="15" customHeight="1" x14ac:dyDescent="0.2">
      <c r="F6349"/>
    </row>
    <row r="6350" spans="6:6" ht="15" customHeight="1" x14ac:dyDescent="0.2">
      <c r="F6350"/>
    </row>
    <row r="6351" spans="6:6" ht="15" customHeight="1" x14ac:dyDescent="0.2">
      <c r="F6351"/>
    </row>
    <row r="6352" spans="6:6" ht="15" customHeight="1" x14ac:dyDescent="0.2">
      <c r="F6352"/>
    </row>
    <row r="6353" spans="6:6" ht="15" customHeight="1" x14ac:dyDescent="0.2">
      <c r="F6353"/>
    </row>
    <row r="6354" spans="6:6" ht="15" customHeight="1" x14ac:dyDescent="0.2">
      <c r="F6354"/>
    </row>
    <row r="6355" spans="6:6" ht="15" customHeight="1" x14ac:dyDescent="0.2">
      <c r="F6355"/>
    </row>
    <row r="6356" spans="6:6" ht="15" customHeight="1" x14ac:dyDescent="0.2">
      <c r="F6356"/>
    </row>
    <row r="6357" spans="6:6" ht="15" customHeight="1" x14ac:dyDescent="0.2">
      <c r="F6357"/>
    </row>
    <row r="6358" spans="6:6" ht="15" customHeight="1" x14ac:dyDescent="0.2">
      <c r="F6358"/>
    </row>
    <row r="6359" spans="6:6" ht="15" customHeight="1" x14ac:dyDescent="0.2">
      <c r="F6359"/>
    </row>
    <row r="6360" spans="6:6" ht="15" customHeight="1" x14ac:dyDescent="0.2">
      <c r="F6360"/>
    </row>
    <row r="6361" spans="6:6" ht="15" customHeight="1" x14ac:dyDescent="0.2">
      <c r="F6361"/>
    </row>
    <row r="6362" spans="6:6" ht="15" customHeight="1" x14ac:dyDescent="0.2">
      <c r="F6362"/>
    </row>
    <row r="6363" spans="6:6" ht="15" customHeight="1" x14ac:dyDescent="0.2">
      <c r="F6363"/>
    </row>
    <row r="6364" spans="6:6" ht="15" customHeight="1" x14ac:dyDescent="0.2">
      <c r="F6364"/>
    </row>
    <row r="6365" spans="6:6" ht="15" customHeight="1" x14ac:dyDescent="0.2">
      <c r="F6365"/>
    </row>
    <row r="6366" spans="6:6" ht="15" customHeight="1" x14ac:dyDescent="0.2">
      <c r="F6366"/>
    </row>
    <row r="6367" spans="6:6" ht="15" customHeight="1" x14ac:dyDescent="0.2">
      <c r="F6367"/>
    </row>
    <row r="6368" spans="6:6" ht="15" customHeight="1" x14ac:dyDescent="0.2">
      <c r="F6368"/>
    </row>
    <row r="6369" spans="6:6" ht="15" customHeight="1" x14ac:dyDescent="0.2">
      <c r="F6369"/>
    </row>
    <row r="6370" spans="6:6" ht="15" customHeight="1" x14ac:dyDescent="0.2">
      <c r="F6370"/>
    </row>
    <row r="6371" spans="6:6" ht="15" customHeight="1" x14ac:dyDescent="0.2">
      <c r="F6371"/>
    </row>
    <row r="6372" spans="6:6" ht="15" customHeight="1" x14ac:dyDescent="0.2">
      <c r="F6372"/>
    </row>
    <row r="6373" spans="6:6" ht="15" customHeight="1" x14ac:dyDescent="0.2">
      <c r="F6373"/>
    </row>
    <row r="6374" spans="6:6" ht="15" customHeight="1" x14ac:dyDescent="0.2">
      <c r="F6374"/>
    </row>
    <row r="6375" spans="6:6" ht="15" customHeight="1" x14ac:dyDescent="0.2">
      <c r="F6375"/>
    </row>
    <row r="6376" spans="6:6" ht="15" customHeight="1" x14ac:dyDescent="0.2">
      <c r="F6376"/>
    </row>
    <row r="6377" spans="6:6" ht="15" customHeight="1" x14ac:dyDescent="0.2">
      <c r="F6377"/>
    </row>
    <row r="6378" spans="6:6" ht="15" customHeight="1" x14ac:dyDescent="0.2">
      <c r="F6378"/>
    </row>
    <row r="6379" spans="6:6" ht="15" customHeight="1" x14ac:dyDescent="0.2">
      <c r="F6379"/>
    </row>
    <row r="6380" spans="6:6" ht="15" customHeight="1" x14ac:dyDescent="0.2">
      <c r="F6380"/>
    </row>
    <row r="6381" spans="6:6" ht="15" customHeight="1" x14ac:dyDescent="0.2">
      <c r="F6381"/>
    </row>
    <row r="6382" spans="6:6" ht="15" customHeight="1" x14ac:dyDescent="0.2">
      <c r="F6382"/>
    </row>
    <row r="6383" spans="6:6" ht="15" customHeight="1" x14ac:dyDescent="0.2">
      <c r="F6383"/>
    </row>
    <row r="6384" spans="6:6" ht="15" customHeight="1" x14ac:dyDescent="0.2">
      <c r="F6384"/>
    </row>
    <row r="6385" spans="6:6" ht="15" customHeight="1" x14ac:dyDescent="0.2">
      <c r="F6385"/>
    </row>
    <row r="6386" spans="6:6" ht="15" customHeight="1" x14ac:dyDescent="0.2">
      <c r="F6386"/>
    </row>
    <row r="6387" spans="6:6" ht="15" customHeight="1" x14ac:dyDescent="0.2">
      <c r="F6387"/>
    </row>
    <row r="6388" spans="6:6" ht="15" customHeight="1" x14ac:dyDescent="0.2">
      <c r="F6388"/>
    </row>
    <row r="6389" spans="6:6" ht="15" customHeight="1" x14ac:dyDescent="0.2">
      <c r="F6389"/>
    </row>
    <row r="6390" spans="6:6" ht="15" customHeight="1" x14ac:dyDescent="0.2">
      <c r="F6390"/>
    </row>
    <row r="6391" spans="6:6" ht="15" customHeight="1" x14ac:dyDescent="0.2">
      <c r="F6391"/>
    </row>
    <row r="6392" spans="6:6" ht="15" customHeight="1" x14ac:dyDescent="0.2">
      <c r="F6392"/>
    </row>
    <row r="6393" spans="6:6" ht="15" customHeight="1" x14ac:dyDescent="0.2">
      <c r="F6393"/>
    </row>
    <row r="6394" spans="6:6" ht="15" customHeight="1" x14ac:dyDescent="0.2">
      <c r="F6394"/>
    </row>
    <row r="6395" spans="6:6" ht="15" customHeight="1" x14ac:dyDescent="0.2">
      <c r="F6395"/>
    </row>
    <row r="6396" spans="6:6" ht="15" customHeight="1" x14ac:dyDescent="0.2">
      <c r="F6396"/>
    </row>
    <row r="6397" spans="6:6" ht="15" customHeight="1" x14ac:dyDescent="0.2">
      <c r="F6397"/>
    </row>
    <row r="6398" spans="6:6" ht="15" customHeight="1" x14ac:dyDescent="0.2">
      <c r="F6398"/>
    </row>
    <row r="6399" spans="6:6" ht="15" customHeight="1" x14ac:dyDescent="0.2">
      <c r="F6399"/>
    </row>
    <row r="6400" spans="6:6" ht="15" customHeight="1" x14ac:dyDescent="0.2">
      <c r="F6400"/>
    </row>
    <row r="6401" spans="6:6" ht="15" customHeight="1" x14ac:dyDescent="0.2">
      <c r="F6401"/>
    </row>
    <row r="6402" spans="6:6" ht="15" customHeight="1" x14ac:dyDescent="0.2">
      <c r="F6402"/>
    </row>
    <row r="6403" spans="6:6" ht="15" customHeight="1" x14ac:dyDescent="0.2">
      <c r="F6403"/>
    </row>
    <row r="6404" spans="6:6" ht="15" customHeight="1" x14ac:dyDescent="0.2">
      <c r="F6404"/>
    </row>
    <row r="6405" spans="6:6" ht="15" customHeight="1" x14ac:dyDescent="0.2">
      <c r="F6405"/>
    </row>
    <row r="6406" spans="6:6" ht="15" customHeight="1" x14ac:dyDescent="0.2">
      <c r="F6406"/>
    </row>
    <row r="6407" spans="6:6" ht="15" customHeight="1" x14ac:dyDescent="0.2">
      <c r="F6407"/>
    </row>
    <row r="6408" spans="6:6" ht="15" customHeight="1" x14ac:dyDescent="0.2">
      <c r="F6408"/>
    </row>
    <row r="6409" spans="6:6" ht="15" customHeight="1" x14ac:dyDescent="0.2">
      <c r="F6409"/>
    </row>
    <row r="6410" spans="6:6" ht="15" customHeight="1" x14ac:dyDescent="0.2">
      <c r="F6410"/>
    </row>
    <row r="6411" spans="6:6" ht="15" customHeight="1" x14ac:dyDescent="0.2">
      <c r="F6411"/>
    </row>
    <row r="6412" spans="6:6" ht="15" customHeight="1" x14ac:dyDescent="0.2">
      <c r="F6412"/>
    </row>
    <row r="6413" spans="6:6" ht="15" customHeight="1" x14ac:dyDescent="0.2">
      <c r="F6413"/>
    </row>
    <row r="6414" spans="6:6" ht="15" customHeight="1" x14ac:dyDescent="0.2">
      <c r="F6414"/>
    </row>
    <row r="6415" spans="6:6" ht="15" customHeight="1" x14ac:dyDescent="0.2">
      <c r="F6415"/>
    </row>
    <row r="6416" spans="6:6" ht="15" customHeight="1" x14ac:dyDescent="0.2">
      <c r="F6416"/>
    </row>
    <row r="6417" spans="6:6" ht="15" customHeight="1" x14ac:dyDescent="0.2">
      <c r="F6417"/>
    </row>
    <row r="6418" spans="6:6" ht="15" customHeight="1" x14ac:dyDescent="0.2">
      <c r="F6418"/>
    </row>
    <row r="6419" spans="6:6" ht="15" customHeight="1" x14ac:dyDescent="0.2">
      <c r="F6419"/>
    </row>
    <row r="6420" spans="6:6" ht="15" customHeight="1" x14ac:dyDescent="0.2">
      <c r="F6420"/>
    </row>
    <row r="6421" spans="6:6" ht="15" customHeight="1" x14ac:dyDescent="0.2">
      <c r="F6421"/>
    </row>
    <row r="6422" spans="6:6" ht="15" customHeight="1" x14ac:dyDescent="0.2">
      <c r="F6422"/>
    </row>
    <row r="6423" spans="6:6" ht="15" customHeight="1" x14ac:dyDescent="0.2">
      <c r="F6423"/>
    </row>
    <row r="6424" spans="6:6" ht="15" customHeight="1" x14ac:dyDescent="0.2">
      <c r="F6424"/>
    </row>
    <row r="6425" spans="6:6" ht="15" customHeight="1" x14ac:dyDescent="0.2">
      <c r="F6425"/>
    </row>
    <row r="6426" spans="6:6" ht="15" customHeight="1" x14ac:dyDescent="0.2">
      <c r="F6426"/>
    </row>
    <row r="6427" spans="6:6" ht="15" customHeight="1" x14ac:dyDescent="0.2">
      <c r="F6427"/>
    </row>
    <row r="6428" spans="6:6" ht="15" customHeight="1" x14ac:dyDescent="0.2">
      <c r="F6428"/>
    </row>
    <row r="6429" spans="6:6" ht="15" customHeight="1" x14ac:dyDescent="0.2">
      <c r="F6429"/>
    </row>
    <row r="6430" spans="6:6" ht="15" customHeight="1" x14ac:dyDescent="0.2">
      <c r="F6430"/>
    </row>
    <row r="6431" spans="6:6" ht="15" customHeight="1" x14ac:dyDescent="0.2">
      <c r="F6431"/>
    </row>
    <row r="6432" spans="6:6" ht="15" customHeight="1" x14ac:dyDescent="0.2">
      <c r="F6432"/>
    </row>
    <row r="6433" spans="6:6" ht="15" customHeight="1" x14ac:dyDescent="0.2">
      <c r="F6433"/>
    </row>
    <row r="6434" spans="6:6" ht="15" customHeight="1" x14ac:dyDescent="0.2">
      <c r="F6434"/>
    </row>
    <row r="6435" spans="6:6" ht="15" customHeight="1" x14ac:dyDescent="0.2">
      <c r="F6435"/>
    </row>
    <row r="6436" spans="6:6" ht="15" customHeight="1" x14ac:dyDescent="0.2">
      <c r="F6436"/>
    </row>
    <row r="6437" spans="6:6" ht="15" customHeight="1" x14ac:dyDescent="0.2">
      <c r="F6437"/>
    </row>
    <row r="6438" spans="6:6" ht="15" customHeight="1" x14ac:dyDescent="0.2">
      <c r="F6438"/>
    </row>
    <row r="6439" spans="6:6" ht="15" customHeight="1" x14ac:dyDescent="0.2">
      <c r="F6439"/>
    </row>
    <row r="6440" spans="6:6" ht="15" customHeight="1" x14ac:dyDescent="0.2">
      <c r="F6440"/>
    </row>
    <row r="6441" spans="6:6" ht="15" customHeight="1" x14ac:dyDescent="0.2">
      <c r="F6441"/>
    </row>
    <row r="6442" spans="6:6" ht="15" customHeight="1" x14ac:dyDescent="0.2">
      <c r="F6442"/>
    </row>
    <row r="6443" spans="6:6" ht="15" customHeight="1" x14ac:dyDescent="0.2">
      <c r="F6443"/>
    </row>
    <row r="6444" spans="6:6" ht="15" customHeight="1" x14ac:dyDescent="0.2">
      <c r="F6444"/>
    </row>
    <row r="6445" spans="6:6" ht="15" customHeight="1" x14ac:dyDescent="0.2">
      <c r="F6445"/>
    </row>
    <row r="6446" spans="6:6" ht="15" customHeight="1" x14ac:dyDescent="0.2">
      <c r="F6446"/>
    </row>
    <row r="6447" spans="6:6" ht="15" customHeight="1" x14ac:dyDescent="0.2">
      <c r="F6447"/>
    </row>
    <row r="6448" spans="6:6" ht="15" customHeight="1" x14ac:dyDescent="0.2">
      <c r="F6448"/>
    </row>
    <row r="6449" spans="6:6" ht="15" customHeight="1" x14ac:dyDescent="0.2">
      <c r="F6449"/>
    </row>
    <row r="6450" spans="6:6" ht="15" customHeight="1" x14ac:dyDescent="0.2">
      <c r="F6450"/>
    </row>
    <row r="6451" spans="6:6" ht="15" customHeight="1" x14ac:dyDescent="0.2">
      <c r="F6451"/>
    </row>
    <row r="6452" spans="6:6" ht="15" customHeight="1" x14ac:dyDescent="0.2">
      <c r="F6452"/>
    </row>
    <row r="6453" spans="6:6" ht="15" customHeight="1" x14ac:dyDescent="0.2">
      <c r="F6453"/>
    </row>
    <row r="6454" spans="6:6" ht="15" customHeight="1" x14ac:dyDescent="0.2">
      <c r="F6454"/>
    </row>
    <row r="6455" spans="6:6" ht="15" customHeight="1" x14ac:dyDescent="0.2">
      <c r="F6455"/>
    </row>
    <row r="6456" spans="6:6" ht="15" customHeight="1" x14ac:dyDescent="0.2">
      <c r="F6456"/>
    </row>
    <row r="6457" spans="6:6" ht="15" customHeight="1" x14ac:dyDescent="0.2">
      <c r="F6457"/>
    </row>
    <row r="6458" spans="6:6" ht="15" customHeight="1" x14ac:dyDescent="0.2">
      <c r="F6458"/>
    </row>
    <row r="6459" spans="6:6" ht="15" customHeight="1" x14ac:dyDescent="0.2">
      <c r="F6459"/>
    </row>
    <row r="6460" spans="6:6" ht="15" customHeight="1" x14ac:dyDescent="0.2">
      <c r="F6460"/>
    </row>
    <row r="6461" spans="6:6" ht="15" customHeight="1" x14ac:dyDescent="0.2">
      <c r="F6461"/>
    </row>
    <row r="6462" spans="6:6" ht="15" customHeight="1" x14ac:dyDescent="0.2">
      <c r="F6462"/>
    </row>
    <row r="6463" spans="6:6" ht="15" customHeight="1" x14ac:dyDescent="0.2">
      <c r="F6463"/>
    </row>
    <row r="6464" spans="6:6" ht="15" customHeight="1" x14ac:dyDescent="0.2">
      <c r="F6464"/>
    </row>
    <row r="6465" spans="6:6" ht="15" customHeight="1" x14ac:dyDescent="0.2">
      <c r="F6465"/>
    </row>
    <row r="6466" spans="6:6" ht="15" customHeight="1" x14ac:dyDescent="0.2">
      <c r="F6466"/>
    </row>
    <row r="6467" spans="6:6" ht="15" customHeight="1" x14ac:dyDescent="0.2">
      <c r="F6467"/>
    </row>
    <row r="6468" spans="6:6" ht="15" customHeight="1" x14ac:dyDescent="0.2">
      <c r="F6468"/>
    </row>
    <row r="6469" spans="6:6" ht="15" customHeight="1" x14ac:dyDescent="0.2">
      <c r="F6469"/>
    </row>
    <row r="6470" spans="6:6" ht="15" customHeight="1" x14ac:dyDescent="0.2">
      <c r="F6470"/>
    </row>
    <row r="6471" spans="6:6" ht="15" customHeight="1" x14ac:dyDescent="0.2">
      <c r="F6471"/>
    </row>
    <row r="6472" spans="6:6" ht="15" customHeight="1" x14ac:dyDescent="0.2">
      <c r="F6472"/>
    </row>
    <row r="6473" spans="6:6" ht="15" customHeight="1" x14ac:dyDescent="0.2">
      <c r="F6473"/>
    </row>
    <row r="6474" spans="6:6" ht="15" customHeight="1" x14ac:dyDescent="0.2">
      <c r="F6474"/>
    </row>
    <row r="6475" spans="6:6" ht="15" customHeight="1" x14ac:dyDescent="0.2">
      <c r="F6475"/>
    </row>
    <row r="6476" spans="6:6" ht="15" customHeight="1" x14ac:dyDescent="0.2">
      <c r="F6476"/>
    </row>
    <row r="6477" spans="6:6" ht="15" customHeight="1" x14ac:dyDescent="0.2">
      <c r="F6477"/>
    </row>
    <row r="6478" spans="6:6" ht="15" customHeight="1" x14ac:dyDescent="0.2">
      <c r="F6478"/>
    </row>
    <row r="6479" spans="6:6" ht="15" customHeight="1" x14ac:dyDescent="0.2">
      <c r="F6479"/>
    </row>
    <row r="6480" spans="6:6" ht="15" customHeight="1" x14ac:dyDescent="0.2">
      <c r="F6480"/>
    </row>
    <row r="6481" spans="6:6" ht="15" customHeight="1" x14ac:dyDescent="0.2">
      <c r="F6481"/>
    </row>
    <row r="6482" spans="6:6" ht="15" customHeight="1" x14ac:dyDescent="0.2">
      <c r="F6482"/>
    </row>
    <row r="6483" spans="6:6" ht="15" customHeight="1" x14ac:dyDescent="0.2">
      <c r="F6483"/>
    </row>
    <row r="6484" spans="6:6" ht="15" customHeight="1" x14ac:dyDescent="0.2">
      <c r="F6484"/>
    </row>
    <row r="6485" spans="6:6" ht="15" customHeight="1" x14ac:dyDescent="0.2">
      <c r="F6485"/>
    </row>
    <row r="6486" spans="6:6" ht="15" customHeight="1" x14ac:dyDescent="0.2">
      <c r="F6486"/>
    </row>
    <row r="6487" spans="6:6" ht="15" customHeight="1" x14ac:dyDescent="0.2">
      <c r="F6487"/>
    </row>
    <row r="6488" spans="6:6" ht="15" customHeight="1" x14ac:dyDescent="0.2">
      <c r="F6488"/>
    </row>
    <row r="6489" spans="6:6" ht="15" customHeight="1" x14ac:dyDescent="0.2">
      <c r="F6489"/>
    </row>
    <row r="6490" spans="6:6" ht="15" customHeight="1" x14ac:dyDescent="0.2">
      <c r="F6490"/>
    </row>
    <row r="6491" spans="6:6" ht="15" customHeight="1" x14ac:dyDescent="0.2">
      <c r="F6491"/>
    </row>
    <row r="6492" spans="6:6" ht="15" customHeight="1" x14ac:dyDescent="0.2">
      <c r="F6492"/>
    </row>
    <row r="6493" spans="6:6" ht="15" customHeight="1" x14ac:dyDescent="0.2">
      <c r="F6493"/>
    </row>
    <row r="6494" spans="6:6" ht="15" customHeight="1" x14ac:dyDescent="0.2">
      <c r="F6494"/>
    </row>
    <row r="6495" spans="6:6" ht="15" customHeight="1" x14ac:dyDescent="0.2">
      <c r="F6495"/>
    </row>
    <row r="6496" spans="6:6" ht="15" customHeight="1" x14ac:dyDescent="0.2">
      <c r="F6496"/>
    </row>
    <row r="6497" spans="6:6" ht="15" customHeight="1" x14ac:dyDescent="0.2">
      <c r="F6497"/>
    </row>
    <row r="6498" spans="6:6" ht="15" customHeight="1" x14ac:dyDescent="0.2">
      <c r="F6498"/>
    </row>
    <row r="6499" spans="6:6" ht="15" customHeight="1" x14ac:dyDescent="0.2">
      <c r="F6499"/>
    </row>
    <row r="6500" spans="6:6" ht="15" customHeight="1" x14ac:dyDescent="0.2">
      <c r="F6500"/>
    </row>
    <row r="6501" spans="6:6" ht="15" customHeight="1" x14ac:dyDescent="0.2">
      <c r="F6501"/>
    </row>
    <row r="6502" spans="6:6" ht="15" customHeight="1" x14ac:dyDescent="0.2">
      <c r="F6502"/>
    </row>
    <row r="6503" spans="6:6" ht="15" customHeight="1" x14ac:dyDescent="0.2">
      <c r="F6503"/>
    </row>
    <row r="6504" spans="6:6" ht="15" customHeight="1" x14ac:dyDescent="0.2">
      <c r="F6504"/>
    </row>
    <row r="6505" spans="6:6" ht="15" customHeight="1" x14ac:dyDescent="0.2">
      <c r="F6505"/>
    </row>
    <row r="6506" spans="6:6" ht="15" customHeight="1" x14ac:dyDescent="0.2">
      <c r="F6506"/>
    </row>
    <row r="6507" spans="6:6" ht="15" customHeight="1" x14ac:dyDescent="0.2">
      <c r="F6507"/>
    </row>
    <row r="6508" spans="6:6" ht="15" customHeight="1" x14ac:dyDescent="0.2">
      <c r="F6508"/>
    </row>
    <row r="6509" spans="6:6" ht="15" customHeight="1" x14ac:dyDescent="0.2">
      <c r="F6509"/>
    </row>
    <row r="6510" spans="6:6" ht="15" customHeight="1" x14ac:dyDescent="0.2">
      <c r="F6510"/>
    </row>
    <row r="6511" spans="6:6" ht="15" customHeight="1" x14ac:dyDescent="0.2">
      <c r="F6511"/>
    </row>
    <row r="6512" spans="6:6" ht="15" customHeight="1" x14ac:dyDescent="0.2">
      <c r="F6512"/>
    </row>
    <row r="6513" spans="6:6" ht="15" customHeight="1" x14ac:dyDescent="0.2">
      <c r="F6513"/>
    </row>
    <row r="6514" spans="6:6" ht="15" customHeight="1" x14ac:dyDescent="0.2">
      <c r="F6514"/>
    </row>
    <row r="6515" spans="6:6" ht="15" customHeight="1" x14ac:dyDescent="0.2">
      <c r="F6515"/>
    </row>
    <row r="6516" spans="6:6" ht="15" customHeight="1" x14ac:dyDescent="0.2">
      <c r="F6516"/>
    </row>
    <row r="6517" spans="6:6" ht="15" customHeight="1" x14ac:dyDescent="0.2">
      <c r="F6517"/>
    </row>
    <row r="6518" spans="6:6" ht="15" customHeight="1" x14ac:dyDescent="0.2">
      <c r="F6518"/>
    </row>
    <row r="6519" spans="6:6" ht="15" customHeight="1" x14ac:dyDescent="0.2">
      <c r="F6519"/>
    </row>
    <row r="6520" spans="6:6" ht="15" customHeight="1" x14ac:dyDescent="0.2">
      <c r="F6520"/>
    </row>
    <row r="6521" spans="6:6" ht="15" customHeight="1" x14ac:dyDescent="0.2">
      <c r="F6521"/>
    </row>
    <row r="6522" spans="6:6" ht="15" customHeight="1" x14ac:dyDescent="0.2">
      <c r="F6522"/>
    </row>
    <row r="6523" spans="6:6" ht="15" customHeight="1" x14ac:dyDescent="0.2">
      <c r="F6523"/>
    </row>
    <row r="6524" spans="6:6" ht="15" customHeight="1" x14ac:dyDescent="0.2">
      <c r="F6524"/>
    </row>
    <row r="6525" spans="6:6" ht="15" customHeight="1" x14ac:dyDescent="0.2">
      <c r="F6525"/>
    </row>
    <row r="6526" spans="6:6" ht="15" customHeight="1" x14ac:dyDescent="0.2">
      <c r="F6526"/>
    </row>
    <row r="6527" spans="6:6" ht="15" customHeight="1" x14ac:dyDescent="0.2">
      <c r="F6527"/>
    </row>
    <row r="6528" spans="6:6" ht="15" customHeight="1" x14ac:dyDescent="0.2">
      <c r="F6528"/>
    </row>
    <row r="6529" spans="6:6" ht="15" customHeight="1" x14ac:dyDescent="0.2">
      <c r="F6529"/>
    </row>
    <row r="6530" spans="6:6" ht="15" customHeight="1" x14ac:dyDescent="0.2">
      <c r="F6530"/>
    </row>
    <row r="6531" spans="6:6" ht="15" customHeight="1" x14ac:dyDescent="0.2">
      <c r="F6531"/>
    </row>
    <row r="6532" spans="6:6" ht="15" customHeight="1" x14ac:dyDescent="0.2">
      <c r="F6532"/>
    </row>
    <row r="6533" spans="6:6" ht="15" customHeight="1" x14ac:dyDescent="0.2">
      <c r="F6533"/>
    </row>
    <row r="6534" spans="6:6" ht="15" customHeight="1" x14ac:dyDescent="0.2">
      <c r="F6534"/>
    </row>
    <row r="6535" spans="6:6" ht="15" customHeight="1" x14ac:dyDescent="0.2">
      <c r="F6535"/>
    </row>
    <row r="6536" spans="6:6" ht="15" customHeight="1" x14ac:dyDescent="0.2">
      <c r="F6536"/>
    </row>
    <row r="6537" spans="6:6" ht="15" customHeight="1" x14ac:dyDescent="0.2">
      <c r="F6537"/>
    </row>
    <row r="6538" spans="6:6" ht="15" customHeight="1" x14ac:dyDescent="0.2">
      <c r="F6538"/>
    </row>
    <row r="6539" spans="6:6" ht="15" customHeight="1" x14ac:dyDescent="0.2">
      <c r="F6539"/>
    </row>
    <row r="6540" spans="6:6" ht="15" customHeight="1" x14ac:dyDescent="0.2">
      <c r="F6540"/>
    </row>
    <row r="6541" spans="6:6" ht="15" customHeight="1" x14ac:dyDescent="0.2">
      <c r="F6541"/>
    </row>
    <row r="6542" spans="6:6" ht="15" customHeight="1" x14ac:dyDescent="0.2">
      <c r="F6542"/>
    </row>
    <row r="6543" spans="6:6" ht="15" customHeight="1" x14ac:dyDescent="0.2">
      <c r="F6543"/>
    </row>
    <row r="6544" spans="6:6" ht="15" customHeight="1" x14ac:dyDescent="0.2">
      <c r="F6544"/>
    </row>
    <row r="6545" spans="6:6" ht="15" customHeight="1" x14ac:dyDescent="0.2">
      <c r="F6545"/>
    </row>
    <row r="6546" spans="6:6" ht="15" customHeight="1" x14ac:dyDescent="0.2">
      <c r="F6546"/>
    </row>
    <row r="6547" spans="6:6" ht="15" customHeight="1" x14ac:dyDescent="0.2">
      <c r="F6547"/>
    </row>
    <row r="6548" spans="6:6" ht="15" customHeight="1" x14ac:dyDescent="0.2">
      <c r="F6548"/>
    </row>
    <row r="6549" spans="6:6" ht="15" customHeight="1" x14ac:dyDescent="0.2">
      <c r="F6549"/>
    </row>
    <row r="6550" spans="6:6" ht="15" customHeight="1" x14ac:dyDescent="0.2">
      <c r="F6550"/>
    </row>
    <row r="6551" spans="6:6" ht="15" customHeight="1" x14ac:dyDescent="0.2">
      <c r="F6551"/>
    </row>
    <row r="6552" spans="6:6" ht="15" customHeight="1" x14ac:dyDescent="0.2">
      <c r="F6552"/>
    </row>
    <row r="6553" spans="6:6" ht="15" customHeight="1" x14ac:dyDescent="0.2">
      <c r="F6553"/>
    </row>
    <row r="6554" spans="6:6" ht="15" customHeight="1" x14ac:dyDescent="0.2">
      <c r="F6554"/>
    </row>
    <row r="6555" spans="6:6" ht="15" customHeight="1" x14ac:dyDescent="0.2">
      <c r="F6555"/>
    </row>
    <row r="6556" spans="6:6" ht="15" customHeight="1" x14ac:dyDescent="0.2">
      <c r="F6556"/>
    </row>
    <row r="6557" spans="6:6" ht="15" customHeight="1" x14ac:dyDescent="0.2">
      <c r="F6557"/>
    </row>
    <row r="6558" spans="6:6" ht="15" customHeight="1" x14ac:dyDescent="0.2">
      <c r="F6558"/>
    </row>
    <row r="6559" spans="6:6" ht="15" customHeight="1" x14ac:dyDescent="0.2">
      <c r="F6559"/>
    </row>
    <row r="6560" spans="6:6" ht="15" customHeight="1" x14ac:dyDescent="0.2">
      <c r="F6560"/>
    </row>
    <row r="6561" spans="6:6" ht="15" customHeight="1" x14ac:dyDescent="0.2">
      <c r="F6561"/>
    </row>
    <row r="6562" spans="6:6" ht="15" customHeight="1" x14ac:dyDescent="0.2">
      <c r="F6562"/>
    </row>
    <row r="6563" spans="6:6" ht="15" customHeight="1" x14ac:dyDescent="0.2">
      <c r="F6563"/>
    </row>
    <row r="6564" spans="6:6" ht="15" customHeight="1" x14ac:dyDescent="0.2">
      <c r="F6564"/>
    </row>
    <row r="6565" spans="6:6" ht="15" customHeight="1" x14ac:dyDescent="0.2">
      <c r="F6565"/>
    </row>
    <row r="6566" spans="6:6" ht="15" customHeight="1" x14ac:dyDescent="0.2">
      <c r="F6566"/>
    </row>
    <row r="6567" spans="6:6" ht="15" customHeight="1" x14ac:dyDescent="0.2">
      <c r="F6567"/>
    </row>
    <row r="6568" spans="6:6" ht="15" customHeight="1" x14ac:dyDescent="0.2">
      <c r="F6568"/>
    </row>
    <row r="6569" spans="6:6" ht="15" customHeight="1" x14ac:dyDescent="0.2">
      <c r="F6569"/>
    </row>
    <row r="6570" spans="6:6" ht="15" customHeight="1" x14ac:dyDescent="0.2">
      <c r="F6570"/>
    </row>
    <row r="6571" spans="6:6" ht="15" customHeight="1" x14ac:dyDescent="0.2">
      <c r="F6571"/>
    </row>
    <row r="6572" spans="6:6" ht="15" customHeight="1" x14ac:dyDescent="0.2">
      <c r="F6572"/>
    </row>
    <row r="6573" spans="6:6" ht="15" customHeight="1" x14ac:dyDescent="0.2">
      <c r="F6573"/>
    </row>
    <row r="6574" spans="6:6" ht="15" customHeight="1" x14ac:dyDescent="0.2">
      <c r="F6574"/>
    </row>
    <row r="6575" spans="6:6" ht="15" customHeight="1" x14ac:dyDescent="0.2">
      <c r="F6575"/>
    </row>
    <row r="6576" spans="6:6" ht="15" customHeight="1" x14ac:dyDescent="0.2">
      <c r="F6576"/>
    </row>
    <row r="6577" spans="6:6" ht="15" customHeight="1" x14ac:dyDescent="0.2">
      <c r="F6577"/>
    </row>
    <row r="6578" spans="6:6" ht="15" customHeight="1" x14ac:dyDescent="0.2">
      <c r="F6578"/>
    </row>
    <row r="6579" spans="6:6" ht="15" customHeight="1" x14ac:dyDescent="0.2">
      <c r="F6579"/>
    </row>
    <row r="6580" spans="6:6" ht="15" customHeight="1" x14ac:dyDescent="0.2">
      <c r="F6580"/>
    </row>
    <row r="6581" spans="6:6" ht="15" customHeight="1" x14ac:dyDescent="0.2">
      <c r="F6581"/>
    </row>
    <row r="6582" spans="6:6" ht="15" customHeight="1" x14ac:dyDescent="0.2">
      <c r="F6582"/>
    </row>
    <row r="6583" spans="6:6" ht="15" customHeight="1" x14ac:dyDescent="0.2">
      <c r="F6583"/>
    </row>
    <row r="6584" spans="6:6" ht="15" customHeight="1" x14ac:dyDescent="0.2">
      <c r="F6584"/>
    </row>
    <row r="6585" spans="6:6" ht="15" customHeight="1" x14ac:dyDescent="0.2">
      <c r="F6585"/>
    </row>
    <row r="6586" spans="6:6" ht="15" customHeight="1" x14ac:dyDescent="0.2">
      <c r="F6586"/>
    </row>
    <row r="6587" spans="6:6" ht="15" customHeight="1" x14ac:dyDescent="0.2">
      <c r="F6587"/>
    </row>
    <row r="6588" spans="6:6" ht="15" customHeight="1" x14ac:dyDescent="0.2">
      <c r="F6588"/>
    </row>
    <row r="6589" spans="6:6" ht="15" customHeight="1" x14ac:dyDescent="0.2">
      <c r="F6589"/>
    </row>
    <row r="6590" spans="6:6" ht="15" customHeight="1" x14ac:dyDescent="0.2">
      <c r="F6590"/>
    </row>
    <row r="6591" spans="6:6" ht="15" customHeight="1" x14ac:dyDescent="0.2">
      <c r="F6591"/>
    </row>
    <row r="6592" spans="6:6" ht="15" customHeight="1" x14ac:dyDescent="0.2">
      <c r="F6592"/>
    </row>
    <row r="6593" spans="6:6" ht="15" customHeight="1" x14ac:dyDescent="0.2">
      <c r="F6593"/>
    </row>
    <row r="6594" spans="6:6" ht="15" customHeight="1" x14ac:dyDescent="0.2">
      <c r="F6594"/>
    </row>
    <row r="6595" spans="6:6" ht="15" customHeight="1" x14ac:dyDescent="0.2">
      <c r="F6595"/>
    </row>
    <row r="6596" spans="6:6" ht="15" customHeight="1" x14ac:dyDescent="0.2">
      <c r="F6596"/>
    </row>
    <row r="6597" spans="6:6" ht="15" customHeight="1" x14ac:dyDescent="0.2">
      <c r="F6597"/>
    </row>
    <row r="6598" spans="6:6" ht="15" customHeight="1" x14ac:dyDescent="0.2">
      <c r="F6598"/>
    </row>
    <row r="6599" spans="6:6" ht="15" customHeight="1" x14ac:dyDescent="0.2">
      <c r="F6599"/>
    </row>
    <row r="6600" spans="6:6" ht="15" customHeight="1" x14ac:dyDescent="0.2">
      <c r="F6600"/>
    </row>
    <row r="6601" spans="6:6" ht="15" customHeight="1" x14ac:dyDescent="0.2">
      <c r="F6601"/>
    </row>
    <row r="6602" spans="6:6" ht="15" customHeight="1" x14ac:dyDescent="0.2">
      <c r="F6602"/>
    </row>
    <row r="6603" spans="6:6" ht="15" customHeight="1" x14ac:dyDescent="0.2">
      <c r="F6603"/>
    </row>
    <row r="6604" spans="6:6" ht="15" customHeight="1" x14ac:dyDescent="0.2">
      <c r="F6604"/>
    </row>
    <row r="6605" spans="6:6" ht="15" customHeight="1" x14ac:dyDescent="0.2">
      <c r="F6605"/>
    </row>
    <row r="6606" spans="6:6" ht="15" customHeight="1" x14ac:dyDescent="0.2">
      <c r="F6606"/>
    </row>
    <row r="6607" spans="6:6" ht="15" customHeight="1" x14ac:dyDescent="0.2">
      <c r="F6607"/>
    </row>
    <row r="6608" spans="6:6" ht="15" customHeight="1" x14ac:dyDescent="0.2">
      <c r="F6608"/>
    </row>
    <row r="6609" spans="6:6" ht="15" customHeight="1" x14ac:dyDescent="0.2">
      <c r="F6609"/>
    </row>
    <row r="6610" spans="6:6" ht="15" customHeight="1" x14ac:dyDescent="0.2">
      <c r="F6610"/>
    </row>
    <row r="6611" spans="6:6" ht="15" customHeight="1" x14ac:dyDescent="0.2">
      <c r="F6611"/>
    </row>
    <row r="6612" spans="6:6" ht="15" customHeight="1" x14ac:dyDescent="0.2">
      <c r="F6612"/>
    </row>
    <row r="6613" spans="6:6" ht="15" customHeight="1" x14ac:dyDescent="0.2">
      <c r="F6613"/>
    </row>
    <row r="6614" spans="6:6" ht="15" customHeight="1" x14ac:dyDescent="0.2">
      <c r="F6614"/>
    </row>
    <row r="6615" spans="6:6" ht="15" customHeight="1" x14ac:dyDescent="0.2">
      <c r="F6615"/>
    </row>
    <row r="6616" spans="6:6" ht="15" customHeight="1" x14ac:dyDescent="0.2">
      <c r="F6616"/>
    </row>
    <row r="6617" spans="6:6" ht="15" customHeight="1" x14ac:dyDescent="0.2">
      <c r="F6617"/>
    </row>
    <row r="6618" spans="6:6" ht="15" customHeight="1" x14ac:dyDescent="0.2">
      <c r="F6618"/>
    </row>
    <row r="6619" spans="6:6" ht="15" customHeight="1" x14ac:dyDescent="0.2">
      <c r="F6619"/>
    </row>
    <row r="6620" spans="6:6" ht="15" customHeight="1" x14ac:dyDescent="0.2">
      <c r="F6620"/>
    </row>
    <row r="6621" spans="6:6" ht="15" customHeight="1" x14ac:dyDescent="0.2">
      <c r="F6621"/>
    </row>
    <row r="6622" spans="6:6" ht="15" customHeight="1" x14ac:dyDescent="0.2">
      <c r="F6622"/>
    </row>
    <row r="6623" spans="6:6" ht="15" customHeight="1" x14ac:dyDescent="0.2">
      <c r="F6623"/>
    </row>
    <row r="6624" spans="6:6" ht="15" customHeight="1" x14ac:dyDescent="0.2">
      <c r="F6624"/>
    </row>
    <row r="6625" spans="6:6" ht="15" customHeight="1" x14ac:dyDescent="0.2">
      <c r="F6625"/>
    </row>
    <row r="6626" spans="6:6" ht="15" customHeight="1" x14ac:dyDescent="0.2">
      <c r="F6626"/>
    </row>
    <row r="6627" spans="6:6" ht="15" customHeight="1" x14ac:dyDescent="0.2">
      <c r="F6627"/>
    </row>
    <row r="6628" spans="6:6" ht="15" customHeight="1" x14ac:dyDescent="0.2">
      <c r="F6628"/>
    </row>
    <row r="6629" spans="6:6" ht="15" customHeight="1" x14ac:dyDescent="0.2">
      <c r="F6629"/>
    </row>
    <row r="6630" spans="6:6" ht="15" customHeight="1" x14ac:dyDescent="0.2">
      <c r="F6630"/>
    </row>
    <row r="6631" spans="6:6" ht="15" customHeight="1" x14ac:dyDescent="0.2">
      <c r="F6631"/>
    </row>
    <row r="6632" spans="6:6" ht="15" customHeight="1" x14ac:dyDescent="0.2">
      <c r="F6632"/>
    </row>
    <row r="6633" spans="6:6" ht="15" customHeight="1" x14ac:dyDescent="0.2">
      <c r="F6633"/>
    </row>
    <row r="6634" spans="6:6" ht="15" customHeight="1" x14ac:dyDescent="0.2">
      <c r="F6634"/>
    </row>
    <row r="6635" spans="6:6" ht="15" customHeight="1" x14ac:dyDescent="0.2">
      <c r="F6635"/>
    </row>
    <row r="6636" spans="6:6" ht="15" customHeight="1" x14ac:dyDescent="0.2">
      <c r="F6636"/>
    </row>
    <row r="6637" spans="6:6" ht="15" customHeight="1" x14ac:dyDescent="0.2">
      <c r="F6637"/>
    </row>
    <row r="6638" spans="6:6" ht="15" customHeight="1" x14ac:dyDescent="0.2">
      <c r="F6638"/>
    </row>
    <row r="6639" spans="6:6" ht="15" customHeight="1" x14ac:dyDescent="0.2">
      <c r="F6639"/>
    </row>
    <row r="6640" spans="6:6" ht="15" customHeight="1" x14ac:dyDescent="0.2">
      <c r="F6640"/>
    </row>
    <row r="6641" spans="6:6" ht="15" customHeight="1" x14ac:dyDescent="0.2">
      <c r="F6641"/>
    </row>
    <row r="6642" spans="6:6" ht="15" customHeight="1" x14ac:dyDescent="0.2">
      <c r="F6642"/>
    </row>
    <row r="6643" spans="6:6" ht="15" customHeight="1" x14ac:dyDescent="0.2">
      <c r="F6643"/>
    </row>
    <row r="6644" spans="6:6" ht="15" customHeight="1" x14ac:dyDescent="0.2">
      <c r="F6644"/>
    </row>
    <row r="6645" spans="6:6" ht="15" customHeight="1" x14ac:dyDescent="0.2">
      <c r="F6645"/>
    </row>
    <row r="6646" spans="6:6" ht="15" customHeight="1" x14ac:dyDescent="0.2">
      <c r="F6646"/>
    </row>
    <row r="6647" spans="6:6" ht="15" customHeight="1" x14ac:dyDescent="0.2">
      <c r="F6647"/>
    </row>
    <row r="6648" spans="6:6" ht="15" customHeight="1" x14ac:dyDescent="0.2">
      <c r="F6648"/>
    </row>
    <row r="6649" spans="6:6" ht="15" customHeight="1" x14ac:dyDescent="0.2">
      <c r="F6649"/>
    </row>
    <row r="6650" spans="6:6" ht="15" customHeight="1" x14ac:dyDescent="0.2">
      <c r="F6650"/>
    </row>
    <row r="6651" spans="6:6" ht="15" customHeight="1" x14ac:dyDescent="0.2">
      <c r="F6651"/>
    </row>
    <row r="6652" spans="6:6" ht="15" customHeight="1" x14ac:dyDescent="0.2">
      <c r="F6652"/>
    </row>
    <row r="6653" spans="6:6" ht="15" customHeight="1" x14ac:dyDescent="0.2">
      <c r="F6653"/>
    </row>
    <row r="6654" spans="6:6" ht="15" customHeight="1" x14ac:dyDescent="0.2">
      <c r="F6654"/>
    </row>
    <row r="6655" spans="6:6" ht="15" customHeight="1" x14ac:dyDescent="0.2">
      <c r="F6655"/>
    </row>
    <row r="6656" spans="6:6" ht="15" customHeight="1" x14ac:dyDescent="0.2">
      <c r="F6656"/>
    </row>
    <row r="6657" spans="6:6" ht="15" customHeight="1" x14ac:dyDescent="0.2">
      <c r="F6657"/>
    </row>
    <row r="6658" spans="6:6" ht="15" customHeight="1" x14ac:dyDescent="0.2">
      <c r="F6658"/>
    </row>
    <row r="6659" spans="6:6" ht="15" customHeight="1" x14ac:dyDescent="0.2">
      <c r="F6659"/>
    </row>
    <row r="6660" spans="6:6" ht="15" customHeight="1" x14ac:dyDescent="0.2">
      <c r="F6660"/>
    </row>
    <row r="6661" spans="6:6" ht="15" customHeight="1" x14ac:dyDescent="0.2">
      <c r="F6661"/>
    </row>
    <row r="6662" spans="6:6" ht="15" customHeight="1" x14ac:dyDescent="0.2">
      <c r="F6662"/>
    </row>
    <row r="6663" spans="6:6" ht="15" customHeight="1" x14ac:dyDescent="0.2">
      <c r="F6663"/>
    </row>
    <row r="6664" spans="6:6" ht="15" customHeight="1" x14ac:dyDescent="0.2">
      <c r="F6664"/>
    </row>
    <row r="6665" spans="6:6" ht="15" customHeight="1" x14ac:dyDescent="0.2">
      <c r="F6665"/>
    </row>
    <row r="6666" spans="6:6" ht="15" customHeight="1" x14ac:dyDescent="0.2">
      <c r="F6666"/>
    </row>
    <row r="6667" spans="6:6" ht="15" customHeight="1" x14ac:dyDescent="0.2">
      <c r="F6667"/>
    </row>
    <row r="6668" spans="6:6" ht="15" customHeight="1" x14ac:dyDescent="0.2">
      <c r="F6668"/>
    </row>
    <row r="6669" spans="6:6" ht="15" customHeight="1" x14ac:dyDescent="0.2">
      <c r="F6669"/>
    </row>
    <row r="6670" spans="6:6" ht="15" customHeight="1" x14ac:dyDescent="0.2">
      <c r="F6670"/>
    </row>
    <row r="6671" spans="6:6" ht="15" customHeight="1" x14ac:dyDescent="0.2">
      <c r="F6671"/>
    </row>
    <row r="6672" spans="6:6" ht="15" customHeight="1" x14ac:dyDescent="0.2">
      <c r="F6672"/>
    </row>
    <row r="6673" spans="6:6" ht="15" customHeight="1" x14ac:dyDescent="0.2">
      <c r="F6673"/>
    </row>
    <row r="6674" spans="6:6" ht="15" customHeight="1" x14ac:dyDescent="0.2">
      <c r="F6674"/>
    </row>
    <row r="6675" spans="6:6" ht="15" customHeight="1" x14ac:dyDescent="0.2">
      <c r="F6675"/>
    </row>
    <row r="6676" spans="6:6" ht="15" customHeight="1" x14ac:dyDescent="0.2">
      <c r="F6676"/>
    </row>
    <row r="6677" spans="6:6" ht="15" customHeight="1" x14ac:dyDescent="0.2">
      <c r="F6677"/>
    </row>
    <row r="6678" spans="6:6" ht="15" customHeight="1" x14ac:dyDescent="0.2">
      <c r="F6678"/>
    </row>
    <row r="6679" spans="6:6" ht="15" customHeight="1" x14ac:dyDescent="0.2">
      <c r="F6679"/>
    </row>
    <row r="6680" spans="6:6" ht="15" customHeight="1" x14ac:dyDescent="0.2">
      <c r="F6680"/>
    </row>
    <row r="6681" spans="6:6" ht="15" customHeight="1" x14ac:dyDescent="0.2">
      <c r="F6681"/>
    </row>
    <row r="6682" spans="6:6" ht="15" customHeight="1" x14ac:dyDescent="0.2">
      <c r="F6682"/>
    </row>
    <row r="6683" spans="6:6" ht="15" customHeight="1" x14ac:dyDescent="0.2">
      <c r="F6683"/>
    </row>
    <row r="6684" spans="6:6" ht="15" customHeight="1" x14ac:dyDescent="0.2">
      <c r="F6684"/>
    </row>
    <row r="6685" spans="6:6" ht="15" customHeight="1" x14ac:dyDescent="0.2">
      <c r="F6685"/>
    </row>
    <row r="6686" spans="6:6" ht="15" customHeight="1" x14ac:dyDescent="0.2">
      <c r="F6686"/>
    </row>
    <row r="6687" spans="6:6" ht="15" customHeight="1" x14ac:dyDescent="0.2">
      <c r="F6687"/>
    </row>
    <row r="6688" spans="6:6" ht="15" customHeight="1" x14ac:dyDescent="0.2">
      <c r="F6688"/>
    </row>
    <row r="6689" spans="6:6" ht="15" customHeight="1" x14ac:dyDescent="0.2">
      <c r="F6689"/>
    </row>
    <row r="6690" spans="6:6" ht="15" customHeight="1" x14ac:dyDescent="0.2">
      <c r="F6690"/>
    </row>
    <row r="6691" spans="6:6" ht="15" customHeight="1" x14ac:dyDescent="0.2">
      <c r="F6691"/>
    </row>
    <row r="6692" spans="6:6" ht="15" customHeight="1" x14ac:dyDescent="0.2">
      <c r="F6692"/>
    </row>
    <row r="6693" spans="6:6" ht="15" customHeight="1" x14ac:dyDescent="0.2">
      <c r="F6693"/>
    </row>
    <row r="6694" spans="6:6" ht="15" customHeight="1" x14ac:dyDescent="0.2">
      <c r="F6694"/>
    </row>
    <row r="6695" spans="6:6" ht="15" customHeight="1" x14ac:dyDescent="0.2">
      <c r="F6695"/>
    </row>
    <row r="6696" spans="6:6" ht="15" customHeight="1" x14ac:dyDescent="0.2">
      <c r="F6696"/>
    </row>
    <row r="6697" spans="6:6" ht="15" customHeight="1" x14ac:dyDescent="0.2">
      <c r="F6697"/>
    </row>
    <row r="6698" spans="6:6" ht="15" customHeight="1" x14ac:dyDescent="0.2">
      <c r="F6698"/>
    </row>
    <row r="6699" spans="6:6" ht="15" customHeight="1" x14ac:dyDescent="0.2">
      <c r="F6699"/>
    </row>
    <row r="6700" spans="6:6" ht="15" customHeight="1" x14ac:dyDescent="0.2">
      <c r="F6700"/>
    </row>
    <row r="6701" spans="6:6" ht="15" customHeight="1" x14ac:dyDescent="0.2">
      <c r="F6701"/>
    </row>
    <row r="6702" spans="6:6" ht="15" customHeight="1" x14ac:dyDescent="0.2">
      <c r="F6702"/>
    </row>
    <row r="6703" spans="6:6" ht="15" customHeight="1" x14ac:dyDescent="0.2">
      <c r="F6703"/>
    </row>
    <row r="6704" spans="6:6" ht="15" customHeight="1" x14ac:dyDescent="0.2">
      <c r="F6704"/>
    </row>
    <row r="6705" spans="6:6" ht="15" customHeight="1" x14ac:dyDescent="0.2">
      <c r="F6705"/>
    </row>
    <row r="6706" spans="6:6" ht="15" customHeight="1" x14ac:dyDescent="0.2">
      <c r="F6706"/>
    </row>
    <row r="6707" spans="6:6" ht="15" customHeight="1" x14ac:dyDescent="0.2">
      <c r="F6707"/>
    </row>
    <row r="6708" spans="6:6" ht="15" customHeight="1" x14ac:dyDescent="0.2">
      <c r="F6708"/>
    </row>
    <row r="6709" spans="6:6" ht="15" customHeight="1" x14ac:dyDescent="0.2">
      <c r="F6709"/>
    </row>
    <row r="6710" spans="6:6" ht="15" customHeight="1" x14ac:dyDescent="0.2">
      <c r="F6710"/>
    </row>
    <row r="6711" spans="6:6" ht="15" customHeight="1" x14ac:dyDescent="0.2">
      <c r="F6711"/>
    </row>
    <row r="6712" spans="6:6" ht="15" customHeight="1" x14ac:dyDescent="0.2">
      <c r="F6712"/>
    </row>
    <row r="6713" spans="6:6" ht="15" customHeight="1" x14ac:dyDescent="0.2">
      <c r="F6713"/>
    </row>
    <row r="6714" spans="6:6" ht="15" customHeight="1" x14ac:dyDescent="0.2">
      <c r="F6714"/>
    </row>
    <row r="6715" spans="6:6" ht="15" customHeight="1" x14ac:dyDescent="0.2">
      <c r="F6715"/>
    </row>
    <row r="6716" spans="6:6" ht="15" customHeight="1" x14ac:dyDescent="0.2">
      <c r="F6716"/>
    </row>
    <row r="6717" spans="6:6" ht="15" customHeight="1" x14ac:dyDescent="0.2">
      <c r="F6717"/>
    </row>
    <row r="6718" spans="6:6" ht="15" customHeight="1" x14ac:dyDescent="0.2">
      <c r="F6718"/>
    </row>
    <row r="6719" spans="6:6" ht="15" customHeight="1" x14ac:dyDescent="0.2">
      <c r="F6719"/>
    </row>
    <row r="6720" spans="6:6" ht="15" customHeight="1" x14ac:dyDescent="0.2">
      <c r="F6720"/>
    </row>
    <row r="6721" spans="6:6" ht="15" customHeight="1" x14ac:dyDescent="0.2">
      <c r="F6721"/>
    </row>
    <row r="6722" spans="6:6" ht="15" customHeight="1" x14ac:dyDescent="0.2">
      <c r="F6722"/>
    </row>
    <row r="6723" spans="6:6" ht="15" customHeight="1" x14ac:dyDescent="0.2">
      <c r="F6723"/>
    </row>
    <row r="6724" spans="6:6" ht="15" customHeight="1" x14ac:dyDescent="0.2">
      <c r="F6724"/>
    </row>
    <row r="6725" spans="6:6" ht="15" customHeight="1" x14ac:dyDescent="0.2">
      <c r="F6725"/>
    </row>
    <row r="6726" spans="6:6" ht="15" customHeight="1" x14ac:dyDescent="0.2">
      <c r="F6726"/>
    </row>
    <row r="6727" spans="6:6" ht="15" customHeight="1" x14ac:dyDescent="0.2">
      <c r="F6727"/>
    </row>
    <row r="6728" spans="6:6" ht="15" customHeight="1" x14ac:dyDescent="0.2">
      <c r="F6728"/>
    </row>
    <row r="6729" spans="6:6" ht="15" customHeight="1" x14ac:dyDescent="0.2">
      <c r="F6729"/>
    </row>
    <row r="6730" spans="6:6" ht="15" customHeight="1" x14ac:dyDescent="0.2">
      <c r="F6730"/>
    </row>
    <row r="6731" spans="6:6" ht="15" customHeight="1" x14ac:dyDescent="0.2">
      <c r="F6731"/>
    </row>
    <row r="6732" spans="6:6" ht="15" customHeight="1" x14ac:dyDescent="0.2">
      <c r="F6732"/>
    </row>
    <row r="6733" spans="6:6" ht="15" customHeight="1" x14ac:dyDescent="0.2">
      <c r="F6733"/>
    </row>
    <row r="6734" spans="6:6" ht="15" customHeight="1" x14ac:dyDescent="0.2">
      <c r="F6734"/>
    </row>
    <row r="6735" spans="6:6" ht="15" customHeight="1" x14ac:dyDescent="0.2">
      <c r="F6735"/>
    </row>
    <row r="6736" spans="6:6" ht="15" customHeight="1" x14ac:dyDescent="0.2">
      <c r="F6736"/>
    </row>
    <row r="6737" spans="6:6" ht="15" customHeight="1" x14ac:dyDescent="0.2">
      <c r="F6737"/>
    </row>
    <row r="6738" spans="6:6" ht="15" customHeight="1" x14ac:dyDescent="0.2">
      <c r="F6738"/>
    </row>
    <row r="6739" spans="6:6" ht="15" customHeight="1" x14ac:dyDescent="0.2">
      <c r="F6739"/>
    </row>
    <row r="6740" spans="6:6" ht="15" customHeight="1" x14ac:dyDescent="0.2">
      <c r="F6740"/>
    </row>
    <row r="6741" spans="6:6" ht="15" customHeight="1" x14ac:dyDescent="0.2">
      <c r="F6741"/>
    </row>
    <row r="6742" spans="6:6" ht="15" customHeight="1" x14ac:dyDescent="0.2">
      <c r="F6742"/>
    </row>
    <row r="6743" spans="6:6" ht="15" customHeight="1" x14ac:dyDescent="0.2">
      <c r="F6743"/>
    </row>
    <row r="6744" spans="6:6" ht="15" customHeight="1" x14ac:dyDescent="0.2">
      <c r="F6744"/>
    </row>
    <row r="6745" spans="6:6" ht="15" customHeight="1" x14ac:dyDescent="0.2">
      <c r="F6745"/>
    </row>
    <row r="6746" spans="6:6" ht="15" customHeight="1" x14ac:dyDescent="0.2">
      <c r="F6746"/>
    </row>
    <row r="6747" spans="6:6" ht="15" customHeight="1" x14ac:dyDescent="0.2">
      <c r="F6747"/>
    </row>
    <row r="6748" spans="6:6" ht="15" customHeight="1" x14ac:dyDescent="0.2">
      <c r="F6748"/>
    </row>
    <row r="6749" spans="6:6" ht="15" customHeight="1" x14ac:dyDescent="0.2">
      <c r="F6749"/>
    </row>
    <row r="6750" spans="6:6" ht="15" customHeight="1" x14ac:dyDescent="0.2">
      <c r="F6750"/>
    </row>
    <row r="6751" spans="6:6" ht="15" customHeight="1" x14ac:dyDescent="0.2">
      <c r="F6751"/>
    </row>
    <row r="6752" spans="6:6" ht="15" customHeight="1" x14ac:dyDescent="0.2">
      <c r="F6752"/>
    </row>
    <row r="6753" spans="6:6" ht="15" customHeight="1" x14ac:dyDescent="0.2">
      <c r="F6753"/>
    </row>
    <row r="6754" spans="6:6" ht="15" customHeight="1" x14ac:dyDescent="0.2">
      <c r="F6754"/>
    </row>
    <row r="6755" spans="6:6" ht="15" customHeight="1" x14ac:dyDescent="0.2">
      <c r="F6755"/>
    </row>
    <row r="6756" spans="6:6" ht="15" customHeight="1" x14ac:dyDescent="0.2">
      <c r="F6756"/>
    </row>
    <row r="6757" spans="6:6" ht="15" customHeight="1" x14ac:dyDescent="0.2">
      <c r="F6757"/>
    </row>
    <row r="6758" spans="6:6" ht="15" customHeight="1" x14ac:dyDescent="0.2">
      <c r="F6758"/>
    </row>
    <row r="6759" spans="6:6" ht="15" customHeight="1" x14ac:dyDescent="0.2">
      <c r="F6759"/>
    </row>
    <row r="6760" spans="6:6" ht="15" customHeight="1" x14ac:dyDescent="0.2">
      <c r="F6760"/>
    </row>
    <row r="6761" spans="6:6" ht="15" customHeight="1" x14ac:dyDescent="0.2">
      <c r="F6761"/>
    </row>
    <row r="6762" spans="6:6" ht="15" customHeight="1" x14ac:dyDescent="0.2">
      <c r="F6762"/>
    </row>
    <row r="6763" spans="6:6" ht="15" customHeight="1" x14ac:dyDescent="0.2">
      <c r="F6763"/>
    </row>
    <row r="6764" spans="6:6" ht="15" customHeight="1" x14ac:dyDescent="0.2">
      <c r="F6764"/>
    </row>
    <row r="6765" spans="6:6" ht="15" customHeight="1" x14ac:dyDescent="0.2">
      <c r="F6765"/>
    </row>
    <row r="6766" spans="6:6" ht="15" customHeight="1" x14ac:dyDescent="0.2">
      <c r="F6766"/>
    </row>
    <row r="6767" spans="6:6" ht="15" customHeight="1" x14ac:dyDescent="0.2">
      <c r="F6767"/>
    </row>
    <row r="6768" spans="6:6" ht="15" customHeight="1" x14ac:dyDescent="0.2">
      <c r="F6768"/>
    </row>
    <row r="6769" spans="6:6" ht="15" customHeight="1" x14ac:dyDescent="0.2">
      <c r="F6769"/>
    </row>
    <row r="6770" spans="6:6" ht="15" customHeight="1" x14ac:dyDescent="0.2">
      <c r="F6770"/>
    </row>
    <row r="6771" spans="6:6" ht="15" customHeight="1" x14ac:dyDescent="0.2">
      <c r="F6771"/>
    </row>
    <row r="6772" spans="6:6" ht="15" customHeight="1" x14ac:dyDescent="0.2">
      <c r="F6772"/>
    </row>
    <row r="6773" spans="6:6" ht="15" customHeight="1" x14ac:dyDescent="0.2">
      <c r="F6773"/>
    </row>
    <row r="6774" spans="6:6" ht="15" customHeight="1" x14ac:dyDescent="0.2">
      <c r="F6774"/>
    </row>
    <row r="6775" spans="6:6" ht="15" customHeight="1" x14ac:dyDescent="0.2">
      <c r="F6775"/>
    </row>
    <row r="6776" spans="6:6" ht="15" customHeight="1" x14ac:dyDescent="0.2">
      <c r="F6776"/>
    </row>
    <row r="6777" spans="6:6" ht="15" customHeight="1" x14ac:dyDescent="0.2">
      <c r="F6777"/>
    </row>
    <row r="6778" spans="6:6" ht="15" customHeight="1" x14ac:dyDescent="0.2">
      <c r="F6778"/>
    </row>
    <row r="6779" spans="6:6" ht="15" customHeight="1" x14ac:dyDescent="0.2">
      <c r="F6779"/>
    </row>
    <row r="6780" spans="6:6" ht="15" customHeight="1" x14ac:dyDescent="0.2">
      <c r="F6780"/>
    </row>
    <row r="6781" spans="6:6" ht="15" customHeight="1" x14ac:dyDescent="0.2">
      <c r="F6781"/>
    </row>
    <row r="6782" spans="6:6" ht="15" customHeight="1" x14ac:dyDescent="0.2">
      <c r="F6782"/>
    </row>
    <row r="6783" spans="6:6" ht="15" customHeight="1" x14ac:dyDescent="0.2">
      <c r="F6783"/>
    </row>
    <row r="6784" spans="6:6" ht="15" customHeight="1" x14ac:dyDescent="0.2">
      <c r="F6784"/>
    </row>
    <row r="6785" spans="6:6" ht="15" customHeight="1" x14ac:dyDescent="0.2">
      <c r="F6785"/>
    </row>
    <row r="6786" spans="6:6" ht="15" customHeight="1" x14ac:dyDescent="0.2">
      <c r="F6786"/>
    </row>
    <row r="6787" spans="6:6" ht="15" customHeight="1" x14ac:dyDescent="0.2">
      <c r="F6787"/>
    </row>
    <row r="6788" spans="6:6" ht="15" customHeight="1" x14ac:dyDescent="0.2">
      <c r="F6788"/>
    </row>
    <row r="6789" spans="6:6" ht="15" customHeight="1" x14ac:dyDescent="0.2">
      <c r="F6789"/>
    </row>
    <row r="6790" spans="6:6" ht="15" customHeight="1" x14ac:dyDescent="0.2">
      <c r="F6790"/>
    </row>
    <row r="6791" spans="6:6" ht="15" customHeight="1" x14ac:dyDescent="0.2">
      <c r="F6791"/>
    </row>
    <row r="6792" spans="6:6" ht="15" customHeight="1" x14ac:dyDescent="0.2">
      <c r="F6792"/>
    </row>
    <row r="6793" spans="6:6" ht="15" customHeight="1" x14ac:dyDescent="0.2">
      <c r="F6793"/>
    </row>
    <row r="6794" spans="6:6" ht="15" customHeight="1" x14ac:dyDescent="0.2">
      <c r="F6794"/>
    </row>
    <row r="6795" spans="6:6" ht="15" customHeight="1" x14ac:dyDescent="0.2">
      <c r="F6795"/>
    </row>
    <row r="6796" spans="6:6" ht="15" customHeight="1" x14ac:dyDescent="0.2">
      <c r="F6796"/>
    </row>
    <row r="6797" spans="6:6" ht="15" customHeight="1" x14ac:dyDescent="0.2">
      <c r="F6797"/>
    </row>
    <row r="6798" spans="6:6" ht="15" customHeight="1" x14ac:dyDescent="0.2">
      <c r="F6798"/>
    </row>
    <row r="6799" spans="6:6" ht="15" customHeight="1" x14ac:dyDescent="0.2">
      <c r="F6799"/>
    </row>
    <row r="6800" spans="6:6" ht="15" customHeight="1" x14ac:dyDescent="0.2">
      <c r="F6800"/>
    </row>
    <row r="6801" spans="6:6" ht="15" customHeight="1" x14ac:dyDescent="0.2">
      <c r="F6801"/>
    </row>
    <row r="6802" spans="6:6" ht="15" customHeight="1" x14ac:dyDescent="0.2">
      <c r="F6802"/>
    </row>
    <row r="6803" spans="6:6" ht="15" customHeight="1" x14ac:dyDescent="0.2">
      <c r="F6803"/>
    </row>
    <row r="6804" spans="6:6" ht="15" customHeight="1" x14ac:dyDescent="0.2">
      <c r="F6804"/>
    </row>
    <row r="6805" spans="6:6" ht="15" customHeight="1" x14ac:dyDescent="0.2">
      <c r="F6805"/>
    </row>
    <row r="6806" spans="6:6" ht="15" customHeight="1" x14ac:dyDescent="0.2">
      <c r="F6806"/>
    </row>
    <row r="6807" spans="6:6" ht="15" customHeight="1" x14ac:dyDescent="0.2">
      <c r="F6807"/>
    </row>
    <row r="6808" spans="6:6" ht="15" customHeight="1" x14ac:dyDescent="0.2">
      <c r="F6808"/>
    </row>
    <row r="6809" spans="6:6" ht="15" customHeight="1" x14ac:dyDescent="0.2">
      <c r="F6809"/>
    </row>
    <row r="6810" spans="6:6" ht="15" customHeight="1" x14ac:dyDescent="0.2">
      <c r="F6810"/>
    </row>
    <row r="6811" spans="6:6" ht="15" customHeight="1" x14ac:dyDescent="0.2">
      <c r="F6811"/>
    </row>
    <row r="6812" spans="6:6" ht="15" customHeight="1" x14ac:dyDescent="0.2">
      <c r="F6812"/>
    </row>
    <row r="6813" spans="6:6" ht="15" customHeight="1" x14ac:dyDescent="0.2">
      <c r="F6813"/>
    </row>
    <row r="6814" spans="6:6" ht="15" customHeight="1" x14ac:dyDescent="0.2">
      <c r="F6814"/>
    </row>
    <row r="6815" spans="6:6" ht="15" customHeight="1" x14ac:dyDescent="0.2">
      <c r="F6815"/>
    </row>
    <row r="6816" spans="6:6" ht="15" customHeight="1" x14ac:dyDescent="0.2">
      <c r="F6816"/>
    </row>
    <row r="6817" spans="6:6" ht="15" customHeight="1" x14ac:dyDescent="0.2">
      <c r="F6817"/>
    </row>
    <row r="6818" spans="6:6" ht="15" customHeight="1" x14ac:dyDescent="0.2">
      <c r="F6818"/>
    </row>
    <row r="6819" spans="6:6" ht="15" customHeight="1" x14ac:dyDescent="0.2">
      <c r="F6819"/>
    </row>
    <row r="6820" spans="6:6" ht="15" customHeight="1" x14ac:dyDescent="0.2">
      <c r="F6820"/>
    </row>
    <row r="6821" spans="6:6" ht="15" customHeight="1" x14ac:dyDescent="0.2">
      <c r="F6821"/>
    </row>
    <row r="6822" spans="6:6" ht="15" customHeight="1" x14ac:dyDescent="0.2">
      <c r="F6822"/>
    </row>
    <row r="6823" spans="6:6" ht="15" customHeight="1" x14ac:dyDescent="0.2">
      <c r="F6823"/>
    </row>
    <row r="6824" spans="6:6" ht="15" customHeight="1" x14ac:dyDescent="0.2">
      <c r="F6824"/>
    </row>
    <row r="6825" spans="6:6" ht="15" customHeight="1" x14ac:dyDescent="0.2">
      <c r="F6825"/>
    </row>
    <row r="6826" spans="6:6" ht="15" customHeight="1" x14ac:dyDescent="0.2">
      <c r="F6826"/>
    </row>
    <row r="6827" spans="6:6" ht="15" customHeight="1" x14ac:dyDescent="0.2">
      <c r="F6827"/>
    </row>
    <row r="6828" spans="6:6" ht="15" customHeight="1" x14ac:dyDescent="0.2">
      <c r="F6828"/>
    </row>
    <row r="6829" spans="6:6" ht="15" customHeight="1" x14ac:dyDescent="0.2">
      <c r="F6829"/>
    </row>
    <row r="6830" spans="6:6" ht="15" customHeight="1" x14ac:dyDescent="0.2">
      <c r="F6830"/>
    </row>
    <row r="6831" spans="6:6" ht="15" customHeight="1" x14ac:dyDescent="0.2">
      <c r="F6831"/>
    </row>
    <row r="6832" spans="6:6" ht="15" customHeight="1" x14ac:dyDescent="0.2">
      <c r="F6832"/>
    </row>
    <row r="6833" spans="6:6" ht="15" customHeight="1" x14ac:dyDescent="0.2">
      <c r="F6833"/>
    </row>
    <row r="6834" spans="6:6" ht="15" customHeight="1" x14ac:dyDescent="0.2">
      <c r="F6834"/>
    </row>
    <row r="6835" spans="6:6" ht="15" customHeight="1" x14ac:dyDescent="0.2">
      <c r="F6835"/>
    </row>
    <row r="6836" spans="6:6" ht="15" customHeight="1" x14ac:dyDescent="0.2">
      <c r="F6836"/>
    </row>
    <row r="6837" spans="6:6" ht="15" customHeight="1" x14ac:dyDescent="0.2">
      <c r="F6837"/>
    </row>
    <row r="6838" spans="6:6" ht="15" customHeight="1" x14ac:dyDescent="0.2">
      <c r="F6838"/>
    </row>
    <row r="6839" spans="6:6" ht="15" customHeight="1" x14ac:dyDescent="0.2">
      <c r="F6839"/>
    </row>
    <row r="6840" spans="6:6" ht="15" customHeight="1" x14ac:dyDescent="0.2">
      <c r="F6840"/>
    </row>
    <row r="6841" spans="6:6" ht="15" customHeight="1" x14ac:dyDescent="0.2">
      <c r="F6841"/>
    </row>
    <row r="6842" spans="6:6" ht="15" customHeight="1" x14ac:dyDescent="0.2">
      <c r="F6842"/>
    </row>
    <row r="6843" spans="6:6" ht="15" customHeight="1" x14ac:dyDescent="0.2">
      <c r="F6843"/>
    </row>
    <row r="6844" spans="6:6" ht="15" customHeight="1" x14ac:dyDescent="0.2">
      <c r="F6844"/>
    </row>
    <row r="6845" spans="6:6" ht="15" customHeight="1" x14ac:dyDescent="0.2">
      <c r="F6845"/>
    </row>
    <row r="6846" spans="6:6" ht="15" customHeight="1" x14ac:dyDescent="0.2">
      <c r="F6846"/>
    </row>
    <row r="6847" spans="6:6" ht="15" customHeight="1" x14ac:dyDescent="0.2">
      <c r="F6847"/>
    </row>
    <row r="6848" spans="6:6" ht="15" customHeight="1" x14ac:dyDescent="0.2">
      <c r="F6848"/>
    </row>
    <row r="6849" spans="6:6" ht="15" customHeight="1" x14ac:dyDescent="0.2">
      <c r="F6849"/>
    </row>
    <row r="6850" spans="6:6" ht="15" customHeight="1" x14ac:dyDescent="0.2">
      <c r="F6850"/>
    </row>
    <row r="6851" spans="6:6" ht="15" customHeight="1" x14ac:dyDescent="0.2">
      <c r="F6851"/>
    </row>
    <row r="6852" spans="6:6" ht="15" customHeight="1" x14ac:dyDescent="0.2">
      <c r="F6852"/>
    </row>
    <row r="6853" spans="6:6" ht="15" customHeight="1" x14ac:dyDescent="0.2">
      <c r="F6853"/>
    </row>
    <row r="6854" spans="6:6" ht="15" customHeight="1" x14ac:dyDescent="0.2">
      <c r="F6854"/>
    </row>
    <row r="6855" spans="6:6" ht="15" customHeight="1" x14ac:dyDescent="0.2">
      <c r="F6855"/>
    </row>
    <row r="6856" spans="6:6" ht="15" customHeight="1" x14ac:dyDescent="0.2">
      <c r="F6856"/>
    </row>
    <row r="6857" spans="6:6" ht="15" customHeight="1" x14ac:dyDescent="0.2">
      <c r="F6857"/>
    </row>
    <row r="6858" spans="6:6" ht="15" customHeight="1" x14ac:dyDescent="0.2">
      <c r="F6858"/>
    </row>
    <row r="6859" spans="6:6" ht="15" customHeight="1" x14ac:dyDescent="0.2">
      <c r="F6859"/>
    </row>
    <row r="6860" spans="6:6" ht="15" customHeight="1" x14ac:dyDescent="0.2">
      <c r="F6860"/>
    </row>
    <row r="6861" spans="6:6" ht="15" customHeight="1" x14ac:dyDescent="0.2">
      <c r="F6861"/>
    </row>
    <row r="6862" spans="6:6" ht="15" customHeight="1" x14ac:dyDescent="0.2">
      <c r="F6862"/>
    </row>
    <row r="6863" spans="6:6" ht="15" customHeight="1" x14ac:dyDescent="0.2">
      <c r="F6863"/>
    </row>
    <row r="6864" spans="6:6" ht="15" customHeight="1" x14ac:dyDescent="0.2">
      <c r="F6864"/>
    </row>
    <row r="6865" spans="6:6" ht="15" customHeight="1" x14ac:dyDescent="0.2">
      <c r="F6865"/>
    </row>
    <row r="6866" spans="6:6" ht="15" customHeight="1" x14ac:dyDescent="0.2">
      <c r="F6866"/>
    </row>
    <row r="6867" spans="6:6" ht="15" customHeight="1" x14ac:dyDescent="0.2">
      <c r="F6867"/>
    </row>
    <row r="6868" spans="6:6" ht="15" customHeight="1" x14ac:dyDescent="0.2">
      <c r="F6868"/>
    </row>
    <row r="6869" spans="6:6" ht="15" customHeight="1" x14ac:dyDescent="0.2">
      <c r="F6869"/>
    </row>
    <row r="6870" spans="6:6" ht="15" customHeight="1" x14ac:dyDescent="0.2">
      <c r="F6870"/>
    </row>
    <row r="6871" spans="6:6" ht="15" customHeight="1" x14ac:dyDescent="0.2">
      <c r="F6871"/>
    </row>
    <row r="6872" spans="6:6" ht="15" customHeight="1" x14ac:dyDescent="0.2">
      <c r="F6872"/>
    </row>
    <row r="6873" spans="6:6" ht="15" customHeight="1" x14ac:dyDescent="0.2">
      <c r="F6873"/>
    </row>
    <row r="6874" spans="6:6" ht="15" customHeight="1" x14ac:dyDescent="0.2">
      <c r="F6874"/>
    </row>
    <row r="6875" spans="6:6" ht="15" customHeight="1" x14ac:dyDescent="0.2">
      <c r="F6875"/>
    </row>
    <row r="6876" spans="6:6" ht="15" customHeight="1" x14ac:dyDescent="0.2">
      <c r="F6876"/>
    </row>
    <row r="6877" spans="6:6" ht="15" customHeight="1" x14ac:dyDescent="0.2">
      <c r="F6877"/>
    </row>
    <row r="6878" spans="6:6" ht="15" customHeight="1" x14ac:dyDescent="0.2">
      <c r="F6878"/>
    </row>
    <row r="6879" spans="6:6" ht="15" customHeight="1" x14ac:dyDescent="0.2">
      <c r="F6879"/>
    </row>
    <row r="6880" spans="6:6" ht="15" customHeight="1" x14ac:dyDescent="0.2">
      <c r="F6880"/>
    </row>
    <row r="6881" spans="6:6" ht="15" customHeight="1" x14ac:dyDescent="0.2">
      <c r="F6881"/>
    </row>
    <row r="6882" spans="6:6" ht="15" customHeight="1" x14ac:dyDescent="0.2">
      <c r="F6882"/>
    </row>
    <row r="6883" spans="6:6" ht="15" customHeight="1" x14ac:dyDescent="0.2">
      <c r="F6883"/>
    </row>
    <row r="6884" spans="6:6" ht="15" customHeight="1" x14ac:dyDescent="0.2">
      <c r="F6884"/>
    </row>
    <row r="6885" spans="6:6" ht="15" customHeight="1" x14ac:dyDescent="0.2">
      <c r="F6885"/>
    </row>
    <row r="6886" spans="6:6" ht="15" customHeight="1" x14ac:dyDescent="0.2">
      <c r="F6886"/>
    </row>
    <row r="6887" spans="6:6" ht="15" customHeight="1" x14ac:dyDescent="0.2">
      <c r="F6887"/>
    </row>
    <row r="6888" spans="6:6" ht="15" customHeight="1" x14ac:dyDescent="0.2">
      <c r="F6888"/>
    </row>
    <row r="6889" spans="6:6" ht="15" customHeight="1" x14ac:dyDescent="0.2">
      <c r="F6889"/>
    </row>
    <row r="6890" spans="6:6" ht="15" customHeight="1" x14ac:dyDescent="0.2">
      <c r="F6890"/>
    </row>
    <row r="6891" spans="6:6" ht="15" customHeight="1" x14ac:dyDescent="0.2">
      <c r="F6891"/>
    </row>
    <row r="6892" spans="6:6" ht="15" customHeight="1" x14ac:dyDescent="0.2">
      <c r="F6892"/>
    </row>
    <row r="6893" spans="6:6" ht="15" customHeight="1" x14ac:dyDescent="0.2">
      <c r="F6893"/>
    </row>
    <row r="6894" spans="6:6" ht="15" customHeight="1" x14ac:dyDescent="0.2">
      <c r="F6894"/>
    </row>
    <row r="6895" spans="6:6" ht="15" customHeight="1" x14ac:dyDescent="0.2">
      <c r="F6895"/>
    </row>
    <row r="6896" spans="6:6" ht="15" customHeight="1" x14ac:dyDescent="0.2">
      <c r="F6896"/>
    </row>
    <row r="6897" spans="6:6" ht="15" customHeight="1" x14ac:dyDescent="0.2">
      <c r="F6897"/>
    </row>
    <row r="6898" spans="6:6" ht="15" customHeight="1" x14ac:dyDescent="0.2">
      <c r="F6898"/>
    </row>
    <row r="6899" spans="6:6" ht="15" customHeight="1" x14ac:dyDescent="0.2">
      <c r="F6899"/>
    </row>
    <row r="6900" spans="6:6" ht="15" customHeight="1" x14ac:dyDescent="0.2">
      <c r="F6900"/>
    </row>
    <row r="6901" spans="6:6" ht="15" customHeight="1" x14ac:dyDescent="0.2">
      <c r="F6901"/>
    </row>
    <row r="6902" spans="6:6" ht="15" customHeight="1" x14ac:dyDescent="0.2">
      <c r="F6902"/>
    </row>
    <row r="6903" spans="6:6" ht="15" customHeight="1" x14ac:dyDescent="0.2">
      <c r="F6903"/>
    </row>
    <row r="6904" spans="6:6" ht="15" customHeight="1" x14ac:dyDescent="0.2">
      <c r="F6904"/>
    </row>
    <row r="6905" spans="6:6" ht="15" customHeight="1" x14ac:dyDescent="0.2">
      <c r="F6905"/>
    </row>
    <row r="6906" spans="6:6" ht="15" customHeight="1" x14ac:dyDescent="0.2">
      <c r="F6906"/>
    </row>
    <row r="6907" spans="6:6" ht="15" customHeight="1" x14ac:dyDescent="0.2">
      <c r="F6907"/>
    </row>
    <row r="6908" spans="6:6" ht="15" customHeight="1" x14ac:dyDescent="0.2">
      <c r="F6908"/>
    </row>
    <row r="6909" spans="6:6" ht="15" customHeight="1" x14ac:dyDescent="0.2">
      <c r="F6909"/>
    </row>
    <row r="6910" spans="6:6" ht="15" customHeight="1" x14ac:dyDescent="0.2">
      <c r="F6910"/>
    </row>
    <row r="6911" spans="6:6" ht="15" customHeight="1" x14ac:dyDescent="0.2">
      <c r="F6911"/>
    </row>
    <row r="6912" spans="6:6" ht="15" customHeight="1" x14ac:dyDescent="0.2">
      <c r="F6912"/>
    </row>
    <row r="6913" spans="6:6" ht="15" customHeight="1" x14ac:dyDescent="0.2">
      <c r="F6913"/>
    </row>
    <row r="6914" spans="6:6" ht="15" customHeight="1" x14ac:dyDescent="0.2">
      <c r="F6914"/>
    </row>
    <row r="6915" spans="6:6" ht="15" customHeight="1" x14ac:dyDescent="0.2">
      <c r="F6915"/>
    </row>
    <row r="6916" spans="6:6" ht="15" customHeight="1" x14ac:dyDescent="0.2">
      <c r="F6916"/>
    </row>
    <row r="6917" spans="6:6" ht="15" customHeight="1" x14ac:dyDescent="0.2">
      <c r="F6917"/>
    </row>
    <row r="6918" spans="6:6" ht="15" customHeight="1" x14ac:dyDescent="0.2">
      <c r="F6918"/>
    </row>
    <row r="6919" spans="6:6" ht="15" customHeight="1" x14ac:dyDescent="0.2">
      <c r="F6919"/>
    </row>
    <row r="6920" spans="6:6" ht="15" customHeight="1" x14ac:dyDescent="0.2">
      <c r="F6920"/>
    </row>
    <row r="6921" spans="6:6" ht="15" customHeight="1" x14ac:dyDescent="0.2">
      <c r="F6921"/>
    </row>
    <row r="6922" spans="6:6" ht="15" customHeight="1" x14ac:dyDescent="0.2">
      <c r="F6922"/>
    </row>
    <row r="6923" spans="6:6" ht="15" customHeight="1" x14ac:dyDescent="0.2">
      <c r="F6923"/>
    </row>
    <row r="6924" spans="6:6" ht="15" customHeight="1" x14ac:dyDescent="0.2">
      <c r="F6924"/>
    </row>
    <row r="6925" spans="6:6" ht="15" customHeight="1" x14ac:dyDescent="0.2">
      <c r="F6925"/>
    </row>
    <row r="6926" spans="6:6" ht="15" customHeight="1" x14ac:dyDescent="0.2">
      <c r="F6926"/>
    </row>
    <row r="6927" spans="6:6" ht="15" customHeight="1" x14ac:dyDescent="0.2">
      <c r="F6927"/>
    </row>
    <row r="6928" spans="6:6" ht="15" customHeight="1" x14ac:dyDescent="0.2">
      <c r="F6928"/>
    </row>
    <row r="6929" spans="6:6" ht="15" customHeight="1" x14ac:dyDescent="0.2">
      <c r="F6929"/>
    </row>
    <row r="6930" spans="6:6" ht="15" customHeight="1" x14ac:dyDescent="0.2">
      <c r="F6930"/>
    </row>
    <row r="6931" spans="6:6" ht="15" customHeight="1" x14ac:dyDescent="0.2">
      <c r="F6931"/>
    </row>
    <row r="6932" spans="6:6" ht="15" customHeight="1" x14ac:dyDescent="0.2">
      <c r="F6932"/>
    </row>
    <row r="6933" spans="6:6" ht="15" customHeight="1" x14ac:dyDescent="0.2">
      <c r="F6933"/>
    </row>
    <row r="6934" spans="6:6" ht="15" customHeight="1" x14ac:dyDescent="0.2">
      <c r="F6934"/>
    </row>
    <row r="6935" spans="6:6" ht="15" customHeight="1" x14ac:dyDescent="0.2">
      <c r="F6935"/>
    </row>
    <row r="6936" spans="6:6" ht="15" customHeight="1" x14ac:dyDescent="0.2">
      <c r="F6936"/>
    </row>
    <row r="6937" spans="6:6" ht="15" customHeight="1" x14ac:dyDescent="0.2">
      <c r="F6937"/>
    </row>
    <row r="6938" spans="6:6" ht="15" customHeight="1" x14ac:dyDescent="0.2">
      <c r="F6938"/>
    </row>
    <row r="6939" spans="6:6" ht="15" customHeight="1" x14ac:dyDescent="0.2">
      <c r="F6939"/>
    </row>
    <row r="6940" spans="6:6" ht="15" customHeight="1" x14ac:dyDescent="0.2">
      <c r="F6940"/>
    </row>
    <row r="6941" spans="6:6" ht="15" customHeight="1" x14ac:dyDescent="0.2">
      <c r="F6941"/>
    </row>
    <row r="6942" spans="6:6" ht="15" customHeight="1" x14ac:dyDescent="0.2">
      <c r="F6942"/>
    </row>
    <row r="6943" spans="6:6" ht="15" customHeight="1" x14ac:dyDescent="0.2">
      <c r="F6943"/>
    </row>
    <row r="6944" spans="6:6" ht="15" customHeight="1" x14ac:dyDescent="0.2">
      <c r="F6944"/>
    </row>
    <row r="6945" spans="6:6" ht="15" customHeight="1" x14ac:dyDescent="0.2">
      <c r="F6945"/>
    </row>
    <row r="6946" spans="6:6" ht="15" customHeight="1" x14ac:dyDescent="0.2">
      <c r="F6946"/>
    </row>
    <row r="6947" spans="6:6" ht="15" customHeight="1" x14ac:dyDescent="0.2">
      <c r="F6947"/>
    </row>
    <row r="6948" spans="6:6" ht="15" customHeight="1" x14ac:dyDescent="0.2">
      <c r="F6948"/>
    </row>
    <row r="6949" spans="6:6" ht="15" customHeight="1" x14ac:dyDescent="0.2">
      <c r="F6949"/>
    </row>
    <row r="6950" spans="6:6" ht="15" customHeight="1" x14ac:dyDescent="0.2">
      <c r="F6950"/>
    </row>
    <row r="6951" spans="6:6" ht="15" customHeight="1" x14ac:dyDescent="0.2">
      <c r="F6951"/>
    </row>
    <row r="6952" spans="6:6" ht="15" customHeight="1" x14ac:dyDescent="0.2">
      <c r="F6952"/>
    </row>
    <row r="6953" spans="6:6" ht="15" customHeight="1" x14ac:dyDescent="0.2">
      <c r="F6953"/>
    </row>
    <row r="6954" spans="6:6" ht="15" customHeight="1" x14ac:dyDescent="0.2">
      <c r="F6954"/>
    </row>
    <row r="6955" spans="6:6" ht="15" customHeight="1" x14ac:dyDescent="0.2">
      <c r="F6955"/>
    </row>
    <row r="6956" spans="6:6" ht="15" customHeight="1" x14ac:dyDescent="0.2">
      <c r="F6956"/>
    </row>
    <row r="6957" spans="6:6" ht="15" customHeight="1" x14ac:dyDescent="0.2">
      <c r="F6957"/>
    </row>
    <row r="6958" spans="6:6" ht="15" customHeight="1" x14ac:dyDescent="0.2">
      <c r="F6958"/>
    </row>
    <row r="6959" spans="6:6" ht="15" customHeight="1" x14ac:dyDescent="0.2">
      <c r="F6959"/>
    </row>
    <row r="6960" spans="6:6" ht="15" customHeight="1" x14ac:dyDescent="0.2">
      <c r="F6960"/>
    </row>
    <row r="6961" spans="6:6" ht="15" customHeight="1" x14ac:dyDescent="0.2">
      <c r="F6961"/>
    </row>
    <row r="6962" spans="6:6" ht="15" customHeight="1" x14ac:dyDescent="0.2">
      <c r="F6962"/>
    </row>
    <row r="6963" spans="6:6" ht="15" customHeight="1" x14ac:dyDescent="0.2">
      <c r="F6963"/>
    </row>
    <row r="6964" spans="6:6" ht="15" customHeight="1" x14ac:dyDescent="0.2">
      <c r="F6964"/>
    </row>
    <row r="6965" spans="6:6" ht="15" customHeight="1" x14ac:dyDescent="0.2">
      <c r="F6965"/>
    </row>
    <row r="6966" spans="6:6" ht="15" customHeight="1" x14ac:dyDescent="0.2">
      <c r="F6966"/>
    </row>
    <row r="6967" spans="6:6" ht="15" customHeight="1" x14ac:dyDescent="0.2">
      <c r="F6967"/>
    </row>
    <row r="6968" spans="6:6" ht="15" customHeight="1" x14ac:dyDescent="0.2">
      <c r="F6968"/>
    </row>
    <row r="6969" spans="6:6" ht="15" customHeight="1" x14ac:dyDescent="0.2">
      <c r="F6969"/>
    </row>
    <row r="6970" spans="6:6" ht="15" customHeight="1" x14ac:dyDescent="0.2">
      <c r="F6970"/>
    </row>
    <row r="6971" spans="6:6" ht="15" customHeight="1" x14ac:dyDescent="0.2">
      <c r="F6971"/>
    </row>
    <row r="6972" spans="6:6" ht="15" customHeight="1" x14ac:dyDescent="0.2">
      <c r="F6972"/>
    </row>
    <row r="6973" spans="6:6" ht="15" customHeight="1" x14ac:dyDescent="0.2">
      <c r="F6973"/>
    </row>
    <row r="6974" spans="6:6" ht="15" customHeight="1" x14ac:dyDescent="0.2">
      <c r="F6974"/>
    </row>
    <row r="6975" spans="6:6" ht="15" customHeight="1" x14ac:dyDescent="0.2">
      <c r="F6975"/>
    </row>
    <row r="6976" spans="6:6" ht="15" customHeight="1" x14ac:dyDescent="0.2">
      <c r="F6976"/>
    </row>
    <row r="6977" spans="6:6" ht="15" customHeight="1" x14ac:dyDescent="0.2">
      <c r="F6977"/>
    </row>
    <row r="6978" spans="6:6" ht="15" customHeight="1" x14ac:dyDescent="0.2">
      <c r="F6978"/>
    </row>
    <row r="6979" spans="6:6" ht="15" customHeight="1" x14ac:dyDescent="0.2">
      <c r="F6979"/>
    </row>
    <row r="6980" spans="6:6" ht="15" customHeight="1" x14ac:dyDescent="0.2">
      <c r="F6980"/>
    </row>
    <row r="6981" spans="6:6" ht="15" customHeight="1" x14ac:dyDescent="0.2">
      <c r="F6981"/>
    </row>
    <row r="6982" spans="6:6" ht="15" customHeight="1" x14ac:dyDescent="0.2">
      <c r="F6982"/>
    </row>
    <row r="6983" spans="6:6" ht="15" customHeight="1" x14ac:dyDescent="0.2">
      <c r="F6983"/>
    </row>
    <row r="6984" spans="6:6" ht="15" customHeight="1" x14ac:dyDescent="0.2">
      <c r="F6984"/>
    </row>
    <row r="6985" spans="6:6" ht="15" customHeight="1" x14ac:dyDescent="0.2">
      <c r="F6985"/>
    </row>
    <row r="6986" spans="6:6" ht="15" customHeight="1" x14ac:dyDescent="0.2">
      <c r="F6986"/>
    </row>
    <row r="6987" spans="6:6" ht="15" customHeight="1" x14ac:dyDescent="0.2">
      <c r="F6987"/>
    </row>
    <row r="6988" spans="6:6" ht="15" customHeight="1" x14ac:dyDescent="0.2">
      <c r="F6988"/>
    </row>
    <row r="6989" spans="6:6" ht="15" customHeight="1" x14ac:dyDescent="0.2">
      <c r="F6989"/>
    </row>
    <row r="6990" spans="6:6" ht="15" customHeight="1" x14ac:dyDescent="0.2">
      <c r="F6990"/>
    </row>
    <row r="6991" spans="6:6" ht="15" customHeight="1" x14ac:dyDescent="0.2">
      <c r="F6991"/>
    </row>
    <row r="6992" spans="6:6" ht="15" customHeight="1" x14ac:dyDescent="0.2">
      <c r="F6992"/>
    </row>
    <row r="6993" spans="6:6" ht="15" customHeight="1" x14ac:dyDescent="0.2">
      <c r="F6993"/>
    </row>
    <row r="6994" spans="6:6" ht="15" customHeight="1" x14ac:dyDescent="0.2">
      <c r="F6994"/>
    </row>
    <row r="6995" spans="6:6" ht="15" customHeight="1" x14ac:dyDescent="0.2">
      <c r="F6995"/>
    </row>
    <row r="6996" spans="6:6" ht="15" customHeight="1" x14ac:dyDescent="0.2">
      <c r="F6996"/>
    </row>
    <row r="6997" spans="6:6" ht="15" customHeight="1" x14ac:dyDescent="0.2">
      <c r="F6997"/>
    </row>
    <row r="6998" spans="6:6" ht="15" customHeight="1" x14ac:dyDescent="0.2">
      <c r="F6998"/>
    </row>
    <row r="6999" spans="6:6" ht="15" customHeight="1" x14ac:dyDescent="0.2">
      <c r="F6999"/>
    </row>
    <row r="7000" spans="6:6" ht="15" customHeight="1" x14ac:dyDescent="0.2">
      <c r="F7000"/>
    </row>
    <row r="7001" spans="6:6" ht="15" customHeight="1" x14ac:dyDescent="0.2">
      <c r="F7001"/>
    </row>
    <row r="7002" spans="6:6" ht="15" customHeight="1" x14ac:dyDescent="0.2">
      <c r="F7002"/>
    </row>
    <row r="7003" spans="6:6" ht="15" customHeight="1" x14ac:dyDescent="0.2">
      <c r="F7003"/>
    </row>
    <row r="7004" spans="6:6" ht="15" customHeight="1" x14ac:dyDescent="0.2">
      <c r="F7004"/>
    </row>
    <row r="7005" spans="6:6" ht="15" customHeight="1" x14ac:dyDescent="0.2">
      <c r="F7005"/>
    </row>
    <row r="7006" spans="6:6" ht="15" customHeight="1" x14ac:dyDescent="0.2">
      <c r="F7006"/>
    </row>
    <row r="7007" spans="6:6" ht="15" customHeight="1" x14ac:dyDescent="0.2">
      <c r="F7007"/>
    </row>
    <row r="7008" spans="6:6" ht="15" customHeight="1" x14ac:dyDescent="0.2">
      <c r="F7008"/>
    </row>
    <row r="7009" spans="6:6" ht="15" customHeight="1" x14ac:dyDescent="0.2">
      <c r="F7009"/>
    </row>
    <row r="7010" spans="6:6" ht="15" customHeight="1" x14ac:dyDescent="0.2">
      <c r="F7010"/>
    </row>
    <row r="7011" spans="6:6" ht="15" customHeight="1" x14ac:dyDescent="0.2">
      <c r="F7011"/>
    </row>
    <row r="7012" spans="6:6" ht="15" customHeight="1" x14ac:dyDescent="0.2">
      <c r="F7012"/>
    </row>
    <row r="7013" spans="6:6" ht="15" customHeight="1" x14ac:dyDescent="0.2">
      <c r="F7013"/>
    </row>
    <row r="7014" spans="6:6" ht="15" customHeight="1" x14ac:dyDescent="0.2">
      <c r="F7014"/>
    </row>
    <row r="7015" spans="6:6" ht="15" customHeight="1" x14ac:dyDescent="0.2">
      <c r="F7015"/>
    </row>
    <row r="7016" spans="6:6" ht="15" customHeight="1" x14ac:dyDescent="0.2">
      <c r="F7016"/>
    </row>
    <row r="7017" spans="6:6" ht="15" customHeight="1" x14ac:dyDescent="0.2">
      <c r="F7017"/>
    </row>
    <row r="7018" spans="6:6" ht="15" customHeight="1" x14ac:dyDescent="0.2">
      <c r="F7018"/>
    </row>
    <row r="7019" spans="6:6" ht="15" customHeight="1" x14ac:dyDescent="0.2">
      <c r="F7019"/>
    </row>
    <row r="7020" spans="6:6" ht="15" customHeight="1" x14ac:dyDescent="0.2">
      <c r="F7020"/>
    </row>
    <row r="7021" spans="6:6" ht="15" customHeight="1" x14ac:dyDescent="0.2">
      <c r="F7021"/>
    </row>
    <row r="7022" spans="6:6" ht="15" customHeight="1" x14ac:dyDescent="0.2">
      <c r="F7022"/>
    </row>
    <row r="7023" spans="6:6" ht="15" customHeight="1" x14ac:dyDescent="0.2">
      <c r="F7023"/>
    </row>
    <row r="7024" spans="6:6" ht="15" customHeight="1" x14ac:dyDescent="0.2">
      <c r="F7024"/>
    </row>
    <row r="7025" spans="6:6" ht="15" customHeight="1" x14ac:dyDescent="0.2">
      <c r="F7025"/>
    </row>
    <row r="7026" spans="6:6" ht="15" customHeight="1" x14ac:dyDescent="0.2">
      <c r="F7026"/>
    </row>
    <row r="7027" spans="6:6" ht="15" customHeight="1" x14ac:dyDescent="0.2">
      <c r="F7027"/>
    </row>
    <row r="7028" spans="6:6" ht="15" customHeight="1" x14ac:dyDescent="0.2">
      <c r="F7028"/>
    </row>
    <row r="7029" spans="6:6" ht="15" customHeight="1" x14ac:dyDescent="0.2">
      <c r="F7029"/>
    </row>
    <row r="7030" spans="6:6" ht="15" customHeight="1" x14ac:dyDescent="0.2">
      <c r="F7030"/>
    </row>
    <row r="7031" spans="6:6" ht="15" customHeight="1" x14ac:dyDescent="0.2">
      <c r="F7031"/>
    </row>
    <row r="7032" spans="6:6" ht="15" customHeight="1" x14ac:dyDescent="0.2">
      <c r="F7032"/>
    </row>
    <row r="7033" spans="6:6" ht="15" customHeight="1" x14ac:dyDescent="0.2">
      <c r="F7033"/>
    </row>
    <row r="7034" spans="6:6" ht="15" customHeight="1" x14ac:dyDescent="0.2">
      <c r="F7034"/>
    </row>
    <row r="7035" spans="6:6" ht="15" customHeight="1" x14ac:dyDescent="0.2">
      <c r="F7035"/>
    </row>
    <row r="7036" spans="6:6" ht="15" customHeight="1" x14ac:dyDescent="0.2">
      <c r="F7036"/>
    </row>
    <row r="7037" spans="6:6" ht="15" customHeight="1" x14ac:dyDescent="0.2">
      <c r="F7037"/>
    </row>
    <row r="7038" spans="6:6" ht="15" customHeight="1" x14ac:dyDescent="0.2">
      <c r="F7038"/>
    </row>
    <row r="7039" spans="6:6" ht="15" customHeight="1" x14ac:dyDescent="0.2">
      <c r="F7039"/>
    </row>
    <row r="7040" spans="6:6" ht="15" customHeight="1" x14ac:dyDescent="0.2">
      <c r="F7040"/>
    </row>
    <row r="7041" spans="6:6" ht="15" customHeight="1" x14ac:dyDescent="0.2">
      <c r="F7041"/>
    </row>
    <row r="7042" spans="6:6" ht="15" customHeight="1" x14ac:dyDescent="0.2">
      <c r="F7042"/>
    </row>
    <row r="7043" spans="6:6" ht="15" customHeight="1" x14ac:dyDescent="0.2">
      <c r="F7043"/>
    </row>
    <row r="7044" spans="6:6" ht="15" customHeight="1" x14ac:dyDescent="0.2">
      <c r="F7044"/>
    </row>
    <row r="7045" spans="6:6" ht="15" customHeight="1" x14ac:dyDescent="0.2">
      <c r="F7045"/>
    </row>
    <row r="7046" spans="6:6" ht="15" customHeight="1" x14ac:dyDescent="0.2">
      <c r="F7046"/>
    </row>
    <row r="7047" spans="6:6" ht="15" customHeight="1" x14ac:dyDescent="0.2">
      <c r="F7047"/>
    </row>
    <row r="7048" spans="6:6" ht="15" customHeight="1" x14ac:dyDescent="0.2">
      <c r="F7048"/>
    </row>
    <row r="7049" spans="6:6" ht="15" customHeight="1" x14ac:dyDescent="0.2">
      <c r="F7049"/>
    </row>
    <row r="7050" spans="6:6" ht="15" customHeight="1" x14ac:dyDescent="0.2">
      <c r="F7050"/>
    </row>
    <row r="7051" spans="6:6" ht="15" customHeight="1" x14ac:dyDescent="0.2">
      <c r="F7051"/>
    </row>
    <row r="7052" spans="6:6" ht="15" customHeight="1" x14ac:dyDescent="0.2">
      <c r="F7052"/>
    </row>
    <row r="7053" spans="6:6" ht="15" customHeight="1" x14ac:dyDescent="0.2">
      <c r="F7053"/>
    </row>
    <row r="7054" spans="6:6" ht="15" customHeight="1" x14ac:dyDescent="0.2">
      <c r="F7054"/>
    </row>
    <row r="7055" spans="6:6" ht="15" customHeight="1" x14ac:dyDescent="0.2">
      <c r="F7055"/>
    </row>
    <row r="7056" spans="6:6" ht="15" customHeight="1" x14ac:dyDescent="0.2">
      <c r="F7056"/>
    </row>
    <row r="7057" spans="6:6" ht="15" customHeight="1" x14ac:dyDescent="0.2">
      <c r="F7057"/>
    </row>
    <row r="7058" spans="6:6" ht="15" customHeight="1" x14ac:dyDescent="0.2">
      <c r="F7058"/>
    </row>
    <row r="7059" spans="6:6" ht="15" customHeight="1" x14ac:dyDescent="0.2">
      <c r="F7059"/>
    </row>
    <row r="7060" spans="6:6" ht="15" customHeight="1" x14ac:dyDescent="0.2">
      <c r="F7060"/>
    </row>
    <row r="7061" spans="6:6" ht="15" customHeight="1" x14ac:dyDescent="0.2">
      <c r="F7061"/>
    </row>
    <row r="7062" spans="6:6" ht="15" customHeight="1" x14ac:dyDescent="0.2">
      <c r="F7062"/>
    </row>
    <row r="7063" spans="6:6" ht="15" customHeight="1" x14ac:dyDescent="0.2">
      <c r="F7063"/>
    </row>
    <row r="7064" spans="6:6" ht="15" customHeight="1" x14ac:dyDescent="0.2">
      <c r="F7064"/>
    </row>
    <row r="7065" spans="6:6" ht="15" customHeight="1" x14ac:dyDescent="0.2">
      <c r="F7065"/>
    </row>
    <row r="7066" spans="6:6" ht="15" customHeight="1" x14ac:dyDescent="0.2">
      <c r="F7066"/>
    </row>
    <row r="7067" spans="6:6" ht="15" customHeight="1" x14ac:dyDescent="0.2">
      <c r="F7067"/>
    </row>
    <row r="7068" spans="6:6" ht="15" customHeight="1" x14ac:dyDescent="0.2">
      <c r="F7068"/>
    </row>
    <row r="7069" spans="6:6" ht="15" customHeight="1" x14ac:dyDescent="0.2">
      <c r="F7069"/>
    </row>
    <row r="7070" spans="6:6" ht="15" customHeight="1" x14ac:dyDescent="0.2">
      <c r="F7070"/>
    </row>
    <row r="7071" spans="6:6" ht="15" customHeight="1" x14ac:dyDescent="0.2">
      <c r="F7071"/>
    </row>
    <row r="7072" spans="6:6" ht="15" customHeight="1" x14ac:dyDescent="0.2">
      <c r="F7072"/>
    </row>
    <row r="7073" spans="6:6" ht="15" customHeight="1" x14ac:dyDescent="0.2">
      <c r="F7073"/>
    </row>
    <row r="7074" spans="6:6" ht="15" customHeight="1" x14ac:dyDescent="0.2">
      <c r="F7074"/>
    </row>
    <row r="7075" spans="6:6" ht="15" customHeight="1" x14ac:dyDescent="0.2">
      <c r="F7075"/>
    </row>
    <row r="7076" spans="6:6" ht="15" customHeight="1" x14ac:dyDescent="0.2">
      <c r="F7076"/>
    </row>
    <row r="7077" spans="6:6" ht="15" customHeight="1" x14ac:dyDescent="0.2">
      <c r="F7077"/>
    </row>
    <row r="7078" spans="6:6" ht="15" customHeight="1" x14ac:dyDescent="0.2">
      <c r="F7078"/>
    </row>
    <row r="7079" spans="6:6" ht="15" customHeight="1" x14ac:dyDescent="0.2">
      <c r="F7079"/>
    </row>
    <row r="7080" spans="6:6" ht="15" customHeight="1" x14ac:dyDescent="0.2">
      <c r="F7080"/>
    </row>
    <row r="7081" spans="6:6" ht="15" customHeight="1" x14ac:dyDescent="0.2">
      <c r="F7081"/>
    </row>
    <row r="7082" spans="6:6" ht="15" customHeight="1" x14ac:dyDescent="0.2">
      <c r="F7082"/>
    </row>
    <row r="7083" spans="6:6" ht="15" customHeight="1" x14ac:dyDescent="0.2">
      <c r="F7083"/>
    </row>
    <row r="7084" spans="6:6" ht="15" customHeight="1" x14ac:dyDescent="0.2">
      <c r="F7084"/>
    </row>
    <row r="7085" spans="6:6" ht="15" customHeight="1" x14ac:dyDescent="0.2">
      <c r="F7085"/>
    </row>
    <row r="7086" spans="6:6" ht="15" customHeight="1" x14ac:dyDescent="0.2">
      <c r="F7086"/>
    </row>
    <row r="7087" spans="6:6" ht="15" customHeight="1" x14ac:dyDescent="0.2">
      <c r="F7087"/>
    </row>
    <row r="7088" spans="6:6" ht="15" customHeight="1" x14ac:dyDescent="0.2">
      <c r="F7088"/>
    </row>
    <row r="7089" spans="6:6" ht="15" customHeight="1" x14ac:dyDescent="0.2">
      <c r="F7089"/>
    </row>
    <row r="7090" spans="6:6" ht="15" customHeight="1" x14ac:dyDescent="0.2">
      <c r="F7090"/>
    </row>
    <row r="7091" spans="6:6" ht="15" customHeight="1" x14ac:dyDescent="0.2">
      <c r="F7091"/>
    </row>
    <row r="7092" spans="6:6" ht="15" customHeight="1" x14ac:dyDescent="0.2">
      <c r="F7092"/>
    </row>
    <row r="7093" spans="6:6" ht="15" customHeight="1" x14ac:dyDescent="0.2">
      <c r="F7093"/>
    </row>
    <row r="7094" spans="6:6" ht="15" customHeight="1" x14ac:dyDescent="0.2">
      <c r="F7094"/>
    </row>
    <row r="7095" spans="6:6" ht="15" customHeight="1" x14ac:dyDescent="0.2">
      <c r="F7095"/>
    </row>
    <row r="7096" spans="6:6" ht="15" customHeight="1" x14ac:dyDescent="0.2">
      <c r="F7096"/>
    </row>
    <row r="7097" spans="6:6" ht="15" customHeight="1" x14ac:dyDescent="0.2">
      <c r="F7097"/>
    </row>
    <row r="7098" spans="6:6" ht="15" customHeight="1" x14ac:dyDescent="0.2">
      <c r="F7098"/>
    </row>
    <row r="7099" spans="6:6" ht="15" customHeight="1" x14ac:dyDescent="0.2">
      <c r="F7099"/>
    </row>
    <row r="7100" spans="6:6" ht="15" customHeight="1" x14ac:dyDescent="0.2">
      <c r="F7100"/>
    </row>
    <row r="7101" spans="6:6" ht="15" customHeight="1" x14ac:dyDescent="0.2">
      <c r="F7101"/>
    </row>
    <row r="7102" spans="6:6" ht="15" customHeight="1" x14ac:dyDescent="0.2">
      <c r="F7102"/>
    </row>
    <row r="7103" spans="6:6" ht="15" customHeight="1" x14ac:dyDescent="0.2">
      <c r="F7103"/>
    </row>
    <row r="7104" spans="6:6" ht="15" customHeight="1" x14ac:dyDescent="0.2">
      <c r="F7104"/>
    </row>
    <row r="7105" spans="6:6" ht="15" customHeight="1" x14ac:dyDescent="0.2">
      <c r="F7105"/>
    </row>
    <row r="7106" spans="6:6" ht="15" customHeight="1" x14ac:dyDescent="0.2">
      <c r="F7106"/>
    </row>
    <row r="7107" spans="6:6" ht="15" customHeight="1" x14ac:dyDescent="0.2">
      <c r="F7107"/>
    </row>
    <row r="7108" spans="6:6" ht="15" customHeight="1" x14ac:dyDescent="0.2">
      <c r="F7108"/>
    </row>
    <row r="7109" spans="6:6" ht="15" customHeight="1" x14ac:dyDescent="0.2">
      <c r="F7109"/>
    </row>
    <row r="7110" spans="6:6" ht="15" customHeight="1" x14ac:dyDescent="0.2">
      <c r="F7110"/>
    </row>
    <row r="7111" spans="6:6" ht="15" customHeight="1" x14ac:dyDescent="0.2">
      <c r="F7111"/>
    </row>
    <row r="7112" spans="6:6" ht="15" customHeight="1" x14ac:dyDescent="0.2">
      <c r="F7112"/>
    </row>
    <row r="7113" spans="6:6" ht="15" customHeight="1" x14ac:dyDescent="0.2">
      <c r="F7113"/>
    </row>
    <row r="7114" spans="6:6" ht="15" customHeight="1" x14ac:dyDescent="0.2">
      <c r="F7114"/>
    </row>
    <row r="7115" spans="6:6" ht="15" customHeight="1" x14ac:dyDescent="0.2">
      <c r="F7115"/>
    </row>
    <row r="7116" spans="6:6" ht="15" customHeight="1" x14ac:dyDescent="0.2">
      <c r="F7116"/>
    </row>
    <row r="7117" spans="6:6" ht="15" customHeight="1" x14ac:dyDescent="0.2">
      <c r="F7117"/>
    </row>
    <row r="7118" spans="6:6" ht="15" customHeight="1" x14ac:dyDescent="0.2">
      <c r="F7118"/>
    </row>
    <row r="7119" spans="6:6" ht="15" customHeight="1" x14ac:dyDescent="0.2">
      <c r="F7119"/>
    </row>
    <row r="7120" spans="6:6" ht="15" customHeight="1" x14ac:dyDescent="0.2">
      <c r="F7120"/>
    </row>
    <row r="7121" spans="6:6" ht="15" customHeight="1" x14ac:dyDescent="0.2">
      <c r="F7121"/>
    </row>
    <row r="7122" spans="6:6" ht="15" customHeight="1" x14ac:dyDescent="0.2">
      <c r="F7122"/>
    </row>
    <row r="7123" spans="6:6" ht="15" customHeight="1" x14ac:dyDescent="0.2">
      <c r="F7123"/>
    </row>
    <row r="7124" spans="6:6" ht="15" customHeight="1" x14ac:dyDescent="0.2">
      <c r="F7124"/>
    </row>
    <row r="7125" spans="6:6" ht="15" customHeight="1" x14ac:dyDescent="0.2">
      <c r="F7125"/>
    </row>
    <row r="7126" spans="6:6" ht="15" customHeight="1" x14ac:dyDescent="0.2">
      <c r="F7126"/>
    </row>
    <row r="7127" spans="6:6" ht="15" customHeight="1" x14ac:dyDescent="0.2">
      <c r="F7127"/>
    </row>
    <row r="7128" spans="6:6" ht="15" customHeight="1" x14ac:dyDescent="0.2">
      <c r="F7128"/>
    </row>
    <row r="7129" spans="6:6" ht="15" customHeight="1" x14ac:dyDescent="0.2">
      <c r="F7129"/>
    </row>
    <row r="7130" spans="6:6" ht="15" customHeight="1" x14ac:dyDescent="0.2">
      <c r="F7130"/>
    </row>
    <row r="7131" spans="6:6" ht="15" customHeight="1" x14ac:dyDescent="0.2">
      <c r="F7131"/>
    </row>
    <row r="7132" spans="6:6" ht="15" customHeight="1" x14ac:dyDescent="0.2">
      <c r="F7132"/>
    </row>
    <row r="7133" spans="6:6" ht="15" customHeight="1" x14ac:dyDescent="0.2">
      <c r="F7133"/>
    </row>
    <row r="7134" spans="6:6" ht="15" customHeight="1" x14ac:dyDescent="0.2">
      <c r="F7134"/>
    </row>
    <row r="7135" spans="6:6" ht="15" customHeight="1" x14ac:dyDescent="0.2">
      <c r="F7135"/>
    </row>
    <row r="7136" spans="6:6" ht="15" customHeight="1" x14ac:dyDescent="0.2">
      <c r="F7136"/>
    </row>
    <row r="7137" spans="6:6" ht="15" customHeight="1" x14ac:dyDescent="0.2">
      <c r="F7137"/>
    </row>
    <row r="7138" spans="6:6" ht="15" customHeight="1" x14ac:dyDescent="0.2">
      <c r="F7138"/>
    </row>
    <row r="7139" spans="6:6" ht="15" customHeight="1" x14ac:dyDescent="0.2">
      <c r="F7139"/>
    </row>
    <row r="7140" spans="6:6" ht="15" customHeight="1" x14ac:dyDescent="0.2">
      <c r="F7140"/>
    </row>
    <row r="7141" spans="6:6" ht="15" customHeight="1" x14ac:dyDescent="0.2">
      <c r="F7141"/>
    </row>
    <row r="7142" spans="6:6" ht="15" customHeight="1" x14ac:dyDescent="0.2">
      <c r="F7142"/>
    </row>
    <row r="7143" spans="6:6" ht="15" customHeight="1" x14ac:dyDescent="0.2">
      <c r="F7143"/>
    </row>
    <row r="7144" spans="6:6" ht="15" customHeight="1" x14ac:dyDescent="0.2">
      <c r="F7144"/>
    </row>
    <row r="7145" spans="6:6" ht="15" customHeight="1" x14ac:dyDescent="0.2">
      <c r="F7145"/>
    </row>
    <row r="7146" spans="6:6" ht="15" customHeight="1" x14ac:dyDescent="0.2">
      <c r="F7146"/>
    </row>
    <row r="7147" spans="6:6" ht="15" customHeight="1" x14ac:dyDescent="0.2">
      <c r="F7147"/>
    </row>
    <row r="7148" spans="6:6" ht="15" customHeight="1" x14ac:dyDescent="0.2">
      <c r="F7148"/>
    </row>
    <row r="7149" spans="6:6" ht="15" customHeight="1" x14ac:dyDescent="0.2">
      <c r="F7149"/>
    </row>
    <row r="7150" spans="6:6" ht="15" customHeight="1" x14ac:dyDescent="0.2">
      <c r="F7150"/>
    </row>
    <row r="7151" spans="6:6" ht="15" customHeight="1" x14ac:dyDescent="0.2">
      <c r="F7151"/>
    </row>
    <row r="7152" spans="6:6" ht="15" customHeight="1" x14ac:dyDescent="0.2">
      <c r="F7152"/>
    </row>
    <row r="7153" spans="6:6" ht="15" customHeight="1" x14ac:dyDescent="0.2">
      <c r="F7153"/>
    </row>
    <row r="7154" spans="6:6" ht="15" customHeight="1" x14ac:dyDescent="0.2">
      <c r="F7154"/>
    </row>
    <row r="7155" spans="6:6" ht="15" customHeight="1" x14ac:dyDescent="0.2">
      <c r="F7155"/>
    </row>
    <row r="7156" spans="6:6" ht="15" customHeight="1" x14ac:dyDescent="0.2">
      <c r="F7156"/>
    </row>
    <row r="7157" spans="6:6" ht="15" customHeight="1" x14ac:dyDescent="0.2">
      <c r="F7157"/>
    </row>
    <row r="7158" spans="6:6" ht="15" customHeight="1" x14ac:dyDescent="0.2">
      <c r="F7158"/>
    </row>
    <row r="7159" spans="6:6" ht="15" customHeight="1" x14ac:dyDescent="0.2">
      <c r="F7159"/>
    </row>
    <row r="7160" spans="6:6" ht="15" customHeight="1" x14ac:dyDescent="0.2">
      <c r="F7160"/>
    </row>
    <row r="7161" spans="6:6" ht="15" customHeight="1" x14ac:dyDescent="0.2">
      <c r="F7161"/>
    </row>
    <row r="7162" spans="6:6" ht="15" customHeight="1" x14ac:dyDescent="0.2">
      <c r="F7162"/>
    </row>
    <row r="7163" spans="6:6" ht="15" customHeight="1" x14ac:dyDescent="0.2">
      <c r="F7163"/>
    </row>
    <row r="7164" spans="6:6" ht="15" customHeight="1" x14ac:dyDescent="0.2">
      <c r="F7164"/>
    </row>
    <row r="7165" spans="6:6" ht="15" customHeight="1" x14ac:dyDescent="0.2">
      <c r="F7165"/>
    </row>
    <row r="7166" spans="6:6" ht="15" customHeight="1" x14ac:dyDescent="0.2">
      <c r="F7166"/>
    </row>
    <row r="7167" spans="6:6" ht="15" customHeight="1" x14ac:dyDescent="0.2">
      <c r="F7167"/>
    </row>
    <row r="7168" spans="6:6" ht="15" customHeight="1" x14ac:dyDescent="0.2">
      <c r="F7168"/>
    </row>
    <row r="7169" spans="6:6" ht="15" customHeight="1" x14ac:dyDescent="0.2">
      <c r="F7169"/>
    </row>
    <row r="7170" spans="6:6" ht="15" customHeight="1" x14ac:dyDescent="0.2">
      <c r="F7170"/>
    </row>
    <row r="7171" spans="6:6" ht="15" customHeight="1" x14ac:dyDescent="0.2">
      <c r="F7171"/>
    </row>
    <row r="7172" spans="6:6" ht="15" customHeight="1" x14ac:dyDescent="0.2">
      <c r="F7172"/>
    </row>
    <row r="7173" spans="6:6" ht="15" customHeight="1" x14ac:dyDescent="0.2">
      <c r="F7173"/>
    </row>
    <row r="7174" spans="6:6" ht="15" customHeight="1" x14ac:dyDescent="0.2">
      <c r="F7174"/>
    </row>
    <row r="7175" spans="6:6" ht="15" customHeight="1" x14ac:dyDescent="0.2">
      <c r="F7175"/>
    </row>
    <row r="7176" spans="6:6" ht="15" customHeight="1" x14ac:dyDescent="0.2">
      <c r="F7176"/>
    </row>
    <row r="7177" spans="6:6" ht="15" customHeight="1" x14ac:dyDescent="0.2">
      <c r="F7177"/>
    </row>
    <row r="7178" spans="6:6" ht="15" customHeight="1" x14ac:dyDescent="0.2">
      <c r="F7178"/>
    </row>
    <row r="7179" spans="6:6" ht="15" customHeight="1" x14ac:dyDescent="0.2">
      <c r="F7179"/>
    </row>
    <row r="7180" spans="6:6" ht="15" customHeight="1" x14ac:dyDescent="0.2">
      <c r="F7180"/>
    </row>
    <row r="7181" spans="6:6" ht="15" customHeight="1" x14ac:dyDescent="0.2">
      <c r="F7181"/>
    </row>
    <row r="7182" spans="6:6" ht="15" customHeight="1" x14ac:dyDescent="0.2">
      <c r="F7182"/>
    </row>
    <row r="7183" spans="6:6" ht="15" customHeight="1" x14ac:dyDescent="0.2">
      <c r="F7183"/>
    </row>
    <row r="7184" spans="6:6" ht="15" customHeight="1" x14ac:dyDescent="0.2">
      <c r="F7184"/>
    </row>
    <row r="7185" spans="6:6" ht="15" customHeight="1" x14ac:dyDescent="0.2">
      <c r="F7185"/>
    </row>
    <row r="7186" spans="6:6" ht="15" customHeight="1" x14ac:dyDescent="0.2">
      <c r="F7186"/>
    </row>
    <row r="7187" spans="6:6" ht="15" customHeight="1" x14ac:dyDescent="0.2">
      <c r="F7187"/>
    </row>
    <row r="7188" spans="6:6" ht="15" customHeight="1" x14ac:dyDescent="0.2">
      <c r="F7188"/>
    </row>
    <row r="7189" spans="6:6" ht="15" customHeight="1" x14ac:dyDescent="0.2">
      <c r="F7189"/>
    </row>
    <row r="7190" spans="6:6" ht="15" customHeight="1" x14ac:dyDescent="0.2">
      <c r="F7190"/>
    </row>
    <row r="7191" spans="6:6" ht="15" customHeight="1" x14ac:dyDescent="0.2">
      <c r="F7191"/>
    </row>
    <row r="7192" spans="6:6" ht="15" customHeight="1" x14ac:dyDescent="0.2">
      <c r="F7192"/>
    </row>
    <row r="7193" spans="6:6" ht="15" customHeight="1" x14ac:dyDescent="0.2">
      <c r="F7193"/>
    </row>
    <row r="7194" spans="6:6" ht="15" customHeight="1" x14ac:dyDescent="0.2">
      <c r="F7194"/>
    </row>
    <row r="7195" spans="6:6" ht="15" customHeight="1" x14ac:dyDescent="0.2">
      <c r="F7195"/>
    </row>
    <row r="7196" spans="6:6" ht="15" customHeight="1" x14ac:dyDescent="0.2">
      <c r="F7196"/>
    </row>
    <row r="7197" spans="6:6" ht="15" customHeight="1" x14ac:dyDescent="0.2">
      <c r="F7197"/>
    </row>
    <row r="7198" spans="6:6" ht="15" customHeight="1" x14ac:dyDescent="0.2">
      <c r="F7198"/>
    </row>
    <row r="7199" spans="6:6" ht="15" customHeight="1" x14ac:dyDescent="0.2">
      <c r="F7199"/>
    </row>
    <row r="7200" spans="6:6" ht="15" customHeight="1" x14ac:dyDescent="0.2">
      <c r="F7200"/>
    </row>
    <row r="7201" spans="6:6" ht="15" customHeight="1" x14ac:dyDescent="0.2">
      <c r="F7201"/>
    </row>
    <row r="7202" spans="6:6" ht="15" customHeight="1" x14ac:dyDescent="0.2">
      <c r="F7202"/>
    </row>
    <row r="7203" spans="6:6" ht="15" customHeight="1" x14ac:dyDescent="0.2">
      <c r="F7203"/>
    </row>
    <row r="7204" spans="6:6" ht="15" customHeight="1" x14ac:dyDescent="0.2">
      <c r="F7204"/>
    </row>
    <row r="7205" spans="6:6" ht="15" customHeight="1" x14ac:dyDescent="0.2">
      <c r="F7205"/>
    </row>
    <row r="7206" spans="6:6" ht="15" customHeight="1" x14ac:dyDescent="0.2">
      <c r="F7206"/>
    </row>
    <row r="7207" spans="6:6" ht="15" customHeight="1" x14ac:dyDescent="0.2">
      <c r="F7207"/>
    </row>
    <row r="7208" spans="6:6" ht="15" customHeight="1" x14ac:dyDescent="0.2">
      <c r="F7208"/>
    </row>
    <row r="7209" spans="6:6" ht="15" customHeight="1" x14ac:dyDescent="0.2">
      <c r="F7209"/>
    </row>
    <row r="7210" spans="6:6" ht="15" customHeight="1" x14ac:dyDescent="0.2">
      <c r="F7210"/>
    </row>
    <row r="7211" spans="6:6" ht="15" customHeight="1" x14ac:dyDescent="0.2">
      <c r="F7211"/>
    </row>
    <row r="7212" spans="6:6" ht="15" customHeight="1" x14ac:dyDescent="0.2">
      <c r="F7212"/>
    </row>
    <row r="7213" spans="6:6" ht="15" customHeight="1" x14ac:dyDescent="0.2">
      <c r="F7213"/>
    </row>
    <row r="7214" spans="6:6" ht="15" customHeight="1" x14ac:dyDescent="0.2">
      <c r="F7214"/>
    </row>
    <row r="7215" spans="6:6" ht="15" customHeight="1" x14ac:dyDescent="0.2">
      <c r="F7215"/>
    </row>
    <row r="7216" spans="6:6" ht="15" customHeight="1" x14ac:dyDescent="0.2">
      <c r="F7216"/>
    </row>
    <row r="7217" spans="6:6" ht="15" customHeight="1" x14ac:dyDescent="0.2">
      <c r="F7217"/>
    </row>
    <row r="7218" spans="6:6" ht="15" customHeight="1" x14ac:dyDescent="0.2">
      <c r="F7218"/>
    </row>
    <row r="7219" spans="6:6" ht="15" customHeight="1" x14ac:dyDescent="0.2">
      <c r="F7219"/>
    </row>
    <row r="7220" spans="6:6" ht="15" customHeight="1" x14ac:dyDescent="0.2">
      <c r="F7220"/>
    </row>
    <row r="7221" spans="6:6" ht="15" customHeight="1" x14ac:dyDescent="0.2">
      <c r="F7221"/>
    </row>
    <row r="7222" spans="6:6" ht="15" customHeight="1" x14ac:dyDescent="0.2">
      <c r="F7222"/>
    </row>
    <row r="7223" spans="6:6" ht="15" customHeight="1" x14ac:dyDescent="0.2">
      <c r="F7223"/>
    </row>
    <row r="7224" spans="6:6" ht="15" customHeight="1" x14ac:dyDescent="0.2">
      <c r="F7224"/>
    </row>
    <row r="7225" spans="6:6" ht="15" customHeight="1" x14ac:dyDescent="0.2">
      <c r="F7225"/>
    </row>
    <row r="7226" spans="6:6" ht="15" customHeight="1" x14ac:dyDescent="0.2">
      <c r="F7226"/>
    </row>
    <row r="7227" spans="6:6" ht="15" customHeight="1" x14ac:dyDescent="0.2">
      <c r="F7227"/>
    </row>
    <row r="7228" spans="6:6" ht="15" customHeight="1" x14ac:dyDescent="0.2">
      <c r="F7228"/>
    </row>
    <row r="7229" spans="6:6" ht="15" customHeight="1" x14ac:dyDescent="0.2">
      <c r="F7229"/>
    </row>
    <row r="7230" spans="6:6" ht="15" customHeight="1" x14ac:dyDescent="0.2">
      <c r="F7230"/>
    </row>
    <row r="7231" spans="6:6" ht="15" customHeight="1" x14ac:dyDescent="0.2">
      <c r="F7231"/>
    </row>
    <row r="7232" spans="6:6" ht="15" customHeight="1" x14ac:dyDescent="0.2">
      <c r="F7232"/>
    </row>
    <row r="7233" spans="6:6" ht="15" customHeight="1" x14ac:dyDescent="0.2">
      <c r="F7233"/>
    </row>
    <row r="7234" spans="6:6" ht="15" customHeight="1" x14ac:dyDescent="0.2">
      <c r="F7234"/>
    </row>
    <row r="7235" spans="6:6" ht="15" customHeight="1" x14ac:dyDescent="0.2">
      <c r="F7235"/>
    </row>
    <row r="7236" spans="6:6" ht="15" customHeight="1" x14ac:dyDescent="0.2">
      <c r="F7236"/>
    </row>
    <row r="7237" spans="6:6" ht="15" customHeight="1" x14ac:dyDescent="0.2">
      <c r="F7237"/>
    </row>
    <row r="7238" spans="6:6" ht="15" customHeight="1" x14ac:dyDescent="0.2">
      <c r="F7238"/>
    </row>
    <row r="7239" spans="6:6" ht="15" customHeight="1" x14ac:dyDescent="0.2">
      <c r="F7239"/>
    </row>
    <row r="7240" spans="6:6" ht="15" customHeight="1" x14ac:dyDescent="0.2">
      <c r="F7240"/>
    </row>
    <row r="7241" spans="6:6" ht="15" customHeight="1" x14ac:dyDescent="0.2">
      <c r="F7241"/>
    </row>
    <row r="7242" spans="6:6" ht="15" customHeight="1" x14ac:dyDescent="0.2">
      <c r="F7242"/>
    </row>
    <row r="7243" spans="6:6" ht="15" customHeight="1" x14ac:dyDescent="0.2">
      <c r="F7243"/>
    </row>
    <row r="7244" spans="6:6" ht="15" customHeight="1" x14ac:dyDescent="0.2">
      <c r="F7244"/>
    </row>
    <row r="7245" spans="6:6" ht="15" customHeight="1" x14ac:dyDescent="0.2">
      <c r="F7245"/>
    </row>
    <row r="7246" spans="6:6" ht="15" customHeight="1" x14ac:dyDescent="0.2">
      <c r="F7246"/>
    </row>
    <row r="7247" spans="6:6" ht="15" customHeight="1" x14ac:dyDescent="0.2">
      <c r="F7247"/>
    </row>
    <row r="7248" spans="6:6" ht="15" customHeight="1" x14ac:dyDescent="0.2">
      <c r="F7248"/>
    </row>
    <row r="7249" spans="6:6" ht="15" customHeight="1" x14ac:dyDescent="0.2">
      <c r="F7249"/>
    </row>
    <row r="7250" spans="6:6" ht="15" customHeight="1" x14ac:dyDescent="0.2">
      <c r="F7250"/>
    </row>
    <row r="7251" spans="6:6" ht="15" customHeight="1" x14ac:dyDescent="0.2">
      <c r="F7251"/>
    </row>
    <row r="7252" spans="6:6" ht="15" customHeight="1" x14ac:dyDescent="0.2">
      <c r="F7252"/>
    </row>
    <row r="7253" spans="6:6" ht="15" customHeight="1" x14ac:dyDescent="0.2">
      <c r="F7253"/>
    </row>
    <row r="7254" spans="6:6" ht="15" customHeight="1" x14ac:dyDescent="0.2">
      <c r="F7254"/>
    </row>
    <row r="7255" spans="6:6" ht="15" customHeight="1" x14ac:dyDescent="0.2">
      <c r="F7255"/>
    </row>
    <row r="7256" spans="6:6" ht="15" customHeight="1" x14ac:dyDescent="0.2">
      <c r="F7256"/>
    </row>
    <row r="7257" spans="6:6" ht="15" customHeight="1" x14ac:dyDescent="0.2">
      <c r="F7257"/>
    </row>
    <row r="7258" spans="6:6" ht="15" customHeight="1" x14ac:dyDescent="0.2">
      <c r="F7258"/>
    </row>
    <row r="7259" spans="6:6" ht="15" customHeight="1" x14ac:dyDescent="0.2">
      <c r="F7259"/>
    </row>
    <row r="7260" spans="6:6" ht="15" customHeight="1" x14ac:dyDescent="0.2">
      <c r="F7260"/>
    </row>
    <row r="7261" spans="6:6" ht="15" customHeight="1" x14ac:dyDescent="0.2">
      <c r="F7261"/>
    </row>
    <row r="7262" spans="6:6" ht="15" customHeight="1" x14ac:dyDescent="0.2">
      <c r="F7262"/>
    </row>
    <row r="7263" spans="6:6" ht="15" customHeight="1" x14ac:dyDescent="0.2">
      <c r="F7263"/>
    </row>
    <row r="7264" spans="6:6" ht="15" customHeight="1" x14ac:dyDescent="0.2">
      <c r="F7264"/>
    </row>
    <row r="7265" spans="6:6" ht="15" customHeight="1" x14ac:dyDescent="0.2">
      <c r="F7265"/>
    </row>
    <row r="7266" spans="6:6" ht="15" customHeight="1" x14ac:dyDescent="0.2">
      <c r="F7266"/>
    </row>
    <row r="7267" spans="6:6" ht="15" customHeight="1" x14ac:dyDescent="0.2">
      <c r="F7267"/>
    </row>
    <row r="7268" spans="6:6" ht="15" customHeight="1" x14ac:dyDescent="0.2">
      <c r="F7268"/>
    </row>
    <row r="7269" spans="6:6" ht="15" customHeight="1" x14ac:dyDescent="0.2">
      <c r="F7269"/>
    </row>
    <row r="7270" spans="6:6" ht="15" customHeight="1" x14ac:dyDescent="0.2">
      <c r="F7270"/>
    </row>
    <row r="7271" spans="6:6" ht="15" customHeight="1" x14ac:dyDescent="0.2">
      <c r="F7271"/>
    </row>
    <row r="7272" spans="6:6" ht="15" customHeight="1" x14ac:dyDescent="0.2">
      <c r="F7272"/>
    </row>
    <row r="7273" spans="6:6" ht="15" customHeight="1" x14ac:dyDescent="0.2">
      <c r="F7273"/>
    </row>
    <row r="7274" spans="6:6" ht="15" customHeight="1" x14ac:dyDescent="0.2">
      <c r="F7274"/>
    </row>
    <row r="7275" spans="6:6" ht="15" customHeight="1" x14ac:dyDescent="0.2">
      <c r="F7275"/>
    </row>
    <row r="7276" spans="6:6" ht="15" customHeight="1" x14ac:dyDescent="0.2">
      <c r="F7276"/>
    </row>
    <row r="7277" spans="6:6" ht="15" customHeight="1" x14ac:dyDescent="0.2">
      <c r="F7277"/>
    </row>
    <row r="7278" spans="6:6" ht="15" customHeight="1" x14ac:dyDescent="0.2">
      <c r="F7278"/>
    </row>
    <row r="7279" spans="6:6" ht="15" customHeight="1" x14ac:dyDescent="0.2">
      <c r="F7279"/>
    </row>
    <row r="7280" spans="6:6" ht="15" customHeight="1" x14ac:dyDescent="0.2">
      <c r="F7280"/>
    </row>
    <row r="7281" spans="6:6" ht="15" customHeight="1" x14ac:dyDescent="0.2">
      <c r="F7281"/>
    </row>
    <row r="7282" spans="6:6" ht="15" customHeight="1" x14ac:dyDescent="0.2">
      <c r="F7282"/>
    </row>
    <row r="7283" spans="6:6" ht="15" customHeight="1" x14ac:dyDescent="0.2">
      <c r="F7283"/>
    </row>
    <row r="7284" spans="6:6" ht="15" customHeight="1" x14ac:dyDescent="0.2">
      <c r="F7284"/>
    </row>
    <row r="7285" spans="6:6" ht="15" customHeight="1" x14ac:dyDescent="0.2">
      <c r="F7285"/>
    </row>
    <row r="7286" spans="6:6" ht="15" customHeight="1" x14ac:dyDescent="0.2">
      <c r="F7286"/>
    </row>
    <row r="7287" spans="6:6" ht="15" customHeight="1" x14ac:dyDescent="0.2">
      <c r="F7287"/>
    </row>
    <row r="7288" spans="6:6" ht="15" customHeight="1" x14ac:dyDescent="0.2">
      <c r="F7288"/>
    </row>
    <row r="7289" spans="6:6" ht="15" customHeight="1" x14ac:dyDescent="0.2">
      <c r="F7289"/>
    </row>
    <row r="7290" spans="6:6" ht="15" customHeight="1" x14ac:dyDescent="0.2">
      <c r="F7290"/>
    </row>
    <row r="7291" spans="6:6" ht="15" customHeight="1" x14ac:dyDescent="0.2">
      <c r="F7291"/>
    </row>
    <row r="7292" spans="6:6" ht="15" customHeight="1" x14ac:dyDescent="0.2">
      <c r="F7292"/>
    </row>
    <row r="7293" spans="6:6" ht="15" customHeight="1" x14ac:dyDescent="0.2">
      <c r="F7293"/>
    </row>
    <row r="7294" spans="6:6" ht="15" customHeight="1" x14ac:dyDescent="0.2">
      <c r="F7294"/>
    </row>
    <row r="7295" spans="6:6" ht="15" customHeight="1" x14ac:dyDescent="0.2">
      <c r="F7295"/>
    </row>
    <row r="7296" spans="6:6" ht="15" customHeight="1" x14ac:dyDescent="0.2">
      <c r="F7296"/>
    </row>
    <row r="7297" spans="6:6" ht="15" customHeight="1" x14ac:dyDescent="0.2">
      <c r="F7297"/>
    </row>
    <row r="7298" spans="6:6" ht="15" customHeight="1" x14ac:dyDescent="0.2">
      <c r="F7298"/>
    </row>
    <row r="7299" spans="6:6" ht="15" customHeight="1" x14ac:dyDescent="0.2">
      <c r="F7299"/>
    </row>
    <row r="7300" spans="6:6" ht="15" customHeight="1" x14ac:dyDescent="0.2">
      <c r="F7300"/>
    </row>
    <row r="7301" spans="6:6" ht="15" customHeight="1" x14ac:dyDescent="0.2">
      <c r="F7301"/>
    </row>
    <row r="7302" spans="6:6" ht="15" customHeight="1" x14ac:dyDescent="0.2">
      <c r="F7302"/>
    </row>
    <row r="7303" spans="6:6" ht="15" customHeight="1" x14ac:dyDescent="0.2">
      <c r="F7303"/>
    </row>
    <row r="7304" spans="6:6" ht="15" customHeight="1" x14ac:dyDescent="0.2">
      <c r="F7304"/>
    </row>
    <row r="7305" spans="6:6" ht="15" customHeight="1" x14ac:dyDescent="0.2">
      <c r="F7305"/>
    </row>
    <row r="7306" spans="6:6" ht="15" customHeight="1" x14ac:dyDescent="0.2">
      <c r="F7306"/>
    </row>
    <row r="7307" spans="6:6" ht="15" customHeight="1" x14ac:dyDescent="0.2">
      <c r="F7307"/>
    </row>
    <row r="7308" spans="6:6" ht="15" customHeight="1" x14ac:dyDescent="0.2">
      <c r="F7308"/>
    </row>
    <row r="7309" spans="6:6" ht="15" customHeight="1" x14ac:dyDescent="0.2">
      <c r="F7309"/>
    </row>
    <row r="7310" spans="6:6" ht="15" customHeight="1" x14ac:dyDescent="0.2">
      <c r="F7310"/>
    </row>
    <row r="7311" spans="6:6" ht="15" customHeight="1" x14ac:dyDescent="0.2">
      <c r="F7311"/>
    </row>
    <row r="7312" spans="6:6" ht="15" customHeight="1" x14ac:dyDescent="0.2">
      <c r="F7312"/>
    </row>
    <row r="7313" spans="6:6" ht="15" customHeight="1" x14ac:dyDescent="0.2">
      <c r="F7313"/>
    </row>
    <row r="7314" spans="6:6" ht="15" customHeight="1" x14ac:dyDescent="0.2">
      <c r="F7314"/>
    </row>
    <row r="7315" spans="6:6" ht="15" customHeight="1" x14ac:dyDescent="0.2">
      <c r="F7315"/>
    </row>
    <row r="7316" spans="6:6" ht="15" customHeight="1" x14ac:dyDescent="0.2">
      <c r="F7316"/>
    </row>
    <row r="7317" spans="6:6" ht="15" customHeight="1" x14ac:dyDescent="0.2">
      <c r="F7317"/>
    </row>
    <row r="7318" spans="6:6" ht="15" customHeight="1" x14ac:dyDescent="0.2">
      <c r="F7318"/>
    </row>
    <row r="7319" spans="6:6" ht="15" customHeight="1" x14ac:dyDescent="0.2">
      <c r="F7319"/>
    </row>
    <row r="7320" spans="6:6" ht="15" customHeight="1" x14ac:dyDescent="0.2">
      <c r="F7320"/>
    </row>
    <row r="7321" spans="6:6" ht="15" customHeight="1" x14ac:dyDescent="0.2">
      <c r="F7321"/>
    </row>
    <row r="7322" spans="6:6" ht="15" customHeight="1" x14ac:dyDescent="0.2">
      <c r="F7322"/>
    </row>
    <row r="7323" spans="6:6" ht="15" customHeight="1" x14ac:dyDescent="0.2">
      <c r="F7323"/>
    </row>
    <row r="7324" spans="6:6" ht="15" customHeight="1" x14ac:dyDescent="0.2">
      <c r="F7324"/>
    </row>
    <row r="7325" spans="6:6" ht="15" customHeight="1" x14ac:dyDescent="0.2">
      <c r="F7325"/>
    </row>
    <row r="7326" spans="6:6" ht="15" customHeight="1" x14ac:dyDescent="0.2">
      <c r="F7326"/>
    </row>
    <row r="7327" spans="6:6" ht="15" customHeight="1" x14ac:dyDescent="0.2">
      <c r="F7327"/>
    </row>
    <row r="7328" spans="6:6" ht="15" customHeight="1" x14ac:dyDescent="0.2">
      <c r="F7328"/>
    </row>
    <row r="7329" spans="6:6" ht="15" customHeight="1" x14ac:dyDescent="0.2">
      <c r="F7329"/>
    </row>
    <row r="7330" spans="6:6" ht="15" customHeight="1" x14ac:dyDescent="0.2">
      <c r="F7330"/>
    </row>
    <row r="7331" spans="6:6" ht="15" customHeight="1" x14ac:dyDescent="0.2">
      <c r="F7331"/>
    </row>
    <row r="7332" spans="6:6" ht="15" customHeight="1" x14ac:dyDescent="0.2">
      <c r="F7332"/>
    </row>
    <row r="7333" spans="6:6" ht="15" customHeight="1" x14ac:dyDescent="0.2">
      <c r="F7333"/>
    </row>
    <row r="7334" spans="6:6" ht="15" customHeight="1" x14ac:dyDescent="0.2">
      <c r="F7334"/>
    </row>
    <row r="7335" spans="6:6" ht="15" customHeight="1" x14ac:dyDescent="0.2">
      <c r="F7335"/>
    </row>
    <row r="7336" spans="6:6" ht="15" customHeight="1" x14ac:dyDescent="0.2">
      <c r="F7336"/>
    </row>
    <row r="7337" spans="6:6" ht="15" customHeight="1" x14ac:dyDescent="0.2">
      <c r="F7337"/>
    </row>
    <row r="7338" spans="6:6" ht="15" customHeight="1" x14ac:dyDescent="0.2">
      <c r="F7338"/>
    </row>
    <row r="7339" spans="6:6" ht="15" customHeight="1" x14ac:dyDescent="0.2">
      <c r="F7339"/>
    </row>
    <row r="7340" spans="6:6" ht="15" customHeight="1" x14ac:dyDescent="0.2">
      <c r="F7340"/>
    </row>
    <row r="7341" spans="6:6" ht="15" customHeight="1" x14ac:dyDescent="0.2">
      <c r="F7341"/>
    </row>
    <row r="7342" spans="6:6" ht="15" customHeight="1" x14ac:dyDescent="0.2">
      <c r="F7342"/>
    </row>
    <row r="7343" spans="6:6" ht="15" customHeight="1" x14ac:dyDescent="0.2">
      <c r="F7343"/>
    </row>
    <row r="7344" spans="6:6" ht="15" customHeight="1" x14ac:dyDescent="0.2">
      <c r="F7344"/>
    </row>
    <row r="7345" spans="6:6" ht="15" customHeight="1" x14ac:dyDescent="0.2">
      <c r="F7345"/>
    </row>
    <row r="7346" spans="6:6" ht="15" customHeight="1" x14ac:dyDescent="0.2">
      <c r="F7346"/>
    </row>
    <row r="7347" spans="6:6" ht="15" customHeight="1" x14ac:dyDescent="0.2">
      <c r="F7347"/>
    </row>
    <row r="7348" spans="6:6" ht="15" customHeight="1" x14ac:dyDescent="0.2">
      <c r="F7348"/>
    </row>
    <row r="7349" spans="6:6" ht="15" customHeight="1" x14ac:dyDescent="0.2">
      <c r="F7349"/>
    </row>
    <row r="7350" spans="6:6" ht="15" customHeight="1" x14ac:dyDescent="0.2">
      <c r="F7350"/>
    </row>
    <row r="7351" spans="6:6" ht="15" customHeight="1" x14ac:dyDescent="0.2">
      <c r="F7351"/>
    </row>
    <row r="7352" spans="6:6" ht="15" customHeight="1" x14ac:dyDescent="0.2">
      <c r="F7352"/>
    </row>
    <row r="7353" spans="6:6" ht="15" customHeight="1" x14ac:dyDescent="0.2">
      <c r="F7353"/>
    </row>
    <row r="7354" spans="6:6" ht="15" customHeight="1" x14ac:dyDescent="0.2">
      <c r="F7354"/>
    </row>
    <row r="7355" spans="6:6" ht="15" customHeight="1" x14ac:dyDescent="0.2">
      <c r="F7355"/>
    </row>
    <row r="7356" spans="6:6" ht="15" customHeight="1" x14ac:dyDescent="0.2">
      <c r="F7356"/>
    </row>
    <row r="7357" spans="6:6" ht="15" customHeight="1" x14ac:dyDescent="0.2">
      <c r="F7357"/>
    </row>
    <row r="7358" spans="6:6" ht="15" customHeight="1" x14ac:dyDescent="0.2">
      <c r="F7358"/>
    </row>
    <row r="7359" spans="6:6" ht="15" customHeight="1" x14ac:dyDescent="0.2">
      <c r="F7359"/>
    </row>
    <row r="7360" spans="6:6" ht="15" customHeight="1" x14ac:dyDescent="0.2">
      <c r="F7360"/>
    </row>
    <row r="7361" spans="6:6" ht="15" customHeight="1" x14ac:dyDescent="0.2">
      <c r="F7361"/>
    </row>
    <row r="7362" spans="6:6" ht="15" customHeight="1" x14ac:dyDescent="0.2">
      <c r="F7362"/>
    </row>
    <row r="7363" spans="6:6" ht="15" customHeight="1" x14ac:dyDescent="0.2">
      <c r="F7363"/>
    </row>
    <row r="7364" spans="6:6" ht="15" customHeight="1" x14ac:dyDescent="0.2">
      <c r="F7364"/>
    </row>
    <row r="7365" spans="6:6" ht="15" customHeight="1" x14ac:dyDescent="0.2">
      <c r="F7365"/>
    </row>
    <row r="7366" spans="6:6" ht="15" customHeight="1" x14ac:dyDescent="0.2">
      <c r="F7366"/>
    </row>
    <row r="7367" spans="6:6" ht="15" customHeight="1" x14ac:dyDescent="0.2">
      <c r="F7367"/>
    </row>
    <row r="7368" spans="6:6" ht="15" customHeight="1" x14ac:dyDescent="0.2">
      <c r="F7368"/>
    </row>
    <row r="7369" spans="6:6" ht="15" customHeight="1" x14ac:dyDescent="0.2">
      <c r="F7369"/>
    </row>
    <row r="7370" spans="6:6" ht="15" customHeight="1" x14ac:dyDescent="0.2">
      <c r="F7370"/>
    </row>
    <row r="7371" spans="6:6" ht="15" customHeight="1" x14ac:dyDescent="0.2">
      <c r="F7371"/>
    </row>
    <row r="7372" spans="6:6" ht="15" customHeight="1" x14ac:dyDescent="0.2">
      <c r="F7372"/>
    </row>
    <row r="7373" spans="6:6" ht="15" customHeight="1" x14ac:dyDescent="0.2">
      <c r="F7373"/>
    </row>
    <row r="7374" spans="6:6" ht="15" customHeight="1" x14ac:dyDescent="0.2">
      <c r="F7374"/>
    </row>
    <row r="7375" spans="6:6" ht="15" customHeight="1" x14ac:dyDescent="0.2">
      <c r="F7375"/>
    </row>
    <row r="7376" spans="6:6" ht="15" customHeight="1" x14ac:dyDescent="0.2">
      <c r="F7376"/>
    </row>
    <row r="7377" spans="6:6" ht="15" customHeight="1" x14ac:dyDescent="0.2">
      <c r="F7377"/>
    </row>
    <row r="7378" spans="6:6" ht="15" customHeight="1" x14ac:dyDescent="0.2">
      <c r="F7378"/>
    </row>
    <row r="7379" spans="6:6" ht="15" customHeight="1" x14ac:dyDescent="0.2">
      <c r="F7379"/>
    </row>
    <row r="7380" spans="6:6" ht="15" customHeight="1" x14ac:dyDescent="0.2">
      <c r="F7380"/>
    </row>
    <row r="7381" spans="6:6" ht="15" customHeight="1" x14ac:dyDescent="0.2">
      <c r="F7381"/>
    </row>
    <row r="7382" spans="6:6" ht="15" customHeight="1" x14ac:dyDescent="0.2">
      <c r="F7382"/>
    </row>
    <row r="7383" spans="6:6" ht="15" customHeight="1" x14ac:dyDescent="0.2">
      <c r="F7383"/>
    </row>
    <row r="7384" spans="6:6" ht="15" customHeight="1" x14ac:dyDescent="0.2">
      <c r="F7384"/>
    </row>
    <row r="7385" spans="6:6" ht="15" customHeight="1" x14ac:dyDescent="0.2">
      <c r="F7385"/>
    </row>
    <row r="7386" spans="6:6" ht="15" customHeight="1" x14ac:dyDescent="0.2">
      <c r="F7386"/>
    </row>
    <row r="7387" spans="6:6" ht="15" customHeight="1" x14ac:dyDescent="0.2">
      <c r="F7387"/>
    </row>
    <row r="7388" spans="6:6" ht="15" customHeight="1" x14ac:dyDescent="0.2">
      <c r="F7388"/>
    </row>
    <row r="7389" spans="6:6" ht="15" customHeight="1" x14ac:dyDescent="0.2">
      <c r="F7389"/>
    </row>
    <row r="7390" spans="6:6" ht="15" customHeight="1" x14ac:dyDescent="0.2">
      <c r="F7390"/>
    </row>
    <row r="7391" spans="6:6" ht="15" customHeight="1" x14ac:dyDescent="0.2">
      <c r="F7391"/>
    </row>
    <row r="7392" spans="6:6" ht="15" customHeight="1" x14ac:dyDescent="0.2">
      <c r="F7392"/>
    </row>
    <row r="7393" spans="6:6" ht="15" customHeight="1" x14ac:dyDescent="0.2">
      <c r="F7393"/>
    </row>
    <row r="7394" spans="6:6" ht="15" customHeight="1" x14ac:dyDescent="0.2">
      <c r="F7394"/>
    </row>
    <row r="7395" spans="6:6" ht="15" customHeight="1" x14ac:dyDescent="0.2">
      <c r="F7395"/>
    </row>
    <row r="7396" spans="6:6" ht="15" customHeight="1" x14ac:dyDescent="0.2">
      <c r="F7396"/>
    </row>
    <row r="7397" spans="6:6" ht="15" customHeight="1" x14ac:dyDescent="0.2">
      <c r="F7397"/>
    </row>
    <row r="7398" spans="6:6" ht="15" customHeight="1" x14ac:dyDescent="0.2">
      <c r="F7398"/>
    </row>
    <row r="7399" spans="6:6" ht="15" customHeight="1" x14ac:dyDescent="0.2">
      <c r="F7399"/>
    </row>
    <row r="7400" spans="6:6" ht="15" customHeight="1" x14ac:dyDescent="0.2">
      <c r="F7400"/>
    </row>
    <row r="7401" spans="6:6" ht="15" customHeight="1" x14ac:dyDescent="0.2">
      <c r="F7401"/>
    </row>
    <row r="7402" spans="6:6" ht="15" customHeight="1" x14ac:dyDescent="0.2">
      <c r="F7402"/>
    </row>
    <row r="7403" spans="6:6" ht="15" customHeight="1" x14ac:dyDescent="0.2">
      <c r="F7403"/>
    </row>
    <row r="7404" spans="6:6" ht="15" customHeight="1" x14ac:dyDescent="0.2">
      <c r="F7404"/>
    </row>
    <row r="7405" spans="6:6" ht="15" customHeight="1" x14ac:dyDescent="0.2">
      <c r="F7405"/>
    </row>
    <row r="7406" spans="6:6" ht="15" customHeight="1" x14ac:dyDescent="0.2">
      <c r="F7406"/>
    </row>
    <row r="7407" spans="6:6" ht="15" customHeight="1" x14ac:dyDescent="0.2">
      <c r="F7407"/>
    </row>
    <row r="7408" spans="6:6" ht="15" customHeight="1" x14ac:dyDescent="0.2">
      <c r="F7408"/>
    </row>
    <row r="7409" spans="6:6" ht="15" customHeight="1" x14ac:dyDescent="0.2">
      <c r="F7409"/>
    </row>
    <row r="7410" spans="6:6" ht="15" customHeight="1" x14ac:dyDescent="0.2">
      <c r="F7410"/>
    </row>
    <row r="7411" spans="6:6" ht="15" customHeight="1" x14ac:dyDescent="0.2">
      <c r="F7411"/>
    </row>
    <row r="7412" spans="6:6" ht="15" customHeight="1" x14ac:dyDescent="0.2">
      <c r="F7412"/>
    </row>
    <row r="7413" spans="6:6" ht="15" customHeight="1" x14ac:dyDescent="0.2">
      <c r="F7413"/>
    </row>
    <row r="7414" spans="6:6" ht="15" customHeight="1" x14ac:dyDescent="0.2">
      <c r="F7414"/>
    </row>
    <row r="7415" spans="6:6" ht="15" customHeight="1" x14ac:dyDescent="0.2">
      <c r="F7415"/>
    </row>
    <row r="7416" spans="6:6" ht="15" customHeight="1" x14ac:dyDescent="0.2">
      <c r="F7416"/>
    </row>
    <row r="7417" spans="6:6" ht="15" customHeight="1" x14ac:dyDescent="0.2">
      <c r="F7417"/>
    </row>
    <row r="7418" spans="6:6" ht="15" customHeight="1" x14ac:dyDescent="0.2">
      <c r="F7418"/>
    </row>
    <row r="7419" spans="6:6" ht="15" customHeight="1" x14ac:dyDescent="0.2">
      <c r="F7419"/>
    </row>
    <row r="7420" spans="6:6" ht="15" customHeight="1" x14ac:dyDescent="0.2">
      <c r="F7420"/>
    </row>
    <row r="7421" spans="6:6" ht="15" customHeight="1" x14ac:dyDescent="0.2">
      <c r="F7421"/>
    </row>
    <row r="7422" spans="6:6" ht="15" customHeight="1" x14ac:dyDescent="0.2">
      <c r="F7422"/>
    </row>
    <row r="7423" spans="6:6" ht="15" customHeight="1" x14ac:dyDescent="0.2">
      <c r="F7423"/>
    </row>
    <row r="7424" spans="6:6" ht="15" customHeight="1" x14ac:dyDescent="0.2">
      <c r="F7424"/>
    </row>
    <row r="7425" spans="6:6" ht="15" customHeight="1" x14ac:dyDescent="0.2">
      <c r="F7425"/>
    </row>
    <row r="7426" spans="6:6" ht="15" customHeight="1" x14ac:dyDescent="0.2">
      <c r="F7426"/>
    </row>
    <row r="7427" spans="6:6" ht="15" customHeight="1" x14ac:dyDescent="0.2">
      <c r="F7427"/>
    </row>
    <row r="7428" spans="6:6" ht="15" customHeight="1" x14ac:dyDescent="0.2">
      <c r="F7428"/>
    </row>
    <row r="7429" spans="6:6" ht="15" customHeight="1" x14ac:dyDescent="0.2">
      <c r="F7429"/>
    </row>
    <row r="7430" spans="6:6" ht="15" customHeight="1" x14ac:dyDescent="0.2">
      <c r="F7430"/>
    </row>
    <row r="7431" spans="6:6" ht="15" customHeight="1" x14ac:dyDescent="0.2">
      <c r="F7431"/>
    </row>
    <row r="7432" spans="6:6" ht="15" customHeight="1" x14ac:dyDescent="0.2">
      <c r="F7432"/>
    </row>
    <row r="7433" spans="6:6" ht="15" customHeight="1" x14ac:dyDescent="0.2">
      <c r="F7433"/>
    </row>
    <row r="7434" spans="6:6" ht="15" customHeight="1" x14ac:dyDescent="0.2">
      <c r="F7434"/>
    </row>
    <row r="7435" spans="6:6" ht="15" customHeight="1" x14ac:dyDescent="0.2">
      <c r="F7435"/>
    </row>
    <row r="7436" spans="6:6" ht="15" customHeight="1" x14ac:dyDescent="0.2">
      <c r="F7436"/>
    </row>
    <row r="7437" spans="6:6" ht="15" customHeight="1" x14ac:dyDescent="0.2">
      <c r="F7437"/>
    </row>
    <row r="7438" spans="6:6" ht="15" customHeight="1" x14ac:dyDescent="0.2">
      <c r="F7438"/>
    </row>
    <row r="7439" spans="6:6" ht="15" customHeight="1" x14ac:dyDescent="0.2">
      <c r="F7439"/>
    </row>
    <row r="7440" spans="6:6" ht="15" customHeight="1" x14ac:dyDescent="0.2">
      <c r="F7440"/>
    </row>
    <row r="7441" spans="6:6" ht="15" customHeight="1" x14ac:dyDescent="0.2">
      <c r="F7441"/>
    </row>
    <row r="7442" spans="6:6" ht="15" customHeight="1" x14ac:dyDescent="0.2">
      <c r="F7442"/>
    </row>
    <row r="7443" spans="6:6" ht="15" customHeight="1" x14ac:dyDescent="0.2">
      <c r="F7443"/>
    </row>
    <row r="7444" spans="6:6" ht="15" customHeight="1" x14ac:dyDescent="0.2">
      <c r="F7444"/>
    </row>
    <row r="7445" spans="6:6" ht="15" customHeight="1" x14ac:dyDescent="0.2">
      <c r="F7445"/>
    </row>
    <row r="7446" spans="6:6" ht="15" customHeight="1" x14ac:dyDescent="0.2">
      <c r="F7446"/>
    </row>
    <row r="7447" spans="6:6" ht="15" customHeight="1" x14ac:dyDescent="0.2">
      <c r="F7447"/>
    </row>
    <row r="7448" spans="6:6" ht="15" customHeight="1" x14ac:dyDescent="0.2">
      <c r="F7448"/>
    </row>
    <row r="7449" spans="6:6" ht="15" customHeight="1" x14ac:dyDescent="0.2">
      <c r="F7449"/>
    </row>
    <row r="7450" spans="6:6" ht="15" customHeight="1" x14ac:dyDescent="0.2">
      <c r="F7450"/>
    </row>
    <row r="7451" spans="6:6" ht="15" customHeight="1" x14ac:dyDescent="0.2">
      <c r="F7451"/>
    </row>
    <row r="7452" spans="6:6" ht="15" customHeight="1" x14ac:dyDescent="0.2">
      <c r="F7452"/>
    </row>
    <row r="7453" spans="6:6" ht="15" customHeight="1" x14ac:dyDescent="0.2">
      <c r="F7453"/>
    </row>
    <row r="7454" spans="6:6" ht="15" customHeight="1" x14ac:dyDescent="0.2">
      <c r="F7454"/>
    </row>
    <row r="7455" spans="6:6" ht="15" customHeight="1" x14ac:dyDescent="0.2">
      <c r="F7455"/>
    </row>
    <row r="7456" spans="6:6" ht="15" customHeight="1" x14ac:dyDescent="0.2">
      <c r="F7456"/>
    </row>
    <row r="7457" spans="6:6" ht="15" customHeight="1" x14ac:dyDescent="0.2">
      <c r="F7457"/>
    </row>
    <row r="7458" spans="6:6" ht="15" customHeight="1" x14ac:dyDescent="0.2">
      <c r="F7458"/>
    </row>
    <row r="7459" spans="6:6" ht="15" customHeight="1" x14ac:dyDescent="0.2">
      <c r="F7459"/>
    </row>
    <row r="7460" spans="6:6" ht="15" customHeight="1" x14ac:dyDescent="0.2">
      <c r="F7460"/>
    </row>
    <row r="7461" spans="6:6" ht="15" customHeight="1" x14ac:dyDescent="0.2">
      <c r="F7461"/>
    </row>
    <row r="7462" spans="6:6" ht="15" customHeight="1" x14ac:dyDescent="0.2">
      <c r="F7462"/>
    </row>
    <row r="7463" spans="6:6" ht="15" customHeight="1" x14ac:dyDescent="0.2">
      <c r="F7463"/>
    </row>
    <row r="7464" spans="6:6" ht="15" customHeight="1" x14ac:dyDescent="0.2">
      <c r="F7464"/>
    </row>
    <row r="7465" spans="6:6" ht="15" customHeight="1" x14ac:dyDescent="0.2">
      <c r="F7465"/>
    </row>
    <row r="7466" spans="6:6" ht="15" customHeight="1" x14ac:dyDescent="0.2">
      <c r="F7466"/>
    </row>
    <row r="7467" spans="6:6" ht="15" customHeight="1" x14ac:dyDescent="0.2">
      <c r="F7467"/>
    </row>
    <row r="7468" spans="6:6" ht="15" customHeight="1" x14ac:dyDescent="0.2">
      <c r="F7468"/>
    </row>
    <row r="7469" spans="6:6" ht="15" customHeight="1" x14ac:dyDescent="0.2">
      <c r="F7469"/>
    </row>
    <row r="7470" spans="6:6" ht="15" customHeight="1" x14ac:dyDescent="0.2">
      <c r="F7470"/>
    </row>
    <row r="7471" spans="6:6" ht="15" customHeight="1" x14ac:dyDescent="0.2">
      <c r="F7471"/>
    </row>
    <row r="7472" spans="6:6" ht="15" customHeight="1" x14ac:dyDescent="0.2">
      <c r="F7472"/>
    </row>
    <row r="7473" spans="6:6" ht="15" customHeight="1" x14ac:dyDescent="0.2">
      <c r="F7473"/>
    </row>
    <row r="7474" spans="6:6" ht="15" customHeight="1" x14ac:dyDescent="0.2">
      <c r="F7474"/>
    </row>
    <row r="7475" spans="6:6" ht="15" customHeight="1" x14ac:dyDescent="0.2">
      <c r="F7475"/>
    </row>
    <row r="7476" spans="6:6" ht="15" customHeight="1" x14ac:dyDescent="0.2">
      <c r="F7476"/>
    </row>
    <row r="7477" spans="6:6" ht="15" customHeight="1" x14ac:dyDescent="0.2">
      <c r="F7477"/>
    </row>
    <row r="7478" spans="6:6" ht="15" customHeight="1" x14ac:dyDescent="0.2">
      <c r="F7478"/>
    </row>
    <row r="7479" spans="6:6" ht="15" customHeight="1" x14ac:dyDescent="0.2">
      <c r="F7479"/>
    </row>
    <row r="7480" spans="6:6" ht="15" customHeight="1" x14ac:dyDescent="0.2">
      <c r="F7480"/>
    </row>
    <row r="7481" spans="6:6" ht="15" customHeight="1" x14ac:dyDescent="0.2">
      <c r="F7481"/>
    </row>
    <row r="7482" spans="6:6" ht="15" customHeight="1" x14ac:dyDescent="0.2">
      <c r="F7482"/>
    </row>
    <row r="7483" spans="6:6" ht="15" customHeight="1" x14ac:dyDescent="0.2">
      <c r="F7483"/>
    </row>
    <row r="7484" spans="6:6" ht="15" customHeight="1" x14ac:dyDescent="0.2">
      <c r="F7484"/>
    </row>
    <row r="7485" spans="6:6" ht="15" customHeight="1" x14ac:dyDescent="0.2">
      <c r="F7485"/>
    </row>
    <row r="7486" spans="6:6" ht="15" customHeight="1" x14ac:dyDescent="0.2">
      <c r="F7486"/>
    </row>
    <row r="7487" spans="6:6" ht="15" customHeight="1" x14ac:dyDescent="0.2">
      <c r="F7487"/>
    </row>
    <row r="7488" spans="6:6" ht="15" customHeight="1" x14ac:dyDescent="0.2">
      <c r="F7488"/>
    </row>
    <row r="7489" spans="6:6" ht="15" customHeight="1" x14ac:dyDescent="0.2">
      <c r="F7489"/>
    </row>
    <row r="7490" spans="6:6" ht="15" customHeight="1" x14ac:dyDescent="0.2">
      <c r="F7490"/>
    </row>
    <row r="7491" spans="6:6" ht="15" customHeight="1" x14ac:dyDescent="0.2">
      <c r="F7491"/>
    </row>
    <row r="7492" spans="6:6" ht="15" customHeight="1" x14ac:dyDescent="0.2">
      <c r="F7492"/>
    </row>
    <row r="7493" spans="6:6" ht="15" customHeight="1" x14ac:dyDescent="0.2">
      <c r="F7493"/>
    </row>
    <row r="7494" spans="6:6" ht="15" customHeight="1" x14ac:dyDescent="0.2">
      <c r="F7494"/>
    </row>
    <row r="7495" spans="6:6" ht="15" customHeight="1" x14ac:dyDescent="0.2">
      <c r="F7495"/>
    </row>
    <row r="7496" spans="6:6" ht="15" customHeight="1" x14ac:dyDescent="0.2">
      <c r="F7496"/>
    </row>
    <row r="7497" spans="6:6" ht="15" customHeight="1" x14ac:dyDescent="0.2">
      <c r="F7497"/>
    </row>
    <row r="7498" spans="6:6" ht="15" customHeight="1" x14ac:dyDescent="0.2">
      <c r="F7498"/>
    </row>
    <row r="7499" spans="6:6" ht="15" customHeight="1" x14ac:dyDescent="0.2">
      <c r="F7499"/>
    </row>
    <row r="7500" spans="6:6" ht="15" customHeight="1" x14ac:dyDescent="0.2">
      <c r="F7500"/>
    </row>
    <row r="7501" spans="6:6" ht="15" customHeight="1" x14ac:dyDescent="0.2">
      <c r="F7501"/>
    </row>
    <row r="7502" spans="6:6" ht="15" customHeight="1" x14ac:dyDescent="0.2">
      <c r="F7502"/>
    </row>
    <row r="7503" spans="6:6" ht="15" customHeight="1" x14ac:dyDescent="0.2">
      <c r="F7503"/>
    </row>
    <row r="7504" spans="6:6" ht="15" customHeight="1" x14ac:dyDescent="0.2">
      <c r="F7504"/>
    </row>
    <row r="7505" spans="6:6" ht="15" customHeight="1" x14ac:dyDescent="0.2">
      <c r="F7505"/>
    </row>
    <row r="7506" spans="6:6" ht="15" customHeight="1" x14ac:dyDescent="0.2">
      <c r="F7506"/>
    </row>
    <row r="7507" spans="6:6" ht="15" customHeight="1" x14ac:dyDescent="0.2">
      <c r="F7507"/>
    </row>
    <row r="7508" spans="6:6" ht="15" customHeight="1" x14ac:dyDescent="0.2">
      <c r="F7508"/>
    </row>
    <row r="7509" spans="6:6" ht="15" customHeight="1" x14ac:dyDescent="0.2">
      <c r="F7509"/>
    </row>
    <row r="7510" spans="6:6" ht="15" customHeight="1" x14ac:dyDescent="0.2">
      <c r="F7510"/>
    </row>
    <row r="7511" spans="6:6" ht="15" customHeight="1" x14ac:dyDescent="0.2">
      <c r="F7511"/>
    </row>
    <row r="7512" spans="6:6" ht="15" customHeight="1" x14ac:dyDescent="0.2">
      <c r="F7512"/>
    </row>
    <row r="7513" spans="6:6" ht="15" customHeight="1" x14ac:dyDescent="0.2">
      <c r="F7513"/>
    </row>
    <row r="7514" spans="6:6" ht="15" customHeight="1" x14ac:dyDescent="0.2">
      <c r="F7514"/>
    </row>
    <row r="7515" spans="6:6" ht="15" customHeight="1" x14ac:dyDescent="0.2">
      <c r="F7515"/>
    </row>
    <row r="7516" spans="6:6" ht="15" customHeight="1" x14ac:dyDescent="0.2">
      <c r="F7516"/>
    </row>
    <row r="7517" spans="6:6" ht="15" customHeight="1" x14ac:dyDescent="0.2">
      <c r="F7517"/>
    </row>
    <row r="7518" spans="6:6" ht="15" customHeight="1" x14ac:dyDescent="0.2">
      <c r="F7518"/>
    </row>
    <row r="7519" spans="6:6" ht="15" customHeight="1" x14ac:dyDescent="0.2">
      <c r="F7519"/>
    </row>
    <row r="7520" spans="6:6" ht="15" customHeight="1" x14ac:dyDescent="0.2">
      <c r="F7520"/>
    </row>
    <row r="7521" spans="6:6" ht="15" customHeight="1" x14ac:dyDescent="0.2">
      <c r="F7521"/>
    </row>
    <row r="7522" spans="6:6" ht="15" customHeight="1" x14ac:dyDescent="0.2">
      <c r="F7522"/>
    </row>
    <row r="7523" spans="6:6" ht="15" customHeight="1" x14ac:dyDescent="0.2">
      <c r="F7523"/>
    </row>
    <row r="7524" spans="6:6" ht="15" customHeight="1" x14ac:dyDescent="0.2">
      <c r="F7524"/>
    </row>
    <row r="7525" spans="6:6" ht="15" customHeight="1" x14ac:dyDescent="0.2">
      <c r="F7525"/>
    </row>
    <row r="7526" spans="6:6" ht="15" customHeight="1" x14ac:dyDescent="0.2">
      <c r="F7526"/>
    </row>
    <row r="7527" spans="6:6" ht="15" customHeight="1" x14ac:dyDescent="0.2">
      <c r="F7527"/>
    </row>
    <row r="7528" spans="6:6" ht="15" customHeight="1" x14ac:dyDescent="0.2">
      <c r="F7528"/>
    </row>
    <row r="7529" spans="6:6" ht="15" customHeight="1" x14ac:dyDescent="0.2">
      <c r="F7529"/>
    </row>
    <row r="7530" spans="6:6" ht="15" customHeight="1" x14ac:dyDescent="0.2">
      <c r="F7530"/>
    </row>
    <row r="7531" spans="6:6" ht="15" customHeight="1" x14ac:dyDescent="0.2">
      <c r="F7531"/>
    </row>
    <row r="7532" spans="6:6" ht="15" customHeight="1" x14ac:dyDescent="0.2">
      <c r="F7532"/>
    </row>
    <row r="7533" spans="6:6" ht="15" customHeight="1" x14ac:dyDescent="0.2">
      <c r="F7533"/>
    </row>
    <row r="7534" spans="6:6" ht="15" customHeight="1" x14ac:dyDescent="0.2">
      <c r="F7534"/>
    </row>
    <row r="7535" spans="6:6" ht="15" customHeight="1" x14ac:dyDescent="0.2">
      <c r="F7535"/>
    </row>
    <row r="7536" spans="6:6" ht="15" customHeight="1" x14ac:dyDescent="0.2">
      <c r="F7536"/>
    </row>
    <row r="7537" spans="6:6" ht="15" customHeight="1" x14ac:dyDescent="0.2">
      <c r="F7537"/>
    </row>
    <row r="7538" spans="6:6" ht="15" customHeight="1" x14ac:dyDescent="0.2">
      <c r="F7538"/>
    </row>
    <row r="7539" spans="6:6" ht="15" customHeight="1" x14ac:dyDescent="0.2">
      <c r="F7539"/>
    </row>
    <row r="7540" spans="6:6" ht="15" customHeight="1" x14ac:dyDescent="0.2">
      <c r="F7540"/>
    </row>
    <row r="7541" spans="6:6" ht="15" customHeight="1" x14ac:dyDescent="0.2">
      <c r="F7541"/>
    </row>
    <row r="7542" spans="6:6" ht="15" customHeight="1" x14ac:dyDescent="0.2">
      <c r="F7542"/>
    </row>
    <row r="7543" spans="6:6" ht="15" customHeight="1" x14ac:dyDescent="0.2">
      <c r="F7543"/>
    </row>
    <row r="7544" spans="6:6" ht="15" customHeight="1" x14ac:dyDescent="0.2">
      <c r="F7544"/>
    </row>
    <row r="7545" spans="6:6" ht="15" customHeight="1" x14ac:dyDescent="0.2">
      <c r="F7545"/>
    </row>
    <row r="7546" spans="6:6" ht="15" customHeight="1" x14ac:dyDescent="0.2">
      <c r="F7546"/>
    </row>
    <row r="7547" spans="6:6" ht="15" customHeight="1" x14ac:dyDescent="0.2">
      <c r="F7547"/>
    </row>
    <row r="7548" spans="6:6" ht="15" customHeight="1" x14ac:dyDescent="0.2">
      <c r="F7548"/>
    </row>
    <row r="7549" spans="6:6" ht="15" customHeight="1" x14ac:dyDescent="0.2">
      <c r="F7549"/>
    </row>
    <row r="7550" spans="6:6" ht="15" customHeight="1" x14ac:dyDescent="0.2">
      <c r="F7550"/>
    </row>
    <row r="7551" spans="6:6" ht="15" customHeight="1" x14ac:dyDescent="0.2">
      <c r="F7551"/>
    </row>
    <row r="7552" spans="6:6" ht="15" customHeight="1" x14ac:dyDescent="0.2">
      <c r="F7552"/>
    </row>
    <row r="7553" spans="6:6" ht="15" customHeight="1" x14ac:dyDescent="0.2">
      <c r="F7553"/>
    </row>
    <row r="7554" spans="6:6" ht="15" customHeight="1" x14ac:dyDescent="0.2">
      <c r="F7554"/>
    </row>
    <row r="7555" spans="6:6" ht="15" customHeight="1" x14ac:dyDescent="0.2">
      <c r="F7555"/>
    </row>
    <row r="7556" spans="6:6" ht="15" customHeight="1" x14ac:dyDescent="0.2">
      <c r="F7556"/>
    </row>
    <row r="7557" spans="6:6" ht="15" customHeight="1" x14ac:dyDescent="0.2">
      <c r="F7557"/>
    </row>
    <row r="7558" spans="6:6" ht="15" customHeight="1" x14ac:dyDescent="0.2">
      <c r="F7558"/>
    </row>
    <row r="7559" spans="6:6" ht="15" customHeight="1" x14ac:dyDescent="0.2">
      <c r="F7559"/>
    </row>
    <row r="7560" spans="6:6" ht="15" customHeight="1" x14ac:dyDescent="0.2">
      <c r="F7560"/>
    </row>
    <row r="7561" spans="6:6" ht="15" customHeight="1" x14ac:dyDescent="0.2">
      <c r="F7561"/>
    </row>
    <row r="7562" spans="6:6" ht="15" customHeight="1" x14ac:dyDescent="0.2">
      <c r="F7562"/>
    </row>
    <row r="7563" spans="6:6" ht="15" customHeight="1" x14ac:dyDescent="0.2">
      <c r="F7563"/>
    </row>
    <row r="7564" spans="6:6" ht="15" customHeight="1" x14ac:dyDescent="0.2">
      <c r="F7564"/>
    </row>
    <row r="7565" spans="6:6" ht="15" customHeight="1" x14ac:dyDescent="0.2">
      <c r="F7565"/>
    </row>
    <row r="7566" spans="6:6" ht="15" customHeight="1" x14ac:dyDescent="0.2">
      <c r="F7566"/>
    </row>
    <row r="7567" spans="6:6" ht="15" customHeight="1" x14ac:dyDescent="0.2">
      <c r="F7567"/>
    </row>
    <row r="7568" spans="6:6" ht="15" customHeight="1" x14ac:dyDescent="0.2">
      <c r="F7568"/>
    </row>
    <row r="7569" spans="6:6" ht="15" customHeight="1" x14ac:dyDescent="0.2">
      <c r="F7569"/>
    </row>
    <row r="7570" spans="6:6" ht="15" customHeight="1" x14ac:dyDescent="0.2">
      <c r="F7570"/>
    </row>
    <row r="7571" spans="6:6" ht="15" customHeight="1" x14ac:dyDescent="0.2">
      <c r="F7571"/>
    </row>
    <row r="7572" spans="6:6" ht="15" customHeight="1" x14ac:dyDescent="0.2">
      <c r="F7572"/>
    </row>
    <row r="7573" spans="6:6" ht="15" customHeight="1" x14ac:dyDescent="0.2">
      <c r="F7573"/>
    </row>
    <row r="7574" spans="6:6" ht="15" customHeight="1" x14ac:dyDescent="0.2">
      <c r="F7574"/>
    </row>
    <row r="7575" spans="6:6" ht="15" customHeight="1" x14ac:dyDescent="0.2">
      <c r="F7575"/>
    </row>
    <row r="7576" spans="6:6" ht="15" customHeight="1" x14ac:dyDescent="0.2">
      <c r="F7576"/>
    </row>
    <row r="7577" spans="6:6" ht="15" customHeight="1" x14ac:dyDescent="0.2">
      <c r="F7577"/>
    </row>
    <row r="7578" spans="6:6" ht="15" customHeight="1" x14ac:dyDescent="0.2">
      <c r="F7578"/>
    </row>
    <row r="7579" spans="6:6" ht="15" customHeight="1" x14ac:dyDescent="0.2">
      <c r="F7579"/>
    </row>
    <row r="7580" spans="6:6" ht="15" customHeight="1" x14ac:dyDescent="0.2">
      <c r="F7580"/>
    </row>
    <row r="7581" spans="6:6" ht="15" customHeight="1" x14ac:dyDescent="0.2">
      <c r="F7581"/>
    </row>
    <row r="7582" spans="6:6" ht="15" customHeight="1" x14ac:dyDescent="0.2">
      <c r="F7582"/>
    </row>
    <row r="7583" spans="6:6" ht="15" customHeight="1" x14ac:dyDescent="0.2">
      <c r="F7583"/>
    </row>
    <row r="7584" spans="6:6" ht="15" customHeight="1" x14ac:dyDescent="0.2">
      <c r="F7584"/>
    </row>
    <row r="7585" spans="6:6" ht="15" customHeight="1" x14ac:dyDescent="0.2">
      <c r="F7585"/>
    </row>
    <row r="7586" spans="6:6" ht="15" customHeight="1" x14ac:dyDescent="0.2">
      <c r="F7586"/>
    </row>
    <row r="7587" spans="6:6" ht="15" customHeight="1" x14ac:dyDescent="0.2">
      <c r="F7587"/>
    </row>
    <row r="7588" spans="6:6" ht="15" customHeight="1" x14ac:dyDescent="0.2">
      <c r="F7588"/>
    </row>
    <row r="7589" spans="6:6" ht="15" customHeight="1" x14ac:dyDescent="0.2">
      <c r="F7589"/>
    </row>
    <row r="7590" spans="6:6" ht="15" customHeight="1" x14ac:dyDescent="0.2">
      <c r="F7590"/>
    </row>
    <row r="7591" spans="6:6" ht="15" customHeight="1" x14ac:dyDescent="0.2">
      <c r="F7591"/>
    </row>
    <row r="7592" spans="6:6" ht="15" customHeight="1" x14ac:dyDescent="0.2">
      <c r="F7592"/>
    </row>
    <row r="7593" spans="6:6" ht="15" customHeight="1" x14ac:dyDescent="0.2">
      <c r="F7593"/>
    </row>
    <row r="7594" spans="6:6" ht="15" customHeight="1" x14ac:dyDescent="0.2">
      <c r="F7594"/>
    </row>
    <row r="7595" spans="6:6" ht="15" customHeight="1" x14ac:dyDescent="0.2">
      <c r="F7595"/>
    </row>
    <row r="7596" spans="6:6" ht="15" customHeight="1" x14ac:dyDescent="0.2">
      <c r="F7596"/>
    </row>
    <row r="7597" spans="6:6" ht="15" customHeight="1" x14ac:dyDescent="0.2">
      <c r="F7597"/>
    </row>
    <row r="7598" spans="6:6" ht="15" customHeight="1" x14ac:dyDescent="0.2">
      <c r="F7598"/>
    </row>
    <row r="7599" spans="6:6" ht="15" customHeight="1" x14ac:dyDescent="0.2">
      <c r="F7599"/>
    </row>
    <row r="7600" spans="6:6" ht="15" customHeight="1" x14ac:dyDescent="0.2">
      <c r="F7600"/>
    </row>
    <row r="7601" spans="6:6" ht="15" customHeight="1" x14ac:dyDescent="0.2">
      <c r="F7601"/>
    </row>
    <row r="7602" spans="6:6" ht="15" customHeight="1" x14ac:dyDescent="0.2">
      <c r="F7602"/>
    </row>
    <row r="7603" spans="6:6" ht="15" customHeight="1" x14ac:dyDescent="0.2">
      <c r="F7603"/>
    </row>
    <row r="7604" spans="6:6" ht="15" customHeight="1" x14ac:dyDescent="0.2">
      <c r="F7604"/>
    </row>
    <row r="7605" spans="6:6" ht="15" customHeight="1" x14ac:dyDescent="0.2">
      <c r="F7605"/>
    </row>
    <row r="7606" spans="6:6" ht="15" customHeight="1" x14ac:dyDescent="0.2">
      <c r="F7606"/>
    </row>
    <row r="7607" spans="6:6" ht="15" customHeight="1" x14ac:dyDescent="0.2">
      <c r="F7607"/>
    </row>
    <row r="7608" spans="6:6" ht="15" customHeight="1" x14ac:dyDescent="0.2">
      <c r="F7608"/>
    </row>
    <row r="7609" spans="6:6" ht="15" customHeight="1" x14ac:dyDescent="0.2">
      <c r="F7609"/>
    </row>
    <row r="7610" spans="6:6" ht="15" customHeight="1" x14ac:dyDescent="0.2">
      <c r="F7610"/>
    </row>
    <row r="7611" spans="6:6" ht="15" customHeight="1" x14ac:dyDescent="0.2">
      <c r="F7611"/>
    </row>
    <row r="7612" spans="6:6" ht="15" customHeight="1" x14ac:dyDescent="0.2">
      <c r="F7612"/>
    </row>
    <row r="7613" spans="6:6" ht="15" customHeight="1" x14ac:dyDescent="0.2">
      <c r="F7613"/>
    </row>
    <row r="7614" spans="6:6" ht="15" customHeight="1" x14ac:dyDescent="0.2">
      <c r="F7614"/>
    </row>
    <row r="7615" spans="6:6" ht="15" customHeight="1" x14ac:dyDescent="0.2">
      <c r="F7615"/>
    </row>
    <row r="7616" spans="6:6" ht="15" customHeight="1" x14ac:dyDescent="0.2">
      <c r="F7616"/>
    </row>
    <row r="7617" spans="6:6" ht="15" customHeight="1" x14ac:dyDescent="0.2">
      <c r="F7617"/>
    </row>
    <row r="7618" spans="6:6" ht="15" customHeight="1" x14ac:dyDescent="0.2">
      <c r="F7618"/>
    </row>
    <row r="7619" spans="6:6" ht="15" customHeight="1" x14ac:dyDescent="0.2">
      <c r="F7619"/>
    </row>
    <row r="7620" spans="6:6" ht="15" customHeight="1" x14ac:dyDescent="0.2">
      <c r="F7620"/>
    </row>
    <row r="7621" spans="6:6" ht="15" customHeight="1" x14ac:dyDescent="0.2">
      <c r="F7621"/>
    </row>
    <row r="7622" spans="6:6" ht="15" customHeight="1" x14ac:dyDescent="0.2">
      <c r="F7622"/>
    </row>
    <row r="7623" spans="6:6" ht="15" customHeight="1" x14ac:dyDescent="0.2">
      <c r="F7623"/>
    </row>
    <row r="7624" spans="6:6" ht="15" customHeight="1" x14ac:dyDescent="0.2">
      <c r="F7624"/>
    </row>
    <row r="7625" spans="6:6" ht="15" customHeight="1" x14ac:dyDescent="0.2">
      <c r="F7625"/>
    </row>
    <row r="7626" spans="6:6" ht="15" customHeight="1" x14ac:dyDescent="0.2">
      <c r="F7626"/>
    </row>
    <row r="7627" spans="6:6" ht="15" customHeight="1" x14ac:dyDescent="0.2">
      <c r="F7627"/>
    </row>
    <row r="7628" spans="6:6" ht="15" customHeight="1" x14ac:dyDescent="0.2">
      <c r="F7628"/>
    </row>
    <row r="7629" spans="6:6" ht="15" customHeight="1" x14ac:dyDescent="0.2">
      <c r="F7629"/>
    </row>
    <row r="7630" spans="6:6" ht="15" customHeight="1" x14ac:dyDescent="0.2">
      <c r="F7630"/>
    </row>
    <row r="7631" spans="6:6" ht="15" customHeight="1" x14ac:dyDescent="0.2">
      <c r="F7631"/>
    </row>
    <row r="7632" spans="6:6" ht="15" customHeight="1" x14ac:dyDescent="0.2">
      <c r="F7632"/>
    </row>
    <row r="7633" spans="6:6" ht="15" customHeight="1" x14ac:dyDescent="0.2">
      <c r="F7633"/>
    </row>
    <row r="7634" spans="6:6" ht="15" customHeight="1" x14ac:dyDescent="0.2">
      <c r="F7634"/>
    </row>
    <row r="7635" spans="6:6" ht="15" customHeight="1" x14ac:dyDescent="0.2">
      <c r="F7635"/>
    </row>
    <row r="7636" spans="6:6" ht="15" customHeight="1" x14ac:dyDescent="0.2">
      <c r="F7636"/>
    </row>
    <row r="7637" spans="6:6" ht="15" customHeight="1" x14ac:dyDescent="0.2">
      <c r="F7637"/>
    </row>
    <row r="7638" spans="6:6" ht="15" customHeight="1" x14ac:dyDescent="0.2">
      <c r="F7638"/>
    </row>
    <row r="7639" spans="6:6" ht="15" customHeight="1" x14ac:dyDescent="0.2">
      <c r="F7639"/>
    </row>
    <row r="7640" spans="6:6" ht="15" customHeight="1" x14ac:dyDescent="0.2">
      <c r="F7640"/>
    </row>
    <row r="7641" spans="6:6" ht="15" customHeight="1" x14ac:dyDescent="0.2">
      <c r="F7641"/>
    </row>
    <row r="7642" spans="6:6" ht="15" customHeight="1" x14ac:dyDescent="0.2">
      <c r="F7642"/>
    </row>
    <row r="7643" spans="6:6" ht="15" customHeight="1" x14ac:dyDescent="0.2">
      <c r="F7643"/>
    </row>
    <row r="7644" spans="6:6" ht="15" customHeight="1" x14ac:dyDescent="0.2">
      <c r="F7644"/>
    </row>
    <row r="7645" spans="6:6" ht="15" customHeight="1" x14ac:dyDescent="0.2">
      <c r="F7645"/>
    </row>
    <row r="7646" spans="6:6" ht="15" customHeight="1" x14ac:dyDescent="0.2">
      <c r="F7646"/>
    </row>
    <row r="7647" spans="6:6" ht="15" customHeight="1" x14ac:dyDescent="0.2">
      <c r="F7647"/>
    </row>
    <row r="7648" spans="6:6" ht="15" customHeight="1" x14ac:dyDescent="0.2">
      <c r="F7648"/>
    </row>
    <row r="7649" spans="6:6" ht="15" customHeight="1" x14ac:dyDescent="0.2">
      <c r="F7649"/>
    </row>
    <row r="7650" spans="6:6" ht="15" customHeight="1" x14ac:dyDescent="0.2">
      <c r="F7650"/>
    </row>
    <row r="7651" spans="6:6" ht="15" customHeight="1" x14ac:dyDescent="0.2">
      <c r="F7651"/>
    </row>
    <row r="7652" spans="6:6" ht="15" customHeight="1" x14ac:dyDescent="0.2">
      <c r="F7652"/>
    </row>
    <row r="7653" spans="6:6" ht="15" customHeight="1" x14ac:dyDescent="0.2">
      <c r="F7653"/>
    </row>
    <row r="7654" spans="6:6" ht="15" customHeight="1" x14ac:dyDescent="0.2">
      <c r="F7654"/>
    </row>
    <row r="7655" spans="6:6" ht="15" customHeight="1" x14ac:dyDescent="0.2">
      <c r="F7655"/>
    </row>
    <row r="7656" spans="6:6" ht="15" customHeight="1" x14ac:dyDescent="0.2">
      <c r="F7656"/>
    </row>
    <row r="7657" spans="6:6" ht="15" customHeight="1" x14ac:dyDescent="0.2">
      <c r="F7657"/>
    </row>
    <row r="7658" spans="6:6" ht="15" customHeight="1" x14ac:dyDescent="0.2">
      <c r="F7658"/>
    </row>
    <row r="7659" spans="6:6" ht="15" customHeight="1" x14ac:dyDescent="0.2">
      <c r="F7659"/>
    </row>
    <row r="7660" spans="6:6" ht="15" customHeight="1" x14ac:dyDescent="0.2">
      <c r="F7660"/>
    </row>
    <row r="7661" spans="6:6" ht="15" customHeight="1" x14ac:dyDescent="0.2">
      <c r="F7661"/>
    </row>
    <row r="7662" spans="6:6" ht="15" customHeight="1" x14ac:dyDescent="0.2">
      <c r="F7662"/>
    </row>
    <row r="7663" spans="6:6" ht="15" customHeight="1" x14ac:dyDescent="0.2">
      <c r="F7663"/>
    </row>
    <row r="7664" spans="6:6" ht="15" customHeight="1" x14ac:dyDescent="0.2">
      <c r="F7664"/>
    </row>
    <row r="7665" spans="6:6" ht="15" customHeight="1" x14ac:dyDescent="0.2">
      <c r="F7665"/>
    </row>
    <row r="7666" spans="6:6" ht="15" customHeight="1" x14ac:dyDescent="0.2">
      <c r="F7666"/>
    </row>
    <row r="7667" spans="6:6" ht="15" customHeight="1" x14ac:dyDescent="0.2">
      <c r="F7667"/>
    </row>
    <row r="7668" spans="6:6" ht="15" customHeight="1" x14ac:dyDescent="0.2">
      <c r="F7668"/>
    </row>
    <row r="7669" spans="6:6" ht="15" customHeight="1" x14ac:dyDescent="0.2">
      <c r="F7669"/>
    </row>
    <row r="7670" spans="6:6" ht="15" customHeight="1" x14ac:dyDescent="0.2">
      <c r="F7670"/>
    </row>
    <row r="7671" spans="6:6" ht="15" customHeight="1" x14ac:dyDescent="0.2">
      <c r="F7671"/>
    </row>
    <row r="7672" spans="6:6" ht="15" customHeight="1" x14ac:dyDescent="0.2">
      <c r="F7672"/>
    </row>
    <row r="7673" spans="6:6" ht="15" customHeight="1" x14ac:dyDescent="0.2">
      <c r="F7673"/>
    </row>
    <row r="7674" spans="6:6" ht="15" customHeight="1" x14ac:dyDescent="0.2">
      <c r="F7674"/>
    </row>
    <row r="7675" spans="6:6" ht="15" customHeight="1" x14ac:dyDescent="0.2">
      <c r="F7675"/>
    </row>
    <row r="7676" spans="6:6" ht="15" customHeight="1" x14ac:dyDescent="0.2">
      <c r="F7676"/>
    </row>
    <row r="7677" spans="6:6" ht="15" customHeight="1" x14ac:dyDescent="0.2">
      <c r="F7677"/>
    </row>
    <row r="7678" spans="6:6" ht="15" customHeight="1" x14ac:dyDescent="0.2">
      <c r="F7678"/>
    </row>
    <row r="7679" spans="6:6" ht="15" customHeight="1" x14ac:dyDescent="0.2">
      <c r="F7679"/>
    </row>
    <row r="7680" spans="6:6" ht="15" customHeight="1" x14ac:dyDescent="0.2">
      <c r="F7680"/>
    </row>
    <row r="7681" spans="6:6" ht="15" customHeight="1" x14ac:dyDescent="0.2">
      <c r="F7681"/>
    </row>
    <row r="7682" spans="6:6" ht="15" customHeight="1" x14ac:dyDescent="0.2">
      <c r="F7682"/>
    </row>
    <row r="7683" spans="6:6" ht="15" customHeight="1" x14ac:dyDescent="0.2">
      <c r="F7683"/>
    </row>
    <row r="7684" spans="6:6" ht="15" customHeight="1" x14ac:dyDescent="0.2">
      <c r="F7684"/>
    </row>
    <row r="7685" spans="6:6" ht="15" customHeight="1" x14ac:dyDescent="0.2">
      <c r="F7685"/>
    </row>
    <row r="7686" spans="6:6" ht="15" customHeight="1" x14ac:dyDescent="0.2">
      <c r="F7686"/>
    </row>
    <row r="7687" spans="6:6" ht="15" customHeight="1" x14ac:dyDescent="0.2">
      <c r="F7687"/>
    </row>
    <row r="7688" spans="6:6" ht="15" customHeight="1" x14ac:dyDescent="0.2">
      <c r="F7688"/>
    </row>
    <row r="7689" spans="6:6" ht="15" customHeight="1" x14ac:dyDescent="0.2">
      <c r="F7689"/>
    </row>
    <row r="7690" spans="6:6" ht="15" customHeight="1" x14ac:dyDescent="0.2">
      <c r="F7690"/>
    </row>
    <row r="7691" spans="6:6" ht="15" customHeight="1" x14ac:dyDescent="0.2">
      <c r="F7691"/>
    </row>
    <row r="7692" spans="6:6" ht="15" customHeight="1" x14ac:dyDescent="0.2">
      <c r="F7692"/>
    </row>
    <row r="7693" spans="6:6" ht="15" customHeight="1" x14ac:dyDescent="0.2">
      <c r="F7693"/>
    </row>
    <row r="7694" spans="6:6" ht="15" customHeight="1" x14ac:dyDescent="0.2">
      <c r="F7694"/>
    </row>
    <row r="7695" spans="6:6" ht="15" customHeight="1" x14ac:dyDescent="0.2">
      <c r="F7695"/>
    </row>
    <row r="7696" spans="6:6" ht="15" customHeight="1" x14ac:dyDescent="0.2">
      <c r="F7696"/>
    </row>
    <row r="7697" spans="6:6" ht="15" customHeight="1" x14ac:dyDescent="0.2">
      <c r="F7697"/>
    </row>
    <row r="7698" spans="6:6" ht="15" customHeight="1" x14ac:dyDescent="0.2">
      <c r="F7698"/>
    </row>
    <row r="7699" spans="6:6" ht="15" customHeight="1" x14ac:dyDescent="0.2">
      <c r="F7699"/>
    </row>
    <row r="7700" spans="6:6" ht="15" customHeight="1" x14ac:dyDescent="0.2">
      <c r="F7700"/>
    </row>
    <row r="7701" spans="6:6" ht="15" customHeight="1" x14ac:dyDescent="0.2">
      <c r="F7701"/>
    </row>
    <row r="7702" spans="6:6" ht="15" customHeight="1" x14ac:dyDescent="0.2">
      <c r="F7702"/>
    </row>
    <row r="7703" spans="6:6" ht="15" customHeight="1" x14ac:dyDescent="0.2">
      <c r="F7703"/>
    </row>
    <row r="7704" spans="6:6" ht="15" customHeight="1" x14ac:dyDescent="0.2">
      <c r="F7704"/>
    </row>
    <row r="7705" spans="6:6" ht="15" customHeight="1" x14ac:dyDescent="0.2">
      <c r="F7705"/>
    </row>
    <row r="7706" spans="6:6" ht="15" customHeight="1" x14ac:dyDescent="0.2">
      <c r="F7706"/>
    </row>
    <row r="7707" spans="6:6" ht="15" customHeight="1" x14ac:dyDescent="0.2">
      <c r="F7707"/>
    </row>
    <row r="7708" spans="6:6" ht="15" customHeight="1" x14ac:dyDescent="0.2">
      <c r="F7708"/>
    </row>
    <row r="7709" spans="6:6" ht="15" customHeight="1" x14ac:dyDescent="0.2">
      <c r="F7709"/>
    </row>
    <row r="7710" spans="6:6" ht="15" customHeight="1" x14ac:dyDescent="0.2">
      <c r="F7710"/>
    </row>
    <row r="7711" spans="6:6" ht="15" customHeight="1" x14ac:dyDescent="0.2">
      <c r="F7711"/>
    </row>
    <row r="7712" spans="6:6" ht="15" customHeight="1" x14ac:dyDescent="0.2">
      <c r="F7712"/>
    </row>
    <row r="7713" spans="6:6" ht="15" customHeight="1" x14ac:dyDescent="0.2">
      <c r="F7713"/>
    </row>
    <row r="7714" spans="6:6" ht="15" customHeight="1" x14ac:dyDescent="0.2">
      <c r="F7714"/>
    </row>
    <row r="7715" spans="6:6" ht="15" customHeight="1" x14ac:dyDescent="0.2">
      <c r="F7715"/>
    </row>
    <row r="7716" spans="6:6" ht="15" customHeight="1" x14ac:dyDescent="0.2">
      <c r="F7716"/>
    </row>
    <row r="7717" spans="6:6" ht="15" customHeight="1" x14ac:dyDescent="0.2">
      <c r="F7717"/>
    </row>
    <row r="7718" spans="6:6" ht="15" customHeight="1" x14ac:dyDescent="0.2">
      <c r="F7718"/>
    </row>
    <row r="7719" spans="6:6" ht="15" customHeight="1" x14ac:dyDescent="0.2">
      <c r="F7719"/>
    </row>
    <row r="7720" spans="6:6" ht="15" customHeight="1" x14ac:dyDescent="0.2">
      <c r="F7720"/>
    </row>
    <row r="7721" spans="6:6" ht="15" customHeight="1" x14ac:dyDescent="0.2">
      <c r="F7721"/>
    </row>
    <row r="7722" spans="6:6" ht="15" customHeight="1" x14ac:dyDescent="0.2">
      <c r="F7722"/>
    </row>
    <row r="7723" spans="6:6" ht="15" customHeight="1" x14ac:dyDescent="0.2">
      <c r="F7723"/>
    </row>
    <row r="7724" spans="6:6" ht="15" customHeight="1" x14ac:dyDescent="0.2">
      <c r="F7724"/>
    </row>
    <row r="7725" spans="6:6" ht="15" customHeight="1" x14ac:dyDescent="0.2">
      <c r="F7725"/>
    </row>
    <row r="7726" spans="6:6" ht="15" customHeight="1" x14ac:dyDescent="0.2">
      <c r="F7726"/>
    </row>
    <row r="7727" spans="6:6" ht="15" customHeight="1" x14ac:dyDescent="0.2">
      <c r="F7727"/>
    </row>
    <row r="7728" spans="6:6" ht="15" customHeight="1" x14ac:dyDescent="0.2">
      <c r="F7728"/>
    </row>
    <row r="7729" spans="6:6" ht="15" customHeight="1" x14ac:dyDescent="0.2">
      <c r="F7729"/>
    </row>
    <row r="7730" spans="6:6" ht="15" customHeight="1" x14ac:dyDescent="0.2">
      <c r="F7730"/>
    </row>
    <row r="7731" spans="6:6" ht="15" customHeight="1" x14ac:dyDescent="0.2">
      <c r="F7731"/>
    </row>
    <row r="7732" spans="6:6" ht="15" customHeight="1" x14ac:dyDescent="0.2">
      <c r="F7732"/>
    </row>
    <row r="7733" spans="6:6" ht="15" customHeight="1" x14ac:dyDescent="0.2">
      <c r="F7733"/>
    </row>
    <row r="7734" spans="6:6" ht="15" customHeight="1" x14ac:dyDescent="0.2">
      <c r="F7734"/>
    </row>
    <row r="7735" spans="6:6" ht="15" customHeight="1" x14ac:dyDescent="0.2">
      <c r="F7735"/>
    </row>
    <row r="7736" spans="6:6" ht="15" customHeight="1" x14ac:dyDescent="0.2">
      <c r="F7736"/>
    </row>
    <row r="7737" spans="6:6" ht="15" customHeight="1" x14ac:dyDescent="0.2">
      <c r="F7737"/>
    </row>
    <row r="7738" spans="6:6" ht="15" customHeight="1" x14ac:dyDescent="0.2">
      <c r="F7738"/>
    </row>
    <row r="7739" spans="6:6" ht="15" customHeight="1" x14ac:dyDescent="0.2">
      <c r="F7739"/>
    </row>
    <row r="7740" spans="6:6" ht="15" customHeight="1" x14ac:dyDescent="0.2">
      <c r="F7740"/>
    </row>
    <row r="7741" spans="6:6" ht="15" customHeight="1" x14ac:dyDescent="0.2">
      <c r="F7741"/>
    </row>
    <row r="7742" spans="6:6" ht="15" customHeight="1" x14ac:dyDescent="0.2">
      <c r="F7742"/>
    </row>
    <row r="7743" spans="6:6" ht="15" customHeight="1" x14ac:dyDescent="0.2">
      <c r="F7743"/>
    </row>
    <row r="7744" spans="6:6" ht="15" customHeight="1" x14ac:dyDescent="0.2">
      <c r="F7744"/>
    </row>
    <row r="7745" spans="6:6" ht="15" customHeight="1" x14ac:dyDescent="0.2">
      <c r="F7745"/>
    </row>
    <row r="7746" spans="6:6" ht="15" customHeight="1" x14ac:dyDescent="0.2">
      <c r="F7746"/>
    </row>
    <row r="7747" spans="6:6" ht="15" customHeight="1" x14ac:dyDescent="0.2">
      <c r="F7747"/>
    </row>
    <row r="7748" spans="6:6" ht="15" customHeight="1" x14ac:dyDescent="0.2">
      <c r="F7748"/>
    </row>
    <row r="7749" spans="6:6" ht="15" customHeight="1" x14ac:dyDescent="0.2">
      <c r="F7749"/>
    </row>
    <row r="7750" spans="6:6" ht="15" customHeight="1" x14ac:dyDescent="0.2">
      <c r="F7750"/>
    </row>
    <row r="7751" spans="6:6" ht="15" customHeight="1" x14ac:dyDescent="0.2">
      <c r="F7751"/>
    </row>
    <row r="7752" spans="6:6" ht="15" customHeight="1" x14ac:dyDescent="0.2">
      <c r="F7752"/>
    </row>
    <row r="7753" spans="6:6" ht="15" customHeight="1" x14ac:dyDescent="0.2">
      <c r="F7753"/>
    </row>
    <row r="7754" spans="6:6" ht="15" customHeight="1" x14ac:dyDescent="0.2">
      <c r="F7754"/>
    </row>
    <row r="7755" spans="6:6" ht="15" customHeight="1" x14ac:dyDescent="0.2">
      <c r="F7755"/>
    </row>
    <row r="7756" spans="6:6" ht="15" customHeight="1" x14ac:dyDescent="0.2">
      <c r="F7756"/>
    </row>
    <row r="7757" spans="6:6" ht="15" customHeight="1" x14ac:dyDescent="0.2">
      <c r="F7757"/>
    </row>
    <row r="7758" spans="6:6" ht="15" customHeight="1" x14ac:dyDescent="0.2">
      <c r="F7758"/>
    </row>
    <row r="7759" spans="6:6" ht="15" customHeight="1" x14ac:dyDescent="0.2">
      <c r="F7759"/>
    </row>
    <row r="7760" spans="6:6" ht="15" customHeight="1" x14ac:dyDescent="0.2">
      <c r="F7760"/>
    </row>
    <row r="7761" spans="6:6" ht="15" customHeight="1" x14ac:dyDescent="0.2">
      <c r="F7761"/>
    </row>
    <row r="7762" spans="6:6" ht="15" customHeight="1" x14ac:dyDescent="0.2">
      <c r="F7762"/>
    </row>
    <row r="7763" spans="6:6" ht="15" customHeight="1" x14ac:dyDescent="0.2">
      <c r="F7763"/>
    </row>
    <row r="7764" spans="6:6" ht="15" customHeight="1" x14ac:dyDescent="0.2">
      <c r="F7764"/>
    </row>
    <row r="7765" spans="6:6" ht="15" customHeight="1" x14ac:dyDescent="0.2">
      <c r="F7765"/>
    </row>
    <row r="7766" spans="6:6" ht="15" customHeight="1" x14ac:dyDescent="0.2">
      <c r="F7766"/>
    </row>
    <row r="7767" spans="6:6" ht="15" customHeight="1" x14ac:dyDescent="0.2">
      <c r="F7767"/>
    </row>
    <row r="7768" spans="6:6" ht="15" customHeight="1" x14ac:dyDescent="0.2">
      <c r="F7768"/>
    </row>
    <row r="7769" spans="6:6" ht="15" customHeight="1" x14ac:dyDescent="0.2">
      <c r="F7769"/>
    </row>
    <row r="7770" spans="6:6" ht="15" customHeight="1" x14ac:dyDescent="0.2">
      <c r="F7770"/>
    </row>
    <row r="7771" spans="6:6" ht="15" customHeight="1" x14ac:dyDescent="0.2">
      <c r="F7771"/>
    </row>
    <row r="7772" spans="6:6" ht="15" customHeight="1" x14ac:dyDescent="0.2">
      <c r="F7772"/>
    </row>
    <row r="7773" spans="6:6" ht="15" customHeight="1" x14ac:dyDescent="0.2">
      <c r="F7773"/>
    </row>
    <row r="7774" spans="6:6" ht="15" customHeight="1" x14ac:dyDescent="0.2">
      <c r="F7774"/>
    </row>
    <row r="7775" spans="6:6" ht="15" customHeight="1" x14ac:dyDescent="0.2">
      <c r="F7775"/>
    </row>
    <row r="7776" spans="6:6" ht="15" customHeight="1" x14ac:dyDescent="0.2">
      <c r="F7776"/>
    </row>
    <row r="7777" spans="6:6" ht="15" customHeight="1" x14ac:dyDescent="0.2">
      <c r="F7777"/>
    </row>
    <row r="7778" spans="6:6" ht="15" customHeight="1" x14ac:dyDescent="0.2">
      <c r="F7778"/>
    </row>
    <row r="7779" spans="6:6" ht="15" customHeight="1" x14ac:dyDescent="0.2">
      <c r="F7779"/>
    </row>
    <row r="7780" spans="6:6" ht="15" customHeight="1" x14ac:dyDescent="0.2">
      <c r="F7780"/>
    </row>
    <row r="7781" spans="6:6" ht="15" customHeight="1" x14ac:dyDescent="0.2">
      <c r="F7781"/>
    </row>
    <row r="7782" spans="6:6" ht="15" customHeight="1" x14ac:dyDescent="0.2">
      <c r="F7782"/>
    </row>
    <row r="7783" spans="6:6" ht="15" customHeight="1" x14ac:dyDescent="0.2">
      <c r="F7783"/>
    </row>
    <row r="7784" spans="6:6" ht="15" customHeight="1" x14ac:dyDescent="0.2">
      <c r="F7784"/>
    </row>
    <row r="7785" spans="6:6" ht="15" customHeight="1" x14ac:dyDescent="0.2">
      <c r="F7785"/>
    </row>
    <row r="7786" spans="6:6" ht="15" customHeight="1" x14ac:dyDescent="0.2">
      <c r="F7786"/>
    </row>
    <row r="7787" spans="6:6" ht="15" customHeight="1" x14ac:dyDescent="0.2">
      <c r="F7787"/>
    </row>
    <row r="7788" spans="6:6" ht="15" customHeight="1" x14ac:dyDescent="0.2">
      <c r="F7788"/>
    </row>
    <row r="7789" spans="6:6" ht="15" customHeight="1" x14ac:dyDescent="0.2">
      <c r="F7789"/>
    </row>
    <row r="7790" spans="6:6" ht="15" customHeight="1" x14ac:dyDescent="0.2">
      <c r="F7790"/>
    </row>
    <row r="7791" spans="6:6" ht="15" customHeight="1" x14ac:dyDescent="0.2">
      <c r="F7791"/>
    </row>
    <row r="7792" spans="6:6" ht="15" customHeight="1" x14ac:dyDescent="0.2">
      <c r="F7792"/>
    </row>
    <row r="7793" spans="6:6" ht="15" customHeight="1" x14ac:dyDescent="0.2">
      <c r="F7793"/>
    </row>
    <row r="7794" spans="6:6" ht="15" customHeight="1" x14ac:dyDescent="0.2">
      <c r="F7794"/>
    </row>
    <row r="7795" spans="6:6" ht="15" customHeight="1" x14ac:dyDescent="0.2">
      <c r="F7795"/>
    </row>
    <row r="7796" spans="6:6" ht="15" customHeight="1" x14ac:dyDescent="0.2">
      <c r="F7796"/>
    </row>
    <row r="7797" spans="6:6" ht="15" customHeight="1" x14ac:dyDescent="0.2">
      <c r="F7797"/>
    </row>
    <row r="7798" spans="6:6" ht="15" customHeight="1" x14ac:dyDescent="0.2">
      <c r="F7798"/>
    </row>
    <row r="7799" spans="6:6" ht="15" customHeight="1" x14ac:dyDescent="0.2">
      <c r="F7799"/>
    </row>
    <row r="7800" spans="6:6" ht="15" customHeight="1" x14ac:dyDescent="0.2">
      <c r="F7800"/>
    </row>
    <row r="7801" spans="6:6" ht="15" customHeight="1" x14ac:dyDescent="0.2">
      <c r="F7801"/>
    </row>
    <row r="7802" spans="6:6" ht="15" customHeight="1" x14ac:dyDescent="0.2">
      <c r="F7802"/>
    </row>
    <row r="7803" spans="6:6" ht="15" customHeight="1" x14ac:dyDescent="0.2">
      <c r="F7803"/>
    </row>
    <row r="7804" spans="6:6" ht="15" customHeight="1" x14ac:dyDescent="0.2">
      <c r="F7804"/>
    </row>
    <row r="7805" spans="6:6" ht="15" customHeight="1" x14ac:dyDescent="0.2">
      <c r="F7805"/>
    </row>
    <row r="7806" spans="6:6" ht="15" customHeight="1" x14ac:dyDescent="0.2">
      <c r="F7806"/>
    </row>
    <row r="7807" spans="6:6" ht="15" customHeight="1" x14ac:dyDescent="0.2">
      <c r="F7807"/>
    </row>
    <row r="7808" spans="6:6" ht="15" customHeight="1" x14ac:dyDescent="0.2">
      <c r="F7808"/>
    </row>
    <row r="7809" spans="6:6" ht="15" customHeight="1" x14ac:dyDescent="0.2">
      <c r="F7809"/>
    </row>
    <row r="7810" spans="6:6" ht="15" customHeight="1" x14ac:dyDescent="0.2">
      <c r="F7810"/>
    </row>
    <row r="7811" spans="6:6" ht="15" customHeight="1" x14ac:dyDescent="0.2">
      <c r="F7811"/>
    </row>
    <row r="7812" spans="6:6" ht="15" customHeight="1" x14ac:dyDescent="0.2">
      <c r="F7812"/>
    </row>
    <row r="7813" spans="6:6" ht="15" customHeight="1" x14ac:dyDescent="0.2">
      <c r="F7813"/>
    </row>
    <row r="7814" spans="6:6" ht="15" customHeight="1" x14ac:dyDescent="0.2">
      <c r="F7814"/>
    </row>
    <row r="7815" spans="6:6" ht="15" customHeight="1" x14ac:dyDescent="0.2">
      <c r="F7815"/>
    </row>
    <row r="7816" spans="6:6" ht="15" customHeight="1" x14ac:dyDescent="0.2">
      <c r="F7816"/>
    </row>
    <row r="7817" spans="6:6" ht="15" customHeight="1" x14ac:dyDescent="0.2">
      <c r="F7817"/>
    </row>
    <row r="7818" spans="6:6" ht="15" customHeight="1" x14ac:dyDescent="0.2">
      <c r="F7818"/>
    </row>
    <row r="7819" spans="6:6" ht="15" customHeight="1" x14ac:dyDescent="0.2">
      <c r="F7819"/>
    </row>
    <row r="7820" spans="6:6" ht="15" customHeight="1" x14ac:dyDescent="0.2">
      <c r="F7820"/>
    </row>
    <row r="7821" spans="6:6" ht="15" customHeight="1" x14ac:dyDescent="0.2">
      <c r="F7821"/>
    </row>
    <row r="7822" spans="6:6" ht="15" customHeight="1" x14ac:dyDescent="0.2">
      <c r="F7822"/>
    </row>
    <row r="7823" spans="6:6" ht="15" customHeight="1" x14ac:dyDescent="0.2">
      <c r="F7823"/>
    </row>
    <row r="7824" spans="6:6" ht="15" customHeight="1" x14ac:dyDescent="0.2">
      <c r="F7824"/>
    </row>
    <row r="7825" spans="6:6" ht="15" customHeight="1" x14ac:dyDescent="0.2">
      <c r="F7825"/>
    </row>
    <row r="7826" spans="6:6" ht="15" customHeight="1" x14ac:dyDescent="0.2">
      <c r="F7826"/>
    </row>
    <row r="7827" spans="6:6" ht="15" customHeight="1" x14ac:dyDescent="0.2">
      <c r="F7827"/>
    </row>
    <row r="7828" spans="6:6" ht="15" customHeight="1" x14ac:dyDescent="0.2">
      <c r="F7828"/>
    </row>
    <row r="7829" spans="6:6" ht="15" customHeight="1" x14ac:dyDescent="0.2">
      <c r="F7829"/>
    </row>
    <row r="7830" spans="6:6" ht="15" customHeight="1" x14ac:dyDescent="0.2">
      <c r="F7830"/>
    </row>
    <row r="7831" spans="6:6" ht="15" customHeight="1" x14ac:dyDescent="0.2">
      <c r="F7831"/>
    </row>
    <row r="7832" spans="6:6" ht="15" customHeight="1" x14ac:dyDescent="0.2">
      <c r="F7832"/>
    </row>
    <row r="7833" spans="6:6" ht="15" customHeight="1" x14ac:dyDescent="0.2">
      <c r="F7833"/>
    </row>
    <row r="7834" spans="6:6" ht="15" customHeight="1" x14ac:dyDescent="0.2">
      <c r="F7834"/>
    </row>
    <row r="7835" spans="6:6" ht="15" customHeight="1" x14ac:dyDescent="0.2">
      <c r="F7835"/>
    </row>
    <row r="7836" spans="6:6" ht="15" customHeight="1" x14ac:dyDescent="0.2">
      <c r="F7836"/>
    </row>
    <row r="7837" spans="6:6" ht="15" customHeight="1" x14ac:dyDescent="0.2">
      <c r="F7837"/>
    </row>
    <row r="7838" spans="6:6" ht="15" customHeight="1" x14ac:dyDescent="0.2">
      <c r="F7838"/>
    </row>
    <row r="7839" spans="6:6" ht="15" customHeight="1" x14ac:dyDescent="0.2">
      <c r="F7839"/>
    </row>
    <row r="7840" spans="6:6" ht="15" customHeight="1" x14ac:dyDescent="0.2">
      <c r="F7840"/>
    </row>
    <row r="7841" spans="6:6" ht="15" customHeight="1" x14ac:dyDescent="0.2">
      <c r="F7841"/>
    </row>
    <row r="7842" spans="6:6" ht="15" customHeight="1" x14ac:dyDescent="0.2">
      <c r="F7842"/>
    </row>
    <row r="7843" spans="6:6" ht="15" customHeight="1" x14ac:dyDescent="0.2">
      <c r="F7843"/>
    </row>
    <row r="7844" spans="6:6" ht="15" customHeight="1" x14ac:dyDescent="0.2">
      <c r="F7844"/>
    </row>
    <row r="7845" spans="6:6" ht="15" customHeight="1" x14ac:dyDescent="0.2">
      <c r="F7845"/>
    </row>
    <row r="7846" spans="6:6" ht="15" customHeight="1" x14ac:dyDescent="0.2">
      <c r="F7846"/>
    </row>
    <row r="7847" spans="6:6" ht="15" customHeight="1" x14ac:dyDescent="0.2">
      <c r="F7847"/>
    </row>
    <row r="7848" spans="6:6" ht="15" customHeight="1" x14ac:dyDescent="0.2">
      <c r="F7848"/>
    </row>
    <row r="7849" spans="6:6" ht="15" customHeight="1" x14ac:dyDescent="0.2">
      <c r="F7849"/>
    </row>
    <row r="7850" spans="6:6" ht="15" customHeight="1" x14ac:dyDescent="0.2">
      <c r="F7850"/>
    </row>
    <row r="7851" spans="6:6" ht="15" customHeight="1" x14ac:dyDescent="0.2">
      <c r="F7851"/>
    </row>
    <row r="7852" spans="6:6" ht="15" customHeight="1" x14ac:dyDescent="0.2">
      <c r="F7852"/>
    </row>
    <row r="7853" spans="6:6" ht="15" customHeight="1" x14ac:dyDescent="0.2">
      <c r="F7853"/>
    </row>
    <row r="7854" spans="6:6" ht="15" customHeight="1" x14ac:dyDescent="0.2">
      <c r="F7854"/>
    </row>
    <row r="7855" spans="6:6" ht="15" customHeight="1" x14ac:dyDescent="0.2">
      <c r="F7855"/>
    </row>
    <row r="7856" spans="6:6" ht="15" customHeight="1" x14ac:dyDescent="0.2">
      <c r="F7856"/>
    </row>
    <row r="7857" spans="6:6" ht="15" customHeight="1" x14ac:dyDescent="0.2">
      <c r="F7857"/>
    </row>
    <row r="7858" spans="6:6" ht="15" customHeight="1" x14ac:dyDescent="0.2">
      <c r="F7858"/>
    </row>
    <row r="7859" spans="6:6" ht="15" customHeight="1" x14ac:dyDescent="0.2">
      <c r="F7859"/>
    </row>
    <row r="7860" spans="6:6" ht="15" customHeight="1" x14ac:dyDescent="0.2">
      <c r="F7860"/>
    </row>
    <row r="7861" spans="6:6" ht="15" customHeight="1" x14ac:dyDescent="0.2">
      <c r="F7861"/>
    </row>
    <row r="7862" spans="6:6" ht="15" customHeight="1" x14ac:dyDescent="0.2">
      <c r="F7862"/>
    </row>
    <row r="7863" spans="6:6" ht="15" customHeight="1" x14ac:dyDescent="0.2">
      <c r="F7863"/>
    </row>
    <row r="7864" spans="6:6" ht="15" customHeight="1" x14ac:dyDescent="0.2">
      <c r="F7864"/>
    </row>
    <row r="7865" spans="6:6" ht="15" customHeight="1" x14ac:dyDescent="0.2">
      <c r="F7865"/>
    </row>
    <row r="7866" spans="6:6" ht="15" customHeight="1" x14ac:dyDescent="0.2">
      <c r="F7866"/>
    </row>
    <row r="7867" spans="6:6" ht="15" customHeight="1" x14ac:dyDescent="0.2">
      <c r="F7867"/>
    </row>
    <row r="7868" spans="6:6" ht="15" customHeight="1" x14ac:dyDescent="0.2">
      <c r="F7868"/>
    </row>
    <row r="7869" spans="6:6" ht="15" customHeight="1" x14ac:dyDescent="0.2">
      <c r="F7869"/>
    </row>
    <row r="7870" spans="6:6" ht="15" customHeight="1" x14ac:dyDescent="0.2">
      <c r="F7870"/>
    </row>
    <row r="7871" spans="6:6" ht="15" customHeight="1" x14ac:dyDescent="0.2">
      <c r="F7871"/>
    </row>
    <row r="7872" spans="6:6" ht="15" customHeight="1" x14ac:dyDescent="0.2">
      <c r="F7872"/>
    </row>
    <row r="7873" spans="6:6" ht="15" customHeight="1" x14ac:dyDescent="0.2">
      <c r="F7873"/>
    </row>
    <row r="7874" spans="6:6" ht="15" customHeight="1" x14ac:dyDescent="0.2">
      <c r="F7874"/>
    </row>
    <row r="7875" spans="6:6" ht="15" customHeight="1" x14ac:dyDescent="0.2">
      <c r="F7875"/>
    </row>
    <row r="7876" spans="6:6" ht="15" customHeight="1" x14ac:dyDescent="0.2">
      <c r="F7876"/>
    </row>
    <row r="7877" spans="6:6" ht="15" customHeight="1" x14ac:dyDescent="0.2">
      <c r="F7877"/>
    </row>
    <row r="7878" spans="6:6" ht="15" customHeight="1" x14ac:dyDescent="0.2">
      <c r="F7878"/>
    </row>
    <row r="7879" spans="6:6" ht="15" customHeight="1" x14ac:dyDescent="0.2">
      <c r="F7879"/>
    </row>
    <row r="7880" spans="6:6" ht="15" customHeight="1" x14ac:dyDescent="0.2">
      <c r="F7880"/>
    </row>
    <row r="7881" spans="6:6" ht="15" customHeight="1" x14ac:dyDescent="0.2">
      <c r="F7881"/>
    </row>
    <row r="7882" spans="6:6" ht="15" customHeight="1" x14ac:dyDescent="0.2">
      <c r="F7882"/>
    </row>
    <row r="7883" spans="6:6" ht="15" customHeight="1" x14ac:dyDescent="0.2">
      <c r="F7883"/>
    </row>
    <row r="7884" spans="6:6" ht="15" customHeight="1" x14ac:dyDescent="0.2">
      <c r="F7884"/>
    </row>
    <row r="7885" spans="6:6" ht="15" customHeight="1" x14ac:dyDescent="0.2">
      <c r="F7885"/>
    </row>
    <row r="7886" spans="6:6" ht="15" customHeight="1" x14ac:dyDescent="0.2">
      <c r="F7886"/>
    </row>
    <row r="7887" spans="6:6" ht="15" customHeight="1" x14ac:dyDescent="0.2">
      <c r="F7887"/>
    </row>
    <row r="7888" spans="6:6" ht="15" customHeight="1" x14ac:dyDescent="0.2">
      <c r="F7888"/>
    </row>
    <row r="7889" spans="6:6" ht="15" customHeight="1" x14ac:dyDescent="0.2">
      <c r="F7889"/>
    </row>
    <row r="7890" spans="6:6" ht="15" customHeight="1" x14ac:dyDescent="0.2">
      <c r="F7890"/>
    </row>
    <row r="7891" spans="6:6" ht="15" customHeight="1" x14ac:dyDescent="0.2">
      <c r="F7891"/>
    </row>
    <row r="7892" spans="6:6" ht="15" customHeight="1" x14ac:dyDescent="0.2">
      <c r="F7892"/>
    </row>
    <row r="7893" spans="6:6" ht="15" customHeight="1" x14ac:dyDescent="0.2">
      <c r="F7893"/>
    </row>
    <row r="7894" spans="6:6" ht="15" customHeight="1" x14ac:dyDescent="0.2">
      <c r="F7894"/>
    </row>
    <row r="7895" spans="6:6" ht="15" customHeight="1" x14ac:dyDescent="0.2">
      <c r="F7895"/>
    </row>
    <row r="7896" spans="6:6" ht="15" customHeight="1" x14ac:dyDescent="0.2">
      <c r="F7896"/>
    </row>
    <row r="7897" spans="6:6" ht="15" customHeight="1" x14ac:dyDescent="0.2">
      <c r="F7897"/>
    </row>
    <row r="7898" spans="6:6" ht="15" customHeight="1" x14ac:dyDescent="0.2">
      <c r="F7898"/>
    </row>
    <row r="7899" spans="6:6" ht="15" customHeight="1" x14ac:dyDescent="0.2">
      <c r="F7899"/>
    </row>
    <row r="7900" spans="6:6" ht="15" customHeight="1" x14ac:dyDescent="0.2">
      <c r="F7900"/>
    </row>
    <row r="7901" spans="6:6" ht="15" customHeight="1" x14ac:dyDescent="0.2">
      <c r="F7901"/>
    </row>
    <row r="7902" spans="6:6" ht="15" customHeight="1" x14ac:dyDescent="0.2">
      <c r="F7902"/>
    </row>
    <row r="7903" spans="6:6" ht="15" customHeight="1" x14ac:dyDescent="0.2">
      <c r="F7903"/>
    </row>
    <row r="7904" spans="6:6" ht="15" customHeight="1" x14ac:dyDescent="0.2">
      <c r="F7904"/>
    </row>
    <row r="7905" spans="6:6" ht="15" customHeight="1" x14ac:dyDescent="0.2">
      <c r="F7905"/>
    </row>
    <row r="7906" spans="6:6" ht="15" customHeight="1" x14ac:dyDescent="0.2">
      <c r="F7906"/>
    </row>
    <row r="7907" spans="6:6" ht="15" customHeight="1" x14ac:dyDescent="0.2">
      <c r="F7907"/>
    </row>
    <row r="7908" spans="6:6" ht="15" customHeight="1" x14ac:dyDescent="0.2">
      <c r="F7908"/>
    </row>
    <row r="7909" spans="6:6" ht="15" customHeight="1" x14ac:dyDescent="0.2">
      <c r="F7909"/>
    </row>
    <row r="7910" spans="6:6" ht="15" customHeight="1" x14ac:dyDescent="0.2">
      <c r="F7910"/>
    </row>
    <row r="7911" spans="6:6" ht="15" customHeight="1" x14ac:dyDescent="0.2">
      <c r="F7911"/>
    </row>
    <row r="7912" spans="6:6" ht="15" customHeight="1" x14ac:dyDescent="0.2">
      <c r="F7912"/>
    </row>
    <row r="7913" spans="6:6" ht="15" customHeight="1" x14ac:dyDescent="0.2">
      <c r="F7913"/>
    </row>
    <row r="7914" spans="6:6" ht="15" customHeight="1" x14ac:dyDescent="0.2">
      <c r="F7914"/>
    </row>
    <row r="7915" spans="6:6" ht="15" customHeight="1" x14ac:dyDescent="0.2">
      <c r="F7915"/>
    </row>
    <row r="7916" spans="6:6" ht="15" customHeight="1" x14ac:dyDescent="0.2">
      <c r="F7916"/>
    </row>
    <row r="7917" spans="6:6" ht="15" customHeight="1" x14ac:dyDescent="0.2">
      <c r="F7917"/>
    </row>
    <row r="7918" spans="6:6" ht="15" customHeight="1" x14ac:dyDescent="0.2">
      <c r="F7918"/>
    </row>
    <row r="7919" spans="6:6" ht="15" customHeight="1" x14ac:dyDescent="0.2">
      <c r="F7919"/>
    </row>
    <row r="7920" spans="6:6" ht="15" customHeight="1" x14ac:dyDescent="0.2">
      <c r="F7920"/>
    </row>
    <row r="7921" spans="6:6" ht="15" customHeight="1" x14ac:dyDescent="0.2">
      <c r="F7921"/>
    </row>
    <row r="7922" spans="6:6" ht="15" customHeight="1" x14ac:dyDescent="0.2">
      <c r="F7922"/>
    </row>
    <row r="7923" spans="6:6" ht="15" customHeight="1" x14ac:dyDescent="0.2">
      <c r="F7923"/>
    </row>
    <row r="7924" spans="6:6" ht="15" customHeight="1" x14ac:dyDescent="0.2">
      <c r="F7924"/>
    </row>
    <row r="7925" spans="6:6" ht="15" customHeight="1" x14ac:dyDescent="0.2">
      <c r="F7925"/>
    </row>
    <row r="7926" spans="6:6" ht="15" customHeight="1" x14ac:dyDescent="0.2">
      <c r="F7926"/>
    </row>
    <row r="7927" spans="6:6" ht="15" customHeight="1" x14ac:dyDescent="0.2">
      <c r="F7927"/>
    </row>
    <row r="7928" spans="6:6" ht="15" customHeight="1" x14ac:dyDescent="0.2">
      <c r="F7928"/>
    </row>
    <row r="7929" spans="6:6" ht="15" customHeight="1" x14ac:dyDescent="0.2">
      <c r="F7929"/>
    </row>
    <row r="7930" spans="6:6" ht="15" customHeight="1" x14ac:dyDescent="0.2">
      <c r="F7930"/>
    </row>
    <row r="7931" spans="6:6" ht="15" customHeight="1" x14ac:dyDescent="0.2">
      <c r="F7931"/>
    </row>
    <row r="7932" spans="6:6" ht="15" customHeight="1" x14ac:dyDescent="0.2">
      <c r="F7932"/>
    </row>
    <row r="7933" spans="6:6" ht="15" customHeight="1" x14ac:dyDescent="0.2">
      <c r="F7933"/>
    </row>
    <row r="7934" spans="6:6" ht="15" customHeight="1" x14ac:dyDescent="0.2">
      <c r="F7934"/>
    </row>
    <row r="7935" spans="6:6" ht="15" customHeight="1" x14ac:dyDescent="0.2">
      <c r="F7935"/>
    </row>
    <row r="7936" spans="6:6" ht="15" customHeight="1" x14ac:dyDescent="0.2">
      <c r="F7936"/>
    </row>
    <row r="7937" spans="6:6" ht="15" customHeight="1" x14ac:dyDescent="0.2">
      <c r="F7937"/>
    </row>
    <row r="7938" spans="6:6" ht="15" customHeight="1" x14ac:dyDescent="0.2">
      <c r="F7938"/>
    </row>
    <row r="7939" spans="6:6" ht="15" customHeight="1" x14ac:dyDescent="0.2">
      <c r="F7939"/>
    </row>
    <row r="7940" spans="6:6" ht="15" customHeight="1" x14ac:dyDescent="0.2">
      <c r="F7940"/>
    </row>
    <row r="7941" spans="6:6" ht="15" customHeight="1" x14ac:dyDescent="0.2">
      <c r="F7941"/>
    </row>
    <row r="7942" spans="6:6" ht="15" customHeight="1" x14ac:dyDescent="0.2">
      <c r="F7942"/>
    </row>
    <row r="7943" spans="6:6" ht="15" customHeight="1" x14ac:dyDescent="0.2">
      <c r="F7943"/>
    </row>
    <row r="7944" spans="6:6" ht="15" customHeight="1" x14ac:dyDescent="0.2">
      <c r="F7944"/>
    </row>
    <row r="7945" spans="6:6" ht="15" customHeight="1" x14ac:dyDescent="0.2">
      <c r="F7945"/>
    </row>
    <row r="7946" spans="6:6" ht="15" customHeight="1" x14ac:dyDescent="0.2">
      <c r="F7946"/>
    </row>
    <row r="7947" spans="6:6" ht="15" customHeight="1" x14ac:dyDescent="0.2">
      <c r="F7947"/>
    </row>
    <row r="7948" spans="6:6" ht="15" customHeight="1" x14ac:dyDescent="0.2">
      <c r="F7948"/>
    </row>
    <row r="7949" spans="6:6" ht="15" customHeight="1" x14ac:dyDescent="0.2">
      <c r="F7949"/>
    </row>
    <row r="7950" spans="6:6" ht="15" customHeight="1" x14ac:dyDescent="0.2">
      <c r="F7950"/>
    </row>
    <row r="7951" spans="6:6" ht="15" customHeight="1" x14ac:dyDescent="0.2">
      <c r="F7951"/>
    </row>
    <row r="7952" spans="6:6" ht="15" customHeight="1" x14ac:dyDescent="0.2">
      <c r="F7952"/>
    </row>
    <row r="7953" spans="6:6" ht="15" customHeight="1" x14ac:dyDescent="0.2">
      <c r="F7953"/>
    </row>
    <row r="7954" spans="6:6" ht="15" customHeight="1" x14ac:dyDescent="0.2">
      <c r="F7954"/>
    </row>
    <row r="7955" spans="6:6" ht="15" customHeight="1" x14ac:dyDescent="0.2">
      <c r="F7955"/>
    </row>
    <row r="7956" spans="6:6" ht="15" customHeight="1" x14ac:dyDescent="0.2">
      <c r="F7956"/>
    </row>
    <row r="7957" spans="6:6" ht="15" customHeight="1" x14ac:dyDescent="0.2">
      <c r="F7957"/>
    </row>
    <row r="7958" spans="6:6" ht="15" customHeight="1" x14ac:dyDescent="0.2">
      <c r="F7958"/>
    </row>
    <row r="7959" spans="6:6" ht="15" customHeight="1" x14ac:dyDescent="0.2">
      <c r="F7959"/>
    </row>
    <row r="7960" spans="6:6" ht="15" customHeight="1" x14ac:dyDescent="0.2">
      <c r="F7960"/>
    </row>
    <row r="7961" spans="6:6" ht="15" customHeight="1" x14ac:dyDescent="0.2">
      <c r="F7961"/>
    </row>
    <row r="7962" spans="6:6" ht="15" customHeight="1" x14ac:dyDescent="0.2">
      <c r="F7962"/>
    </row>
    <row r="7963" spans="6:6" ht="15" customHeight="1" x14ac:dyDescent="0.2">
      <c r="F7963"/>
    </row>
    <row r="7964" spans="6:6" ht="15" customHeight="1" x14ac:dyDescent="0.2">
      <c r="F7964"/>
    </row>
    <row r="7965" spans="6:6" ht="15" customHeight="1" x14ac:dyDescent="0.2">
      <c r="F7965"/>
    </row>
    <row r="7966" spans="6:6" ht="15" customHeight="1" x14ac:dyDescent="0.2">
      <c r="F7966"/>
    </row>
    <row r="7967" spans="6:6" ht="15" customHeight="1" x14ac:dyDescent="0.2">
      <c r="F7967"/>
    </row>
    <row r="7968" spans="6:6" ht="15" customHeight="1" x14ac:dyDescent="0.2">
      <c r="F7968"/>
    </row>
    <row r="7969" spans="6:6" ht="15" customHeight="1" x14ac:dyDescent="0.2">
      <c r="F7969"/>
    </row>
    <row r="7970" spans="6:6" ht="15" customHeight="1" x14ac:dyDescent="0.2">
      <c r="F7970"/>
    </row>
    <row r="7971" spans="6:6" ht="15" customHeight="1" x14ac:dyDescent="0.2">
      <c r="F7971"/>
    </row>
    <row r="7972" spans="6:6" ht="15" customHeight="1" x14ac:dyDescent="0.2">
      <c r="F7972"/>
    </row>
    <row r="7973" spans="6:6" ht="15" customHeight="1" x14ac:dyDescent="0.2">
      <c r="F7973"/>
    </row>
    <row r="7974" spans="6:6" ht="15" customHeight="1" x14ac:dyDescent="0.2">
      <c r="F7974"/>
    </row>
    <row r="7975" spans="6:6" ht="15" customHeight="1" x14ac:dyDescent="0.2">
      <c r="F7975"/>
    </row>
    <row r="7976" spans="6:6" ht="15" customHeight="1" x14ac:dyDescent="0.2">
      <c r="F7976"/>
    </row>
    <row r="7977" spans="6:6" ht="15" customHeight="1" x14ac:dyDescent="0.2">
      <c r="F7977"/>
    </row>
    <row r="7978" spans="6:6" ht="15" customHeight="1" x14ac:dyDescent="0.2">
      <c r="F7978"/>
    </row>
    <row r="7979" spans="6:6" ht="15" customHeight="1" x14ac:dyDescent="0.2">
      <c r="F7979"/>
    </row>
    <row r="7980" spans="6:6" ht="15" customHeight="1" x14ac:dyDescent="0.2">
      <c r="F7980"/>
    </row>
    <row r="7981" spans="6:6" ht="15" customHeight="1" x14ac:dyDescent="0.2">
      <c r="F7981"/>
    </row>
    <row r="7982" spans="6:6" ht="15" customHeight="1" x14ac:dyDescent="0.2">
      <c r="F7982"/>
    </row>
    <row r="7983" spans="6:6" ht="15" customHeight="1" x14ac:dyDescent="0.2">
      <c r="F7983"/>
    </row>
    <row r="7984" spans="6:6" ht="15" customHeight="1" x14ac:dyDescent="0.2">
      <c r="F7984"/>
    </row>
    <row r="7985" spans="6:6" ht="15" customHeight="1" x14ac:dyDescent="0.2">
      <c r="F7985"/>
    </row>
    <row r="7986" spans="6:6" ht="15" customHeight="1" x14ac:dyDescent="0.2">
      <c r="F7986"/>
    </row>
    <row r="7987" spans="6:6" ht="15" customHeight="1" x14ac:dyDescent="0.2">
      <c r="F7987"/>
    </row>
    <row r="7988" spans="6:6" ht="15" customHeight="1" x14ac:dyDescent="0.2">
      <c r="F7988"/>
    </row>
    <row r="7989" spans="6:6" ht="15" customHeight="1" x14ac:dyDescent="0.2">
      <c r="F7989"/>
    </row>
    <row r="7990" spans="6:6" ht="15" customHeight="1" x14ac:dyDescent="0.2">
      <c r="F7990"/>
    </row>
    <row r="7991" spans="6:6" ht="15" customHeight="1" x14ac:dyDescent="0.2">
      <c r="F7991"/>
    </row>
    <row r="7992" spans="6:6" ht="15" customHeight="1" x14ac:dyDescent="0.2">
      <c r="F7992"/>
    </row>
    <row r="7993" spans="6:6" ht="15" customHeight="1" x14ac:dyDescent="0.2">
      <c r="F7993"/>
    </row>
    <row r="7994" spans="6:6" ht="15" customHeight="1" x14ac:dyDescent="0.2">
      <c r="F7994"/>
    </row>
    <row r="7995" spans="6:6" ht="15" customHeight="1" x14ac:dyDescent="0.2">
      <c r="F7995"/>
    </row>
    <row r="7996" spans="6:6" ht="15" customHeight="1" x14ac:dyDescent="0.2">
      <c r="F7996"/>
    </row>
    <row r="7997" spans="6:6" ht="15" customHeight="1" x14ac:dyDescent="0.2">
      <c r="F7997"/>
    </row>
    <row r="7998" spans="6:6" ht="15" customHeight="1" x14ac:dyDescent="0.2">
      <c r="F7998"/>
    </row>
    <row r="7999" spans="6:6" ht="15" customHeight="1" x14ac:dyDescent="0.2">
      <c r="F7999"/>
    </row>
    <row r="8000" spans="6:6" ht="15" customHeight="1" x14ac:dyDescent="0.2">
      <c r="F8000"/>
    </row>
    <row r="8001" spans="6:6" ht="15" customHeight="1" x14ac:dyDescent="0.2">
      <c r="F8001"/>
    </row>
    <row r="8002" spans="6:6" ht="15" customHeight="1" x14ac:dyDescent="0.2">
      <c r="F8002"/>
    </row>
    <row r="8003" spans="6:6" ht="15" customHeight="1" x14ac:dyDescent="0.2">
      <c r="F8003"/>
    </row>
    <row r="8004" spans="6:6" ht="15" customHeight="1" x14ac:dyDescent="0.2">
      <c r="F8004"/>
    </row>
    <row r="8005" spans="6:6" ht="15" customHeight="1" x14ac:dyDescent="0.2">
      <c r="F8005"/>
    </row>
    <row r="8006" spans="6:6" ht="15" customHeight="1" x14ac:dyDescent="0.2">
      <c r="F8006"/>
    </row>
    <row r="8007" spans="6:6" ht="15" customHeight="1" x14ac:dyDescent="0.2">
      <c r="F8007"/>
    </row>
    <row r="8008" spans="6:6" ht="15" customHeight="1" x14ac:dyDescent="0.2">
      <c r="F8008"/>
    </row>
    <row r="8009" spans="6:6" ht="15" customHeight="1" x14ac:dyDescent="0.2">
      <c r="F8009"/>
    </row>
    <row r="8010" spans="6:6" ht="15" customHeight="1" x14ac:dyDescent="0.2">
      <c r="F8010"/>
    </row>
    <row r="8011" spans="6:6" ht="15" customHeight="1" x14ac:dyDescent="0.2">
      <c r="F8011"/>
    </row>
    <row r="8012" spans="6:6" ht="15" customHeight="1" x14ac:dyDescent="0.2">
      <c r="F8012"/>
    </row>
    <row r="8013" spans="6:6" ht="15" customHeight="1" x14ac:dyDescent="0.2">
      <c r="F8013"/>
    </row>
    <row r="8014" spans="6:6" ht="15" customHeight="1" x14ac:dyDescent="0.2">
      <c r="F8014"/>
    </row>
    <row r="8015" spans="6:6" ht="15" customHeight="1" x14ac:dyDescent="0.2">
      <c r="F8015"/>
    </row>
    <row r="8016" spans="6:6" ht="15" customHeight="1" x14ac:dyDescent="0.2">
      <c r="F8016"/>
    </row>
    <row r="8017" spans="6:6" ht="15" customHeight="1" x14ac:dyDescent="0.2">
      <c r="F8017"/>
    </row>
    <row r="8018" spans="6:6" ht="15" customHeight="1" x14ac:dyDescent="0.2">
      <c r="F8018"/>
    </row>
    <row r="8019" spans="6:6" ht="15" customHeight="1" x14ac:dyDescent="0.2">
      <c r="F8019"/>
    </row>
    <row r="8020" spans="6:6" ht="15" customHeight="1" x14ac:dyDescent="0.2">
      <c r="F8020"/>
    </row>
    <row r="8021" spans="6:6" ht="15" customHeight="1" x14ac:dyDescent="0.2">
      <c r="F8021"/>
    </row>
    <row r="8022" spans="6:6" ht="15" customHeight="1" x14ac:dyDescent="0.2">
      <c r="F8022"/>
    </row>
    <row r="8023" spans="6:6" ht="15" customHeight="1" x14ac:dyDescent="0.2">
      <c r="F8023"/>
    </row>
    <row r="8024" spans="6:6" ht="15" customHeight="1" x14ac:dyDescent="0.2">
      <c r="F8024"/>
    </row>
    <row r="8025" spans="6:6" ht="15" customHeight="1" x14ac:dyDescent="0.2">
      <c r="F8025"/>
    </row>
    <row r="8026" spans="6:6" ht="15" customHeight="1" x14ac:dyDescent="0.2">
      <c r="F8026"/>
    </row>
    <row r="8027" spans="6:6" ht="15" customHeight="1" x14ac:dyDescent="0.2">
      <c r="F8027"/>
    </row>
    <row r="8028" spans="6:6" ht="15" customHeight="1" x14ac:dyDescent="0.2">
      <c r="F8028"/>
    </row>
    <row r="8029" spans="6:6" ht="15" customHeight="1" x14ac:dyDescent="0.2">
      <c r="F8029"/>
    </row>
    <row r="8030" spans="6:6" ht="15" customHeight="1" x14ac:dyDescent="0.2">
      <c r="F8030"/>
    </row>
    <row r="8031" spans="6:6" ht="15" customHeight="1" x14ac:dyDescent="0.2">
      <c r="F8031"/>
    </row>
    <row r="8032" spans="6:6" ht="15" customHeight="1" x14ac:dyDescent="0.2">
      <c r="F8032"/>
    </row>
    <row r="8033" spans="6:6" ht="15" customHeight="1" x14ac:dyDescent="0.2">
      <c r="F8033"/>
    </row>
    <row r="8034" spans="6:6" ht="15" customHeight="1" x14ac:dyDescent="0.2">
      <c r="F8034"/>
    </row>
    <row r="8035" spans="6:6" ht="15" customHeight="1" x14ac:dyDescent="0.2">
      <c r="F8035"/>
    </row>
    <row r="8036" spans="6:6" ht="15" customHeight="1" x14ac:dyDescent="0.2">
      <c r="F8036"/>
    </row>
    <row r="8037" spans="6:6" ht="15" customHeight="1" x14ac:dyDescent="0.2">
      <c r="F8037"/>
    </row>
    <row r="8038" spans="6:6" ht="15" customHeight="1" x14ac:dyDescent="0.2">
      <c r="F8038"/>
    </row>
    <row r="8039" spans="6:6" ht="15" customHeight="1" x14ac:dyDescent="0.2">
      <c r="F8039"/>
    </row>
    <row r="8040" spans="6:6" ht="15" customHeight="1" x14ac:dyDescent="0.2">
      <c r="F8040"/>
    </row>
    <row r="8041" spans="6:6" ht="15" customHeight="1" x14ac:dyDescent="0.2">
      <c r="F8041"/>
    </row>
    <row r="8042" spans="6:6" ht="15" customHeight="1" x14ac:dyDescent="0.2">
      <c r="F8042"/>
    </row>
    <row r="8043" spans="6:6" ht="15" customHeight="1" x14ac:dyDescent="0.2">
      <c r="F8043"/>
    </row>
    <row r="8044" spans="6:6" ht="15" customHeight="1" x14ac:dyDescent="0.2">
      <c r="F8044"/>
    </row>
    <row r="8045" spans="6:6" ht="15" customHeight="1" x14ac:dyDescent="0.2">
      <c r="F8045"/>
    </row>
    <row r="8046" spans="6:6" ht="15" customHeight="1" x14ac:dyDescent="0.2">
      <c r="F8046"/>
    </row>
    <row r="8047" spans="6:6" ht="15" customHeight="1" x14ac:dyDescent="0.2">
      <c r="F8047"/>
    </row>
    <row r="8048" spans="6:6" ht="15" customHeight="1" x14ac:dyDescent="0.2">
      <c r="F8048"/>
    </row>
    <row r="8049" spans="6:6" ht="15" customHeight="1" x14ac:dyDescent="0.2">
      <c r="F8049"/>
    </row>
    <row r="8050" spans="6:6" ht="15" customHeight="1" x14ac:dyDescent="0.2">
      <c r="F8050"/>
    </row>
    <row r="8051" spans="6:6" ht="15" customHeight="1" x14ac:dyDescent="0.2">
      <c r="F8051"/>
    </row>
    <row r="8052" spans="6:6" ht="15" customHeight="1" x14ac:dyDescent="0.2">
      <c r="F8052"/>
    </row>
    <row r="8053" spans="6:6" ht="15" customHeight="1" x14ac:dyDescent="0.2">
      <c r="F8053"/>
    </row>
    <row r="8054" spans="6:6" ht="15" customHeight="1" x14ac:dyDescent="0.2">
      <c r="F8054"/>
    </row>
    <row r="8055" spans="6:6" ht="15" customHeight="1" x14ac:dyDescent="0.2">
      <c r="F8055"/>
    </row>
    <row r="8056" spans="6:6" ht="15" customHeight="1" x14ac:dyDescent="0.2">
      <c r="F8056"/>
    </row>
    <row r="8057" spans="6:6" ht="15" customHeight="1" x14ac:dyDescent="0.2">
      <c r="F8057"/>
    </row>
    <row r="8058" spans="6:6" ht="15" customHeight="1" x14ac:dyDescent="0.2">
      <c r="F8058"/>
    </row>
    <row r="8059" spans="6:6" ht="15" customHeight="1" x14ac:dyDescent="0.2">
      <c r="F8059"/>
    </row>
    <row r="8060" spans="6:6" ht="15" customHeight="1" x14ac:dyDescent="0.2">
      <c r="F8060"/>
    </row>
    <row r="8061" spans="6:6" ht="15" customHeight="1" x14ac:dyDescent="0.2">
      <c r="F8061"/>
    </row>
    <row r="8062" spans="6:6" ht="15" customHeight="1" x14ac:dyDescent="0.2">
      <c r="F8062"/>
    </row>
    <row r="8063" spans="6:6" ht="15" customHeight="1" x14ac:dyDescent="0.2">
      <c r="F8063"/>
    </row>
    <row r="8064" spans="6:6" ht="15" customHeight="1" x14ac:dyDescent="0.2">
      <c r="F8064"/>
    </row>
    <row r="8065" spans="6:6" ht="15" customHeight="1" x14ac:dyDescent="0.2">
      <c r="F8065"/>
    </row>
    <row r="8066" spans="6:6" ht="15" customHeight="1" x14ac:dyDescent="0.2">
      <c r="F8066"/>
    </row>
    <row r="8067" spans="6:6" ht="15" customHeight="1" x14ac:dyDescent="0.2">
      <c r="F8067"/>
    </row>
    <row r="8068" spans="6:6" ht="15" customHeight="1" x14ac:dyDescent="0.2">
      <c r="F8068"/>
    </row>
    <row r="8069" spans="6:6" ht="15" customHeight="1" x14ac:dyDescent="0.2">
      <c r="F8069"/>
    </row>
    <row r="8070" spans="6:6" ht="15" customHeight="1" x14ac:dyDescent="0.2">
      <c r="F8070"/>
    </row>
    <row r="8071" spans="6:6" ht="15" customHeight="1" x14ac:dyDescent="0.2">
      <c r="F8071"/>
    </row>
    <row r="8072" spans="6:6" ht="15" customHeight="1" x14ac:dyDescent="0.2">
      <c r="F8072"/>
    </row>
    <row r="8073" spans="6:6" ht="15" customHeight="1" x14ac:dyDescent="0.2">
      <c r="F8073"/>
    </row>
    <row r="8074" spans="6:6" ht="15" customHeight="1" x14ac:dyDescent="0.2">
      <c r="F8074"/>
    </row>
    <row r="8075" spans="6:6" ht="15" customHeight="1" x14ac:dyDescent="0.2">
      <c r="F8075"/>
    </row>
    <row r="8076" spans="6:6" ht="15" customHeight="1" x14ac:dyDescent="0.2">
      <c r="F8076"/>
    </row>
    <row r="8077" spans="6:6" ht="15" customHeight="1" x14ac:dyDescent="0.2">
      <c r="F8077"/>
    </row>
    <row r="8078" spans="6:6" ht="15" customHeight="1" x14ac:dyDescent="0.2">
      <c r="F8078"/>
    </row>
    <row r="8079" spans="6:6" ht="15" customHeight="1" x14ac:dyDescent="0.2">
      <c r="F8079"/>
    </row>
    <row r="8080" spans="6:6" ht="15" customHeight="1" x14ac:dyDescent="0.2">
      <c r="F8080"/>
    </row>
    <row r="8081" spans="6:6" ht="15" customHeight="1" x14ac:dyDescent="0.2">
      <c r="F8081"/>
    </row>
    <row r="8082" spans="6:6" ht="15" customHeight="1" x14ac:dyDescent="0.2">
      <c r="F8082"/>
    </row>
    <row r="8083" spans="6:6" ht="15" customHeight="1" x14ac:dyDescent="0.2">
      <c r="F8083"/>
    </row>
    <row r="8084" spans="6:6" ht="15" customHeight="1" x14ac:dyDescent="0.2">
      <c r="F8084"/>
    </row>
    <row r="8085" spans="6:6" ht="15" customHeight="1" x14ac:dyDescent="0.2">
      <c r="F8085"/>
    </row>
    <row r="8086" spans="6:6" ht="15" customHeight="1" x14ac:dyDescent="0.2">
      <c r="F8086"/>
    </row>
    <row r="8087" spans="6:6" ht="15" customHeight="1" x14ac:dyDescent="0.2">
      <c r="F8087"/>
    </row>
    <row r="8088" spans="6:6" ht="15" customHeight="1" x14ac:dyDescent="0.2">
      <c r="F8088"/>
    </row>
    <row r="8089" spans="6:6" ht="15" customHeight="1" x14ac:dyDescent="0.2">
      <c r="F8089"/>
    </row>
    <row r="8090" spans="6:6" ht="15" customHeight="1" x14ac:dyDescent="0.2">
      <c r="F8090"/>
    </row>
    <row r="8091" spans="6:6" ht="15" customHeight="1" x14ac:dyDescent="0.2">
      <c r="F8091"/>
    </row>
    <row r="8092" spans="6:6" ht="15" customHeight="1" x14ac:dyDescent="0.2">
      <c r="F8092"/>
    </row>
    <row r="8093" spans="6:6" ht="15" customHeight="1" x14ac:dyDescent="0.2">
      <c r="F8093"/>
    </row>
    <row r="8094" spans="6:6" ht="15" customHeight="1" x14ac:dyDescent="0.2">
      <c r="F8094"/>
    </row>
    <row r="8095" spans="6:6" ht="15" customHeight="1" x14ac:dyDescent="0.2">
      <c r="F8095"/>
    </row>
    <row r="8096" spans="6:6" ht="15" customHeight="1" x14ac:dyDescent="0.2">
      <c r="F8096"/>
    </row>
    <row r="8097" spans="6:6" ht="15" customHeight="1" x14ac:dyDescent="0.2">
      <c r="F8097"/>
    </row>
    <row r="8098" spans="6:6" ht="15" customHeight="1" x14ac:dyDescent="0.2">
      <c r="F8098"/>
    </row>
    <row r="8099" spans="6:6" ht="15" customHeight="1" x14ac:dyDescent="0.2">
      <c r="F8099"/>
    </row>
    <row r="8100" spans="6:6" ht="15" customHeight="1" x14ac:dyDescent="0.2">
      <c r="F8100"/>
    </row>
    <row r="8101" spans="6:6" ht="15" customHeight="1" x14ac:dyDescent="0.2">
      <c r="F8101"/>
    </row>
    <row r="8102" spans="6:6" ht="15" customHeight="1" x14ac:dyDescent="0.2">
      <c r="F8102"/>
    </row>
    <row r="8103" spans="6:6" ht="15" customHeight="1" x14ac:dyDescent="0.2">
      <c r="F8103"/>
    </row>
    <row r="8104" spans="6:6" ht="15" customHeight="1" x14ac:dyDescent="0.2">
      <c r="F8104"/>
    </row>
    <row r="8105" spans="6:6" ht="15" customHeight="1" x14ac:dyDescent="0.2">
      <c r="F8105"/>
    </row>
    <row r="8106" spans="6:6" ht="15" customHeight="1" x14ac:dyDescent="0.2">
      <c r="F8106"/>
    </row>
    <row r="8107" spans="6:6" ht="15" customHeight="1" x14ac:dyDescent="0.2">
      <c r="F8107"/>
    </row>
    <row r="8108" spans="6:6" ht="15" customHeight="1" x14ac:dyDescent="0.2">
      <c r="F8108"/>
    </row>
    <row r="8109" spans="6:6" ht="15" customHeight="1" x14ac:dyDescent="0.2">
      <c r="F8109"/>
    </row>
    <row r="8110" spans="6:6" ht="15" customHeight="1" x14ac:dyDescent="0.2">
      <c r="F8110"/>
    </row>
    <row r="8111" spans="6:6" ht="15" customHeight="1" x14ac:dyDescent="0.2">
      <c r="F8111"/>
    </row>
    <row r="8112" spans="6:6" ht="15" customHeight="1" x14ac:dyDescent="0.2">
      <c r="F8112"/>
    </row>
    <row r="8113" spans="6:6" ht="15" customHeight="1" x14ac:dyDescent="0.2">
      <c r="F8113"/>
    </row>
    <row r="8114" spans="6:6" ht="15" customHeight="1" x14ac:dyDescent="0.2">
      <c r="F8114"/>
    </row>
    <row r="8115" spans="6:6" ht="15" customHeight="1" x14ac:dyDescent="0.2">
      <c r="F8115"/>
    </row>
    <row r="8116" spans="6:6" ht="15" customHeight="1" x14ac:dyDescent="0.2">
      <c r="F8116"/>
    </row>
    <row r="8117" spans="6:6" ht="15" customHeight="1" x14ac:dyDescent="0.2">
      <c r="F8117"/>
    </row>
    <row r="8118" spans="6:6" ht="15" customHeight="1" x14ac:dyDescent="0.2">
      <c r="F8118"/>
    </row>
    <row r="8119" spans="6:6" ht="15" customHeight="1" x14ac:dyDescent="0.2">
      <c r="F8119"/>
    </row>
    <row r="8120" spans="6:6" ht="15" customHeight="1" x14ac:dyDescent="0.2">
      <c r="F8120"/>
    </row>
    <row r="8121" spans="6:6" ht="15" customHeight="1" x14ac:dyDescent="0.2">
      <c r="F8121"/>
    </row>
    <row r="8122" spans="6:6" ht="15" customHeight="1" x14ac:dyDescent="0.2">
      <c r="F8122"/>
    </row>
    <row r="8123" spans="6:6" ht="15" customHeight="1" x14ac:dyDescent="0.2">
      <c r="F8123"/>
    </row>
    <row r="8124" spans="6:6" ht="15" customHeight="1" x14ac:dyDescent="0.2">
      <c r="F8124"/>
    </row>
    <row r="8125" spans="6:6" ht="15" customHeight="1" x14ac:dyDescent="0.2">
      <c r="F8125"/>
    </row>
    <row r="8126" spans="6:6" ht="15" customHeight="1" x14ac:dyDescent="0.2">
      <c r="F8126"/>
    </row>
    <row r="8127" spans="6:6" ht="15" customHeight="1" x14ac:dyDescent="0.2">
      <c r="F8127"/>
    </row>
    <row r="8128" spans="6:6" ht="15" customHeight="1" x14ac:dyDescent="0.2">
      <c r="F8128"/>
    </row>
    <row r="8129" spans="6:6" ht="15" customHeight="1" x14ac:dyDescent="0.2">
      <c r="F8129"/>
    </row>
    <row r="8130" spans="6:6" ht="15" customHeight="1" x14ac:dyDescent="0.2">
      <c r="F8130"/>
    </row>
    <row r="8131" spans="6:6" ht="15" customHeight="1" x14ac:dyDescent="0.2">
      <c r="F8131"/>
    </row>
    <row r="8132" spans="6:6" ht="15" customHeight="1" x14ac:dyDescent="0.2">
      <c r="F8132"/>
    </row>
    <row r="8133" spans="6:6" ht="15" customHeight="1" x14ac:dyDescent="0.2">
      <c r="F8133"/>
    </row>
    <row r="8134" spans="6:6" ht="15" customHeight="1" x14ac:dyDescent="0.2">
      <c r="F8134"/>
    </row>
    <row r="8135" spans="6:6" ht="15" customHeight="1" x14ac:dyDescent="0.2">
      <c r="F8135"/>
    </row>
    <row r="8136" spans="6:6" ht="15" customHeight="1" x14ac:dyDescent="0.2">
      <c r="F8136"/>
    </row>
    <row r="8137" spans="6:6" ht="15" customHeight="1" x14ac:dyDescent="0.2">
      <c r="F8137"/>
    </row>
    <row r="8138" spans="6:6" ht="15" customHeight="1" x14ac:dyDescent="0.2">
      <c r="F8138"/>
    </row>
    <row r="8139" spans="6:6" ht="15" customHeight="1" x14ac:dyDescent="0.2">
      <c r="F8139"/>
    </row>
    <row r="8140" spans="6:6" ht="15" customHeight="1" x14ac:dyDescent="0.2">
      <c r="F8140"/>
    </row>
    <row r="8141" spans="6:6" ht="15" customHeight="1" x14ac:dyDescent="0.2">
      <c r="F8141"/>
    </row>
    <row r="8142" spans="6:6" ht="15" customHeight="1" x14ac:dyDescent="0.2">
      <c r="F8142"/>
    </row>
    <row r="8143" spans="6:6" ht="15" customHeight="1" x14ac:dyDescent="0.2">
      <c r="F8143"/>
    </row>
    <row r="8144" spans="6:6" ht="15" customHeight="1" x14ac:dyDescent="0.2">
      <c r="F8144"/>
    </row>
    <row r="8145" spans="6:6" ht="15" customHeight="1" x14ac:dyDescent="0.2">
      <c r="F8145"/>
    </row>
    <row r="8146" spans="6:6" ht="15" customHeight="1" x14ac:dyDescent="0.2">
      <c r="F8146"/>
    </row>
    <row r="8147" spans="6:6" ht="15" customHeight="1" x14ac:dyDescent="0.2">
      <c r="F8147"/>
    </row>
    <row r="8148" spans="6:6" ht="15" customHeight="1" x14ac:dyDescent="0.2">
      <c r="F8148"/>
    </row>
    <row r="8149" spans="6:6" ht="15" customHeight="1" x14ac:dyDescent="0.2">
      <c r="F8149"/>
    </row>
    <row r="8150" spans="6:6" ht="15" customHeight="1" x14ac:dyDescent="0.2">
      <c r="F8150"/>
    </row>
    <row r="8151" spans="6:6" ht="15" customHeight="1" x14ac:dyDescent="0.2">
      <c r="F8151"/>
    </row>
    <row r="8152" spans="6:6" ht="15" customHeight="1" x14ac:dyDescent="0.2">
      <c r="F8152"/>
    </row>
    <row r="8153" spans="6:6" ht="15" customHeight="1" x14ac:dyDescent="0.2">
      <c r="F8153"/>
    </row>
    <row r="8154" spans="6:6" ht="15" customHeight="1" x14ac:dyDescent="0.2">
      <c r="F8154"/>
    </row>
    <row r="8155" spans="6:6" ht="15" customHeight="1" x14ac:dyDescent="0.2">
      <c r="F8155"/>
    </row>
    <row r="8156" spans="6:6" ht="15" customHeight="1" x14ac:dyDescent="0.2">
      <c r="F8156"/>
    </row>
    <row r="8157" spans="6:6" ht="15" customHeight="1" x14ac:dyDescent="0.2">
      <c r="F8157"/>
    </row>
    <row r="8158" spans="6:6" ht="15" customHeight="1" x14ac:dyDescent="0.2">
      <c r="F8158"/>
    </row>
    <row r="8159" spans="6:6" ht="15" customHeight="1" x14ac:dyDescent="0.2">
      <c r="F8159"/>
    </row>
    <row r="8160" spans="6:6" ht="15" customHeight="1" x14ac:dyDescent="0.2">
      <c r="F8160"/>
    </row>
    <row r="8161" spans="6:6" ht="15" customHeight="1" x14ac:dyDescent="0.2">
      <c r="F8161"/>
    </row>
    <row r="8162" spans="6:6" ht="15" customHeight="1" x14ac:dyDescent="0.2">
      <c r="F8162"/>
    </row>
    <row r="8163" spans="6:6" ht="15" customHeight="1" x14ac:dyDescent="0.2">
      <c r="F8163"/>
    </row>
    <row r="8164" spans="6:6" ht="15" customHeight="1" x14ac:dyDescent="0.2">
      <c r="F8164"/>
    </row>
    <row r="8165" spans="6:6" ht="15" customHeight="1" x14ac:dyDescent="0.2">
      <c r="F8165"/>
    </row>
    <row r="8166" spans="6:6" ht="15" customHeight="1" x14ac:dyDescent="0.2">
      <c r="F8166"/>
    </row>
    <row r="8167" spans="6:6" ht="15" customHeight="1" x14ac:dyDescent="0.2">
      <c r="F8167"/>
    </row>
    <row r="8168" spans="6:6" ht="15" customHeight="1" x14ac:dyDescent="0.2">
      <c r="F8168"/>
    </row>
    <row r="8169" spans="6:6" ht="15" customHeight="1" x14ac:dyDescent="0.2">
      <c r="F8169"/>
    </row>
    <row r="8170" spans="6:6" ht="15" customHeight="1" x14ac:dyDescent="0.2">
      <c r="F8170"/>
    </row>
    <row r="8171" spans="6:6" ht="15" customHeight="1" x14ac:dyDescent="0.2">
      <c r="F8171"/>
    </row>
    <row r="8172" spans="6:6" ht="15" customHeight="1" x14ac:dyDescent="0.2">
      <c r="F8172"/>
    </row>
    <row r="8173" spans="6:6" ht="15" customHeight="1" x14ac:dyDescent="0.2">
      <c r="F8173"/>
    </row>
  </sheetData>
  <autoFilter ref="F7:P3173" xr:uid="{00000000-0001-0000-0700-000000000000}"/>
  <mergeCells count="1">
    <mergeCell ref="G6:P6"/>
  </mergeCells>
  <phoneticPr fontId="73" type="noConversion"/>
  <conditionalFormatting sqref="G20 K1702 K1685 K1774 K1845 K1875 K1861 M1902:M1907 M1928:M1930 M1921:M1922 M1972:M1983 M1963:M1968 M1958:M1961 M1949:M1952 M1941:M1943 M2026:M2028 M2020 M2011 M2004 M1997 M1990 J20">
    <cfRule type="expression" dxfId="20154" priority="46624">
      <formula>$H20="CÉLULA CONSTRUTIVA"</formula>
    </cfRule>
    <cfRule type="expression" dxfId="20153" priority="46625">
      <formula>$H20="ETAPA"</formula>
    </cfRule>
    <cfRule type="expression" dxfId="20152" priority="46626">
      <formula>$H20="SUBETAPA"</formula>
    </cfRule>
  </conditionalFormatting>
  <conditionalFormatting sqref="G23">
    <cfRule type="expression" dxfId="20151" priority="46621">
      <formula>$H23="CÉLULA CONSTRUTIVA"</formula>
    </cfRule>
    <cfRule type="expression" dxfId="20150" priority="46622">
      <formula>$H23="ETAPA"</formula>
    </cfRule>
    <cfRule type="expression" dxfId="20149" priority="46623">
      <formula>$H23="SUBETAPA"</formula>
    </cfRule>
  </conditionalFormatting>
  <conditionalFormatting sqref="G29">
    <cfRule type="expression" dxfId="20148" priority="44">
      <formula>$H29="CÉLULA CONSTRUTIVA"</formula>
    </cfRule>
    <cfRule type="expression" dxfId="20147" priority="45">
      <formula>$H29="SUBETAPA"</formula>
    </cfRule>
    <cfRule type="expression" dxfId="20146" priority="46">
      <formula>$H29="ETAPA"</formula>
    </cfRule>
  </conditionalFormatting>
  <conditionalFormatting sqref="G30">
    <cfRule type="expression" dxfId="20145" priority="41">
      <formula>$H30="CÉLULA CONSTRUTIVA"</formula>
    </cfRule>
    <cfRule type="expression" dxfId="20144" priority="42">
      <formula>$H30="SUBETAPA"</formula>
    </cfRule>
    <cfRule type="expression" dxfId="20143" priority="43">
      <formula>$H30="ETAPA"</formula>
    </cfRule>
  </conditionalFormatting>
  <conditionalFormatting sqref="G32">
    <cfRule type="expression" dxfId="20142" priority="38">
      <formula>$H32="CÉLULA CONSTRUTIVA"</formula>
    </cfRule>
    <cfRule type="expression" dxfId="20141" priority="39">
      <formula>$H32="SUBETAPA"</formula>
    </cfRule>
    <cfRule type="expression" dxfId="20140" priority="40">
      <formula>$H32="ETAPA"</formula>
    </cfRule>
  </conditionalFormatting>
  <conditionalFormatting sqref="G35:G38">
    <cfRule type="expression" dxfId="20139" priority="35">
      <formula>$H35="CÉLULA CONSTRUTIVA"</formula>
    </cfRule>
    <cfRule type="expression" dxfId="20138" priority="36">
      <formula>$H35="SUBETAPA"</formula>
    </cfRule>
    <cfRule type="expression" dxfId="20137" priority="37">
      <formula>$H35="ETAPA"</formula>
    </cfRule>
  </conditionalFormatting>
  <conditionalFormatting sqref="G40">
    <cfRule type="expression" dxfId="20136" priority="32">
      <formula>$H40="CÉLULA CONSTRUTIVA"</formula>
    </cfRule>
    <cfRule type="expression" dxfId="20135" priority="33">
      <formula>$H40="SUBETAPA"</formula>
    </cfRule>
    <cfRule type="expression" dxfId="20134" priority="34">
      <formula>$H40="ETAPA"</formula>
    </cfRule>
  </conditionalFormatting>
  <conditionalFormatting sqref="G42 M42:N43">
    <cfRule type="expression" dxfId="20133" priority="50486">
      <formula>$H42="SUBETAPA"</formula>
    </cfRule>
  </conditionalFormatting>
  <conditionalFormatting sqref="G42">
    <cfRule type="expression" dxfId="20132" priority="50488">
      <formula>$H42="ETAPA"</formula>
    </cfRule>
  </conditionalFormatting>
  <conditionalFormatting sqref="G43">
    <cfRule type="expression" dxfId="20131" priority="29">
      <formula>$H43="CÉLULA CONSTRUTIVA"</formula>
    </cfRule>
    <cfRule type="expression" dxfId="20130" priority="30">
      <formula>$H43="SUBETAPA"</formula>
    </cfRule>
    <cfRule type="expression" dxfId="20129" priority="31">
      <formula>$H43="ETAPA"</formula>
    </cfRule>
  </conditionalFormatting>
  <conditionalFormatting sqref="G45:G48">
    <cfRule type="expression" dxfId="20128" priority="26">
      <formula>$H45="CÉLULA CONSTRUTIVA"</formula>
    </cfRule>
    <cfRule type="expression" dxfId="20127" priority="27">
      <formula>$H45="SUBETAPA"</formula>
    </cfRule>
    <cfRule type="expression" dxfId="20126" priority="28">
      <formula>$H45="ETAPA"</formula>
    </cfRule>
  </conditionalFormatting>
  <conditionalFormatting sqref="G50">
    <cfRule type="expression" dxfId="20125" priority="23">
      <formula>$H50="CÉLULA CONSTRUTIVA"</formula>
    </cfRule>
    <cfRule type="expression" dxfId="20124" priority="24">
      <formula>$H50="SUBETAPA"</formula>
    </cfRule>
    <cfRule type="expression" dxfId="20123" priority="25">
      <formula>$H50="ETAPA"</formula>
    </cfRule>
  </conditionalFormatting>
  <conditionalFormatting sqref="G53">
    <cfRule type="expression" dxfId="20122" priority="20">
      <formula>$H53="CÉLULA CONSTRUTIVA"</formula>
    </cfRule>
    <cfRule type="expression" dxfId="20121" priority="21">
      <formula>$H53="SUBETAPA"</formula>
    </cfRule>
    <cfRule type="expression" dxfId="20120" priority="22">
      <formula>$H53="ETAPA"</formula>
    </cfRule>
  </conditionalFormatting>
  <conditionalFormatting sqref="G54">
    <cfRule type="expression" dxfId="20119" priority="17">
      <formula>$H54="CÉLULA CONSTRUTIVA"</formula>
    </cfRule>
    <cfRule type="expression" dxfId="20118" priority="18">
      <formula>$H54="SUBETAPA"</formula>
    </cfRule>
    <cfRule type="expression" dxfId="20117" priority="19">
      <formula>$H54="ETAPA"</formula>
    </cfRule>
  </conditionalFormatting>
  <conditionalFormatting sqref="G57">
    <cfRule type="expression" dxfId="20116" priority="14">
      <formula>$H57="CÉLULA CONSTRUTIVA"</formula>
    </cfRule>
    <cfRule type="expression" dxfId="20115" priority="15">
      <formula>$H57="SUBETAPA"</formula>
    </cfRule>
    <cfRule type="expression" dxfId="20114" priority="16">
      <formula>$H57="ETAPA"</formula>
    </cfRule>
  </conditionalFormatting>
  <conditionalFormatting sqref="G80:G82 M95 M93">
    <cfRule type="expression" dxfId="20113" priority="50315">
      <formula>$H80="ETAPA"</formula>
    </cfRule>
  </conditionalFormatting>
  <conditionalFormatting sqref="G946:G958">
    <cfRule type="expression" dxfId="20112" priority="51706">
      <formula>$H946="SUBETAPA"</formula>
    </cfRule>
  </conditionalFormatting>
  <conditionalFormatting sqref="G961:G963 G966:G973">
    <cfRule type="expression" dxfId="20111" priority="51861">
      <formula>$H961="SUBETAPA"</formula>
    </cfRule>
  </conditionalFormatting>
  <conditionalFormatting sqref="G964:G965">
    <cfRule type="expression" dxfId="20110" priority="51494">
      <formula>$H964="SUBETAPA"</formula>
    </cfRule>
  </conditionalFormatting>
  <conditionalFormatting sqref="G976:G978 G981:G988">
    <cfRule type="expression" dxfId="20109" priority="52019">
      <formula>$H976="SUBETAPA"</formula>
    </cfRule>
  </conditionalFormatting>
  <conditionalFormatting sqref="G979:G980">
    <cfRule type="expression" dxfId="20108" priority="51456">
      <formula>$H979="SUBETAPA"</formula>
    </cfRule>
  </conditionalFormatting>
  <conditionalFormatting sqref="G991:G993 G996:G1003">
    <cfRule type="expression" dxfId="20107" priority="52174">
      <formula>$H991="SUBETAPA"</formula>
    </cfRule>
  </conditionalFormatting>
  <conditionalFormatting sqref="G994:G995">
    <cfRule type="expression" dxfId="20106" priority="51418">
      <formula>$H994="SUBETAPA"</formula>
    </cfRule>
  </conditionalFormatting>
  <conditionalFormatting sqref="G1006:G1008 G1011:G1018">
    <cfRule type="expression" dxfId="20105" priority="52332">
      <formula>$H1006="SUBETAPA"</formula>
    </cfRule>
  </conditionalFormatting>
  <conditionalFormatting sqref="G1009:G1010">
    <cfRule type="expression" dxfId="20104" priority="51380">
      <formula>$H1009="SUBETAPA"</formula>
    </cfRule>
  </conditionalFormatting>
  <conditionalFormatting sqref="G1021:G1023 G1026:G1033">
    <cfRule type="expression" dxfId="20103" priority="52487">
      <formula>$H1021="SUBETAPA"</formula>
    </cfRule>
  </conditionalFormatting>
  <conditionalFormatting sqref="G1024:G1025">
    <cfRule type="expression" dxfId="20102" priority="51342">
      <formula>$H1024="SUBETAPA"</formula>
    </cfRule>
  </conditionalFormatting>
  <conditionalFormatting sqref="G1036:G1038 G1041:G1048">
    <cfRule type="expression" dxfId="20101" priority="52642">
      <formula>$H1036="SUBETAPA"</formula>
    </cfRule>
  </conditionalFormatting>
  <conditionalFormatting sqref="G1039:G1040">
    <cfRule type="expression" dxfId="20100" priority="51304">
      <formula>$H1039="SUBETAPA"</formula>
    </cfRule>
  </conditionalFormatting>
  <conditionalFormatting sqref="G1051:G1053 G1056:G1063">
    <cfRule type="expression" dxfId="20099" priority="52800">
      <formula>$H1051="SUBETAPA"</formula>
    </cfRule>
  </conditionalFormatting>
  <conditionalFormatting sqref="G1054:G1055">
    <cfRule type="expression" dxfId="20098" priority="51266">
      <formula>$H1054="SUBETAPA"</formula>
    </cfRule>
  </conditionalFormatting>
  <conditionalFormatting sqref="G1066:G1068 G1071:G1078">
    <cfRule type="expression" dxfId="20097" priority="52955">
      <formula>$H1066="SUBETAPA"</formula>
    </cfRule>
  </conditionalFormatting>
  <conditionalFormatting sqref="G1069:G1070">
    <cfRule type="expression" dxfId="20096" priority="51228">
      <formula>$H1069="SUBETAPA"</formula>
    </cfRule>
  </conditionalFormatting>
  <conditionalFormatting sqref="G1081:G1083 G1086:G1093">
    <cfRule type="expression" dxfId="20095" priority="53113">
      <formula>$H1081="SUBETAPA"</formula>
    </cfRule>
  </conditionalFormatting>
  <conditionalFormatting sqref="G1084:G1085">
    <cfRule type="expression" dxfId="20094" priority="51190">
      <formula>$H1084="SUBETAPA"</formula>
    </cfRule>
  </conditionalFormatting>
  <conditionalFormatting sqref="G1096:G1098 G1101:G1108">
    <cfRule type="expression" dxfId="20093" priority="53268">
      <formula>$H1096="SUBETAPA"</formula>
    </cfRule>
  </conditionalFormatting>
  <conditionalFormatting sqref="G1099:G1100">
    <cfRule type="expression" dxfId="20092" priority="51152">
      <formula>$H1099="SUBETAPA"</formula>
    </cfRule>
  </conditionalFormatting>
  <conditionalFormatting sqref="G1111:G1113 G1116:G1123">
    <cfRule type="expression" dxfId="20091" priority="53426">
      <formula>$H1111="SUBETAPA"</formula>
    </cfRule>
  </conditionalFormatting>
  <conditionalFormatting sqref="G1114:G1115">
    <cfRule type="expression" dxfId="20090" priority="51114">
      <formula>$H1114="SUBETAPA"</formula>
    </cfRule>
  </conditionalFormatting>
  <conditionalFormatting sqref="G1126:G1128 G1131:G1138">
    <cfRule type="expression" dxfId="20089" priority="53581">
      <formula>$H1126="SUBETAPA"</formula>
    </cfRule>
  </conditionalFormatting>
  <conditionalFormatting sqref="G1129:G1130">
    <cfRule type="expression" dxfId="20088" priority="51076">
      <formula>$H1129="SUBETAPA"</formula>
    </cfRule>
  </conditionalFormatting>
  <conditionalFormatting sqref="G1141:G1143 G1146:G1153">
    <cfRule type="expression" dxfId="20087" priority="53739">
      <formula>$H1141="SUBETAPA"</formula>
    </cfRule>
  </conditionalFormatting>
  <conditionalFormatting sqref="G1144:G1145">
    <cfRule type="expression" dxfId="20086" priority="51038">
      <formula>$H1144="SUBETAPA"</formula>
    </cfRule>
  </conditionalFormatting>
  <conditionalFormatting sqref="G1242">
    <cfRule type="expression" dxfId="20085" priority="55">
      <formula>$H1242="CÉLULA CONSTRUTIVA"</formula>
    </cfRule>
    <cfRule type="expression" dxfId="20084" priority="56">
      <formula>$H1242="SUBETAPA"</formula>
    </cfRule>
    <cfRule type="expression" dxfId="20083" priority="57">
      <formula>$H1242="ETAPA"</formula>
    </cfRule>
  </conditionalFormatting>
  <conditionalFormatting sqref="G1243">
    <cfRule type="expression" dxfId="20082" priority="52">
      <formula>$H1243="CÉLULA CONSTRUTIVA"</formula>
    </cfRule>
    <cfRule type="expression" dxfId="20081" priority="53">
      <formula>$H1243="SUBETAPA"</formula>
    </cfRule>
    <cfRule type="expression" dxfId="20080" priority="54">
      <formula>$H1243="ETAPA"</formula>
    </cfRule>
  </conditionalFormatting>
  <conditionalFormatting sqref="G1245:G1249">
    <cfRule type="expression" dxfId="20079" priority="50">
      <formula>$H1245="SUBETAPA"</formula>
    </cfRule>
    <cfRule type="expression" dxfId="20078" priority="51">
      <formula>$H1245="ETAPA"</formula>
    </cfRule>
  </conditionalFormatting>
  <conditionalFormatting sqref="G1251">
    <cfRule type="expression" dxfId="20077" priority="47">
      <formula>$H1251="SUBETAPA"</formula>
    </cfRule>
    <cfRule type="expression" dxfId="20076" priority="48">
      <formula>$H1251="ETAPA"</formula>
    </cfRule>
    <cfRule type="expression" dxfId="20075" priority="49">
      <formula>$H1251="CÉLULA CONSTRUTIVA"</formula>
    </cfRule>
  </conditionalFormatting>
  <conditionalFormatting sqref="G1267:G1276">
    <cfRule type="expression" dxfId="20074" priority="2795">
      <formula>$H1267="CÉLULA CONSTRUTIVA"</formula>
    </cfRule>
  </conditionalFormatting>
  <conditionalFormatting sqref="G1281:G1290">
    <cfRule type="expression" dxfId="20073" priority="2864">
      <formula>$H1281="CÉLULA CONSTRUTIVA"</formula>
    </cfRule>
  </conditionalFormatting>
  <conditionalFormatting sqref="G1295:G1304">
    <cfRule type="expression" dxfId="20072" priority="2933">
      <formula>$H1295="CÉLULA CONSTRUTIVA"</formula>
    </cfRule>
  </conditionalFormatting>
  <conditionalFormatting sqref="G1309:G1318">
    <cfRule type="expression" dxfId="20071" priority="3002">
      <formula>$H1309="CÉLULA CONSTRUTIVA"</formula>
    </cfRule>
  </conditionalFormatting>
  <conditionalFormatting sqref="G1323:G1332">
    <cfRule type="expression" dxfId="20070" priority="3071">
      <formula>$H1323="CÉLULA CONSTRUTIVA"</formula>
    </cfRule>
  </conditionalFormatting>
  <conditionalFormatting sqref="G1337:G1346">
    <cfRule type="expression" dxfId="20069" priority="3140">
      <formula>$H1337="CÉLULA CONSTRUTIVA"</formula>
    </cfRule>
  </conditionalFormatting>
  <conditionalFormatting sqref="G1370">
    <cfRule type="expression" dxfId="20068" priority="80">
      <formula>$H1370="CÉLULA CONSTRUTIVA"</formula>
    </cfRule>
  </conditionalFormatting>
  <conditionalFormatting sqref="G1373">
    <cfRule type="expression" dxfId="20067" priority="79">
      <formula>$H1373="CÉLULA CONSTRUTIVA"</formula>
    </cfRule>
  </conditionalFormatting>
  <conditionalFormatting sqref="G1376">
    <cfRule type="expression" dxfId="20066" priority="78">
      <formula>$H1376="CÉLULA CONSTRUTIVA"</formula>
    </cfRule>
  </conditionalFormatting>
  <conditionalFormatting sqref="G1379">
    <cfRule type="expression" dxfId="20065" priority="77">
      <formula>$H1379="CÉLULA CONSTRUTIVA"</formula>
    </cfRule>
  </conditionalFormatting>
  <conditionalFormatting sqref="G1382">
    <cfRule type="expression" dxfId="20064" priority="76">
      <formula>$H1382="CÉLULA CONSTRUTIVA"</formula>
    </cfRule>
  </conditionalFormatting>
  <conditionalFormatting sqref="G1385">
    <cfRule type="expression" dxfId="20063" priority="75">
      <formula>$H1385="CÉLULA CONSTRUTIVA"</formula>
    </cfRule>
  </conditionalFormatting>
  <conditionalFormatting sqref="G1388">
    <cfRule type="expression" dxfId="20062" priority="73">
      <formula>$H1388="SUBETAPA"</formula>
    </cfRule>
    <cfRule type="expression" dxfId="20061" priority="74">
      <formula>$H1388="ETAPA"</formula>
    </cfRule>
  </conditionalFormatting>
  <conditionalFormatting sqref="G1390">
    <cfRule type="expression" dxfId="20060" priority="71">
      <formula>$H1390="SUBETAPA"</formula>
    </cfRule>
    <cfRule type="expression" dxfId="20059" priority="72">
      <formula>$H1390="ETAPA"</formula>
    </cfRule>
  </conditionalFormatting>
  <conditionalFormatting sqref="G1392">
    <cfRule type="expression" dxfId="20058" priority="69">
      <formula>$H1392="SUBETAPA"</formula>
    </cfRule>
    <cfRule type="expression" dxfId="20057" priority="70">
      <formula>$H1392="ETAPA"</formula>
    </cfRule>
  </conditionalFormatting>
  <conditionalFormatting sqref="G1395">
    <cfRule type="expression" dxfId="20056" priority="67">
      <formula>$H1395="SUBETAPA"</formula>
    </cfRule>
    <cfRule type="expression" dxfId="20055" priority="68">
      <formula>$H1395="ETAPA"</formula>
    </cfRule>
  </conditionalFormatting>
  <conditionalFormatting sqref="G1397">
    <cfRule type="expression" dxfId="20054" priority="65">
      <formula>$H1397="SUBETAPA"</formula>
    </cfRule>
    <cfRule type="expression" dxfId="20053" priority="66">
      <formula>$H1397="ETAPA"</formula>
    </cfRule>
  </conditionalFormatting>
  <conditionalFormatting sqref="G1399">
    <cfRule type="expression" dxfId="20052" priority="63">
      <formula>$H1399="SUBETAPA"</formula>
    </cfRule>
    <cfRule type="expression" dxfId="20051" priority="64">
      <formula>$H1399="ETAPA"</formula>
    </cfRule>
  </conditionalFormatting>
  <conditionalFormatting sqref="G1404">
    <cfRule type="expression" dxfId="20050" priority="62">
      <formula>$H1404="CÉLULA CONSTRUTIVA"</formula>
    </cfRule>
  </conditionalFormatting>
  <conditionalFormatting sqref="G1409">
    <cfRule type="expression" dxfId="20049" priority="61">
      <formula>$H1409="CÉLULA CONSTRUTIVA"</formula>
    </cfRule>
  </conditionalFormatting>
  <conditionalFormatting sqref="G1414">
    <cfRule type="expression" dxfId="20048" priority="60">
      <formula>$H1414="CÉLULA CONSTRUTIVA"</formula>
    </cfRule>
  </conditionalFormatting>
  <conditionalFormatting sqref="G1419">
    <cfRule type="expression" dxfId="20047" priority="59">
      <formula>$H1419="CÉLULA CONSTRUTIVA"</formula>
    </cfRule>
  </conditionalFormatting>
  <conditionalFormatting sqref="G1422">
    <cfRule type="expression" dxfId="20046" priority="58">
      <formula>$H1422="CÉLULA CONSTRUTIVA"</formula>
    </cfRule>
  </conditionalFormatting>
  <conditionalFormatting sqref="G1477 G3131:H3132 J3131:K3131 L3131:L3132 G3108:H3109 J3108:K3108 L3108:L3109 G3087:H3088 J3087:K3087 L3087:L3088 L3098:L3099 O3098:O3099 J3100:K3101 J3122:K3124 L3120:L3121 O3120:O3121 J3145:K3148 L3143:L3144 O3143:O3144 O730 O743 O756 O795 O782 O769 G443:J443 O443 J442 G427:J427 O427 J426 G411:J411 O411 G394:J394 O394 G512:J512 O512 J510:J511 G494:J494 O494 J492:J493 G477:J477 O477 J475:J476 G460:J460 O460 J458:J459 J615 G601:J601 O601 J599:J600 G582:J582 O582 J581 G566:J566 O566 J564:J565 G548:J548 O548 J546:J547 G530:J530 O530 J528:J529 M1420 M1383 M1380 M1377 M1374 M1371 L1670:L1672 G1669:H1669 J1669:L1669 O1669 L1658:L1660 O1656:O1657 O1651 O1638:O1639 O1614:O1615 O1605 J1604 O1593:O1594 O1584 J1583 L1575:L1577 G1574:H1574 J1574:L1574 O1574 O1566 J1565 O1555:O1556 O1546 O1533:O1534 O1523 L1492:L1493 L1467 L1460 L1453 O1430 G1691 G1681:G1682 G1892:H1892 J1892:M1892 G2056:G2062 G2078:G2083 G2097:G2100 G2113:G2116 G2130:G2133 G2148:G2151 G2174:G2180 G2205:G2209 G2226:G2229 G2268:G2272 G2246:G2249 G2292:G2296 G2339 G2331:G2334 G2314:G2320 J2355:K2355 O2536 O2514 O2487 O2440 O2417 O2616 O2600 O2584 O2568 O2552 G2972:H2974 J2972:L2974 O2972:O2974 G2967:H2969 J2967:L2969 O2967:O2969 G2961:H2964 J2961:L2964 O2961:O2964 G3047:H3047 J3046:K3046 J3047:L3047 O3047 G3043:H3044 J3043:L3044 O3043:O3044 G3038:H3040 J3038:L3040 O3038:O3040 G3031:H3034 J3031:L3034 O3031:O3034 G3024:H3027 J3024:L3027 O3024:O3027 G3017:H3020 J3017:L3020 O3017:O3020 G3010:H3013 J3010:L3013 O3010:O3013 G2994:H2997 J2994:L2997 O2994:O2997 G2987:H2990 J2987:L2990 O2987:O2990 G2982:H2984 J2982:L2984 O2982:O2984 G2977:H2979 J2977:L2979 O2977:O2979 H2636:H2637 M2636:M2637 J2636:K2637 H2748:H2751 M2748:M2751 J2748:K2751 H2737:H2740 M2737:M2740 J2737:K2740 H2726:H2729 M2726:M2729 J2726:K2729 H2644:H2647 M2644:M2647 J2644:K2647 H2715:H2718 M2715:M2718 J2715:K2718 H2704:H2707 M2704:M2707 J2704:K2707 H2695:H2696 M2695:M2696 J2695:K2696 H2685:H2687 M2685:M2687 J2685:K2687 H2677 M2677 J2677:K2677 H2669 M2669 J2669:K2669 H2662 M2662 J2662:K2662 H2653:H2655 M2653:M2655 J2653:K2655 L1911 G1936 L1937 L1932 L1924 L1970 L1954 L1945 L2030 L2022">
    <cfRule type="expression" dxfId="20045" priority="4265">
      <formula>$H394="SUBETAPA"</formula>
    </cfRule>
    <cfRule type="expression" dxfId="20044" priority="4266">
      <formula>$H394="CÉLULA CONSTRUTIVA"</formula>
    </cfRule>
  </conditionalFormatting>
  <conditionalFormatting sqref="G1673:G1679 G2031">
    <cfRule type="expression" dxfId="20043" priority="5358">
      <formula>$H1673="ETAPA"</formula>
    </cfRule>
  </conditionalFormatting>
  <conditionalFormatting sqref="G1674:G1675">
    <cfRule type="expression" dxfId="20042" priority="5727">
      <formula>$H1674="SUBETAPA"</formula>
    </cfRule>
    <cfRule type="expression" dxfId="20041" priority="5728">
      <formula>$H1674="CÉLULA CONSTRUTIVA"</formula>
    </cfRule>
  </conditionalFormatting>
  <conditionalFormatting sqref="G1680 H3115:H3116 J3115:K3116 O3115:O3116 H3094 J3094:K3094 O3094 H3070:H3072 J3070:K3072 O3070:O3072 L617 O1652:O1654 O1603:O1604 O1582:O1583 O1567:O1570 O1564:O1565 O1524:O1527 O1487 O1472 O1462 O1455 O1448:O1449 M2762:M2763 L2760:L2761 M2768:M2769 L2766:L2767 M2774:M2775 L2772:L2773 M2817:M2818">
    <cfRule type="expression" dxfId="20040" priority="5726">
      <formula>$H617="ETAPA"</formula>
    </cfRule>
    <cfRule type="expression" dxfId="20039" priority="6342">
      <formula>$H617="SUBETAPA"</formula>
    </cfRule>
  </conditionalFormatting>
  <conditionalFormatting sqref="G1681 G1674:G1675">
    <cfRule type="expression" dxfId="20038" priority="5725">
      <formula>$H1674="ETAPA"</formula>
    </cfRule>
  </conditionalFormatting>
  <conditionalFormatting sqref="G1683">
    <cfRule type="expression" dxfId="20037" priority="5297">
      <formula>$H1683="CÉLULA CONSTRUTIVA"</formula>
    </cfRule>
    <cfRule type="expression" dxfId="20036" priority="5723">
      <formula>$H1683="ETAPA"</formula>
    </cfRule>
    <cfRule type="expression" dxfId="20035" priority="5724">
      <formula>$H1683="SUBETAPA"</formula>
    </cfRule>
  </conditionalFormatting>
  <conditionalFormatting sqref="G1689">
    <cfRule type="expression" dxfId="20034" priority="6340">
      <formula>$H1689="ETAPA"</formula>
    </cfRule>
    <cfRule type="expression" dxfId="20033" priority="6341">
      <formula>$H1689="SUBETAPA"</formula>
    </cfRule>
  </conditionalFormatting>
  <conditionalFormatting sqref="G1690">
    <cfRule type="expression" dxfId="20032" priority="6338">
      <formula>$H1690="ETAPA"</formula>
    </cfRule>
    <cfRule type="expression" dxfId="20031" priority="6339">
      <formula>$H1690="SUBETAPA"</formula>
    </cfRule>
  </conditionalFormatting>
  <conditionalFormatting sqref="G1693 K409:L411 K393:K394 L392:L394 H1234:H1236 H1222:H1224 H1182:H1184 H1177:H1179 H1172:H1174 H1167:H1169 H1162:H1164 H1420 H1383 H1380 H1377 H1374 H1371 J1736 J1760 J1748 J1836 J1823 J1896 J1891 O2100 O2116 O2133 O2151">
    <cfRule type="expression" dxfId="20030" priority="5296">
      <formula>$H392="CÉLULA CONSTRUTIVA"</formula>
    </cfRule>
    <cfRule type="expression" dxfId="20029" priority="5719">
      <formula>$H392="SUBETAPA"</formula>
    </cfRule>
  </conditionalFormatting>
  <conditionalFormatting sqref="G1693">
    <cfRule type="expression" dxfId="20028" priority="5312">
      <formula>$H1693="ETAPA"</formula>
    </cfRule>
  </conditionalFormatting>
  <conditionalFormatting sqref="G1696:G1699">
    <cfRule type="expression" dxfId="20027" priority="6337">
      <formula>$H1696="ETAPA"</formula>
    </cfRule>
  </conditionalFormatting>
  <conditionalFormatting sqref="G1700">
    <cfRule type="expression" dxfId="20026" priority="5712">
      <formula>$H1700="ETAPA"</formula>
    </cfRule>
    <cfRule type="expression" dxfId="20025" priority="5713">
      <formula>$H1700="CÉLULA CONSTRUTIVA"</formula>
    </cfRule>
    <cfRule type="expression" dxfId="20024" priority="5714">
      <formula>$H1700="SUBETAPA"</formula>
    </cfRule>
    <cfRule type="expression" dxfId="20023" priority="6330">
      <formula>$H1700="CÉLULA CONSTRUTIVA"</formula>
    </cfRule>
    <cfRule type="expression" dxfId="20022" priority="6331">
      <formula>$H1700="ETAPA"</formula>
    </cfRule>
    <cfRule type="expression" dxfId="20021" priority="6332">
      <formula>$H1700="SUBETAPA"</formula>
    </cfRule>
  </conditionalFormatting>
  <conditionalFormatting sqref="G1702 G1845 G1875 G1861">
    <cfRule type="expression" dxfId="20020" priority="5709">
      <formula>$H1702="SUBETAPA"</formula>
    </cfRule>
    <cfRule type="expression" dxfId="20019" priority="5710">
      <formula>$H1702="CÉLULA CONSTRUTIVA"</formula>
    </cfRule>
    <cfRule type="expression" dxfId="20018" priority="5711">
      <formula>$H1702="ETAPA"</formula>
    </cfRule>
    <cfRule type="expression" dxfId="20017" priority="6327">
      <formula>$H1702="SUBETAPA"</formula>
    </cfRule>
    <cfRule type="expression" dxfId="20016" priority="6328">
      <formula>$H1702="CÉLULA CONSTRUTIVA"</formula>
    </cfRule>
    <cfRule type="expression" dxfId="20015" priority="6329">
      <formula>$H1702="ETAPA"</formula>
    </cfRule>
  </conditionalFormatting>
  <conditionalFormatting sqref="G1706">
    <cfRule type="expression" dxfId="20014" priority="6319">
      <formula>$H1706="ETAPA"</formula>
    </cfRule>
    <cfRule type="expression" dxfId="20013" priority="6320">
      <formula>$H1706="SUBETAPA"</formula>
    </cfRule>
  </conditionalFormatting>
  <conditionalFormatting sqref="G1707">
    <cfRule type="expression" dxfId="20012" priority="6317">
      <formula>$H1707="ETAPA"</formula>
    </cfRule>
    <cfRule type="expression" dxfId="20011" priority="6318">
      <formula>$H1707="SUBETAPA"</formula>
    </cfRule>
  </conditionalFormatting>
  <conditionalFormatting sqref="G1709 G1835 G1822 G1808 G1866">
    <cfRule type="expression" dxfId="20010" priority="5311">
      <formula>$H1709="ETAPA"</formula>
    </cfRule>
    <cfRule type="expression" dxfId="20009" priority="6326">
      <formula>$H1709="ETAPA"</formula>
    </cfRule>
  </conditionalFormatting>
  <conditionalFormatting sqref="G1709">
    <cfRule type="expression" dxfId="20008" priority="5295">
      <formula>$H1709="CÉLULA CONSTRUTIVA"</formula>
    </cfRule>
    <cfRule type="expression" dxfId="20007" priority="5708">
      <formula>$H1709="SUBETAPA"</formula>
    </cfRule>
    <cfRule type="expression" dxfId="20006" priority="6324">
      <formula>$H1709="CÉLULA CONSTRUTIVA"</formula>
    </cfRule>
    <cfRule type="expression" dxfId="20005" priority="6325">
      <formula>$H1709="SUBETAPA"</formula>
    </cfRule>
  </conditionalFormatting>
  <conditionalFormatting sqref="G1710:G1711">
    <cfRule type="expression" dxfId="20004" priority="5701">
      <formula>$H1710="ETAPA"</formula>
    </cfRule>
    <cfRule type="expression" dxfId="20003" priority="5703">
      <formula>$H1710="SUBETAPA"</formula>
    </cfRule>
    <cfRule type="expression" dxfId="20002" priority="5704">
      <formula>$H1710="CÉLULA CONSTRUTIVA"</formula>
    </cfRule>
  </conditionalFormatting>
  <conditionalFormatting sqref="G1712:G1715">
    <cfRule type="expression" dxfId="20001" priority="6314">
      <formula>$H1712="ETAPA"</formula>
    </cfRule>
  </conditionalFormatting>
  <conditionalFormatting sqref="G1716">
    <cfRule type="expression" dxfId="20000" priority="5698">
      <formula>$H1716="ETAPA"</formula>
    </cfRule>
    <cfRule type="expression" dxfId="19999" priority="5699">
      <formula>$H1716="CÉLULA CONSTRUTIVA"</formula>
    </cfRule>
    <cfRule type="expression" dxfId="19998" priority="5700">
      <formula>$H1716="SUBETAPA"</formula>
    </cfRule>
    <cfRule type="expression" dxfId="19997" priority="6307">
      <formula>$H1716="CÉLULA CONSTRUTIVA"</formula>
    </cfRule>
    <cfRule type="expression" dxfId="19996" priority="6308">
      <formula>$H1716="ETAPA"</formula>
    </cfRule>
    <cfRule type="expression" dxfId="19995" priority="6309">
      <formula>$H1716="SUBETAPA"</formula>
    </cfRule>
  </conditionalFormatting>
  <conditionalFormatting sqref="G1721">
    <cfRule type="expression" dxfId="19994" priority="6296">
      <formula>$H1721="ETAPA"</formula>
    </cfRule>
    <cfRule type="expression" dxfId="19993" priority="6297">
      <formula>$H1721="SUBETAPA"</formula>
    </cfRule>
  </conditionalFormatting>
  <conditionalFormatting sqref="G1722">
    <cfRule type="expression" dxfId="19992" priority="6294">
      <formula>$H1722="ETAPA"</formula>
    </cfRule>
    <cfRule type="expression" dxfId="19991" priority="6295">
      <formula>$H1722="SUBETAPA"</formula>
    </cfRule>
  </conditionalFormatting>
  <conditionalFormatting sqref="G1724">
    <cfRule type="expression" dxfId="19990" priority="5294">
      <formula>$H1724="CÉLULA CONSTRUTIVA"</formula>
    </cfRule>
    <cfRule type="expression" dxfId="19989" priority="5310">
      <formula>$H1724="ETAPA"</formula>
    </cfRule>
    <cfRule type="expression" dxfId="19988" priority="5694">
      <formula>$H1724="SUBETAPA"</formula>
    </cfRule>
    <cfRule type="expression" dxfId="19987" priority="6301">
      <formula>$H1724="CÉLULA CONSTRUTIVA"</formula>
    </cfRule>
    <cfRule type="expression" dxfId="19986" priority="6302">
      <formula>$H1724="SUBETAPA"</formula>
    </cfRule>
    <cfRule type="expression" dxfId="19985" priority="6303">
      <formula>$H1724="ETAPA"</formula>
    </cfRule>
  </conditionalFormatting>
  <conditionalFormatting sqref="G1725:G1726">
    <cfRule type="expression" dxfId="19984" priority="5687">
      <formula>$H1725="ETAPA"</formula>
    </cfRule>
    <cfRule type="expression" dxfId="19983" priority="5689">
      <formula>$H1725="SUBETAPA"</formula>
    </cfRule>
    <cfRule type="expression" dxfId="19982" priority="5690">
      <formula>$H1725="CÉLULA CONSTRUTIVA"</formula>
    </cfRule>
  </conditionalFormatting>
  <conditionalFormatting sqref="G1727:G1730">
    <cfRule type="expression" dxfId="19981" priority="6291">
      <formula>$H1727="ETAPA"</formula>
    </cfRule>
  </conditionalFormatting>
  <conditionalFormatting sqref="G1731">
    <cfRule type="expression" dxfId="19980" priority="5684">
      <formula>$H1731="ETAPA"</formula>
    </cfRule>
    <cfRule type="expression" dxfId="19979" priority="5685">
      <formula>$H1731="CÉLULA CONSTRUTIVA"</formula>
    </cfRule>
    <cfRule type="expression" dxfId="19978" priority="5686">
      <formula>$H1731="SUBETAPA"</formula>
    </cfRule>
    <cfRule type="expression" dxfId="19977" priority="6284">
      <formula>$H1731="CÉLULA CONSTRUTIVA"</formula>
    </cfRule>
    <cfRule type="expression" dxfId="19976" priority="6285">
      <formula>$H1731="ETAPA"</formula>
    </cfRule>
    <cfRule type="expression" dxfId="19975" priority="6286">
      <formula>$H1731="SUBETAPA"</formula>
    </cfRule>
  </conditionalFormatting>
  <conditionalFormatting sqref="G1734">
    <cfRule type="expression" dxfId="19974" priority="6273">
      <formula>$H1734="ETAPA"</formula>
    </cfRule>
    <cfRule type="expression" dxfId="19973" priority="6274">
      <formula>$H1734="SUBETAPA"</formula>
    </cfRule>
  </conditionalFormatting>
  <conditionalFormatting sqref="G1735">
    <cfRule type="expression" dxfId="19972" priority="6271">
      <formula>$H1735="ETAPA"</formula>
    </cfRule>
    <cfRule type="expression" dxfId="19971" priority="6272">
      <formula>$H1735="SUBETAPA"</formula>
    </cfRule>
  </conditionalFormatting>
  <conditionalFormatting sqref="G1737:G1738">
    <cfRule type="expression" dxfId="19970" priority="5673">
      <formula>$H1737="ETAPA"</formula>
    </cfRule>
    <cfRule type="expression" dxfId="19969" priority="5675">
      <formula>$H1737="SUBETAPA"</formula>
    </cfRule>
    <cfRule type="expression" dxfId="19968" priority="5676">
      <formula>$H1737="CÉLULA CONSTRUTIVA"</formula>
    </cfRule>
  </conditionalFormatting>
  <conditionalFormatting sqref="G1743">
    <cfRule type="expression" dxfId="19967" priority="5670">
      <formula>$H1743="ETAPA"</formula>
    </cfRule>
    <cfRule type="expression" dxfId="19966" priority="5671">
      <formula>$H1743="CÉLULA CONSTRUTIVA"</formula>
    </cfRule>
    <cfRule type="expression" dxfId="19965" priority="5672">
      <formula>$H1743="SUBETAPA"</formula>
    </cfRule>
    <cfRule type="expression" dxfId="19964" priority="6261">
      <formula>$H1743="CÉLULA CONSTRUTIVA"</formula>
    </cfRule>
    <cfRule type="expression" dxfId="19963" priority="6262">
      <formula>$H1743="ETAPA"</formula>
    </cfRule>
    <cfRule type="expression" dxfId="19962" priority="6263">
      <formula>$H1743="SUBETAPA"</formula>
    </cfRule>
  </conditionalFormatting>
  <conditionalFormatting sqref="G1746">
    <cfRule type="expression" dxfId="19961" priority="6250">
      <formula>$H1746="ETAPA"</formula>
    </cfRule>
    <cfRule type="expression" dxfId="19960" priority="6251">
      <formula>$H1746="SUBETAPA"</formula>
    </cfRule>
  </conditionalFormatting>
  <conditionalFormatting sqref="G1747">
    <cfRule type="expression" dxfId="19959" priority="6248">
      <formula>$H1747="ETAPA"</formula>
    </cfRule>
    <cfRule type="expression" dxfId="19958" priority="6249">
      <formula>$H1747="SUBETAPA"</formula>
    </cfRule>
  </conditionalFormatting>
  <conditionalFormatting sqref="G1749:G1750">
    <cfRule type="expression" dxfId="19957" priority="5659">
      <formula>$H1749="ETAPA"</formula>
    </cfRule>
    <cfRule type="expression" dxfId="19956" priority="5661">
      <formula>$H1749="SUBETAPA"</formula>
    </cfRule>
    <cfRule type="expression" dxfId="19955" priority="5662">
      <formula>$H1749="CÉLULA CONSTRUTIVA"</formula>
    </cfRule>
  </conditionalFormatting>
  <conditionalFormatting sqref="G1751:G1754">
    <cfRule type="expression" dxfId="19954" priority="6245">
      <formula>$H1751="ETAPA"</formula>
    </cfRule>
  </conditionalFormatting>
  <conditionalFormatting sqref="G1755">
    <cfRule type="expression" dxfId="19953" priority="5656">
      <formula>$H1755="ETAPA"</formula>
    </cfRule>
    <cfRule type="expression" dxfId="19952" priority="5657">
      <formula>$H1755="CÉLULA CONSTRUTIVA"</formula>
    </cfRule>
    <cfRule type="expression" dxfId="19951" priority="5658">
      <formula>$H1755="SUBETAPA"</formula>
    </cfRule>
    <cfRule type="expression" dxfId="19950" priority="6238">
      <formula>$H1755="CÉLULA CONSTRUTIVA"</formula>
    </cfRule>
    <cfRule type="expression" dxfId="19949" priority="6239">
      <formula>$H1755="ETAPA"</formula>
    </cfRule>
    <cfRule type="expression" dxfId="19948" priority="6240">
      <formula>$H1755="SUBETAPA"</formula>
    </cfRule>
  </conditionalFormatting>
  <conditionalFormatting sqref="G1758">
    <cfRule type="expression" dxfId="19947" priority="6227">
      <formula>$H1758="ETAPA"</formula>
    </cfRule>
    <cfRule type="expression" dxfId="19946" priority="6228">
      <formula>$H1758="SUBETAPA"</formula>
    </cfRule>
  </conditionalFormatting>
  <conditionalFormatting sqref="G1759">
    <cfRule type="expression" dxfId="19945" priority="6225">
      <formula>$H1759="ETAPA"</formula>
    </cfRule>
    <cfRule type="expression" dxfId="19944" priority="6226">
      <formula>$H1759="SUBETAPA"</formula>
    </cfRule>
  </conditionalFormatting>
  <conditionalFormatting sqref="G1761:G1762">
    <cfRule type="expression" dxfId="19943" priority="5645">
      <formula>$H1761="ETAPA"</formula>
    </cfRule>
    <cfRule type="expression" dxfId="19942" priority="5647">
      <formula>$H1761="SUBETAPA"</formula>
    </cfRule>
    <cfRule type="expression" dxfId="19941" priority="5648">
      <formula>$H1761="CÉLULA CONSTRUTIVA"</formula>
    </cfRule>
  </conditionalFormatting>
  <conditionalFormatting sqref="G1763:G1766">
    <cfRule type="expression" dxfId="19940" priority="6222">
      <formula>$H1763="ETAPA"</formula>
    </cfRule>
  </conditionalFormatting>
  <conditionalFormatting sqref="G1767">
    <cfRule type="expression" dxfId="19939" priority="5646">
      <formula>$H1767="ETAPA"</formula>
    </cfRule>
    <cfRule type="expression" dxfId="19938" priority="6219">
      <formula>$H1767="ETAPA"</formula>
    </cfRule>
    <cfRule type="expression" dxfId="19937" priority="6220">
      <formula>$H1767="SUBETAPA"</formula>
    </cfRule>
    <cfRule type="expression" dxfId="19936" priority="6221">
      <formula>$H1767="SUBETAPA"</formula>
    </cfRule>
  </conditionalFormatting>
  <conditionalFormatting sqref="G1768:G1770 G1850 G1843 G1835 G1830 G1822 G1817 G1808 G1866 G1859 G1792 N379:N3172">
    <cfRule type="expression" dxfId="19935" priority="5351">
      <formula>$H379="SUBETAPA"</formula>
    </cfRule>
    <cfRule type="expression" dxfId="19934" priority="5352">
      <formula>$H379="CÉLULA CONSTRUTIVA"</formula>
    </cfRule>
    <cfRule type="expression" dxfId="19933" priority="6315">
      <formula>$H379="SUBETAPA"</formula>
    </cfRule>
    <cfRule type="expression" dxfId="19932" priority="6316">
      <formula>$H379="CÉLULA CONSTRUTIVA"</formula>
    </cfRule>
  </conditionalFormatting>
  <conditionalFormatting sqref="G1771">
    <cfRule type="expression" dxfId="19931" priority="5642">
      <formula>$H1771="ETAPA"</formula>
    </cfRule>
    <cfRule type="expression" dxfId="19930" priority="5643">
      <formula>$H1771="CÉLULA CONSTRUTIVA"</formula>
    </cfRule>
    <cfRule type="expression" dxfId="19929" priority="5644">
      <formula>$H1771="SUBETAPA"</formula>
    </cfRule>
    <cfRule type="expression" dxfId="19928" priority="6215">
      <formula>$H1771="CÉLULA CONSTRUTIVA"</formula>
    </cfRule>
    <cfRule type="expression" dxfId="19927" priority="6216">
      <formula>$H1771="ETAPA"</formula>
    </cfRule>
    <cfRule type="expression" dxfId="19926" priority="6217">
      <formula>$H1771="SUBETAPA"</formula>
    </cfRule>
  </conditionalFormatting>
  <conditionalFormatting sqref="G1773 G1784 G1781:G1782">
    <cfRule type="expression" dxfId="19925" priority="5306">
      <formula>$H1773="ETAPA"</formula>
    </cfRule>
    <cfRule type="expression" dxfId="19924" priority="6211">
      <formula>$H1773="ETAPA"</formula>
    </cfRule>
  </conditionalFormatting>
  <conditionalFormatting sqref="G1773 G1784">
    <cfRule type="expression" dxfId="19923" priority="5290">
      <formula>$H1773="CÉLULA CONSTRUTIVA"</formula>
    </cfRule>
    <cfRule type="expression" dxfId="19922" priority="5638">
      <formula>$H1773="SUBETAPA"</formula>
    </cfRule>
    <cfRule type="expression" dxfId="19921" priority="6209">
      <formula>$H1773="CÉLULA CONSTRUTIVA"</formula>
    </cfRule>
    <cfRule type="expression" dxfId="19920" priority="6210">
      <formula>$H1773="SUBETAPA"</formula>
    </cfRule>
  </conditionalFormatting>
  <conditionalFormatting sqref="G1779">
    <cfRule type="expression" dxfId="19919" priority="6204">
      <formula>$H1779="ETAPA"</formula>
    </cfRule>
    <cfRule type="expression" dxfId="19918" priority="6205">
      <formula>$H1779="SUBETAPA"</formula>
    </cfRule>
  </conditionalFormatting>
  <conditionalFormatting sqref="G1780">
    <cfRule type="expression" dxfId="19917" priority="6202">
      <formula>$H1780="ETAPA"</formula>
    </cfRule>
    <cfRule type="expression" dxfId="19916" priority="6203">
      <formula>$H1780="SUBETAPA"</formula>
    </cfRule>
  </conditionalFormatting>
  <conditionalFormatting sqref="G1781:G1782">
    <cfRule type="expression" dxfId="19915" priority="5341">
      <formula>$H1781="SUBETAPA"</formula>
    </cfRule>
    <cfRule type="expression" dxfId="19914" priority="5342">
      <formula>$H1781="CÉLULA CONSTRUTIVA"</formula>
    </cfRule>
    <cfRule type="expression" dxfId="19913" priority="6200">
      <formula>$H1781="SUBETAPA"</formula>
    </cfRule>
    <cfRule type="expression" dxfId="19912" priority="6201">
      <formula>$H1781="CÉLULA CONSTRUTIVA"</formula>
    </cfRule>
  </conditionalFormatting>
  <conditionalFormatting sqref="G1785:G1786 G1797 G1799">
    <cfRule type="expression" dxfId="19911" priority="5633">
      <formula>$H1785="SUBETAPA"</formula>
    </cfRule>
    <cfRule type="expression" dxfId="19910" priority="5634">
      <formula>$H1785="CÉLULA CONSTRUTIVA"</formula>
    </cfRule>
  </conditionalFormatting>
  <conditionalFormatting sqref="G1785:G1786">
    <cfRule type="expression" dxfId="19909" priority="5631">
      <formula>$H1785="ETAPA"</formula>
    </cfRule>
  </conditionalFormatting>
  <conditionalFormatting sqref="G1787:G1790">
    <cfRule type="expression" dxfId="19908" priority="6199">
      <formula>$H1787="ETAPA"</formula>
    </cfRule>
  </conditionalFormatting>
  <conditionalFormatting sqref="G1791">
    <cfRule type="expression" dxfId="19907" priority="5632">
      <formula>$H1791="ETAPA"</formula>
    </cfRule>
    <cfRule type="expression" dxfId="19906" priority="6196">
      <formula>$H1791="ETAPA"</formula>
    </cfRule>
    <cfRule type="expression" dxfId="19905" priority="6197">
      <formula>$H1791="SUBETAPA"</formula>
    </cfRule>
    <cfRule type="expression" dxfId="19904" priority="6198">
      <formula>$H1791="SUBETAPA"</formula>
    </cfRule>
  </conditionalFormatting>
  <conditionalFormatting sqref="G1793">
    <cfRule type="expression" dxfId="19903" priority="5628">
      <formula>$H1793="ETAPA"</formula>
    </cfRule>
    <cfRule type="expression" dxfId="19902" priority="5629">
      <formula>$H1793="CÉLULA CONSTRUTIVA"</formula>
    </cfRule>
    <cfRule type="expression" dxfId="19901" priority="5630">
      <formula>$H1793="SUBETAPA"</formula>
    </cfRule>
    <cfRule type="expression" dxfId="19900" priority="6192">
      <formula>$H1793="CÉLULA CONSTRUTIVA"</formula>
    </cfRule>
    <cfRule type="expression" dxfId="19899" priority="6193">
      <formula>$H1793="ETAPA"</formula>
    </cfRule>
    <cfRule type="expression" dxfId="19898" priority="6194">
      <formula>$H1793="SUBETAPA"</formula>
    </cfRule>
  </conditionalFormatting>
  <conditionalFormatting sqref="G1795 G1810">
    <cfRule type="expression" dxfId="19897" priority="5289">
      <formula>$H1795="CÉLULA CONSTRUTIVA"</formula>
    </cfRule>
    <cfRule type="expression" dxfId="19896" priority="5305">
      <formula>$H1795="ETAPA"</formula>
    </cfRule>
    <cfRule type="expression" dxfId="19895" priority="5624">
      <formula>$H1795="SUBETAPA"</formula>
    </cfRule>
    <cfRule type="expression" dxfId="19894" priority="6186">
      <formula>$H1795="CÉLULA CONSTRUTIVA"</formula>
    </cfRule>
    <cfRule type="expression" dxfId="19893" priority="6187">
      <formula>$H1795="SUBETAPA"</formula>
    </cfRule>
    <cfRule type="expression" dxfId="19892" priority="6188">
      <formula>$H1795="ETAPA"</formula>
    </cfRule>
  </conditionalFormatting>
  <conditionalFormatting sqref="G1797 G1799">
    <cfRule type="expression" dxfId="19891" priority="5320">
      <formula>$H1797="ETAPA"</formula>
    </cfRule>
  </conditionalFormatting>
  <conditionalFormatting sqref="G1797 G1799:G1801">
    <cfRule type="expression" dxfId="19890" priority="6183">
      <formula>$H1797="ETAPA"</formula>
    </cfRule>
    <cfRule type="expression" dxfId="19889" priority="6184">
      <formula>$H1797="SUBETAPA"</formula>
    </cfRule>
    <cfRule type="expression" dxfId="19888" priority="6185">
      <formula>$H1797="CÉLULA CONSTRUTIVA"</formula>
    </cfRule>
  </conditionalFormatting>
  <conditionalFormatting sqref="G1800:G1801 O2192 O2262 O2286">
    <cfRule type="expression" dxfId="19887" priority="5621">
      <formula>$H1800="SUBETAPA"</formula>
    </cfRule>
    <cfRule type="expression" dxfId="19886" priority="5622">
      <formula>$H1800="CÉLULA CONSTRUTIVA"</formula>
    </cfRule>
    <cfRule type="expression" dxfId="19885" priority="5623">
      <formula>$H1800="ETAPA"</formula>
    </cfRule>
  </conditionalFormatting>
  <conditionalFormatting sqref="G1806">
    <cfRule type="expression" dxfId="19884" priority="6181">
      <formula>$H1806="ETAPA"</formula>
    </cfRule>
    <cfRule type="expression" dxfId="19883" priority="6182">
      <formula>$H1806="SUBETAPA"</formula>
    </cfRule>
  </conditionalFormatting>
  <conditionalFormatting sqref="G1807">
    <cfRule type="expression" dxfId="19882" priority="6179">
      <formula>$H1807="ETAPA"</formula>
    </cfRule>
    <cfRule type="expression" dxfId="19881" priority="6180">
      <formula>$H1807="SUBETAPA"</formula>
    </cfRule>
  </conditionalFormatting>
  <conditionalFormatting sqref="G1811:G1812">
    <cfRule type="expression" dxfId="19880" priority="5617">
      <formula>$H1811="ETAPA"</formula>
    </cfRule>
    <cfRule type="expression" dxfId="19879" priority="5619">
      <formula>$H1811="SUBETAPA"</formula>
    </cfRule>
    <cfRule type="expression" dxfId="19878" priority="5620">
      <formula>$H1811="CÉLULA CONSTRUTIVA"</formula>
    </cfRule>
  </conditionalFormatting>
  <conditionalFormatting sqref="G1816">
    <cfRule type="expression" dxfId="19877" priority="5618">
      <formula>$H1816="ETAPA"</formula>
    </cfRule>
    <cfRule type="expression" dxfId="19876" priority="6173">
      <formula>$H1816="ETAPA"</formula>
    </cfRule>
    <cfRule type="expression" dxfId="19875" priority="6174">
      <formula>$H1816="SUBETAPA"</formula>
    </cfRule>
    <cfRule type="expression" dxfId="19874" priority="6175">
      <formula>$H1816="SUBETAPA"</formula>
    </cfRule>
  </conditionalFormatting>
  <conditionalFormatting sqref="G1821">
    <cfRule type="expression" dxfId="19873" priority="6158">
      <formula>$H1821="ETAPA"</formula>
    </cfRule>
    <cfRule type="expression" dxfId="19872" priority="6159">
      <formula>$H1821="SUBETAPA"</formula>
    </cfRule>
  </conditionalFormatting>
  <conditionalFormatting sqref="G1823">
    <cfRule type="expression" dxfId="19871" priority="5287">
      <formula>$H1823="CÉLULA CONSTRUTIVA"</formula>
    </cfRule>
    <cfRule type="expression" dxfId="19870" priority="5304">
      <formula>$H1823="ETAPA"</formula>
    </cfRule>
    <cfRule type="expression" dxfId="19869" priority="5611">
      <formula>$H1823="SUBETAPA"</formula>
    </cfRule>
    <cfRule type="expression" dxfId="19868" priority="6163">
      <formula>$H1823="CÉLULA CONSTRUTIVA"</formula>
    </cfRule>
    <cfRule type="expression" dxfId="19867" priority="6164">
      <formula>$H1823="SUBETAPA"</formula>
    </cfRule>
    <cfRule type="expression" dxfId="19866" priority="6165">
      <formula>$H1823="ETAPA"</formula>
    </cfRule>
  </conditionalFormatting>
  <conditionalFormatting sqref="G1824:G1825">
    <cfRule type="expression" dxfId="19865" priority="5604">
      <formula>$H1824="ETAPA"</formula>
    </cfRule>
    <cfRule type="expression" dxfId="19864" priority="5606">
      <formula>$H1824="SUBETAPA"</formula>
    </cfRule>
    <cfRule type="expression" dxfId="19863" priority="5607">
      <formula>$H1824="CÉLULA CONSTRUTIVA"</formula>
    </cfRule>
  </conditionalFormatting>
  <conditionalFormatting sqref="G1829">
    <cfRule type="expression" dxfId="19862" priority="5605">
      <formula>$H1829="ETAPA"</formula>
    </cfRule>
    <cfRule type="expression" dxfId="19861" priority="6150">
      <formula>$H1829="ETAPA"</formula>
    </cfRule>
    <cfRule type="expression" dxfId="19860" priority="6151">
      <formula>$H1829="SUBETAPA"</formula>
    </cfRule>
    <cfRule type="expression" dxfId="19859" priority="6152">
      <formula>$H1829="SUBETAPA"</formula>
    </cfRule>
  </conditionalFormatting>
  <conditionalFormatting sqref="G1834">
    <cfRule type="expression" dxfId="19858" priority="6135">
      <formula>$H1834="ETAPA"</formula>
    </cfRule>
    <cfRule type="expression" dxfId="19857" priority="6136">
      <formula>$H1834="SUBETAPA"</formula>
    </cfRule>
  </conditionalFormatting>
  <conditionalFormatting sqref="G1836">
    <cfRule type="expression" dxfId="19856" priority="5285">
      <formula>$H1836="CÉLULA CONSTRUTIVA"</formula>
    </cfRule>
    <cfRule type="expression" dxfId="19855" priority="5303">
      <formula>$H1836="ETAPA"</formula>
    </cfRule>
    <cfRule type="expression" dxfId="19854" priority="5598">
      <formula>$H1836="SUBETAPA"</formula>
    </cfRule>
    <cfRule type="expression" dxfId="19853" priority="6140">
      <formula>$H1836="CÉLULA CONSTRUTIVA"</formula>
    </cfRule>
    <cfRule type="expression" dxfId="19852" priority="6141">
      <formula>$H1836="SUBETAPA"</formula>
    </cfRule>
    <cfRule type="expression" dxfId="19851" priority="6142">
      <formula>$H1836="ETAPA"</formula>
    </cfRule>
  </conditionalFormatting>
  <conditionalFormatting sqref="G1837:G1838 G2023 G2012 G2005 G1998 G1991 G1984 G1971 G1955 G1946 G1938 G1933 G1925 G1912 G1897:G1898 G2340">
    <cfRule type="expression" dxfId="19850" priority="5593">
      <formula>$H1837="CÉLULA CONSTRUTIVA"</formula>
    </cfRule>
    <cfRule type="expression" dxfId="19849" priority="5594">
      <formula>$H1837="SUBETAPA"</formula>
    </cfRule>
  </conditionalFormatting>
  <conditionalFormatting sqref="G1837:G1838">
    <cfRule type="expression" dxfId="19848" priority="5591">
      <formula>$H1837="ETAPA"</formula>
    </cfRule>
  </conditionalFormatting>
  <conditionalFormatting sqref="G1842">
    <cfRule type="expression" dxfId="19847" priority="5592">
      <formula>$H1842="ETAPA"</formula>
    </cfRule>
    <cfRule type="expression" dxfId="19846" priority="6127">
      <formula>$H1842="ETAPA"</formula>
    </cfRule>
    <cfRule type="expression" dxfId="19845" priority="6128">
      <formula>$H1842="SUBETAPA"</formula>
    </cfRule>
    <cfRule type="expression" dxfId="19844" priority="6129">
      <formula>$H1842="SUBETAPA"</formula>
    </cfRule>
  </conditionalFormatting>
  <conditionalFormatting sqref="G1844">
    <cfRule type="expression" dxfId="19843" priority="5284">
      <formula>$H1844="CÉLULA CONSTRUTIVA"</formula>
    </cfRule>
    <cfRule type="expression" dxfId="19842" priority="5589">
      <formula>$H1844="ETAPA"</formula>
    </cfRule>
    <cfRule type="expression" dxfId="19841" priority="5590">
      <formula>$H1844="SUBETAPA"</formula>
    </cfRule>
    <cfRule type="expression" dxfId="19840" priority="6123">
      <formula>$H1844="CÉLULA CONSTRUTIVA"</formula>
    </cfRule>
    <cfRule type="expression" dxfId="19839" priority="6124">
      <formula>$H1844="ETAPA"</formula>
    </cfRule>
    <cfRule type="expression" dxfId="19838" priority="6125">
      <formula>$H1844="SUBETAPA"</formula>
    </cfRule>
  </conditionalFormatting>
  <conditionalFormatting sqref="G1849">
    <cfRule type="expression" dxfId="19837" priority="6112">
      <formula>$H1849="ETAPA"</formula>
    </cfRule>
    <cfRule type="expression" dxfId="19836" priority="6113">
      <formula>$H1849="SUBETAPA"</formula>
    </cfRule>
  </conditionalFormatting>
  <conditionalFormatting sqref="G1852 G1912:G1913 G1925:G1926 G1933:G1934 G1938:G1939 G1946:G1947 G1955:G1956 G2012:G2013 G2023:G2024">
    <cfRule type="expression" dxfId="19835" priority="5401">
      <formula>$H1852="ETAPA"</formula>
    </cfRule>
  </conditionalFormatting>
  <conditionalFormatting sqref="G1852 L2756:L2757 L2724:L2725 L2642:L2643 L2746:L2747 L2735:L2736 L2713:L2714 L2702:L2703 L2694 L2684 L2676 L2668 L2661 L2652">
    <cfRule type="expression" dxfId="19834" priority="6117">
      <formula>$H1852="CÉLULA CONSTRUTIVA"</formula>
    </cfRule>
    <cfRule type="expression" dxfId="19833" priority="6118">
      <formula>$H1852="SUBETAPA"</formula>
    </cfRule>
    <cfRule type="expression" dxfId="19832" priority="6119">
      <formula>$H1852="ETAPA"</formula>
    </cfRule>
  </conditionalFormatting>
  <conditionalFormatting sqref="G1852">
    <cfRule type="expression" dxfId="19831" priority="5283">
      <formula>$H1852="CÉLULA CONSTRUTIVA"</formula>
    </cfRule>
    <cfRule type="expression" dxfId="19830" priority="5585">
      <formula>$H1852="SUBETAPA"</formula>
    </cfRule>
  </conditionalFormatting>
  <conditionalFormatting sqref="G1853:G1854">
    <cfRule type="expression" dxfId="19829" priority="5578">
      <formula>$H1853="ETAPA"</formula>
    </cfRule>
    <cfRule type="expression" dxfId="19828" priority="5580">
      <formula>$H1853="SUBETAPA"</formula>
    </cfRule>
    <cfRule type="expression" dxfId="19827" priority="5581">
      <formula>$H1853="CÉLULA CONSTRUTIVA"</formula>
    </cfRule>
  </conditionalFormatting>
  <conditionalFormatting sqref="G1858">
    <cfRule type="expression" dxfId="19826" priority="5579">
      <formula>$H1858="ETAPA"</formula>
    </cfRule>
    <cfRule type="expression" dxfId="19825" priority="6104">
      <formula>$H1858="ETAPA"</formula>
    </cfRule>
    <cfRule type="expression" dxfId="19824" priority="6105">
      <formula>$H1858="SUBETAPA"</formula>
    </cfRule>
    <cfRule type="expression" dxfId="19823" priority="6106">
      <formula>$H1858="SUBETAPA"</formula>
    </cfRule>
  </conditionalFormatting>
  <conditionalFormatting sqref="G1860">
    <cfRule type="expression" dxfId="19822" priority="5282">
      <formula>$H1860="CÉLULA CONSTRUTIVA"</formula>
    </cfRule>
    <cfRule type="expression" dxfId="19821" priority="5576">
      <formula>$H1860="ETAPA"</formula>
    </cfRule>
    <cfRule type="expression" dxfId="19820" priority="5577">
      <formula>$H1860="SUBETAPA"</formula>
    </cfRule>
    <cfRule type="expression" dxfId="19819" priority="6100">
      <formula>$H1860="CÉLULA CONSTRUTIVA"</formula>
    </cfRule>
    <cfRule type="expression" dxfId="19818" priority="6101">
      <formula>$H1860="ETAPA"</formula>
    </cfRule>
    <cfRule type="expression" dxfId="19817" priority="6102">
      <formula>$H1860="SUBETAPA"</formula>
    </cfRule>
  </conditionalFormatting>
  <conditionalFormatting sqref="G1865">
    <cfRule type="expression" dxfId="19816" priority="6089">
      <formula>$H1865="ETAPA"</formula>
    </cfRule>
    <cfRule type="expression" dxfId="19815" priority="6090">
      <formula>$H1865="SUBETAPA"</formula>
    </cfRule>
  </conditionalFormatting>
  <conditionalFormatting sqref="G1868">
    <cfRule type="expression" dxfId="19814" priority="5281">
      <formula>$H1868="CÉLULA CONSTRUTIVA"</formula>
    </cfRule>
    <cfRule type="expression" dxfId="19813" priority="5302">
      <formula>$H1868="ETAPA"</formula>
    </cfRule>
    <cfRule type="expression" dxfId="19812" priority="5572">
      <formula>$H1868="SUBETAPA"</formula>
    </cfRule>
    <cfRule type="expression" dxfId="19811" priority="6094">
      <formula>$H1868="CÉLULA CONSTRUTIVA"</formula>
    </cfRule>
    <cfRule type="expression" dxfId="19810" priority="6095">
      <formula>$H1868="SUBETAPA"</formula>
    </cfRule>
    <cfRule type="expression" dxfId="19809" priority="6096">
      <formula>$H1868="ETAPA"</formula>
    </cfRule>
  </conditionalFormatting>
  <conditionalFormatting sqref="G1869:G1870">
    <cfRule type="expression" dxfId="19808" priority="5565">
      <formula>$H1869="ETAPA"</formula>
    </cfRule>
    <cfRule type="expression" dxfId="19807" priority="5567">
      <formula>$H1869="SUBETAPA"</formula>
    </cfRule>
    <cfRule type="expression" dxfId="19806" priority="5568">
      <formula>$H1869="CÉLULA CONSTRUTIVA"</formula>
    </cfRule>
  </conditionalFormatting>
  <conditionalFormatting sqref="G1874">
    <cfRule type="expression" dxfId="19805" priority="5280">
      <formula>$H1874="CÉLULA CONSTRUTIVA"</formula>
    </cfRule>
    <cfRule type="expression" dxfId="19804" priority="5563">
      <formula>$H1874="ETAPA"</formula>
    </cfRule>
    <cfRule type="expression" dxfId="19803" priority="5564">
      <formula>$H1874="SUBETAPA"</formula>
    </cfRule>
    <cfRule type="expression" dxfId="19802" priority="6077">
      <formula>$H1874="CÉLULA CONSTRUTIVA"</formula>
    </cfRule>
    <cfRule type="expression" dxfId="19801" priority="6078">
      <formula>$H1874="ETAPA"</formula>
    </cfRule>
    <cfRule type="expression" dxfId="19800" priority="6079">
      <formula>$H1874="SUBETAPA"</formula>
    </cfRule>
  </conditionalFormatting>
  <conditionalFormatting sqref="G1879">
    <cfRule type="expression" dxfId="19799" priority="6066">
      <formula>$H1879="ETAPA"</formula>
    </cfRule>
    <cfRule type="expression" dxfId="19798" priority="6067">
      <formula>$H1879="SUBETAPA"</formula>
    </cfRule>
  </conditionalFormatting>
  <conditionalFormatting sqref="G1881">
    <cfRule type="expression" dxfId="19797" priority="5279">
      <formula>$H1881="CÉLULA CONSTRUTIVA"</formula>
    </cfRule>
    <cfRule type="expression" dxfId="19796" priority="5301">
      <formula>$H1881="ETAPA"</formula>
    </cfRule>
    <cfRule type="expression" dxfId="19795" priority="5559">
      <formula>$H1881="SUBETAPA"</formula>
    </cfRule>
    <cfRule type="expression" dxfId="19794" priority="6071">
      <formula>$H1881="CÉLULA CONSTRUTIVA"</formula>
    </cfRule>
    <cfRule type="expression" dxfId="19793" priority="6072">
      <formula>$H1881="SUBETAPA"</formula>
    </cfRule>
    <cfRule type="expression" dxfId="19792" priority="6073">
      <formula>$H1881="ETAPA"</formula>
    </cfRule>
  </conditionalFormatting>
  <conditionalFormatting sqref="G1882:G1883">
    <cfRule type="expression" dxfId="19791" priority="5552">
      <formula>$H1882="ETAPA"</formula>
    </cfRule>
    <cfRule type="expression" dxfId="19790" priority="5554">
      <formula>$H1882="SUBETAPA"</formula>
    </cfRule>
    <cfRule type="expression" dxfId="19789" priority="5555">
      <formula>$H1882="CÉLULA CONSTRUTIVA"</formula>
    </cfRule>
  </conditionalFormatting>
  <conditionalFormatting sqref="G1890">
    <cfRule type="expression" dxfId="19788" priority="6043">
      <formula>$H1890="ETAPA"</formula>
    </cfRule>
    <cfRule type="expression" dxfId="19787" priority="6044">
      <formula>$H1890="SUBETAPA"</formula>
    </cfRule>
  </conditionalFormatting>
  <conditionalFormatting sqref="G1891 G1896">
    <cfRule type="expression" dxfId="19786" priority="5277">
      <formula>$H1891="CÉLULA CONSTRUTIVA"</formula>
    </cfRule>
    <cfRule type="expression" dxfId="19785" priority="5300">
      <formula>$H1891="ETAPA"</formula>
    </cfRule>
    <cfRule type="expression" dxfId="19784" priority="5546">
      <formula>$H1891="SUBETAPA"</formula>
    </cfRule>
  </conditionalFormatting>
  <conditionalFormatting sqref="G1891">
    <cfRule type="expression" dxfId="19783" priority="6048">
      <formula>$H1891="CÉLULA CONSTRUTIVA"</formula>
    </cfRule>
    <cfRule type="expression" dxfId="19782" priority="6049">
      <formula>$H1891="SUBETAPA"</formula>
    </cfRule>
    <cfRule type="expression" dxfId="19781" priority="6050">
      <formula>$H1891="ETAPA"</formula>
    </cfRule>
  </conditionalFormatting>
  <conditionalFormatting sqref="G1896">
    <cfRule type="expression" dxfId="19780" priority="6025">
      <formula>$H1896="CÉLULA CONSTRUTIVA"</formula>
    </cfRule>
    <cfRule type="expression" dxfId="19779" priority="6026">
      <formula>$H1896="SUBETAPA"</formula>
    </cfRule>
    <cfRule type="expression" dxfId="19778" priority="6027">
      <formula>$H1896="ETAPA"</formula>
    </cfRule>
  </conditionalFormatting>
  <conditionalFormatting sqref="G1899">
    <cfRule type="expression" dxfId="19777" priority="5529">
      <formula>$H1899="CÉLULA CONSTRUTIVA"</formula>
    </cfRule>
    <cfRule type="expression" dxfId="19776" priority="5530">
      <formula>$H1899="SUBETAPA"</formula>
    </cfRule>
  </conditionalFormatting>
  <conditionalFormatting sqref="G1908">
    <cfRule type="expression" dxfId="19775" priority="5528">
      <formula>$H1908="ETAPA"</formula>
    </cfRule>
  </conditionalFormatting>
  <conditionalFormatting sqref="G1908:G1909">
    <cfRule type="expression" dxfId="19774" priority="5526">
      <formula>$H1908="SUBETAPA"</formula>
    </cfRule>
    <cfRule type="expression" dxfId="19773" priority="5527">
      <formula>$H1908="CÉLULA CONSTRUTIVA"</formula>
    </cfRule>
  </conditionalFormatting>
  <conditionalFormatting sqref="G1910">
    <cfRule type="expression" dxfId="19772" priority="5523">
      <formula>$H1910="CÉLULA CONSTRUTIVA"</formula>
    </cfRule>
    <cfRule type="expression" dxfId="19771" priority="5524">
      <formula>$H1910="ETAPA"</formula>
    </cfRule>
    <cfRule type="expression" dxfId="19770" priority="5525">
      <formula>$H1910="SUBETAPA"</formula>
    </cfRule>
  </conditionalFormatting>
  <conditionalFormatting sqref="G1913">
    <cfRule type="expression" dxfId="19769" priority="5521">
      <formula>$H1913="CÉLULA CONSTRUTIVA"</formula>
    </cfRule>
    <cfRule type="expression" dxfId="19768" priority="5522">
      <formula>$H1913="SUBETAPA"</formula>
    </cfRule>
  </conditionalFormatting>
  <conditionalFormatting sqref="G1923">
    <cfRule type="expression" dxfId="19767" priority="5515">
      <formula>$H1923="CÉLULA CONSTRUTIVA"</formula>
    </cfRule>
    <cfRule type="expression" dxfId="19766" priority="5516">
      <formula>$H1923="ETAPA"</formula>
    </cfRule>
    <cfRule type="expression" dxfId="19765" priority="5517">
      <formula>$H1923="SUBETAPA"</formula>
    </cfRule>
  </conditionalFormatting>
  <conditionalFormatting sqref="G1926">
    <cfRule type="expression" dxfId="19764" priority="5513">
      <formula>$H1926="CÉLULA CONSTRUTIVA"</formula>
    </cfRule>
    <cfRule type="expression" dxfId="19763" priority="5514">
      <formula>$H1926="SUBETAPA"</formula>
    </cfRule>
  </conditionalFormatting>
  <conditionalFormatting sqref="G1931">
    <cfRule type="expression" dxfId="19762" priority="5507">
      <formula>$H1931="CÉLULA CONSTRUTIVA"</formula>
    </cfRule>
    <cfRule type="expression" dxfId="19761" priority="5508">
      <formula>$H1931="ETAPA"</formula>
    </cfRule>
    <cfRule type="expression" dxfId="19760" priority="5509">
      <formula>$H1931="SUBETAPA"</formula>
    </cfRule>
  </conditionalFormatting>
  <conditionalFormatting sqref="G1934">
    <cfRule type="expression" dxfId="19759" priority="5505">
      <formula>$H1934="CÉLULA CONSTRUTIVA"</formula>
    </cfRule>
    <cfRule type="expression" dxfId="19758" priority="5506">
      <formula>$H1934="SUBETAPA"</formula>
    </cfRule>
  </conditionalFormatting>
  <conditionalFormatting sqref="G1936">
    <cfRule type="expression" dxfId="19757" priority="5499">
      <formula>$H1936="CÉLULA CONSTRUTIVA"</formula>
    </cfRule>
    <cfRule type="expression" dxfId="19756" priority="5500">
      <formula>$H1936="ETAPA"</formula>
    </cfRule>
    <cfRule type="expression" dxfId="19755" priority="5501">
      <formula>$H1936="SUBETAPA"</formula>
    </cfRule>
  </conditionalFormatting>
  <conditionalFormatting sqref="G1939">
    <cfRule type="expression" dxfId="19754" priority="5497">
      <formula>$H1939="CÉLULA CONSTRUTIVA"</formula>
    </cfRule>
    <cfRule type="expression" dxfId="19753" priority="5498">
      <formula>$H1939="SUBETAPA"</formula>
    </cfRule>
  </conditionalFormatting>
  <conditionalFormatting sqref="G1944">
    <cfRule type="expression" dxfId="19752" priority="5491">
      <formula>$H1944="CÉLULA CONSTRUTIVA"</formula>
    </cfRule>
    <cfRule type="expression" dxfId="19751" priority="5492">
      <formula>$H1944="ETAPA"</formula>
    </cfRule>
    <cfRule type="expression" dxfId="19750" priority="5493">
      <formula>$H1944="SUBETAPA"</formula>
    </cfRule>
  </conditionalFormatting>
  <conditionalFormatting sqref="G1947">
    <cfRule type="expression" dxfId="19749" priority="5489">
      <formula>$H1947="CÉLULA CONSTRUTIVA"</formula>
    </cfRule>
    <cfRule type="expression" dxfId="19748" priority="5490">
      <formula>$H1947="SUBETAPA"</formula>
    </cfRule>
  </conditionalFormatting>
  <conditionalFormatting sqref="G1953">
    <cfRule type="expression" dxfId="19747" priority="5483">
      <formula>$H1953="CÉLULA CONSTRUTIVA"</formula>
    </cfRule>
    <cfRule type="expression" dxfId="19746" priority="5484">
      <formula>$H1953="ETAPA"</formula>
    </cfRule>
    <cfRule type="expression" dxfId="19745" priority="5485">
      <formula>$H1953="SUBETAPA"</formula>
    </cfRule>
  </conditionalFormatting>
  <conditionalFormatting sqref="G1956">
    <cfRule type="expression" dxfId="19744" priority="5481">
      <formula>$H1956="CÉLULA CONSTRUTIVA"</formula>
    </cfRule>
    <cfRule type="expression" dxfId="19743" priority="5482">
      <formula>$H1956="SUBETAPA"</formula>
    </cfRule>
  </conditionalFormatting>
  <conditionalFormatting sqref="G1969">
    <cfRule type="expression" dxfId="19742" priority="5475">
      <formula>$H1969="CÉLULA CONSTRUTIVA"</formula>
    </cfRule>
    <cfRule type="expression" dxfId="19741" priority="5476">
      <formula>$H1969="ETAPA"</formula>
    </cfRule>
    <cfRule type="expression" dxfId="19740" priority="5477">
      <formula>$H1969="SUBETAPA"</formula>
    </cfRule>
  </conditionalFormatting>
  <conditionalFormatting sqref="G2013">
    <cfRule type="expression" dxfId="19739" priority="5433">
      <formula>$H2013="CÉLULA CONSTRUTIVA"</formula>
    </cfRule>
    <cfRule type="expression" dxfId="19738" priority="5434">
      <formula>$H2013="SUBETAPA"</formula>
    </cfRule>
  </conditionalFormatting>
  <conditionalFormatting sqref="G2021">
    <cfRule type="expression" dxfId="19737" priority="5427">
      <formula>$H2021="CÉLULA CONSTRUTIVA"</formula>
    </cfRule>
    <cfRule type="expression" dxfId="19736" priority="5428">
      <formula>$H2021="ETAPA"</formula>
    </cfRule>
    <cfRule type="expression" dxfId="19735" priority="5429">
      <formula>$H2021="SUBETAPA"</formula>
    </cfRule>
  </conditionalFormatting>
  <conditionalFormatting sqref="G2024">
    <cfRule type="expression" dxfId="19734" priority="5425">
      <formula>$H2024="CÉLULA CONSTRUTIVA"</formula>
    </cfRule>
    <cfRule type="expression" dxfId="19733" priority="5426">
      <formula>$H2024="SUBETAPA"</formula>
    </cfRule>
  </conditionalFormatting>
  <conditionalFormatting sqref="G2029">
    <cfRule type="expression" dxfId="19732" priority="5419">
      <formula>$H2029="CÉLULA CONSTRUTIVA"</formula>
    </cfRule>
    <cfRule type="expression" dxfId="19731" priority="5420">
      <formula>$H2029="ETAPA"</formula>
    </cfRule>
    <cfRule type="expression" dxfId="19730" priority="5421">
      <formula>$H2029="SUBETAPA"</formula>
    </cfRule>
  </conditionalFormatting>
  <conditionalFormatting sqref="G2031 G1673:G1679 G1694:G1699 G1710:G1715 G1725:G1730 G1749:G1754 G1761:G1766 G1785:G1790">
    <cfRule type="expression" dxfId="19729" priority="5729">
      <formula>$H1673="SUBETAPA"</formula>
    </cfRule>
  </conditionalFormatting>
  <conditionalFormatting sqref="G2032:G2340 M2349:M2353 M2371:M2377 M2398:M2402 M2539:M2542 M2519:M2524 M2494:M2500 M2468:M2472 M2444:M2448 M2421:M2425 M2619:M2621 M2603:M2606 M2587:M2590 M2571:M2574 M2555:M2558 H2756:H2757 J2756:K2757 H2723:H2725 J2723:K2725 H2642:H2643 J2642:K2643 H2745:H2747 J2745:K2747 H2734:H2736 J2734:K2736 H2712:H2714 J2712:K2714 H2701:H2703 J2701:K2703 H2693:H2694 J2693:K2694 H2683:H2684 J2683:K2684 H2675:H2676 J2675:K2676 H2668 J2668:K2668 H2661 J2661:K2661 H2652 J2652:K2652 O1902:O1907 M1899:M1907 M1934:M1935 O1935 M1926:M1930 O1927:O1930 M1921:M1922 O1921:O1922 M1913:M1919 O1914 O1972:O1983 M1972:M1983 M1963:M1968 O1963:O1968 M1956:M1961 O1957:O1961 M1947:M1952 O1948:O1952 M1939:M1943 O1940:O1943 M2024:M2028 O2025:O2028 O2020 M2013:M2020 O2014 O2011 M2006:M2011 O2004 M1999:M2004 O1997 M1992:M1997 O1990 M1985:M1990 K20:L20">
    <cfRule type="expression" dxfId="19728" priority="5730">
      <formula>$H20="CÉLULA CONSTRUTIVA"</formula>
    </cfRule>
    <cfRule type="expression" dxfId="19727" priority="6344">
      <formula>$H20="ETAPA"</formula>
    </cfRule>
  </conditionalFormatting>
  <conditionalFormatting sqref="G2035">
    <cfRule type="expression" dxfId="19726" priority="5275">
      <formula>$H2035="CÉLULA CONSTRUTIVA"</formula>
    </cfRule>
  </conditionalFormatting>
  <conditionalFormatting sqref="G2041 G2032:G2033">
    <cfRule type="expression" dxfId="19725" priority="5410">
      <formula>$H2032="ETAPA"</formula>
    </cfRule>
  </conditionalFormatting>
  <conditionalFormatting sqref="G2047">
    <cfRule type="expression" dxfId="19724" priority="5298">
      <formula>$H2047="ETAPA"</formula>
    </cfRule>
    <cfRule type="expression" dxfId="19723" priority="6015">
      <formula>$H2047="SUBETAPA"</formula>
    </cfRule>
  </conditionalFormatting>
  <conditionalFormatting sqref="G2052 G2035">
    <cfRule type="expression" dxfId="19722" priority="5405">
      <formula>$H2035="SUBETAPA"</formula>
    </cfRule>
  </conditionalFormatting>
  <conditionalFormatting sqref="G2052 G2061:G2062 G2035">
    <cfRule type="expression" dxfId="19721" priority="5299">
      <formula>$H2035="ETAPA"</formula>
    </cfRule>
  </conditionalFormatting>
  <conditionalFormatting sqref="G2052">
    <cfRule type="expression" dxfId="19720" priority="5274">
      <formula>$H2052="CÉLULA CONSTRUTIVA"</formula>
    </cfRule>
  </conditionalFormatting>
  <conditionalFormatting sqref="G2054:G2055 G2036">
    <cfRule type="expression" dxfId="19719" priority="5402">
      <formula>$H2036="ETAPA"</formula>
    </cfRule>
  </conditionalFormatting>
  <conditionalFormatting sqref="G2054:G2055 G2041 G2032:G2033 G2036">
    <cfRule type="expression" dxfId="19718" priority="5403">
      <formula>$H2032="SUBETAPA"</formula>
    </cfRule>
    <cfRule type="expression" dxfId="19717" priority="5404">
      <formula>$H2032="CÉLULA CONSTRUTIVA"</formula>
    </cfRule>
  </conditionalFormatting>
  <conditionalFormatting sqref="G2061:G2062">
    <cfRule type="expression" dxfId="19716" priority="5408">
      <formula>$H2061="SUBETAPA"</formula>
    </cfRule>
    <cfRule type="expression" dxfId="19715" priority="5409">
      <formula>$H2061="CÉLULA CONSTRUTIVA"</formula>
    </cfRule>
  </conditionalFormatting>
  <conditionalFormatting sqref="G2063:G2064">
    <cfRule type="expression" dxfId="19714" priority="5398">
      <formula>$H2063="SUBETAPA"</formula>
    </cfRule>
    <cfRule type="expression" dxfId="19713" priority="5399">
      <formula>$H2063="CÉLULA CONSTRUTIVA"</formula>
    </cfRule>
    <cfRule type="expression" dxfId="19712" priority="5400">
      <formula>$H2063="ETAPA"</formula>
    </cfRule>
  </conditionalFormatting>
  <conditionalFormatting sqref="G2066">
    <cfRule type="expression" dxfId="19711" priority="6010">
      <formula>$H2066="CÉLULA CONSTRUTIVA"</formula>
    </cfRule>
  </conditionalFormatting>
  <conditionalFormatting sqref="G2072">
    <cfRule type="expression" dxfId="19710" priority="6005">
      <formula>$H2072="ETAPA"</formula>
    </cfRule>
  </conditionalFormatting>
  <conditionalFormatting sqref="G2074 G2066">
    <cfRule type="expression" dxfId="19709" priority="6000">
      <formula>$H2066="SUBETAPA"</formula>
    </cfRule>
  </conditionalFormatting>
  <conditionalFormatting sqref="G2074 G2082:G2083 G2066">
    <cfRule type="expression" dxfId="19708" priority="5999">
      <formula>$H2066="ETAPA"</formula>
    </cfRule>
  </conditionalFormatting>
  <conditionalFormatting sqref="G2074">
    <cfRule type="expression" dxfId="19707" priority="5998">
      <formula>$H2074="CÉLULA CONSTRUTIVA"</formula>
    </cfRule>
  </conditionalFormatting>
  <conditionalFormatting sqref="G2076:G2077 G2072">
    <cfRule type="expression" dxfId="19706" priority="5995">
      <formula>$H2072="SUBETAPA"</formula>
    </cfRule>
    <cfRule type="expression" dxfId="19705" priority="5996">
      <formula>$H2072="CÉLULA CONSTRUTIVA"</formula>
    </cfRule>
  </conditionalFormatting>
  <conditionalFormatting sqref="G2076:G2077">
    <cfRule type="expression" dxfId="19704" priority="5997">
      <formula>$H2076="ETAPA"</formula>
    </cfRule>
  </conditionalFormatting>
  <conditionalFormatting sqref="G2082:G2083">
    <cfRule type="expression" dxfId="19703" priority="6003">
      <formula>$H2082="SUBETAPA"</formula>
    </cfRule>
    <cfRule type="expression" dxfId="19702" priority="6004">
      <formula>$H2082="CÉLULA CONSTRUTIVA"</formula>
    </cfRule>
  </conditionalFormatting>
  <conditionalFormatting sqref="G2084:G2085">
    <cfRule type="expression" dxfId="19701" priority="5395">
      <formula>$H2084="SUBETAPA"</formula>
    </cfRule>
    <cfRule type="expression" dxfId="19700" priority="5396">
      <formula>$H2084="CÉLULA CONSTRUTIVA"</formula>
    </cfRule>
    <cfRule type="expression" dxfId="19699" priority="5397">
      <formula>$H2084="ETAPA"</formula>
    </cfRule>
  </conditionalFormatting>
  <conditionalFormatting sqref="G2087">
    <cfRule type="expression" dxfId="19698" priority="5990">
      <formula>$H2087="CÉLULA CONSTRUTIVA"</formula>
    </cfRule>
  </conditionalFormatting>
  <conditionalFormatting sqref="G2092">
    <cfRule type="expression" dxfId="19697" priority="5985">
      <formula>$H2092="ETAPA"</formula>
    </cfRule>
  </conditionalFormatting>
  <conditionalFormatting sqref="G2094 G2087">
    <cfRule type="expression" dxfId="19696" priority="5979">
      <formula>$H2087="ETAPA"</formula>
    </cfRule>
    <cfRule type="expression" dxfId="19695" priority="5980">
      <formula>$H2087="SUBETAPA"</formula>
    </cfRule>
  </conditionalFormatting>
  <conditionalFormatting sqref="G2094">
    <cfRule type="expression" dxfId="19694" priority="5978">
      <formula>$H2094="CÉLULA CONSTRUTIVA"</formula>
    </cfRule>
  </conditionalFormatting>
  <conditionalFormatting sqref="G2095:G2096 G2092">
    <cfRule type="expression" dxfId="19693" priority="5975">
      <formula>$H2092="SUBETAPA"</formula>
    </cfRule>
    <cfRule type="expression" dxfId="19692" priority="5976">
      <formula>$H2092="CÉLULA CONSTRUTIVA"</formula>
    </cfRule>
  </conditionalFormatting>
  <conditionalFormatting sqref="G2095:G2096">
    <cfRule type="expression" dxfId="19691" priority="5977">
      <formula>$H2095="ETAPA"</formula>
    </cfRule>
  </conditionalFormatting>
  <conditionalFormatting sqref="G2101:G2102">
    <cfRule type="expression" dxfId="19690" priority="5392">
      <formula>$H2101="SUBETAPA"</formula>
    </cfRule>
    <cfRule type="expression" dxfId="19689" priority="5393">
      <formula>$H2101="CÉLULA CONSTRUTIVA"</formula>
    </cfRule>
    <cfRule type="expression" dxfId="19688" priority="5394">
      <formula>$H2101="ETAPA"</formula>
    </cfRule>
  </conditionalFormatting>
  <conditionalFormatting sqref="G2104">
    <cfRule type="expression" dxfId="19687" priority="5970">
      <formula>$H2104="CÉLULA CONSTRUTIVA"</formula>
    </cfRule>
  </conditionalFormatting>
  <conditionalFormatting sqref="G2110 G2104">
    <cfRule type="expression" dxfId="19686" priority="5959">
      <formula>$H2104="ETAPA"</formula>
    </cfRule>
    <cfRule type="expression" dxfId="19685" priority="5960">
      <formula>$H2104="SUBETAPA"</formula>
    </cfRule>
  </conditionalFormatting>
  <conditionalFormatting sqref="G2110">
    <cfRule type="expression" dxfId="19684" priority="5958">
      <formula>$H2110="CÉLULA CONSTRUTIVA"</formula>
    </cfRule>
  </conditionalFormatting>
  <conditionalFormatting sqref="G2111:G2112">
    <cfRule type="expression" dxfId="19683" priority="5955">
      <formula>$H2111="SUBETAPA"</formula>
    </cfRule>
    <cfRule type="expression" dxfId="19682" priority="5956">
      <formula>$H2111="CÉLULA CONSTRUTIVA"</formula>
    </cfRule>
    <cfRule type="expression" dxfId="19681" priority="5957">
      <formula>$H2111="ETAPA"</formula>
    </cfRule>
  </conditionalFormatting>
  <conditionalFormatting sqref="G2117:G2118">
    <cfRule type="expression" dxfId="19680" priority="5389">
      <formula>$H2117="SUBETAPA"</formula>
    </cfRule>
    <cfRule type="expression" dxfId="19679" priority="5390">
      <formula>$H2117="CÉLULA CONSTRUTIVA"</formula>
    </cfRule>
    <cfRule type="expression" dxfId="19678" priority="5391">
      <formula>$H2117="ETAPA"</formula>
    </cfRule>
  </conditionalFormatting>
  <conditionalFormatting sqref="G2120">
    <cfRule type="expression" dxfId="19677" priority="5950">
      <formula>$H2120="CÉLULA CONSTRUTIVA"</formula>
    </cfRule>
  </conditionalFormatting>
  <conditionalFormatting sqref="G2125">
    <cfRule type="expression" dxfId="19676" priority="5945">
      <formula>$H2125="ETAPA"</formula>
    </cfRule>
  </conditionalFormatting>
  <conditionalFormatting sqref="G2127 G2120">
    <cfRule type="expression" dxfId="19675" priority="5939">
      <formula>$H2120="ETAPA"</formula>
    </cfRule>
    <cfRule type="expression" dxfId="19674" priority="5940">
      <formula>$H2120="SUBETAPA"</formula>
    </cfRule>
  </conditionalFormatting>
  <conditionalFormatting sqref="G2127">
    <cfRule type="expression" dxfId="19673" priority="5938">
      <formula>$H2127="CÉLULA CONSTRUTIVA"</formula>
    </cfRule>
  </conditionalFormatting>
  <conditionalFormatting sqref="G2128:G2129 G2125">
    <cfRule type="expression" dxfId="19672" priority="5935">
      <formula>$H2125="SUBETAPA"</formula>
    </cfRule>
    <cfRule type="expression" dxfId="19671" priority="5936">
      <formula>$H2125="CÉLULA CONSTRUTIVA"</formula>
    </cfRule>
  </conditionalFormatting>
  <conditionalFormatting sqref="G2128:G2129">
    <cfRule type="expression" dxfId="19670" priority="5937">
      <formula>$H2128="ETAPA"</formula>
    </cfRule>
  </conditionalFormatting>
  <conditionalFormatting sqref="G2134:G2135">
    <cfRule type="expression" dxfId="19669" priority="5386">
      <formula>$H2134="SUBETAPA"</formula>
    </cfRule>
    <cfRule type="expression" dxfId="19668" priority="5387">
      <formula>$H2134="CÉLULA CONSTRUTIVA"</formula>
    </cfRule>
    <cfRule type="expression" dxfId="19667" priority="5388">
      <formula>$H2134="ETAPA"</formula>
    </cfRule>
  </conditionalFormatting>
  <conditionalFormatting sqref="G2137">
    <cfRule type="expression" dxfId="19666" priority="5930">
      <formula>$H2137="CÉLULA CONSTRUTIVA"</formula>
    </cfRule>
  </conditionalFormatting>
  <conditionalFormatting sqref="G2143">
    <cfRule type="expression" dxfId="19665" priority="5925">
      <formula>$H2143="ETAPA"</formula>
    </cfRule>
  </conditionalFormatting>
  <conditionalFormatting sqref="G2145 G2137">
    <cfRule type="expression" dxfId="19664" priority="5919">
      <formula>$H2137="ETAPA"</formula>
    </cfRule>
    <cfRule type="expression" dxfId="19663" priority="5920">
      <formula>$H2137="SUBETAPA"</formula>
    </cfRule>
  </conditionalFormatting>
  <conditionalFormatting sqref="G2145">
    <cfRule type="expression" dxfId="19662" priority="5918">
      <formula>$H2145="CÉLULA CONSTRUTIVA"</formula>
    </cfRule>
  </conditionalFormatting>
  <conditionalFormatting sqref="G2146:G2147 G2143">
    <cfRule type="expression" dxfId="19661" priority="5915">
      <formula>$H2143="SUBETAPA"</formula>
    </cfRule>
    <cfRule type="expression" dxfId="19660" priority="5916">
      <formula>$H2143="CÉLULA CONSTRUTIVA"</formula>
    </cfRule>
  </conditionalFormatting>
  <conditionalFormatting sqref="G2146:G2147">
    <cfRule type="expression" dxfId="19659" priority="5917">
      <formula>$H2146="ETAPA"</formula>
    </cfRule>
  </conditionalFormatting>
  <conditionalFormatting sqref="G2152:G2153">
    <cfRule type="expression" dxfId="19658" priority="5383">
      <formula>$H2152="SUBETAPA"</formula>
    </cfRule>
    <cfRule type="expression" dxfId="19657" priority="5384">
      <formula>$H2152="CÉLULA CONSTRUTIVA"</formula>
    </cfRule>
    <cfRule type="expression" dxfId="19656" priority="5385">
      <formula>$H2152="ETAPA"</formula>
    </cfRule>
  </conditionalFormatting>
  <conditionalFormatting sqref="G2155">
    <cfRule type="expression" dxfId="19655" priority="5910">
      <formula>$H2155="CÉLULA CONSTRUTIVA"</formula>
    </cfRule>
  </conditionalFormatting>
  <conditionalFormatting sqref="G2160 G2165">
    <cfRule type="expression" dxfId="19654" priority="5905">
      <formula>$H2160="ETAPA"</formula>
    </cfRule>
  </conditionalFormatting>
  <conditionalFormatting sqref="G2165">
    <cfRule type="expression" dxfId="19653" priority="5908">
      <formula>$H2165="SUBETAPA"</formula>
    </cfRule>
    <cfRule type="expression" dxfId="19652" priority="5909">
      <formula>$H2165="CÉLULA CONSTRUTIVA"</formula>
    </cfRule>
  </conditionalFormatting>
  <conditionalFormatting sqref="G2166">
    <cfRule type="expression" dxfId="19651" priority="5906">
      <formula>$H2166="SUBETAPA"</formula>
    </cfRule>
    <cfRule type="expression" dxfId="19650" priority="5907">
      <formula>$H2166="ETAPA"</formula>
    </cfRule>
  </conditionalFormatting>
  <conditionalFormatting sqref="G2169 G2155">
    <cfRule type="expression" dxfId="19649" priority="5900">
      <formula>$H2155="SUBETAPA"</formula>
    </cfRule>
  </conditionalFormatting>
  <conditionalFormatting sqref="G2169 G2178:G2179 G2155">
    <cfRule type="expression" dxfId="19648" priority="5899">
      <formula>$H2155="ETAPA"</formula>
    </cfRule>
  </conditionalFormatting>
  <conditionalFormatting sqref="G2169">
    <cfRule type="expression" dxfId="19647" priority="5898">
      <formula>$H2169="CÉLULA CONSTRUTIVA"</formula>
    </cfRule>
  </conditionalFormatting>
  <conditionalFormatting sqref="G2171 G2173 G2160">
    <cfRule type="expression" dxfId="19646" priority="5895">
      <formula>$H2160="SUBETAPA"</formula>
    </cfRule>
    <cfRule type="expression" dxfId="19645" priority="5896">
      <formula>$H2160="CÉLULA CONSTRUTIVA"</formula>
    </cfRule>
  </conditionalFormatting>
  <conditionalFormatting sqref="G2171 G2173">
    <cfRule type="expression" dxfId="19644" priority="5897">
      <formula>$H2171="ETAPA"</formula>
    </cfRule>
  </conditionalFormatting>
  <conditionalFormatting sqref="G2178:G2179">
    <cfRule type="expression" dxfId="19643" priority="5903">
      <formula>$H2178="SUBETAPA"</formula>
    </cfRule>
    <cfRule type="expression" dxfId="19642" priority="5904">
      <formula>$H2178="CÉLULA CONSTRUTIVA"</formula>
    </cfRule>
  </conditionalFormatting>
  <conditionalFormatting sqref="G2181:G2182">
    <cfRule type="expression" dxfId="19641" priority="5380">
      <formula>$H2181="SUBETAPA"</formula>
    </cfRule>
    <cfRule type="expression" dxfId="19640" priority="5381">
      <formula>$H2181="CÉLULA CONSTRUTIVA"</formula>
    </cfRule>
    <cfRule type="expression" dxfId="19639" priority="5382">
      <formula>$H2181="ETAPA"</formula>
    </cfRule>
  </conditionalFormatting>
  <conditionalFormatting sqref="G2190">
    <cfRule type="expression" dxfId="19638" priority="5886">
      <formula>$H2190="SUBETAPA"</formula>
    </cfRule>
    <cfRule type="expression" dxfId="19637" priority="5887">
      <formula>$H2190="ETAPA"</formula>
    </cfRule>
  </conditionalFormatting>
  <conditionalFormatting sqref="G2191 G2187 G2196">
    <cfRule type="expression" dxfId="19636" priority="5885">
      <formula>$H2187="ETAPA"</formula>
    </cfRule>
  </conditionalFormatting>
  <conditionalFormatting sqref="G2191 G2208:G2209">
    <cfRule type="expression" dxfId="19635" priority="5883">
      <formula>$H2191="SUBETAPA"</formula>
    </cfRule>
    <cfRule type="expression" dxfId="19634" priority="5884">
      <formula>$H2191="CÉLULA CONSTRUTIVA"</formula>
    </cfRule>
  </conditionalFormatting>
  <conditionalFormatting sqref="G2196">
    <cfRule type="expression" dxfId="19633" priority="5881">
      <formula>$H2196="SUBETAPA"</formula>
    </cfRule>
    <cfRule type="expression" dxfId="19632" priority="5882">
      <formula>$H2196="CÉLULA CONSTRUTIVA"</formula>
    </cfRule>
  </conditionalFormatting>
  <conditionalFormatting sqref="G2201 G2208:G2209">
    <cfRule type="expression" dxfId="19631" priority="5879">
      <formula>$H2201="ETAPA"</formula>
    </cfRule>
  </conditionalFormatting>
  <conditionalFormatting sqref="G2201">
    <cfRule type="expression" dxfId="19630" priority="5878">
      <formula>$H2201="CÉLULA CONSTRUTIVA"</formula>
    </cfRule>
    <cfRule type="expression" dxfId="19629" priority="5880">
      <formula>$H2201="SUBETAPA"</formula>
    </cfRule>
  </conditionalFormatting>
  <conditionalFormatting sqref="G2203:G2204 G2187">
    <cfRule type="expression" dxfId="19628" priority="5875">
      <formula>$H2187="SUBETAPA"</formula>
    </cfRule>
    <cfRule type="expression" dxfId="19627" priority="5876">
      <formula>$H2187="CÉLULA CONSTRUTIVA"</formula>
    </cfRule>
  </conditionalFormatting>
  <conditionalFormatting sqref="G2203:G2204">
    <cfRule type="expression" dxfId="19626" priority="5877">
      <formula>$H2203="ETAPA"</formula>
    </cfRule>
  </conditionalFormatting>
  <conditionalFormatting sqref="G2210:G2211">
    <cfRule type="expression" dxfId="19625" priority="5377">
      <formula>$H2210="SUBETAPA"</formula>
    </cfRule>
    <cfRule type="expression" dxfId="19624" priority="5378">
      <formula>$H2210="CÉLULA CONSTRUTIVA"</formula>
    </cfRule>
    <cfRule type="expression" dxfId="19623" priority="5379">
      <formula>$H2210="ETAPA"</formula>
    </cfRule>
  </conditionalFormatting>
  <conditionalFormatting sqref="G2218">
    <cfRule type="expression" dxfId="19622" priority="5865">
      <formula>$H2218="ETAPA"</formula>
    </cfRule>
  </conditionalFormatting>
  <conditionalFormatting sqref="G2219">
    <cfRule type="expression" dxfId="19621" priority="5866">
      <formula>$H2219="SUBETAPA"</formula>
    </cfRule>
    <cfRule type="expression" dxfId="19620" priority="5867">
      <formula>$H2219="ETAPA"</formula>
    </cfRule>
  </conditionalFormatting>
  <conditionalFormatting sqref="G2222 G2228:G2229">
    <cfRule type="expression" dxfId="19619" priority="5859">
      <formula>$H2222="ETAPA"</formula>
    </cfRule>
  </conditionalFormatting>
  <conditionalFormatting sqref="G2222">
    <cfRule type="expression" dxfId="19618" priority="5858">
      <formula>$H2222="CÉLULA CONSTRUTIVA"</formula>
    </cfRule>
    <cfRule type="expression" dxfId="19617" priority="5860">
      <formula>$H2222="SUBETAPA"</formula>
    </cfRule>
  </conditionalFormatting>
  <conditionalFormatting sqref="G2224:G2225 G2218">
    <cfRule type="expression" dxfId="19616" priority="5855">
      <formula>$H2218="SUBETAPA"</formula>
    </cfRule>
    <cfRule type="expression" dxfId="19615" priority="5856">
      <formula>$H2218="CÉLULA CONSTRUTIVA"</formula>
    </cfRule>
  </conditionalFormatting>
  <conditionalFormatting sqref="G2224:G2225">
    <cfRule type="expression" dxfId="19614" priority="5857">
      <formula>$H2224="ETAPA"</formula>
    </cfRule>
  </conditionalFormatting>
  <conditionalFormatting sqref="G2228:G2229">
    <cfRule type="expression" dxfId="19613" priority="5863">
      <formula>$H2228="SUBETAPA"</formula>
    </cfRule>
    <cfRule type="expression" dxfId="19612" priority="5864">
      <formula>$H2228="CÉLULA CONSTRUTIVA"</formula>
    </cfRule>
  </conditionalFormatting>
  <conditionalFormatting sqref="G2230:G2231">
    <cfRule type="expression" dxfId="19611" priority="5374">
      <formula>$H2230="SUBETAPA"</formula>
    </cfRule>
    <cfRule type="expression" dxfId="19610" priority="5375">
      <formula>$H2230="CÉLULA CONSTRUTIVA"</formula>
    </cfRule>
    <cfRule type="expression" dxfId="19609" priority="5376">
      <formula>$H2230="ETAPA"</formula>
    </cfRule>
  </conditionalFormatting>
  <conditionalFormatting sqref="G2238">
    <cfRule type="expression" dxfId="19608" priority="5845">
      <formula>$H2238="ETAPA"</formula>
    </cfRule>
  </conditionalFormatting>
  <conditionalFormatting sqref="G2239">
    <cfRule type="expression" dxfId="19607" priority="5846">
      <formula>$H2239="SUBETAPA"</formula>
    </cfRule>
    <cfRule type="expression" dxfId="19606" priority="5847">
      <formula>$H2239="ETAPA"</formula>
    </cfRule>
  </conditionalFormatting>
  <conditionalFormatting sqref="G2242 G2248:G2249">
    <cfRule type="expression" dxfId="19605" priority="5839">
      <formula>$H2242="ETAPA"</formula>
    </cfRule>
  </conditionalFormatting>
  <conditionalFormatting sqref="G2242">
    <cfRule type="expression" dxfId="19604" priority="5838">
      <formula>$H2242="CÉLULA CONSTRUTIVA"</formula>
    </cfRule>
    <cfRule type="expression" dxfId="19603" priority="5840">
      <formula>$H2242="SUBETAPA"</formula>
    </cfRule>
  </conditionalFormatting>
  <conditionalFormatting sqref="G2244:G2245 G2238">
    <cfRule type="expression" dxfId="19602" priority="5835">
      <formula>$H2238="SUBETAPA"</formula>
    </cfRule>
    <cfRule type="expression" dxfId="19601" priority="5836">
      <formula>$H2238="CÉLULA CONSTRUTIVA"</formula>
    </cfRule>
  </conditionalFormatting>
  <conditionalFormatting sqref="G2244:G2245">
    <cfRule type="expression" dxfId="19600" priority="5837">
      <formula>$H2244="ETAPA"</formula>
    </cfRule>
  </conditionalFormatting>
  <conditionalFormatting sqref="G2248:G2249">
    <cfRule type="expression" dxfId="19599" priority="5843">
      <formula>$H2248="SUBETAPA"</formula>
    </cfRule>
    <cfRule type="expression" dxfId="19598" priority="5844">
      <formula>$H2248="CÉLULA CONSTRUTIVA"</formula>
    </cfRule>
  </conditionalFormatting>
  <conditionalFormatting sqref="G2250:G2251">
    <cfRule type="expression" dxfId="19597" priority="5371">
      <formula>$H2250="SUBETAPA"</formula>
    </cfRule>
    <cfRule type="expression" dxfId="19596" priority="5372">
      <formula>$H2250="CÉLULA CONSTRUTIVA"</formula>
    </cfRule>
    <cfRule type="expression" dxfId="19595" priority="5373">
      <formula>$H2250="ETAPA"</formula>
    </cfRule>
  </conditionalFormatting>
  <conditionalFormatting sqref="G2258">
    <cfRule type="expression" dxfId="19594" priority="5825">
      <formula>$H2258="ETAPA"</formula>
    </cfRule>
  </conditionalFormatting>
  <conditionalFormatting sqref="G2261">
    <cfRule type="expression" dxfId="19593" priority="5826">
      <formula>$H2261="SUBETAPA"</formula>
    </cfRule>
    <cfRule type="expression" dxfId="19592" priority="5827">
      <formula>$H2261="ETAPA"</formula>
    </cfRule>
  </conditionalFormatting>
  <conditionalFormatting sqref="G2264 G2271:G2272">
    <cfRule type="expression" dxfId="19591" priority="5819">
      <formula>$H2264="ETAPA"</formula>
    </cfRule>
  </conditionalFormatting>
  <conditionalFormatting sqref="G2264">
    <cfRule type="expression" dxfId="19590" priority="5818">
      <formula>$H2264="CÉLULA CONSTRUTIVA"</formula>
    </cfRule>
    <cfRule type="expression" dxfId="19589" priority="5820">
      <formula>$H2264="SUBETAPA"</formula>
    </cfRule>
  </conditionalFormatting>
  <conditionalFormatting sqref="G2266:G2267 G2258">
    <cfRule type="expression" dxfId="19588" priority="5815">
      <formula>$H2258="SUBETAPA"</formula>
    </cfRule>
    <cfRule type="expression" dxfId="19587" priority="5816">
      <formula>$H2258="CÉLULA CONSTRUTIVA"</formula>
    </cfRule>
  </conditionalFormatting>
  <conditionalFormatting sqref="G2266:G2267">
    <cfRule type="expression" dxfId="19586" priority="5817">
      <formula>$H2266="ETAPA"</formula>
    </cfRule>
  </conditionalFormatting>
  <conditionalFormatting sqref="G2271:G2272">
    <cfRule type="expression" dxfId="19585" priority="5823">
      <formula>$H2271="SUBETAPA"</formula>
    </cfRule>
    <cfRule type="expression" dxfId="19584" priority="5824">
      <formula>$H2271="CÉLULA CONSTRUTIVA"</formula>
    </cfRule>
  </conditionalFormatting>
  <conditionalFormatting sqref="G2273:G2274">
    <cfRule type="expression" dxfId="19583" priority="5368">
      <formula>$H2273="SUBETAPA"</formula>
    </cfRule>
    <cfRule type="expression" dxfId="19582" priority="5369">
      <formula>$H2273="CÉLULA CONSTRUTIVA"</formula>
    </cfRule>
    <cfRule type="expression" dxfId="19581" priority="5370">
      <formula>$H2273="ETAPA"</formula>
    </cfRule>
  </conditionalFormatting>
  <conditionalFormatting sqref="G2281">
    <cfRule type="expression" dxfId="19580" priority="5805">
      <formula>$H2281="ETAPA"</formula>
    </cfRule>
  </conditionalFormatting>
  <conditionalFormatting sqref="G2285">
    <cfRule type="expression" dxfId="19579" priority="5806">
      <formula>$H2285="SUBETAPA"</formula>
    </cfRule>
    <cfRule type="expression" dxfId="19578" priority="5807">
      <formula>$H2285="ETAPA"</formula>
    </cfRule>
  </conditionalFormatting>
  <conditionalFormatting sqref="G2288 G2295:G2296">
    <cfRule type="expression" dxfId="19577" priority="5799">
      <formula>$H2288="ETAPA"</formula>
    </cfRule>
  </conditionalFormatting>
  <conditionalFormatting sqref="G2288">
    <cfRule type="expression" dxfId="19576" priority="5798">
      <formula>$H2288="CÉLULA CONSTRUTIVA"</formula>
    </cfRule>
    <cfRule type="expression" dxfId="19575" priority="5800">
      <formula>$H2288="SUBETAPA"</formula>
    </cfRule>
  </conditionalFormatting>
  <conditionalFormatting sqref="G2290:G2291 G2281">
    <cfRule type="expression" dxfId="19574" priority="5795">
      <formula>$H2281="SUBETAPA"</formula>
    </cfRule>
    <cfRule type="expression" dxfId="19573" priority="5796">
      <formula>$H2281="CÉLULA CONSTRUTIVA"</formula>
    </cfRule>
  </conditionalFormatting>
  <conditionalFormatting sqref="G2290:G2291">
    <cfRule type="expression" dxfId="19572" priority="5797">
      <formula>$H2290="ETAPA"</formula>
    </cfRule>
  </conditionalFormatting>
  <conditionalFormatting sqref="G2295:G2296">
    <cfRule type="expression" dxfId="19571" priority="5803">
      <formula>$H2295="SUBETAPA"</formula>
    </cfRule>
    <cfRule type="expression" dxfId="19570" priority="5804">
      <formula>$H2295="CÉLULA CONSTRUTIVA"</formula>
    </cfRule>
  </conditionalFormatting>
  <conditionalFormatting sqref="G2297:G2298">
    <cfRule type="expression" dxfId="19569" priority="5365">
      <formula>$H2297="SUBETAPA"</formula>
    </cfRule>
    <cfRule type="expression" dxfId="19568" priority="5366">
      <formula>$H2297="CÉLULA CONSTRUTIVA"</formula>
    </cfRule>
    <cfRule type="expression" dxfId="19567" priority="5367">
      <formula>$H2297="ETAPA"</formula>
    </cfRule>
  </conditionalFormatting>
  <conditionalFormatting sqref="G2306">
    <cfRule type="expression" dxfId="19566" priority="5785">
      <formula>$H2306="ETAPA"</formula>
    </cfRule>
  </conditionalFormatting>
  <conditionalFormatting sqref="G2311 G2319:G2320">
    <cfRule type="expression" dxfId="19565" priority="5779">
      <formula>$H2311="ETAPA"</formula>
    </cfRule>
  </conditionalFormatting>
  <conditionalFormatting sqref="G2311">
    <cfRule type="expression" dxfId="19564" priority="5778">
      <formula>$H2311="CÉLULA CONSTRUTIVA"</formula>
    </cfRule>
    <cfRule type="expression" dxfId="19563" priority="5780">
      <formula>$H2311="SUBETAPA"</formula>
    </cfRule>
  </conditionalFormatting>
  <conditionalFormatting sqref="G2313 G2306">
    <cfRule type="expression" dxfId="19562" priority="5775">
      <formula>$H2306="SUBETAPA"</formula>
    </cfRule>
    <cfRule type="expression" dxfId="19561" priority="5776">
      <formula>$H2306="CÉLULA CONSTRUTIVA"</formula>
    </cfRule>
  </conditionalFormatting>
  <conditionalFormatting sqref="G2313">
    <cfRule type="expression" dxfId="19560" priority="5777">
      <formula>$H2313="ETAPA"</formula>
    </cfRule>
  </conditionalFormatting>
  <conditionalFormatting sqref="G2319:G2320">
    <cfRule type="expression" dxfId="19559" priority="5783">
      <formula>$H2319="SUBETAPA"</formula>
    </cfRule>
    <cfRule type="expression" dxfId="19558" priority="5784">
      <formula>$H2319="CÉLULA CONSTRUTIVA"</formula>
    </cfRule>
  </conditionalFormatting>
  <conditionalFormatting sqref="G2321:G2322">
    <cfRule type="expression" dxfId="19557" priority="5362">
      <formula>$H2321="SUBETAPA"</formula>
    </cfRule>
    <cfRule type="expression" dxfId="19556" priority="5363">
      <formula>$H2321="CÉLULA CONSTRUTIVA"</formula>
    </cfRule>
    <cfRule type="expression" dxfId="19555" priority="5364">
      <formula>$H2321="ETAPA"</formula>
    </cfRule>
  </conditionalFormatting>
  <conditionalFormatting sqref="G2328 G2333:G2334">
    <cfRule type="expression" dxfId="19554" priority="5759">
      <formula>$H2328="ETAPA"</formula>
    </cfRule>
  </conditionalFormatting>
  <conditionalFormatting sqref="G2328">
    <cfRule type="expression" dxfId="19553" priority="5758">
      <formula>$H2328="CÉLULA CONSTRUTIVA"</formula>
    </cfRule>
    <cfRule type="expression" dxfId="19552" priority="5760">
      <formula>$H2328="SUBETAPA"</formula>
    </cfRule>
  </conditionalFormatting>
  <conditionalFormatting sqref="G2330">
    <cfRule type="expression" dxfId="19551" priority="5755">
      <formula>$H2330="SUBETAPA"</formula>
    </cfRule>
    <cfRule type="expression" dxfId="19550" priority="5756">
      <formula>$H2330="CÉLULA CONSTRUTIVA"</formula>
    </cfRule>
    <cfRule type="expression" dxfId="19549" priority="5757">
      <formula>$H2330="ETAPA"</formula>
    </cfRule>
  </conditionalFormatting>
  <conditionalFormatting sqref="G2333:G2334">
    <cfRule type="expression" dxfId="19548" priority="5763">
      <formula>$H2333="SUBETAPA"</formula>
    </cfRule>
    <cfRule type="expression" dxfId="19547" priority="5764">
      <formula>$H2333="CÉLULA CONSTRUTIVA"</formula>
    </cfRule>
  </conditionalFormatting>
  <conditionalFormatting sqref="G2335:G2336">
    <cfRule type="expression" dxfId="19546" priority="5359">
      <formula>$H2335="SUBETAPA"</formula>
    </cfRule>
    <cfRule type="expression" dxfId="19545" priority="5360">
      <formula>$H2335="CÉLULA CONSTRUTIVA"</formula>
    </cfRule>
    <cfRule type="expression" dxfId="19544" priority="5361">
      <formula>$H2335="ETAPA"</formula>
    </cfRule>
  </conditionalFormatting>
  <conditionalFormatting sqref="G2338">
    <cfRule type="expression" dxfId="19543" priority="5735">
      <formula>$H2338="SUBETAPA"</formula>
    </cfRule>
    <cfRule type="expression" dxfId="19542" priority="5736">
      <formula>$H2338="CÉLULA CONSTRUTIVA"</formula>
    </cfRule>
    <cfRule type="expression" dxfId="19541" priority="5737">
      <formula>$H2338="ETAPA"</formula>
    </cfRule>
  </conditionalFormatting>
  <conditionalFormatting sqref="G2340">
    <cfRule type="expression" dxfId="19540" priority="5357">
      <formula>$H2340="ETAPA"</formula>
    </cfRule>
    <cfRule type="expression" dxfId="19539" priority="6345">
      <formula>$H2340="SUBETAPA"</formula>
    </cfRule>
  </conditionalFormatting>
  <conditionalFormatting sqref="G2382">
    <cfRule type="expression" dxfId="19538" priority="62133">
      <formula>$H2382="ETAPA"</formula>
    </cfRule>
  </conditionalFormatting>
  <conditionalFormatting sqref="G2407">
    <cfRule type="expression" dxfId="19537" priority="62372">
      <formula>$H2407="ETAPA"</formula>
    </cfRule>
  </conditionalFormatting>
  <conditionalFormatting sqref="G2430">
    <cfRule type="expression" dxfId="19536" priority="62611">
      <formula>$H2430="ETAPA"</formula>
    </cfRule>
  </conditionalFormatting>
  <conditionalFormatting sqref="G2453">
    <cfRule type="expression" dxfId="19535" priority="62850">
      <formula>$H2453="ETAPA"</formula>
    </cfRule>
  </conditionalFormatting>
  <conditionalFormatting sqref="G2477">
    <cfRule type="expression" dxfId="19534" priority="63089">
      <formula>$H2477="ETAPA"</formula>
    </cfRule>
  </conditionalFormatting>
  <conditionalFormatting sqref="G2504:G2506">
    <cfRule type="expression" dxfId="19533" priority="63328">
      <formula>$H2504="ETAPA"</formula>
    </cfRule>
  </conditionalFormatting>
  <conditionalFormatting sqref="G2526">
    <cfRule type="expression" dxfId="19532" priority="6740">
      <formula>$H2526="CÉLULA CONSTRUTIVA"</formula>
    </cfRule>
  </conditionalFormatting>
  <conditionalFormatting sqref="G2544">
    <cfRule type="expression" dxfId="19531" priority="6676">
      <formula>$H2544="CÉLULA CONSTRUTIVA"</formula>
    </cfRule>
  </conditionalFormatting>
  <conditionalFormatting sqref="G2560">
    <cfRule type="expression" dxfId="19530" priority="6618">
      <formula>$H2560="CÉLULA CONSTRUTIVA"</formula>
    </cfRule>
  </conditionalFormatting>
  <conditionalFormatting sqref="G2576">
    <cfRule type="expression" dxfId="19529" priority="6560">
      <formula>$H2576="CÉLULA CONSTRUTIVA"</formula>
    </cfRule>
  </conditionalFormatting>
  <conditionalFormatting sqref="G2592">
    <cfRule type="expression" dxfId="19528" priority="6502">
      <formula>$H2592="CÉLULA CONSTRUTIVA"</formula>
    </cfRule>
  </conditionalFormatting>
  <conditionalFormatting sqref="G2608">
    <cfRule type="expression" dxfId="19527" priority="6444">
      <formula>$H2608="CÉLULA CONSTRUTIVA"</formula>
    </cfRule>
  </conditionalFormatting>
  <conditionalFormatting sqref="G2623">
    <cfRule type="expression" dxfId="19526" priority="6386">
      <formula>$H2623="CÉLULA CONSTRUTIVA"</formula>
    </cfRule>
  </conditionalFormatting>
  <conditionalFormatting sqref="G1431:H1431 J1431:M1431">
    <cfRule type="expression" dxfId="19525" priority="4780">
      <formula>$H1431="SUBETAPA"</formula>
    </cfRule>
  </conditionalFormatting>
  <conditionalFormatting sqref="G1440:H1441 L1443:L1446 J1440:L1441">
    <cfRule type="expression" dxfId="19524" priority="92317">
      <formula>$H1440="SUBETAPA"</formula>
    </cfRule>
    <cfRule type="expression" dxfId="19523" priority="92318">
      <formula>$H1440="CÉLULA CONSTRUTIVA"</formula>
    </cfRule>
  </conditionalFormatting>
  <conditionalFormatting sqref="G1440:H1442 J1441:L1442 H1444 J1444:K1444 O1444 J1445 H1446 J1446:K1446 O1446">
    <cfRule type="expression" dxfId="19522" priority="92315">
      <formula>$H1440="ETAPA"</formula>
    </cfRule>
  </conditionalFormatting>
  <conditionalFormatting sqref="G1442:H1442 H1444 O1444 H1446 O1446 J1446:K1446 J1444:K1444 J1442:K1442 H1237:K1238 H1232:K1233 H1225:K1226 H1220:K1221 H1213:K1214 H1206:K1207 H1199:K1200 H1192:K1193 H1185:K1186 H1180:K1181 H1175:K1176 H1170:K1171 H1165:K1166 H1160:K1161 G1395:G1399 G1388:G1392 J1445 G1253:G1364">
    <cfRule type="expression" dxfId="19521" priority="92314">
      <formula>$H1160="SUBETAPA"</formula>
    </cfRule>
  </conditionalFormatting>
  <conditionalFormatting sqref="G1442:H1442 J1442:K1442 J2337 J2323 J2324:L2324 H2324 J2299 I2300:J2300 J2301:L2303 H2301:H2303 J2307 L2307 J2275 J2276:L2278 H2276:H2278 J2282 L2282 J2252 J2253:L2255 H2253:H2255 J2259 L2259 J2232 J2233:L2235 H2233:H2235 J2212 J2213:L2215 H2213:H2215 J2183 J2184:L2184 H2184 H2188:H2189 J2188:L2189 O2188:O2189 H2197:H2198 J2197:L2198 H2199:M2199 J2154 J2157:L2157 H2157 H2167:M2167 J2136 J2139:L2139 H2139 J2119 J2122:L2122 H2122 J2103 J2106:L2106 H2106 J2086 J2089:L2089 H2089 J2065 J2069:L2069 H2069 O2068:O2069 J2034 J2037:L2037 H2037 J2043 L2043 H2050:M2050 J2755:K2755 L2483:M2483 L2459:M2459 L2436:M2436 L2413:M2413 L2389:M2389 L2362:M2362 H2384:H2386 O2385:O2386 J2385:M2386 L3130 L3145 L3107 L3122 L3086 L3059 H1248:J1248 L1248:M1248 K1248:K1249 M610:M613 L2299:L2300 L3063:M3063 O3063 O2362 O2389 O2413 O2436 O2459 O2483 O2197:O2199 H935:M936 O933:O934 H926:M927 O924:O925 H917:M918 O915:O916 H906:M907 O904:O905 H895:M896 O893:O894 H886:M887 O884:O885 H877:M878 O875:O876 H868:M869 O866:O867 H859:M860 O857:O858 H850:M851 O848:O849 H841:M842 O839:O840 H832:M833 O830:O831 H823:M824 O821:O822 H812:M813 O810:O811 H1237:K1238 H1232:K1233 H1225:K1226 H1220:K1221 H1213:K1214 H1206:K1207 H1199:K1200 H1192:K1193 H1185:K1186 H1180:K1181 H1175:K1176 H1170:K1171 H1165:K1166 H1160:K1161 G1368:H1368 G946:G958 G961:G973 G976:G988 G991:G1003 G1006:G1018 G1021:G1033 G1036:G1048 G1051:G1063 G1066:G1078 G1081:G1093 G1096:G1108 G1111:G1123 G1126:G1138 L3079:L3080 G3063:J3063 L3089:M3089 O3089 G3089:J3089 L3110:M3110 O3110 G3110:J3110 L3133:M3133 O3133 G3133:J3133 L3137:L3138 L3113:L3114 L3092:L3093 L3068:L3069 O1247:O1248 G1351:G1360 G1388:H1388 G1389:G1392 G1395:H1395 G1396:G1399 G1402:H1402 G1407:H1407 G1412:H1412 G1417:H1417 G1245:M1245 H1246:M1247 G1246:G1249">
    <cfRule type="expression" dxfId="19520" priority="92313">
      <formula>$H610="CÉLULA CONSTRUTIVA"</formula>
    </cfRule>
  </conditionalFormatting>
  <conditionalFormatting sqref="G1480:H1481">
    <cfRule type="expression" dxfId="19519" priority="94953">
      <formula>$H1480="SUBETAPA"</formula>
    </cfRule>
    <cfRule type="expression" dxfId="19518" priority="94954">
      <formula>$H1480="CÉLULA CONSTRUTIVA"</formula>
    </cfRule>
  </conditionalFormatting>
  <conditionalFormatting sqref="G1511:H1512">
    <cfRule type="expression" dxfId="19517" priority="88341">
      <formula>$H1511="SUBETAPA"</formula>
    </cfRule>
    <cfRule type="expression" dxfId="19516" priority="88342">
      <formula>$H1511="CÉLULA CONSTRUTIVA"</formula>
    </cfRule>
  </conditionalFormatting>
  <conditionalFormatting sqref="G1533:H1534 L1535:L1538 J1533:L1534">
    <cfRule type="expression" dxfId="19515" priority="89000">
      <formula>$H1533="SUBETAPA"</formula>
    </cfRule>
    <cfRule type="expression" dxfId="19514" priority="89001">
      <formula>$H1533="CÉLULA CONSTRUTIVA"</formula>
    </cfRule>
  </conditionalFormatting>
  <conditionalFormatting sqref="G1555:H1556 L1557:L1560 J1555:L1556">
    <cfRule type="expression" dxfId="19513" priority="89659">
      <formula>$H1555="SUBETAPA"</formula>
    </cfRule>
    <cfRule type="expression" dxfId="19512" priority="89660">
      <formula>$H1555="CÉLULA CONSTRUTIVA"</formula>
    </cfRule>
  </conditionalFormatting>
  <conditionalFormatting sqref="G1593:H1594 L1595:L1598 J1593:L1594">
    <cfRule type="expression" dxfId="19511" priority="90977">
      <formula>$H1593="SUBETAPA"</formula>
    </cfRule>
    <cfRule type="expression" dxfId="19510" priority="90978">
      <formula>$H1593="CÉLULA CONSTRUTIVA"</formula>
    </cfRule>
  </conditionalFormatting>
  <conditionalFormatting sqref="G1614:H1615 L1616:L1619 J1614:L1615">
    <cfRule type="expression" dxfId="19509" priority="91637">
      <formula>$H1614="SUBETAPA"</formula>
    </cfRule>
    <cfRule type="expression" dxfId="19508" priority="91638">
      <formula>$H1614="CÉLULA CONSTRUTIVA"</formula>
    </cfRule>
  </conditionalFormatting>
  <conditionalFormatting sqref="G1638:H1639 L1640:L1643 J1638:L1639">
    <cfRule type="expression" dxfId="19507" priority="96271">
      <formula>$H1638="SUBETAPA"</formula>
    </cfRule>
    <cfRule type="expression" dxfId="19506" priority="96272">
      <formula>$H1638="CÉLULA CONSTRUTIVA"</formula>
    </cfRule>
  </conditionalFormatting>
  <conditionalFormatting sqref="G1656:H1657 J1656:L1657">
    <cfRule type="expression" dxfId="19505" priority="96930">
      <formula>$H1656="SUBETAPA"</formula>
    </cfRule>
    <cfRule type="expression" dxfId="19504" priority="96931">
      <formula>$H1656="CÉLULA CONSTRUTIVA"</formula>
    </cfRule>
  </conditionalFormatting>
  <conditionalFormatting sqref="G2342:H2342 J2342:M2342">
    <cfRule type="expression" dxfId="19503" priority="61983">
      <formula>$H2342="CÉLULA CONSTRUTIVA"</formula>
    </cfRule>
    <cfRule type="expression" dxfId="19502" priority="61984">
      <formula>$H2342="SUBETAPA"</formula>
    </cfRule>
  </conditionalFormatting>
  <conditionalFormatting sqref="G2348:H2348 G2354:H2355">
    <cfRule type="expression" dxfId="19501" priority="61968">
      <formula>$H2348="ETAPA"</formula>
    </cfRule>
  </conditionalFormatting>
  <conditionalFormatting sqref="G2360:H2361 J2360:M2361">
    <cfRule type="expression" dxfId="19500" priority="62187">
      <formula>$H2360="ETAPA"</formula>
    </cfRule>
  </conditionalFormatting>
  <conditionalFormatting sqref="G2361:H2361 J2361:M2361">
    <cfRule type="expression" dxfId="19499" priority="62193">
      <formula>$H2361="CÉLULA CONSTRUTIVA"</formula>
    </cfRule>
    <cfRule type="expression" dxfId="19498" priority="62194">
      <formula>$H2361="SUBETAPA"</formula>
    </cfRule>
  </conditionalFormatting>
  <conditionalFormatting sqref="G2363:H2363 J2363:M2363">
    <cfRule type="expression" dxfId="19497" priority="62222">
      <formula>$H2363="CÉLULA CONSTRUTIVA"</formula>
    </cfRule>
    <cfRule type="expression" dxfId="19496" priority="62223">
      <formula>$H2363="SUBETAPA"</formula>
    </cfRule>
  </conditionalFormatting>
  <conditionalFormatting sqref="G2382:H2382 M2382 J2382:K2382 O2382">
    <cfRule type="expression" dxfId="19495" priority="62126">
      <formula>$H2382="CÉLULA CONSTRUTIVA"</formula>
    </cfRule>
  </conditionalFormatting>
  <conditionalFormatting sqref="G2387:H2388 J2387:M2388">
    <cfRule type="expression" dxfId="19494" priority="62426">
      <formula>$H2387="ETAPA"</formula>
    </cfRule>
  </conditionalFormatting>
  <conditionalFormatting sqref="G2388:H2388 J2388:M2388">
    <cfRule type="expression" dxfId="19493" priority="62432">
      <formula>$H2388="CÉLULA CONSTRUTIVA"</formula>
    </cfRule>
    <cfRule type="expression" dxfId="19492" priority="62433">
      <formula>$H2388="SUBETAPA"</formula>
    </cfRule>
  </conditionalFormatting>
  <conditionalFormatting sqref="G2390:H2390 J2390:M2390">
    <cfRule type="expression" dxfId="19491" priority="62461">
      <formula>$H2390="CÉLULA CONSTRUTIVA"</formula>
    </cfRule>
    <cfRule type="expression" dxfId="19490" priority="62462">
      <formula>$H2390="SUBETAPA"</formula>
    </cfRule>
  </conditionalFormatting>
  <conditionalFormatting sqref="G2407:H2407 M2407 J2407:K2407 O2407">
    <cfRule type="expression" dxfId="19489" priority="62365">
      <formula>$H2407="CÉLULA CONSTRUTIVA"</formula>
    </cfRule>
  </conditionalFormatting>
  <conditionalFormatting sqref="G2411:H2412 J2411:M2412">
    <cfRule type="expression" dxfId="19488" priority="62665">
      <formula>$H2411="ETAPA"</formula>
    </cfRule>
  </conditionalFormatting>
  <conditionalFormatting sqref="G2412:H2412 J2412:M2412">
    <cfRule type="expression" dxfId="19487" priority="62671">
      <formula>$H2412="CÉLULA CONSTRUTIVA"</formula>
    </cfRule>
    <cfRule type="expression" dxfId="19486" priority="62672">
      <formula>$H2412="SUBETAPA"</formula>
    </cfRule>
  </conditionalFormatting>
  <conditionalFormatting sqref="G2414:H2414 J2414:M2414">
    <cfRule type="expression" dxfId="19485" priority="62700">
      <formula>$H2414="CÉLULA CONSTRUTIVA"</formula>
    </cfRule>
    <cfRule type="expression" dxfId="19484" priority="62701">
      <formula>$H2414="SUBETAPA"</formula>
    </cfRule>
  </conditionalFormatting>
  <conditionalFormatting sqref="G2430:H2430 M2430 J2430:K2430 O2430">
    <cfRule type="expression" dxfId="19483" priority="62604">
      <formula>$H2430="CÉLULA CONSTRUTIVA"</formula>
    </cfRule>
  </conditionalFormatting>
  <conditionalFormatting sqref="G2434:H2435 J2434:M2435">
    <cfRule type="expression" dxfId="19482" priority="62904">
      <formula>$H2434="ETAPA"</formula>
    </cfRule>
  </conditionalFormatting>
  <conditionalFormatting sqref="G2435:H2435 J2435:M2435">
    <cfRule type="expression" dxfId="19481" priority="62910">
      <formula>$H2435="CÉLULA CONSTRUTIVA"</formula>
    </cfRule>
    <cfRule type="expression" dxfId="19480" priority="62911">
      <formula>$H2435="SUBETAPA"</formula>
    </cfRule>
  </conditionalFormatting>
  <conditionalFormatting sqref="G2437:H2437 J2437:M2437">
    <cfRule type="expression" dxfId="19479" priority="62939">
      <formula>$H2437="CÉLULA CONSTRUTIVA"</formula>
    </cfRule>
    <cfRule type="expression" dxfId="19478" priority="62940">
      <formula>$H2437="SUBETAPA"</formula>
    </cfRule>
  </conditionalFormatting>
  <conditionalFormatting sqref="G2453:H2453 M2453 J2453:K2453 O2453">
    <cfRule type="expression" dxfId="19477" priority="62843">
      <formula>$H2453="CÉLULA CONSTRUTIVA"</formula>
    </cfRule>
  </conditionalFormatting>
  <conditionalFormatting sqref="G2457:H2458 J2457:M2458">
    <cfRule type="expression" dxfId="19476" priority="63143">
      <formula>$H2457="ETAPA"</formula>
    </cfRule>
  </conditionalFormatting>
  <conditionalFormatting sqref="G2458:H2458 J2458:M2458">
    <cfRule type="expression" dxfId="19475" priority="63149">
      <formula>$H2458="CÉLULA CONSTRUTIVA"</formula>
    </cfRule>
    <cfRule type="expression" dxfId="19474" priority="63150">
      <formula>$H2458="SUBETAPA"</formula>
    </cfRule>
  </conditionalFormatting>
  <conditionalFormatting sqref="G2460:H2460 J2460:M2460">
    <cfRule type="expression" dxfId="19473" priority="63178">
      <formula>$H2460="CÉLULA CONSTRUTIVA"</formula>
    </cfRule>
    <cfRule type="expression" dxfId="19472" priority="63179">
      <formula>$H2460="SUBETAPA"</formula>
    </cfRule>
  </conditionalFormatting>
  <conditionalFormatting sqref="G2477:H2477 M2477 J2477:K2477 O2477">
    <cfRule type="expression" dxfId="19471" priority="63082">
      <formula>$H2477="CÉLULA CONSTRUTIVA"</formula>
    </cfRule>
  </conditionalFormatting>
  <conditionalFormatting sqref="G2481:H2482 J2481:M2482">
    <cfRule type="expression" dxfId="19470" priority="63382">
      <formula>$H2481="ETAPA"</formula>
    </cfRule>
  </conditionalFormatting>
  <conditionalFormatting sqref="G2482:H2482 J2482:M2482">
    <cfRule type="expression" dxfId="19469" priority="63388">
      <formula>$H2482="CÉLULA CONSTRUTIVA"</formula>
    </cfRule>
    <cfRule type="expression" dxfId="19468" priority="63389">
      <formula>$H2482="SUBETAPA"</formula>
    </cfRule>
  </conditionalFormatting>
  <conditionalFormatting sqref="G2484:H2484 J2484:M2484">
    <cfRule type="expression" dxfId="19467" priority="63418">
      <formula>$H2484="SUBETAPA"</formula>
    </cfRule>
  </conditionalFormatting>
  <conditionalFormatting sqref="G2484:H2484 O2499:O2500 J2484:M2484">
    <cfRule type="expression" dxfId="19466" priority="63417">
      <formula>$H2484="CÉLULA CONSTRUTIVA"</formula>
    </cfRule>
  </conditionalFormatting>
  <conditionalFormatting sqref="G2506:H2506 M2506 J2506:K2506 O2506">
    <cfRule type="expression" dxfId="19465" priority="63321">
      <formula>$H2506="CÉLULA CONSTRUTIVA"</formula>
    </cfRule>
  </conditionalFormatting>
  <conditionalFormatting sqref="G2511:H2511 J2511:M2511">
    <cfRule type="expression" dxfId="19464" priority="63656">
      <formula>$H2511="CÉLULA CONSTRUTIVA"</formula>
    </cfRule>
    <cfRule type="expression" dxfId="19463" priority="63657">
      <formula>$H2511="SUBETAPA"</formula>
    </cfRule>
  </conditionalFormatting>
  <conditionalFormatting sqref="G2518:H2518 G2525:H2526 J2527:K2528">
    <cfRule type="expression" dxfId="19462" priority="63641">
      <formula>$H2518="ETAPA"</formula>
    </cfRule>
  </conditionalFormatting>
  <conditionalFormatting sqref="G2533:H2533 J2533:M2533">
    <cfRule type="expression" dxfId="19461" priority="63895">
      <formula>$H2533="CÉLULA CONSTRUTIVA"</formula>
    </cfRule>
    <cfRule type="expression" dxfId="19460" priority="63896">
      <formula>$H2533="SUBETAPA"</formula>
    </cfRule>
  </conditionalFormatting>
  <conditionalFormatting sqref="G2538:H2538 G2543:H2544">
    <cfRule type="expression" dxfId="19459" priority="63880">
      <formula>$H2538="ETAPA"</formula>
    </cfRule>
  </conditionalFormatting>
  <conditionalFormatting sqref="G2549:H2549 J2549:M2549">
    <cfRule type="expression" dxfId="19458" priority="64134">
      <formula>$H2549="CÉLULA CONSTRUTIVA"</formula>
    </cfRule>
    <cfRule type="expression" dxfId="19457" priority="64135">
      <formula>$H2549="SUBETAPA"</formula>
    </cfRule>
  </conditionalFormatting>
  <conditionalFormatting sqref="G2554:H2554 G2559:H2560">
    <cfRule type="expression" dxfId="19456" priority="64119">
      <formula>$H2554="ETAPA"</formula>
    </cfRule>
  </conditionalFormatting>
  <conditionalFormatting sqref="G2565:H2565 J2565:M2565">
    <cfRule type="expression" dxfId="19455" priority="64373">
      <formula>$H2565="CÉLULA CONSTRUTIVA"</formula>
    </cfRule>
    <cfRule type="expression" dxfId="19454" priority="64374">
      <formula>$H2565="SUBETAPA"</formula>
    </cfRule>
  </conditionalFormatting>
  <conditionalFormatting sqref="G2570:H2570 G2575:H2576">
    <cfRule type="expression" dxfId="19453" priority="64358">
      <formula>$H2570="ETAPA"</formula>
    </cfRule>
  </conditionalFormatting>
  <conditionalFormatting sqref="G2581:H2581 J2581:M2581">
    <cfRule type="expression" dxfId="19452" priority="64612">
      <formula>$H2581="CÉLULA CONSTRUTIVA"</formula>
    </cfRule>
    <cfRule type="expression" dxfId="19451" priority="64613">
      <formula>$H2581="SUBETAPA"</formula>
    </cfRule>
  </conditionalFormatting>
  <conditionalFormatting sqref="G2586:H2586 G2591:H2592">
    <cfRule type="expression" dxfId="19450" priority="64597">
      <formula>$H2586="ETAPA"</formula>
    </cfRule>
  </conditionalFormatting>
  <conditionalFormatting sqref="G2597:H2597 J2597:M2597">
    <cfRule type="expression" dxfId="19449" priority="64851">
      <formula>$H2597="CÉLULA CONSTRUTIVA"</formula>
    </cfRule>
    <cfRule type="expression" dxfId="19448" priority="64852">
      <formula>$H2597="SUBETAPA"</formula>
    </cfRule>
  </conditionalFormatting>
  <conditionalFormatting sqref="G2602:H2602 G2607:H2608">
    <cfRule type="expression" dxfId="19447" priority="64836">
      <formula>$H2602="ETAPA"</formula>
    </cfRule>
  </conditionalFormatting>
  <conditionalFormatting sqref="G2612:H2613 G2596:H2597 G2580:H2581 G2564:H2565 G2548:H2549 G2532:H2533 G2510:H2511 G2484:H2484 G2460:H2460 G2437:H2437 G2414:H2414 G2390:H2390 G2363:H2363 G2341:H2342 G399:M399 G416:M416 G432:M432 G448:M448 G465:M465 G482:M482 G499:M499 G517:M517 G535:M535 G553:M553 G571:M571 G587:M587 G606:M606 H2340 J2340:K2340 M2340 J2341:M2341 J2510:M2510 J2532:M2532 J2548:M2548 J2564:M2564 J2580:M2580 J2596:M2596 J2612:M2612">
    <cfRule type="expression" dxfId="19446" priority="116283">
      <formula>$H399="ETAPA"</formula>
    </cfRule>
  </conditionalFormatting>
  <conditionalFormatting sqref="G2613:H2613 J2613:M2613">
    <cfRule type="expression" dxfId="19445" priority="65090">
      <formula>$H2613="CÉLULA CONSTRUTIVA"</formula>
    </cfRule>
    <cfRule type="expression" dxfId="19444" priority="65091">
      <formula>$H2613="SUBETAPA"</formula>
    </cfRule>
  </conditionalFormatting>
  <conditionalFormatting sqref="G2618:H2618 G2622:H2623">
    <cfRule type="expression" dxfId="19443" priority="65075">
      <formula>$H2618="ETAPA"</formula>
    </cfRule>
  </conditionalFormatting>
  <conditionalFormatting sqref="G2635:H2635 J2635:L2635">
    <cfRule type="expression" dxfId="19442" priority="1942">
      <formula>$H2635="ETAPA"</formula>
    </cfRule>
    <cfRule type="expression" dxfId="19441" priority="1953">
      <formula>$H2635="SUBETAPA"</formula>
    </cfRule>
  </conditionalFormatting>
  <conditionalFormatting sqref="G2758:H2758 J2758:M2758">
    <cfRule type="expression" dxfId="19440" priority="1401">
      <formula>$H2758="SUBETAPA"</formula>
    </cfRule>
    <cfRule type="expression" dxfId="19439" priority="1402">
      <formula>$H2758="CÉLULA CONSTRUTIVA"</formula>
    </cfRule>
  </conditionalFormatting>
  <conditionalFormatting sqref="G2758:H2758">
    <cfRule type="expression" dxfId="19438" priority="1398">
      <formula>$H2758="ETAPA"</formula>
    </cfRule>
  </conditionalFormatting>
  <conditionalFormatting sqref="G2763:H2763 J2763:L2763">
    <cfRule type="expression" dxfId="19437" priority="1399">
      <formula>$H2763="CÉLULA CONSTRUTIVA"</formula>
    </cfRule>
  </conditionalFormatting>
  <conditionalFormatting sqref="G2763:H2763">
    <cfRule type="expression" dxfId="19436" priority="1396">
      <formula>$H2763="ETAPA"</formula>
    </cfRule>
  </conditionalFormatting>
  <conditionalFormatting sqref="G2764:H2764 J2764:M2764">
    <cfRule type="expression" dxfId="19435" priority="1443">
      <formula>$H2764="SUBETAPA"</formula>
    </cfRule>
    <cfRule type="expression" dxfId="19434" priority="1444">
      <formula>$H2764="CÉLULA CONSTRUTIVA"</formula>
    </cfRule>
  </conditionalFormatting>
  <conditionalFormatting sqref="G2764:H2764">
    <cfRule type="expression" dxfId="19433" priority="1440">
      <formula>$H2764="ETAPA"</formula>
    </cfRule>
  </conditionalFormatting>
  <conditionalFormatting sqref="G2769:H2769 J2769:L2769">
    <cfRule type="expression" dxfId="19432" priority="1441">
      <formula>$H2769="CÉLULA CONSTRUTIVA"</formula>
    </cfRule>
  </conditionalFormatting>
  <conditionalFormatting sqref="G2769:H2769">
    <cfRule type="expression" dxfId="19431" priority="1438">
      <formula>$H2769="ETAPA"</formula>
    </cfRule>
  </conditionalFormatting>
  <conditionalFormatting sqref="G2770:H2770 J2770:M2770">
    <cfRule type="expression" dxfId="19430" priority="1485">
      <formula>$H2770="SUBETAPA"</formula>
    </cfRule>
    <cfRule type="expression" dxfId="19429" priority="1486">
      <formula>$H2770="CÉLULA CONSTRUTIVA"</formula>
    </cfRule>
  </conditionalFormatting>
  <conditionalFormatting sqref="G2770:H2770">
    <cfRule type="expression" dxfId="19428" priority="1482">
      <formula>$H2770="ETAPA"</formula>
    </cfRule>
  </conditionalFormatting>
  <conditionalFormatting sqref="G2775:H2775 J2775:L2775">
    <cfRule type="expression" dxfId="19427" priority="1483">
      <formula>$H2775="CÉLULA CONSTRUTIVA"</formula>
    </cfRule>
  </conditionalFormatting>
  <conditionalFormatting sqref="G2775:H2775">
    <cfRule type="expression" dxfId="19426" priority="1480">
      <formula>$H2775="ETAPA"</formula>
    </cfRule>
  </conditionalFormatting>
  <conditionalFormatting sqref="G2776:H2776 J2776:M2776">
    <cfRule type="expression" dxfId="19425" priority="1527">
      <formula>$H2776="SUBETAPA"</formula>
    </cfRule>
    <cfRule type="expression" dxfId="19424" priority="1528">
      <formula>$H2776="CÉLULA CONSTRUTIVA"</formula>
    </cfRule>
  </conditionalFormatting>
  <conditionalFormatting sqref="G2776:H2776">
    <cfRule type="expression" dxfId="19423" priority="1524">
      <formula>$H2776="ETAPA"</formula>
    </cfRule>
  </conditionalFormatting>
  <conditionalFormatting sqref="G2782:H2782 G2784:H2784">
    <cfRule type="expression" dxfId="19422" priority="1522">
      <formula>$H2782="ETAPA"</formula>
    </cfRule>
  </conditionalFormatting>
  <conditionalFormatting sqref="G2782:H2782 H2783 O2783 G2784:H2784 J2784:L2784 J2783:K2783 J2782:L2782">
    <cfRule type="expression" dxfId="19421" priority="1489">
      <formula>$H2782="SUBETAPA"</formula>
    </cfRule>
  </conditionalFormatting>
  <conditionalFormatting sqref="G2782:H2782 J2782:L2782">
    <cfRule type="expression" dxfId="19420" priority="1526">
      <formula>$H2782="CÉLULA CONSTRUTIVA"</formula>
    </cfRule>
  </conditionalFormatting>
  <conditionalFormatting sqref="G2784:H2784 J2784:L2784">
    <cfRule type="expression" dxfId="19419" priority="1525">
      <formula>$H2784="CÉLULA CONSTRUTIVA"</formula>
    </cfRule>
  </conditionalFormatting>
  <conditionalFormatting sqref="G2785:H2785 J2785:M2785">
    <cfRule type="expression" dxfId="19418" priority="1569">
      <formula>$H2785="SUBETAPA"</formula>
    </cfRule>
    <cfRule type="expression" dxfId="19417" priority="1570">
      <formula>$H2785="CÉLULA CONSTRUTIVA"</formula>
    </cfRule>
  </conditionalFormatting>
  <conditionalFormatting sqref="G2785:H2785">
    <cfRule type="expression" dxfId="19416" priority="1566">
      <formula>$H2785="ETAPA"</formula>
    </cfRule>
  </conditionalFormatting>
  <conditionalFormatting sqref="G2791:H2791 G2793:H2793">
    <cfRule type="expression" dxfId="19415" priority="1564">
      <formula>$H2791="ETAPA"</formula>
    </cfRule>
  </conditionalFormatting>
  <conditionalFormatting sqref="G2791:H2791 H2792 O2792 G2793:H2793 J2793:L2793 J2792:K2792 J2791:L2791">
    <cfRule type="expression" dxfId="19414" priority="1531">
      <formula>$H2791="SUBETAPA"</formula>
    </cfRule>
  </conditionalFormatting>
  <conditionalFormatting sqref="G2791:H2791 J2791:L2791">
    <cfRule type="expression" dxfId="19413" priority="1568">
      <formula>$H2791="CÉLULA CONSTRUTIVA"</formula>
    </cfRule>
  </conditionalFormatting>
  <conditionalFormatting sqref="G2793:H2793 J2793:L2793">
    <cfRule type="expression" dxfId="19412" priority="1567">
      <formula>$H2793="CÉLULA CONSTRUTIVA"</formula>
    </cfRule>
  </conditionalFormatting>
  <conditionalFormatting sqref="G2794:H2794 J2794:M2794">
    <cfRule type="expression" dxfId="19411" priority="1611">
      <formula>$H2794="SUBETAPA"</formula>
    </cfRule>
    <cfRule type="expression" dxfId="19410" priority="1612">
      <formula>$H2794="CÉLULA CONSTRUTIVA"</formula>
    </cfRule>
  </conditionalFormatting>
  <conditionalFormatting sqref="G2794:H2794">
    <cfRule type="expression" dxfId="19409" priority="1608">
      <formula>$H2794="ETAPA"</formula>
    </cfRule>
  </conditionalFormatting>
  <conditionalFormatting sqref="G2800:H2800 G2802:H2802">
    <cfRule type="expression" dxfId="19408" priority="1606">
      <formula>$H2800="ETAPA"</formula>
    </cfRule>
  </conditionalFormatting>
  <conditionalFormatting sqref="G2800:H2800 H2801 O2801 G2802:H2802 J2801:K2802 J2800:L2800">
    <cfRule type="expression" dxfId="19407" priority="1573">
      <formula>$H2800="SUBETAPA"</formula>
    </cfRule>
  </conditionalFormatting>
  <conditionalFormatting sqref="G2800:H2800 J2800:L2800">
    <cfRule type="expression" dxfId="19406" priority="1610">
      <formula>$H2800="CÉLULA CONSTRUTIVA"</formula>
    </cfRule>
  </conditionalFormatting>
  <conditionalFormatting sqref="G2802:H2802 J2802:K2802">
    <cfRule type="expression" dxfId="19405" priority="1609">
      <formula>$H2802="CÉLULA CONSTRUTIVA"</formula>
    </cfRule>
  </conditionalFormatting>
  <conditionalFormatting sqref="G2803:H2803 J2803:M2803">
    <cfRule type="expression" dxfId="19404" priority="1653">
      <formula>$H2803="SUBETAPA"</formula>
    </cfRule>
    <cfRule type="expression" dxfId="19403" priority="1654">
      <formula>$H2803="CÉLULA CONSTRUTIVA"</formula>
    </cfRule>
  </conditionalFormatting>
  <conditionalFormatting sqref="G2803:H2803">
    <cfRule type="expression" dxfId="19402" priority="1650">
      <formula>$H2803="ETAPA"</formula>
    </cfRule>
  </conditionalFormatting>
  <conditionalFormatting sqref="G2809:H2809 G2811:H2811">
    <cfRule type="expression" dxfId="19401" priority="1648">
      <formula>$H2809="ETAPA"</formula>
    </cfRule>
  </conditionalFormatting>
  <conditionalFormatting sqref="G2809:H2809 H2810 O2810 G2811:H2811 J2810:K2811 J2809:L2809">
    <cfRule type="expression" dxfId="19400" priority="1615">
      <formula>$H2809="SUBETAPA"</formula>
    </cfRule>
  </conditionalFormatting>
  <conditionalFormatting sqref="G2809:H2809 J2809:L2809">
    <cfRule type="expression" dxfId="19399" priority="1652">
      <formula>$H2809="CÉLULA CONSTRUTIVA"</formula>
    </cfRule>
  </conditionalFormatting>
  <conditionalFormatting sqref="G2811:H2811 J2811:K2811">
    <cfRule type="expression" dxfId="19398" priority="1651">
      <formula>$H2811="CÉLULA CONSTRUTIVA"</formula>
    </cfRule>
  </conditionalFormatting>
  <conditionalFormatting sqref="G2812:H2812 J2812:M2812">
    <cfRule type="expression" dxfId="19397" priority="1695">
      <formula>$H2812="SUBETAPA"</formula>
    </cfRule>
    <cfRule type="expression" dxfId="19396" priority="1696">
      <formula>$H2812="CÉLULA CONSTRUTIVA"</formula>
    </cfRule>
  </conditionalFormatting>
  <conditionalFormatting sqref="G2812:H2812">
    <cfRule type="expression" dxfId="19395" priority="1692">
      <formula>$H2812="ETAPA"</formula>
    </cfRule>
  </conditionalFormatting>
  <conditionalFormatting sqref="G2818:H2818 J2818:K2818">
    <cfRule type="expression" dxfId="19394" priority="1693">
      <formula>$H2818="CÉLULA CONSTRUTIVA"</formula>
    </cfRule>
  </conditionalFormatting>
  <conditionalFormatting sqref="G2818:H2818">
    <cfRule type="expression" dxfId="19393" priority="1690">
      <formula>$H2818="ETAPA"</formula>
    </cfRule>
  </conditionalFormatting>
  <conditionalFormatting sqref="G2828:H2828 J2828:L2828">
    <cfRule type="expression" dxfId="19392" priority="447">
      <formula>$H2828="SUBETAPA"</formula>
    </cfRule>
    <cfRule type="expression" dxfId="19391" priority="448">
      <formula>$H2828="CÉLULA CONSTRUTIVA"</formula>
    </cfRule>
    <cfRule type="expression" dxfId="19390" priority="449">
      <formula>$H2828="ETAPA"</formula>
    </cfRule>
  </conditionalFormatting>
  <conditionalFormatting sqref="G2837:H2837 J2837:L2837">
    <cfRule type="expression" dxfId="19389" priority="512">
      <formula>$H2837="SUBETAPA"</formula>
    </cfRule>
    <cfRule type="expression" dxfId="19388" priority="513">
      <formula>$H2837="CÉLULA CONSTRUTIVA"</formula>
    </cfRule>
    <cfRule type="expression" dxfId="19387" priority="514">
      <formula>$H2837="ETAPA"</formula>
    </cfRule>
  </conditionalFormatting>
  <conditionalFormatting sqref="G2846:H2846 J2846:L2846">
    <cfRule type="expression" dxfId="19386" priority="577">
      <formula>$H2846="SUBETAPA"</formula>
    </cfRule>
    <cfRule type="expression" dxfId="19385" priority="578">
      <formula>$H2846="CÉLULA CONSTRUTIVA"</formula>
    </cfRule>
    <cfRule type="expression" dxfId="19384" priority="579">
      <formula>$H2846="ETAPA"</formula>
    </cfRule>
  </conditionalFormatting>
  <conditionalFormatting sqref="G2855:H2855 J2855:L2855">
    <cfRule type="expression" dxfId="19383" priority="642">
      <formula>$H2855="SUBETAPA"</formula>
    </cfRule>
    <cfRule type="expression" dxfId="19382" priority="643">
      <formula>$H2855="CÉLULA CONSTRUTIVA"</formula>
    </cfRule>
    <cfRule type="expression" dxfId="19381" priority="644">
      <formula>$H2855="ETAPA"</formula>
    </cfRule>
  </conditionalFormatting>
  <conditionalFormatting sqref="G2864:H2864 J2864:L2864">
    <cfRule type="expression" dxfId="19380" priority="707">
      <formula>$H2864="SUBETAPA"</formula>
    </cfRule>
    <cfRule type="expression" dxfId="19379" priority="708">
      <formula>$H2864="CÉLULA CONSTRUTIVA"</formula>
    </cfRule>
    <cfRule type="expression" dxfId="19378" priority="709">
      <formula>$H2864="ETAPA"</formula>
    </cfRule>
  </conditionalFormatting>
  <conditionalFormatting sqref="G2873:H2873 J2873:L2873">
    <cfRule type="expression" dxfId="19377" priority="772">
      <formula>$H2873="SUBETAPA"</formula>
    </cfRule>
    <cfRule type="expression" dxfId="19376" priority="773">
      <formula>$H2873="CÉLULA CONSTRUTIVA"</formula>
    </cfRule>
    <cfRule type="expression" dxfId="19375" priority="774">
      <formula>$H2873="ETAPA"</formula>
    </cfRule>
  </conditionalFormatting>
  <conditionalFormatting sqref="G2884:H2884 J2884:L2884">
    <cfRule type="expression" dxfId="19374" priority="837">
      <formula>$H2884="SUBETAPA"</formula>
    </cfRule>
    <cfRule type="expression" dxfId="19373" priority="838">
      <formula>$H2884="CÉLULA CONSTRUTIVA"</formula>
    </cfRule>
    <cfRule type="expression" dxfId="19372" priority="839">
      <formula>$H2884="ETAPA"</formula>
    </cfRule>
  </conditionalFormatting>
  <conditionalFormatting sqref="G2895:H2895 J2895:L2895">
    <cfRule type="expression" dxfId="19371" priority="902">
      <formula>$H2895="SUBETAPA"</formula>
    </cfRule>
    <cfRule type="expression" dxfId="19370" priority="903">
      <formula>$H2895="CÉLULA CONSTRUTIVA"</formula>
    </cfRule>
    <cfRule type="expression" dxfId="19369" priority="904">
      <formula>$H2895="ETAPA"</formula>
    </cfRule>
  </conditionalFormatting>
  <conditionalFormatting sqref="G2904:H2904 J2904:L2904">
    <cfRule type="expression" dxfId="19368" priority="967">
      <formula>$H2904="SUBETAPA"</formula>
    </cfRule>
    <cfRule type="expression" dxfId="19367" priority="968">
      <formula>$H2904="CÉLULA CONSTRUTIVA"</formula>
    </cfRule>
    <cfRule type="expression" dxfId="19366" priority="969">
      <formula>$H2904="ETAPA"</formula>
    </cfRule>
  </conditionalFormatting>
  <conditionalFormatting sqref="G2913:H2913 J2913:L2913">
    <cfRule type="expression" dxfId="19365" priority="1032">
      <formula>$H2913="SUBETAPA"</formula>
    </cfRule>
    <cfRule type="expression" dxfId="19364" priority="1033">
      <formula>$H2913="CÉLULA CONSTRUTIVA"</formula>
    </cfRule>
    <cfRule type="expression" dxfId="19363" priority="1034">
      <formula>$H2913="ETAPA"</formula>
    </cfRule>
  </conditionalFormatting>
  <conditionalFormatting sqref="G2922:H2922 J2922:L2922">
    <cfRule type="expression" dxfId="19362" priority="1097">
      <formula>$H2922="SUBETAPA"</formula>
    </cfRule>
    <cfRule type="expression" dxfId="19361" priority="1098">
      <formula>$H2922="CÉLULA CONSTRUTIVA"</formula>
    </cfRule>
    <cfRule type="expression" dxfId="19360" priority="1099">
      <formula>$H2922="ETAPA"</formula>
    </cfRule>
  </conditionalFormatting>
  <conditionalFormatting sqref="G2931:H2931 J2931:L2931">
    <cfRule type="expression" dxfId="19359" priority="1162">
      <formula>$H2931="SUBETAPA"</formula>
    </cfRule>
    <cfRule type="expression" dxfId="19358" priority="1163">
      <formula>$H2931="CÉLULA CONSTRUTIVA"</formula>
    </cfRule>
    <cfRule type="expression" dxfId="19357" priority="1164">
      <formula>$H2931="ETAPA"</formula>
    </cfRule>
  </conditionalFormatting>
  <conditionalFormatting sqref="G2942:H2942 J2942:L2942">
    <cfRule type="expression" dxfId="19356" priority="1227">
      <formula>$H2942="SUBETAPA"</formula>
    </cfRule>
    <cfRule type="expression" dxfId="19355" priority="1228">
      <formula>$H2942="CÉLULA CONSTRUTIVA"</formula>
    </cfRule>
    <cfRule type="expression" dxfId="19354" priority="1229">
      <formula>$H2942="ETAPA"</formula>
    </cfRule>
  </conditionalFormatting>
  <conditionalFormatting sqref="G2952:H2952 J2952:L2952">
    <cfRule type="expression" dxfId="19353" priority="1292">
      <formula>$H2952="SUBETAPA"</formula>
    </cfRule>
    <cfRule type="expression" dxfId="19352" priority="1293">
      <formula>$H2952="CÉLULA CONSTRUTIVA"</formula>
    </cfRule>
    <cfRule type="expression" dxfId="19351" priority="1294">
      <formula>$H2952="ETAPA"</formula>
    </cfRule>
  </conditionalFormatting>
  <conditionalFormatting sqref="G2954:H2956 G2958:H2958 J2958:L2958 H2959 J2959:K2959 G2965:H2965 J2965:L2965 H2966 J2966:K2966 G2970:H2970 J2970:L2970 H2971 J2971:K2971 G2975:H2975 J2975:L2975 H2976 J2976:K2976 G2980:H2980 J2980:L2980 H2981 J2981:K2981 G2985:H2985 J2985:L2985 H2986 J2986:K2986 G2992:H2992 J2992:L2992 H2993 J2993:K2993 G2999:H2999 J2999:L2999 H3000 J3000:K3000 G3002:H3006 J3002:L3006 G3008:H3008 J3008:L3008 H3009 J3009:K3009 G3015:H3015 J3015:L3015 H3016 J3016:K3016 G3022:H3022 J3022:L3022 H3023 J3023:K3023 G3029:H3029 J3029:L3029 H3030 J3030:K3030 G3036:H3036 J3036:L3036 H3037 J3037:K3037 G3041:H3041 J3041:L3041 H3042 J3042:K3042 G3046:H3046 G3049:H3051 J3049:L3051 G3053:H3053 G3067:H3067 J3067:L3067 H3068:H3069 J3068:K3069 G3076:H3078 J3076:L3078 H3079:H3080 J3079:K3080 G3081:H3082 J3081:L3082 G3084:H3084 G3091:H3091 J3091:L3091 H3092:H3093 J3092:K3093 G3100:H3101 G3103:H3103 G3112:H3112 J3112:L3112 H3113:H3114 J3113:K3114 H3122 G3123:H3124 G3126:H3126 G3136:H3136 J3136:L3136 H3137:H3138 J3137:K3138 H3145 G3146:H3148 G3150:H3150 J3150:L3150 H3151 J3151:K3155 G3152 H3153 G3154 J3156:L3156 G3156:H3157 J3157:K3157 G3159:H3161 J3159:M3161 G3163:H3163 J3163:L3163 G3163:G3165 H3164 J3164:K3164 G3166:H3169 J3166:M3169 G3171:H3171 J3171:L3171 H3172 J3172:K3172 H3035 J3035:K3035 H3045 J3045:K3045 H3048 J3048:K3048 H3125 J3125:K3125 H3135 J3135:K3135 H3142 J3142:K3142 H3149 J3149:K3149 H3155 H3162 J3162:K3162 H3170 J3170:K3170 J3053:L3053 J3084:L3084 J3103:L3103 J3126:L3126 H2957 J2957:K2957 H2998 J2998:K2998 H3028 J3028:K3028 H3021 J3021:K3021 H3014 J3014:K3014 H3007 J3007:K3007 H2991 J2991:K2991 H3102 J3102:K3102 H3119 J3119:K3119 H3083 J3083:K3083 H3097 J3097:K3097 H3052 J3052:K3052 H3066 J3066:K3066 H3075 J3075:K3075 J3046:L3046 J3100:L3101 J3122:K3122 J3123:L3124 J3145:K3145 J3146:M3148">
    <cfRule type="expression" dxfId="19350" priority="83635">
      <formula>$H2954="ETAPA"</formula>
    </cfRule>
  </conditionalFormatting>
  <conditionalFormatting sqref="G3056:H3056 J3056:L3056">
    <cfRule type="expression" dxfId="19349" priority="1">
      <formula>$H3056="ETAPA"</formula>
    </cfRule>
    <cfRule type="expression" dxfId="19348" priority="2">
      <formula>$H3056="SUBETAPA"</formula>
    </cfRule>
    <cfRule type="expression" dxfId="19347" priority="3">
      <formula>$H3056="CÉLULA CONSTRUTIVA"</formula>
    </cfRule>
  </conditionalFormatting>
  <conditionalFormatting sqref="G3057:H3057 J3057:L3057">
    <cfRule type="expression" dxfId="19346" priority="4206">
      <formula>$H3057="ETAPA"</formula>
    </cfRule>
    <cfRule type="expression" dxfId="19345" priority="4207">
      <formula>$H3057="SUBETAPA"</formula>
    </cfRule>
    <cfRule type="expression" dxfId="19344" priority="4208">
      <formula>$H3057="CÉLULA CONSTRUTIVA"</formula>
    </cfRule>
  </conditionalFormatting>
  <conditionalFormatting sqref="G3058:H3058 J3058:L3058 G3060:H3062 K3060:L3061 L3062 G3064:H3065 J3065:L3065 K3064:L3064 K3061:K3063">
    <cfRule type="expression" dxfId="19343" priority="61273">
      <formula>$H3058="SUBETAPA"</formula>
    </cfRule>
    <cfRule type="expression" dxfId="19342" priority="61274">
      <formula>$H3058="CÉLULA CONSTRUTIVA"</formula>
    </cfRule>
  </conditionalFormatting>
  <conditionalFormatting sqref="G3076:H3076 J3076:K3076">
    <cfRule type="expression" dxfId="19341" priority="61039">
      <formula>$H3076="SUBETAPA"</formula>
    </cfRule>
    <cfRule type="expression" dxfId="19340" priority="61040">
      <formula>$H3076="CÉLULA CONSTRUTIVA"</formula>
    </cfRule>
  </conditionalFormatting>
  <conditionalFormatting sqref="G3077:H3077 J3077:K3077 J3078">
    <cfRule type="expression" dxfId="19339" priority="61037">
      <formula>$H3077="SUBETAPA"</formula>
    </cfRule>
    <cfRule type="expression" dxfId="19338" priority="61038">
      <formula>$H3077="CÉLULA CONSTRUTIVA"</formula>
    </cfRule>
  </conditionalFormatting>
  <conditionalFormatting sqref="G3090:H3090">
    <cfRule type="expression" dxfId="19337" priority="60180">
      <formula>$H3090="SUBETAPA"</formula>
    </cfRule>
    <cfRule type="expression" dxfId="19336" priority="60181">
      <formula>$H3090="CÉLULA CONSTRUTIVA"</formula>
    </cfRule>
  </conditionalFormatting>
  <conditionalFormatting sqref="G3098:H3098 J3098:K3098">
    <cfRule type="expression" dxfId="19335" priority="61285">
      <formula>$H3098="SUBETAPA"</formula>
    </cfRule>
    <cfRule type="expression" dxfId="19334" priority="61286">
      <formula>$H3098="CÉLULA CONSTRUTIVA"</formula>
    </cfRule>
  </conditionalFormatting>
  <conditionalFormatting sqref="G3099:H3099 J3099:K3099">
    <cfRule type="expression" dxfId="19333" priority="61283">
      <formula>$H3099="SUBETAPA"</formula>
    </cfRule>
    <cfRule type="expression" dxfId="19332" priority="61284">
      <formula>$H3099="CÉLULA CONSTRUTIVA"</formula>
    </cfRule>
  </conditionalFormatting>
  <conditionalFormatting sqref="G3106:H3106 J3106:L3106">
    <cfRule type="expression" dxfId="19331" priority="61765">
      <formula>$H3106="SUBETAPA"</formula>
    </cfRule>
    <cfRule type="expression" dxfId="19330" priority="61766">
      <formula>$H3106="CÉLULA CONSTRUTIVA"</formula>
    </cfRule>
  </conditionalFormatting>
  <conditionalFormatting sqref="G3111:H3111">
    <cfRule type="expression" dxfId="19329" priority="60150">
      <formula>$H3111="SUBETAPA"</formula>
    </cfRule>
    <cfRule type="expression" dxfId="19328" priority="60151">
      <formula>$H3111="CÉLULA CONSTRUTIVA"</formula>
    </cfRule>
  </conditionalFormatting>
  <conditionalFormatting sqref="G3120:H3120 J3120:K3120">
    <cfRule type="expression" dxfId="19327" priority="61531">
      <formula>$H3120="SUBETAPA"</formula>
    </cfRule>
    <cfRule type="expression" dxfId="19326" priority="61532">
      <formula>$H3120="CÉLULA CONSTRUTIVA"</formula>
    </cfRule>
  </conditionalFormatting>
  <conditionalFormatting sqref="G3121:H3121 J3121:K3121">
    <cfRule type="expression" dxfId="19325" priority="61529">
      <formula>$H3121="SUBETAPA"</formula>
    </cfRule>
    <cfRule type="expression" dxfId="19324" priority="61530">
      <formula>$H3121="CÉLULA CONSTRUTIVA"</formula>
    </cfRule>
  </conditionalFormatting>
  <conditionalFormatting sqref="G3129:H3129 J3129:L3129">
    <cfRule type="expression" dxfId="19323" priority="85984">
      <formula>$H3129="SUBETAPA"</formula>
    </cfRule>
    <cfRule type="expression" dxfId="19322" priority="85985">
      <formula>$H3129="CÉLULA CONSTRUTIVA"</formula>
    </cfRule>
  </conditionalFormatting>
  <conditionalFormatting sqref="G3134:H3134">
    <cfRule type="expression" dxfId="19321" priority="60120">
      <formula>$H3134="SUBETAPA"</formula>
    </cfRule>
    <cfRule type="expression" dxfId="19320" priority="60121">
      <formula>$H3134="CÉLULA CONSTRUTIVA"</formula>
    </cfRule>
  </conditionalFormatting>
  <conditionalFormatting sqref="G3143:H3143 J3143:K3143">
    <cfRule type="expression" dxfId="19319" priority="61777">
      <formula>$H3143="SUBETAPA"</formula>
    </cfRule>
    <cfRule type="expression" dxfId="19318" priority="61778">
      <formula>$H3143="CÉLULA CONSTRUTIVA"</formula>
    </cfRule>
  </conditionalFormatting>
  <conditionalFormatting sqref="G3144:H3144 J3144:K3144">
    <cfRule type="expression" dxfId="19317" priority="61775">
      <formula>$H3144="SUBETAPA"</formula>
    </cfRule>
    <cfRule type="expression" dxfId="19316" priority="61776">
      <formula>$H3144="CÉLULA CONSTRUTIVA"</formula>
    </cfRule>
  </conditionalFormatting>
  <conditionalFormatting sqref="G3146:H3148 G3036:H3036 G3046:H3046 G3126:H3126 G3136:H3136 G3150:H3150 G3163:H3163 G3171:H3171 H3037 H3145 H3151 H3164 H3172 J3171:K3172 J3163:K3164 J3156:K3157 J3036:K3037 J3159:K3161 G2954:H2956 G2958:H2958 H2959 J2958:K2959 J2954:K2956 G3041:H3041 H3042 J3041:K3042 G2999:H2999 H3000 J2999:K3000 G3029:H3029 H3030 J3029:K3030 G3022:H3022 H3023 J3022:K3023 G3015:H3015 H3016 J3015:K3016 G3002:H3006 G3008:H3008 H3009 J3008:K3009 J3002:K3006 G2992:H2992 H2993 J2992:K2993 G2965:H2965 H2966 J2965:K2966 G2985:H2985 H2986 J2985:K2986 G2980:H2980 H2981 J2980:K2981 G2975:H2975 H2976 J2975:K2976 G2970:H2970 H2971 J2970:K2971 G3123:H3124 G3103:H3103 G3112:H3112 H3122 G3100:H3101 G3084:H3084 G3091:H3091 G3081:H3082 G3049:H3051 G3053:H3053 G3067:H3067 G3078:H3078 J3049:K3051 H3153 J3166:K3169 J3150:K3154 H3079:H3080 J3078:K3082 H3137:H3138 J3136:K3138 H3113:H3114 J3112:K3114 H3092:H3093 J3091:K3093 H3068:H3069 J3067:K3069 G3152 G3154 G3156:H3157 G3159:H3161 G3163:G3165 G3166:H3169">
    <cfRule type="expression" dxfId="19315" priority="83633">
      <formula>$H2954="SUBETAPA"</formula>
    </cfRule>
    <cfRule type="expression" dxfId="19314" priority="83634">
      <formula>$H2954="CÉLULA CONSTRUTIVA"</formula>
    </cfRule>
  </conditionalFormatting>
  <conditionalFormatting sqref="G157:I157 N157">
    <cfRule type="expression" dxfId="19313" priority="49699">
      <formula>$H157="SUBETAPA"</formula>
    </cfRule>
  </conditionalFormatting>
  <conditionalFormatting sqref="G157:I157">
    <cfRule type="expression" dxfId="19312" priority="49701">
      <formula>$H157="ETAPA"</formula>
    </cfRule>
  </conditionalFormatting>
  <conditionalFormatting sqref="G167:I167 N167">
    <cfRule type="expression" dxfId="19311" priority="49613">
      <formula>$H167="SUBETAPA"</formula>
    </cfRule>
  </conditionalFormatting>
  <conditionalFormatting sqref="G167:I167">
    <cfRule type="expression" dxfId="19310" priority="49615">
      <formula>$H167="ETAPA"</formula>
    </cfRule>
  </conditionalFormatting>
  <conditionalFormatting sqref="G303:I303 K303 N303:N304 G304:K304">
    <cfRule type="expression" dxfId="19309" priority="48692">
      <formula>$H303="ETAPA"</formula>
    </cfRule>
  </conditionalFormatting>
  <conditionalFormatting sqref="G303:I303 K303:M303 N303:N304 G304:K304">
    <cfRule type="expression" dxfId="19308" priority="48691">
      <formula>$H303="SUBETAPA"</formula>
    </cfRule>
  </conditionalFormatting>
  <conditionalFormatting sqref="G317:I317 K317:L317 N317">
    <cfRule type="expression" dxfId="19307" priority="48385">
      <formula>$H317="SUBETAPA"</formula>
    </cfRule>
    <cfRule type="expression" dxfId="19306" priority="48386">
      <formula>$H317="ETAPA"</formula>
    </cfRule>
  </conditionalFormatting>
  <conditionalFormatting sqref="G317:I317 N317 K317:L317">
    <cfRule type="expression" dxfId="19305" priority="48384">
      <formula>$H317="CÉLULA CONSTRUTIVA"</formula>
    </cfRule>
  </conditionalFormatting>
  <conditionalFormatting sqref="G321:I321 K321:L321 N321">
    <cfRule type="expression" dxfId="19304" priority="48299">
      <formula>$H321="SUBETAPA"</formula>
    </cfRule>
    <cfRule type="expression" dxfId="19303" priority="48300">
      <formula>$H321="ETAPA"</formula>
    </cfRule>
  </conditionalFormatting>
  <conditionalFormatting sqref="G321:I321 N321 K321:L321">
    <cfRule type="expression" dxfId="19302" priority="48298">
      <formula>$H321="CÉLULA CONSTRUTIVA"</formula>
    </cfRule>
  </conditionalFormatting>
  <conditionalFormatting sqref="G325:I325 K325:L325 N325">
    <cfRule type="expression" dxfId="19301" priority="48213">
      <formula>$H325="SUBETAPA"</formula>
    </cfRule>
    <cfRule type="expression" dxfId="19300" priority="48214">
      <formula>$H325="ETAPA"</formula>
    </cfRule>
  </conditionalFormatting>
  <conditionalFormatting sqref="G325:I325 N325 K325:L325">
    <cfRule type="expression" dxfId="19299" priority="48212">
      <formula>$H325="CÉLULA CONSTRUTIVA"</formula>
    </cfRule>
  </conditionalFormatting>
  <conditionalFormatting sqref="G331:I331 K331:L331 N331">
    <cfRule type="expression" dxfId="19298" priority="48130">
      <formula>$H331="SUBETAPA"</formula>
    </cfRule>
    <cfRule type="expression" dxfId="19297" priority="48131">
      <formula>$H331="ETAPA"</formula>
    </cfRule>
  </conditionalFormatting>
  <conditionalFormatting sqref="G331:I331 N331 K331:L331">
    <cfRule type="expression" dxfId="19296" priority="48129">
      <formula>$H331="CÉLULA CONSTRUTIVA"</formula>
    </cfRule>
  </conditionalFormatting>
  <conditionalFormatting sqref="G335:I335 K335:L335 N335">
    <cfRule type="expression" dxfId="19295" priority="48048">
      <formula>$H335="SUBETAPA"</formula>
    </cfRule>
    <cfRule type="expression" dxfId="19294" priority="48049">
      <formula>$H335="ETAPA"</formula>
    </cfRule>
  </conditionalFormatting>
  <conditionalFormatting sqref="G335:I335 N335 K335:L335">
    <cfRule type="expression" dxfId="19293" priority="48047">
      <formula>$H335="CÉLULA CONSTRUTIVA"</formula>
    </cfRule>
  </conditionalFormatting>
  <conditionalFormatting sqref="G339:I339 K339:L339 N339">
    <cfRule type="expression" dxfId="19292" priority="47966">
      <formula>$H339="SUBETAPA"</formula>
    </cfRule>
    <cfRule type="expression" dxfId="19291" priority="47967">
      <formula>$H339="ETAPA"</formula>
    </cfRule>
  </conditionalFormatting>
  <conditionalFormatting sqref="G339:I339 N339 K339:L339">
    <cfRule type="expression" dxfId="19290" priority="47965">
      <formula>$H339="CÉLULA CONSTRUTIVA"</formula>
    </cfRule>
  </conditionalFormatting>
  <conditionalFormatting sqref="G343:I343 K343:L343 N343">
    <cfRule type="expression" dxfId="19289" priority="47882">
      <formula>$H343="SUBETAPA"</formula>
    </cfRule>
    <cfRule type="expression" dxfId="19288" priority="47883">
      <formula>$H343="ETAPA"</formula>
    </cfRule>
  </conditionalFormatting>
  <conditionalFormatting sqref="G343:I343 N343 K343:L343">
    <cfRule type="expression" dxfId="19287" priority="47881">
      <formula>$H343="CÉLULA CONSTRUTIVA"</formula>
    </cfRule>
  </conditionalFormatting>
  <conditionalFormatting sqref="G387:I390 O388:O390">
    <cfRule type="expression" dxfId="19286" priority="99312">
      <formula>$H387="CÉLULA CONSTRUTIVA"</formula>
    </cfRule>
  </conditionalFormatting>
  <conditionalFormatting sqref="G404:I407 O405:O407">
    <cfRule type="expression" dxfId="19285" priority="99407">
      <formula>$H404="CÉLULA CONSTRUTIVA"</formula>
    </cfRule>
  </conditionalFormatting>
  <conditionalFormatting sqref="G421:I424 O422:O424">
    <cfRule type="expression" dxfId="19284" priority="99502">
      <formula>$H421="CÉLULA CONSTRUTIVA"</formula>
    </cfRule>
  </conditionalFormatting>
  <conditionalFormatting sqref="G437:I440 O438:O440">
    <cfRule type="expression" dxfId="19283" priority="99597">
      <formula>$H437="CÉLULA CONSTRUTIVA"</formula>
    </cfRule>
  </conditionalFormatting>
  <conditionalFormatting sqref="G453:I456 O454:O456">
    <cfRule type="expression" dxfId="19282" priority="99692">
      <formula>$H453="CÉLULA CONSTRUTIVA"</formula>
    </cfRule>
  </conditionalFormatting>
  <conditionalFormatting sqref="G470:I473 O471:O473">
    <cfRule type="expression" dxfId="19281" priority="99787">
      <formula>$H470="CÉLULA CONSTRUTIVA"</formula>
    </cfRule>
  </conditionalFormatting>
  <conditionalFormatting sqref="G487:I490 O488:O490">
    <cfRule type="expression" dxfId="19280" priority="99882">
      <formula>$H487="CÉLULA CONSTRUTIVA"</formula>
    </cfRule>
  </conditionalFormatting>
  <conditionalFormatting sqref="G504:I508 O505:O508">
    <cfRule type="expression" dxfId="19279" priority="99977">
      <formula>$H504="CÉLULA CONSTRUTIVA"</formula>
    </cfRule>
  </conditionalFormatting>
  <conditionalFormatting sqref="G522:I525 O523:O525">
    <cfRule type="expression" dxfId="19278" priority="100072">
      <formula>$H522="CÉLULA CONSTRUTIVA"</formula>
    </cfRule>
  </conditionalFormatting>
  <conditionalFormatting sqref="G526:I526 O526">
    <cfRule type="expression" dxfId="19277" priority="59767">
      <formula>$H526="CÉLULA CONSTRUTIVA"</formula>
    </cfRule>
  </conditionalFormatting>
  <conditionalFormatting sqref="G540:I543 O541:O543">
    <cfRule type="expression" dxfId="19276" priority="100167">
      <formula>$H540="CÉLULA CONSTRUTIVA"</formula>
    </cfRule>
  </conditionalFormatting>
  <conditionalFormatting sqref="G544:I544 O544">
    <cfRule type="expression" dxfId="19275" priority="59749">
      <formula>$H544="CÉLULA CONSTRUTIVA"</formula>
    </cfRule>
  </conditionalFormatting>
  <conditionalFormatting sqref="G558:I561 O559:O561">
    <cfRule type="expression" dxfId="19274" priority="100262">
      <formula>$H558="CÉLULA CONSTRUTIVA"</formula>
    </cfRule>
  </conditionalFormatting>
  <conditionalFormatting sqref="G562:I562 O562">
    <cfRule type="expression" dxfId="19273" priority="59731">
      <formula>$H562="CÉLULA CONSTRUTIVA"</formula>
    </cfRule>
  </conditionalFormatting>
  <conditionalFormatting sqref="G576:I579 O577:O579">
    <cfRule type="expression" dxfId="19272" priority="100357">
      <formula>$H576="CÉLULA CONSTRUTIVA"</formula>
    </cfRule>
  </conditionalFormatting>
  <conditionalFormatting sqref="G593:I596 O594:O596">
    <cfRule type="expression" dxfId="19271" priority="100452">
      <formula>$H593="CÉLULA CONSTRUTIVA"</formula>
    </cfRule>
  </conditionalFormatting>
  <conditionalFormatting sqref="G597:I597 O597">
    <cfRule type="expression" dxfId="19270" priority="59695">
      <formula>$H597="CÉLULA CONSTRUTIVA"</formula>
    </cfRule>
  </conditionalFormatting>
  <conditionalFormatting sqref="G610:I613 O611:O613">
    <cfRule type="expression" dxfId="19269" priority="100547">
      <formula>$H610="CÉLULA CONSTRUTIVA"</formula>
    </cfRule>
  </conditionalFormatting>
  <conditionalFormatting sqref="G65:J65 G934:G942 G925:G931 G916:G922 G905:G913 G894:G902 G885:G891 G876:G882 G867:G873 G858:G864 G849:G855 G840:G846 G831:G837 G822:G828 G811:G819">
    <cfRule type="expression" dxfId="19268" priority="50920">
      <formula>$H65="ETAPA"</formula>
    </cfRule>
    <cfRule type="expression" dxfId="19267" priority="50921">
      <formula>$H65="CÉLULA CONSTRUTIVA"</formula>
    </cfRule>
  </conditionalFormatting>
  <conditionalFormatting sqref="G145:J147 N145:N147">
    <cfRule type="expression" dxfId="19266" priority="50886">
      <formula>$H145="SUBETAPA"</formula>
    </cfRule>
  </conditionalFormatting>
  <conditionalFormatting sqref="G145:J147">
    <cfRule type="expression" dxfId="19265" priority="50888">
      <formula>$H145="ETAPA"</formula>
    </cfRule>
  </conditionalFormatting>
  <conditionalFormatting sqref="G150:J153 K150:K156 G148:K149 N148:N153 L148:M148">
    <cfRule type="expression" dxfId="19264" priority="49758">
      <formula>$H148="CÉLULA CONSTRUTIVA"</formula>
    </cfRule>
  </conditionalFormatting>
  <conditionalFormatting sqref="G154:J156 N154:N156">
    <cfRule type="expression" dxfId="19263" priority="49732">
      <formula>$H154="SUBETAPA"</formula>
    </cfRule>
  </conditionalFormatting>
  <conditionalFormatting sqref="G154:J156">
    <cfRule type="expression" dxfId="19262" priority="49734">
      <formula>$H154="ETAPA"</formula>
    </cfRule>
  </conditionalFormatting>
  <conditionalFormatting sqref="G160:J163 K160:K166 G158:K159 N158:N163 L158:M158">
    <cfRule type="expression" dxfId="19261" priority="49672">
      <formula>$H158="CÉLULA CONSTRUTIVA"</formula>
    </cfRule>
  </conditionalFormatting>
  <conditionalFormatting sqref="G164:J166 N164:N166">
    <cfRule type="expression" dxfId="19260" priority="49646">
      <formula>$H164="SUBETAPA"</formula>
    </cfRule>
  </conditionalFormatting>
  <conditionalFormatting sqref="G164:J166">
    <cfRule type="expression" dxfId="19259" priority="49648">
      <formula>$H164="ETAPA"</formula>
    </cfRule>
  </conditionalFormatting>
  <conditionalFormatting sqref="G170:J173 K170:K176 G168:K169 N168:N173 L168:M168">
    <cfRule type="expression" dxfId="19258" priority="49586">
      <formula>$H168="CÉLULA CONSTRUTIVA"</formula>
    </cfRule>
  </conditionalFormatting>
  <conditionalFormatting sqref="G174:J176 N174:N176">
    <cfRule type="expression" dxfId="19257" priority="49560">
      <formula>$H174="SUBETAPA"</formula>
    </cfRule>
  </conditionalFormatting>
  <conditionalFormatting sqref="G174:J176">
    <cfRule type="expression" dxfId="19256" priority="49562">
      <formula>$H174="ETAPA"</formula>
    </cfRule>
  </conditionalFormatting>
  <conditionalFormatting sqref="G179:J182 L177:M177">
    <cfRule type="expression" dxfId="19255" priority="49503">
      <formula>$H177="CÉLULA CONSTRUTIVA"</formula>
    </cfRule>
  </conditionalFormatting>
  <conditionalFormatting sqref="G179:J182">
    <cfRule type="expression" dxfId="19254" priority="49506">
      <formula>$H179="ETAPA"</formula>
    </cfRule>
  </conditionalFormatting>
  <conditionalFormatting sqref="G185:J185 N185">
    <cfRule type="expression" dxfId="19253" priority="3304">
      <formula>$H185="SUBETAPA"</formula>
    </cfRule>
  </conditionalFormatting>
  <conditionalFormatting sqref="G185:J185">
    <cfRule type="expression" dxfId="19252" priority="3306">
      <formula>$H185="ETAPA"</formula>
    </cfRule>
  </conditionalFormatting>
  <conditionalFormatting sqref="G188:J191 L186:M186">
    <cfRule type="expression" dxfId="19251" priority="49485">
      <formula>$H186="CÉLULA CONSTRUTIVA"</formula>
    </cfRule>
  </conditionalFormatting>
  <conditionalFormatting sqref="G188:J191">
    <cfRule type="expression" dxfId="19250" priority="49488">
      <formula>$H188="ETAPA"</formula>
    </cfRule>
  </conditionalFormatting>
  <conditionalFormatting sqref="G194:J194 N194">
    <cfRule type="expression" dxfId="19249" priority="3270">
      <formula>$H194="SUBETAPA"</formula>
    </cfRule>
  </conditionalFormatting>
  <conditionalFormatting sqref="G194:J194">
    <cfRule type="expression" dxfId="19248" priority="3272">
      <formula>$H194="ETAPA"</formula>
    </cfRule>
  </conditionalFormatting>
  <conditionalFormatting sqref="G197:J200 L195:M195">
    <cfRule type="expression" dxfId="19247" priority="49467">
      <formula>$H195="CÉLULA CONSTRUTIVA"</formula>
    </cfRule>
  </conditionalFormatting>
  <conditionalFormatting sqref="G197:J200">
    <cfRule type="expression" dxfId="19246" priority="49470">
      <formula>$H197="ETAPA"</formula>
    </cfRule>
  </conditionalFormatting>
  <conditionalFormatting sqref="G203:J203 N203">
    <cfRule type="expression" dxfId="19245" priority="3236">
      <formula>$H203="SUBETAPA"</formula>
    </cfRule>
  </conditionalFormatting>
  <conditionalFormatting sqref="G203:J203">
    <cfRule type="expression" dxfId="19244" priority="3238">
      <formula>$H203="ETAPA"</formula>
    </cfRule>
  </conditionalFormatting>
  <conditionalFormatting sqref="G206:J209 L204">
    <cfRule type="expression" dxfId="19243" priority="46321">
      <formula>$H204="SUBETAPA"</formula>
    </cfRule>
  </conditionalFormatting>
  <conditionalFormatting sqref="G206:J209 L204:M204">
    <cfRule type="expression" dxfId="19242" priority="46320">
      <formula>$H204="CÉLULA CONSTRUTIVA"</formula>
    </cfRule>
  </conditionalFormatting>
  <conditionalFormatting sqref="G206:J209">
    <cfRule type="expression" dxfId="19241" priority="46323">
      <formula>$H206="ETAPA"</formula>
    </cfRule>
  </conditionalFormatting>
  <conditionalFormatting sqref="G212:J212 N212">
    <cfRule type="expression" dxfId="19240" priority="3202">
      <formula>$H212="SUBETAPA"</formula>
    </cfRule>
  </conditionalFormatting>
  <conditionalFormatting sqref="G212:J212">
    <cfRule type="expression" dxfId="19239" priority="3204">
      <formula>$H212="ETAPA"</formula>
    </cfRule>
  </conditionalFormatting>
  <conditionalFormatting sqref="G215:J218 L213:M213">
    <cfRule type="expression" dxfId="19238" priority="49449">
      <formula>$H213="CÉLULA CONSTRUTIVA"</formula>
    </cfRule>
  </conditionalFormatting>
  <conditionalFormatting sqref="G215:J218">
    <cfRule type="expression" dxfId="19237" priority="49452">
      <formula>$H215="ETAPA"</formula>
    </cfRule>
  </conditionalFormatting>
  <conditionalFormatting sqref="G221:J221 N221">
    <cfRule type="expression" dxfId="19236" priority="3168">
      <formula>$H221="SUBETAPA"</formula>
    </cfRule>
  </conditionalFormatting>
  <conditionalFormatting sqref="G221:J221">
    <cfRule type="expression" dxfId="19235" priority="3170">
      <formula>$H221="ETAPA"</formula>
    </cfRule>
  </conditionalFormatting>
  <conditionalFormatting sqref="G224:J227 K224:K230 G222:K223 N222:N227 L222:M222">
    <cfRule type="expression" dxfId="19234" priority="49428">
      <formula>$H222="CÉLULA CONSTRUTIVA"</formula>
    </cfRule>
  </conditionalFormatting>
  <conditionalFormatting sqref="G228:J230 N228:N230">
    <cfRule type="expression" dxfId="19233" priority="49402">
      <formula>$H228="SUBETAPA"</formula>
    </cfRule>
  </conditionalFormatting>
  <conditionalFormatting sqref="G228:J230">
    <cfRule type="expression" dxfId="19232" priority="49404">
      <formula>$H228="ETAPA"</formula>
    </cfRule>
  </conditionalFormatting>
  <conditionalFormatting sqref="G233:J236 K233:K239 G231:K232 N231:N236 L231:M231">
    <cfRule type="expression" dxfId="19231" priority="49378">
      <formula>$H231="CÉLULA CONSTRUTIVA"</formula>
    </cfRule>
  </conditionalFormatting>
  <conditionalFormatting sqref="G237:J239 N237:N239">
    <cfRule type="expression" dxfId="19230" priority="49352">
      <formula>$H237="SUBETAPA"</formula>
    </cfRule>
  </conditionalFormatting>
  <conditionalFormatting sqref="G237:J239">
    <cfRule type="expression" dxfId="19229" priority="49354">
      <formula>$H237="ETAPA"</formula>
    </cfRule>
  </conditionalFormatting>
  <conditionalFormatting sqref="G242:J245 K242:K248 G240:K241 N240:N245 L240:M240">
    <cfRule type="expression" dxfId="19228" priority="49328">
      <formula>$H240="CÉLULA CONSTRUTIVA"</formula>
    </cfRule>
  </conditionalFormatting>
  <conditionalFormatting sqref="G246:J248 N246:N248">
    <cfRule type="expression" dxfId="19227" priority="49302">
      <formula>$H246="SUBETAPA"</formula>
    </cfRule>
  </conditionalFormatting>
  <conditionalFormatting sqref="G246:J248">
    <cfRule type="expression" dxfId="19226" priority="49304">
      <formula>$H246="ETAPA"</formula>
    </cfRule>
  </conditionalFormatting>
  <conditionalFormatting sqref="G251:J254 K251:K257 G249:K250 N249:N254 L249:M249">
    <cfRule type="expression" dxfId="19225" priority="49278">
      <formula>$H249="CÉLULA CONSTRUTIVA"</formula>
    </cfRule>
  </conditionalFormatting>
  <conditionalFormatting sqref="G255:J257 N255:N257">
    <cfRule type="expression" dxfId="19224" priority="49252">
      <formula>$H255="SUBETAPA"</formula>
    </cfRule>
  </conditionalFormatting>
  <conditionalFormatting sqref="G255:J257">
    <cfRule type="expression" dxfId="19223" priority="49254">
      <formula>$H255="ETAPA"</formula>
    </cfRule>
  </conditionalFormatting>
  <conditionalFormatting sqref="G260:J263 K260:K266 G258:K259 N258:N263 L258:M258">
    <cfRule type="expression" dxfId="19222" priority="49228">
      <formula>$H258="CÉLULA CONSTRUTIVA"</formula>
    </cfRule>
  </conditionalFormatting>
  <conditionalFormatting sqref="G264:J266 N264:N266">
    <cfRule type="expression" dxfId="19221" priority="49202">
      <formula>$H264="SUBETAPA"</formula>
    </cfRule>
  </conditionalFormatting>
  <conditionalFormatting sqref="G264:J266">
    <cfRule type="expression" dxfId="19220" priority="49204">
      <formula>$H264="ETAPA"</formula>
    </cfRule>
  </conditionalFormatting>
  <conditionalFormatting sqref="G269:J272 G267:K268 N267:N272 L267:M267">
    <cfRule type="expression" dxfId="19219" priority="49178">
      <formula>$H267="CÉLULA CONSTRUTIVA"</formula>
    </cfRule>
  </conditionalFormatting>
  <conditionalFormatting sqref="G349:J349 N349:N350 G350:I350">
    <cfRule type="expression" dxfId="19218" priority="47755">
      <formula>$H349="CÉLULA CONSTRUTIVA"</formula>
    </cfRule>
    <cfRule type="expression" dxfId="19217" priority="47756">
      <formula>$H349="SUBETAPA"</formula>
    </cfRule>
    <cfRule type="expression" dxfId="19216" priority="47757">
      <formula>$H349="ETAPA"</formula>
    </cfRule>
  </conditionalFormatting>
  <conditionalFormatting sqref="G351:J351 N351:N352 G352:I352">
    <cfRule type="expression" dxfId="19215" priority="47712">
      <formula>$H351="CÉLULA CONSTRUTIVA"</formula>
    </cfRule>
    <cfRule type="expression" dxfId="19214" priority="47713">
      <formula>$H351="SUBETAPA"</formula>
    </cfRule>
    <cfRule type="expression" dxfId="19213" priority="47714">
      <formula>$H351="ETAPA"</formula>
    </cfRule>
  </conditionalFormatting>
  <conditionalFormatting sqref="G353:J353 N353:N354 G354:I354">
    <cfRule type="expression" dxfId="19212" priority="47669">
      <formula>$H353="CÉLULA CONSTRUTIVA"</formula>
    </cfRule>
    <cfRule type="expression" dxfId="19211" priority="47670">
      <formula>$H353="SUBETAPA"</formula>
    </cfRule>
    <cfRule type="expression" dxfId="19210" priority="47671">
      <formula>$H353="ETAPA"</formula>
    </cfRule>
  </conditionalFormatting>
  <conditionalFormatting sqref="G355:J355 N355:N356 G356:I356">
    <cfRule type="expression" dxfId="19209" priority="47626">
      <formula>$H355="CÉLULA CONSTRUTIVA"</formula>
    </cfRule>
    <cfRule type="expression" dxfId="19208" priority="47627">
      <formula>$H355="SUBETAPA"</formula>
    </cfRule>
    <cfRule type="expression" dxfId="19207" priority="47628">
      <formula>$H355="ETAPA"</formula>
    </cfRule>
  </conditionalFormatting>
  <conditionalFormatting sqref="G357:J357 N357:N358 G358:I358">
    <cfRule type="expression" dxfId="19206" priority="47583">
      <formula>$H357="CÉLULA CONSTRUTIVA"</formula>
    </cfRule>
    <cfRule type="expression" dxfId="19205" priority="47584">
      <formula>$H357="SUBETAPA"</formula>
    </cfRule>
    <cfRule type="expression" dxfId="19204" priority="47585">
      <formula>$H357="ETAPA"</formula>
    </cfRule>
  </conditionalFormatting>
  <conditionalFormatting sqref="G359:J359 N359:N360 G360:I360">
    <cfRule type="expression" dxfId="19203" priority="46187">
      <formula>$H359="CÉLULA CONSTRUTIVA"</formula>
    </cfRule>
    <cfRule type="expression" dxfId="19202" priority="46188">
      <formula>$H359="SUBETAPA"</formula>
    </cfRule>
    <cfRule type="expression" dxfId="19201" priority="46189">
      <formula>$H359="ETAPA"</formula>
    </cfRule>
  </conditionalFormatting>
  <conditionalFormatting sqref="G361:J361 N361:N362 G362:I362">
    <cfRule type="expression" dxfId="19200" priority="47540">
      <formula>$H361="CÉLULA CONSTRUTIVA"</formula>
    </cfRule>
    <cfRule type="expression" dxfId="19199" priority="47541">
      <formula>$H361="SUBETAPA"</formula>
    </cfRule>
    <cfRule type="expression" dxfId="19198" priority="47542">
      <formula>$H361="ETAPA"</formula>
    </cfRule>
  </conditionalFormatting>
  <conditionalFormatting sqref="G363:J363 N363:N364 G364:I364">
    <cfRule type="expression" dxfId="19197" priority="47497">
      <formula>$H363="CÉLULA CONSTRUTIVA"</formula>
    </cfRule>
    <cfRule type="expression" dxfId="19196" priority="47498">
      <formula>$H363="SUBETAPA"</formula>
    </cfRule>
    <cfRule type="expression" dxfId="19195" priority="47499">
      <formula>$H363="ETAPA"</formula>
    </cfRule>
  </conditionalFormatting>
  <conditionalFormatting sqref="G365:J365 N365:N366 G366:I366">
    <cfRule type="expression" dxfId="19194" priority="47454">
      <formula>$H365="CÉLULA CONSTRUTIVA"</formula>
    </cfRule>
    <cfRule type="expression" dxfId="19193" priority="47455">
      <formula>$H365="SUBETAPA"</formula>
    </cfRule>
    <cfRule type="expression" dxfId="19192" priority="47456">
      <formula>$H365="ETAPA"</formula>
    </cfRule>
  </conditionalFormatting>
  <conditionalFormatting sqref="G367:J367 N367:N368 G368:I368">
    <cfRule type="expression" dxfId="19191" priority="47411">
      <formula>$H367="CÉLULA CONSTRUTIVA"</formula>
    </cfRule>
    <cfRule type="expression" dxfId="19190" priority="47412">
      <formula>$H367="SUBETAPA"</formula>
    </cfRule>
    <cfRule type="expression" dxfId="19189" priority="47413">
      <formula>$H367="ETAPA"</formula>
    </cfRule>
  </conditionalFormatting>
  <conditionalFormatting sqref="G369:J369 N369:N370 G370:I370">
    <cfRule type="expression" dxfId="19188" priority="47368">
      <formula>$H369="CÉLULA CONSTRUTIVA"</formula>
    </cfRule>
    <cfRule type="expression" dxfId="19187" priority="47369">
      <formula>$H369="SUBETAPA"</formula>
    </cfRule>
    <cfRule type="expression" dxfId="19186" priority="47370">
      <formula>$H369="ETAPA"</formula>
    </cfRule>
  </conditionalFormatting>
  <conditionalFormatting sqref="G371:J371 N371:N372 G372:I372">
    <cfRule type="expression" dxfId="19185" priority="47325">
      <formula>$H371="CÉLULA CONSTRUTIVA"</formula>
    </cfRule>
    <cfRule type="expression" dxfId="19184" priority="47326">
      <formula>$H371="SUBETAPA"</formula>
    </cfRule>
    <cfRule type="expression" dxfId="19183" priority="47327">
      <formula>$H371="ETAPA"</formula>
    </cfRule>
  </conditionalFormatting>
  <conditionalFormatting sqref="G373:J373 N373:N374 G374:I374">
    <cfRule type="expression" dxfId="19182" priority="47282">
      <formula>$H373="CÉLULA CONSTRUTIVA"</formula>
    </cfRule>
    <cfRule type="expression" dxfId="19181" priority="47283">
      <formula>$H373="SUBETAPA"</formula>
    </cfRule>
    <cfRule type="expression" dxfId="19180" priority="47284">
      <formula>$H373="ETAPA"</formula>
    </cfRule>
  </conditionalFormatting>
  <conditionalFormatting sqref="G375:J375 N375:N376 G376:I376">
    <cfRule type="expression" dxfId="19179" priority="47239">
      <formula>$H375="CÉLULA CONSTRUTIVA"</formula>
    </cfRule>
    <cfRule type="expression" dxfId="19178" priority="47240">
      <formula>$H375="SUBETAPA"</formula>
    </cfRule>
    <cfRule type="expression" dxfId="19177" priority="47241">
      <formula>$H375="ETAPA"</formula>
    </cfRule>
  </conditionalFormatting>
  <conditionalFormatting sqref="G377:J377 N377:N378 G378:I378">
    <cfRule type="expression" dxfId="19176" priority="47196">
      <formula>$H377="CÉLULA CONSTRUTIVA"</formula>
    </cfRule>
    <cfRule type="expression" dxfId="19175" priority="47197">
      <formula>$H377="SUBETAPA"</formula>
    </cfRule>
    <cfRule type="expression" dxfId="19174" priority="47198">
      <formula>$H377="ETAPA"</formula>
    </cfRule>
  </conditionalFormatting>
  <conditionalFormatting sqref="G808:J808">
    <cfRule type="expression" dxfId="19173" priority="86867">
      <formula>$H808="ETAPA"</formula>
    </cfRule>
    <cfRule type="expression" dxfId="19172" priority="86868">
      <formula>$H808="CÉLULA CONSTRUTIVA"</formula>
    </cfRule>
  </conditionalFormatting>
  <conditionalFormatting sqref="G28:K28 H29:I30">
    <cfRule type="expression" dxfId="19171" priority="50759">
      <formula>$H28="ETAPA"</formula>
    </cfRule>
  </conditionalFormatting>
  <conditionalFormatting sqref="G31:K31 H32:K32">
    <cfRule type="expression" dxfId="19170" priority="50638">
      <formula>$H31="ETAPA"</formula>
    </cfRule>
  </conditionalFormatting>
  <conditionalFormatting sqref="G31:K31 N32:O32 H32:I32 K32">
    <cfRule type="expression" dxfId="19169" priority="50758">
      <formula>$H31="CÉLULA CONSTRUTIVA"</formula>
    </cfRule>
  </conditionalFormatting>
  <conditionalFormatting sqref="G34:K34">
    <cfRule type="expression" dxfId="19168" priority="50622">
      <formula>$H34="ETAPA"</formula>
    </cfRule>
  </conditionalFormatting>
  <conditionalFormatting sqref="G39:K39 H40:I40 K40">
    <cfRule type="expression" dxfId="19167" priority="50563">
      <formula>$H39="ETAPA"</formula>
    </cfRule>
  </conditionalFormatting>
  <conditionalFormatting sqref="G39:K39 N40:O40 H40:I40 K40">
    <cfRule type="expression" dxfId="19166" priority="50621">
      <formula>$H39="CÉLULA CONSTRUTIVA"</formula>
    </cfRule>
  </conditionalFormatting>
  <conditionalFormatting sqref="G44:K44">
    <cfRule type="expression" dxfId="19165" priority="50549">
      <formula>$H44="ETAPA"</formula>
    </cfRule>
  </conditionalFormatting>
  <conditionalFormatting sqref="G49:K49 H50:K50">
    <cfRule type="expression" dxfId="19164" priority="50460">
      <formula>$H49="ETAPA"</formula>
    </cfRule>
  </conditionalFormatting>
  <conditionalFormatting sqref="G49:K49 N50:O50 H50:I50 K50">
    <cfRule type="expression" dxfId="19163" priority="50548">
      <formula>$H49="CÉLULA CONSTRUTIVA"</formula>
    </cfRule>
  </conditionalFormatting>
  <conditionalFormatting sqref="G52:K52">
    <cfRule type="expression" dxfId="19162" priority="50415">
      <formula>$H52="CÉLULA CONSTRUTIVA"</formula>
    </cfRule>
  </conditionalFormatting>
  <conditionalFormatting sqref="G56:K56">
    <cfRule type="expression" dxfId="19161" priority="50360">
      <formula>$H56="CÉLULA CONSTRUTIVA"</formula>
    </cfRule>
  </conditionalFormatting>
  <conditionalFormatting sqref="G62:K62 N62">
    <cfRule type="expression" dxfId="19160" priority="50925">
      <formula>$H62="CÉLULA CONSTRUTIVA"</formula>
    </cfRule>
  </conditionalFormatting>
  <conditionalFormatting sqref="G83:K83 G85:K87 G91:K92 G90:I90 K90 G89:K89 G88:I88 K88">
    <cfRule type="expression" dxfId="19159" priority="50342">
      <formula>$H83="SUBETAPA"</formula>
    </cfRule>
  </conditionalFormatting>
  <conditionalFormatting sqref="G83:K83 G85:K87 M94:O94 N85:N93 M95:N95 L80:L83 G80:G82 N80:N83 O80 G91:K92 G90:I90 K90 G89:K89 G88:I88 K88">
    <cfRule type="expression" dxfId="19158" priority="50312">
      <formula>$H80="CÉLULA CONSTRUTIVA"</formula>
    </cfRule>
  </conditionalFormatting>
  <conditionalFormatting sqref="G84:K84 N84">
    <cfRule type="expression" dxfId="19157" priority="50294">
      <formula>$H84="CÉLULA CONSTRUTIVA"</formula>
    </cfRule>
  </conditionalFormatting>
  <conditionalFormatting sqref="G84:K84">
    <cfRule type="expression" dxfId="19156" priority="50308">
      <formula>$H84="SUBETAPA"</formula>
    </cfRule>
  </conditionalFormatting>
  <conditionalFormatting sqref="G97:K98">
    <cfRule type="expression" dxfId="19155" priority="50180">
      <formula>$H97="SUBETAPA"</formula>
    </cfRule>
  </conditionalFormatting>
  <conditionalFormatting sqref="G104:K104">
    <cfRule type="expression" dxfId="19154" priority="50133">
      <formula>$H104="SUBETAPA"</formula>
    </cfRule>
  </conditionalFormatting>
  <conditionalFormatting sqref="G106:K106">
    <cfRule type="expression" dxfId="19153" priority="50115">
      <formula>$H106="SUBETAPA"</formula>
    </cfRule>
  </conditionalFormatting>
  <conditionalFormatting sqref="G108:K108">
    <cfRule type="expression" dxfId="19152" priority="50097">
      <formula>$H108="SUBETAPA"</formula>
    </cfRule>
  </conditionalFormatting>
  <conditionalFormatting sqref="G110:K110">
    <cfRule type="expression" dxfId="19151" priority="50079">
      <formula>$H110="SUBETAPA"</formula>
    </cfRule>
  </conditionalFormatting>
  <conditionalFormatting sqref="G112:K112">
    <cfRule type="expression" dxfId="19150" priority="50061">
      <formula>$H112="SUBETAPA"</formula>
    </cfRule>
  </conditionalFormatting>
  <conditionalFormatting sqref="G114:K114">
    <cfRule type="expression" dxfId="19149" priority="46363">
      <formula>$H114="SUBETAPA"</formula>
    </cfRule>
  </conditionalFormatting>
  <conditionalFormatting sqref="G115:K116">
    <cfRule type="expression" dxfId="19148" priority="50043">
      <formula>$H115="SUBETAPA"</formula>
    </cfRule>
  </conditionalFormatting>
  <conditionalFormatting sqref="G118:K118">
    <cfRule type="expression" dxfId="19147" priority="50025">
      <formula>$H118="SUBETAPA"</formula>
    </cfRule>
  </conditionalFormatting>
  <conditionalFormatting sqref="G120:K120">
    <cfRule type="expression" dxfId="19146" priority="50007">
      <formula>$H120="SUBETAPA"</formula>
    </cfRule>
  </conditionalFormatting>
  <conditionalFormatting sqref="G122:K122">
    <cfRule type="expression" dxfId="19145" priority="49989">
      <formula>$H122="SUBETAPA"</formula>
    </cfRule>
  </conditionalFormatting>
  <conditionalFormatting sqref="G125:K125">
    <cfRule type="expression" dxfId="19144" priority="49952">
      <formula>$H125="SUBETAPA"</formula>
    </cfRule>
  </conditionalFormatting>
  <conditionalFormatting sqref="G128:K128">
    <cfRule type="expression" dxfId="19143" priority="49915">
      <formula>$H128="SUBETAPA"</formula>
    </cfRule>
  </conditionalFormatting>
  <conditionalFormatting sqref="G131:K131">
    <cfRule type="expression" dxfId="19142" priority="49878">
      <formula>$H131="SUBETAPA"</formula>
    </cfRule>
  </conditionalFormatting>
  <conditionalFormatting sqref="G133:K133">
    <cfRule type="expression" dxfId="19141" priority="49860">
      <formula>$H133="SUBETAPA"</formula>
    </cfRule>
  </conditionalFormatting>
  <conditionalFormatting sqref="G136:K136">
    <cfRule type="expression" dxfId="19140" priority="49823">
      <formula>$H136="SUBETAPA"</formula>
    </cfRule>
  </conditionalFormatting>
  <conditionalFormatting sqref="G149:K149 G150:J153 K150:K156">
    <cfRule type="expression" dxfId="19139" priority="49761">
      <formula>$H149="ETAPA"</formula>
    </cfRule>
  </conditionalFormatting>
  <conditionalFormatting sqref="G159:K159 G160:J163 K160:K166">
    <cfRule type="expression" dxfId="19138" priority="49675">
      <formula>$H159="ETAPA"</formula>
    </cfRule>
  </conditionalFormatting>
  <conditionalFormatting sqref="G169:K169 G170:J173 K170:K176">
    <cfRule type="expression" dxfId="19137" priority="49589">
      <formula>$H169="ETAPA"</formula>
    </cfRule>
  </conditionalFormatting>
  <conditionalFormatting sqref="G178:K178 N178">
    <cfRule type="expression" dxfId="19136" priority="3317">
      <formula>$H178="CÉLULA CONSTRUTIVA"</formula>
    </cfRule>
    <cfRule type="expression" dxfId="19135" priority="3318">
      <formula>$H178="SUBETAPA"</formula>
    </cfRule>
  </conditionalFormatting>
  <conditionalFormatting sqref="G178:K178">
    <cfRule type="expression" dxfId="19134" priority="3320">
      <formula>$H178="ETAPA"</formula>
    </cfRule>
  </conditionalFormatting>
  <conditionalFormatting sqref="G187:K187 N187">
    <cfRule type="expression" dxfId="19133" priority="3283">
      <formula>$H187="CÉLULA CONSTRUTIVA"</formula>
    </cfRule>
    <cfRule type="expression" dxfId="19132" priority="3284">
      <formula>$H187="SUBETAPA"</formula>
    </cfRule>
  </conditionalFormatting>
  <conditionalFormatting sqref="G187:K187">
    <cfRule type="expression" dxfId="19131" priority="3286">
      <formula>$H187="ETAPA"</formula>
    </cfRule>
  </conditionalFormatting>
  <conditionalFormatting sqref="G196:K196 N196">
    <cfRule type="expression" dxfId="19130" priority="3249">
      <formula>$H196="CÉLULA CONSTRUTIVA"</formula>
    </cfRule>
    <cfRule type="expression" dxfId="19129" priority="3250">
      <formula>$H196="SUBETAPA"</formula>
    </cfRule>
  </conditionalFormatting>
  <conditionalFormatting sqref="G196:K196">
    <cfRule type="expression" dxfId="19128" priority="3252">
      <formula>$H196="ETAPA"</formula>
    </cfRule>
  </conditionalFormatting>
  <conditionalFormatting sqref="G205:K205 N205">
    <cfRule type="expression" dxfId="19127" priority="3215">
      <formula>$H205="CÉLULA CONSTRUTIVA"</formula>
    </cfRule>
    <cfRule type="expression" dxfId="19126" priority="3216">
      <formula>$H205="SUBETAPA"</formula>
    </cfRule>
  </conditionalFormatting>
  <conditionalFormatting sqref="G205:K205">
    <cfRule type="expression" dxfId="19125" priority="3218">
      <formula>$H205="ETAPA"</formula>
    </cfRule>
  </conditionalFormatting>
  <conditionalFormatting sqref="G214:K214 N214">
    <cfRule type="expression" dxfId="19124" priority="3181">
      <formula>$H214="CÉLULA CONSTRUTIVA"</formula>
    </cfRule>
    <cfRule type="expression" dxfId="19123" priority="3182">
      <formula>$H214="SUBETAPA"</formula>
    </cfRule>
  </conditionalFormatting>
  <conditionalFormatting sqref="G214:K214">
    <cfRule type="expression" dxfId="19122" priority="3184">
      <formula>$H214="ETAPA"</formula>
    </cfRule>
  </conditionalFormatting>
  <conditionalFormatting sqref="G223:K223 G224:J227 K224:K230">
    <cfRule type="expression" dxfId="19121" priority="49431">
      <formula>$H223="ETAPA"</formula>
    </cfRule>
  </conditionalFormatting>
  <conditionalFormatting sqref="G232:K232 G233:J236 K233:K239">
    <cfRule type="expression" dxfId="19120" priority="49381">
      <formula>$H232="ETAPA"</formula>
    </cfRule>
  </conditionalFormatting>
  <conditionalFormatting sqref="G241:K241 G242:J245 K242:K248">
    <cfRule type="expression" dxfId="19119" priority="49331">
      <formula>$H241="ETAPA"</formula>
    </cfRule>
  </conditionalFormatting>
  <conditionalFormatting sqref="G250:K250 G251:J254 K251:K257">
    <cfRule type="expression" dxfId="19118" priority="49281">
      <formula>$H250="ETAPA"</formula>
    </cfRule>
  </conditionalFormatting>
  <conditionalFormatting sqref="G259:K259 G260:J263 K260:K266">
    <cfRule type="expression" dxfId="19117" priority="49231">
      <formula>$H259="ETAPA"</formula>
    </cfRule>
  </conditionalFormatting>
  <conditionalFormatting sqref="G268:K268 G269:J272">
    <cfRule type="expression" dxfId="19116" priority="49181">
      <formula>$H268="ETAPA"</formula>
    </cfRule>
  </conditionalFormatting>
  <conditionalFormatting sqref="G274:K275 L274:M274">
    <cfRule type="expression" dxfId="19115" priority="49143">
      <formula>$H274="CÉLULA CONSTRUTIVA"</formula>
    </cfRule>
  </conditionalFormatting>
  <conditionalFormatting sqref="G275:K275">
    <cfRule type="expression" dxfId="19114" priority="49146">
      <formula>$H275="ETAPA"</formula>
    </cfRule>
  </conditionalFormatting>
  <conditionalFormatting sqref="G280:K280 N280">
    <cfRule type="expression" dxfId="19113" priority="49125">
      <formula>$H280="SUBETAPA"</formula>
    </cfRule>
    <cfRule type="expression" dxfId="19112" priority="49126">
      <formula>$H280="ETAPA"</formula>
    </cfRule>
  </conditionalFormatting>
  <conditionalFormatting sqref="G283:K284 N283:N284">
    <cfRule type="expression" dxfId="19111" priority="49104">
      <formula>$H283="CÉLULA CONSTRUTIVA"</formula>
    </cfRule>
    <cfRule type="expression" dxfId="19110" priority="49105">
      <formula>$H283="SUBETAPA"</formula>
    </cfRule>
    <cfRule type="expression" dxfId="19109" priority="49106">
      <formula>$H283="ETAPA"</formula>
    </cfRule>
  </conditionalFormatting>
  <conditionalFormatting sqref="G285:K286 N285:N286">
    <cfRule type="expression" dxfId="19108" priority="49058">
      <formula>$H285="CÉLULA CONSTRUTIVA"</formula>
    </cfRule>
    <cfRule type="expression" dxfId="19107" priority="49059">
      <formula>$H285="SUBETAPA"</formula>
    </cfRule>
    <cfRule type="expression" dxfId="19106" priority="49060">
      <formula>$H285="ETAPA"</formula>
    </cfRule>
  </conditionalFormatting>
  <conditionalFormatting sqref="G287:K288 N287:N288">
    <cfRule type="expression" dxfId="19105" priority="49012">
      <formula>$H287="CÉLULA CONSTRUTIVA"</formula>
    </cfRule>
    <cfRule type="expression" dxfId="19104" priority="49013">
      <formula>$H287="SUBETAPA"</formula>
    </cfRule>
    <cfRule type="expression" dxfId="19103" priority="49014">
      <formula>$H287="ETAPA"</formula>
    </cfRule>
  </conditionalFormatting>
  <conditionalFormatting sqref="G289:K290 N289:N290">
    <cfRule type="expression" dxfId="19102" priority="48966">
      <formula>$H289="CÉLULA CONSTRUTIVA"</formula>
    </cfRule>
    <cfRule type="expression" dxfId="19101" priority="48967">
      <formula>$H289="SUBETAPA"</formula>
    </cfRule>
    <cfRule type="expression" dxfId="19100" priority="48968">
      <formula>$H289="ETAPA"</formula>
    </cfRule>
  </conditionalFormatting>
  <conditionalFormatting sqref="G291:K292 N291:N292">
    <cfRule type="expression" dxfId="19099" priority="48920">
      <formula>$H291="CÉLULA CONSTRUTIVA"</formula>
    </cfRule>
    <cfRule type="expression" dxfId="19098" priority="48921">
      <formula>$H291="SUBETAPA"</formula>
    </cfRule>
    <cfRule type="expression" dxfId="19097" priority="48922">
      <formula>$H291="ETAPA"</formula>
    </cfRule>
  </conditionalFormatting>
  <conditionalFormatting sqref="G293:K294 N293:N294">
    <cfRule type="expression" dxfId="19096" priority="48874">
      <formula>$H293="CÉLULA CONSTRUTIVA"</formula>
    </cfRule>
    <cfRule type="expression" dxfId="19095" priority="48875">
      <formula>$H293="SUBETAPA"</formula>
    </cfRule>
    <cfRule type="expression" dxfId="19094" priority="48876">
      <formula>$H293="ETAPA"</formula>
    </cfRule>
  </conditionalFormatting>
  <conditionalFormatting sqref="G295:K296 N295:N296">
    <cfRule type="expression" dxfId="19093" priority="46285">
      <formula>$H295="CÉLULA CONSTRUTIVA"</formula>
    </cfRule>
    <cfRule type="expression" dxfId="19092" priority="46286">
      <formula>$H295="SUBETAPA"</formula>
    </cfRule>
    <cfRule type="expression" dxfId="19091" priority="46287">
      <formula>$H295="ETAPA"</formula>
    </cfRule>
  </conditionalFormatting>
  <conditionalFormatting sqref="G297:K298 N297:N298">
    <cfRule type="expression" dxfId="19090" priority="48828">
      <formula>$H297="CÉLULA CONSTRUTIVA"</formula>
    </cfRule>
    <cfRule type="expression" dxfId="19089" priority="48829">
      <formula>$H297="SUBETAPA"</formula>
    </cfRule>
    <cfRule type="expression" dxfId="19088" priority="48830">
      <formula>$H297="ETAPA"</formula>
    </cfRule>
  </conditionalFormatting>
  <conditionalFormatting sqref="G299:K300 N299:N300">
    <cfRule type="expression" dxfId="19087" priority="48782">
      <formula>$H299="CÉLULA CONSTRUTIVA"</formula>
    </cfRule>
    <cfRule type="expression" dxfId="19086" priority="48783">
      <formula>$H299="SUBETAPA"</formula>
    </cfRule>
    <cfRule type="expression" dxfId="19085" priority="48784">
      <formula>$H299="ETAPA"</formula>
    </cfRule>
  </conditionalFormatting>
  <conditionalFormatting sqref="G301:K302 N301:N302">
    <cfRule type="expression" dxfId="19084" priority="48736">
      <formula>$H301="CÉLULA CONSTRUTIVA"</formula>
    </cfRule>
    <cfRule type="expression" dxfId="19083" priority="48737">
      <formula>$H301="SUBETAPA"</formula>
    </cfRule>
    <cfRule type="expression" dxfId="19082" priority="48738">
      <formula>$H301="ETAPA"</formula>
    </cfRule>
  </conditionalFormatting>
  <conditionalFormatting sqref="G304:K304 N303:N304 G303:I303 K303">
    <cfRule type="expression" dxfId="19081" priority="48690">
      <formula>$H303="CÉLULA CONSTRUTIVA"</formula>
    </cfRule>
  </conditionalFormatting>
  <conditionalFormatting sqref="G305:K306 N305:N306">
    <cfRule type="expression" dxfId="19080" priority="48644">
      <formula>$H305="CÉLULA CONSTRUTIVA"</formula>
    </cfRule>
    <cfRule type="expression" dxfId="19079" priority="48645">
      <formula>$H305="SUBETAPA"</formula>
    </cfRule>
    <cfRule type="expression" dxfId="19078" priority="48646">
      <formula>$H305="ETAPA"</formula>
    </cfRule>
  </conditionalFormatting>
  <conditionalFormatting sqref="G307:K307 N307:N308 G308:I308 K308">
    <cfRule type="expression" dxfId="19077" priority="48598">
      <formula>$H307="CÉLULA CONSTRUTIVA"</formula>
    </cfRule>
    <cfRule type="expression" dxfId="19076" priority="48600">
      <formula>$H307="ETAPA"</formula>
    </cfRule>
  </conditionalFormatting>
  <conditionalFormatting sqref="G309:K310 N309:N310">
    <cfRule type="expression" dxfId="19075" priority="48552">
      <formula>$H309="CÉLULA CONSTRUTIVA"</formula>
    </cfRule>
    <cfRule type="expression" dxfId="19074" priority="48553">
      <formula>$H309="SUBETAPA"</formula>
    </cfRule>
    <cfRule type="expression" dxfId="19073" priority="48554">
      <formula>$H309="ETAPA"</formula>
    </cfRule>
  </conditionalFormatting>
  <conditionalFormatting sqref="G311:K312 N311:N312">
    <cfRule type="expression" dxfId="19072" priority="48506">
      <formula>$H311="CÉLULA CONSTRUTIVA"</formula>
    </cfRule>
    <cfRule type="expression" dxfId="19071" priority="48507">
      <formula>$H311="SUBETAPA"</formula>
    </cfRule>
    <cfRule type="expression" dxfId="19070" priority="48508">
      <formula>$H311="ETAPA"</formula>
    </cfRule>
  </conditionalFormatting>
  <conditionalFormatting sqref="G347:K347">
    <cfRule type="expression" dxfId="19069" priority="47801">
      <formula>$H347="CÉLULA CONSTRUTIVA"</formula>
    </cfRule>
    <cfRule type="expression" dxfId="19068" priority="47803">
      <formula>$H347="ETAPA"</formula>
    </cfRule>
  </conditionalFormatting>
  <conditionalFormatting sqref="G384:K384 M384 O384">
    <cfRule type="expression" dxfId="19067" priority="99291">
      <formula>$H384="SUBETAPA"</formula>
    </cfRule>
  </conditionalFormatting>
  <conditionalFormatting sqref="G589:K589 M589 O589">
    <cfRule type="expression" dxfId="19066" priority="100433">
      <formula>$H589="SUBETAPA"</formula>
    </cfRule>
  </conditionalFormatting>
  <conditionalFormatting sqref="G608:K608 M608 O608">
    <cfRule type="expression" dxfId="19065" priority="100528">
      <formula>$H608="SUBETAPA"</formula>
    </cfRule>
  </conditionalFormatting>
  <conditionalFormatting sqref="G608:K609 M608:M609 O608:O609">
    <cfRule type="expression" dxfId="19064" priority="100529">
      <formula>$H608="ETAPA"</formula>
    </cfRule>
  </conditionalFormatting>
  <conditionalFormatting sqref="G809:K809 H811:K811 G810:J810 H816:K816 H817:J817">
    <cfRule type="expression" dxfId="19063" priority="56838">
      <formula>$H809="ETAPA"</formula>
    </cfRule>
    <cfRule type="expression" dxfId="19062" priority="56839">
      <formula>$H809="CÉLULA CONSTRUTIVA"</formula>
    </cfRule>
  </conditionalFormatting>
  <conditionalFormatting sqref="G820:K820 H822:K822 G821:J821">
    <cfRule type="expression" dxfId="19061" priority="56947">
      <formula>$H820="ETAPA"</formula>
    </cfRule>
    <cfRule type="expression" dxfId="19060" priority="56948">
      <formula>$H820="CÉLULA CONSTRUTIVA"</formula>
    </cfRule>
  </conditionalFormatting>
  <conditionalFormatting sqref="G829:K829 G830:J830 H831:K831">
    <cfRule type="expression" dxfId="19059" priority="57056">
      <formula>$H829="ETAPA"</formula>
    </cfRule>
  </conditionalFormatting>
  <conditionalFormatting sqref="G829:K829 H831:K831 G830:J830">
    <cfRule type="expression" dxfId="19058" priority="57057">
      <formula>$H829="CÉLULA CONSTRUTIVA"</formula>
    </cfRule>
  </conditionalFormatting>
  <conditionalFormatting sqref="G838:K838 G839:J839 H840:K840">
    <cfRule type="expression" dxfId="19057" priority="57165">
      <formula>$H838="ETAPA"</formula>
    </cfRule>
  </conditionalFormatting>
  <conditionalFormatting sqref="G838:K838 H840:K840 G839:J839">
    <cfRule type="expression" dxfId="19056" priority="57166">
      <formula>$H838="CÉLULA CONSTRUTIVA"</formula>
    </cfRule>
  </conditionalFormatting>
  <conditionalFormatting sqref="G847:K847 G848:J848 H849:K849">
    <cfRule type="expression" dxfId="19055" priority="57274">
      <formula>$H847="ETAPA"</formula>
    </cfRule>
  </conditionalFormatting>
  <conditionalFormatting sqref="G847:K847 H849:K849 G848:J848">
    <cfRule type="expression" dxfId="19054" priority="57275">
      <formula>$H847="CÉLULA CONSTRUTIVA"</formula>
    </cfRule>
  </conditionalFormatting>
  <conditionalFormatting sqref="G856:K856 G857:J857 H858:K858">
    <cfRule type="expression" dxfId="19053" priority="57383">
      <formula>$H856="ETAPA"</formula>
    </cfRule>
  </conditionalFormatting>
  <conditionalFormatting sqref="G856:K856 H858:K858 G857:J857">
    <cfRule type="expression" dxfId="19052" priority="57384">
      <formula>$H856="CÉLULA CONSTRUTIVA"</formula>
    </cfRule>
  </conditionalFormatting>
  <conditionalFormatting sqref="G865:K865 G866:J866 H867:K867">
    <cfRule type="expression" dxfId="19051" priority="57492">
      <formula>$H865="ETAPA"</formula>
    </cfRule>
  </conditionalFormatting>
  <conditionalFormatting sqref="G865:K865 H867:K867 G866:J866">
    <cfRule type="expression" dxfId="19050" priority="57493">
      <formula>$H865="CÉLULA CONSTRUTIVA"</formula>
    </cfRule>
  </conditionalFormatting>
  <conditionalFormatting sqref="G874:K874 G875:J875 H876:K876">
    <cfRule type="expression" dxfId="19049" priority="57601">
      <formula>$H874="ETAPA"</formula>
    </cfRule>
  </conditionalFormatting>
  <conditionalFormatting sqref="G874:K874 H876:K876 G875:J875">
    <cfRule type="expression" dxfId="19048" priority="57602">
      <formula>$H874="CÉLULA CONSTRUTIVA"</formula>
    </cfRule>
  </conditionalFormatting>
  <conditionalFormatting sqref="G883:K883 G884:J884 H885:K885">
    <cfRule type="expression" dxfId="19047" priority="57710">
      <formula>$H883="ETAPA"</formula>
    </cfRule>
  </conditionalFormatting>
  <conditionalFormatting sqref="G883:K883 H885:K885 G884:J884">
    <cfRule type="expression" dxfId="19046" priority="57711">
      <formula>$H883="CÉLULA CONSTRUTIVA"</formula>
    </cfRule>
  </conditionalFormatting>
  <conditionalFormatting sqref="G892:K892 G893:J893 H894:K894 H899:K899 H900:J900">
    <cfRule type="expression" dxfId="19045" priority="57819">
      <formula>$H892="ETAPA"</formula>
    </cfRule>
  </conditionalFormatting>
  <conditionalFormatting sqref="G892:K892 H894:K894 G893:J893 H899:K899 H900:J900">
    <cfRule type="expression" dxfId="19044" priority="57820">
      <formula>$H892="CÉLULA CONSTRUTIVA"</formula>
    </cfRule>
  </conditionalFormatting>
  <conditionalFormatting sqref="G903:K903 G904:J904 H905:K905 H910:K910 H911:J911">
    <cfRule type="expression" dxfId="19043" priority="57928">
      <formula>$H903="ETAPA"</formula>
    </cfRule>
  </conditionalFormatting>
  <conditionalFormatting sqref="G903:K903 H905:K905 G904:J904 H910:K910 H911:J911">
    <cfRule type="expression" dxfId="19042" priority="57929">
      <formula>$H903="CÉLULA CONSTRUTIVA"</formula>
    </cfRule>
  </conditionalFormatting>
  <conditionalFormatting sqref="G914:K914 G915:J915 H916:K916">
    <cfRule type="expression" dxfId="19041" priority="58037">
      <formula>$H914="ETAPA"</formula>
    </cfRule>
  </conditionalFormatting>
  <conditionalFormatting sqref="G914:K914 H916:K916 G915:J915">
    <cfRule type="expression" dxfId="19040" priority="58038">
      <formula>$H914="CÉLULA CONSTRUTIVA"</formula>
    </cfRule>
  </conditionalFormatting>
  <conditionalFormatting sqref="G923:K923 G924:J924 H925:K925">
    <cfRule type="expression" dxfId="19039" priority="58146">
      <formula>$H923="ETAPA"</formula>
    </cfRule>
  </conditionalFormatting>
  <conditionalFormatting sqref="G923:K923 H925:K925 G924:J924">
    <cfRule type="expression" dxfId="19038" priority="58147">
      <formula>$H923="CÉLULA CONSTRUTIVA"</formula>
    </cfRule>
  </conditionalFormatting>
  <conditionalFormatting sqref="G932:K932 G933:J933 H934:K934 H939:K939 H940:J940">
    <cfRule type="expression" dxfId="19037" priority="58255">
      <formula>$H932="ETAPA"</formula>
    </cfRule>
  </conditionalFormatting>
  <conditionalFormatting sqref="G932:K932 H934:K934 G933:J933 H939:K939 H940:J940">
    <cfRule type="expression" dxfId="19036" priority="58256">
      <formula>$H932="CÉLULA CONSTRUTIVA"</formula>
    </cfRule>
  </conditionalFormatting>
  <conditionalFormatting sqref="G1239:K1241 G619:L619 K808:M808 H1250:M1250 K1244:M1244 G1252:L1252 H1355:L1355 L1351:L1352 L1354 K1353:M1353 K1356:M1356 G1244 H1360:K1360 G1250:G1251 H1249:J1249 L1249:M1249 O1251 O1356 O1244 G1361:K1365 H1357:L1357 L796 L798 L800 K797:M797 K799:M799 K801:M801 L805 L807 H802:M804 K806:M806 O806 L783 L785 L787 K784:M784 K786:M786 K788:M788 L792 L794 H789:M791 K793:M793 O793 L770 L772 L774 K771:M771 K773:M773 K775:M775 L779 L781 H776:M778 K780:M780 O780 L757 L759 L761 K758:M758 K760:M760 K762:M762 L766 L768 H763:M765 K767:M767 O767 L744 L746 L748 K745:M745 K747:M747 K749:M749 L753 L755 H750:M752 K754:M754 O754 L731 L733 L735 K732:M732 K734:M734 K736:M736 L740 L742 H737:M739 K741:M741 O741 L625 G620:M622 L627 L629 L631 K626:M626 K628:M628 K630:M630 K632:M632 L636 L638 H633:M635 K637:M637 O637 L623 K624:M624 G623:G638 L718 L720 L722 K719:M719 K721:M721 K723:M723 L727 L729 H724:M726 K728:M728 O728 L705 L707 L709 K706:M706 K708:M708 K710:M710 L714 L716 H711:M713 K715:M715 O715 L692 L694 L696 K693:M693 K695:M695 K697:M697 L701 L703 H698:M700 K702:M702 O702 L679 L681 L683 K680:M680 K682:M682 K684:M684 L688 L690 H685:M687 K689:M689 O689 L666 L668 L670 K667:M667 K669:M669 K671:M671 L675 L677 H672:M674 K676:M676 O676 L653 L655 L657 K654:M654 K656:M656 K658:M658 L662 L664 H659:M661 K663:M663 O663 L640 L642 L644 K641:M641 K643:M643 K645:M645 L649 L651 H646:M648 K650:M650 O650 O622:O635 L932 L934 K933:M933 L937 L939 K938:M938 K940:M940 O936 O938 L923 L925 K924:M924 L928 K929:M929 O927 O929 L914 L916 K915:M915 L919 K920:M920 O918 O920 L903 L905 K904:M904 L908 L910 K909:M909 K911:M911 O907 O909 L892 L894 K893:M893 L897 L899 K898:M898 K900:M900 O896 O898 L883 L885 K884:M884 L888 K889:M889 O887 O889 L874 L876 K875:M875 L879 K880:M880 O878 O880 L865 L867 K866:M866 L870 K871:M871 O869 O871 L856 L858 K857:M857 L861 K862:M862 O860 O862 L847 L849 K848:M848 L852 K853:M853 O851 O853 L838 L840 K839:M839 L843 K844:M844 O842 O844 L829 L831 K830:M830 L834 K835:M835 O833 O835 L820 L822 K821:M821 L825 K826:M826 H827:M828 O824 O826 L809 L811 K810:M810 L814 L816 K815:M815 K817:M817 H818:M819 O813 O815 H1242:L1243 H1235:L1235 K1236:L1236 L1234 H1230:L1230 L1229 K1231:L1231 L1227 H1223:L1223 K1224:L1224 L1222 H1218:L1218 L1217 K1219:L1219 L1215 H1211:L1211 L1210 K1212:L1212 L1208 H1204:L1204 L1203 K1205:L1205 L1201 H1197:L1197 L1196 K1198:L1198 L1194 H1190:L1190 L1189 K1191:L1191 L1187 H1183:L1183 K1184:L1184 L1182 H1178:L1178 K1179:L1179 L1177 H1173:L1173 K1174:L1174 L1172 H1168:L1168 K1169:L1169 L1167 H1163:L1163 K1164:L1164 L1162 H1158:L1158 L1154:L1155 L1157 K1156:M1156 K1159:L1159 K1421:M1421 O1421 K1418:M1418 G1415:H1416 J1415:K1417 O1418 K1413:M1413 G1410:H1411 J1410:K1412 O1413 K1408:M1408 G1405:H1406 J1405:K1407 O1408:O1409 K1403:M1403 G1400:H1401 J1400:K1402 O1403 H1398:H1399 M1399 K1396:M1396 G1393:H1394 J1393:K1395 J1398:L1399 O1396:O1397 H1391:H1392 M1392 K1389:M1389 G1386:H1387 J1386:K1388 J1391:L1392 O1389:O1390 K1384:M1384 O1384:O1385 K1381:M1381 O1381:O1382 K1378:M1378 O1378:O1379 K1375:M1375 O1375:O1376 K1372:M1372 O1372 K1369:M1369 G1366:H1367 J1366:K1368 O1369 L1150 H1141:M1141 M1143 L1148:M1148 L1152 H1149:M1149 K1151:M1151 K1153:M1153 O1153 O1151 O1149 O1141 G1139:M1140 L1135 H1126:M1126 L1133:M1133 L1137 H1134:M1134 K1136:M1136 K1138:M1138 O1138 O1136 O1134 O1126 G1124:M1125 L1120 H1111:M1111 L1118:M1118 L1122 H1119:M1119 K1121:M1121 K1123:M1123 O1123 O1121 O1119 O1111 G1109:M1110 L1105 H1096:M1096 L1103:M1103 L1107 H1104:M1104 K1106:M1106 K1108:M1108 O1108 O1106 O1104 O1096 G1094:M1095 L1090 H1081:M1081 L1088:M1088 L1092 H1089:M1089 K1091:M1091 K1093:M1093 O1093 O1091 O1089 O1081 L1075 H1066:M1066 L1073:M1073 L1077 H1074:M1074 K1076:M1076 K1078:M1078 O1078 O1076 O1074 O1066 G1064:M1065 L1060 H1051:M1051 L1058:M1058 L1062 H1059:M1059 K1061:M1061 K1063:M1063 O1063 O1061 O1059 O1051 G1049:M1050 L1045 H1036:M1036 L1043:M1043 L1047 H1044:M1044 K1046:M1046 K1048:M1048 O1048 O1046 O1044 O1036 G1034:M1035 L1030 H1021:M1021 L1028:M1028 L1032 H1029:M1029 K1031:M1031 K1033:M1033 O1033 O1031 O1029 O1021 G1019:M1020 L1015 H1006:M1006 L1013:M1013 L1017 H1014:M1014 K1016:M1016 K1018:M1018 O1018 O1016 O1014 O1006 G1004:M1005 L1000 H991:M991 L998:M998 L1002 H999:M999 K1001:M1001 K1003:M1003 O1003 O1001 O999 O991 G989:M990 L985 H976:M976 L983:M983 L987 H984:M984 K986:M986 K988:M988 O988 O986 O984 O976 G974:M975 L970 H961:M961 L968:M968 L972 H969:M969 K971:M971 K973:M973 O973 O971 O969 O961 G959:M960 L955 G943:M945 H946:M946 M948 L953:M953 L957 H954:M954 K956:M956 K958:M958 O958 O956 O954 O946 G1079:M1080 M963 M978 M993 M1008 M1023 M1038 M1053 M1068 M1083 M1098 M1113 M1128 J1251 L1251:M1251 H951:M952 M950 H947:L950 H966:M967 M965 H962:L965 H981:M982 M980 H977:L980 H996:M997 M995 H992:L995 H1011:M1012 M1010 H1007:L1010 H1026:M1027 M1025 H1022:L1025 H1041:M1042 M1040 H1037:L1040 H1056:M1057 M1055 H1052:L1055 H1071:M1072 M1070 H1067:L1070 H1086:M1087 M1085 H1082:L1085 H1101:M1102 M1100 H1097:L1100 H1116:M1117 M1115 H1112:L1115 H1131:M1132 M1130 H1127:L1130 H1146:M1147 M1145 H1142:L1145 K1188:M1188 K1195:M1195 K1202:M1202 K1209:M1209 K1216:M1216 K1228:M1228 H836:M837 H845:M846 H854:M855 H863:M864 H872:M873 H881:M882 H890:M891 H901:M902 H912:M913 H921:M922 H930:M931 H941:M942 K1358:M1359 H1341:L1341 L1337:L1338 L1340 K1339:M1339 K1342:M1342 H1346:K1346 O1342 G1347:K1350 H1343:L1343 K1344:M1345 H1327:L1327 L1323:L1324 L1326 K1325:L1325 K1328:L1328 H1332:K1332 O1328 G1333:K1336 H1329:L1329 H1313:L1313 L1309:L1310 K1311:M1311 H1318:K1318 O1314 G1319:K1322 H1315:L1315 H1299:L1299 L1295:L1296 L1298 K1297:M1297 K1300:M1300 H1304:K1304 O1300 G1305:K1308 H1301:L1301 K1302:M1303 H1285:L1285 L1281:L1282 L1284 K1283:M1283 K1286:M1286 H1290:K1290 O1286 G1291:K1294 H1287:L1287 K1288:M1289 H1271:L1271 L1267:L1268 L1270 K1269:M1269 K1272:M1272 H1276:K1276 O1272 G1277:K1280 H1273:L1273 K1274:M1275 H1257:L1257 L1253:L1254 L1256 K1255:M1255 K1258:M1258 H1262:K1262 O1258 G1263:K1266 H1259:L1259 K1260:M1261 L1312:M1312 K1314:M1314 K1316:M1317 K1330:L1331">
    <cfRule type="expression" dxfId="19035" priority="86953">
      <formula>$H619="CÉLULA CONSTRUTIVA"</formula>
    </cfRule>
  </conditionalFormatting>
  <conditionalFormatting sqref="G1239:K1241">
    <cfRule type="expression" dxfId="19034" priority="86998">
      <formula>$H1239="ETAPA"</formula>
    </cfRule>
  </conditionalFormatting>
  <conditionalFormatting sqref="G21:L22 N21:N22">
    <cfRule type="expression" dxfId="19033" priority="46654">
      <formula>$H21="CÉLULA CONSTRUTIVA"</formula>
    </cfRule>
  </conditionalFormatting>
  <conditionalFormatting sqref="G21:L22">
    <cfRule type="expression" dxfId="19032" priority="46657">
      <formula>$H21="ETAPA"</formula>
    </cfRule>
  </conditionalFormatting>
  <conditionalFormatting sqref="G22:L22 N21:N22">
    <cfRule type="expression" dxfId="19031" priority="46655">
      <formula>$H21="SUBETAPA"</formula>
    </cfRule>
  </conditionalFormatting>
  <conditionalFormatting sqref="G24:L24 N24">
    <cfRule type="expression" dxfId="19030" priority="50702">
      <formula>$H24="CÉLULA CONSTRUTIVA"</formula>
    </cfRule>
  </conditionalFormatting>
  <conditionalFormatting sqref="G24:L24">
    <cfRule type="expression" dxfId="19029" priority="50705">
      <formula>$H24="ETAPA"</formula>
    </cfRule>
  </conditionalFormatting>
  <conditionalFormatting sqref="G25:L25 N25">
    <cfRule type="expression" dxfId="19028" priority="50741">
      <formula>$H25="ETAPA"</formula>
    </cfRule>
  </conditionalFormatting>
  <conditionalFormatting sqref="G31:L31 H32:I32 K32:L32 L29:L30 H29:I30">
    <cfRule type="expression" dxfId="19027" priority="50762">
      <formula>$H29="SUBETAPA"</formula>
    </cfRule>
  </conditionalFormatting>
  <conditionalFormatting sqref="G33:L33 N33 K35:K36 O36 K38 O38">
    <cfRule type="expression" dxfId="19026" priority="50595">
      <formula>$H33="ETAPA"</formula>
    </cfRule>
  </conditionalFormatting>
  <conditionalFormatting sqref="G34:L34 M34:M36">
    <cfRule type="expression" dxfId="19025" priority="50634">
      <formula>$H34="SUBETAPA"</formula>
    </cfRule>
  </conditionalFormatting>
  <conditionalFormatting sqref="G39:L39 H40:I40 K40:L40 L35:L36 H35:I36">
    <cfRule type="expression" dxfId="19024" priority="50625">
      <formula>$H35="SUBETAPA"</formula>
    </cfRule>
  </conditionalFormatting>
  <conditionalFormatting sqref="G41:L41 N41">
    <cfRule type="expression" dxfId="19023" priority="50530">
      <formula>$H41="ETAPA"</formula>
    </cfRule>
  </conditionalFormatting>
  <conditionalFormatting sqref="G44:L44 M44:M45">
    <cfRule type="expression" dxfId="19022" priority="50560">
      <formula>$H44="SUBETAPA"</formula>
    </cfRule>
  </conditionalFormatting>
  <conditionalFormatting sqref="G52:L52 O3127">
    <cfRule type="expression" dxfId="19021" priority="50408">
      <formula>$H52="ETAPA"</formula>
    </cfRule>
    <cfRule type="expression" dxfId="19020" priority="50416">
      <formula>$H52="SUBETAPA"</formula>
    </cfRule>
  </conditionalFormatting>
  <conditionalFormatting sqref="G56:L56">
    <cfRule type="expression" dxfId="19019" priority="50353">
      <formula>$H56="ETAPA"</formula>
    </cfRule>
    <cfRule type="expression" dxfId="19018" priority="50361">
      <formula>$H56="SUBETAPA"</formula>
    </cfRule>
  </conditionalFormatting>
  <conditionalFormatting sqref="G58:L58 N58">
    <cfRule type="expression" dxfId="19017" priority="50686">
      <formula>$H58="CÉLULA CONSTRUTIVA"</formula>
    </cfRule>
  </conditionalFormatting>
  <conditionalFormatting sqref="G58:L58">
    <cfRule type="expression" dxfId="19016" priority="50689">
      <formula>$H58="ETAPA"</formula>
    </cfRule>
  </conditionalFormatting>
  <conditionalFormatting sqref="G104:L104">
    <cfRule type="expression" dxfId="19015" priority="50124">
      <formula>$H104="CÉLULA CONSTRUTIVA"</formula>
    </cfRule>
  </conditionalFormatting>
  <conditionalFormatting sqref="G106:L106">
    <cfRule type="expression" dxfId="19014" priority="50106">
      <formula>$H106="CÉLULA CONSTRUTIVA"</formula>
    </cfRule>
  </conditionalFormatting>
  <conditionalFormatting sqref="G108:L108">
    <cfRule type="expression" dxfId="19013" priority="50088">
      <formula>$H108="CÉLULA CONSTRUTIVA"</formula>
    </cfRule>
  </conditionalFormatting>
  <conditionalFormatting sqref="G110:L110">
    <cfRule type="expression" dxfId="19012" priority="50070">
      <formula>$H110="CÉLULA CONSTRUTIVA"</formula>
    </cfRule>
  </conditionalFormatting>
  <conditionalFormatting sqref="G112:L112">
    <cfRule type="expression" dxfId="19011" priority="50052">
      <formula>$H112="CÉLULA CONSTRUTIVA"</formula>
    </cfRule>
  </conditionalFormatting>
  <conditionalFormatting sqref="G114:L114">
    <cfRule type="expression" dxfId="19010" priority="46353">
      <formula>$H114="CÉLULA CONSTRUTIVA"</formula>
    </cfRule>
  </conditionalFormatting>
  <conditionalFormatting sqref="G116:L116">
    <cfRule type="expression" dxfId="19009" priority="50034">
      <formula>$H116="CÉLULA CONSTRUTIVA"</formula>
    </cfRule>
  </conditionalFormatting>
  <conditionalFormatting sqref="G118:L118">
    <cfRule type="expression" dxfId="19008" priority="50016">
      <formula>$H118="CÉLULA CONSTRUTIVA"</formula>
    </cfRule>
  </conditionalFormatting>
  <conditionalFormatting sqref="G120:L120">
    <cfRule type="expression" dxfId="19007" priority="49998">
      <formula>$H120="CÉLULA CONSTRUTIVA"</formula>
    </cfRule>
  </conditionalFormatting>
  <conditionalFormatting sqref="G131:L131">
    <cfRule type="expression" dxfId="19006" priority="49869">
      <formula>$H131="CÉLULA CONSTRUTIVA"</formula>
    </cfRule>
  </conditionalFormatting>
  <conditionalFormatting sqref="G139:L139 N139">
    <cfRule type="expression" dxfId="19005" priority="49779">
      <formula>$H139="SUBETAPA"</formula>
    </cfRule>
  </conditionalFormatting>
  <conditionalFormatting sqref="G313:L313 N313">
    <cfRule type="expression" dxfId="19004" priority="48436">
      <formula>$H313="SUBETAPA"</formula>
    </cfRule>
    <cfRule type="expression" dxfId="19003" priority="48437">
      <formula>$H313="ETAPA"</formula>
    </cfRule>
  </conditionalFormatting>
  <conditionalFormatting sqref="G315:L315 N315 L349 J348:M348 L351 K350:L350 L353 K352:L352 L355 K354:L354 L357 K356:L356 K358:L358 J1492 J1467 J1460 J1453">
    <cfRule type="expression" dxfId="19002" priority="48411">
      <formula>$H315="CÉLULA CONSTRUTIVA"</formula>
    </cfRule>
    <cfRule type="expression" dxfId="19001" priority="48412">
      <formula>$H315="SUBETAPA"</formula>
    </cfRule>
    <cfRule type="expression" dxfId="19000" priority="48413">
      <formula>$H315="ETAPA"</formula>
    </cfRule>
  </conditionalFormatting>
  <conditionalFormatting sqref="G319:L319 N319">
    <cfRule type="expression" dxfId="18999" priority="48325">
      <formula>$H319="CÉLULA CONSTRUTIVA"</formula>
    </cfRule>
    <cfRule type="expression" dxfId="18998" priority="48326">
      <formula>$H319="SUBETAPA"</formula>
    </cfRule>
    <cfRule type="expression" dxfId="18997" priority="48327">
      <formula>$H319="ETAPA"</formula>
    </cfRule>
  </conditionalFormatting>
  <conditionalFormatting sqref="G323:L323 N323">
    <cfRule type="expression" dxfId="18996" priority="48239">
      <formula>$H323="CÉLULA CONSTRUTIVA"</formula>
    </cfRule>
    <cfRule type="expression" dxfId="18995" priority="48240">
      <formula>$H323="SUBETAPA"</formula>
    </cfRule>
    <cfRule type="expression" dxfId="18994" priority="48241">
      <formula>$H323="ETAPA"</formula>
    </cfRule>
  </conditionalFormatting>
  <conditionalFormatting sqref="G327:L327 N327">
    <cfRule type="expression" dxfId="18993" priority="48155">
      <formula>$H327="CÉLULA CONSTRUTIVA"</formula>
    </cfRule>
    <cfRule type="expression" dxfId="18992" priority="48156">
      <formula>$H327="SUBETAPA"</formula>
    </cfRule>
    <cfRule type="expression" dxfId="18991" priority="48157">
      <formula>$H327="ETAPA"</formula>
    </cfRule>
  </conditionalFormatting>
  <conditionalFormatting sqref="G328:L328 N328">
    <cfRule type="expression" dxfId="18990" priority="46249">
      <formula>$H328="CÉLULA CONSTRUTIVA"</formula>
    </cfRule>
    <cfRule type="expression" dxfId="18989" priority="46250">
      <formula>$H328="SUBETAPA"</formula>
    </cfRule>
    <cfRule type="expression" dxfId="18988" priority="46251">
      <formula>$H328="ETAPA"</formula>
    </cfRule>
  </conditionalFormatting>
  <conditionalFormatting sqref="G329:L329 N329">
    <cfRule type="expression" dxfId="18987" priority="46228">
      <formula>$H329="CÉLULA CONSTRUTIVA"</formula>
    </cfRule>
    <cfRule type="expression" dxfId="18986" priority="46229">
      <formula>$H329="SUBETAPA"</formula>
    </cfRule>
    <cfRule type="expression" dxfId="18985" priority="46230">
      <formula>$H329="ETAPA"</formula>
    </cfRule>
  </conditionalFormatting>
  <conditionalFormatting sqref="G333:L333 N333">
    <cfRule type="expression" dxfId="18984" priority="48074">
      <formula>$H333="CÉLULA CONSTRUTIVA"</formula>
    </cfRule>
    <cfRule type="expression" dxfId="18983" priority="48075">
      <formula>$H333="SUBETAPA"</formula>
    </cfRule>
    <cfRule type="expression" dxfId="18982" priority="48076">
      <formula>$H333="ETAPA"</formula>
    </cfRule>
  </conditionalFormatting>
  <conditionalFormatting sqref="G337:L337 N337">
    <cfRule type="expression" dxfId="18981" priority="47992">
      <formula>$H337="CÉLULA CONSTRUTIVA"</formula>
    </cfRule>
    <cfRule type="expression" dxfId="18980" priority="47993">
      <formula>$H337="SUBETAPA"</formula>
    </cfRule>
    <cfRule type="expression" dxfId="18979" priority="47994">
      <formula>$H337="ETAPA"</formula>
    </cfRule>
  </conditionalFormatting>
  <conditionalFormatting sqref="G341:L341 N341">
    <cfRule type="expression" dxfId="18978" priority="47908">
      <formula>$H341="CÉLULA CONSTRUTIVA"</formula>
    </cfRule>
    <cfRule type="expression" dxfId="18977" priority="47909">
      <formula>$H341="SUBETAPA"</formula>
    </cfRule>
    <cfRule type="expression" dxfId="18976" priority="47910">
      <formula>$H341="ETAPA"</formula>
    </cfRule>
  </conditionalFormatting>
  <conditionalFormatting sqref="G345:L345 N345">
    <cfRule type="expression" dxfId="18975" priority="47839">
      <formula>$H345="CÉLULA CONSTRUTIVA"</formula>
    </cfRule>
    <cfRule type="expression" dxfId="18974" priority="47840">
      <formula>$H345="SUBETAPA"</formula>
    </cfRule>
    <cfRule type="expression" dxfId="18973" priority="47841">
      <formula>$H345="ETAPA"</formula>
    </cfRule>
  </conditionalFormatting>
  <conditionalFormatting sqref="G346:L346 N346">
    <cfRule type="expression" dxfId="18972" priority="48466">
      <formula>$H346="ETAPA"</formula>
    </cfRule>
  </conditionalFormatting>
  <conditionalFormatting sqref="G391:L391">
    <cfRule type="expression" dxfId="18971" priority="99279">
      <formula>$H391="SUBETAPA"</formula>
    </cfRule>
    <cfRule type="expression" dxfId="18970" priority="99280">
      <formula>$H391="CÉLULA CONSTRUTIVA"</formula>
    </cfRule>
  </conditionalFormatting>
  <conditionalFormatting sqref="G408:L408">
    <cfRule type="expression" dxfId="18969" priority="99374">
      <formula>$H408="SUBETAPA"</formula>
    </cfRule>
    <cfRule type="expression" dxfId="18968" priority="99375">
      <formula>$H408="CÉLULA CONSTRUTIVA"</formula>
    </cfRule>
  </conditionalFormatting>
  <conditionalFormatting sqref="G425:L425">
    <cfRule type="expression" dxfId="18967" priority="99469">
      <formula>$H425="SUBETAPA"</formula>
    </cfRule>
    <cfRule type="expression" dxfId="18966" priority="99470">
      <formula>$H425="CÉLULA CONSTRUTIVA"</formula>
    </cfRule>
  </conditionalFormatting>
  <conditionalFormatting sqref="G441:L441">
    <cfRule type="expression" dxfId="18965" priority="99564">
      <formula>$H441="SUBETAPA"</formula>
    </cfRule>
    <cfRule type="expression" dxfId="18964" priority="99565">
      <formula>$H441="CÉLULA CONSTRUTIVA"</formula>
    </cfRule>
  </conditionalFormatting>
  <conditionalFormatting sqref="G457:L457">
    <cfRule type="expression" dxfId="18963" priority="99659">
      <formula>$H457="SUBETAPA"</formula>
    </cfRule>
    <cfRule type="expression" dxfId="18962" priority="99660">
      <formula>$H457="CÉLULA CONSTRUTIVA"</formula>
    </cfRule>
  </conditionalFormatting>
  <conditionalFormatting sqref="G474:L474">
    <cfRule type="expression" dxfId="18961" priority="99754">
      <formula>$H474="SUBETAPA"</formula>
    </cfRule>
    <cfRule type="expression" dxfId="18960" priority="99755">
      <formula>$H474="CÉLULA CONSTRUTIVA"</formula>
    </cfRule>
  </conditionalFormatting>
  <conditionalFormatting sqref="G491:L491">
    <cfRule type="expression" dxfId="18959" priority="99849">
      <formula>$H491="SUBETAPA"</formula>
    </cfRule>
    <cfRule type="expression" dxfId="18958" priority="99850">
      <formula>$H491="CÉLULA CONSTRUTIVA"</formula>
    </cfRule>
  </conditionalFormatting>
  <conditionalFormatting sqref="G509:L509">
    <cfRule type="expression" dxfId="18957" priority="99944">
      <formula>$H509="SUBETAPA"</formula>
    </cfRule>
    <cfRule type="expression" dxfId="18956" priority="99945">
      <formula>$H509="CÉLULA CONSTRUTIVA"</formula>
    </cfRule>
  </conditionalFormatting>
  <conditionalFormatting sqref="G527:L527 K528">
    <cfRule type="expression" dxfId="18955" priority="100039">
      <formula>$H527="SUBETAPA"</formula>
    </cfRule>
    <cfRule type="expression" dxfId="18954" priority="100040">
      <formula>$H527="CÉLULA CONSTRUTIVA"</formula>
    </cfRule>
  </conditionalFormatting>
  <conditionalFormatting sqref="G545:L545 K546">
    <cfRule type="expression" dxfId="18953" priority="100134">
      <formula>$H545="SUBETAPA"</formula>
    </cfRule>
    <cfRule type="expression" dxfId="18952" priority="100135">
      <formula>$H545="CÉLULA CONSTRUTIVA"</formula>
    </cfRule>
  </conditionalFormatting>
  <conditionalFormatting sqref="G563:L563 K564">
    <cfRule type="expression" dxfId="18951" priority="100229">
      <formula>$H563="SUBETAPA"</formula>
    </cfRule>
    <cfRule type="expression" dxfId="18950" priority="100230">
      <formula>$H563="CÉLULA CONSTRUTIVA"</formula>
    </cfRule>
  </conditionalFormatting>
  <conditionalFormatting sqref="G580:L580 K581">
    <cfRule type="expression" dxfId="18949" priority="100324">
      <formula>$H580="SUBETAPA"</formula>
    </cfRule>
    <cfRule type="expression" dxfId="18948" priority="100325">
      <formula>$H580="CÉLULA CONSTRUTIVA"</formula>
    </cfRule>
  </conditionalFormatting>
  <conditionalFormatting sqref="G598:L598 K599">
    <cfRule type="expression" dxfId="18947" priority="100419">
      <formula>$H598="SUBETAPA"</formula>
    </cfRule>
    <cfRule type="expression" dxfId="18946" priority="100420">
      <formula>$H598="CÉLULA CONSTRUTIVA"</formula>
    </cfRule>
  </conditionalFormatting>
  <conditionalFormatting sqref="G614:L614">
    <cfRule type="expression" dxfId="18945" priority="100477">
      <formula>$H614="ETAPA"</formula>
    </cfRule>
    <cfRule type="expression" dxfId="18944" priority="100514">
      <formula>$H614="SUBETAPA"</formula>
    </cfRule>
    <cfRule type="expression" dxfId="18943" priority="100515">
      <formula>$H614="CÉLULA CONSTRUTIVA"</formula>
    </cfRule>
  </conditionalFormatting>
  <conditionalFormatting sqref="G619:L621 G622:M622 G623:G638 K624:M624 H626:M626 H628:M628 H630:M630 H632:M632 H633:L634 H635:M635 K637:M637 O637 H629:L629 H631:L631">
    <cfRule type="expression" dxfId="18942" priority="59102">
      <formula>$H619="ETAPA"</formula>
    </cfRule>
  </conditionalFormatting>
  <conditionalFormatting sqref="G21:M21">
    <cfRule type="expression" dxfId="18941" priority="46672">
      <formula>$H21="SUBETAPA"</formula>
    </cfRule>
  </conditionalFormatting>
  <conditionalFormatting sqref="G122:M122">
    <cfRule type="expression" dxfId="18940" priority="49979">
      <formula>$H122="ETAPA"</formula>
    </cfRule>
  </conditionalFormatting>
  <conditionalFormatting sqref="G125:M125">
    <cfRule type="expression" dxfId="18939" priority="49942">
      <formula>$H125="ETAPA"</formula>
    </cfRule>
  </conditionalFormatting>
  <conditionalFormatting sqref="G128:M128">
    <cfRule type="expression" dxfId="18938" priority="49905">
      <formula>$H128="ETAPA"</formula>
    </cfRule>
  </conditionalFormatting>
  <conditionalFormatting sqref="G133:M133">
    <cfRule type="expression" dxfId="18937" priority="49850">
      <formula>$H133="ETAPA"</formula>
    </cfRule>
  </conditionalFormatting>
  <conditionalFormatting sqref="G136:M136">
    <cfRule type="expression" dxfId="18936" priority="49813">
      <formula>$H136="ETAPA"</formula>
    </cfRule>
  </conditionalFormatting>
  <conditionalFormatting sqref="G148:M148 N148:N153">
    <cfRule type="expression" dxfId="18935" priority="49760">
      <formula>$H148="ETAPA"</formula>
    </cfRule>
  </conditionalFormatting>
  <conditionalFormatting sqref="G158:M158 N158:N163">
    <cfRule type="expression" dxfId="18934" priority="49674">
      <formula>$H158="ETAPA"</formula>
    </cfRule>
  </conditionalFormatting>
  <conditionalFormatting sqref="G168:M168 N168:N173">
    <cfRule type="expression" dxfId="18933" priority="49588">
      <formula>$H168="ETAPA"</formula>
    </cfRule>
  </conditionalFormatting>
  <conditionalFormatting sqref="G222:M222 N222:N227">
    <cfRule type="expression" dxfId="18932" priority="49430">
      <formula>$H222="ETAPA"</formula>
    </cfRule>
  </conditionalFormatting>
  <conditionalFormatting sqref="G231:M231 N231:N236">
    <cfRule type="expression" dxfId="18931" priority="49380">
      <formula>$H231="ETAPA"</formula>
    </cfRule>
  </conditionalFormatting>
  <conditionalFormatting sqref="G240:M240 N240:N245">
    <cfRule type="expression" dxfId="18930" priority="49330">
      <formula>$H240="ETAPA"</formula>
    </cfRule>
  </conditionalFormatting>
  <conditionalFormatting sqref="G249:M249 N249:N254">
    <cfRule type="expression" dxfId="18929" priority="49280">
      <formula>$H249="ETAPA"</formula>
    </cfRule>
  </conditionalFormatting>
  <conditionalFormatting sqref="G258:M258 N258:N263">
    <cfRule type="expression" dxfId="18928" priority="49230">
      <formula>$H258="ETAPA"</formula>
    </cfRule>
  </conditionalFormatting>
  <conditionalFormatting sqref="G267:M267 N267:N272">
    <cfRule type="expression" dxfId="18927" priority="49180">
      <formula>$H267="ETAPA"</formula>
    </cfRule>
  </conditionalFormatting>
  <conditionalFormatting sqref="G307:M307 N307:N308 G308:I308 K308">
    <cfRule type="expression" dxfId="18926" priority="48599">
      <formula>$H307="SUBETAPA"</formula>
    </cfRule>
  </conditionalFormatting>
  <conditionalFormatting sqref="G347:M347">
    <cfRule type="expression" dxfId="18925" priority="47802">
      <formula>$H347="SUBETAPA"</formula>
    </cfRule>
  </conditionalFormatting>
  <conditionalFormatting sqref="G385:M385 O385">
    <cfRule type="expression" dxfId="18924" priority="99299">
      <formula>$H385="CÉLULA CONSTRUTIVA"</formula>
    </cfRule>
  </conditionalFormatting>
  <conditionalFormatting sqref="G386:M386 K396:L397 O396:O397 O386 G395:I398 K398">
    <cfRule type="expression" dxfId="18923" priority="99243">
      <formula>$H386="SUBETAPA"</formula>
    </cfRule>
  </conditionalFormatting>
  <conditionalFormatting sqref="G386:M386 O386 G391:L391 O396:O397">
    <cfRule type="expression" dxfId="18922" priority="99242">
      <formula>$H386="ETAPA"</formula>
    </cfRule>
  </conditionalFormatting>
  <conditionalFormatting sqref="G402:M402 O402">
    <cfRule type="expression" dxfId="18921" priority="99394">
      <formula>$H402="CÉLULA CONSTRUTIVA"</formula>
    </cfRule>
  </conditionalFormatting>
  <conditionalFormatting sqref="G403:M403 O403 G408:L408 O413:O415">
    <cfRule type="expression" dxfId="18920" priority="99337">
      <formula>$H403="ETAPA"</formula>
    </cfRule>
  </conditionalFormatting>
  <conditionalFormatting sqref="G403:M403 O403 K413:L414 O413:O415 G412:I415">
    <cfRule type="expression" dxfId="18919" priority="99338">
      <formula>$H403="SUBETAPA"</formula>
    </cfRule>
  </conditionalFormatting>
  <conditionalFormatting sqref="G419:M419 O419">
    <cfRule type="expression" dxfId="18918" priority="99489">
      <formula>$H419="CÉLULA CONSTRUTIVA"</formula>
    </cfRule>
  </conditionalFormatting>
  <conditionalFormatting sqref="G420:M420 K429:L430 O429:O430 G428:I430 O420">
    <cfRule type="expression" dxfId="18917" priority="99433">
      <formula>$H420="SUBETAPA"</formula>
    </cfRule>
  </conditionalFormatting>
  <conditionalFormatting sqref="G420:M420 O420 G425:L425 O429:O430">
    <cfRule type="expression" dxfId="18916" priority="99432">
      <formula>$H420="ETAPA"</formula>
    </cfRule>
  </conditionalFormatting>
  <conditionalFormatting sqref="G435:M435 O435">
    <cfRule type="expression" dxfId="18915" priority="99584">
      <formula>$H435="CÉLULA CONSTRUTIVA"</formula>
    </cfRule>
  </conditionalFormatting>
  <conditionalFormatting sqref="G436:M436 K445:L446 O445:O446 G444:I446 O436">
    <cfRule type="expression" dxfId="18914" priority="99528">
      <formula>$H436="SUBETAPA"</formula>
    </cfRule>
  </conditionalFormatting>
  <conditionalFormatting sqref="G436:M436 O436 G441:L441 O445:O446">
    <cfRule type="expression" dxfId="18913" priority="99527">
      <formula>$H436="ETAPA"</formula>
    </cfRule>
  </conditionalFormatting>
  <conditionalFormatting sqref="G451:M451 O451">
    <cfRule type="expression" dxfId="18912" priority="99679">
      <formula>$H451="CÉLULA CONSTRUTIVA"</formula>
    </cfRule>
  </conditionalFormatting>
  <conditionalFormatting sqref="G452:M452 K462:L463 O462:O463 G461:I463 O452">
    <cfRule type="expression" dxfId="18911" priority="99623">
      <formula>$H452="SUBETAPA"</formula>
    </cfRule>
  </conditionalFormatting>
  <conditionalFormatting sqref="G452:M452 O452 G457:L457 O462:O463">
    <cfRule type="expression" dxfId="18910" priority="99622">
      <formula>$H452="ETAPA"</formula>
    </cfRule>
  </conditionalFormatting>
  <conditionalFormatting sqref="G468:M468 O468">
    <cfRule type="expression" dxfId="18909" priority="99774">
      <formula>$H468="CÉLULA CONSTRUTIVA"</formula>
    </cfRule>
  </conditionalFormatting>
  <conditionalFormatting sqref="G469:M469 K479:L480 O479:O480 G478:I480 O469">
    <cfRule type="expression" dxfId="18908" priority="99718">
      <formula>$H469="SUBETAPA"</formula>
    </cfRule>
  </conditionalFormatting>
  <conditionalFormatting sqref="G469:M469 O469 G474:L474 O479:O480">
    <cfRule type="expression" dxfId="18907" priority="99717">
      <formula>$H469="ETAPA"</formula>
    </cfRule>
  </conditionalFormatting>
  <conditionalFormatting sqref="G485:M485 O485">
    <cfRule type="expression" dxfId="18906" priority="99869">
      <formula>$H485="CÉLULA CONSTRUTIVA"</formula>
    </cfRule>
  </conditionalFormatting>
  <conditionalFormatting sqref="G486:M486 K496:L497 O496:O497 G495:I497 O486">
    <cfRule type="expression" dxfId="18905" priority="99813">
      <formula>$H486="SUBETAPA"</formula>
    </cfRule>
  </conditionalFormatting>
  <conditionalFormatting sqref="G486:M486 O486 G491:L491 O496:O497">
    <cfRule type="expression" dxfId="18904" priority="99812">
      <formula>$H486="ETAPA"</formula>
    </cfRule>
  </conditionalFormatting>
  <conditionalFormatting sqref="G502:M502 O502">
    <cfRule type="expression" dxfId="18903" priority="99964">
      <formula>$H502="CÉLULA CONSTRUTIVA"</formula>
    </cfRule>
  </conditionalFormatting>
  <conditionalFormatting sqref="G503:M503 K514:L515 O514:O515 G513:I515 O503">
    <cfRule type="expression" dxfId="18902" priority="99908">
      <formula>$H503="SUBETAPA"</formula>
    </cfRule>
  </conditionalFormatting>
  <conditionalFormatting sqref="G503:M503 O503 G509:L509 O514:O515">
    <cfRule type="expression" dxfId="18901" priority="99907">
      <formula>$H503="ETAPA"</formula>
    </cfRule>
  </conditionalFormatting>
  <conditionalFormatting sqref="G520:M520 O520">
    <cfRule type="expression" dxfId="18900" priority="100059">
      <formula>$H520="CÉLULA CONSTRUTIVA"</formula>
    </cfRule>
  </conditionalFormatting>
  <conditionalFormatting sqref="G521:M521 K532:L533 O532:O533 G531:I533 O521">
    <cfRule type="expression" dxfId="18899" priority="100003">
      <formula>$H521="SUBETAPA"</formula>
    </cfRule>
  </conditionalFormatting>
  <conditionalFormatting sqref="G521:M521 O521 G527:L527 O532:O533">
    <cfRule type="expression" dxfId="18898" priority="100002">
      <formula>$H521="ETAPA"</formula>
    </cfRule>
  </conditionalFormatting>
  <conditionalFormatting sqref="G538:M538 O538">
    <cfRule type="expression" dxfId="18897" priority="100154">
      <formula>$H538="CÉLULA CONSTRUTIVA"</formula>
    </cfRule>
  </conditionalFormatting>
  <conditionalFormatting sqref="G539:M539 K550:L551 O550:O551 G549:I551 O539">
    <cfRule type="expression" dxfId="18896" priority="100098">
      <formula>$H539="SUBETAPA"</formula>
    </cfRule>
  </conditionalFormatting>
  <conditionalFormatting sqref="G539:M539 O539 G545:L545 O550:O551">
    <cfRule type="expression" dxfId="18895" priority="100097">
      <formula>$H539="ETAPA"</formula>
    </cfRule>
  </conditionalFormatting>
  <conditionalFormatting sqref="G556:M556 O556">
    <cfRule type="expression" dxfId="18894" priority="100249">
      <formula>$H556="CÉLULA CONSTRUTIVA"</formula>
    </cfRule>
  </conditionalFormatting>
  <conditionalFormatting sqref="G557:M557 K568:L569 O568:O569 G567:I569 O557">
    <cfRule type="expression" dxfId="18893" priority="100193">
      <formula>$H557="SUBETAPA"</formula>
    </cfRule>
  </conditionalFormatting>
  <conditionalFormatting sqref="G557:M557 O557 G563:L563 O568:O569">
    <cfRule type="expression" dxfId="18892" priority="100192">
      <formula>$H557="ETAPA"</formula>
    </cfRule>
  </conditionalFormatting>
  <conditionalFormatting sqref="G574:M574 O574">
    <cfRule type="expression" dxfId="18891" priority="100344">
      <formula>$H574="CÉLULA CONSTRUTIVA"</formula>
    </cfRule>
  </conditionalFormatting>
  <conditionalFormatting sqref="G575:M575 K584:L585 O584:O585 G583:I585 O575">
    <cfRule type="expression" dxfId="18890" priority="100288">
      <formula>$H575="SUBETAPA"</formula>
    </cfRule>
  </conditionalFormatting>
  <conditionalFormatting sqref="G575:M575 O575 G580:L580 O584:O585">
    <cfRule type="expression" dxfId="18889" priority="100287">
      <formula>$H575="ETAPA"</formula>
    </cfRule>
  </conditionalFormatting>
  <conditionalFormatting sqref="G591:M591 O591">
    <cfRule type="expression" dxfId="18888" priority="100439">
      <formula>$H591="CÉLULA CONSTRUTIVA"</formula>
    </cfRule>
  </conditionalFormatting>
  <conditionalFormatting sqref="G592:M592 K603:L604 O603:O604 G602:I604 O592">
    <cfRule type="expression" dxfId="18887" priority="100383">
      <formula>$H592="SUBETAPA"</formula>
    </cfRule>
  </conditionalFormatting>
  <conditionalFormatting sqref="G592:M592 O592 G598:L598 O603:O604">
    <cfRule type="expression" dxfId="18886" priority="100382">
      <formula>$H592="ETAPA"</formula>
    </cfRule>
  </conditionalFormatting>
  <conditionalFormatting sqref="G593:M597 G591:M591 G574:M574 G558:M562 G556:M556 G540:M544 G538:M538 G522:M526 G520:M520 G504:M508 G502:M502 G485:M485 G468:M468 G451:M451 G435:M435 G419:M419 G402:M402 G385:M385 O2517 O2491 G379:M382 G401:K401 M401 O401 G418:K418 M418 O418 G434:K434 M434 O434 G450:K450 M450 O450 G467:K467 M467 O467 G484:K484 M484 O484 G501:K501 M501 O501 G519:K519 M519 O519 G537:K537 M537 G555:K555 M555 G573:K573 M573 J1848:K1848 J1897:M1898 J1912:M1912 J1925:M1925 J1933:M1933 J1938:M1938 J1946:M1946 J1955:M1955 J1971:M1971 J1984:M1984 J1991:M1991 J1998:M1998 J2005:M2005 J2012:M2012 J2023:M2023 G3173:K3173">
    <cfRule type="expression" dxfId="18885" priority="116224">
      <formula>$H379="ETAPA"</formula>
    </cfRule>
  </conditionalFormatting>
  <conditionalFormatting sqref="G619:M619 M1154:M1155 M1157:M1162 M1189:M1194 M1196:M1201 M1203:M1208 M1210:M1215 M1217:M1222 M1229:M1234">
    <cfRule type="expression" dxfId="18884" priority="86992">
      <formula>$H619="SUBETAPA"</formula>
    </cfRule>
  </conditionalFormatting>
  <conditionalFormatting sqref="G2902:M2903">
    <cfRule type="expression" dxfId="18883" priority="957">
      <formula>$H2902="ETAPA"</formula>
    </cfRule>
  </conditionalFormatting>
  <conditionalFormatting sqref="G2911:M2912">
    <cfRule type="expression" dxfId="18882" priority="1022">
      <formula>$H2911="ETAPA"</formula>
    </cfRule>
  </conditionalFormatting>
  <conditionalFormatting sqref="G2920:M2921">
    <cfRule type="expression" dxfId="18881" priority="1087">
      <formula>$H2920="ETAPA"</formula>
    </cfRule>
  </conditionalFormatting>
  <conditionalFormatting sqref="G2929:M2930">
    <cfRule type="expression" dxfId="18880" priority="1152">
      <formula>$H2929="ETAPA"</formula>
    </cfRule>
  </conditionalFormatting>
  <conditionalFormatting sqref="G2938:M2939">
    <cfRule type="expression" dxfId="18879" priority="1217">
      <formula>$H2938="ETAPA"</formula>
    </cfRule>
  </conditionalFormatting>
  <conditionalFormatting sqref="G25:N25">
    <cfRule type="expression" dxfId="18878" priority="50739">
      <formula>$H25="CÉLULA CONSTRUTIVA"</formula>
    </cfRule>
    <cfRule type="expression" dxfId="18877" priority="50740">
      <formula>$H25="SUBETAPA"</formula>
    </cfRule>
  </conditionalFormatting>
  <conditionalFormatting sqref="G33:N33 K35:K36 O36 K38 N38:O38 N34:N36">
    <cfRule type="expression" dxfId="18876" priority="50594">
      <formula>$H33="SUBETAPA"</formula>
    </cfRule>
  </conditionalFormatting>
  <conditionalFormatting sqref="G41:N41">
    <cfRule type="expression" dxfId="18875" priority="50529">
      <formula>$H41="SUBETAPA"</formula>
    </cfRule>
  </conditionalFormatting>
  <conditionalFormatting sqref="G51:N51 N54:O54">
    <cfRule type="expression" dxfId="18874" priority="50448">
      <formula>$H51="ETAPA"</formula>
    </cfRule>
  </conditionalFormatting>
  <conditionalFormatting sqref="G51:N51">
    <cfRule type="expression" dxfId="18873" priority="50450">
      <formula>$H51="SUBETAPA"</formula>
    </cfRule>
  </conditionalFormatting>
  <conditionalFormatting sqref="G55:N55 N57:O57">
    <cfRule type="expression" dxfId="18872" priority="50393">
      <formula>$H55="ETAPA"</formula>
    </cfRule>
  </conditionalFormatting>
  <conditionalFormatting sqref="G55:N55">
    <cfRule type="expression" dxfId="18871" priority="50395">
      <formula>$H55="SUBETAPA"</formula>
    </cfRule>
  </conditionalFormatting>
  <conditionalFormatting sqref="G58:N58">
    <cfRule type="expression" dxfId="18870" priority="50693">
      <formula>$H58="SUBETAPA"</formula>
    </cfRule>
  </conditionalFormatting>
  <conditionalFormatting sqref="G97:N99">
    <cfRule type="expression" dxfId="18869" priority="50165">
      <formula>$H97="ETAPA"</formula>
    </cfRule>
  </conditionalFormatting>
  <conditionalFormatting sqref="G104:N104">
    <cfRule type="expression" dxfId="18868" priority="50126">
      <formula>$H104="ETAPA"</formula>
    </cfRule>
  </conditionalFormatting>
  <conditionalFormatting sqref="G106:N106">
    <cfRule type="expression" dxfId="18867" priority="50108">
      <formula>$H106="ETAPA"</formula>
    </cfRule>
  </conditionalFormatting>
  <conditionalFormatting sqref="G108:N108">
    <cfRule type="expression" dxfId="18866" priority="50090">
      <formula>$H108="ETAPA"</formula>
    </cfRule>
  </conditionalFormatting>
  <conditionalFormatting sqref="G110:N110">
    <cfRule type="expression" dxfId="18865" priority="50072">
      <formula>$H110="ETAPA"</formula>
    </cfRule>
  </conditionalFormatting>
  <conditionalFormatting sqref="G112:N112">
    <cfRule type="expression" dxfId="18864" priority="50054">
      <formula>$H112="ETAPA"</formula>
    </cfRule>
  </conditionalFormatting>
  <conditionalFormatting sqref="G114:N114">
    <cfRule type="expression" dxfId="18863" priority="46355">
      <formula>$H114="ETAPA"</formula>
    </cfRule>
  </conditionalFormatting>
  <conditionalFormatting sqref="G116:N116">
    <cfRule type="expression" dxfId="18862" priority="50036">
      <formula>$H116="ETAPA"</formula>
    </cfRule>
  </conditionalFormatting>
  <conditionalFormatting sqref="G118:N118">
    <cfRule type="expression" dxfId="18861" priority="50018">
      <formula>$H118="ETAPA"</formula>
    </cfRule>
  </conditionalFormatting>
  <conditionalFormatting sqref="G120:N120">
    <cfRule type="expression" dxfId="18860" priority="50000">
      <formula>$H120="ETAPA"</formula>
    </cfRule>
  </conditionalFormatting>
  <conditionalFormatting sqref="G131:N131">
    <cfRule type="expression" dxfId="18859" priority="49871">
      <formula>$H131="ETAPA"</formula>
    </cfRule>
  </conditionalFormatting>
  <conditionalFormatting sqref="G139:N139">
    <cfRule type="expression" dxfId="18858" priority="49780">
      <formula>$H139="ETAPA"</formula>
    </cfRule>
  </conditionalFormatting>
  <conditionalFormatting sqref="G177:N177">
    <cfRule type="expression" dxfId="18857" priority="49505">
      <formula>$H177="ETAPA"</formula>
    </cfRule>
  </conditionalFormatting>
  <conditionalFormatting sqref="G186:N186">
    <cfRule type="expression" dxfId="18856" priority="49487">
      <formula>$H186="ETAPA"</formula>
    </cfRule>
  </conditionalFormatting>
  <conditionalFormatting sqref="G195:N195">
    <cfRule type="expression" dxfId="18855" priority="49469">
      <formula>$H195="ETAPA"</formula>
    </cfRule>
  </conditionalFormatting>
  <conditionalFormatting sqref="G204:N204">
    <cfRule type="expression" dxfId="18854" priority="46322">
      <formula>$H204="ETAPA"</formula>
    </cfRule>
  </conditionalFormatting>
  <conditionalFormatting sqref="G213:N213">
    <cfRule type="expression" dxfId="18853" priority="49451">
      <formula>$H213="ETAPA"</formula>
    </cfRule>
  </conditionalFormatting>
  <conditionalFormatting sqref="G274:N274">
    <cfRule type="expression" dxfId="18852" priority="49145">
      <formula>$H274="ETAPA"</formula>
    </cfRule>
  </conditionalFormatting>
  <conditionalFormatting sqref="G346:N346">
    <cfRule type="expression" dxfId="18851" priority="48465">
      <formula>$H346="SUBETAPA"</formula>
    </cfRule>
  </conditionalFormatting>
  <conditionalFormatting sqref="G115:O115">
    <cfRule type="expression" dxfId="18850" priority="46371">
      <formula>$H115="ETAPA"</formula>
    </cfRule>
  </conditionalFormatting>
  <conditionalFormatting sqref="H26:H27">
    <cfRule type="expression" dxfId="18849" priority="50667">
      <formula>$H26="CÉLULA CONSTRUTIVA"</formula>
    </cfRule>
    <cfRule type="expression" dxfId="18848" priority="50668">
      <formula>$H26="ETAPA"</formula>
    </cfRule>
    <cfRule type="expression" dxfId="18847" priority="50669">
      <formula>$H26="SUBETAPA"</formula>
    </cfRule>
  </conditionalFormatting>
  <conditionalFormatting sqref="H42:H43">
    <cfRule type="expression" dxfId="18846" priority="50489">
      <formula>$H42="CÉLULA CONSTRUTIVA"</formula>
    </cfRule>
    <cfRule type="expression" dxfId="18845" priority="50490">
      <formula>$H42="ETAPA"</formula>
    </cfRule>
    <cfRule type="expression" dxfId="18844" priority="50491">
      <formula>$H42="SUBETAPA"</formula>
    </cfRule>
  </conditionalFormatting>
  <conditionalFormatting sqref="H80:H83 H85:H92">
    <cfRule type="expression" dxfId="18843" priority="50317">
      <formula>$H80="ETAPA"</formula>
    </cfRule>
    <cfRule type="expression" dxfId="18842" priority="50325">
      <formula>$H80="SUBETAPA"</formula>
    </cfRule>
  </conditionalFormatting>
  <conditionalFormatting sqref="H84">
    <cfRule type="expression" dxfId="18841" priority="50297">
      <formula>$H84="CÉLULA CONSTRUTIVA"</formula>
    </cfRule>
    <cfRule type="expression" dxfId="18840" priority="50298">
      <formula>$H84="ETAPA"</formula>
    </cfRule>
    <cfRule type="expression" dxfId="18839" priority="50302">
      <formula>$H84="SUBETAPA"</formula>
    </cfRule>
  </conditionalFormatting>
  <conditionalFormatting sqref="H85:H92 H80:H83">
    <cfRule type="expression" dxfId="18838" priority="50316">
      <formula>$H80="CÉLULA CONSTRUTIVA"</formula>
    </cfRule>
  </conditionalFormatting>
  <conditionalFormatting sqref="H1154:H1159 H1187:H1191 H1194:H1198 H1201:H1205 H1208:H1212 H1215:H1219 H1227:H1231">
    <cfRule type="expression" dxfId="18837" priority="86958">
      <formula>$H1154="ETAPA"</formula>
    </cfRule>
  </conditionalFormatting>
  <conditionalFormatting sqref="H1160:H1161">
    <cfRule type="expression" dxfId="18836" priority="55567">
      <formula>$H1160="CÉLULA CONSTRUTIVA"</formula>
    </cfRule>
    <cfRule type="expression" dxfId="18835" priority="55568">
      <formula>$H1160="ETAPA"</formula>
    </cfRule>
    <cfRule type="expression" dxfId="18834" priority="55569">
      <formula>$H1160="SUBETAPA"</formula>
    </cfRule>
  </conditionalFormatting>
  <conditionalFormatting sqref="H1165:H1166">
    <cfRule type="expression" dxfId="18833" priority="55661">
      <formula>$H1165="CÉLULA CONSTRUTIVA"</formula>
    </cfRule>
    <cfRule type="expression" dxfId="18832" priority="55662">
      <formula>$H1165="ETAPA"</formula>
    </cfRule>
    <cfRule type="expression" dxfId="18831" priority="55663">
      <formula>$H1165="SUBETAPA"</formula>
    </cfRule>
  </conditionalFormatting>
  <conditionalFormatting sqref="H1170:H1171">
    <cfRule type="expression" dxfId="18830" priority="55755">
      <formula>$H1170="CÉLULA CONSTRUTIVA"</formula>
    </cfRule>
    <cfRule type="expression" dxfId="18829" priority="55756">
      <formula>$H1170="ETAPA"</formula>
    </cfRule>
    <cfRule type="expression" dxfId="18828" priority="55757">
      <formula>$H1170="SUBETAPA"</formula>
    </cfRule>
  </conditionalFormatting>
  <conditionalFormatting sqref="H1175:H1176">
    <cfRule type="expression" dxfId="18827" priority="55849">
      <formula>$H1175="CÉLULA CONSTRUTIVA"</formula>
    </cfRule>
    <cfRule type="expression" dxfId="18826" priority="55850">
      <formula>$H1175="ETAPA"</formula>
    </cfRule>
    <cfRule type="expression" dxfId="18825" priority="55851">
      <formula>$H1175="SUBETAPA"</formula>
    </cfRule>
  </conditionalFormatting>
  <conditionalFormatting sqref="H1180:H1181">
    <cfRule type="expression" dxfId="18824" priority="55943">
      <formula>$H1180="CÉLULA CONSTRUTIVA"</formula>
    </cfRule>
    <cfRule type="expression" dxfId="18823" priority="55944">
      <formula>$H1180="ETAPA"</formula>
    </cfRule>
    <cfRule type="expression" dxfId="18822" priority="55945">
      <formula>$H1180="SUBETAPA"</formula>
    </cfRule>
  </conditionalFormatting>
  <conditionalFormatting sqref="H1185:H1186">
    <cfRule type="expression" dxfId="18821" priority="56037">
      <formula>$H1185="CÉLULA CONSTRUTIVA"</formula>
    </cfRule>
    <cfRule type="expression" dxfId="18820" priority="56038">
      <formula>$H1185="ETAPA"</formula>
    </cfRule>
    <cfRule type="expression" dxfId="18819" priority="56039">
      <formula>$H1185="SUBETAPA"</formula>
    </cfRule>
  </conditionalFormatting>
  <conditionalFormatting sqref="H1192:H1193">
    <cfRule type="expression" dxfId="18818" priority="56131">
      <formula>$H1192="CÉLULA CONSTRUTIVA"</formula>
    </cfRule>
    <cfRule type="expression" dxfId="18817" priority="56132">
      <formula>$H1192="ETAPA"</formula>
    </cfRule>
    <cfRule type="expression" dxfId="18816" priority="56133">
      <formula>$H1192="SUBETAPA"</formula>
    </cfRule>
  </conditionalFormatting>
  <conditionalFormatting sqref="H1199:H1200">
    <cfRule type="expression" dxfId="18815" priority="56225">
      <formula>$H1199="CÉLULA CONSTRUTIVA"</formula>
    </cfRule>
    <cfRule type="expression" dxfId="18814" priority="56226">
      <formula>$H1199="ETAPA"</formula>
    </cfRule>
    <cfRule type="expression" dxfId="18813" priority="56227">
      <formula>$H1199="SUBETAPA"</formula>
    </cfRule>
  </conditionalFormatting>
  <conditionalFormatting sqref="H1206:H1207">
    <cfRule type="expression" dxfId="18812" priority="56319">
      <formula>$H1206="CÉLULA CONSTRUTIVA"</formula>
    </cfRule>
    <cfRule type="expression" dxfId="18811" priority="56320">
      <formula>$H1206="ETAPA"</formula>
    </cfRule>
    <cfRule type="expression" dxfId="18810" priority="56321">
      <formula>$H1206="SUBETAPA"</formula>
    </cfRule>
  </conditionalFormatting>
  <conditionalFormatting sqref="H1213:H1214">
    <cfRule type="expression" dxfId="18809" priority="56413">
      <formula>$H1213="CÉLULA CONSTRUTIVA"</formula>
    </cfRule>
    <cfRule type="expression" dxfId="18808" priority="56414">
      <formula>$H1213="ETAPA"</formula>
    </cfRule>
    <cfRule type="expression" dxfId="18807" priority="56415">
      <formula>$H1213="SUBETAPA"</formula>
    </cfRule>
  </conditionalFormatting>
  <conditionalFormatting sqref="H1220:H1221">
    <cfRule type="expression" dxfId="18806" priority="56507">
      <formula>$H1220="CÉLULA CONSTRUTIVA"</formula>
    </cfRule>
    <cfRule type="expression" dxfId="18805" priority="56508">
      <formula>$H1220="ETAPA"</formula>
    </cfRule>
    <cfRule type="expression" dxfId="18804" priority="56509">
      <formula>$H1220="SUBETAPA"</formula>
    </cfRule>
  </conditionalFormatting>
  <conditionalFormatting sqref="H1225:H1226">
    <cfRule type="expression" dxfId="18803" priority="56601">
      <formula>$H1225="CÉLULA CONSTRUTIVA"</formula>
    </cfRule>
    <cfRule type="expression" dxfId="18802" priority="56602">
      <formula>$H1225="ETAPA"</formula>
    </cfRule>
    <cfRule type="expression" dxfId="18801" priority="56603">
      <formula>$H1225="SUBETAPA"</formula>
    </cfRule>
  </conditionalFormatting>
  <conditionalFormatting sqref="H1227:H1231 H1215:H1219 H1208:H1212 H1201:H1205 H1194:H1198 H1187:H1191 H1154:H1159">
    <cfRule type="expression" dxfId="18800" priority="86957">
      <formula>$H1154="CÉLULA CONSTRUTIVA"</formula>
    </cfRule>
    <cfRule type="expression" dxfId="18799" priority="86972">
      <formula>$H1154="SUBETAPA"</formula>
    </cfRule>
  </conditionalFormatting>
  <conditionalFormatting sqref="H1232:H1233">
    <cfRule type="expression" dxfId="18798" priority="56695">
      <formula>$H1232="CÉLULA CONSTRUTIVA"</formula>
    </cfRule>
    <cfRule type="expression" dxfId="18797" priority="56696">
      <formula>$H1232="ETAPA"</formula>
    </cfRule>
    <cfRule type="expression" dxfId="18796" priority="56697">
      <formula>$H1232="SUBETAPA"</formula>
    </cfRule>
  </conditionalFormatting>
  <conditionalFormatting sqref="H1237:H1238">
    <cfRule type="expression" dxfId="18795" priority="56789">
      <formula>$H1237="CÉLULA CONSTRUTIVA"</formula>
    </cfRule>
    <cfRule type="expression" dxfId="18794" priority="56790">
      <formula>$H1237="ETAPA"</formula>
    </cfRule>
    <cfRule type="expression" dxfId="18793" priority="56791">
      <formula>$H1237="SUBETAPA"</formula>
    </cfRule>
  </conditionalFormatting>
  <conditionalFormatting sqref="H1239:H1241">
    <cfRule type="expression" dxfId="18792" priority="102692">
      <formula>$H1239="CÉLULA CONSTRUTIVA"</formula>
    </cfRule>
    <cfRule type="expression" dxfId="18791" priority="102693">
      <formula>$H1239="ETAPA"</formula>
    </cfRule>
    <cfRule type="expression" dxfId="18790" priority="102694">
      <formula>$H1239="SUBETAPA"</formula>
    </cfRule>
  </conditionalFormatting>
  <conditionalFormatting sqref="H1244">
    <cfRule type="expression" dxfId="18789" priority="86750">
      <formula>$H1244="CÉLULA CONSTRUTIVA"</formula>
    </cfRule>
    <cfRule type="expression" dxfId="18788" priority="86751">
      <formula>$H1244="ETAPA"</formula>
    </cfRule>
    <cfRule type="expression" dxfId="18787" priority="86752">
      <formula>$H1244="SUBETAPA"</formula>
    </cfRule>
  </conditionalFormatting>
  <conditionalFormatting sqref="H1251">
    <cfRule type="expression" dxfId="18786" priority="86737">
      <formula>$H1251="CÉLULA CONSTRUTIVA"</formula>
    </cfRule>
    <cfRule type="expression" dxfId="18785" priority="86738">
      <formula>$H1251="ETAPA"</formula>
    </cfRule>
    <cfRule type="expression" dxfId="18784" priority="86739">
      <formula>$H1251="SUBETAPA"</formula>
    </cfRule>
  </conditionalFormatting>
  <conditionalFormatting sqref="H1253:H1368 H1386:H1388 H1393:H1395 H1400:H1402 H1405:H1407 H1410:H1412 H1415:H1417">
    <cfRule type="expression" dxfId="18783" priority="86701">
      <formula>$H1253="ETAPA"</formula>
    </cfRule>
  </conditionalFormatting>
  <conditionalFormatting sqref="H1369">
    <cfRule type="expression" dxfId="18782" priority="53743">
      <formula>$H1369="CÉLULA CONSTRUTIVA"</formula>
    </cfRule>
    <cfRule type="expression" dxfId="18781" priority="53744">
      <formula>$H1369="ETAPA"</formula>
    </cfRule>
    <cfRule type="expression" dxfId="18780" priority="53745">
      <formula>$H1369="SUBETAPA"</formula>
    </cfRule>
  </conditionalFormatting>
  <conditionalFormatting sqref="H1370 J1370:L1370">
    <cfRule type="expression" dxfId="18779" priority="53766">
      <formula>$H1370="ETAPA"</formula>
    </cfRule>
    <cfRule type="expression" dxfId="18778" priority="53862">
      <formula>$H1370="CÉLULA CONSTRUTIVA"</formula>
    </cfRule>
    <cfRule type="expression" dxfId="18777" priority="53863">
      <formula>$H1370="SUBETAPA"</formula>
    </cfRule>
  </conditionalFormatting>
  <conditionalFormatting sqref="H1372">
    <cfRule type="expression" dxfId="18776" priority="53867">
      <formula>$H1372="CÉLULA CONSTRUTIVA"</formula>
    </cfRule>
    <cfRule type="expression" dxfId="18775" priority="53868">
      <formula>$H1372="ETAPA"</formula>
    </cfRule>
    <cfRule type="expression" dxfId="18774" priority="53869">
      <formula>$H1372="SUBETAPA"</formula>
    </cfRule>
  </conditionalFormatting>
  <conditionalFormatting sqref="H1373 J1373:L1373">
    <cfRule type="expression" dxfId="18773" priority="53890">
      <formula>$H1373="ETAPA"</formula>
    </cfRule>
    <cfRule type="expression" dxfId="18772" priority="53986">
      <formula>$H1373="CÉLULA CONSTRUTIVA"</formula>
    </cfRule>
    <cfRule type="expression" dxfId="18771" priority="53987">
      <formula>$H1373="SUBETAPA"</formula>
    </cfRule>
  </conditionalFormatting>
  <conditionalFormatting sqref="H1375">
    <cfRule type="expression" dxfId="18770" priority="53991">
      <formula>$H1375="CÉLULA CONSTRUTIVA"</formula>
    </cfRule>
    <cfRule type="expression" dxfId="18769" priority="53992">
      <formula>$H1375="ETAPA"</formula>
    </cfRule>
    <cfRule type="expression" dxfId="18768" priority="53993">
      <formula>$H1375="SUBETAPA"</formula>
    </cfRule>
  </conditionalFormatting>
  <conditionalFormatting sqref="H1376 J1376:L1376">
    <cfRule type="expression" dxfId="18767" priority="54110">
      <formula>$H1376="CÉLULA CONSTRUTIVA"</formula>
    </cfRule>
    <cfRule type="expression" dxfId="18766" priority="54111">
      <formula>$H1376="SUBETAPA"</formula>
    </cfRule>
  </conditionalFormatting>
  <conditionalFormatting sqref="H1378">
    <cfRule type="expression" dxfId="18765" priority="54115">
      <formula>$H1378="CÉLULA CONSTRUTIVA"</formula>
    </cfRule>
    <cfRule type="expression" dxfId="18764" priority="54116">
      <formula>$H1378="ETAPA"</formula>
    </cfRule>
    <cfRule type="expression" dxfId="18763" priority="54117">
      <formula>$H1378="SUBETAPA"</formula>
    </cfRule>
  </conditionalFormatting>
  <conditionalFormatting sqref="H1379 J1379:L1379">
    <cfRule type="expression" dxfId="18762" priority="54234">
      <formula>$H1379="CÉLULA CONSTRUTIVA"</formula>
    </cfRule>
    <cfRule type="expression" dxfId="18761" priority="54235">
      <formula>$H1379="SUBETAPA"</formula>
    </cfRule>
  </conditionalFormatting>
  <conditionalFormatting sqref="H1381">
    <cfRule type="expression" dxfId="18760" priority="54239">
      <formula>$H1381="CÉLULA CONSTRUTIVA"</formula>
    </cfRule>
    <cfRule type="expression" dxfId="18759" priority="54240">
      <formula>$H1381="ETAPA"</formula>
    </cfRule>
    <cfRule type="expression" dxfId="18758" priority="54241">
      <formula>$H1381="SUBETAPA"</formula>
    </cfRule>
  </conditionalFormatting>
  <conditionalFormatting sqref="H1382 J1382:L1382">
    <cfRule type="expression" dxfId="18757" priority="54358">
      <formula>$H1382="CÉLULA CONSTRUTIVA"</formula>
    </cfRule>
    <cfRule type="expression" dxfId="18756" priority="54359">
      <formula>$H1382="SUBETAPA"</formula>
    </cfRule>
  </conditionalFormatting>
  <conditionalFormatting sqref="H1384">
    <cfRule type="expression" dxfId="18755" priority="54363">
      <formula>$H1384="CÉLULA CONSTRUTIVA"</formula>
    </cfRule>
    <cfRule type="expression" dxfId="18754" priority="54364">
      <formula>$H1384="ETAPA"</formula>
    </cfRule>
    <cfRule type="expression" dxfId="18753" priority="54365">
      <formula>$H1384="SUBETAPA"</formula>
    </cfRule>
  </conditionalFormatting>
  <conditionalFormatting sqref="H1385 J1385:L1385">
    <cfRule type="expression" dxfId="18752" priority="54482">
      <formula>$H1385="CÉLULA CONSTRUTIVA"</formula>
    </cfRule>
    <cfRule type="expression" dxfId="18751" priority="54483">
      <formula>$H1385="SUBETAPA"</formula>
    </cfRule>
  </conditionalFormatting>
  <conditionalFormatting sqref="H1389">
    <cfRule type="expression" dxfId="18750" priority="54487">
      <formula>$H1389="CÉLULA CONSTRUTIVA"</formula>
    </cfRule>
    <cfRule type="expression" dxfId="18749" priority="54488">
      <formula>$H1389="ETAPA"</formula>
    </cfRule>
    <cfRule type="expression" dxfId="18748" priority="54489">
      <formula>$H1389="SUBETAPA"</formula>
    </cfRule>
  </conditionalFormatting>
  <conditionalFormatting sqref="H1390 J1390:L1390">
    <cfRule type="expression" dxfId="18747" priority="54606">
      <formula>$H1390="CÉLULA CONSTRUTIVA"</formula>
    </cfRule>
    <cfRule type="expression" dxfId="18746" priority="54607">
      <formula>$H1390="SUBETAPA"</formula>
    </cfRule>
  </conditionalFormatting>
  <conditionalFormatting sqref="H1391 J1391:L1391">
    <cfRule type="expression" dxfId="18745" priority="54502">
      <formula>$H1391="ETAPA"</formula>
    </cfRule>
  </conditionalFormatting>
  <conditionalFormatting sqref="H1391 J1391:M1391">
    <cfRule type="expression" dxfId="18744" priority="54515">
      <formula>$H1391="SUBETAPA"</formula>
    </cfRule>
  </conditionalFormatting>
  <conditionalFormatting sqref="H1392 K1389:M1389 J1392:L1392 O1389">
    <cfRule type="expression" dxfId="18743" priority="54509">
      <formula>$H1389="ETAPA"</formula>
    </cfRule>
  </conditionalFormatting>
  <conditionalFormatting sqref="H1392 K1389:M1389 J1392:M1392 O1389">
    <cfRule type="expression" dxfId="18742" priority="54508">
      <formula>$H1389="SUBETAPA"</formula>
    </cfRule>
  </conditionalFormatting>
  <conditionalFormatting sqref="H1396">
    <cfRule type="expression" dxfId="18741" priority="54611">
      <formula>$H1396="CÉLULA CONSTRUTIVA"</formula>
    </cfRule>
    <cfRule type="expression" dxfId="18740" priority="54612">
      <formula>$H1396="ETAPA"</formula>
    </cfRule>
    <cfRule type="expression" dxfId="18739" priority="54613">
      <formula>$H1396="SUBETAPA"</formula>
    </cfRule>
  </conditionalFormatting>
  <conditionalFormatting sqref="H1397 J1397:L1397">
    <cfRule type="expression" dxfId="18738" priority="54730">
      <formula>$H1397="CÉLULA CONSTRUTIVA"</formula>
    </cfRule>
    <cfRule type="expression" dxfId="18737" priority="54731">
      <formula>$H1397="SUBETAPA"</formula>
    </cfRule>
  </conditionalFormatting>
  <conditionalFormatting sqref="H1398 J1398:L1398">
    <cfRule type="expression" dxfId="18736" priority="54626">
      <formula>$H1398="ETAPA"</formula>
    </cfRule>
  </conditionalFormatting>
  <conditionalFormatting sqref="H1398 J1398:M1398">
    <cfRule type="expression" dxfId="18735" priority="54639">
      <formula>$H1398="SUBETAPA"</formula>
    </cfRule>
  </conditionalFormatting>
  <conditionalFormatting sqref="H1399 K1396:M1396 J1399:L1399 O1396">
    <cfRule type="expression" dxfId="18734" priority="54633">
      <formula>$H1396="ETAPA"</formula>
    </cfRule>
  </conditionalFormatting>
  <conditionalFormatting sqref="H1399 K1396:M1396 J1399:M1399 O1396">
    <cfRule type="expression" dxfId="18733" priority="54632">
      <formula>$H1396="SUBETAPA"</formula>
    </cfRule>
  </conditionalFormatting>
  <conditionalFormatting sqref="H1403">
    <cfRule type="expression" dxfId="18732" priority="54735">
      <formula>$H1403="CÉLULA CONSTRUTIVA"</formula>
    </cfRule>
    <cfRule type="expression" dxfId="18731" priority="54736">
      <formula>$H1403="ETAPA"</formula>
    </cfRule>
    <cfRule type="expression" dxfId="18730" priority="54737">
      <formula>$H1403="SUBETAPA"</formula>
    </cfRule>
  </conditionalFormatting>
  <conditionalFormatting sqref="H1404 J1404:L1404">
    <cfRule type="expression" dxfId="18729" priority="54758">
      <formula>$H1404="ETAPA"</formula>
    </cfRule>
    <cfRule type="expression" dxfId="18728" priority="54854">
      <formula>$H1404="CÉLULA CONSTRUTIVA"</formula>
    </cfRule>
    <cfRule type="expression" dxfId="18727" priority="54855">
      <formula>$H1404="SUBETAPA"</formula>
    </cfRule>
  </conditionalFormatting>
  <conditionalFormatting sqref="H1408">
    <cfRule type="expression" dxfId="18726" priority="54859">
      <formula>$H1408="CÉLULA CONSTRUTIVA"</formula>
    </cfRule>
    <cfRule type="expression" dxfId="18725" priority="54860">
      <formula>$H1408="ETAPA"</formula>
    </cfRule>
    <cfRule type="expression" dxfId="18724" priority="54861">
      <formula>$H1408="SUBETAPA"</formula>
    </cfRule>
  </conditionalFormatting>
  <conditionalFormatting sqref="H1409 J1409:L1409">
    <cfRule type="expression" dxfId="18723" priority="54978">
      <formula>$H1409="CÉLULA CONSTRUTIVA"</formula>
    </cfRule>
    <cfRule type="expression" dxfId="18722" priority="54979">
      <formula>$H1409="SUBETAPA"</formula>
    </cfRule>
  </conditionalFormatting>
  <conditionalFormatting sqref="H1413">
    <cfRule type="expression" dxfId="18721" priority="54983">
      <formula>$H1413="CÉLULA CONSTRUTIVA"</formula>
    </cfRule>
    <cfRule type="expression" dxfId="18720" priority="54984">
      <formula>$H1413="ETAPA"</formula>
    </cfRule>
    <cfRule type="expression" dxfId="18719" priority="54985">
      <formula>$H1413="SUBETAPA"</formula>
    </cfRule>
  </conditionalFormatting>
  <conditionalFormatting sqref="H1414 J1414:L1414">
    <cfRule type="expression" dxfId="18718" priority="55006">
      <formula>$H1414="ETAPA"</formula>
    </cfRule>
    <cfRule type="expression" dxfId="18717" priority="55102">
      <formula>$H1414="CÉLULA CONSTRUTIVA"</formula>
    </cfRule>
    <cfRule type="expression" dxfId="18716" priority="55103">
      <formula>$H1414="SUBETAPA"</formula>
    </cfRule>
  </conditionalFormatting>
  <conditionalFormatting sqref="H1415:H1417 H1410:H1412 H1405:H1407 H1400:H1402 H1393:H1395 H1386:H1388 H1253:H1368">
    <cfRule type="expression" dxfId="18715" priority="86700">
      <formula>$H1253="CÉLULA CONSTRUTIVA"</formula>
    </cfRule>
    <cfRule type="expression" dxfId="18714" priority="86707">
      <formula>$H1253="SUBETAPA"</formula>
    </cfRule>
  </conditionalFormatting>
  <conditionalFormatting sqref="H1418">
    <cfRule type="expression" dxfId="18713" priority="55107">
      <formula>$H1418="CÉLULA CONSTRUTIVA"</formula>
    </cfRule>
    <cfRule type="expression" dxfId="18712" priority="55108">
      <formula>$H1418="ETAPA"</formula>
    </cfRule>
    <cfRule type="expression" dxfId="18711" priority="55109">
      <formula>$H1418="SUBETAPA"</formula>
    </cfRule>
  </conditionalFormatting>
  <conditionalFormatting sqref="H1419 J1419:L1419">
    <cfRule type="expression" dxfId="18710" priority="55130">
      <formula>$H1419="ETAPA"</formula>
    </cfRule>
    <cfRule type="expression" dxfId="18709" priority="55226">
      <formula>$H1419="CÉLULA CONSTRUTIVA"</formula>
    </cfRule>
    <cfRule type="expression" dxfId="18708" priority="55227">
      <formula>$H1419="SUBETAPA"</formula>
    </cfRule>
  </conditionalFormatting>
  <conditionalFormatting sqref="H1421">
    <cfRule type="expression" dxfId="18707" priority="55231">
      <formula>$H1421="CÉLULA CONSTRUTIVA"</formula>
    </cfRule>
    <cfRule type="expression" dxfId="18706" priority="55232">
      <formula>$H1421="ETAPA"</formula>
    </cfRule>
    <cfRule type="expression" dxfId="18705" priority="55233">
      <formula>$H1421="SUBETAPA"</formula>
    </cfRule>
  </conditionalFormatting>
  <conditionalFormatting sqref="H1422 J1422:L1422">
    <cfRule type="expression" dxfId="18704" priority="55254">
      <formula>$H1422="ETAPA"</formula>
    </cfRule>
    <cfRule type="expression" dxfId="18703" priority="55350">
      <formula>$H1422="CÉLULA CONSTRUTIVA"</formula>
    </cfRule>
    <cfRule type="expression" dxfId="18702" priority="55351">
      <formula>$H1422="SUBETAPA"</formula>
    </cfRule>
  </conditionalFormatting>
  <conditionalFormatting sqref="H1433:H1434">
    <cfRule type="expression" dxfId="18701" priority="92028">
      <formula>$H1433="SUBETAPA"</formula>
    </cfRule>
  </conditionalFormatting>
  <conditionalFormatting sqref="H1443 J1443:K1443 O1443 J1444:J1445">
    <cfRule type="expression" dxfId="18700" priority="92204">
      <formula>$H1443="ETAPA"</formula>
    </cfRule>
  </conditionalFormatting>
  <conditionalFormatting sqref="H1443 O1443 J1443:K1443 J1444:J1445">
    <cfRule type="expression" dxfId="18699" priority="92203">
      <formula>$H1443="SUBETAPA"</formula>
    </cfRule>
  </conditionalFormatting>
  <conditionalFormatting sqref="H1443:H1446 J1443:K1446">
    <cfRule type="expression" dxfId="18698" priority="92200">
      <formula>$H1443="CÉLULA CONSTRUTIVA"</formula>
    </cfRule>
  </conditionalFormatting>
  <conditionalFormatting sqref="H1445 J1445:K1445 O1445">
    <cfRule type="expression" dxfId="18697" priority="92202">
      <formula>$H1445="ETAPA"</formula>
    </cfRule>
  </conditionalFormatting>
  <conditionalFormatting sqref="H1445 O1445 J1445:K1445">
    <cfRule type="expression" dxfId="18696" priority="92201">
      <formula>$H1445="SUBETAPA"</formula>
    </cfRule>
  </conditionalFormatting>
  <conditionalFormatting sqref="H1448:H1449">
    <cfRule type="expression" dxfId="18695" priority="92687">
      <formula>$H1448="SUBETAPA"</formula>
    </cfRule>
    <cfRule type="expression" dxfId="18694" priority="92688">
      <formula>$H1448="ETAPA"</formula>
    </cfRule>
  </conditionalFormatting>
  <conditionalFormatting sqref="H1453 K1453 O1453">
    <cfRule type="expression" dxfId="18693" priority="92974">
      <formula>$H1453="ETAPA"</formula>
    </cfRule>
  </conditionalFormatting>
  <conditionalFormatting sqref="H1453 O1453 K1453">
    <cfRule type="expression" dxfId="18692" priority="92973">
      <formula>$H1453="SUBETAPA"</formula>
    </cfRule>
  </conditionalFormatting>
  <conditionalFormatting sqref="H1455:H1456">
    <cfRule type="expression" dxfId="18691" priority="93346">
      <formula>$H1455="SUBETAPA"</formula>
    </cfRule>
    <cfRule type="expression" dxfId="18690" priority="93347">
      <formula>$H1455="ETAPA"</formula>
    </cfRule>
  </conditionalFormatting>
  <conditionalFormatting sqref="H1460">
    <cfRule type="expression" dxfId="18689" priority="93632">
      <formula>$H1460="SUBETAPA"</formula>
    </cfRule>
    <cfRule type="expression" dxfId="18688" priority="93633">
      <formula>$H1460="ETAPA"</formula>
    </cfRule>
  </conditionalFormatting>
  <conditionalFormatting sqref="H1462:H1463">
    <cfRule type="expression" dxfId="18687" priority="94005">
      <formula>$H1462="SUBETAPA"</formula>
    </cfRule>
    <cfRule type="expression" dxfId="18686" priority="94006">
      <formula>$H1462="ETAPA"</formula>
    </cfRule>
  </conditionalFormatting>
  <conditionalFormatting sqref="H1467">
    <cfRule type="expression" dxfId="18685" priority="94291">
      <formula>$H1467="SUBETAPA"</formula>
    </cfRule>
    <cfRule type="expression" dxfId="18684" priority="94292">
      <formula>$H1467="ETAPA"</formula>
    </cfRule>
  </conditionalFormatting>
  <conditionalFormatting sqref="H1472:H1473">
    <cfRule type="expression" dxfId="18683" priority="94664">
      <formula>$H1472="SUBETAPA"</formula>
    </cfRule>
    <cfRule type="expression" dxfId="18682" priority="94665">
      <formula>$H1472="ETAPA"</formula>
    </cfRule>
  </conditionalFormatting>
  <conditionalFormatting sqref="H1482">
    <cfRule type="expression" dxfId="18681" priority="94839">
      <formula>$H1482="SUBETAPA"</formula>
    </cfRule>
    <cfRule type="expression" dxfId="18680" priority="94840">
      <formula>$H1482="ETAPA"</formula>
    </cfRule>
  </conditionalFormatting>
  <conditionalFormatting sqref="H1482:H1485">
    <cfRule type="expression" dxfId="18679" priority="94836">
      <formula>$H1482="CÉLULA CONSTRUTIVA"</formula>
    </cfRule>
  </conditionalFormatting>
  <conditionalFormatting sqref="H1483 H1485">
    <cfRule type="expression" dxfId="18678" priority="94950">
      <formula>$H1483="SUBETAPA"</formula>
    </cfRule>
    <cfRule type="expression" dxfId="18677" priority="94951">
      <formula>$H1483="ETAPA"</formula>
    </cfRule>
  </conditionalFormatting>
  <conditionalFormatting sqref="H1484">
    <cfRule type="expression" dxfId="18676" priority="94837">
      <formula>$H1484="SUBETAPA"</formula>
    </cfRule>
    <cfRule type="expression" dxfId="18675" priority="94838">
      <formula>$H1484="ETAPA"</formula>
    </cfRule>
  </conditionalFormatting>
  <conditionalFormatting sqref="H1487:H1488">
    <cfRule type="expression" dxfId="18674" priority="95323">
      <formula>$H1487="SUBETAPA"</formula>
    </cfRule>
    <cfRule type="expression" dxfId="18673" priority="95324">
      <formula>$H1487="ETAPA"</formula>
    </cfRule>
  </conditionalFormatting>
  <conditionalFormatting sqref="H1492:H1493">
    <cfRule type="expression" dxfId="18672" priority="95609">
      <formula>$H1492="SUBETAPA"</formula>
    </cfRule>
    <cfRule type="expression" dxfId="18671" priority="95610">
      <formula>$H1492="ETAPA"</formula>
    </cfRule>
  </conditionalFormatting>
  <conditionalFormatting sqref="H1504:H1505">
    <cfRule type="expression" dxfId="18670" priority="88052">
      <formula>$H1504="SUBETAPA"</formula>
    </cfRule>
    <cfRule type="expression" dxfId="18669" priority="88053">
      <formula>$H1504="ETAPA"</formula>
    </cfRule>
  </conditionalFormatting>
  <conditionalFormatting sqref="H1513">
    <cfRule type="expression" dxfId="18668" priority="88227">
      <formula>$H1513="SUBETAPA"</formula>
    </cfRule>
    <cfRule type="expression" dxfId="18667" priority="88228">
      <formula>$H1513="ETAPA"</formula>
    </cfRule>
  </conditionalFormatting>
  <conditionalFormatting sqref="H1513:H1518">
    <cfRule type="expression" dxfId="18666" priority="88224">
      <formula>$H1513="CÉLULA CONSTRUTIVA"</formula>
    </cfRule>
  </conditionalFormatting>
  <conditionalFormatting sqref="H1514:H1515 H1518">
    <cfRule type="expression" dxfId="18665" priority="88339">
      <formula>$H1514="ETAPA"</formula>
    </cfRule>
  </conditionalFormatting>
  <conditionalFormatting sqref="H1516:H1517">
    <cfRule type="expression" dxfId="18664" priority="88225">
      <formula>$H1516="SUBETAPA"</formula>
    </cfRule>
    <cfRule type="expression" dxfId="18663" priority="88226">
      <formula>$H1516="ETAPA"</formula>
    </cfRule>
  </conditionalFormatting>
  <conditionalFormatting sqref="H1518 H1514:H1515">
    <cfRule type="expression" dxfId="18662" priority="88338">
      <formula>$H1514="SUBETAPA"</formula>
    </cfRule>
  </conditionalFormatting>
  <conditionalFormatting sqref="H1526:H1527">
    <cfRule type="expression" dxfId="18661" priority="88711">
      <formula>$H1526="SUBETAPA"</formula>
    </cfRule>
    <cfRule type="expression" dxfId="18660" priority="88712">
      <formula>$H1526="ETAPA"</formula>
    </cfRule>
  </conditionalFormatting>
  <conditionalFormatting sqref="H1535 K1535 O1535">
    <cfRule type="expression" dxfId="18659" priority="88887">
      <formula>$H1535="ETAPA"</formula>
    </cfRule>
  </conditionalFormatting>
  <conditionalFormatting sqref="H1535 O1535 K1535">
    <cfRule type="expression" dxfId="18658" priority="88886">
      <formula>$H1535="SUBETAPA"</formula>
    </cfRule>
  </conditionalFormatting>
  <conditionalFormatting sqref="H1535:H1538 J1538:K1538 K1535:K1537">
    <cfRule type="expression" dxfId="18657" priority="88883">
      <formula>$H1535="CÉLULA CONSTRUTIVA"</formula>
    </cfRule>
  </conditionalFormatting>
  <conditionalFormatting sqref="H1536 K1536 O1536 H1538 J1538:K1538 O1538">
    <cfRule type="expression" dxfId="18656" priority="88998">
      <formula>$H1536="ETAPA"</formula>
    </cfRule>
  </conditionalFormatting>
  <conditionalFormatting sqref="H1536 O1536 H1538 O1538 J1538:K1538 K1536">
    <cfRule type="expression" dxfId="18655" priority="88997">
      <formula>$H1536="SUBETAPA"</formula>
    </cfRule>
  </conditionalFormatting>
  <conditionalFormatting sqref="H1537 K1537 O1537">
    <cfRule type="expression" dxfId="18654" priority="88885">
      <formula>$H1537="ETAPA"</formula>
    </cfRule>
  </conditionalFormatting>
  <conditionalFormatting sqref="H1537 O1537 K1537">
    <cfRule type="expression" dxfId="18653" priority="88884">
      <formula>$H1537="SUBETAPA"</formula>
    </cfRule>
  </conditionalFormatting>
  <conditionalFormatting sqref="H1544:H1545">
    <cfRule type="expression" dxfId="18652" priority="89169">
      <formula>$H1544="SUBETAPA"</formula>
    </cfRule>
  </conditionalFormatting>
  <conditionalFormatting sqref="H1550:H1551">
    <cfRule type="expression" dxfId="18651" priority="89370">
      <formula>$H1550="SUBETAPA"</formula>
    </cfRule>
    <cfRule type="expression" dxfId="18650" priority="89371">
      <formula>$H1550="ETAPA"</formula>
    </cfRule>
  </conditionalFormatting>
  <conditionalFormatting sqref="H1557 K1557 O1557">
    <cfRule type="expression" dxfId="18649" priority="89546">
      <formula>$H1557="ETAPA"</formula>
    </cfRule>
  </conditionalFormatting>
  <conditionalFormatting sqref="H1557 O1557 K1557">
    <cfRule type="expression" dxfId="18648" priority="89545">
      <formula>$H1557="SUBETAPA"</formula>
    </cfRule>
  </conditionalFormatting>
  <conditionalFormatting sqref="H1557:H1560 J1560:K1560 K1557:K1559">
    <cfRule type="expression" dxfId="18647" priority="89542">
      <formula>$H1557="CÉLULA CONSTRUTIVA"</formula>
    </cfRule>
  </conditionalFormatting>
  <conditionalFormatting sqref="H1558 K1558 O1558 H1560 J1560:K1560 O1560">
    <cfRule type="expression" dxfId="18646" priority="89657">
      <formula>$H1558="ETAPA"</formula>
    </cfRule>
  </conditionalFormatting>
  <conditionalFormatting sqref="H1558 O1558 H1560 O1560 J1560:K1560 K1558">
    <cfRule type="expression" dxfId="18645" priority="89656">
      <formula>$H1558="SUBETAPA"</formula>
    </cfRule>
  </conditionalFormatting>
  <conditionalFormatting sqref="H1559 K1559 O1559">
    <cfRule type="expression" dxfId="18644" priority="89544">
      <formula>$H1559="ETAPA"</formula>
    </cfRule>
  </conditionalFormatting>
  <conditionalFormatting sqref="H1559 O1559 K1559">
    <cfRule type="expression" dxfId="18643" priority="89543">
      <formula>$H1559="SUBETAPA"</formula>
    </cfRule>
  </conditionalFormatting>
  <conditionalFormatting sqref="H1569:H1570">
    <cfRule type="expression" dxfId="18642" priority="90029">
      <formula>$H1569="SUBETAPA"</formula>
    </cfRule>
    <cfRule type="expression" dxfId="18641" priority="90030">
      <formula>$H1569="ETAPA"</formula>
    </cfRule>
  </conditionalFormatting>
  <conditionalFormatting sqref="H1575 K1575 O1575">
    <cfRule type="expression" dxfId="18640" priority="90205">
      <formula>$H1575="ETAPA"</formula>
    </cfRule>
  </conditionalFormatting>
  <conditionalFormatting sqref="H1575 O1575 K1575">
    <cfRule type="expression" dxfId="18639" priority="90204">
      <formula>$H1575="SUBETAPA"</formula>
    </cfRule>
  </conditionalFormatting>
  <conditionalFormatting sqref="H1576 K1576 O1576">
    <cfRule type="expression" dxfId="18638" priority="90203">
      <formula>$H1576="ETAPA"</formula>
    </cfRule>
  </conditionalFormatting>
  <conditionalFormatting sqref="H1576 O1576 K1576">
    <cfRule type="expression" dxfId="18637" priority="90202">
      <formula>$H1576="SUBETAPA"</formula>
    </cfRule>
  </conditionalFormatting>
  <conditionalFormatting sqref="H1577 J1577:K1577 O1577">
    <cfRule type="expression" dxfId="18636" priority="90316">
      <formula>$H1577="ETAPA"</formula>
    </cfRule>
  </conditionalFormatting>
  <conditionalFormatting sqref="H1577 O1577 J1577:K1577">
    <cfRule type="expression" dxfId="18635" priority="90315">
      <formula>$H1577="SUBETAPA"</formula>
    </cfRule>
  </conditionalFormatting>
  <conditionalFormatting sqref="H1588:H1589">
    <cfRule type="expression" dxfId="18634" priority="90688">
      <formula>$H1588="SUBETAPA"</formula>
    </cfRule>
    <cfRule type="expression" dxfId="18633" priority="90689">
      <formula>$H1588="ETAPA"</formula>
    </cfRule>
  </conditionalFormatting>
  <conditionalFormatting sqref="H1595 K1595 O1595">
    <cfRule type="expression" dxfId="18632" priority="90864">
      <formula>$H1595="ETAPA"</formula>
    </cfRule>
  </conditionalFormatting>
  <conditionalFormatting sqref="H1595 O1595 K1595">
    <cfRule type="expression" dxfId="18631" priority="90863">
      <formula>$H1595="SUBETAPA"</formula>
    </cfRule>
  </conditionalFormatting>
  <conditionalFormatting sqref="H1595:H1598 J1598:K1598 K1595:K1597">
    <cfRule type="expression" dxfId="18630" priority="90860">
      <formula>$H1595="CÉLULA CONSTRUTIVA"</formula>
    </cfRule>
  </conditionalFormatting>
  <conditionalFormatting sqref="H1596 K1596 O1596 H1598 J1598:K1598 O1598">
    <cfRule type="expression" dxfId="18629" priority="90975">
      <formula>$H1596="ETAPA"</formula>
    </cfRule>
  </conditionalFormatting>
  <conditionalFormatting sqref="H1596 O1596 H1598 O1598 J1598:K1598 K1596">
    <cfRule type="expression" dxfId="18628" priority="90974">
      <formula>$H1596="SUBETAPA"</formula>
    </cfRule>
  </conditionalFormatting>
  <conditionalFormatting sqref="H1597 K1597 O1597">
    <cfRule type="expression" dxfId="18627" priority="90862">
      <formula>$H1597="ETAPA"</formula>
    </cfRule>
  </conditionalFormatting>
  <conditionalFormatting sqref="H1597 O1597 K1597">
    <cfRule type="expression" dxfId="18626" priority="90861">
      <formula>$H1597="SUBETAPA"</formula>
    </cfRule>
  </conditionalFormatting>
  <conditionalFormatting sqref="H1609:H1610">
    <cfRule type="expression" dxfId="18625" priority="91348">
      <formula>$H1609="SUBETAPA"</formula>
    </cfRule>
    <cfRule type="expression" dxfId="18624" priority="91349">
      <formula>$H1609="ETAPA"</formula>
    </cfRule>
  </conditionalFormatting>
  <conditionalFormatting sqref="H1616 K1616 O1616">
    <cfRule type="expression" dxfId="18623" priority="91524">
      <formula>$H1616="ETAPA"</formula>
    </cfRule>
  </conditionalFormatting>
  <conditionalFormatting sqref="H1616 O1616 K1616">
    <cfRule type="expression" dxfId="18622" priority="91523">
      <formula>$H1616="SUBETAPA"</formula>
    </cfRule>
  </conditionalFormatting>
  <conditionalFormatting sqref="H1616:H1619 J1619:K1619 K1616:K1618">
    <cfRule type="expression" dxfId="18621" priority="91520">
      <formula>$H1616="CÉLULA CONSTRUTIVA"</formula>
    </cfRule>
  </conditionalFormatting>
  <conditionalFormatting sqref="H1617 K1617 O1617 H1619 J1619:K1619 O1619">
    <cfRule type="expression" dxfId="18620" priority="91635">
      <formula>$H1617="ETAPA"</formula>
    </cfRule>
  </conditionalFormatting>
  <conditionalFormatting sqref="H1617 O1617 H1619 O1619 J1619:K1619 K1617">
    <cfRule type="expression" dxfId="18619" priority="91634">
      <formula>$H1617="SUBETAPA"</formula>
    </cfRule>
  </conditionalFormatting>
  <conditionalFormatting sqref="H1618 K1618 O1618">
    <cfRule type="expression" dxfId="18618" priority="91522">
      <formula>$H1618="ETAPA"</formula>
    </cfRule>
  </conditionalFormatting>
  <conditionalFormatting sqref="H1618 O1618 K1618">
    <cfRule type="expression" dxfId="18617" priority="91521">
      <formula>$H1618="SUBETAPA"</formula>
    </cfRule>
  </conditionalFormatting>
  <conditionalFormatting sqref="H1625:H1626">
    <cfRule type="expression" dxfId="18616" priority="95781">
      <formula>$H1625="SUBETAPA"</formula>
    </cfRule>
  </conditionalFormatting>
  <conditionalFormatting sqref="H1633:H1634">
    <cfRule type="expression" dxfId="18615" priority="95982">
      <formula>$H1633="SUBETAPA"</formula>
    </cfRule>
    <cfRule type="expression" dxfId="18614" priority="95983">
      <formula>$H1633="ETAPA"</formula>
    </cfRule>
  </conditionalFormatting>
  <conditionalFormatting sqref="H1640 K1640 O1640">
    <cfRule type="expression" dxfId="18613" priority="96158">
      <formula>$H1640="ETAPA"</formula>
    </cfRule>
  </conditionalFormatting>
  <conditionalFormatting sqref="H1640 O1640 K1640">
    <cfRule type="expression" dxfId="18612" priority="96157">
      <formula>$H1640="SUBETAPA"</formula>
    </cfRule>
  </conditionalFormatting>
  <conditionalFormatting sqref="H1640:H1643 J1643:K1643 K1640:K1642">
    <cfRule type="expression" dxfId="18611" priority="96154">
      <formula>$H1640="CÉLULA CONSTRUTIVA"</formula>
    </cfRule>
  </conditionalFormatting>
  <conditionalFormatting sqref="H1641 K1641 O1641 H1643 J1643:K1643 O1643">
    <cfRule type="expression" dxfId="18610" priority="96269">
      <formula>$H1641="ETAPA"</formula>
    </cfRule>
  </conditionalFormatting>
  <conditionalFormatting sqref="H1641 O1641 H1643 O1643 J1643:K1643 K1641">
    <cfRule type="expression" dxfId="18609" priority="96268">
      <formula>$H1641="SUBETAPA"</formula>
    </cfRule>
  </conditionalFormatting>
  <conditionalFormatting sqref="H1642 K1642 O1642">
    <cfRule type="expression" dxfId="18608" priority="96156">
      <formula>$H1642="ETAPA"</formula>
    </cfRule>
  </conditionalFormatting>
  <conditionalFormatting sqref="H1642 O1642 K1642">
    <cfRule type="expression" dxfId="18607" priority="96155">
      <formula>$H1642="SUBETAPA"</formula>
    </cfRule>
  </conditionalFormatting>
  <conditionalFormatting sqref="H1649:H1650">
    <cfRule type="expression" dxfId="18606" priority="96440">
      <formula>$H1649="SUBETAPA"</formula>
    </cfRule>
  </conditionalFormatting>
  <conditionalFormatting sqref="H1653:H1654">
    <cfRule type="expression" dxfId="18605" priority="96641">
      <formula>$H1653="SUBETAPA"</formula>
    </cfRule>
    <cfRule type="expression" dxfId="18604" priority="96642">
      <formula>$H1653="ETAPA"</formula>
    </cfRule>
  </conditionalFormatting>
  <conditionalFormatting sqref="H1658 K1658 O1658">
    <cfRule type="expression" dxfId="18603" priority="96817">
      <formula>$H1658="ETAPA"</formula>
    </cfRule>
  </conditionalFormatting>
  <conditionalFormatting sqref="H1658 O1658 K1658">
    <cfRule type="expression" dxfId="18602" priority="96816">
      <formula>$H1658="SUBETAPA"</formula>
    </cfRule>
  </conditionalFormatting>
  <conditionalFormatting sqref="H1659 K1659 O1659">
    <cfRule type="expression" dxfId="18601" priority="96928">
      <formula>$H1659="ETAPA"</formula>
    </cfRule>
  </conditionalFormatting>
  <conditionalFormatting sqref="H1659 O1659 K1659">
    <cfRule type="expression" dxfId="18600" priority="96927">
      <formula>$H1659="SUBETAPA"</formula>
    </cfRule>
  </conditionalFormatting>
  <conditionalFormatting sqref="H1660 K1660 O1660">
    <cfRule type="expression" dxfId="18599" priority="96815">
      <formula>$H1660="ETAPA"</formula>
    </cfRule>
  </conditionalFormatting>
  <conditionalFormatting sqref="H1660 O1660 K1660">
    <cfRule type="expression" dxfId="18598" priority="96814">
      <formula>$H1660="SUBETAPA"</formula>
    </cfRule>
  </conditionalFormatting>
  <conditionalFormatting sqref="H1670 K1670 O1670">
    <cfRule type="expression" dxfId="18597" priority="97476">
      <formula>$H1670="ETAPA"</formula>
    </cfRule>
  </conditionalFormatting>
  <conditionalFormatting sqref="H1670 O1670 K1670">
    <cfRule type="expression" dxfId="18596" priority="97475">
      <formula>$H1670="SUBETAPA"</formula>
    </cfRule>
  </conditionalFormatting>
  <conditionalFormatting sqref="H1671 K1671 O1671">
    <cfRule type="expression" dxfId="18595" priority="97587">
      <formula>$H1671="ETAPA"</formula>
    </cfRule>
  </conditionalFormatting>
  <conditionalFormatting sqref="H1671 O1671 K1671">
    <cfRule type="expression" dxfId="18594" priority="97586">
      <formula>$H1671="SUBETAPA"</formula>
    </cfRule>
  </conditionalFormatting>
  <conditionalFormatting sqref="H1672 K1672 O1672">
    <cfRule type="expression" dxfId="18593" priority="97474">
      <formula>$H1672="ETAPA"</formula>
    </cfRule>
  </conditionalFormatting>
  <conditionalFormatting sqref="H1672 O1672 K1672">
    <cfRule type="expression" dxfId="18592" priority="97473">
      <formula>$H1672="SUBETAPA"</formula>
    </cfRule>
  </conditionalFormatting>
  <conditionalFormatting sqref="H1674:H1675 J1674:M1675">
    <cfRule type="expression" dxfId="18591" priority="80573">
      <formula>$H1674="SUBETAPA"</formula>
    </cfRule>
    <cfRule type="expression" dxfId="18590" priority="80574">
      <formula>$H1674="CÉLULA CONSTRUTIVA"</formula>
    </cfRule>
  </conditionalFormatting>
  <conditionalFormatting sqref="H1674:H1681 O1679:O1680">
    <cfRule type="expression" dxfId="18589" priority="80393">
      <formula>$H1674="ETAPA"</formula>
    </cfRule>
  </conditionalFormatting>
  <conditionalFormatting sqref="H1676 K1676 M1676 O1676">
    <cfRule type="expression" dxfId="18588" priority="80491">
      <formula>$H1676="CÉLULA CONSTRUTIVA"</formula>
    </cfRule>
  </conditionalFormatting>
  <conditionalFormatting sqref="H1677 K1677 M1677 O1677">
    <cfRule type="expression" dxfId="18587" priority="80485">
      <formula>$H1677="CÉLULA CONSTRUTIVA"</formula>
    </cfRule>
  </conditionalFormatting>
  <conditionalFormatting sqref="H1680 K1680 O1680">
    <cfRule type="expression" dxfId="18586" priority="80394">
      <formula>$H1680="SUBETAPA"</formula>
    </cfRule>
    <cfRule type="expression" dxfId="18585" priority="80395">
      <formula>$H1680="CÉLULA CONSTRUTIVA"</formula>
    </cfRule>
  </conditionalFormatting>
  <conditionalFormatting sqref="H1683:H1684 O1684 J1684 J1683:L1683">
    <cfRule type="expression" dxfId="18584" priority="80355">
      <formula>$H1683="SUBETAPA"</formula>
    </cfRule>
  </conditionalFormatting>
  <conditionalFormatting sqref="H1689:H1690 O1689:O1690 J1689:K1690">
    <cfRule type="expression" dxfId="18583" priority="80418">
      <formula>$H1689="SUBETAPA"</formula>
    </cfRule>
  </conditionalFormatting>
  <conditionalFormatting sqref="H1693 H1686 J1686:L1686 L1693">
    <cfRule type="expression" dxfId="18582" priority="80567">
      <formula>$H1686="CÉLULA CONSTRUTIVA"</formula>
    </cfRule>
  </conditionalFormatting>
  <conditionalFormatting sqref="H1693 L1693 J1686:L1686">
    <cfRule type="expression" dxfId="18581" priority="80568">
      <formula>$H1686="SUBETAPA"</formula>
    </cfRule>
  </conditionalFormatting>
  <conditionalFormatting sqref="H1693">
    <cfRule type="expression" dxfId="18580" priority="80569">
      <formula>$H1693="ETAPA"</formula>
    </cfRule>
  </conditionalFormatting>
  <conditionalFormatting sqref="H1694:H1695 J1694:M1695">
    <cfRule type="expression" dxfId="18579" priority="80897">
      <formula>$H1694="SUBETAPA"</formula>
    </cfRule>
    <cfRule type="expression" dxfId="18578" priority="80898">
      <formula>$H1694="CÉLULA CONSTRUTIVA"</formula>
    </cfRule>
  </conditionalFormatting>
  <conditionalFormatting sqref="H1694:H1701 J1700:L1700 J1701">
    <cfRule type="expression" dxfId="18577" priority="80680">
      <formula>$H1694="ETAPA"</formula>
    </cfRule>
  </conditionalFormatting>
  <conditionalFormatting sqref="H1696 K1696 M1696 O1696">
    <cfRule type="expression" dxfId="18576" priority="80815">
      <formula>$H1696="CÉLULA CONSTRUTIVA"</formula>
    </cfRule>
  </conditionalFormatting>
  <conditionalFormatting sqref="H1697 K1697 M1697 O1697">
    <cfRule type="expression" dxfId="18575" priority="80809">
      <formula>$H1697="CÉLULA CONSTRUTIVA"</formula>
    </cfRule>
  </conditionalFormatting>
  <conditionalFormatting sqref="H1700:H1701 J1701 J1700:L1700">
    <cfRule type="expression" dxfId="18574" priority="80678">
      <formula>$H1700="CÉLULA CONSTRUTIVA"</formula>
    </cfRule>
    <cfRule type="expression" dxfId="18573" priority="80679">
      <formula>$H1700="SUBETAPA"</formula>
    </cfRule>
  </conditionalFormatting>
  <conditionalFormatting sqref="H1706:H1707 O1706:O1707 J1706:K1707">
    <cfRule type="expression" dxfId="18572" priority="80742">
      <formula>$H1706="SUBETAPA"</formula>
    </cfRule>
  </conditionalFormatting>
  <conditionalFormatting sqref="H1709 H1703 J1703:L1703 L1709">
    <cfRule type="expression" dxfId="18571" priority="80891">
      <formula>$H1703="CÉLULA CONSTRUTIVA"</formula>
    </cfRule>
  </conditionalFormatting>
  <conditionalFormatting sqref="H1709 L1709 J1703:L1703">
    <cfRule type="expression" dxfId="18570" priority="80892">
      <formula>$H1703="SUBETAPA"</formula>
    </cfRule>
  </conditionalFormatting>
  <conditionalFormatting sqref="H1709">
    <cfRule type="expression" dxfId="18569" priority="80893">
      <formula>$H1709="ETAPA"</formula>
    </cfRule>
  </conditionalFormatting>
  <conditionalFormatting sqref="H1710:H1711 J1710:M1711">
    <cfRule type="expression" dxfId="18568" priority="81221">
      <formula>$H1710="SUBETAPA"</formula>
    </cfRule>
    <cfRule type="expression" dxfId="18567" priority="81222">
      <formula>$H1710="CÉLULA CONSTRUTIVA"</formula>
    </cfRule>
  </conditionalFormatting>
  <conditionalFormatting sqref="H1710:H1717 J1716:L1716 J1717">
    <cfRule type="expression" dxfId="18566" priority="81004">
      <formula>$H1710="ETAPA"</formula>
    </cfRule>
  </conditionalFormatting>
  <conditionalFormatting sqref="H1712 K1712 M1712 O1712">
    <cfRule type="expression" dxfId="18565" priority="81139">
      <formula>$H1712="CÉLULA CONSTRUTIVA"</formula>
    </cfRule>
  </conditionalFormatting>
  <conditionalFormatting sqref="H1713 K1713 M1713 O1713">
    <cfRule type="expression" dxfId="18564" priority="81133">
      <formula>$H1713="CÉLULA CONSTRUTIVA"</formula>
    </cfRule>
  </conditionalFormatting>
  <conditionalFormatting sqref="H1716:H1717 J1717 J1716:L1716">
    <cfRule type="expression" dxfId="18563" priority="81002">
      <formula>$H1716="CÉLULA CONSTRUTIVA"</formula>
    </cfRule>
    <cfRule type="expression" dxfId="18562" priority="81003">
      <formula>$H1716="SUBETAPA"</formula>
    </cfRule>
  </conditionalFormatting>
  <conditionalFormatting sqref="H1721:H1722 O1721:O1722 J1721:K1722">
    <cfRule type="expression" dxfId="18561" priority="81066">
      <formula>$H1721="SUBETAPA"</formula>
    </cfRule>
  </conditionalFormatting>
  <conditionalFormatting sqref="H1724 H1718 J1718:L1718 L1724">
    <cfRule type="expression" dxfId="18560" priority="81215">
      <formula>$H1718="CÉLULA CONSTRUTIVA"</formula>
    </cfRule>
  </conditionalFormatting>
  <conditionalFormatting sqref="H1724 L1724 J1718:L1718">
    <cfRule type="expression" dxfId="18559" priority="81216">
      <formula>$H1718="SUBETAPA"</formula>
    </cfRule>
  </conditionalFormatting>
  <conditionalFormatting sqref="H1724">
    <cfRule type="expression" dxfId="18558" priority="81217">
      <formula>$H1724="ETAPA"</formula>
    </cfRule>
  </conditionalFormatting>
  <conditionalFormatting sqref="H1725:H1726 J1725:M1726">
    <cfRule type="expression" dxfId="18557" priority="81545">
      <formula>$H1725="SUBETAPA"</formula>
    </cfRule>
    <cfRule type="expression" dxfId="18556" priority="81546">
      <formula>$H1725="CÉLULA CONSTRUTIVA"</formula>
    </cfRule>
  </conditionalFormatting>
  <conditionalFormatting sqref="H1725:H1732 J1731:L1731 J1732">
    <cfRule type="expression" dxfId="18555" priority="81328">
      <formula>$H1725="ETAPA"</formula>
    </cfRule>
  </conditionalFormatting>
  <conditionalFormatting sqref="H1727 K1727 M1727 O1727">
    <cfRule type="expression" dxfId="18554" priority="81463">
      <formula>$H1727="CÉLULA CONSTRUTIVA"</formula>
    </cfRule>
  </conditionalFormatting>
  <conditionalFormatting sqref="H1728 K1728 M1728 O1728">
    <cfRule type="expression" dxfId="18553" priority="81457">
      <formula>$H1728="CÉLULA CONSTRUTIVA"</formula>
    </cfRule>
  </conditionalFormatting>
  <conditionalFormatting sqref="H1731:H1732 J1732 J1731:L1731">
    <cfRule type="expression" dxfId="18552" priority="81326">
      <formula>$H1731="CÉLULA CONSTRUTIVA"</formula>
    </cfRule>
    <cfRule type="expression" dxfId="18551" priority="81327">
      <formula>$H1731="SUBETAPA"</formula>
    </cfRule>
  </conditionalFormatting>
  <conditionalFormatting sqref="H1734:H1735 O1734:O1735 J1734:K1735">
    <cfRule type="expression" dxfId="18550" priority="81390">
      <formula>$H1734="SUBETAPA"</formula>
    </cfRule>
  </conditionalFormatting>
  <conditionalFormatting sqref="H1737:H1738 J1737:M1738">
    <cfRule type="expression" dxfId="18549" priority="81869">
      <formula>$H1737="SUBETAPA"</formula>
    </cfRule>
    <cfRule type="expression" dxfId="18548" priority="81870">
      <formula>$H1737="CÉLULA CONSTRUTIVA"</formula>
    </cfRule>
  </conditionalFormatting>
  <conditionalFormatting sqref="H1739 K1739 M1739 O1739">
    <cfRule type="expression" dxfId="18547" priority="81787">
      <formula>$H1739="CÉLULA CONSTRUTIVA"</formula>
    </cfRule>
  </conditionalFormatting>
  <conditionalFormatting sqref="H1740 K1740 M1740 O1740">
    <cfRule type="expression" dxfId="18546" priority="81781">
      <formula>$H1740="CÉLULA CONSTRUTIVA"</formula>
    </cfRule>
  </conditionalFormatting>
  <conditionalFormatting sqref="H1743:H1744 J1744 J1743:L1743">
    <cfRule type="expression" dxfId="18545" priority="81650">
      <formula>$H1743="CÉLULA CONSTRUTIVA"</formula>
    </cfRule>
    <cfRule type="expression" dxfId="18544" priority="81651">
      <formula>$H1743="SUBETAPA"</formula>
    </cfRule>
  </conditionalFormatting>
  <conditionalFormatting sqref="H1746:H1747 O1746:O1747 J1746:K1747">
    <cfRule type="expression" dxfId="18543" priority="81714">
      <formula>$H1746="SUBETAPA"</formula>
    </cfRule>
  </conditionalFormatting>
  <conditionalFormatting sqref="H1749:H1750 J1749:M1750">
    <cfRule type="expression" dxfId="18542" priority="82193">
      <formula>$H1749="SUBETAPA"</formula>
    </cfRule>
    <cfRule type="expression" dxfId="18541" priority="82194">
      <formula>$H1749="CÉLULA CONSTRUTIVA"</formula>
    </cfRule>
  </conditionalFormatting>
  <conditionalFormatting sqref="H1749:H1756 J1755:L1755 J1756">
    <cfRule type="expression" dxfId="18540" priority="81976">
      <formula>$H1749="ETAPA"</formula>
    </cfRule>
  </conditionalFormatting>
  <conditionalFormatting sqref="H1751 K1751 M1751 O1751">
    <cfRule type="expression" dxfId="18539" priority="82111">
      <formula>$H1751="CÉLULA CONSTRUTIVA"</formula>
    </cfRule>
  </conditionalFormatting>
  <conditionalFormatting sqref="H1752 K1752 M1752 O1752">
    <cfRule type="expression" dxfId="18538" priority="82105">
      <formula>$H1752="CÉLULA CONSTRUTIVA"</formula>
    </cfRule>
  </conditionalFormatting>
  <conditionalFormatting sqref="H1755:H1756 J1756 J1755:L1755">
    <cfRule type="expression" dxfId="18537" priority="81974">
      <formula>$H1755="CÉLULA CONSTRUTIVA"</formula>
    </cfRule>
    <cfRule type="expression" dxfId="18536" priority="81975">
      <formula>$H1755="SUBETAPA"</formula>
    </cfRule>
  </conditionalFormatting>
  <conditionalFormatting sqref="H1758:H1759 O1758:O1759 J1758:K1759">
    <cfRule type="expression" dxfId="18535" priority="82038">
      <formula>$H1758="SUBETAPA"</formula>
    </cfRule>
  </conditionalFormatting>
  <conditionalFormatting sqref="H1761:H1762 J1761:M1762">
    <cfRule type="expression" dxfId="18534" priority="82517">
      <formula>$H1761="SUBETAPA"</formula>
    </cfRule>
    <cfRule type="expression" dxfId="18533" priority="82518">
      <formula>$H1761="CÉLULA CONSTRUTIVA"</formula>
    </cfRule>
  </conditionalFormatting>
  <conditionalFormatting sqref="H1763 K1763 M1763 O1763">
    <cfRule type="expression" dxfId="18532" priority="82435">
      <formula>$H1763="CÉLULA CONSTRUTIVA"</formula>
    </cfRule>
  </conditionalFormatting>
  <conditionalFormatting sqref="H1764 K1764 M1764 O1764">
    <cfRule type="expression" dxfId="18531" priority="82429">
      <formula>$H1764="CÉLULA CONSTRUTIVA"</formula>
    </cfRule>
  </conditionalFormatting>
  <conditionalFormatting sqref="H1767 K1767 O1767">
    <cfRule type="expression" dxfId="18530" priority="82339">
      <formula>$H1767="CÉLULA CONSTRUTIVA"</formula>
    </cfRule>
  </conditionalFormatting>
  <conditionalFormatting sqref="H1771:H1772 J1772 J1771:L1771">
    <cfRule type="expression" dxfId="18529" priority="82298">
      <formula>$H1771="CÉLULA CONSTRUTIVA"</formula>
    </cfRule>
    <cfRule type="expression" dxfId="18528" priority="82299">
      <formula>$H1771="SUBETAPA"</formula>
    </cfRule>
  </conditionalFormatting>
  <conditionalFormatting sqref="H1776:H1780 J1776:K1780">
    <cfRule type="expression" dxfId="18527" priority="82361">
      <formula>$H1776="CÉLULA CONSTRUTIVA"</formula>
    </cfRule>
  </conditionalFormatting>
  <conditionalFormatting sqref="H1779:H1780 O1779:O1780 J1779:K1780">
    <cfRule type="expression" dxfId="18526" priority="82362">
      <formula>$H1779="SUBETAPA"</formula>
    </cfRule>
  </conditionalFormatting>
  <conditionalFormatting sqref="H1784 H1773:H1775 J1775:L1775 J1774 L1784 J1773:L1773 O1774:O1778">
    <cfRule type="expression" dxfId="18525" priority="82511">
      <formula>$H1773="CÉLULA CONSTRUTIVA"</formula>
    </cfRule>
  </conditionalFormatting>
  <conditionalFormatting sqref="H1784 L1784 J1775:L1775 J1774 J1773:L1773 O1774:O1778 H1773:H1778 J1776:K1778">
    <cfRule type="expression" dxfId="18524" priority="82512">
      <formula>$H1773="SUBETAPA"</formula>
    </cfRule>
  </conditionalFormatting>
  <conditionalFormatting sqref="H1785:H1786 H1797 H1799 J1799 J1797 J1785:M1786 L1797 L1799">
    <cfRule type="expression" dxfId="18523" priority="82841">
      <formula>$H1785="SUBETAPA"</formula>
    </cfRule>
    <cfRule type="expression" dxfId="18522" priority="82842">
      <formula>$H1785="CÉLULA CONSTRUTIVA"</formula>
    </cfRule>
  </conditionalFormatting>
  <conditionalFormatting sqref="H1787 K1787 M1787 O1787">
    <cfRule type="expression" dxfId="18521" priority="82759">
      <formula>$H1787="CÉLULA CONSTRUTIVA"</formula>
    </cfRule>
  </conditionalFormatting>
  <conditionalFormatting sqref="H1788 K1788 M1788 O1788">
    <cfRule type="expression" dxfId="18520" priority="82753">
      <formula>$H1788="CÉLULA CONSTRUTIVA"</formula>
    </cfRule>
  </conditionalFormatting>
  <conditionalFormatting sqref="H1791 K1791 O1791">
    <cfRule type="expression" dxfId="18519" priority="82663">
      <formula>$H1791="CÉLULA CONSTRUTIVA"</formula>
    </cfRule>
  </conditionalFormatting>
  <conditionalFormatting sqref="H1793:H1794 J1794 J1793:L1793">
    <cfRule type="expression" dxfId="18518" priority="82622">
      <formula>$H1793="CÉLULA CONSTRUTIVA"</formula>
    </cfRule>
    <cfRule type="expression" dxfId="18517" priority="82623">
      <formula>$H1793="SUBETAPA"</formula>
    </cfRule>
  </conditionalFormatting>
  <conditionalFormatting sqref="H1795:H1796 O1796 H1810 L1810 J1802:L1802 J1796 J1795:L1795 O1802:O1805 H1802:H1805 J1803:K1805">
    <cfRule type="expression" dxfId="18516" priority="82836">
      <formula>$H1795="SUBETAPA"</formula>
    </cfRule>
  </conditionalFormatting>
  <conditionalFormatting sqref="H1800:H1801 J1800:J1801 L1800:L1801">
    <cfRule type="expression" dxfId="18515" priority="78860">
      <formula>$H1800="SUBETAPA"</formula>
    </cfRule>
    <cfRule type="expression" dxfId="18514" priority="78861">
      <formula>$H1800="CÉLULA CONSTRUTIVA"</formula>
    </cfRule>
    <cfRule type="expression" dxfId="18513" priority="78862">
      <formula>$H1800="ETAPA"</formula>
    </cfRule>
  </conditionalFormatting>
  <conditionalFormatting sqref="H1803:H1807 J1803:K1807">
    <cfRule type="expression" dxfId="18512" priority="82685">
      <formula>$H1803="CÉLULA CONSTRUTIVA"</formula>
    </cfRule>
  </conditionalFormatting>
  <conditionalFormatting sqref="H1806:H1807 J1806:K1807 O1806:O1807">
    <cfRule type="expression" dxfId="18511" priority="82687">
      <formula>$H1806="ETAPA"</formula>
    </cfRule>
  </conditionalFormatting>
  <conditionalFormatting sqref="H1806:H1807 O1806:O1807 J1806:K1807">
    <cfRule type="expression" dxfId="18510" priority="82686">
      <formula>$H1806="SUBETAPA"</formula>
    </cfRule>
  </conditionalFormatting>
  <conditionalFormatting sqref="H1811:H1812 J1811:M1812">
    <cfRule type="expression" dxfId="18509" priority="83165">
      <formula>$H1811="SUBETAPA"</formula>
    </cfRule>
    <cfRule type="expression" dxfId="18508" priority="83166">
      <formula>$H1811="CÉLULA CONSTRUTIVA"</formula>
    </cfRule>
  </conditionalFormatting>
  <conditionalFormatting sqref="H1813 K1813 M1813 O1813">
    <cfRule type="expression" dxfId="18507" priority="83083">
      <formula>$H1813="CÉLULA CONSTRUTIVA"</formula>
    </cfRule>
  </conditionalFormatting>
  <conditionalFormatting sqref="H1814 K1814 M1814 O1814">
    <cfRule type="expression" dxfId="18506" priority="83077">
      <formula>$H1814="CÉLULA CONSTRUTIVA"</formula>
    </cfRule>
  </conditionalFormatting>
  <conditionalFormatting sqref="H1816 K1816 O1816">
    <cfRule type="expression" dxfId="18505" priority="82987">
      <formula>$H1816="CÉLULA CONSTRUTIVA"</formula>
    </cfRule>
  </conditionalFormatting>
  <conditionalFormatting sqref="H1816">
    <cfRule type="expression" dxfId="18504" priority="82985">
      <formula>$H1816="ETAPA"</formula>
    </cfRule>
  </conditionalFormatting>
  <conditionalFormatting sqref="H1823 H1818 J1818:L1818 L1823">
    <cfRule type="expression" dxfId="18503" priority="83159">
      <formula>$H1818="CÉLULA CONSTRUTIVA"</formula>
    </cfRule>
  </conditionalFormatting>
  <conditionalFormatting sqref="H1823 L1823 J1818:L1818">
    <cfRule type="expression" dxfId="18502" priority="83160">
      <formula>$H1818="SUBETAPA"</formula>
    </cfRule>
  </conditionalFormatting>
  <conditionalFormatting sqref="H1824:H1825 J1824:M1825">
    <cfRule type="expression" dxfId="18501" priority="83489">
      <formula>$H1824="SUBETAPA"</formula>
    </cfRule>
    <cfRule type="expression" dxfId="18500" priority="83490">
      <formula>$H1824="CÉLULA CONSTRUTIVA"</formula>
    </cfRule>
  </conditionalFormatting>
  <conditionalFormatting sqref="H1826 K1826 M1826 O1826">
    <cfRule type="expression" dxfId="18499" priority="83407">
      <formula>$H1826="CÉLULA CONSTRUTIVA"</formula>
    </cfRule>
  </conditionalFormatting>
  <conditionalFormatting sqref="H1827 K1827 M1827 O1827">
    <cfRule type="expression" dxfId="18498" priority="83401">
      <formula>$H1827="CÉLULA CONSTRUTIVA"</formula>
    </cfRule>
  </conditionalFormatting>
  <conditionalFormatting sqref="H1829 K1829 O1829">
    <cfRule type="expression" dxfId="18497" priority="83311">
      <formula>$H1829="CÉLULA CONSTRUTIVA"</formula>
    </cfRule>
  </conditionalFormatting>
  <conditionalFormatting sqref="H1836 H1831 J1831:L1831 L1836">
    <cfRule type="expression" dxfId="18496" priority="83483">
      <formula>$H1831="CÉLULA CONSTRUTIVA"</formula>
    </cfRule>
  </conditionalFormatting>
  <conditionalFormatting sqref="H1836 J1833:K1833">
    <cfRule type="expression" dxfId="18495" priority="83485">
      <formula>$H1833="ETAPA"</formula>
    </cfRule>
  </conditionalFormatting>
  <conditionalFormatting sqref="H1836 L1836 J1831:L1831">
    <cfRule type="expression" dxfId="18494" priority="83484">
      <formula>$H1831="SUBETAPA"</formula>
    </cfRule>
  </conditionalFormatting>
  <conditionalFormatting sqref="H1839 K1839 M1839 O1839">
    <cfRule type="expression" dxfId="18493" priority="111885">
      <formula>$H1839="CÉLULA CONSTRUTIVA"</formula>
    </cfRule>
  </conditionalFormatting>
  <conditionalFormatting sqref="H1840 K1840 M1840 O1840">
    <cfRule type="expression" dxfId="18492" priority="111838">
      <formula>$H1840="CÉLULA CONSTRUTIVA"</formula>
    </cfRule>
  </conditionalFormatting>
  <conditionalFormatting sqref="H1842 K1842 O1842">
    <cfRule type="expression" dxfId="18491" priority="104427">
      <formula>$H1842="CÉLULA CONSTRUTIVA"</formula>
    </cfRule>
  </conditionalFormatting>
  <conditionalFormatting sqref="H1852:H1854 J1853:L1854">
    <cfRule type="expression" dxfId="18490" priority="79299">
      <formula>$H1852="ETAPA"</formula>
    </cfRule>
  </conditionalFormatting>
  <conditionalFormatting sqref="H1853:H1854 J1853:M1854">
    <cfRule type="expression" dxfId="18489" priority="79302">
      <formula>$H1853="SUBETAPA"</formula>
    </cfRule>
    <cfRule type="expression" dxfId="18488" priority="79303">
      <formula>$H1853="CÉLULA CONSTRUTIVA"</formula>
    </cfRule>
  </conditionalFormatting>
  <conditionalFormatting sqref="H1855 K1855 M1855 O1855">
    <cfRule type="expression" dxfId="18487" priority="79220">
      <formula>$H1855="CÉLULA CONSTRUTIVA"</formula>
    </cfRule>
  </conditionalFormatting>
  <conditionalFormatting sqref="H1856 K1856 M1856 O1856">
    <cfRule type="expression" dxfId="18486" priority="79214">
      <formula>$H1856="CÉLULA CONSTRUTIVA"</formula>
    </cfRule>
  </conditionalFormatting>
  <conditionalFormatting sqref="H1858 K1858 O1858">
    <cfRule type="expression" dxfId="18485" priority="79124">
      <formula>$H1858="CÉLULA CONSTRUTIVA"</formula>
    </cfRule>
  </conditionalFormatting>
  <conditionalFormatting sqref="H1858">
    <cfRule type="expression" dxfId="18484" priority="79122">
      <formula>$H1858="ETAPA"</formula>
    </cfRule>
  </conditionalFormatting>
  <conditionalFormatting sqref="H1868 H1862 J1862:L1862 L1868">
    <cfRule type="expression" dxfId="18483" priority="79296">
      <formula>$H1862="CÉLULA CONSTRUTIVA"</formula>
    </cfRule>
  </conditionalFormatting>
  <conditionalFormatting sqref="H1868 L1868 J1862:L1862">
    <cfRule type="expression" dxfId="18482" priority="79297">
      <formula>$H1862="SUBETAPA"</formula>
    </cfRule>
  </conditionalFormatting>
  <conditionalFormatting sqref="H1868:H1870 J1864:K1864">
    <cfRule type="expression" dxfId="18481" priority="79298">
      <formula>$H1864="ETAPA"</formula>
    </cfRule>
  </conditionalFormatting>
  <conditionalFormatting sqref="H1869:H1870 J1869:M1870">
    <cfRule type="expression" dxfId="18480" priority="79626">
      <formula>$H1869="SUBETAPA"</formula>
    </cfRule>
    <cfRule type="expression" dxfId="18479" priority="79627">
      <formula>$H1869="CÉLULA CONSTRUTIVA"</formula>
    </cfRule>
  </conditionalFormatting>
  <conditionalFormatting sqref="H1871 K1871 M1871 O1871">
    <cfRule type="expression" dxfId="18478" priority="79544">
      <formula>$H1871="CÉLULA CONSTRUTIVA"</formula>
    </cfRule>
  </conditionalFormatting>
  <conditionalFormatting sqref="H1872 K1872 M1872 O1872">
    <cfRule type="expression" dxfId="18477" priority="79538">
      <formula>$H1872="CÉLULA CONSTRUTIVA"</formula>
    </cfRule>
  </conditionalFormatting>
  <conditionalFormatting sqref="H1881 H1876 J1876:L1876 L1881">
    <cfRule type="expression" dxfId="18476" priority="79620">
      <formula>$H1876="CÉLULA CONSTRUTIVA"</formula>
    </cfRule>
  </conditionalFormatting>
  <conditionalFormatting sqref="H1881 L1881 J1876:L1876">
    <cfRule type="expression" dxfId="18475" priority="79621">
      <formula>$H1876="SUBETAPA"</formula>
    </cfRule>
  </conditionalFormatting>
  <conditionalFormatting sqref="H1881:H1883 J1878:K1878">
    <cfRule type="expression" dxfId="18474" priority="79622">
      <formula>$H1878="ETAPA"</formula>
    </cfRule>
  </conditionalFormatting>
  <conditionalFormatting sqref="H1882:H1883 J1882:M1883">
    <cfRule type="expression" dxfId="18473" priority="79950">
      <formula>$H1882="SUBETAPA"</formula>
    </cfRule>
    <cfRule type="expression" dxfId="18472" priority="79951">
      <formula>$H1882="CÉLULA CONSTRUTIVA"</formula>
    </cfRule>
  </conditionalFormatting>
  <conditionalFormatting sqref="H1884 K1884 M1884 O1884">
    <cfRule type="expression" dxfId="18471" priority="79868">
      <formula>$H1884="CÉLULA CONSTRUTIVA"</formula>
    </cfRule>
  </conditionalFormatting>
  <conditionalFormatting sqref="H1885 K1885 M1885 O1885">
    <cfRule type="expression" dxfId="18470" priority="79862">
      <formula>$H1885="CÉLULA CONSTRUTIVA"</formula>
    </cfRule>
  </conditionalFormatting>
  <conditionalFormatting sqref="H1891 H1887 J1887:L1887 L1891 H1896 H1893 J1893:L1893 L1896">
    <cfRule type="expression" dxfId="18469" priority="79944">
      <formula>$H1887="CÉLULA CONSTRUTIVA"</formula>
    </cfRule>
  </conditionalFormatting>
  <conditionalFormatting sqref="H1891 H1896 J1889:K1889">
    <cfRule type="expression" dxfId="18468" priority="79946">
      <formula>$H1889="ETAPA"</formula>
    </cfRule>
  </conditionalFormatting>
  <conditionalFormatting sqref="H1891 L1891 J1887:L1887 L1896 J1893:L1893">
    <cfRule type="expression" dxfId="18467" priority="79945">
      <formula>$H1887="SUBETAPA"</formula>
    </cfRule>
  </conditionalFormatting>
  <conditionalFormatting sqref="H1899 J1899:L1899">
    <cfRule type="expression" dxfId="18466" priority="76083">
      <formula>$H1899="CÉLULA CONSTRUTIVA"</formula>
    </cfRule>
  </conditionalFormatting>
  <conditionalFormatting sqref="H1908 J1908:L1908">
    <cfRule type="expression" dxfId="18465" priority="75974">
      <formula>$H1908="ETAPA"</formula>
    </cfRule>
  </conditionalFormatting>
  <conditionalFormatting sqref="H1908:H1909">
    <cfRule type="expression" dxfId="18464" priority="75975">
      <formula>$H1908="SUBETAPA"</formula>
    </cfRule>
    <cfRule type="expression" dxfId="18463" priority="75976">
      <formula>$H1908="CÉLULA CONSTRUTIVA"</formula>
    </cfRule>
  </conditionalFormatting>
  <conditionalFormatting sqref="H1913 J1913:L1913">
    <cfRule type="expression" dxfId="18462" priority="76269">
      <formula>$H1913="CÉLULA CONSTRUTIVA"</formula>
    </cfRule>
  </conditionalFormatting>
  <conditionalFormatting sqref="H1926 J1926:L1926">
    <cfRule type="expression" dxfId="18461" priority="76455">
      <formula>$H1926="CÉLULA CONSTRUTIVA"</formula>
    </cfRule>
  </conditionalFormatting>
  <conditionalFormatting sqref="H1934 J1934:L1934">
    <cfRule type="expression" dxfId="18460" priority="76641">
      <formula>$H1934="CÉLULA CONSTRUTIVA"</formula>
    </cfRule>
  </conditionalFormatting>
  <conditionalFormatting sqref="H1939 J1939:L1939">
    <cfRule type="expression" dxfId="18459" priority="76827">
      <formula>$H1939="CÉLULA CONSTRUTIVA"</formula>
    </cfRule>
  </conditionalFormatting>
  <conditionalFormatting sqref="H1947 J1947:L1947">
    <cfRule type="expression" dxfId="18458" priority="77013">
      <formula>$H1947="CÉLULA CONSTRUTIVA"</formula>
    </cfRule>
  </conditionalFormatting>
  <conditionalFormatting sqref="H1956 J1956:L1956">
    <cfRule type="expression" dxfId="18457" priority="77199">
      <formula>$H1956="CÉLULA CONSTRUTIVA"</formula>
    </cfRule>
  </conditionalFormatting>
  <conditionalFormatting sqref="H2013 J2013:L2013">
    <cfRule type="expression" dxfId="18456" priority="78315">
      <formula>$H2013="CÉLULA CONSTRUTIVA"</formula>
    </cfRule>
  </conditionalFormatting>
  <conditionalFormatting sqref="H2024 J2024:L2024">
    <cfRule type="expression" dxfId="18455" priority="78501">
      <formula>$H2024="CÉLULA CONSTRUTIVA"</formula>
    </cfRule>
  </conditionalFormatting>
  <conditionalFormatting sqref="H2031:H2033 J2032:L2033 H2041 O2051">
    <cfRule type="expression" dxfId="18454" priority="67364">
      <formula>$H2031="ETAPA"</formula>
    </cfRule>
  </conditionalFormatting>
  <conditionalFormatting sqref="H2040 J2040:K2040">
    <cfRule type="expression" dxfId="18453" priority="67019">
      <formula>$H2040="CÉLULA CONSTRUTIVA"</formula>
    </cfRule>
  </conditionalFormatting>
  <conditionalFormatting sqref="H2043 K2043 O2043">
    <cfRule type="expression" dxfId="18452" priority="67272">
      <formula>$H2043="CÉLULA CONSTRUTIVA"</formula>
    </cfRule>
  </conditionalFormatting>
  <conditionalFormatting sqref="H2047 K2047 O2047">
    <cfRule type="expression" dxfId="18451" priority="67160">
      <formula>$H2047="CÉLULA CONSTRUTIVA"</formula>
    </cfRule>
  </conditionalFormatting>
  <conditionalFormatting sqref="H2047">
    <cfRule type="expression" dxfId="18450" priority="67158">
      <formula>$H2047="ETAPA"</formula>
    </cfRule>
  </conditionalFormatting>
  <conditionalFormatting sqref="H2051 J2051">
    <cfRule type="expression" dxfId="18449" priority="67359">
      <formula>$H2051="ETAPA"</formula>
    </cfRule>
  </conditionalFormatting>
  <conditionalFormatting sqref="H2052:H2053 O2053 J2040:K2040 J2035:L2035 J2053:K2053 J2052:L2052 O2038:O2040 H2038:H2040 J2038:L2038 K2039:L2039 L2053:L2054">
    <cfRule type="expression" dxfId="18448" priority="67362">
      <formula>$H2035="SUBETAPA"</formula>
    </cfRule>
  </conditionalFormatting>
  <conditionalFormatting sqref="H2054:H2055 H2041 H2032:H2033 H2036 J2036:L2036 J2032:M2033 J2041:L2041 J2055:L2055 J2054:K2054">
    <cfRule type="expression" dxfId="18447" priority="67365">
      <formula>$H2032="SUBETAPA"</formula>
    </cfRule>
    <cfRule type="expression" dxfId="18446" priority="67366">
      <formula>$H2032="CÉLULA CONSTRUTIVA"</formula>
    </cfRule>
  </conditionalFormatting>
  <conditionalFormatting sqref="H2059:H2060 O2059:O2060 J2059:K2060">
    <cfRule type="expression" dxfId="18445" priority="67183">
      <formula>$H2059="SUBETAPA"</formula>
    </cfRule>
  </conditionalFormatting>
  <conditionalFormatting sqref="H2066:H2068 J2066:L2068 O2067:O2068 K2070:L2070 J2071:L2074 H2074:H2075 J2075:K2075 O2075 L2075:L2076 J2081:K2081 H2082:H2085 J2082:L2085">
    <cfRule type="expression" dxfId="18444" priority="68003">
      <formula>$H2066="ETAPA"</formula>
    </cfRule>
  </conditionalFormatting>
  <conditionalFormatting sqref="H2071 J2071:K2071">
    <cfRule type="expression" dxfId="18443" priority="67659">
      <formula>$H2071="CÉLULA CONSTRUTIVA"</formula>
    </cfRule>
  </conditionalFormatting>
  <conditionalFormatting sqref="H2072:H2073 J2073">
    <cfRule type="expression" dxfId="18442" priority="67999">
      <formula>$H2072="ETAPA"</formula>
    </cfRule>
  </conditionalFormatting>
  <conditionalFormatting sqref="H2074:H2075 O2075 H2066:H2067 O2067 J2071:K2071 J2067:K2067 J2066:L2066 J2075:K2075 J2074:L2074 K2070:L2070 J2079:L2080 L2075:L2076">
    <cfRule type="expression" dxfId="18441" priority="68002">
      <formula>$H2066="SUBETAPA"</formula>
    </cfRule>
  </conditionalFormatting>
  <conditionalFormatting sqref="H2076:H2077 H2072 H2063:H2064 J2063:M2064 J2072:L2072 J2077:L2077 J2076:K2076">
    <cfRule type="expression" dxfId="18440" priority="68005">
      <formula>$H2063="SUBETAPA"</formula>
    </cfRule>
    <cfRule type="expression" dxfId="18439" priority="68006">
      <formula>$H2063="CÉLULA CONSTRUTIVA"</formula>
    </cfRule>
  </conditionalFormatting>
  <conditionalFormatting sqref="H2087:H2088 J2087:L2088 O2088 K2090:K2091 J2091 J2099:K2099">
    <cfRule type="expression" dxfId="18438" priority="68643">
      <formula>$H2087="ETAPA"</formula>
    </cfRule>
  </conditionalFormatting>
  <conditionalFormatting sqref="H2087:H2088 O2088 J2091:K2091 J2088:K2088 J2087:L2087 J2094:L2094 K2090">
    <cfRule type="expression" dxfId="18437" priority="68642">
      <formula>$H2087="SUBETAPA"</formula>
    </cfRule>
  </conditionalFormatting>
  <conditionalFormatting sqref="H2091 J2091:K2091">
    <cfRule type="expression" dxfId="18436" priority="68299">
      <formula>$H2091="CÉLULA CONSTRUTIVA"</formula>
    </cfRule>
  </conditionalFormatting>
  <conditionalFormatting sqref="H2092:H2093 J2093:L2093">
    <cfRule type="expression" dxfId="18435" priority="68639">
      <formula>$H2092="ETAPA"</formula>
    </cfRule>
  </conditionalFormatting>
  <conditionalFormatting sqref="H2095:H2096 H2092 H2084:H2085 J2084:M2085 J2092:K2092 J2095:L2096">
    <cfRule type="expression" dxfId="18434" priority="68645">
      <formula>$H2084="SUBETAPA"</formula>
    </cfRule>
    <cfRule type="expression" dxfId="18433" priority="68646">
      <formula>$H2084="CÉLULA CONSTRUTIVA"</formula>
    </cfRule>
  </conditionalFormatting>
  <conditionalFormatting sqref="H2101:H2102 J2101:L2102 O2109">
    <cfRule type="expression" dxfId="18432" priority="69284">
      <formula>$H2101="ETAPA"</formula>
    </cfRule>
  </conditionalFormatting>
  <conditionalFormatting sqref="H2104:H2105 J2104:L2105 O2105 K2107:K2108 J2108:J2109 J2115:K2115">
    <cfRule type="expression" dxfId="18431" priority="69283">
      <formula>$H2104="ETAPA"</formula>
    </cfRule>
  </conditionalFormatting>
  <conditionalFormatting sqref="H2104:H2105 O2105 J2108:K2108 J2105:K2105 J2104:L2104 J2110:L2110 K2107">
    <cfRule type="expression" dxfId="18430" priority="69282">
      <formula>$H2104="SUBETAPA"</formula>
    </cfRule>
  </conditionalFormatting>
  <conditionalFormatting sqref="H2108 J2108:K2108">
    <cfRule type="expression" dxfId="18429" priority="68939">
      <formula>$H2108="CÉLULA CONSTRUTIVA"</formula>
    </cfRule>
  </conditionalFormatting>
  <conditionalFormatting sqref="H2109 J2109:L2109">
    <cfRule type="expression" dxfId="18428" priority="69279">
      <formula>$H2109="ETAPA"</formula>
    </cfRule>
  </conditionalFormatting>
  <conditionalFormatting sqref="H2111:H2112 H2101:H2102 J2101:M2102 J2111:L2112">
    <cfRule type="expression" dxfId="18427" priority="69285">
      <formula>$H2101="SUBETAPA"</formula>
    </cfRule>
    <cfRule type="expression" dxfId="18426" priority="69286">
      <formula>$H2101="CÉLULA CONSTRUTIVA"</formula>
    </cfRule>
  </conditionalFormatting>
  <conditionalFormatting sqref="H2117:H2118 J2117:L2118 J2125:L2126 O2126">
    <cfRule type="expression" dxfId="18425" priority="69924">
      <formula>$H2117="ETAPA"</formula>
    </cfRule>
  </conditionalFormatting>
  <conditionalFormatting sqref="H2120:H2121 J2120:L2121 O2121 K2123:K2124 J2124 J2132:K2132">
    <cfRule type="expression" dxfId="18424" priority="69923">
      <formula>$H2120="ETAPA"</formula>
    </cfRule>
  </conditionalFormatting>
  <conditionalFormatting sqref="H2120:H2121 O2121 J2124:K2124 J2121:K2121 J2120:L2120 J2127:L2127 K2123">
    <cfRule type="expression" dxfId="18423" priority="69922">
      <formula>$H2120="SUBETAPA"</formula>
    </cfRule>
  </conditionalFormatting>
  <conditionalFormatting sqref="H2124 J2124:K2124">
    <cfRule type="expression" dxfId="18422" priority="69579">
      <formula>$H2124="CÉLULA CONSTRUTIVA"</formula>
    </cfRule>
  </conditionalFormatting>
  <conditionalFormatting sqref="H2125:H2126 J2126">
    <cfRule type="expression" dxfId="18421" priority="69919">
      <formula>$H2125="ETAPA"</formula>
    </cfRule>
  </conditionalFormatting>
  <conditionalFormatting sqref="H2128:H2129 H2125 H2117:H2118 J2117:M2118 J2125:L2125 J2128:L2129">
    <cfRule type="expression" dxfId="18420" priority="69925">
      <formula>$H2117="SUBETAPA"</formula>
    </cfRule>
    <cfRule type="expression" dxfId="18419" priority="69926">
      <formula>$H2117="CÉLULA CONSTRUTIVA"</formula>
    </cfRule>
  </conditionalFormatting>
  <conditionalFormatting sqref="H2134:H2135 J2134:L2135 J2143:K2143 O2144">
    <cfRule type="expression" dxfId="18418" priority="70564">
      <formula>$H2134="ETAPA"</formula>
    </cfRule>
  </conditionalFormatting>
  <conditionalFormatting sqref="H2137:H2138 J2137:L2138 O2138 K2141:K2142 J2142 J2144:L2145 J2150:K2150">
    <cfRule type="expression" dxfId="18417" priority="70563">
      <formula>$H2137="ETAPA"</formula>
    </cfRule>
  </conditionalFormatting>
  <conditionalFormatting sqref="H2137:H2138 O2138 J2142:K2142 J2138:K2138 J2137:L2137 J2145:L2145 O2140:O2142 H2140:H2142 J2140:L2140 K2141">
    <cfRule type="expression" dxfId="18416" priority="70562">
      <formula>$H2137="SUBETAPA"</formula>
    </cfRule>
  </conditionalFormatting>
  <conditionalFormatting sqref="H2142 J2142:K2142">
    <cfRule type="expression" dxfId="18415" priority="70219">
      <formula>$H2142="CÉLULA CONSTRUTIVA"</formula>
    </cfRule>
  </conditionalFormatting>
  <conditionalFormatting sqref="H2143:H2144 J2144">
    <cfRule type="expression" dxfId="18414" priority="70559">
      <formula>$H2143="ETAPA"</formula>
    </cfRule>
  </conditionalFormatting>
  <conditionalFormatting sqref="H2146:H2147 H2143 H2134:H2135 J2134:M2135 J2143:K2143 J2147:L2147 J2146:K2146">
    <cfRule type="expression" dxfId="18413" priority="70565">
      <formula>$H2134="SUBETAPA"</formula>
    </cfRule>
    <cfRule type="expression" dxfId="18412" priority="70566">
      <formula>$H2134="CÉLULA CONSTRUTIVA"</formula>
    </cfRule>
  </conditionalFormatting>
  <conditionalFormatting sqref="H2155:H2156 J2155:L2156 O2156 K2158:K2159 J2159 J2168:L2169 H2169:H2170 J2170:K2170 O2170 L2170:L2171 J2176:K2177 K2180:L2180 O2180">
    <cfRule type="expression" dxfId="18411" priority="71203">
      <formula>$H2155="ETAPA"</formula>
    </cfRule>
  </conditionalFormatting>
  <conditionalFormatting sqref="H2159 J2159:K2159">
    <cfRule type="expression" dxfId="18410" priority="70859">
      <formula>$H2159="CÉLULA CONSTRUTIVA"</formula>
    </cfRule>
  </conditionalFormatting>
  <conditionalFormatting sqref="H2160:H2164 J2161:L2162 O2161:O2164 K2163:L2164 J2164">
    <cfRule type="expression" dxfId="18409" priority="70789">
      <formula>$H2160="ETAPA"</formula>
    </cfRule>
  </conditionalFormatting>
  <conditionalFormatting sqref="H2161 O2161">
    <cfRule type="expression" dxfId="18408" priority="70793">
      <formula>$H2161="CÉLULA CONSTRUTIVA"</formula>
    </cfRule>
  </conditionalFormatting>
  <conditionalFormatting sqref="H2162:H2163 O2162:O2164 J2162:L2162 K2163:L2163">
    <cfRule type="expression" dxfId="18407" priority="70783">
      <formula>$H2162="CÉLULA CONSTRUTIVA"</formula>
    </cfRule>
  </conditionalFormatting>
  <conditionalFormatting sqref="H2164 J2164:K2164">
    <cfRule type="expression" dxfId="18406" priority="70740">
      <formula>$H2164="CÉLULA CONSTRUTIVA"</formula>
    </cfRule>
  </conditionalFormatting>
  <conditionalFormatting sqref="H2165 J2165:L2165">
    <cfRule type="expression" dxfId="18405" priority="70790">
      <formula>$H2165="SUBETAPA"</formula>
    </cfRule>
    <cfRule type="expression" dxfId="18404" priority="70791">
      <formula>$H2165="CÉLULA CONSTRUTIVA"</formula>
    </cfRule>
  </conditionalFormatting>
  <conditionalFormatting sqref="H2165:H2166">
    <cfRule type="expression" dxfId="18403" priority="70998">
      <formula>$H2165="ETAPA"</formula>
    </cfRule>
  </conditionalFormatting>
  <conditionalFormatting sqref="H2166 K2166 O2166">
    <cfRule type="expression" dxfId="18402" priority="71000">
      <formula>$H2166="CÉLULA CONSTRUTIVA"</formula>
    </cfRule>
  </conditionalFormatting>
  <conditionalFormatting sqref="H2168 J2168">
    <cfRule type="expression" dxfId="18401" priority="71199">
      <formula>$H2168="ETAPA"</formula>
    </cfRule>
  </conditionalFormatting>
  <conditionalFormatting sqref="H2169:H2170 O2170 H2155:H2156 O2156 J2159:K2159 J2156:K2156 J2155:L2155 J2176:K2177 J2170:K2170 J2169:L2169 K2158 L2170:L2171">
    <cfRule type="expression" dxfId="18400" priority="71202">
      <formula>$H2155="SUBETAPA"</formula>
    </cfRule>
  </conditionalFormatting>
  <conditionalFormatting sqref="H2171 H2173 H2160 H2152:H2153 J2152:M2153 J2160:K2160 J2173:L2173 J2171:K2171">
    <cfRule type="expression" dxfId="18399" priority="71205">
      <formula>$H2152="SUBETAPA"</formula>
    </cfRule>
    <cfRule type="expression" dxfId="18398" priority="71206">
      <formula>$H2152="CÉLULA CONSTRUTIVA"</formula>
    </cfRule>
  </conditionalFormatting>
  <conditionalFormatting sqref="H2186 J2186:K2186">
    <cfRule type="expression" dxfId="18397" priority="71499">
      <formula>$H2186="CÉLULA CONSTRUTIVA"</formula>
    </cfRule>
  </conditionalFormatting>
  <conditionalFormatting sqref="H2190 K2190 O2190">
    <cfRule type="expression" dxfId="18396" priority="71640">
      <formula>$H2190="CÉLULA CONSTRUTIVA"</formula>
    </cfRule>
  </conditionalFormatting>
  <conditionalFormatting sqref="H2190:H2191">
    <cfRule type="expression" dxfId="18395" priority="71638">
      <formula>$H2190="ETAPA"</formula>
    </cfRule>
  </conditionalFormatting>
  <conditionalFormatting sqref="H2194:H2195 J2194:K2195">
    <cfRule type="expression" dxfId="18394" priority="71310">
      <formula>$H2194="CÉLULA CONSTRUTIVA"</formula>
    </cfRule>
  </conditionalFormatting>
  <conditionalFormatting sqref="H2195:H2196 J2196:L2196 H2187 J2187:L2187 J2191:L2191 O2200">
    <cfRule type="expression" dxfId="18393" priority="71844">
      <formula>$H2187="ETAPA"</formula>
    </cfRule>
  </conditionalFormatting>
  <conditionalFormatting sqref="H2196 J2196:L2196">
    <cfRule type="expression" dxfId="18392" priority="71338">
      <formula>$H2196="SUBETAPA"</formula>
    </cfRule>
    <cfRule type="expression" dxfId="18391" priority="71339">
      <formula>$H2196="CÉLULA CONSTRUTIVA"</formula>
    </cfRule>
  </conditionalFormatting>
  <conditionalFormatting sqref="H2200 J2200">
    <cfRule type="expression" dxfId="18390" priority="71839">
      <formula>$H2200="ETAPA"</formula>
    </cfRule>
  </conditionalFormatting>
  <conditionalFormatting sqref="H2201:H2202 O2202 J2186:K2186 J2206:K2207 J2202:K2202 J2201:L2201 K2185 L2202:L2203">
    <cfRule type="expression" dxfId="18389" priority="71842">
      <formula>$H2185="SUBETAPA"</formula>
    </cfRule>
  </conditionalFormatting>
  <conditionalFormatting sqref="H2203:H2204 H2187 H2181:H2182 J2181:M2182 J2187:L2187 J2204:L2204 J2203:K2203">
    <cfRule type="expression" dxfId="18388" priority="71845">
      <formula>$H2181="SUBETAPA"</formula>
    </cfRule>
    <cfRule type="expression" dxfId="18387" priority="71846">
      <formula>$H2181="CÉLULA CONSTRUTIVA"</formula>
    </cfRule>
  </conditionalFormatting>
  <conditionalFormatting sqref="H2217 J2217:K2217">
    <cfRule type="expression" dxfId="18386" priority="72139">
      <formula>$H2217="CÉLULA CONSTRUTIVA"</formula>
    </cfRule>
  </conditionalFormatting>
  <conditionalFormatting sqref="H2218:H2219">
    <cfRule type="expression" dxfId="18385" priority="72278">
      <formula>$H2218="ETAPA"</formula>
    </cfRule>
  </conditionalFormatting>
  <conditionalFormatting sqref="H2219 K2219 O2219">
    <cfRule type="expression" dxfId="18384" priority="72280">
      <formula>$H2219="CÉLULA CONSTRUTIVA"</formula>
    </cfRule>
  </conditionalFormatting>
  <conditionalFormatting sqref="H2221 J2221">
    <cfRule type="expression" dxfId="18383" priority="72479">
      <formula>$H2221="ETAPA"</formula>
    </cfRule>
  </conditionalFormatting>
  <conditionalFormatting sqref="H2222:H2223 O2223 J2217:K2217 J2223:K2223 J2222:L2222 K2216">
    <cfRule type="expression" dxfId="18382" priority="72482">
      <formula>$H2216="SUBETAPA"</formula>
    </cfRule>
  </conditionalFormatting>
  <conditionalFormatting sqref="H2224:H2225 H2218 H2210:H2211 J2210:M2211 J2218:K2218 J2225:L2225 J2224:K2224">
    <cfRule type="expression" dxfId="18381" priority="72485">
      <formula>$H2210="SUBETAPA"</formula>
    </cfRule>
    <cfRule type="expression" dxfId="18380" priority="72486">
      <formula>$H2210="CÉLULA CONSTRUTIVA"</formula>
    </cfRule>
  </conditionalFormatting>
  <conditionalFormatting sqref="H2237 J2237:K2237">
    <cfRule type="expression" dxfId="18379" priority="72779">
      <formula>$H2237="CÉLULA CONSTRUTIVA"</formula>
    </cfRule>
  </conditionalFormatting>
  <conditionalFormatting sqref="H2238:H2239">
    <cfRule type="expression" dxfId="18378" priority="72918">
      <formula>$H2238="ETAPA"</formula>
    </cfRule>
  </conditionalFormatting>
  <conditionalFormatting sqref="H2239 K2239 O2239">
    <cfRule type="expression" dxfId="18377" priority="72920">
      <formula>$H2239="CÉLULA CONSTRUTIVA"</formula>
    </cfRule>
  </conditionalFormatting>
  <conditionalFormatting sqref="H2241 J2241">
    <cfRule type="expression" dxfId="18376" priority="73119">
      <formula>$H2241="ETAPA"</formula>
    </cfRule>
  </conditionalFormatting>
  <conditionalFormatting sqref="H2242:H2243 O2243 J2237:K2237 J2243:K2243 J2242:L2242 K2236">
    <cfRule type="expression" dxfId="18375" priority="73122">
      <formula>$H2236="SUBETAPA"</formula>
    </cfRule>
  </conditionalFormatting>
  <conditionalFormatting sqref="H2244:H2245 H2238 H2230:H2231 J2230:M2231 J2238:K2238 J2244:L2245">
    <cfRule type="expression" dxfId="18374" priority="73125">
      <formula>$H2230="SUBETAPA"</formula>
    </cfRule>
    <cfRule type="expression" dxfId="18373" priority="73126">
      <formula>$H2230="CÉLULA CONSTRUTIVA"</formula>
    </cfRule>
  </conditionalFormatting>
  <conditionalFormatting sqref="H2257 J2257:K2257">
    <cfRule type="expression" dxfId="18372" priority="73419">
      <formula>$H2257="CÉLULA CONSTRUTIVA"</formula>
    </cfRule>
  </conditionalFormatting>
  <conditionalFormatting sqref="H2259 K2259 O2259">
    <cfRule type="expression" dxfId="18371" priority="73672">
      <formula>$H2259="CÉLULA CONSTRUTIVA"</formula>
    </cfRule>
  </conditionalFormatting>
  <conditionalFormatting sqref="H2261 K2261 O2261">
    <cfRule type="expression" dxfId="18370" priority="73560">
      <formula>$H2261="CÉLULA CONSTRUTIVA"</formula>
    </cfRule>
  </conditionalFormatting>
  <conditionalFormatting sqref="H2261">
    <cfRule type="expression" dxfId="18369" priority="73558">
      <formula>$H2261="ETAPA"</formula>
    </cfRule>
  </conditionalFormatting>
  <conditionalFormatting sqref="H2264:H2265 O2265 J2257:K2257 J2265:K2265 J2264:L2264 K2256">
    <cfRule type="expression" dxfId="18368" priority="73762">
      <formula>$H2256="SUBETAPA"</formula>
    </cfRule>
  </conditionalFormatting>
  <conditionalFormatting sqref="H2266:H2267 H2258 H2250:H2251 J2250:M2251 J2258:K2258 J2266:L2267">
    <cfRule type="expression" dxfId="18367" priority="73765">
      <formula>$H2250="SUBETAPA"</formula>
    </cfRule>
    <cfRule type="expression" dxfId="18366" priority="73766">
      <formula>$H2250="CÉLULA CONSTRUTIVA"</formula>
    </cfRule>
  </conditionalFormatting>
  <conditionalFormatting sqref="H2280 J2280:K2280">
    <cfRule type="expression" dxfId="18365" priority="74059">
      <formula>$H2280="CÉLULA CONSTRUTIVA"</formula>
    </cfRule>
  </conditionalFormatting>
  <conditionalFormatting sqref="H2282 K2282 O2282">
    <cfRule type="expression" dxfId="18364" priority="74312">
      <formula>$H2282="CÉLULA CONSTRUTIVA"</formula>
    </cfRule>
  </conditionalFormatting>
  <conditionalFormatting sqref="H2285 K2285 O2285">
    <cfRule type="expression" dxfId="18363" priority="74200">
      <formula>$H2285="CÉLULA CONSTRUTIVA"</formula>
    </cfRule>
  </conditionalFormatting>
  <conditionalFormatting sqref="H2285">
    <cfRule type="expression" dxfId="18362" priority="74198">
      <formula>$H2285="ETAPA"</formula>
    </cfRule>
  </conditionalFormatting>
  <conditionalFormatting sqref="H2288:H2289 O2289 J2280:K2280 J2289:K2289 J2288:L2288 K2279">
    <cfRule type="expression" dxfId="18361" priority="74402">
      <formula>$H2279="SUBETAPA"</formula>
    </cfRule>
  </conditionalFormatting>
  <conditionalFormatting sqref="H2290:H2291 H2281 H2273:H2274 J2273:M2274 J2281:K2281 J2290:L2291">
    <cfRule type="expression" dxfId="18360" priority="74405">
      <formula>$H2273="SUBETAPA"</formula>
    </cfRule>
    <cfRule type="expression" dxfId="18359" priority="74406">
      <formula>$H2273="CÉLULA CONSTRUTIVA"</formula>
    </cfRule>
  </conditionalFormatting>
  <conditionalFormatting sqref="H2299:H2300 K2299:K2300 M2299:M2300 O2299:O2300">
    <cfRule type="expression" dxfId="18358" priority="74741">
      <formula>$H2299="CÉLULA CONSTRUTIVA"</formula>
    </cfRule>
  </conditionalFormatting>
  <conditionalFormatting sqref="H2305 J2305:K2305">
    <cfRule type="expression" dxfId="18357" priority="74699">
      <formula>$H2305="CÉLULA CONSTRUTIVA"</formula>
    </cfRule>
  </conditionalFormatting>
  <conditionalFormatting sqref="H2307 K2307 O2307">
    <cfRule type="expression" dxfId="18356" priority="74952">
      <formula>$H2307="CÉLULA CONSTRUTIVA"</formula>
    </cfRule>
  </conditionalFormatting>
  <conditionalFormatting sqref="H2310 J2310">
    <cfRule type="expression" dxfId="18355" priority="75039">
      <formula>$H2310="ETAPA"</formula>
    </cfRule>
  </conditionalFormatting>
  <conditionalFormatting sqref="H2311:H2312 O2312 J2305:K2305 J2312:K2312 J2311:L2311 K2304">
    <cfRule type="expression" dxfId="18354" priority="75042">
      <formula>$H2304="SUBETAPA"</formula>
    </cfRule>
  </conditionalFormatting>
  <conditionalFormatting sqref="H2313 H2306 H2297:H2298 J2297:M2298 J2306:K2306 J2313:L2313">
    <cfRule type="expression" dxfId="18353" priority="75045">
      <formula>$H2297="SUBETAPA"</formula>
    </cfRule>
    <cfRule type="expression" dxfId="18352" priority="75046">
      <formula>$H2297="CÉLULA CONSTRUTIVA"</formula>
    </cfRule>
  </conditionalFormatting>
  <conditionalFormatting sqref="H2317:H2318 O2317:O2318 J2317:K2318">
    <cfRule type="expression" dxfId="18351" priority="74863">
      <formula>$H2317="SUBETAPA"</formula>
    </cfRule>
  </conditionalFormatting>
  <conditionalFormatting sqref="H2327 J2327">
    <cfRule type="expression" dxfId="18350" priority="75679">
      <formula>$H2327="ETAPA"</formula>
    </cfRule>
  </conditionalFormatting>
  <conditionalFormatting sqref="H2328:H2329 O2329 J2329:K2329 J2328:L2328 K2325:L2325">
    <cfRule type="expression" dxfId="18349" priority="75682">
      <formula>$H2325="SUBETAPA"</formula>
    </cfRule>
  </conditionalFormatting>
  <conditionalFormatting sqref="H2330 H2321:H2322 J2321:M2322 J2330:L2330">
    <cfRule type="expression" dxfId="18348" priority="75685">
      <formula>$H2321="SUBETAPA"</formula>
    </cfRule>
    <cfRule type="expression" dxfId="18347" priority="75686">
      <formula>$H2321="CÉLULA CONSTRUTIVA"</formula>
    </cfRule>
  </conditionalFormatting>
  <conditionalFormatting sqref="H2338 H2335:H2336 J2335:M2336 J2338:L2338">
    <cfRule type="expression" dxfId="18346" priority="86535">
      <formula>$H2335="SUBETAPA"</formula>
    </cfRule>
    <cfRule type="expression" dxfId="18345" priority="86536">
      <formula>$H2335="CÉLULA CONSTRUTIVA"</formula>
    </cfRule>
  </conditionalFormatting>
  <conditionalFormatting sqref="H2343:H2344 J2343:K2344">
    <cfRule type="expression" dxfId="18344" priority="61922">
      <formula>$H2343="ETAPA"</formula>
    </cfRule>
  </conditionalFormatting>
  <conditionalFormatting sqref="H2343:H2344 O2343:O2344 J2343:K2344">
    <cfRule type="expression" dxfId="18343" priority="61928">
      <formula>$H2343="SUBETAPA"</formula>
    </cfRule>
    <cfRule type="expression" dxfId="18342" priority="61929">
      <formula>$H2343="CÉLULA CONSTRUTIVA"</formula>
    </cfRule>
  </conditionalFormatting>
  <conditionalFormatting sqref="H2345 O2345 J2345:K2345">
    <cfRule type="expression" dxfId="18341" priority="62015">
      <formula>$H2345="SUBETAPA"</formula>
    </cfRule>
    <cfRule type="expression" dxfId="18340" priority="62016">
      <formula>$H2345="CÉLULA CONSTRUTIVA"</formula>
    </cfRule>
  </conditionalFormatting>
  <conditionalFormatting sqref="H2357 J2357:M2357 O2357">
    <cfRule type="expression" dxfId="18339" priority="61900">
      <formula>$H2357="CÉLULA CONSTRUTIVA"</formula>
    </cfRule>
  </conditionalFormatting>
  <conditionalFormatting sqref="H2357 O2357 J2357:L2357">
    <cfRule type="expression" dxfId="18338" priority="61899">
      <formula>$H2357="SUBETAPA"</formula>
    </cfRule>
  </conditionalFormatting>
  <conditionalFormatting sqref="H2362 J2362:K2362 O2362">
    <cfRule type="expression" dxfId="18337" priority="62080">
      <formula>$H2362="SUBETAPA"</formula>
    </cfRule>
    <cfRule type="expression" dxfId="18336" priority="62081">
      <formula>$H2362="CÉLULA CONSTRUTIVA"</formula>
    </cfRule>
  </conditionalFormatting>
  <conditionalFormatting sqref="H2364:H2365 J2364:K2365">
    <cfRule type="expression" dxfId="18335" priority="62161">
      <formula>$H2364="ETAPA"</formula>
    </cfRule>
  </conditionalFormatting>
  <conditionalFormatting sqref="H2364:H2365 O2364:O2365 J2364:K2365">
    <cfRule type="expression" dxfId="18334" priority="62167">
      <formula>$H2364="SUBETAPA"</formula>
    </cfRule>
    <cfRule type="expression" dxfId="18333" priority="62168">
      <formula>$H2364="CÉLULA CONSTRUTIVA"</formula>
    </cfRule>
  </conditionalFormatting>
  <conditionalFormatting sqref="H2366 O2366 J2366:K2366">
    <cfRule type="expression" dxfId="18332" priority="62254">
      <formula>$H2366="SUBETAPA"</formula>
    </cfRule>
    <cfRule type="expression" dxfId="18331" priority="62255">
      <formula>$H2366="CÉLULA CONSTRUTIVA"</formula>
    </cfRule>
  </conditionalFormatting>
  <conditionalFormatting sqref="H2368">
    <cfRule type="expression" dxfId="18330" priority="7120">
      <formula>$H2368="CÉLULA CONSTRUTIVA"</formula>
    </cfRule>
  </conditionalFormatting>
  <conditionalFormatting sqref="H2369 J2384:M2384 H2379 J2379:K2379 J2369:K2369 J2383 J2385 O2384 O2379">
    <cfRule type="expression" dxfId="18329" priority="62221">
      <formula>$H2369="CÉLULA CONSTRUTIVA"</formula>
    </cfRule>
  </conditionalFormatting>
  <conditionalFormatting sqref="H2380 J2380:K2380 O2380">
    <cfRule type="expression" dxfId="18328" priority="7092">
      <formula>$H2380="CÉLULA CONSTRUTIVA"</formula>
    </cfRule>
  </conditionalFormatting>
  <conditionalFormatting sqref="H2382 O2382 J2382:K2382">
    <cfRule type="expression" dxfId="18327" priority="62125">
      <formula>$H2382="SUBETAPA"</formula>
    </cfRule>
  </conditionalFormatting>
  <conditionalFormatting sqref="H2383 J2383:M2383 O2383">
    <cfRule type="expression" dxfId="18326" priority="62139">
      <formula>$H2383="CÉLULA CONSTRUTIVA"</formula>
    </cfRule>
  </conditionalFormatting>
  <conditionalFormatting sqref="H2383 O2383 J2383:L2383">
    <cfRule type="expression" dxfId="18325" priority="62138">
      <formula>$H2383="SUBETAPA"</formula>
    </cfRule>
  </conditionalFormatting>
  <conditionalFormatting sqref="H2389 J2389:K2389 O2389">
    <cfRule type="expression" dxfId="18324" priority="62319">
      <formula>$H2389="SUBETAPA"</formula>
    </cfRule>
    <cfRule type="expression" dxfId="18323" priority="62320">
      <formula>$H2389="CÉLULA CONSTRUTIVA"</formula>
    </cfRule>
  </conditionalFormatting>
  <conditionalFormatting sqref="H2391:H2392 J2391:K2392">
    <cfRule type="expression" dxfId="18322" priority="62400">
      <formula>$H2391="ETAPA"</formula>
    </cfRule>
  </conditionalFormatting>
  <conditionalFormatting sqref="H2391:H2392 O2391:O2392 J2391:K2392">
    <cfRule type="expression" dxfId="18321" priority="62406">
      <formula>$H2391="SUBETAPA"</formula>
    </cfRule>
    <cfRule type="expression" dxfId="18320" priority="62407">
      <formula>$H2391="CÉLULA CONSTRUTIVA"</formula>
    </cfRule>
  </conditionalFormatting>
  <conditionalFormatting sqref="H2393 O2393 J2393:K2393">
    <cfRule type="expression" dxfId="18319" priority="62493">
      <formula>$H2393="SUBETAPA"</formula>
    </cfRule>
    <cfRule type="expression" dxfId="18318" priority="62494">
      <formula>$H2393="CÉLULA CONSTRUTIVA"</formula>
    </cfRule>
  </conditionalFormatting>
  <conditionalFormatting sqref="H2395">
    <cfRule type="expression" dxfId="18317" priority="7064">
      <formula>$H2395="CÉLULA CONSTRUTIVA"</formula>
    </cfRule>
  </conditionalFormatting>
  <conditionalFormatting sqref="H2396 J2409:M2409 H2404 J2404:K2404 J2396:K2396 J2408 O2409 O2404">
    <cfRule type="expression" dxfId="18316" priority="62460">
      <formula>$H2396="CÉLULA CONSTRUTIVA"</formula>
    </cfRule>
  </conditionalFormatting>
  <conditionalFormatting sqref="H2405 J2405:K2405 O2405">
    <cfRule type="expression" dxfId="18315" priority="7036">
      <formula>$H2405="CÉLULA CONSTRUTIVA"</formula>
    </cfRule>
  </conditionalFormatting>
  <conditionalFormatting sqref="H2407 O2407 J2407:K2407">
    <cfRule type="expression" dxfId="18314" priority="62364">
      <formula>$H2407="SUBETAPA"</formula>
    </cfRule>
  </conditionalFormatting>
  <conditionalFormatting sqref="H2408 J2408:M2408 O2408">
    <cfRule type="expression" dxfId="18313" priority="62378">
      <formula>$H2408="CÉLULA CONSTRUTIVA"</formula>
    </cfRule>
  </conditionalFormatting>
  <conditionalFormatting sqref="H2408 O2408 J2408:L2408">
    <cfRule type="expression" dxfId="18312" priority="62377">
      <formula>$H2408="SUBETAPA"</formula>
    </cfRule>
  </conditionalFormatting>
  <conditionalFormatting sqref="H2413 J2413:K2413 O2413">
    <cfRule type="expression" dxfId="18311" priority="62558">
      <formula>$H2413="SUBETAPA"</formula>
    </cfRule>
    <cfRule type="expression" dxfId="18310" priority="62559">
      <formula>$H2413="CÉLULA CONSTRUTIVA"</formula>
    </cfRule>
  </conditionalFormatting>
  <conditionalFormatting sqref="H2415:H2416 J2415:K2416">
    <cfRule type="expression" dxfId="18309" priority="62639">
      <formula>$H2415="ETAPA"</formula>
    </cfRule>
  </conditionalFormatting>
  <conditionalFormatting sqref="H2415:H2416 O2415:O2416 J2415:K2416">
    <cfRule type="expression" dxfId="18308" priority="62645">
      <formula>$H2415="SUBETAPA"</formula>
    </cfRule>
    <cfRule type="expression" dxfId="18307" priority="62646">
      <formula>$H2415="CÉLULA CONSTRUTIVA"</formula>
    </cfRule>
  </conditionalFormatting>
  <conditionalFormatting sqref="H2417 O2417 J2417:K2417">
    <cfRule type="expression" dxfId="18306" priority="62732">
      <formula>$H2417="SUBETAPA"</formula>
    </cfRule>
    <cfRule type="expression" dxfId="18305" priority="62733">
      <formula>$H2417="CÉLULA CONSTRUTIVA"</formula>
    </cfRule>
  </conditionalFormatting>
  <conditionalFormatting sqref="H2418">
    <cfRule type="expression" dxfId="18304" priority="7008">
      <formula>$H2418="CÉLULA CONSTRUTIVA"</formula>
    </cfRule>
  </conditionalFormatting>
  <conditionalFormatting sqref="H2419 J2432:M2432 H2427 J2427:K2427 J2419:K2419 J2431 O2432 O2427">
    <cfRule type="expression" dxfId="18303" priority="62699">
      <formula>$H2419="CÉLULA CONSTRUTIVA"</formula>
    </cfRule>
  </conditionalFormatting>
  <conditionalFormatting sqref="H2428 J2428:K2428 O2428">
    <cfRule type="expression" dxfId="18302" priority="6980">
      <formula>$H2428="CÉLULA CONSTRUTIVA"</formula>
    </cfRule>
  </conditionalFormatting>
  <conditionalFormatting sqref="H2430 O2430 J2430:K2430">
    <cfRule type="expression" dxfId="18301" priority="62603">
      <formula>$H2430="SUBETAPA"</formula>
    </cfRule>
  </conditionalFormatting>
  <conditionalFormatting sqref="H2431 J2431:M2431 O2431">
    <cfRule type="expression" dxfId="18300" priority="62617">
      <formula>$H2431="CÉLULA CONSTRUTIVA"</formula>
    </cfRule>
  </conditionalFormatting>
  <conditionalFormatting sqref="H2431 O2431 J2431:L2431">
    <cfRule type="expression" dxfId="18299" priority="62616">
      <formula>$H2431="SUBETAPA"</formula>
    </cfRule>
  </conditionalFormatting>
  <conditionalFormatting sqref="H2436 J2436:K2436 O2436">
    <cfRule type="expression" dxfId="18298" priority="62797">
      <formula>$H2436="SUBETAPA"</formula>
    </cfRule>
    <cfRule type="expression" dxfId="18297" priority="62798">
      <formula>$H2436="CÉLULA CONSTRUTIVA"</formula>
    </cfRule>
  </conditionalFormatting>
  <conditionalFormatting sqref="H2438:H2439 J2438:K2439">
    <cfRule type="expression" dxfId="18296" priority="62878">
      <formula>$H2438="ETAPA"</formula>
    </cfRule>
  </conditionalFormatting>
  <conditionalFormatting sqref="H2438:H2439 O2438:O2439 J2438:K2439">
    <cfRule type="expression" dxfId="18295" priority="62884">
      <formula>$H2438="SUBETAPA"</formula>
    </cfRule>
    <cfRule type="expression" dxfId="18294" priority="62885">
      <formula>$H2438="CÉLULA CONSTRUTIVA"</formula>
    </cfRule>
  </conditionalFormatting>
  <conditionalFormatting sqref="H2440 O2440 J2440:K2440">
    <cfRule type="expression" dxfId="18293" priority="62971">
      <formula>$H2440="SUBETAPA"</formula>
    </cfRule>
    <cfRule type="expression" dxfId="18292" priority="62972">
      <formula>$H2440="CÉLULA CONSTRUTIVA"</formula>
    </cfRule>
  </conditionalFormatting>
  <conditionalFormatting sqref="H2441">
    <cfRule type="expression" dxfId="18291" priority="6952">
      <formula>$H2441="CÉLULA CONSTRUTIVA"</formula>
    </cfRule>
  </conditionalFormatting>
  <conditionalFormatting sqref="H2442 J2455:M2455 H2450 J2450:K2450 J2442:K2442 J2454 O2455 O2450">
    <cfRule type="expression" dxfId="18290" priority="62938">
      <formula>$H2442="CÉLULA CONSTRUTIVA"</formula>
    </cfRule>
  </conditionalFormatting>
  <conditionalFormatting sqref="H2451 J2451:K2451 O2451">
    <cfRule type="expression" dxfId="18289" priority="6924">
      <formula>$H2451="CÉLULA CONSTRUTIVA"</formula>
    </cfRule>
  </conditionalFormatting>
  <conditionalFormatting sqref="H2453 O2453 J2453:K2453">
    <cfRule type="expression" dxfId="18288" priority="62842">
      <formula>$H2453="SUBETAPA"</formula>
    </cfRule>
  </conditionalFormatting>
  <conditionalFormatting sqref="H2454 J2454:M2454 O2454">
    <cfRule type="expression" dxfId="18287" priority="62856">
      <formula>$H2454="CÉLULA CONSTRUTIVA"</formula>
    </cfRule>
  </conditionalFormatting>
  <conditionalFormatting sqref="H2454 O2454 J2454:L2454">
    <cfRule type="expression" dxfId="18286" priority="62855">
      <formula>$H2454="SUBETAPA"</formula>
    </cfRule>
  </conditionalFormatting>
  <conditionalFormatting sqref="H2459 J2459:K2459 O2459">
    <cfRule type="expression" dxfId="18285" priority="63036">
      <formula>$H2459="SUBETAPA"</formula>
    </cfRule>
    <cfRule type="expression" dxfId="18284" priority="63037">
      <formula>$H2459="CÉLULA CONSTRUTIVA"</formula>
    </cfRule>
  </conditionalFormatting>
  <conditionalFormatting sqref="H2461:H2462 J2461:K2462">
    <cfRule type="expression" dxfId="18283" priority="63117">
      <formula>$H2461="ETAPA"</formula>
    </cfRule>
  </conditionalFormatting>
  <conditionalFormatting sqref="H2461:H2462 O2461:O2462 J2461:K2462">
    <cfRule type="expression" dxfId="18282" priority="63123">
      <formula>$H2461="SUBETAPA"</formula>
    </cfRule>
    <cfRule type="expression" dxfId="18281" priority="63124">
      <formula>$H2461="CÉLULA CONSTRUTIVA"</formula>
    </cfRule>
  </conditionalFormatting>
  <conditionalFormatting sqref="H2463 O2463 J2463:K2463">
    <cfRule type="expression" dxfId="18280" priority="63210">
      <formula>$H2463="SUBETAPA"</formula>
    </cfRule>
    <cfRule type="expression" dxfId="18279" priority="63211">
      <formula>$H2463="CÉLULA CONSTRUTIVA"</formula>
    </cfRule>
  </conditionalFormatting>
  <conditionalFormatting sqref="H2465">
    <cfRule type="expression" dxfId="18278" priority="6896">
      <formula>$H2465="CÉLULA CONSTRUTIVA"</formula>
    </cfRule>
  </conditionalFormatting>
  <conditionalFormatting sqref="H2466 J2479:M2479 H2474 J2474:K2474 J2466:K2466 J2478 O2479 O2474">
    <cfRule type="expression" dxfId="18277" priority="63177">
      <formula>$H2466="CÉLULA CONSTRUTIVA"</formula>
    </cfRule>
  </conditionalFormatting>
  <conditionalFormatting sqref="H2475 J2475:K2475 O2475">
    <cfRule type="expression" dxfId="18276" priority="6868">
      <formula>$H2475="CÉLULA CONSTRUTIVA"</formula>
    </cfRule>
  </conditionalFormatting>
  <conditionalFormatting sqref="H2477 O2477 J2477:K2477">
    <cfRule type="expression" dxfId="18275" priority="63081">
      <formula>$H2477="SUBETAPA"</formula>
    </cfRule>
  </conditionalFormatting>
  <conditionalFormatting sqref="H2478 J2478:M2478 O2478">
    <cfRule type="expression" dxfId="18274" priority="63095">
      <formula>$H2478="CÉLULA CONSTRUTIVA"</formula>
    </cfRule>
  </conditionalFormatting>
  <conditionalFormatting sqref="H2478 O2478 J2478:L2478">
    <cfRule type="expression" dxfId="18273" priority="63094">
      <formula>$H2478="SUBETAPA"</formula>
    </cfRule>
  </conditionalFormatting>
  <conditionalFormatting sqref="H2483 J2483:K2483 O2483">
    <cfRule type="expression" dxfId="18272" priority="63275">
      <formula>$H2483="SUBETAPA"</formula>
    </cfRule>
    <cfRule type="expression" dxfId="18271" priority="63276">
      <formula>$H2483="CÉLULA CONSTRUTIVA"</formula>
    </cfRule>
  </conditionalFormatting>
  <conditionalFormatting sqref="H2485:H2486 J2485:K2486">
    <cfRule type="expression" dxfId="18270" priority="63356">
      <formula>$H2485="ETAPA"</formula>
    </cfRule>
  </conditionalFormatting>
  <conditionalFormatting sqref="H2485:H2486 O2485:O2486 J2485:K2486">
    <cfRule type="expression" dxfId="18269" priority="63362">
      <formula>$H2485="SUBETAPA"</formula>
    </cfRule>
    <cfRule type="expression" dxfId="18268" priority="63363">
      <formula>$H2485="CÉLULA CONSTRUTIVA"</formula>
    </cfRule>
  </conditionalFormatting>
  <conditionalFormatting sqref="H2487 O2487 J2491 J2487:K2487">
    <cfRule type="expression" dxfId="18267" priority="63450">
      <formula>$H2487="CÉLULA CONSTRUTIVA"</formula>
    </cfRule>
  </conditionalFormatting>
  <conditionalFormatting sqref="H2489">
    <cfRule type="expression" dxfId="18266" priority="6840">
      <formula>$H2489="CÉLULA CONSTRUTIVA"</formula>
    </cfRule>
  </conditionalFormatting>
  <conditionalFormatting sqref="H2490 J2490:K2490 O2490">
    <cfRule type="expression" dxfId="18265" priority="63375">
      <formula>$H2490="CÉLULA CONSTRUTIVA"</formula>
    </cfRule>
  </conditionalFormatting>
  <conditionalFormatting sqref="H2491:H2492 J2508:M2508 H2502 J2502:K2502 J2491:K2492 J2507 O2508 O2502 O2504:O2505 J2504:K2505 H2504:H2505 M2502:M2505">
    <cfRule type="expression" dxfId="18264" priority="63416">
      <formula>$H2491="CÉLULA CONSTRUTIVA"</formula>
    </cfRule>
  </conditionalFormatting>
  <conditionalFormatting sqref="H2503 J2503:K2503 O2503">
    <cfRule type="expression" dxfId="18263" priority="6812">
      <formula>$H2503="CÉLULA CONSTRUTIVA"</formula>
    </cfRule>
  </conditionalFormatting>
  <conditionalFormatting sqref="H2506 O2506 J2506:K2506">
    <cfRule type="expression" dxfId="18262" priority="63320">
      <formula>$H2506="SUBETAPA"</formula>
    </cfRule>
  </conditionalFormatting>
  <conditionalFormatting sqref="H2507 J2507:M2507 O2507">
    <cfRule type="expression" dxfId="18261" priority="63334">
      <formula>$H2507="CÉLULA CONSTRUTIVA"</formula>
    </cfRule>
  </conditionalFormatting>
  <conditionalFormatting sqref="H2507 O2507 J2507:L2507">
    <cfRule type="expression" dxfId="18260" priority="63333">
      <formula>$H2507="SUBETAPA"</formula>
    </cfRule>
  </conditionalFormatting>
  <conditionalFormatting sqref="H2512:H2513 J2512:K2513">
    <cfRule type="expression" dxfId="18259" priority="63595">
      <formula>$H2512="ETAPA"</formula>
    </cfRule>
  </conditionalFormatting>
  <conditionalFormatting sqref="H2512:H2513 O2512:O2513 J2512:K2513">
    <cfRule type="expression" dxfId="18258" priority="63601">
      <formula>$H2512="SUBETAPA"</formula>
    </cfRule>
    <cfRule type="expression" dxfId="18257" priority="63602">
      <formula>$H2512="CÉLULA CONSTRUTIVA"</formula>
    </cfRule>
  </conditionalFormatting>
  <conditionalFormatting sqref="H2514 O2514 J2517 J2514:K2514">
    <cfRule type="expression" dxfId="18256" priority="63689">
      <formula>$H2514="CÉLULA CONSTRUTIVA"</formula>
    </cfRule>
  </conditionalFormatting>
  <conditionalFormatting sqref="H2516">
    <cfRule type="expression" dxfId="18255" priority="6784">
      <formula>$H2516="CÉLULA CONSTRUTIVA"</formula>
    </cfRule>
  </conditionalFormatting>
  <conditionalFormatting sqref="H2517 J2530:M2530 J2517:K2517 J2529 O2530 O2527:O2528 J2527:K2528 H2527:H2528">
    <cfRule type="expression" dxfId="18254" priority="63655">
      <formula>$H2517="CÉLULA CONSTRUTIVA"</formula>
    </cfRule>
  </conditionalFormatting>
  <conditionalFormatting sqref="H2526 J2526:K2526 O2526">
    <cfRule type="expression" dxfId="18253" priority="6739">
      <formula>$H2526="CÉLULA CONSTRUTIVA"</formula>
    </cfRule>
  </conditionalFormatting>
  <conditionalFormatting sqref="H2529 J2529:M2529 O2529">
    <cfRule type="expression" dxfId="18252" priority="63573">
      <formula>$H2529="CÉLULA CONSTRUTIVA"</formula>
    </cfRule>
  </conditionalFormatting>
  <conditionalFormatting sqref="H2529 O2529 J2529:L2529">
    <cfRule type="expression" dxfId="18251" priority="63572">
      <formula>$H2529="SUBETAPA"</formula>
    </cfRule>
  </conditionalFormatting>
  <conditionalFormatting sqref="H2534:H2535 J2534:K2535">
    <cfRule type="expression" dxfId="18250" priority="63834">
      <formula>$H2534="ETAPA"</formula>
    </cfRule>
  </conditionalFormatting>
  <conditionalFormatting sqref="H2534:H2535 O2534:O2535 J2534:K2535">
    <cfRule type="expression" dxfId="18249" priority="63840">
      <formula>$H2534="SUBETAPA"</formula>
    </cfRule>
    <cfRule type="expression" dxfId="18248" priority="63841">
      <formula>$H2534="CÉLULA CONSTRUTIVA"</formula>
    </cfRule>
  </conditionalFormatting>
  <conditionalFormatting sqref="H2536 O2536 J2536:K2536">
    <cfRule type="expression" dxfId="18247" priority="63927">
      <formula>$H2536="SUBETAPA"</formula>
    </cfRule>
    <cfRule type="expression" dxfId="18246" priority="63928">
      <formula>$H2536="CÉLULA CONSTRUTIVA"</formula>
    </cfRule>
  </conditionalFormatting>
  <conditionalFormatting sqref="H2537">
    <cfRule type="expression" dxfId="18245" priority="6705">
      <formula>$H2537="CÉLULA CONSTRUTIVA"</formula>
    </cfRule>
  </conditionalFormatting>
  <conditionalFormatting sqref="H2544 J2544:K2544 O2544">
    <cfRule type="expression" dxfId="18244" priority="6675">
      <formula>$H2544="CÉLULA CONSTRUTIVA"</formula>
    </cfRule>
  </conditionalFormatting>
  <conditionalFormatting sqref="H2546 J2546:M2546 O2546">
    <cfRule type="expression" dxfId="18243" priority="63812">
      <formula>$H2546="CÉLULA CONSTRUTIVA"</formula>
    </cfRule>
  </conditionalFormatting>
  <conditionalFormatting sqref="H2546 O2546 J2546:L2546">
    <cfRule type="expression" dxfId="18242" priority="63811">
      <formula>$H2546="SUBETAPA"</formula>
    </cfRule>
  </conditionalFormatting>
  <conditionalFormatting sqref="H2550:H2551 J2550:K2551">
    <cfRule type="expression" dxfId="18241" priority="64073">
      <formula>$H2550="ETAPA"</formula>
    </cfRule>
  </conditionalFormatting>
  <conditionalFormatting sqref="H2550:H2551 O2550:O2551 J2550:K2551">
    <cfRule type="expression" dxfId="18240" priority="64079">
      <formula>$H2550="SUBETAPA"</formula>
    </cfRule>
    <cfRule type="expression" dxfId="18239" priority="64080">
      <formula>$H2550="CÉLULA CONSTRUTIVA"</formula>
    </cfRule>
  </conditionalFormatting>
  <conditionalFormatting sqref="H2552 O2552 J2552:K2552">
    <cfRule type="expression" dxfId="18238" priority="64166">
      <formula>$H2552="SUBETAPA"</formula>
    </cfRule>
    <cfRule type="expression" dxfId="18237" priority="64167">
      <formula>$H2552="CÉLULA CONSTRUTIVA"</formula>
    </cfRule>
  </conditionalFormatting>
  <conditionalFormatting sqref="H2553">
    <cfRule type="expression" dxfId="18236" priority="6647">
      <formula>$H2553="CÉLULA CONSTRUTIVA"</formula>
    </cfRule>
  </conditionalFormatting>
  <conditionalFormatting sqref="H2560 J2560:K2560 O2560">
    <cfRule type="expression" dxfId="18235" priority="6617">
      <formula>$H2560="CÉLULA CONSTRUTIVA"</formula>
    </cfRule>
  </conditionalFormatting>
  <conditionalFormatting sqref="H2562 J2562:M2562 O2562">
    <cfRule type="expression" dxfId="18234" priority="64051">
      <formula>$H2562="CÉLULA CONSTRUTIVA"</formula>
    </cfRule>
  </conditionalFormatting>
  <conditionalFormatting sqref="H2562 O2562 J2562:L2562">
    <cfRule type="expression" dxfId="18233" priority="64050">
      <formula>$H2562="SUBETAPA"</formula>
    </cfRule>
  </conditionalFormatting>
  <conditionalFormatting sqref="H2566:H2567 J2566:K2567">
    <cfRule type="expression" dxfId="18232" priority="64312">
      <formula>$H2566="ETAPA"</formula>
    </cfRule>
  </conditionalFormatting>
  <conditionalFormatting sqref="H2566:H2567 O2566:O2567 J2566:K2567">
    <cfRule type="expression" dxfId="18231" priority="64318">
      <formula>$H2566="SUBETAPA"</formula>
    </cfRule>
    <cfRule type="expression" dxfId="18230" priority="64319">
      <formula>$H2566="CÉLULA CONSTRUTIVA"</formula>
    </cfRule>
  </conditionalFormatting>
  <conditionalFormatting sqref="H2568 O2568 J2568:K2568">
    <cfRule type="expression" dxfId="18229" priority="64405">
      <formula>$H2568="SUBETAPA"</formula>
    </cfRule>
    <cfRule type="expression" dxfId="18228" priority="64406">
      <formula>$H2568="CÉLULA CONSTRUTIVA"</formula>
    </cfRule>
  </conditionalFormatting>
  <conditionalFormatting sqref="H2569">
    <cfRule type="expression" dxfId="18227" priority="6589">
      <formula>$H2569="CÉLULA CONSTRUTIVA"</formula>
    </cfRule>
  </conditionalFormatting>
  <conditionalFormatting sqref="H2576 J2576:K2576 O2576">
    <cfRule type="expression" dxfId="18226" priority="6559">
      <formula>$H2576="CÉLULA CONSTRUTIVA"</formula>
    </cfRule>
  </conditionalFormatting>
  <conditionalFormatting sqref="H2578 J2578:M2578 O2578">
    <cfRule type="expression" dxfId="18225" priority="64290">
      <formula>$H2578="CÉLULA CONSTRUTIVA"</formula>
    </cfRule>
  </conditionalFormatting>
  <conditionalFormatting sqref="H2578 O2578 J2578:L2578">
    <cfRule type="expression" dxfId="18224" priority="64289">
      <formula>$H2578="SUBETAPA"</formula>
    </cfRule>
  </conditionalFormatting>
  <conditionalFormatting sqref="H2582:H2583 J2582:K2583">
    <cfRule type="expression" dxfId="18223" priority="64551">
      <formula>$H2582="ETAPA"</formula>
    </cfRule>
  </conditionalFormatting>
  <conditionalFormatting sqref="H2582:H2583 O2582:O2583 J2582:K2583">
    <cfRule type="expression" dxfId="18222" priority="64557">
      <formula>$H2582="SUBETAPA"</formula>
    </cfRule>
    <cfRule type="expression" dxfId="18221" priority="64558">
      <formula>$H2582="CÉLULA CONSTRUTIVA"</formula>
    </cfRule>
  </conditionalFormatting>
  <conditionalFormatting sqref="H2584 O2584 J2584:K2584">
    <cfRule type="expression" dxfId="18220" priority="64644">
      <formula>$H2584="SUBETAPA"</formula>
    </cfRule>
    <cfRule type="expression" dxfId="18219" priority="64645">
      <formula>$H2584="CÉLULA CONSTRUTIVA"</formula>
    </cfRule>
  </conditionalFormatting>
  <conditionalFormatting sqref="H2585">
    <cfRule type="expression" dxfId="18218" priority="6531">
      <formula>$H2585="CÉLULA CONSTRUTIVA"</formula>
    </cfRule>
  </conditionalFormatting>
  <conditionalFormatting sqref="H2592 J2592:K2592 O2592">
    <cfRule type="expression" dxfId="18217" priority="6501">
      <formula>$H2592="CÉLULA CONSTRUTIVA"</formula>
    </cfRule>
  </conditionalFormatting>
  <conditionalFormatting sqref="H2594 J2594:M2594 O2594">
    <cfRule type="expression" dxfId="18216" priority="64529">
      <formula>$H2594="CÉLULA CONSTRUTIVA"</formula>
    </cfRule>
  </conditionalFormatting>
  <conditionalFormatting sqref="H2594 O2594 J2594:L2594">
    <cfRule type="expression" dxfId="18215" priority="64528">
      <formula>$H2594="SUBETAPA"</formula>
    </cfRule>
  </conditionalFormatting>
  <conditionalFormatting sqref="H2598:H2599 J2598:K2599">
    <cfRule type="expression" dxfId="18214" priority="64790">
      <formula>$H2598="ETAPA"</formula>
    </cfRule>
  </conditionalFormatting>
  <conditionalFormatting sqref="H2598:H2599 O2598:O2599 J2598:K2599">
    <cfRule type="expression" dxfId="18213" priority="64796">
      <formula>$H2598="SUBETAPA"</formula>
    </cfRule>
    <cfRule type="expression" dxfId="18212" priority="64797">
      <formula>$H2598="CÉLULA CONSTRUTIVA"</formula>
    </cfRule>
  </conditionalFormatting>
  <conditionalFormatting sqref="H2600 O2600 J2600:K2600">
    <cfRule type="expression" dxfId="18211" priority="64883">
      <formula>$H2600="SUBETAPA"</formula>
    </cfRule>
    <cfRule type="expression" dxfId="18210" priority="64884">
      <formula>$H2600="CÉLULA CONSTRUTIVA"</formula>
    </cfRule>
  </conditionalFormatting>
  <conditionalFormatting sqref="H2601">
    <cfRule type="expression" dxfId="18209" priority="6473">
      <formula>$H2601="CÉLULA CONSTRUTIVA"</formula>
    </cfRule>
  </conditionalFormatting>
  <conditionalFormatting sqref="H2608 J2608:K2608 O2608">
    <cfRule type="expression" dxfId="18208" priority="6443">
      <formula>$H2608="CÉLULA CONSTRUTIVA"</formula>
    </cfRule>
  </conditionalFormatting>
  <conditionalFormatting sqref="H2610 J2610:M2610 O2610">
    <cfRule type="expression" dxfId="18207" priority="64768">
      <formula>$H2610="CÉLULA CONSTRUTIVA"</formula>
    </cfRule>
  </conditionalFormatting>
  <conditionalFormatting sqref="H2610 O2610 J2610:L2610">
    <cfRule type="expression" dxfId="18206" priority="64767">
      <formula>$H2610="SUBETAPA"</formula>
    </cfRule>
  </conditionalFormatting>
  <conditionalFormatting sqref="H2614:H2615 J2614:K2615">
    <cfRule type="expression" dxfId="18205" priority="65029">
      <formula>$H2614="ETAPA"</formula>
    </cfRule>
  </conditionalFormatting>
  <conditionalFormatting sqref="H2614:H2615 O2614:O2615 J2614:K2615">
    <cfRule type="expression" dxfId="18204" priority="65035">
      <formula>$H2614="SUBETAPA"</formula>
    </cfRule>
    <cfRule type="expression" dxfId="18203" priority="65036">
      <formula>$H2614="CÉLULA CONSTRUTIVA"</formula>
    </cfRule>
  </conditionalFormatting>
  <conditionalFormatting sqref="H2616 O2616 J2616:K2616">
    <cfRule type="expression" dxfId="18202" priority="65122">
      <formula>$H2616="SUBETAPA"</formula>
    </cfRule>
    <cfRule type="expression" dxfId="18201" priority="65123">
      <formula>$H2616="CÉLULA CONSTRUTIVA"</formula>
    </cfRule>
  </conditionalFormatting>
  <conditionalFormatting sqref="H2617">
    <cfRule type="expression" dxfId="18200" priority="6415">
      <formula>$H2617="CÉLULA CONSTRUTIVA"</formula>
    </cfRule>
  </conditionalFormatting>
  <conditionalFormatting sqref="H2623 J2623:K2623 O2623">
    <cfRule type="expression" dxfId="18199" priority="6385">
      <formula>$H2623="CÉLULA CONSTRUTIVA"</formula>
    </cfRule>
  </conditionalFormatting>
  <conditionalFormatting sqref="H2625 J2625:M2625 O2625">
    <cfRule type="expression" dxfId="18198" priority="65007">
      <formula>$H2625="CÉLULA CONSTRUTIVA"</formula>
    </cfRule>
  </conditionalFormatting>
  <conditionalFormatting sqref="H2625 O2625 J2625:L2625">
    <cfRule type="expression" dxfId="18197" priority="65006">
      <formula>$H2625="SUBETAPA"</formula>
    </cfRule>
  </conditionalFormatting>
  <conditionalFormatting sqref="H2629 J2629:L2629 L2630:L2634">
    <cfRule type="expression" dxfId="18196" priority="1938">
      <formula>$H2629="SUBETAPA"</formula>
    </cfRule>
  </conditionalFormatting>
  <conditionalFormatting sqref="H2629 J2629:M2629 L2630:L2634">
    <cfRule type="expression" dxfId="18195" priority="1937">
      <formula>$H2629="CÉLULA CONSTRUTIVA"</formula>
    </cfRule>
  </conditionalFormatting>
  <conditionalFormatting sqref="H2631:H2634 J2631:J2634">
    <cfRule type="expression" dxfId="18194" priority="1947">
      <formula>$H2631="SUBETAPA"</formula>
    </cfRule>
  </conditionalFormatting>
  <conditionalFormatting sqref="H2631:H2634 J2631:K2634">
    <cfRule type="expression" dxfId="18193" priority="1945">
      <formula>$H2631="CÉLULA CONSTRUTIVA"</formula>
    </cfRule>
    <cfRule type="expression" dxfId="18192" priority="1946">
      <formula>$H2631="ETAPA"</formula>
    </cfRule>
  </conditionalFormatting>
  <conditionalFormatting sqref="H2640 J2640:K2640 L2641 M2640">
    <cfRule type="expression" dxfId="18191" priority="2005">
      <formula>$H2640="CÉLULA CONSTRUTIVA"</formula>
    </cfRule>
  </conditionalFormatting>
  <conditionalFormatting sqref="H2640 J2640:K2640 L2641">
    <cfRule type="expression" dxfId="18190" priority="2006">
      <formula>$H2640="SUBETAPA"</formula>
    </cfRule>
  </conditionalFormatting>
  <conditionalFormatting sqref="H2650 J2650:K2650 L2651 M2650">
    <cfRule type="expression" dxfId="18189" priority="2073">
      <formula>$H2650="CÉLULA CONSTRUTIVA"</formula>
    </cfRule>
  </conditionalFormatting>
  <conditionalFormatting sqref="H2650 J2650:K2650 L2651">
    <cfRule type="expression" dxfId="18188" priority="2074">
      <formula>$H2650="SUBETAPA"</formula>
    </cfRule>
  </conditionalFormatting>
  <conditionalFormatting sqref="H2656 J2656:M2656">
    <cfRule type="expression" dxfId="18187" priority="2075">
      <formula>$H2656="ETAPA"</formula>
    </cfRule>
    <cfRule type="expression" dxfId="18186" priority="2079">
      <formula>$H2656="CÉLULA CONSTRUTIVA"</formula>
    </cfRule>
    <cfRule type="expression" dxfId="18185" priority="2080">
      <formula>$H2656="SUBETAPA"</formula>
    </cfRule>
  </conditionalFormatting>
  <conditionalFormatting sqref="H2659 J2659:K2659 L2660 M2659">
    <cfRule type="expression" dxfId="18184" priority="2141">
      <formula>$H2659="CÉLULA CONSTRUTIVA"</formula>
    </cfRule>
  </conditionalFormatting>
  <conditionalFormatting sqref="H2659 J2659:K2659 L2660">
    <cfRule type="expression" dxfId="18183" priority="2142">
      <formula>$H2659="SUBETAPA"</formula>
    </cfRule>
  </conditionalFormatting>
  <conditionalFormatting sqref="H2663 J2663:M2663">
    <cfRule type="expression" dxfId="18182" priority="2143">
      <formula>$H2663="ETAPA"</formula>
    </cfRule>
    <cfRule type="expression" dxfId="18181" priority="2147">
      <formula>$H2663="CÉLULA CONSTRUTIVA"</formula>
    </cfRule>
    <cfRule type="expression" dxfId="18180" priority="2148">
      <formula>$H2663="SUBETAPA"</formula>
    </cfRule>
  </conditionalFormatting>
  <conditionalFormatting sqref="H2666 J2666:K2666 L2667 M2666">
    <cfRule type="expression" dxfId="18179" priority="2209">
      <formula>$H2666="CÉLULA CONSTRUTIVA"</formula>
    </cfRule>
  </conditionalFormatting>
  <conditionalFormatting sqref="H2666 J2666:K2666 L2667">
    <cfRule type="expression" dxfId="18178" priority="2210">
      <formula>$H2666="SUBETAPA"</formula>
    </cfRule>
  </conditionalFormatting>
  <conditionalFormatting sqref="H2670 J2670:M2670">
    <cfRule type="expression" dxfId="18177" priority="2211">
      <formula>$H2670="ETAPA"</formula>
    </cfRule>
    <cfRule type="expression" dxfId="18176" priority="2215">
      <formula>$H2670="CÉLULA CONSTRUTIVA"</formula>
    </cfRule>
    <cfRule type="expression" dxfId="18175" priority="2216">
      <formula>$H2670="SUBETAPA"</formula>
    </cfRule>
  </conditionalFormatting>
  <conditionalFormatting sqref="H2673 J2673:K2673 L2674 M2673">
    <cfRule type="expression" dxfId="18174" priority="2277">
      <formula>$H2673="CÉLULA CONSTRUTIVA"</formula>
    </cfRule>
  </conditionalFormatting>
  <conditionalFormatting sqref="H2673 J2673:K2673 L2674">
    <cfRule type="expression" dxfId="18173" priority="2278">
      <formula>$H2673="SUBETAPA"</formula>
    </cfRule>
  </conditionalFormatting>
  <conditionalFormatting sqref="H2678 J2678:M2678">
    <cfRule type="expression" dxfId="18172" priority="2279">
      <formula>$H2678="ETAPA"</formula>
    </cfRule>
    <cfRule type="expression" dxfId="18171" priority="2283">
      <formula>$H2678="CÉLULA CONSTRUTIVA"</formula>
    </cfRule>
    <cfRule type="expression" dxfId="18170" priority="2284">
      <formula>$H2678="SUBETAPA"</formula>
    </cfRule>
  </conditionalFormatting>
  <conditionalFormatting sqref="H2681 J2681:K2681 L2682 M2681">
    <cfRule type="expression" dxfId="18169" priority="2345">
      <formula>$H2681="CÉLULA CONSTRUTIVA"</formula>
    </cfRule>
  </conditionalFormatting>
  <conditionalFormatting sqref="H2681 J2681:K2681 L2682">
    <cfRule type="expression" dxfId="18168" priority="2346">
      <formula>$H2681="SUBETAPA"</formula>
    </cfRule>
  </conditionalFormatting>
  <conditionalFormatting sqref="H2688 J2688:M2688">
    <cfRule type="expression" dxfId="18167" priority="2347">
      <formula>$H2688="ETAPA"</formula>
    </cfRule>
    <cfRule type="expression" dxfId="18166" priority="2351">
      <formula>$H2688="CÉLULA CONSTRUTIVA"</formula>
    </cfRule>
    <cfRule type="expression" dxfId="18165" priority="2352">
      <formula>$H2688="SUBETAPA"</formula>
    </cfRule>
  </conditionalFormatting>
  <conditionalFormatting sqref="H2691 J2691:K2691 L2692 M2691">
    <cfRule type="expression" dxfId="18164" priority="2413">
      <formula>$H2691="CÉLULA CONSTRUTIVA"</formula>
    </cfRule>
  </conditionalFormatting>
  <conditionalFormatting sqref="H2691 J2691:K2691 L2692">
    <cfRule type="expression" dxfId="18163" priority="2414">
      <formula>$H2691="SUBETAPA"</formula>
    </cfRule>
  </conditionalFormatting>
  <conditionalFormatting sqref="H2699 J2699:K2699 L2700 M2699">
    <cfRule type="expression" dxfId="18162" priority="2481">
      <formula>$H2699="CÉLULA CONSTRUTIVA"</formula>
    </cfRule>
  </conditionalFormatting>
  <conditionalFormatting sqref="H2699 J2699:K2699 L2700">
    <cfRule type="expression" dxfId="18161" priority="2482">
      <formula>$H2699="SUBETAPA"</formula>
    </cfRule>
  </conditionalFormatting>
  <conditionalFormatting sqref="H2710 J2710:K2710 L2711 M2710">
    <cfRule type="expression" dxfId="18160" priority="2549">
      <formula>$H2710="CÉLULA CONSTRUTIVA"</formula>
    </cfRule>
  </conditionalFormatting>
  <conditionalFormatting sqref="H2710 J2710:K2710 L2711">
    <cfRule type="expression" dxfId="18159" priority="2550">
      <formula>$H2710="SUBETAPA"</formula>
    </cfRule>
  </conditionalFormatting>
  <conditionalFormatting sqref="H2721 J2721:K2721 L2722 M2721">
    <cfRule type="expression" dxfId="18158" priority="1792">
      <formula>$H2721="CÉLULA CONSTRUTIVA"</formula>
    </cfRule>
  </conditionalFormatting>
  <conditionalFormatting sqref="H2721 J2721:K2721 L2722">
    <cfRule type="expression" dxfId="18157" priority="1793">
      <formula>$H2721="SUBETAPA"</formula>
    </cfRule>
  </conditionalFormatting>
  <conditionalFormatting sqref="H2732 J2732:K2732 L2733 M2732">
    <cfRule type="expression" dxfId="18156" priority="1864">
      <formula>$H2732="CÉLULA CONSTRUTIVA"</formula>
    </cfRule>
  </conditionalFormatting>
  <conditionalFormatting sqref="H2732 J2732:K2732 L2733">
    <cfRule type="expression" dxfId="18155" priority="1865">
      <formula>$H2732="SUBETAPA"</formula>
    </cfRule>
  </conditionalFormatting>
  <conditionalFormatting sqref="H2732:H2733 J2732:K2733 J2730:M2731 G2730:H2731 H2721:H2722 J2721:K2722 J2719:M2720 G2719:H2720">
    <cfRule type="expression" dxfId="18154" priority="1883">
      <formula>$H2719="ETAPA"</formula>
    </cfRule>
  </conditionalFormatting>
  <conditionalFormatting sqref="H2733 J2730:K2731 G2730:H2731 H2722 J2719:K2720 G2719:H2720">
    <cfRule type="expression" dxfId="18153" priority="1879">
      <formula>$H2719="CÉLULA CONSTRUTIVA"</formula>
    </cfRule>
    <cfRule type="expression" dxfId="18152" priority="1880">
      <formula>$H2719="SUBETAPA"</formula>
    </cfRule>
  </conditionalFormatting>
  <conditionalFormatting sqref="H2743 J2743:K2743 L2744 M2743">
    <cfRule type="expression" dxfId="18151" priority="2617">
      <formula>$H2743="CÉLULA CONSTRUTIVA"</formula>
    </cfRule>
  </conditionalFormatting>
  <conditionalFormatting sqref="H2743 J2743:K2743 L2744">
    <cfRule type="expression" dxfId="18150" priority="2618">
      <formula>$H2743="SUBETAPA"</formula>
    </cfRule>
  </conditionalFormatting>
  <conditionalFormatting sqref="H2754:H2755 J2754:K2755 G2626:H2628 J2626:M2628 H2629:H2630 J2629:K2630 G2638:H2639 J2638:M2639 H2640:H2641 J2640:K2641 G2648:H2649 J2648:M2649 H2650:H2651 J2650:K2651 G2657:H2658 J2657:M2658 H2659:H2660 J2659:K2660 G2664:H2665 J2664:M2665 H2666:H2667 J2666:K2667 G2671:H2672 J2671:M2672 H2673:H2674 J2673:K2674 G2679:H2680 J2679:M2680 H2681:H2682 J2681:K2682 G2689:H2690 J2689:M2690 H2691:H2692 J2691:K2692 G2697:H2698 J2697:M2698 H2699:H2700 J2699:K2700 G2708:H2709 J2708:M2709 H2710:H2711 J2710:K2711 G2741:H2742 J2741:M2742 H2743:H2744 J2743:K2744 G2752:H2753 J2752:M2753">
    <cfRule type="expression" dxfId="18149" priority="116315">
      <formula>$H2626="ETAPA"</formula>
    </cfRule>
  </conditionalFormatting>
  <conditionalFormatting sqref="H2759 J2759:M2759 O2759">
    <cfRule type="expression" dxfId="18148" priority="1395">
      <formula>$H2759="CÉLULA CONSTRUTIVA"</formula>
    </cfRule>
  </conditionalFormatting>
  <conditionalFormatting sqref="H2761 J2761:K2761 M2761">
    <cfRule type="expression" dxfId="18147" priority="1393">
      <formula>$H2761="ETAPA"</formula>
    </cfRule>
  </conditionalFormatting>
  <conditionalFormatting sqref="H2761 M2761 J2761:K2761">
    <cfRule type="expression" dxfId="18146" priority="1392">
      <formula>$H2761="SUBETAPA"</formula>
    </cfRule>
  </conditionalFormatting>
  <conditionalFormatting sqref="H2762 J2762:L2762">
    <cfRule type="expression" dxfId="18145" priority="1386">
      <formula>$H2762="CÉLULA CONSTRUTIVA"</formula>
    </cfRule>
  </conditionalFormatting>
  <conditionalFormatting sqref="H2762 O2762 G2763:H2763 J2763:L2763 J2762:K2762">
    <cfRule type="expression" dxfId="18144" priority="1363">
      <formula>$H2762="SUBETAPA"</formula>
    </cfRule>
  </conditionalFormatting>
  <conditionalFormatting sqref="H2762">
    <cfRule type="expression" dxfId="18143" priority="1389">
      <formula>$H2762="ETAPA"</formula>
    </cfRule>
  </conditionalFormatting>
  <conditionalFormatting sqref="H2765 J2765:M2765 O2765">
    <cfRule type="expression" dxfId="18142" priority="1437">
      <formula>$H2765="CÉLULA CONSTRUTIVA"</formula>
    </cfRule>
  </conditionalFormatting>
  <conditionalFormatting sqref="H2767 J2767:K2767 M2767">
    <cfRule type="expression" dxfId="18141" priority="1435">
      <formula>$H2767="ETAPA"</formula>
    </cfRule>
  </conditionalFormatting>
  <conditionalFormatting sqref="H2767 M2767 J2767:K2767">
    <cfRule type="expression" dxfId="18140" priority="1434">
      <formula>$H2767="SUBETAPA"</formula>
    </cfRule>
  </conditionalFormatting>
  <conditionalFormatting sqref="H2768 J2768:L2768">
    <cfRule type="expression" dxfId="18139" priority="1428">
      <formula>$H2768="CÉLULA CONSTRUTIVA"</formula>
    </cfRule>
  </conditionalFormatting>
  <conditionalFormatting sqref="H2768 O2768 G2769:H2769 J2769:L2769 J2768:K2768">
    <cfRule type="expression" dxfId="18138" priority="1405">
      <formula>$H2768="SUBETAPA"</formula>
    </cfRule>
  </conditionalFormatting>
  <conditionalFormatting sqref="H2768">
    <cfRule type="expression" dxfId="18137" priority="1431">
      <formula>$H2768="ETAPA"</formula>
    </cfRule>
  </conditionalFormatting>
  <conditionalFormatting sqref="H2771 J2771:M2771 O2771">
    <cfRule type="expression" dxfId="18136" priority="1479">
      <formula>$H2771="CÉLULA CONSTRUTIVA"</formula>
    </cfRule>
  </conditionalFormatting>
  <conditionalFormatting sqref="H2773 J2773:K2773 M2773">
    <cfRule type="expression" dxfId="18135" priority="1477">
      <formula>$H2773="ETAPA"</formula>
    </cfRule>
  </conditionalFormatting>
  <conditionalFormatting sqref="H2773 M2773 J2773:K2773">
    <cfRule type="expression" dxfId="18134" priority="1476">
      <formula>$H2773="SUBETAPA"</formula>
    </cfRule>
  </conditionalFormatting>
  <conditionalFormatting sqref="H2774 J2774:L2774">
    <cfRule type="expression" dxfId="18133" priority="1470">
      <formula>$H2774="CÉLULA CONSTRUTIVA"</formula>
    </cfRule>
  </conditionalFormatting>
  <conditionalFormatting sqref="H2774 O2774 G2775:H2775 J2775:L2775 J2774:K2774">
    <cfRule type="expression" dxfId="18132" priority="1447">
      <formula>$H2774="SUBETAPA"</formula>
    </cfRule>
  </conditionalFormatting>
  <conditionalFormatting sqref="H2774">
    <cfRule type="expression" dxfId="18131" priority="1473">
      <formula>$H2774="ETAPA"</formula>
    </cfRule>
  </conditionalFormatting>
  <conditionalFormatting sqref="H2777 J2777:M2777 O2777">
    <cfRule type="expression" dxfId="18130" priority="1521">
      <formula>$H2777="CÉLULA CONSTRUTIVA"</formula>
    </cfRule>
  </conditionalFormatting>
  <conditionalFormatting sqref="H2777:H2779 M2778:M2779 J2778:K2779 J2777:M2777 O2777">
    <cfRule type="expression" dxfId="18129" priority="1520">
      <formula>$H2777="SUBETAPA"</formula>
    </cfRule>
  </conditionalFormatting>
  <conditionalFormatting sqref="H2778:H2780 M2781:M2784 J2778:M2780">
    <cfRule type="expression" dxfId="18128" priority="1529">
      <formula>$H2778="CÉLULA CONSTRUTIVA"</formula>
    </cfRule>
  </conditionalFormatting>
  <conditionalFormatting sqref="H2780 J2780:K2780 M2780">
    <cfRule type="expression" dxfId="18127" priority="1519">
      <formula>$H2780="ETAPA"</formula>
    </cfRule>
  </conditionalFormatting>
  <conditionalFormatting sqref="H2780 M2780 J2780:K2780">
    <cfRule type="expression" dxfId="18126" priority="1518">
      <formula>$H2780="SUBETAPA"</formula>
    </cfRule>
  </conditionalFormatting>
  <conditionalFormatting sqref="H2781 J2781:L2781 O2781">
    <cfRule type="expression" dxfId="18125" priority="1517">
      <formula>$H2781="ETAPA"</formula>
    </cfRule>
  </conditionalFormatting>
  <conditionalFormatting sqref="H2781 J2781:L2781">
    <cfRule type="expression" dxfId="18124" priority="1523">
      <formula>$H2781="SUBETAPA"</formula>
    </cfRule>
  </conditionalFormatting>
  <conditionalFormatting sqref="H2783 J2783:L2783">
    <cfRule type="expression" dxfId="18123" priority="1512">
      <formula>$H2783="CÉLULA CONSTRUTIVA"</formula>
    </cfRule>
  </conditionalFormatting>
  <conditionalFormatting sqref="H2786 J2786:M2786 O2786">
    <cfRule type="expression" dxfId="18122" priority="1563">
      <formula>$H2786="CÉLULA CONSTRUTIVA"</formula>
    </cfRule>
  </conditionalFormatting>
  <conditionalFormatting sqref="H2786:H2788 M2787:M2788 J2787:K2788 J2786:M2786 O2786">
    <cfRule type="expression" dxfId="18121" priority="1562">
      <formula>$H2786="SUBETAPA"</formula>
    </cfRule>
  </conditionalFormatting>
  <conditionalFormatting sqref="H2787:H2789 M2790:M2793 J2787:M2789">
    <cfRule type="expression" dxfId="18120" priority="1571">
      <formula>$H2787="CÉLULA CONSTRUTIVA"</formula>
    </cfRule>
  </conditionalFormatting>
  <conditionalFormatting sqref="H2789 J2789:K2789 M2789">
    <cfRule type="expression" dxfId="18119" priority="1561">
      <formula>$H2789="ETAPA"</formula>
    </cfRule>
  </conditionalFormatting>
  <conditionalFormatting sqref="H2789 M2789 J2789:K2789">
    <cfRule type="expression" dxfId="18118" priority="1560">
      <formula>$H2789="SUBETAPA"</formula>
    </cfRule>
  </conditionalFormatting>
  <conditionalFormatting sqref="H2790 J2790:L2790 O2790">
    <cfRule type="expression" dxfId="18117" priority="1559">
      <formula>$H2790="ETAPA"</formula>
    </cfRule>
  </conditionalFormatting>
  <conditionalFormatting sqref="H2790 J2790:L2790">
    <cfRule type="expression" dxfId="18116" priority="1565">
      <formula>$H2790="SUBETAPA"</formula>
    </cfRule>
  </conditionalFormatting>
  <conditionalFormatting sqref="H2792 J2792:L2792">
    <cfRule type="expression" dxfId="18115" priority="1554">
      <formula>$H2792="CÉLULA CONSTRUTIVA"</formula>
    </cfRule>
  </conditionalFormatting>
  <conditionalFormatting sqref="H2795 J2795:M2795 O2795">
    <cfRule type="expression" dxfId="18114" priority="1605">
      <formula>$H2795="CÉLULA CONSTRUTIVA"</formula>
    </cfRule>
  </conditionalFormatting>
  <conditionalFormatting sqref="H2795:H2797 M2796:M2797 J2796:K2797 J2795:M2795 O2795">
    <cfRule type="expression" dxfId="18113" priority="1604">
      <formula>$H2795="SUBETAPA"</formula>
    </cfRule>
  </conditionalFormatting>
  <conditionalFormatting sqref="H2796:H2798 J2796:M2798 M2799:M2802">
    <cfRule type="expression" dxfId="18112" priority="1613">
      <formula>$H2796="CÉLULA CONSTRUTIVA"</formula>
    </cfRule>
  </conditionalFormatting>
  <conditionalFormatting sqref="H2798 J2798:K2798 M2798">
    <cfRule type="expression" dxfId="18111" priority="1603">
      <formula>$H2798="ETAPA"</formula>
    </cfRule>
  </conditionalFormatting>
  <conditionalFormatting sqref="H2798 M2798 J2798:K2798">
    <cfRule type="expression" dxfId="18110" priority="1602">
      <formula>$H2798="SUBETAPA"</formula>
    </cfRule>
  </conditionalFormatting>
  <conditionalFormatting sqref="H2799 J2799:L2799 O2799">
    <cfRule type="expression" dxfId="18109" priority="1601">
      <formula>$H2799="ETAPA"</formula>
    </cfRule>
  </conditionalFormatting>
  <conditionalFormatting sqref="H2799 J2799:L2799">
    <cfRule type="expression" dxfId="18108" priority="1607">
      <formula>$H2799="SUBETAPA"</formula>
    </cfRule>
  </conditionalFormatting>
  <conditionalFormatting sqref="H2801 J2801:L2801">
    <cfRule type="expression" dxfId="18107" priority="1596">
      <formula>$H2801="CÉLULA CONSTRUTIVA"</formula>
    </cfRule>
  </conditionalFormatting>
  <conditionalFormatting sqref="H2804 J2804:M2804 O2804">
    <cfRule type="expression" dxfId="18106" priority="1647">
      <formula>$H2804="CÉLULA CONSTRUTIVA"</formula>
    </cfRule>
  </conditionalFormatting>
  <conditionalFormatting sqref="H2804:H2806 M2805:M2806 J2805:K2806 J2804:M2804 O2804">
    <cfRule type="expression" dxfId="18105" priority="1646">
      <formula>$H2804="SUBETAPA"</formula>
    </cfRule>
  </conditionalFormatting>
  <conditionalFormatting sqref="H2805:H2807 M2808:M2811 J2805:M2807">
    <cfRule type="expression" dxfId="18104" priority="1655">
      <formula>$H2805="CÉLULA CONSTRUTIVA"</formula>
    </cfRule>
  </conditionalFormatting>
  <conditionalFormatting sqref="H2807 J2807:K2807 M2807">
    <cfRule type="expression" dxfId="18103" priority="1645">
      <formula>$H2807="ETAPA"</formula>
    </cfRule>
  </conditionalFormatting>
  <conditionalFormatting sqref="H2807 M2807 J2807:K2807">
    <cfRule type="expression" dxfId="18102" priority="1644">
      <formula>$H2807="SUBETAPA"</formula>
    </cfRule>
  </conditionalFormatting>
  <conditionalFormatting sqref="H2808 J2808:L2808 O2808">
    <cfRule type="expression" dxfId="18101" priority="1643">
      <formula>$H2808="ETAPA"</formula>
    </cfRule>
  </conditionalFormatting>
  <conditionalFormatting sqref="H2808 J2808:L2808">
    <cfRule type="expression" dxfId="18100" priority="1649">
      <formula>$H2808="SUBETAPA"</formula>
    </cfRule>
  </conditionalFormatting>
  <conditionalFormatting sqref="H2810 J2810:L2810">
    <cfRule type="expression" dxfId="18099" priority="1638">
      <formula>$H2810="CÉLULA CONSTRUTIVA"</formula>
    </cfRule>
  </conditionalFormatting>
  <conditionalFormatting sqref="H2813 J2813:M2813 O2813">
    <cfRule type="expression" dxfId="18098" priority="1689">
      <formula>$H2813="CÉLULA CONSTRUTIVA"</formula>
    </cfRule>
  </conditionalFormatting>
  <conditionalFormatting sqref="H2813:H2815 M2814:M2815 J2814:K2815 J2813:M2813 O2813">
    <cfRule type="expression" dxfId="18097" priority="1688">
      <formula>$H2813="SUBETAPA"</formula>
    </cfRule>
  </conditionalFormatting>
  <conditionalFormatting sqref="H2814:H2816 J2814:M2816">
    <cfRule type="expression" dxfId="18096" priority="1697">
      <formula>$H2814="CÉLULA CONSTRUTIVA"</formula>
    </cfRule>
  </conditionalFormatting>
  <conditionalFormatting sqref="H2816 J2816:K2816 M2816">
    <cfRule type="expression" dxfId="18095" priority="1687">
      <formula>$H2816="ETAPA"</formula>
    </cfRule>
  </conditionalFormatting>
  <conditionalFormatting sqref="H2816 M2816 J2816:K2816">
    <cfRule type="expression" dxfId="18094" priority="1686">
      <formula>$H2816="SUBETAPA"</formula>
    </cfRule>
  </conditionalFormatting>
  <conditionalFormatting sqref="H2817 J2818:K2818">
    <cfRule type="expression" dxfId="18093" priority="1683">
      <formula>$H2817="ETAPA"</formula>
    </cfRule>
  </conditionalFormatting>
  <conditionalFormatting sqref="H2817 J2817:L2817">
    <cfRule type="expression" dxfId="18092" priority="1680">
      <formula>$H2817="CÉLULA CONSTRUTIVA"</formula>
    </cfRule>
  </conditionalFormatting>
  <conditionalFormatting sqref="H2817 O2817 G2818:H2818 J2817:K2818">
    <cfRule type="expression" dxfId="18091" priority="1657">
      <formula>$H2817="SUBETAPA"</formula>
    </cfRule>
  </conditionalFormatting>
  <conditionalFormatting sqref="H2820 J2820:K2820">
    <cfRule type="expression" dxfId="18090" priority="421">
      <formula>$H2820="CÉLULA CONSTRUTIVA"</formula>
    </cfRule>
  </conditionalFormatting>
  <conditionalFormatting sqref="H2826 J2826:K2826">
    <cfRule type="expression" dxfId="18089" priority="443">
      <formula>$H2826="SUBETAPA"</formula>
    </cfRule>
    <cfRule type="expression" dxfId="18088" priority="444">
      <formula>$H2826="ETAPA"</formula>
    </cfRule>
  </conditionalFormatting>
  <conditionalFormatting sqref="H2827 J2827">
    <cfRule type="expression" dxfId="18087" priority="441">
      <formula>$H2827="SUBETAPA"</formula>
    </cfRule>
    <cfRule type="expression" dxfId="18086" priority="442">
      <formula>$H2827="ETAPA"</formula>
    </cfRule>
  </conditionalFormatting>
  <conditionalFormatting sqref="H2829 J2829:K2829">
    <cfRule type="expression" dxfId="18085" priority="426">
      <formula>$H2829="CÉLULA CONSTRUTIVA"</formula>
    </cfRule>
    <cfRule type="expression" dxfId="18084" priority="427">
      <formula>$H2829="SUBETAPA"</formula>
    </cfRule>
  </conditionalFormatting>
  <conditionalFormatting sqref="H2829">
    <cfRule type="expression" dxfId="18083" priority="446">
      <formula>$H2829="ETAPA"</formula>
    </cfRule>
  </conditionalFormatting>
  <conditionalFormatting sqref="H2831 J2831:K2831">
    <cfRule type="expression" dxfId="18082" priority="486">
      <formula>$H2831="CÉLULA CONSTRUTIVA"</formula>
    </cfRule>
  </conditionalFormatting>
  <conditionalFormatting sqref="H2838 J2838:K2838">
    <cfRule type="expression" dxfId="18081" priority="491">
      <formula>$H2838="CÉLULA CONSTRUTIVA"</formula>
    </cfRule>
    <cfRule type="expression" dxfId="18080" priority="492">
      <formula>$H2838="SUBETAPA"</formula>
    </cfRule>
  </conditionalFormatting>
  <conditionalFormatting sqref="H2838">
    <cfRule type="expression" dxfId="18079" priority="511">
      <formula>$H2838="ETAPA"</formula>
    </cfRule>
  </conditionalFormatting>
  <conditionalFormatting sqref="H2840 J2840:K2840">
    <cfRule type="expression" dxfId="18078" priority="551">
      <formula>$H2840="CÉLULA CONSTRUTIVA"</formula>
    </cfRule>
  </conditionalFormatting>
  <conditionalFormatting sqref="H2847 J2847:K2847">
    <cfRule type="expression" dxfId="18077" priority="556">
      <formula>$H2847="CÉLULA CONSTRUTIVA"</formula>
    </cfRule>
    <cfRule type="expression" dxfId="18076" priority="557">
      <formula>$H2847="SUBETAPA"</formula>
    </cfRule>
  </conditionalFormatting>
  <conditionalFormatting sqref="H2847">
    <cfRule type="expression" dxfId="18075" priority="576">
      <formula>$H2847="ETAPA"</formula>
    </cfRule>
  </conditionalFormatting>
  <conditionalFormatting sqref="H2849 J2849:K2849">
    <cfRule type="expression" dxfId="18074" priority="616">
      <formula>$H2849="CÉLULA CONSTRUTIVA"</formula>
    </cfRule>
  </conditionalFormatting>
  <conditionalFormatting sqref="H2856 J2856:K2856">
    <cfRule type="expression" dxfId="18073" priority="621">
      <formula>$H2856="CÉLULA CONSTRUTIVA"</formula>
    </cfRule>
    <cfRule type="expression" dxfId="18072" priority="622">
      <formula>$H2856="SUBETAPA"</formula>
    </cfRule>
  </conditionalFormatting>
  <conditionalFormatting sqref="H2856">
    <cfRule type="expression" dxfId="18071" priority="641">
      <formula>$H2856="ETAPA"</formula>
    </cfRule>
  </conditionalFormatting>
  <conditionalFormatting sqref="H2858 J2858:K2858">
    <cfRule type="expression" dxfId="18070" priority="681">
      <formula>$H2858="CÉLULA CONSTRUTIVA"</formula>
    </cfRule>
  </conditionalFormatting>
  <conditionalFormatting sqref="H2865 J2865:K2865">
    <cfRule type="expression" dxfId="18069" priority="686">
      <formula>$H2865="CÉLULA CONSTRUTIVA"</formula>
    </cfRule>
    <cfRule type="expression" dxfId="18068" priority="687">
      <formula>$H2865="SUBETAPA"</formula>
    </cfRule>
  </conditionalFormatting>
  <conditionalFormatting sqref="H2865">
    <cfRule type="expression" dxfId="18067" priority="706">
      <formula>$H2865="ETAPA"</formula>
    </cfRule>
  </conditionalFormatting>
  <conditionalFormatting sqref="H2867 J2867:K2867">
    <cfRule type="expression" dxfId="18066" priority="746">
      <formula>$H2867="CÉLULA CONSTRUTIVA"</formula>
    </cfRule>
  </conditionalFormatting>
  <conditionalFormatting sqref="H2874 J2874:K2874">
    <cfRule type="expression" dxfId="18065" priority="751">
      <formula>$H2874="CÉLULA CONSTRUTIVA"</formula>
    </cfRule>
    <cfRule type="expression" dxfId="18064" priority="752">
      <formula>$H2874="SUBETAPA"</formula>
    </cfRule>
  </conditionalFormatting>
  <conditionalFormatting sqref="H2874">
    <cfRule type="expression" dxfId="18063" priority="771">
      <formula>$H2874="ETAPA"</formula>
    </cfRule>
  </conditionalFormatting>
  <conditionalFormatting sqref="H2876 J2876:K2876">
    <cfRule type="expression" dxfId="18062" priority="811">
      <formula>$H2876="CÉLULA CONSTRUTIVA"</formula>
    </cfRule>
  </conditionalFormatting>
  <conditionalFormatting sqref="H2882 J2882:K2882">
    <cfRule type="expression" dxfId="18061" priority="833">
      <formula>$H2882="SUBETAPA"</formula>
    </cfRule>
    <cfRule type="expression" dxfId="18060" priority="834">
      <formula>$H2882="ETAPA"</formula>
    </cfRule>
  </conditionalFormatting>
  <conditionalFormatting sqref="H2883 J2883">
    <cfRule type="expression" dxfId="18059" priority="831">
      <formula>$H2883="SUBETAPA"</formula>
    </cfRule>
    <cfRule type="expression" dxfId="18058" priority="832">
      <formula>$H2883="ETAPA"</formula>
    </cfRule>
  </conditionalFormatting>
  <conditionalFormatting sqref="H2885 J2885:K2885">
    <cfRule type="expression" dxfId="18057" priority="816">
      <formula>$H2885="CÉLULA CONSTRUTIVA"</formula>
    </cfRule>
    <cfRule type="expression" dxfId="18056" priority="817">
      <formula>$H2885="SUBETAPA"</formula>
    </cfRule>
  </conditionalFormatting>
  <conditionalFormatting sqref="H2885">
    <cfRule type="expression" dxfId="18055" priority="836">
      <formula>$H2885="ETAPA"</formula>
    </cfRule>
  </conditionalFormatting>
  <conditionalFormatting sqref="H2887 J2887:K2887">
    <cfRule type="expression" dxfId="18054" priority="876">
      <formula>$H2887="CÉLULA CONSTRUTIVA"</formula>
    </cfRule>
  </conditionalFormatting>
  <conditionalFormatting sqref="H2893 J2893:K2893">
    <cfRule type="expression" dxfId="18053" priority="898">
      <formula>$H2893="SUBETAPA"</formula>
    </cfRule>
    <cfRule type="expression" dxfId="18052" priority="899">
      <formula>$H2893="ETAPA"</formula>
    </cfRule>
  </conditionalFormatting>
  <conditionalFormatting sqref="H2894 J2894">
    <cfRule type="expression" dxfId="18051" priority="896">
      <formula>$H2894="SUBETAPA"</formula>
    </cfRule>
    <cfRule type="expression" dxfId="18050" priority="897">
      <formula>$H2894="ETAPA"</formula>
    </cfRule>
  </conditionalFormatting>
  <conditionalFormatting sqref="H2896 J2896:L2896">
    <cfRule type="expression" dxfId="18049" priority="881">
      <formula>$H2896="CÉLULA CONSTRUTIVA"</formula>
    </cfRule>
    <cfRule type="expression" dxfId="18048" priority="882">
      <formula>$H2896="SUBETAPA"</formula>
    </cfRule>
  </conditionalFormatting>
  <conditionalFormatting sqref="H2896">
    <cfRule type="expression" dxfId="18047" priority="901">
      <formula>$H2896="ETAPA"</formula>
    </cfRule>
  </conditionalFormatting>
  <conditionalFormatting sqref="H2898 J2898:K2898">
    <cfRule type="expression" dxfId="18046" priority="941">
      <formula>$H2898="CÉLULA CONSTRUTIVA"</formula>
    </cfRule>
  </conditionalFormatting>
  <conditionalFormatting sqref="H2905 J2905:K2905">
    <cfRule type="expression" dxfId="18045" priority="946">
      <formula>$H2905="CÉLULA CONSTRUTIVA"</formula>
    </cfRule>
    <cfRule type="expression" dxfId="18044" priority="947">
      <formula>$H2905="SUBETAPA"</formula>
    </cfRule>
  </conditionalFormatting>
  <conditionalFormatting sqref="H2905">
    <cfRule type="expression" dxfId="18043" priority="966">
      <formula>$H2905="ETAPA"</formula>
    </cfRule>
  </conditionalFormatting>
  <conditionalFormatting sqref="H2907 J2907:K2907">
    <cfRule type="expression" dxfId="18042" priority="1006">
      <formula>$H2907="CÉLULA CONSTRUTIVA"</formula>
    </cfRule>
  </conditionalFormatting>
  <conditionalFormatting sqref="H2914 J2914:K2914">
    <cfRule type="expression" dxfId="18041" priority="1011">
      <formula>$H2914="CÉLULA CONSTRUTIVA"</formula>
    </cfRule>
    <cfRule type="expression" dxfId="18040" priority="1012">
      <formula>$H2914="SUBETAPA"</formula>
    </cfRule>
  </conditionalFormatting>
  <conditionalFormatting sqref="H2914">
    <cfRule type="expression" dxfId="18039" priority="1031">
      <formula>$H2914="ETAPA"</formula>
    </cfRule>
  </conditionalFormatting>
  <conditionalFormatting sqref="H2916 J2916:K2916">
    <cfRule type="expression" dxfId="18038" priority="1071">
      <formula>$H2916="CÉLULA CONSTRUTIVA"</formula>
    </cfRule>
  </conditionalFormatting>
  <conditionalFormatting sqref="H2923 J2923:K2923">
    <cfRule type="expression" dxfId="18037" priority="1076">
      <formula>$H2923="CÉLULA CONSTRUTIVA"</formula>
    </cfRule>
    <cfRule type="expression" dxfId="18036" priority="1077">
      <formula>$H2923="SUBETAPA"</formula>
    </cfRule>
  </conditionalFormatting>
  <conditionalFormatting sqref="H2923">
    <cfRule type="expression" dxfId="18035" priority="1096">
      <formula>$H2923="ETAPA"</formula>
    </cfRule>
  </conditionalFormatting>
  <conditionalFormatting sqref="H2925 J2925:K2925">
    <cfRule type="expression" dxfId="18034" priority="1136">
      <formula>$H2925="CÉLULA CONSTRUTIVA"</formula>
    </cfRule>
  </conditionalFormatting>
  <conditionalFormatting sqref="H2932 J2932:K2932">
    <cfRule type="expression" dxfId="18033" priority="1141">
      <formula>$H2932="CÉLULA CONSTRUTIVA"</formula>
    </cfRule>
    <cfRule type="expression" dxfId="18032" priority="1142">
      <formula>$H2932="SUBETAPA"</formula>
    </cfRule>
  </conditionalFormatting>
  <conditionalFormatting sqref="H2932">
    <cfRule type="expression" dxfId="18031" priority="1161">
      <formula>$H2932="ETAPA"</formula>
    </cfRule>
  </conditionalFormatting>
  <conditionalFormatting sqref="H2934 J2934:K2934">
    <cfRule type="expression" dxfId="18030" priority="1201">
      <formula>$H2934="CÉLULA CONSTRUTIVA"</formula>
    </cfRule>
  </conditionalFormatting>
  <conditionalFormatting sqref="H2940 J2940:K2940">
    <cfRule type="expression" dxfId="18029" priority="1223">
      <formula>$H2940="SUBETAPA"</formula>
    </cfRule>
    <cfRule type="expression" dxfId="18028" priority="1224">
      <formula>$H2940="ETAPA"</formula>
    </cfRule>
  </conditionalFormatting>
  <conditionalFormatting sqref="H2941 J2941">
    <cfRule type="expression" dxfId="18027" priority="1221">
      <formula>$H2941="SUBETAPA"</formula>
    </cfRule>
    <cfRule type="expression" dxfId="18026" priority="1222">
      <formula>$H2941="ETAPA"</formula>
    </cfRule>
  </conditionalFormatting>
  <conditionalFormatting sqref="H2943 J2943:L2943">
    <cfRule type="expression" dxfId="18025" priority="1206">
      <formula>$H2943="CÉLULA CONSTRUTIVA"</formula>
    </cfRule>
    <cfRule type="expression" dxfId="18024" priority="1207">
      <formula>$H2943="SUBETAPA"</formula>
    </cfRule>
  </conditionalFormatting>
  <conditionalFormatting sqref="H2943">
    <cfRule type="expression" dxfId="18023" priority="1226">
      <formula>$H2943="ETAPA"</formula>
    </cfRule>
  </conditionalFormatting>
  <conditionalFormatting sqref="H2945 J2945:K2945">
    <cfRule type="expression" dxfId="18022" priority="1266">
      <formula>$H2945="CÉLULA CONSTRUTIVA"</formula>
    </cfRule>
  </conditionalFormatting>
  <conditionalFormatting sqref="H2948 J2948:K2948">
    <cfRule type="expression" dxfId="18021" priority="1288">
      <formula>$H2948="SUBETAPA"</formula>
    </cfRule>
    <cfRule type="expression" dxfId="18020" priority="1289">
      <formula>$H2948="ETAPA"</formula>
    </cfRule>
  </conditionalFormatting>
  <conditionalFormatting sqref="H2949 J2949">
    <cfRule type="expression" dxfId="18019" priority="1286">
      <formula>$H2949="SUBETAPA"</formula>
    </cfRule>
    <cfRule type="expression" dxfId="18018" priority="1287">
      <formula>$H2949="ETAPA"</formula>
    </cfRule>
  </conditionalFormatting>
  <conditionalFormatting sqref="H2950 J2950:K2950">
    <cfRule type="expression" dxfId="18017" priority="1284">
      <formula>$H2950="SUBETAPA"</formula>
    </cfRule>
    <cfRule type="expression" dxfId="18016" priority="1285">
      <formula>$H2950="ETAPA"</formula>
    </cfRule>
  </conditionalFormatting>
  <conditionalFormatting sqref="H2951 J2951:K2951">
    <cfRule type="expression" dxfId="18015" priority="1283">
      <formula>$H2951="ETAPA"</formula>
    </cfRule>
    <cfRule type="expression" dxfId="18014" priority="1290">
      <formula>$H2951="SUBETAPA"</formula>
    </cfRule>
  </conditionalFormatting>
  <conditionalFormatting sqref="H2953 J2953:L2953">
    <cfRule type="expression" dxfId="18013" priority="1271">
      <formula>$H2953="CÉLULA CONSTRUTIVA"</formula>
    </cfRule>
    <cfRule type="expression" dxfId="18012" priority="1272">
      <formula>$H2953="SUBETAPA"</formula>
    </cfRule>
  </conditionalFormatting>
  <conditionalFormatting sqref="H2953">
    <cfRule type="expression" dxfId="18011" priority="1291">
      <formula>$H2953="ETAPA"</formula>
    </cfRule>
  </conditionalFormatting>
  <conditionalFormatting sqref="H2957 L2959:L2960 J2957:L2957">
    <cfRule type="expression" dxfId="18010" priority="66710">
      <formula>$H2957="SUBETAPA"</formula>
    </cfRule>
  </conditionalFormatting>
  <conditionalFormatting sqref="H2957 L2959:L2960 O2957 J2957:L2957">
    <cfRule type="expression" dxfId="18009" priority="66711">
      <formula>$H2957="CÉLULA CONSTRUTIVA"</formula>
    </cfRule>
  </conditionalFormatting>
  <conditionalFormatting sqref="H2960 J2960">
    <cfRule type="expression" dxfId="18008" priority="66707">
      <formula>$H2960="SUBETAPA"</formula>
    </cfRule>
  </conditionalFormatting>
  <conditionalFormatting sqref="H2960 J2960:K2960">
    <cfRule type="expression" dxfId="18007" priority="66702">
      <formula>$H2960="CÉLULA CONSTRUTIVA"</formula>
    </cfRule>
    <cfRule type="expression" dxfId="18006" priority="66703">
      <formula>$H2960="ETAPA"</formula>
    </cfRule>
  </conditionalFormatting>
  <conditionalFormatting sqref="H2991 J2991:L2991">
    <cfRule type="expression" dxfId="18005" priority="65682">
      <formula>$H2991="SUBETAPA"</formula>
    </cfRule>
  </conditionalFormatting>
  <conditionalFormatting sqref="H2991 O2991 J2991:L2991">
    <cfRule type="expression" dxfId="18004" priority="65683">
      <formula>$H2991="CÉLULA CONSTRUTIVA"</formula>
    </cfRule>
  </conditionalFormatting>
  <conditionalFormatting sqref="H2998 L3000:L3001 J2998:L2998">
    <cfRule type="expression" dxfId="18003" priority="66196">
      <formula>$H2998="SUBETAPA"</formula>
    </cfRule>
  </conditionalFormatting>
  <conditionalFormatting sqref="H2998 L3000:L3001 O2998 J2998:L2998">
    <cfRule type="expression" dxfId="18002" priority="66197">
      <formula>$H2998="CÉLULA CONSTRUTIVA"</formula>
    </cfRule>
  </conditionalFormatting>
  <conditionalFormatting sqref="H3001 J3001">
    <cfRule type="expression" dxfId="18001" priority="66193">
      <formula>$H3001="SUBETAPA"</formula>
    </cfRule>
  </conditionalFormatting>
  <conditionalFormatting sqref="H3001 J3001:K3001">
    <cfRule type="expression" dxfId="18000" priority="66188">
      <formula>$H3001="CÉLULA CONSTRUTIVA"</formula>
    </cfRule>
    <cfRule type="expression" dxfId="17999" priority="66189">
      <formula>$H3001="ETAPA"</formula>
    </cfRule>
  </conditionalFormatting>
  <conditionalFormatting sqref="H3007 J3007:L3007">
    <cfRule type="expression" dxfId="17998" priority="65798">
      <formula>$H3007="SUBETAPA"</formula>
    </cfRule>
  </conditionalFormatting>
  <conditionalFormatting sqref="H3007 O3007 J3007:L3007">
    <cfRule type="expression" dxfId="17997" priority="65799">
      <formula>$H3007="CÉLULA CONSTRUTIVA"</formula>
    </cfRule>
  </conditionalFormatting>
  <conditionalFormatting sqref="H3014 J3014:L3014">
    <cfRule type="expression" dxfId="17996" priority="65902">
      <formula>$H3014="SUBETAPA"</formula>
    </cfRule>
  </conditionalFormatting>
  <conditionalFormatting sqref="H3014 O3014 J3014:L3014">
    <cfRule type="expression" dxfId="17995" priority="65903">
      <formula>$H3014="CÉLULA CONSTRUTIVA"</formula>
    </cfRule>
  </conditionalFormatting>
  <conditionalFormatting sqref="H3021 J3021:L3021">
    <cfRule type="expression" dxfId="17994" priority="65997">
      <formula>$H3021="SUBETAPA"</formula>
    </cfRule>
  </conditionalFormatting>
  <conditionalFormatting sqref="H3021 O3021 J3021:L3021">
    <cfRule type="expression" dxfId="17993" priority="65998">
      <formula>$H3021="CÉLULA CONSTRUTIVA"</formula>
    </cfRule>
  </conditionalFormatting>
  <conditionalFormatting sqref="H3028 J3028:L3028">
    <cfRule type="expression" dxfId="17992" priority="66101">
      <formula>$H3028="SUBETAPA"</formula>
    </cfRule>
  </conditionalFormatting>
  <conditionalFormatting sqref="H3028 O3028 J3028:L3028">
    <cfRule type="expression" dxfId="17991" priority="66102">
      <formula>$H3028="CÉLULA CONSTRUTIVA"</formula>
    </cfRule>
  </conditionalFormatting>
  <conditionalFormatting sqref="H3035 H3045 H3048 H3125 H3135 H3142 H3149 H3155 H3162 H3170 L3157:L3158 L3164:L3165 L3172 J3170:L3170 J3162:L3162 J3155:L3155 J3149:L3149 J3142:L3142 J3135:L3135 J3125:L3125 J3048:L3048 J3045:L3045 J3035:L3035 L3151:L3154">
    <cfRule type="expression" dxfId="17990" priority="83631">
      <formula>$H3035="SUBETAPA"</formula>
    </cfRule>
  </conditionalFormatting>
  <conditionalFormatting sqref="H3035 H3045 H3048 H3125 H3135 H3142 H3149 H3155 H3162 H3170 L3157:L3158 L3164:L3165 L3172 M3150 M3156 M3163 M3171 O3142 O3135 O3125 O3048 O3035 J3170:M3170 J3162:M3162 J3155:M3155 J3149:M3149 J3142:L3142 J3135:L3135 J3125:L3125 J3048:L3048 J3045:L3045 J3035:L3035 O3149 O3155 O3162 O3170 L3151:L3154">
    <cfRule type="expression" dxfId="17989" priority="83632">
      <formula>$H3035="CÉLULA CONSTRUTIVA"</formula>
    </cfRule>
  </conditionalFormatting>
  <conditionalFormatting sqref="H3052 H3066 H3075 J3075:L3075 J3066:L3066 J3052:L3052">
    <cfRule type="expression" dxfId="17988" priority="61054">
      <formula>$H3052="SUBETAPA"</formula>
    </cfRule>
  </conditionalFormatting>
  <conditionalFormatting sqref="H3052 H3066 H3075 O3075 O3066 O3052 J3075:L3075 J3066:L3066 J3052:L3052">
    <cfRule type="expression" dxfId="17987" priority="61055">
      <formula>$H3052="CÉLULA CONSTRUTIVA"</formula>
    </cfRule>
  </conditionalFormatting>
  <conditionalFormatting sqref="H3054 J3053:K3054 G3073:H3074 J3073:L3074 G3140:H3141 J3140:L3141 H3127 J3126:K3127 G3117:H3118 J3117:L3118 H3104 J3103:K3104 G3095:H3096 J3095:L3096 H3085 J3084:K3085">
    <cfRule type="expression" dxfId="17986" priority="67017">
      <formula>$H3053="SUBETAPA"</formula>
    </cfRule>
    <cfRule type="expression" dxfId="17985" priority="67018">
      <formula>$H3053="CÉLULA CONSTRUTIVA"</formula>
    </cfRule>
  </conditionalFormatting>
  <conditionalFormatting sqref="H3055 H3059 J3059 J3055 H3063 O3063">
    <cfRule type="expression" dxfId="17984" priority="61051">
      <formula>$H3055="SUBETAPA"</formula>
    </cfRule>
  </conditionalFormatting>
  <conditionalFormatting sqref="H3055 H3059 J3059:K3059 J3055:K3055">
    <cfRule type="expression" dxfId="17983" priority="61046">
      <formula>$H3055="CÉLULA CONSTRUTIVA"</formula>
    </cfRule>
  </conditionalFormatting>
  <conditionalFormatting sqref="H3055 J3055:K3055 H3059 J3059:K3059 H3063">
    <cfRule type="expression" dxfId="17982" priority="61047">
      <formula>$H3055="ETAPA"</formula>
    </cfRule>
  </conditionalFormatting>
  <conditionalFormatting sqref="H3083 H3097 J3097:L3097 J3083:L3083">
    <cfRule type="expression" dxfId="17981" priority="61300">
      <formula>$H3083="SUBETAPA"</formula>
    </cfRule>
  </conditionalFormatting>
  <conditionalFormatting sqref="H3083 H3097 O3097 O3083 J3097:L3097 J3083:L3083">
    <cfRule type="expression" dxfId="17980" priority="61301">
      <formula>$H3083="CÉLULA CONSTRUTIVA"</formula>
    </cfRule>
  </conditionalFormatting>
  <conditionalFormatting sqref="H3086 J3086 H3089">
    <cfRule type="expression" dxfId="17979" priority="61297">
      <formula>$H3086="SUBETAPA"</formula>
    </cfRule>
  </conditionalFormatting>
  <conditionalFormatting sqref="H3086 J3086:K3086 H3089">
    <cfRule type="expression" dxfId="17978" priority="61293">
      <formula>$H3086="ETAPA"</formula>
    </cfRule>
  </conditionalFormatting>
  <conditionalFormatting sqref="H3086 J3086:K3086">
    <cfRule type="expression" dxfId="17977" priority="61292">
      <formula>$H3086="CÉLULA CONSTRUTIVA"</formula>
    </cfRule>
  </conditionalFormatting>
  <conditionalFormatting sqref="H3102 H3119 J3119:L3119 J3102:L3102">
    <cfRule type="expression" dxfId="17976" priority="61546">
      <formula>$H3102="SUBETAPA"</formula>
    </cfRule>
  </conditionalFormatting>
  <conditionalFormatting sqref="H3102 H3119 O3119 O3102 J3119:L3119 J3102:L3102">
    <cfRule type="expression" dxfId="17975" priority="61547">
      <formula>$H3102="CÉLULA CONSTRUTIVA"</formula>
    </cfRule>
  </conditionalFormatting>
  <conditionalFormatting sqref="H3105 H3107 J3107 J3105 H3110">
    <cfRule type="expression" dxfId="17974" priority="61543">
      <formula>$H3105="SUBETAPA"</formula>
    </cfRule>
  </conditionalFormatting>
  <conditionalFormatting sqref="H3105 H3107 J3107:K3107 J3105:K3105">
    <cfRule type="expression" dxfId="17973" priority="61538">
      <formula>$H3105="CÉLULA CONSTRUTIVA"</formula>
    </cfRule>
  </conditionalFormatting>
  <conditionalFormatting sqref="H3105 J3105:K3105 H3107 J3107:K3107 H3110">
    <cfRule type="expression" dxfId="17972" priority="61539">
      <formula>$H3105="ETAPA"</formula>
    </cfRule>
  </conditionalFormatting>
  <conditionalFormatting sqref="H3128 H3130 H3152 H3158 H3165 J3165 J3158 J3130 J3128 H3133 H3154">
    <cfRule type="expression" dxfId="17971" priority="83618">
      <formula>$H3128="SUBETAPA"</formula>
    </cfRule>
  </conditionalFormatting>
  <conditionalFormatting sqref="H3128 H3130 H3152 H3158 H3165 J3165:K3165 J3158:K3158 J3130:K3130 J3128:K3128 H3154">
    <cfRule type="expression" dxfId="17970" priority="83611">
      <formula>$H3128="CÉLULA CONSTRUTIVA"</formula>
    </cfRule>
  </conditionalFormatting>
  <conditionalFormatting sqref="H3128 J3128:K3128 H3130 J3130:K3130 H3152 H3154 H3158 J3158:K3158 H3165 J3165:K3165 H3133">
    <cfRule type="expression" dxfId="17969" priority="83614">
      <formula>$H3128="ETAPA"</formula>
    </cfRule>
  </conditionalFormatting>
  <conditionalFormatting sqref="H20:I20">
    <cfRule type="expression" dxfId="17968" priority="46627">
      <formula>$H20="CÉLULA CONSTRUTIVA"</formula>
    </cfRule>
    <cfRule type="expression" dxfId="17967" priority="46628">
      <formula>$H20="ETAPA"</formula>
    </cfRule>
    <cfRule type="expression" dxfId="17966" priority="46629">
      <formula>$H20="SUBETAPA"</formula>
    </cfRule>
  </conditionalFormatting>
  <conditionalFormatting sqref="H37:I37">
    <cfRule type="expression" dxfId="17965" priority="46709">
      <formula>$H37="SUBETAPA"</formula>
    </cfRule>
    <cfRule type="expression" dxfId="17964" priority="46710">
      <formula>$H37="ETAPA"</formula>
    </cfRule>
    <cfRule type="expression" dxfId="17963" priority="46711">
      <formula>$H37="CÉLULA CONSTRUTIVA"</formula>
    </cfRule>
  </conditionalFormatting>
  <conditionalFormatting sqref="H38:I38 N38:N39">
    <cfRule type="expression" dxfId="17962" priority="50596">
      <formula>$H38="ETAPA"</formula>
    </cfRule>
  </conditionalFormatting>
  <conditionalFormatting sqref="H38:I38">
    <cfRule type="expression" dxfId="17961" priority="50597">
      <formula>$H38="CÉLULA CONSTRUTIVA"</formula>
    </cfRule>
  </conditionalFormatting>
  <conditionalFormatting sqref="H45:I45 H48:I48 G49:L49 H50:I50 K50:L50 L45">
    <cfRule type="expression" dxfId="17960" priority="50552">
      <formula>$H45="SUBETAPA"</formula>
    </cfRule>
  </conditionalFormatting>
  <conditionalFormatting sqref="H45:I48">
    <cfRule type="expression" dxfId="17959" priority="46745">
      <formula>$H45="ETAPA"</formula>
    </cfRule>
  </conditionalFormatting>
  <conditionalFormatting sqref="H46:I46">
    <cfRule type="expression" dxfId="17958" priority="46776">
      <formula>$H46="CÉLULA CONSTRUTIVA"</formula>
    </cfRule>
  </conditionalFormatting>
  <conditionalFormatting sqref="H47:I47 L47">
    <cfRule type="expression" dxfId="17957" priority="46747">
      <formula>$H47="SUBETAPA"</formula>
    </cfRule>
  </conditionalFormatting>
  <conditionalFormatting sqref="H47:I47">
    <cfRule type="expression" dxfId="17956" priority="46746">
      <formula>$H47="CÉLULA CONSTRUTIVA"</formula>
    </cfRule>
  </conditionalFormatting>
  <conditionalFormatting sqref="H23:J23">
    <cfRule type="expression" dxfId="17955" priority="46630">
      <formula>$H23="CÉLULA CONSTRUTIVA"</formula>
    </cfRule>
    <cfRule type="expression" dxfId="17954" priority="46631">
      <formula>$H23="ETAPA"</formula>
    </cfRule>
    <cfRule type="expression" dxfId="17953" priority="46632">
      <formula>$H23="SUBETAPA"</formula>
    </cfRule>
  </conditionalFormatting>
  <conditionalFormatting sqref="H624:J624">
    <cfRule type="expression" dxfId="17952" priority="59076">
      <formula>$H624="ETAPA"</formula>
    </cfRule>
    <cfRule type="expression" dxfId="17951" priority="59078">
      <formula>$H624="SUBETAPA"</formula>
    </cfRule>
  </conditionalFormatting>
  <conditionalFormatting sqref="H626:J626 H629:L629 H628:J628 H631:L631 H630:J630 H632:J632 H637:J637">
    <cfRule type="expression" dxfId="17950" priority="59112">
      <formula>$H626="SUBETAPA"</formula>
    </cfRule>
  </conditionalFormatting>
  <conditionalFormatting sqref="H641:J641 H640:K640">
    <cfRule type="expression" dxfId="17949" priority="58521">
      <formula>$H640="CÉLULA CONSTRUTIVA"</formula>
    </cfRule>
  </conditionalFormatting>
  <conditionalFormatting sqref="H654:J654 H653:K653">
    <cfRule type="expression" dxfId="17948" priority="58603">
      <formula>$H653="CÉLULA CONSTRUTIVA"</formula>
    </cfRule>
  </conditionalFormatting>
  <conditionalFormatting sqref="H667:J667 H666:K666">
    <cfRule type="expression" dxfId="17947" priority="58685">
      <formula>$H666="CÉLULA CONSTRUTIVA"</formula>
    </cfRule>
  </conditionalFormatting>
  <conditionalFormatting sqref="H680:J680 H679:K679">
    <cfRule type="expression" dxfId="17946" priority="58767">
      <formula>$H679="CÉLULA CONSTRUTIVA"</formula>
    </cfRule>
  </conditionalFormatting>
  <conditionalFormatting sqref="H693:J693 H692:K692">
    <cfRule type="expression" dxfId="17945" priority="58849">
      <formula>$H692="CÉLULA CONSTRUTIVA"</formula>
    </cfRule>
  </conditionalFormatting>
  <conditionalFormatting sqref="H706:J706 H705:K705">
    <cfRule type="expression" dxfId="17944" priority="58931">
      <formula>$H705="CÉLULA CONSTRUTIVA"</formula>
    </cfRule>
  </conditionalFormatting>
  <conditionalFormatting sqref="H719:J719 H718:K718">
    <cfRule type="expression" dxfId="17943" priority="59016">
      <formula>$H718="CÉLULA CONSTRUTIVA"</formula>
    </cfRule>
  </conditionalFormatting>
  <conditionalFormatting sqref="H732:J732 H731:K731">
    <cfRule type="expression" dxfId="17942" priority="59193">
      <formula>$H731="CÉLULA CONSTRUTIVA"</formula>
    </cfRule>
  </conditionalFormatting>
  <conditionalFormatting sqref="H745:J745 H744:K744">
    <cfRule type="expression" dxfId="17941" priority="59275">
      <formula>$H744="CÉLULA CONSTRUTIVA"</formula>
    </cfRule>
  </conditionalFormatting>
  <conditionalFormatting sqref="H758:J758 H757:K757">
    <cfRule type="expression" dxfId="17940" priority="59357">
      <formula>$H757="CÉLULA CONSTRUTIVA"</formula>
    </cfRule>
  </conditionalFormatting>
  <conditionalFormatting sqref="H771:J771 H770:K770">
    <cfRule type="expression" dxfId="17939" priority="59439">
      <formula>$H770="CÉLULA CONSTRUTIVA"</formula>
    </cfRule>
  </conditionalFormatting>
  <conditionalFormatting sqref="H784:J784 H783:K783">
    <cfRule type="expression" dxfId="17938" priority="59521">
      <formula>$H783="CÉLULA CONSTRUTIVA"</formula>
    </cfRule>
  </conditionalFormatting>
  <conditionalFormatting sqref="H797:J797 H796:K796">
    <cfRule type="expression" dxfId="17937" priority="59603">
      <formula>$H796="CÉLULA CONSTRUTIVA"</formula>
    </cfRule>
  </conditionalFormatting>
  <conditionalFormatting sqref="H815:J815 H814:K814">
    <cfRule type="expression" dxfId="17936" priority="56831">
      <formula>$H814="ETAPA"</formula>
    </cfRule>
    <cfRule type="expression" dxfId="17935" priority="56832">
      <formula>$H814="CÉLULA CONSTRUTIVA"</formula>
    </cfRule>
  </conditionalFormatting>
  <conditionalFormatting sqref="H826:J826 H825:K825">
    <cfRule type="expression" dxfId="17934" priority="56940">
      <formula>$H825="ETAPA"</formula>
    </cfRule>
    <cfRule type="expression" dxfId="17933" priority="56941">
      <formula>$H825="CÉLULA CONSTRUTIVA"</formula>
    </cfRule>
  </conditionalFormatting>
  <conditionalFormatting sqref="H835:J835 H834:K834">
    <cfRule type="expression" dxfId="17932" priority="57050">
      <formula>$H834="CÉLULA CONSTRUTIVA"</formula>
    </cfRule>
  </conditionalFormatting>
  <conditionalFormatting sqref="H835:J835">
    <cfRule type="expression" dxfId="17931" priority="57049">
      <formula>$H835="ETAPA"</formula>
    </cfRule>
  </conditionalFormatting>
  <conditionalFormatting sqref="H844:J844 H843:K843">
    <cfRule type="expression" dxfId="17930" priority="57159">
      <formula>$H843="CÉLULA CONSTRUTIVA"</formula>
    </cfRule>
  </conditionalFormatting>
  <conditionalFormatting sqref="H844:J844">
    <cfRule type="expression" dxfId="17929" priority="57158">
      <formula>$H844="ETAPA"</formula>
    </cfRule>
  </conditionalFormatting>
  <conditionalFormatting sqref="H853:J853 H852:K852">
    <cfRule type="expression" dxfId="17928" priority="57268">
      <formula>$H852="CÉLULA CONSTRUTIVA"</formula>
    </cfRule>
  </conditionalFormatting>
  <conditionalFormatting sqref="H853:J853">
    <cfRule type="expression" dxfId="17927" priority="57267">
      <formula>$H853="ETAPA"</formula>
    </cfRule>
  </conditionalFormatting>
  <conditionalFormatting sqref="H862:J862 H861:K861">
    <cfRule type="expression" dxfId="17926" priority="57377">
      <formula>$H861="CÉLULA CONSTRUTIVA"</formula>
    </cfRule>
  </conditionalFormatting>
  <conditionalFormatting sqref="H862:J862">
    <cfRule type="expression" dxfId="17925" priority="57376">
      <formula>$H862="ETAPA"</formula>
    </cfRule>
  </conditionalFormatting>
  <conditionalFormatting sqref="H871:J871 H870:K870">
    <cfRule type="expression" dxfId="17924" priority="57486">
      <formula>$H870="CÉLULA CONSTRUTIVA"</formula>
    </cfRule>
  </conditionalFormatting>
  <conditionalFormatting sqref="H871:J871">
    <cfRule type="expression" dxfId="17923" priority="57485">
      <formula>$H871="ETAPA"</formula>
    </cfRule>
  </conditionalFormatting>
  <conditionalFormatting sqref="H880:J880 H879:K879">
    <cfRule type="expression" dxfId="17922" priority="57595">
      <formula>$H879="CÉLULA CONSTRUTIVA"</formula>
    </cfRule>
  </conditionalFormatting>
  <conditionalFormatting sqref="H880:J880">
    <cfRule type="expression" dxfId="17921" priority="57594">
      <formula>$H880="ETAPA"</formula>
    </cfRule>
  </conditionalFormatting>
  <conditionalFormatting sqref="H889:J889 H888:K888">
    <cfRule type="expression" dxfId="17920" priority="57704">
      <formula>$H888="CÉLULA CONSTRUTIVA"</formula>
    </cfRule>
  </conditionalFormatting>
  <conditionalFormatting sqref="H889:J889">
    <cfRule type="expression" dxfId="17919" priority="57703">
      <formula>$H889="ETAPA"</formula>
    </cfRule>
  </conditionalFormatting>
  <conditionalFormatting sqref="H898:J898 H897:K897">
    <cfRule type="expression" dxfId="17918" priority="57813">
      <formula>$H897="CÉLULA CONSTRUTIVA"</formula>
    </cfRule>
  </conditionalFormatting>
  <conditionalFormatting sqref="H898:J898">
    <cfRule type="expression" dxfId="17917" priority="57812">
      <formula>$H898="ETAPA"</formula>
    </cfRule>
  </conditionalFormatting>
  <conditionalFormatting sqref="H909:J909 H908:K908">
    <cfRule type="expression" dxfId="17916" priority="57922">
      <formula>$H908="CÉLULA CONSTRUTIVA"</formula>
    </cfRule>
  </conditionalFormatting>
  <conditionalFormatting sqref="H909:J909">
    <cfRule type="expression" dxfId="17915" priority="57921">
      <formula>$H909="ETAPA"</formula>
    </cfRule>
  </conditionalFormatting>
  <conditionalFormatting sqref="H920:J920 H919:K919">
    <cfRule type="expression" dxfId="17914" priority="58031">
      <formula>$H919="CÉLULA CONSTRUTIVA"</formula>
    </cfRule>
  </conditionalFormatting>
  <conditionalFormatting sqref="H920:J920">
    <cfRule type="expression" dxfId="17913" priority="58030">
      <formula>$H920="ETAPA"</formula>
    </cfRule>
  </conditionalFormatting>
  <conditionalFormatting sqref="H929:J929 H928:K928">
    <cfRule type="expression" dxfId="17912" priority="58140">
      <formula>$H928="CÉLULA CONSTRUTIVA"</formula>
    </cfRule>
  </conditionalFormatting>
  <conditionalFormatting sqref="H929:J929">
    <cfRule type="expression" dxfId="17911" priority="58139">
      <formula>$H929="ETAPA"</formula>
    </cfRule>
  </conditionalFormatting>
  <conditionalFormatting sqref="H938:J938 H937:K937">
    <cfRule type="expression" dxfId="17910" priority="58249">
      <formula>$H937="CÉLULA CONSTRUTIVA"</formula>
    </cfRule>
  </conditionalFormatting>
  <conditionalFormatting sqref="H938:J938">
    <cfRule type="expression" dxfId="17909" priority="58248">
      <formula>$H938="ETAPA"</formula>
    </cfRule>
  </conditionalFormatting>
  <conditionalFormatting sqref="H623:K623 H624:J624">
    <cfRule type="expression" dxfId="17908" priority="59077">
      <formula>$H623="CÉLULA CONSTRUTIVA"</formula>
    </cfRule>
  </conditionalFormatting>
  <conditionalFormatting sqref="H625:K625 H626:J626 H628:J628 H627:K627">
    <cfRule type="expression" dxfId="17907" priority="59111">
      <formula>$H625="CÉLULA CONSTRUTIVA"</formula>
    </cfRule>
  </conditionalFormatting>
  <conditionalFormatting sqref="H629:K629 H631:K631 H630:J630 H632:J632">
    <cfRule type="expression" dxfId="17906" priority="59109">
      <formula>$H629="CÉLULA CONSTRUTIVA"</formula>
    </cfRule>
  </conditionalFormatting>
  <conditionalFormatting sqref="H636:K636 H637:J637 H638:K638">
    <cfRule type="expression" dxfId="17905" priority="59097">
      <formula>$H636="CÉLULA CONSTRUTIVA"</formula>
    </cfRule>
  </conditionalFormatting>
  <conditionalFormatting sqref="H642:K642 H644:K644 H643:J643 H645:J645">
    <cfRule type="expression" dxfId="17904" priority="58519">
      <formula>$H642="CÉLULA CONSTRUTIVA"</formula>
    </cfRule>
  </conditionalFormatting>
  <conditionalFormatting sqref="H649:K649 H650:J650 H651:K651">
    <cfRule type="expression" dxfId="17903" priority="58507">
      <formula>$H649="CÉLULA CONSTRUTIVA"</formula>
    </cfRule>
  </conditionalFormatting>
  <conditionalFormatting sqref="H655:K655 H657:K657 H656:J656 H658:J658">
    <cfRule type="expression" dxfId="17902" priority="58601">
      <formula>$H655="CÉLULA CONSTRUTIVA"</formula>
    </cfRule>
  </conditionalFormatting>
  <conditionalFormatting sqref="H662:K662 H663:J663 H664:K664">
    <cfRule type="expression" dxfId="17901" priority="58589">
      <formula>$H662="CÉLULA CONSTRUTIVA"</formula>
    </cfRule>
  </conditionalFormatting>
  <conditionalFormatting sqref="H668:K668 H670:K670 H669:J669 H671:J671">
    <cfRule type="expression" dxfId="17900" priority="58683">
      <formula>$H668="CÉLULA CONSTRUTIVA"</formula>
    </cfRule>
  </conditionalFormatting>
  <conditionalFormatting sqref="H675:K675 H676:J676 H677:K677">
    <cfRule type="expression" dxfId="17899" priority="58671">
      <formula>$H675="CÉLULA CONSTRUTIVA"</formula>
    </cfRule>
  </conditionalFormatting>
  <conditionalFormatting sqref="H681:K681 H683:K683 H682:J682 H684:J684">
    <cfRule type="expression" dxfId="17898" priority="58765">
      <formula>$H681="CÉLULA CONSTRUTIVA"</formula>
    </cfRule>
  </conditionalFormatting>
  <conditionalFormatting sqref="H688:K688 H689:J689 H690:K690">
    <cfRule type="expression" dxfId="17897" priority="58753">
      <formula>$H688="CÉLULA CONSTRUTIVA"</formula>
    </cfRule>
  </conditionalFormatting>
  <conditionalFormatting sqref="H694:K694 H696:K696 H695:J695 H697:J697">
    <cfRule type="expression" dxfId="17896" priority="58847">
      <formula>$H694="CÉLULA CONSTRUTIVA"</formula>
    </cfRule>
  </conditionalFormatting>
  <conditionalFormatting sqref="H701:K701 H702:J702 H703:K703">
    <cfRule type="expression" dxfId="17895" priority="58835">
      <formula>$H701="CÉLULA CONSTRUTIVA"</formula>
    </cfRule>
  </conditionalFormatting>
  <conditionalFormatting sqref="H707:K707 H709:K709 H708:J708 H710:J710">
    <cfRule type="expression" dxfId="17894" priority="58929">
      <formula>$H707="CÉLULA CONSTRUTIVA"</formula>
    </cfRule>
  </conditionalFormatting>
  <conditionalFormatting sqref="H714:K714 H715:J715 H716:K716">
    <cfRule type="expression" dxfId="17893" priority="58917">
      <formula>$H714="CÉLULA CONSTRUTIVA"</formula>
    </cfRule>
  </conditionalFormatting>
  <conditionalFormatting sqref="H720:K720 H722:K722 H721:J721 H723:J723">
    <cfRule type="expression" dxfId="17892" priority="59014">
      <formula>$H720="CÉLULA CONSTRUTIVA"</formula>
    </cfRule>
  </conditionalFormatting>
  <conditionalFormatting sqref="H727:K727 H728:J728 H729:K729">
    <cfRule type="expression" dxfId="17891" priority="58999">
      <formula>$H727="CÉLULA CONSTRUTIVA"</formula>
    </cfRule>
  </conditionalFormatting>
  <conditionalFormatting sqref="H733:K733 H735:K735 H734:J734 H736:J736">
    <cfRule type="expression" dxfId="17890" priority="59191">
      <formula>$H733="CÉLULA CONSTRUTIVA"</formula>
    </cfRule>
  </conditionalFormatting>
  <conditionalFormatting sqref="H740:K740 H741:J741 H742:K742">
    <cfRule type="expression" dxfId="17889" priority="59179">
      <formula>$H740="CÉLULA CONSTRUTIVA"</formula>
    </cfRule>
  </conditionalFormatting>
  <conditionalFormatting sqref="H746:K746 H748:K748 H747:J747 H749:J749">
    <cfRule type="expression" dxfId="17888" priority="59273">
      <formula>$H746="CÉLULA CONSTRUTIVA"</formula>
    </cfRule>
  </conditionalFormatting>
  <conditionalFormatting sqref="H753:K753 H754:J754 H755:K755">
    <cfRule type="expression" dxfId="17887" priority="59261">
      <formula>$H753="CÉLULA CONSTRUTIVA"</formula>
    </cfRule>
  </conditionalFormatting>
  <conditionalFormatting sqref="H759:K759 H761:K761 H760:J760 H762:J762">
    <cfRule type="expression" dxfId="17886" priority="59355">
      <formula>$H759="CÉLULA CONSTRUTIVA"</formula>
    </cfRule>
  </conditionalFormatting>
  <conditionalFormatting sqref="H766:K766 H767:J767 H768:K768">
    <cfRule type="expression" dxfId="17885" priority="59343">
      <formula>$H766="CÉLULA CONSTRUTIVA"</formula>
    </cfRule>
  </conditionalFormatting>
  <conditionalFormatting sqref="H772:K772 H774:K774 H773:J773 H775:J775">
    <cfRule type="expression" dxfId="17884" priority="59437">
      <formula>$H772="CÉLULA CONSTRUTIVA"</formula>
    </cfRule>
  </conditionalFormatting>
  <conditionalFormatting sqref="H779:K779 H780:J780 H781:K781">
    <cfRule type="expression" dxfId="17883" priority="59425">
      <formula>$H779="CÉLULA CONSTRUTIVA"</formula>
    </cfRule>
  </conditionalFormatting>
  <conditionalFormatting sqref="H785:K785 H787:K787 H786:J786 H788:J788">
    <cfRule type="expression" dxfId="17882" priority="59519">
      <formula>$H785="CÉLULA CONSTRUTIVA"</formula>
    </cfRule>
  </conditionalFormatting>
  <conditionalFormatting sqref="H792:K792 H793:J793 H794:K794">
    <cfRule type="expression" dxfId="17881" priority="59507">
      <formula>$H792="CÉLULA CONSTRUTIVA"</formula>
    </cfRule>
  </conditionalFormatting>
  <conditionalFormatting sqref="H798:K798 H800:K800 H799:J799 H801:J801">
    <cfRule type="expression" dxfId="17880" priority="59601">
      <formula>$H798="CÉLULA CONSTRUTIVA"</formula>
    </cfRule>
  </conditionalFormatting>
  <conditionalFormatting sqref="H805:K805 H806:J806 H807:K807">
    <cfRule type="expression" dxfId="17879" priority="59589">
      <formula>$H805="CÉLULA CONSTRUTIVA"</formula>
    </cfRule>
  </conditionalFormatting>
  <conditionalFormatting sqref="H953:K953 M948 M950:M951">
    <cfRule type="expression" dxfId="17878" priority="51564">
      <formula>$H948="ETAPA"</formula>
    </cfRule>
  </conditionalFormatting>
  <conditionalFormatting sqref="H953:K953">
    <cfRule type="expression" dxfId="17877" priority="51565">
      <formula>$H953="CÉLULA CONSTRUTIVA"</formula>
    </cfRule>
  </conditionalFormatting>
  <conditionalFormatting sqref="H955:K955 H957:K957 H956:J956 H958:J958">
    <cfRule type="expression" dxfId="17876" priority="51567">
      <formula>$H955="ETAPA"</formula>
    </cfRule>
    <cfRule type="expression" dxfId="17875" priority="51568">
      <formula>$H955="CÉLULA CONSTRUTIVA"</formula>
    </cfRule>
  </conditionalFormatting>
  <conditionalFormatting sqref="H968:K968 M963 M966">
    <cfRule type="expression" dxfId="17874" priority="51719">
      <formula>$H963="ETAPA"</formula>
    </cfRule>
  </conditionalFormatting>
  <conditionalFormatting sqref="H968:K968">
    <cfRule type="expression" dxfId="17873" priority="51720">
      <formula>$H968="CÉLULA CONSTRUTIVA"</formula>
    </cfRule>
  </conditionalFormatting>
  <conditionalFormatting sqref="H970:K970 H972:K972 H971:J971 H973:J973">
    <cfRule type="expression" dxfId="17872" priority="51722">
      <formula>$H970="ETAPA"</formula>
    </cfRule>
    <cfRule type="expression" dxfId="17871" priority="51723">
      <formula>$H970="CÉLULA CONSTRUTIVA"</formula>
    </cfRule>
  </conditionalFormatting>
  <conditionalFormatting sqref="H983:K983 M978 M981">
    <cfRule type="expression" dxfId="17870" priority="51877">
      <formula>$H978="ETAPA"</formula>
    </cfRule>
  </conditionalFormatting>
  <conditionalFormatting sqref="H983:K983">
    <cfRule type="expression" dxfId="17869" priority="51878">
      <formula>$H983="CÉLULA CONSTRUTIVA"</formula>
    </cfRule>
  </conditionalFormatting>
  <conditionalFormatting sqref="H985:K985 H987:K987 H986:J986 H988:J988">
    <cfRule type="expression" dxfId="17868" priority="51880">
      <formula>$H985="ETAPA"</formula>
    </cfRule>
    <cfRule type="expression" dxfId="17867" priority="51881">
      <formula>$H985="CÉLULA CONSTRUTIVA"</formula>
    </cfRule>
  </conditionalFormatting>
  <conditionalFormatting sqref="H998:K998 M993 M996">
    <cfRule type="expression" dxfId="17866" priority="52032">
      <formula>$H993="ETAPA"</formula>
    </cfRule>
  </conditionalFormatting>
  <conditionalFormatting sqref="H998:K998">
    <cfRule type="expression" dxfId="17865" priority="52033">
      <formula>$H998="CÉLULA CONSTRUTIVA"</formula>
    </cfRule>
  </conditionalFormatting>
  <conditionalFormatting sqref="H1000:K1000 H1002:K1002 H1001:J1001 H1003:J1003">
    <cfRule type="expression" dxfId="17864" priority="52035">
      <formula>$H1000="ETAPA"</formula>
    </cfRule>
    <cfRule type="expression" dxfId="17863" priority="52036">
      <formula>$H1000="CÉLULA CONSTRUTIVA"</formula>
    </cfRule>
  </conditionalFormatting>
  <conditionalFormatting sqref="H1013:K1013 M1008 M1011">
    <cfRule type="expression" dxfId="17862" priority="52190">
      <formula>$H1008="ETAPA"</formula>
    </cfRule>
  </conditionalFormatting>
  <conditionalFormatting sqref="H1013:K1013">
    <cfRule type="expression" dxfId="17861" priority="52191">
      <formula>$H1013="CÉLULA CONSTRUTIVA"</formula>
    </cfRule>
  </conditionalFormatting>
  <conditionalFormatting sqref="H1015:K1015 H1017:K1017 H1016:J1016 H1018:J1018">
    <cfRule type="expression" dxfId="17860" priority="52193">
      <formula>$H1015="ETAPA"</formula>
    </cfRule>
    <cfRule type="expression" dxfId="17859" priority="52194">
      <formula>$H1015="CÉLULA CONSTRUTIVA"</formula>
    </cfRule>
  </conditionalFormatting>
  <conditionalFormatting sqref="H1028:K1028 M1023 M1026">
    <cfRule type="expression" dxfId="17858" priority="52345">
      <formula>$H1023="ETAPA"</formula>
    </cfRule>
  </conditionalFormatting>
  <conditionalFormatting sqref="H1028:K1028">
    <cfRule type="expression" dxfId="17857" priority="52346">
      <formula>$H1028="CÉLULA CONSTRUTIVA"</formula>
    </cfRule>
  </conditionalFormatting>
  <conditionalFormatting sqref="H1030:K1030 H1032:K1032 H1031:J1031 H1033:J1033">
    <cfRule type="expression" dxfId="17856" priority="52348">
      <formula>$H1030="ETAPA"</formula>
    </cfRule>
    <cfRule type="expression" dxfId="17855" priority="52349">
      <formula>$H1030="CÉLULA CONSTRUTIVA"</formula>
    </cfRule>
  </conditionalFormatting>
  <conditionalFormatting sqref="H1043:K1043 M1038 M1041">
    <cfRule type="expression" dxfId="17854" priority="52500">
      <formula>$H1038="ETAPA"</formula>
    </cfRule>
  </conditionalFormatting>
  <conditionalFormatting sqref="H1043:K1043">
    <cfRule type="expression" dxfId="17853" priority="52501">
      <formula>$H1043="CÉLULA CONSTRUTIVA"</formula>
    </cfRule>
  </conditionalFormatting>
  <conditionalFormatting sqref="H1045:K1045 H1047:K1047 H1046:J1046 H1048:J1048">
    <cfRule type="expression" dxfId="17852" priority="52503">
      <formula>$H1045="ETAPA"</formula>
    </cfRule>
    <cfRule type="expression" dxfId="17851" priority="52504">
      <formula>$H1045="CÉLULA CONSTRUTIVA"</formula>
    </cfRule>
  </conditionalFormatting>
  <conditionalFormatting sqref="H1058:K1058 M1053 M1056">
    <cfRule type="expression" dxfId="17850" priority="52658">
      <formula>$H1053="ETAPA"</formula>
    </cfRule>
  </conditionalFormatting>
  <conditionalFormatting sqref="H1058:K1058">
    <cfRule type="expression" dxfId="17849" priority="52659">
      <formula>$H1058="CÉLULA CONSTRUTIVA"</formula>
    </cfRule>
  </conditionalFormatting>
  <conditionalFormatting sqref="H1060:K1060 H1062:K1062 H1061:J1061 H1063:J1063">
    <cfRule type="expression" dxfId="17848" priority="52661">
      <formula>$H1060="ETAPA"</formula>
    </cfRule>
    <cfRule type="expression" dxfId="17847" priority="52662">
      <formula>$H1060="CÉLULA CONSTRUTIVA"</formula>
    </cfRule>
  </conditionalFormatting>
  <conditionalFormatting sqref="H1073:K1073 M1068 M1071">
    <cfRule type="expression" dxfId="17846" priority="52813">
      <formula>$H1068="ETAPA"</formula>
    </cfRule>
  </conditionalFormatting>
  <conditionalFormatting sqref="H1073:K1073">
    <cfRule type="expression" dxfId="17845" priority="52814">
      <formula>$H1073="CÉLULA CONSTRUTIVA"</formula>
    </cfRule>
  </conditionalFormatting>
  <conditionalFormatting sqref="H1075:K1075 H1077:K1077 H1076:J1076 H1078:J1078">
    <cfRule type="expression" dxfId="17844" priority="52816">
      <formula>$H1075="ETAPA"</formula>
    </cfRule>
    <cfRule type="expression" dxfId="17843" priority="52817">
      <formula>$H1075="CÉLULA CONSTRUTIVA"</formula>
    </cfRule>
  </conditionalFormatting>
  <conditionalFormatting sqref="H1088:K1088 M1083 M1086">
    <cfRule type="expression" dxfId="17842" priority="52971">
      <formula>$H1083="ETAPA"</formula>
    </cfRule>
  </conditionalFormatting>
  <conditionalFormatting sqref="H1088:K1088">
    <cfRule type="expression" dxfId="17841" priority="52972">
      <formula>$H1088="CÉLULA CONSTRUTIVA"</formula>
    </cfRule>
  </conditionalFormatting>
  <conditionalFormatting sqref="H1090:K1090 H1092:K1092 H1091:J1091 H1093:J1093">
    <cfRule type="expression" dxfId="17840" priority="52974">
      <formula>$H1090="ETAPA"</formula>
    </cfRule>
    <cfRule type="expression" dxfId="17839" priority="52975">
      <formula>$H1090="CÉLULA CONSTRUTIVA"</formula>
    </cfRule>
  </conditionalFormatting>
  <conditionalFormatting sqref="H1103:K1103 M1098 M1101">
    <cfRule type="expression" dxfId="17838" priority="53126">
      <formula>$H1098="ETAPA"</formula>
    </cfRule>
  </conditionalFormatting>
  <conditionalFormatting sqref="H1103:K1103">
    <cfRule type="expression" dxfId="17837" priority="53127">
      <formula>$H1103="CÉLULA CONSTRUTIVA"</formula>
    </cfRule>
  </conditionalFormatting>
  <conditionalFormatting sqref="H1105:K1105 H1107:K1107 H1106:J1106 H1108:J1108">
    <cfRule type="expression" dxfId="17836" priority="53129">
      <formula>$H1105="ETAPA"</formula>
    </cfRule>
    <cfRule type="expression" dxfId="17835" priority="53130">
      <formula>$H1105="CÉLULA CONSTRUTIVA"</formula>
    </cfRule>
  </conditionalFormatting>
  <conditionalFormatting sqref="H1118:K1118 M1113 M1116">
    <cfRule type="expression" dxfId="17834" priority="53284">
      <formula>$H1113="ETAPA"</formula>
    </cfRule>
  </conditionalFormatting>
  <conditionalFormatting sqref="H1118:K1118">
    <cfRule type="expression" dxfId="17833" priority="53285">
      <formula>$H1118="CÉLULA CONSTRUTIVA"</formula>
    </cfRule>
  </conditionalFormatting>
  <conditionalFormatting sqref="H1120:K1120 H1122:K1122 H1121:J1121 H1123:J1123">
    <cfRule type="expression" dxfId="17832" priority="53287">
      <formula>$H1120="ETAPA"</formula>
    </cfRule>
    <cfRule type="expression" dxfId="17831" priority="53288">
      <formula>$H1120="CÉLULA CONSTRUTIVA"</formula>
    </cfRule>
  </conditionalFormatting>
  <conditionalFormatting sqref="H1133:K1133 M1128 M1131">
    <cfRule type="expression" dxfId="17830" priority="53439">
      <formula>$H1128="ETAPA"</formula>
    </cfRule>
  </conditionalFormatting>
  <conditionalFormatting sqref="H1133:K1133">
    <cfRule type="expression" dxfId="17829" priority="53440">
      <formula>$H1133="CÉLULA CONSTRUTIVA"</formula>
    </cfRule>
  </conditionalFormatting>
  <conditionalFormatting sqref="H1135:K1135 H1137:K1137 H1136:J1136 H1138:J1138">
    <cfRule type="expression" dxfId="17828" priority="53442">
      <formula>$H1135="ETAPA"</formula>
    </cfRule>
    <cfRule type="expression" dxfId="17827" priority="53443">
      <formula>$H1135="CÉLULA CONSTRUTIVA"</formula>
    </cfRule>
  </conditionalFormatting>
  <conditionalFormatting sqref="H1148:K1148 M1143 M1146">
    <cfRule type="expression" dxfId="17826" priority="53597">
      <formula>$H1143="ETAPA"</formula>
    </cfRule>
  </conditionalFormatting>
  <conditionalFormatting sqref="H1148:K1148">
    <cfRule type="expression" dxfId="17825" priority="53598">
      <formula>$H1148="CÉLULA CONSTRUTIVA"</formula>
    </cfRule>
  </conditionalFormatting>
  <conditionalFormatting sqref="H1150:K1150 H1152:K1152 H1151:J1151 H1153:J1153">
    <cfRule type="expression" dxfId="17824" priority="53600">
      <formula>$H1150="ETAPA"</formula>
    </cfRule>
    <cfRule type="expression" dxfId="17823" priority="53601">
      <formula>$H1150="CÉLULA CONSTRUTIVA"</formula>
    </cfRule>
  </conditionalFormatting>
  <conditionalFormatting sqref="H1158:K1158">
    <cfRule type="expression" dxfId="17822" priority="55495">
      <formula>$H1158="ETAPA"</formula>
    </cfRule>
  </conditionalFormatting>
  <conditionalFormatting sqref="H1160:K1161 H1165:K1166 H1170:K1171 H1175:K1176 H1180:K1181 H1185:K1186 H1192:K1193 H1199:K1200 H1206:K1207 H1213:K1214 H1220:K1221 H1225:K1226 H1232:K1233 H1237:K1238 G1253:G1364 G1388:G1392 G1395:G1399 H812:M812 H823:M823 H832:M832 H841:M841 H850:M850 H859:M859 H868:M868 H877:M877 H886:M886 H895:M895 H906:M906 H917:M917 H926:M926 H935:M935">
    <cfRule type="expression" dxfId="17821" priority="102901">
      <formula>$H812="ETAPA"</formula>
    </cfRule>
  </conditionalFormatting>
  <conditionalFormatting sqref="H1163:K1163">
    <cfRule type="expression" dxfId="17820" priority="55589">
      <formula>$H1163="ETAPA"</formula>
    </cfRule>
  </conditionalFormatting>
  <conditionalFormatting sqref="H1168:K1168">
    <cfRule type="expression" dxfId="17819" priority="55683">
      <formula>$H1168="ETAPA"</formula>
    </cfRule>
  </conditionalFormatting>
  <conditionalFormatting sqref="H1173:K1173">
    <cfRule type="expression" dxfId="17818" priority="55777">
      <formula>$H1173="ETAPA"</formula>
    </cfRule>
  </conditionalFormatting>
  <conditionalFormatting sqref="H1178:K1178">
    <cfRule type="expression" dxfId="17817" priority="55871">
      <formula>$H1178="ETAPA"</formula>
    </cfRule>
  </conditionalFormatting>
  <conditionalFormatting sqref="H1183:K1183">
    <cfRule type="expression" dxfId="17816" priority="55965">
      <formula>$H1183="ETAPA"</formula>
    </cfRule>
  </conditionalFormatting>
  <conditionalFormatting sqref="H1190:K1190">
    <cfRule type="expression" dxfId="17815" priority="56059">
      <formula>$H1190="ETAPA"</formula>
    </cfRule>
  </conditionalFormatting>
  <conditionalFormatting sqref="H1197:K1197">
    <cfRule type="expression" dxfId="17814" priority="56153">
      <formula>$H1197="ETAPA"</formula>
    </cfRule>
  </conditionalFormatting>
  <conditionalFormatting sqref="H1204:K1204">
    <cfRule type="expression" dxfId="17813" priority="56247">
      <formula>$H1204="ETAPA"</formula>
    </cfRule>
  </conditionalFormatting>
  <conditionalFormatting sqref="H1211:K1211">
    <cfRule type="expression" dxfId="17812" priority="56341">
      <formula>$H1211="ETAPA"</formula>
    </cfRule>
  </conditionalFormatting>
  <conditionalFormatting sqref="H1218:K1218">
    <cfRule type="expression" dxfId="17811" priority="56435">
      <formula>$H1218="ETAPA"</formula>
    </cfRule>
  </conditionalFormatting>
  <conditionalFormatting sqref="H1223:K1223">
    <cfRule type="expression" dxfId="17810" priority="56529">
      <formula>$H1223="ETAPA"</formula>
    </cfRule>
  </conditionalFormatting>
  <conditionalFormatting sqref="H1230:K1230">
    <cfRule type="expression" dxfId="17809" priority="56623">
      <formula>$H1230="ETAPA"</formula>
    </cfRule>
  </conditionalFormatting>
  <conditionalFormatting sqref="H1235:K1235">
    <cfRule type="expression" dxfId="17808" priority="56717">
      <formula>$H1235="ETAPA"</formula>
    </cfRule>
  </conditionalFormatting>
  <conditionalFormatting sqref="H1257:K1257 H1262:K1266">
    <cfRule type="expression" dxfId="17807" priority="2723">
      <formula>$H1257="ETAPA"</formula>
    </cfRule>
  </conditionalFormatting>
  <conditionalFormatting sqref="H1259:K1259">
    <cfRule type="expression" dxfId="17806" priority="2722">
      <formula>$H1259="ETAPA"</formula>
    </cfRule>
  </conditionalFormatting>
  <conditionalFormatting sqref="H1271:K1271 H1276:K1280">
    <cfRule type="expression" dxfId="17805" priority="2792">
      <formula>$H1271="ETAPA"</formula>
    </cfRule>
  </conditionalFormatting>
  <conditionalFormatting sqref="H1273:K1273">
    <cfRule type="expression" dxfId="17804" priority="2791">
      <formula>$H1273="ETAPA"</formula>
    </cfRule>
  </conditionalFormatting>
  <conditionalFormatting sqref="H1285:K1285 H1290:K1294">
    <cfRule type="expression" dxfId="17803" priority="2861">
      <formula>$H1285="ETAPA"</formula>
    </cfRule>
  </conditionalFormatting>
  <conditionalFormatting sqref="H1287:K1287">
    <cfRule type="expression" dxfId="17802" priority="2860">
      <formula>$H1287="ETAPA"</formula>
    </cfRule>
  </conditionalFormatting>
  <conditionalFormatting sqref="H1299:K1299 H1304:K1308">
    <cfRule type="expression" dxfId="17801" priority="2930">
      <formula>$H1299="ETAPA"</formula>
    </cfRule>
  </conditionalFormatting>
  <conditionalFormatting sqref="H1301:K1301">
    <cfRule type="expression" dxfId="17800" priority="2929">
      <formula>$H1301="ETAPA"</formula>
    </cfRule>
  </conditionalFormatting>
  <conditionalFormatting sqref="H1313:K1313 H1318:K1322">
    <cfRule type="expression" dxfId="17799" priority="2999">
      <formula>$H1313="ETAPA"</formula>
    </cfRule>
  </conditionalFormatting>
  <conditionalFormatting sqref="H1315:K1315">
    <cfRule type="expression" dxfId="17798" priority="2998">
      <formula>$H1315="ETAPA"</formula>
    </cfRule>
  </conditionalFormatting>
  <conditionalFormatting sqref="H1327:K1327 H1332:K1336">
    <cfRule type="expression" dxfId="17797" priority="3068">
      <formula>$H1327="ETAPA"</formula>
    </cfRule>
  </conditionalFormatting>
  <conditionalFormatting sqref="H1329:K1329">
    <cfRule type="expression" dxfId="17796" priority="3067">
      <formula>$H1329="ETAPA"</formula>
    </cfRule>
  </conditionalFormatting>
  <conditionalFormatting sqref="H1341:K1341 H1346:K1350">
    <cfRule type="expression" dxfId="17795" priority="3137">
      <formula>$H1341="ETAPA"</formula>
    </cfRule>
  </conditionalFormatting>
  <conditionalFormatting sqref="H1343:K1343">
    <cfRule type="expression" dxfId="17794" priority="3136">
      <formula>$H1343="ETAPA"</formula>
    </cfRule>
  </conditionalFormatting>
  <conditionalFormatting sqref="H1355:K1355 H1360:K1364 G1365:K1365 G1366:H1367 H1368 G1386:H1387 H1388 G1393:H1394 H1395 G1400:H1401 H1402 G1405:H1406 H1407 G1410:H1411 H1412 G1415:H1416 H1417 J1366:K1368 J1386:K1388 J1393:K1395 J1400:K1402 J1405:K1407 J1410:K1412 J1415:K1417">
    <cfRule type="expression" dxfId="17793" priority="86726">
      <formula>$H1355="ETAPA"</formula>
    </cfRule>
  </conditionalFormatting>
  <conditionalFormatting sqref="H1357:K1357">
    <cfRule type="expression" dxfId="17792" priority="59902">
      <formula>$H1357="ETAPA"</formula>
    </cfRule>
  </conditionalFormatting>
  <conditionalFormatting sqref="H53:L53">
    <cfRule type="expression" dxfId="17791" priority="46416">
      <formula>$H53="ETAPA"</formula>
    </cfRule>
  </conditionalFormatting>
  <conditionalFormatting sqref="H623:L623">
    <cfRule type="expression" dxfId="17790" priority="59073">
      <formula>$H623="ETAPA"</formula>
    </cfRule>
  </conditionalFormatting>
  <conditionalFormatting sqref="H625:L625 H627:L627">
    <cfRule type="expression" dxfId="17789" priority="59103">
      <formula>$H625="ETAPA"</formula>
    </cfRule>
  </conditionalFormatting>
  <conditionalFormatting sqref="H636:L636 H638:L638">
    <cfRule type="expression" dxfId="17788" priority="59093">
      <formula>$H636="ETAPA"</formula>
    </cfRule>
  </conditionalFormatting>
  <conditionalFormatting sqref="H640:L640">
    <cfRule type="expression" dxfId="17787" priority="58513">
      <formula>$H640="ETAPA"</formula>
    </cfRule>
  </conditionalFormatting>
  <conditionalFormatting sqref="H642:L642 H641:J641 H644:L644 H643:J643 H645:J645 H650:J650">
    <cfRule type="expression" dxfId="17786" priority="58522">
      <formula>$H641="SUBETAPA"</formula>
    </cfRule>
  </conditionalFormatting>
  <conditionalFormatting sqref="H651:L651">
    <cfRule type="expression" dxfId="17785" priority="58503">
      <formula>$H651="ETAPA"</formula>
    </cfRule>
  </conditionalFormatting>
  <conditionalFormatting sqref="H653:L653">
    <cfRule type="expression" dxfId="17784" priority="58595">
      <formula>$H653="ETAPA"</formula>
    </cfRule>
  </conditionalFormatting>
  <conditionalFormatting sqref="H655:L655 H654:J654 H657:L657 H656:J656 H658:J658 H663:J663">
    <cfRule type="expression" dxfId="17783" priority="58604">
      <formula>$H654="SUBETAPA"</formula>
    </cfRule>
  </conditionalFormatting>
  <conditionalFormatting sqref="H664:L664">
    <cfRule type="expression" dxfId="17782" priority="58585">
      <formula>$H664="ETAPA"</formula>
    </cfRule>
  </conditionalFormatting>
  <conditionalFormatting sqref="H666:L666">
    <cfRule type="expression" dxfId="17781" priority="58677">
      <formula>$H666="ETAPA"</formula>
    </cfRule>
  </conditionalFormatting>
  <conditionalFormatting sqref="H668:L668 H667:J667 H670:L670 H669:J669 H671:J671 H676:J676">
    <cfRule type="expression" dxfId="17780" priority="58686">
      <formula>$H667="SUBETAPA"</formula>
    </cfRule>
  </conditionalFormatting>
  <conditionalFormatting sqref="H677:L677">
    <cfRule type="expression" dxfId="17779" priority="58667">
      <formula>$H677="ETAPA"</formula>
    </cfRule>
  </conditionalFormatting>
  <conditionalFormatting sqref="H679:L679">
    <cfRule type="expression" dxfId="17778" priority="58759">
      <formula>$H679="ETAPA"</formula>
    </cfRule>
  </conditionalFormatting>
  <conditionalFormatting sqref="H681:L681 H680:J680 H683:L683 H682:J682 H684:J684 H689:J689">
    <cfRule type="expression" dxfId="17777" priority="58768">
      <formula>$H680="SUBETAPA"</formula>
    </cfRule>
  </conditionalFormatting>
  <conditionalFormatting sqref="H690:L690">
    <cfRule type="expression" dxfId="17776" priority="58749">
      <formula>$H690="ETAPA"</formula>
    </cfRule>
  </conditionalFormatting>
  <conditionalFormatting sqref="H692:L692">
    <cfRule type="expression" dxfId="17775" priority="58841">
      <formula>$H692="ETAPA"</formula>
    </cfRule>
  </conditionalFormatting>
  <conditionalFormatting sqref="H694:L694 H693:J693 H696:L696 H695:J695 H697:J697 H702:J702">
    <cfRule type="expression" dxfId="17774" priority="58850">
      <formula>$H693="SUBETAPA"</formula>
    </cfRule>
  </conditionalFormatting>
  <conditionalFormatting sqref="H703:L703">
    <cfRule type="expression" dxfId="17773" priority="58831">
      <formula>$H703="ETAPA"</formula>
    </cfRule>
  </conditionalFormatting>
  <conditionalFormatting sqref="H705:L705">
    <cfRule type="expression" dxfId="17772" priority="58923">
      <formula>$H705="ETAPA"</formula>
    </cfRule>
  </conditionalFormatting>
  <conditionalFormatting sqref="H707:L707 H706:J706 H709:L709 H708:J708 H710:J710 H715:J715">
    <cfRule type="expression" dxfId="17771" priority="58932">
      <formula>$H706="SUBETAPA"</formula>
    </cfRule>
  </conditionalFormatting>
  <conditionalFormatting sqref="H716:L716">
    <cfRule type="expression" dxfId="17770" priority="58913">
      <formula>$H716="ETAPA"</formula>
    </cfRule>
  </conditionalFormatting>
  <conditionalFormatting sqref="H718:L718">
    <cfRule type="expression" dxfId="17769" priority="59008">
      <formula>$H718="ETAPA"</formula>
    </cfRule>
  </conditionalFormatting>
  <conditionalFormatting sqref="H720:L720 H719:J719 H722:L722 H721:J721 H723:J723 H728:J728">
    <cfRule type="expression" dxfId="17768" priority="59017">
      <formula>$H719="SUBETAPA"</formula>
    </cfRule>
  </conditionalFormatting>
  <conditionalFormatting sqref="H729:L729">
    <cfRule type="expression" dxfId="17767" priority="58995">
      <formula>$H729="ETAPA"</formula>
    </cfRule>
  </conditionalFormatting>
  <conditionalFormatting sqref="H731:L731">
    <cfRule type="expression" dxfId="17766" priority="59185">
      <formula>$H731="ETAPA"</formula>
    </cfRule>
  </conditionalFormatting>
  <conditionalFormatting sqref="H733:L733 H732:J732 H735:L735 H734:J734 H736:J736 H741:J741">
    <cfRule type="expression" dxfId="17765" priority="59194">
      <formula>$H732="SUBETAPA"</formula>
    </cfRule>
  </conditionalFormatting>
  <conditionalFormatting sqref="H742:L742">
    <cfRule type="expression" dxfId="17764" priority="59175">
      <formula>$H742="ETAPA"</formula>
    </cfRule>
  </conditionalFormatting>
  <conditionalFormatting sqref="H744:L744">
    <cfRule type="expression" dxfId="17763" priority="59267">
      <formula>$H744="ETAPA"</formula>
    </cfRule>
  </conditionalFormatting>
  <conditionalFormatting sqref="H746:L746 H745:J745 H748:L748 H747:J747 H749:J749 H754:J754">
    <cfRule type="expression" dxfId="17762" priority="59276">
      <formula>$H745="SUBETAPA"</formula>
    </cfRule>
  </conditionalFormatting>
  <conditionalFormatting sqref="H755:L755">
    <cfRule type="expression" dxfId="17761" priority="59257">
      <formula>$H755="ETAPA"</formula>
    </cfRule>
  </conditionalFormatting>
  <conditionalFormatting sqref="H757:L757">
    <cfRule type="expression" dxfId="17760" priority="59349">
      <formula>$H757="ETAPA"</formula>
    </cfRule>
  </conditionalFormatting>
  <conditionalFormatting sqref="H759:L759 H758:J758 H761:L761 H760:J760 H762:J762 H767:J767">
    <cfRule type="expression" dxfId="17759" priority="59358">
      <formula>$H758="SUBETAPA"</formula>
    </cfRule>
  </conditionalFormatting>
  <conditionalFormatting sqref="H768:L768">
    <cfRule type="expression" dxfId="17758" priority="59339">
      <formula>$H768="ETAPA"</formula>
    </cfRule>
  </conditionalFormatting>
  <conditionalFormatting sqref="H770:L770">
    <cfRule type="expression" dxfId="17757" priority="59431">
      <formula>$H770="ETAPA"</formula>
    </cfRule>
  </conditionalFormatting>
  <conditionalFormatting sqref="H772:L772 H771:J771 H774:L774 H773:J773 H775:J775 H780:J780">
    <cfRule type="expression" dxfId="17756" priority="59440">
      <formula>$H771="SUBETAPA"</formula>
    </cfRule>
  </conditionalFormatting>
  <conditionalFormatting sqref="H781:L781">
    <cfRule type="expression" dxfId="17755" priority="59421">
      <formula>$H781="ETAPA"</formula>
    </cfRule>
  </conditionalFormatting>
  <conditionalFormatting sqref="H783:L783">
    <cfRule type="expression" dxfId="17754" priority="59513">
      <formula>$H783="ETAPA"</formula>
    </cfRule>
  </conditionalFormatting>
  <conditionalFormatting sqref="H785:L785 H784:J784 H787:L787 H786:J786 H788:J788 H793:J793">
    <cfRule type="expression" dxfId="17753" priority="59522">
      <formula>$H784="SUBETAPA"</formula>
    </cfRule>
  </conditionalFormatting>
  <conditionalFormatting sqref="H794:L794">
    <cfRule type="expression" dxfId="17752" priority="59503">
      <formula>$H794="ETAPA"</formula>
    </cfRule>
  </conditionalFormatting>
  <conditionalFormatting sqref="H796:L796">
    <cfRule type="expression" dxfId="17751" priority="59595">
      <formula>$H796="ETAPA"</formula>
    </cfRule>
  </conditionalFormatting>
  <conditionalFormatting sqref="H798:L798 H797:J797 H800:L800 H799:J799 H801:J801 H806:J806">
    <cfRule type="expression" dxfId="17750" priority="59604">
      <formula>$H797="SUBETAPA"</formula>
    </cfRule>
  </conditionalFormatting>
  <conditionalFormatting sqref="H807:L807">
    <cfRule type="expression" dxfId="17749" priority="59585">
      <formula>$H807="ETAPA"</formula>
    </cfRule>
  </conditionalFormatting>
  <conditionalFormatting sqref="H834:L834">
    <cfRule type="expression" dxfId="17748" priority="57044">
      <formula>$H834="ETAPA"</formula>
    </cfRule>
  </conditionalFormatting>
  <conditionalFormatting sqref="H843:L843">
    <cfRule type="expression" dxfId="17747" priority="57153">
      <formula>$H843="ETAPA"</formula>
    </cfRule>
  </conditionalFormatting>
  <conditionalFormatting sqref="H852:L852">
    <cfRule type="expression" dxfId="17746" priority="57262">
      <formula>$H852="ETAPA"</formula>
    </cfRule>
  </conditionalFormatting>
  <conditionalFormatting sqref="H861:L861">
    <cfRule type="expression" dxfId="17745" priority="57371">
      <formula>$H861="ETAPA"</formula>
    </cfRule>
  </conditionalFormatting>
  <conditionalFormatting sqref="H870:L870">
    <cfRule type="expression" dxfId="17744" priority="57480">
      <formula>$H870="ETAPA"</formula>
    </cfRule>
  </conditionalFormatting>
  <conditionalFormatting sqref="H879:L879">
    <cfRule type="expression" dxfId="17743" priority="57589">
      <formula>$H879="ETAPA"</formula>
    </cfRule>
  </conditionalFormatting>
  <conditionalFormatting sqref="H888:L888">
    <cfRule type="expression" dxfId="17742" priority="57698">
      <formula>$H888="ETAPA"</formula>
    </cfRule>
  </conditionalFormatting>
  <conditionalFormatting sqref="H897:L897">
    <cfRule type="expression" dxfId="17741" priority="57807">
      <formula>$H897="ETAPA"</formula>
    </cfRule>
  </conditionalFormatting>
  <conditionalFormatting sqref="H908:L908">
    <cfRule type="expression" dxfId="17740" priority="57916">
      <formula>$H908="ETAPA"</formula>
    </cfRule>
  </conditionalFormatting>
  <conditionalFormatting sqref="H919:L919">
    <cfRule type="expression" dxfId="17739" priority="58025">
      <formula>$H919="ETAPA"</formula>
    </cfRule>
  </conditionalFormatting>
  <conditionalFormatting sqref="H928:L928">
    <cfRule type="expression" dxfId="17738" priority="58134">
      <formula>$H928="ETAPA"</formula>
    </cfRule>
  </conditionalFormatting>
  <conditionalFormatting sqref="H937:L937">
    <cfRule type="expression" dxfId="17737" priority="58243">
      <formula>$H937="ETAPA"</formula>
    </cfRule>
  </conditionalFormatting>
  <conditionalFormatting sqref="H947:L947">
    <cfRule type="expression" dxfId="17736" priority="51556">
      <formula>$H947="ETAPA"</formula>
    </cfRule>
  </conditionalFormatting>
  <conditionalFormatting sqref="H949:L949 J950">
    <cfRule type="expression" dxfId="17735" priority="51495">
      <formula>$H949="ETAPA"</formula>
    </cfRule>
  </conditionalFormatting>
  <conditionalFormatting sqref="H955:L955 H957:L957 H956:J956 H958:J958">
    <cfRule type="expression" dxfId="17734" priority="51569">
      <formula>$H955="SUBETAPA"</formula>
    </cfRule>
  </conditionalFormatting>
  <conditionalFormatting sqref="H962:L962">
    <cfRule type="expression" dxfId="17733" priority="51711">
      <formula>$H962="ETAPA"</formula>
    </cfRule>
  </conditionalFormatting>
  <conditionalFormatting sqref="H964:L964 J965">
    <cfRule type="expression" dxfId="17732" priority="51457">
      <formula>$H964="ETAPA"</formula>
    </cfRule>
  </conditionalFormatting>
  <conditionalFormatting sqref="H970:L970 H972:L972 H971:J971 H973:J973">
    <cfRule type="expression" dxfId="17731" priority="51724">
      <formula>$H970="SUBETAPA"</formula>
    </cfRule>
  </conditionalFormatting>
  <conditionalFormatting sqref="H977:L977">
    <cfRule type="expression" dxfId="17730" priority="51869">
      <formula>$H977="ETAPA"</formula>
    </cfRule>
  </conditionalFormatting>
  <conditionalFormatting sqref="H979:L979 J980">
    <cfRule type="expression" dxfId="17729" priority="51419">
      <formula>$H979="ETAPA"</formula>
    </cfRule>
  </conditionalFormatting>
  <conditionalFormatting sqref="H985:L985 H987:L987 H986:J986 H988:J988">
    <cfRule type="expression" dxfId="17728" priority="51882">
      <formula>$H985="SUBETAPA"</formula>
    </cfRule>
  </conditionalFormatting>
  <conditionalFormatting sqref="H992:L992">
    <cfRule type="expression" dxfId="17727" priority="52024">
      <formula>$H992="ETAPA"</formula>
    </cfRule>
  </conditionalFormatting>
  <conditionalFormatting sqref="H994:L994 J995">
    <cfRule type="expression" dxfId="17726" priority="51381">
      <formula>$H994="ETAPA"</formula>
    </cfRule>
  </conditionalFormatting>
  <conditionalFormatting sqref="H1000:L1000 H1002:L1002 H1001:J1001 H1003:J1003">
    <cfRule type="expression" dxfId="17725" priority="52037">
      <formula>$H1000="SUBETAPA"</formula>
    </cfRule>
  </conditionalFormatting>
  <conditionalFormatting sqref="H1007:L1007">
    <cfRule type="expression" dxfId="17724" priority="52182">
      <formula>$H1007="ETAPA"</formula>
    </cfRule>
  </conditionalFormatting>
  <conditionalFormatting sqref="H1009:L1009 J1010">
    <cfRule type="expression" dxfId="17723" priority="51343">
      <formula>$H1009="ETAPA"</formula>
    </cfRule>
  </conditionalFormatting>
  <conditionalFormatting sqref="H1015:L1015 H1017:L1017 H1016:J1016 H1018:J1018">
    <cfRule type="expression" dxfId="17722" priority="52195">
      <formula>$H1015="SUBETAPA"</formula>
    </cfRule>
  </conditionalFormatting>
  <conditionalFormatting sqref="H1022:L1022">
    <cfRule type="expression" dxfId="17721" priority="52337">
      <formula>$H1022="ETAPA"</formula>
    </cfRule>
  </conditionalFormatting>
  <conditionalFormatting sqref="H1024:L1024 J1025">
    <cfRule type="expression" dxfId="17720" priority="51305">
      <formula>$H1024="ETAPA"</formula>
    </cfRule>
  </conditionalFormatting>
  <conditionalFormatting sqref="H1030:L1030 H1032:L1032 H1031:J1031 H1033:J1033">
    <cfRule type="expression" dxfId="17719" priority="52350">
      <formula>$H1030="SUBETAPA"</formula>
    </cfRule>
  </conditionalFormatting>
  <conditionalFormatting sqref="H1037:L1037">
    <cfRule type="expression" dxfId="17718" priority="52492">
      <formula>$H1037="ETAPA"</formula>
    </cfRule>
  </conditionalFormatting>
  <conditionalFormatting sqref="H1039:L1039 J1040">
    <cfRule type="expression" dxfId="17717" priority="51267">
      <formula>$H1039="ETAPA"</formula>
    </cfRule>
  </conditionalFormatting>
  <conditionalFormatting sqref="H1045:L1045 H1047:L1047 H1046:J1046 H1048:J1048">
    <cfRule type="expression" dxfId="17716" priority="52505">
      <formula>$H1045="SUBETAPA"</formula>
    </cfRule>
  </conditionalFormatting>
  <conditionalFormatting sqref="H1052:L1052">
    <cfRule type="expression" dxfId="17715" priority="52650">
      <formula>$H1052="ETAPA"</formula>
    </cfRule>
  </conditionalFormatting>
  <conditionalFormatting sqref="H1054:L1054 J1055">
    <cfRule type="expression" dxfId="17714" priority="51229">
      <formula>$H1054="ETAPA"</formula>
    </cfRule>
  </conditionalFormatting>
  <conditionalFormatting sqref="H1060:L1060 H1062:L1062 H1061:J1061 H1063:J1063">
    <cfRule type="expression" dxfId="17713" priority="52663">
      <formula>$H1060="SUBETAPA"</formula>
    </cfRule>
  </conditionalFormatting>
  <conditionalFormatting sqref="H1067:L1067">
    <cfRule type="expression" dxfId="17712" priority="52805">
      <formula>$H1067="ETAPA"</formula>
    </cfRule>
  </conditionalFormatting>
  <conditionalFormatting sqref="H1069:L1069 J1070">
    <cfRule type="expression" dxfId="17711" priority="51191">
      <formula>$H1069="ETAPA"</formula>
    </cfRule>
  </conditionalFormatting>
  <conditionalFormatting sqref="H1075:L1075 H1077:L1077 H1076:J1076 H1078:J1078">
    <cfRule type="expression" dxfId="17710" priority="52818">
      <formula>$H1075="SUBETAPA"</formula>
    </cfRule>
  </conditionalFormatting>
  <conditionalFormatting sqref="H1082:L1082">
    <cfRule type="expression" dxfId="17709" priority="52963">
      <formula>$H1082="ETAPA"</formula>
    </cfRule>
  </conditionalFormatting>
  <conditionalFormatting sqref="H1084:L1084 J1085">
    <cfRule type="expression" dxfId="17708" priority="51153">
      <formula>$H1084="ETAPA"</formula>
    </cfRule>
  </conditionalFormatting>
  <conditionalFormatting sqref="H1090:L1090 H1092:L1092 H1091:J1091 H1093:J1093">
    <cfRule type="expression" dxfId="17707" priority="52976">
      <formula>$H1090="SUBETAPA"</formula>
    </cfRule>
  </conditionalFormatting>
  <conditionalFormatting sqref="H1097:L1097">
    <cfRule type="expression" dxfId="17706" priority="53118">
      <formula>$H1097="ETAPA"</formula>
    </cfRule>
  </conditionalFormatting>
  <conditionalFormatting sqref="H1099:L1099 J1100">
    <cfRule type="expression" dxfId="17705" priority="51115">
      <formula>$H1099="ETAPA"</formula>
    </cfRule>
  </conditionalFormatting>
  <conditionalFormatting sqref="H1105:L1105 H1107:L1107 H1106:J1106 H1108:J1108">
    <cfRule type="expression" dxfId="17704" priority="53131">
      <formula>$H1105="SUBETAPA"</formula>
    </cfRule>
  </conditionalFormatting>
  <conditionalFormatting sqref="H1112:L1112">
    <cfRule type="expression" dxfId="17703" priority="53276">
      <formula>$H1112="ETAPA"</formula>
    </cfRule>
  </conditionalFormatting>
  <conditionalFormatting sqref="H1114:L1114 J1115">
    <cfRule type="expression" dxfId="17702" priority="51077">
      <formula>$H1114="ETAPA"</formula>
    </cfRule>
  </conditionalFormatting>
  <conditionalFormatting sqref="H1120:L1120 H1122:L1122 H1121:J1121 H1123:J1123">
    <cfRule type="expression" dxfId="17701" priority="53289">
      <formula>$H1120="SUBETAPA"</formula>
    </cfRule>
  </conditionalFormatting>
  <conditionalFormatting sqref="H1127:L1127">
    <cfRule type="expression" dxfId="17700" priority="53431">
      <formula>$H1127="ETAPA"</formula>
    </cfRule>
  </conditionalFormatting>
  <conditionalFormatting sqref="H1129:L1129 J1130">
    <cfRule type="expression" dxfId="17699" priority="51039">
      <formula>$H1129="ETAPA"</formula>
    </cfRule>
  </conditionalFormatting>
  <conditionalFormatting sqref="H1135:L1135 H1137:L1137 H1136:J1136 H1138:J1138">
    <cfRule type="expression" dxfId="17698" priority="53444">
      <formula>$H1135="SUBETAPA"</formula>
    </cfRule>
  </conditionalFormatting>
  <conditionalFormatting sqref="H1142:L1142">
    <cfRule type="expression" dxfId="17697" priority="53589">
      <formula>$H1142="ETAPA"</formula>
    </cfRule>
  </conditionalFormatting>
  <conditionalFormatting sqref="H1144:L1144 J1145">
    <cfRule type="expression" dxfId="17696" priority="51001">
      <formula>$H1144="ETAPA"</formula>
    </cfRule>
  </conditionalFormatting>
  <conditionalFormatting sqref="H1150:L1150 H1152:L1152 H1151:J1151 H1153:J1153">
    <cfRule type="expression" dxfId="17695" priority="53602">
      <formula>$H1150="SUBETAPA"</formula>
    </cfRule>
  </conditionalFormatting>
  <conditionalFormatting sqref="H1242:L1242">
    <cfRule type="expression" dxfId="17694" priority="56792">
      <formula>$H1242="SUBETAPA"</formula>
    </cfRule>
    <cfRule type="expression" dxfId="17693" priority="56793">
      <formula>$H1242="ETAPA"</formula>
    </cfRule>
  </conditionalFormatting>
  <conditionalFormatting sqref="H1243:L1243 K808:M808 H1249:J1249 K1244:M1244 K1353:M1353 K1356:M1356 L1251:M1251 L1249:M1249 O1251 O1356 O1244 K1359:M1359 M932 M934 K933:M933 H937:M937 M939 K938:M938 K940:M940 O938 O936 O933 M923 M925 K924:M924 H928:M928 K929:M929 O929 O927 O924 M914 M916 K915:M915 H919:M919 K920:M920 O920 O918 O915 M903 M905 K904:M904 H908:M908 M910 K909:M909 K911:M911 O909 O907 O904 M892 M894 K893:M893 H897:M897 M899 K898:M898 K900:M900 O898 O896 O893 M883 M885 K884:M884 H888:M888 K889:M889 O889 O887 O884 M874 M876 K875:M875 H879:M879 K880:M880 O880 O878 O875 M865 M867 K866:M866 H870:M870 K871:M871 O871 O869 O866 M856 M858 K857:M857 H861:M861 K862:M862 O862 O860 O857 M847 M849 K848:M848 H852:M852 K853:M853 O853 O851 O848 M838 M840 K839:M839 H843:M843 K844:M844 O844 O842 O839 M829 M831 K830:M830 H834:M834 K835:M835 O835 O833 O830 M820 M822 K821:M821 H825:M825 K826:M826 H827:M828 O826 O824 O821 M809 M811 K810:M810 H814:M814 M816 K815:M815 K817:M817 H818:M819 O815 O813 O810 H1141:M1141 M1150 M1152 H1143:M1143 K1151:M1151 K1153:M1153 O1153 O1151 O1149 O1141 G1139:M1140 H1126:M1126 M1135 M1137 K1136:M1136 K1138:M1138 O1138 O1136 O1134 O1126 G1124:M1125 H1111:M1111 M1120 M1122 K1121:M1121 K1123:M1123 O1123 O1121 O1119 O1111 G1109:M1110 H1096:M1096 M1105 M1107 K1106:M1106 K1108:M1108 O1108 O1106 O1104 O1096 G1094:M1095 H1081:M1081 M1090 M1092 K1091:M1091 K1093:M1093 O1093 O1091 O1089 O1081 H1066:M1066 M1075 M1077 K1076:M1076 K1078:M1078 O1078 O1076 O1074 O1066 G1064:M1065 H1051:M1051 M1060 M1062 K1061:M1061 K1063:M1063 O1063 O1061 O1059 O1051 G1049:M1050 H1036:M1036 M1045 M1047 K1046:M1046 K1048:M1048 O1048 O1046 O1044 O1036 G1034:M1035 H1021:M1021 M1030 M1032 K1031:M1031 K1033:M1033 O1033 O1031 O1029 O1021 G1019:M1020 H1006:M1006 M1015 M1017 K1016:M1016 K1018:M1018 O1018 O1016 O1014 O1006 G1004:M1005 H991:M991 M1000 M1002 K1001:M1001 K1003:M1003 O1003 O1001 O999 O991 G989:M990 H976:M976 M985 M987 K986:M986 K988:M988 O988 O986 O984 O976 G974:M975 H961:M961 M970 M972 K971:M971 K973:M973 O973 O971 O969 O961 G959:M960 G943:M945 H946:M946 M955 M957 H948:M948 K956:M956 K958:M958 O958 O956 O954 O946 G1079:M1080 H963:M963 H978:M978 H993:M993 H1008:M1008 H1023:M1023 H1038:M1038 H1053:M1053 H1068:M1068 H1083:M1083 H1098:M1098 H1113:M1113 H1128:M1128 H950:M954 H965:M969 H980:M984 H995:M999 H1010:M1014 H1025:M1029 H1040:M1044 H1055:M1059 H1070:M1074 H1085:M1089 H1100:M1104 H1115:M1119 H1130:M1134 H1145:M1149 H836:M837 H845:M846 H854:M855 H863:M864 H872:M873 H881:M882 H890:M891 H901:M902 H912:M913 H921:M922 H930:M931 H941:M942">
    <cfRule type="expression" dxfId="17692" priority="86954">
      <formula>$H808="SUBETAPA"</formula>
    </cfRule>
  </conditionalFormatting>
  <conditionalFormatting sqref="H1259:L1259">
    <cfRule type="expression" dxfId="17691" priority="2720">
      <formula>$H1259="SUBETAPA"</formula>
    </cfRule>
  </conditionalFormatting>
  <conditionalFormatting sqref="H1273:L1273">
    <cfRule type="expression" dxfId="17690" priority="2789">
      <formula>$H1273="SUBETAPA"</formula>
    </cfRule>
  </conditionalFormatting>
  <conditionalFormatting sqref="H1287:L1287">
    <cfRule type="expression" dxfId="17689" priority="2858">
      <formula>$H1287="SUBETAPA"</formula>
    </cfRule>
  </conditionalFormatting>
  <conditionalFormatting sqref="H1301:L1301">
    <cfRule type="expression" dxfId="17688" priority="2927">
      <formula>$H1301="SUBETAPA"</formula>
    </cfRule>
  </conditionalFormatting>
  <conditionalFormatting sqref="H1315:L1315">
    <cfRule type="expression" dxfId="17687" priority="2996">
      <formula>$H1315="SUBETAPA"</formula>
    </cfRule>
  </conditionalFormatting>
  <conditionalFormatting sqref="H1329:L1329">
    <cfRule type="expression" dxfId="17686" priority="3065">
      <formula>$H1329="SUBETAPA"</formula>
    </cfRule>
  </conditionalFormatting>
  <conditionalFormatting sqref="H1343:L1343">
    <cfRule type="expression" dxfId="17685" priority="3134">
      <formula>$H1343="SUBETAPA"</formula>
    </cfRule>
  </conditionalFormatting>
  <conditionalFormatting sqref="H1357:L1357">
    <cfRule type="expression" dxfId="17684" priority="59903">
      <formula>$H1357="SUBETAPA"</formula>
    </cfRule>
  </conditionalFormatting>
  <conditionalFormatting sqref="H627:M627 M629 M631 K626:M626 K628:M628 K630:M630 K632:M632 H638:M638 H633:M636 K637:M637 G620:M622 O637 H625:M625 H623:M623 G623:G638 J624:M624">
    <cfRule type="expression" dxfId="17683" priority="59101">
      <formula>$H620="SUBETAPA"</formula>
    </cfRule>
  </conditionalFormatting>
  <conditionalFormatting sqref="H640:M640 M642 M644 K641:M641 K643:M643 K645:M645 H651:M651 H646:M648 K650:M650 O650 H649:L649">
    <cfRule type="expression" dxfId="17682" priority="58511">
      <formula>$H640="SUBETAPA"</formula>
    </cfRule>
  </conditionalFormatting>
  <conditionalFormatting sqref="H641:M641 H643:M643 H645:M645 H646:L647 H648:M648 K650:M650 O650 H642:L642 H644:L644">
    <cfRule type="expression" dxfId="17681" priority="58512">
      <formula>$H641="ETAPA"</formula>
    </cfRule>
  </conditionalFormatting>
  <conditionalFormatting sqref="H649:M649">
    <cfRule type="expression" dxfId="17680" priority="58478">
      <formula>$H649="ETAPA"</formula>
    </cfRule>
  </conditionalFormatting>
  <conditionalFormatting sqref="H653:M653 M655 M657 K654:M654 K656:M656 K658:M658 H664:M664 H659:M661 K663:M663 O663 H662:L662">
    <cfRule type="expression" dxfId="17679" priority="58593">
      <formula>$H653="SUBETAPA"</formula>
    </cfRule>
  </conditionalFormatting>
  <conditionalFormatting sqref="H654:M654 H656:M656 H658:M658 H659:L660 H661:M661 K663:M663 O663 H655:L655 H657:L657">
    <cfRule type="expression" dxfId="17678" priority="58594">
      <formula>$H654="ETAPA"</formula>
    </cfRule>
  </conditionalFormatting>
  <conditionalFormatting sqref="H662:M662">
    <cfRule type="expression" dxfId="17677" priority="58475">
      <formula>$H662="ETAPA"</formula>
    </cfRule>
  </conditionalFormatting>
  <conditionalFormatting sqref="H666:M666 M668 M670 K667:M667 K669:M669 K671:M671 H677:M677 H672:M674 K676:M676 O676 H675:L675">
    <cfRule type="expression" dxfId="17676" priority="58675">
      <formula>$H666="SUBETAPA"</formula>
    </cfRule>
  </conditionalFormatting>
  <conditionalFormatting sqref="H667:M667 H669:M669 H671:M671 H672:L673 H674:M674 K676:M676 O676 H668:L668 H670:L670">
    <cfRule type="expression" dxfId="17675" priority="58676">
      <formula>$H667="ETAPA"</formula>
    </cfRule>
  </conditionalFormatting>
  <conditionalFormatting sqref="H675:M675">
    <cfRule type="expression" dxfId="17674" priority="58472">
      <formula>$H675="ETAPA"</formula>
    </cfRule>
  </conditionalFormatting>
  <conditionalFormatting sqref="H679:M679 M681 M683 K680:M680 K682:M682 K684:M684 H690:M690 H685:M687 K689:M689 O689 H688:L688">
    <cfRule type="expression" dxfId="17673" priority="58757">
      <formula>$H679="SUBETAPA"</formula>
    </cfRule>
  </conditionalFormatting>
  <conditionalFormatting sqref="H680:M680 H682:M682 H684:M684 H685:L686 H687:M687 K689:M689 O689 H681:L681 H683:L683">
    <cfRule type="expression" dxfId="17672" priority="58758">
      <formula>$H680="ETAPA"</formula>
    </cfRule>
  </conditionalFormatting>
  <conditionalFormatting sqref="H688:M688">
    <cfRule type="expression" dxfId="17671" priority="58469">
      <formula>$H688="ETAPA"</formula>
    </cfRule>
  </conditionalFormatting>
  <conditionalFormatting sqref="H692:M692 M694 M696 K693:M693 K695:M695 K697:M697 H703:M703 H698:M700 K702:M702 O702 H701:L701">
    <cfRule type="expression" dxfId="17670" priority="58839">
      <formula>$H692="SUBETAPA"</formula>
    </cfRule>
  </conditionalFormatting>
  <conditionalFormatting sqref="H693:M693 H695:M695 H697:M697 H698:L699 H700:M700 K702:M702 O702 H694:L694 H696:L696">
    <cfRule type="expression" dxfId="17669" priority="58840">
      <formula>$H693="ETAPA"</formula>
    </cfRule>
  </conditionalFormatting>
  <conditionalFormatting sqref="H701:M701">
    <cfRule type="expression" dxfId="17668" priority="58466">
      <formula>$H701="ETAPA"</formula>
    </cfRule>
  </conditionalFormatting>
  <conditionalFormatting sqref="H705:M705 M707 M709 K706:M706 K708:M708 K710:M710 H716:M716 H711:M713 K715:M715 O715 H714:L714">
    <cfRule type="expression" dxfId="17667" priority="58921">
      <formula>$H705="SUBETAPA"</formula>
    </cfRule>
  </conditionalFormatting>
  <conditionalFormatting sqref="H706:M706 H708:M708 H710:M710 H711:L712 H713:M713 K715:M715 O715 H707:L707 H709:L709">
    <cfRule type="expression" dxfId="17666" priority="58922">
      <formula>$H706="ETAPA"</formula>
    </cfRule>
  </conditionalFormatting>
  <conditionalFormatting sqref="H714:M714">
    <cfRule type="expression" dxfId="17665" priority="58463">
      <formula>$H714="ETAPA"</formula>
    </cfRule>
  </conditionalFormatting>
  <conditionalFormatting sqref="H718:M718 M720 M722 K719:M719 K721:M721 K723:M723 H729:M729 H724:M726 K728:M728 O728 H727:L727">
    <cfRule type="expression" dxfId="17664" priority="59006">
      <formula>$H718="SUBETAPA"</formula>
    </cfRule>
  </conditionalFormatting>
  <conditionalFormatting sqref="H719:M719 H721:M721 H723:M723 H724:L725 H726:M726 K728:M728 O728 H720:L720 H722:L722">
    <cfRule type="expression" dxfId="17663" priority="59007">
      <formula>$H719="ETAPA"</formula>
    </cfRule>
  </conditionalFormatting>
  <conditionalFormatting sqref="H727:M727">
    <cfRule type="expression" dxfId="17662" priority="58460">
      <formula>$H727="ETAPA"</formula>
    </cfRule>
  </conditionalFormatting>
  <conditionalFormatting sqref="H731:M731 M733 M735 K732:M732 K734:M734 K736:M736 H742:M742 H737:M739 K741:M741 O741 H740:L740">
    <cfRule type="expression" dxfId="17661" priority="59183">
      <formula>$H731="SUBETAPA"</formula>
    </cfRule>
  </conditionalFormatting>
  <conditionalFormatting sqref="H732:M732 H734:M734 H736:M736 H737:L738 H739:M739 K741:M741 O741 H733:L733 H735:L735">
    <cfRule type="expression" dxfId="17660" priority="59184">
      <formula>$H732="ETAPA"</formula>
    </cfRule>
  </conditionalFormatting>
  <conditionalFormatting sqref="H740:M740">
    <cfRule type="expression" dxfId="17659" priority="58457">
      <formula>$H740="ETAPA"</formula>
    </cfRule>
  </conditionalFormatting>
  <conditionalFormatting sqref="H744:M744 M746 M748 K745:M745 K747:M747 K749:M749 H755:M755 H750:M752 K754:M754 O754 H753:L753">
    <cfRule type="expression" dxfId="17658" priority="59265">
      <formula>$H744="SUBETAPA"</formula>
    </cfRule>
  </conditionalFormatting>
  <conditionalFormatting sqref="H745:M745 H747:M747 H749:M749 H750:L751 H752:M752 K754:M754 O754 H746:L746 H748:L748">
    <cfRule type="expression" dxfId="17657" priority="59266">
      <formula>$H745="ETAPA"</formula>
    </cfRule>
  </conditionalFormatting>
  <conditionalFormatting sqref="H753:M753">
    <cfRule type="expression" dxfId="17656" priority="58454">
      <formula>$H753="ETAPA"</formula>
    </cfRule>
  </conditionalFormatting>
  <conditionalFormatting sqref="H757:M757 M759 M761 K758:M758 K760:M760 K762:M762 H768:M768 H763:M765 K767:M767 O767 H766:L766">
    <cfRule type="expression" dxfId="17655" priority="59347">
      <formula>$H757="SUBETAPA"</formula>
    </cfRule>
  </conditionalFormatting>
  <conditionalFormatting sqref="H758:M758 H760:M760 H762:M762 H763:L764 H765:M765 K767:M767 O767 H759:L759 H761:L761">
    <cfRule type="expression" dxfId="17654" priority="59348">
      <formula>$H758="ETAPA"</formula>
    </cfRule>
  </conditionalFormatting>
  <conditionalFormatting sqref="H766:M766">
    <cfRule type="expression" dxfId="17653" priority="58451">
      <formula>$H766="ETAPA"</formula>
    </cfRule>
  </conditionalFormatting>
  <conditionalFormatting sqref="H770:M770 M772 M774 K771:M771 K773:M773 K775:M775 H781:M781 H776:M778 K780:M780 O780 H779:L779">
    <cfRule type="expression" dxfId="17652" priority="59429">
      <formula>$H770="SUBETAPA"</formula>
    </cfRule>
  </conditionalFormatting>
  <conditionalFormatting sqref="H771:M771 H773:M773 H775:M775 H776:L777 H778:M778 K780:M780 O780 H772:L772 H774:L774">
    <cfRule type="expression" dxfId="17651" priority="59430">
      <formula>$H771="ETAPA"</formula>
    </cfRule>
  </conditionalFormatting>
  <conditionalFormatting sqref="H779:M779">
    <cfRule type="expression" dxfId="17650" priority="58448">
      <formula>$H779="ETAPA"</formula>
    </cfRule>
  </conditionalFormatting>
  <conditionalFormatting sqref="H783:M783 M785 M787 K784:M784 K786:M786 K788:M788 H794:M794 H789:M791 K793:M793 O793 H792:L792">
    <cfRule type="expression" dxfId="17649" priority="59511">
      <formula>$H783="SUBETAPA"</formula>
    </cfRule>
  </conditionalFormatting>
  <conditionalFormatting sqref="H784:M784 H786:M786 H788:M788 H789:L790 H791:M791 K793:M793 O793 H785:L785 H787:L787">
    <cfRule type="expression" dxfId="17648" priority="59512">
      <formula>$H784="ETAPA"</formula>
    </cfRule>
  </conditionalFormatting>
  <conditionalFormatting sqref="H792:M792">
    <cfRule type="expression" dxfId="17647" priority="58445">
      <formula>$H792="ETAPA"</formula>
    </cfRule>
  </conditionalFormatting>
  <conditionalFormatting sqref="H796:M796 M798 M800 K797:M797 K799:M799 K801:M801 H807:M807 H802:M804 K806:M806 O806 H805:L805">
    <cfRule type="expression" dxfId="17646" priority="59593">
      <formula>$H796="SUBETAPA"</formula>
    </cfRule>
  </conditionalFormatting>
  <conditionalFormatting sqref="H797:M797 H799:M799 H801:M801 H802:L803 H804:M804 K806:M806 O806 H798:L798 H800:L800">
    <cfRule type="expression" dxfId="17645" priority="59594">
      <formula>$H797="ETAPA"</formula>
    </cfRule>
  </conditionalFormatting>
  <conditionalFormatting sqref="H805:M805">
    <cfRule type="expression" dxfId="17644" priority="58442">
      <formula>$H805="ETAPA"</formula>
    </cfRule>
  </conditionalFormatting>
  <conditionalFormatting sqref="H947:M947">
    <cfRule type="expression" dxfId="17643" priority="51566">
      <formula>$H947="SUBETAPA"</formula>
    </cfRule>
  </conditionalFormatting>
  <conditionalFormatting sqref="H949:M949 J950">
    <cfRule type="expression" dxfId="17642" priority="51498">
      <formula>$H949="SUBETAPA"</formula>
    </cfRule>
  </conditionalFormatting>
  <conditionalFormatting sqref="H962:M962">
    <cfRule type="expression" dxfId="17641" priority="51721">
      <formula>$H962="SUBETAPA"</formula>
    </cfRule>
  </conditionalFormatting>
  <conditionalFormatting sqref="H964:M964 J965">
    <cfRule type="expression" dxfId="17640" priority="51460">
      <formula>$H964="SUBETAPA"</formula>
    </cfRule>
  </conditionalFormatting>
  <conditionalFormatting sqref="H977:M977">
    <cfRule type="expression" dxfId="17639" priority="51879">
      <formula>$H977="SUBETAPA"</formula>
    </cfRule>
  </conditionalFormatting>
  <conditionalFormatting sqref="H979:M979 J980">
    <cfRule type="expression" dxfId="17638" priority="51422">
      <formula>$H979="SUBETAPA"</formula>
    </cfRule>
  </conditionalFormatting>
  <conditionalFormatting sqref="H992:M992">
    <cfRule type="expression" dxfId="17637" priority="52034">
      <formula>$H992="SUBETAPA"</formula>
    </cfRule>
  </conditionalFormatting>
  <conditionalFormatting sqref="H994:M994 J995">
    <cfRule type="expression" dxfId="17636" priority="51384">
      <formula>$H994="SUBETAPA"</formula>
    </cfRule>
  </conditionalFormatting>
  <conditionalFormatting sqref="H1007:M1007">
    <cfRule type="expression" dxfId="17635" priority="52192">
      <formula>$H1007="SUBETAPA"</formula>
    </cfRule>
  </conditionalFormatting>
  <conditionalFormatting sqref="H1009:M1009 J1010">
    <cfRule type="expression" dxfId="17634" priority="51346">
      <formula>$H1009="SUBETAPA"</formula>
    </cfRule>
  </conditionalFormatting>
  <conditionalFormatting sqref="H1022:M1022">
    <cfRule type="expression" dxfId="17633" priority="52347">
      <formula>$H1022="SUBETAPA"</formula>
    </cfRule>
  </conditionalFormatting>
  <conditionalFormatting sqref="H1024:M1024 J1025">
    <cfRule type="expression" dxfId="17632" priority="51308">
      <formula>$H1024="SUBETAPA"</formula>
    </cfRule>
  </conditionalFormatting>
  <conditionalFormatting sqref="H1037:M1037">
    <cfRule type="expression" dxfId="17631" priority="52502">
      <formula>$H1037="SUBETAPA"</formula>
    </cfRule>
  </conditionalFormatting>
  <conditionalFormatting sqref="H1039:M1039 J1040">
    <cfRule type="expression" dxfId="17630" priority="51270">
      <formula>$H1039="SUBETAPA"</formula>
    </cfRule>
  </conditionalFormatting>
  <conditionalFormatting sqref="H1052:M1052">
    <cfRule type="expression" dxfId="17629" priority="52660">
      <formula>$H1052="SUBETAPA"</formula>
    </cfRule>
  </conditionalFormatting>
  <conditionalFormatting sqref="H1054:M1054 J1055">
    <cfRule type="expression" dxfId="17628" priority="51232">
      <formula>$H1054="SUBETAPA"</formula>
    </cfRule>
  </conditionalFormatting>
  <conditionalFormatting sqref="H1067:M1067">
    <cfRule type="expression" dxfId="17627" priority="52815">
      <formula>$H1067="SUBETAPA"</formula>
    </cfRule>
  </conditionalFormatting>
  <conditionalFormatting sqref="H1069:M1069 J1070">
    <cfRule type="expression" dxfId="17626" priority="51194">
      <formula>$H1069="SUBETAPA"</formula>
    </cfRule>
  </conditionalFormatting>
  <conditionalFormatting sqref="H1082:M1082">
    <cfRule type="expression" dxfId="17625" priority="52973">
      <formula>$H1082="SUBETAPA"</formula>
    </cfRule>
  </conditionalFormatting>
  <conditionalFormatting sqref="H1084:M1084 J1085">
    <cfRule type="expression" dxfId="17624" priority="51156">
      <formula>$H1084="SUBETAPA"</formula>
    </cfRule>
  </conditionalFormatting>
  <conditionalFormatting sqref="H1097:M1097">
    <cfRule type="expression" dxfId="17623" priority="53128">
      <formula>$H1097="SUBETAPA"</formula>
    </cfRule>
  </conditionalFormatting>
  <conditionalFormatting sqref="H1099:M1099 J1100">
    <cfRule type="expression" dxfId="17622" priority="51118">
      <formula>$H1099="SUBETAPA"</formula>
    </cfRule>
  </conditionalFormatting>
  <conditionalFormatting sqref="H1112:M1112">
    <cfRule type="expression" dxfId="17621" priority="53286">
      <formula>$H1112="SUBETAPA"</formula>
    </cfRule>
  </conditionalFormatting>
  <conditionalFormatting sqref="H1114:M1114 J1115">
    <cfRule type="expression" dxfId="17620" priority="51080">
      <formula>$H1114="SUBETAPA"</formula>
    </cfRule>
  </conditionalFormatting>
  <conditionalFormatting sqref="H1127:M1127">
    <cfRule type="expression" dxfId="17619" priority="53441">
      <formula>$H1127="SUBETAPA"</formula>
    </cfRule>
  </conditionalFormatting>
  <conditionalFormatting sqref="H1129:M1129 J1130">
    <cfRule type="expression" dxfId="17618" priority="51042">
      <formula>$H1129="SUBETAPA"</formula>
    </cfRule>
  </conditionalFormatting>
  <conditionalFormatting sqref="H1142:M1142">
    <cfRule type="expression" dxfId="17617" priority="53599">
      <formula>$H1142="SUBETAPA"</formula>
    </cfRule>
  </conditionalFormatting>
  <conditionalFormatting sqref="H1144:M1144 J1145">
    <cfRule type="expression" dxfId="17616" priority="51004">
      <formula>$H1144="SUBETAPA"</formula>
    </cfRule>
  </conditionalFormatting>
  <conditionalFormatting sqref="H1250:M1250 G1239:K1241 G808:J808 G1252:L1252 G1365:K1365 H1355:L1355 L1351:L1352 L1354 H1360:K1364 G932:L932 H934:L934 G933:J933 H938:J938 H939:L939 H940:J940 G923:L923 H925:L925 G924:J924 H929:J929 G914:L914 H916:L916 G915:J915 H920:J920 G903:L903 H905:L905 G904:J904 H909:J909 H910:L910 H911:J911 G892:L892 H894:L894 G893:J893 H898:J898 H899:L899 H900:J900 G883:L883 H885:L885 G884:J884 H889:J889 G874:L874 H876:L876 G875:J875 H880:J880 G865:L865 H867:L867 G866:J866 H871:J871 G856:L856 H858:L858 G857:J857 H862:J862 G847:L847 H849:L849 G848:J848 H853:J853 G838:L838 H840:L840 G839:J839 H844:J844 G829:L829 H831:L831 G830:J830 H835:J835 G820:L820 H822:L822 G821:J821 H826:J826 G809:L809 H811:L811 G810:J810 H815:J815 H816:L816 H817:J817 H1235:L1235 L1234 H1230:L1230 L1229 L1227 H1223:L1223 L1222 H1218:L1218 L1217 L1215 H1211:L1211 L1210 L1208 H1204:L1204 L1203 L1201 H1197:L1197 L1196 L1194 H1190:L1190 L1189 L1187 H1183:L1183 L1182 H1178:L1178 L1177 H1173:L1173 L1172 H1168:L1168 L1167 H1163:L1163 L1162 H1158:L1158 L1154:L1155 L1157 H1417 G1415:H1416 J1415:K1417 H1412 G1410:H1411 J1410:K1412 O1409 H1407 G1405:H1406 J1405:K1407 H1402 G1400:H1401 J1400:K1402 O1397 H1395 G1393:H1394 J1393:K1395 O1390 H1388 G1386:H1387 J1386:K1388 O1385 O1382 O1379 O1376 H1368 G1366:H1367 J1366:K1368 J1251 H1341:L1341 L1337:L1338 L1340 H1346:K1350 H1327:L1327 L1323:L1324 L1326 H1332:K1336 H1313:L1313 L1309:L1310 L1312 H1318:K1322 H1299:L1299 L1295:L1296 L1298 H1304:K1308 H1285:L1285 L1281:L1282 L1284 H1290:K1294 H1271:L1271 L1267:L1268 L1270 H1276:K1280 H1257:L1257 L1253:L1254 L1256 H1262:K1266">
    <cfRule type="expression" dxfId="17615" priority="86999">
      <formula>$H808="SUBETAPA"</formula>
    </cfRule>
  </conditionalFormatting>
  <conditionalFormatting sqref="H1250:M1250 J1251 G1252:L1252">
    <cfRule type="expression" dxfId="17614" priority="86956">
      <formula>$H1250="ETAPA"</formula>
    </cfRule>
  </conditionalFormatting>
  <conditionalFormatting sqref="H1431:M1431">
    <cfRule type="expression" dxfId="17613" priority="4779">
      <formula>$H1431="ETAPA"</formula>
    </cfRule>
  </conditionalFormatting>
  <conditionalFormatting sqref="I1251">
    <cfRule type="expression" dxfId="17612" priority="86734">
      <formula>$H1251="CÉLULA CONSTRUTIVA"</formula>
    </cfRule>
    <cfRule type="expression" dxfId="17611" priority="86735">
      <formula>$H1251="ETAPA"</formula>
    </cfRule>
    <cfRule type="expression" dxfId="17610" priority="86736">
      <formula>$H1251="SUBETAPA"</formula>
    </cfRule>
  </conditionalFormatting>
  <conditionalFormatting sqref="I3172">
    <cfRule type="expression" dxfId="17609" priority="120437">
      <formula>$H3172="SUBETAPA"</formula>
    </cfRule>
    <cfRule type="expression" dxfId="17608" priority="120438">
      <formula>$H3172="CÉLULA CONSTRUTIVA"</formula>
    </cfRule>
  </conditionalFormatting>
  <conditionalFormatting sqref="I1159:J1159">
    <cfRule type="expression" dxfId="17607" priority="55479">
      <formula>$H1159="CÉLULA CONSTRUTIVA"</formula>
    </cfRule>
    <cfRule type="expression" dxfId="17606" priority="55480">
      <formula>$H1159="ETAPA"</formula>
    </cfRule>
    <cfRule type="expression" dxfId="17605" priority="55481">
      <formula>$H1159="SUBETAPA"</formula>
    </cfRule>
  </conditionalFormatting>
  <conditionalFormatting sqref="I1164:J1164">
    <cfRule type="expression" dxfId="17604" priority="55573">
      <formula>$H1164="CÉLULA CONSTRUTIVA"</formula>
    </cfRule>
    <cfRule type="expression" dxfId="17603" priority="55574">
      <formula>$H1164="ETAPA"</formula>
    </cfRule>
    <cfRule type="expression" dxfId="17602" priority="55575">
      <formula>$H1164="SUBETAPA"</formula>
    </cfRule>
  </conditionalFormatting>
  <conditionalFormatting sqref="I1169:J1169">
    <cfRule type="expression" dxfId="17601" priority="55667">
      <formula>$H1169="CÉLULA CONSTRUTIVA"</formula>
    </cfRule>
    <cfRule type="expression" dxfId="17600" priority="55668">
      <formula>$H1169="ETAPA"</formula>
    </cfRule>
    <cfRule type="expression" dxfId="17599" priority="55669">
      <formula>$H1169="SUBETAPA"</formula>
    </cfRule>
  </conditionalFormatting>
  <conditionalFormatting sqref="I1174:J1174">
    <cfRule type="expression" dxfId="17598" priority="55761">
      <formula>$H1174="CÉLULA CONSTRUTIVA"</formula>
    </cfRule>
    <cfRule type="expression" dxfId="17597" priority="55762">
      <formula>$H1174="ETAPA"</formula>
    </cfRule>
    <cfRule type="expression" dxfId="17596" priority="55763">
      <formula>$H1174="SUBETAPA"</formula>
    </cfRule>
  </conditionalFormatting>
  <conditionalFormatting sqref="I1179:J1179">
    <cfRule type="expression" dxfId="17595" priority="55855">
      <formula>$H1179="CÉLULA CONSTRUTIVA"</formula>
    </cfRule>
    <cfRule type="expression" dxfId="17594" priority="55856">
      <formula>$H1179="ETAPA"</formula>
    </cfRule>
    <cfRule type="expression" dxfId="17593" priority="55857">
      <formula>$H1179="SUBETAPA"</formula>
    </cfRule>
  </conditionalFormatting>
  <conditionalFormatting sqref="I1184:J1184">
    <cfRule type="expression" dxfId="17592" priority="55949">
      <formula>$H1184="CÉLULA CONSTRUTIVA"</formula>
    </cfRule>
    <cfRule type="expression" dxfId="17591" priority="55950">
      <formula>$H1184="ETAPA"</formula>
    </cfRule>
    <cfRule type="expression" dxfId="17590" priority="55951">
      <formula>$H1184="SUBETAPA"</formula>
    </cfRule>
  </conditionalFormatting>
  <conditionalFormatting sqref="I1191:J1191">
    <cfRule type="expression" dxfId="17589" priority="56043">
      <formula>$H1191="CÉLULA CONSTRUTIVA"</formula>
    </cfRule>
    <cfRule type="expression" dxfId="17588" priority="56044">
      <formula>$H1191="ETAPA"</formula>
    </cfRule>
    <cfRule type="expression" dxfId="17587" priority="56045">
      <formula>$H1191="SUBETAPA"</formula>
    </cfRule>
  </conditionalFormatting>
  <conditionalFormatting sqref="I1198:J1198">
    <cfRule type="expression" dxfId="17586" priority="56137">
      <formula>$H1198="CÉLULA CONSTRUTIVA"</formula>
    </cfRule>
    <cfRule type="expression" dxfId="17585" priority="56138">
      <formula>$H1198="ETAPA"</formula>
    </cfRule>
    <cfRule type="expression" dxfId="17584" priority="56139">
      <formula>$H1198="SUBETAPA"</formula>
    </cfRule>
  </conditionalFormatting>
  <conditionalFormatting sqref="I1205:J1205">
    <cfRule type="expression" dxfId="17583" priority="56231">
      <formula>$H1205="CÉLULA CONSTRUTIVA"</formula>
    </cfRule>
    <cfRule type="expression" dxfId="17582" priority="56232">
      <formula>$H1205="ETAPA"</formula>
    </cfRule>
    <cfRule type="expression" dxfId="17581" priority="56233">
      <formula>$H1205="SUBETAPA"</formula>
    </cfRule>
  </conditionalFormatting>
  <conditionalFormatting sqref="I1212:J1212">
    <cfRule type="expression" dxfId="17580" priority="56325">
      <formula>$H1212="CÉLULA CONSTRUTIVA"</formula>
    </cfRule>
    <cfRule type="expression" dxfId="17579" priority="56326">
      <formula>$H1212="ETAPA"</formula>
    </cfRule>
    <cfRule type="expression" dxfId="17578" priority="56327">
      <formula>$H1212="SUBETAPA"</formula>
    </cfRule>
  </conditionalFormatting>
  <conditionalFormatting sqref="I1219:J1219">
    <cfRule type="expression" dxfId="17577" priority="56419">
      <formula>$H1219="CÉLULA CONSTRUTIVA"</formula>
    </cfRule>
    <cfRule type="expression" dxfId="17576" priority="56420">
      <formula>$H1219="ETAPA"</formula>
    </cfRule>
    <cfRule type="expression" dxfId="17575" priority="56421">
      <formula>$H1219="SUBETAPA"</formula>
    </cfRule>
  </conditionalFormatting>
  <conditionalFormatting sqref="I1224:J1224">
    <cfRule type="expression" dxfId="17574" priority="56513">
      <formula>$H1224="CÉLULA CONSTRUTIVA"</formula>
    </cfRule>
    <cfRule type="expression" dxfId="17573" priority="56514">
      <formula>$H1224="ETAPA"</formula>
    </cfRule>
    <cfRule type="expression" dxfId="17572" priority="56515">
      <formula>$H1224="SUBETAPA"</formula>
    </cfRule>
  </conditionalFormatting>
  <conditionalFormatting sqref="I1231:J1231">
    <cfRule type="expression" dxfId="17571" priority="56607">
      <formula>$H1231="CÉLULA CONSTRUTIVA"</formula>
    </cfRule>
    <cfRule type="expression" dxfId="17570" priority="56608">
      <formula>$H1231="ETAPA"</formula>
    </cfRule>
    <cfRule type="expression" dxfId="17569" priority="56609">
      <formula>$H1231="SUBETAPA"</formula>
    </cfRule>
  </conditionalFormatting>
  <conditionalFormatting sqref="I1236:J1236">
    <cfRule type="expression" dxfId="17568" priority="56701">
      <formula>$H1236="CÉLULA CONSTRUTIVA"</formula>
    </cfRule>
    <cfRule type="expression" dxfId="17567" priority="56702">
      <formula>$H1236="ETAPA"</formula>
    </cfRule>
    <cfRule type="expression" dxfId="17566" priority="56703">
      <formula>$H1236="SUBETAPA"</formula>
    </cfRule>
  </conditionalFormatting>
  <conditionalFormatting sqref="I1244:J1244">
    <cfRule type="expression" dxfId="17565" priority="86747">
      <formula>$H1244="CÉLULA CONSTRUTIVA"</formula>
    </cfRule>
    <cfRule type="expression" dxfId="17564" priority="86748">
      <formula>$H1244="ETAPA"</formula>
    </cfRule>
    <cfRule type="expression" dxfId="17563" priority="86749">
      <formula>$H1244="SUBETAPA"</formula>
    </cfRule>
  </conditionalFormatting>
  <conditionalFormatting sqref="I1258:J1258 I1261:J1261">
    <cfRule type="expression" dxfId="17562" priority="2717">
      <formula>$H1258="CÉLULA CONSTRUTIVA"</formula>
    </cfRule>
    <cfRule type="expression" dxfId="17561" priority="2718">
      <formula>$H1258="ETAPA"</formula>
    </cfRule>
    <cfRule type="expression" dxfId="17560" priority="2719">
      <formula>$H1258="SUBETAPA"</formula>
    </cfRule>
  </conditionalFormatting>
  <conditionalFormatting sqref="I1260:J1260">
    <cfRule type="expression" dxfId="17559" priority="2665">
      <formula>$H1260="CÉLULA CONSTRUTIVA"</formula>
    </cfRule>
    <cfRule type="expression" dxfId="17558" priority="2666">
      <formula>$H1260="ETAPA"</formula>
    </cfRule>
    <cfRule type="expression" dxfId="17557" priority="2667">
      <formula>$H1260="SUBETAPA"</formula>
    </cfRule>
  </conditionalFormatting>
  <conditionalFormatting sqref="I1272:J1272 I1275:J1275">
    <cfRule type="expression" dxfId="17556" priority="2786">
      <formula>$H1272="CÉLULA CONSTRUTIVA"</formula>
    </cfRule>
    <cfRule type="expression" dxfId="17555" priority="2787">
      <formula>$H1272="ETAPA"</formula>
    </cfRule>
    <cfRule type="expression" dxfId="17554" priority="2788">
      <formula>$H1272="SUBETAPA"</formula>
    </cfRule>
  </conditionalFormatting>
  <conditionalFormatting sqref="I1274:J1274">
    <cfRule type="expression" dxfId="17553" priority="2734">
      <formula>$H1274="CÉLULA CONSTRUTIVA"</formula>
    </cfRule>
    <cfRule type="expression" dxfId="17552" priority="2735">
      <formula>$H1274="ETAPA"</formula>
    </cfRule>
    <cfRule type="expression" dxfId="17551" priority="2736">
      <formula>$H1274="SUBETAPA"</formula>
    </cfRule>
  </conditionalFormatting>
  <conditionalFormatting sqref="I1286:J1286 I1289:J1289">
    <cfRule type="expression" dxfId="17550" priority="2855">
      <formula>$H1286="CÉLULA CONSTRUTIVA"</formula>
    </cfRule>
    <cfRule type="expression" dxfId="17549" priority="2856">
      <formula>$H1286="ETAPA"</formula>
    </cfRule>
    <cfRule type="expression" dxfId="17548" priority="2857">
      <formula>$H1286="SUBETAPA"</formula>
    </cfRule>
  </conditionalFormatting>
  <conditionalFormatting sqref="I1288:J1288">
    <cfRule type="expression" dxfId="17547" priority="2803">
      <formula>$H1288="CÉLULA CONSTRUTIVA"</formula>
    </cfRule>
    <cfRule type="expression" dxfId="17546" priority="2804">
      <formula>$H1288="ETAPA"</formula>
    </cfRule>
    <cfRule type="expression" dxfId="17545" priority="2805">
      <formula>$H1288="SUBETAPA"</formula>
    </cfRule>
  </conditionalFormatting>
  <conditionalFormatting sqref="I1300:J1300 I1303:J1303">
    <cfRule type="expression" dxfId="17544" priority="2924">
      <formula>$H1300="CÉLULA CONSTRUTIVA"</formula>
    </cfRule>
    <cfRule type="expression" dxfId="17543" priority="2925">
      <formula>$H1300="ETAPA"</formula>
    </cfRule>
    <cfRule type="expression" dxfId="17542" priority="2926">
      <formula>$H1300="SUBETAPA"</formula>
    </cfRule>
  </conditionalFormatting>
  <conditionalFormatting sqref="I1302:J1302">
    <cfRule type="expression" dxfId="17541" priority="2872">
      <formula>$H1302="CÉLULA CONSTRUTIVA"</formula>
    </cfRule>
    <cfRule type="expression" dxfId="17540" priority="2873">
      <formula>$H1302="ETAPA"</formula>
    </cfRule>
    <cfRule type="expression" dxfId="17539" priority="2874">
      <formula>$H1302="SUBETAPA"</formula>
    </cfRule>
  </conditionalFormatting>
  <conditionalFormatting sqref="I1314:J1314 I1317:J1317">
    <cfRule type="expression" dxfId="17538" priority="2993">
      <formula>$H1314="CÉLULA CONSTRUTIVA"</formula>
    </cfRule>
    <cfRule type="expression" dxfId="17537" priority="2994">
      <formula>$H1314="ETAPA"</formula>
    </cfRule>
    <cfRule type="expression" dxfId="17536" priority="2995">
      <formula>$H1314="SUBETAPA"</formula>
    </cfRule>
  </conditionalFormatting>
  <conditionalFormatting sqref="I1316:J1316">
    <cfRule type="expression" dxfId="17535" priority="2941">
      <formula>$H1316="CÉLULA CONSTRUTIVA"</formula>
    </cfRule>
    <cfRule type="expression" dxfId="17534" priority="2942">
      <formula>$H1316="ETAPA"</formula>
    </cfRule>
    <cfRule type="expression" dxfId="17533" priority="2943">
      <formula>$H1316="SUBETAPA"</formula>
    </cfRule>
  </conditionalFormatting>
  <conditionalFormatting sqref="I1328:J1328 I1331:J1331">
    <cfRule type="expression" dxfId="17532" priority="3062">
      <formula>$H1328="CÉLULA CONSTRUTIVA"</formula>
    </cfRule>
    <cfRule type="expression" dxfId="17531" priority="3063">
      <formula>$H1328="ETAPA"</formula>
    </cfRule>
    <cfRule type="expression" dxfId="17530" priority="3064">
      <formula>$H1328="SUBETAPA"</formula>
    </cfRule>
  </conditionalFormatting>
  <conditionalFormatting sqref="I1330:J1330">
    <cfRule type="expression" dxfId="17529" priority="3010">
      <formula>$H1330="CÉLULA CONSTRUTIVA"</formula>
    </cfRule>
    <cfRule type="expression" dxfId="17528" priority="3011">
      <formula>$H1330="ETAPA"</formula>
    </cfRule>
    <cfRule type="expression" dxfId="17527" priority="3012">
      <formula>$H1330="SUBETAPA"</formula>
    </cfRule>
  </conditionalFormatting>
  <conditionalFormatting sqref="I1342:J1342 I1345:J1345">
    <cfRule type="expression" dxfId="17526" priority="3131">
      <formula>$H1342="CÉLULA CONSTRUTIVA"</formula>
    </cfRule>
    <cfRule type="expression" dxfId="17525" priority="3132">
      <formula>$H1342="ETAPA"</formula>
    </cfRule>
    <cfRule type="expression" dxfId="17524" priority="3133">
      <formula>$H1342="SUBETAPA"</formula>
    </cfRule>
  </conditionalFormatting>
  <conditionalFormatting sqref="I1344:J1344">
    <cfRule type="expression" dxfId="17523" priority="3079">
      <formula>$H1344="CÉLULA CONSTRUTIVA"</formula>
    </cfRule>
    <cfRule type="expression" dxfId="17522" priority="3080">
      <formula>$H1344="ETAPA"</formula>
    </cfRule>
    <cfRule type="expression" dxfId="17521" priority="3081">
      <formula>$H1344="SUBETAPA"</formula>
    </cfRule>
  </conditionalFormatting>
  <conditionalFormatting sqref="I1356:J1356 I1359:J1359">
    <cfRule type="expression" dxfId="17520" priority="86648">
      <formula>$H1356="CÉLULA CONSTRUTIVA"</formula>
    </cfRule>
    <cfRule type="expression" dxfId="17519" priority="86649">
      <formula>$H1356="ETAPA"</formula>
    </cfRule>
    <cfRule type="expression" dxfId="17518" priority="86650">
      <formula>$H1356="SUBETAPA"</formula>
    </cfRule>
  </conditionalFormatting>
  <conditionalFormatting sqref="I1358:J1358">
    <cfRule type="expression" dxfId="17517" priority="3148">
      <formula>$H1358="CÉLULA CONSTRUTIVA"</formula>
    </cfRule>
    <cfRule type="expression" dxfId="17516" priority="3149">
      <formula>$H1358="ETAPA"</formula>
    </cfRule>
    <cfRule type="expression" dxfId="17515" priority="3150">
      <formula>$H1358="SUBETAPA"</formula>
    </cfRule>
  </conditionalFormatting>
  <conditionalFormatting sqref="I26:K27 M26:M27">
    <cfRule type="expression" dxfId="17514" priority="50676">
      <formula>$H26="ETAPA"</formula>
    </cfRule>
  </conditionalFormatting>
  <conditionalFormatting sqref="I80:K82 M80:M83">
    <cfRule type="expression" dxfId="17513" priority="50338">
      <formula>$H80="ETAPA"</formula>
    </cfRule>
  </conditionalFormatting>
  <conditionalFormatting sqref="I1154:K1155 M1154:M1155 I1156:J1156 I1157:K1157 M1157:M1162 I1162:K1162 I1167:K1167 I1172:K1172 I1177:K1177 I1182:K1182 I1187:K1187 I1188:J1188 I1189:K1189 M1189:M1194 I1194:K1194 I1195:J1195 I1196:K1196 M1196:M1201 I1201:K1201 I1202:J1202 I1203:K1203 M1203:M1208 I1208:K1208 I1209:J1209 I1210:K1210 M1210:M1215 I1215:K1215 I1216:J1216 I1217:K1217 M1217:M1222 I1222:K1222 I1227:K1227 I1228:J1228 I1229:K1229 M1229:M1234 I1234:K1234">
    <cfRule type="expression" dxfId="17512" priority="86994">
      <formula>$H1154="ETAPA"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I1154:K1155 I1157:K1157 I1156:J1156">
    <cfRule type="expression" dxfId="17511" priority="86995">
      <formula>$H1154="SUBETAPA"</formula>
    </cfRule>
  </conditionalFormatting>
  <conditionalFormatting sqref="I1234:K1234 I1229:K1229 I1228:J1228 I1227:K1227 I1222:K1222 I1217:K1217 I1216:J1216 I1215:K1215 I1210:K1210 I1209:J1209 I1208:K1208 I1203:K1203 I1202:J1202 I1201:K1201 I1196:K1196 I1195:J1195 I1194:K1194 I1189:K1189 I1188:J1188 I1187:K1187 I1182:K1182 I1177:K1177 I1172:K1172 I1167:K1167 I1162:K1162 M1154:M1155 I1154:K1155 I1157:K1157 I1156:J1156 M1157:M1162 M1189:M1194 M1196:M1201 M1203:M1208 M1210:M1215 M1217:M1222 M1229:M1234">
    <cfRule type="expression" dxfId="17510" priority="86993">
      <formula>$H1154="CÉLULA CONSTRUTIVA"</formula>
    </cfRule>
  </conditionalFormatting>
  <conditionalFormatting sqref="I1253:K1254 I1256:K1256 I1255:J1255">
    <cfRule type="expression" dxfId="17509" priority="2716">
      <formula>$H1253="SUBETAPA"</formula>
    </cfRule>
  </conditionalFormatting>
  <conditionalFormatting sqref="I1253:K1254 M1253:M1254 I1255:J1255 I1256:K1256 M1256:M1257">
    <cfRule type="expression" dxfId="17508" priority="2715">
      <formula>$H1253="ETAPA"</formula>
    </cfRule>
  </conditionalFormatting>
  <conditionalFormatting sqref="I1267:K1268 I1270:K1270 I1269:J1269">
    <cfRule type="expression" dxfId="17507" priority="2785">
      <formula>$H1267="SUBETAPA"</formula>
    </cfRule>
  </conditionalFormatting>
  <conditionalFormatting sqref="I1267:K1268 M1267:M1268 I1269:J1269 I1270:K1270 M1270:M1271">
    <cfRule type="expression" dxfId="17506" priority="2784">
      <formula>$H1267="ETAPA"</formula>
    </cfRule>
  </conditionalFormatting>
  <conditionalFormatting sqref="I1281:K1282 I1284:K1284 I1283:J1283">
    <cfRule type="expression" dxfId="17505" priority="2854">
      <formula>$H1281="SUBETAPA"</formula>
    </cfRule>
  </conditionalFormatting>
  <conditionalFormatting sqref="I1281:K1282 M1281:M1282 I1283:J1283 I1284:K1284 M1284:M1285">
    <cfRule type="expression" dxfId="17504" priority="2853">
      <formula>$H1281="ETAPA"</formula>
    </cfRule>
  </conditionalFormatting>
  <conditionalFormatting sqref="I1295:K1296 I1298:K1298 I1297:J1297">
    <cfRule type="expression" dxfId="17503" priority="2923">
      <formula>$H1295="SUBETAPA"</formula>
    </cfRule>
  </conditionalFormatting>
  <conditionalFormatting sqref="I1295:K1296 M1295:M1296 I1297:J1297 I1298:K1298 M1298:M1299">
    <cfRule type="expression" dxfId="17502" priority="2922">
      <formula>$H1295="ETAPA"</formula>
    </cfRule>
  </conditionalFormatting>
  <conditionalFormatting sqref="I1309:K1310 I1312:K1312 I1311:J1311">
    <cfRule type="expression" dxfId="17501" priority="2992">
      <formula>$H1309="SUBETAPA"</formula>
    </cfRule>
  </conditionalFormatting>
  <conditionalFormatting sqref="I1309:K1310 M1309:M1310 I1311:J1311 I1312:K1312 M1313">
    <cfRule type="expression" dxfId="17500" priority="2991">
      <formula>$H1309="ETAPA"</formula>
    </cfRule>
  </conditionalFormatting>
  <conditionalFormatting sqref="I1323:K1324 I1326:K1326 I1325:J1325">
    <cfRule type="expression" dxfId="17499" priority="3061">
      <formula>$H1323="SUBETAPA"</formula>
    </cfRule>
  </conditionalFormatting>
  <conditionalFormatting sqref="I1323:K1324 M1323:M1324 I1325:J1325 I1326:K1326 M1327">
    <cfRule type="expression" dxfId="17498" priority="3060">
      <formula>$H1323="ETAPA"</formula>
    </cfRule>
  </conditionalFormatting>
  <conditionalFormatting sqref="I1337:K1338 I1340:K1340 I1339:J1339">
    <cfRule type="expression" dxfId="17497" priority="3130">
      <formula>$H1337="SUBETAPA"</formula>
    </cfRule>
  </conditionalFormatting>
  <conditionalFormatting sqref="I1337:K1338 M1337:M1338 I1339:J1339 I1340:K1340 M1340:M1341">
    <cfRule type="expression" dxfId="17496" priority="3129">
      <formula>$H1337="ETAPA"</formula>
    </cfRule>
  </conditionalFormatting>
  <conditionalFormatting sqref="I1351:K1352 I1354:K1354 I1353:J1353">
    <cfRule type="expression" dxfId="17495" priority="86723">
      <formula>$H1351="SUBETAPA"</formula>
    </cfRule>
  </conditionalFormatting>
  <conditionalFormatting sqref="I1351:K1352 M1351:M1352 I1353:J1353 I1354:K1354 M1354:M1355">
    <cfRule type="expression" dxfId="17494" priority="86722">
      <formula>$H1351="ETAPA"</formula>
    </cfRule>
  </conditionalFormatting>
  <conditionalFormatting sqref="I26:L27">
    <cfRule type="expression" dxfId="17493" priority="50677">
      <formula>$H26="SUBETAPA"</formula>
    </cfRule>
  </conditionalFormatting>
  <conditionalFormatting sqref="I42:L43">
    <cfRule type="expression" dxfId="17492" priority="50499">
      <formula>$H42="SUBETAPA"</formula>
    </cfRule>
  </conditionalFormatting>
  <conditionalFormatting sqref="J32">
    <cfRule type="expression" dxfId="17491" priority="50636">
      <formula>$H32="CÉLULA CONSTRUTIVA"</formula>
    </cfRule>
    <cfRule type="expression" dxfId="17490" priority="50637">
      <formula>$H32="SUBETAPA"</formula>
    </cfRule>
  </conditionalFormatting>
  <conditionalFormatting sqref="J35:J36 H38:J38">
    <cfRule type="expression" dxfId="17489" priority="50566">
      <formula>$H35="SUBETAPA"</formula>
    </cfRule>
  </conditionalFormatting>
  <conditionalFormatting sqref="J35:J36 J38">
    <cfRule type="expression" dxfId="17488" priority="50564">
      <formula>$H35="CÉLULA CONSTRUTIVA"</formula>
    </cfRule>
  </conditionalFormatting>
  <conditionalFormatting sqref="J37">
    <cfRule type="expression" dxfId="17487" priority="46679">
      <formula>$H37="CÉLULA CONSTRUTIVA"</formula>
    </cfRule>
    <cfRule type="expression" dxfId="17486" priority="46680">
      <formula>$H37="ETAPA"</formula>
    </cfRule>
    <cfRule type="expression" dxfId="17485" priority="46681">
      <formula>$H37="SUBETAPA"</formula>
    </cfRule>
  </conditionalFormatting>
  <conditionalFormatting sqref="J38 H35:J36">
    <cfRule type="expression" dxfId="17484" priority="50565">
      <formula>$H35="ETAPA"</formula>
    </cfRule>
  </conditionalFormatting>
  <conditionalFormatting sqref="J40">
    <cfRule type="expression" dxfId="17483" priority="46089">
      <formula>$H40="CÉLULA CONSTRUTIVA"</formula>
    </cfRule>
    <cfRule type="expression" dxfId="17482" priority="46090">
      <formula>$H40="SUBETAPA"</formula>
    </cfRule>
    <cfRule type="expression" dxfId="17481" priority="46091">
      <formula>$H40="ETAPA"</formula>
    </cfRule>
  </conditionalFormatting>
  <conditionalFormatting sqref="J45">
    <cfRule type="expression" dxfId="17480" priority="46421">
      <formula>$H45="CÉLULA CONSTRUTIVA"</formula>
    </cfRule>
    <cfRule type="expression" dxfId="17479" priority="46422">
      <formula>$H45="ETAPA"</formula>
    </cfRule>
    <cfRule type="expression" dxfId="17478" priority="46423">
      <formula>$H45="SUBETAPA"</formula>
    </cfRule>
  </conditionalFormatting>
  <conditionalFormatting sqref="J46">
    <cfRule type="expression" dxfId="17477" priority="3989">
      <formula>$H46="CÉLULA CONSTRUTIVA"</formula>
    </cfRule>
    <cfRule type="expression" dxfId="17476" priority="3990">
      <formula>$H46="ETAPA"</formula>
    </cfRule>
    <cfRule type="expression" dxfId="17475" priority="3991">
      <formula>$H46="SUBETAPA"</formula>
    </cfRule>
  </conditionalFormatting>
  <conditionalFormatting sqref="J50">
    <cfRule type="expression" dxfId="17474" priority="50458">
      <formula>$H50="CÉLULA CONSTRUTIVA"</formula>
    </cfRule>
    <cfRule type="expression" dxfId="17473" priority="50459">
      <formula>$H50="SUBETAPA"</formula>
    </cfRule>
  </conditionalFormatting>
  <conditionalFormatting sqref="J61">
    <cfRule type="expression" dxfId="17472" priority="46086">
      <formula>$H61="CÉLULA CONSTRUTIVA"</formula>
    </cfRule>
    <cfRule type="expression" dxfId="17471" priority="46087">
      <formula>$H61="SUBETAPA"</formula>
    </cfRule>
    <cfRule type="expression" dxfId="17470" priority="46088">
      <formula>$H61="ETAPA"</formula>
    </cfRule>
  </conditionalFormatting>
  <conditionalFormatting sqref="J88">
    <cfRule type="expression" dxfId="17469" priority="46080">
      <formula>$H88="CÉLULA CONSTRUTIVA"</formula>
    </cfRule>
    <cfRule type="expression" dxfId="17468" priority="46081">
      <formula>$H88="SUBETAPA"</formula>
    </cfRule>
    <cfRule type="expression" dxfId="17467" priority="46082">
      <formula>$H88="ETAPA"</formula>
    </cfRule>
  </conditionalFormatting>
  <conditionalFormatting sqref="J90">
    <cfRule type="expression" dxfId="17466" priority="46083">
      <formula>$H90="CÉLULA CONSTRUTIVA"</formula>
    </cfRule>
    <cfRule type="expression" dxfId="17465" priority="46084">
      <formula>$H90="SUBETAPA"</formula>
    </cfRule>
    <cfRule type="expression" dxfId="17464" priority="46085">
      <formula>$H90="ETAPA"</formula>
    </cfRule>
  </conditionalFormatting>
  <conditionalFormatting sqref="J157">
    <cfRule type="expression" dxfId="17463" priority="49690">
      <formula>$H157="CÉLULA CONSTRUTIVA"</formula>
    </cfRule>
    <cfRule type="expression" dxfId="17462" priority="49691">
      <formula>$H157="SUBETAPA"</formula>
    </cfRule>
    <cfRule type="expression" dxfId="17461" priority="49692">
      <formula>$H157="ETAPA"</formula>
    </cfRule>
  </conditionalFormatting>
  <conditionalFormatting sqref="J167">
    <cfRule type="expression" dxfId="17460" priority="49604">
      <formula>$H167="CÉLULA CONSTRUTIVA"</formula>
    </cfRule>
    <cfRule type="expression" dxfId="17459" priority="49605">
      <formula>$H167="SUBETAPA"</formula>
    </cfRule>
    <cfRule type="expression" dxfId="17458" priority="49606">
      <formula>$H167="ETAPA"</formula>
    </cfRule>
  </conditionalFormatting>
  <conditionalFormatting sqref="J303">
    <cfRule type="expression" dxfId="17457" priority="46252">
      <formula>$H303="CÉLULA CONSTRUTIVA"</formula>
    </cfRule>
    <cfRule type="expression" dxfId="17456" priority="46253">
      <formula>$H303="SUBETAPA"</formula>
    </cfRule>
    <cfRule type="expression" dxfId="17455" priority="46254">
      <formula>$H303="ETAPA"</formula>
    </cfRule>
  </conditionalFormatting>
  <conditionalFormatting sqref="J308">
    <cfRule type="expression" dxfId="17454" priority="46854">
      <formula>$H308="CÉLULA CONSTRUTIVA"</formula>
    </cfRule>
    <cfRule type="expression" dxfId="17453" priority="46855">
      <formula>$H308="SUBETAPA"</formula>
    </cfRule>
    <cfRule type="expression" dxfId="17452" priority="46856">
      <formula>$H308="ETAPA"</formula>
    </cfRule>
  </conditionalFormatting>
  <conditionalFormatting sqref="J317">
    <cfRule type="expression" dxfId="17451" priority="48361">
      <formula>$H317="CÉLULA CONSTRUTIVA"</formula>
    </cfRule>
    <cfRule type="expression" dxfId="17450" priority="48362">
      <formula>$H317="SUBETAPA"</formula>
    </cfRule>
    <cfRule type="expression" dxfId="17449" priority="48363">
      <formula>$H317="ETAPA"</formula>
    </cfRule>
  </conditionalFormatting>
  <conditionalFormatting sqref="J321">
    <cfRule type="expression" dxfId="17448" priority="48275">
      <formula>$H321="CÉLULA CONSTRUTIVA"</formula>
    </cfRule>
    <cfRule type="expression" dxfId="17447" priority="48276">
      <formula>$H321="SUBETAPA"</formula>
    </cfRule>
    <cfRule type="expression" dxfId="17446" priority="48277">
      <formula>$H321="ETAPA"</formula>
    </cfRule>
  </conditionalFormatting>
  <conditionalFormatting sqref="J325">
    <cfRule type="expression" dxfId="17445" priority="48189">
      <formula>$H325="CÉLULA CONSTRUTIVA"</formula>
    </cfRule>
    <cfRule type="expression" dxfId="17444" priority="48190">
      <formula>$H325="SUBETAPA"</formula>
    </cfRule>
    <cfRule type="expression" dxfId="17443" priority="48191">
      <formula>$H325="ETAPA"</formula>
    </cfRule>
  </conditionalFormatting>
  <conditionalFormatting sqref="J331">
    <cfRule type="expression" dxfId="17442" priority="48106">
      <formula>$H331="CÉLULA CONSTRUTIVA"</formula>
    </cfRule>
    <cfRule type="expression" dxfId="17441" priority="48107">
      <formula>$H331="SUBETAPA"</formula>
    </cfRule>
    <cfRule type="expression" dxfId="17440" priority="48108">
      <formula>$H331="ETAPA"</formula>
    </cfRule>
  </conditionalFormatting>
  <conditionalFormatting sqref="J335">
    <cfRule type="expression" dxfId="17439" priority="48024">
      <formula>$H335="CÉLULA CONSTRUTIVA"</formula>
    </cfRule>
    <cfRule type="expression" dxfId="17438" priority="48025">
      <formula>$H335="SUBETAPA"</formula>
    </cfRule>
    <cfRule type="expression" dxfId="17437" priority="48026">
      <formula>$H335="ETAPA"</formula>
    </cfRule>
  </conditionalFormatting>
  <conditionalFormatting sqref="J339">
    <cfRule type="expression" dxfId="17436" priority="47942">
      <formula>$H339="CÉLULA CONSTRUTIVA"</formula>
    </cfRule>
    <cfRule type="expression" dxfId="17435" priority="47943">
      <formula>$H339="SUBETAPA"</formula>
    </cfRule>
    <cfRule type="expression" dxfId="17434" priority="47944">
      <formula>$H339="ETAPA"</formula>
    </cfRule>
  </conditionalFormatting>
  <conditionalFormatting sqref="J343">
    <cfRule type="expression" dxfId="17433" priority="47858">
      <formula>$H343="CÉLULA CONSTRUTIVA"</formula>
    </cfRule>
    <cfRule type="expression" dxfId="17432" priority="47859">
      <formula>$H343="SUBETAPA"</formula>
    </cfRule>
    <cfRule type="expression" dxfId="17431" priority="47860">
      <formula>$H343="ETAPA"</formula>
    </cfRule>
  </conditionalFormatting>
  <conditionalFormatting sqref="J350">
    <cfRule type="expression" dxfId="17430" priority="47163">
      <formula>$H350="CÉLULA CONSTRUTIVA"</formula>
    </cfRule>
    <cfRule type="expression" dxfId="17429" priority="47164">
      <formula>$H350="SUBETAPA"</formula>
    </cfRule>
    <cfRule type="expression" dxfId="17428" priority="47165">
      <formula>$H350="ETAPA"</formula>
    </cfRule>
  </conditionalFormatting>
  <conditionalFormatting sqref="J352">
    <cfRule type="expression" dxfId="17427" priority="47160">
      <formula>$H352="CÉLULA CONSTRUTIVA"</formula>
    </cfRule>
    <cfRule type="expression" dxfId="17426" priority="47161">
      <formula>$H352="SUBETAPA"</formula>
    </cfRule>
    <cfRule type="expression" dxfId="17425" priority="47162">
      <formula>$H352="ETAPA"</formula>
    </cfRule>
  </conditionalFormatting>
  <conditionalFormatting sqref="J354">
    <cfRule type="expression" dxfId="17424" priority="47157">
      <formula>$H354="CÉLULA CONSTRUTIVA"</formula>
    </cfRule>
    <cfRule type="expression" dxfId="17423" priority="47158">
      <formula>$H354="SUBETAPA"</formula>
    </cfRule>
    <cfRule type="expression" dxfId="17422" priority="47159">
      <formula>$H354="ETAPA"</formula>
    </cfRule>
  </conditionalFormatting>
  <conditionalFormatting sqref="J356">
    <cfRule type="expression" dxfId="17421" priority="47154">
      <formula>$H356="CÉLULA CONSTRUTIVA"</formula>
    </cfRule>
    <cfRule type="expression" dxfId="17420" priority="47155">
      <formula>$H356="SUBETAPA"</formula>
    </cfRule>
    <cfRule type="expression" dxfId="17419" priority="47156">
      <formula>$H356="ETAPA"</formula>
    </cfRule>
  </conditionalFormatting>
  <conditionalFormatting sqref="J358">
    <cfRule type="expression" dxfId="17418" priority="47151">
      <formula>$H358="CÉLULA CONSTRUTIVA"</formula>
    </cfRule>
    <cfRule type="expression" dxfId="17417" priority="47152">
      <formula>$H358="SUBETAPA"</formula>
    </cfRule>
    <cfRule type="expression" dxfId="17416" priority="47153">
      <formula>$H358="ETAPA"</formula>
    </cfRule>
  </conditionalFormatting>
  <conditionalFormatting sqref="J360">
    <cfRule type="expression" dxfId="17415" priority="46157">
      <formula>$H360="CÉLULA CONSTRUTIVA"</formula>
    </cfRule>
    <cfRule type="expression" dxfId="17414" priority="46158">
      <formula>$H360="SUBETAPA"</formula>
    </cfRule>
    <cfRule type="expression" dxfId="17413" priority="46159">
      <formula>$H360="ETAPA"</formula>
    </cfRule>
  </conditionalFormatting>
  <conditionalFormatting sqref="J362">
    <cfRule type="expression" dxfId="17412" priority="47148">
      <formula>$H362="CÉLULA CONSTRUTIVA"</formula>
    </cfRule>
    <cfRule type="expression" dxfId="17411" priority="47149">
      <formula>$H362="SUBETAPA"</formula>
    </cfRule>
    <cfRule type="expression" dxfId="17410" priority="47150">
      <formula>$H362="ETAPA"</formula>
    </cfRule>
  </conditionalFormatting>
  <conditionalFormatting sqref="J364">
    <cfRule type="expression" dxfId="17409" priority="47145">
      <formula>$H364="CÉLULA CONSTRUTIVA"</formula>
    </cfRule>
    <cfRule type="expression" dxfId="17408" priority="47146">
      <formula>$H364="SUBETAPA"</formula>
    </cfRule>
    <cfRule type="expression" dxfId="17407" priority="47147">
      <formula>$H364="ETAPA"</formula>
    </cfRule>
  </conditionalFormatting>
  <conditionalFormatting sqref="J366">
    <cfRule type="expression" dxfId="17406" priority="47142">
      <formula>$H366="CÉLULA CONSTRUTIVA"</formula>
    </cfRule>
    <cfRule type="expression" dxfId="17405" priority="47143">
      <formula>$H366="SUBETAPA"</formula>
    </cfRule>
    <cfRule type="expression" dxfId="17404" priority="47144">
      <formula>$H366="ETAPA"</formula>
    </cfRule>
  </conditionalFormatting>
  <conditionalFormatting sqref="J368">
    <cfRule type="expression" dxfId="17403" priority="47139">
      <formula>$H368="CÉLULA CONSTRUTIVA"</formula>
    </cfRule>
    <cfRule type="expression" dxfId="17402" priority="47140">
      <formula>$H368="SUBETAPA"</formula>
    </cfRule>
    <cfRule type="expression" dxfId="17401" priority="47141">
      <formula>$H368="ETAPA"</formula>
    </cfRule>
  </conditionalFormatting>
  <conditionalFormatting sqref="J370">
    <cfRule type="expression" dxfId="17400" priority="47136">
      <formula>$H370="CÉLULA CONSTRUTIVA"</formula>
    </cfRule>
    <cfRule type="expression" dxfId="17399" priority="47137">
      <formula>$H370="SUBETAPA"</formula>
    </cfRule>
    <cfRule type="expression" dxfId="17398" priority="47138">
      <formula>$H370="ETAPA"</formula>
    </cfRule>
  </conditionalFormatting>
  <conditionalFormatting sqref="J372">
    <cfRule type="expression" dxfId="17397" priority="47133">
      <formula>$H372="CÉLULA CONSTRUTIVA"</formula>
    </cfRule>
    <cfRule type="expression" dxfId="17396" priority="47134">
      <formula>$H372="SUBETAPA"</formula>
    </cfRule>
    <cfRule type="expression" dxfId="17395" priority="47135">
      <formula>$H372="ETAPA"</formula>
    </cfRule>
  </conditionalFormatting>
  <conditionalFormatting sqref="J374">
    <cfRule type="expression" dxfId="17394" priority="47130">
      <formula>$H374="CÉLULA CONSTRUTIVA"</formula>
    </cfRule>
    <cfRule type="expression" dxfId="17393" priority="47131">
      <formula>$H374="SUBETAPA"</formula>
    </cfRule>
    <cfRule type="expression" dxfId="17392" priority="47132">
      <formula>$H374="ETAPA"</formula>
    </cfRule>
  </conditionalFormatting>
  <conditionalFormatting sqref="J376">
    <cfRule type="expression" dxfId="17391" priority="47127">
      <formula>$H376="CÉLULA CONSTRUTIVA"</formula>
    </cfRule>
    <cfRule type="expression" dxfId="17390" priority="47128">
      <formula>$H376="SUBETAPA"</formula>
    </cfRule>
    <cfRule type="expression" dxfId="17389" priority="47129">
      <formula>$H376="ETAPA"</formula>
    </cfRule>
  </conditionalFormatting>
  <conditionalFormatting sqref="J378">
    <cfRule type="expression" dxfId="17388" priority="47124">
      <formula>$H378="CÉLULA CONSTRUTIVA"</formula>
    </cfRule>
    <cfRule type="expression" dxfId="17387" priority="47125">
      <formula>$H378="SUBETAPA"</formula>
    </cfRule>
    <cfRule type="expression" dxfId="17386" priority="47126">
      <formula>$H378="ETAPA"</formula>
    </cfRule>
  </conditionalFormatting>
  <conditionalFormatting sqref="J389">
    <cfRule type="expression" dxfId="17385" priority="99333">
      <formula>$H389="SUBETAPA"</formula>
    </cfRule>
    <cfRule type="expression" dxfId="17384" priority="99334">
      <formula>$H389="CÉLULA CONSTRUTIVA"</formula>
    </cfRule>
  </conditionalFormatting>
  <conditionalFormatting sqref="J393">
    <cfRule type="expression" dxfId="17383" priority="7586">
      <formula>$H393="SUBETAPA"</formula>
    </cfRule>
    <cfRule type="expression" dxfId="17382" priority="7587">
      <formula>$H393="CÉLULA CONSTRUTIVA"</formula>
    </cfRule>
  </conditionalFormatting>
  <conditionalFormatting sqref="J396">
    <cfRule type="expression" dxfId="17381" priority="99287">
      <formula>$H396="SUBETAPA"</formula>
    </cfRule>
    <cfRule type="expression" dxfId="17380" priority="99288">
      <formula>$H396="CÉLULA CONSTRUTIVA"</formula>
    </cfRule>
  </conditionalFormatting>
  <conditionalFormatting sqref="J397">
    <cfRule type="expression" dxfId="17379" priority="99289">
      <formula>$H397="SUBETAPA"</formula>
    </cfRule>
    <cfRule type="expression" dxfId="17378" priority="99290">
      <formula>$H397="CÉLULA CONSTRUTIVA"</formula>
    </cfRule>
  </conditionalFormatting>
  <conditionalFormatting sqref="J398">
    <cfRule type="expression" dxfId="17377" priority="7528">
      <formula>$H398="SUBETAPA"</formula>
    </cfRule>
    <cfRule type="expression" dxfId="17376" priority="7529">
      <formula>$H398="CÉLULA CONSTRUTIVA"</formula>
    </cfRule>
    <cfRule type="expression" dxfId="17375" priority="7530">
      <formula>$H398="ETAPA"</formula>
    </cfRule>
  </conditionalFormatting>
  <conditionalFormatting sqref="J406">
    <cfRule type="expression" dxfId="17374" priority="99428">
      <formula>$H406="SUBETAPA"</formula>
    </cfRule>
    <cfRule type="expression" dxfId="17373" priority="99429">
      <formula>$H406="CÉLULA CONSTRUTIVA"</formula>
    </cfRule>
  </conditionalFormatting>
  <conditionalFormatting sqref="J409">
    <cfRule type="expression" dxfId="17372" priority="7549">
      <formula>$H409="SUBETAPA"</formula>
    </cfRule>
    <cfRule type="expression" dxfId="17371" priority="7550">
      <formula>$H409="CÉLULA CONSTRUTIVA"</formula>
    </cfRule>
  </conditionalFormatting>
  <conditionalFormatting sqref="J409:J410">
    <cfRule type="expression" dxfId="17370" priority="7551">
      <formula>$H409="SUBETAPA"</formula>
    </cfRule>
    <cfRule type="expression" dxfId="17369" priority="7552">
      <formula>$H409="CÉLULA CONSTRUTIVA"</formula>
    </cfRule>
  </conditionalFormatting>
  <conditionalFormatting sqref="J413">
    <cfRule type="expression" dxfId="17368" priority="99382">
      <formula>$H413="SUBETAPA"</formula>
    </cfRule>
    <cfRule type="expression" dxfId="17367" priority="99383">
      <formula>$H413="CÉLULA CONSTRUTIVA"</formula>
    </cfRule>
  </conditionalFormatting>
  <conditionalFormatting sqref="J414">
    <cfRule type="expression" dxfId="17366" priority="99384">
      <formula>$H414="SUBETAPA"</formula>
    </cfRule>
    <cfRule type="expression" dxfId="17365" priority="99385">
      <formula>$H414="CÉLULA CONSTRUTIVA"</formula>
    </cfRule>
  </conditionalFormatting>
  <conditionalFormatting sqref="J415">
    <cfRule type="expression" dxfId="17364" priority="7531">
      <formula>$H415="SUBETAPA"</formula>
    </cfRule>
    <cfRule type="expression" dxfId="17363" priority="7532">
      <formula>$H415="CÉLULA CONSTRUTIVA"</formula>
    </cfRule>
    <cfRule type="expression" dxfId="17362" priority="7533">
      <formula>$H415="ETAPA"</formula>
    </cfRule>
  </conditionalFormatting>
  <conditionalFormatting sqref="J423">
    <cfRule type="expression" dxfId="17361" priority="99523">
      <formula>$H423="SUBETAPA"</formula>
    </cfRule>
    <cfRule type="expression" dxfId="17360" priority="99524">
      <formula>$H423="CÉLULA CONSTRUTIVA"</formula>
    </cfRule>
  </conditionalFormatting>
  <conditionalFormatting sqref="J426">
    <cfRule type="expression" dxfId="17359" priority="7499">
      <formula>$H426="SUBETAPA"</formula>
    </cfRule>
    <cfRule type="expression" dxfId="17358" priority="7500">
      <formula>$H426="CÉLULA CONSTRUTIVA"</formula>
    </cfRule>
  </conditionalFormatting>
  <conditionalFormatting sqref="J429">
    <cfRule type="expression" dxfId="17357" priority="99477">
      <formula>$H429="SUBETAPA"</formula>
    </cfRule>
    <cfRule type="expression" dxfId="17356" priority="99478">
      <formula>$H429="CÉLULA CONSTRUTIVA"</formula>
    </cfRule>
  </conditionalFormatting>
  <conditionalFormatting sqref="J430">
    <cfRule type="expression" dxfId="17355" priority="99479">
      <formula>$H430="SUBETAPA"</formula>
    </cfRule>
    <cfRule type="expression" dxfId="17354" priority="99480">
      <formula>$H430="CÉLULA CONSTRUTIVA"</formula>
    </cfRule>
  </conditionalFormatting>
  <conditionalFormatting sqref="J431">
    <cfRule type="expression" dxfId="17353" priority="7504">
      <formula>$H431="SUBETAPA"</formula>
    </cfRule>
    <cfRule type="expression" dxfId="17352" priority="7505">
      <formula>$H431="CÉLULA CONSTRUTIVA"</formula>
    </cfRule>
    <cfRule type="expression" dxfId="17351" priority="7506">
      <formula>$H431="ETAPA"</formula>
    </cfRule>
  </conditionalFormatting>
  <conditionalFormatting sqref="J439">
    <cfRule type="expression" dxfId="17350" priority="99618">
      <formula>$H439="SUBETAPA"</formula>
    </cfRule>
    <cfRule type="expression" dxfId="17349" priority="99619">
      <formula>$H439="CÉLULA CONSTRUTIVA"</formula>
    </cfRule>
  </conditionalFormatting>
  <conditionalFormatting sqref="J442">
    <cfRule type="expression" dxfId="17348" priority="7492">
      <formula>$H442="SUBETAPA"</formula>
    </cfRule>
    <cfRule type="expression" dxfId="17347" priority="7493">
      <formula>$H442="CÉLULA CONSTRUTIVA"</formula>
    </cfRule>
  </conditionalFormatting>
  <conditionalFormatting sqref="J445">
    <cfRule type="expression" dxfId="17346" priority="99572">
      <formula>$H445="SUBETAPA"</formula>
    </cfRule>
    <cfRule type="expression" dxfId="17345" priority="99573">
      <formula>$H445="CÉLULA CONSTRUTIVA"</formula>
    </cfRule>
  </conditionalFormatting>
  <conditionalFormatting sqref="J446">
    <cfRule type="expression" dxfId="17344" priority="99574">
      <formula>$H446="SUBETAPA"</formula>
    </cfRule>
    <cfRule type="expression" dxfId="17343" priority="99575">
      <formula>$H446="CÉLULA CONSTRUTIVA"</formula>
    </cfRule>
  </conditionalFormatting>
  <conditionalFormatting sqref="J447">
    <cfRule type="expression" dxfId="17342" priority="7466">
      <formula>$H447="SUBETAPA"</formula>
    </cfRule>
    <cfRule type="expression" dxfId="17341" priority="7467">
      <formula>$H447="CÉLULA CONSTRUTIVA"</formula>
    </cfRule>
    <cfRule type="expression" dxfId="17340" priority="7468">
      <formula>$H447="ETAPA"</formula>
    </cfRule>
  </conditionalFormatting>
  <conditionalFormatting sqref="J455">
    <cfRule type="expression" dxfId="17339" priority="99713">
      <formula>$H455="SUBETAPA"</formula>
    </cfRule>
    <cfRule type="expression" dxfId="17338" priority="99714">
      <formula>$H455="CÉLULA CONSTRUTIVA"</formula>
    </cfRule>
  </conditionalFormatting>
  <conditionalFormatting sqref="J458">
    <cfRule type="expression" dxfId="17337" priority="7461">
      <formula>$H458="SUBETAPA"</formula>
    </cfRule>
    <cfRule type="expression" dxfId="17336" priority="7462">
      <formula>$H458="CÉLULA CONSTRUTIVA"</formula>
    </cfRule>
  </conditionalFormatting>
  <conditionalFormatting sqref="J462">
    <cfRule type="expression" dxfId="17335" priority="99667">
      <formula>$H462="SUBETAPA"</formula>
    </cfRule>
    <cfRule type="expression" dxfId="17334" priority="99668">
      <formula>$H462="CÉLULA CONSTRUTIVA"</formula>
    </cfRule>
  </conditionalFormatting>
  <conditionalFormatting sqref="J463">
    <cfRule type="expression" dxfId="17333" priority="99669">
      <formula>$H463="SUBETAPA"</formula>
    </cfRule>
    <cfRule type="expression" dxfId="17332" priority="99670">
      <formula>$H463="CÉLULA CONSTRUTIVA"</formula>
    </cfRule>
  </conditionalFormatting>
  <conditionalFormatting sqref="J464">
    <cfRule type="expression" dxfId="17331" priority="7435">
      <formula>$H464="SUBETAPA"</formula>
    </cfRule>
    <cfRule type="expression" dxfId="17330" priority="7436">
      <formula>$H464="CÉLULA CONSTRUTIVA"</formula>
    </cfRule>
    <cfRule type="expression" dxfId="17329" priority="7437">
      <formula>$H464="ETAPA"</formula>
    </cfRule>
  </conditionalFormatting>
  <conditionalFormatting sqref="J472">
    <cfRule type="expression" dxfId="17328" priority="99808">
      <formula>$H472="SUBETAPA"</formula>
    </cfRule>
    <cfRule type="expression" dxfId="17327" priority="99809">
      <formula>$H472="CÉLULA CONSTRUTIVA"</formula>
    </cfRule>
  </conditionalFormatting>
  <conditionalFormatting sqref="J475">
    <cfRule type="expression" dxfId="17326" priority="7430">
      <formula>$H475="SUBETAPA"</formula>
    </cfRule>
    <cfRule type="expression" dxfId="17325" priority="7431">
      <formula>$H475="CÉLULA CONSTRUTIVA"</formula>
    </cfRule>
  </conditionalFormatting>
  <conditionalFormatting sqref="J479">
    <cfRule type="expression" dxfId="17324" priority="99762">
      <formula>$H479="SUBETAPA"</formula>
    </cfRule>
    <cfRule type="expression" dxfId="17323" priority="99763">
      <formula>$H479="CÉLULA CONSTRUTIVA"</formula>
    </cfRule>
  </conditionalFormatting>
  <conditionalFormatting sqref="J480">
    <cfRule type="expression" dxfId="17322" priority="99764">
      <formula>$H480="SUBETAPA"</formula>
    </cfRule>
    <cfRule type="expression" dxfId="17321" priority="99765">
      <formula>$H480="CÉLULA CONSTRUTIVA"</formula>
    </cfRule>
  </conditionalFormatting>
  <conditionalFormatting sqref="J481">
    <cfRule type="expression" dxfId="17320" priority="7404">
      <formula>$H481="SUBETAPA"</formula>
    </cfRule>
    <cfRule type="expression" dxfId="17319" priority="7405">
      <formula>$H481="CÉLULA CONSTRUTIVA"</formula>
    </cfRule>
    <cfRule type="expression" dxfId="17318" priority="7406">
      <formula>$H481="ETAPA"</formula>
    </cfRule>
  </conditionalFormatting>
  <conditionalFormatting sqref="J489">
    <cfRule type="expression" dxfId="17317" priority="99903">
      <formula>$H489="SUBETAPA"</formula>
    </cfRule>
    <cfRule type="expression" dxfId="17316" priority="99904">
      <formula>$H489="CÉLULA CONSTRUTIVA"</formula>
    </cfRule>
  </conditionalFormatting>
  <conditionalFormatting sqref="J492">
    <cfRule type="expression" dxfId="17315" priority="7399">
      <formula>$H492="SUBETAPA"</formula>
    </cfRule>
    <cfRule type="expression" dxfId="17314" priority="7400">
      <formula>$H492="CÉLULA CONSTRUTIVA"</formula>
    </cfRule>
  </conditionalFormatting>
  <conditionalFormatting sqref="J496">
    <cfRule type="expression" dxfId="17313" priority="99857">
      <formula>$H496="SUBETAPA"</formula>
    </cfRule>
    <cfRule type="expression" dxfId="17312" priority="99858">
      <formula>$H496="CÉLULA CONSTRUTIVA"</formula>
    </cfRule>
  </conditionalFormatting>
  <conditionalFormatting sqref="J497">
    <cfRule type="expression" dxfId="17311" priority="99859">
      <formula>$H497="SUBETAPA"</formula>
    </cfRule>
    <cfRule type="expression" dxfId="17310" priority="99860">
      <formula>$H497="CÉLULA CONSTRUTIVA"</formula>
    </cfRule>
  </conditionalFormatting>
  <conditionalFormatting sqref="J498">
    <cfRule type="expression" dxfId="17309" priority="7373">
      <formula>$H498="SUBETAPA"</formula>
    </cfRule>
    <cfRule type="expression" dxfId="17308" priority="7374">
      <formula>$H498="CÉLULA CONSTRUTIVA"</formula>
    </cfRule>
    <cfRule type="expression" dxfId="17307" priority="7375">
      <formula>$H498="ETAPA"</formula>
    </cfRule>
  </conditionalFormatting>
  <conditionalFormatting sqref="J506">
    <cfRule type="expression" dxfId="17306" priority="99998">
      <formula>$H506="SUBETAPA"</formula>
    </cfRule>
    <cfRule type="expression" dxfId="17305" priority="99999">
      <formula>$H506="CÉLULA CONSTRUTIVA"</formula>
    </cfRule>
  </conditionalFormatting>
  <conditionalFormatting sqref="J510">
    <cfRule type="expression" dxfId="17304" priority="7368">
      <formula>$H510="SUBETAPA"</formula>
    </cfRule>
    <cfRule type="expression" dxfId="17303" priority="7369">
      <formula>$H510="CÉLULA CONSTRUTIVA"</formula>
    </cfRule>
  </conditionalFormatting>
  <conditionalFormatting sqref="J514">
    <cfRule type="expression" dxfId="17302" priority="99952">
      <formula>$H514="SUBETAPA"</formula>
    </cfRule>
    <cfRule type="expression" dxfId="17301" priority="99953">
      <formula>$H514="CÉLULA CONSTRUTIVA"</formula>
    </cfRule>
  </conditionalFormatting>
  <conditionalFormatting sqref="J515">
    <cfRule type="expression" dxfId="17300" priority="99954">
      <formula>$H515="SUBETAPA"</formula>
    </cfRule>
    <cfRule type="expression" dxfId="17299" priority="99955">
      <formula>$H515="CÉLULA CONSTRUTIVA"</formula>
    </cfRule>
  </conditionalFormatting>
  <conditionalFormatting sqref="J516">
    <cfRule type="expression" dxfId="17298" priority="7342">
      <formula>$H516="SUBETAPA"</formula>
    </cfRule>
    <cfRule type="expression" dxfId="17297" priority="7343">
      <formula>$H516="CÉLULA CONSTRUTIVA"</formula>
    </cfRule>
    <cfRule type="expression" dxfId="17296" priority="7344">
      <formula>$H516="ETAPA"</formula>
    </cfRule>
  </conditionalFormatting>
  <conditionalFormatting sqref="J524">
    <cfRule type="expression" dxfId="17295" priority="100093">
      <formula>$H524="SUBETAPA"</formula>
    </cfRule>
    <cfRule type="expression" dxfId="17294" priority="100094">
      <formula>$H524="CÉLULA CONSTRUTIVA"</formula>
    </cfRule>
  </conditionalFormatting>
  <conditionalFormatting sqref="J529">
    <cfRule type="expression" dxfId="17293" priority="7337">
      <formula>$H529="SUBETAPA"</formula>
    </cfRule>
    <cfRule type="expression" dxfId="17292" priority="7338">
      <formula>$H529="CÉLULA CONSTRUTIVA"</formula>
    </cfRule>
  </conditionalFormatting>
  <conditionalFormatting sqref="J532">
    <cfRule type="expression" dxfId="17291" priority="100047">
      <formula>$H532="SUBETAPA"</formula>
    </cfRule>
    <cfRule type="expression" dxfId="17290" priority="100048">
      <formula>$H532="CÉLULA CONSTRUTIVA"</formula>
    </cfRule>
  </conditionalFormatting>
  <conditionalFormatting sqref="J533">
    <cfRule type="expression" dxfId="17289" priority="100049">
      <formula>$H533="SUBETAPA"</formula>
    </cfRule>
    <cfRule type="expression" dxfId="17288" priority="100050">
      <formula>$H533="CÉLULA CONSTRUTIVA"</formula>
    </cfRule>
  </conditionalFormatting>
  <conditionalFormatting sqref="J534">
    <cfRule type="expression" dxfId="17287" priority="7311">
      <formula>$H534="SUBETAPA"</formula>
    </cfRule>
    <cfRule type="expression" dxfId="17286" priority="7312">
      <formula>$H534="CÉLULA CONSTRUTIVA"</formula>
    </cfRule>
    <cfRule type="expression" dxfId="17285" priority="7313">
      <formula>$H534="ETAPA"</formula>
    </cfRule>
  </conditionalFormatting>
  <conditionalFormatting sqref="J542">
    <cfRule type="expression" dxfId="17284" priority="100188">
      <formula>$H542="SUBETAPA"</formula>
    </cfRule>
    <cfRule type="expression" dxfId="17283" priority="100189">
      <formula>$H542="CÉLULA CONSTRUTIVA"</formula>
    </cfRule>
  </conditionalFormatting>
  <conditionalFormatting sqref="J547">
    <cfRule type="expression" dxfId="17282" priority="7306">
      <formula>$H547="SUBETAPA"</formula>
    </cfRule>
    <cfRule type="expression" dxfId="17281" priority="7307">
      <formula>$H547="CÉLULA CONSTRUTIVA"</formula>
    </cfRule>
  </conditionalFormatting>
  <conditionalFormatting sqref="J550">
    <cfRule type="expression" dxfId="17280" priority="100142">
      <formula>$H550="SUBETAPA"</formula>
    </cfRule>
    <cfRule type="expression" dxfId="17279" priority="100143">
      <formula>$H550="CÉLULA CONSTRUTIVA"</formula>
    </cfRule>
  </conditionalFormatting>
  <conditionalFormatting sqref="J551">
    <cfRule type="expression" dxfId="17278" priority="100144">
      <formula>$H551="SUBETAPA"</formula>
    </cfRule>
    <cfRule type="expression" dxfId="17277" priority="100145">
      <formula>$H551="CÉLULA CONSTRUTIVA"</formula>
    </cfRule>
  </conditionalFormatting>
  <conditionalFormatting sqref="J552">
    <cfRule type="expression" dxfId="17276" priority="7280">
      <formula>$H552="SUBETAPA"</formula>
    </cfRule>
    <cfRule type="expression" dxfId="17275" priority="7281">
      <formula>$H552="CÉLULA CONSTRUTIVA"</formula>
    </cfRule>
    <cfRule type="expression" dxfId="17274" priority="7282">
      <formula>$H552="ETAPA"</formula>
    </cfRule>
  </conditionalFormatting>
  <conditionalFormatting sqref="J560">
    <cfRule type="expression" dxfId="17273" priority="100283">
      <formula>$H560="SUBETAPA"</formula>
    </cfRule>
    <cfRule type="expression" dxfId="17272" priority="100284">
      <formula>$H560="CÉLULA CONSTRUTIVA"</formula>
    </cfRule>
  </conditionalFormatting>
  <conditionalFormatting sqref="J565">
    <cfRule type="expression" dxfId="17271" priority="7275">
      <formula>$H565="SUBETAPA"</formula>
    </cfRule>
    <cfRule type="expression" dxfId="17270" priority="7276">
      <formula>$H565="CÉLULA CONSTRUTIVA"</formula>
    </cfRule>
  </conditionalFormatting>
  <conditionalFormatting sqref="J568">
    <cfRule type="expression" dxfId="17269" priority="100237">
      <formula>$H568="SUBETAPA"</formula>
    </cfRule>
    <cfRule type="expression" dxfId="17268" priority="100238">
      <formula>$H568="CÉLULA CONSTRUTIVA"</formula>
    </cfRule>
  </conditionalFormatting>
  <conditionalFormatting sqref="J569">
    <cfRule type="expression" dxfId="17267" priority="100239">
      <formula>$H569="SUBETAPA"</formula>
    </cfRule>
    <cfRule type="expression" dxfId="17266" priority="100240">
      <formula>$H569="CÉLULA CONSTRUTIVA"</formula>
    </cfRule>
  </conditionalFormatting>
  <conditionalFormatting sqref="J570">
    <cfRule type="expression" dxfId="17265" priority="7249">
      <formula>$H570="SUBETAPA"</formula>
    </cfRule>
    <cfRule type="expression" dxfId="17264" priority="7250">
      <formula>$H570="CÉLULA CONSTRUTIVA"</formula>
    </cfRule>
    <cfRule type="expression" dxfId="17263" priority="7251">
      <formula>$H570="ETAPA"</formula>
    </cfRule>
  </conditionalFormatting>
  <conditionalFormatting sqref="J578">
    <cfRule type="expression" dxfId="17262" priority="100378">
      <formula>$H578="SUBETAPA"</formula>
    </cfRule>
    <cfRule type="expression" dxfId="17261" priority="100379">
      <formula>$H578="CÉLULA CONSTRUTIVA"</formula>
    </cfRule>
  </conditionalFormatting>
  <conditionalFormatting sqref="J584">
    <cfRule type="expression" dxfId="17260" priority="100332">
      <formula>$H584="SUBETAPA"</formula>
    </cfRule>
    <cfRule type="expression" dxfId="17259" priority="100333">
      <formula>$H584="CÉLULA CONSTRUTIVA"</formula>
    </cfRule>
  </conditionalFormatting>
  <conditionalFormatting sqref="J585">
    <cfRule type="expression" dxfId="17258" priority="100334">
      <formula>$H585="SUBETAPA"</formula>
    </cfRule>
    <cfRule type="expression" dxfId="17257" priority="100335">
      <formula>$H585="CÉLULA CONSTRUTIVA"</formula>
    </cfRule>
  </conditionalFormatting>
  <conditionalFormatting sqref="J586">
    <cfRule type="expression" dxfId="17256" priority="7218">
      <formula>$H586="SUBETAPA"</formula>
    </cfRule>
    <cfRule type="expression" dxfId="17255" priority="7219">
      <formula>$H586="CÉLULA CONSTRUTIVA"</formula>
    </cfRule>
    <cfRule type="expression" dxfId="17254" priority="7220">
      <formula>$H586="ETAPA"</formula>
    </cfRule>
  </conditionalFormatting>
  <conditionalFormatting sqref="J595">
    <cfRule type="expression" dxfId="17253" priority="100473">
      <formula>$H595="SUBETAPA"</formula>
    </cfRule>
    <cfRule type="expression" dxfId="17252" priority="100474">
      <formula>$H595="CÉLULA CONSTRUTIVA"</formula>
    </cfRule>
  </conditionalFormatting>
  <conditionalFormatting sqref="J600">
    <cfRule type="expression" dxfId="17251" priority="7213">
      <formula>$H600="SUBETAPA"</formula>
    </cfRule>
    <cfRule type="expression" dxfId="17250" priority="7214">
      <formula>$H600="CÉLULA CONSTRUTIVA"</formula>
    </cfRule>
  </conditionalFormatting>
  <conditionalFormatting sqref="J603">
    <cfRule type="expression" dxfId="17249" priority="100427">
      <formula>$H603="SUBETAPA"</formula>
    </cfRule>
    <cfRule type="expression" dxfId="17248" priority="100428">
      <formula>$H603="CÉLULA CONSTRUTIVA"</formula>
    </cfRule>
  </conditionalFormatting>
  <conditionalFormatting sqref="J604">
    <cfRule type="expression" dxfId="17247" priority="100429">
      <formula>$H604="SUBETAPA"</formula>
    </cfRule>
    <cfRule type="expression" dxfId="17246" priority="100430">
      <formula>$H604="CÉLULA CONSTRUTIVA"</formula>
    </cfRule>
  </conditionalFormatting>
  <conditionalFormatting sqref="J605">
    <cfRule type="expression" dxfId="17245" priority="7187">
      <formula>$H605="SUBETAPA"</formula>
    </cfRule>
    <cfRule type="expression" dxfId="17244" priority="7188">
      <formula>$H605="CÉLULA CONSTRUTIVA"</formula>
    </cfRule>
    <cfRule type="expression" dxfId="17243" priority="7189">
      <formula>$H605="ETAPA"</formula>
    </cfRule>
  </conditionalFormatting>
  <conditionalFormatting sqref="J612">
    <cfRule type="expression" dxfId="17242" priority="100568">
      <formula>$H612="SUBETAPA"</formula>
    </cfRule>
    <cfRule type="expression" dxfId="17241" priority="100569">
      <formula>$H612="CÉLULA CONSTRUTIVA"</formula>
    </cfRule>
  </conditionalFormatting>
  <conditionalFormatting sqref="J615">
    <cfRule type="expression" dxfId="17240" priority="7182">
      <formula>$H615="SUBETAPA"</formula>
    </cfRule>
    <cfRule type="expression" dxfId="17239" priority="7183">
      <formula>$H615="CÉLULA CONSTRUTIVA"</formula>
    </cfRule>
  </conditionalFormatting>
  <conditionalFormatting sqref="J617">
    <cfRule type="expression" dxfId="17238" priority="100522">
      <formula>$H617="SUBETAPA"</formula>
    </cfRule>
    <cfRule type="expression" dxfId="17237" priority="100523">
      <formula>$H617="CÉLULA CONSTRUTIVA"</formula>
    </cfRule>
  </conditionalFormatting>
  <conditionalFormatting sqref="J618">
    <cfRule type="expression" dxfId="17236" priority="7156">
      <formula>$H618="SUBETAPA"</formula>
    </cfRule>
    <cfRule type="expression" dxfId="17235" priority="7157">
      <formula>$H618="CÉLULA CONSTRUTIVA"</formula>
    </cfRule>
    <cfRule type="expression" dxfId="17234" priority="7158">
      <formula>$H618="ETAPA"</formula>
    </cfRule>
  </conditionalFormatting>
  <conditionalFormatting sqref="J1369">
    <cfRule type="expression" dxfId="17233" priority="53740">
      <formula>$H1369="CÉLULA CONSTRUTIVA"</formula>
    </cfRule>
    <cfRule type="expression" dxfId="17232" priority="53741">
      <formula>$H1369="ETAPA"</formula>
    </cfRule>
    <cfRule type="expression" dxfId="17231" priority="53742">
      <formula>$H1369="SUBETAPA"</formula>
    </cfRule>
  </conditionalFormatting>
  <conditionalFormatting sqref="J1372">
    <cfRule type="expression" dxfId="17230" priority="53864">
      <formula>$H1372="CÉLULA CONSTRUTIVA"</formula>
    </cfRule>
    <cfRule type="expression" dxfId="17229" priority="53865">
      <formula>$H1372="ETAPA"</formula>
    </cfRule>
    <cfRule type="expression" dxfId="17228" priority="53866">
      <formula>$H1372="SUBETAPA"</formula>
    </cfRule>
  </conditionalFormatting>
  <conditionalFormatting sqref="J1375">
    <cfRule type="expression" dxfId="17227" priority="53988">
      <formula>$H1375="CÉLULA CONSTRUTIVA"</formula>
    </cfRule>
    <cfRule type="expression" dxfId="17226" priority="53989">
      <formula>$H1375="ETAPA"</formula>
    </cfRule>
    <cfRule type="expression" dxfId="17225" priority="53990">
      <formula>$H1375="SUBETAPA"</formula>
    </cfRule>
  </conditionalFormatting>
  <conditionalFormatting sqref="J1378">
    <cfRule type="expression" dxfId="17224" priority="54112">
      <formula>$H1378="CÉLULA CONSTRUTIVA"</formula>
    </cfRule>
    <cfRule type="expression" dxfId="17223" priority="54113">
      <formula>$H1378="ETAPA"</formula>
    </cfRule>
    <cfRule type="expression" dxfId="17222" priority="54114">
      <formula>$H1378="SUBETAPA"</formula>
    </cfRule>
  </conditionalFormatting>
  <conditionalFormatting sqref="J1381">
    <cfRule type="expression" dxfId="17221" priority="54236">
      <formula>$H1381="CÉLULA CONSTRUTIVA"</formula>
    </cfRule>
    <cfRule type="expression" dxfId="17220" priority="54237">
      <formula>$H1381="ETAPA"</formula>
    </cfRule>
    <cfRule type="expression" dxfId="17219" priority="54238">
      <formula>$H1381="SUBETAPA"</formula>
    </cfRule>
  </conditionalFormatting>
  <conditionalFormatting sqref="J1384">
    <cfRule type="expression" dxfId="17218" priority="54360">
      <formula>$H1384="CÉLULA CONSTRUTIVA"</formula>
    </cfRule>
    <cfRule type="expression" dxfId="17217" priority="54361">
      <formula>$H1384="ETAPA"</formula>
    </cfRule>
    <cfRule type="expression" dxfId="17216" priority="54362">
      <formula>$H1384="SUBETAPA"</formula>
    </cfRule>
  </conditionalFormatting>
  <conditionalFormatting sqref="J1389">
    <cfRule type="expression" dxfId="17215" priority="54484">
      <formula>$H1389="CÉLULA CONSTRUTIVA"</formula>
    </cfRule>
    <cfRule type="expression" dxfId="17214" priority="54485">
      <formula>$H1389="ETAPA"</formula>
    </cfRule>
    <cfRule type="expression" dxfId="17213" priority="54486">
      <formula>$H1389="SUBETAPA"</formula>
    </cfRule>
  </conditionalFormatting>
  <conditionalFormatting sqref="J1396">
    <cfRule type="expression" dxfId="17212" priority="54608">
      <formula>$H1396="CÉLULA CONSTRUTIVA"</formula>
    </cfRule>
    <cfRule type="expression" dxfId="17211" priority="54609">
      <formula>$H1396="ETAPA"</formula>
    </cfRule>
    <cfRule type="expression" dxfId="17210" priority="54610">
      <formula>$H1396="SUBETAPA"</formula>
    </cfRule>
  </conditionalFormatting>
  <conditionalFormatting sqref="J1403">
    <cfRule type="expression" dxfId="17209" priority="54732">
      <formula>$H1403="CÉLULA CONSTRUTIVA"</formula>
    </cfRule>
    <cfRule type="expression" dxfId="17208" priority="54733">
      <formula>$H1403="ETAPA"</formula>
    </cfRule>
    <cfRule type="expression" dxfId="17207" priority="54734">
      <formula>$H1403="SUBETAPA"</formula>
    </cfRule>
  </conditionalFormatting>
  <conditionalFormatting sqref="J1408">
    <cfRule type="expression" dxfId="17206" priority="54856">
      <formula>$H1408="CÉLULA CONSTRUTIVA"</formula>
    </cfRule>
    <cfRule type="expression" dxfId="17205" priority="54857">
      <formula>$H1408="ETAPA"</formula>
    </cfRule>
    <cfRule type="expression" dxfId="17204" priority="54858">
      <formula>$H1408="SUBETAPA"</formula>
    </cfRule>
  </conditionalFormatting>
  <conditionalFormatting sqref="J1413">
    <cfRule type="expression" dxfId="17203" priority="54980">
      <formula>$H1413="CÉLULA CONSTRUTIVA"</formula>
    </cfRule>
    <cfRule type="expression" dxfId="17202" priority="54981">
      <formula>$H1413="ETAPA"</formula>
    </cfRule>
    <cfRule type="expression" dxfId="17201" priority="54982">
      <formula>$H1413="SUBETAPA"</formula>
    </cfRule>
  </conditionalFormatting>
  <conditionalFormatting sqref="J1418">
    <cfRule type="expression" dxfId="17200" priority="55104">
      <formula>$H1418="CÉLULA CONSTRUTIVA"</formula>
    </cfRule>
    <cfRule type="expression" dxfId="17199" priority="55105">
      <formula>$H1418="ETAPA"</formula>
    </cfRule>
    <cfRule type="expression" dxfId="17198" priority="55106">
      <formula>$H1418="SUBETAPA"</formula>
    </cfRule>
  </conditionalFormatting>
  <conditionalFormatting sqref="J1421">
    <cfRule type="expression" dxfId="17197" priority="55228">
      <formula>$H1421="CÉLULA CONSTRUTIVA"</formula>
    </cfRule>
    <cfRule type="expression" dxfId="17196" priority="55229">
      <formula>$H1421="ETAPA"</formula>
    </cfRule>
    <cfRule type="expression" dxfId="17195" priority="55230">
      <formula>$H1421="SUBETAPA"</formula>
    </cfRule>
  </conditionalFormatting>
  <conditionalFormatting sqref="J1433:J1434 J1439:K1439">
    <cfRule type="expression" dxfId="17194" priority="92308">
      <formula>$H1433="SUBETAPA"</formula>
    </cfRule>
    <cfRule type="expression" dxfId="17193" priority="92309">
      <formula>$H1433="CÉLULA CONSTRUTIVA"</formula>
    </cfRule>
  </conditionalFormatting>
  <conditionalFormatting sqref="J1434">
    <cfRule type="expression" dxfId="17192" priority="4750">
      <formula>$H1434="SUBETAPA"</formula>
    </cfRule>
    <cfRule type="expression" dxfId="17191" priority="4751">
      <formula>$H1434="CÉLULA CONSTRUTIVA"</formula>
    </cfRule>
  </conditionalFormatting>
  <conditionalFormatting sqref="J1448:J1449">
    <cfRule type="expression" dxfId="17190" priority="4744">
      <formula>$H1448="SUBETAPA"</formula>
    </cfRule>
    <cfRule type="expression" dxfId="17189" priority="4745">
      <formula>$H1448="CÉLULA CONSTRUTIVA"</formula>
    </cfRule>
  </conditionalFormatting>
  <conditionalFormatting sqref="J1449">
    <cfRule type="expression" dxfId="17188" priority="4730">
      <formula>$H1449="SUBETAPA"</formula>
    </cfRule>
    <cfRule type="expression" dxfId="17187" priority="4731">
      <formula>$H1449="CÉLULA CONSTRUTIVA"</formula>
    </cfRule>
  </conditionalFormatting>
  <conditionalFormatting sqref="J1455">
    <cfRule type="expression" dxfId="17186" priority="4724">
      <formula>$H1455="SUBETAPA"</formula>
    </cfRule>
    <cfRule type="expression" dxfId="17185" priority="4725">
      <formula>$H1455="CÉLULA CONSTRUTIVA"</formula>
    </cfRule>
  </conditionalFormatting>
  <conditionalFormatting sqref="J1456">
    <cfRule type="expression" dxfId="17184" priority="4424">
      <formula>$H1456="SUBETAPA"</formula>
    </cfRule>
    <cfRule type="expression" dxfId="17183" priority="4425">
      <formula>$H1456="CÉLULA CONSTRUTIVA"</formula>
    </cfRule>
    <cfRule type="expression" dxfId="17182" priority="4428">
      <formula>$H1456="SUBETAPA"</formula>
    </cfRule>
    <cfRule type="expression" dxfId="17181" priority="4429">
      <formula>$H1456="CÉLULA CONSTRUTIVA"</formula>
    </cfRule>
  </conditionalFormatting>
  <conditionalFormatting sqref="J1462">
    <cfRule type="expression" dxfId="17180" priority="4704">
      <formula>$H1462="SUBETAPA"</formula>
    </cfRule>
    <cfRule type="expression" dxfId="17179" priority="4705">
      <formula>$H1462="CÉLULA CONSTRUTIVA"</formula>
    </cfRule>
  </conditionalFormatting>
  <conditionalFormatting sqref="J1463">
    <cfRule type="expression" dxfId="17178" priority="4388">
      <formula>$H1463="SUBETAPA"</formula>
    </cfRule>
    <cfRule type="expression" dxfId="17177" priority="4389">
      <formula>$H1463="CÉLULA CONSTRUTIVA"</formula>
    </cfRule>
    <cfRule type="expression" dxfId="17176" priority="4392">
      <formula>$H1463="SUBETAPA"</formula>
    </cfRule>
    <cfRule type="expression" dxfId="17175" priority="4393">
      <formula>$H1463="CÉLULA CONSTRUTIVA"</formula>
    </cfRule>
  </conditionalFormatting>
  <conditionalFormatting sqref="J1472">
    <cfRule type="expression" dxfId="17174" priority="4684">
      <formula>$H1472="SUBETAPA"</formula>
    </cfRule>
    <cfRule type="expression" dxfId="17173" priority="4685">
      <formula>$H1472="CÉLULA CONSTRUTIVA"</formula>
    </cfRule>
  </conditionalFormatting>
  <conditionalFormatting sqref="J1473">
    <cfRule type="expression" dxfId="17172" priority="4352">
      <formula>$H1473="SUBETAPA"</formula>
    </cfRule>
    <cfRule type="expression" dxfId="17171" priority="4353">
      <formula>$H1473="CÉLULA CONSTRUTIVA"</formula>
    </cfRule>
    <cfRule type="expression" dxfId="17170" priority="4356">
      <formula>$H1473="SUBETAPA"</formula>
    </cfRule>
    <cfRule type="expression" dxfId="17169" priority="4357">
      <formula>$H1473="CÉLULA CONSTRUTIVA"</formula>
    </cfRule>
  </conditionalFormatting>
  <conditionalFormatting sqref="J1482:J1484">
    <cfRule type="expression" dxfId="17168" priority="4341">
      <formula>$H1482="CÉLULA CONSTRUTIVA"</formula>
    </cfRule>
    <cfRule type="expression" dxfId="17167" priority="4342">
      <formula>$H1482="SUBETAPA"</formula>
    </cfRule>
    <cfRule type="expression" dxfId="17166" priority="4343">
      <formula>$H1482="ETAPA"</formula>
    </cfRule>
  </conditionalFormatting>
  <conditionalFormatting sqref="J1483:J1484">
    <cfRule type="expression" dxfId="17165" priority="4344">
      <formula>$H1483="SUBETAPA"</formula>
    </cfRule>
    <cfRule type="expression" dxfId="17164" priority="4345">
      <formula>$H1483="ETAPA"</formula>
    </cfRule>
  </conditionalFormatting>
  <conditionalFormatting sqref="J1484">
    <cfRule type="expression" dxfId="17163" priority="4339">
      <formula>$H1484="SUBETAPA"</formula>
    </cfRule>
    <cfRule type="expression" dxfId="17162" priority="4340">
      <formula>$H1484="ETAPA"</formula>
    </cfRule>
  </conditionalFormatting>
  <conditionalFormatting sqref="J1487">
    <cfRule type="expression" dxfId="17161" priority="4664">
      <formula>$H1487="SUBETAPA"</formula>
    </cfRule>
    <cfRule type="expression" dxfId="17160" priority="4665">
      <formula>$H1487="CÉLULA CONSTRUTIVA"</formula>
    </cfRule>
  </conditionalFormatting>
  <conditionalFormatting sqref="J1488">
    <cfRule type="expression" dxfId="17159" priority="4316">
      <formula>$H1488="SUBETAPA"</formula>
    </cfRule>
    <cfRule type="expression" dxfId="17158" priority="4317">
      <formula>$H1488="CÉLULA CONSTRUTIVA"</formula>
    </cfRule>
    <cfRule type="expression" dxfId="17157" priority="4320">
      <formula>$H1488="SUBETAPA"</formula>
    </cfRule>
    <cfRule type="expression" dxfId="17156" priority="4321">
      <formula>$H1488="CÉLULA CONSTRUTIVA"</formula>
    </cfRule>
  </conditionalFormatting>
  <conditionalFormatting sqref="J1504 O1500">
    <cfRule type="expression" dxfId="17155" priority="4644">
      <formula>$H1500="SUBETAPA"</formula>
    </cfRule>
    <cfRule type="expression" dxfId="17154" priority="4645">
      <formula>$H1500="CÉLULA CONSTRUTIVA"</formula>
    </cfRule>
  </conditionalFormatting>
  <conditionalFormatting sqref="J1505">
    <cfRule type="expression" dxfId="17153" priority="4280">
      <formula>$H1505="SUBETAPA"</formula>
    </cfRule>
    <cfRule type="expression" dxfId="17152" priority="4281">
      <formula>$H1505="CÉLULA CONSTRUTIVA"</formula>
    </cfRule>
    <cfRule type="expression" dxfId="17151" priority="4284">
      <formula>$H1505="SUBETAPA"</formula>
    </cfRule>
    <cfRule type="expression" dxfId="17150" priority="4285">
      <formula>$H1505="CÉLULA CONSTRUTIVA"</formula>
    </cfRule>
  </conditionalFormatting>
  <conditionalFormatting sqref="J1513:J1517 J1575:J1576">
    <cfRule type="expression" dxfId="17149" priority="4269">
      <formula>$H1513="CÉLULA CONSTRUTIVA"</formula>
    </cfRule>
    <cfRule type="expression" dxfId="17148" priority="4270">
      <formula>$H1513="SUBETAPA"</formula>
    </cfRule>
    <cfRule type="expression" dxfId="17147" priority="4271">
      <formula>$H1513="ETAPA"</formula>
    </cfRule>
    <cfRule type="expression" dxfId="17146" priority="4272">
      <formula>$H1513="SUBETAPA"</formula>
    </cfRule>
    <cfRule type="expression" dxfId="17145" priority="4273">
      <formula>$H1513="ETAPA"</formula>
    </cfRule>
  </conditionalFormatting>
  <conditionalFormatting sqref="J1514:J1517">
    <cfRule type="expression" dxfId="17144" priority="4267">
      <formula>$H1514="SUBETAPA"</formula>
    </cfRule>
    <cfRule type="expression" dxfId="17143" priority="4268">
      <formula>$H1514="ETAPA"</formula>
    </cfRule>
  </conditionalFormatting>
  <conditionalFormatting sqref="J1526:J1527">
    <cfRule type="expression" dxfId="17142" priority="4624">
      <formula>$H1526="SUBETAPA"</formula>
    </cfRule>
    <cfRule type="expression" dxfId="17141" priority="4625">
      <formula>$H1526="CÉLULA CONSTRUTIVA"</formula>
    </cfRule>
  </conditionalFormatting>
  <conditionalFormatting sqref="J1527">
    <cfRule type="expression" dxfId="17140" priority="4610">
      <formula>$H1527="SUBETAPA"</formula>
    </cfRule>
    <cfRule type="expression" dxfId="17139" priority="4611">
      <formula>$H1527="CÉLULA CONSTRUTIVA"</formula>
    </cfRule>
  </conditionalFormatting>
  <conditionalFormatting sqref="J1535:J1537">
    <cfRule type="expression" dxfId="17138" priority="4260">
      <formula>$H1535="CÉLULA CONSTRUTIVA"</formula>
    </cfRule>
    <cfRule type="expression" dxfId="17137" priority="4261">
      <formula>$H1535="SUBETAPA"</formula>
    </cfRule>
    <cfRule type="expression" dxfId="17136" priority="4262">
      <formula>$H1535="ETAPA"</formula>
    </cfRule>
    <cfRule type="expression" dxfId="17135" priority="4263">
      <formula>$H1535="SUBETAPA"</formula>
    </cfRule>
    <cfRule type="expression" dxfId="17134" priority="4264">
      <formula>$H1535="ETAPA"</formula>
    </cfRule>
  </conditionalFormatting>
  <conditionalFormatting sqref="J1536:J1537">
    <cfRule type="expression" dxfId="17133" priority="4258">
      <formula>$H1536="SUBETAPA"</formula>
    </cfRule>
    <cfRule type="expression" dxfId="17132" priority="4259">
      <formula>$H1536="ETAPA"</formula>
    </cfRule>
  </conditionalFormatting>
  <conditionalFormatting sqref="J1544">
    <cfRule type="expression" dxfId="17131" priority="4592">
      <formula>$H1544="SUBETAPA"</formula>
    </cfRule>
    <cfRule type="expression" dxfId="17130" priority="4593">
      <formula>$H1544="CÉLULA CONSTRUTIVA"</formula>
    </cfRule>
  </conditionalFormatting>
  <conditionalFormatting sqref="J1544:J1545">
    <cfRule type="expression" dxfId="17129" priority="4606">
      <formula>$H1544="SUBETAPA"</formula>
    </cfRule>
    <cfRule type="expression" dxfId="17128" priority="4607">
      <formula>$H1544="CÉLULA CONSTRUTIVA"</formula>
    </cfRule>
  </conditionalFormatting>
  <conditionalFormatting sqref="J1545">
    <cfRule type="expression" dxfId="17127" priority="4588">
      <formula>$H1545="SUBETAPA"</formula>
    </cfRule>
    <cfRule type="expression" dxfId="17126" priority="4589">
      <formula>$H1545="CÉLULA CONSTRUTIVA"</formula>
    </cfRule>
  </conditionalFormatting>
  <conditionalFormatting sqref="J1550:J1551">
    <cfRule type="expression" dxfId="17125" priority="4604">
      <formula>$H1550="SUBETAPA"</formula>
    </cfRule>
    <cfRule type="expression" dxfId="17124" priority="4605">
      <formula>$H1550="CÉLULA CONSTRUTIVA"</formula>
    </cfRule>
  </conditionalFormatting>
  <conditionalFormatting sqref="J1551">
    <cfRule type="expression" dxfId="17123" priority="4590">
      <formula>$H1551="SUBETAPA"</formula>
    </cfRule>
    <cfRule type="expression" dxfId="17122" priority="4591">
      <formula>$H1551="CÉLULA CONSTRUTIVA"</formula>
    </cfRule>
  </conditionalFormatting>
  <conditionalFormatting sqref="J1557:J1559">
    <cfRule type="expression" dxfId="17121" priority="4253">
      <formula>$H1557="CÉLULA CONSTRUTIVA"</formula>
    </cfRule>
    <cfRule type="expression" dxfId="17120" priority="4254">
      <formula>$H1557="SUBETAPA"</formula>
    </cfRule>
    <cfRule type="expression" dxfId="17119" priority="4255">
      <formula>$H1557="ETAPA"</formula>
    </cfRule>
    <cfRule type="expression" dxfId="17118" priority="4256">
      <formula>$H1557="SUBETAPA"</formula>
    </cfRule>
    <cfRule type="expression" dxfId="17117" priority="4257">
      <formula>$H1557="ETAPA"</formula>
    </cfRule>
  </conditionalFormatting>
  <conditionalFormatting sqref="J1558:J1559">
    <cfRule type="expression" dxfId="17116" priority="4251">
      <formula>$H1558="SUBETAPA"</formula>
    </cfRule>
    <cfRule type="expression" dxfId="17115" priority="4252">
      <formula>$H1558="ETAPA"</formula>
    </cfRule>
  </conditionalFormatting>
  <conditionalFormatting sqref="J1565">
    <cfRule type="expression" dxfId="17114" priority="4568">
      <formula>$H1565="SUBETAPA"</formula>
    </cfRule>
    <cfRule type="expression" dxfId="17113" priority="4569">
      <formula>$H1565="CÉLULA CONSTRUTIVA"</formula>
    </cfRule>
  </conditionalFormatting>
  <conditionalFormatting sqref="J1569:J1570">
    <cfRule type="expression" dxfId="17112" priority="4584">
      <formula>$H1569="SUBETAPA"</formula>
    </cfRule>
    <cfRule type="expression" dxfId="17111" priority="4585">
      <formula>$H1569="CÉLULA CONSTRUTIVA"</formula>
    </cfRule>
  </conditionalFormatting>
  <conditionalFormatting sqref="J1570">
    <cfRule type="expression" dxfId="17110" priority="4570">
      <formula>$H1570="SUBETAPA"</formula>
    </cfRule>
    <cfRule type="expression" dxfId="17109" priority="4571">
      <formula>$H1570="CÉLULA CONSTRUTIVA"</formula>
    </cfRule>
  </conditionalFormatting>
  <conditionalFormatting sqref="J1583">
    <cfRule type="expression" dxfId="17108" priority="4548">
      <formula>$H1583="SUBETAPA"</formula>
    </cfRule>
    <cfRule type="expression" dxfId="17107" priority="4549">
      <formula>$H1583="CÉLULA CONSTRUTIVA"</formula>
    </cfRule>
  </conditionalFormatting>
  <conditionalFormatting sqref="J1588:J1589">
    <cfRule type="expression" dxfId="17106" priority="4564">
      <formula>$H1588="SUBETAPA"</formula>
    </cfRule>
    <cfRule type="expression" dxfId="17105" priority="4565">
      <formula>$H1588="CÉLULA CONSTRUTIVA"</formula>
    </cfRule>
  </conditionalFormatting>
  <conditionalFormatting sqref="J1589">
    <cfRule type="expression" dxfId="17104" priority="4550">
      <formula>$H1589="SUBETAPA"</formula>
    </cfRule>
    <cfRule type="expression" dxfId="17103" priority="4551">
      <formula>$H1589="CÉLULA CONSTRUTIVA"</formula>
    </cfRule>
  </conditionalFormatting>
  <conditionalFormatting sqref="J1595:J1597">
    <cfRule type="expression" dxfId="17102" priority="4239">
      <formula>$H1595="CÉLULA CONSTRUTIVA"</formula>
    </cfRule>
    <cfRule type="expression" dxfId="17101" priority="4240">
      <formula>$H1595="SUBETAPA"</formula>
    </cfRule>
    <cfRule type="expression" dxfId="17100" priority="4241">
      <formula>$H1595="ETAPA"</formula>
    </cfRule>
    <cfRule type="expression" dxfId="17099" priority="4242">
      <formula>$H1595="SUBETAPA"</formula>
    </cfRule>
    <cfRule type="expression" dxfId="17098" priority="4243">
      <formula>$H1595="ETAPA"</formula>
    </cfRule>
  </conditionalFormatting>
  <conditionalFormatting sqref="J1596:J1597">
    <cfRule type="expression" dxfId="17097" priority="4237">
      <formula>$H1596="SUBETAPA"</formula>
    </cfRule>
    <cfRule type="expression" dxfId="17096" priority="4238">
      <formula>$H1596="ETAPA"</formula>
    </cfRule>
  </conditionalFormatting>
  <conditionalFormatting sqref="J1604">
    <cfRule type="expression" dxfId="17095" priority="4528">
      <formula>$H1604="SUBETAPA"</formula>
    </cfRule>
    <cfRule type="expression" dxfId="17094" priority="4529">
      <formula>$H1604="CÉLULA CONSTRUTIVA"</formula>
    </cfRule>
  </conditionalFormatting>
  <conditionalFormatting sqref="J1609:J1610">
    <cfRule type="expression" dxfId="17093" priority="4544">
      <formula>$H1609="SUBETAPA"</formula>
    </cfRule>
    <cfRule type="expression" dxfId="17092" priority="4545">
      <formula>$H1609="CÉLULA CONSTRUTIVA"</formula>
    </cfRule>
  </conditionalFormatting>
  <conditionalFormatting sqref="J1610">
    <cfRule type="expression" dxfId="17091" priority="4530">
      <formula>$H1610="SUBETAPA"</formula>
    </cfRule>
    <cfRule type="expression" dxfId="17090" priority="4531">
      <formula>$H1610="CÉLULA CONSTRUTIVA"</formula>
    </cfRule>
  </conditionalFormatting>
  <conditionalFormatting sqref="J1616:J1618">
    <cfRule type="expression" dxfId="17089" priority="4232">
      <formula>$H1616="CÉLULA CONSTRUTIVA"</formula>
    </cfRule>
    <cfRule type="expression" dxfId="17088" priority="4233">
      <formula>$H1616="SUBETAPA"</formula>
    </cfRule>
    <cfRule type="expression" dxfId="17087" priority="4234">
      <formula>$H1616="ETAPA"</formula>
    </cfRule>
    <cfRule type="expression" dxfId="17086" priority="4235">
      <formula>$H1616="SUBETAPA"</formula>
    </cfRule>
    <cfRule type="expression" dxfId="17085" priority="4236">
      <formula>$H1616="ETAPA"</formula>
    </cfRule>
  </conditionalFormatting>
  <conditionalFormatting sqref="J1617:J1618">
    <cfRule type="expression" dxfId="17084" priority="4230">
      <formula>$H1617="SUBETAPA"</formula>
    </cfRule>
    <cfRule type="expression" dxfId="17083" priority="4231">
      <formula>$H1617="ETAPA"</formula>
    </cfRule>
  </conditionalFormatting>
  <conditionalFormatting sqref="J1625">
    <cfRule type="expression" dxfId="17082" priority="4512">
      <formula>$H1625="SUBETAPA"</formula>
    </cfRule>
    <cfRule type="expression" dxfId="17081" priority="4513">
      <formula>$H1625="CÉLULA CONSTRUTIVA"</formula>
    </cfRule>
  </conditionalFormatting>
  <conditionalFormatting sqref="J1625:J1626">
    <cfRule type="expression" dxfId="17080" priority="4526">
      <formula>$H1625="SUBETAPA"</formula>
    </cfRule>
    <cfRule type="expression" dxfId="17079" priority="4527">
      <formula>$H1625="CÉLULA CONSTRUTIVA"</formula>
    </cfRule>
  </conditionalFormatting>
  <conditionalFormatting sqref="J1626">
    <cfRule type="expression" dxfId="17078" priority="4508">
      <formula>$H1626="SUBETAPA"</formula>
    </cfRule>
    <cfRule type="expression" dxfId="17077" priority="4509">
      <formula>$H1626="CÉLULA CONSTRUTIVA"</formula>
    </cfRule>
  </conditionalFormatting>
  <conditionalFormatting sqref="J1633:J1634 O1628:O1629">
    <cfRule type="expression" dxfId="17076" priority="4524">
      <formula>$H1628="SUBETAPA"</formula>
    </cfRule>
    <cfRule type="expression" dxfId="17075" priority="4525">
      <formula>$H1628="CÉLULA CONSTRUTIVA"</formula>
    </cfRule>
  </conditionalFormatting>
  <conditionalFormatting sqref="J1634">
    <cfRule type="expression" dxfId="17074" priority="4510">
      <formula>$H1634="SUBETAPA"</formula>
    </cfRule>
    <cfRule type="expression" dxfId="17073" priority="4511">
      <formula>$H1634="CÉLULA CONSTRUTIVA"</formula>
    </cfRule>
  </conditionalFormatting>
  <conditionalFormatting sqref="J1640:J1642">
    <cfRule type="expression" dxfId="17072" priority="4225">
      <formula>$H1640="CÉLULA CONSTRUTIVA"</formula>
    </cfRule>
    <cfRule type="expression" dxfId="17071" priority="4226">
      <formula>$H1640="SUBETAPA"</formula>
    </cfRule>
    <cfRule type="expression" dxfId="17070" priority="4227">
      <formula>$H1640="ETAPA"</formula>
    </cfRule>
    <cfRule type="expression" dxfId="17069" priority="4228">
      <formula>$H1640="SUBETAPA"</formula>
    </cfRule>
    <cfRule type="expression" dxfId="17068" priority="4229">
      <formula>$H1640="ETAPA"</formula>
    </cfRule>
  </conditionalFormatting>
  <conditionalFormatting sqref="J1641:J1642">
    <cfRule type="expression" dxfId="17067" priority="4223">
      <formula>$H1641="SUBETAPA"</formula>
    </cfRule>
    <cfRule type="expression" dxfId="17066" priority="4224">
      <formula>$H1641="ETAPA"</formula>
    </cfRule>
  </conditionalFormatting>
  <conditionalFormatting sqref="J1649">
    <cfRule type="expression" dxfId="17065" priority="4492">
      <formula>$H1649="SUBETAPA"</formula>
    </cfRule>
    <cfRule type="expression" dxfId="17064" priority="4493">
      <formula>$H1649="CÉLULA CONSTRUTIVA"</formula>
    </cfRule>
  </conditionalFormatting>
  <conditionalFormatting sqref="J1649:J1650">
    <cfRule type="expression" dxfId="17063" priority="4506">
      <formula>$H1649="SUBETAPA"</formula>
    </cfRule>
    <cfRule type="expression" dxfId="17062" priority="4507">
      <formula>$H1649="CÉLULA CONSTRUTIVA"</formula>
    </cfRule>
  </conditionalFormatting>
  <conditionalFormatting sqref="J1650">
    <cfRule type="expression" dxfId="17061" priority="4488">
      <formula>$H1650="SUBETAPA"</formula>
    </cfRule>
    <cfRule type="expression" dxfId="17060" priority="4489">
      <formula>$H1650="CÉLULA CONSTRUTIVA"</formula>
    </cfRule>
  </conditionalFormatting>
  <conditionalFormatting sqref="J1653:J1654">
    <cfRule type="expression" dxfId="17059" priority="4504">
      <formula>$H1653="SUBETAPA"</formula>
    </cfRule>
    <cfRule type="expression" dxfId="17058" priority="4505">
      <formula>$H1653="CÉLULA CONSTRUTIVA"</formula>
    </cfRule>
  </conditionalFormatting>
  <conditionalFormatting sqref="J1654">
    <cfRule type="expression" dxfId="17057" priority="4490">
      <formula>$H1654="SUBETAPA"</formula>
    </cfRule>
    <cfRule type="expression" dxfId="17056" priority="4491">
      <formula>$H1654="CÉLULA CONSTRUTIVA"</formula>
    </cfRule>
  </conditionalFormatting>
  <conditionalFormatting sqref="J1658:J1660">
    <cfRule type="expression" dxfId="17055" priority="4211">
      <formula>$H1658="CÉLULA CONSTRUTIVA"</formula>
    </cfRule>
    <cfRule type="expression" dxfId="17054" priority="4212">
      <formula>$H1658="SUBETAPA"</formula>
    </cfRule>
    <cfRule type="expression" dxfId="17053" priority="4213">
      <formula>$H1658="ETAPA"</formula>
    </cfRule>
    <cfRule type="expression" dxfId="17052" priority="4214">
      <formula>$H1658="SUBETAPA"</formula>
    </cfRule>
    <cfRule type="expression" dxfId="17051" priority="4215">
      <formula>$H1658="ETAPA"</formula>
    </cfRule>
  </conditionalFormatting>
  <conditionalFormatting sqref="J1659:J1660">
    <cfRule type="expression" dxfId="17050" priority="4209">
      <formula>$H1659="SUBETAPA"</formula>
    </cfRule>
    <cfRule type="expression" dxfId="17049" priority="4210">
      <formula>$H1659="ETAPA"</formula>
    </cfRule>
  </conditionalFormatting>
  <conditionalFormatting sqref="J1670:J1672">
    <cfRule type="expression" dxfId="17048" priority="4218">
      <formula>$H1670="CÉLULA CONSTRUTIVA"</formula>
    </cfRule>
    <cfRule type="expression" dxfId="17047" priority="4219">
      <formula>$H1670="SUBETAPA"</formula>
    </cfRule>
    <cfRule type="expression" dxfId="17046" priority="4220">
      <formula>$H1670="ETAPA"</formula>
    </cfRule>
    <cfRule type="expression" dxfId="17045" priority="4221">
      <formula>$H1670="SUBETAPA"</formula>
    </cfRule>
    <cfRule type="expression" dxfId="17044" priority="4222">
      <formula>$H1670="ETAPA"</formula>
    </cfRule>
  </conditionalFormatting>
  <conditionalFormatting sqref="J1671:J1672">
    <cfRule type="expression" dxfId="17043" priority="4216">
      <formula>$H1671="SUBETAPA"</formula>
    </cfRule>
    <cfRule type="expression" dxfId="17042" priority="4217">
      <formula>$H1671="ETAPA"</formula>
    </cfRule>
  </conditionalFormatting>
  <conditionalFormatting sqref="J1676">
    <cfRule type="expression" dxfId="17041" priority="80486">
      <formula>$H1676="SUBETAPA"</formula>
    </cfRule>
  </conditionalFormatting>
  <conditionalFormatting sqref="J1676:J1680">
    <cfRule type="expression" dxfId="17040" priority="80389">
      <formula>$H1676="CÉLULA CONSTRUTIVA"</formula>
    </cfRule>
  </conditionalFormatting>
  <conditionalFormatting sqref="J1677">
    <cfRule type="expression" dxfId="17039" priority="80480">
      <formula>$H1677="SUBETAPA"</formula>
    </cfRule>
  </conditionalFormatting>
  <conditionalFormatting sqref="J1678:J1679">
    <cfRule type="expression" dxfId="17038" priority="80498">
      <formula>$H1678="SUBETAPA"</formula>
    </cfRule>
  </conditionalFormatting>
  <conditionalFormatting sqref="J1680">
    <cfRule type="expression" dxfId="17037" priority="80390">
      <formula>$H1680="SUBETAPA"</formula>
    </cfRule>
  </conditionalFormatting>
  <conditionalFormatting sqref="J1692:J1693">
    <cfRule type="expression" dxfId="17036" priority="80456">
      <formula>$H1692="CÉLULA CONSTRUTIVA"</formula>
    </cfRule>
    <cfRule type="expression" dxfId="17035" priority="80457">
      <formula>$H1692="SUBETAPA"</formula>
    </cfRule>
  </conditionalFormatting>
  <conditionalFormatting sqref="J1696">
    <cfRule type="expression" dxfId="17034" priority="80810">
      <formula>$H1696="SUBETAPA"</formula>
    </cfRule>
  </conditionalFormatting>
  <conditionalFormatting sqref="J1697">
    <cfRule type="expression" dxfId="17033" priority="80804">
      <formula>$H1697="SUBETAPA"</formula>
    </cfRule>
  </conditionalFormatting>
  <conditionalFormatting sqref="J1698:J1699">
    <cfRule type="expression" dxfId="17032" priority="80822">
      <formula>$H1698="SUBETAPA"</formula>
    </cfRule>
  </conditionalFormatting>
  <conditionalFormatting sqref="J1708:J1709">
    <cfRule type="expression" dxfId="17031" priority="80780">
      <formula>$H1708="CÉLULA CONSTRUTIVA"</formula>
    </cfRule>
    <cfRule type="expression" dxfId="17030" priority="80781">
      <formula>$H1708="SUBETAPA"</formula>
    </cfRule>
  </conditionalFormatting>
  <conditionalFormatting sqref="J1712">
    <cfRule type="expression" dxfId="17029" priority="81134">
      <formula>$H1712="SUBETAPA"</formula>
    </cfRule>
  </conditionalFormatting>
  <conditionalFormatting sqref="J1713">
    <cfRule type="expression" dxfId="17028" priority="81128">
      <formula>$H1713="SUBETAPA"</formula>
    </cfRule>
  </conditionalFormatting>
  <conditionalFormatting sqref="J1714:J1715">
    <cfRule type="expression" dxfId="17027" priority="81146">
      <formula>$H1714="SUBETAPA"</formula>
    </cfRule>
  </conditionalFormatting>
  <conditionalFormatting sqref="J1723:J1724">
    <cfRule type="expression" dxfId="17026" priority="81104">
      <formula>$H1723="CÉLULA CONSTRUTIVA"</formula>
    </cfRule>
    <cfRule type="expression" dxfId="17025" priority="81105">
      <formula>$H1723="SUBETAPA"</formula>
    </cfRule>
  </conditionalFormatting>
  <conditionalFormatting sqref="J1727">
    <cfRule type="expression" dxfId="17024" priority="81458">
      <formula>$H1727="SUBETAPA"</formula>
    </cfRule>
  </conditionalFormatting>
  <conditionalFormatting sqref="J1728">
    <cfRule type="expression" dxfId="17023" priority="81452">
      <formula>$H1728="SUBETAPA"</formula>
    </cfRule>
  </conditionalFormatting>
  <conditionalFormatting sqref="J1729:J1730">
    <cfRule type="expression" dxfId="17022" priority="81470">
      <formula>$H1729="SUBETAPA"</formula>
    </cfRule>
  </conditionalFormatting>
  <conditionalFormatting sqref="J1739">
    <cfRule type="expression" dxfId="17021" priority="81782">
      <formula>$H1739="SUBETAPA"</formula>
    </cfRule>
  </conditionalFormatting>
  <conditionalFormatting sqref="J1740">
    <cfRule type="expression" dxfId="17020" priority="81776">
      <formula>$H1740="SUBETAPA"</formula>
    </cfRule>
  </conditionalFormatting>
  <conditionalFormatting sqref="J1751">
    <cfRule type="expression" dxfId="17019" priority="82106">
      <formula>$H1751="SUBETAPA"</formula>
    </cfRule>
  </conditionalFormatting>
  <conditionalFormatting sqref="J1752">
    <cfRule type="expression" dxfId="17018" priority="82100">
      <formula>$H1752="SUBETAPA"</formula>
    </cfRule>
  </conditionalFormatting>
  <conditionalFormatting sqref="J1753:J1754">
    <cfRule type="expression" dxfId="17017" priority="82118">
      <formula>$H1753="SUBETAPA"</formula>
    </cfRule>
  </conditionalFormatting>
  <conditionalFormatting sqref="J1763">
    <cfRule type="expression" dxfId="17016" priority="82430">
      <formula>$H1763="SUBETAPA"</formula>
    </cfRule>
  </conditionalFormatting>
  <conditionalFormatting sqref="J1763:J1767">
    <cfRule type="expression" dxfId="17015" priority="82333">
      <formula>$H1763="CÉLULA CONSTRUTIVA"</formula>
    </cfRule>
  </conditionalFormatting>
  <conditionalFormatting sqref="J1764">
    <cfRule type="expression" dxfId="17014" priority="82424">
      <formula>$H1764="SUBETAPA"</formula>
    </cfRule>
  </conditionalFormatting>
  <conditionalFormatting sqref="J1765:J1766">
    <cfRule type="expression" dxfId="17013" priority="82442">
      <formula>$H1765="SUBETAPA"</formula>
    </cfRule>
  </conditionalFormatting>
  <conditionalFormatting sqref="J1767">
    <cfRule type="expression" dxfId="17012" priority="82334">
      <formula>$H1767="SUBETAPA"</formula>
    </cfRule>
  </conditionalFormatting>
  <conditionalFormatting sqref="J1783:J1784">
    <cfRule type="expression" dxfId="17011" priority="82400">
      <formula>$H1783="CÉLULA CONSTRUTIVA"</formula>
    </cfRule>
    <cfRule type="expression" dxfId="17010" priority="82401">
      <formula>$H1783="SUBETAPA"</formula>
    </cfRule>
  </conditionalFormatting>
  <conditionalFormatting sqref="J1787">
    <cfRule type="expression" dxfId="17009" priority="82754">
      <formula>$H1787="SUBETAPA"</formula>
    </cfRule>
  </conditionalFormatting>
  <conditionalFormatting sqref="J1787:J1791">
    <cfRule type="expression" dxfId="17008" priority="82657">
      <formula>$H1787="CÉLULA CONSTRUTIVA"</formula>
    </cfRule>
  </conditionalFormatting>
  <conditionalFormatting sqref="J1788">
    <cfRule type="expression" dxfId="17007" priority="82748">
      <formula>$H1788="SUBETAPA"</formula>
    </cfRule>
  </conditionalFormatting>
  <conditionalFormatting sqref="J1789:J1790">
    <cfRule type="expression" dxfId="17006" priority="82766">
      <formula>$H1789="SUBETAPA"</formula>
    </cfRule>
  </conditionalFormatting>
  <conditionalFormatting sqref="J1791">
    <cfRule type="expression" dxfId="17005" priority="82658">
      <formula>$H1791="SUBETAPA"</formula>
    </cfRule>
  </conditionalFormatting>
  <conditionalFormatting sqref="J1798">
    <cfRule type="expression" dxfId="17004" priority="82919">
      <formula>$H1798="CÉLULA CONSTRUTIVA"</formula>
    </cfRule>
  </conditionalFormatting>
  <conditionalFormatting sqref="J1809:J1810">
    <cfRule type="expression" dxfId="17003" priority="82724">
      <formula>$H1809="CÉLULA CONSTRUTIVA"</formula>
    </cfRule>
    <cfRule type="expression" dxfId="17002" priority="82725">
      <formula>$H1809="SUBETAPA"</formula>
    </cfRule>
  </conditionalFormatting>
  <conditionalFormatting sqref="J1813">
    <cfRule type="expression" dxfId="17001" priority="83078">
      <formula>$H1813="SUBETAPA"</formula>
    </cfRule>
  </conditionalFormatting>
  <conditionalFormatting sqref="J1814">
    <cfRule type="expression" dxfId="17000" priority="83072">
      <formula>$H1814="SUBETAPA"</formula>
    </cfRule>
  </conditionalFormatting>
  <conditionalFormatting sqref="J1816">
    <cfRule type="expression" dxfId="16999" priority="82982">
      <formula>$H1816="SUBETAPA"</formula>
    </cfRule>
  </conditionalFormatting>
  <conditionalFormatting sqref="J1826">
    <cfRule type="expression" dxfId="16998" priority="83402">
      <formula>$H1826="SUBETAPA"</formula>
    </cfRule>
  </conditionalFormatting>
  <conditionalFormatting sqref="J1827">
    <cfRule type="expression" dxfId="16997" priority="83396">
      <formula>$H1827="SUBETAPA"</formula>
    </cfRule>
  </conditionalFormatting>
  <conditionalFormatting sqref="J1829">
    <cfRule type="expression" dxfId="16996" priority="83306">
      <formula>$H1829="SUBETAPA"</formula>
    </cfRule>
  </conditionalFormatting>
  <conditionalFormatting sqref="J1839">
    <cfRule type="expression" dxfId="16995" priority="111878">
      <formula>$H1839="SUBETAPA"</formula>
    </cfRule>
  </conditionalFormatting>
  <conditionalFormatting sqref="J1840">
    <cfRule type="expression" dxfId="16994" priority="111831">
      <formula>$H1840="SUBETAPA"</formula>
    </cfRule>
  </conditionalFormatting>
  <conditionalFormatting sqref="J1842">
    <cfRule type="expression" dxfId="16993" priority="104420">
      <formula>$H1842="SUBETAPA"</formula>
    </cfRule>
  </conditionalFormatting>
  <conditionalFormatting sqref="J1851:J1852">
    <cfRule type="expression" dxfId="16992" priority="111764">
      <formula>$H1851="CÉLULA CONSTRUTIVA"</formula>
    </cfRule>
    <cfRule type="expression" dxfId="16991" priority="111765">
      <formula>$H1851="SUBETAPA"</formula>
    </cfRule>
  </conditionalFormatting>
  <conditionalFormatting sqref="J1855">
    <cfRule type="expression" dxfId="16990" priority="79215">
      <formula>$H1855="SUBETAPA"</formula>
    </cfRule>
  </conditionalFormatting>
  <conditionalFormatting sqref="J1856">
    <cfRule type="expression" dxfId="16989" priority="79209">
      <formula>$H1856="SUBETAPA"</formula>
    </cfRule>
  </conditionalFormatting>
  <conditionalFormatting sqref="J1858">
    <cfRule type="expression" dxfId="16988" priority="79119">
      <formula>$H1858="SUBETAPA"</formula>
    </cfRule>
  </conditionalFormatting>
  <conditionalFormatting sqref="J1867:J1868">
    <cfRule type="expression" dxfId="16987" priority="79185">
      <formula>$H1867="CÉLULA CONSTRUTIVA"</formula>
    </cfRule>
    <cfRule type="expression" dxfId="16986" priority="79186">
      <formula>$H1867="SUBETAPA"</formula>
    </cfRule>
  </conditionalFormatting>
  <conditionalFormatting sqref="J1871">
    <cfRule type="expression" dxfId="16985" priority="79539">
      <formula>$H1871="SUBETAPA"</formula>
    </cfRule>
  </conditionalFormatting>
  <conditionalFormatting sqref="J1872">
    <cfRule type="expression" dxfId="16984" priority="79533">
      <formula>$H1872="SUBETAPA"</formula>
    </cfRule>
  </conditionalFormatting>
  <conditionalFormatting sqref="J1880:J1881">
    <cfRule type="expression" dxfId="16983" priority="79509">
      <formula>$H1880="CÉLULA CONSTRUTIVA"</formula>
    </cfRule>
    <cfRule type="expression" dxfId="16982" priority="79510">
      <formula>$H1880="SUBETAPA"</formula>
    </cfRule>
  </conditionalFormatting>
  <conditionalFormatting sqref="J1884">
    <cfRule type="expression" dxfId="16981" priority="79863">
      <formula>$H1884="SUBETAPA"</formula>
    </cfRule>
  </conditionalFormatting>
  <conditionalFormatting sqref="J1885">
    <cfRule type="expression" dxfId="16980" priority="79857">
      <formula>$H1885="SUBETAPA"</formula>
    </cfRule>
  </conditionalFormatting>
  <conditionalFormatting sqref="J2039">
    <cfRule type="expression" dxfId="16979" priority="66982">
      <formula>$H2039="CÉLULA CONSTRUTIVA"</formula>
    </cfRule>
    <cfRule type="expression" dxfId="16978" priority="66983">
      <formula>$H2039="SUBETAPA"</formula>
    </cfRule>
    <cfRule type="expression" dxfId="16977" priority="66984">
      <formula>$H2039="ETAPA"</formula>
    </cfRule>
  </conditionalFormatting>
  <conditionalFormatting sqref="J2043">
    <cfRule type="expression" dxfId="16976" priority="67267">
      <formula>$H2043="SUBETAPA"</formula>
    </cfRule>
  </conditionalFormatting>
  <conditionalFormatting sqref="J2047">
    <cfRule type="expression" dxfId="16975" priority="67154">
      <formula>$H2047="SUBETAPA"</formula>
    </cfRule>
  </conditionalFormatting>
  <conditionalFormatting sqref="J2068">
    <cfRule type="expression" dxfId="16974" priority="67769">
      <formula>$H2068="ETAPA"</formula>
    </cfRule>
    <cfRule type="expression" dxfId="16973" priority="67770">
      <formula>$H2068="CÉLULA CONSTRUTIVA"</formula>
    </cfRule>
  </conditionalFormatting>
  <conditionalFormatting sqref="J2070">
    <cfRule type="expression" dxfId="16972" priority="67622">
      <formula>$H2070="CÉLULA CONSTRUTIVA"</formula>
    </cfRule>
    <cfRule type="expression" dxfId="16971" priority="67623">
      <formula>$H2070="SUBETAPA"</formula>
    </cfRule>
    <cfRule type="expression" dxfId="16970" priority="67624">
      <formula>$H2070="ETAPA"</formula>
    </cfRule>
  </conditionalFormatting>
  <conditionalFormatting sqref="J2090">
    <cfRule type="expression" dxfId="16969" priority="68262">
      <formula>$H2090="CÉLULA CONSTRUTIVA"</formula>
    </cfRule>
    <cfRule type="expression" dxfId="16968" priority="68263">
      <formula>$H2090="SUBETAPA"</formula>
    </cfRule>
    <cfRule type="expression" dxfId="16967" priority="68264">
      <formula>$H2090="ETAPA"</formula>
    </cfRule>
  </conditionalFormatting>
  <conditionalFormatting sqref="J2107">
    <cfRule type="expression" dxfId="16966" priority="68902">
      <formula>$H2107="CÉLULA CONSTRUTIVA"</formula>
    </cfRule>
    <cfRule type="expression" dxfId="16965" priority="68903">
      <formula>$H2107="SUBETAPA"</formula>
    </cfRule>
    <cfRule type="expression" dxfId="16964" priority="68904">
      <formula>$H2107="ETAPA"</formula>
    </cfRule>
  </conditionalFormatting>
  <conditionalFormatting sqref="J2123">
    <cfRule type="expression" dxfId="16963" priority="69542">
      <formula>$H2123="CÉLULA CONSTRUTIVA"</formula>
    </cfRule>
    <cfRule type="expression" dxfId="16962" priority="69543">
      <formula>$H2123="SUBETAPA"</formula>
    </cfRule>
    <cfRule type="expression" dxfId="16961" priority="69544">
      <formula>$H2123="ETAPA"</formula>
    </cfRule>
  </conditionalFormatting>
  <conditionalFormatting sqref="J2141">
    <cfRule type="expression" dxfId="16960" priority="70182">
      <formula>$H2141="CÉLULA CONSTRUTIVA"</formula>
    </cfRule>
    <cfRule type="expression" dxfId="16959" priority="70183">
      <formula>$H2141="SUBETAPA"</formula>
    </cfRule>
    <cfRule type="expression" dxfId="16958" priority="70184">
      <formula>$H2141="ETAPA"</formula>
    </cfRule>
  </conditionalFormatting>
  <conditionalFormatting sqref="J2158">
    <cfRule type="expression" dxfId="16957" priority="70822">
      <formula>$H2158="CÉLULA CONSTRUTIVA"</formula>
    </cfRule>
    <cfRule type="expression" dxfId="16956" priority="70823">
      <formula>$H2158="SUBETAPA"</formula>
    </cfRule>
    <cfRule type="expression" dxfId="16955" priority="70824">
      <formula>$H2158="ETAPA"</formula>
    </cfRule>
  </conditionalFormatting>
  <conditionalFormatting sqref="J2161">
    <cfRule type="expression" dxfId="16954" priority="70784">
      <formula>$H2161="CÉLULA CONSTRUTIVA"</formula>
    </cfRule>
  </conditionalFormatting>
  <conditionalFormatting sqref="J2163">
    <cfRule type="expression" dxfId="16953" priority="70737">
      <formula>$H2163="CÉLULA CONSTRUTIVA"</formula>
    </cfRule>
    <cfRule type="expression" dxfId="16952" priority="70738">
      <formula>$H2163="SUBETAPA"</formula>
    </cfRule>
    <cfRule type="expression" dxfId="16951" priority="70739">
      <formula>$H2163="ETAPA"</formula>
    </cfRule>
  </conditionalFormatting>
  <conditionalFormatting sqref="J2166">
    <cfRule type="expression" dxfId="16950" priority="70994">
      <formula>$H2166="SUBETAPA"</formula>
    </cfRule>
  </conditionalFormatting>
  <conditionalFormatting sqref="J2172">
    <cfRule type="expression" dxfId="16949" priority="71276">
      <formula>$H2172="CÉLULA CONSTRUTIVA"</formula>
    </cfRule>
  </conditionalFormatting>
  <conditionalFormatting sqref="J2180">
    <cfRule type="expression" dxfId="16948" priority="71083">
      <formula>$H2180="CÉLULA CONSTRUTIVA"</formula>
    </cfRule>
    <cfRule type="expression" dxfId="16947" priority="71084">
      <formula>$H2180="SUBETAPA"</formula>
    </cfRule>
  </conditionalFormatting>
  <conditionalFormatting sqref="J2185">
    <cfRule type="expression" dxfId="16946" priority="71462">
      <formula>$H2185="CÉLULA CONSTRUTIVA"</formula>
    </cfRule>
    <cfRule type="expression" dxfId="16945" priority="71463">
      <formula>$H2185="SUBETAPA"</formula>
    </cfRule>
    <cfRule type="expression" dxfId="16944" priority="71464">
      <formula>$H2185="ETAPA"</formula>
    </cfRule>
  </conditionalFormatting>
  <conditionalFormatting sqref="J2190">
    <cfRule type="expression" dxfId="16943" priority="71634">
      <formula>$H2190="SUBETAPA"</formula>
    </cfRule>
  </conditionalFormatting>
  <conditionalFormatting sqref="J2193">
    <cfRule type="expression" dxfId="16942" priority="71286">
      <formula>$H2193="CÉLULA CONSTRUTIVA"</formula>
    </cfRule>
    <cfRule type="expression" dxfId="16941" priority="71287">
      <formula>$H2193="SUBETAPA"</formula>
    </cfRule>
    <cfRule type="expression" dxfId="16940" priority="71288">
      <formula>$H2193="ETAPA"</formula>
    </cfRule>
  </conditionalFormatting>
  <conditionalFormatting sqref="J2216">
    <cfRule type="expression" dxfId="16939" priority="72102">
      <formula>$H2216="CÉLULA CONSTRUTIVA"</formula>
    </cfRule>
    <cfRule type="expression" dxfId="16938" priority="72103">
      <formula>$H2216="SUBETAPA"</formula>
    </cfRule>
    <cfRule type="expression" dxfId="16937" priority="72104">
      <formula>$H2216="ETAPA"</formula>
    </cfRule>
  </conditionalFormatting>
  <conditionalFormatting sqref="J2219">
    <cfRule type="expression" dxfId="16936" priority="72274">
      <formula>$H2219="SUBETAPA"</formula>
    </cfRule>
  </conditionalFormatting>
  <conditionalFormatting sqref="J2236">
    <cfRule type="expression" dxfId="16935" priority="72742">
      <formula>$H2236="CÉLULA CONSTRUTIVA"</formula>
    </cfRule>
    <cfRule type="expression" dxfId="16934" priority="72743">
      <formula>$H2236="SUBETAPA"</formula>
    </cfRule>
    <cfRule type="expression" dxfId="16933" priority="72744">
      <formula>$H2236="ETAPA"</formula>
    </cfRule>
  </conditionalFormatting>
  <conditionalFormatting sqref="J2239">
    <cfRule type="expression" dxfId="16932" priority="72914">
      <formula>$H2239="SUBETAPA"</formula>
    </cfRule>
  </conditionalFormatting>
  <conditionalFormatting sqref="J2240">
    <cfRule type="expression" dxfId="16931" priority="3444">
      <formula>$H2240="SUBETAPA"</formula>
    </cfRule>
    <cfRule type="expression" dxfId="16930" priority="3445">
      <formula>$H2240="CÉLULA CONSTRUTIVA"</formula>
    </cfRule>
  </conditionalFormatting>
  <conditionalFormatting sqref="J2256">
    <cfRule type="expression" dxfId="16929" priority="73382">
      <formula>$H2256="CÉLULA CONSTRUTIVA"</formula>
    </cfRule>
    <cfRule type="expression" dxfId="16928" priority="73383">
      <formula>$H2256="SUBETAPA"</formula>
    </cfRule>
    <cfRule type="expression" dxfId="16927" priority="73384">
      <formula>$H2256="ETAPA"</formula>
    </cfRule>
  </conditionalFormatting>
  <conditionalFormatting sqref="J2259">
    <cfRule type="expression" dxfId="16926" priority="73667">
      <formula>$H2259="SUBETAPA"</formula>
    </cfRule>
  </conditionalFormatting>
  <conditionalFormatting sqref="J2261">
    <cfRule type="expression" dxfId="16925" priority="73554">
      <formula>$H2261="SUBETAPA"</formula>
    </cfRule>
  </conditionalFormatting>
  <conditionalFormatting sqref="J2279">
    <cfRule type="expression" dxfId="16924" priority="74022">
      <formula>$H2279="CÉLULA CONSTRUTIVA"</formula>
    </cfRule>
    <cfRule type="expression" dxfId="16923" priority="74023">
      <formula>$H2279="SUBETAPA"</formula>
    </cfRule>
    <cfRule type="expression" dxfId="16922" priority="74024">
      <formula>$H2279="ETAPA"</formula>
    </cfRule>
  </conditionalFormatting>
  <conditionalFormatting sqref="J2282">
    <cfRule type="expression" dxfId="16921" priority="74307">
      <formula>$H2282="SUBETAPA"</formula>
    </cfRule>
  </conditionalFormatting>
  <conditionalFormatting sqref="J2285">
    <cfRule type="expression" dxfId="16920" priority="74194">
      <formula>$H2285="SUBETAPA"</formula>
    </cfRule>
  </conditionalFormatting>
  <conditionalFormatting sqref="J2299:J2300">
    <cfRule type="expression" dxfId="16919" priority="74736">
      <formula>$H2299="SUBETAPA"</formula>
    </cfRule>
  </conditionalFormatting>
  <conditionalFormatting sqref="J2304">
    <cfRule type="expression" dxfId="16918" priority="74662">
      <formula>$H2304="CÉLULA CONSTRUTIVA"</formula>
    </cfRule>
    <cfRule type="expression" dxfId="16917" priority="74663">
      <formula>$H2304="SUBETAPA"</formula>
    </cfRule>
    <cfRule type="expression" dxfId="16916" priority="74664">
      <formula>$H2304="ETAPA"</formula>
    </cfRule>
  </conditionalFormatting>
  <conditionalFormatting sqref="J2307">
    <cfRule type="expression" dxfId="16915" priority="74947">
      <formula>$H2307="SUBETAPA"</formula>
    </cfRule>
  </conditionalFormatting>
  <conditionalFormatting sqref="J2314:J2315">
    <cfRule type="expression" dxfId="16914" priority="75118">
      <formula>$H2314="CÉLULA CONSTRUTIVA"</formula>
    </cfRule>
  </conditionalFormatting>
  <conditionalFormatting sqref="J2325">
    <cfRule type="expression" dxfId="16913" priority="75302">
      <formula>$H2325="CÉLULA CONSTRUTIVA"</formula>
    </cfRule>
    <cfRule type="expression" dxfId="16912" priority="75303">
      <formula>$H2325="SUBETAPA"</formula>
    </cfRule>
    <cfRule type="expression" dxfId="16911" priority="75304">
      <formula>$H2325="ETAPA"</formula>
    </cfRule>
  </conditionalFormatting>
  <conditionalFormatting sqref="J2346">
    <cfRule type="expression" dxfId="16910" priority="61944">
      <formula>$H2346="SUBETAPA"</formula>
    </cfRule>
    <cfRule type="expression" dxfId="16909" priority="61945">
      <formula>$H2346="CÉLULA CONSTRUTIVA"</formula>
    </cfRule>
  </conditionalFormatting>
  <conditionalFormatting sqref="J2347">
    <cfRule type="expression" dxfId="16908" priority="7121">
      <formula>$H2347="ETAPA"</formula>
    </cfRule>
    <cfRule type="expression" dxfId="16907" priority="7122">
      <formula>$H2347="SUBETAPA"</formula>
    </cfRule>
    <cfRule type="expression" dxfId="16906" priority="7123">
      <formula>$H2347="CÉLULA CONSTRUTIVA"</formula>
    </cfRule>
    <cfRule type="expression" dxfId="16905" priority="7124">
      <formula>$H2347="SUBETAPA"</formula>
    </cfRule>
    <cfRule type="expression" dxfId="16904" priority="7125">
      <formula>$H2347="CÉLULA CONSTRUTIVA"</formula>
    </cfRule>
  </conditionalFormatting>
  <conditionalFormatting sqref="J2367">
    <cfRule type="expression" dxfId="16903" priority="62183">
      <formula>$H2367="SUBETAPA"</formula>
    </cfRule>
    <cfRule type="expression" dxfId="16902" priority="62184">
      <formula>$H2367="CÉLULA CONSTRUTIVA"</formula>
    </cfRule>
  </conditionalFormatting>
  <conditionalFormatting sqref="J2368">
    <cfRule type="expression" dxfId="16901" priority="7099">
      <formula>$H2368="ETAPA"</formula>
    </cfRule>
    <cfRule type="expression" dxfId="16900" priority="7100">
      <formula>$H2368="SUBETAPA"</formula>
    </cfRule>
    <cfRule type="expression" dxfId="16899" priority="7101">
      <formula>$H2368="CÉLULA CONSTRUTIVA"</formula>
    </cfRule>
    <cfRule type="expression" dxfId="16898" priority="7102">
      <formula>$H2368="SUBETAPA"</formula>
    </cfRule>
    <cfRule type="expression" dxfId="16897" priority="7103">
      <formula>$H2368="CÉLULA CONSTRUTIVA"</formula>
    </cfRule>
  </conditionalFormatting>
  <conditionalFormatting sqref="J2394">
    <cfRule type="expression" dxfId="16896" priority="62422">
      <formula>$H2394="SUBETAPA"</formula>
    </cfRule>
    <cfRule type="expression" dxfId="16895" priority="62423">
      <formula>$H2394="CÉLULA CONSTRUTIVA"</formula>
    </cfRule>
  </conditionalFormatting>
  <conditionalFormatting sqref="J2395">
    <cfRule type="expression" dxfId="16894" priority="7043">
      <formula>$H2395="ETAPA"</formula>
    </cfRule>
    <cfRule type="expression" dxfId="16893" priority="7044">
      <formula>$H2395="SUBETAPA"</formula>
    </cfRule>
    <cfRule type="expression" dxfId="16892" priority="7045">
      <formula>$H2395="CÉLULA CONSTRUTIVA"</formula>
    </cfRule>
    <cfRule type="expression" dxfId="16891" priority="7046">
      <formula>$H2395="SUBETAPA"</formula>
    </cfRule>
    <cfRule type="expression" dxfId="16890" priority="7047">
      <formula>$H2395="CÉLULA CONSTRUTIVA"</formula>
    </cfRule>
  </conditionalFormatting>
  <conditionalFormatting sqref="J2418">
    <cfRule type="expression" dxfId="16889" priority="6987">
      <formula>$H2418="ETAPA"</formula>
    </cfRule>
    <cfRule type="expression" dxfId="16888" priority="6988">
      <formula>$H2418="SUBETAPA"</formula>
    </cfRule>
    <cfRule type="expression" dxfId="16887" priority="6989">
      <formula>$H2418="CÉLULA CONSTRUTIVA"</formula>
    </cfRule>
    <cfRule type="expression" dxfId="16886" priority="6990">
      <formula>$H2418="SUBETAPA"</formula>
    </cfRule>
    <cfRule type="expression" dxfId="16885" priority="6991">
      <formula>$H2418="CÉLULA CONSTRUTIVA"</formula>
    </cfRule>
  </conditionalFormatting>
  <conditionalFormatting sqref="J2441">
    <cfRule type="expression" dxfId="16884" priority="6931">
      <formula>$H2441="ETAPA"</formula>
    </cfRule>
    <cfRule type="expression" dxfId="16883" priority="6932">
      <formula>$H2441="SUBETAPA"</formula>
    </cfRule>
    <cfRule type="expression" dxfId="16882" priority="6933">
      <formula>$H2441="CÉLULA CONSTRUTIVA"</formula>
    </cfRule>
    <cfRule type="expression" dxfId="16881" priority="6934">
      <formula>$H2441="SUBETAPA"</formula>
    </cfRule>
    <cfRule type="expression" dxfId="16880" priority="6935">
      <formula>$H2441="CÉLULA CONSTRUTIVA"</formula>
    </cfRule>
  </conditionalFormatting>
  <conditionalFormatting sqref="J2464">
    <cfRule type="expression" dxfId="16879" priority="63139">
      <formula>$H2464="SUBETAPA"</formula>
    </cfRule>
    <cfRule type="expression" dxfId="16878" priority="63140">
      <formula>$H2464="CÉLULA CONSTRUTIVA"</formula>
    </cfRule>
  </conditionalFormatting>
  <conditionalFormatting sqref="J2465">
    <cfRule type="expression" dxfId="16877" priority="6875">
      <formula>$H2465="ETAPA"</formula>
    </cfRule>
    <cfRule type="expression" dxfId="16876" priority="6876">
      <formula>$H2465="SUBETAPA"</formula>
    </cfRule>
    <cfRule type="expression" dxfId="16875" priority="6877">
      <formula>$H2465="CÉLULA CONSTRUTIVA"</formula>
    </cfRule>
    <cfRule type="expression" dxfId="16874" priority="6878">
      <formula>$H2465="SUBETAPA"</formula>
    </cfRule>
    <cfRule type="expression" dxfId="16873" priority="6879">
      <formula>$H2465="CÉLULA CONSTRUTIVA"</formula>
    </cfRule>
  </conditionalFormatting>
  <conditionalFormatting sqref="J2489">
    <cfRule type="expression" dxfId="16872" priority="6819">
      <formula>$H2489="ETAPA"</formula>
    </cfRule>
    <cfRule type="expression" dxfId="16871" priority="6820">
      <formula>$H2489="SUBETAPA"</formula>
    </cfRule>
    <cfRule type="expression" dxfId="16870" priority="6821">
      <formula>$H2489="CÉLULA CONSTRUTIVA"</formula>
    </cfRule>
    <cfRule type="expression" dxfId="16869" priority="6822">
      <formula>$H2489="SUBETAPA"</formula>
    </cfRule>
    <cfRule type="expression" dxfId="16868" priority="6823">
      <formula>$H2489="CÉLULA CONSTRUTIVA"</formula>
    </cfRule>
  </conditionalFormatting>
  <conditionalFormatting sqref="J2490">
    <cfRule type="expression" dxfId="16867" priority="63376">
      <formula>$H2490="SUBETAPA"</formula>
    </cfRule>
    <cfRule type="expression" dxfId="16866" priority="63377">
      <formula>$H2490="CÉLULA CONSTRUTIVA"</formula>
    </cfRule>
  </conditionalFormatting>
  <conditionalFormatting sqref="J2491 H2487 O2487 J2487:K2487">
    <cfRule type="expression" dxfId="16865" priority="63449">
      <formula>$H2487="SUBETAPA"</formula>
    </cfRule>
  </conditionalFormatting>
  <conditionalFormatting sqref="J2516">
    <cfRule type="expression" dxfId="16864" priority="6763">
      <formula>$H2516="ETAPA"</formula>
    </cfRule>
    <cfRule type="expression" dxfId="16863" priority="6764">
      <formula>$H2516="SUBETAPA"</formula>
    </cfRule>
    <cfRule type="expression" dxfId="16862" priority="6765">
      <formula>$H2516="CÉLULA CONSTRUTIVA"</formula>
    </cfRule>
    <cfRule type="expression" dxfId="16861" priority="6766">
      <formula>$H2516="SUBETAPA"</formula>
    </cfRule>
    <cfRule type="expression" dxfId="16860" priority="6767">
      <formula>$H2516="CÉLULA CONSTRUTIVA"</formula>
    </cfRule>
  </conditionalFormatting>
  <conditionalFormatting sqref="J2517 H2514 O2514 J2514:K2514">
    <cfRule type="expression" dxfId="16859" priority="63688">
      <formula>$H2514="SUBETAPA"</formula>
    </cfRule>
  </conditionalFormatting>
  <conditionalFormatting sqref="J2537">
    <cfRule type="expression" dxfId="16858" priority="6684">
      <formula>$H2537="ETAPA"</formula>
    </cfRule>
    <cfRule type="expression" dxfId="16857" priority="6685">
      <formula>$H2537="SUBETAPA"</formula>
    </cfRule>
    <cfRule type="expression" dxfId="16856" priority="6686">
      <formula>$H2537="CÉLULA CONSTRUTIVA"</formula>
    </cfRule>
    <cfRule type="expression" dxfId="16855" priority="6687">
      <formula>$H2537="SUBETAPA"</formula>
    </cfRule>
    <cfRule type="expression" dxfId="16854" priority="6688">
      <formula>$H2537="CÉLULA CONSTRUTIVA"</formula>
    </cfRule>
  </conditionalFormatting>
  <conditionalFormatting sqref="J2546">
    <cfRule type="expression" dxfId="16853" priority="63894">
      <formula>$H2546="CÉLULA CONSTRUTIVA"</formula>
    </cfRule>
  </conditionalFormatting>
  <conditionalFormatting sqref="J2553">
    <cfRule type="expression" dxfId="16852" priority="6626">
      <formula>$H2553="ETAPA"</formula>
    </cfRule>
    <cfRule type="expression" dxfId="16851" priority="6627">
      <formula>$H2553="SUBETAPA"</formula>
    </cfRule>
    <cfRule type="expression" dxfId="16850" priority="6628">
      <formula>$H2553="CÉLULA CONSTRUTIVA"</formula>
    </cfRule>
    <cfRule type="expression" dxfId="16849" priority="6629">
      <formula>$H2553="SUBETAPA"</formula>
    </cfRule>
    <cfRule type="expression" dxfId="16848" priority="6630">
      <formula>$H2553="CÉLULA CONSTRUTIVA"</formula>
    </cfRule>
  </conditionalFormatting>
  <conditionalFormatting sqref="J2562">
    <cfRule type="expression" dxfId="16847" priority="64133">
      <formula>$H2562="CÉLULA CONSTRUTIVA"</formula>
    </cfRule>
  </conditionalFormatting>
  <conditionalFormatting sqref="J2569">
    <cfRule type="expression" dxfId="16846" priority="6568">
      <formula>$H2569="ETAPA"</formula>
    </cfRule>
    <cfRule type="expression" dxfId="16845" priority="6569">
      <formula>$H2569="SUBETAPA"</formula>
    </cfRule>
    <cfRule type="expression" dxfId="16844" priority="6570">
      <formula>$H2569="CÉLULA CONSTRUTIVA"</formula>
    </cfRule>
    <cfRule type="expression" dxfId="16843" priority="6571">
      <formula>$H2569="SUBETAPA"</formula>
    </cfRule>
    <cfRule type="expression" dxfId="16842" priority="6572">
      <formula>$H2569="CÉLULA CONSTRUTIVA"</formula>
    </cfRule>
  </conditionalFormatting>
  <conditionalFormatting sqref="J2578">
    <cfRule type="expression" dxfId="16841" priority="64372">
      <formula>$H2578="CÉLULA CONSTRUTIVA"</formula>
    </cfRule>
  </conditionalFormatting>
  <conditionalFormatting sqref="J2585">
    <cfRule type="expression" dxfId="16840" priority="6510">
      <formula>$H2585="ETAPA"</formula>
    </cfRule>
    <cfRule type="expression" dxfId="16839" priority="6511">
      <formula>$H2585="SUBETAPA"</formula>
    </cfRule>
    <cfRule type="expression" dxfId="16838" priority="6512">
      <formula>$H2585="CÉLULA CONSTRUTIVA"</formula>
    </cfRule>
    <cfRule type="expression" dxfId="16837" priority="6513">
      <formula>$H2585="SUBETAPA"</formula>
    </cfRule>
    <cfRule type="expression" dxfId="16836" priority="6514">
      <formula>$H2585="CÉLULA CONSTRUTIVA"</formula>
    </cfRule>
  </conditionalFormatting>
  <conditionalFormatting sqref="J2594">
    <cfRule type="expression" dxfId="16835" priority="64611">
      <formula>$H2594="CÉLULA CONSTRUTIVA"</formula>
    </cfRule>
  </conditionalFormatting>
  <conditionalFormatting sqref="J2601">
    <cfRule type="expression" dxfId="16834" priority="6452">
      <formula>$H2601="ETAPA"</formula>
    </cfRule>
    <cfRule type="expression" dxfId="16833" priority="6453">
      <formula>$H2601="SUBETAPA"</formula>
    </cfRule>
    <cfRule type="expression" dxfId="16832" priority="6454">
      <formula>$H2601="CÉLULA CONSTRUTIVA"</formula>
    </cfRule>
    <cfRule type="expression" dxfId="16831" priority="6455">
      <formula>$H2601="SUBETAPA"</formula>
    </cfRule>
    <cfRule type="expression" dxfId="16830" priority="6456">
      <formula>$H2601="CÉLULA CONSTRUTIVA"</formula>
    </cfRule>
  </conditionalFormatting>
  <conditionalFormatting sqref="J2610">
    <cfRule type="expression" dxfId="16829" priority="64850">
      <formula>$H2610="CÉLULA CONSTRUTIVA"</formula>
    </cfRule>
  </conditionalFormatting>
  <conditionalFormatting sqref="J2617">
    <cfRule type="expression" dxfId="16828" priority="6394">
      <formula>$H2617="ETAPA"</formula>
    </cfRule>
    <cfRule type="expression" dxfId="16827" priority="6395">
      <formula>$H2617="SUBETAPA"</formula>
    </cfRule>
    <cfRule type="expression" dxfId="16826" priority="6396">
      <formula>$H2617="CÉLULA CONSTRUTIVA"</formula>
    </cfRule>
    <cfRule type="expression" dxfId="16825" priority="6397">
      <formula>$H2617="SUBETAPA"</formula>
    </cfRule>
    <cfRule type="expression" dxfId="16824" priority="6398">
      <formula>$H2617="CÉLULA CONSTRUTIVA"</formula>
    </cfRule>
  </conditionalFormatting>
  <conditionalFormatting sqref="J2625">
    <cfRule type="expression" dxfId="16823" priority="65089">
      <formula>$H2625="CÉLULA CONSTRUTIVA"</formula>
    </cfRule>
  </conditionalFormatting>
  <conditionalFormatting sqref="J2826">
    <cfRule type="expression" dxfId="16822" priority="435">
      <formula>$H2826="SUBETAPA"</formula>
    </cfRule>
    <cfRule type="expression" dxfId="16821" priority="436">
      <formula>$H2826="ETAPA"</formula>
    </cfRule>
  </conditionalFormatting>
  <conditionalFormatting sqref="J2882">
    <cfRule type="expression" dxfId="16820" priority="825">
      <formula>$H2882="SUBETAPA"</formula>
    </cfRule>
    <cfRule type="expression" dxfId="16819" priority="826">
      <formula>$H2882="ETAPA"</formula>
    </cfRule>
  </conditionalFormatting>
  <conditionalFormatting sqref="J2893">
    <cfRule type="expression" dxfId="16818" priority="890">
      <formula>$H2893="SUBETAPA"</formula>
    </cfRule>
    <cfRule type="expression" dxfId="16817" priority="891">
      <formula>$H2893="ETAPA"</formula>
    </cfRule>
  </conditionalFormatting>
  <conditionalFormatting sqref="J2940">
    <cfRule type="expression" dxfId="16816" priority="1215">
      <formula>$H2940="SUBETAPA"</formula>
    </cfRule>
    <cfRule type="expression" dxfId="16815" priority="1216">
      <formula>$H2940="ETAPA"</formula>
    </cfRule>
  </conditionalFormatting>
  <conditionalFormatting sqref="J2948">
    <cfRule type="expression" dxfId="16814" priority="1280">
      <formula>$H2948="SUBETAPA"</formula>
    </cfRule>
    <cfRule type="expression" dxfId="16813" priority="1281">
      <formula>$H2948="ETAPA"</formula>
    </cfRule>
  </conditionalFormatting>
  <conditionalFormatting sqref="J2948:J2951">
    <cfRule type="expression" dxfId="16812" priority="1279">
      <formula>$H2948="ETAPA"</formula>
    </cfRule>
  </conditionalFormatting>
  <conditionalFormatting sqref="J3060:J3062">
    <cfRule type="expression" dxfId="16811" priority="4181">
      <formula>$H3060="SUBETAPA"</formula>
    </cfRule>
    <cfRule type="expression" dxfId="16810" priority="4182">
      <formula>$H3060="CÉLULA CONSTRUTIVA"</formula>
    </cfRule>
  </conditionalFormatting>
  <conditionalFormatting sqref="J3063">
    <cfRule type="expression" dxfId="16809" priority="4177">
      <formula>$H3063="ETAPA"</formula>
    </cfRule>
    <cfRule type="expression" dxfId="16808" priority="4178">
      <formula>$H3063="SUBETAPA"</formula>
    </cfRule>
  </conditionalFormatting>
  <conditionalFormatting sqref="J3064">
    <cfRule type="expression" dxfId="16807" priority="4179">
      <formula>$H3064="SUBETAPA"</formula>
    </cfRule>
    <cfRule type="expression" dxfId="16806" priority="4180">
      <formula>$H3064="CÉLULA CONSTRUTIVA"</formula>
    </cfRule>
  </conditionalFormatting>
  <conditionalFormatting sqref="J3066">
    <cfRule type="expression" dxfId="16805" priority="61041">
      <formula>$H3066="SUBETAPA"</formula>
    </cfRule>
    <cfRule type="expression" dxfId="16804" priority="61042">
      <formula>$H3066="CÉLULA CONSTRUTIVA"</formula>
    </cfRule>
  </conditionalFormatting>
  <conditionalFormatting sqref="J3088">
    <cfRule type="expression" dxfId="16803" priority="4165">
      <formula>$H3088="SUBETAPA"</formula>
    </cfRule>
    <cfRule type="expression" dxfId="16802" priority="4166">
      <formula>$H3088="CÉLULA CONSTRUTIVA"</formula>
    </cfRule>
  </conditionalFormatting>
  <conditionalFormatting sqref="J3089">
    <cfRule type="expression" dxfId="16801" priority="4161">
      <formula>$H3089="ETAPA"</formula>
    </cfRule>
    <cfRule type="expression" dxfId="16800" priority="4162">
      <formula>$H3089="SUBETAPA"</formula>
    </cfRule>
  </conditionalFormatting>
  <conditionalFormatting sqref="J3090">
    <cfRule type="expression" dxfId="16799" priority="4163">
      <formula>$H3090="SUBETAPA"</formula>
    </cfRule>
    <cfRule type="expression" dxfId="16798" priority="4164">
      <formula>$H3090="CÉLULA CONSTRUTIVA"</formula>
    </cfRule>
  </conditionalFormatting>
  <conditionalFormatting sqref="J3106">
    <cfRule type="expression" dxfId="16797" priority="4204">
      <formula>$H3106="SUBETAPA"</formula>
    </cfRule>
    <cfRule type="expression" dxfId="16796" priority="4205">
      <formula>$H3106="CÉLULA CONSTRUTIVA"</formula>
    </cfRule>
    <cfRule type="expression" dxfId="16795" priority="6354">
      <formula>$H3106="SUBETAPA"</formula>
    </cfRule>
    <cfRule type="expression" dxfId="16794" priority="6355">
      <formula>$H3106="CÉLULA CONSTRUTIVA"</formula>
    </cfRule>
  </conditionalFormatting>
  <conditionalFormatting sqref="J3109">
    <cfRule type="expression" dxfId="16793" priority="4149">
      <formula>$H3109="SUBETAPA"</formula>
    </cfRule>
    <cfRule type="expression" dxfId="16792" priority="4150">
      <formula>$H3109="CÉLULA CONSTRUTIVA"</formula>
    </cfRule>
  </conditionalFormatting>
  <conditionalFormatting sqref="J3110">
    <cfRule type="expression" dxfId="16791" priority="4145">
      <formula>$H3110="ETAPA"</formula>
    </cfRule>
    <cfRule type="expression" dxfId="16790" priority="4146">
      <formula>$H3110="SUBETAPA"</formula>
    </cfRule>
  </conditionalFormatting>
  <conditionalFormatting sqref="J3111">
    <cfRule type="expression" dxfId="16789" priority="4147">
      <formula>$H3111="SUBETAPA"</formula>
    </cfRule>
    <cfRule type="expression" dxfId="16788" priority="4148">
      <formula>$H3111="CÉLULA CONSTRUTIVA"</formula>
    </cfRule>
  </conditionalFormatting>
  <conditionalFormatting sqref="J3129">
    <cfRule type="expression" dxfId="16787" priority="6352">
      <formula>$H3129="SUBETAPA"</formula>
    </cfRule>
    <cfRule type="expression" dxfId="16786" priority="6353">
      <formula>$H3129="CÉLULA CONSTRUTIVA"</formula>
    </cfRule>
  </conditionalFormatting>
  <conditionalFormatting sqref="J3132">
    <cfRule type="expression" dxfId="16785" priority="4133">
      <formula>$H3132="SUBETAPA"</formula>
    </cfRule>
    <cfRule type="expression" dxfId="16784" priority="4134">
      <formula>$H3132="CÉLULA CONSTRUTIVA"</formula>
    </cfRule>
  </conditionalFormatting>
  <conditionalFormatting sqref="J3133">
    <cfRule type="expression" dxfId="16783" priority="4129">
      <formula>$H3133="ETAPA"</formula>
    </cfRule>
    <cfRule type="expression" dxfId="16782" priority="4130">
      <formula>$H3133="SUBETAPA"</formula>
    </cfRule>
  </conditionalFormatting>
  <conditionalFormatting sqref="J3134">
    <cfRule type="expression" dxfId="16781" priority="4131">
      <formula>$H3134="SUBETAPA"</formula>
    </cfRule>
    <cfRule type="expression" dxfId="16780" priority="4132">
      <formula>$H3134="CÉLULA CONSTRUTIVA"</formula>
    </cfRule>
  </conditionalFormatting>
  <conditionalFormatting sqref="J3135">
    <cfRule type="expression" dxfId="16779" priority="61779">
      <formula>$H3135="SUBETAPA"</formula>
    </cfRule>
    <cfRule type="expression" dxfId="16778" priority="61780">
      <formula>$H3135="CÉLULA CONSTRUTIVA"</formula>
    </cfRule>
  </conditionalFormatting>
  <conditionalFormatting sqref="J12:K12">
    <cfRule type="expression" dxfId="16777" priority="4065">
      <formula>$H12="SUBETAPA"</formula>
    </cfRule>
    <cfRule type="expression" dxfId="16776" priority="4066">
      <formula>$H12="CÉLULA CONSTRUTIVA"</formula>
    </cfRule>
    <cfRule type="expression" dxfId="16775" priority="4067">
      <formula>$H12="ETAPA"</formula>
    </cfRule>
  </conditionalFormatting>
  <conditionalFormatting sqref="J13:K13">
    <cfRule type="expression" dxfId="16774" priority="4070">
      <formula>$H13="SUBETAPA"</formula>
    </cfRule>
    <cfRule type="expression" dxfId="16773" priority="4071">
      <formula>$H13="CÉLULA CONSTRUTIVA"</formula>
    </cfRule>
    <cfRule type="expression" dxfId="16772" priority="4072">
      <formula>$H13="ETAPA"</formula>
    </cfRule>
  </conditionalFormatting>
  <conditionalFormatting sqref="J14:K14">
    <cfRule type="expression" dxfId="16771" priority="4068">
      <formula>$H14="CÉLULA CONSTRUTIVA"</formula>
    </cfRule>
    <cfRule type="expression" dxfId="16770" priority="4069">
      <formula>$H14="ETAPA"</formula>
    </cfRule>
  </conditionalFormatting>
  <conditionalFormatting sqref="J15:K15">
    <cfRule type="expression" dxfId="16769" priority="4063">
      <formula>$H15="CÉLULA CONSTRUTIVA"</formula>
    </cfRule>
    <cfRule type="expression" dxfId="16768" priority="4073">
      <formula>$H15="ETAPA"</formula>
    </cfRule>
  </conditionalFormatting>
  <conditionalFormatting sqref="J17:K17">
    <cfRule type="expression" dxfId="16767" priority="4037">
      <formula>$H17="SUBETAPA"</formula>
    </cfRule>
  </conditionalFormatting>
  <conditionalFormatting sqref="J47:K47 N47:O47">
    <cfRule type="expression" dxfId="16766" priority="46749">
      <formula>$H47="CÉLULA CONSTRUTIVA"</formula>
    </cfRule>
    <cfRule type="expression" dxfId="16765" priority="46750">
      <formula>$H47="SUBETAPA"</formula>
    </cfRule>
    <cfRule type="expression" dxfId="16764" priority="46751">
      <formula>$H47="ETAPA"</formula>
    </cfRule>
  </conditionalFormatting>
  <conditionalFormatting sqref="J388:K390 J387:L387 J395:L395">
    <cfRule type="expression" dxfId="16763" priority="99335">
      <formula>$H387="SUBETAPA"</formula>
    </cfRule>
  </conditionalFormatting>
  <conditionalFormatting sqref="J392:K392">
    <cfRule type="expression" dxfId="16762" priority="7588">
      <formula>$H392="SUBETAPA"</formula>
    </cfRule>
    <cfRule type="expression" dxfId="16761" priority="7589">
      <formula>$H392="CÉLULA CONSTRUTIVA"</formula>
    </cfRule>
  </conditionalFormatting>
  <conditionalFormatting sqref="J405:K407 J404:L404 J412:L412">
    <cfRule type="expression" dxfId="16760" priority="99430">
      <formula>$H404="SUBETAPA"</formula>
    </cfRule>
  </conditionalFormatting>
  <conditionalFormatting sqref="J422:K424 J421:L421 J428:L428">
    <cfRule type="expression" dxfId="16759" priority="99525">
      <formula>$H421="SUBETAPA"</formula>
    </cfRule>
  </conditionalFormatting>
  <conditionalFormatting sqref="J438:K440 J437:L437 J444:L444">
    <cfRule type="expression" dxfId="16758" priority="99620">
      <formula>$H437="SUBETAPA"</formula>
    </cfRule>
  </conditionalFormatting>
  <conditionalFormatting sqref="J454:K456 J453:L453 J461:L461">
    <cfRule type="expression" dxfId="16757" priority="99715">
      <formula>$H453="SUBETAPA"</formula>
    </cfRule>
  </conditionalFormatting>
  <conditionalFormatting sqref="J471:K473 J470:L470 J478:L478">
    <cfRule type="expression" dxfId="16756" priority="99810">
      <formula>$H470="SUBETAPA"</formula>
    </cfRule>
  </conditionalFormatting>
  <conditionalFormatting sqref="J488:K490 J487:L487 J495:L495">
    <cfRule type="expression" dxfId="16755" priority="99905">
      <formula>$H487="SUBETAPA"</formula>
    </cfRule>
  </conditionalFormatting>
  <conditionalFormatting sqref="J523:K525 J522:L522 J531:L531">
    <cfRule type="expression" dxfId="16754" priority="100095">
      <formula>$H522="SUBETAPA"</formula>
    </cfRule>
  </conditionalFormatting>
  <conditionalFormatting sqref="J526:K526">
    <cfRule type="expression" dxfId="16753" priority="59768">
      <formula>$H526="SUBETAPA"</formula>
    </cfRule>
    <cfRule type="expression" dxfId="16752" priority="59769">
      <formula>$H526="CÉLULA CONSTRUTIVA"</formula>
    </cfRule>
  </conditionalFormatting>
  <conditionalFormatting sqref="J541:K543 J540:L540 J549:L549">
    <cfRule type="expression" dxfId="16751" priority="100190">
      <formula>$H540="SUBETAPA"</formula>
    </cfRule>
  </conditionalFormatting>
  <conditionalFormatting sqref="J544:K544">
    <cfRule type="expression" dxfId="16750" priority="59750">
      <formula>$H544="SUBETAPA"</formula>
    </cfRule>
    <cfRule type="expression" dxfId="16749" priority="59751">
      <formula>$H544="CÉLULA CONSTRUTIVA"</formula>
    </cfRule>
  </conditionalFormatting>
  <conditionalFormatting sqref="J559:K561 J558:L558 J567:L567">
    <cfRule type="expression" dxfId="16748" priority="100285">
      <formula>$H558="SUBETAPA"</formula>
    </cfRule>
  </conditionalFormatting>
  <conditionalFormatting sqref="J562:K562">
    <cfRule type="expression" dxfId="16747" priority="59732">
      <formula>$H562="SUBETAPA"</formula>
    </cfRule>
    <cfRule type="expression" dxfId="16746" priority="59733">
      <formula>$H562="CÉLULA CONSTRUTIVA"</formula>
    </cfRule>
  </conditionalFormatting>
  <conditionalFormatting sqref="J577:K579 J576:L576 J583:L583">
    <cfRule type="expression" dxfId="16745" priority="100380">
      <formula>$H576="SUBETAPA"</formula>
    </cfRule>
  </conditionalFormatting>
  <conditionalFormatting sqref="J594:K596 J593:L593 J602:L602">
    <cfRule type="expression" dxfId="16744" priority="100475">
      <formula>$H593="SUBETAPA"</formula>
    </cfRule>
  </conditionalFormatting>
  <conditionalFormatting sqref="J597:K597">
    <cfRule type="expression" dxfId="16743" priority="59696">
      <formula>$H597="SUBETAPA"</formula>
    </cfRule>
    <cfRule type="expression" dxfId="16742" priority="59697">
      <formula>$H597="CÉLULA CONSTRUTIVA"</formula>
    </cfRule>
  </conditionalFormatting>
  <conditionalFormatting sqref="J611:K613 J610:L610 J616:L616">
    <cfRule type="expression" dxfId="16741" priority="100570">
      <formula>$H610="SUBETAPA"</formula>
    </cfRule>
  </conditionalFormatting>
  <conditionalFormatting sqref="J1440:K1440">
    <cfRule type="expression" dxfId="16740" priority="92316">
      <formula>$H1440="ETAPA"</formula>
    </cfRule>
  </conditionalFormatting>
  <conditionalFormatting sqref="J1452:K1452">
    <cfRule type="expression" dxfId="16739" priority="92967">
      <formula>$H1452="SUBETAPA"</formula>
    </cfRule>
    <cfRule type="expression" dxfId="16738" priority="92968">
      <formula>$H1452="CÉLULA CONSTRUTIVA"</formula>
    </cfRule>
  </conditionalFormatting>
  <conditionalFormatting sqref="J1459:K1459">
    <cfRule type="expression" dxfId="16737" priority="4434">
      <formula>$H1459="SUBETAPA"</formula>
    </cfRule>
    <cfRule type="expression" dxfId="16736" priority="4435">
      <formula>$H1459="CÉLULA CONSTRUTIVA"</formula>
    </cfRule>
  </conditionalFormatting>
  <conditionalFormatting sqref="J1466:K1466">
    <cfRule type="expression" dxfId="16735" priority="4398">
      <formula>$H1466="SUBETAPA"</formula>
    </cfRule>
    <cfRule type="expression" dxfId="16734" priority="4399">
      <formula>$H1466="CÉLULA CONSTRUTIVA"</formula>
    </cfRule>
  </conditionalFormatting>
  <conditionalFormatting sqref="J1479:K1479">
    <cfRule type="expression" dxfId="16733" priority="4362">
      <formula>$H1479="SUBETAPA"</formula>
    </cfRule>
    <cfRule type="expression" dxfId="16732" priority="4363">
      <formula>$H1479="CÉLULA CONSTRUTIVA"</formula>
    </cfRule>
  </conditionalFormatting>
  <conditionalFormatting sqref="J1480:K1480">
    <cfRule type="expression" dxfId="16731" priority="4374">
      <formula>$H1480="ETAPA"</formula>
    </cfRule>
  </conditionalFormatting>
  <conditionalFormatting sqref="J1480:K1481">
    <cfRule type="expression" dxfId="16730" priority="4372">
      <formula>$H1480="SUBETAPA"</formula>
    </cfRule>
    <cfRule type="expression" dxfId="16729" priority="4373">
      <formula>$H1480="CÉLULA CONSTRUTIVA"</formula>
    </cfRule>
  </conditionalFormatting>
  <conditionalFormatting sqref="J1485:K1485 K1482:K1484">
    <cfRule type="expression" dxfId="16728" priority="4366">
      <formula>$H1482="CÉLULA CONSTRUTIVA"</formula>
    </cfRule>
  </conditionalFormatting>
  <conditionalFormatting sqref="J1491:K1491">
    <cfRule type="expression" dxfId="16727" priority="4326">
      <formula>$H1491="SUBETAPA"</formula>
    </cfRule>
    <cfRule type="expression" dxfId="16726" priority="4327">
      <formula>$H1491="CÉLULA CONSTRUTIVA"</formula>
    </cfRule>
  </conditionalFormatting>
  <conditionalFormatting sqref="J1493:K1493">
    <cfRule type="expression" dxfId="16725" priority="4330">
      <formula>$H1493="CÉLULA CONSTRUTIVA"</formula>
    </cfRule>
  </conditionalFormatting>
  <conditionalFormatting sqref="J1510:K1510">
    <cfRule type="expression" dxfId="16724" priority="4290">
      <formula>$H1510="SUBETAPA"</formula>
    </cfRule>
    <cfRule type="expression" dxfId="16723" priority="4291">
      <formula>$H1510="CÉLULA CONSTRUTIVA"</formula>
    </cfRule>
  </conditionalFormatting>
  <conditionalFormatting sqref="J1511:K1511">
    <cfRule type="expression" dxfId="16722" priority="4302">
      <formula>$H1511="ETAPA"</formula>
    </cfRule>
  </conditionalFormatting>
  <conditionalFormatting sqref="J1511:K1512">
    <cfRule type="expression" dxfId="16721" priority="4300">
      <formula>$H1511="SUBETAPA"</formula>
    </cfRule>
    <cfRule type="expression" dxfId="16720" priority="4301">
      <formula>$H1511="CÉLULA CONSTRUTIVA"</formula>
    </cfRule>
  </conditionalFormatting>
  <conditionalFormatting sqref="J1518:K1518 K1513:K1517">
    <cfRule type="expression" dxfId="16719" priority="4294">
      <formula>$H1513="CÉLULA CONSTRUTIVA"</formula>
    </cfRule>
  </conditionalFormatting>
  <conditionalFormatting sqref="J1532:K1532">
    <cfRule type="expression" dxfId="16718" priority="88991">
      <formula>$H1532="SUBETAPA"</formula>
    </cfRule>
    <cfRule type="expression" dxfId="16717" priority="88992">
      <formula>$H1532="CÉLULA CONSTRUTIVA"</formula>
    </cfRule>
  </conditionalFormatting>
  <conditionalFormatting sqref="J1533:K1533">
    <cfRule type="expression" dxfId="16716" priority="88999">
      <formula>$H1533="ETAPA"</formula>
    </cfRule>
  </conditionalFormatting>
  <conditionalFormatting sqref="J1554:K1554">
    <cfRule type="expression" dxfId="16715" priority="89650">
      <formula>$H1554="SUBETAPA"</formula>
    </cfRule>
    <cfRule type="expression" dxfId="16714" priority="89651">
      <formula>$H1554="CÉLULA CONSTRUTIVA"</formula>
    </cfRule>
  </conditionalFormatting>
  <conditionalFormatting sqref="J1555:K1555">
    <cfRule type="expression" dxfId="16713" priority="89658">
      <formula>$H1555="ETAPA"</formula>
    </cfRule>
  </conditionalFormatting>
  <conditionalFormatting sqref="J1573:K1573">
    <cfRule type="expression" dxfId="16712" priority="90309">
      <formula>$H1573="SUBETAPA"</formula>
    </cfRule>
    <cfRule type="expression" dxfId="16711" priority="90310">
      <formula>$H1573="CÉLULA CONSTRUTIVA"</formula>
    </cfRule>
  </conditionalFormatting>
  <conditionalFormatting sqref="J1577:K1577">
    <cfRule type="expression" dxfId="16710" priority="90201">
      <formula>$H1577="CÉLULA CONSTRUTIVA"</formula>
    </cfRule>
  </conditionalFormatting>
  <conditionalFormatting sqref="J1592:K1592">
    <cfRule type="expression" dxfId="16709" priority="90968">
      <formula>$H1592="SUBETAPA"</formula>
    </cfRule>
    <cfRule type="expression" dxfId="16708" priority="90969">
      <formula>$H1592="CÉLULA CONSTRUTIVA"</formula>
    </cfRule>
  </conditionalFormatting>
  <conditionalFormatting sqref="J1593:K1593">
    <cfRule type="expression" dxfId="16707" priority="90976">
      <formula>$H1593="ETAPA"</formula>
    </cfRule>
  </conditionalFormatting>
  <conditionalFormatting sqref="J1613:K1613">
    <cfRule type="expression" dxfId="16706" priority="91628">
      <formula>$H1613="SUBETAPA"</formula>
    </cfRule>
    <cfRule type="expression" dxfId="16705" priority="91629">
      <formula>$H1613="CÉLULA CONSTRUTIVA"</formula>
    </cfRule>
  </conditionalFormatting>
  <conditionalFormatting sqref="J1614:K1614">
    <cfRule type="expression" dxfId="16704" priority="91636">
      <formula>$H1614="ETAPA"</formula>
    </cfRule>
  </conditionalFormatting>
  <conditionalFormatting sqref="J1637:K1637">
    <cfRule type="expression" dxfId="16703" priority="96262">
      <formula>$H1637="SUBETAPA"</formula>
    </cfRule>
    <cfRule type="expression" dxfId="16702" priority="96263">
      <formula>$H1637="CÉLULA CONSTRUTIVA"</formula>
    </cfRule>
  </conditionalFormatting>
  <conditionalFormatting sqref="J1638:K1638">
    <cfRule type="expression" dxfId="16701" priority="96270">
      <formula>$H1638="ETAPA"</formula>
    </cfRule>
  </conditionalFormatting>
  <conditionalFormatting sqref="J1655:K1655">
    <cfRule type="expression" dxfId="16700" priority="96921">
      <formula>$H1655="SUBETAPA"</formula>
    </cfRule>
    <cfRule type="expression" dxfId="16699" priority="96922">
      <formula>$H1655="CÉLULA CONSTRUTIVA"</formula>
    </cfRule>
  </conditionalFormatting>
  <conditionalFormatting sqref="J1656:K1656">
    <cfRule type="expression" dxfId="16698" priority="96929">
      <formula>$H1656="ETAPA"</formula>
    </cfRule>
  </conditionalFormatting>
  <conditionalFormatting sqref="J1668:K1668">
    <cfRule type="expression" dxfId="16697" priority="97580">
      <formula>$H1668="SUBETAPA"</formula>
    </cfRule>
    <cfRule type="expression" dxfId="16696" priority="97581">
      <formula>$H1668="CÉLULA CONSTRUTIVA"</formula>
    </cfRule>
  </conditionalFormatting>
  <conditionalFormatting sqref="J1676:K1676">
    <cfRule type="expression" dxfId="16695" priority="80487">
      <formula>$H1676="ETAPA"</formula>
    </cfRule>
  </conditionalFormatting>
  <conditionalFormatting sqref="J1677:K1677">
    <cfRule type="expression" dxfId="16694" priority="80481">
      <formula>$H1677="ETAPA"</formula>
    </cfRule>
  </conditionalFormatting>
  <conditionalFormatting sqref="J1678:K1679">
    <cfRule type="expression" dxfId="16693" priority="80499">
      <formula>$H1678="ETAPA"</formula>
    </cfRule>
  </conditionalFormatting>
  <conditionalFormatting sqref="J1680:K1680">
    <cfRule type="expression" dxfId="16692" priority="80391">
      <formula>$H1680="ETAPA"</formula>
    </cfRule>
  </conditionalFormatting>
  <conditionalFormatting sqref="J1688:K1690 H1689:H1690 O1689:O1690">
    <cfRule type="expression" dxfId="16691" priority="80419">
      <formula>$H1688="ETAPA"</formula>
    </cfRule>
  </conditionalFormatting>
  <conditionalFormatting sqref="J1693:K1693 H1692">
    <cfRule type="expression" dxfId="16690" priority="80458">
      <formula>$H1692="ETAPA"</formula>
    </cfRule>
  </conditionalFormatting>
  <conditionalFormatting sqref="J1696:K1696">
    <cfRule type="expression" dxfId="16689" priority="80811">
      <formula>$H1696="ETAPA"</formula>
    </cfRule>
  </conditionalFormatting>
  <conditionalFormatting sqref="J1697:K1697">
    <cfRule type="expression" dxfId="16688" priority="80805">
      <formula>$H1697="ETAPA"</formula>
    </cfRule>
  </conditionalFormatting>
  <conditionalFormatting sqref="J1698:K1699">
    <cfRule type="expression" dxfId="16687" priority="80823">
      <formula>$H1698="ETAPA"</formula>
    </cfRule>
  </conditionalFormatting>
  <conditionalFormatting sqref="J1705:K1707 H1706:H1708 O1706:O1708">
    <cfRule type="expression" dxfId="16686" priority="80743">
      <formula>$H1705="ETAPA"</formula>
    </cfRule>
  </conditionalFormatting>
  <conditionalFormatting sqref="J1709:K1709">
    <cfRule type="expression" dxfId="16685" priority="80782">
      <formula>$H1709="ETAPA"</formula>
    </cfRule>
  </conditionalFormatting>
  <conditionalFormatting sqref="J1712:K1712">
    <cfRule type="expression" dxfId="16684" priority="81135">
      <formula>$H1712="ETAPA"</formula>
    </cfRule>
  </conditionalFormatting>
  <conditionalFormatting sqref="J1713:K1713">
    <cfRule type="expression" dxfId="16683" priority="81129">
      <formula>$H1713="ETAPA"</formula>
    </cfRule>
  </conditionalFormatting>
  <conditionalFormatting sqref="J1714:K1715">
    <cfRule type="expression" dxfId="16682" priority="81147">
      <formula>$H1714="ETAPA"</formula>
    </cfRule>
  </conditionalFormatting>
  <conditionalFormatting sqref="J1720:K1722 H1721:H1723 O1721:O1723">
    <cfRule type="expression" dxfId="16681" priority="81067">
      <formula>$H1720="ETAPA"</formula>
    </cfRule>
  </conditionalFormatting>
  <conditionalFormatting sqref="J1724:K1724">
    <cfRule type="expression" dxfId="16680" priority="81106">
      <formula>$H1724="ETAPA"</formula>
    </cfRule>
  </conditionalFormatting>
  <conditionalFormatting sqref="J1727:K1727">
    <cfRule type="expression" dxfId="16679" priority="81459">
      <formula>$H1727="ETAPA"</formula>
    </cfRule>
  </conditionalFormatting>
  <conditionalFormatting sqref="J1728:K1728">
    <cfRule type="expression" dxfId="16678" priority="81453">
      <formula>$H1728="ETAPA"</formula>
    </cfRule>
  </conditionalFormatting>
  <conditionalFormatting sqref="J1729:K1730">
    <cfRule type="expression" dxfId="16677" priority="81471">
      <formula>$H1729="ETAPA"</formula>
    </cfRule>
  </conditionalFormatting>
  <conditionalFormatting sqref="J1733:K1735 O1734:O1736 H1734:H1738">
    <cfRule type="expression" dxfId="16676" priority="81391">
      <formula>$H1733="ETAPA"</formula>
    </cfRule>
  </conditionalFormatting>
  <conditionalFormatting sqref="J1739:K1739">
    <cfRule type="expression" dxfId="16675" priority="81783">
      <formula>$H1739="ETAPA"</formula>
    </cfRule>
  </conditionalFormatting>
  <conditionalFormatting sqref="J1740:K1740">
    <cfRule type="expression" dxfId="16674" priority="81777">
      <formula>$H1740="ETAPA"</formula>
    </cfRule>
  </conditionalFormatting>
  <conditionalFormatting sqref="J1745:K1747 H1746:H1748 O1746:O1748">
    <cfRule type="expression" dxfId="16673" priority="81715">
      <formula>$H1745="ETAPA"</formula>
    </cfRule>
  </conditionalFormatting>
  <conditionalFormatting sqref="J1751:K1751">
    <cfRule type="expression" dxfId="16672" priority="82107">
      <formula>$H1751="ETAPA"</formula>
    </cfRule>
  </conditionalFormatting>
  <conditionalFormatting sqref="J1752:K1752">
    <cfRule type="expression" dxfId="16671" priority="82101">
      <formula>$H1752="ETAPA"</formula>
    </cfRule>
  </conditionalFormatting>
  <conditionalFormatting sqref="J1753:K1754">
    <cfRule type="expression" dxfId="16670" priority="82119">
      <formula>$H1753="ETAPA"</formula>
    </cfRule>
  </conditionalFormatting>
  <conditionalFormatting sqref="J1757:K1759 O1758:O1760 H1758:H1767">
    <cfRule type="expression" dxfId="16669" priority="82039">
      <formula>$H1757="ETAPA"</formula>
    </cfRule>
  </conditionalFormatting>
  <conditionalFormatting sqref="J1763:K1763">
    <cfRule type="expression" dxfId="16668" priority="82431">
      <formula>$H1763="ETAPA"</formula>
    </cfRule>
  </conditionalFormatting>
  <conditionalFormatting sqref="J1764:K1764">
    <cfRule type="expression" dxfId="16667" priority="82425">
      <formula>$H1764="ETAPA"</formula>
    </cfRule>
  </conditionalFormatting>
  <conditionalFormatting sqref="J1765:K1766">
    <cfRule type="expression" dxfId="16666" priority="82443">
      <formula>$H1765="ETAPA"</formula>
    </cfRule>
  </conditionalFormatting>
  <conditionalFormatting sqref="J1767:K1767">
    <cfRule type="expression" dxfId="16665" priority="82335">
      <formula>$H1767="ETAPA"</formula>
    </cfRule>
  </conditionalFormatting>
  <conditionalFormatting sqref="J1779:K1780 O1779:O1780 H1779:H1783">
    <cfRule type="expression" dxfId="16664" priority="82363">
      <formula>$H1779="ETAPA"</formula>
    </cfRule>
  </conditionalFormatting>
  <conditionalFormatting sqref="J1787:K1787">
    <cfRule type="expression" dxfId="16663" priority="82755">
      <formula>$H1787="ETAPA"</formula>
    </cfRule>
  </conditionalFormatting>
  <conditionalFormatting sqref="J1788:K1788">
    <cfRule type="expression" dxfId="16662" priority="82749">
      <formula>$H1788="ETAPA"</formula>
    </cfRule>
  </conditionalFormatting>
  <conditionalFormatting sqref="J1789:K1790">
    <cfRule type="expression" dxfId="16661" priority="82767">
      <formula>$H1789="ETAPA"</formula>
    </cfRule>
  </conditionalFormatting>
  <conditionalFormatting sqref="J1791:K1791">
    <cfRule type="expression" dxfId="16660" priority="82659">
      <formula>$H1791="ETAPA"</formula>
    </cfRule>
  </conditionalFormatting>
  <conditionalFormatting sqref="J1810:K1810 H1809">
    <cfRule type="expression" dxfId="16659" priority="82726">
      <formula>$H1809="ETAPA"</formula>
    </cfRule>
  </conditionalFormatting>
  <conditionalFormatting sqref="J1813:K1813">
    <cfRule type="expression" dxfId="16658" priority="83079">
      <formula>$H1813="ETAPA"</formula>
    </cfRule>
  </conditionalFormatting>
  <conditionalFormatting sqref="J1814:K1814">
    <cfRule type="expression" dxfId="16657" priority="83073">
      <formula>$H1814="ETAPA"</formula>
    </cfRule>
  </conditionalFormatting>
  <conditionalFormatting sqref="J1816:K1816">
    <cfRule type="expression" dxfId="16656" priority="82983">
      <formula>$H1816="ETAPA"</formula>
    </cfRule>
  </conditionalFormatting>
  <conditionalFormatting sqref="J1820:K1820">
    <cfRule type="expression" dxfId="16655" priority="83161">
      <formula>$H1820="ETAPA"</formula>
    </cfRule>
  </conditionalFormatting>
  <conditionalFormatting sqref="J1823:K1823">
    <cfRule type="expression" dxfId="16654" priority="83050">
      <formula>$H1823="ETAPA"</formula>
    </cfRule>
  </conditionalFormatting>
  <conditionalFormatting sqref="J1826:K1826">
    <cfRule type="expression" dxfId="16653" priority="83403">
      <formula>$H1826="ETAPA"</formula>
    </cfRule>
  </conditionalFormatting>
  <conditionalFormatting sqref="J1827:K1827">
    <cfRule type="expression" dxfId="16652" priority="83397">
      <formula>$H1827="ETAPA"</formula>
    </cfRule>
  </conditionalFormatting>
  <conditionalFormatting sqref="J1829:K1829">
    <cfRule type="expression" dxfId="16651" priority="83307">
      <formula>$H1829="ETAPA"</formula>
    </cfRule>
  </conditionalFormatting>
  <conditionalFormatting sqref="J1836:K1836">
    <cfRule type="expression" dxfId="16650" priority="83374">
      <formula>$H1836="ETAPA"</formula>
    </cfRule>
  </conditionalFormatting>
  <conditionalFormatting sqref="J1839:K1839">
    <cfRule type="expression" dxfId="16649" priority="111879">
      <formula>$H1839="ETAPA"</formula>
    </cfRule>
  </conditionalFormatting>
  <conditionalFormatting sqref="J1840:K1840">
    <cfRule type="expression" dxfId="16648" priority="111832">
      <formula>$H1840="ETAPA"</formula>
    </cfRule>
  </conditionalFormatting>
  <conditionalFormatting sqref="J1842:K1842">
    <cfRule type="expression" dxfId="16647" priority="104421">
      <formula>$H1842="ETAPA"</formula>
    </cfRule>
  </conditionalFormatting>
  <conditionalFormatting sqref="J1852:K1852">
    <cfRule type="expression" dxfId="16646" priority="111766">
      <formula>$H1852="ETAPA"</formula>
    </cfRule>
  </conditionalFormatting>
  <conditionalFormatting sqref="J1855:K1855">
    <cfRule type="expression" dxfId="16645" priority="79216">
      <formula>$H1855="ETAPA"</formula>
    </cfRule>
  </conditionalFormatting>
  <conditionalFormatting sqref="J1856:K1856">
    <cfRule type="expression" dxfId="16644" priority="79210">
      <formula>$H1856="ETAPA"</formula>
    </cfRule>
  </conditionalFormatting>
  <conditionalFormatting sqref="J1858:K1858">
    <cfRule type="expression" dxfId="16643" priority="79120">
      <formula>$H1858="ETAPA"</formula>
    </cfRule>
  </conditionalFormatting>
  <conditionalFormatting sqref="J1868:K1868 H1867">
    <cfRule type="expression" dxfId="16642" priority="79187">
      <formula>$H1867="ETAPA"</formula>
    </cfRule>
  </conditionalFormatting>
  <conditionalFormatting sqref="J1871:K1871">
    <cfRule type="expression" dxfId="16641" priority="79540">
      <formula>$H1871="ETAPA"</formula>
    </cfRule>
  </conditionalFormatting>
  <conditionalFormatting sqref="J1872:K1872">
    <cfRule type="expression" dxfId="16640" priority="79534">
      <formula>$H1872="ETAPA"</formula>
    </cfRule>
  </conditionalFormatting>
  <conditionalFormatting sqref="J1881:K1881 H1880">
    <cfRule type="expression" dxfId="16639" priority="79511">
      <formula>$H1880="ETAPA"</formula>
    </cfRule>
  </conditionalFormatting>
  <conditionalFormatting sqref="J1884:K1884">
    <cfRule type="expression" dxfId="16638" priority="79864">
      <formula>$H1884="ETAPA"</formula>
    </cfRule>
  </conditionalFormatting>
  <conditionalFormatting sqref="J1885:K1885">
    <cfRule type="expression" dxfId="16637" priority="79858">
      <formula>$H1885="ETAPA"</formula>
    </cfRule>
  </conditionalFormatting>
  <conditionalFormatting sqref="J1891:K1891 J1895:K1896">
    <cfRule type="expression" dxfId="16636" priority="79835">
      <formula>$H1891="ETAPA"</formula>
    </cfRule>
  </conditionalFormatting>
  <conditionalFormatting sqref="J2043:K2043 H2043">
    <cfRule type="expression" dxfId="16635" priority="67268">
      <formula>$H2043="ETAPA"</formula>
    </cfRule>
  </conditionalFormatting>
  <conditionalFormatting sqref="J2047:K2047">
    <cfRule type="expression" dxfId="16634" priority="67155">
      <formula>$H2047="ETAPA"</formula>
    </cfRule>
  </conditionalFormatting>
  <conditionalFormatting sqref="J2058:K2060">
    <cfRule type="expression" dxfId="16633" priority="67184">
      <formula>$H2058="ETAPA"</formula>
    </cfRule>
  </conditionalFormatting>
  <conditionalFormatting sqref="J2092:K2092 O2093">
    <cfRule type="expression" dxfId="16632" priority="68644">
      <formula>$H2092="ETAPA"</formula>
    </cfRule>
  </conditionalFormatting>
  <conditionalFormatting sqref="J2164:K2164 O2162:O2164 H2162:H2164 J2162:L2162 K2163:L2163">
    <cfRule type="expression" dxfId="16631" priority="70788">
      <formula>$H2162="SUBETAPA"</formula>
    </cfRule>
  </conditionalFormatting>
  <conditionalFormatting sqref="J2166:K2166">
    <cfRule type="expression" dxfId="16630" priority="70995">
      <formula>$H2166="ETAPA"</formula>
    </cfRule>
  </conditionalFormatting>
  <conditionalFormatting sqref="J2190:K2190">
    <cfRule type="expression" dxfId="16629" priority="71635">
      <formula>$H2190="ETAPA"</formula>
    </cfRule>
  </conditionalFormatting>
  <conditionalFormatting sqref="J2218:K2219">
    <cfRule type="expression" dxfId="16628" priority="72275">
      <formula>$H2218="ETAPA"</formula>
    </cfRule>
  </conditionalFormatting>
  <conditionalFormatting sqref="J2238:K2239">
    <cfRule type="expression" dxfId="16627" priority="72915">
      <formula>$H2238="ETAPA"</formula>
    </cfRule>
  </conditionalFormatting>
  <conditionalFormatting sqref="J2258:K2259 H2258:H2259">
    <cfRule type="expression" dxfId="16626" priority="73668">
      <formula>$H2258="ETAPA"</formula>
    </cfRule>
  </conditionalFormatting>
  <conditionalFormatting sqref="J2261:K2261">
    <cfRule type="expression" dxfId="16625" priority="73555">
      <formula>$H2261="ETAPA"</formula>
    </cfRule>
  </conditionalFormatting>
  <conditionalFormatting sqref="J2281:K2282 H2281:H2282">
    <cfRule type="expression" dxfId="16624" priority="74308">
      <formula>$H2281="ETAPA"</formula>
    </cfRule>
  </conditionalFormatting>
  <conditionalFormatting sqref="J2285:K2285">
    <cfRule type="expression" dxfId="16623" priority="74195">
      <formula>$H2285="ETAPA"</formula>
    </cfRule>
  </conditionalFormatting>
  <conditionalFormatting sqref="J2299:K2300">
    <cfRule type="expression" dxfId="16622" priority="74737">
      <formula>$H2299="ETAPA"</formula>
    </cfRule>
  </conditionalFormatting>
  <conditionalFormatting sqref="J2306:K2307 H2306:H2307">
    <cfRule type="expression" dxfId="16621" priority="74948">
      <formula>$H2306="ETAPA"</formula>
    </cfRule>
  </conditionalFormatting>
  <conditionalFormatting sqref="J2316:K2318">
    <cfRule type="expression" dxfId="16620" priority="74864">
      <formula>$H2316="ETAPA"</formula>
    </cfRule>
  </conditionalFormatting>
  <conditionalFormatting sqref="J2379:K2379">
    <cfRule type="expression" dxfId="16619" priority="62134">
      <formula>$H2379="SUBETAPA"</formula>
    </cfRule>
    <cfRule type="expression" dxfId="16618" priority="62135">
      <formula>$H2379="CÉLULA CONSTRUTIVA"</formula>
    </cfRule>
  </conditionalFormatting>
  <conditionalFormatting sqref="J2380:K2380">
    <cfRule type="expression" dxfId="16617" priority="7086">
      <formula>$H2380="SUBETAPA"</formula>
    </cfRule>
    <cfRule type="expression" dxfId="16616" priority="7087">
      <formula>$H2380="CÉLULA CONSTRUTIVA"</formula>
    </cfRule>
  </conditionalFormatting>
  <conditionalFormatting sqref="J2382:K2382">
    <cfRule type="expression" dxfId="16615" priority="62124">
      <formula>$H2382="ETAPA"</formula>
    </cfRule>
  </conditionalFormatting>
  <conditionalFormatting sqref="J2404:K2404">
    <cfRule type="expression" dxfId="16614" priority="62373">
      <formula>$H2404="SUBETAPA"</formula>
    </cfRule>
    <cfRule type="expression" dxfId="16613" priority="62374">
      <formula>$H2404="CÉLULA CONSTRUTIVA"</formula>
    </cfRule>
  </conditionalFormatting>
  <conditionalFormatting sqref="J2405:K2405">
    <cfRule type="expression" dxfId="16612" priority="7030">
      <formula>$H2405="SUBETAPA"</formula>
    </cfRule>
    <cfRule type="expression" dxfId="16611" priority="7031">
      <formula>$H2405="CÉLULA CONSTRUTIVA"</formula>
    </cfRule>
  </conditionalFormatting>
  <conditionalFormatting sqref="J2407:K2407">
    <cfRule type="expression" dxfId="16610" priority="62363">
      <formula>$H2407="ETAPA"</formula>
    </cfRule>
  </conditionalFormatting>
  <conditionalFormatting sqref="J2427:K2427">
    <cfRule type="expression" dxfId="16609" priority="62612">
      <formula>$H2427="SUBETAPA"</formula>
    </cfRule>
    <cfRule type="expression" dxfId="16608" priority="62613">
      <formula>$H2427="CÉLULA CONSTRUTIVA"</formula>
    </cfRule>
  </conditionalFormatting>
  <conditionalFormatting sqref="J2428:K2428">
    <cfRule type="expression" dxfId="16607" priority="6974">
      <formula>$H2428="SUBETAPA"</formula>
    </cfRule>
    <cfRule type="expression" dxfId="16606" priority="6975">
      <formula>$H2428="CÉLULA CONSTRUTIVA"</formula>
    </cfRule>
  </conditionalFormatting>
  <conditionalFormatting sqref="J2430:K2430">
    <cfRule type="expression" dxfId="16605" priority="62602">
      <formula>$H2430="ETAPA"</formula>
    </cfRule>
  </conditionalFormatting>
  <conditionalFormatting sqref="J2450:K2450">
    <cfRule type="expression" dxfId="16604" priority="62851">
      <formula>$H2450="SUBETAPA"</formula>
    </cfRule>
    <cfRule type="expression" dxfId="16603" priority="62852">
      <formula>$H2450="CÉLULA CONSTRUTIVA"</formula>
    </cfRule>
  </conditionalFormatting>
  <conditionalFormatting sqref="J2451:K2451">
    <cfRule type="expression" dxfId="16602" priority="6918">
      <formula>$H2451="SUBETAPA"</formula>
    </cfRule>
    <cfRule type="expression" dxfId="16601" priority="6919">
      <formula>$H2451="CÉLULA CONSTRUTIVA"</formula>
    </cfRule>
  </conditionalFormatting>
  <conditionalFormatting sqref="J2453:K2453">
    <cfRule type="expression" dxfId="16600" priority="62841">
      <formula>$H2453="ETAPA"</formula>
    </cfRule>
  </conditionalFormatting>
  <conditionalFormatting sqref="J2474:K2474">
    <cfRule type="expression" dxfId="16599" priority="63090">
      <formula>$H2474="SUBETAPA"</formula>
    </cfRule>
    <cfRule type="expression" dxfId="16598" priority="63091">
      <formula>$H2474="CÉLULA CONSTRUTIVA"</formula>
    </cfRule>
  </conditionalFormatting>
  <conditionalFormatting sqref="J2475:K2475">
    <cfRule type="expression" dxfId="16597" priority="6862">
      <formula>$H2475="SUBETAPA"</formula>
    </cfRule>
    <cfRule type="expression" dxfId="16596" priority="6863">
      <formula>$H2475="CÉLULA CONSTRUTIVA"</formula>
    </cfRule>
  </conditionalFormatting>
  <conditionalFormatting sqref="J2477:K2477">
    <cfRule type="expression" dxfId="16595" priority="63080">
      <formula>$H2477="ETAPA"</formula>
    </cfRule>
  </conditionalFormatting>
  <conditionalFormatting sqref="J2502:K2502">
    <cfRule type="expression" dxfId="16594" priority="63329">
      <formula>$H2502="SUBETAPA"</formula>
    </cfRule>
    <cfRule type="expression" dxfId="16593" priority="63330">
      <formula>$H2502="CÉLULA CONSTRUTIVA"</formula>
    </cfRule>
  </conditionalFormatting>
  <conditionalFormatting sqref="J2503:K2503">
    <cfRule type="expression" dxfId="16592" priority="6806">
      <formula>$H2503="SUBETAPA"</formula>
    </cfRule>
    <cfRule type="expression" dxfId="16591" priority="6807">
      <formula>$H2503="CÉLULA CONSTRUTIVA"</formula>
    </cfRule>
  </conditionalFormatting>
  <conditionalFormatting sqref="J2526:K2526">
    <cfRule type="expression" dxfId="16590" priority="6737">
      <formula>$H2526="SUBETAPA"</formula>
    </cfRule>
    <cfRule type="expression" dxfId="16589" priority="6738">
      <formula>$H2526="CÉLULA CONSTRUTIVA"</formula>
    </cfRule>
  </conditionalFormatting>
  <conditionalFormatting sqref="J2544:K2544">
    <cfRule type="expression" dxfId="16588" priority="6673">
      <formula>$H2544="SUBETAPA"</formula>
    </cfRule>
    <cfRule type="expression" dxfId="16587" priority="6674">
      <formula>$H2544="CÉLULA CONSTRUTIVA"</formula>
    </cfRule>
  </conditionalFormatting>
  <conditionalFormatting sqref="J2560:K2560">
    <cfRule type="expression" dxfId="16586" priority="6615">
      <formula>$H2560="SUBETAPA"</formula>
    </cfRule>
    <cfRule type="expression" dxfId="16585" priority="6616">
      <formula>$H2560="CÉLULA CONSTRUTIVA"</formula>
    </cfRule>
  </conditionalFormatting>
  <conditionalFormatting sqref="J2576:K2576">
    <cfRule type="expression" dxfId="16584" priority="6557">
      <formula>$H2576="SUBETAPA"</formula>
    </cfRule>
    <cfRule type="expression" dxfId="16583" priority="6558">
      <formula>$H2576="CÉLULA CONSTRUTIVA"</formula>
    </cfRule>
  </conditionalFormatting>
  <conditionalFormatting sqref="J2592:K2592">
    <cfRule type="expression" dxfId="16582" priority="6499">
      <formula>$H2592="SUBETAPA"</formula>
    </cfRule>
    <cfRule type="expression" dxfId="16581" priority="6500">
      <formula>$H2592="CÉLULA CONSTRUTIVA"</formula>
    </cfRule>
  </conditionalFormatting>
  <conditionalFormatting sqref="J2608:K2608">
    <cfRule type="expression" dxfId="16580" priority="6441">
      <formula>$H2608="SUBETAPA"</formula>
    </cfRule>
    <cfRule type="expression" dxfId="16579" priority="6442">
      <formula>$H2608="CÉLULA CONSTRUTIVA"</formula>
    </cfRule>
  </conditionalFormatting>
  <conditionalFormatting sqref="J2623:K2623">
    <cfRule type="expression" dxfId="16578" priority="6383">
      <formula>$H2623="SUBETAPA"</formula>
    </cfRule>
    <cfRule type="expression" dxfId="16577" priority="6384">
      <formula>$H2623="CÉLULA CONSTRUTIVA"</formula>
    </cfRule>
  </conditionalFormatting>
  <conditionalFormatting sqref="J2630:K2630 M2631:M2635 G2635:H2635 J2635:L2635">
    <cfRule type="expression" dxfId="16576" priority="1952">
      <formula>$H2630="CÉLULA CONSTRUTIVA"</formula>
    </cfRule>
  </conditionalFormatting>
  <conditionalFormatting sqref="J2630:K2630">
    <cfRule type="expression" dxfId="16575" priority="1948">
      <formula>$H2630="SUBETAPA"</formula>
    </cfRule>
  </conditionalFormatting>
  <conditionalFormatting sqref="J2641:K2641">
    <cfRule type="expression" dxfId="16574" priority="2016">
      <formula>$H2641="SUBETAPA"</formula>
    </cfRule>
    <cfRule type="expression" dxfId="16573" priority="2020">
      <formula>$H2641="CÉLULA CONSTRUTIVA"</formula>
    </cfRule>
  </conditionalFormatting>
  <conditionalFormatting sqref="J2651:K2651">
    <cfRule type="expression" dxfId="16572" priority="2084">
      <formula>$H2651="SUBETAPA"</formula>
    </cfRule>
    <cfRule type="expression" dxfId="16571" priority="2088">
      <formula>$H2651="CÉLULA CONSTRUTIVA"</formula>
    </cfRule>
  </conditionalFormatting>
  <conditionalFormatting sqref="J2660:K2660">
    <cfRule type="expression" dxfId="16570" priority="2152">
      <formula>$H2660="SUBETAPA"</formula>
    </cfRule>
    <cfRule type="expression" dxfId="16569" priority="2156">
      <formula>$H2660="CÉLULA CONSTRUTIVA"</formula>
    </cfRule>
  </conditionalFormatting>
  <conditionalFormatting sqref="J2667:K2667">
    <cfRule type="expression" dxfId="16568" priority="2220">
      <formula>$H2667="SUBETAPA"</formula>
    </cfRule>
    <cfRule type="expression" dxfId="16567" priority="2224">
      <formula>$H2667="CÉLULA CONSTRUTIVA"</formula>
    </cfRule>
  </conditionalFormatting>
  <conditionalFormatting sqref="J2674:K2674">
    <cfRule type="expression" dxfId="16566" priority="2288">
      <formula>$H2674="SUBETAPA"</formula>
    </cfRule>
    <cfRule type="expression" dxfId="16565" priority="2292">
      <formula>$H2674="CÉLULA CONSTRUTIVA"</formula>
    </cfRule>
  </conditionalFormatting>
  <conditionalFormatting sqref="J2682:K2682">
    <cfRule type="expression" dxfId="16564" priority="2356">
      <formula>$H2682="SUBETAPA"</formula>
    </cfRule>
    <cfRule type="expression" dxfId="16563" priority="2360">
      <formula>$H2682="CÉLULA CONSTRUTIVA"</formula>
    </cfRule>
  </conditionalFormatting>
  <conditionalFormatting sqref="J2692:K2692">
    <cfRule type="expression" dxfId="16562" priority="2424">
      <formula>$H2692="SUBETAPA"</formula>
    </cfRule>
    <cfRule type="expression" dxfId="16561" priority="2428">
      <formula>$H2692="CÉLULA CONSTRUTIVA"</formula>
    </cfRule>
  </conditionalFormatting>
  <conditionalFormatting sqref="J2700:K2700">
    <cfRule type="expression" dxfId="16560" priority="2492">
      <formula>$H2700="SUBETAPA"</formula>
    </cfRule>
    <cfRule type="expression" dxfId="16559" priority="2496">
      <formula>$H2700="CÉLULA CONSTRUTIVA"</formula>
    </cfRule>
  </conditionalFormatting>
  <conditionalFormatting sqref="J2711:K2711">
    <cfRule type="expression" dxfId="16558" priority="2560">
      <formula>$H2711="SUBETAPA"</formula>
    </cfRule>
    <cfRule type="expression" dxfId="16557" priority="2564">
      <formula>$H2711="CÉLULA CONSTRUTIVA"</formula>
    </cfRule>
  </conditionalFormatting>
  <conditionalFormatting sqref="J2722:K2722">
    <cfRule type="expression" dxfId="16556" priority="1803">
      <formula>$H2722="SUBETAPA"</formula>
    </cfRule>
    <cfRule type="expression" dxfId="16555" priority="1807">
      <formula>$H2722="CÉLULA CONSTRUTIVA"</formula>
    </cfRule>
  </conditionalFormatting>
  <conditionalFormatting sqref="J2733:K2733">
    <cfRule type="expression" dxfId="16554" priority="1876">
      <formula>$H2733="SUBETAPA"</formula>
    </cfRule>
    <cfRule type="expression" dxfId="16553" priority="1884">
      <formula>$H2733="CÉLULA CONSTRUTIVA"</formula>
    </cfRule>
  </conditionalFormatting>
  <conditionalFormatting sqref="J2744:K2744">
    <cfRule type="expression" dxfId="16552" priority="2628">
      <formula>$H2744="SUBETAPA"</formula>
    </cfRule>
    <cfRule type="expression" dxfId="16551" priority="2632">
      <formula>$H2744="CÉLULA CONSTRUTIVA"</formula>
    </cfRule>
  </conditionalFormatting>
  <conditionalFormatting sqref="J2829:K2829">
    <cfRule type="expression" dxfId="16550" priority="431">
      <formula>$H2829="ETAPA"</formula>
    </cfRule>
  </conditionalFormatting>
  <conditionalFormatting sqref="J2838:K2838">
    <cfRule type="expression" dxfId="16549" priority="496">
      <formula>$H2838="ETAPA"</formula>
    </cfRule>
  </conditionalFormatting>
  <conditionalFormatting sqref="J2847:K2847">
    <cfRule type="expression" dxfId="16548" priority="561">
      <formula>$H2847="ETAPA"</formula>
    </cfRule>
  </conditionalFormatting>
  <conditionalFormatting sqref="J2856:K2856">
    <cfRule type="expression" dxfId="16547" priority="626">
      <formula>$H2856="ETAPA"</formula>
    </cfRule>
  </conditionalFormatting>
  <conditionalFormatting sqref="J2865:K2865">
    <cfRule type="expression" dxfId="16546" priority="691">
      <formula>$H2865="ETAPA"</formula>
    </cfRule>
  </conditionalFormatting>
  <conditionalFormatting sqref="J2874:K2874">
    <cfRule type="expression" dxfId="16545" priority="756">
      <formula>$H2874="ETAPA"</formula>
    </cfRule>
  </conditionalFormatting>
  <conditionalFormatting sqref="J2885:K2885">
    <cfRule type="expression" dxfId="16544" priority="821">
      <formula>$H2885="ETAPA"</formula>
    </cfRule>
  </conditionalFormatting>
  <conditionalFormatting sqref="J2905:K2905">
    <cfRule type="expression" dxfId="16543" priority="951">
      <formula>$H2905="ETAPA"</formula>
    </cfRule>
  </conditionalFormatting>
  <conditionalFormatting sqref="J2914:K2914">
    <cfRule type="expression" dxfId="16542" priority="1016">
      <formula>$H2914="ETAPA"</formula>
    </cfRule>
  </conditionalFormatting>
  <conditionalFormatting sqref="J2923:K2923">
    <cfRule type="expression" dxfId="16541" priority="1081">
      <formula>$H2923="ETAPA"</formula>
    </cfRule>
  </conditionalFormatting>
  <conditionalFormatting sqref="J2932:K2932">
    <cfRule type="expression" dxfId="16540" priority="1146">
      <formula>$H2932="ETAPA"</formula>
    </cfRule>
  </conditionalFormatting>
  <conditionalFormatting sqref="J387:L387 J388:K390 J395:L395">
    <cfRule type="expression" dxfId="16539" priority="99336">
      <formula>$H387="CÉLULA CONSTRUTIVA"</formula>
    </cfRule>
  </conditionalFormatting>
  <conditionalFormatting sqref="J404:L404 J405:K407 J412:L412">
    <cfRule type="expression" dxfId="16538" priority="99431">
      <formula>$H404="CÉLULA CONSTRUTIVA"</formula>
    </cfRule>
  </conditionalFormatting>
  <conditionalFormatting sqref="J421:L421 J422:K424 J428:L428">
    <cfRule type="expression" dxfId="16537" priority="99526">
      <formula>$H421="CÉLULA CONSTRUTIVA"</formula>
    </cfRule>
  </conditionalFormatting>
  <conditionalFormatting sqref="J437:L437 J438:K440 J444:L444">
    <cfRule type="expression" dxfId="16536" priority="99621">
      <formula>$H437="CÉLULA CONSTRUTIVA"</formula>
    </cfRule>
  </conditionalFormatting>
  <conditionalFormatting sqref="J453:L453 J454:K456 J461:L461">
    <cfRule type="expression" dxfId="16535" priority="99716">
      <formula>$H453="CÉLULA CONSTRUTIVA"</formula>
    </cfRule>
  </conditionalFormatting>
  <conditionalFormatting sqref="J470:L470 J471:K473 J478:L478">
    <cfRule type="expression" dxfId="16534" priority="99811">
      <formula>$H470="CÉLULA CONSTRUTIVA"</formula>
    </cfRule>
  </conditionalFormatting>
  <conditionalFormatting sqref="J487:L487 J488:K490 J495:L495">
    <cfRule type="expression" dxfId="16533" priority="99906">
      <formula>$H487="CÉLULA CONSTRUTIVA"</formula>
    </cfRule>
  </conditionalFormatting>
  <conditionalFormatting sqref="J504:L504 J513:L513 J505:K508">
    <cfRule type="expression" dxfId="16532" priority="100000">
      <formula>$H504="SUBETAPA"</formula>
    </cfRule>
    <cfRule type="expression" dxfId="16531" priority="100001">
      <formula>$H504="CÉLULA CONSTRUTIVA"</formula>
    </cfRule>
  </conditionalFormatting>
  <conditionalFormatting sqref="J522:L522 J523:K525 J531:L531">
    <cfRule type="expression" dxfId="16530" priority="100096">
      <formula>$H522="CÉLULA CONSTRUTIVA"</formula>
    </cfRule>
  </conditionalFormatting>
  <conditionalFormatting sqref="J540:L540 J541:K543 J549:L549">
    <cfRule type="expression" dxfId="16529" priority="100191">
      <formula>$H540="CÉLULA CONSTRUTIVA"</formula>
    </cfRule>
  </conditionalFormatting>
  <conditionalFormatting sqref="J558:L558 J559:K561 J567:L567">
    <cfRule type="expression" dxfId="16528" priority="100286">
      <formula>$H558="CÉLULA CONSTRUTIVA"</formula>
    </cfRule>
  </conditionalFormatting>
  <conditionalFormatting sqref="J576:L576 J577:K579 J583:L583">
    <cfRule type="expression" dxfId="16527" priority="100381">
      <formula>$H576="CÉLULA CONSTRUTIVA"</formula>
    </cfRule>
  </conditionalFormatting>
  <conditionalFormatting sqref="J593:L593 J594:K596 J602:L602">
    <cfRule type="expression" dxfId="16526" priority="100476">
      <formula>$H593="CÉLULA CONSTRUTIVA"</formula>
    </cfRule>
  </conditionalFormatting>
  <conditionalFormatting sqref="J610:L610 J611:K613 J616:L616">
    <cfRule type="expression" dxfId="16525" priority="100571">
      <formula>$H610="CÉLULA CONSTRUTIVA"</formula>
    </cfRule>
  </conditionalFormatting>
  <conditionalFormatting sqref="J1427:L1427">
    <cfRule type="expression" dxfId="16524" priority="91772">
      <formula>$H1427="ETAPA"</formula>
    </cfRule>
  </conditionalFormatting>
  <conditionalFormatting sqref="J1573:L1574">
    <cfRule type="expression" dxfId="16523" priority="90317">
      <formula>$H1573="ETAPA"</formula>
    </cfRule>
  </conditionalFormatting>
  <conditionalFormatting sqref="J1668:L1669">
    <cfRule type="expression" dxfId="16522" priority="97588">
      <formula>$H1668="ETAPA"</formula>
    </cfRule>
  </conditionalFormatting>
  <conditionalFormatting sqref="J1674:L1675 L1676:L1680 J1681:L1681">
    <cfRule type="expression" dxfId="16521" priority="80570">
      <formula>$H1674="ETAPA"</formula>
    </cfRule>
  </conditionalFormatting>
  <conditionalFormatting sqref="J1683:L1683 H1683:H1684 O1683:O1684 J1684">
    <cfRule type="expression" dxfId="16520" priority="80356">
      <formula>$H1683="ETAPA"</formula>
    </cfRule>
  </conditionalFormatting>
  <conditionalFormatting sqref="J1694:L1695">
    <cfRule type="expression" dxfId="16519" priority="80894">
      <formula>$H1694="ETAPA"</formula>
    </cfRule>
  </conditionalFormatting>
  <conditionalFormatting sqref="J1710:L1711">
    <cfRule type="expression" dxfId="16518" priority="81218">
      <formula>$H1710="ETAPA"</formula>
    </cfRule>
  </conditionalFormatting>
  <conditionalFormatting sqref="J1725:L1726">
    <cfRule type="expression" dxfId="16517" priority="81542">
      <formula>$H1725="ETAPA"</formula>
    </cfRule>
  </conditionalFormatting>
  <conditionalFormatting sqref="J1737:L1738">
    <cfRule type="expression" dxfId="16516" priority="81866">
      <formula>$H1737="ETAPA"</formula>
    </cfRule>
  </conditionalFormatting>
  <conditionalFormatting sqref="J1743:L1743 H1743:H1744 J1744">
    <cfRule type="expression" dxfId="16515" priority="81652">
      <formula>$H1743="ETAPA"</formula>
    </cfRule>
  </conditionalFormatting>
  <conditionalFormatting sqref="J1749:L1750">
    <cfRule type="expression" dxfId="16514" priority="82190">
      <formula>$H1749="ETAPA"</formula>
    </cfRule>
  </conditionalFormatting>
  <conditionalFormatting sqref="J1761:L1762 L1763:L1767 L1776:L1780">
    <cfRule type="expression" dxfId="16513" priority="82514">
      <formula>$H1761="ETAPA"</formula>
    </cfRule>
  </conditionalFormatting>
  <conditionalFormatting sqref="J1771:L1771 H1771:H1772 J1772">
    <cfRule type="expression" dxfId="16512" priority="82300">
      <formula>$H1771="ETAPA"</formula>
    </cfRule>
  </conditionalFormatting>
  <conditionalFormatting sqref="J1773:L1773 H1773:H1774 J1774 O1774:O1778 J1778:K1778 H1784:H1791 L1774">
    <cfRule type="expression" dxfId="16511" priority="82513">
      <formula>$H1773="ETAPA"</formula>
    </cfRule>
  </conditionalFormatting>
  <conditionalFormatting sqref="J1781:L1783 J1784:K1784">
    <cfRule type="expression" dxfId="16510" priority="82402">
      <formula>$H1781="ETAPA"</formula>
    </cfRule>
  </conditionalFormatting>
  <conditionalFormatting sqref="J1785:L1786 L1787:L1791 H1798 J1798 L1798 L1803:L1807">
    <cfRule type="expression" dxfId="16509" priority="82838">
      <formula>$H1785="ETAPA"</formula>
    </cfRule>
  </conditionalFormatting>
  <conditionalFormatting sqref="J1793:L1793 H1793:H1794 J1794">
    <cfRule type="expression" dxfId="16508" priority="82624">
      <formula>$H1793="ETAPA"</formula>
    </cfRule>
  </conditionalFormatting>
  <conditionalFormatting sqref="J1795:L1795 H1795:H1796 J1796 O1796 J1805:K1805 H1810:H1812 L1796">
    <cfRule type="expression" dxfId="16507" priority="82837">
      <formula>$H1795="ETAPA"</formula>
    </cfRule>
  </conditionalFormatting>
  <conditionalFormatting sqref="J1811:L1812">
    <cfRule type="expression" dxfId="16506" priority="83162">
      <formula>$H1811="ETAPA"</formula>
    </cfRule>
  </conditionalFormatting>
  <conditionalFormatting sqref="J1824:L1825">
    <cfRule type="expression" dxfId="16505" priority="83486">
      <formula>$H1824="ETAPA"</formula>
    </cfRule>
  </conditionalFormatting>
  <conditionalFormatting sqref="J1844:L1844">
    <cfRule type="expression" dxfId="16504" priority="83594">
      <formula>$H1844="CÉLULA CONSTRUTIVA"</formula>
    </cfRule>
    <cfRule type="expression" dxfId="16503" priority="83595">
      <formula>$H1844="SUBETAPA"</formula>
    </cfRule>
    <cfRule type="expression" dxfId="16502" priority="83596">
      <formula>$H1844="ETAPA"</formula>
    </cfRule>
  </conditionalFormatting>
  <conditionalFormatting sqref="J1860:L1860">
    <cfRule type="expression" dxfId="16501" priority="79083">
      <formula>$H1860="CÉLULA CONSTRUTIVA"</formula>
    </cfRule>
    <cfRule type="expression" dxfId="16500" priority="79084">
      <formula>$H1860="SUBETAPA"</formula>
    </cfRule>
    <cfRule type="expression" dxfId="16499" priority="79085">
      <formula>$H1860="ETAPA"</formula>
    </cfRule>
  </conditionalFormatting>
  <conditionalFormatting sqref="J1869:L1870">
    <cfRule type="expression" dxfId="16498" priority="79623">
      <formula>$H1869="ETAPA"</formula>
    </cfRule>
  </conditionalFormatting>
  <conditionalFormatting sqref="J1874:L1874">
    <cfRule type="expression" dxfId="16497" priority="79407">
      <formula>$H1874="CÉLULA CONSTRUTIVA"</formula>
    </cfRule>
    <cfRule type="expression" dxfId="16496" priority="79408">
      <formula>$H1874="SUBETAPA"</formula>
    </cfRule>
    <cfRule type="expression" dxfId="16495" priority="79409">
      <formula>$H1874="ETAPA"</formula>
    </cfRule>
  </conditionalFormatting>
  <conditionalFormatting sqref="J1882:L1883">
    <cfRule type="expression" dxfId="16494" priority="79947">
      <formula>$H1882="ETAPA"</formula>
    </cfRule>
  </conditionalFormatting>
  <conditionalFormatting sqref="J1899:L1899">
    <cfRule type="expression" dxfId="16493" priority="76084">
      <formula>$H1899="SUBETAPA"</formula>
    </cfRule>
  </conditionalFormatting>
  <conditionalFormatting sqref="J1910:L1910">
    <cfRule type="expression" dxfId="16492" priority="76009">
      <formula>$H1910="SUBETAPA"</formula>
    </cfRule>
  </conditionalFormatting>
  <conditionalFormatting sqref="J1913:L1913">
    <cfRule type="expression" dxfId="16491" priority="76270">
      <formula>$H1913="SUBETAPA"</formula>
    </cfRule>
  </conditionalFormatting>
  <conditionalFormatting sqref="J1923:L1923">
    <cfRule type="expression" dxfId="16490" priority="76195">
      <formula>$H1923="SUBETAPA"</formula>
    </cfRule>
  </conditionalFormatting>
  <conditionalFormatting sqref="J1926:L1926">
    <cfRule type="expression" dxfId="16489" priority="76456">
      <formula>$H1926="SUBETAPA"</formula>
    </cfRule>
  </conditionalFormatting>
  <conditionalFormatting sqref="J1931:L1931">
    <cfRule type="expression" dxfId="16488" priority="76381">
      <formula>$H1931="SUBETAPA"</formula>
    </cfRule>
  </conditionalFormatting>
  <conditionalFormatting sqref="J1934:L1934">
    <cfRule type="expression" dxfId="16487" priority="76642">
      <formula>$H1934="SUBETAPA"</formula>
    </cfRule>
  </conditionalFormatting>
  <conditionalFormatting sqref="J1936:L1936">
    <cfRule type="expression" dxfId="16486" priority="76567">
      <formula>$H1936="SUBETAPA"</formula>
    </cfRule>
  </conditionalFormatting>
  <conditionalFormatting sqref="J1939:L1939">
    <cfRule type="expression" dxfId="16485" priority="76828">
      <formula>$H1939="SUBETAPA"</formula>
    </cfRule>
  </conditionalFormatting>
  <conditionalFormatting sqref="J1944:L1944">
    <cfRule type="expression" dxfId="16484" priority="76753">
      <formula>$H1944="SUBETAPA"</formula>
    </cfRule>
  </conditionalFormatting>
  <conditionalFormatting sqref="J1947:L1947">
    <cfRule type="expression" dxfId="16483" priority="77014">
      <formula>$H1947="SUBETAPA"</formula>
    </cfRule>
  </conditionalFormatting>
  <conditionalFormatting sqref="J1953:L1953">
    <cfRule type="expression" dxfId="16482" priority="76939">
      <formula>$H1953="SUBETAPA"</formula>
    </cfRule>
  </conditionalFormatting>
  <conditionalFormatting sqref="J1956:L1956">
    <cfRule type="expression" dxfId="16481" priority="77200">
      <formula>$H1956="SUBETAPA"</formula>
    </cfRule>
  </conditionalFormatting>
  <conditionalFormatting sqref="J1969:L1969">
    <cfRule type="expression" dxfId="16480" priority="77125">
      <formula>$H1969="SUBETAPA"</formula>
    </cfRule>
  </conditionalFormatting>
  <conditionalFormatting sqref="J2013:L2013">
    <cfRule type="expression" dxfId="16479" priority="78316">
      <formula>$H2013="SUBETAPA"</formula>
    </cfRule>
  </conditionalFormatting>
  <conditionalFormatting sqref="J2021:L2021">
    <cfRule type="expression" dxfId="16478" priority="78241">
      <formula>$H2021="SUBETAPA"</formula>
    </cfRule>
  </conditionalFormatting>
  <conditionalFormatting sqref="J2024:L2024">
    <cfRule type="expression" dxfId="16477" priority="78502">
      <formula>$H2024="SUBETAPA"</formula>
    </cfRule>
  </conditionalFormatting>
  <conditionalFormatting sqref="J2029:L2029">
    <cfRule type="expression" dxfId="16476" priority="78427">
      <formula>$H2029="SUBETAPA"</formula>
    </cfRule>
  </conditionalFormatting>
  <conditionalFormatting sqref="J2035:L2035 H2038:H2039 O2038:O2040 J2038:L2038 K2039:L2039">
    <cfRule type="expression" dxfId="16475" priority="67104">
      <formula>$H2035="CÉLULA CONSTRUTIVA"</formula>
    </cfRule>
  </conditionalFormatting>
  <conditionalFormatting sqref="J2094:L2094">
    <cfRule type="expression" dxfId="16474" priority="68641">
      <formula>$H2094="CÉLULA CONSTRUTIVA"</formula>
    </cfRule>
  </conditionalFormatting>
  <conditionalFormatting sqref="J2110:L2110">
    <cfRule type="expression" dxfId="16473" priority="69281">
      <formula>$H2110="CÉLULA CONSTRUTIVA"</formula>
    </cfRule>
  </conditionalFormatting>
  <conditionalFormatting sqref="J2127:L2127">
    <cfRule type="expression" dxfId="16472" priority="69921">
      <formula>$H2127="CÉLULA CONSTRUTIVA"</formula>
    </cfRule>
  </conditionalFormatting>
  <conditionalFormatting sqref="J2145:L2145">
    <cfRule type="expression" dxfId="16471" priority="70561">
      <formula>$H2145="CÉLULA CONSTRUTIVA"</formula>
    </cfRule>
  </conditionalFormatting>
  <conditionalFormatting sqref="J2165:L2165 H2152:H2153 J2152:L2153 J2160:K2160 O2168 H2172 J2172:L2172">
    <cfRule type="expression" dxfId="16470" priority="71204">
      <formula>$H2152="ETAPA"</formula>
    </cfRule>
  </conditionalFormatting>
  <conditionalFormatting sqref="J2178:L2182 H2180:H2182">
    <cfRule type="expression" dxfId="16469" priority="71085">
      <formula>$H2178="ETAPA"</formula>
    </cfRule>
  </conditionalFormatting>
  <conditionalFormatting sqref="J2220:L2220">
    <cfRule type="expression" dxfId="16468" priority="71972">
      <formula>$H2220="CÉLULA CONSTRUTIVA"</formula>
    </cfRule>
    <cfRule type="expression" dxfId="16467" priority="71976">
      <formula>$H2220="SUBETAPA"</formula>
    </cfRule>
  </conditionalFormatting>
  <conditionalFormatting sqref="J2240:L2240">
    <cfRule type="expression" dxfId="16466" priority="72612">
      <formula>$H2240="CÉLULA CONSTRUTIVA"</formula>
    </cfRule>
    <cfRule type="expression" dxfId="16465" priority="72616">
      <formula>$H2240="SUBETAPA"</formula>
    </cfRule>
  </conditionalFormatting>
  <conditionalFormatting sqref="J2378:L2379 M2369 G2370:H2370 G2378:H2378">
    <cfRule type="expression" dxfId="16464" priority="62207">
      <formula>$H2369="ETAPA"</formula>
    </cfRule>
  </conditionalFormatting>
  <conditionalFormatting sqref="J2403:L2404 M2396 G2397:H2397 G2403:H2403">
    <cfRule type="expression" dxfId="16463" priority="62446">
      <formula>$H2396="ETAPA"</formula>
    </cfRule>
  </conditionalFormatting>
  <conditionalFormatting sqref="J2426:L2427 M2419 G2420:H2420 G2426:H2426">
    <cfRule type="expression" dxfId="16462" priority="62685">
      <formula>$H2419="ETAPA"</formula>
    </cfRule>
  </conditionalFormatting>
  <conditionalFormatting sqref="J2449:L2450 M2442 G2443:H2443 G2449:H2449">
    <cfRule type="expression" dxfId="16461" priority="62924">
      <formula>$H2442="ETAPA"</formula>
    </cfRule>
  </conditionalFormatting>
  <conditionalFormatting sqref="J2473:L2474 M2466 G2467:H2467 G2473:H2473">
    <cfRule type="expression" dxfId="16460" priority="63163">
      <formula>$H2466="ETAPA"</formula>
    </cfRule>
  </conditionalFormatting>
  <conditionalFormatting sqref="J2501:L2502 M2492 G2493:H2493 G2501:H2501">
    <cfRule type="expression" dxfId="16459" priority="63402">
      <formula>$H2492="ETAPA"</formula>
    </cfRule>
  </conditionalFormatting>
  <conditionalFormatting sqref="J2504:L2506">
    <cfRule type="expression" dxfId="16458" priority="63319">
      <formula>$H2504="ETAPA"</formula>
    </cfRule>
  </conditionalFormatting>
  <conditionalFormatting sqref="J2782:L2784 H2783">
    <cfRule type="expression" dxfId="16457" priority="1515">
      <formula>$H2782="ETAPA"</formula>
    </cfRule>
  </conditionalFormatting>
  <conditionalFormatting sqref="J2791:L2793 H2792">
    <cfRule type="expression" dxfId="16456" priority="1557">
      <formula>$H2791="ETAPA"</formula>
    </cfRule>
  </conditionalFormatting>
  <conditionalFormatting sqref="J2800:L2801 H2801 J2802:K2802">
    <cfRule type="expression" dxfId="16455" priority="1599">
      <formula>$H2800="ETAPA"</formula>
    </cfRule>
  </conditionalFormatting>
  <conditionalFormatting sqref="J2809:L2810 H2810 J2811:K2811">
    <cfRule type="expression" dxfId="16454" priority="1641">
      <formula>$H2809="ETAPA"</formula>
    </cfRule>
  </conditionalFormatting>
  <conditionalFormatting sqref="J2820:L2820 J2821:K2821">
    <cfRule type="expression" dxfId="16453" priority="433">
      <formula>$H2820="ETAPA"</formula>
    </cfRule>
  </conditionalFormatting>
  <conditionalFormatting sqref="J2822:L2823 O2822:O2823 G2824:M2825">
    <cfRule type="expression" dxfId="16452" priority="437">
      <formula>$H2822="ETAPA"</formula>
    </cfRule>
  </conditionalFormatting>
  <conditionalFormatting sqref="J2823:L2823 L2820 O2822:O2823 G2827:J2827 L2827:M2827 G2824:M2826">
    <cfRule type="expression" dxfId="16451" priority="451">
      <formula>$H2820="CÉLULA CONSTRUTIVA"</formula>
    </cfRule>
  </conditionalFormatting>
  <conditionalFormatting sqref="J2823:L2823 L2820 O2822:O2823 L2826:M2827 G2824:M2825">
    <cfRule type="expression" dxfId="16450" priority="452">
      <formula>$H2820="SUBETAPA"</formula>
    </cfRule>
  </conditionalFormatting>
  <conditionalFormatting sqref="J2831:L2831 J2832:K2832">
    <cfRule type="expression" dxfId="16449" priority="498">
      <formula>$H2831="ETAPA"</formula>
    </cfRule>
  </conditionalFormatting>
  <conditionalFormatting sqref="J2833:L2834 O2833:O2834 G2835:M2836">
    <cfRule type="expression" dxfId="16448" priority="502">
      <formula>$H2833="ETAPA"</formula>
    </cfRule>
  </conditionalFormatting>
  <conditionalFormatting sqref="J2834:L2834 L2831 O2833:O2834 G2835:M2836">
    <cfRule type="expression" dxfId="16447" priority="517">
      <formula>$H2831="SUBETAPA"</formula>
    </cfRule>
  </conditionalFormatting>
  <conditionalFormatting sqref="J2834:L2834 L2831 O2833:O2834">
    <cfRule type="expression" dxfId="16446" priority="516">
      <formula>$H2831="CÉLULA CONSTRUTIVA"</formula>
    </cfRule>
  </conditionalFormatting>
  <conditionalFormatting sqref="J2840:L2840 J2841:K2841">
    <cfRule type="expression" dxfId="16445" priority="563">
      <formula>$H2840="ETAPA"</formula>
    </cfRule>
  </conditionalFormatting>
  <conditionalFormatting sqref="J2842:L2843 O2842:O2843 G2844:M2845">
    <cfRule type="expression" dxfId="16444" priority="567">
      <formula>$H2842="ETAPA"</formula>
    </cfRule>
  </conditionalFormatting>
  <conditionalFormatting sqref="J2843:L2843 L2840 O2842:O2843 G2844:M2845">
    <cfRule type="expression" dxfId="16443" priority="582">
      <formula>$H2840="SUBETAPA"</formula>
    </cfRule>
  </conditionalFormatting>
  <conditionalFormatting sqref="J2843:L2843 L2840 O2842:O2843">
    <cfRule type="expression" dxfId="16442" priority="581">
      <formula>$H2840="CÉLULA CONSTRUTIVA"</formula>
    </cfRule>
  </conditionalFormatting>
  <conditionalFormatting sqref="J2849:L2849 J2850:K2850">
    <cfRule type="expression" dxfId="16441" priority="628">
      <formula>$H2849="ETAPA"</formula>
    </cfRule>
  </conditionalFormatting>
  <conditionalFormatting sqref="J2851:L2852 O2851:O2852 G2853:M2854">
    <cfRule type="expression" dxfId="16440" priority="632">
      <formula>$H2851="ETAPA"</formula>
    </cfRule>
  </conditionalFormatting>
  <conditionalFormatting sqref="J2852:L2852 L2849 O2851:O2852 G2853:M2854">
    <cfRule type="expression" dxfId="16439" priority="647">
      <formula>$H2849="SUBETAPA"</formula>
    </cfRule>
  </conditionalFormatting>
  <conditionalFormatting sqref="J2852:L2852 L2849 O2851:O2852">
    <cfRule type="expression" dxfId="16438" priority="646">
      <formula>$H2849="CÉLULA CONSTRUTIVA"</formula>
    </cfRule>
  </conditionalFormatting>
  <conditionalFormatting sqref="J2858:L2858 J2859:K2859">
    <cfRule type="expression" dxfId="16437" priority="693">
      <formula>$H2858="ETAPA"</formula>
    </cfRule>
  </conditionalFormatting>
  <conditionalFormatting sqref="J2860:L2861 O2860:O2861 G2862:M2863">
    <cfRule type="expression" dxfId="16436" priority="697">
      <formula>$H2860="ETAPA"</formula>
    </cfRule>
  </conditionalFormatting>
  <conditionalFormatting sqref="J2861:L2861 L2858 O2860:O2861 G2862:M2863">
    <cfRule type="expression" dxfId="16435" priority="712">
      <formula>$H2858="SUBETAPA"</formula>
    </cfRule>
  </conditionalFormatting>
  <conditionalFormatting sqref="J2861:L2861 L2858 O2860:O2861">
    <cfRule type="expression" dxfId="16434" priority="711">
      <formula>$H2858="CÉLULA CONSTRUTIVA"</formula>
    </cfRule>
  </conditionalFormatting>
  <conditionalFormatting sqref="J2867:L2867 J2868:K2868">
    <cfRule type="expression" dxfId="16433" priority="758">
      <formula>$H2867="ETAPA"</formula>
    </cfRule>
  </conditionalFormatting>
  <conditionalFormatting sqref="J2869:L2870 O2869:O2870 G2871:M2872">
    <cfRule type="expression" dxfId="16432" priority="762">
      <formula>$H2869="ETAPA"</formula>
    </cfRule>
  </conditionalFormatting>
  <conditionalFormatting sqref="J2870:L2870 L2867 O2869:O2870 G2871:M2872">
    <cfRule type="expression" dxfId="16431" priority="777">
      <formula>$H2867="SUBETAPA"</formula>
    </cfRule>
  </conditionalFormatting>
  <conditionalFormatting sqref="J2870:L2870 L2867 O2869:O2870">
    <cfRule type="expression" dxfId="16430" priority="776">
      <formula>$H2867="CÉLULA CONSTRUTIVA"</formula>
    </cfRule>
  </conditionalFormatting>
  <conditionalFormatting sqref="J2876:L2876 J2877:K2877">
    <cfRule type="expression" dxfId="16429" priority="823">
      <formula>$H2876="ETAPA"</formula>
    </cfRule>
  </conditionalFormatting>
  <conditionalFormatting sqref="J2878:L2879 O2878:O2879 G2880:M2881">
    <cfRule type="expression" dxfId="16428" priority="827">
      <formula>$H2878="ETAPA"</formula>
    </cfRule>
  </conditionalFormatting>
  <conditionalFormatting sqref="J2879:L2879 L2876 O2878:O2879 G2883:J2883 L2883:M2883 G2880:M2882">
    <cfRule type="expression" dxfId="16427" priority="841">
      <formula>$H2876="CÉLULA CONSTRUTIVA"</formula>
    </cfRule>
  </conditionalFormatting>
  <conditionalFormatting sqref="J2879:L2879 L2876 O2878:O2879 L2882:M2883 G2880:M2881">
    <cfRule type="expression" dxfId="16426" priority="842">
      <formula>$H2876="SUBETAPA"</formula>
    </cfRule>
  </conditionalFormatting>
  <conditionalFormatting sqref="J2887:L2887 J2888:K2888">
    <cfRule type="expression" dxfId="16425" priority="888">
      <formula>$H2887="ETAPA"</formula>
    </cfRule>
  </conditionalFormatting>
  <conditionalFormatting sqref="J2889:L2890 O2889:O2890 G2891:M2892">
    <cfRule type="expression" dxfId="16424" priority="892">
      <formula>$H2889="ETAPA"</formula>
    </cfRule>
  </conditionalFormatting>
  <conditionalFormatting sqref="J2890:L2890 L2887 O2889:O2890 G2894:J2894 L2894:M2894 G2891:M2893">
    <cfRule type="expression" dxfId="16423" priority="906">
      <formula>$H2887="CÉLULA CONSTRUTIVA"</formula>
    </cfRule>
  </conditionalFormatting>
  <conditionalFormatting sqref="J2890:L2890 L2887 O2889:O2890 L2893:M2894 G2891:M2892">
    <cfRule type="expression" dxfId="16422" priority="907">
      <formula>$H2887="SUBETAPA"</formula>
    </cfRule>
  </conditionalFormatting>
  <conditionalFormatting sqref="J2896:L2896">
    <cfRule type="expression" dxfId="16421" priority="886">
      <formula>$H2896="ETAPA"</formula>
    </cfRule>
  </conditionalFormatting>
  <conditionalFormatting sqref="J2898:L2898 J2899:K2899">
    <cfRule type="expression" dxfId="16420" priority="953">
      <formula>$H2898="ETAPA"</formula>
    </cfRule>
  </conditionalFormatting>
  <conditionalFormatting sqref="J2900:L2900">
    <cfRule type="expression" dxfId="16419" priority="952">
      <formula>$H2900="ETAPA"</formula>
    </cfRule>
  </conditionalFormatting>
  <conditionalFormatting sqref="J2901:L2901 L2898 G2902:M2903">
    <cfRule type="expression" dxfId="16418" priority="972">
      <formula>$H2898="SUBETAPA"</formula>
    </cfRule>
  </conditionalFormatting>
  <conditionalFormatting sqref="J2901:L2901 L2898">
    <cfRule type="expression" dxfId="16417" priority="971">
      <formula>$H2898="CÉLULA CONSTRUTIVA"</formula>
    </cfRule>
  </conditionalFormatting>
  <conditionalFormatting sqref="J2907:L2907 J2908:K2908">
    <cfRule type="expression" dxfId="16416" priority="1018">
      <formula>$H2907="ETAPA"</formula>
    </cfRule>
  </conditionalFormatting>
  <conditionalFormatting sqref="J2909:L2909">
    <cfRule type="expression" dxfId="16415" priority="1017">
      <formula>$H2909="ETAPA"</formula>
    </cfRule>
  </conditionalFormatting>
  <conditionalFormatting sqref="J2910:L2910 L2907 G2911:M2912">
    <cfRule type="expression" dxfId="16414" priority="1037">
      <formula>$H2907="SUBETAPA"</formula>
    </cfRule>
  </conditionalFormatting>
  <conditionalFormatting sqref="J2910:L2910 L2907">
    <cfRule type="expression" dxfId="16413" priority="1036">
      <formula>$H2907="CÉLULA CONSTRUTIVA"</formula>
    </cfRule>
  </conditionalFormatting>
  <conditionalFormatting sqref="J2916:L2916 J2917:K2917">
    <cfRule type="expression" dxfId="16412" priority="1083">
      <formula>$H2916="ETAPA"</formula>
    </cfRule>
  </conditionalFormatting>
  <conditionalFormatting sqref="J2918:L2918">
    <cfRule type="expression" dxfId="16411" priority="1082">
      <formula>$H2918="ETAPA"</formula>
    </cfRule>
  </conditionalFormatting>
  <conditionalFormatting sqref="J2919:L2919 L2916 G2920:M2921">
    <cfRule type="expression" dxfId="16410" priority="1102">
      <formula>$H2916="SUBETAPA"</formula>
    </cfRule>
  </conditionalFormatting>
  <conditionalFormatting sqref="J2919:L2919 L2916">
    <cfRule type="expression" dxfId="16409" priority="1101">
      <formula>$H2916="CÉLULA CONSTRUTIVA"</formula>
    </cfRule>
  </conditionalFormatting>
  <conditionalFormatting sqref="J2925:L2925 J2926:K2926">
    <cfRule type="expression" dxfId="16408" priority="1148">
      <formula>$H2925="ETAPA"</formula>
    </cfRule>
  </conditionalFormatting>
  <conditionalFormatting sqref="J2927:L2927">
    <cfRule type="expression" dxfId="16407" priority="1147">
      <formula>$H2927="ETAPA"</formula>
    </cfRule>
  </conditionalFormatting>
  <conditionalFormatting sqref="J2928:L2928 L2925 G2929:M2930">
    <cfRule type="expression" dxfId="16406" priority="1167">
      <formula>$H2925="SUBETAPA"</formula>
    </cfRule>
  </conditionalFormatting>
  <conditionalFormatting sqref="J2928:L2928 L2925">
    <cfRule type="expression" dxfId="16405" priority="1166">
      <formula>$H2925="CÉLULA CONSTRUTIVA"</formula>
    </cfRule>
  </conditionalFormatting>
  <conditionalFormatting sqref="J2934:L2934 J2935:K2935">
    <cfRule type="expression" dxfId="16404" priority="1213">
      <formula>$H2934="ETAPA"</formula>
    </cfRule>
  </conditionalFormatting>
  <conditionalFormatting sqref="J2936:L2936">
    <cfRule type="expression" dxfId="16403" priority="1212">
      <formula>$H2936="ETAPA"</formula>
    </cfRule>
  </conditionalFormatting>
  <conditionalFormatting sqref="J2937:L2937 L2934 G2938:M2939 L2940:M2941">
    <cfRule type="expression" dxfId="16402" priority="1232">
      <formula>$H2934="SUBETAPA"</formula>
    </cfRule>
  </conditionalFormatting>
  <conditionalFormatting sqref="J2937:L2937 L2934 G2938:M2940 G2941:J2941 L2941:M2941">
    <cfRule type="expression" dxfId="16401" priority="1231">
      <formula>$H2934="CÉLULA CONSTRUTIVA"</formula>
    </cfRule>
  </conditionalFormatting>
  <conditionalFormatting sqref="J2943:L2943">
    <cfRule type="expression" dxfId="16400" priority="1211">
      <formula>$H2943="ETAPA"</formula>
    </cfRule>
  </conditionalFormatting>
  <conditionalFormatting sqref="J2945:L2945 L2948:L2951 J2946:K2946">
    <cfRule type="expression" dxfId="16399" priority="1278">
      <formula>$H2945="ETAPA"</formula>
    </cfRule>
  </conditionalFormatting>
  <conditionalFormatting sqref="J2947:L2947">
    <cfRule type="expression" dxfId="16398" priority="1277">
      <formula>$H2947="ETAPA"</formula>
    </cfRule>
  </conditionalFormatting>
  <conditionalFormatting sqref="J2953:L2953">
    <cfRule type="expression" dxfId="16397" priority="1276">
      <formula>$H2953="ETAPA"</formula>
    </cfRule>
  </conditionalFormatting>
  <conditionalFormatting sqref="J16:M16">
    <cfRule type="expression" dxfId="16396" priority="4036">
      <formula>$H16="SUBETAPA"</formula>
    </cfRule>
  </conditionalFormatting>
  <conditionalFormatting sqref="J17:M17">
    <cfRule type="expression" dxfId="16395" priority="4038">
      <formula>$H17="CÉLULA CONSTRUTIVA"</formula>
    </cfRule>
    <cfRule type="expression" dxfId="16394" priority="4039">
      <formula>$H17="ETAPA"</formula>
    </cfRule>
  </conditionalFormatting>
  <conditionalFormatting sqref="J1837:M1838">
    <cfRule type="expression" dxfId="16393" priority="116232">
      <formula>$H1837="ETAPA"</formula>
    </cfRule>
  </conditionalFormatting>
  <conditionalFormatting sqref="J1908:M1909">
    <cfRule type="expression" dxfId="16392" priority="75993">
      <formula>$H1908="CÉLULA CONSTRUTIVA"</formula>
    </cfRule>
  </conditionalFormatting>
  <conditionalFormatting sqref="J1910:M1910">
    <cfRule type="expression" dxfId="16391" priority="76008">
      <formula>$H1910="CÉLULA CONSTRUTIVA"</formula>
    </cfRule>
    <cfRule type="expression" dxfId="16390" priority="76010">
      <formula>$H1910="ETAPA"</formula>
    </cfRule>
  </conditionalFormatting>
  <conditionalFormatting sqref="J1923:M1923">
    <cfRule type="expression" dxfId="16389" priority="76194">
      <formula>$H1923="CÉLULA CONSTRUTIVA"</formula>
    </cfRule>
    <cfRule type="expression" dxfId="16388" priority="76196">
      <formula>$H1923="ETAPA"</formula>
    </cfRule>
  </conditionalFormatting>
  <conditionalFormatting sqref="J1931:M1931">
    <cfRule type="expression" dxfId="16387" priority="76380">
      <formula>$H1931="CÉLULA CONSTRUTIVA"</formula>
    </cfRule>
    <cfRule type="expression" dxfId="16386" priority="76382">
      <formula>$H1931="ETAPA"</formula>
    </cfRule>
  </conditionalFormatting>
  <conditionalFormatting sqref="J1936:M1936">
    <cfRule type="expression" dxfId="16385" priority="76566">
      <formula>$H1936="CÉLULA CONSTRUTIVA"</formula>
    </cfRule>
    <cfRule type="expression" dxfId="16384" priority="76568">
      <formula>$H1936="ETAPA"</formula>
    </cfRule>
  </conditionalFormatting>
  <conditionalFormatting sqref="J1944:M1944">
    <cfRule type="expression" dxfId="16383" priority="76752">
      <formula>$H1944="CÉLULA CONSTRUTIVA"</formula>
    </cfRule>
    <cfRule type="expression" dxfId="16382" priority="76754">
      <formula>$H1944="ETAPA"</formula>
    </cfRule>
  </conditionalFormatting>
  <conditionalFormatting sqref="J1953:M1953">
    <cfRule type="expression" dxfId="16381" priority="76938">
      <formula>$H1953="CÉLULA CONSTRUTIVA"</formula>
    </cfRule>
    <cfRule type="expression" dxfId="16380" priority="76940">
      <formula>$H1953="ETAPA"</formula>
    </cfRule>
  </conditionalFormatting>
  <conditionalFormatting sqref="J1969:M1969">
    <cfRule type="expression" dxfId="16379" priority="77124">
      <formula>$H1969="CÉLULA CONSTRUTIVA"</formula>
    </cfRule>
    <cfRule type="expression" dxfId="16378" priority="77126">
      <formula>$H1969="ETAPA"</formula>
    </cfRule>
  </conditionalFormatting>
  <conditionalFormatting sqref="J2021:M2021">
    <cfRule type="expression" dxfId="16377" priority="78240">
      <formula>$H2021="CÉLULA CONSTRUTIVA"</formula>
    </cfRule>
    <cfRule type="expression" dxfId="16376" priority="78242">
      <formula>$H2021="ETAPA"</formula>
    </cfRule>
  </conditionalFormatting>
  <conditionalFormatting sqref="J2029:M2029">
    <cfRule type="expression" dxfId="16375" priority="78426">
      <formula>$H2029="CÉLULA CONSTRUTIVA"</formula>
    </cfRule>
    <cfRule type="expression" dxfId="16374" priority="78428">
      <formula>$H2029="ETAPA"</formula>
    </cfRule>
  </conditionalFormatting>
  <conditionalFormatting sqref="J2358:M2358 J2357 O2358">
    <cfRule type="expression" dxfId="16373" priority="61982">
      <formula>$H2357="CÉLULA CONSTRUTIVA"</formula>
    </cfRule>
  </conditionalFormatting>
  <conditionalFormatting sqref="J2758:M2759 O2759">
    <cfRule type="expression" dxfId="16372" priority="1388">
      <formula>$H2758="ETAPA"</formula>
    </cfRule>
  </conditionalFormatting>
  <conditionalFormatting sqref="J2759:M2759 O2759">
    <cfRule type="expression" dxfId="16371" priority="1394">
      <formula>$H2759="SUBETAPA"</formula>
    </cfRule>
  </conditionalFormatting>
  <conditionalFormatting sqref="J2764:M2765 O2765">
    <cfRule type="expression" dxfId="16370" priority="1430">
      <formula>$H2764="ETAPA"</formula>
    </cfRule>
  </conditionalFormatting>
  <conditionalFormatting sqref="J2765:M2765 O2765">
    <cfRule type="expression" dxfId="16369" priority="1436">
      <formula>$H2765="SUBETAPA"</formula>
    </cfRule>
  </conditionalFormatting>
  <conditionalFormatting sqref="J2770:M2771 O2771">
    <cfRule type="expression" dxfId="16368" priority="1472">
      <formula>$H2770="ETAPA"</formula>
    </cfRule>
  </conditionalFormatting>
  <conditionalFormatting sqref="J2771:M2771 O2771">
    <cfRule type="expression" dxfId="16367" priority="1478">
      <formula>$H2771="SUBETAPA"</formula>
    </cfRule>
  </conditionalFormatting>
  <conditionalFormatting sqref="J2776:M2777 O2777 H2777:H2779 J2778:K2779 M2778:M2779">
    <cfRule type="expression" dxfId="16366" priority="1514">
      <formula>$H2776="ETAPA"</formula>
    </cfRule>
  </conditionalFormatting>
  <conditionalFormatting sqref="J2785:M2786 O2786 H2786:H2788 J2787:K2788 M2787:M2788">
    <cfRule type="expression" dxfId="16365" priority="1556">
      <formula>$H2785="ETAPA"</formula>
    </cfRule>
  </conditionalFormatting>
  <conditionalFormatting sqref="J2794:M2795 O2795 H2795:H2797 J2796:K2797 M2796:M2797">
    <cfRule type="expression" dxfId="16364" priority="1598">
      <formula>$H2794="ETAPA"</formula>
    </cfRule>
  </conditionalFormatting>
  <conditionalFormatting sqref="J2803:M2804 O2804 H2804:H2806 J2805:K2806 M2805:M2806">
    <cfRule type="expression" dxfId="16363" priority="1640">
      <formula>$H2803="ETAPA"</formula>
    </cfRule>
  </conditionalFormatting>
  <conditionalFormatting sqref="J2812:M2813 O2813 H2813:H2815 J2814:K2815 M2814:M2815">
    <cfRule type="expression" dxfId="16362" priority="1682">
      <formula>$H2812="ETAPA"</formula>
    </cfRule>
  </conditionalFormatting>
  <conditionalFormatting sqref="K23 M23">
    <cfRule type="expression" dxfId="16361" priority="46587">
      <formula>$H23="ETAPA"</formula>
    </cfRule>
  </conditionalFormatting>
  <conditionalFormatting sqref="K23">
    <cfRule type="expression" dxfId="16360" priority="46588">
      <formula>$H23="SUBETAPA"</formula>
    </cfRule>
  </conditionalFormatting>
  <conditionalFormatting sqref="K35:K36 O36 L34:L36 G33:N33 O38 K38">
    <cfRule type="expression" dxfId="16359" priority="50593">
      <formula>$H33="CÉLULA CONSTRUTIVA"</formula>
    </cfRule>
  </conditionalFormatting>
  <conditionalFormatting sqref="K37 N37:O37">
    <cfRule type="expression" dxfId="16358" priority="46707">
      <formula>$H37="SUBETAPA"</formula>
    </cfRule>
    <cfRule type="expression" dxfId="16357" priority="46708">
      <formula>$H37="ETAPA"</formula>
    </cfRule>
  </conditionalFormatting>
  <conditionalFormatting sqref="K37 O37">
    <cfRule type="expression" dxfId="16356" priority="46706">
      <formula>$H37="CÉLULA CONSTRUTIVA"</formula>
    </cfRule>
  </conditionalFormatting>
  <conditionalFormatting sqref="K46 N46:O46">
    <cfRule type="expression" dxfId="16355" priority="46781">
      <formula>$H46="ETAPA"</formula>
    </cfRule>
  </conditionalFormatting>
  <conditionalFormatting sqref="K157">
    <cfRule type="expression" dxfId="16354" priority="49723">
      <formula>$H157="CÉLULA CONSTRUTIVA"</formula>
    </cfRule>
    <cfRule type="expression" dxfId="16353" priority="49724">
      <formula>$H157="SUBETAPA"</formula>
    </cfRule>
    <cfRule type="expression" dxfId="16352" priority="49725">
      <formula>$H157="ETAPA"</formula>
    </cfRule>
  </conditionalFormatting>
  <conditionalFormatting sqref="K167">
    <cfRule type="expression" dxfId="16351" priority="49637">
      <formula>$H167="CÉLULA CONSTRUTIVA"</formula>
    </cfRule>
    <cfRule type="expression" dxfId="16350" priority="49638">
      <formula>$H167="SUBETAPA"</formula>
    </cfRule>
    <cfRule type="expression" dxfId="16349" priority="49639">
      <formula>$H167="ETAPA"</formula>
    </cfRule>
  </conditionalFormatting>
  <conditionalFormatting sqref="K185">
    <cfRule type="expression" dxfId="16348" priority="3308">
      <formula>$H185="CÉLULA CONSTRUTIVA"</formula>
    </cfRule>
    <cfRule type="expression" dxfId="16347" priority="3309">
      <formula>$H185="SUBETAPA"</formula>
    </cfRule>
    <cfRule type="expression" dxfId="16346" priority="3310">
      <formula>$H185="ETAPA"</formula>
    </cfRule>
  </conditionalFormatting>
  <conditionalFormatting sqref="K194">
    <cfRule type="expression" dxfId="16345" priority="3274">
      <formula>$H194="CÉLULA CONSTRUTIVA"</formula>
    </cfRule>
    <cfRule type="expression" dxfId="16344" priority="3275">
      <formula>$H194="SUBETAPA"</formula>
    </cfRule>
    <cfRule type="expression" dxfId="16343" priority="3276">
      <formula>$H194="ETAPA"</formula>
    </cfRule>
  </conditionalFormatting>
  <conditionalFormatting sqref="K203">
    <cfRule type="expression" dxfId="16342" priority="3240">
      <formula>$H203="CÉLULA CONSTRUTIVA"</formula>
    </cfRule>
    <cfRule type="expression" dxfId="16341" priority="3241">
      <formula>$H203="SUBETAPA"</formula>
    </cfRule>
    <cfRule type="expression" dxfId="16340" priority="3242">
      <formula>$H203="ETAPA"</formula>
    </cfRule>
  </conditionalFormatting>
  <conditionalFormatting sqref="K206:K211 G210:J211 G204:K204 L206 N204 M206:O211">
    <cfRule type="expression" dxfId="16339" priority="46336">
      <formula>$H204="CÉLULA CONSTRUTIVA"</formula>
    </cfRule>
    <cfRule type="expression" dxfId="16338" priority="46337">
      <formula>$H204="SUBETAPA"</formula>
    </cfRule>
  </conditionalFormatting>
  <conditionalFormatting sqref="K212">
    <cfRule type="expression" dxfId="16337" priority="3206">
      <formula>$H212="CÉLULA CONSTRUTIVA"</formula>
    </cfRule>
    <cfRule type="expression" dxfId="16336" priority="3207">
      <formula>$H212="SUBETAPA"</formula>
    </cfRule>
    <cfRule type="expression" dxfId="16335" priority="3208">
      <formula>$H212="ETAPA"</formula>
    </cfRule>
  </conditionalFormatting>
  <conditionalFormatting sqref="K221">
    <cfRule type="expression" dxfId="16334" priority="3172">
      <formula>$H221="CÉLULA CONSTRUTIVA"</formula>
    </cfRule>
    <cfRule type="expression" dxfId="16333" priority="3173">
      <formula>$H221="SUBETAPA"</formula>
    </cfRule>
    <cfRule type="expression" dxfId="16332" priority="3174">
      <formula>$H221="ETAPA"</formula>
    </cfRule>
  </conditionalFormatting>
  <conditionalFormatting sqref="K349 K351 K353 K355 K357 K361 K363 K365 K367 K369 K371 K373 K375 K377">
    <cfRule type="expression" dxfId="16331" priority="46853">
      <formula>$H349="ETAPA"</formula>
    </cfRule>
  </conditionalFormatting>
  <conditionalFormatting sqref="K359">
    <cfRule type="expression" dxfId="16330" priority="46154">
      <formula>$H359="CÉLULA CONSTRUTIVA"</formula>
    </cfRule>
    <cfRule type="expression" dxfId="16329" priority="46155">
      <formula>$H359="SUBETAPA"</formula>
    </cfRule>
    <cfRule type="expression" dxfId="16328" priority="46156">
      <formula>$H359="ETAPA"</formula>
    </cfRule>
  </conditionalFormatting>
  <conditionalFormatting sqref="K377 K375 K373 K371 K369 K367 K365 K363 K361 K357 K355 K353 K351 K349">
    <cfRule type="expression" dxfId="16327" priority="46851">
      <formula>$H349="CÉLULA CONSTRUTIVA"</formula>
    </cfRule>
    <cfRule type="expression" dxfId="16326" priority="46852">
      <formula>$H349="SUBETAPA"</formula>
    </cfRule>
  </conditionalFormatting>
  <conditionalFormatting sqref="K415">
    <cfRule type="expression" dxfId="16325" priority="6346">
      <formula>$H415="SUBETAPA"</formula>
    </cfRule>
    <cfRule type="expression" dxfId="16324" priority="6347">
      <formula>$H415="CÉLULA CONSTRUTIVA"</formula>
    </cfRule>
    <cfRule type="expression" dxfId="16323" priority="6348">
      <formula>$H415="ETAPA"</formula>
    </cfRule>
  </conditionalFormatting>
  <conditionalFormatting sqref="K1251">
    <cfRule type="expression" dxfId="16322" priority="51507">
      <formula>$H1251="CÉLULA CONSTRUTIVA"</formula>
    </cfRule>
    <cfRule type="expression" dxfId="16321" priority="51508">
      <formula>$H1251="ETAPA"</formula>
    </cfRule>
    <cfRule type="expression" dxfId="16320" priority="51509">
      <formula>$H1251="SUBETAPA"</formula>
    </cfRule>
  </conditionalFormatting>
  <conditionalFormatting sqref="K1658:K1660">
    <cfRule type="expression" dxfId="16319" priority="96813">
      <formula>$H1658="CÉLULA CONSTRUTIVA"</formula>
    </cfRule>
  </conditionalFormatting>
  <conditionalFormatting sqref="K1670:K1672">
    <cfRule type="expression" dxfId="16318" priority="97472">
      <formula>$H1670="CÉLULA CONSTRUTIVA"</formula>
    </cfRule>
  </conditionalFormatting>
  <conditionalFormatting sqref="K1684">
    <cfRule type="expression" dxfId="16317" priority="80335">
      <formula>$H1684="CÉLULA CONSTRUTIVA"</formula>
    </cfRule>
    <cfRule type="expression" dxfId="16316" priority="80337">
      <formula>$H1684="SUBETAPA"</formula>
    </cfRule>
  </conditionalFormatting>
  <conditionalFormatting sqref="K1701">
    <cfRule type="expression" dxfId="16315" priority="80659">
      <formula>$H1701="CÉLULA CONSTRUTIVA"</formula>
    </cfRule>
    <cfRule type="expression" dxfId="16314" priority="80661">
      <formula>$H1701="SUBETAPA"</formula>
    </cfRule>
  </conditionalFormatting>
  <conditionalFormatting sqref="K1717">
    <cfRule type="expression" dxfId="16313" priority="80983">
      <formula>$H1717="CÉLULA CONSTRUTIVA"</formula>
    </cfRule>
    <cfRule type="expression" dxfId="16312" priority="80985">
      <formula>$H1717="SUBETAPA"</formula>
    </cfRule>
  </conditionalFormatting>
  <conditionalFormatting sqref="K1732">
    <cfRule type="expression" dxfId="16311" priority="81307">
      <formula>$H1732="CÉLULA CONSTRUTIVA"</formula>
    </cfRule>
    <cfRule type="expression" dxfId="16310" priority="81309">
      <formula>$H1732="SUBETAPA"</formula>
    </cfRule>
  </conditionalFormatting>
  <conditionalFormatting sqref="K1744">
    <cfRule type="expression" dxfId="16309" priority="81631">
      <formula>$H1744="CÉLULA CONSTRUTIVA"</formula>
    </cfRule>
    <cfRule type="expression" dxfId="16308" priority="81633">
      <formula>$H1744="SUBETAPA"</formula>
    </cfRule>
  </conditionalFormatting>
  <conditionalFormatting sqref="K1756">
    <cfRule type="expression" dxfId="16307" priority="81955">
      <formula>$H1756="CÉLULA CONSTRUTIVA"</formula>
    </cfRule>
    <cfRule type="expression" dxfId="16306" priority="81957">
      <formula>$H1756="SUBETAPA"</formula>
    </cfRule>
  </conditionalFormatting>
  <conditionalFormatting sqref="K1772">
    <cfRule type="expression" dxfId="16305" priority="82279">
      <formula>$H1772="CÉLULA CONSTRUTIVA"</formula>
    </cfRule>
    <cfRule type="expression" dxfId="16304" priority="82281">
      <formula>$H1772="SUBETAPA"</formula>
    </cfRule>
  </conditionalFormatting>
  <conditionalFormatting sqref="K1794">
    <cfRule type="expression" dxfId="16303" priority="82603">
      <formula>$H1794="CÉLULA CONSTRUTIVA"</formula>
    </cfRule>
    <cfRule type="expression" dxfId="16302" priority="82605">
      <formula>$H1794="SUBETAPA"</formula>
    </cfRule>
  </conditionalFormatting>
  <conditionalFormatting sqref="K1796:K1799">
    <cfRule type="expression" dxfId="16301" priority="82597">
      <formula>$H1796="CÉLULA CONSTRUTIVA"</formula>
    </cfRule>
    <cfRule type="expression" dxfId="16300" priority="82598">
      <formula>$H1796="ETAPA"</formula>
    </cfRule>
    <cfRule type="expression" dxfId="16299" priority="82599">
      <formula>$H1796="SUBETAPA"</formula>
    </cfRule>
  </conditionalFormatting>
  <conditionalFormatting sqref="K1800:K1801">
    <cfRule type="expression" dxfId="16298" priority="78849">
      <formula>$H1800="CÉLULA CONSTRUTIVA"</formula>
    </cfRule>
    <cfRule type="expression" dxfId="16297" priority="78850">
      <formula>$H1800="ETAPA"</formula>
    </cfRule>
    <cfRule type="expression" dxfId="16296" priority="78851">
      <formula>$H1800="SUBETAPA"</formula>
    </cfRule>
  </conditionalFormatting>
  <conditionalFormatting sqref="K2185">
    <cfRule type="expression" dxfId="16295" priority="71584">
      <formula>$H2185="CÉLULA CONSTRUTIVA"</formula>
    </cfRule>
  </conditionalFormatting>
  <conditionalFormatting sqref="K2185:K2186 J2186 J2200:L2201 H2201:H2202 J2202:K2202 O2202 L2202:L2203 J2206:K2207 J2208:L2211">
    <cfRule type="expression" dxfId="16294" priority="71843">
      <formula>$H2185="ETAPA"</formula>
    </cfRule>
  </conditionalFormatting>
  <conditionalFormatting sqref="K2216">
    <cfRule type="expression" dxfId="16293" priority="72224">
      <formula>$H2216="CÉLULA CONSTRUTIVA"</formula>
    </cfRule>
  </conditionalFormatting>
  <conditionalFormatting sqref="K2216:K2217 J2217 J2220:L2223 H2222:H2223 O2223 L2224 J2227:K2227 H2228:H2231 J2228:L2231">
    <cfRule type="expression" dxfId="16292" priority="72483">
      <formula>$H2216="ETAPA"</formula>
    </cfRule>
  </conditionalFormatting>
  <conditionalFormatting sqref="K2236">
    <cfRule type="expression" dxfId="16291" priority="72864">
      <formula>$H2236="CÉLULA CONSTRUTIVA"</formula>
    </cfRule>
  </conditionalFormatting>
  <conditionalFormatting sqref="K2236:K2237 J2237 J2240:L2243 H2242:H2243 O2243 J2247:K2247 H2248:H2251 J2248:L2251">
    <cfRule type="expression" dxfId="16290" priority="73123">
      <formula>$H2236="ETAPA"</formula>
    </cfRule>
  </conditionalFormatting>
  <conditionalFormatting sqref="K2256">
    <cfRule type="expression" dxfId="16289" priority="73504">
      <formula>$H2256="CÉLULA CONSTRUTIVA"</formula>
    </cfRule>
  </conditionalFormatting>
  <conditionalFormatting sqref="K2256:K2257 J2257 H2264:H2265 J2264:L2265 O2265 J2269:K2269 H2271:H2274 J2271:L2274">
    <cfRule type="expression" dxfId="16288" priority="73763">
      <formula>$H2256="ETAPA"</formula>
    </cfRule>
  </conditionalFormatting>
  <conditionalFormatting sqref="K2279">
    <cfRule type="expression" dxfId="16287" priority="74144">
      <formula>$H2279="CÉLULA CONSTRUTIVA"</formula>
    </cfRule>
  </conditionalFormatting>
  <conditionalFormatting sqref="K2279:K2280 J2280 H2288:H2289 J2288:L2289 O2289 J2293:K2293 J2295:L2298 H2295:H2300">
    <cfRule type="expression" dxfId="16286" priority="74403">
      <formula>$H2279="ETAPA"</formula>
    </cfRule>
  </conditionalFormatting>
  <conditionalFormatting sqref="K2304">
    <cfRule type="expression" dxfId="16285" priority="74784">
      <formula>$H2304="CÉLULA CONSTRUTIVA"</formula>
    </cfRule>
  </conditionalFormatting>
  <conditionalFormatting sqref="K2304:K2305 J2305 J2310:L2312 H2311:H2312 O2312 J2319:L2322">
    <cfRule type="expression" dxfId="16284" priority="75043">
      <formula>$H2304="ETAPA"</formula>
    </cfRule>
  </conditionalFormatting>
  <conditionalFormatting sqref="K2347">
    <cfRule type="expression" dxfId="16283" priority="7128">
      <formula>$H2347="ETAPA"</formula>
    </cfRule>
  </conditionalFormatting>
  <conditionalFormatting sqref="K2368">
    <cfRule type="expression" dxfId="16282" priority="7105">
      <formula>$H2368="ETAPA"</formula>
    </cfRule>
  </conditionalFormatting>
  <conditionalFormatting sqref="K2369">
    <cfRule type="expression" dxfId="16281" priority="62156">
      <formula>$H2369="SUBETAPA"</formula>
    </cfRule>
    <cfRule type="expression" dxfId="16280" priority="62157">
      <formula>$H2369="CÉLULA CONSTRUTIVA"</formula>
    </cfRule>
  </conditionalFormatting>
  <conditionalFormatting sqref="K2395">
    <cfRule type="expression" dxfId="16279" priority="7049">
      <formula>$H2395="ETAPA"</formula>
    </cfRule>
  </conditionalFormatting>
  <conditionalFormatting sqref="K2396">
    <cfRule type="expression" dxfId="16278" priority="62395">
      <formula>$H2396="SUBETAPA"</formula>
    </cfRule>
    <cfRule type="expression" dxfId="16277" priority="62396">
      <formula>$H2396="CÉLULA CONSTRUTIVA"</formula>
    </cfRule>
  </conditionalFormatting>
  <conditionalFormatting sqref="K2418">
    <cfRule type="expression" dxfId="16276" priority="6993">
      <formula>$H2418="ETAPA"</formula>
    </cfRule>
  </conditionalFormatting>
  <conditionalFormatting sqref="K2419">
    <cfRule type="expression" dxfId="16275" priority="62634">
      <formula>$H2419="SUBETAPA"</formula>
    </cfRule>
    <cfRule type="expression" dxfId="16274" priority="62635">
      <formula>$H2419="CÉLULA CONSTRUTIVA"</formula>
    </cfRule>
  </conditionalFormatting>
  <conditionalFormatting sqref="K2441">
    <cfRule type="expression" dxfId="16273" priority="6937">
      <formula>$H2441="ETAPA"</formula>
    </cfRule>
  </conditionalFormatting>
  <conditionalFormatting sqref="K2442">
    <cfRule type="expression" dxfId="16272" priority="62873">
      <formula>$H2442="SUBETAPA"</formula>
    </cfRule>
    <cfRule type="expression" dxfId="16271" priority="62874">
      <formula>$H2442="CÉLULA CONSTRUTIVA"</formula>
    </cfRule>
  </conditionalFormatting>
  <conditionalFormatting sqref="K2465">
    <cfRule type="expression" dxfId="16270" priority="6881">
      <formula>$H2465="ETAPA"</formula>
    </cfRule>
  </conditionalFormatting>
  <conditionalFormatting sqref="K2466">
    <cfRule type="expression" dxfId="16269" priority="63112">
      <formula>$H2466="SUBETAPA"</formula>
    </cfRule>
    <cfRule type="expression" dxfId="16268" priority="63113">
      <formula>$H2466="CÉLULA CONSTRUTIVA"</formula>
    </cfRule>
  </conditionalFormatting>
  <conditionalFormatting sqref="K2489">
    <cfRule type="expression" dxfId="16267" priority="6825">
      <formula>$H2489="ETAPA"</formula>
    </cfRule>
  </conditionalFormatting>
  <conditionalFormatting sqref="K2492">
    <cfRule type="expression" dxfId="16266" priority="63351">
      <formula>$H2492="SUBETAPA"</formula>
    </cfRule>
    <cfRule type="expression" dxfId="16265" priority="63352">
      <formula>$H2492="CÉLULA CONSTRUTIVA"</formula>
    </cfRule>
  </conditionalFormatting>
  <conditionalFormatting sqref="K2516">
    <cfRule type="expression" dxfId="16264" priority="6769">
      <formula>$H2516="ETAPA"</formula>
    </cfRule>
  </conditionalFormatting>
  <conditionalFormatting sqref="K2537">
    <cfRule type="expression" dxfId="16263" priority="6690">
      <formula>$H2537="ETAPA"</formula>
    </cfRule>
  </conditionalFormatting>
  <conditionalFormatting sqref="K2553">
    <cfRule type="expression" dxfId="16262" priority="6632">
      <formula>$H2553="ETAPA"</formula>
    </cfRule>
  </conditionalFormatting>
  <conditionalFormatting sqref="K2569">
    <cfRule type="expression" dxfId="16261" priority="6574">
      <formula>$H2569="ETAPA"</formula>
    </cfRule>
  </conditionalFormatting>
  <conditionalFormatting sqref="K2585">
    <cfRule type="expression" dxfId="16260" priority="6516">
      <formula>$H2585="ETAPA"</formula>
    </cfRule>
  </conditionalFormatting>
  <conditionalFormatting sqref="K2601">
    <cfRule type="expression" dxfId="16259" priority="6458">
      <formula>$H2601="ETAPA"</formula>
    </cfRule>
  </conditionalFormatting>
  <conditionalFormatting sqref="K2617">
    <cfRule type="expression" dxfId="16258" priority="6400">
      <formula>$H2617="ETAPA"</formula>
    </cfRule>
  </conditionalFormatting>
  <conditionalFormatting sqref="K2631:K2634">
    <cfRule type="expression" dxfId="16257" priority="1940">
      <formula>$H2631="SUBETAPA"</formula>
    </cfRule>
  </conditionalFormatting>
  <conditionalFormatting sqref="K2827">
    <cfRule type="expression" dxfId="16256" priority="428">
      <formula>$H2827="CÉLULA CONSTRUTIVA"</formula>
    </cfRule>
    <cfRule type="expression" dxfId="16255" priority="429">
      <formula>$H2827="SUBETAPA"</formula>
    </cfRule>
    <cfRule type="expression" dxfId="16254" priority="430">
      <formula>$H2827="ETAPA"</formula>
    </cfRule>
  </conditionalFormatting>
  <conditionalFormatting sqref="K2883">
    <cfRule type="expression" dxfId="16253" priority="818">
      <formula>$H2883="CÉLULA CONSTRUTIVA"</formula>
    </cfRule>
    <cfRule type="expression" dxfId="16252" priority="819">
      <formula>$H2883="SUBETAPA"</formula>
    </cfRule>
    <cfRule type="expression" dxfId="16251" priority="820">
      <formula>$H2883="ETAPA"</formula>
    </cfRule>
  </conditionalFormatting>
  <conditionalFormatting sqref="K2894">
    <cfRule type="expression" dxfId="16250" priority="883">
      <formula>$H2894="CÉLULA CONSTRUTIVA"</formula>
    </cfRule>
    <cfRule type="expression" dxfId="16249" priority="884">
      <formula>$H2894="SUBETAPA"</formula>
    </cfRule>
    <cfRule type="expression" dxfId="16248" priority="885">
      <formula>$H2894="ETAPA"</formula>
    </cfRule>
  </conditionalFormatting>
  <conditionalFormatting sqref="K2941">
    <cfRule type="expression" dxfId="16247" priority="1208">
      <formula>$H2941="CÉLULA CONSTRUTIVA"</formula>
    </cfRule>
    <cfRule type="expression" dxfId="16246" priority="1209">
      <formula>$H2941="SUBETAPA"</formula>
    </cfRule>
    <cfRule type="expression" dxfId="16245" priority="1210">
      <formula>$H2941="ETAPA"</formula>
    </cfRule>
  </conditionalFormatting>
  <conditionalFormatting sqref="K2949">
    <cfRule type="expression" dxfId="16244" priority="1273">
      <formula>$H2949="CÉLULA CONSTRUTIVA"</formula>
    </cfRule>
    <cfRule type="expression" dxfId="16243" priority="1274">
      <formula>$H2949="SUBETAPA"</formula>
    </cfRule>
    <cfRule type="expression" dxfId="16242" priority="1275">
      <formula>$H2949="ETAPA"</formula>
    </cfRule>
  </conditionalFormatting>
  <conditionalFormatting sqref="K2960 O2960">
    <cfRule type="expression" dxfId="16241" priority="66706">
      <formula>$H2960="SUBETAPA"</formula>
    </cfRule>
  </conditionalFormatting>
  <conditionalFormatting sqref="K3001 O3001">
    <cfRule type="expression" dxfId="16240" priority="66192">
      <formula>$H3001="SUBETAPA"</formula>
    </cfRule>
  </conditionalFormatting>
  <conditionalFormatting sqref="K3055 K3059 O3055 O3059">
    <cfRule type="expression" dxfId="16239" priority="61050">
      <formula>$H3055="SUBETAPA"</formula>
    </cfRule>
  </conditionalFormatting>
  <conditionalFormatting sqref="K3086 O3086">
    <cfRule type="expression" dxfId="16238" priority="61296">
      <formula>$H3086="SUBETAPA"</formula>
    </cfRule>
  </conditionalFormatting>
  <conditionalFormatting sqref="K3088:K3089 K3090:L3090">
    <cfRule type="expression" dxfId="16237" priority="4175">
      <formula>$H3088="SUBETAPA"</formula>
    </cfRule>
    <cfRule type="expression" dxfId="16236" priority="4176">
      <formula>$H3088="CÉLULA CONSTRUTIVA"</formula>
    </cfRule>
  </conditionalFormatting>
  <conditionalFormatting sqref="K3105 K3107 O3105 O3107">
    <cfRule type="expression" dxfId="16235" priority="61542">
      <formula>$H3105="SUBETAPA"</formula>
    </cfRule>
  </conditionalFormatting>
  <conditionalFormatting sqref="K3109:K3110 K3111:L3111">
    <cfRule type="expression" dxfId="16234" priority="4159">
      <formula>$H3109="SUBETAPA"</formula>
    </cfRule>
    <cfRule type="expression" dxfId="16233" priority="4160">
      <formula>$H3109="CÉLULA CONSTRUTIVA"</formula>
    </cfRule>
  </conditionalFormatting>
  <conditionalFormatting sqref="K3128 K3130 K3158 K3165 O3128 O3130 O3152 O3158 O3165 O3154">
    <cfRule type="expression" dxfId="16232" priority="83617">
      <formula>$H3128="SUBETAPA"</formula>
    </cfRule>
  </conditionalFormatting>
  <conditionalFormatting sqref="K3132:K3133 K3134:L3134">
    <cfRule type="expression" dxfId="16231" priority="4143">
      <formula>$H3132="SUBETAPA"</formula>
    </cfRule>
    <cfRule type="expression" dxfId="16230" priority="4144">
      <formula>$H3132="CÉLULA CONSTRUTIVA"</formula>
    </cfRule>
  </conditionalFormatting>
  <conditionalFormatting sqref="K360:L360">
    <cfRule type="expression" dxfId="16229" priority="3648">
      <formula>$H360="CÉLULA CONSTRUTIVA"</formula>
    </cfRule>
    <cfRule type="expression" dxfId="16228" priority="3649">
      <formula>$H360="SUBETAPA"</formula>
    </cfRule>
    <cfRule type="expression" dxfId="16227" priority="3650">
      <formula>$H360="ETAPA"</formula>
    </cfRule>
  </conditionalFormatting>
  <conditionalFormatting sqref="K362:L362">
    <cfRule type="expression" dxfId="16226" priority="3645">
      <formula>$H362="CÉLULA CONSTRUTIVA"</formula>
    </cfRule>
    <cfRule type="expression" dxfId="16225" priority="3646">
      <formula>$H362="SUBETAPA"</formula>
    </cfRule>
    <cfRule type="expression" dxfId="16224" priority="3647">
      <formula>$H362="ETAPA"</formula>
    </cfRule>
  </conditionalFormatting>
  <conditionalFormatting sqref="K364:L364">
    <cfRule type="expression" dxfId="16223" priority="3642">
      <formula>$H364="CÉLULA CONSTRUTIVA"</formula>
    </cfRule>
    <cfRule type="expression" dxfId="16222" priority="3643">
      <formula>$H364="SUBETAPA"</formula>
    </cfRule>
    <cfRule type="expression" dxfId="16221" priority="3644">
      <formula>$H364="ETAPA"</formula>
    </cfRule>
  </conditionalFormatting>
  <conditionalFormatting sqref="K366:L366">
    <cfRule type="expression" dxfId="16220" priority="3639">
      <formula>$H366="CÉLULA CONSTRUTIVA"</formula>
    </cfRule>
    <cfRule type="expression" dxfId="16219" priority="3640">
      <formula>$H366="SUBETAPA"</formula>
    </cfRule>
    <cfRule type="expression" dxfId="16218" priority="3641">
      <formula>$H366="ETAPA"</formula>
    </cfRule>
  </conditionalFormatting>
  <conditionalFormatting sqref="K368:L368">
    <cfRule type="expression" dxfId="16217" priority="3636">
      <formula>$H368="CÉLULA CONSTRUTIVA"</formula>
    </cfRule>
    <cfRule type="expression" dxfId="16216" priority="3637">
      <formula>$H368="SUBETAPA"</formula>
    </cfRule>
    <cfRule type="expression" dxfId="16215" priority="3638">
      <formula>$H368="ETAPA"</formula>
    </cfRule>
  </conditionalFormatting>
  <conditionalFormatting sqref="K370:L370">
    <cfRule type="expression" dxfId="16214" priority="3633">
      <formula>$H370="CÉLULA CONSTRUTIVA"</formula>
    </cfRule>
    <cfRule type="expression" dxfId="16213" priority="3634">
      <formula>$H370="SUBETAPA"</formula>
    </cfRule>
    <cfRule type="expression" dxfId="16212" priority="3635">
      <formula>$H370="ETAPA"</formula>
    </cfRule>
  </conditionalFormatting>
  <conditionalFormatting sqref="K372:L372">
    <cfRule type="expression" dxfId="16211" priority="3630">
      <formula>$H372="CÉLULA CONSTRUTIVA"</formula>
    </cfRule>
    <cfRule type="expression" dxfId="16210" priority="3631">
      <formula>$H372="SUBETAPA"</formula>
    </cfRule>
    <cfRule type="expression" dxfId="16209" priority="3632">
      <formula>$H372="ETAPA"</formula>
    </cfRule>
  </conditionalFormatting>
  <conditionalFormatting sqref="K374:L374">
    <cfRule type="expression" dxfId="16208" priority="3627">
      <formula>$H374="CÉLULA CONSTRUTIVA"</formula>
    </cfRule>
    <cfRule type="expression" dxfId="16207" priority="3628">
      <formula>$H374="SUBETAPA"</formula>
    </cfRule>
    <cfRule type="expression" dxfId="16206" priority="3629">
      <formula>$H374="ETAPA"</formula>
    </cfRule>
  </conditionalFormatting>
  <conditionalFormatting sqref="K378:L378 K376:L376">
    <cfRule type="expression" dxfId="16205" priority="3621">
      <formula>$H376="CÉLULA CONSTRUTIVA"</formula>
    </cfRule>
    <cfRule type="expression" dxfId="16204" priority="3622">
      <formula>$H376="SUBETAPA"</formula>
    </cfRule>
    <cfRule type="expression" dxfId="16203" priority="3623">
      <formula>$H376="ETAPA"</formula>
    </cfRule>
  </conditionalFormatting>
  <conditionalFormatting sqref="K1164:L1164">
    <cfRule type="expression" dxfId="16202" priority="55585">
      <formula>$H1164="SUBETAPA"</formula>
    </cfRule>
  </conditionalFormatting>
  <conditionalFormatting sqref="K1169:L1169">
    <cfRule type="expression" dxfId="16201" priority="55679">
      <formula>$H1169="SUBETAPA"</formula>
    </cfRule>
  </conditionalFormatting>
  <conditionalFormatting sqref="K1174:L1174">
    <cfRule type="expression" dxfId="16200" priority="55773">
      <formula>$H1174="SUBETAPA"</formula>
    </cfRule>
  </conditionalFormatting>
  <conditionalFormatting sqref="K1179:L1179">
    <cfRule type="expression" dxfId="16199" priority="55867">
      <formula>$H1179="SUBETAPA"</formula>
    </cfRule>
  </conditionalFormatting>
  <conditionalFormatting sqref="K1184:L1184">
    <cfRule type="expression" dxfId="16198" priority="55961">
      <formula>$H1184="SUBETAPA"</formula>
    </cfRule>
  </conditionalFormatting>
  <conditionalFormatting sqref="K1188:L1188 K1191:L1191">
    <cfRule type="expression" dxfId="16197" priority="56055">
      <formula>$H1188="SUBETAPA"</formula>
    </cfRule>
  </conditionalFormatting>
  <conditionalFormatting sqref="K1195:L1195 K1198:L1198">
    <cfRule type="expression" dxfId="16196" priority="56149">
      <formula>$H1195="SUBETAPA"</formula>
    </cfRule>
  </conditionalFormatting>
  <conditionalFormatting sqref="K1202:L1202 K1205:L1205">
    <cfRule type="expression" dxfId="16195" priority="56243">
      <formula>$H1202="SUBETAPA"</formula>
    </cfRule>
  </conditionalFormatting>
  <conditionalFormatting sqref="K1209:L1209 K1212:L1212">
    <cfRule type="expression" dxfId="16194" priority="56337">
      <formula>$H1209="SUBETAPA"</formula>
    </cfRule>
  </conditionalFormatting>
  <conditionalFormatting sqref="K1216:L1216 K1219:L1219">
    <cfRule type="expression" dxfId="16193" priority="56431">
      <formula>$H1216="SUBETAPA"</formula>
    </cfRule>
  </conditionalFormatting>
  <conditionalFormatting sqref="K1224:L1224">
    <cfRule type="expression" dxfId="16192" priority="56525">
      <formula>$H1224="SUBETAPA"</formula>
    </cfRule>
  </conditionalFormatting>
  <conditionalFormatting sqref="K1228:L1228 K1231:L1231">
    <cfRule type="expression" dxfId="16191" priority="56619">
      <formula>$H1228="SUBETAPA"</formula>
    </cfRule>
  </conditionalFormatting>
  <conditionalFormatting sqref="K1236:L1236">
    <cfRule type="expression" dxfId="16190" priority="56713">
      <formula>$H1236="SUBETAPA"</formula>
    </cfRule>
  </conditionalFormatting>
  <conditionalFormatting sqref="K1325:L1325 K1328:L1328 O1328 K1331:L1331">
    <cfRule type="expression" dxfId="16189" priority="3066">
      <formula>$H1325="SUBETAPA"</formula>
    </cfRule>
  </conditionalFormatting>
  <conditionalFormatting sqref="K1325:L1325 K1328:L1328 O1328 L1323:L1324 L1326:L1327 L1329 K1330:L1331">
    <cfRule type="expression" dxfId="16188" priority="3059">
      <formula>$H1323="ETAPA"</formula>
    </cfRule>
  </conditionalFormatting>
  <conditionalFormatting sqref="K1330:L1330">
    <cfRule type="expression" dxfId="16187" priority="3013">
      <formula>$H1330="SUBETAPA"</formula>
    </cfRule>
  </conditionalFormatting>
  <conditionalFormatting sqref="K1684:L1684">
    <cfRule type="expression" dxfId="16186" priority="80336">
      <formula>$H1684="ETAPA"</formula>
    </cfRule>
  </conditionalFormatting>
  <conditionalFormatting sqref="K1701:L1701">
    <cfRule type="expression" dxfId="16185" priority="80660">
      <formula>$H1701="ETAPA"</formula>
    </cfRule>
  </conditionalFormatting>
  <conditionalFormatting sqref="K1717:L1717">
    <cfRule type="expression" dxfId="16184" priority="80984">
      <formula>$H1717="ETAPA"</formula>
    </cfRule>
  </conditionalFormatting>
  <conditionalFormatting sqref="K1732:L1732">
    <cfRule type="expression" dxfId="16183" priority="81308">
      <formula>$H1732="ETAPA"</formula>
    </cfRule>
  </conditionalFormatting>
  <conditionalFormatting sqref="K1744:L1744">
    <cfRule type="expression" dxfId="16182" priority="81632">
      <formula>$H1744="ETAPA"</formula>
    </cfRule>
  </conditionalFormatting>
  <conditionalFormatting sqref="K1756:L1756">
    <cfRule type="expression" dxfId="16181" priority="81956">
      <formula>$H1756="ETAPA"</formula>
    </cfRule>
  </conditionalFormatting>
  <conditionalFormatting sqref="K1772:L1772">
    <cfRule type="expression" dxfId="16180" priority="82280">
      <formula>$H1772="ETAPA"</formula>
    </cfRule>
  </conditionalFormatting>
  <conditionalFormatting sqref="K1794:L1794">
    <cfRule type="expression" dxfId="16179" priority="82604">
      <formula>$H1794="ETAPA"</formula>
    </cfRule>
  </conditionalFormatting>
  <conditionalFormatting sqref="K2039:L2039 J2040:L2041 J2051:L2052 H2052:H2053 J2053:K2053 O2053 L2053:L2054 J2061:L2064">
    <cfRule type="expression" dxfId="16178" priority="67363">
      <formula>$H2039="ETAPA"</formula>
    </cfRule>
  </conditionalFormatting>
  <conditionalFormatting sqref="K2161:L2161 L2164">
    <cfRule type="expression" dxfId="16177" priority="70786">
      <formula>$H2161="CÉLULA CONSTRUTIVA"</formula>
    </cfRule>
  </conditionalFormatting>
  <conditionalFormatting sqref="K2193:L2193 J2194:K2195">
    <cfRule type="expression" dxfId="16176" priority="71336">
      <formula>$H2193="SUBETAPA"</formula>
    </cfRule>
  </conditionalFormatting>
  <conditionalFormatting sqref="K2193:L2193">
    <cfRule type="expression" dxfId="16175" priority="71332">
      <formula>$H2193="CÉLULA CONSTRUTIVA"</formula>
    </cfRule>
  </conditionalFormatting>
  <conditionalFormatting sqref="K2193:L2195 J2194:J2195">
    <cfRule type="expression" dxfId="16174" priority="71337">
      <formula>$H2193="ETAPA"</formula>
    </cfRule>
  </conditionalFormatting>
  <conditionalFormatting sqref="K2325:L2325 J2327:L2329 H2328:H2329 O2329 J2332:K2332 H2333:H2334 J2333:L2336">
    <cfRule type="expression" dxfId="16173" priority="75683">
      <formula>$H2325="ETAPA"</formula>
    </cfRule>
  </conditionalFormatting>
  <conditionalFormatting sqref="K2325:L2325">
    <cfRule type="expression" dxfId="16172" priority="75424">
      <formula>$H2325="CÉLULA CONSTRUTIVA"</formula>
    </cfRule>
  </conditionalFormatting>
  <conditionalFormatting sqref="K808:M808 K810:M810 O810 O813 K815:M815 O815 K817:M817 H818:L819 K821:M821 O821 O824 K826:M826 O826 H827:L828 K830:M830 O830 O833 K835:M835 O835 H836:L837 K839:M839 O839 O842 K844:M844 O844 H845:L846 K848:M848 O848 O851 K853:M853 O853 H854:L855 K857:M857 O857 O860 K862:M862 O862 H863:L864 K866:M866 O866 O869 K871:M871 O871 H872:L873 K875:M875 O875 O878 K880:M880 O880 H881:L882 K884:M884 O884 O887 K889:M889 O889 H890:L891 K893:M893 O893 O896 K898:M898 O898 K900:M900 H901:L902 K904:M904 O904 O907 K909:M909 O909 K911:M911 H912:L913 K915:M915 O915 O918 K920:M920 O920 H921:L922 K924:M924 O924 O927 K929:M929 O929 H930:L931 K933:M933 O933 O936 K938:M938 O938 K940:M940 H941:L942 G943:M943 G944:L945 H946:M946 O946 H948:L948 H950:L951 H952:M952 L953:M953 H954:M954 O954 K956:M956 O956 K958:M958 O958 G959:L960 H961:M961 O961 H963:L963 H965:L967 M967 L968:M968 H969:M969 O969 K971:M971 O971 K973:M973 O973 G974:L975 H976:M976 O976 H978:L978 H980:L982 M982 L983:M983 H984:M984 O984 K986:M986 O986 K988:M988 O988 G989:L990 H991:M991 O991 H993:L993 H995:L997 M997 L998:M998 H999:M999 O999 K1001:M1001 O1001 K1003:M1003 O1003 G1004:L1005 H1006:M1006 O1006 H1008:L1008 H1010:L1012 M1012 L1013:M1013 H1014:M1014 O1014 K1016:M1016 O1016 K1018:M1018 O1018 G1019:L1020 H1021:M1021 O1021 H1023:L1023 H1025:L1027 M1027 L1028:M1028 H1029:M1029 O1029 K1031:M1031 O1031 K1033:M1033 O1033 G1034:L1035 H1036:M1036 O1036 H1038:L1038 H1040:L1042 M1042 L1043:M1043 H1044:M1044 O1044 K1046:M1046 O1046 K1048:M1048 O1048 G1049:L1050 H1051:M1051 O1051 H1053:L1053 H1055:L1057 M1057 L1058:M1058 H1059:M1059 O1059 K1061:M1061 O1061 K1063:M1063 O1063 G1064:L1065 H1066:M1066 O1066 H1068:L1068 H1070:L1072 M1072 L1073:M1073 H1074:M1074 O1074 K1076:M1076 O1076 K1078:M1078 O1078 G1079:L1080 H1081:M1081 O1081 H1083:L1083 H1085:L1087 M1087 L1088:M1088 H1089:M1089 O1089 K1091:M1091 O1091 K1093:M1093 O1093 G1094:L1095 H1096:M1096 O1096 H1098:L1098 H1100:L1102 M1102 L1103:M1103 H1104:M1104 O1104 K1106:M1106 O1106 K1108:M1108 O1108 G1109:L1110 H1111:M1111 O1111 H1113:L1113 H1115:L1117 M1117 L1118:M1118 H1119:M1119 O1119 K1121:M1121 O1121 K1123:M1123 O1123 G1124:L1125 H1126:M1126 O1126 H1128:L1128 H1130:L1132 M1132 L1133:M1133 H1134:M1134 O1134 K1136:M1136 O1136 K1138:M1138 O1138 G1139:L1140 H1141:M1141 O1141 H1143:L1143 H1145:L1146 H1147:M1147 L1148:M1148 H1149:M1149 O1149 K1151:M1151 O1151 K1153:M1153 O1153 H1243:L1243 K1244:M1244 O1244 H1249:J1249 L1249:M1249 L1251:M1251 O1251 K1353:M1353 K1356:M1356 O1356 K1358:M1359 L809 L811 L816 L820 L822 L829 L831 L838 L840 L847 L849 L856 L858 L865 L867 L874 L876 L883 L885 L892 L894 L899 L903 L905 L910 L914 L916 L923 L925 L932 L934 L939 L955 L957 L970 L972 L985 L987 L1000 L1002 L1015 L1017 L1030 L1032 L1045 L1047 L1060 L1062 L1075 L1077 L1090 L1092 L1105 L1107 L1120 L1122 L1135 L1137 L1150 L1152 L1154:L1155 K1156:M1156 L1157:L1158 K1159:L1159 L1162 K1164:L1164 L1167 K1169:L1169 L1172 K1174:L1174 L1177 K1179:L1179 L1182 K1184:L1184 L1187 K1188:M1188 L1189:L1190 K1191:L1191 L1194 K1195:M1195 L1196:L1197 K1198:L1198 L1201 K1202:M1202 L1203:L1204 K1205:L1205 L1208 K1209:M1209 L1210:L1211 K1212:L1212 L1215 K1216:M1216 L1217:L1218 K1219:L1219 L1222 K1224:L1224 L1227 K1228:M1228 L1229:L1230 K1231:L1231 L1234 K1236:L1236 L1351:L1352 L1354:L1355 L1357 H813:M813 H824:M824 H833:M833 H842:M842 H851:M851 H860:M860 H869:M869 H878:M878 H887:M887 H896:M896 H907:M907 H918:M918 H927:M927 H936:M936 G946:G958 G961:G973 G976:G988 G991:G1003 G1006:G1018 G1021:G1033 G1036:G1048 G1051:G1063 G1066:G1078 G1081:G1093 G1096:G1108 G1111:G1123 G1126:G1138 G1141:G1153">
    <cfRule type="expression" dxfId="16171" priority="86955">
      <formula>$H808="ETAPA"</formula>
    </cfRule>
  </conditionalFormatting>
  <conditionalFormatting sqref="K1156:M1156 K1159:L1159 M1188 M1195 M1202 M1209 M1216 M1228">
    <cfRule type="expression" dxfId="16170" priority="55491">
      <formula>$H1156="SUBETAPA"</formula>
    </cfRule>
  </conditionalFormatting>
  <conditionalFormatting sqref="K1255:M1255 K1258:M1258 O1258 K1261:M1261">
    <cfRule type="expression" dxfId="16169" priority="2721">
      <formula>$H1255="SUBETAPA"</formula>
    </cfRule>
  </conditionalFormatting>
  <conditionalFormatting sqref="K1255:M1255 K1258:M1258 O1258 L1253:L1254 L1256:L1257 L1259 K1260:M1261">
    <cfRule type="expression" dxfId="16168" priority="2714">
      <formula>$H1253="ETAPA"</formula>
    </cfRule>
  </conditionalFormatting>
  <conditionalFormatting sqref="K1260:M1260">
    <cfRule type="expression" dxfId="16167" priority="2668">
      <formula>$H1260="SUBETAPA"</formula>
    </cfRule>
  </conditionalFormatting>
  <conditionalFormatting sqref="K1269:M1269 K1272:M1272 O1272 K1275:M1275">
    <cfRule type="expression" dxfId="16166" priority="2790">
      <formula>$H1269="SUBETAPA"</formula>
    </cfRule>
  </conditionalFormatting>
  <conditionalFormatting sqref="K1269:M1269 K1272:M1272 O1272 L1267:L1268 L1270:L1271 L1273 K1274:M1275">
    <cfRule type="expression" dxfId="16165" priority="2783">
      <formula>$H1267="ETAPA"</formula>
    </cfRule>
  </conditionalFormatting>
  <conditionalFormatting sqref="K1274:M1274">
    <cfRule type="expression" dxfId="16164" priority="2737">
      <formula>$H1274="SUBETAPA"</formula>
    </cfRule>
  </conditionalFormatting>
  <conditionalFormatting sqref="K1283:M1283 K1286:M1286 O1286 K1289:M1289">
    <cfRule type="expression" dxfId="16163" priority="2859">
      <formula>$H1283="SUBETAPA"</formula>
    </cfRule>
  </conditionalFormatting>
  <conditionalFormatting sqref="K1283:M1283 K1286:M1286 O1286 L1281:L1282 L1284:L1285 L1287 K1288:M1289">
    <cfRule type="expression" dxfId="16162" priority="2852">
      <formula>$H1281="ETAPA"</formula>
    </cfRule>
  </conditionalFormatting>
  <conditionalFormatting sqref="K1288:M1288">
    <cfRule type="expression" dxfId="16161" priority="2806">
      <formula>$H1288="SUBETAPA"</formula>
    </cfRule>
  </conditionalFormatting>
  <conditionalFormatting sqref="K1297:M1297 K1300:M1300 O1300 K1303:M1303">
    <cfRule type="expression" dxfId="16160" priority="2928">
      <formula>$H1297="SUBETAPA"</formula>
    </cfRule>
  </conditionalFormatting>
  <conditionalFormatting sqref="K1297:M1297 K1300:M1300 O1300 L1295:L1296 L1298:L1299 L1301 K1302:M1303">
    <cfRule type="expression" dxfId="16159" priority="2921">
      <formula>$H1295="ETAPA"</formula>
    </cfRule>
  </conditionalFormatting>
  <conditionalFormatting sqref="K1302:M1302">
    <cfRule type="expression" dxfId="16158" priority="2875">
      <formula>$H1302="SUBETAPA"</formula>
    </cfRule>
  </conditionalFormatting>
  <conditionalFormatting sqref="K1311:M1311 O1314 K1314:M1314 K1317:M1317">
    <cfRule type="expression" dxfId="16157" priority="2997">
      <formula>$H1311="SUBETAPA"</formula>
    </cfRule>
  </conditionalFormatting>
  <conditionalFormatting sqref="K1311:M1311 O1314 L1309:L1310 L1312:L1313 L1315 K1314:M1314 K1316:M1317">
    <cfRule type="expression" dxfId="16156" priority="2990">
      <formula>$H1309="ETAPA"</formula>
    </cfRule>
  </conditionalFormatting>
  <conditionalFormatting sqref="K1316:M1316">
    <cfRule type="expression" dxfId="16155" priority="2944">
      <formula>$H1316="SUBETAPA"</formula>
    </cfRule>
  </conditionalFormatting>
  <conditionalFormatting sqref="K1339:M1339 K1342:M1342 O1342 K1345:M1345">
    <cfRule type="expression" dxfId="16154" priority="3135">
      <formula>$H1339="SUBETAPA"</formula>
    </cfRule>
  </conditionalFormatting>
  <conditionalFormatting sqref="K1339:M1339 K1342:M1342 O1342 L1337:L1338 L1340:L1341 L1343 K1344:M1345">
    <cfRule type="expression" dxfId="16153" priority="3128">
      <formula>$H1337="ETAPA"</formula>
    </cfRule>
  </conditionalFormatting>
  <conditionalFormatting sqref="K1344:M1344">
    <cfRule type="expression" dxfId="16152" priority="3082">
      <formula>$H1344="SUBETAPA"</formula>
    </cfRule>
  </conditionalFormatting>
  <conditionalFormatting sqref="K1358:M1358">
    <cfRule type="expression" dxfId="16151" priority="3151">
      <formula>$H1358="SUBETAPA"</formula>
    </cfRule>
  </conditionalFormatting>
  <conditionalFormatting sqref="K1369:M1369 O1369">
    <cfRule type="expression" dxfId="16150" priority="53764">
      <formula>$H1369="SUBETAPA"</formula>
    </cfRule>
    <cfRule type="expression" dxfId="16149" priority="53765">
      <formula>$H1369="ETAPA"</formula>
    </cfRule>
  </conditionalFormatting>
  <conditionalFormatting sqref="K1372:M1372 O1372">
    <cfRule type="expression" dxfId="16148" priority="53888">
      <formula>$H1372="SUBETAPA"</formula>
    </cfRule>
    <cfRule type="expression" dxfId="16147" priority="53889">
      <formula>$H1372="ETAPA"</formula>
    </cfRule>
  </conditionalFormatting>
  <conditionalFormatting sqref="K1375:M1375 O1375">
    <cfRule type="expression" dxfId="16146" priority="54012">
      <formula>$H1375="SUBETAPA"</formula>
    </cfRule>
    <cfRule type="expression" dxfId="16145" priority="54013">
      <formula>$H1375="ETAPA"</formula>
    </cfRule>
  </conditionalFormatting>
  <conditionalFormatting sqref="K1378:M1378 O1378">
    <cfRule type="expression" dxfId="16144" priority="54136">
      <formula>$H1378="SUBETAPA"</formula>
    </cfRule>
    <cfRule type="expression" dxfId="16143" priority="54137">
      <formula>$H1378="ETAPA"</formula>
    </cfRule>
  </conditionalFormatting>
  <conditionalFormatting sqref="K1381:M1381 O1381">
    <cfRule type="expression" dxfId="16142" priority="54260">
      <formula>$H1381="SUBETAPA"</formula>
    </cfRule>
    <cfRule type="expression" dxfId="16141" priority="54261">
      <formula>$H1381="ETAPA"</formula>
    </cfRule>
  </conditionalFormatting>
  <conditionalFormatting sqref="K1384:M1384 O1384">
    <cfRule type="expression" dxfId="16140" priority="54384">
      <formula>$H1384="SUBETAPA"</formula>
    </cfRule>
    <cfRule type="expression" dxfId="16139" priority="54385">
      <formula>$H1384="ETAPA"</formula>
    </cfRule>
  </conditionalFormatting>
  <conditionalFormatting sqref="K1403:M1403 O1403">
    <cfRule type="expression" dxfId="16138" priority="54756">
      <formula>$H1403="SUBETAPA"</formula>
    </cfRule>
    <cfRule type="expression" dxfId="16137" priority="54757">
      <formula>$H1403="ETAPA"</formula>
    </cfRule>
  </conditionalFormatting>
  <conditionalFormatting sqref="K1408:M1408 O1408">
    <cfRule type="expression" dxfId="16136" priority="54880">
      <formula>$H1408="SUBETAPA"</formula>
    </cfRule>
    <cfRule type="expression" dxfId="16135" priority="54881">
      <formula>$H1408="ETAPA"</formula>
    </cfRule>
  </conditionalFormatting>
  <conditionalFormatting sqref="K1413:M1413 O1413">
    <cfRule type="expression" dxfId="16134" priority="55004">
      <formula>$H1413="SUBETAPA"</formula>
    </cfRule>
    <cfRule type="expression" dxfId="16133" priority="55005">
      <formula>$H1413="ETAPA"</formula>
    </cfRule>
  </conditionalFormatting>
  <conditionalFormatting sqref="K1418:M1418 O1418">
    <cfRule type="expression" dxfId="16132" priority="55128">
      <formula>$H1418="SUBETAPA"</formula>
    </cfRule>
    <cfRule type="expression" dxfId="16131" priority="55129">
      <formula>$H1418="ETAPA"</formula>
    </cfRule>
  </conditionalFormatting>
  <conditionalFormatting sqref="K1421:M1421 O1421">
    <cfRule type="expression" dxfId="16130" priority="55252">
      <formula>$H1421="SUBETAPA"</formula>
    </cfRule>
    <cfRule type="expression" dxfId="16129" priority="55253">
      <formula>$H1421="ETAPA"</formula>
    </cfRule>
  </conditionalFormatting>
  <conditionalFormatting sqref="L22">
    <cfRule type="expression" dxfId="16128" priority="46633">
      <formula>$H22="SUBETAPA"</formula>
    </cfRule>
  </conditionalFormatting>
  <conditionalFormatting sqref="L23">
    <cfRule type="expression" dxfId="16127" priority="46589">
      <formula>$H23="SUBETAPA"</formula>
    </cfRule>
  </conditionalFormatting>
  <conditionalFormatting sqref="L34:L36">
    <cfRule type="expression" dxfId="16126" priority="50598">
      <formula>$H34="ETAPA"</formula>
    </cfRule>
  </conditionalFormatting>
  <conditionalFormatting sqref="L37">
    <cfRule type="expression" dxfId="16125" priority="46682">
      <formula>$H37="CÉLULA CONSTRUTIVA"</formula>
    </cfRule>
    <cfRule type="expression" dxfId="16124" priority="46683">
      <formula>$H37="ETAPA"</formula>
    </cfRule>
    <cfRule type="expression" dxfId="16123" priority="46684">
      <formula>$H37="SUBETAPA"</formula>
    </cfRule>
  </conditionalFormatting>
  <conditionalFormatting sqref="L38">
    <cfRule type="expression" dxfId="16122" priority="50567">
      <formula>$H38="CÉLULA CONSTRUTIVA"</formula>
    </cfRule>
    <cfRule type="expression" dxfId="16121" priority="50568">
      <formula>$H38="ETAPA"</formula>
    </cfRule>
    <cfRule type="expression" dxfId="16120" priority="50569">
      <formula>$H38="SUBETAPA"</formula>
    </cfRule>
  </conditionalFormatting>
  <conditionalFormatting sqref="L44:L45 G41:N41">
    <cfRule type="expression" dxfId="16119" priority="50528">
      <formula>$H41="CÉLULA CONSTRUTIVA"</formula>
    </cfRule>
  </conditionalFormatting>
  <conditionalFormatting sqref="L44:L45">
    <cfRule type="expression" dxfId="16118" priority="50531">
      <formula>$H44="ETAPA"</formula>
    </cfRule>
  </conditionalFormatting>
  <conditionalFormatting sqref="L46 H46:I46">
    <cfRule type="expression" dxfId="16117" priority="46777">
      <formula>$H46="SUBETAPA"</formula>
    </cfRule>
  </conditionalFormatting>
  <conditionalFormatting sqref="L46">
    <cfRule type="expression" dxfId="16116" priority="46767">
      <formula>$H46="CÉLULA CONSTRUTIVA"</formula>
    </cfRule>
    <cfRule type="expression" dxfId="16115" priority="46768">
      <formula>$H46="ETAPA"</formula>
    </cfRule>
  </conditionalFormatting>
  <conditionalFormatting sqref="L47">
    <cfRule type="expression" dxfId="16114" priority="46736">
      <formula>$H47="CÉLULA CONSTRUTIVA"</formula>
    </cfRule>
  </conditionalFormatting>
  <conditionalFormatting sqref="L47:L48">
    <cfRule type="expression" dxfId="16113" priority="46737">
      <formula>$H47="ETAPA"</formula>
    </cfRule>
  </conditionalFormatting>
  <conditionalFormatting sqref="L52">
    <cfRule type="expression" dxfId="16112" priority="50406">
      <formula>$H52="CÉLULA CONSTRUTIVA"</formula>
    </cfRule>
  </conditionalFormatting>
  <conditionalFormatting sqref="L56">
    <cfRule type="expression" dxfId="16111" priority="50351">
      <formula>$H56="CÉLULA CONSTRUTIVA"</formula>
    </cfRule>
  </conditionalFormatting>
  <conditionalFormatting sqref="L65">
    <cfRule type="expression" dxfId="16110" priority="50890">
      <formula>$H65="CÉLULA CONSTRUTIVA"</formula>
    </cfRule>
    <cfRule type="expression" dxfId="16109" priority="50891">
      <formula>$H65="ETAPA"</formula>
    </cfRule>
    <cfRule type="expression" dxfId="16108" priority="50892">
      <formula>$H65="SUBETAPA"</formula>
    </cfRule>
  </conditionalFormatting>
  <conditionalFormatting sqref="L73">
    <cfRule type="expression" dxfId="16107" priority="50779">
      <formula>$H73="CÉLULA CONSTRUTIVA"</formula>
    </cfRule>
    <cfRule type="expression" dxfId="16106" priority="50780">
      <formula>$H73="SUBETAPA"</formula>
    </cfRule>
    <cfRule type="expression" dxfId="16105" priority="50781">
      <formula>$H73="ETAPA"</formula>
    </cfRule>
  </conditionalFormatting>
  <conditionalFormatting sqref="L74">
    <cfRule type="expression" dxfId="16104" priority="50776">
      <formula>$H74="CÉLULA CONSTRUTIVA"</formula>
    </cfRule>
    <cfRule type="expression" dxfId="16103" priority="50777">
      <formula>$H74="SUBETAPA"</formula>
    </cfRule>
    <cfRule type="expression" dxfId="16102" priority="50778">
      <formula>$H74="ETAPA"</formula>
    </cfRule>
  </conditionalFormatting>
  <conditionalFormatting sqref="L75">
    <cfRule type="expression" dxfId="16101" priority="50773">
      <formula>$H75="CÉLULA CONSTRUTIVA"</formula>
    </cfRule>
    <cfRule type="expression" dxfId="16100" priority="50774">
      <formula>$H75="SUBETAPA"</formula>
    </cfRule>
    <cfRule type="expression" dxfId="16099" priority="50775">
      <formula>$H75="ETAPA"</formula>
    </cfRule>
  </conditionalFormatting>
  <conditionalFormatting sqref="L76">
    <cfRule type="expression" dxfId="16098" priority="50770">
      <formula>$H76="CÉLULA CONSTRUTIVA"</formula>
    </cfRule>
    <cfRule type="expression" dxfId="16097" priority="50771">
      <formula>$H76="SUBETAPA"</formula>
    </cfRule>
    <cfRule type="expression" dxfId="16096" priority="50772">
      <formula>$H76="ETAPA"</formula>
    </cfRule>
  </conditionalFormatting>
  <conditionalFormatting sqref="L84:L85">
    <cfRule type="expression" dxfId="16095" priority="50207">
      <formula>$H84="CÉLULA CONSTRUTIVA"</formula>
    </cfRule>
    <cfRule type="expression" dxfId="16094" priority="50208">
      <formula>$H84="SUBETAPA"</formula>
    </cfRule>
    <cfRule type="expression" dxfId="16093" priority="50209">
      <formula>$H84="ETAPA"</formula>
    </cfRule>
  </conditionalFormatting>
  <conditionalFormatting sqref="L86">
    <cfRule type="expression" dxfId="16092" priority="50204">
      <formula>$H86="CÉLULA CONSTRUTIVA"</formula>
    </cfRule>
    <cfRule type="expression" dxfId="16091" priority="50205">
      <formula>$H86="SUBETAPA"</formula>
    </cfRule>
    <cfRule type="expression" dxfId="16090" priority="50206">
      <formula>$H86="ETAPA"</formula>
    </cfRule>
  </conditionalFormatting>
  <conditionalFormatting sqref="L87">
    <cfRule type="expression" dxfId="16089" priority="50201">
      <formula>$H87="CÉLULA CONSTRUTIVA"</formula>
    </cfRule>
    <cfRule type="expression" dxfId="16088" priority="50202">
      <formula>$H87="SUBETAPA"</formula>
    </cfRule>
    <cfRule type="expression" dxfId="16087" priority="50203">
      <formula>$H87="ETAPA"</formula>
    </cfRule>
  </conditionalFormatting>
  <conditionalFormatting sqref="L88">
    <cfRule type="expression" dxfId="16086" priority="50198">
      <formula>$H88="CÉLULA CONSTRUTIVA"</formula>
    </cfRule>
    <cfRule type="expression" dxfId="16085" priority="50199">
      <formula>$H88="SUBETAPA"</formula>
    </cfRule>
    <cfRule type="expression" dxfId="16084" priority="50200">
      <formula>$H88="ETAPA"</formula>
    </cfRule>
  </conditionalFormatting>
  <conditionalFormatting sqref="L89">
    <cfRule type="expression" dxfId="16083" priority="50195">
      <formula>$H89="CÉLULA CONSTRUTIVA"</formula>
    </cfRule>
    <cfRule type="expression" dxfId="16082" priority="50196">
      <formula>$H89="SUBETAPA"</formula>
    </cfRule>
    <cfRule type="expression" dxfId="16081" priority="50197">
      <formula>$H89="ETAPA"</formula>
    </cfRule>
  </conditionalFormatting>
  <conditionalFormatting sqref="L90">
    <cfRule type="expression" dxfId="16080" priority="50192">
      <formula>$H90="CÉLULA CONSTRUTIVA"</formula>
    </cfRule>
    <cfRule type="expression" dxfId="16079" priority="50193">
      <formula>$H90="SUBETAPA"</formula>
    </cfRule>
    <cfRule type="expression" dxfId="16078" priority="50194">
      <formula>$H90="ETAPA"</formula>
    </cfRule>
  </conditionalFormatting>
  <conditionalFormatting sqref="L91">
    <cfRule type="expression" dxfId="16077" priority="50189">
      <formula>$H91="CÉLULA CONSTRUTIVA"</formula>
    </cfRule>
    <cfRule type="expression" dxfId="16076" priority="50190">
      <formula>$H91="SUBETAPA"</formula>
    </cfRule>
    <cfRule type="expression" dxfId="16075" priority="50191">
      <formula>$H91="ETAPA"</formula>
    </cfRule>
  </conditionalFormatting>
  <conditionalFormatting sqref="L92">
    <cfRule type="expression" dxfId="16074" priority="50186">
      <formula>$H92="CÉLULA CONSTRUTIVA"</formula>
    </cfRule>
    <cfRule type="expression" dxfId="16073" priority="50187">
      <formula>$H92="SUBETAPA"</formula>
    </cfRule>
    <cfRule type="expression" dxfId="16072" priority="50188">
      <formula>$H92="ETAPA"</formula>
    </cfRule>
  </conditionalFormatting>
  <conditionalFormatting sqref="L97:L99 N97:N99 G99:K99 M99">
    <cfRule type="expression" dxfId="16071" priority="50164">
      <formula>$H97="SUBETAPA"</formula>
    </cfRule>
  </conditionalFormatting>
  <conditionalFormatting sqref="L104">
    <cfRule type="expression" dxfId="16070" priority="50125">
      <formula>$H104="SUBETAPA"</formula>
    </cfRule>
  </conditionalFormatting>
  <conditionalFormatting sqref="L106">
    <cfRule type="expression" dxfId="16069" priority="50107">
      <formula>$H106="SUBETAPA"</formula>
    </cfRule>
  </conditionalFormatting>
  <conditionalFormatting sqref="L108">
    <cfRule type="expression" dxfId="16068" priority="50089">
      <formula>$H108="SUBETAPA"</formula>
    </cfRule>
  </conditionalFormatting>
  <conditionalFormatting sqref="L110">
    <cfRule type="expression" dxfId="16067" priority="50071">
      <formula>$H110="SUBETAPA"</formula>
    </cfRule>
  </conditionalFormatting>
  <conditionalFormatting sqref="L112">
    <cfRule type="expression" dxfId="16066" priority="50053">
      <formula>$H112="SUBETAPA"</formula>
    </cfRule>
  </conditionalFormatting>
  <conditionalFormatting sqref="L114">
    <cfRule type="expression" dxfId="16065" priority="46354">
      <formula>$H114="SUBETAPA"</formula>
    </cfRule>
  </conditionalFormatting>
  <conditionalFormatting sqref="L116">
    <cfRule type="expression" dxfId="16064" priority="50035">
      <formula>$H116="SUBETAPA"</formula>
    </cfRule>
  </conditionalFormatting>
  <conditionalFormatting sqref="L118">
    <cfRule type="expression" dxfId="16063" priority="50017">
      <formula>$H118="SUBETAPA"</formula>
    </cfRule>
  </conditionalFormatting>
  <conditionalFormatting sqref="L120">
    <cfRule type="expression" dxfId="16062" priority="49999">
      <formula>$H120="SUBETAPA"</formula>
    </cfRule>
  </conditionalFormatting>
  <conditionalFormatting sqref="L122 N122:N123">
    <cfRule type="expression" dxfId="16061" priority="49977">
      <formula>$H122="SUBETAPA"</formula>
    </cfRule>
  </conditionalFormatting>
  <conditionalFormatting sqref="L123">
    <cfRule type="expression" dxfId="16060" priority="46372">
      <formula>$H123="CÉLULA CONSTRUTIVA"</formula>
    </cfRule>
    <cfRule type="expression" dxfId="16059" priority="46373">
      <formula>$H123="SUBETAPA"</formula>
    </cfRule>
  </conditionalFormatting>
  <conditionalFormatting sqref="L125 N125:N126">
    <cfRule type="expression" dxfId="16058" priority="49940">
      <formula>$H125="SUBETAPA"</formula>
    </cfRule>
  </conditionalFormatting>
  <conditionalFormatting sqref="L126">
    <cfRule type="expression" dxfId="16057" priority="46375">
      <formula>$H126="CÉLULA CONSTRUTIVA"</formula>
    </cfRule>
    <cfRule type="expression" dxfId="16056" priority="46376">
      <formula>$H126="SUBETAPA"</formula>
    </cfRule>
  </conditionalFormatting>
  <conditionalFormatting sqref="L128 N128:N129">
    <cfRule type="expression" dxfId="16055" priority="49903">
      <formula>$H128="SUBETAPA"</formula>
    </cfRule>
  </conditionalFormatting>
  <conditionalFormatting sqref="L129">
    <cfRule type="expression" dxfId="16054" priority="46378">
      <formula>$H129="CÉLULA CONSTRUTIVA"</formula>
    </cfRule>
    <cfRule type="expression" dxfId="16053" priority="46379">
      <formula>$H129="SUBETAPA"</formula>
    </cfRule>
  </conditionalFormatting>
  <conditionalFormatting sqref="L131">
    <cfRule type="expression" dxfId="16052" priority="49870">
      <formula>$H131="SUBETAPA"</formula>
    </cfRule>
  </conditionalFormatting>
  <conditionalFormatting sqref="L133 N133:N134">
    <cfRule type="expression" dxfId="16051" priority="49848">
      <formula>$H133="SUBETAPA"</formula>
    </cfRule>
  </conditionalFormatting>
  <conditionalFormatting sqref="L134">
    <cfRule type="expression" dxfId="16050" priority="46381">
      <formula>$H134="CÉLULA CONSTRUTIVA"</formula>
    </cfRule>
    <cfRule type="expression" dxfId="16049" priority="46382">
      <formula>$H134="SUBETAPA"</formula>
    </cfRule>
  </conditionalFormatting>
  <conditionalFormatting sqref="L136 N136:N137">
    <cfRule type="expression" dxfId="16048" priority="49811">
      <formula>$H136="SUBETAPA"</formula>
    </cfRule>
  </conditionalFormatting>
  <conditionalFormatting sqref="L137">
    <cfRule type="expression" dxfId="16047" priority="46384">
      <formula>$H137="CÉLULA CONSTRUTIVA"</formula>
    </cfRule>
    <cfRule type="expression" dxfId="16046" priority="46385">
      <formula>$H137="SUBETAPA"</formula>
    </cfRule>
  </conditionalFormatting>
  <conditionalFormatting sqref="L142">
    <cfRule type="expression" dxfId="16045" priority="50797">
      <formula>$H142="CÉLULA CONSTRUTIVA"</formula>
    </cfRule>
    <cfRule type="expression" dxfId="16044" priority="50798">
      <formula>$H142="SUBETAPA"</formula>
    </cfRule>
    <cfRule type="expression" dxfId="16043" priority="50799">
      <formula>$H142="ETAPA"</formula>
    </cfRule>
  </conditionalFormatting>
  <conditionalFormatting sqref="L143">
    <cfRule type="expression" dxfId="16042" priority="50794">
      <formula>$H143="CÉLULA CONSTRUTIVA"</formula>
    </cfRule>
    <cfRule type="expression" dxfId="16041" priority="50795">
      <formula>$H143="SUBETAPA"</formula>
    </cfRule>
    <cfRule type="expression" dxfId="16040" priority="50796">
      <formula>$H143="ETAPA"</formula>
    </cfRule>
  </conditionalFormatting>
  <conditionalFormatting sqref="L144">
    <cfRule type="expression" dxfId="16039" priority="50791">
      <formula>$H144="CÉLULA CONSTRUTIVA"</formula>
    </cfRule>
    <cfRule type="expression" dxfId="16038" priority="50792">
      <formula>$H144="SUBETAPA"</formula>
    </cfRule>
    <cfRule type="expression" dxfId="16037" priority="50793">
      <formula>$H144="ETAPA"</formula>
    </cfRule>
  </conditionalFormatting>
  <conditionalFormatting sqref="L145">
    <cfRule type="expression" dxfId="16036" priority="50788">
      <formula>$H145="CÉLULA CONSTRUTIVA"</formula>
    </cfRule>
    <cfRule type="expression" dxfId="16035" priority="50789">
      <formula>$H145="SUBETAPA"</formula>
    </cfRule>
    <cfRule type="expression" dxfId="16034" priority="50790">
      <formula>$H145="ETAPA"</formula>
    </cfRule>
  </conditionalFormatting>
  <conditionalFormatting sqref="L146">
    <cfRule type="expression" dxfId="16033" priority="50785">
      <formula>$H146="CÉLULA CONSTRUTIVA"</formula>
    </cfRule>
    <cfRule type="expression" dxfId="16032" priority="50786">
      <formula>$H146="SUBETAPA"</formula>
    </cfRule>
    <cfRule type="expression" dxfId="16031" priority="50787">
      <formula>$H146="ETAPA"</formula>
    </cfRule>
  </conditionalFormatting>
  <conditionalFormatting sqref="L147">
    <cfRule type="expression" dxfId="16030" priority="50782">
      <formula>$H147="CÉLULA CONSTRUTIVA"</formula>
    </cfRule>
    <cfRule type="expression" dxfId="16029" priority="50783">
      <formula>$H147="SUBETAPA"</formula>
    </cfRule>
    <cfRule type="expression" dxfId="16028" priority="50784">
      <formula>$H147="ETAPA"</formula>
    </cfRule>
  </conditionalFormatting>
  <conditionalFormatting sqref="L148 G148:K149 N148:N153 G150:J153 K150:K156">
    <cfRule type="expression" dxfId="16027" priority="49759">
      <formula>$H148="SUBETAPA"</formula>
    </cfRule>
  </conditionalFormatting>
  <conditionalFormatting sqref="L149:L150">
    <cfRule type="expression" dxfId="16026" priority="47118">
      <formula>$H149="CÉLULA CONSTRUTIVA"</formula>
    </cfRule>
    <cfRule type="expression" dxfId="16025" priority="47119">
      <formula>$H149="SUBETAPA"</formula>
    </cfRule>
    <cfRule type="expression" dxfId="16024" priority="47120">
      <formula>$H149="ETAPA"</formula>
    </cfRule>
  </conditionalFormatting>
  <conditionalFormatting sqref="L151">
    <cfRule type="expression" dxfId="16023" priority="47115">
      <formula>$H151="CÉLULA CONSTRUTIVA"</formula>
    </cfRule>
    <cfRule type="expression" dxfId="16022" priority="47116">
      <formula>$H151="SUBETAPA"</formula>
    </cfRule>
    <cfRule type="expression" dxfId="16021" priority="47117">
      <formula>$H151="ETAPA"</formula>
    </cfRule>
  </conditionalFormatting>
  <conditionalFormatting sqref="L152">
    <cfRule type="expression" dxfId="16020" priority="47112">
      <formula>$H152="CÉLULA CONSTRUTIVA"</formula>
    </cfRule>
    <cfRule type="expression" dxfId="16019" priority="47113">
      <formula>$H152="SUBETAPA"</formula>
    </cfRule>
    <cfRule type="expression" dxfId="16018" priority="47114">
      <formula>$H152="ETAPA"</formula>
    </cfRule>
  </conditionalFormatting>
  <conditionalFormatting sqref="L153">
    <cfRule type="expression" dxfId="16017" priority="47109">
      <formula>$H153="CÉLULA CONSTRUTIVA"</formula>
    </cfRule>
    <cfRule type="expression" dxfId="16016" priority="47110">
      <formula>$H153="SUBETAPA"</formula>
    </cfRule>
    <cfRule type="expression" dxfId="16015" priority="47111">
      <formula>$H153="ETAPA"</formula>
    </cfRule>
  </conditionalFormatting>
  <conditionalFormatting sqref="L154">
    <cfRule type="expression" dxfId="16014" priority="47106">
      <formula>$H154="CÉLULA CONSTRUTIVA"</formula>
    </cfRule>
    <cfRule type="expression" dxfId="16013" priority="47107">
      <formula>$H154="SUBETAPA"</formula>
    </cfRule>
    <cfRule type="expression" dxfId="16012" priority="47108">
      <formula>$H154="ETAPA"</formula>
    </cfRule>
  </conditionalFormatting>
  <conditionalFormatting sqref="L155">
    <cfRule type="expression" dxfId="16011" priority="47103">
      <formula>$H155="CÉLULA CONSTRUTIVA"</formula>
    </cfRule>
    <cfRule type="expression" dxfId="16010" priority="47104">
      <formula>$H155="SUBETAPA"</formula>
    </cfRule>
    <cfRule type="expression" dxfId="16009" priority="47105">
      <formula>$H155="ETAPA"</formula>
    </cfRule>
  </conditionalFormatting>
  <conditionalFormatting sqref="L156">
    <cfRule type="expression" dxfId="16008" priority="47100">
      <formula>$H156="CÉLULA CONSTRUTIVA"</formula>
    </cfRule>
    <cfRule type="expression" dxfId="16007" priority="47101">
      <formula>$H156="SUBETAPA"</formula>
    </cfRule>
    <cfRule type="expression" dxfId="16006" priority="47102">
      <formula>$H156="ETAPA"</formula>
    </cfRule>
  </conditionalFormatting>
  <conditionalFormatting sqref="L157">
    <cfRule type="expression" dxfId="16005" priority="47097">
      <formula>$H157="CÉLULA CONSTRUTIVA"</formula>
    </cfRule>
    <cfRule type="expression" dxfId="16004" priority="47098">
      <formula>$H157="SUBETAPA"</formula>
    </cfRule>
    <cfRule type="expression" dxfId="16003" priority="47099">
      <formula>$H157="ETAPA"</formula>
    </cfRule>
  </conditionalFormatting>
  <conditionalFormatting sqref="L158 G158:K159 N158:N163 G160:J163 K160:K166">
    <cfRule type="expression" dxfId="16002" priority="49673">
      <formula>$H158="SUBETAPA"</formula>
    </cfRule>
  </conditionalFormatting>
  <conditionalFormatting sqref="L159:L160">
    <cfRule type="expression" dxfId="16001" priority="47094">
      <formula>$H159="CÉLULA CONSTRUTIVA"</formula>
    </cfRule>
    <cfRule type="expression" dxfId="16000" priority="47095">
      <formula>$H159="SUBETAPA"</formula>
    </cfRule>
    <cfRule type="expression" dxfId="15999" priority="47096">
      <formula>$H159="ETAPA"</formula>
    </cfRule>
  </conditionalFormatting>
  <conditionalFormatting sqref="L161">
    <cfRule type="expression" dxfId="15998" priority="47091">
      <formula>$H161="CÉLULA CONSTRUTIVA"</formula>
    </cfRule>
    <cfRule type="expression" dxfId="15997" priority="47092">
      <formula>$H161="SUBETAPA"</formula>
    </cfRule>
    <cfRule type="expression" dxfId="15996" priority="47093">
      <formula>$H161="ETAPA"</formula>
    </cfRule>
  </conditionalFormatting>
  <conditionalFormatting sqref="L162">
    <cfRule type="expression" dxfId="15995" priority="47088">
      <formula>$H162="CÉLULA CONSTRUTIVA"</formula>
    </cfRule>
    <cfRule type="expression" dxfId="15994" priority="47089">
      <formula>$H162="SUBETAPA"</formula>
    </cfRule>
    <cfRule type="expression" dxfId="15993" priority="47090">
      <formula>$H162="ETAPA"</formula>
    </cfRule>
  </conditionalFormatting>
  <conditionalFormatting sqref="L163">
    <cfRule type="expression" dxfId="15992" priority="47085">
      <formula>$H163="CÉLULA CONSTRUTIVA"</formula>
    </cfRule>
    <cfRule type="expression" dxfId="15991" priority="47086">
      <formula>$H163="SUBETAPA"</formula>
    </cfRule>
    <cfRule type="expression" dxfId="15990" priority="47087">
      <formula>$H163="ETAPA"</formula>
    </cfRule>
  </conditionalFormatting>
  <conditionalFormatting sqref="L164">
    <cfRule type="expression" dxfId="15989" priority="47082">
      <formula>$H164="CÉLULA CONSTRUTIVA"</formula>
    </cfRule>
    <cfRule type="expression" dxfId="15988" priority="47083">
      <formula>$H164="SUBETAPA"</formula>
    </cfRule>
    <cfRule type="expression" dxfId="15987" priority="47084">
      <formula>$H164="ETAPA"</formula>
    </cfRule>
  </conditionalFormatting>
  <conditionalFormatting sqref="L165">
    <cfRule type="expression" dxfId="15986" priority="47079">
      <formula>$H165="CÉLULA CONSTRUTIVA"</formula>
    </cfRule>
    <cfRule type="expression" dxfId="15985" priority="47080">
      <formula>$H165="SUBETAPA"</formula>
    </cfRule>
    <cfRule type="expression" dxfId="15984" priority="47081">
      <formula>$H165="ETAPA"</formula>
    </cfRule>
  </conditionalFormatting>
  <conditionalFormatting sqref="L166">
    <cfRule type="expression" dxfId="15983" priority="47076">
      <formula>$H166="CÉLULA CONSTRUTIVA"</formula>
    </cfRule>
    <cfRule type="expression" dxfId="15982" priority="47077">
      <formula>$H166="SUBETAPA"</formula>
    </cfRule>
    <cfRule type="expression" dxfId="15981" priority="47078">
      <formula>$H166="ETAPA"</formula>
    </cfRule>
  </conditionalFormatting>
  <conditionalFormatting sqref="L167">
    <cfRule type="expression" dxfId="15980" priority="47073">
      <formula>$H167="CÉLULA CONSTRUTIVA"</formula>
    </cfRule>
    <cfRule type="expression" dxfId="15979" priority="47074">
      <formula>$H167="SUBETAPA"</formula>
    </cfRule>
    <cfRule type="expression" dxfId="15978" priority="47075">
      <formula>$H167="ETAPA"</formula>
    </cfRule>
  </conditionalFormatting>
  <conditionalFormatting sqref="L168 G168:K169 N168:N173 G170:J173 K170:K176">
    <cfRule type="expression" dxfId="15977" priority="49587">
      <formula>$H168="SUBETAPA"</formula>
    </cfRule>
  </conditionalFormatting>
  <conditionalFormatting sqref="L169:L170">
    <cfRule type="expression" dxfId="15976" priority="47070">
      <formula>$H169="CÉLULA CONSTRUTIVA"</formula>
    </cfRule>
    <cfRule type="expression" dxfId="15975" priority="47071">
      <formula>$H169="SUBETAPA"</formula>
    </cfRule>
    <cfRule type="expression" dxfId="15974" priority="47072">
      <formula>$H169="ETAPA"</formula>
    </cfRule>
  </conditionalFormatting>
  <conditionalFormatting sqref="L171">
    <cfRule type="expression" dxfId="15973" priority="47067">
      <formula>$H171="CÉLULA CONSTRUTIVA"</formula>
    </cfRule>
    <cfRule type="expression" dxfId="15972" priority="47068">
      <formula>$H171="SUBETAPA"</formula>
    </cfRule>
    <cfRule type="expression" dxfId="15971" priority="47069">
      <formula>$H171="ETAPA"</formula>
    </cfRule>
  </conditionalFormatting>
  <conditionalFormatting sqref="L172">
    <cfRule type="expression" dxfId="15970" priority="47064">
      <formula>$H172="CÉLULA CONSTRUTIVA"</formula>
    </cfRule>
    <cfRule type="expression" dxfId="15969" priority="47065">
      <formula>$H172="SUBETAPA"</formula>
    </cfRule>
    <cfRule type="expression" dxfId="15968" priority="47066">
      <formula>$H172="ETAPA"</formula>
    </cfRule>
  </conditionalFormatting>
  <conditionalFormatting sqref="L173">
    <cfRule type="expression" dxfId="15967" priority="47061">
      <formula>$H173="CÉLULA CONSTRUTIVA"</formula>
    </cfRule>
    <cfRule type="expression" dxfId="15966" priority="47062">
      <formula>$H173="SUBETAPA"</formula>
    </cfRule>
    <cfRule type="expression" dxfId="15965" priority="47063">
      <formula>$H173="ETAPA"</formula>
    </cfRule>
  </conditionalFormatting>
  <conditionalFormatting sqref="L174">
    <cfRule type="expression" dxfId="15964" priority="47058">
      <formula>$H174="CÉLULA CONSTRUTIVA"</formula>
    </cfRule>
    <cfRule type="expression" dxfId="15963" priority="47059">
      <formula>$H174="SUBETAPA"</formula>
    </cfRule>
    <cfRule type="expression" dxfId="15962" priority="47060">
      <formula>$H174="ETAPA"</formula>
    </cfRule>
  </conditionalFormatting>
  <conditionalFormatting sqref="L175">
    <cfRule type="expression" dxfId="15961" priority="47055">
      <formula>$H175="CÉLULA CONSTRUTIVA"</formula>
    </cfRule>
    <cfRule type="expression" dxfId="15960" priority="47056">
      <formula>$H175="SUBETAPA"</formula>
    </cfRule>
    <cfRule type="expression" dxfId="15959" priority="47057">
      <formula>$H175="ETAPA"</formula>
    </cfRule>
  </conditionalFormatting>
  <conditionalFormatting sqref="L176">
    <cfRule type="expression" dxfId="15958" priority="47052">
      <formula>$H176="CÉLULA CONSTRUTIVA"</formula>
    </cfRule>
    <cfRule type="expression" dxfId="15957" priority="47053">
      <formula>$H176="SUBETAPA"</formula>
    </cfRule>
    <cfRule type="expression" dxfId="15956" priority="47054">
      <formula>$H176="ETAPA"</formula>
    </cfRule>
  </conditionalFormatting>
  <conditionalFormatting sqref="L177 G179:J182">
    <cfRule type="expression" dxfId="15955" priority="49504">
      <formula>$H177="SUBETAPA"</formula>
    </cfRule>
  </conditionalFormatting>
  <conditionalFormatting sqref="L178">
    <cfRule type="expression" dxfId="15954" priority="3311">
      <formula>$H178="CÉLULA CONSTRUTIVA"</formula>
    </cfRule>
    <cfRule type="expression" dxfId="15953" priority="3312">
      <formula>$H178="SUBETAPA"</formula>
    </cfRule>
    <cfRule type="expression" dxfId="15952" priority="3313">
      <formula>$H178="ETAPA"</formula>
    </cfRule>
  </conditionalFormatting>
  <conditionalFormatting sqref="L180">
    <cfRule type="expression" dxfId="15951" priority="47046">
      <formula>$H180="CÉLULA CONSTRUTIVA"</formula>
    </cfRule>
    <cfRule type="expression" dxfId="15950" priority="47047">
      <formula>$H180="SUBETAPA"</formula>
    </cfRule>
    <cfRule type="expression" dxfId="15949" priority="47048">
      <formula>$H180="ETAPA"</formula>
    </cfRule>
  </conditionalFormatting>
  <conditionalFormatting sqref="L181">
    <cfRule type="expression" dxfId="15948" priority="47043">
      <formula>$H181="CÉLULA CONSTRUTIVA"</formula>
    </cfRule>
    <cfRule type="expression" dxfId="15947" priority="47044">
      <formula>$H181="SUBETAPA"</formula>
    </cfRule>
    <cfRule type="expression" dxfId="15946" priority="47045">
      <formula>$H181="ETAPA"</formula>
    </cfRule>
  </conditionalFormatting>
  <conditionalFormatting sqref="L182">
    <cfRule type="expression" dxfId="15945" priority="47040">
      <formula>$H182="CÉLULA CONSTRUTIVA"</formula>
    </cfRule>
    <cfRule type="expression" dxfId="15944" priority="47041">
      <formula>$H182="SUBETAPA"</formula>
    </cfRule>
    <cfRule type="expression" dxfId="15943" priority="47042">
      <formula>$H182="ETAPA"</formula>
    </cfRule>
  </conditionalFormatting>
  <conditionalFormatting sqref="L183">
    <cfRule type="expression" dxfId="15942" priority="47037">
      <formula>$H183="CÉLULA CONSTRUTIVA"</formula>
    </cfRule>
    <cfRule type="expression" dxfId="15941" priority="47038">
      <formula>$H183="SUBETAPA"</formula>
    </cfRule>
    <cfRule type="expression" dxfId="15940" priority="47039">
      <formula>$H183="ETAPA"</formula>
    </cfRule>
  </conditionalFormatting>
  <conditionalFormatting sqref="L184">
    <cfRule type="expression" dxfId="15939" priority="47034">
      <formula>$H184="CÉLULA CONSTRUTIVA"</formula>
    </cfRule>
    <cfRule type="expression" dxfId="15938" priority="47035">
      <formula>$H184="SUBETAPA"</formula>
    </cfRule>
    <cfRule type="expression" dxfId="15937" priority="47036">
      <formula>$H184="ETAPA"</formula>
    </cfRule>
  </conditionalFormatting>
  <conditionalFormatting sqref="L185">
    <cfRule type="expression" dxfId="15936" priority="3294">
      <formula>$H185="CÉLULA CONSTRUTIVA"</formula>
    </cfRule>
    <cfRule type="expression" dxfId="15935" priority="3295">
      <formula>$H185="SUBETAPA"</formula>
    </cfRule>
    <cfRule type="expression" dxfId="15934" priority="3296">
      <formula>$H185="ETAPA"</formula>
    </cfRule>
  </conditionalFormatting>
  <conditionalFormatting sqref="L186 G188:J191">
    <cfRule type="expression" dxfId="15933" priority="49486">
      <formula>$H186="SUBETAPA"</formula>
    </cfRule>
  </conditionalFormatting>
  <conditionalFormatting sqref="L187">
    <cfRule type="expression" dxfId="15932" priority="3277">
      <formula>$H187="CÉLULA CONSTRUTIVA"</formula>
    </cfRule>
    <cfRule type="expression" dxfId="15931" priority="3278">
      <formula>$H187="SUBETAPA"</formula>
    </cfRule>
    <cfRule type="expression" dxfId="15930" priority="3279">
      <formula>$H187="ETAPA"</formula>
    </cfRule>
  </conditionalFormatting>
  <conditionalFormatting sqref="L189">
    <cfRule type="expression" dxfId="15929" priority="47031">
      <formula>$H189="CÉLULA CONSTRUTIVA"</formula>
    </cfRule>
    <cfRule type="expression" dxfId="15928" priority="47032">
      <formula>$H189="SUBETAPA"</formula>
    </cfRule>
    <cfRule type="expression" dxfId="15927" priority="47033">
      <formula>$H189="ETAPA"</formula>
    </cfRule>
  </conditionalFormatting>
  <conditionalFormatting sqref="L190">
    <cfRule type="expression" dxfId="15926" priority="47028">
      <formula>$H190="CÉLULA CONSTRUTIVA"</formula>
    </cfRule>
    <cfRule type="expression" dxfId="15925" priority="47029">
      <formula>$H190="SUBETAPA"</formula>
    </cfRule>
    <cfRule type="expression" dxfId="15924" priority="47030">
      <formula>$H190="ETAPA"</formula>
    </cfRule>
  </conditionalFormatting>
  <conditionalFormatting sqref="L191">
    <cfRule type="expression" dxfId="15923" priority="47025">
      <formula>$H191="CÉLULA CONSTRUTIVA"</formula>
    </cfRule>
    <cfRule type="expression" dxfId="15922" priority="47026">
      <formula>$H191="SUBETAPA"</formula>
    </cfRule>
    <cfRule type="expression" dxfId="15921" priority="47027">
      <formula>$H191="ETAPA"</formula>
    </cfRule>
  </conditionalFormatting>
  <conditionalFormatting sqref="L192">
    <cfRule type="expression" dxfId="15920" priority="47022">
      <formula>$H192="CÉLULA CONSTRUTIVA"</formula>
    </cfRule>
    <cfRule type="expression" dxfId="15919" priority="47023">
      <formula>$H192="SUBETAPA"</formula>
    </cfRule>
    <cfRule type="expression" dxfId="15918" priority="47024">
      <formula>$H192="ETAPA"</formula>
    </cfRule>
  </conditionalFormatting>
  <conditionalFormatting sqref="L193">
    <cfRule type="expression" dxfId="15917" priority="47019">
      <formula>$H193="CÉLULA CONSTRUTIVA"</formula>
    </cfRule>
    <cfRule type="expression" dxfId="15916" priority="47020">
      <formula>$H193="SUBETAPA"</formula>
    </cfRule>
    <cfRule type="expression" dxfId="15915" priority="47021">
      <formula>$H193="ETAPA"</formula>
    </cfRule>
  </conditionalFormatting>
  <conditionalFormatting sqref="L194">
    <cfRule type="expression" dxfId="15914" priority="3260">
      <formula>$H194="CÉLULA CONSTRUTIVA"</formula>
    </cfRule>
    <cfRule type="expression" dxfId="15913" priority="3261">
      <formula>$H194="SUBETAPA"</formula>
    </cfRule>
    <cfRule type="expression" dxfId="15912" priority="3262">
      <formula>$H194="ETAPA"</formula>
    </cfRule>
  </conditionalFormatting>
  <conditionalFormatting sqref="L195 G197:J200">
    <cfRule type="expression" dxfId="15911" priority="49468">
      <formula>$H195="SUBETAPA"</formula>
    </cfRule>
  </conditionalFormatting>
  <conditionalFormatting sqref="L196">
    <cfRule type="expression" dxfId="15910" priority="3243">
      <formula>$H196="CÉLULA CONSTRUTIVA"</formula>
    </cfRule>
    <cfRule type="expression" dxfId="15909" priority="3244">
      <formula>$H196="SUBETAPA"</formula>
    </cfRule>
    <cfRule type="expression" dxfId="15908" priority="3245">
      <formula>$H196="ETAPA"</formula>
    </cfRule>
  </conditionalFormatting>
  <conditionalFormatting sqref="L198">
    <cfRule type="expression" dxfId="15907" priority="47016">
      <formula>$H198="CÉLULA CONSTRUTIVA"</formula>
    </cfRule>
    <cfRule type="expression" dxfId="15906" priority="47017">
      <formula>$H198="SUBETAPA"</formula>
    </cfRule>
    <cfRule type="expression" dxfId="15905" priority="47018">
      <formula>$H198="ETAPA"</formula>
    </cfRule>
  </conditionalFormatting>
  <conditionalFormatting sqref="L199">
    <cfRule type="expression" dxfId="15904" priority="47013">
      <formula>$H199="CÉLULA CONSTRUTIVA"</formula>
    </cfRule>
    <cfRule type="expression" dxfId="15903" priority="47014">
      <formula>$H199="SUBETAPA"</formula>
    </cfRule>
    <cfRule type="expression" dxfId="15902" priority="47015">
      <formula>$H199="ETAPA"</formula>
    </cfRule>
  </conditionalFormatting>
  <conditionalFormatting sqref="L200">
    <cfRule type="expression" dxfId="15901" priority="47010">
      <formula>$H200="CÉLULA CONSTRUTIVA"</formula>
    </cfRule>
    <cfRule type="expression" dxfId="15900" priority="47011">
      <formula>$H200="SUBETAPA"</formula>
    </cfRule>
    <cfRule type="expression" dxfId="15899" priority="47012">
      <formula>$H200="ETAPA"</formula>
    </cfRule>
  </conditionalFormatting>
  <conditionalFormatting sqref="L201">
    <cfRule type="expression" dxfId="15898" priority="47007">
      <formula>$H201="CÉLULA CONSTRUTIVA"</formula>
    </cfRule>
    <cfRule type="expression" dxfId="15897" priority="47008">
      <formula>$H201="SUBETAPA"</formula>
    </cfRule>
    <cfRule type="expression" dxfId="15896" priority="47009">
      <formula>$H201="ETAPA"</formula>
    </cfRule>
  </conditionalFormatting>
  <conditionalFormatting sqref="L202">
    <cfRule type="expression" dxfId="15895" priority="47004">
      <formula>$H202="CÉLULA CONSTRUTIVA"</formula>
    </cfRule>
    <cfRule type="expression" dxfId="15894" priority="47005">
      <formula>$H202="SUBETAPA"</formula>
    </cfRule>
    <cfRule type="expression" dxfId="15893" priority="47006">
      <formula>$H202="ETAPA"</formula>
    </cfRule>
  </conditionalFormatting>
  <conditionalFormatting sqref="L203">
    <cfRule type="expression" dxfId="15892" priority="3226">
      <formula>$H203="CÉLULA CONSTRUTIVA"</formula>
    </cfRule>
    <cfRule type="expression" dxfId="15891" priority="3227">
      <formula>$H203="SUBETAPA"</formula>
    </cfRule>
    <cfRule type="expression" dxfId="15890" priority="3228">
      <formula>$H203="ETAPA"</formula>
    </cfRule>
  </conditionalFormatting>
  <conditionalFormatting sqref="L205">
    <cfRule type="expression" dxfId="15889" priority="3209">
      <formula>$H205="CÉLULA CONSTRUTIVA"</formula>
    </cfRule>
    <cfRule type="expression" dxfId="15888" priority="3210">
      <formula>$H205="SUBETAPA"</formula>
    </cfRule>
    <cfRule type="expression" dxfId="15887" priority="3211">
      <formula>$H205="ETAPA"</formula>
    </cfRule>
  </conditionalFormatting>
  <conditionalFormatting sqref="L207">
    <cfRule type="expression" dxfId="15886" priority="46314">
      <formula>$H207="CÉLULA CONSTRUTIVA"</formula>
    </cfRule>
    <cfRule type="expression" dxfId="15885" priority="46315">
      <formula>$H207="SUBETAPA"</formula>
    </cfRule>
    <cfRule type="expression" dxfId="15884" priority="46316">
      <formula>$H207="ETAPA"</formula>
    </cfRule>
  </conditionalFormatting>
  <conditionalFormatting sqref="L208">
    <cfRule type="expression" dxfId="15883" priority="46311">
      <formula>$H208="CÉLULA CONSTRUTIVA"</formula>
    </cfRule>
    <cfRule type="expression" dxfId="15882" priority="46312">
      <formula>$H208="SUBETAPA"</formula>
    </cfRule>
    <cfRule type="expression" dxfId="15881" priority="46313">
      <formula>$H208="ETAPA"</formula>
    </cfRule>
  </conditionalFormatting>
  <conditionalFormatting sqref="L209">
    <cfRule type="expression" dxfId="15880" priority="46308">
      <formula>$H209="CÉLULA CONSTRUTIVA"</formula>
    </cfRule>
    <cfRule type="expression" dxfId="15879" priority="46309">
      <formula>$H209="SUBETAPA"</formula>
    </cfRule>
    <cfRule type="expression" dxfId="15878" priority="46310">
      <formula>$H209="ETAPA"</formula>
    </cfRule>
  </conditionalFormatting>
  <conditionalFormatting sqref="L210">
    <cfRule type="expression" dxfId="15877" priority="46305">
      <formula>$H210="CÉLULA CONSTRUTIVA"</formula>
    </cfRule>
    <cfRule type="expression" dxfId="15876" priority="46306">
      <formula>$H210="SUBETAPA"</formula>
    </cfRule>
    <cfRule type="expression" dxfId="15875" priority="46307">
      <formula>$H210="ETAPA"</formula>
    </cfRule>
  </conditionalFormatting>
  <conditionalFormatting sqref="L211">
    <cfRule type="expression" dxfId="15874" priority="46302">
      <formula>$H211="CÉLULA CONSTRUTIVA"</formula>
    </cfRule>
    <cfRule type="expression" dxfId="15873" priority="46303">
      <formula>$H211="SUBETAPA"</formula>
    </cfRule>
    <cfRule type="expression" dxfId="15872" priority="46304">
      <formula>$H211="ETAPA"</formula>
    </cfRule>
  </conditionalFormatting>
  <conditionalFormatting sqref="L212">
    <cfRule type="expression" dxfId="15871" priority="3192">
      <formula>$H212="CÉLULA CONSTRUTIVA"</formula>
    </cfRule>
    <cfRule type="expression" dxfId="15870" priority="3193">
      <formula>$H212="SUBETAPA"</formula>
    </cfRule>
    <cfRule type="expression" dxfId="15869" priority="3194">
      <formula>$H212="ETAPA"</formula>
    </cfRule>
  </conditionalFormatting>
  <conditionalFormatting sqref="L213 G215:J218">
    <cfRule type="expression" dxfId="15868" priority="49450">
      <formula>$H213="SUBETAPA"</formula>
    </cfRule>
  </conditionalFormatting>
  <conditionalFormatting sqref="L214">
    <cfRule type="expression" dxfId="15867" priority="3175">
      <formula>$H214="CÉLULA CONSTRUTIVA"</formula>
    </cfRule>
    <cfRule type="expression" dxfId="15866" priority="3176">
      <formula>$H214="SUBETAPA"</formula>
    </cfRule>
    <cfRule type="expression" dxfId="15865" priority="3177">
      <formula>$H214="ETAPA"</formula>
    </cfRule>
  </conditionalFormatting>
  <conditionalFormatting sqref="L216">
    <cfRule type="expression" dxfId="15864" priority="47001">
      <formula>$H216="CÉLULA CONSTRUTIVA"</formula>
    </cfRule>
    <cfRule type="expression" dxfId="15863" priority="47002">
      <formula>$H216="SUBETAPA"</formula>
    </cfRule>
    <cfRule type="expression" dxfId="15862" priority="47003">
      <formula>$H216="ETAPA"</formula>
    </cfRule>
  </conditionalFormatting>
  <conditionalFormatting sqref="L217">
    <cfRule type="expression" dxfId="15861" priority="46998">
      <formula>$H217="CÉLULA CONSTRUTIVA"</formula>
    </cfRule>
    <cfRule type="expression" dxfId="15860" priority="46999">
      <formula>$H217="SUBETAPA"</formula>
    </cfRule>
    <cfRule type="expression" dxfId="15859" priority="47000">
      <formula>$H217="ETAPA"</formula>
    </cfRule>
  </conditionalFormatting>
  <conditionalFormatting sqref="L218">
    <cfRule type="expression" dxfId="15858" priority="46995">
      <formula>$H218="CÉLULA CONSTRUTIVA"</formula>
    </cfRule>
    <cfRule type="expression" dxfId="15857" priority="46996">
      <formula>$H218="SUBETAPA"</formula>
    </cfRule>
    <cfRule type="expression" dxfId="15856" priority="46997">
      <formula>$H218="ETAPA"</formula>
    </cfRule>
  </conditionalFormatting>
  <conditionalFormatting sqref="L219">
    <cfRule type="expression" dxfId="15855" priority="46992">
      <formula>$H219="CÉLULA CONSTRUTIVA"</formula>
    </cfRule>
    <cfRule type="expression" dxfId="15854" priority="46993">
      <formula>$H219="SUBETAPA"</formula>
    </cfRule>
    <cfRule type="expression" dxfId="15853" priority="46994">
      <formula>$H219="ETAPA"</formula>
    </cfRule>
  </conditionalFormatting>
  <conditionalFormatting sqref="L220">
    <cfRule type="expression" dxfId="15852" priority="46989">
      <formula>$H220="CÉLULA CONSTRUTIVA"</formula>
    </cfRule>
    <cfRule type="expression" dxfId="15851" priority="46990">
      <formula>$H220="SUBETAPA"</formula>
    </cfRule>
    <cfRule type="expression" dxfId="15850" priority="46991">
      <formula>$H220="ETAPA"</formula>
    </cfRule>
  </conditionalFormatting>
  <conditionalFormatting sqref="L221">
    <cfRule type="expression" dxfId="15849" priority="3158">
      <formula>$H221="CÉLULA CONSTRUTIVA"</formula>
    </cfRule>
    <cfRule type="expression" dxfId="15848" priority="3159">
      <formula>$H221="SUBETAPA"</formula>
    </cfRule>
    <cfRule type="expression" dxfId="15847" priority="3160">
      <formula>$H221="ETAPA"</formula>
    </cfRule>
  </conditionalFormatting>
  <conditionalFormatting sqref="L222 G222:K223 N222:N227 G224:J227 K224:K230">
    <cfRule type="expression" dxfId="15846" priority="49429">
      <formula>$H222="SUBETAPA"</formula>
    </cfRule>
  </conditionalFormatting>
  <conditionalFormatting sqref="L223:L224">
    <cfRule type="expression" dxfId="15845" priority="46986">
      <formula>$H223="CÉLULA CONSTRUTIVA"</formula>
    </cfRule>
    <cfRule type="expression" dxfId="15844" priority="46987">
      <formula>$H223="SUBETAPA"</formula>
    </cfRule>
    <cfRule type="expression" dxfId="15843" priority="46988">
      <formula>$H223="ETAPA"</formula>
    </cfRule>
  </conditionalFormatting>
  <conditionalFormatting sqref="L225">
    <cfRule type="expression" dxfId="15842" priority="46983">
      <formula>$H225="CÉLULA CONSTRUTIVA"</formula>
    </cfRule>
    <cfRule type="expression" dxfId="15841" priority="46984">
      <formula>$H225="SUBETAPA"</formula>
    </cfRule>
    <cfRule type="expression" dxfId="15840" priority="46985">
      <formula>$H225="ETAPA"</formula>
    </cfRule>
  </conditionalFormatting>
  <conditionalFormatting sqref="L226">
    <cfRule type="expression" dxfId="15839" priority="46980">
      <formula>$H226="CÉLULA CONSTRUTIVA"</formula>
    </cfRule>
    <cfRule type="expression" dxfId="15838" priority="46981">
      <formula>$H226="SUBETAPA"</formula>
    </cfRule>
    <cfRule type="expression" dxfId="15837" priority="46982">
      <formula>$H226="ETAPA"</formula>
    </cfRule>
  </conditionalFormatting>
  <conditionalFormatting sqref="L227">
    <cfRule type="expression" dxfId="15836" priority="46977">
      <formula>$H227="CÉLULA CONSTRUTIVA"</formula>
    </cfRule>
    <cfRule type="expression" dxfId="15835" priority="46978">
      <formula>$H227="SUBETAPA"</formula>
    </cfRule>
    <cfRule type="expression" dxfId="15834" priority="46979">
      <formula>$H227="ETAPA"</formula>
    </cfRule>
  </conditionalFormatting>
  <conditionalFormatting sqref="L228">
    <cfRule type="expression" dxfId="15833" priority="46974">
      <formula>$H228="CÉLULA CONSTRUTIVA"</formula>
    </cfRule>
    <cfRule type="expression" dxfId="15832" priority="46975">
      <formula>$H228="SUBETAPA"</formula>
    </cfRule>
    <cfRule type="expression" dxfId="15831" priority="46976">
      <formula>$H228="ETAPA"</formula>
    </cfRule>
  </conditionalFormatting>
  <conditionalFormatting sqref="L229">
    <cfRule type="expression" dxfId="15830" priority="46971">
      <formula>$H229="CÉLULA CONSTRUTIVA"</formula>
    </cfRule>
    <cfRule type="expression" dxfId="15829" priority="46972">
      <formula>$H229="SUBETAPA"</formula>
    </cfRule>
    <cfRule type="expression" dxfId="15828" priority="46973">
      <formula>$H229="ETAPA"</formula>
    </cfRule>
  </conditionalFormatting>
  <conditionalFormatting sqref="L230">
    <cfRule type="expression" dxfId="15827" priority="46968">
      <formula>$H230="CÉLULA CONSTRUTIVA"</formula>
    </cfRule>
    <cfRule type="expression" dxfId="15826" priority="46969">
      <formula>$H230="SUBETAPA"</formula>
    </cfRule>
    <cfRule type="expression" dxfId="15825" priority="46970">
      <formula>$H230="ETAPA"</formula>
    </cfRule>
  </conditionalFormatting>
  <conditionalFormatting sqref="L231 G231:K232 N231:N236 G233:J236 K233:K239">
    <cfRule type="expression" dxfId="15824" priority="49379">
      <formula>$H231="SUBETAPA"</formula>
    </cfRule>
  </conditionalFormatting>
  <conditionalFormatting sqref="L232:L239">
    <cfRule type="expression" dxfId="15823" priority="46965">
      <formula>$H232="CÉLULA CONSTRUTIVA"</formula>
    </cfRule>
    <cfRule type="expression" dxfId="15822" priority="46966">
      <formula>$H232="SUBETAPA"</formula>
    </cfRule>
    <cfRule type="expression" dxfId="15821" priority="46967">
      <formula>$H232="ETAPA"</formula>
    </cfRule>
  </conditionalFormatting>
  <conditionalFormatting sqref="L240 G240:K241 N240:N245 G242:J245 K242:K248">
    <cfRule type="expression" dxfId="15820" priority="49329">
      <formula>$H240="SUBETAPA"</formula>
    </cfRule>
  </conditionalFormatting>
  <conditionalFormatting sqref="L241:L248">
    <cfRule type="expression" dxfId="15819" priority="3152">
      <formula>$H241="CÉLULA CONSTRUTIVA"</formula>
    </cfRule>
    <cfRule type="expression" dxfId="15818" priority="3153">
      <formula>$H241="SUBETAPA"</formula>
    </cfRule>
    <cfRule type="expression" dxfId="15817" priority="3154">
      <formula>$H241="ETAPA"</formula>
    </cfRule>
  </conditionalFormatting>
  <conditionalFormatting sqref="L249 G249:K250 N249:N254 G251:J254 K251:K257">
    <cfRule type="expression" dxfId="15816" priority="49279">
      <formula>$H249="SUBETAPA"</formula>
    </cfRule>
  </conditionalFormatting>
  <conditionalFormatting sqref="L250:L251">
    <cfRule type="expression" dxfId="15815" priority="46923">
      <formula>$H250="CÉLULA CONSTRUTIVA"</formula>
    </cfRule>
    <cfRule type="expression" dxfId="15814" priority="46924">
      <formula>$H250="SUBETAPA"</formula>
    </cfRule>
    <cfRule type="expression" dxfId="15813" priority="46925">
      <formula>$H250="ETAPA"</formula>
    </cfRule>
  </conditionalFormatting>
  <conditionalFormatting sqref="L252">
    <cfRule type="expression" dxfId="15812" priority="46920">
      <formula>$H252="CÉLULA CONSTRUTIVA"</formula>
    </cfRule>
    <cfRule type="expression" dxfId="15811" priority="46921">
      <formula>$H252="SUBETAPA"</formula>
    </cfRule>
    <cfRule type="expression" dxfId="15810" priority="46922">
      <formula>$H252="ETAPA"</formula>
    </cfRule>
  </conditionalFormatting>
  <conditionalFormatting sqref="L253">
    <cfRule type="expression" dxfId="15809" priority="46917">
      <formula>$H253="CÉLULA CONSTRUTIVA"</formula>
    </cfRule>
    <cfRule type="expression" dxfId="15808" priority="46918">
      <formula>$H253="SUBETAPA"</formula>
    </cfRule>
    <cfRule type="expression" dxfId="15807" priority="46919">
      <formula>$H253="ETAPA"</formula>
    </cfRule>
  </conditionalFormatting>
  <conditionalFormatting sqref="L254">
    <cfRule type="expression" dxfId="15806" priority="46914">
      <formula>$H254="CÉLULA CONSTRUTIVA"</formula>
    </cfRule>
    <cfRule type="expression" dxfId="15805" priority="46915">
      <formula>$H254="SUBETAPA"</formula>
    </cfRule>
    <cfRule type="expression" dxfId="15804" priority="46916">
      <formula>$H254="ETAPA"</formula>
    </cfRule>
  </conditionalFormatting>
  <conditionalFormatting sqref="L255">
    <cfRule type="expression" dxfId="15803" priority="46911">
      <formula>$H255="CÉLULA CONSTRUTIVA"</formula>
    </cfRule>
    <cfRule type="expression" dxfId="15802" priority="46912">
      <formula>$H255="SUBETAPA"</formula>
    </cfRule>
    <cfRule type="expression" dxfId="15801" priority="46913">
      <formula>$H255="ETAPA"</formula>
    </cfRule>
  </conditionalFormatting>
  <conditionalFormatting sqref="L256">
    <cfRule type="expression" dxfId="15800" priority="46908">
      <formula>$H256="CÉLULA CONSTRUTIVA"</formula>
    </cfRule>
    <cfRule type="expression" dxfId="15799" priority="46909">
      <formula>$H256="SUBETAPA"</formula>
    </cfRule>
    <cfRule type="expression" dxfId="15798" priority="46910">
      <formula>$H256="ETAPA"</formula>
    </cfRule>
  </conditionalFormatting>
  <conditionalFormatting sqref="L257">
    <cfRule type="expression" dxfId="15797" priority="46905">
      <formula>$H257="CÉLULA CONSTRUTIVA"</formula>
    </cfRule>
    <cfRule type="expression" dxfId="15796" priority="46906">
      <formula>$H257="SUBETAPA"</formula>
    </cfRule>
    <cfRule type="expression" dxfId="15795" priority="46907">
      <formula>$H257="ETAPA"</formula>
    </cfRule>
  </conditionalFormatting>
  <conditionalFormatting sqref="L258 G258:K259 N258:N263 G260:J263 K260:K266">
    <cfRule type="expression" dxfId="15794" priority="49229">
      <formula>$H258="SUBETAPA"</formula>
    </cfRule>
  </conditionalFormatting>
  <conditionalFormatting sqref="L259:L260">
    <cfRule type="expression" dxfId="15793" priority="46902">
      <formula>$H259="CÉLULA CONSTRUTIVA"</formula>
    </cfRule>
    <cfRule type="expression" dxfId="15792" priority="46903">
      <formula>$H259="SUBETAPA"</formula>
    </cfRule>
    <cfRule type="expression" dxfId="15791" priority="46904">
      <formula>$H259="ETAPA"</formula>
    </cfRule>
  </conditionalFormatting>
  <conditionalFormatting sqref="L261">
    <cfRule type="expression" dxfId="15790" priority="46899">
      <formula>$H261="CÉLULA CONSTRUTIVA"</formula>
    </cfRule>
    <cfRule type="expression" dxfId="15789" priority="46900">
      <formula>$H261="SUBETAPA"</formula>
    </cfRule>
    <cfRule type="expression" dxfId="15788" priority="46901">
      <formula>$H261="ETAPA"</formula>
    </cfRule>
  </conditionalFormatting>
  <conditionalFormatting sqref="L262">
    <cfRule type="expression" dxfId="15787" priority="46896">
      <formula>$H262="CÉLULA CONSTRUTIVA"</formula>
    </cfRule>
    <cfRule type="expression" dxfId="15786" priority="46897">
      <formula>$H262="SUBETAPA"</formula>
    </cfRule>
    <cfRule type="expression" dxfId="15785" priority="46898">
      <formula>$H262="ETAPA"</formula>
    </cfRule>
  </conditionalFormatting>
  <conditionalFormatting sqref="L263">
    <cfRule type="expression" dxfId="15784" priority="46893">
      <formula>$H263="CÉLULA CONSTRUTIVA"</formula>
    </cfRule>
    <cfRule type="expression" dxfId="15783" priority="46894">
      <formula>$H263="SUBETAPA"</formula>
    </cfRule>
    <cfRule type="expression" dxfId="15782" priority="46895">
      <formula>$H263="ETAPA"</formula>
    </cfRule>
  </conditionalFormatting>
  <conditionalFormatting sqref="L264">
    <cfRule type="expression" dxfId="15781" priority="46890">
      <formula>$H264="CÉLULA CONSTRUTIVA"</formula>
    </cfRule>
    <cfRule type="expression" dxfId="15780" priority="46891">
      <formula>$H264="SUBETAPA"</formula>
    </cfRule>
    <cfRule type="expression" dxfId="15779" priority="46892">
      <formula>$H264="ETAPA"</formula>
    </cfRule>
  </conditionalFormatting>
  <conditionalFormatting sqref="L265">
    <cfRule type="expression" dxfId="15778" priority="46887">
      <formula>$H265="CÉLULA CONSTRUTIVA"</formula>
    </cfRule>
    <cfRule type="expression" dxfId="15777" priority="46888">
      <formula>$H265="SUBETAPA"</formula>
    </cfRule>
    <cfRule type="expression" dxfId="15776" priority="46889">
      <formula>$H265="ETAPA"</formula>
    </cfRule>
  </conditionalFormatting>
  <conditionalFormatting sqref="L266">
    <cfRule type="expression" dxfId="15775" priority="46884">
      <formula>$H266="CÉLULA CONSTRUTIVA"</formula>
    </cfRule>
    <cfRule type="expression" dxfId="15774" priority="46885">
      <formula>$H266="SUBETAPA"</formula>
    </cfRule>
    <cfRule type="expression" dxfId="15773" priority="46886">
      <formula>$H266="ETAPA"</formula>
    </cfRule>
  </conditionalFormatting>
  <conditionalFormatting sqref="L267 G267:K268 N267:N272 G269:J272">
    <cfRule type="expression" dxfId="15772" priority="49179">
      <formula>$H267="SUBETAPA"</formula>
    </cfRule>
  </conditionalFormatting>
  <conditionalFormatting sqref="L268:L269">
    <cfRule type="expression" dxfId="15771" priority="46881">
      <formula>$H268="CÉLULA CONSTRUTIVA"</formula>
    </cfRule>
    <cfRule type="expression" dxfId="15770" priority="46882">
      <formula>$H268="SUBETAPA"</formula>
    </cfRule>
    <cfRule type="expression" dxfId="15769" priority="46883">
      <formula>$H268="ETAPA"</formula>
    </cfRule>
  </conditionalFormatting>
  <conditionalFormatting sqref="L270">
    <cfRule type="expression" dxfId="15768" priority="46878">
      <formula>$H270="CÉLULA CONSTRUTIVA"</formula>
    </cfRule>
    <cfRule type="expression" dxfId="15767" priority="46879">
      <formula>$H270="SUBETAPA"</formula>
    </cfRule>
    <cfRule type="expression" dxfId="15766" priority="46880">
      <formula>$H270="ETAPA"</formula>
    </cfRule>
  </conditionalFormatting>
  <conditionalFormatting sqref="L271">
    <cfRule type="expression" dxfId="15765" priority="46875">
      <formula>$H271="CÉLULA CONSTRUTIVA"</formula>
    </cfRule>
    <cfRule type="expression" dxfId="15764" priority="46876">
      <formula>$H271="SUBETAPA"</formula>
    </cfRule>
    <cfRule type="expression" dxfId="15763" priority="46877">
      <formula>$H271="ETAPA"</formula>
    </cfRule>
  </conditionalFormatting>
  <conditionalFormatting sqref="L272">
    <cfRule type="expression" dxfId="15762" priority="46872">
      <formula>$H272="CÉLULA CONSTRUTIVA"</formula>
    </cfRule>
    <cfRule type="expression" dxfId="15761" priority="46873">
      <formula>$H272="SUBETAPA"</formula>
    </cfRule>
    <cfRule type="expression" dxfId="15760" priority="46874">
      <formula>$H272="ETAPA"</formula>
    </cfRule>
  </conditionalFormatting>
  <conditionalFormatting sqref="L273">
    <cfRule type="expression" dxfId="15759" priority="46869">
      <formula>$H273="CÉLULA CONSTRUTIVA"</formula>
    </cfRule>
    <cfRule type="expression" dxfId="15758" priority="46870">
      <formula>$H273="SUBETAPA"</formula>
    </cfRule>
    <cfRule type="expression" dxfId="15757" priority="46871">
      <formula>$H273="ETAPA"</formula>
    </cfRule>
  </conditionalFormatting>
  <conditionalFormatting sqref="L274 G274:K275">
    <cfRule type="expression" dxfId="15756" priority="49144">
      <formula>$H274="SUBETAPA"</formula>
    </cfRule>
  </conditionalFormatting>
  <conditionalFormatting sqref="L275:L276">
    <cfRule type="expression" dxfId="15755" priority="46866">
      <formula>$H275="CÉLULA CONSTRUTIVA"</formula>
    </cfRule>
    <cfRule type="expression" dxfId="15754" priority="46867">
      <formula>$H275="SUBETAPA"</formula>
    </cfRule>
    <cfRule type="expression" dxfId="15753" priority="46868">
      <formula>$H275="ETAPA"</formula>
    </cfRule>
  </conditionalFormatting>
  <conditionalFormatting sqref="L277">
    <cfRule type="expression" dxfId="15752" priority="46863">
      <formula>$H277="CÉLULA CONSTRUTIVA"</formula>
    </cfRule>
    <cfRule type="expression" dxfId="15751" priority="46864">
      <formula>$H277="SUBETAPA"</formula>
    </cfRule>
    <cfRule type="expression" dxfId="15750" priority="46865">
      <formula>$H277="ETAPA"</formula>
    </cfRule>
  </conditionalFormatting>
  <conditionalFormatting sqref="L278">
    <cfRule type="expression" dxfId="15749" priority="46860">
      <formula>$H278="CÉLULA CONSTRUTIVA"</formula>
    </cfRule>
    <cfRule type="expression" dxfId="15748" priority="46861">
      <formula>$H278="SUBETAPA"</formula>
    </cfRule>
    <cfRule type="expression" dxfId="15747" priority="46862">
      <formula>$H278="ETAPA"</formula>
    </cfRule>
  </conditionalFormatting>
  <conditionalFormatting sqref="L279">
    <cfRule type="expression" dxfId="15746" priority="46857">
      <formula>$H279="CÉLULA CONSTRUTIVA"</formula>
    </cfRule>
    <cfRule type="expression" dxfId="15745" priority="46858">
      <formula>$H279="SUBETAPA"</formula>
    </cfRule>
    <cfRule type="expression" dxfId="15744" priority="46859">
      <formula>$H279="ETAPA"</formula>
    </cfRule>
  </conditionalFormatting>
  <conditionalFormatting sqref="L282">
    <cfRule type="expression" dxfId="15743" priority="50867">
      <formula>$H282="CÉLULA CONSTRUTIVA"</formula>
    </cfRule>
    <cfRule type="expression" dxfId="15742" priority="50868">
      <formula>$H282="SUBETAPA"</formula>
    </cfRule>
    <cfRule type="expression" dxfId="15741" priority="50869">
      <formula>$H282="ETAPA"</formula>
    </cfRule>
  </conditionalFormatting>
  <conditionalFormatting sqref="L284">
    <cfRule type="expression" dxfId="15740" priority="49078">
      <formula>$H284="CÉLULA CONSTRUTIVA"</formula>
    </cfRule>
    <cfRule type="expression" dxfId="15739" priority="49079">
      <formula>$H284="SUBETAPA"</formula>
    </cfRule>
    <cfRule type="expression" dxfId="15738" priority="49080">
      <formula>$H284="ETAPA"</formula>
    </cfRule>
  </conditionalFormatting>
  <conditionalFormatting sqref="L286">
    <cfRule type="expression" dxfId="15737" priority="49032">
      <formula>$H286="CÉLULA CONSTRUTIVA"</formula>
    </cfRule>
    <cfRule type="expression" dxfId="15736" priority="49033">
      <formula>$H286="SUBETAPA"</formula>
    </cfRule>
    <cfRule type="expression" dxfId="15735" priority="49034">
      <formula>$H286="ETAPA"</formula>
    </cfRule>
  </conditionalFormatting>
  <conditionalFormatting sqref="L288">
    <cfRule type="expression" dxfId="15734" priority="48986">
      <formula>$H288="CÉLULA CONSTRUTIVA"</formula>
    </cfRule>
    <cfRule type="expression" dxfId="15733" priority="48987">
      <formula>$H288="SUBETAPA"</formula>
    </cfRule>
    <cfRule type="expression" dxfId="15732" priority="48988">
      <formula>$H288="ETAPA"</formula>
    </cfRule>
  </conditionalFormatting>
  <conditionalFormatting sqref="L290">
    <cfRule type="expression" dxfId="15731" priority="48940">
      <formula>$H290="CÉLULA CONSTRUTIVA"</formula>
    </cfRule>
    <cfRule type="expression" dxfId="15730" priority="48941">
      <formula>$H290="SUBETAPA"</formula>
    </cfRule>
    <cfRule type="expression" dxfId="15729" priority="48942">
      <formula>$H290="ETAPA"</formula>
    </cfRule>
  </conditionalFormatting>
  <conditionalFormatting sqref="L292">
    <cfRule type="expression" dxfId="15728" priority="48894">
      <formula>$H292="CÉLULA CONSTRUTIVA"</formula>
    </cfRule>
    <cfRule type="expression" dxfId="15727" priority="48895">
      <formula>$H292="SUBETAPA"</formula>
    </cfRule>
    <cfRule type="expression" dxfId="15726" priority="48896">
      <formula>$H292="ETAPA"</formula>
    </cfRule>
  </conditionalFormatting>
  <conditionalFormatting sqref="L294">
    <cfRule type="expression" dxfId="15725" priority="48848">
      <formula>$H294="CÉLULA CONSTRUTIVA"</formula>
    </cfRule>
    <cfRule type="expression" dxfId="15724" priority="48849">
      <formula>$H294="SUBETAPA"</formula>
    </cfRule>
    <cfRule type="expression" dxfId="15723" priority="48850">
      <formula>$H294="ETAPA"</formula>
    </cfRule>
  </conditionalFormatting>
  <conditionalFormatting sqref="L296">
    <cfRule type="expression" dxfId="15722" priority="46258">
      <formula>$H296="CÉLULA CONSTRUTIVA"</formula>
    </cfRule>
    <cfRule type="expression" dxfId="15721" priority="46259">
      <formula>$H296="SUBETAPA"</formula>
    </cfRule>
    <cfRule type="expression" dxfId="15720" priority="46260">
      <formula>$H296="ETAPA"</formula>
    </cfRule>
  </conditionalFormatting>
  <conditionalFormatting sqref="L298">
    <cfRule type="expression" dxfId="15719" priority="48802">
      <formula>$H298="CÉLULA CONSTRUTIVA"</formula>
    </cfRule>
    <cfRule type="expression" dxfId="15718" priority="48803">
      <formula>$H298="SUBETAPA"</formula>
    </cfRule>
    <cfRule type="expression" dxfId="15717" priority="48804">
      <formula>$H298="ETAPA"</formula>
    </cfRule>
  </conditionalFormatting>
  <conditionalFormatting sqref="L300">
    <cfRule type="expression" dxfId="15716" priority="48756">
      <formula>$H300="CÉLULA CONSTRUTIVA"</formula>
    </cfRule>
    <cfRule type="expression" dxfId="15715" priority="48757">
      <formula>$H300="SUBETAPA"</formula>
    </cfRule>
    <cfRule type="expression" dxfId="15714" priority="48758">
      <formula>$H300="ETAPA"</formula>
    </cfRule>
  </conditionalFormatting>
  <conditionalFormatting sqref="L302">
    <cfRule type="expression" dxfId="15713" priority="48710">
      <formula>$H302="CÉLULA CONSTRUTIVA"</formula>
    </cfRule>
    <cfRule type="expression" dxfId="15712" priority="48711">
      <formula>$H302="SUBETAPA"</formula>
    </cfRule>
    <cfRule type="expression" dxfId="15711" priority="48712">
      <formula>$H302="ETAPA"</formula>
    </cfRule>
  </conditionalFormatting>
  <conditionalFormatting sqref="L304">
    <cfRule type="expression" dxfId="15710" priority="48664">
      <formula>$H304="CÉLULA CONSTRUTIVA"</formula>
    </cfRule>
    <cfRule type="expression" dxfId="15709" priority="48665">
      <formula>$H304="SUBETAPA"</formula>
    </cfRule>
    <cfRule type="expression" dxfId="15708" priority="48666">
      <formula>$H304="ETAPA"</formula>
    </cfRule>
  </conditionalFormatting>
  <conditionalFormatting sqref="L306">
    <cfRule type="expression" dxfId="15707" priority="48618">
      <formula>$H306="CÉLULA CONSTRUTIVA"</formula>
    </cfRule>
    <cfRule type="expression" dxfId="15706" priority="48619">
      <formula>$H306="SUBETAPA"</formula>
    </cfRule>
    <cfRule type="expression" dxfId="15705" priority="48620">
      <formula>$H306="ETAPA"</formula>
    </cfRule>
  </conditionalFormatting>
  <conditionalFormatting sqref="L308">
    <cfRule type="expression" dxfId="15704" priority="48572">
      <formula>$H308="CÉLULA CONSTRUTIVA"</formula>
    </cfRule>
    <cfRule type="expression" dxfId="15703" priority="48573">
      <formula>$H308="SUBETAPA"</formula>
    </cfRule>
    <cfRule type="expression" dxfId="15702" priority="48574">
      <formula>$H308="ETAPA"</formula>
    </cfRule>
  </conditionalFormatting>
  <conditionalFormatting sqref="L310">
    <cfRule type="expression" dxfId="15701" priority="48526">
      <formula>$H310="CÉLULA CONSTRUTIVA"</formula>
    </cfRule>
    <cfRule type="expression" dxfId="15700" priority="48527">
      <formula>$H310="SUBETAPA"</formula>
    </cfRule>
    <cfRule type="expression" dxfId="15699" priority="48528">
      <formula>$H310="ETAPA"</formula>
    </cfRule>
  </conditionalFormatting>
  <conditionalFormatting sqref="L312">
    <cfRule type="expression" dxfId="15698" priority="48480">
      <formula>$H312="CÉLULA CONSTRUTIVA"</formula>
    </cfRule>
    <cfRule type="expression" dxfId="15697" priority="48481">
      <formula>$H312="SUBETAPA"</formula>
    </cfRule>
    <cfRule type="expression" dxfId="15696" priority="48482">
      <formula>$H312="ETAPA"</formula>
    </cfRule>
  </conditionalFormatting>
  <conditionalFormatting sqref="L359">
    <cfRule type="expression" dxfId="15695" priority="46204">
      <formula>$H359="CÉLULA CONSTRUTIVA"</formula>
    </cfRule>
    <cfRule type="expression" dxfId="15694" priority="46205">
      <formula>$H359="SUBETAPA"</formula>
    </cfRule>
    <cfRule type="expression" dxfId="15693" priority="46206">
      <formula>$H359="ETAPA"</formula>
    </cfRule>
  </conditionalFormatting>
  <conditionalFormatting sqref="L361 L363 L365 L367 L369 L371 L373 L375 L377">
    <cfRule type="expression" dxfId="15692" priority="47775">
      <formula>$H361="CÉLULA CONSTRUTIVA"</formula>
    </cfRule>
    <cfRule type="expression" dxfId="15691" priority="47776">
      <formula>$H361="SUBETAPA"</formula>
    </cfRule>
    <cfRule type="expression" dxfId="15690" priority="47777">
      <formula>$H361="ETAPA"</formula>
    </cfRule>
  </conditionalFormatting>
  <conditionalFormatting sqref="L398 O398">
    <cfRule type="expression" dxfId="15689" priority="7557">
      <formula>$H398="SUBETAPA"</formula>
    </cfRule>
  </conditionalFormatting>
  <conditionalFormatting sqref="L398">
    <cfRule type="expression" dxfId="15688" priority="7554">
      <formula>$H398="ETAPA"</formula>
    </cfRule>
    <cfRule type="expression" dxfId="15687" priority="7555">
      <formula>$H398="SUBETAPA"</formula>
    </cfRule>
    <cfRule type="expression" dxfId="15686" priority="7580">
      <formula>$H398="ETAPA"</formula>
    </cfRule>
  </conditionalFormatting>
  <conditionalFormatting sqref="L413:L414">
    <cfRule type="expression" dxfId="15685" priority="61006">
      <formula>$H413="ETAPA"</formula>
    </cfRule>
    <cfRule type="expression" dxfId="15684" priority="61007">
      <formula>$H413="SUBETAPA"</formula>
    </cfRule>
  </conditionalFormatting>
  <conditionalFormatting sqref="L415">
    <cfRule type="expression" dxfId="15683" priority="7534">
      <formula>$H415="ETAPA"</formula>
    </cfRule>
    <cfRule type="expression" dxfId="15682" priority="7535">
      <formula>$H415="SUBETAPA"</formula>
    </cfRule>
    <cfRule type="expression" dxfId="15681" priority="7536">
      <formula>$H415="SUBETAPA"</formula>
    </cfRule>
    <cfRule type="expression" dxfId="15680" priority="7537">
      <formula>$H415="ETAPA"</formula>
    </cfRule>
    <cfRule type="expression" dxfId="15679" priority="7538">
      <formula>$H415="CÉLULA CONSTRUTIVA"</formula>
    </cfRule>
  </conditionalFormatting>
  <conditionalFormatting sqref="L429:L430">
    <cfRule type="expression" dxfId="15678" priority="61004">
      <formula>$H429="ETAPA"</formula>
    </cfRule>
    <cfRule type="expression" dxfId="15677" priority="61005">
      <formula>$H429="SUBETAPA"</formula>
    </cfRule>
  </conditionalFormatting>
  <conditionalFormatting sqref="L431">
    <cfRule type="expression" dxfId="15676" priority="7507">
      <formula>$H431="CÉLULA CONSTRUTIVA"</formula>
    </cfRule>
    <cfRule type="expression" dxfId="15675" priority="7508">
      <formula>$H431="ETAPA"</formula>
    </cfRule>
    <cfRule type="expression" dxfId="15674" priority="7509">
      <formula>$H431="SUBETAPA"</formula>
    </cfRule>
    <cfRule type="expression" dxfId="15673" priority="7510">
      <formula>$H431="SUBETAPA"</formula>
    </cfRule>
    <cfRule type="expression" dxfId="15672" priority="7511">
      <formula>$H431="ETAPA"</formula>
    </cfRule>
  </conditionalFormatting>
  <conditionalFormatting sqref="L445:L446">
    <cfRule type="expression" dxfId="15671" priority="61002">
      <formula>$H445="ETAPA"</formula>
    </cfRule>
    <cfRule type="expression" dxfId="15670" priority="61003">
      <formula>$H445="SUBETAPA"</formula>
    </cfRule>
  </conditionalFormatting>
  <conditionalFormatting sqref="L447">
    <cfRule type="expression" dxfId="15669" priority="7469">
      <formula>$H447="CÉLULA CONSTRUTIVA"</formula>
    </cfRule>
    <cfRule type="expression" dxfId="15668" priority="7470">
      <formula>$H447="ETAPA"</formula>
    </cfRule>
    <cfRule type="expression" dxfId="15667" priority="7471">
      <formula>$H447="SUBETAPA"</formula>
    </cfRule>
    <cfRule type="expression" dxfId="15666" priority="7472">
      <formula>$H447="SUBETAPA"</formula>
    </cfRule>
    <cfRule type="expression" dxfId="15665" priority="7473">
      <formula>$H447="ETAPA"</formula>
    </cfRule>
  </conditionalFormatting>
  <conditionalFormatting sqref="L462:L463">
    <cfRule type="expression" dxfId="15664" priority="61000">
      <formula>$H462="ETAPA"</formula>
    </cfRule>
    <cfRule type="expression" dxfId="15663" priority="61001">
      <formula>$H462="SUBETAPA"</formula>
    </cfRule>
  </conditionalFormatting>
  <conditionalFormatting sqref="L464">
    <cfRule type="expression" dxfId="15662" priority="7438">
      <formula>$H464="CÉLULA CONSTRUTIVA"</formula>
    </cfRule>
    <cfRule type="expression" dxfId="15661" priority="7439">
      <formula>$H464="ETAPA"</formula>
    </cfRule>
    <cfRule type="expression" dxfId="15660" priority="7440">
      <formula>$H464="SUBETAPA"</formula>
    </cfRule>
    <cfRule type="expression" dxfId="15659" priority="7441">
      <formula>$H464="SUBETAPA"</formula>
    </cfRule>
    <cfRule type="expression" dxfId="15658" priority="7442">
      <formula>$H464="ETAPA"</formula>
    </cfRule>
  </conditionalFormatting>
  <conditionalFormatting sqref="L479:L480">
    <cfRule type="expression" dxfId="15657" priority="60998">
      <formula>$H479="ETAPA"</formula>
    </cfRule>
    <cfRule type="expression" dxfId="15656" priority="60999">
      <formula>$H479="SUBETAPA"</formula>
    </cfRule>
  </conditionalFormatting>
  <conditionalFormatting sqref="L481">
    <cfRule type="expression" dxfId="15655" priority="7407">
      <formula>$H481="CÉLULA CONSTRUTIVA"</formula>
    </cfRule>
    <cfRule type="expression" dxfId="15654" priority="7408">
      <formula>$H481="ETAPA"</formula>
    </cfRule>
    <cfRule type="expression" dxfId="15653" priority="7409">
      <formula>$H481="SUBETAPA"</formula>
    </cfRule>
    <cfRule type="expression" dxfId="15652" priority="7410">
      <formula>$H481="SUBETAPA"</formula>
    </cfRule>
    <cfRule type="expression" dxfId="15651" priority="7411">
      <formula>$H481="ETAPA"</formula>
    </cfRule>
  </conditionalFormatting>
  <conditionalFormatting sqref="L496:L497">
    <cfRule type="expression" dxfId="15650" priority="60996">
      <formula>$H496="ETAPA"</formula>
    </cfRule>
    <cfRule type="expression" dxfId="15649" priority="60997">
      <formula>$H496="SUBETAPA"</formula>
    </cfRule>
  </conditionalFormatting>
  <conditionalFormatting sqref="L498">
    <cfRule type="expression" dxfId="15648" priority="7376">
      <formula>$H498="CÉLULA CONSTRUTIVA"</formula>
    </cfRule>
    <cfRule type="expression" dxfId="15647" priority="7377">
      <formula>$H498="ETAPA"</formula>
    </cfRule>
    <cfRule type="expression" dxfId="15646" priority="7378">
      <formula>$H498="SUBETAPA"</formula>
    </cfRule>
    <cfRule type="expression" dxfId="15645" priority="7379">
      <formula>$H498="SUBETAPA"</formula>
    </cfRule>
    <cfRule type="expression" dxfId="15644" priority="7380">
      <formula>$H498="ETAPA"</formula>
    </cfRule>
  </conditionalFormatting>
  <conditionalFormatting sqref="L514:L515">
    <cfRule type="expression" dxfId="15643" priority="60994">
      <formula>$H514="ETAPA"</formula>
    </cfRule>
    <cfRule type="expression" dxfId="15642" priority="60995">
      <formula>$H514="SUBETAPA"</formula>
    </cfRule>
  </conditionalFormatting>
  <conditionalFormatting sqref="L516">
    <cfRule type="expression" dxfId="15641" priority="7345">
      <formula>$H516="CÉLULA CONSTRUTIVA"</formula>
    </cfRule>
    <cfRule type="expression" dxfId="15640" priority="7346">
      <formula>$H516="ETAPA"</formula>
    </cfRule>
    <cfRule type="expression" dxfId="15639" priority="7347">
      <formula>$H516="SUBETAPA"</formula>
    </cfRule>
    <cfRule type="expression" dxfId="15638" priority="7348">
      <formula>$H516="SUBETAPA"</formula>
    </cfRule>
    <cfRule type="expression" dxfId="15637" priority="7349">
      <formula>$H516="ETAPA"</formula>
    </cfRule>
  </conditionalFormatting>
  <conditionalFormatting sqref="L532:L533">
    <cfRule type="expression" dxfId="15636" priority="60992">
      <formula>$H532="ETAPA"</formula>
    </cfRule>
    <cfRule type="expression" dxfId="15635" priority="60993">
      <formula>$H532="SUBETAPA"</formula>
    </cfRule>
  </conditionalFormatting>
  <conditionalFormatting sqref="L534">
    <cfRule type="expression" dxfId="15634" priority="7314">
      <formula>$H534="CÉLULA CONSTRUTIVA"</formula>
    </cfRule>
    <cfRule type="expression" dxfId="15633" priority="7315">
      <formula>$H534="ETAPA"</formula>
    </cfRule>
    <cfRule type="expression" dxfId="15632" priority="7316">
      <formula>$H534="SUBETAPA"</formula>
    </cfRule>
    <cfRule type="expression" dxfId="15631" priority="7317">
      <formula>$H534="SUBETAPA"</formula>
    </cfRule>
    <cfRule type="expression" dxfId="15630" priority="7318">
      <formula>$H534="ETAPA"</formula>
    </cfRule>
  </conditionalFormatting>
  <conditionalFormatting sqref="L550:L551">
    <cfRule type="expression" dxfId="15629" priority="60990">
      <formula>$H550="ETAPA"</formula>
    </cfRule>
    <cfRule type="expression" dxfId="15628" priority="60991">
      <formula>$H550="SUBETAPA"</formula>
    </cfRule>
  </conditionalFormatting>
  <conditionalFormatting sqref="L552">
    <cfRule type="expression" dxfId="15627" priority="7283">
      <formula>$H552="CÉLULA CONSTRUTIVA"</formula>
    </cfRule>
    <cfRule type="expression" dxfId="15626" priority="7284">
      <formula>$H552="ETAPA"</formula>
    </cfRule>
    <cfRule type="expression" dxfId="15625" priority="7285">
      <formula>$H552="SUBETAPA"</formula>
    </cfRule>
    <cfRule type="expression" dxfId="15624" priority="7286">
      <formula>$H552="SUBETAPA"</formula>
    </cfRule>
    <cfRule type="expression" dxfId="15623" priority="7287">
      <formula>$H552="ETAPA"</formula>
    </cfRule>
  </conditionalFormatting>
  <conditionalFormatting sqref="L568:L569">
    <cfRule type="expression" dxfId="15622" priority="60988">
      <formula>$H568="ETAPA"</formula>
    </cfRule>
    <cfRule type="expression" dxfId="15621" priority="60989">
      <formula>$H568="SUBETAPA"</formula>
    </cfRule>
  </conditionalFormatting>
  <conditionalFormatting sqref="L570">
    <cfRule type="expression" dxfId="15620" priority="7252">
      <formula>$H570="CÉLULA CONSTRUTIVA"</formula>
    </cfRule>
    <cfRule type="expression" dxfId="15619" priority="7253">
      <formula>$H570="ETAPA"</formula>
    </cfRule>
    <cfRule type="expression" dxfId="15618" priority="7254">
      <formula>$H570="SUBETAPA"</formula>
    </cfRule>
    <cfRule type="expression" dxfId="15617" priority="7255">
      <formula>$H570="SUBETAPA"</formula>
    </cfRule>
    <cfRule type="expression" dxfId="15616" priority="7256">
      <formula>$H570="ETAPA"</formula>
    </cfRule>
  </conditionalFormatting>
  <conditionalFormatting sqref="L584:L585">
    <cfRule type="expression" dxfId="15615" priority="60986">
      <formula>$H584="ETAPA"</formula>
    </cfRule>
    <cfRule type="expression" dxfId="15614" priority="60987">
      <formula>$H584="SUBETAPA"</formula>
    </cfRule>
  </conditionalFormatting>
  <conditionalFormatting sqref="L586">
    <cfRule type="expression" dxfId="15613" priority="7221">
      <formula>$H586="CÉLULA CONSTRUTIVA"</formula>
    </cfRule>
    <cfRule type="expression" dxfId="15612" priority="7222">
      <formula>$H586="ETAPA"</formula>
    </cfRule>
    <cfRule type="expression" dxfId="15611" priority="7223">
      <formula>$H586="SUBETAPA"</formula>
    </cfRule>
    <cfRule type="expression" dxfId="15610" priority="7224">
      <formula>$H586="SUBETAPA"</formula>
    </cfRule>
    <cfRule type="expression" dxfId="15609" priority="7225">
      <formula>$H586="ETAPA"</formula>
    </cfRule>
  </conditionalFormatting>
  <conditionalFormatting sqref="L603:L604">
    <cfRule type="expression" dxfId="15608" priority="60984">
      <formula>$H603="ETAPA"</formula>
    </cfRule>
    <cfRule type="expression" dxfId="15607" priority="60985">
      <formula>$H603="SUBETAPA"</formula>
    </cfRule>
  </conditionalFormatting>
  <conditionalFormatting sqref="L605">
    <cfRule type="expression" dxfId="15606" priority="7190">
      <formula>$H605="CÉLULA CONSTRUTIVA"</formula>
    </cfRule>
    <cfRule type="expression" dxfId="15605" priority="7191">
      <formula>$H605="ETAPA"</formula>
    </cfRule>
    <cfRule type="expression" dxfId="15604" priority="7192">
      <formula>$H605="SUBETAPA"</formula>
    </cfRule>
    <cfRule type="expression" dxfId="15603" priority="7193">
      <formula>$H605="SUBETAPA"</formula>
    </cfRule>
    <cfRule type="expression" dxfId="15602" priority="7194">
      <formula>$H605="ETAPA"</formula>
    </cfRule>
  </conditionalFormatting>
  <conditionalFormatting sqref="L618">
    <cfRule type="expression" dxfId="15601" priority="7159">
      <formula>$H618="CÉLULA CONSTRUTIVA"</formula>
    </cfRule>
    <cfRule type="expression" dxfId="15600" priority="7160">
      <formula>$H618="ETAPA"</formula>
    </cfRule>
    <cfRule type="expression" dxfId="15599" priority="7161">
      <formula>$H618="SUBETAPA"</formula>
    </cfRule>
    <cfRule type="expression" dxfId="15598" priority="7162">
      <formula>$H618="SUBETAPA"</formula>
    </cfRule>
    <cfRule type="expression" dxfId="15597" priority="7163">
      <formula>$H618="ETAPA"</formula>
    </cfRule>
  </conditionalFormatting>
  <conditionalFormatting sqref="L814">
    <cfRule type="expression" dxfId="15596" priority="56826">
      <formula>$H814="ETAPA"</formula>
    </cfRule>
  </conditionalFormatting>
  <conditionalFormatting sqref="L825">
    <cfRule type="expression" dxfId="15595" priority="56935">
      <formula>$H825="ETAPA"</formula>
    </cfRule>
  </conditionalFormatting>
  <conditionalFormatting sqref="L1160">
    <cfRule type="expression" dxfId="15594" priority="55485">
      <formula>$H1160="CÉLULA CONSTRUTIVA"</formula>
    </cfRule>
    <cfRule type="expression" dxfId="15593" priority="55486">
      <formula>$H1160="SUBETAPA"</formula>
    </cfRule>
    <cfRule type="expression" dxfId="15592" priority="55487">
      <formula>$H1160="ETAPA"</formula>
    </cfRule>
  </conditionalFormatting>
  <conditionalFormatting sqref="L1161">
    <cfRule type="expression" dxfId="15591" priority="55482">
      <formula>$H1161="CÉLULA CONSTRUTIVA"</formula>
    </cfRule>
    <cfRule type="expression" dxfId="15590" priority="55483">
      <formula>$H1161="SUBETAPA"</formula>
    </cfRule>
    <cfRule type="expression" dxfId="15589" priority="55484">
      <formula>$H1161="ETAPA"</formula>
    </cfRule>
  </conditionalFormatting>
  <conditionalFormatting sqref="L1165">
    <cfRule type="expression" dxfId="15588" priority="55579">
      <formula>$H1165="CÉLULA CONSTRUTIVA"</formula>
    </cfRule>
    <cfRule type="expression" dxfId="15587" priority="55580">
      <formula>$H1165="SUBETAPA"</formula>
    </cfRule>
    <cfRule type="expression" dxfId="15586" priority="55581">
      <formula>$H1165="ETAPA"</formula>
    </cfRule>
  </conditionalFormatting>
  <conditionalFormatting sqref="L1166">
    <cfRule type="expression" dxfId="15585" priority="55576">
      <formula>$H1166="CÉLULA CONSTRUTIVA"</formula>
    </cfRule>
    <cfRule type="expression" dxfId="15584" priority="55577">
      <formula>$H1166="SUBETAPA"</formula>
    </cfRule>
    <cfRule type="expression" dxfId="15583" priority="55578">
      <formula>$H1166="ETAPA"</formula>
    </cfRule>
  </conditionalFormatting>
  <conditionalFormatting sqref="L1170">
    <cfRule type="expression" dxfId="15582" priority="55673">
      <formula>$H1170="CÉLULA CONSTRUTIVA"</formula>
    </cfRule>
    <cfRule type="expression" dxfId="15581" priority="55674">
      <formula>$H1170="SUBETAPA"</formula>
    </cfRule>
    <cfRule type="expression" dxfId="15580" priority="55675">
      <formula>$H1170="ETAPA"</formula>
    </cfRule>
  </conditionalFormatting>
  <conditionalFormatting sqref="L1171">
    <cfRule type="expression" dxfId="15579" priority="55670">
      <formula>$H1171="CÉLULA CONSTRUTIVA"</formula>
    </cfRule>
    <cfRule type="expression" dxfId="15578" priority="55671">
      <formula>$H1171="SUBETAPA"</formula>
    </cfRule>
    <cfRule type="expression" dxfId="15577" priority="55672">
      <formula>$H1171="ETAPA"</formula>
    </cfRule>
  </conditionalFormatting>
  <conditionalFormatting sqref="L1175">
    <cfRule type="expression" dxfId="15576" priority="55767">
      <formula>$H1175="CÉLULA CONSTRUTIVA"</formula>
    </cfRule>
    <cfRule type="expression" dxfId="15575" priority="55768">
      <formula>$H1175="SUBETAPA"</formula>
    </cfRule>
    <cfRule type="expression" dxfId="15574" priority="55769">
      <formula>$H1175="ETAPA"</formula>
    </cfRule>
  </conditionalFormatting>
  <conditionalFormatting sqref="L1176">
    <cfRule type="expression" dxfId="15573" priority="55764">
      <formula>$H1176="CÉLULA CONSTRUTIVA"</formula>
    </cfRule>
    <cfRule type="expression" dxfId="15572" priority="55765">
      <formula>$H1176="SUBETAPA"</formula>
    </cfRule>
    <cfRule type="expression" dxfId="15571" priority="55766">
      <formula>$H1176="ETAPA"</formula>
    </cfRule>
  </conditionalFormatting>
  <conditionalFormatting sqref="L1180">
    <cfRule type="expression" dxfId="15570" priority="55861">
      <formula>$H1180="CÉLULA CONSTRUTIVA"</formula>
    </cfRule>
    <cfRule type="expression" dxfId="15569" priority="55862">
      <formula>$H1180="SUBETAPA"</formula>
    </cfRule>
    <cfRule type="expression" dxfId="15568" priority="55863">
      <formula>$H1180="ETAPA"</formula>
    </cfRule>
  </conditionalFormatting>
  <conditionalFormatting sqref="L1181">
    <cfRule type="expression" dxfId="15567" priority="55858">
      <formula>$H1181="CÉLULA CONSTRUTIVA"</formula>
    </cfRule>
    <cfRule type="expression" dxfId="15566" priority="55859">
      <formula>$H1181="SUBETAPA"</formula>
    </cfRule>
    <cfRule type="expression" dxfId="15565" priority="55860">
      <formula>$H1181="ETAPA"</formula>
    </cfRule>
  </conditionalFormatting>
  <conditionalFormatting sqref="L1185">
    <cfRule type="expression" dxfId="15564" priority="55955">
      <formula>$H1185="CÉLULA CONSTRUTIVA"</formula>
    </cfRule>
    <cfRule type="expression" dxfId="15563" priority="55956">
      <formula>$H1185="SUBETAPA"</formula>
    </cfRule>
    <cfRule type="expression" dxfId="15562" priority="55957">
      <formula>$H1185="ETAPA"</formula>
    </cfRule>
  </conditionalFormatting>
  <conditionalFormatting sqref="L1186">
    <cfRule type="expression" dxfId="15561" priority="55952">
      <formula>$H1186="CÉLULA CONSTRUTIVA"</formula>
    </cfRule>
    <cfRule type="expression" dxfId="15560" priority="55953">
      <formula>$H1186="SUBETAPA"</formula>
    </cfRule>
    <cfRule type="expression" dxfId="15559" priority="55954">
      <formula>$H1186="ETAPA"</formula>
    </cfRule>
  </conditionalFormatting>
  <conditionalFormatting sqref="L1192">
    <cfRule type="expression" dxfId="15558" priority="56049">
      <formula>$H1192="CÉLULA CONSTRUTIVA"</formula>
    </cfRule>
    <cfRule type="expression" dxfId="15557" priority="56050">
      <formula>$H1192="SUBETAPA"</formula>
    </cfRule>
    <cfRule type="expression" dxfId="15556" priority="56051">
      <formula>$H1192="ETAPA"</formula>
    </cfRule>
  </conditionalFormatting>
  <conditionalFormatting sqref="L1193">
    <cfRule type="expression" dxfId="15555" priority="56046">
      <formula>$H1193="CÉLULA CONSTRUTIVA"</formula>
    </cfRule>
    <cfRule type="expression" dxfId="15554" priority="56047">
      <formula>$H1193="SUBETAPA"</formula>
    </cfRule>
    <cfRule type="expression" dxfId="15553" priority="56048">
      <formula>$H1193="ETAPA"</formula>
    </cfRule>
  </conditionalFormatting>
  <conditionalFormatting sqref="L1199">
    <cfRule type="expression" dxfId="15552" priority="56143">
      <formula>$H1199="CÉLULA CONSTRUTIVA"</formula>
    </cfRule>
    <cfRule type="expression" dxfId="15551" priority="56144">
      <formula>$H1199="SUBETAPA"</formula>
    </cfRule>
    <cfRule type="expression" dxfId="15550" priority="56145">
      <formula>$H1199="ETAPA"</formula>
    </cfRule>
  </conditionalFormatting>
  <conditionalFormatting sqref="L1200">
    <cfRule type="expression" dxfId="15549" priority="56140">
      <formula>$H1200="CÉLULA CONSTRUTIVA"</formula>
    </cfRule>
    <cfRule type="expression" dxfId="15548" priority="56141">
      <formula>$H1200="SUBETAPA"</formula>
    </cfRule>
    <cfRule type="expression" dxfId="15547" priority="56142">
      <formula>$H1200="ETAPA"</formula>
    </cfRule>
  </conditionalFormatting>
  <conditionalFormatting sqref="L1206">
    <cfRule type="expression" dxfId="15546" priority="56237">
      <formula>$H1206="CÉLULA CONSTRUTIVA"</formula>
    </cfRule>
    <cfRule type="expression" dxfId="15545" priority="56238">
      <formula>$H1206="SUBETAPA"</formula>
    </cfRule>
    <cfRule type="expression" dxfId="15544" priority="56239">
      <formula>$H1206="ETAPA"</formula>
    </cfRule>
  </conditionalFormatting>
  <conditionalFormatting sqref="L1207">
    <cfRule type="expression" dxfId="15543" priority="56234">
      <formula>$H1207="CÉLULA CONSTRUTIVA"</formula>
    </cfRule>
    <cfRule type="expression" dxfId="15542" priority="56235">
      <formula>$H1207="SUBETAPA"</formula>
    </cfRule>
    <cfRule type="expression" dxfId="15541" priority="56236">
      <formula>$H1207="ETAPA"</formula>
    </cfRule>
  </conditionalFormatting>
  <conditionalFormatting sqref="L1213">
    <cfRule type="expression" dxfId="15540" priority="56331">
      <formula>$H1213="CÉLULA CONSTRUTIVA"</formula>
    </cfRule>
    <cfRule type="expression" dxfId="15539" priority="56332">
      <formula>$H1213="SUBETAPA"</formula>
    </cfRule>
    <cfRule type="expression" dxfId="15538" priority="56333">
      <formula>$H1213="ETAPA"</formula>
    </cfRule>
  </conditionalFormatting>
  <conditionalFormatting sqref="L1214">
    <cfRule type="expression" dxfId="15537" priority="56328">
      <formula>$H1214="CÉLULA CONSTRUTIVA"</formula>
    </cfRule>
    <cfRule type="expression" dxfId="15536" priority="56329">
      <formula>$H1214="SUBETAPA"</formula>
    </cfRule>
    <cfRule type="expression" dxfId="15535" priority="56330">
      <formula>$H1214="ETAPA"</formula>
    </cfRule>
  </conditionalFormatting>
  <conditionalFormatting sqref="L1220">
    <cfRule type="expression" dxfId="15534" priority="56425">
      <formula>$H1220="CÉLULA CONSTRUTIVA"</formula>
    </cfRule>
    <cfRule type="expression" dxfId="15533" priority="56426">
      <formula>$H1220="SUBETAPA"</formula>
    </cfRule>
    <cfRule type="expression" dxfId="15532" priority="56427">
      <formula>$H1220="ETAPA"</formula>
    </cfRule>
  </conditionalFormatting>
  <conditionalFormatting sqref="L1221">
    <cfRule type="expression" dxfId="15531" priority="56422">
      <formula>$H1221="CÉLULA CONSTRUTIVA"</formula>
    </cfRule>
    <cfRule type="expression" dxfId="15530" priority="56423">
      <formula>$H1221="SUBETAPA"</formula>
    </cfRule>
    <cfRule type="expression" dxfId="15529" priority="56424">
      <formula>$H1221="ETAPA"</formula>
    </cfRule>
  </conditionalFormatting>
  <conditionalFormatting sqref="L1225">
    <cfRule type="expression" dxfId="15528" priority="56519">
      <formula>$H1225="CÉLULA CONSTRUTIVA"</formula>
    </cfRule>
    <cfRule type="expression" dxfId="15527" priority="56520">
      <formula>$H1225="SUBETAPA"</formula>
    </cfRule>
    <cfRule type="expression" dxfId="15526" priority="56521">
      <formula>$H1225="ETAPA"</formula>
    </cfRule>
  </conditionalFormatting>
  <conditionalFormatting sqref="L1226">
    <cfRule type="expression" dxfId="15525" priority="56516">
      <formula>$H1226="CÉLULA CONSTRUTIVA"</formula>
    </cfRule>
    <cfRule type="expression" dxfId="15524" priority="56517">
      <formula>$H1226="SUBETAPA"</formula>
    </cfRule>
    <cfRule type="expression" dxfId="15523" priority="56518">
      <formula>$H1226="ETAPA"</formula>
    </cfRule>
  </conditionalFormatting>
  <conditionalFormatting sqref="L1232">
    <cfRule type="expression" dxfId="15522" priority="56613">
      <formula>$H1232="CÉLULA CONSTRUTIVA"</formula>
    </cfRule>
    <cfRule type="expression" dxfId="15521" priority="56614">
      <formula>$H1232="SUBETAPA"</formula>
    </cfRule>
    <cfRule type="expression" dxfId="15520" priority="56615">
      <formula>$H1232="ETAPA"</formula>
    </cfRule>
  </conditionalFormatting>
  <conditionalFormatting sqref="L1233">
    <cfRule type="expression" dxfId="15519" priority="56610">
      <formula>$H1233="CÉLULA CONSTRUTIVA"</formula>
    </cfRule>
    <cfRule type="expression" dxfId="15518" priority="56611">
      <formula>$H1233="SUBETAPA"</formula>
    </cfRule>
    <cfRule type="expression" dxfId="15517" priority="56612">
      <formula>$H1233="ETAPA"</formula>
    </cfRule>
  </conditionalFormatting>
  <conditionalFormatting sqref="L1237">
    <cfRule type="expression" dxfId="15516" priority="56707">
      <formula>$H1237="CÉLULA CONSTRUTIVA"</formula>
    </cfRule>
    <cfRule type="expression" dxfId="15515" priority="56708">
      <formula>$H1237="SUBETAPA"</formula>
    </cfRule>
    <cfRule type="expression" dxfId="15514" priority="56709">
      <formula>$H1237="ETAPA"</formula>
    </cfRule>
  </conditionalFormatting>
  <conditionalFormatting sqref="L1238">
    <cfRule type="expression" dxfId="15513" priority="56704">
      <formula>$H1238="CÉLULA CONSTRUTIVA"</formula>
    </cfRule>
    <cfRule type="expression" dxfId="15512" priority="56705">
      <formula>$H1238="SUBETAPA"</formula>
    </cfRule>
    <cfRule type="expression" dxfId="15511" priority="56706">
      <formula>$H1238="ETAPA"</formula>
    </cfRule>
  </conditionalFormatting>
  <conditionalFormatting sqref="L1239">
    <cfRule type="expression" dxfId="15510" priority="86916">
      <formula>$H1239="CÉLULA CONSTRUTIVA"</formula>
    </cfRule>
    <cfRule type="expression" dxfId="15509" priority="86917">
      <formula>$H1239="SUBETAPA"</formula>
    </cfRule>
    <cfRule type="expression" dxfId="15508" priority="86918">
      <formula>$H1239="ETAPA"</formula>
    </cfRule>
  </conditionalFormatting>
  <conditionalFormatting sqref="L1240">
    <cfRule type="expression" dxfId="15507" priority="86913">
      <formula>$H1240="CÉLULA CONSTRUTIVA"</formula>
    </cfRule>
    <cfRule type="expression" dxfId="15506" priority="86914">
      <formula>$H1240="SUBETAPA"</formula>
    </cfRule>
    <cfRule type="expression" dxfId="15505" priority="86915">
      <formula>$H1240="ETAPA"</formula>
    </cfRule>
  </conditionalFormatting>
  <conditionalFormatting sqref="L1241">
    <cfRule type="expression" dxfId="15504" priority="86910">
      <formula>$H1241="CÉLULA CONSTRUTIVA"</formula>
    </cfRule>
    <cfRule type="expression" dxfId="15503" priority="86911">
      <formula>$H1241="SUBETAPA"</formula>
    </cfRule>
    <cfRule type="expression" dxfId="15502" priority="86912">
      <formula>$H1241="ETAPA"</formula>
    </cfRule>
  </conditionalFormatting>
  <conditionalFormatting sqref="L1262">
    <cfRule type="expression" dxfId="15501" priority="2713">
      <formula>$H1262="ETAPA"</formula>
    </cfRule>
    <cfRule type="expression" dxfId="15500" priority="2724">
      <formula>$H1262="CÉLULA CONSTRUTIVA"</formula>
    </cfRule>
    <cfRule type="expression" dxfId="15499" priority="2725">
      <formula>$H1262="SUBETAPA"</formula>
    </cfRule>
  </conditionalFormatting>
  <conditionalFormatting sqref="L1263:L1264">
    <cfRule type="expression" dxfId="15498" priority="2710">
      <formula>$H1263="CÉLULA CONSTRUTIVA"</formula>
    </cfRule>
    <cfRule type="expression" dxfId="15497" priority="2711">
      <formula>$H1263="SUBETAPA"</formula>
    </cfRule>
    <cfRule type="expression" dxfId="15496" priority="2712">
      <formula>$H1263="ETAPA"</formula>
    </cfRule>
  </conditionalFormatting>
  <conditionalFormatting sqref="L1265">
    <cfRule type="expression" dxfId="15495" priority="2707">
      <formula>$H1265="CÉLULA CONSTRUTIVA"</formula>
    </cfRule>
    <cfRule type="expression" dxfId="15494" priority="2708">
      <formula>$H1265="SUBETAPA"</formula>
    </cfRule>
    <cfRule type="expression" dxfId="15493" priority="2709">
      <formula>$H1265="ETAPA"</formula>
    </cfRule>
  </conditionalFormatting>
  <conditionalFormatting sqref="L1266">
    <cfRule type="expression" dxfId="15492" priority="2704">
      <formula>$H1266="CÉLULA CONSTRUTIVA"</formula>
    </cfRule>
    <cfRule type="expression" dxfId="15491" priority="2705">
      <formula>$H1266="SUBETAPA"</formula>
    </cfRule>
    <cfRule type="expression" dxfId="15490" priority="2706">
      <formula>$H1266="ETAPA"</formula>
    </cfRule>
  </conditionalFormatting>
  <conditionalFormatting sqref="L1276">
    <cfRule type="expression" dxfId="15489" priority="2782">
      <formula>$H1276="ETAPA"</formula>
    </cfRule>
    <cfRule type="expression" dxfId="15488" priority="2793">
      <formula>$H1276="CÉLULA CONSTRUTIVA"</formula>
    </cfRule>
    <cfRule type="expression" dxfId="15487" priority="2794">
      <formula>$H1276="SUBETAPA"</formula>
    </cfRule>
  </conditionalFormatting>
  <conditionalFormatting sqref="L1277:L1278">
    <cfRule type="expression" dxfId="15486" priority="2779">
      <formula>$H1277="CÉLULA CONSTRUTIVA"</formula>
    </cfRule>
    <cfRule type="expression" dxfId="15485" priority="2780">
      <formula>$H1277="SUBETAPA"</formula>
    </cfRule>
    <cfRule type="expression" dxfId="15484" priority="2781">
      <formula>$H1277="ETAPA"</formula>
    </cfRule>
  </conditionalFormatting>
  <conditionalFormatting sqref="L1279">
    <cfRule type="expression" dxfId="15483" priority="2776">
      <formula>$H1279="CÉLULA CONSTRUTIVA"</formula>
    </cfRule>
    <cfRule type="expression" dxfId="15482" priority="2777">
      <formula>$H1279="SUBETAPA"</formula>
    </cfRule>
    <cfRule type="expression" dxfId="15481" priority="2778">
      <formula>$H1279="ETAPA"</formula>
    </cfRule>
  </conditionalFormatting>
  <conditionalFormatting sqref="L1280">
    <cfRule type="expression" dxfId="15480" priority="2773">
      <formula>$H1280="CÉLULA CONSTRUTIVA"</formula>
    </cfRule>
    <cfRule type="expression" dxfId="15479" priority="2774">
      <formula>$H1280="SUBETAPA"</formula>
    </cfRule>
    <cfRule type="expression" dxfId="15478" priority="2775">
      <formula>$H1280="ETAPA"</formula>
    </cfRule>
  </conditionalFormatting>
  <conditionalFormatting sqref="L1290">
    <cfRule type="expression" dxfId="15477" priority="2851">
      <formula>$H1290="ETAPA"</formula>
    </cfRule>
    <cfRule type="expression" dxfId="15476" priority="2862">
      <formula>$H1290="CÉLULA CONSTRUTIVA"</formula>
    </cfRule>
    <cfRule type="expression" dxfId="15475" priority="2863">
      <formula>$H1290="SUBETAPA"</formula>
    </cfRule>
  </conditionalFormatting>
  <conditionalFormatting sqref="L1291:L1292">
    <cfRule type="expression" dxfId="15474" priority="2848">
      <formula>$H1291="CÉLULA CONSTRUTIVA"</formula>
    </cfRule>
    <cfRule type="expression" dxfId="15473" priority="2849">
      <formula>$H1291="SUBETAPA"</formula>
    </cfRule>
    <cfRule type="expression" dxfId="15472" priority="2850">
      <formula>$H1291="ETAPA"</formula>
    </cfRule>
  </conditionalFormatting>
  <conditionalFormatting sqref="L1293">
    <cfRule type="expression" dxfId="15471" priority="2845">
      <formula>$H1293="CÉLULA CONSTRUTIVA"</formula>
    </cfRule>
    <cfRule type="expression" dxfId="15470" priority="2846">
      <formula>$H1293="SUBETAPA"</formula>
    </cfRule>
    <cfRule type="expression" dxfId="15469" priority="2847">
      <formula>$H1293="ETAPA"</formula>
    </cfRule>
  </conditionalFormatting>
  <conditionalFormatting sqref="L1294">
    <cfRule type="expression" dxfId="15468" priority="2842">
      <formula>$H1294="CÉLULA CONSTRUTIVA"</formula>
    </cfRule>
    <cfRule type="expression" dxfId="15467" priority="2843">
      <formula>$H1294="SUBETAPA"</formula>
    </cfRule>
    <cfRule type="expression" dxfId="15466" priority="2844">
      <formula>$H1294="ETAPA"</formula>
    </cfRule>
  </conditionalFormatting>
  <conditionalFormatting sqref="L1304">
    <cfRule type="expression" dxfId="15465" priority="2920">
      <formula>$H1304="ETAPA"</formula>
    </cfRule>
    <cfRule type="expression" dxfId="15464" priority="2931">
      <formula>$H1304="CÉLULA CONSTRUTIVA"</formula>
    </cfRule>
    <cfRule type="expression" dxfId="15463" priority="2932">
      <formula>$H1304="SUBETAPA"</formula>
    </cfRule>
  </conditionalFormatting>
  <conditionalFormatting sqref="L1305:L1306">
    <cfRule type="expression" dxfId="15462" priority="2917">
      <formula>$H1305="CÉLULA CONSTRUTIVA"</formula>
    </cfRule>
    <cfRule type="expression" dxfId="15461" priority="2918">
      <formula>$H1305="SUBETAPA"</formula>
    </cfRule>
    <cfRule type="expression" dxfId="15460" priority="2919">
      <formula>$H1305="ETAPA"</formula>
    </cfRule>
  </conditionalFormatting>
  <conditionalFormatting sqref="L1307">
    <cfRule type="expression" dxfId="15459" priority="2914">
      <formula>$H1307="CÉLULA CONSTRUTIVA"</formula>
    </cfRule>
    <cfRule type="expression" dxfId="15458" priority="2915">
      <formula>$H1307="SUBETAPA"</formula>
    </cfRule>
    <cfRule type="expression" dxfId="15457" priority="2916">
      <formula>$H1307="ETAPA"</formula>
    </cfRule>
  </conditionalFormatting>
  <conditionalFormatting sqref="L1308">
    <cfRule type="expression" dxfId="15456" priority="2911">
      <formula>$H1308="CÉLULA CONSTRUTIVA"</formula>
    </cfRule>
    <cfRule type="expression" dxfId="15455" priority="2912">
      <formula>$H1308="SUBETAPA"</formula>
    </cfRule>
    <cfRule type="expression" dxfId="15454" priority="2913">
      <formula>$H1308="ETAPA"</formula>
    </cfRule>
  </conditionalFormatting>
  <conditionalFormatting sqref="L1318">
    <cfRule type="expression" dxfId="15453" priority="2989">
      <formula>$H1318="ETAPA"</formula>
    </cfRule>
    <cfRule type="expression" dxfId="15452" priority="3000">
      <formula>$H1318="CÉLULA CONSTRUTIVA"</formula>
    </cfRule>
    <cfRule type="expression" dxfId="15451" priority="3001">
      <formula>$H1318="SUBETAPA"</formula>
    </cfRule>
  </conditionalFormatting>
  <conditionalFormatting sqref="L1319:L1320">
    <cfRule type="expression" dxfId="15450" priority="2986">
      <formula>$H1319="CÉLULA CONSTRUTIVA"</formula>
    </cfRule>
    <cfRule type="expression" dxfId="15449" priority="2987">
      <formula>$H1319="SUBETAPA"</formula>
    </cfRule>
    <cfRule type="expression" dxfId="15448" priority="2988">
      <formula>$H1319="ETAPA"</formula>
    </cfRule>
  </conditionalFormatting>
  <conditionalFormatting sqref="L1321">
    <cfRule type="expression" dxfId="15447" priority="2983">
      <formula>$H1321="CÉLULA CONSTRUTIVA"</formula>
    </cfRule>
    <cfRule type="expression" dxfId="15446" priority="2984">
      <formula>$H1321="SUBETAPA"</formula>
    </cfRule>
    <cfRule type="expression" dxfId="15445" priority="2985">
      <formula>$H1321="ETAPA"</formula>
    </cfRule>
  </conditionalFormatting>
  <conditionalFormatting sqref="L1322">
    <cfRule type="expression" dxfId="15444" priority="2980">
      <formula>$H1322="CÉLULA CONSTRUTIVA"</formula>
    </cfRule>
    <cfRule type="expression" dxfId="15443" priority="2981">
      <formula>$H1322="SUBETAPA"</formula>
    </cfRule>
    <cfRule type="expression" dxfId="15442" priority="2982">
      <formula>$H1322="ETAPA"</formula>
    </cfRule>
  </conditionalFormatting>
  <conditionalFormatting sqref="L1332">
    <cfRule type="expression" dxfId="15441" priority="3058">
      <formula>$H1332="ETAPA"</formula>
    </cfRule>
    <cfRule type="expression" dxfId="15440" priority="3069">
      <formula>$H1332="CÉLULA CONSTRUTIVA"</formula>
    </cfRule>
    <cfRule type="expression" dxfId="15439" priority="3070">
      <formula>$H1332="SUBETAPA"</formula>
    </cfRule>
  </conditionalFormatting>
  <conditionalFormatting sqref="L1333:L1334">
    <cfRule type="expression" dxfId="15438" priority="3055">
      <formula>$H1333="CÉLULA CONSTRUTIVA"</formula>
    </cfRule>
    <cfRule type="expression" dxfId="15437" priority="3056">
      <formula>$H1333="SUBETAPA"</formula>
    </cfRule>
    <cfRule type="expression" dxfId="15436" priority="3057">
      <formula>$H1333="ETAPA"</formula>
    </cfRule>
  </conditionalFormatting>
  <conditionalFormatting sqref="L1335">
    <cfRule type="expression" dxfId="15435" priority="3052">
      <formula>$H1335="CÉLULA CONSTRUTIVA"</formula>
    </cfRule>
    <cfRule type="expression" dxfId="15434" priority="3053">
      <formula>$H1335="SUBETAPA"</formula>
    </cfRule>
    <cfRule type="expression" dxfId="15433" priority="3054">
      <formula>$H1335="ETAPA"</formula>
    </cfRule>
  </conditionalFormatting>
  <conditionalFormatting sqref="L1336">
    <cfRule type="expression" dxfId="15432" priority="3049">
      <formula>$H1336="CÉLULA CONSTRUTIVA"</formula>
    </cfRule>
    <cfRule type="expression" dxfId="15431" priority="3050">
      <formula>$H1336="SUBETAPA"</formula>
    </cfRule>
    <cfRule type="expression" dxfId="15430" priority="3051">
      <formula>$H1336="ETAPA"</formula>
    </cfRule>
  </conditionalFormatting>
  <conditionalFormatting sqref="L1346">
    <cfRule type="expression" dxfId="15429" priority="3127">
      <formula>$H1346="ETAPA"</formula>
    </cfRule>
    <cfRule type="expression" dxfId="15428" priority="3138">
      <formula>$H1346="CÉLULA CONSTRUTIVA"</formula>
    </cfRule>
    <cfRule type="expression" dxfId="15427" priority="3139">
      <formula>$H1346="SUBETAPA"</formula>
    </cfRule>
  </conditionalFormatting>
  <conditionalFormatting sqref="L1347:L1348">
    <cfRule type="expression" dxfId="15426" priority="3124">
      <formula>$H1347="CÉLULA CONSTRUTIVA"</formula>
    </cfRule>
    <cfRule type="expression" dxfId="15425" priority="3125">
      <formula>$H1347="SUBETAPA"</formula>
    </cfRule>
    <cfRule type="expression" dxfId="15424" priority="3126">
      <formula>$H1347="ETAPA"</formula>
    </cfRule>
  </conditionalFormatting>
  <conditionalFormatting sqref="L1349">
    <cfRule type="expression" dxfId="15423" priority="3121">
      <formula>$H1349="CÉLULA CONSTRUTIVA"</formula>
    </cfRule>
    <cfRule type="expression" dxfId="15422" priority="3122">
      <formula>$H1349="SUBETAPA"</formula>
    </cfRule>
    <cfRule type="expression" dxfId="15421" priority="3123">
      <formula>$H1349="ETAPA"</formula>
    </cfRule>
  </conditionalFormatting>
  <conditionalFormatting sqref="L1350">
    <cfRule type="expression" dxfId="15420" priority="3118">
      <formula>$H1350="CÉLULA CONSTRUTIVA"</formula>
    </cfRule>
    <cfRule type="expression" dxfId="15419" priority="3119">
      <formula>$H1350="SUBETAPA"</formula>
    </cfRule>
    <cfRule type="expression" dxfId="15418" priority="3120">
      <formula>$H1350="ETAPA"</formula>
    </cfRule>
  </conditionalFormatting>
  <conditionalFormatting sqref="L1360">
    <cfRule type="expression" dxfId="15417" priority="110374">
      <formula>$H1360="CÉLULA CONSTRUTIVA"</formula>
    </cfRule>
    <cfRule type="expression" dxfId="15416" priority="110375">
      <formula>$H1360="SUBETAPA"</formula>
    </cfRule>
    <cfRule type="expression" dxfId="15415" priority="110376">
      <formula>$H1360="ETAPA"</formula>
    </cfRule>
  </conditionalFormatting>
  <conditionalFormatting sqref="L1361:L1362">
    <cfRule type="expression" dxfId="15414" priority="86675">
      <formula>$H1361="CÉLULA CONSTRUTIVA"</formula>
    </cfRule>
    <cfRule type="expression" dxfId="15413" priority="86676">
      <formula>$H1361="SUBETAPA"</formula>
    </cfRule>
    <cfRule type="expression" dxfId="15412" priority="86677">
      <formula>$H1361="ETAPA"</formula>
    </cfRule>
  </conditionalFormatting>
  <conditionalFormatting sqref="L1363">
    <cfRule type="expression" dxfId="15411" priority="86672">
      <formula>$H1363="CÉLULA CONSTRUTIVA"</formula>
    </cfRule>
    <cfRule type="expression" dxfId="15410" priority="86673">
      <formula>$H1363="SUBETAPA"</formula>
    </cfRule>
    <cfRule type="expression" dxfId="15409" priority="86674">
      <formula>$H1363="ETAPA"</formula>
    </cfRule>
  </conditionalFormatting>
  <conditionalFormatting sqref="L1364">
    <cfRule type="expression" dxfId="15408" priority="86669">
      <formula>$H1364="CÉLULA CONSTRUTIVA"</formula>
    </cfRule>
    <cfRule type="expression" dxfId="15407" priority="86670">
      <formula>$H1364="SUBETAPA"</formula>
    </cfRule>
    <cfRule type="expression" dxfId="15406" priority="86671">
      <formula>$H1364="ETAPA"</formula>
    </cfRule>
  </conditionalFormatting>
  <conditionalFormatting sqref="L1365">
    <cfRule type="expression" dxfId="15405" priority="86666">
      <formula>$H1365="CÉLULA CONSTRUTIVA"</formula>
    </cfRule>
    <cfRule type="expression" dxfId="15404" priority="86667">
      <formula>$H1365="SUBETAPA"</formula>
    </cfRule>
    <cfRule type="expression" dxfId="15403" priority="86668">
      <formula>$H1365="ETAPA"</formula>
    </cfRule>
  </conditionalFormatting>
  <conditionalFormatting sqref="L1366">
    <cfRule type="expression" dxfId="15402" priority="53752">
      <formula>$H1366="CÉLULA CONSTRUTIVA"</formula>
    </cfRule>
    <cfRule type="expression" dxfId="15401" priority="53753">
      <formula>$H1366="SUBETAPA"</formula>
    </cfRule>
    <cfRule type="expression" dxfId="15400" priority="53754">
      <formula>$H1366="ETAPA"</formula>
    </cfRule>
  </conditionalFormatting>
  <conditionalFormatting sqref="L1367">
    <cfRule type="expression" dxfId="15399" priority="53749">
      <formula>$H1367="CÉLULA CONSTRUTIVA"</formula>
    </cfRule>
    <cfRule type="expression" dxfId="15398" priority="53750">
      <formula>$H1367="SUBETAPA"</formula>
    </cfRule>
    <cfRule type="expression" dxfId="15397" priority="53751">
      <formula>$H1367="ETAPA"</formula>
    </cfRule>
  </conditionalFormatting>
  <conditionalFormatting sqref="L1368">
    <cfRule type="expression" dxfId="15396" priority="53746">
      <formula>$H1368="CÉLULA CONSTRUTIVA"</formula>
    </cfRule>
    <cfRule type="expression" dxfId="15395" priority="53747">
      <formula>$H1368="SUBETAPA"</formula>
    </cfRule>
    <cfRule type="expression" dxfId="15394" priority="53748">
      <formula>$H1368="ETAPA"</formula>
    </cfRule>
  </conditionalFormatting>
  <conditionalFormatting sqref="L1371">
    <cfRule type="expression" dxfId="15393" priority="53876">
      <formula>$H1371="CÉLULA CONSTRUTIVA"</formula>
    </cfRule>
    <cfRule type="expression" dxfId="15392" priority="53877">
      <formula>$H1371="SUBETAPA"</formula>
    </cfRule>
    <cfRule type="expression" dxfId="15391" priority="53878">
      <formula>$H1371="ETAPA"</formula>
    </cfRule>
  </conditionalFormatting>
  <conditionalFormatting sqref="L1374">
    <cfRule type="expression" dxfId="15390" priority="54000">
      <formula>$H1374="CÉLULA CONSTRUTIVA"</formula>
    </cfRule>
    <cfRule type="expression" dxfId="15389" priority="54001">
      <formula>$H1374="SUBETAPA"</formula>
    </cfRule>
    <cfRule type="expression" dxfId="15388" priority="54002">
      <formula>$H1374="ETAPA"</formula>
    </cfRule>
  </conditionalFormatting>
  <conditionalFormatting sqref="L1377">
    <cfRule type="expression" dxfId="15387" priority="54124">
      <formula>$H1377="CÉLULA CONSTRUTIVA"</formula>
    </cfRule>
    <cfRule type="expression" dxfId="15386" priority="54125">
      <formula>$H1377="SUBETAPA"</formula>
    </cfRule>
    <cfRule type="expression" dxfId="15385" priority="54126">
      <formula>$H1377="ETAPA"</formula>
    </cfRule>
  </conditionalFormatting>
  <conditionalFormatting sqref="L1380">
    <cfRule type="expression" dxfId="15384" priority="54248">
      <formula>$H1380="CÉLULA CONSTRUTIVA"</formula>
    </cfRule>
    <cfRule type="expression" dxfId="15383" priority="54249">
      <formula>$H1380="SUBETAPA"</formula>
    </cfRule>
    <cfRule type="expression" dxfId="15382" priority="54250">
      <formula>$H1380="ETAPA"</formula>
    </cfRule>
  </conditionalFormatting>
  <conditionalFormatting sqref="L1383">
    <cfRule type="expression" dxfId="15381" priority="54372">
      <formula>$H1383="CÉLULA CONSTRUTIVA"</formula>
    </cfRule>
    <cfRule type="expression" dxfId="15380" priority="54373">
      <formula>$H1383="SUBETAPA"</formula>
    </cfRule>
    <cfRule type="expression" dxfId="15379" priority="54374">
      <formula>$H1383="ETAPA"</formula>
    </cfRule>
  </conditionalFormatting>
  <conditionalFormatting sqref="L1386">
    <cfRule type="expression" dxfId="15378" priority="54496">
      <formula>$H1386="CÉLULA CONSTRUTIVA"</formula>
    </cfRule>
    <cfRule type="expression" dxfId="15377" priority="54497">
      <formula>$H1386="SUBETAPA"</formula>
    </cfRule>
    <cfRule type="expression" dxfId="15376" priority="54498">
      <formula>$H1386="ETAPA"</formula>
    </cfRule>
  </conditionalFormatting>
  <conditionalFormatting sqref="L1387">
    <cfRule type="expression" dxfId="15375" priority="54493">
      <formula>$H1387="CÉLULA CONSTRUTIVA"</formula>
    </cfRule>
    <cfRule type="expression" dxfId="15374" priority="54494">
      <formula>$H1387="SUBETAPA"</formula>
    </cfRule>
    <cfRule type="expression" dxfId="15373" priority="54495">
      <formula>$H1387="ETAPA"</formula>
    </cfRule>
  </conditionalFormatting>
  <conditionalFormatting sqref="L1388">
    <cfRule type="expression" dxfId="15372" priority="54490">
      <formula>$H1388="CÉLULA CONSTRUTIVA"</formula>
    </cfRule>
    <cfRule type="expression" dxfId="15371" priority="54491">
      <formula>$H1388="SUBETAPA"</formula>
    </cfRule>
    <cfRule type="expression" dxfId="15370" priority="54492">
      <formula>$H1388="ETAPA"</formula>
    </cfRule>
  </conditionalFormatting>
  <conditionalFormatting sqref="L1393">
    <cfRule type="expression" dxfId="15369" priority="54620">
      <formula>$H1393="CÉLULA CONSTRUTIVA"</formula>
    </cfRule>
    <cfRule type="expression" dxfId="15368" priority="54621">
      <formula>$H1393="SUBETAPA"</formula>
    </cfRule>
    <cfRule type="expression" dxfId="15367" priority="54622">
      <formula>$H1393="ETAPA"</formula>
    </cfRule>
  </conditionalFormatting>
  <conditionalFormatting sqref="L1394">
    <cfRule type="expression" dxfId="15366" priority="54617">
      <formula>$H1394="CÉLULA CONSTRUTIVA"</formula>
    </cfRule>
    <cfRule type="expression" dxfId="15365" priority="54618">
      <formula>$H1394="SUBETAPA"</formula>
    </cfRule>
    <cfRule type="expression" dxfId="15364" priority="54619">
      <formula>$H1394="ETAPA"</formula>
    </cfRule>
  </conditionalFormatting>
  <conditionalFormatting sqref="L1395">
    <cfRule type="expression" dxfId="15363" priority="54614">
      <formula>$H1395="CÉLULA CONSTRUTIVA"</formula>
    </cfRule>
    <cfRule type="expression" dxfId="15362" priority="54615">
      <formula>$H1395="SUBETAPA"</formula>
    </cfRule>
    <cfRule type="expression" dxfId="15361" priority="54616">
      <formula>$H1395="ETAPA"</formula>
    </cfRule>
  </conditionalFormatting>
  <conditionalFormatting sqref="L1400">
    <cfRule type="expression" dxfId="15360" priority="54744">
      <formula>$H1400="CÉLULA CONSTRUTIVA"</formula>
    </cfRule>
    <cfRule type="expression" dxfId="15359" priority="54745">
      <formula>$H1400="SUBETAPA"</formula>
    </cfRule>
    <cfRule type="expression" dxfId="15358" priority="54746">
      <formula>$H1400="ETAPA"</formula>
    </cfRule>
  </conditionalFormatting>
  <conditionalFormatting sqref="L1401">
    <cfRule type="expression" dxfId="15357" priority="54741">
      <formula>$H1401="CÉLULA CONSTRUTIVA"</formula>
    </cfRule>
    <cfRule type="expression" dxfId="15356" priority="54742">
      <formula>$H1401="SUBETAPA"</formula>
    </cfRule>
    <cfRule type="expression" dxfId="15355" priority="54743">
      <formula>$H1401="ETAPA"</formula>
    </cfRule>
  </conditionalFormatting>
  <conditionalFormatting sqref="L1402">
    <cfRule type="expression" dxfId="15354" priority="54738">
      <formula>$H1402="CÉLULA CONSTRUTIVA"</formula>
    </cfRule>
    <cfRule type="expression" dxfId="15353" priority="54739">
      <formula>$H1402="SUBETAPA"</formula>
    </cfRule>
    <cfRule type="expression" dxfId="15352" priority="54740">
      <formula>$H1402="ETAPA"</formula>
    </cfRule>
  </conditionalFormatting>
  <conditionalFormatting sqref="L1405">
    <cfRule type="expression" dxfId="15351" priority="54868">
      <formula>$H1405="CÉLULA CONSTRUTIVA"</formula>
    </cfRule>
    <cfRule type="expression" dxfId="15350" priority="54869">
      <formula>$H1405="SUBETAPA"</formula>
    </cfRule>
    <cfRule type="expression" dxfId="15349" priority="54870">
      <formula>$H1405="ETAPA"</formula>
    </cfRule>
  </conditionalFormatting>
  <conditionalFormatting sqref="L1406">
    <cfRule type="expression" dxfId="15348" priority="54865">
      <formula>$H1406="CÉLULA CONSTRUTIVA"</formula>
    </cfRule>
    <cfRule type="expression" dxfId="15347" priority="54866">
      <formula>$H1406="SUBETAPA"</formula>
    </cfRule>
    <cfRule type="expression" dxfId="15346" priority="54867">
      <formula>$H1406="ETAPA"</formula>
    </cfRule>
  </conditionalFormatting>
  <conditionalFormatting sqref="L1407">
    <cfRule type="expression" dxfId="15345" priority="54862">
      <formula>$H1407="CÉLULA CONSTRUTIVA"</formula>
    </cfRule>
    <cfRule type="expression" dxfId="15344" priority="54863">
      <formula>$H1407="SUBETAPA"</formula>
    </cfRule>
    <cfRule type="expression" dxfId="15343" priority="54864">
      <formula>$H1407="ETAPA"</formula>
    </cfRule>
  </conditionalFormatting>
  <conditionalFormatting sqref="L1410">
    <cfRule type="expression" dxfId="15342" priority="54992">
      <formula>$H1410="CÉLULA CONSTRUTIVA"</formula>
    </cfRule>
    <cfRule type="expression" dxfId="15341" priority="54993">
      <formula>$H1410="SUBETAPA"</formula>
    </cfRule>
    <cfRule type="expression" dxfId="15340" priority="54994">
      <formula>$H1410="ETAPA"</formula>
    </cfRule>
  </conditionalFormatting>
  <conditionalFormatting sqref="L1411">
    <cfRule type="expression" dxfId="15339" priority="54989">
      <formula>$H1411="CÉLULA CONSTRUTIVA"</formula>
    </cfRule>
    <cfRule type="expression" dxfId="15338" priority="54990">
      <formula>$H1411="SUBETAPA"</formula>
    </cfRule>
    <cfRule type="expression" dxfId="15337" priority="54991">
      <formula>$H1411="ETAPA"</formula>
    </cfRule>
  </conditionalFormatting>
  <conditionalFormatting sqref="L1412">
    <cfRule type="expression" dxfId="15336" priority="54986">
      <formula>$H1412="CÉLULA CONSTRUTIVA"</formula>
    </cfRule>
    <cfRule type="expression" dxfId="15335" priority="54987">
      <formula>$H1412="SUBETAPA"</formula>
    </cfRule>
    <cfRule type="expression" dxfId="15334" priority="54988">
      <formula>$H1412="ETAPA"</formula>
    </cfRule>
  </conditionalFormatting>
  <conditionalFormatting sqref="L1415">
    <cfRule type="expression" dxfId="15333" priority="55116">
      <formula>$H1415="CÉLULA CONSTRUTIVA"</formula>
    </cfRule>
    <cfRule type="expression" dxfId="15332" priority="55117">
      <formula>$H1415="SUBETAPA"</formula>
    </cfRule>
    <cfRule type="expression" dxfId="15331" priority="55118">
      <formula>$H1415="ETAPA"</formula>
    </cfRule>
  </conditionalFormatting>
  <conditionalFormatting sqref="L1416">
    <cfRule type="expression" dxfId="15330" priority="55113">
      <formula>$H1416="CÉLULA CONSTRUTIVA"</formula>
    </cfRule>
    <cfRule type="expression" dxfId="15329" priority="55114">
      <formula>$H1416="SUBETAPA"</formula>
    </cfRule>
    <cfRule type="expression" dxfId="15328" priority="55115">
      <formula>$H1416="ETAPA"</formula>
    </cfRule>
  </conditionalFormatting>
  <conditionalFormatting sqref="L1417">
    <cfRule type="expression" dxfId="15327" priority="55110">
      <formula>$H1417="CÉLULA CONSTRUTIVA"</formula>
    </cfRule>
    <cfRule type="expression" dxfId="15326" priority="55111">
      <formula>$H1417="SUBETAPA"</formula>
    </cfRule>
    <cfRule type="expression" dxfId="15325" priority="55112">
      <formula>$H1417="ETAPA"</formula>
    </cfRule>
  </conditionalFormatting>
  <conditionalFormatting sqref="L1420">
    <cfRule type="expression" dxfId="15324" priority="55240">
      <formula>$H1420="CÉLULA CONSTRUTIVA"</formula>
    </cfRule>
    <cfRule type="expression" dxfId="15323" priority="55241">
      <formula>$H1420="SUBETAPA"</formula>
    </cfRule>
    <cfRule type="expression" dxfId="15322" priority="55242">
      <formula>$H1420="ETAPA"</formula>
    </cfRule>
  </conditionalFormatting>
  <conditionalFormatting sqref="L1427">
    <cfRule type="expression" dxfId="15321" priority="91771">
      <formula>$H1427="CÉLULA CONSTRUTIVA"</formula>
    </cfRule>
  </conditionalFormatting>
  <conditionalFormatting sqref="L1440">
    <cfRule type="expression" dxfId="15320" priority="92323">
      <formula>$H1440="ETAPA"</formula>
    </cfRule>
  </conditionalFormatting>
  <conditionalFormatting sqref="L1442">
    <cfRule type="expression" dxfId="15319" priority="92319">
      <formula>$H1442="SUBETAPA"</formula>
    </cfRule>
    <cfRule type="expression" dxfId="15318" priority="92320">
      <formula>$H1442="CÉLULA CONSTRUTIVA"</formula>
    </cfRule>
  </conditionalFormatting>
  <conditionalFormatting sqref="L1471">
    <cfRule type="expression" dxfId="15317" priority="94407">
      <formula>$H1471="CÉLULA CONSTRUTIVA"</formula>
    </cfRule>
  </conditionalFormatting>
  <conditionalFormatting sqref="L1480">
    <cfRule type="expression" dxfId="15316" priority="4348">
      <formula>$H1480="ETAPA"</formula>
    </cfRule>
  </conditionalFormatting>
  <conditionalFormatting sqref="L1480:L1485">
    <cfRule type="expression" dxfId="15315" priority="4350">
      <formula>$H1480="SUBETAPA"</formula>
    </cfRule>
    <cfRule type="expression" dxfId="15314" priority="4351">
      <formula>$H1480="CÉLULA CONSTRUTIVA"</formula>
    </cfRule>
  </conditionalFormatting>
  <conditionalFormatting sqref="L1497">
    <cfRule type="expression" dxfId="15313" priority="87795">
      <formula>$H1497="CÉLULA CONSTRUTIVA"</formula>
    </cfRule>
  </conditionalFormatting>
  <conditionalFormatting sqref="L1498">
    <cfRule type="expression" dxfId="15312" priority="4642">
      <formula>$H1498="CÉLULA CONSTRUTIVA"</formula>
    </cfRule>
    <cfRule type="expression" dxfId="15311" priority="4643">
      <formula>$H1498="ETAPA"</formula>
    </cfRule>
  </conditionalFormatting>
  <conditionalFormatting sqref="L1511">
    <cfRule type="expression" dxfId="15310" priority="4276">
      <formula>$H1511="ETAPA"</formula>
    </cfRule>
  </conditionalFormatting>
  <conditionalFormatting sqref="L1511:L1518">
    <cfRule type="expression" dxfId="15309" priority="4278">
      <formula>$H1511="SUBETAPA"</formula>
    </cfRule>
    <cfRule type="expression" dxfId="15308" priority="4279">
      <formula>$H1511="CÉLULA CONSTRUTIVA"</formula>
    </cfRule>
  </conditionalFormatting>
  <conditionalFormatting sqref="L1522">
    <cfRule type="expression" dxfId="15307" priority="88454">
      <formula>$H1522="CÉLULA CONSTRUTIVA"</formula>
    </cfRule>
  </conditionalFormatting>
  <conditionalFormatting sqref="L1533">
    <cfRule type="expression" dxfId="15306" priority="89006">
      <formula>$H1533="ETAPA"</formula>
    </cfRule>
  </conditionalFormatting>
  <conditionalFormatting sqref="L1542">
    <cfRule type="expression" dxfId="15305" priority="89113">
      <formula>$H1542="CÉLULA CONSTRUTIVA"</formula>
    </cfRule>
  </conditionalFormatting>
  <conditionalFormatting sqref="L1555">
    <cfRule type="expression" dxfId="15304" priority="89665">
      <formula>$H1555="ETAPA"</formula>
    </cfRule>
  </conditionalFormatting>
  <conditionalFormatting sqref="L1581">
    <cfRule type="expression" dxfId="15303" priority="90431">
      <formula>$H1581="CÉLULA CONSTRUTIVA"</formula>
    </cfRule>
  </conditionalFormatting>
  <conditionalFormatting sqref="L1593">
    <cfRule type="expression" dxfId="15302" priority="90983">
      <formula>$H1593="ETAPA"</formula>
    </cfRule>
  </conditionalFormatting>
  <conditionalFormatting sqref="L1602">
    <cfRule type="expression" dxfId="15301" priority="91090">
      <formula>$H1602="CÉLULA CONSTRUTIVA"</formula>
    </cfRule>
  </conditionalFormatting>
  <conditionalFormatting sqref="L1614">
    <cfRule type="expression" dxfId="15300" priority="91643">
      <formula>$H1614="ETAPA"</formula>
    </cfRule>
  </conditionalFormatting>
  <conditionalFormatting sqref="L1623">
    <cfRule type="expression" dxfId="15299" priority="95725">
      <formula>$H1623="CÉLULA CONSTRUTIVA"</formula>
    </cfRule>
  </conditionalFormatting>
  <conditionalFormatting sqref="L1627">
    <cfRule type="expression" dxfId="15298" priority="4522">
      <formula>$H1627="CÉLULA CONSTRUTIVA"</formula>
    </cfRule>
    <cfRule type="expression" dxfId="15297" priority="4523">
      <formula>$H1627="ETAPA"</formula>
    </cfRule>
  </conditionalFormatting>
  <conditionalFormatting sqref="L1638">
    <cfRule type="expression" dxfId="15296" priority="96277">
      <formula>$H1638="ETAPA"</formula>
    </cfRule>
  </conditionalFormatting>
  <conditionalFormatting sqref="L1647">
    <cfRule type="expression" dxfId="15295" priority="96384">
      <formula>$H1647="CÉLULA CONSTRUTIVA"</formula>
    </cfRule>
  </conditionalFormatting>
  <conditionalFormatting sqref="L1656">
    <cfRule type="expression" dxfId="15294" priority="96936">
      <formula>$H1656="ETAPA"</formula>
    </cfRule>
  </conditionalFormatting>
  <conditionalFormatting sqref="L1676:L1677 K1679 K1692:L1692 O1692 L1679:L1680 H1678:H1679 K1678:L1678 O1679 K1693">
    <cfRule type="expression" dxfId="15293" priority="80572">
      <formula>$H1676="CÉLULA CONSTRUTIVA"</formula>
    </cfRule>
  </conditionalFormatting>
  <conditionalFormatting sqref="L1676:L1677 K1692:L1692 O1692 K1679 L1679:L1680 O1679 H1678:H1679 K1678:L1678 K1693">
    <cfRule type="expression" dxfId="15292" priority="80571">
      <formula>$H1676="SUBETAPA"</formula>
    </cfRule>
  </conditionalFormatting>
  <conditionalFormatting sqref="L1684">
    <cfRule type="expression" dxfId="15291" priority="80357">
      <formula>$H1684="SUBETAPA"</formula>
    </cfRule>
    <cfRule type="expression" dxfId="15290" priority="80358">
      <formula>$H1684="CÉLULA CONSTRUTIVA"</formula>
    </cfRule>
  </conditionalFormatting>
  <conditionalFormatting sqref="L1692:L1693">
    <cfRule type="expression" dxfId="15289" priority="80649">
      <formula>$H1692="ETAPA"</formula>
    </cfRule>
  </conditionalFormatting>
  <conditionalFormatting sqref="L1696:L1697 K1699 K1708:L1708 O1708 H1698:H1699 K1698:L1698 O1698:O1699 K1709">
    <cfRule type="expression" dxfId="15288" priority="80896">
      <formula>$H1696="CÉLULA CONSTRUTIVA"</formula>
    </cfRule>
  </conditionalFormatting>
  <conditionalFormatting sqref="L1696:L1697 K1708:L1708 O1708 K1699 O1698:O1699 H1698:H1699 K1698:L1698 K1709">
    <cfRule type="expression" dxfId="15287" priority="80895">
      <formula>$H1696="SUBETAPA"</formula>
    </cfRule>
  </conditionalFormatting>
  <conditionalFormatting sqref="L1701">
    <cfRule type="expression" dxfId="15286" priority="80681">
      <formula>$H1701="SUBETAPA"</formula>
    </cfRule>
    <cfRule type="expression" dxfId="15285" priority="80682">
      <formula>$H1701="CÉLULA CONSTRUTIVA"</formula>
    </cfRule>
  </conditionalFormatting>
  <conditionalFormatting sqref="L1708:L1709">
    <cfRule type="expression" dxfId="15284" priority="80973">
      <formula>$H1708="ETAPA"</formula>
    </cfRule>
  </conditionalFormatting>
  <conditionalFormatting sqref="L1712:L1713 K1715 K1723:L1723 O1723 H1714:H1715 K1714:L1714 O1714:O1715 K1724">
    <cfRule type="expression" dxfId="15283" priority="81220">
      <formula>$H1712="CÉLULA CONSTRUTIVA"</formula>
    </cfRule>
  </conditionalFormatting>
  <conditionalFormatting sqref="L1712:L1713 K1723:L1723 O1723 K1715 O1714:O1715 H1714:H1715 K1714:L1714 K1724">
    <cfRule type="expression" dxfId="15282" priority="81219">
      <formula>$H1712="SUBETAPA"</formula>
    </cfRule>
  </conditionalFormatting>
  <conditionalFormatting sqref="L1717">
    <cfRule type="expression" dxfId="15281" priority="81005">
      <formula>$H1717="SUBETAPA"</formula>
    </cfRule>
    <cfRule type="expression" dxfId="15280" priority="81006">
      <formula>$H1717="CÉLULA CONSTRUTIVA"</formula>
    </cfRule>
  </conditionalFormatting>
  <conditionalFormatting sqref="L1723:L1724">
    <cfRule type="expression" dxfId="15279" priority="81297">
      <formula>$H1723="ETAPA"</formula>
    </cfRule>
  </conditionalFormatting>
  <conditionalFormatting sqref="L1727:L1728 K1730 K1736:L1736 O1736 H1729:H1730 K1729:L1729 O1729:O1730">
    <cfRule type="expression" dxfId="15278" priority="81544">
      <formula>$H1727="CÉLULA CONSTRUTIVA"</formula>
    </cfRule>
  </conditionalFormatting>
  <conditionalFormatting sqref="L1727:L1728 K1736:L1736 O1736 K1730 O1729:O1730 H1729:H1730 K1729:L1729">
    <cfRule type="expression" dxfId="15277" priority="81543">
      <formula>$H1727="SUBETAPA"</formula>
    </cfRule>
  </conditionalFormatting>
  <conditionalFormatting sqref="L1732">
    <cfRule type="expression" dxfId="15276" priority="81329">
      <formula>$H1732="SUBETAPA"</formula>
    </cfRule>
    <cfRule type="expression" dxfId="15275" priority="81330">
      <formula>$H1732="CÉLULA CONSTRUTIVA"</formula>
    </cfRule>
  </conditionalFormatting>
  <conditionalFormatting sqref="L1736">
    <cfRule type="expression" dxfId="15274" priority="81621">
      <formula>$H1736="ETAPA"</formula>
    </cfRule>
  </conditionalFormatting>
  <conditionalFormatting sqref="L1739:L1740 K1742 K1748:L1748 O1748">
    <cfRule type="expression" dxfId="15273" priority="81868">
      <formula>$H1739="CÉLULA CONSTRUTIVA"</formula>
    </cfRule>
  </conditionalFormatting>
  <conditionalFormatting sqref="L1739:L1740 K1748:L1748 O1748 K1742">
    <cfRule type="expression" dxfId="15272" priority="81867">
      <formula>$H1739="SUBETAPA"</formula>
    </cfRule>
  </conditionalFormatting>
  <conditionalFormatting sqref="L1744">
    <cfRule type="expression" dxfId="15271" priority="81653">
      <formula>$H1744="SUBETAPA"</formula>
    </cfRule>
    <cfRule type="expression" dxfId="15270" priority="81654">
      <formula>$H1744="CÉLULA CONSTRUTIVA"</formula>
    </cfRule>
  </conditionalFormatting>
  <conditionalFormatting sqref="L1748">
    <cfRule type="expression" dxfId="15269" priority="81945">
      <formula>$H1748="ETAPA"</formula>
    </cfRule>
  </conditionalFormatting>
  <conditionalFormatting sqref="L1751:L1752 K1754 K1760:L1760 O1760 H1753:H1754 K1753:L1753 O1753:O1754">
    <cfRule type="expression" dxfId="15268" priority="82192">
      <formula>$H1751="CÉLULA CONSTRUTIVA"</formula>
    </cfRule>
  </conditionalFormatting>
  <conditionalFormatting sqref="L1751:L1752 K1760:L1760 O1760 K1754 O1753:O1754 H1753:H1754 K1753:L1753">
    <cfRule type="expression" dxfId="15267" priority="82191">
      <formula>$H1751="SUBETAPA"</formula>
    </cfRule>
  </conditionalFormatting>
  <conditionalFormatting sqref="L1756">
    <cfRule type="expression" dxfId="15266" priority="81977">
      <formula>$H1756="SUBETAPA"</formula>
    </cfRule>
    <cfRule type="expression" dxfId="15265" priority="81978">
      <formula>$H1756="CÉLULA CONSTRUTIVA"</formula>
    </cfRule>
  </conditionalFormatting>
  <conditionalFormatting sqref="L1760">
    <cfRule type="expression" dxfId="15264" priority="82269">
      <formula>$H1760="ETAPA"</formula>
    </cfRule>
  </conditionalFormatting>
  <conditionalFormatting sqref="L1763:L1764 K1766 L1774 H1781:H1783 K1783:L1783 O1783 L1766:L1767 H1765:H1766 K1765:L1765 O1765:O1766 L1776:L1780 J1781:L1782 K1784">
    <cfRule type="expression" dxfId="15263" priority="82516">
      <formula>$H1763="CÉLULA CONSTRUTIVA"</formula>
    </cfRule>
  </conditionalFormatting>
  <conditionalFormatting sqref="L1763:L1764 K1783:L1783 L1774 O1783 K1766 H1781:H1783 L1766:L1767 O1765:O1766 H1765:H1766 K1765:L1765 L1776:L1780 J1781:L1782 K1784">
    <cfRule type="expression" dxfId="15262" priority="82515">
      <formula>$H1763="SUBETAPA"</formula>
    </cfRule>
  </conditionalFormatting>
  <conditionalFormatting sqref="L1772">
    <cfRule type="expression" dxfId="15261" priority="82301">
      <formula>$H1772="SUBETAPA"</formula>
    </cfRule>
    <cfRule type="expression" dxfId="15260" priority="82302">
      <formula>$H1772="CÉLULA CONSTRUTIVA"</formula>
    </cfRule>
  </conditionalFormatting>
  <conditionalFormatting sqref="L1783:L1784">
    <cfRule type="expression" dxfId="15259" priority="82593">
      <formula>$H1783="ETAPA"</formula>
    </cfRule>
  </conditionalFormatting>
  <conditionalFormatting sqref="L1787:L1788 K1790 L1796 H1798 K1809:L1809 O1809 J1798 L1790:L1791 H1789:H1790 K1789:L1789 O1789:O1790 L1798 L1803:L1807 K1810">
    <cfRule type="expression" dxfId="15258" priority="82840">
      <formula>$H1787="CÉLULA CONSTRUTIVA"</formula>
    </cfRule>
  </conditionalFormatting>
  <conditionalFormatting sqref="L1787:L1788 L1798 K1809:L1809 L1796 O1809 K1790 L1790:L1791 O1789:O1790 H1789:H1790 K1789:L1789 L1803:L1807 K1810">
    <cfRule type="expression" dxfId="15257" priority="82839">
      <formula>$H1787="SUBETAPA"</formula>
    </cfRule>
  </conditionalFormatting>
  <conditionalFormatting sqref="L1794">
    <cfRule type="expression" dxfId="15256" priority="82625">
      <formula>$H1794="SUBETAPA"</formula>
    </cfRule>
    <cfRule type="expression" dxfId="15255" priority="82626">
      <formula>$H1794="CÉLULA CONSTRUTIVA"</formula>
    </cfRule>
  </conditionalFormatting>
  <conditionalFormatting sqref="L1809:L1810">
    <cfRule type="expression" dxfId="15254" priority="82917">
      <formula>$H1809="ETAPA"</formula>
    </cfRule>
  </conditionalFormatting>
  <conditionalFormatting sqref="L1813:L1814 K1815:L1815 K1823">
    <cfRule type="expression" dxfId="15253" priority="83163">
      <formula>$H1813="SUBETAPA"</formula>
    </cfRule>
    <cfRule type="expression" dxfId="15252" priority="83164">
      <formula>$H1813="CÉLULA CONSTRUTIVA"</formula>
    </cfRule>
  </conditionalFormatting>
  <conditionalFormatting sqref="L1826:L1827 K1828:L1828 K1836">
    <cfRule type="expression" dxfId="15251" priority="83487">
      <formula>$H1826="SUBETAPA"</formula>
    </cfRule>
    <cfRule type="expression" dxfId="15250" priority="83488">
      <formula>$H1826="CÉLULA CONSTRUTIVA"</formula>
    </cfRule>
  </conditionalFormatting>
  <conditionalFormatting sqref="L1839:L1840 K1851:L1851 H2754 O1851 L2339 J2754:K2754 K1841:L1841 K1852 L2755 L505:L508 L523:L526 L541:L544 L559:L562 L594:L597">
    <cfRule type="expression" dxfId="15249" priority="116239">
      <formula>$H505="SUBETAPA"</formula>
    </cfRule>
  </conditionalFormatting>
  <conditionalFormatting sqref="L1839:L1840 K1851:L1851 O1851 H2754 J2754:K2754 K1841:L1841 K1852 L2755 L505:L508 L523:L526 L541:L544 L559:L562 L594:L597 M2754">
    <cfRule type="expression" dxfId="15248" priority="116240">
      <formula>$H505="CÉLULA CONSTRUTIVA"</formula>
    </cfRule>
  </conditionalFormatting>
  <conditionalFormatting sqref="L1851">
    <cfRule type="expression" dxfId="15247" priority="119700">
      <formula>$H1851="ETAPA"</formula>
    </cfRule>
  </conditionalFormatting>
  <conditionalFormatting sqref="L1855:L1856 K1867:L1867 O1867 K1857:L1857 K1868">
    <cfRule type="expression" dxfId="15246" priority="79300">
      <formula>$H1855="SUBETAPA"</formula>
    </cfRule>
    <cfRule type="expression" dxfId="15245" priority="79301">
      <formula>$H1855="CÉLULA CONSTRUTIVA"</formula>
    </cfRule>
  </conditionalFormatting>
  <conditionalFormatting sqref="L1867:L1868">
    <cfRule type="expression" dxfId="15244" priority="79378">
      <formula>$H1867="ETAPA"</formula>
    </cfRule>
  </conditionalFormatting>
  <conditionalFormatting sqref="L1871:L1872 K1880:L1880 O1880 K1873:L1873 K1881">
    <cfRule type="expression" dxfId="15243" priority="79624">
      <formula>$H1871="SUBETAPA"</formula>
    </cfRule>
    <cfRule type="expression" dxfId="15242" priority="79625">
      <formula>$H1871="CÉLULA CONSTRUTIVA"</formula>
    </cfRule>
  </conditionalFormatting>
  <conditionalFormatting sqref="L1880:L1881">
    <cfRule type="expression" dxfId="15241" priority="79702">
      <formula>$H1880="ETAPA"</formula>
    </cfRule>
  </conditionalFormatting>
  <conditionalFormatting sqref="L1884:L1885 K1886:L1886 K1891 K1896">
    <cfRule type="expression" dxfId="15240" priority="79948">
      <formula>$H1884="SUBETAPA"</formula>
    </cfRule>
    <cfRule type="expression" dxfId="15239" priority="79949">
      <formula>$H1884="CÉLULA CONSTRUTIVA"</formula>
    </cfRule>
  </conditionalFormatting>
  <conditionalFormatting sqref="L1909">
    <cfRule type="expression" dxfId="15238" priority="75977">
      <formula>$H1909="ETAPA"</formula>
    </cfRule>
  </conditionalFormatting>
  <conditionalFormatting sqref="L2040">
    <cfRule type="expression" dxfId="15237" priority="67131">
      <formula>$H2040="SUBETAPA"</formula>
    </cfRule>
    <cfRule type="expression" dxfId="15236" priority="67132">
      <formula>$H2040="CÉLULA CONSTRUTIVA"</formula>
    </cfRule>
  </conditionalFormatting>
  <conditionalFormatting sqref="L2067 H2068 L2071 J2068:L2068">
    <cfRule type="expression" dxfId="15235" priority="67772">
      <formula>$H2067="CÉLULA CONSTRUTIVA"</formula>
    </cfRule>
  </conditionalFormatting>
  <conditionalFormatting sqref="L2071 L2067:L2069">
    <cfRule type="expression" dxfId="15234" priority="67771">
      <formula>$H2067="SUBETAPA"</formula>
    </cfRule>
  </conditionalFormatting>
  <conditionalFormatting sqref="L2088">
    <cfRule type="expression" dxfId="15233" priority="68411">
      <formula>$H2088="SUBETAPA"</formula>
    </cfRule>
    <cfRule type="expression" dxfId="15232" priority="68412">
      <formula>$H2088="CÉLULA CONSTRUTIVA"</formula>
    </cfRule>
  </conditionalFormatting>
  <conditionalFormatting sqref="L2090">
    <cfRule type="expression" dxfId="15231" priority="60577">
      <formula>$H2090="CÉLULA CONSTRUTIVA"</formula>
    </cfRule>
    <cfRule type="expression" dxfId="15230" priority="60580">
      <formula>$H2090="SUBETAPA"</formula>
    </cfRule>
  </conditionalFormatting>
  <conditionalFormatting sqref="L2090:L2092">
    <cfRule type="expression" dxfId="15229" priority="60581">
      <formula>$H2090="ETAPA"</formula>
    </cfRule>
  </conditionalFormatting>
  <conditionalFormatting sqref="L2091">
    <cfRule type="expression" dxfId="15228" priority="60578">
      <formula>$H2091="SUBETAPA"</formula>
    </cfRule>
    <cfRule type="expression" dxfId="15227" priority="60579">
      <formula>$H2091="CÉLULA CONSTRUTIVA"</formula>
    </cfRule>
  </conditionalFormatting>
  <conditionalFormatting sqref="L2092">
    <cfRule type="expression" dxfId="15226" priority="60583">
      <formula>$H2092="SUBETAPA"</formula>
    </cfRule>
    <cfRule type="expression" dxfId="15225" priority="60584">
      <formula>$H2092="CÉLULA CONSTRUTIVA"</formula>
    </cfRule>
  </conditionalFormatting>
  <conditionalFormatting sqref="L2105">
    <cfRule type="expression" dxfId="15224" priority="69051">
      <formula>$H2105="SUBETAPA"</formula>
    </cfRule>
    <cfRule type="expression" dxfId="15223" priority="69052">
      <formula>$H2105="CÉLULA CONSTRUTIVA"</formula>
    </cfRule>
  </conditionalFormatting>
  <conditionalFormatting sqref="L2107">
    <cfRule type="expression" dxfId="15222" priority="60569">
      <formula>$H2107="CÉLULA CONSTRUTIVA"</formula>
    </cfRule>
    <cfRule type="expression" dxfId="15221" priority="60572">
      <formula>$H2107="SUBETAPA"</formula>
    </cfRule>
    <cfRule type="expression" dxfId="15220" priority="60573">
      <formula>$H2107="ETAPA"</formula>
    </cfRule>
  </conditionalFormatting>
  <conditionalFormatting sqref="L2108">
    <cfRule type="expression" dxfId="15219" priority="60570">
      <formula>$H2108="SUBETAPA"</formula>
    </cfRule>
    <cfRule type="expression" dxfId="15218" priority="60571">
      <formula>$H2108="CÉLULA CONSTRUTIVA"</formula>
    </cfRule>
  </conditionalFormatting>
  <conditionalFormatting sqref="L2121">
    <cfRule type="expression" dxfId="15217" priority="69691">
      <formula>$H2121="SUBETAPA"</formula>
    </cfRule>
    <cfRule type="expression" dxfId="15216" priority="69692">
      <formula>$H2121="CÉLULA CONSTRUTIVA"</formula>
    </cfRule>
  </conditionalFormatting>
  <conditionalFormatting sqref="L2123">
    <cfRule type="expression" dxfId="15215" priority="60563">
      <formula>$H2123="CÉLULA CONSTRUTIVA"</formula>
    </cfRule>
    <cfRule type="expression" dxfId="15214" priority="60566">
      <formula>$H2123="SUBETAPA"</formula>
    </cfRule>
  </conditionalFormatting>
  <conditionalFormatting sqref="L2123:L2124">
    <cfRule type="expression" dxfId="15213" priority="60567">
      <formula>$H2123="ETAPA"</formula>
    </cfRule>
  </conditionalFormatting>
  <conditionalFormatting sqref="L2124">
    <cfRule type="expression" dxfId="15212" priority="60564">
      <formula>$H2124="SUBETAPA"</formula>
    </cfRule>
    <cfRule type="expression" dxfId="15211" priority="60565">
      <formula>$H2124="CÉLULA CONSTRUTIVA"</formula>
    </cfRule>
  </conditionalFormatting>
  <conditionalFormatting sqref="L2138">
    <cfRule type="expression" dxfId="15210" priority="70331">
      <formula>$H2138="SUBETAPA"</formula>
    </cfRule>
    <cfRule type="expression" dxfId="15209" priority="70332">
      <formula>$H2138="CÉLULA CONSTRUTIVA"</formula>
    </cfRule>
  </conditionalFormatting>
  <conditionalFormatting sqref="L2141">
    <cfRule type="expression" dxfId="15208" priority="60554">
      <formula>$H2141="CÉLULA CONSTRUTIVA"</formula>
    </cfRule>
    <cfRule type="expression" dxfId="15207" priority="60557">
      <formula>$H2141="SUBETAPA"</formula>
    </cfRule>
  </conditionalFormatting>
  <conditionalFormatting sqref="L2141:L2143">
    <cfRule type="expression" dxfId="15206" priority="60558">
      <formula>$H2141="ETAPA"</formula>
    </cfRule>
  </conditionalFormatting>
  <conditionalFormatting sqref="L2142">
    <cfRule type="expression" dxfId="15205" priority="60555">
      <formula>$H2142="SUBETAPA"</formula>
    </cfRule>
    <cfRule type="expression" dxfId="15204" priority="60556">
      <formula>$H2142="CÉLULA CONSTRUTIVA"</formula>
    </cfRule>
  </conditionalFormatting>
  <conditionalFormatting sqref="L2143">
    <cfRule type="expression" dxfId="15203" priority="60561">
      <formula>$H2143="SUBETAPA"</formula>
    </cfRule>
    <cfRule type="expression" dxfId="15202" priority="60562">
      <formula>$H2143="CÉLULA CONSTRUTIVA"</formula>
    </cfRule>
  </conditionalFormatting>
  <conditionalFormatting sqref="L2156">
    <cfRule type="expression" dxfId="15201" priority="70971">
      <formula>$H2156="SUBETAPA"</formula>
    </cfRule>
    <cfRule type="expression" dxfId="15200" priority="70972">
      <formula>$H2156="CÉLULA CONSTRUTIVA"</formula>
    </cfRule>
  </conditionalFormatting>
  <conditionalFormatting sqref="L2158">
    <cfRule type="expression" dxfId="15199" priority="60545">
      <formula>$H2158="CÉLULA CONSTRUTIVA"</formula>
    </cfRule>
    <cfRule type="expression" dxfId="15198" priority="60548">
      <formula>$H2158="SUBETAPA"</formula>
    </cfRule>
  </conditionalFormatting>
  <conditionalFormatting sqref="L2158:L2160">
    <cfRule type="expression" dxfId="15197" priority="60549">
      <formula>$H2158="ETAPA"</formula>
    </cfRule>
  </conditionalFormatting>
  <conditionalFormatting sqref="L2159">
    <cfRule type="expression" dxfId="15196" priority="60546">
      <formula>$H2159="SUBETAPA"</formula>
    </cfRule>
    <cfRule type="expression" dxfId="15195" priority="60547">
      <formula>$H2159="CÉLULA CONSTRUTIVA"</formula>
    </cfRule>
  </conditionalFormatting>
  <conditionalFormatting sqref="L2160">
    <cfRule type="expression" dxfId="15194" priority="60552">
      <formula>$H2160="SUBETAPA"</formula>
    </cfRule>
    <cfRule type="expression" dxfId="15193" priority="60553">
      <formula>$H2160="CÉLULA CONSTRUTIVA"</formula>
    </cfRule>
  </conditionalFormatting>
  <conditionalFormatting sqref="L2164">
    <cfRule type="expression" dxfId="15192" priority="70785">
      <formula>$H2164="SUBETAPA"</formula>
    </cfRule>
  </conditionalFormatting>
  <conditionalFormatting sqref="L2185:L2186">
    <cfRule type="expression" dxfId="15191" priority="60542">
      <formula>$H2185="CÉLULA CONSTRUTIVA"</formula>
    </cfRule>
    <cfRule type="expression" dxfId="15190" priority="60543">
      <formula>$H2185="SUBETAPA"</formula>
    </cfRule>
    <cfRule type="expression" dxfId="15189" priority="60544">
      <formula>$H2185="ETAPA"</formula>
    </cfRule>
  </conditionalFormatting>
  <conditionalFormatting sqref="L2194:L2195">
    <cfRule type="expression" dxfId="15188" priority="71333">
      <formula>$H2194="SUBETAPA"</formula>
    </cfRule>
    <cfRule type="expression" dxfId="15187" priority="71334">
      <formula>$H2194="CÉLULA CONSTRUTIVA"</formula>
    </cfRule>
  </conditionalFormatting>
  <conditionalFormatting sqref="L2216:L2218">
    <cfRule type="expression" dxfId="15186" priority="60539">
      <formula>$H2216="CÉLULA CONSTRUTIVA"</formula>
    </cfRule>
    <cfRule type="expression" dxfId="15185" priority="60540">
      <formula>$H2216="SUBETAPA"</formula>
    </cfRule>
    <cfRule type="expression" dxfId="15184" priority="60541">
      <formula>$H2216="ETAPA"</formula>
    </cfRule>
  </conditionalFormatting>
  <conditionalFormatting sqref="L2236:L2238">
    <cfRule type="expression" dxfId="15183" priority="60530">
      <formula>$H2236="CÉLULA CONSTRUTIVA"</formula>
    </cfRule>
    <cfRule type="expression" dxfId="15182" priority="60531">
      <formula>$H2236="SUBETAPA"</formula>
    </cfRule>
    <cfRule type="expression" dxfId="15181" priority="60532">
      <formula>$H2236="ETAPA"</formula>
    </cfRule>
  </conditionalFormatting>
  <conditionalFormatting sqref="L2256:L2258">
    <cfRule type="expression" dxfId="15180" priority="60527">
      <formula>$H2256="CÉLULA CONSTRUTIVA"</formula>
    </cfRule>
    <cfRule type="expression" dxfId="15179" priority="60528">
      <formula>$H2256="SUBETAPA"</formula>
    </cfRule>
    <cfRule type="expression" dxfId="15178" priority="60529">
      <formula>$H2256="ETAPA"</formula>
    </cfRule>
  </conditionalFormatting>
  <conditionalFormatting sqref="L2279:L2281">
    <cfRule type="expression" dxfId="15177" priority="60536">
      <formula>$H2279="CÉLULA CONSTRUTIVA"</formula>
    </cfRule>
    <cfRule type="expression" dxfId="15176" priority="60537">
      <formula>$H2279="SUBETAPA"</formula>
    </cfRule>
    <cfRule type="expression" dxfId="15175" priority="60538">
      <formula>$H2279="ETAPA"</formula>
    </cfRule>
  </conditionalFormatting>
  <conditionalFormatting sqref="L2304:L2306">
    <cfRule type="expression" dxfId="15174" priority="60533">
      <formula>$H2304="CÉLULA CONSTRUTIVA"</formula>
    </cfRule>
    <cfRule type="expression" dxfId="15173" priority="60534">
      <formula>$H2304="SUBETAPA"</formula>
    </cfRule>
    <cfRule type="expression" dxfId="15172" priority="60535">
      <formula>$H2304="ETAPA"</formula>
    </cfRule>
  </conditionalFormatting>
  <conditionalFormatting sqref="L2347">
    <cfRule type="expression" dxfId="15171" priority="7138">
      <formula>$H2347="ETAPA"</formula>
    </cfRule>
    <cfRule type="expression" dxfId="15170" priority="7139">
      <formula>$H2347="SUBETAPA"</formula>
    </cfRule>
    <cfRule type="expression" dxfId="15169" priority="7140">
      <formula>$H2347="CÉLULA CONSTRUTIVA"</formula>
    </cfRule>
  </conditionalFormatting>
  <conditionalFormatting sqref="L2368">
    <cfRule type="expression" dxfId="15168" priority="7109">
      <formula>$H2368="ETAPA"</formula>
    </cfRule>
    <cfRule type="expression" dxfId="15167" priority="7110">
      <formula>$H2368="SUBETAPA"</formula>
    </cfRule>
    <cfRule type="expression" dxfId="15166" priority="7111">
      <formula>$H2368="CÉLULA CONSTRUTIVA"</formula>
    </cfRule>
  </conditionalFormatting>
  <conditionalFormatting sqref="L2379 L2384:L2385">
    <cfRule type="expression" dxfId="15165" priority="62208">
      <formula>$H2379="SUBETAPA"</formula>
    </cfRule>
    <cfRule type="expression" dxfId="15164" priority="62209">
      <formula>$H2379="CÉLULA CONSTRUTIVA"</formula>
    </cfRule>
  </conditionalFormatting>
  <conditionalFormatting sqref="L2380">
    <cfRule type="expression" dxfId="15163" priority="7089">
      <formula>$H2380="SUBETAPA"</formula>
    </cfRule>
    <cfRule type="expression" dxfId="15162" priority="7090">
      <formula>$H2380="CÉLULA CONSTRUTIVA"</formula>
    </cfRule>
  </conditionalFormatting>
  <conditionalFormatting sqref="L2395">
    <cfRule type="expression" dxfId="15161" priority="7053">
      <formula>$H2395="ETAPA"</formula>
    </cfRule>
    <cfRule type="expression" dxfId="15160" priority="7054">
      <formula>$H2395="SUBETAPA"</formula>
    </cfRule>
    <cfRule type="expression" dxfId="15159" priority="7055">
      <formula>$H2395="CÉLULA CONSTRUTIVA"</formula>
    </cfRule>
  </conditionalFormatting>
  <conditionalFormatting sqref="L2404">
    <cfRule type="expression" dxfId="15158" priority="62447">
      <formula>$H2404="SUBETAPA"</formula>
    </cfRule>
    <cfRule type="expression" dxfId="15157" priority="62448">
      <formula>$H2404="CÉLULA CONSTRUTIVA"</formula>
    </cfRule>
  </conditionalFormatting>
  <conditionalFormatting sqref="L2405">
    <cfRule type="expression" dxfId="15156" priority="7033">
      <formula>$H2405="SUBETAPA"</formula>
    </cfRule>
    <cfRule type="expression" dxfId="15155" priority="7034">
      <formula>$H2405="CÉLULA CONSTRUTIVA"</formula>
    </cfRule>
  </conditionalFormatting>
  <conditionalFormatting sqref="L2418">
    <cfRule type="expression" dxfId="15154" priority="6997">
      <formula>$H2418="ETAPA"</formula>
    </cfRule>
    <cfRule type="expression" dxfId="15153" priority="6998">
      <formula>$H2418="SUBETAPA"</formula>
    </cfRule>
    <cfRule type="expression" dxfId="15152" priority="6999">
      <formula>$H2418="CÉLULA CONSTRUTIVA"</formula>
    </cfRule>
  </conditionalFormatting>
  <conditionalFormatting sqref="L2427">
    <cfRule type="expression" dxfId="15151" priority="62686">
      <formula>$H2427="SUBETAPA"</formula>
    </cfRule>
    <cfRule type="expression" dxfId="15150" priority="62687">
      <formula>$H2427="CÉLULA CONSTRUTIVA"</formula>
    </cfRule>
  </conditionalFormatting>
  <conditionalFormatting sqref="L2428">
    <cfRule type="expression" dxfId="15149" priority="6977">
      <formula>$H2428="SUBETAPA"</formula>
    </cfRule>
    <cfRule type="expression" dxfId="15148" priority="6978">
      <formula>$H2428="CÉLULA CONSTRUTIVA"</formula>
    </cfRule>
  </conditionalFormatting>
  <conditionalFormatting sqref="L2441">
    <cfRule type="expression" dxfId="15147" priority="6941">
      <formula>$H2441="ETAPA"</formula>
    </cfRule>
    <cfRule type="expression" dxfId="15146" priority="6942">
      <formula>$H2441="SUBETAPA"</formula>
    </cfRule>
    <cfRule type="expression" dxfId="15145" priority="6943">
      <formula>$H2441="CÉLULA CONSTRUTIVA"</formula>
    </cfRule>
  </conditionalFormatting>
  <conditionalFormatting sqref="L2450">
    <cfRule type="expression" dxfId="15144" priority="62925">
      <formula>$H2450="SUBETAPA"</formula>
    </cfRule>
    <cfRule type="expression" dxfId="15143" priority="62926">
      <formula>$H2450="CÉLULA CONSTRUTIVA"</formula>
    </cfRule>
  </conditionalFormatting>
  <conditionalFormatting sqref="L2451">
    <cfRule type="expression" dxfId="15142" priority="6921">
      <formula>$H2451="SUBETAPA"</formula>
    </cfRule>
    <cfRule type="expression" dxfId="15141" priority="6922">
      <formula>$H2451="CÉLULA CONSTRUTIVA"</formula>
    </cfRule>
  </conditionalFormatting>
  <conditionalFormatting sqref="L2465">
    <cfRule type="expression" dxfId="15140" priority="6885">
      <formula>$H2465="ETAPA"</formula>
    </cfRule>
    <cfRule type="expression" dxfId="15139" priority="6886">
      <formula>$H2465="SUBETAPA"</formula>
    </cfRule>
    <cfRule type="expression" dxfId="15138" priority="6887">
      <formula>$H2465="CÉLULA CONSTRUTIVA"</formula>
    </cfRule>
  </conditionalFormatting>
  <conditionalFormatting sqref="L2474">
    <cfRule type="expression" dxfId="15137" priority="63164">
      <formula>$H2474="SUBETAPA"</formula>
    </cfRule>
    <cfRule type="expression" dxfId="15136" priority="63165">
      <formula>$H2474="CÉLULA CONSTRUTIVA"</formula>
    </cfRule>
  </conditionalFormatting>
  <conditionalFormatting sqref="L2475">
    <cfRule type="expression" dxfId="15135" priority="6865">
      <formula>$H2475="SUBETAPA"</formula>
    </cfRule>
    <cfRule type="expression" dxfId="15134" priority="6866">
      <formula>$H2475="CÉLULA CONSTRUTIVA"</formula>
    </cfRule>
  </conditionalFormatting>
  <conditionalFormatting sqref="L2489">
    <cfRule type="expression" dxfId="15133" priority="6829">
      <formula>$H2489="ETAPA"</formula>
    </cfRule>
    <cfRule type="expression" dxfId="15132" priority="6830">
      <formula>$H2489="SUBETAPA"</formula>
    </cfRule>
    <cfRule type="expression" dxfId="15131" priority="6831">
      <formula>$H2489="CÉLULA CONSTRUTIVA"</formula>
    </cfRule>
  </conditionalFormatting>
  <conditionalFormatting sqref="L2502 L2504:L2506">
    <cfRule type="expression" dxfId="15130" priority="63403">
      <formula>$H2502="SUBETAPA"</formula>
    </cfRule>
    <cfRule type="expression" dxfId="15129" priority="63404">
      <formula>$H2502="CÉLULA CONSTRUTIVA"</formula>
    </cfRule>
  </conditionalFormatting>
  <conditionalFormatting sqref="L2503">
    <cfRule type="expression" dxfId="15128" priority="6809">
      <formula>$H2503="SUBETAPA"</formula>
    </cfRule>
    <cfRule type="expression" dxfId="15127" priority="6810">
      <formula>$H2503="CÉLULA CONSTRUTIVA"</formula>
    </cfRule>
  </conditionalFormatting>
  <conditionalFormatting sqref="L2516">
    <cfRule type="expression" dxfId="15126" priority="6773">
      <formula>$H2516="ETAPA"</formula>
    </cfRule>
    <cfRule type="expression" dxfId="15125" priority="6774">
      <formula>$H2516="SUBETAPA"</formula>
    </cfRule>
    <cfRule type="expression" dxfId="15124" priority="6775">
      <formula>$H2516="CÉLULA CONSTRUTIVA"</formula>
    </cfRule>
  </conditionalFormatting>
  <conditionalFormatting sqref="L2526">
    <cfRule type="expression" dxfId="15123" priority="6735">
      <formula>$H2526="SUBETAPA"</formula>
    </cfRule>
    <cfRule type="expression" dxfId="15122" priority="6736">
      <formula>$H2526="CÉLULA CONSTRUTIVA"</formula>
    </cfRule>
  </conditionalFormatting>
  <conditionalFormatting sqref="L2537">
    <cfRule type="expression" dxfId="15121" priority="6694">
      <formula>$H2537="ETAPA"</formula>
    </cfRule>
    <cfRule type="expression" dxfId="15120" priority="6695">
      <formula>$H2537="SUBETAPA"</formula>
    </cfRule>
    <cfRule type="expression" dxfId="15119" priority="6696">
      <formula>$H2537="CÉLULA CONSTRUTIVA"</formula>
    </cfRule>
  </conditionalFormatting>
  <conditionalFormatting sqref="L2544">
    <cfRule type="expression" dxfId="15118" priority="6671">
      <formula>$H2544="SUBETAPA"</formula>
    </cfRule>
    <cfRule type="expression" dxfId="15117" priority="6672">
      <formula>$H2544="CÉLULA CONSTRUTIVA"</formula>
    </cfRule>
  </conditionalFormatting>
  <conditionalFormatting sqref="L2553">
    <cfRule type="expression" dxfId="15116" priority="6636">
      <formula>$H2553="ETAPA"</formula>
    </cfRule>
    <cfRule type="expression" dxfId="15115" priority="6637">
      <formula>$H2553="SUBETAPA"</formula>
    </cfRule>
    <cfRule type="expression" dxfId="15114" priority="6638">
      <formula>$H2553="CÉLULA CONSTRUTIVA"</formula>
    </cfRule>
  </conditionalFormatting>
  <conditionalFormatting sqref="L2560">
    <cfRule type="expression" dxfId="15113" priority="6613">
      <formula>$H2560="SUBETAPA"</formula>
    </cfRule>
    <cfRule type="expression" dxfId="15112" priority="6614">
      <formula>$H2560="CÉLULA CONSTRUTIVA"</formula>
    </cfRule>
  </conditionalFormatting>
  <conditionalFormatting sqref="L2569">
    <cfRule type="expression" dxfId="15111" priority="6578">
      <formula>$H2569="ETAPA"</formula>
    </cfRule>
    <cfRule type="expression" dxfId="15110" priority="6579">
      <formula>$H2569="SUBETAPA"</formula>
    </cfRule>
    <cfRule type="expression" dxfId="15109" priority="6580">
      <formula>$H2569="CÉLULA CONSTRUTIVA"</formula>
    </cfRule>
  </conditionalFormatting>
  <conditionalFormatting sqref="L2576">
    <cfRule type="expression" dxfId="15108" priority="6555">
      <formula>$H2576="SUBETAPA"</formula>
    </cfRule>
    <cfRule type="expression" dxfId="15107" priority="6556">
      <formula>$H2576="CÉLULA CONSTRUTIVA"</formula>
    </cfRule>
  </conditionalFormatting>
  <conditionalFormatting sqref="L2585">
    <cfRule type="expression" dxfId="15106" priority="6520">
      <formula>$H2585="ETAPA"</formula>
    </cfRule>
    <cfRule type="expression" dxfId="15105" priority="6521">
      <formula>$H2585="SUBETAPA"</formula>
    </cfRule>
    <cfRule type="expression" dxfId="15104" priority="6522">
      <formula>$H2585="CÉLULA CONSTRUTIVA"</formula>
    </cfRule>
  </conditionalFormatting>
  <conditionalFormatting sqref="L2592">
    <cfRule type="expression" dxfId="15103" priority="6497">
      <formula>$H2592="SUBETAPA"</formula>
    </cfRule>
    <cfRule type="expression" dxfId="15102" priority="6498">
      <formula>$H2592="CÉLULA CONSTRUTIVA"</formula>
    </cfRule>
  </conditionalFormatting>
  <conditionalFormatting sqref="L2601">
    <cfRule type="expression" dxfId="15101" priority="6462">
      <formula>$H2601="ETAPA"</formula>
    </cfRule>
    <cfRule type="expression" dxfId="15100" priority="6463">
      <formula>$H2601="SUBETAPA"</formula>
    </cfRule>
    <cfRule type="expression" dxfId="15099" priority="6464">
      <formula>$H2601="CÉLULA CONSTRUTIVA"</formula>
    </cfRule>
  </conditionalFormatting>
  <conditionalFormatting sqref="L2608">
    <cfRule type="expression" dxfId="15098" priority="6439">
      <formula>$H2608="SUBETAPA"</formula>
    </cfRule>
    <cfRule type="expression" dxfId="15097" priority="6440">
      <formula>$H2608="CÉLULA CONSTRUTIVA"</formula>
    </cfRule>
  </conditionalFormatting>
  <conditionalFormatting sqref="L2617">
    <cfRule type="expression" dxfId="15096" priority="6404">
      <formula>$H2617="ETAPA"</formula>
    </cfRule>
    <cfRule type="expression" dxfId="15095" priority="6405">
      <formula>$H2617="SUBETAPA"</formula>
    </cfRule>
    <cfRule type="expression" dxfId="15094" priority="6406">
      <formula>$H2617="CÉLULA CONSTRUTIVA"</formula>
    </cfRule>
  </conditionalFormatting>
  <conditionalFormatting sqref="L2623">
    <cfRule type="expression" dxfId="15093" priority="6381">
      <formula>$H2623="SUBETAPA"</formula>
    </cfRule>
    <cfRule type="expression" dxfId="15092" priority="6382">
      <formula>$H2623="CÉLULA CONSTRUTIVA"</formula>
    </cfRule>
  </conditionalFormatting>
  <conditionalFormatting sqref="L2629:L2634">
    <cfRule type="expression" dxfId="15091" priority="1941">
      <formula>$H2629="ETAPA"</formula>
    </cfRule>
  </conditionalFormatting>
  <conditionalFormatting sqref="L2640">
    <cfRule type="expression" dxfId="15090" priority="252">
      <formula>$H2640="CÉLULA CONSTRUTIVA"</formula>
    </cfRule>
    <cfRule type="expression" dxfId="15089" priority="253">
      <formula>$H2640="SUBETAPA"</formula>
    </cfRule>
    <cfRule type="expression" dxfId="15088" priority="254">
      <formula>$H2640="ETAPA"</formula>
    </cfRule>
  </conditionalFormatting>
  <conditionalFormatting sqref="L2641">
    <cfRule type="expression" dxfId="15087" priority="2009">
      <formula>$H2641="ETAPA"</formula>
    </cfRule>
  </conditionalFormatting>
  <conditionalFormatting sqref="L2650">
    <cfRule type="expression" dxfId="15086" priority="231">
      <formula>$H2650="CÉLULA CONSTRUTIVA"</formula>
    </cfRule>
    <cfRule type="expression" dxfId="15085" priority="232">
      <formula>$H2650="SUBETAPA"</formula>
    </cfRule>
    <cfRule type="expression" dxfId="15084" priority="233">
      <formula>$H2650="ETAPA"</formula>
    </cfRule>
  </conditionalFormatting>
  <conditionalFormatting sqref="L2651">
    <cfRule type="expression" dxfId="15083" priority="2077">
      <formula>$H2651="ETAPA"</formula>
    </cfRule>
  </conditionalFormatting>
  <conditionalFormatting sqref="L2659">
    <cfRule type="expression" dxfId="15082" priority="228">
      <formula>$H2659="CÉLULA CONSTRUTIVA"</formula>
    </cfRule>
    <cfRule type="expression" dxfId="15081" priority="229">
      <formula>$H2659="SUBETAPA"</formula>
    </cfRule>
    <cfRule type="expression" dxfId="15080" priority="230">
      <formula>$H2659="ETAPA"</formula>
    </cfRule>
  </conditionalFormatting>
  <conditionalFormatting sqref="L2660">
    <cfRule type="expression" dxfId="15079" priority="2145">
      <formula>$H2660="ETAPA"</formula>
    </cfRule>
  </conditionalFormatting>
  <conditionalFormatting sqref="L2666">
    <cfRule type="expression" dxfId="15078" priority="225">
      <formula>$H2666="CÉLULA CONSTRUTIVA"</formula>
    </cfRule>
    <cfRule type="expression" dxfId="15077" priority="226">
      <formula>$H2666="SUBETAPA"</formula>
    </cfRule>
    <cfRule type="expression" dxfId="15076" priority="227">
      <formula>$H2666="ETAPA"</formula>
    </cfRule>
  </conditionalFormatting>
  <conditionalFormatting sqref="L2667">
    <cfRule type="expression" dxfId="15075" priority="2213">
      <formula>$H2667="ETAPA"</formula>
    </cfRule>
  </conditionalFormatting>
  <conditionalFormatting sqref="L2673">
    <cfRule type="expression" dxfId="15074" priority="222">
      <formula>$H2673="CÉLULA CONSTRUTIVA"</formula>
    </cfRule>
    <cfRule type="expression" dxfId="15073" priority="223">
      <formula>$H2673="SUBETAPA"</formula>
    </cfRule>
    <cfRule type="expression" dxfId="15072" priority="224">
      <formula>$H2673="ETAPA"</formula>
    </cfRule>
  </conditionalFormatting>
  <conditionalFormatting sqref="L2674">
    <cfRule type="expression" dxfId="15071" priority="2281">
      <formula>$H2674="ETAPA"</formula>
    </cfRule>
  </conditionalFormatting>
  <conditionalFormatting sqref="L2675">
    <cfRule type="expression" dxfId="15070" priority="186">
      <formula>$H2675="CÉLULA CONSTRUTIVA"</formula>
    </cfRule>
    <cfRule type="expression" dxfId="15069" priority="187">
      <formula>$H2675="SUBETAPA"</formula>
    </cfRule>
    <cfRule type="expression" dxfId="15068" priority="188">
      <formula>$H2675="ETAPA"</formula>
    </cfRule>
  </conditionalFormatting>
  <conditionalFormatting sqref="L2681">
    <cfRule type="expression" dxfId="15067" priority="219">
      <formula>$H2681="CÉLULA CONSTRUTIVA"</formula>
    </cfRule>
    <cfRule type="expression" dxfId="15066" priority="220">
      <formula>$H2681="SUBETAPA"</formula>
    </cfRule>
    <cfRule type="expression" dxfId="15065" priority="221">
      <formula>$H2681="ETAPA"</formula>
    </cfRule>
  </conditionalFormatting>
  <conditionalFormatting sqref="L2682">
    <cfRule type="expression" dxfId="15064" priority="2349">
      <formula>$H2682="ETAPA"</formula>
    </cfRule>
  </conditionalFormatting>
  <conditionalFormatting sqref="L2683">
    <cfRule type="expression" dxfId="15063" priority="183">
      <formula>$H2683="CÉLULA CONSTRUTIVA"</formula>
    </cfRule>
    <cfRule type="expression" dxfId="15062" priority="184">
      <formula>$H2683="SUBETAPA"</formula>
    </cfRule>
    <cfRule type="expression" dxfId="15061" priority="185">
      <formula>$H2683="ETAPA"</formula>
    </cfRule>
  </conditionalFormatting>
  <conditionalFormatting sqref="L2691">
    <cfRule type="expression" dxfId="15060" priority="216">
      <formula>$H2691="CÉLULA CONSTRUTIVA"</formula>
    </cfRule>
    <cfRule type="expression" dxfId="15059" priority="217">
      <formula>$H2691="SUBETAPA"</formula>
    </cfRule>
    <cfRule type="expression" dxfId="15058" priority="218">
      <formula>$H2691="ETAPA"</formula>
    </cfRule>
  </conditionalFormatting>
  <conditionalFormatting sqref="L2692">
    <cfRule type="expression" dxfId="15057" priority="2417">
      <formula>$H2692="ETAPA"</formula>
    </cfRule>
  </conditionalFormatting>
  <conditionalFormatting sqref="L2693">
    <cfRule type="expression" dxfId="15056" priority="180">
      <formula>$H2693="CÉLULA CONSTRUTIVA"</formula>
    </cfRule>
    <cfRule type="expression" dxfId="15055" priority="181">
      <formula>$H2693="SUBETAPA"</formula>
    </cfRule>
    <cfRule type="expression" dxfId="15054" priority="182">
      <formula>$H2693="ETAPA"</formula>
    </cfRule>
  </conditionalFormatting>
  <conditionalFormatting sqref="L2699">
    <cfRule type="expression" dxfId="15053" priority="213">
      <formula>$H2699="CÉLULA CONSTRUTIVA"</formula>
    </cfRule>
    <cfRule type="expression" dxfId="15052" priority="214">
      <formula>$H2699="SUBETAPA"</formula>
    </cfRule>
    <cfRule type="expression" dxfId="15051" priority="215">
      <formula>$H2699="ETAPA"</formula>
    </cfRule>
  </conditionalFormatting>
  <conditionalFormatting sqref="L2700">
    <cfRule type="expression" dxfId="15050" priority="2485">
      <formula>$H2700="ETAPA"</formula>
    </cfRule>
  </conditionalFormatting>
  <conditionalFormatting sqref="L2701">
    <cfRule type="expression" dxfId="15049" priority="177">
      <formula>$H2701="CÉLULA CONSTRUTIVA"</formula>
    </cfRule>
    <cfRule type="expression" dxfId="15048" priority="178">
      <formula>$H2701="SUBETAPA"</formula>
    </cfRule>
    <cfRule type="expression" dxfId="15047" priority="179">
      <formula>$H2701="ETAPA"</formula>
    </cfRule>
  </conditionalFormatting>
  <conditionalFormatting sqref="L2710">
    <cfRule type="expression" dxfId="15046" priority="210">
      <formula>$H2710="CÉLULA CONSTRUTIVA"</formula>
    </cfRule>
    <cfRule type="expression" dxfId="15045" priority="211">
      <formula>$H2710="SUBETAPA"</formula>
    </cfRule>
    <cfRule type="expression" dxfId="15044" priority="212">
      <formula>$H2710="ETAPA"</formula>
    </cfRule>
  </conditionalFormatting>
  <conditionalFormatting sqref="L2711">
    <cfRule type="expression" dxfId="15043" priority="2553">
      <formula>$H2711="ETAPA"</formula>
    </cfRule>
  </conditionalFormatting>
  <conditionalFormatting sqref="L2712">
    <cfRule type="expression" dxfId="15042" priority="174">
      <formula>$H2712="CÉLULA CONSTRUTIVA"</formula>
    </cfRule>
    <cfRule type="expression" dxfId="15041" priority="175">
      <formula>$H2712="SUBETAPA"</formula>
    </cfRule>
    <cfRule type="expression" dxfId="15040" priority="176">
      <formula>$H2712="ETAPA"</formula>
    </cfRule>
  </conditionalFormatting>
  <conditionalFormatting sqref="L2721">
    <cfRule type="expression" dxfId="15039" priority="207">
      <formula>$H2721="CÉLULA CONSTRUTIVA"</formula>
    </cfRule>
    <cfRule type="expression" dxfId="15038" priority="208">
      <formula>$H2721="SUBETAPA"</formula>
    </cfRule>
    <cfRule type="expression" dxfId="15037" priority="209">
      <formula>$H2721="ETAPA"</formula>
    </cfRule>
  </conditionalFormatting>
  <conditionalFormatting sqref="L2722">
    <cfRule type="expression" dxfId="15036" priority="1796">
      <formula>$H2722="ETAPA"</formula>
    </cfRule>
  </conditionalFormatting>
  <conditionalFormatting sqref="L2723">
    <cfRule type="expression" dxfId="15035" priority="171">
      <formula>$H2723="CÉLULA CONSTRUTIVA"</formula>
    </cfRule>
    <cfRule type="expression" dxfId="15034" priority="172">
      <formula>$H2723="SUBETAPA"</formula>
    </cfRule>
    <cfRule type="expression" dxfId="15033" priority="173">
      <formula>$H2723="ETAPA"</formula>
    </cfRule>
  </conditionalFormatting>
  <conditionalFormatting sqref="L2732">
    <cfRule type="expression" dxfId="15032" priority="204">
      <formula>$H2732="CÉLULA CONSTRUTIVA"</formula>
    </cfRule>
    <cfRule type="expression" dxfId="15031" priority="205">
      <formula>$H2732="SUBETAPA"</formula>
    </cfRule>
    <cfRule type="expression" dxfId="15030" priority="206">
      <formula>$H2732="ETAPA"</formula>
    </cfRule>
  </conditionalFormatting>
  <conditionalFormatting sqref="L2733">
    <cfRule type="expression" dxfId="15029" priority="1868">
      <formula>$H2733="ETAPA"</formula>
    </cfRule>
  </conditionalFormatting>
  <conditionalFormatting sqref="L2734">
    <cfRule type="expression" dxfId="15028" priority="168">
      <formula>$H2734="CÉLULA CONSTRUTIVA"</formula>
    </cfRule>
    <cfRule type="expression" dxfId="15027" priority="169">
      <formula>$H2734="SUBETAPA"</formula>
    </cfRule>
    <cfRule type="expression" dxfId="15026" priority="170">
      <formula>$H2734="ETAPA"</formula>
    </cfRule>
  </conditionalFormatting>
  <conditionalFormatting sqref="L2743">
    <cfRule type="expression" dxfId="15025" priority="201">
      <formula>$H2743="CÉLULA CONSTRUTIVA"</formula>
    </cfRule>
    <cfRule type="expression" dxfId="15024" priority="202">
      <formula>$H2743="SUBETAPA"</formula>
    </cfRule>
    <cfRule type="expression" dxfId="15023" priority="203">
      <formula>$H2743="ETAPA"</formula>
    </cfRule>
  </conditionalFormatting>
  <conditionalFormatting sqref="L2744">
    <cfRule type="expression" dxfId="15022" priority="2621">
      <formula>$H2744="ETAPA"</formula>
    </cfRule>
  </conditionalFormatting>
  <conditionalFormatting sqref="L2745">
    <cfRule type="expression" dxfId="15021" priority="165">
      <formula>$H2745="CÉLULA CONSTRUTIVA"</formula>
    </cfRule>
    <cfRule type="expression" dxfId="15020" priority="166">
      <formula>$H2745="SUBETAPA"</formula>
    </cfRule>
    <cfRule type="expression" dxfId="15019" priority="167">
      <formula>$H2745="ETAPA"</formula>
    </cfRule>
  </conditionalFormatting>
  <conditionalFormatting sqref="L2754">
    <cfRule type="expression" dxfId="15018" priority="198">
      <formula>$H2754="CÉLULA CONSTRUTIVA"</formula>
    </cfRule>
    <cfRule type="expression" dxfId="15017" priority="199">
      <formula>$H2754="SUBETAPA"</formula>
    </cfRule>
    <cfRule type="expression" dxfId="15016" priority="200">
      <formula>$H2754="ETAPA"</formula>
    </cfRule>
  </conditionalFormatting>
  <conditionalFormatting sqref="L2762">
    <cfRule type="expression" dxfId="15015" priority="1387">
      <formula>$H2762="SUBETAPA"</formula>
    </cfRule>
  </conditionalFormatting>
  <conditionalFormatting sqref="L2768">
    <cfRule type="expression" dxfId="15014" priority="1429">
      <formula>$H2768="SUBETAPA"</formula>
    </cfRule>
  </conditionalFormatting>
  <conditionalFormatting sqref="L2774">
    <cfRule type="expression" dxfId="15013" priority="1471">
      <formula>$H2774="SUBETAPA"</formula>
    </cfRule>
  </conditionalFormatting>
  <conditionalFormatting sqref="L2783">
    <cfRule type="expression" dxfId="15012" priority="1513">
      <formula>$H2783="SUBETAPA"</formula>
    </cfRule>
  </conditionalFormatting>
  <conditionalFormatting sqref="L2792">
    <cfRule type="expression" dxfId="15011" priority="1555">
      <formula>$H2792="SUBETAPA"</formula>
    </cfRule>
  </conditionalFormatting>
  <conditionalFormatting sqref="L2796:L2798 M2799:M2802">
    <cfRule type="expression" dxfId="15010" priority="1600">
      <formula>$H2796="ETAPA"</formula>
    </cfRule>
    <cfRule type="expression" dxfId="15009" priority="1614">
      <formula>$H2796="SUBETAPA"</formula>
    </cfRule>
  </conditionalFormatting>
  <conditionalFormatting sqref="L2801">
    <cfRule type="expression" dxfId="15008" priority="1597">
      <formula>$H2801="SUBETAPA"</formula>
    </cfRule>
  </conditionalFormatting>
  <conditionalFormatting sqref="L2802">
    <cfRule type="expression" dxfId="15007" priority="162">
      <formula>$H2802="SUBETAPA"</formula>
    </cfRule>
    <cfRule type="expression" dxfId="15006" priority="163">
      <formula>$H2802="ETAPA"</formula>
    </cfRule>
    <cfRule type="expression" dxfId="15005" priority="164">
      <formula>$H2802="CÉLULA CONSTRUTIVA"</formula>
    </cfRule>
  </conditionalFormatting>
  <conditionalFormatting sqref="L2810">
    <cfRule type="expression" dxfId="15004" priority="1639">
      <formula>$H2810="SUBETAPA"</formula>
    </cfRule>
  </conditionalFormatting>
  <conditionalFormatting sqref="L2811">
    <cfRule type="expression" dxfId="15003" priority="159">
      <formula>$H2811="SUBETAPA"</formula>
    </cfRule>
    <cfRule type="expression" dxfId="15002" priority="160">
      <formula>$H2811="ETAPA"</formula>
    </cfRule>
    <cfRule type="expression" dxfId="15001" priority="161">
      <formula>$H2811="CÉLULA CONSTRUTIVA"</formula>
    </cfRule>
  </conditionalFormatting>
  <conditionalFormatting sqref="L2814:L2816">
    <cfRule type="expression" dxfId="15000" priority="1684">
      <formula>$H2814="ETAPA"</formula>
    </cfRule>
    <cfRule type="expression" dxfId="14999" priority="1698">
      <formula>$H2814="SUBETAPA"</formula>
    </cfRule>
  </conditionalFormatting>
  <conditionalFormatting sqref="L2817">
    <cfRule type="expression" dxfId="14998" priority="1681">
      <formula>$H2817="SUBETAPA"</formula>
    </cfRule>
  </conditionalFormatting>
  <conditionalFormatting sqref="L2818">
    <cfRule type="expression" dxfId="14997" priority="156">
      <formula>$H2818="SUBETAPA"</formula>
    </cfRule>
    <cfRule type="expression" dxfId="14996" priority="157">
      <formula>$H2818="ETAPA"</formula>
    </cfRule>
    <cfRule type="expression" dxfId="14995" priority="158">
      <formula>$H2818="CÉLULA CONSTRUTIVA"</formula>
    </cfRule>
  </conditionalFormatting>
  <conditionalFormatting sqref="L2819">
    <cfRule type="expression" dxfId="14994" priority="425">
      <formula>$H2819="ETAPA"</formula>
    </cfRule>
  </conditionalFormatting>
  <conditionalFormatting sqref="L2821">
    <cfRule type="expression" dxfId="14993" priority="153">
      <formula>$H2821="CÉLULA CONSTRUTIVA"</formula>
    </cfRule>
    <cfRule type="expression" dxfId="14992" priority="154">
      <formula>$H2821="SUBETAPA"</formula>
    </cfRule>
    <cfRule type="expression" dxfId="14991" priority="155">
      <formula>$H2821="ETAPA"</formula>
    </cfRule>
  </conditionalFormatting>
  <conditionalFormatting sqref="L2829">
    <cfRule type="expression" dxfId="14990" priority="81">
      <formula>$H2829="CÉLULA CONSTRUTIVA"</formula>
    </cfRule>
    <cfRule type="expression" dxfId="14989" priority="82">
      <formula>$H2829="SUBETAPA"</formula>
    </cfRule>
    <cfRule type="expression" dxfId="14988" priority="83">
      <formula>$H2829="ETAPA"</formula>
    </cfRule>
  </conditionalFormatting>
  <conditionalFormatting sqref="L2830">
    <cfRule type="expression" dxfId="14987" priority="490">
      <formula>$H2830="ETAPA"</formula>
    </cfRule>
  </conditionalFormatting>
  <conditionalFormatting sqref="L2832">
    <cfRule type="expression" dxfId="14986" priority="150">
      <formula>$H2832="CÉLULA CONSTRUTIVA"</formula>
    </cfRule>
    <cfRule type="expression" dxfId="14985" priority="151">
      <formula>$H2832="SUBETAPA"</formula>
    </cfRule>
    <cfRule type="expression" dxfId="14984" priority="152">
      <formula>$H2832="ETAPA"</formula>
    </cfRule>
  </conditionalFormatting>
  <conditionalFormatting sqref="L2838">
    <cfRule type="expression" dxfId="14983" priority="84">
      <formula>$H2838="CÉLULA CONSTRUTIVA"</formula>
    </cfRule>
    <cfRule type="expression" dxfId="14982" priority="85">
      <formula>$H2838="SUBETAPA"</formula>
    </cfRule>
    <cfRule type="expression" dxfId="14981" priority="86">
      <formula>$H2838="ETAPA"</formula>
    </cfRule>
  </conditionalFormatting>
  <conditionalFormatting sqref="L2839">
    <cfRule type="expression" dxfId="14980" priority="555">
      <formula>$H2839="ETAPA"</formula>
    </cfRule>
  </conditionalFormatting>
  <conditionalFormatting sqref="L2841">
    <cfRule type="expression" dxfId="14979" priority="147">
      <formula>$H2841="CÉLULA CONSTRUTIVA"</formula>
    </cfRule>
    <cfRule type="expression" dxfId="14978" priority="148">
      <formula>$H2841="SUBETAPA"</formula>
    </cfRule>
    <cfRule type="expression" dxfId="14977" priority="149">
      <formula>$H2841="ETAPA"</formula>
    </cfRule>
  </conditionalFormatting>
  <conditionalFormatting sqref="L2847">
    <cfRule type="expression" dxfId="14976" priority="87">
      <formula>$H2847="CÉLULA CONSTRUTIVA"</formula>
    </cfRule>
    <cfRule type="expression" dxfId="14975" priority="88">
      <formula>$H2847="SUBETAPA"</formula>
    </cfRule>
    <cfRule type="expression" dxfId="14974" priority="89">
      <formula>$H2847="ETAPA"</formula>
    </cfRule>
  </conditionalFormatting>
  <conditionalFormatting sqref="L2848">
    <cfRule type="expression" dxfId="14973" priority="620">
      <formula>$H2848="ETAPA"</formula>
    </cfRule>
  </conditionalFormatting>
  <conditionalFormatting sqref="L2850">
    <cfRule type="expression" dxfId="14972" priority="144">
      <formula>$H2850="CÉLULA CONSTRUTIVA"</formula>
    </cfRule>
    <cfRule type="expression" dxfId="14971" priority="145">
      <formula>$H2850="SUBETAPA"</formula>
    </cfRule>
    <cfRule type="expression" dxfId="14970" priority="146">
      <formula>$H2850="ETAPA"</formula>
    </cfRule>
  </conditionalFormatting>
  <conditionalFormatting sqref="L2856">
    <cfRule type="expression" dxfId="14969" priority="90">
      <formula>$H2856="CÉLULA CONSTRUTIVA"</formula>
    </cfRule>
    <cfRule type="expression" dxfId="14968" priority="91">
      <formula>$H2856="SUBETAPA"</formula>
    </cfRule>
    <cfRule type="expression" dxfId="14967" priority="92">
      <formula>$H2856="ETAPA"</formula>
    </cfRule>
  </conditionalFormatting>
  <conditionalFormatting sqref="L2857">
    <cfRule type="expression" dxfId="14966" priority="685">
      <formula>$H2857="ETAPA"</formula>
    </cfRule>
  </conditionalFormatting>
  <conditionalFormatting sqref="L2859">
    <cfRule type="expression" dxfId="14965" priority="141">
      <formula>$H2859="CÉLULA CONSTRUTIVA"</formula>
    </cfRule>
    <cfRule type="expression" dxfId="14964" priority="142">
      <formula>$H2859="SUBETAPA"</formula>
    </cfRule>
    <cfRule type="expression" dxfId="14963" priority="143">
      <formula>$H2859="ETAPA"</formula>
    </cfRule>
  </conditionalFormatting>
  <conditionalFormatting sqref="L2865">
    <cfRule type="expression" dxfId="14962" priority="93">
      <formula>$H2865="CÉLULA CONSTRUTIVA"</formula>
    </cfRule>
    <cfRule type="expression" dxfId="14961" priority="94">
      <formula>$H2865="SUBETAPA"</formula>
    </cfRule>
    <cfRule type="expression" dxfId="14960" priority="95">
      <formula>$H2865="ETAPA"</formula>
    </cfRule>
  </conditionalFormatting>
  <conditionalFormatting sqref="L2866">
    <cfRule type="expression" dxfId="14959" priority="750">
      <formula>$H2866="ETAPA"</formula>
    </cfRule>
  </conditionalFormatting>
  <conditionalFormatting sqref="L2868">
    <cfRule type="expression" dxfId="14958" priority="138">
      <formula>$H2868="CÉLULA CONSTRUTIVA"</formula>
    </cfRule>
    <cfRule type="expression" dxfId="14957" priority="139">
      <formula>$H2868="SUBETAPA"</formula>
    </cfRule>
    <cfRule type="expression" dxfId="14956" priority="140">
      <formula>$H2868="ETAPA"</formula>
    </cfRule>
  </conditionalFormatting>
  <conditionalFormatting sqref="L2874">
    <cfRule type="expression" dxfId="14955" priority="96">
      <formula>$H2874="CÉLULA CONSTRUTIVA"</formula>
    </cfRule>
    <cfRule type="expression" dxfId="14954" priority="97">
      <formula>$H2874="SUBETAPA"</formula>
    </cfRule>
    <cfRule type="expression" dxfId="14953" priority="98">
      <formula>$H2874="ETAPA"</formula>
    </cfRule>
  </conditionalFormatting>
  <conditionalFormatting sqref="L2875">
    <cfRule type="expression" dxfId="14952" priority="815">
      <formula>$H2875="ETAPA"</formula>
    </cfRule>
  </conditionalFormatting>
  <conditionalFormatting sqref="L2877">
    <cfRule type="expression" dxfId="14951" priority="135">
      <formula>$H2877="CÉLULA CONSTRUTIVA"</formula>
    </cfRule>
    <cfRule type="expression" dxfId="14950" priority="136">
      <formula>$H2877="SUBETAPA"</formula>
    </cfRule>
    <cfRule type="expression" dxfId="14949" priority="137">
      <formula>$H2877="ETAPA"</formula>
    </cfRule>
  </conditionalFormatting>
  <conditionalFormatting sqref="L2885">
    <cfRule type="expression" dxfId="14948" priority="99">
      <formula>$H2885="CÉLULA CONSTRUTIVA"</formula>
    </cfRule>
    <cfRule type="expression" dxfId="14947" priority="100">
      <formula>$H2885="SUBETAPA"</formula>
    </cfRule>
    <cfRule type="expression" dxfId="14946" priority="101">
      <formula>$H2885="ETAPA"</formula>
    </cfRule>
  </conditionalFormatting>
  <conditionalFormatting sqref="L2886">
    <cfRule type="expression" dxfId="14945" priority="880">
      <formula>$H2886="ETAPA"</formula>
    </cfRule>
  </conditionalFormatting>
  <conditionalFormatting sqref="L2888">
    <cfRule type="expression" dxfId="14944" priority="132">
      <formula>$H2888="CÉLULA CONSTRUTIVA"</formula>
    </cfRule>
    <cfRule type="expression" dxfId="14943" priority="133">
      <formula>$H2888="SUBETAPA"</formula>
    </cfRule>
    <cfRule type="expression" dxfId="14942" priority="134">
      <formula>$H2888="ETAPA"</formula>
    </cfRule>
  </conditionalFormatting>
  <conditionalFormatting sqref="L2897">
    <cfRule type="expression" dxfId="14941" priority="945">
      <formula>$H2897="ETAPA"</formula>
    </cfRule>
  </conditionalFormatting>
  <conditionalFormatting sqref="L2899">
    <cfRule type="expression" dxfId="14940" priority="129">
      <formula>$H2899="CÉLULA CONSTRUTIVA"</formula>
    </cfRule>
    <cfRule type="expression" dxfId="14939" priority="130">
      <formula>$H2899="SUBETAPA"</formula>
    </cfRule>
    <cfRule type="expression" dxfId="14938" priority="131">
      <formula>$H2899="ETAPA"</formula>
    </cfRule>
  </conditionalFormatting>
  <conditionalFormatting sqref="L2905">
    <cfRule type="expression" dxfId="14937" priority="102">
      <formula>$H2905="CÉLULA CONSTRUTIVA"</formula>
    </cfRule>
    <cfRule type="expression" dxfId="14936" priority="103">
      <formula>$H2905="SUBETAPA"</formula>
    </cfRule>
    <cfRule type="expression" dxfId="14935" priority="104">
      <formula>$H2905="ETAPA"</formula>
    </cfRule>
  </conditionalFormatting>
  <conditionalFormatting sqref="L2906">
    <cfRule type="expression" dxfId="14934" priority="1010">
      <formula>$H2906="ETAPA"</formula>
    </cfRule>
  </conditionalFormatting>
  <conditionalFormatting sqref="L2908">
    <cfRule type="expression" dxfId="14933" priority="126">
      <formula>$H2908="CÉLULA CONSTRUTIVA"</formula>
    </cfRule>
    <cfRule type="expression" dxfId="14932" priority="127">
      <formula>$H2908="SUBETAPA"</formula>
    </cfRule>
    <cfRule type="expression" dxfId="14931" priority="128">
      <formula>$H2908="ETAPA"</formula>
    </cfRule>
  </conditionalFormatting>
  <conditionalFormatting sqref="L2914">
    <cfRule type="expression" dxfId="14930" priority="105">
      <formula>$H2914="CÉLULA CONSTRUTIVA"</formula>
    </cfRule>
    <cfRule type="expression" dxfId="14929" priority="106">
      <formula>$H2914="SUBETAPA"</formula>
    </cfRule>
    <cfRule type="expression" dxfId="14928" priority="107">
      <formula>$H2914="ETAPA"</formula>
    </cfRule>
  </conditionalFormatting>
  <conditionalFormatting sqref="L2915">
    <cfRule type="expression" dxfId="14927" priority="1075">
      <formula>$H2915="ETAPA"</formula>
    </cfRule>
  </conditionalFormatting>
  <conditionalFormatting sqref="L2917">
    <cfRule type="expression" dxfId="14926" priority="123">
      <formula>$H2917="CÉLULA CONSTRUTIVA"</formula>
    </cfRule>
    <cfRule type="expression" dxfId="14925" priority="124">
      <formula>$H2917="SUBETAPA"</formula>
    </cfRule>
    <cfRule type="expression" dxfId="14924" priority="125">
      <formula>$H2917="ETAPA"</formula>
    </cfRule>
  </conditionalFormatting>
  <conditionalFormatting sqref="L2923">
    <cfRule type="expression" dxfId="14923" priority="108">
      <formula>$H2923="CÉLULA CONSTRUTIVA"</formula>
    </cfRule>
    <cfRule type="expression" dxfId="14922" priority="109">
      <formula>$H2923="SUBETAPA"</formula>
    </cfRule>
    <cfRule type="expression" dxfId="14921" priority="110">
      <formula>$H2923="ETAPA"</formula>
    </cfRule>
  </conditionalFormatting>
  <conditionalFormatting sqref="L2924">
    <cfRule type="expression" dxfId="14920" priority="1140">
      <formula>$H2924="ETAPA"</formula>
    </cfRule>
  </conditionalFormatting>
  <conditionalFormatting sqref="L2926">
    <cfRule type="expression" dxfId="14919" priority="120">
      <formula>$H2926="CÉLULA CONSTRUTIVA"</formula>
    </cfRule>
    <cfRule type="expression" dxfId="14918" priority="121">
      <formula>$H2926="SUBETAPA"</formula>
    </cfRule>
    <cfRule type="expression" dxfId="14917" priority="122">
      <formula>$H2926="ETAPA"</formula>
    </cfRule>
  </conditionalFormatting>
  <conditionalFormatting sqref="L2932">
    <cfRule type="expression" dxfId="14916" priority="111">
      <formula>$H2932="CÉLULA CONSTRUTIVA"</formula>
    </cfRule>
    <cfRule type="expression" dxfId="14915" priority="112">
      <formula>$H2932="SUBETAPA"</formula>
    </cfRule>
    <cfRule type="expression" dxfId="14914" priority="113">
      <formula>$H2932="ETAPA"</formula>
    </cfRule>
  </conditionalFormatting>
  <conditionalFormatting sqref="L2933">
    <cfRule type="expression" dxfId="14913" priority="1205">
      <formula>$H2933="ETAPA"</formula>
    </cfRule>
  </conditionalFormatting>
  <conditionalFormatting sqref="L2935">
    <cfRule type="expression" dxfId="14912" priority="117">
      <formula>$H2935="CÉLULA CONSTRUTIVA"</formula>
    </cfRule>
    <cfRule type="expression" dxfId="14911" priority="118">
      <formula>$H2935="SUBETAPA"</formula>
    </cfRule>
    <cfRule type="expression" dxfId="14910" priority="119">
      <formula>$H2935="ETAPA"</formula>
    </cfRule>
  </conditionalFormatting>
  <conditionalFormatting sqref="L2944">
    <cfRule type="expression" dxfId="14909" priority="1270">
      <formula>$H2944="ETAPA"</formula>
    </cfRule>
  </conditionalFormatting>
  <conditionalFormatting sqref="L2945 H2950:H2951 J2950:L2951 G2949:J2949 L2949:M2949">
    <cfRule type="expression" dxfId="14908" priority="1296">
      <formula>$H2945="CÉLULA CONSTRUTIVA"</formula>
    </cfRule>
  </conditionalFormatting>
  <conditionalFormatting sqref="L2945 M2950:M2953 L2950:L2951 L2948:M2949">
    <cfRule type="expression" dxfId="14907" priority="1297">
      <formula>$H2945="SUBETAPA"</formula>
    </cfRule>
  </conditionalFormatting>
  <conditionalFormatting sqref="L2946">
    <cfRule type="expression" dxfId="14906" priority="114">
      <formula>$H2946="CÉLULA CONSTRUTIVA"</formula>
    </cfRule>
    <cfRule type="expression" dxfId="14905" priority="115">
      <formula>$H2946="SUBETAPA"</formula>
    </cfRule>
    <cfRule type="expression" dxfId="14904" priority="116">
      <formula>$H2946="ETAPA"</formula>
    </cfRule>
  </conditionalFormatting>
  <conditionalFormatting sqref="L2957 L2959:L2960">
    <cfRule type="expression" dxfId="14903" priority="66709">
      <formula>$H2957="ETAPA"</formula>
    </cfRule>
  </conditionalFormatting>
  <conditionalFormatting sqref="L2991">
    <cfRule type="expression" dxfId="14902" priority="65681">
      <formula>$H2991="ETAPA"</formula>
    </cfRule>
  </conditionalFormatting>
  <conditionalFormatting sqref="L2998 L3000:L3001">
    <cfRule type="expression" dxfId="14901" priority="66195">
      <formula>$H2998="ETAPA"</formula>
    </cfRule>
  </conditionalFormatting>
  <conditionalFormatting sqref="L3007">
    <cfRule type="expression" dxfId="14900" priority="65797">
      <formula>$H3007="ETAPA"</formula>
    </cfRule>
  </conditionalFormatting>
  <conditionalFormatting sqref="L3014">
    <cfRule type="expression" dxfId="14899" priority="65901">
      <formula>$H3014="ETAPA"</formula>
    </cfRule>
  </conditionalFormatting>
  <conditionalFormatting sqref="L3021">
    <cfRule type="expression" dxfId="14898" priority="65996">
      <formula>$H3021="ETAPA"</formula>
    </cfRule>
  </conditionalFormatting>
  <conditionalFormatting sqref="L3028">
    <cfRule type="expression" dxfId="14897" priority="66100">
      <formula>$H3028="ETAPA"</formula>
    </cfRule>
  </conditionalFormatting>
  <conditionalFormatting sqref="L3035 L3045 L3048 L3125 L3135 L3142 L3149 L3151:L3155 L3157:L3158 L3162 L3164:L3165 L3170 L3172">
    <cfRule type="expression" dxfId="14896" priority="83630">
      <formula>$H3035="ETAPA"</formula>
    </cfRule>
  </conditionalFormatting>
  <conditionalFormatting sqref="L3052 L3066 L3075">
    <cfRule type="expression" dxfId="14895" priority="61053">
      <formula>$H3052="ETAPA"</formula>
    </cfRule>
  </conditionalFormatting>
  <conditionalFormatting sqref="L3083 L3097">
    <cfRule type="expression" dxfId="14894" priority="61299">
      <formula>$H3083="ETAPA"</formula>
    </cfRule>
  </conditionalFormatting>
  <conditionalFormatting sqref="L3102 L3119">
    <cfRule type="expression" dxfId="14893" priority="61545">
      <formula>$H3102="ETAPA"</formula>
    </cfRule>
  </conditionalFormatting>
  <conditionalFormatting sqref="L3173">
    <cfRule type="expression" dxfId="14892" priority="59910">
      <formula>$H3173="SUBETAPA"</formula>
    </cfRule>
    <cfRule type="expression" dxfId="14891" priority="59911">
      <formula>$H3173="CÉLULA CONSTRUTIVA"</formula>
    </cfRule>
  </conditionalFormatting>
  <conditionalFormatting sqref="L17:M17">
    <cfRule type="expression" dxfId="14890" priority="4040">
      <formula>$H17="SUBETAPA"</formula>
    </cfRule>
  </conditionalFormatting>
  <conditionalFormatting sqref="L80:M83">
    <cfRule type="expression" dxfId="14889" priority="50336">
      <formula>$H80="SUBETAPA"</formula>
    </cfRule>
  </conditionalFormatting>
  <conditionalFormatting sqref="L123:M123">
    <cfRule type="expression" dxfId="14888" priority="46374">
      <formula>$H123="ETAPA"</formula>
    </cfRule>
  </conditionalFormatting>
  <conditionalFormatting sqref="L126:M126">
    <cfRule type="expression" dxfId="14887" priority="46377">
      <formula>$H126="ETAPA"</formula>
    </cfRule>
  </conditionalFormatting>
  <conditionalFormatting sqref="L129:M129">
    <cfRule type="expression" dxfId="14886" priority="46380">
      <formula>$H129="ETAPA"</formula>
    </cfRule>
  </conditionalFormatting>
  <conditionalFormatting sqref="L134:M134">
    <cfRule type="expression" dxfId="14885" priority="46383">
      <formula>$H134="ETAPA"</formula>
    </cfRule>
  </conditionalFormatting>
  <conditionalFormatting sqref="L137:M137">
    <cfRule type="expression" dxfId="14884" priority="46386">
      <formula>$H137="ETAPA"</formula>
    </cfRule>
  </conditionalFormatting>
  <conditionalFormatting sqref="L280:M280">
    <cfRule type="expression" dxfId="14883" priority="49128">
      <formula>$H280="CÉLULA CONSTRUTIVA"</formula>
    </cfRule>
  </conditionalFormatting>
  <conditionalFormatting sqref="L280:M281">
    <cfRule type="expression" dxfId="14882" priority="49127">
      <formula>$H280="SUBETAPA"</formula>
    </cfRule>
  </conditionalFormatting>
  <conditionalFormatting sqref="L281:M281 N282">
    <cfRule type="expression" dxfId="14881" priority="50923">
      <formula>$H281="CÉLULA CONSTRUTIVA"</formula>
    </cfRule>
  </conditionalFormatting>
  <conditionalFormatting sqref="L283:M283 N284">
    <cfRule type="expression" dxfId="14880" priority="49108">
      <formula>$H283="CÉLULA CONSTRUTIVA"</formula>
    </cfRule>
  </conditionalFormatting>
  <conditionalFormatting sqref="L285:M285 N286">
    <cfRule type="expression" dxfId="14879" priority="49062">
      <formula>$H285="CÉLULA CONSTRUTIVA"</formula>
    </cfRule>
  </conditionalFormatting>
  <conditionalFormatting sqref="L287:M287 N288">
    <cfRule type="expression" dxfId="14878" priority="49016">
      <formula>$H287="CÉLULA CONSTRUTIVA"</formula>
    </cfRule>
  </conditionalFormatting>
  <conditionalFormatting sqref="L289:M289 N290">
    <cfRule type="expression" dxfId="14877" priority="48970">
      <formula>$H289="CÉLULA CONSTRUTIVA"</formula>
    </cfRule>
  </conditionalFormatting>
  <conditionalFormatting sqref="L291:M291 N292">
    <cfRule type="expression" dxfId="14876" priority="48924">
      <formula>$H291="CÉLULA CONSTRUTIVA"</formula>
    </cfRule>
  </conditionalFormatting>
  <conditionalFormatting sqref="L293:M293 N294">
    <cfRule type="expression" dxfId="14875" priority="48878">
      <formula>$H293="CÉLULA CONSTRUTIVA"</formula>
    </cfRule>
  </conditionalFormatting>
  <conditionalFormatting sqref="L295:M295 N296">
    <cfRule type="expression" dxfId="14874" priority="46288">
      <formula>$H295="SUBETAPA"</formula>
    </cfRule>
    <cfRule type="expression" dxfId="14873" priority="46289">
      <formula>$H295="CÉLULA CONSTRUTIVA"</formula>
    </cfRule>
  </conditionalFormatting>
  <conditionalFormatting sqref="L297:M297 N298">
    <cfRule type="expression" dxfId="14872" priority="48832">
      <formula>$H297="CÉLULA CONSTRUTIVA"</formula>
    </cfRule>
  </conditionalFormatting>
  <conditionalFormatting sqref="L299:M299 N300">
    <cfRule type="expression" dxfId="14871" priority="48786">
      <formula>$H299="CÉLULA CONSTRUTIVA"</formula>
    </cfRule>
  </conditionalFormatting>
  <conditionalFormatting sqref="L301:M301 N302">
    <cfRule type="expression" dxfId="14870" priority="48740">
      <formula>$H301="CÉLULA CONSTRUTIVA"</formula>
    </cfRule>
  </conditionalFormatting>
  <conditionalFormatting sqref="L303:M303 N304">
    <cfRule type="expression" dxfId="14869" priority="48694">
      <formula>$H303="CÉLULA CONSTRUTIVA"</formula>
    </cfRule>
  </conditionalFormatting>
  <conditionalFormatting sqref="L305:M305 N306">
    <cfRule type="expression" dxfId="14868" priority="48648">
      <formula>$H305="CÉLULA CONSTRUTIVA"</formula>
    </cfRule>
  </conditionalFormatting>
  <conditionalFormatting sqref="L307:M307 N308">
    <cfRule type="expression" dxfId="14867" priority="48602">
      <formula>$H307="CÉLULA CONSTRUTIVA"</formula>
    </cfRule>
  </conditionalFormatting>
  <conditionalFormatting sqref="L309:M309 N310">
    <cfRule type="expression" dxfId="14866" priority="48556">
      <formula>$H309="CÉLULA CONSTRUTIVA"</formula>
    </cfRule>
  </conditionalFormatting>
  <conditionalFormatting sqref="L311:M311 N312:O312">
    <cfRule type="expression" dxfId="14865" priority="48510">
      <formula>$H311="CÉLULA CONSTRUTIVA"</formula>
    </cfRule>
  </conditionalFormatting>
  <conditionalFormatting sqref="L347:M347">
    <cfRule type="expression" dxfId="14864" priority="47805">
      <formula>$H347="CÉLULA CONSTRUTIVA"</formula>
    </cfRule>
  </conditionalFormatting>
  <conditionalFormatting sqref="L1911:M1911">
    <cfRule type="expression" dxfId="14863" priority="76061">
      <formula>$H1911="ETAPA"</formula>
    </cfRule>
  </conditionalFormatting>
  <conditionalFormatting sqref="L2730:M2731 L2719:M2720">
    <cfRule type="expression" dxfId="14862" priority="1862">
      <formula>$H2719="SUBETAPA"</formula>
    </cfRule>
    <cfRule type="expression" dxfId="14861" priority="1863">
      <formula>$H2719="CÉLULA CONSTRUTIVA"</formula>
    </cfRule>
  </conditionalFormatting>
  <conditionalFormatting sqref="L2752:M2753 L2741:M2742 L2708:M2709 L2697:M2698 L2689:M2690 L2679:M2680 L2671:M2672 L2664:M2665 L2657:M2658 L2648:M2649 L2638:M2639 L2626:M2628">
    <cfRule type="expression" dxfId="14860" priority="116502">
      <formula>$H2626="SUBETAPA"</formula>
    </cfRule>
    <cfRule type="expression" dxfId="14859" priority="116503">
      <formula>$H2626="CÉLULA CONSTRUTIVA"</formula>
    </cfRule>
  </conditionalFormatting>
  <conditionalFormatting sqref="L3146:M3148 L3159:M3161 L3036 L3046 L3126 L3150 L3156 L3163 L3171 L2954:L2956 L2958 L3041 L2999 L3029 L3022 L3015 L3002:L3006 L3008 L2992 L2965 L2985 L2980 L2975 L2970 L3123:L3124 L3103 L3100:L3101 L3084 L3081:L3082 L3049:L3051 L3053 L3067 L3166:M3169 L3076:L3078 L3091 L3112 L3136">
    <cfRule type="expression" dxfId="14858" priority="83637">
      <formula>$H2954="SUBETAPA"</formula>
    </cfRule>
    <cfRule type="expression" dxfId="14857" priority="83638">
      <formula>$H2954="CÉLULA CONSTRUTIVA"</formula>
    </cfRule>
  </conditionalFormatting>
  <conditionalFormatting sqref="L48:N48 N45:O45">
    <cfRule type="expression" dxfId="14856" priority="50545">
      <formula>$H45="SUBETAPA"</formula>
    </cfRule>
  </conditionalFormatting>
  <conditionalFormatting sqref="L62:N62">
    <cfRule type="expression" dxfId="14855" priority="50924">
      <formula>$H62="ETAPA"</formula>
    </cfRule>
  </conditionalFormatting>
  <conditionalFormatting sqref="L283:N283">
    <cfRule type="expression" dxfId="14854" priority="49110">
      <formula>$H283="ETAPA"</formula>
    </cfRule>
  </conditionalFormatting>
  <conditionalFormatting sqref="L285:N285">
    <cfRule type="expression" dxfId="14853" priority="49064">
      <formula>$H285="ETAPA"</formula>
    </cfRule>
  </conditionalFormatting>
  <conditionalFormatting sqref="L287:N287">
    <cfRule type="expression" dxfId="14852" priority="49018">
      <formula>$H287="ETAPA"</formula>
    </cfRule>
  </conditionalFormatting>
  <conditionalFormatting sqref="L289:N289">
    <cfRule type="expression" dxfId="14851" priority="48972">
      <formula>$H289="ETAPA"</formula>
    </cfRule>
  </conditionalFormatting>
  <conditionalFormatting sqref="L291:N291">
    <cfRule type="expression" dxfId="14850" priority="48926">
      <formula>$H291="ETAPA"</formula>
    </cfRule>
  </conditionalFormatting>
  <conditionalFormatting sqref="L293:N293">
    <cfRule type="expression" dxfId="14849" priority="48880">
      <formula>$H293="ETAPA"</formula>
    </cfRule>
  </conditionalFormatting>
  <conditionalFormatting sqref="L295:N295">
    <cfRule type="expression" dxfId="14848" priority="46291">
      <formula>$H295="ETAPA"</formula>
    </cfRule>
  </conditionalFormatting>
  <conditionalFormatting sqref="L297:N297">
    <cfRule type="expression" dxfId="14847" priority="48834">
      <formula>$H297="ETAPA"</formula>
    </cfRule>
  </conditionalFormatting>
  <conditionalFormatting sqref="L299:N299">
    <cfRule type="expression" dxfId="14846" priority="48788">
      <formula>$H299="ETAPA"</formula>
    </cfRule>
  </conditionalFormatting>
  <conditionalFormatting sqref="L301:N301">
    <cfRule type="expression" dxfId="14845" priority="48742">
      <formula>$H301="ETAPA"</formula>
    </cfRule>
  </conditionalFormatting>
  <conditionalFormatting sqref="L303:N303">
    <cfRule type="expression" dxfId="14844" priority="48696">
      <formula>$H303="ETAPA"</formula>
    </cfRule>
  </conditionalFormatting>
  <conditionalFormatting sqref="L305:N305">
    <cfRule type="expression" dxfId="14843" priority="48650">
      <formula>$H305="ETAPA"</formula>
    </cfRule>
  </conditionalFormatting>
  <conditionalFormatting sqref="L307:N307">
    <cfRule type="expression" dxfId="14842" priority="48604">
      <formula>$H307="ETAPA"</formula>
    </cfRule>
  </conditionalFormatting>
  <conditionalFormatting sqref="L309:N309">
    <cfRule type="expression" dxfId="14841" priority="48558">
      <formula>$H309="ETAPA"</formula>
    </cfRule>
  </conditionalFormatting>
  <conditionalFormatting sqref="L311:N311">
    <cfRule type="expression" dxfId="14840" priority="48512">
      <formula>$H311="ETAPA"</formula>
    </cfRule>
  </conditionalFormatting>
  <conditionalFormatting sqref="L347:N347">
    <cfRule type="expression" dxfId="14839" priority="47807">
      <formula>$H347="ETAPA"</formula>
    </cfRule>
  </conditionalFormatting>
  <conditionalFormatting sqref="M20">
    <cfRule type="expression" dxfId="14838" priority="46616">
      <formula>$H20="SUBETAPA"</formula>
    </cfRule>
    <cfRule type="expression" dxfId="14837" priority="46617">
      <formula>$H20="CÉLULA CONSTRUTIVA"</formula>
    </cfRule>
    <cfRule type="expression" dxfId="14836" priority="46618">
      <formula>$H20="ETAPA"</formula>
    </cfRule>
  </conditionalFormatting>
  <conditionalFormatting sqref="M21">
    <cfRule type="expression" dxfId="14835" priority="46658">
      <formula>$H21="CÉLULA CONSTRUTIVA"</formula>
    </cfRule>
  </conditionalFormatting>
  <conditionalFormatting sqref="M22">
    <cfRule type="expression" dxfId="14834" priority="46660">
      <formula>$H22="CÉLULA CONSTRUTIVA"</formula>
    </cfRule>
    <cfRule type="expression" dxfId="14833" priority="46661">
      <formula>$H22="ETAPA"</formula>
    </cfRule>
    <cfRule type="expression" dxfId="14832" priority="46662">
      <formula>$H22="CÉLULA CONSTRUTIVA"</formula>
    </cfRule>
    <cfRule type="expression" dxfId="14831" priority="46663">
      <formula>$H22="ETAPA"</formula>
    </cfRule>
    <cfRule type="expression" dxfId="14830" priority="46664">
      <formula>$H22="SUBETAPA"</formula>
    </cfRule>
    <cfRule type="expression" dxfId="14829" priority="46665">
      <formula>$H22="CÉLULA CONSTRUTIVA"</formula>
    </cfRule>
    <cfRule type="expression" dxfId="14828" priority="46666">
      <formula>$H22="ETAPA"</formula>
    </cfRule>
  </conditionalFormatting>
  <conditionalFormatting sqref="M23 K23">
    <cfRule type="expression" dxfId="14827" priority="46586">
      <formula>$H23="CÉLULA CONSTRUTIVA"</formula>
    </cfRule>
  </conditionalFormatting>
  <conditionalFormatting sqref="M23">
    <cfRule type="expression" dxfId="14826" priority="46585">
      <formula>$H23="SUBETAPA"</formula>
    </cfRule>
  </conditionalFormatting>
  <conditionalFormatting sqref="M24">
    <cfRule type="expression" dxfId="14825" priority="50706">
      <formula>$H24="CÉLULA CONSTRUTIVA"</formula>
    </cfRule>
  </conditionalFormatting>
  <conditionalFormatting sqref="M26:M27 I26:K27">
    <cfRule type="expression" dxfId="14824" priority="50675">
      <formula>$H26="CÉLULA CONSTRUTIVA"</formula>
    </cfRule>
  </conditionalFormatting>
  <conditionalFormatting sqref="M28:M30">
    <cfRule type="expression" dxfId="14823" priority="50742">
      <formula>$H28="CÉLULA CONSTRUTIVA"</formula>
    </cfRule>
    <cfRule type="expression" dxfId="14822" priority="50743">
      <formula>$H28="ETAPA"</formula>
    </cfRule>
  </conditionalFormatting>
  <conditionalFormatting sqref="M29">
    <cfRule type="expression" dxfId="14821" priority="50744">
      <formula>$H29="CÉLULA CONSTRUTIVA"</formula>
    </cfRule>
    <cfRule type="expression" dxfId="14820" priority="50745">
      <formula>$H29="ETAPA"</formula>
    </cfRule>
  </conditionalFormatting>
  <conditionalFormatting sqref="M30">
    <cfRule type="expression" dxfId="14819" priority="50746">
      <formula>$H30="CÉLULA CONSTRUTIVA"</formula>
    </cfRule>
    <cfRule type="expression" dxfId="14818" priority="50747">
      <formula>$H30="ETAPA"</formula>
    </cfRule>
  </conditionalFormatting>
  <conditionalFormatting sqref="M32">
    <cfRule type="expression" dxfId="14817" priority="50748">
      <formula>$H32="CÉLULA CONSTRUTIVA"</formula>
    </cfRule>
    <cfRule type="expression" dxfId="14816" priority="50749">
      <formula>$H32="ETAPA"</formula>
    </cfRule>
  </conditionalFormatting>
  <conditionalFormatting sqref="M33:M36">
    <cfRule type="expression" dxfId="14815" priority="50600">
      <formula>$H33="ETAPA"</formula>
    </cfRule>
  </conditionalFormatting>
  <conditionalFormatting sqref="M34:M36">
    <cfRule type="expression" dxfId="14814" priority="50599">
      <formula>$H34="CÉLULA CONSTRUTIVA"</formula>
    </cfRule>
  </conditionalFormatting>
  <conditionalFormatting sqref="M35">
    <cfRule type="expression" dxfId="14813" priority="50601">
      <formula>$H35="CÉLULA CONSTRUTIVA"</formula>
    </cfRule>
    <cfRule type="expression" dxfId="14812" priority="50602">
      <formula>$H35="ETAPA"</formula>
    </cfRule>
  </conditionalFormatting>
  <conditionalFormatting sqref="M36">
    <cfRule type="expression" dxfId="14811" priority="50603">
      <formula>$H36="CÉLULA CONSTRUTIVA"</formula>
    </cfRule>
    <cfRule type="expression" dxfId="14810" priority="50604">
      <formula>$H36="ETAPA"</formula>
    </cfRule>
  </conditionalFormatting>
  <conditionalFormatting sqref="M37">
    <cfRule type="expression" dxfId="14809" priority="46712">
      <formula>$H37="CÉLULA CONSTRUTIVA"</formula>
    </cfRule>
    <cfRule type="expression" dxfId="14808" priority="46713">
      <formula>$H37="ETAPA"</formula>
    </cfRule>
    <cfRule type="expression" dxfId="14807" priority="46714">
      <formula>$H37="CÉLULA CONSTRUTIVA"</formula>
    </cfRule>
    <cfRule type="expression" dxfId="14806" priority="46715">
      <formula>$H37="ETAPA"</formula>
    </cfRule>
    <cfRule type="expression" dxfId="14805" priority="46716">
      <formula>$H37="SUBETAPA"</formula>
    </cfRule>
  </conditionalFormatting>
  <conditionalFormatting sqref="M38">
    <cfRule type="expression" dxfId="14804" priority="50605">
      <formula>$H38="CÉLULA CONSTRUTIVA"</formula>
    </cfRule>
    <cfRule type="expression" dxfId="14803" priority="50606">
      <formula>$H38="ETAPA"</formula>
    </cfRule>
    <cfRule type="expression" dxfId="14802" priority="50607">
      <formula>$H38="CÉLULA CONSTRUTIVA"</formula>
    </cfRule>
    <cfRule type="expression" dxfId="14801" priority="50608">
      <formula>$H38="ETAPA"</formula>
    </cfRule>
    <cfRule type="expression" dxfId="14800" priority="50609">
      <formula>$H38="SUBETAPA"</formula>
    </cfRule>
  </conditionalFormatting>
  <conditionalFormatting sqref="M40">
    <cfRule type="expression" dxfId="14799" priority="46092">
      <formula>$H40="CÉLULA CONSTRUTIVA"</formula>
    </cfRule>
    <cfRule type="expression" dxfId="14798" priority="46093">
      <formula>$H40="ETAPA"</formula>
    </cfRule>
    <cfRule type="expression" dxfId="14797" priority="46094">
      <formula>$H40="CÉLULA CONSTRUTIVA"</formula>
    </cfRule>
    <cfRule type="expression" dxfId="14796" priority="46095">
      <formula>$H40="ETAPA"</formula>
    </cfRule>
    <cfRule type="expression" dxfId="14795" priority="46096">
      <formula>$H40="SUBETAPA"</formula>
    </cfRule>
  </conditionalFormatting>
  <conditionalFormatting sqref="M42:M43 I42:K43">
    <cfRule type="expression" dxfId="14794" priority="50497">
      <formula>$H42="CÉLULA CONSTRUTIVA"</formula>
    </cfRule>
  </conditionalFormatting>
  <conditionalFormatting sqref="M44:M45 M48">
    <cfRule type="expression" dxfId="14793" priority="50532">
      <formula>$H44="CÉLULA CONSTRUTIVA"</formula>
    </cfRule>
    <cfRule type="expression" dxfId="14792" priority="50533">
      <formula>$H44="ETAPA"</formula>
    </cfRule>
  </conditionalFormatting>
  <conditionalFormatting sqref="M45">
    <cfRule type="expression" dxfId="14791" priority="50534">
      <formula>$H45="CÉLULA CONSTRUTIVA"</formula>
    </cfRule>
    <cfRule type="expression" dxfId="14790" priority="50535">
      <formula>$H45="ETAPA"</formula>
    </cfRule>
  </conditionalFormatting>
  <conditionalFormatting sqref="M46">
    <cfRule type="expression" dxfId="14789" priority="46769">
      <formula>$H46="CÉLULA CONSTRUTIVA"</formula>
    </cfRule>
    <cfRule type="expression" dxfId="14788" priority="46770">
      <formula>$H46="ETAPA"</formula>
    </cfRule>
    <cfRule type="expression" dxfId="14787" priority="46771">
      <formula>$H46="CÉLULA CONSTRUTIVA"</formula>
    </cfRule>
    <cfRule type="expression" dxfId="14786" priority="46772">
      <formula>$H46="ETAPA"</formula>
    </cfRule>
    <cfRule type="expression" dxfId="14785" priority="46778">
      <formula>$H46="SUBETAPA"</formula>
    </cfRule>
  </conditionalFormatting>
  <conditionalFormatting sqref="M47">
    <cfRule type="expression" dxfId="14784" priority="46738">
      <formula>$H47="CÉLULA CONSTRUTIVA"</formula>
    </cfRule>
    <cfRule type="expression" dxfId="14783" priority="46739">
      <formula>$H47="ETAPA"</formula>
    </cfRule>
    <cfRule type="expression" dxfId="14782" priority="46740">
      <formula>$H47="CÉLULA CONSTRUTIVA"</formula>
    </cfRule>
    <cfRule type="expression" dxfId="14781" priority="46741">
      <formula>$H47="ETAPA"</formula>
    </cfRule>
    <cfRule type="expression" dxfId="14780" priority="46748">
      <formula>$H47="SUBETAPA"</formula>
    </cfRule>
  </conditionalFormatting>
  <conditionalFormatting sqref="M48">
    <cfRule type="expression" dxfId="14779" priority="50536">
      <formula>$H48="CÉLULA CONSTRUTIVA"</formula>
    </cfRule>
    <cfRule type="expression" dxfId="14778" priority="50537">
      <formula>$H48="ETAPA"</formula>
    </cfRule>
  </conditionalFormatting>
  <conditionalFormatting sqref="M50">
    <cfRule type="expression" dxfId="14777" priority="50538">
      <formula>$H50="CÉLULA CONSTRUTIVA"</formula>
    </cfRule>
    <cfRule type="expression" dxfId="14776" priority="50539">
      <formula>$H50="ETAPA"</formula>
    </cfRule>
  </conditionalFormatting>
  <conditionalFormatting sqref="M52">
    <cfRule type="expression" dxfId="14775" priority="50409">
      <formula>$H52="CÉLULA CONSTRUTIVA"</formula>
    </cfRule>
    <cfRule type="expression" dxfId="14774" priority="50410">
      <formula>$H52="ETAPA"</formula>
    </cfRule>
  </conditionalFormatting>
  <conditionalFormatting sqref="M53">
    <cfRule type="expression" dxfId="14773" priority="46387">
      <formula>$H53="CÉLULA CONSTRUTIVA"</formula>
    </cfRule>
    <cfRule type="expression" dxfId="14772" priority="46388">
      <formula>$H53="ETAPA"</formula>
    </cfRule>
    <cfRule type="expression" dxfId="14771" priority="46389">
      <formula>$H53="CÉLULA CONSTRUTIVA"</formula>
    </cfRule>
    <cfRule type="expression" dxfId="14770" priority="46390">
      <formula>$H53="ETAPA"</formula>
    </cfRule>
    <cfRule type="expression" dxfId="14769" priority="46391">
      <formula>$H53="SUBETAPA"</formula>
    </cfRule>
  </conditionalFormatting>
  <conditionalFormatting sqref="M54">
    <cfRule type="expression" dxfId="14768" priority="46544">
      <formula>$H54="CÉLULA CONSTRUTIVA"</formula>
    </cfRule>
    <cfRule type="expression" dxfId="14767" priority="46545">
      <formula>$H54="ETAPA"</formula>
    </cfRule>
    <cfRule type="expression" dxfId="14766" priority="46546">
      <formula>$H54="CÉLULA CONSTRUTIVA"</formula>
    </cfRule>
    <cfRule type="expression" dxfId="14765" priority="46547">
      <formula>$H54="ETAPA"</formula>
    </cfRule>
    <cfRule type="expression" dxfId="14764" priority="46548">
      <formula>$H54="SUBETAPA"</formula>
    </cfRule>
  </conditionalFormatting>
  <conditionalFormatting sqref="M56">
    <cfRule type="expression" dxfId="14763" priority="50354">
      <formula>$H56="CÉLULA CONSTRUTIVA"</formula>
    </cfRule>
    <cfRule type="expression" dxfId="14762" priority="50355">
      <formula>$H56="ETAPA"</formula>
    </cfRule>
  </conditionalFormatting>
  <conditionalFormatting sqref="M57">
    <cfRule type="expression" dxfId="14761" priority="46782">
      <formula>$H57="SUBETAPA"</formula>
    </cfRule>
    <cfRule type="expression" dxfId="14760" priority="46783">
      <formula>$H57="CÉLULA CONSTRUTIVA"</formula>
    </cfRule>
    <cfRule type="expression" dxfId="14759" priority="46784">
      <formula>$H57="ETAPA"</formula>
    </cfRule>
  </conditionalFormatting>
  <conditionalFormatting sqref="M58">
    <cfRule type="expression" dxfId="14758" priority="50690">
      <formula>$H58="CÉLULA CONSTRUTIVA"</formula>
    </cfRule>
  </conditionalFormatting>
  <conditionalFormatting sqref="M64">
    <cfRule type="expression" dxfId="14757" priority="50930">
      <formula>$H64="CÉLULA CONSTRUTIVA"</formula>
    </cfRule>
    <cfRule type="expression" dxfId="14756" priority="50931">
      <formula>$H64="ETAPA"</formula>
    </cfRule>
  </conditionalFormatting>
  <conditionalFormatting sqref="M65">
    <cfRule type="expression" dxfId="14755" priority="50932">
      <formula>$H65="CÉLULA CONSTRUTIVA"</formula>
    </cfRule>
    <cfRule type="expression" dxfId="14754" priority="50933">
      <formula>$H65="ETAPA"</formula>
    </cfRule>
    <cfRule type="expression" dxfId="14753" priority="50934">
      <formula>$H65="CÉLULA CONSTRUTIVA"</formula>
    </cfRule>
    <cfRule type="expression" dxfId="14752" priority="50935">
      <formula>$H65="ETAPA"</formula>
    </cfRule>
    <cfRule type="expression" dxfId="14751" priority="50936">
      <formula>$H65="SUBETAPA"</formula>
    </cfRule>
  </conditionalFormatting>
  <conditionalFormatting sqref="M66:M68">
    <cfRule type="expression" dxfId="14750" priority="50937">
      <formula>$H66="CÉLULA CONSTRUTIVA"</formula>
    </cfRule>
    <cfRule type="expression" dxfId="14749" priority="50938">
      <formula>$H66="ETAPA"</formula>
    </cfRule>
  </conditionalFormatting>
  <conditionalFormatting sqref="M67">
    <cfRule type="expression" dxfId="14748" priority="50939">
      <formula>$H67="CÉLULA CONSTRUTIVA"</formula>
    </cfRule>
    <cfRule type="expression" dxfId="14747" priority="50940">
      <formula>$H67="ETAPA"</formula>
    </cfRule>
  </conditionalFormatting>
  <conditionalFormatting sqref="M77">
    <cfRule type="expression" dxfId="14746" priority="50945">
      <formula>$H77="CÉLULA CONSTRUTIVA"</formula>
    </cfRule>
  </conditionalFormatting>
  <conditionalFormatting sqref="M84">
    <cfRule type="expression" dxfId="14745" priority="50300">
      <formula>$H84="CÉLULA CONSTRUTIVA"</formula>
    </cfRule>
    <cfRule type="expression" dxfId="14744" priority="50301">
      <formula>$H84="ETAPA"</formula>
    </cfRule>
  </conditionalFormatting>
  <conditionalFormatting sqref="M85:M92">
    <cfRule type="expression" dxfId="14743" priority="50319">
      <formula>$H85="CÉLULA CONSTRUTIVA"</formula>
    </cfRule>
    <cfRule type="expression" dxfId="14742" priority="50320">
      <formula>$H85="ETAPA"</formula>
    </cfRule>
  </conditionalFormatting>
  <conditionalFormatting sqref="M93">
    <cfRule type="expression" dxfId="14741" priority="50321">
      <formula>$H93="CÉLULA CONSTRUTIVA"</formula>
    </cfRule>
  </conditionalFormatting>
  <conditionalFormatting sqref="M96 M100:M101">
    <cfRule type="expression" dxfId="14740" priority="50950">
      <formula>$H96="CÉLULA CONSTRUTIVA"</formula>
    </cfRule>
  </conditionalFormatting>
  <conditionalFormatting sqref="M97:M98">
    <cfRule type="expression" dxfId="14739" priority="50169">
      <formula>$H97="SUBETAPA"</formula>
    </cfRule>
    <cfRule type="expression" dxfId="14738" priority="50170">
      <formula>$H97="CÉLULA CONSTRUTIVA"</formula>
    </cfRule>
  </conditionalFormatting>
  <conditionalFormatting sqref="M104">
    <cfRule type="expression" dxfId="14737" priority="50130">
      <formula>$H104="CÉLULA CONSTRUTIVA"</formula>
    </cfRule>
  </conditionalFormatting>
  <conditionalFormatting sqref="M106">
    <cfRule type="expression" dxfId="14736" priority="50112">
      <formula>$H106="CÉLULA CONSTRUTIVA"</formula>
    </cfRule>
  </conditionalFormatting>
  <conditionalFormatting sqref="M108">
    <cfRule type="expression" dxfId="14735" priority="50094">
      <formula>$H108="CÉLULA CONSTRUTIVA"</formula>
    </cfRule>
  </conditionalFormatting>
  <conditionalFormatting sqref="M110">
    <cfRule type="expression" dxfId="14734" priority="50076">
      <formula>$H110="CÉLULA CONSTRUTIVA"</formula>
    </cfRule>
  </conditionalFormatting>
  <conditionalFormatting sqref="M112">
    <cfRule type="expression" dxfId="14733" priority="50058">
      <formula>$H112="CÉLULA CONSTRUTIVA"</formula>
    </cfRule>
  </conditionalFormatting>
  <conditionalFormatting sqref="M114">
    <cfRule type="expression" dxfId="14732" priority="46358">
      <formula>$H114="SUBETAPA"</formula>
    </cfRule>
    <cfRule type="expression" dxfId="14731" priority="46359">
      <formula>$H114="CÉLULA CONSTRUTIVA"</formula>
    </cfRule>
  </conditionalFormatting>
  <conditionalFormatting sqref="M116">
    <cfRule type="expression" dxfId="14730" priority="50040">
      <formula>$H116="CÉLULA CONSTRUTIVA"</formula>
    </cfRule>
  </conditionalFormatting>
  <conditionalFormatting sqref="M118">
    <cfRule type="expression" dxfId="14729" priority="50022">
      <formula>$H118="CÉLULA CONSTRUTIVA"</formula>
    </cfRule>
  </conditionalFormatting>
  <conditionalFormatting sqref="M120">
    <cfRule type="expression" dxfId="14728" priority="50004">
      <formula>$H120="CÉLULA CONSTRUTIVA"</formula>
    </cfRule>
  </conditionalFormatting>
  <conditionalFormatting sqref="M122">
    <cfRule type="expression" dxfId="14727" priority="49982">
      <formula>$H122="SUBETAPA"</formula>
    </cfRule>
    <cfRule type="expression" dxfId="14726" priority="49983">
      <formula>$H122="CÉLULA CONSTRUTIVA"</formula>
    </cfRule>
  </conditionalFormatting>
  <conditionalFormatting sqref="M125">
    <cfRule type="expression" dxfId="14725" priority="49945">
      <formula>$H125="SUBETAPA"</formula>
    </cfRule>
    <cfRule type="expression" dxfId="14724" priority="49946">
      <formula>$H125="CÉLULA CONSTRUTIVA"</formula>
    </cfRule>
  </conditionalFormatting>
  <conditionalFormatting sqref="M128">
    <cfRule type="expression" dxfId="14723" priority="49908">
      <formula>$H128="SUBETAPA"</formula>
    </cfRule>
    <cfRule type="expression" dxfId="14722" priority="49909">
      <formula>$H128="CÉLULA CONSTRUTIVA"</formula>
    </cfRule>
  </conditionalFormatting>
  <conditionalFormatting sqref="M131">
    <cfRule type="expression" dxfId="14721" priority="49875">
      <formula>$H131="CÉLULA CONSTRUTIVA"</formula>
    </cfRule>
  </conditionalFormatting>
  <conditionalFormatting sqref="M133">
    <cfRule type="expression" dxfId="14720" priority="49853">
      <formula>$H133="SUBETAPA"</formula>
    </cfRule>
    <cfRule type="expression" dxfId="14719" priority="49854">
      <formula>$H133="CÉLULA CONSTRUTIVA"</formula>
    </cfRule>
  </conditionalFormatting>
  <conditionalFormatting sqref="M136">
    <cfRule type="expression" dxfId="14718" priority="49816">
      <formula>$H136="SUBETAPA"</formula>
    </cfRule>
    <cfRule type="expression" dxfId="14717" priority="49817">
      <formula>$H136="CÉLULA CONSTRUTIVA"</formula>
    </cfRule>
  </conditionalFormatting>
  <conditionalFormatting sqref="M148">
    <cfRule type="expression" dxfId="14716" priority="49764">
      <formula>$H148="SUBETAPA"</formula>
    </cfRule>
  </conditionalFormatting>
  <conditionalFormatting sqref="M149:M156">
    <cfRule type="expression" dxfId="14715" priority="49728">
      <formula>$H149="CÉLULA CONSTRUTIVA"</formula>
    </cfRule>
    <cfRule type="expression" dxfId="14714" priority="49729">
      <formula>$H149="SUBETAPA"</formula>
    </cfRule>
    <cfRule type="expression" dxfId="14713" priority="49730">
      <formula>$H149="ETAPA"</formula>
    </cfRule>
  </conditionalFormatting>
  <conditionalFormatting sqref="M157">
    <cfRule type="expression" dxfId="14712" priority="49695">
      <formula>$H157="CÉLULA CONSTRUTIVA"</formula>
    </cfRule>
    <cfRule type="expression" dxfId="14711" priority="49696">
      <formula>$H157="SUBETAPA"</formula>
    </cfRule>
    <cfRule type="expression" dxfId="14710" priority="49697">
      <formula>$H157="ETAPA"</formula>
    </cfRule>
  </conditionalFormatting>
  <conditionalFormatting sqref="M158">
    <cfRule type="expression" dxfId="14709" priority="49678">
      <formula>$H158="SUBETAPA"</formula>
    </cfRule>
  </conditionalFormatting>
  <conditionalFormatting sqref="M159:M166">
    <cfRule type="expression" dxfId="14708" priority="49642">
      <formula>$H159="CÉLULA CONSTRUTIVA"</formula>
    </cfRule>
    <cfRule type="expression" dxfId="14707" priority="49643">
      <formula>$H159="SUBETAPA"</formula>
    </cfRule>
    <cfRule type="expression" dxfId="14706" priority="49644">
      <formula>$H159="ETAPA"</formula>
    </cfRule>
  </conditionalFormatting>
  <conditionalFormatting sqref="M167">
    <cfRule type="expression" dxfId="14705" priority="49609">
      <formula>$H167="CÉLULA CONSTRUTIVA"</formula>
    </cfRule>
    <cfRule type="expression" dxfId="14704" priority="49610">
      <formula>$H167="SUBETAPA"</formula>
    </cfRule>
    <cfRule type="expression" dxfId="14703" priority="49611">
      <formula>$H167="ETAPA"</formula>
    </cfRule>
  </conditionalFormatting>
  <conditionalFormatting sqref="M168">
    <cfRule type="expression" dxfId="14702" priority="49592">
      <formula>$H168="SUBETAPA"</formula>
    </cfRule>
  </conditionalFormatting>
  <conditionalFormatting sqref="M169:M176">
    <cfRule type="expression" dxfId="14701" priority="49556">
      <formula>$H169="CÉLULA CONSTRUTIVA"</formula>
    </cfRule>
    <cfRule type="expression" dxfId="14700" priority="49557">
      <formula>$H169="SUBETAPA"</formula>
    </cfRule>
    <cfRule type="expression" dxfId="14699" priority="49558">
      <formula>$H169="ETAPA"</formula>
    </cfRule>
  </conditionalFormatting>
  <conditionalFormatting sqref="M178">
    <cfRule type="expression" dxfId="14698" priority="3314">
      <formula>$H178="CÉLULA CONSTRUTIVA"</formula>
    </cfRule>
    <cfRule type="expression" dxfId="14697" priority="3315">
      <formula>$H178="SUBETAPA"</formula>
    </cfRule>
    <cfRule type="expression" dxfId="14696" priority="3316">
      <formula>$H178="ETAPA"</formula>
    </cfRule>
  </conditionalFormatting>
  <conditionalFormatting sqref="M185">
    <cfRule type="expression" dxfId="14695" priority="3300">
      <formula>$H185="CÉLULA CONSTRUTIVA"</formula>
    </cfRule>
    <cfRule type="expression" dxfId="14694" priority="3301">
      <formula>$H185="SUBETAPA"</formula>
    </cfRule>
    <cfRule type="expression" dxfId="14693" priority="3302">
      <formula>$H185="ETAPA"</formula>
    </cfRule>
  </conditionalFormatting>
  <conditionalFormatting sqref="M187">
    <cfRule type="expression" dxfId="14692" priority="3280">
      <formula>$H187="CÉLULA CONSTRUTIVA"</formula>
    </cfRule>
    <cfRule type="expression" dxfId="14691" priority="3281">
      <formula>$H187="SUBETAPA"</formula>
    </cfRule>
    <cfRule type="expression" dxfId="14690" priority="3282">
      <formula>$H187="ETAPA"</formula>
    </cfRule>
  </conditionalFormatting>
  <conditionalFormatting sqref="M194">
    <cfRule type="expression" dxfId="14689" priority="3266">
      <formula>$H194="CÉLULA CONSTRUTIVA"</formula>
    </cfRule>
    <cfRule type="expression" dxfId="14688" priority="3267">
      <formula>$H194="SUBETAPA"</formula>
    </cfRule>
    <cfRule type="expression" dxfId="14687" priority="3268">
      <formula>$H194="ETAPA"</formula>
    </cfRule>
  </conditionalFormatting>
  <conditionalFormatting sqref="M196">
    <cfRule type="expression" dxfId="14686" priority="3246">
      <formula>$H196="CÉLULA CONSTRUTIVA"</formula>
    </cfRule>
    <cfRule type="expression" dxfId="14685" priority="3247">
      <formula>$H196="SUBETAPA"</formula>
    </cfRule>
    <cfRule type="expression" dxfId="14684" priority="3248">
      <formula>$H196="ETAPA"</formula>
    </cfRule>
  </conditionalFormatting>
  <conditionalFormatting sqref="M203">
    <cfRule type="expression" dxfId="14683" priority="3232">
      <formula>$H203="CÉLULA CONSTRUTIVA"</formula>
    </cfRule>
    <cfRule type="expression" dxfId="14682" priority="3233">
      <formula>$H203="SUBETAPA"</formula>
    </cfRule>
    <cfRule type="expression" dxfId="14681" priority="3234">
      <formula>$H203="ETAPA"</formula>
    </cfRule>
  </conditionalFormatting>
  <conditionalFormatting sqref="M204">
    <cfRule type="expression" dxfId="14680" priority="46325">
      <formula>$H204="SUBETAPA"</formula>
    </cfRule>
  </conditionalFormatting>
  <conditionalFormatting sqref="M205">
    <cfRule type="expression" dxfId="14679" priority="3212">
      <formula>$H205="CÉLULA CONSTRUTIVA"</formula>
    </cfRule>
    <cfRule type="expression" dxfId="14678" priority="3213">
      <formula>$H205="SUBETAPA"</formula>
    </cfRule>
    <cfRule type="expression" dxfId="14677" priority="3214">
      <formula>$H205="ETAPA"</formula>
    </cfRule>
  </conditionalFormatting>
  <conditionalFormatting sqref="M212">
    <cfRule type="expression" dxfId="14676" priority="3198">
      <formula>$H212="CÉLULA CONSTRUTIVA"</formula>
    </cfRule>
    <cfRule type="expression" dxfId="14675" priority="3199">
      <formula>$H212="SUBETAPA"</formula>
    </cfRule>
    <cfRule type="expression" dxfId="14674" priority="3200">
      <formula>$H212="ETAPA"</formula>
    </cfRule>
  </conditionalFormatting>
  <conditionalFormatting sqref="M214">
    <cfRule type="expression" dxfId="14673" priority="3178">
      <formula>$H214="CÉLULA CONSTRUTIVA"</formula>
    </cfRule>
    <cfRule type="expression" dxfId="14672" priority="3179">
      <formula>$H214="SUBETAPA"</formula>
    </cfRule>
    <cfRule type="expression" dxfId="14671" priority="3180">
      <formula>$H214="ETAPA"</formula>
    </cfRule>
  </conditionalFormatting>
  <conditionalFormatting sqref="M221">
    <cfRule type="expression" dxfId="14670" priority="3164">
      <formula>$H221="CÉLULA CONSTRUTIVA"</formula>
    </cfRule>
    <cfRule type="expression" dxfId="14669" priority="3165">
      <formula>$H221="SUBETAPA"</formula>
    </cfRule>
    <cfRule type="expression" dxfId="14668" priority="3166">
      <formula>$H221="ETAPA"</formula>
    </cfRule>
  </conditionalFormatting>
  <conditionalFormatting sqref="M222">
    <cfRule type="expression" dxfId="14667" priority="49434">
      <formula>$H222="SUBETAPA"</formula>
    </cfRule>
  </conditionalFormatting>
  <conditionalFormatting sqref="M223:M230">
    <cfRule type="expression" dxfId="14666" priority="49398">
      <formula>$H223="CÉLULA CONSTRUTIVA"</formula>
    </cfRule>
    <cfRule type="expression" dxfId="14665" priority="49399">
      <formula>$H223="SUBETAPA"</formula>
    </cfRule>
    <cfRule type="expression" dxfId="14664" priority="49400">
      <formula>$H223="ETAPA"</formula>
    </cfRule>
  </conditionalFormatting>
  <conditionalFormatting sqref="M231">
    <cfRule type="expression" dxfId="14663" priority="49384">
      <formula>$H231="SUBETAPA"</formula>
    </cfRule>
  </conditionalFormatting>
  <conditionalFormatting sqref="M232:M239">
    <cfRule type="expression" dxfId="14662" priority="49348">
      <formula>$H232="CÉLULA CONSTRUTIVA"</formula>
    </cfRule>
    <cfRule type="expression" dxfId="14661" priority="49349">
      <formula>$H232="SUBETAPA"</formula>
    </cfRule>
    <cfRule type="expression" dxfId="14660" priority="49350">
      <formula>$H232="ETAPA"</formula>
    </cfRule>
  </conditionalFormatting>
  <conditionalFormatting sqref="M240">
    <cfRule type="expression" dxfId="14659" priority="49334">
      <formula>$H240="SUBETAPA"</formula>
    </cfRule>
  </conditionalFormatting>
  <conditionalFormatting sqref="M241:M248">
    <cfRule type="expression" dxfId="14658" priority="49298">
      <formula>$H241="CÉLULA CONSTRUTIVA"</formula>
    </cfRule>
    <cfRule type="expression" dxfId="14657" priority="49299">
      <formula>$H241="SUBETAPA"</formula>
    </cfRule>
    <cfRule type="expression" dxfId="14656" priority="49300">
      <formula>$H241="ETAPA"</formula>
    </cfRule>
  </conditionalFormatting>
  <conditionalFormatting sqref="M249">
    <cfRule type="expression" dxfId="14655" priority="49284">
      <formula>$H249="SUBETAPA"</formula>
    </cfRule>
  </conditionalFormatting>
  <conditionalFormatting sqref="M250:M257">
    <cfRule type="expression" dxfId="14654" priority="49248">
      <formula>$H250="CÉLULA CONSTRUTIVA"</formula>
    </cfRule>
    <cfRule type="expression" dxfId="14653" priority="49249">
      <formula>$H250="SUBETAPA"</formula>
    </cfRule>
    <cfRule type="expression" dxfId="14652" priority="49250">
      <formula>$H250="ETAPA"</formula>
    </cfRule>
  </conditionalFormatting>
  <conditionalFormatting sqref="M258">
    <cfRule type="expression" dxfId="14651" priority="49234">
      <formula>$H258="SUBETAPA"</formula>
    </cfRule>
  </conditionalFormatting>
  <conditionalFormatting sqref="M259:M266">
    <cfRule type="expression" dxfId="14650" priority="49198">
      <formula>$H259="CÉLULA CONSTRUTIVA"</formula>
    </cfRule>
    <cfRule type="expression" dxfId="14649" priority="49199">
      <formula>$H259="SUBETAPA"</formula>
    </cfRule>
    <cfRule type="expression" dxfId="14648" priority="49200">
      <formula>$H259="ETAPA"</formula>
    </cfRule>
  </conditionalFormatting>
  <conditionalFormatting sqref="M267">
    <cfRule type="expression" dxfId="14647" priority="49184">
      <formula>$H267="SUBETAPA"</formula>
    </cfRule>
  </conditionalFormatting>
  <conditionalFormatting sqref="M282">
    <cfRule type="expression" dxfId="14646" priority="50864">
      <formula>$H282="CÉLULA CONSTRUTIVA"</formula>
    </cfRule>
    <cfRule type="expression" dxfId="14645" priority="50865">
      <formula>$H282="SUBETAPA"</formula>
    </cfRule>
    <cfRule type="expression" dxfId="14644" priority="50866">
      <formula>$H282="ETAPA"</formula>
    </cfRule>
  </conditionalFormatting>
  <conditionalFormatting sqref="M284">
    <cfRule type="expression" dxfId="14643" priority="49075">
      <formula>$H284="CÉLULA CONSTRUTIVA"</formula>
    </cfRule>
    <cfRule type="expression" dxfId="14642" priority="49076">
      <formula>$H284="SUBETAPA"</formula>
    </cfRule>
    <cfRule type="expression" dxfId="14641" priority="49077">
      <formula>$H284="ETAPA"</formula>
    </cfRule>
  </conditionalFormatting>
  <conditionalFormatting sqref="M286">
    <cfRule type="expression" dxfId="14640" priority="49029">
      <formula>$H286="CÉLULA CONSTRUTIVA"</formula>
    </cfRule>
    <cfRule type="expression" dxfId="14639" priority="49030">
      <formula>$H286="SUBETAPA"</formula>
    </cfRule>
    <cfRule type="expression" dxfId="14638" priority="49031">
      <formula>$H286="ETAPA"</formula>
    </cfRule>
  </conditionalFormatting>
  <conditionalFormatting sqref="M288">
    <cfRule type="expression" dxfId="14637" priority="48983">
      <formula>$H288="CÉLULA CONSTRUTIVA"</formula>
    </cfRule>
    <cfRule type="expression" dxfId="14636" priority="48984">
      <formula>$H288="SUBETAPA"</formula>
    </cfRule>
    <cfRule type="expression" dxfId="14635" priority="48985">
      <formula>$H288="ETAPA"</formula>
    </cfRule>
  </conditionalFormatting>
  <conditionalFormatting sqref="M290">
    <cfRule type="expression" dxfId="14634" priority="48937">
      <formula>$H290="CÉLULA CONSTRUTIVA"</formula>
    </cfRule>
    <cfRule type="expression" dxfId="14633" priority="48938">
      <formula>$H290="SUBETAPA"</formula>
    </cfRule>
    <cfRule type="expression" dxfId="14632" priority="48939">
      <formula>$H290="ETAPA"</formula>
    </cfRule>
  </conditionalFormatting>
  <conditionalFormatting sqref="M292">
    <cfRule type="expression" dxfId="14631" priority="48891">
      <formula>$H292="CÉLULA CONSTRUTIVA"</formula>
    </cfRule>
    <cfRule type="expression" dxfId="14630" priority="48892">
      <formula>$H292="SUBETAPA"</formula>
    </cfRule>
    <cfRule type="expression" dxfId="14629" priority="48893">
      <formula>$H292="ETAPA"</formula>
    </cfRule>
  </conditionalFormatting>
  <conditionalFormatting sqref="M294">
    <cfRule type="expression" dxfId="14628" priority="48845">
      <formula>$H294="CÉLULA CONSTRUTIVA"</formula>
    </cfRule>
    <cfRule type="expression" dxfId="14627" priority="48846">
      <formula>$H294="SUBETAPA"</formula>
    </cfRule>
    <cfRule type="expression" dxfId="14626" priority="48847">
      <formula>$H294="ETAPA"</formula>
    </cfRule>
  </conditionalFormatting>
  <conditionalFormatting sqref="M296">
    <cfRule type="expression" dxfId="14625" priority="46255">
      <formula>$H296="CÉLULA CONSTRUTIVA"</formula>
    </cfRule>
    <cfRule type="expression" dxfId="14624" priority="46256">
      <formula>$H296="SUBETAPA"</formula>
    </cfRule>
    <cfRule type="expression" dxfId="14623" priority="46257">
      <formula>$H296="ETAPA"</formula>
    </cfRule>
  </conditionalFormatting>
  <conditionalFormatting sqref="M298">
    <cfRule type="expression" dxfId="14622" priority="48799">
      <formula>$H298="CÉLULA CONSTRUTIVA"</formula>
    </cfRule>
    <cfRule type="expression" dxfId="14621" priority="48800">
      <formula>$H298="SUBETAPA"</formula>
    </cfRule>
    <cfRule type="expression" dxfId="14620" priority="48801">
      <formula>$H298="ETAPA"</formula>
    </cfRule>
  </conditionalFormatting>
  <conditionalFormatting sqref="M300">
    <cfRule type="expression" dxfId="14619" priority="48753">
      <formula>$H300="CÉLULA CONSTRUTIVA"</formula>
    </cfRule>
    <cfRule type="expression" dxfId="14618" priority="48754">
      <formula>$H300="SUBETAPA"</formula>
    </cfRule>
    <cfRule type="expression" dxfId="14617" priority="48755">
      <formula>$H300="ETAPA"</formula>
    </cfRule>
  </conditionalFormatting>
  <conditionalFormatting sqref="M302">
    <cfRule type="expression" dxfId="14616" priority="48707">
      <formula>$H302="CÉLULA CONSTRUTIVA"</formula>
    </cfRule>
    <cfRule type="expression" dxfId="14615" priority="48708">
      <formula>$H302="SUBETAPA"</formula>
    </cfRule>
    <cfRule type="expression" dxfId="14614" priority="48709">
      <formula>$H302="ETAPA"</formula>
    </cfRule>
  </conditionalFormatting>
  <conditionalFormatting sqref="M304">
    <cfRule type="expression" dxfId="14613" priority="48661">
      <formula>$H304="CÉLULA CONSTRUTIVA"</formula>
    </cfRule>
    <cfRule type="expression" dxfId="14612" priority="48662">
      <formula>$H304="SUBETAPA"</formula>
    </cfRule>
    <cfRule type="expression" dxfId="14611" priority="48663">
      <formula>$H304="ETAPA"</formula>
    </cfRule>
  </conditionalFormatting>
  <conditionalFormatting sqref="M306">
    <cfRule type="expression" dxfId="14610" priority="48615">
      <formula>$H306="CÉLULA CONSTRUTIVA"</formula>
    </cfRule>
    <cfRule type="expression" dxfId="14609" priority="48616">
      <formula>$H306="SUBETAPA"</formula>
    </cfRule>
    <cfRule type="expression" dxfId="14608" priority="48617">
      <formula>$H306="ETAPA"</formula>
    </cfRule>
  </conditionalFormatting>
  <conditionalFormatting sqref="M308">
    <cfRule type="expression" dxfId="14607" priority="48569">
      <formula>$H308="CÉLULA CONSTRUTIVA"</formula>
    </cfRule>
    <cfRule type="expression" dxfId="14606" priority="48570">
      <formula>$H308="SUBETAPA"</formula>
    </cfRule>
    <cfRule type="expression" dxfId="14605" priority="48571">
      <formula>$H308="ETAPA"</formula>
    </cfRule>
  </conditionalFormatting>
  <conditionalFormatting sqref="M310">
    <cfRule type="expression" dxfId="14604" priority="48523">
      <formula>$H310="CÉLULA CONSTRUTIVA"</formula>
    </cfRule>
    <cfRule type="expression" dxfId="14603" priority="48524">
      <formula>$H310="SUBETAPA"</formula>
    </cfRule>
    <cfRule type="expression" dxfId="14602" priority="48525">
      <formula>$H310="ETAPA"</formula>
    </cfRule>
  </conditionalFormatting>
  <conditionalFormatting sqref="M312">
    <cfRule type="expression" dxfId="14601" priority="48477">
      <formula>$H312="CÉLULA CONSTRUTIVA"</formula>
    </cfRule>
    <cfRule type="expression" dxfId="14600" priority="48478">
      <formula>$H312="SUBETAPA"</formula>
    </cfRule>
    <cfRule type="expression" dxfId="14599" priority="48479">
      <formula>$H312="ETAPA"</formula>
    </cfRule>
  </conditionalFormatting>
  <conditionalFormatting sqref="M313">
    <cfRule type="expression" dxfId="14598" priority="48439">
      <formula>$H313="CÉLULA CONSTRUTIVA"</formula>
    </cfRule>
  </conditionalFormatting>
  <conditionalFormatting sqref="M313:M314">
    <cfRule type="expression" dxfId="14597" priority="48438">
      <formula>$H313="SUBETAPA"</formula>
    </cfRule>
  </conditionalFormatting>
  <conditionalFormatting sqref="M314">
    <cfRule type="expression" dxfId="14596" priority="48452">
      <formula>$H314="CÉLULA CONSTRUTIVA"</formula>
    </cfRule>
  </conditionalFormatting>
  <conditionalFormatting sqref="M315">
    <cfRule type="expression" dxfId="14595" priority="46148">
      <formula>$H315="CÉLULA CONSTRUTIVA"</formula>
    </cfRule>
    <cfRule type="expression" dxfId="14594" priority="46149">
      <formula>$H315="SUBETAPA"</formula>
    </cfRule>
    <cfRule type="expression" dxfId="14593" priority="46150">
      <formula>$H315="ETAPA"</formula>
    </cfRule>
  </conditionalFormatting>
  <conditionalFormatting sqref="M316">
    <cfRule type="expression" dxfId="14592" priority="48421">
      <formula>$H316="SUBETAPA"</formula>
    </cfRule>
    <cfRule type="expression" dxfId="14591" priority="48422">
      <formula>$H316="CÉLULA CONSTRUTIVA"</formula>
    </cfRule>
  </conditionalFormatting>
  <conditionalFormatting sqref="M317">
    <cfRule type="expression" dxfId="14590" priority="3976">
      <formula>$H317="CÉLULA CONSTRUTIVA"</formula>
    </cfRule>
    <cfRule type="expression" dxfId="14589" priority="3977">
      <formula>$H317="SUBETAPA"</formula>
    </cfRule>
    <cfRule type="expression" dxfId="14588" priority="3978">
      <formula>$H317="ETAPA"</formula>
    </cfRule>
  </conditionalFormatting>
  <conditionalFormatting sqref="M318">
    <cfRule type="expression" dxfId="14587" priority="48350">
      <formula>$H318="SUBETAPA"</formula>
    </cfRule>
    <cfRule type="expression" dxfId="14586" priority="48351">
      <formula>$H318="CÉLULA CONSTRUTIVA"</formula>
    </cfRule>
  </conditionalFormatting>
  <conditionalFormatting sqref="M319">
    <cfRule type="expression" dxfId="14585" priority="3973">
      <formula>$H319="CÉLULA CONSTRUTIVA"</formula>
    </cfRule>
    <cfRule type="expression" dxfId="14584" priority="3974">
      <formula>$H319="SUBETAPA"</formula>
    </cfRule>
    <cfRule type="expression" dxfId="14583" priority="3975">
      <formula>$H319="ETAPA"</formula>
    </cfRule>
  </conditionalFormatting>
  <conditionalFormatting sqref="M320">
    <cfRule type="expression" dxfId="14582" priority="48335">
      <formula>$H320="SUBETAPA"</formula>
    </cfRule>
    <cfRule type="expression" dxfId="14581" priority="48336">
      <formula>$H320="CÉLULA CONSTRUTIVA"</formula>
    </cfRule>
  </conditionalFormatting>
  <conditionalFormatting sqref="M321">
    <cfRule type="expression" dxfId="14580" priority="3952">
      <formula>$H321="CÉLULA CONSTRUTIVA"</formula>
    </cfRule>
    <cfRule type="expression" dxfId="14579" priority="3953">
      <formula>$H321="SUBETAPA"</formula>
    </cfRule>
    <cfRule type="expression" dxfId="14578" priority="3954">
      <formula>$H321="ETAPA"</formula>
    </cfRule>
  </conditionalFormatting>
  <conditionalFormatting sqref="M322">
    <cfRule type="expression" dxfId="14577" priority="48264">
      <formula>$H322="SUBETAPA"</formula>
    </cfRule>
    <cfRule type="expression" dxfId="14576" priority="48265">
      <formula>$H322="CÉLULA CONSTRUTIVA"</formula>
    </cfRule>
  </conditionalFormatting>
  <conditionalFormatting sqref="M323">
    <cfRule type="expression" dxfId="14575" priority="3949">
      <formula>$H323="CÉLULA CONSTRUTIVA"</formula>
    </cfRule>
    <cfRule type="expression" dxfId="14574" priority="3950">
      <formula>$H323="SUBETAPA"</formula>
    </cfRule>
    <cfRule type="expression" dxfId="14573" priority="3951">
      <formula>$H323="ETAPA"</formula>
    </cfRule>
  </conditionalFormatting>
  <conditionalFormatting sqref="M324">
    <cfRule type="expression" dxfId="14572" priority="3967">
      <formula>$H324="CÉLULA CONSTRUTIVA"</formula>
    </cfRule>
    <cfRule type="expression" dxfId="14571" priority="3968">
      <formula>$H324="SUBETAPA"</formula>
    </cfRule>
    <cfRule type="expression" dxfId="14570" priority="3969">
      <formula>$H324="ETAPA"</formula>
    </cfRule>
  </conditionalFormatting>
  <conditionalFormatting sqref="M325">
    <cfRule type="expression" dxfId="14569" priority="3961">
      <formula>$H325="CÉLULA CONSTRUTIVA"</formula>
    </cfRule>
    <cfRule type="expression" dxfId="14568" priority="3962">
      <formula>$H325="SUBETAPA"</formula>
    </cfRule>
    <cfRule type="expression" dxfId="14567" priority="3963">
      <formula>$H325="ETAPA"</formula>
    </cfRule>
  </conditionalFormatting>
  <conditionalFormatting sqref="M326">
    <cfRule type="expression" dxfId="14566" priority="48178">
      <formula>$H326="SUBETAPA"</formula>
    </cfRule>
    <cfRule type="expression" dxfId="14565" priority="48179">
      <formula>$H326="CÉLULA CONSTRUTIVA"</formula>
    </cfRule>
  </conditionalFormatting>
  <conditionalFormatting sqref="M327">
    <cfRule type="expression" dxfId="14564" priority="3958">
      <formula>$H327="CÉLULA CONSTRUTIVA"</formula>
    </cfRule>
    <cfRule type="expression" dxfId="14563" priority="3959">
      <formula>$H327="SUBETAPA"</formula>
    </cfRule>
    <cfRule type="expression" dxfId="14562" priority="3960">
      <formula>$H327="ETAPA"</formula>
    </cfRule>
  </conditionalFormatting>
  <conditionalFormatting sqref="M328">
    <cfRule type="expression" dxfId="14561" priority="46238">
      <formula>$H328="SUBETAPA"</formula>
    </cfRule>
    <cfRule type="expression" dxfId="14560" priority="46239">
      <formula>$H328="CÉLULA CONSTRUTIVA"</formula>
    </cfRule>
  </conditionalFormatting>
  <conditionalFormatting sqref="M329">
    <cfRule type="expression" dxfId="14559" priority="3955">
      <formula>$H329="CÉLULA CONSTRUTIVA"</formula>
    </cfRule>
    <cfRule type="expression" dxfId="14558" priority="3956">
      <formula>$H329="SUBETAPA"</formula>
    </cfRule>
    <cfRule type="expression" dxfId="14557" priority="3957">
      <formula>$H329="ETAPA"</formula>
    </cfRule>
  </conditionalFormatting>
  <conditionalFormatting sqref="M330">
    <cfRule type="expression" dxfId="14556" priority="46803">
      <formula>$H330="SUBETAPA"</formula>
    </cfRule>
    <cfRule type="expression" dxfId="14555" priority="46804">
      <formula>$H330="CÉLULA CONSTRUTIVA"</formula>
    </cfRule>
    <cfRule type="expression" dxfId="14554" priority="46805">
      <formula>$H330="ETAPA"</formula>
    </cfRule>
  </conditionalFormatting>
  <conditionalFormatting sqref="M331 M345 M333 M335 M337 M339 M341 M343">
    <cfRule type="expression" dxfId="14553" priority="46147">
      <formula>$H331="ETAPA"</formula>
    </cfRule>
  </conditionalFormatting>
  <conditionalFormatting sqref="M332">
    <cfRule type="expression" dxfId="14552" priority="46800">
      <formula>$H332="SUBETAPA"</formula>
    </cfRule>
    <cfRule type="expression" dxfId="14551" priority="46801">
      <formula>$H332="CÉLULA CONSTRUTIVA"</formula>
    </cfRule>
    <cfRule type="expression" dxfId="14550" priority="46802">
      <formula>$H332="ETAPA"</formula>
    </cfRule>
  </conditionalFormatting>
  <conditionalFormatting sqref="M334">
    <cfRule type="expression" dxfId="14549" priority="46797">
      <formula>$H334="SUBETAPA"</formula>
    </cfRule>
    <cfRule type="expression" dxfId="14548" priority="46798">
      <formula>$H334="CÉLULA CONSTRUTIVA"</formula>
    </cfRule>
    <cfRule type="expression" dxfId="14547" priority="46799">
      <formula>$H334="ETAPA"</formula>
    </cfRule>
  </conditionalFormatting>
  <conditionalFormatting sqref="M336">
    <cfRule type="expression" dxfId="14546" priority="46794">
      <formula>$H336="SUBETAPA"</formula>
    </cfRule>
    <cfRule type="expression" dxfId="14545" priority="46795">
      <formula>$H336="CÉLULA CONSTRUTIVA"</formula>
    </cfRule>
    <cfRule type="expression" dxfId="14544" priority="46796">
      <formula>$H336="ETAPA"</formula>
    </cfRule>
  </conditionalFormatting>
  <conditionalFormatting sqref="M338">
    <cfRule type="expression" dxfId="14543" priority="46791">
      <formula>$H338="SUBETAPA"</formula>
    </cfRule>
    <cfRule type="expression" dxfId="14542" priority="46792">
      <formula>$H338="CÉLULA CONSTRUTIVA"</formula>
    </cfRule>
    <cfRule type="expression" dxfId="14541" priority="46793">
      <formula>$H338="ETAPA"</formula>
    </cfRule>
  </conditionalFormatting>
  <conditionalFormatting sqref="M340">
    <cfRule type="expression" dxfId="14540" priority="47931">
      <formula>$H340="SUBETAPA"</formula>
    </cfRule>
    <cfRule type="expression" dxfId="14539" priority="47932">
      <formula>$H340="CÉLULA CONSTRUTIVA"</formula>
    </cfRule>
  </conditionalFormatting>
  <conditionalFormatting sqref="M342">
    <cfRule type="expression" dxfId="14538" priority="46788">
      <formula>$H342="SUBETAPA"</formula>
    </cfRule>
    <cfRule type="expression" dxfId="14537" priority="46789">
      <formula>$H342="CÉLULA CONSTRUTIVA"</formula>
    </cfRule>
    <cfRule type="expression" dxfId="14536" priority="46790">
      <formula>$H342="ETAPA"</formula>
    </cfRule>
  </conditionalFormatting>
  <conditionalFormatting sqref="M344">
    <cfRule type="expression" dxfId="14535" priority="46785">
      <formula>$H344="SUBETAPA"</formula>
    </cfRule>
    <cfRule type="expression" dxfId="14534" priority="46786">
      <formula>$H344="CÉLULA CONSTRUTIVA"</formula>
    </cfRule>
    <cfRule type="expression" dxfId="14533" priority="46787">
      <formula>$H344="ETAPA"</formula>
    </cfRule>
  </conditionalFormatting>
  <conditionalFormatting sqref="M345 M331 M333 M335 M337 M339 M341 M343">
    <cfRule type="expression" dxfId="14532" priority="46145">
      <formula>$H331="CÉLULA CONSTRUTIVA"</formula>
    </cfRule>
    <cfRule type="expression" dxfId="14531" priority="46146">
      <formula>$H331="SUBETAPA"</formula>
    </cfRule>
  </conditionalFormatting>
  <conditionalFormatting sqref="M346">
    <cfRule type="expression" dxfId="14530" priority="48467">
      <formula>$H346="CÉLULA CONSTRUTIVA"</formula>
    </cfRule>
  </conditionalFormatting>
  <conditionalFormatting sqref="M349 N350">
    <cfRule type="expression" dxfId="14529" priority="47759">
      <formula>$H349="CÉLULA CONSTRUTIVA"</formula>
    </cfRule>
  </conditionalFormatting>
  <conditionalFormatting sqref="M349:M350">
    <cfRule type="expression" dxfId="14528" priority="47730">
      <formula>$H349="SUBETAPA"</formula>
    </cfRule>
  </conditionalFormatting>
  <conditionalFormatting sqref="M350">
    <cfRule type="expression" dxfId="14527" priority="47729">
      <formula>$H350="CÉLULA CONSTRUTIVA"</formula>
    </cfRule>
    <cfRule type="expression" dxfId="14526" priority="47731">
      <formula>$H350="ETAPA"</formula>
    </cfRule>
  </conditionalFormatting>
  <conditionalFormatting sqref="M351 N352:O352">
    <cfRule type="expression" dxfId="14525" priority="47716">
      <formula>$H351="CÉLULA CONSTRUTIVA"</formula>
    </cfRule>
  </conditionalFormatting>
  <conditionalFormatting sqref="M351:M352">
    <cfRule type="expression" dxfId="14524" priority="47687">
      <formula>$H351="SUBETAPA"</formula>
    </cfRule>
  </conditionalFormatting>
  <conditionalFormatting sqref="M352">
    <cfRule type="expression" dxfId="14523" priority="47686">
      <formula>$H352="CÉLULA CONSTRUTIVA"</formula>
    </cfRule>
    <cfRule type="expression" dxfId="14522" priority="47688">
      <formula>$H352="ETAPA"</formula>
    </cfRule>
  </conditionalFormatting>
  <conditionalFormatting sqref="M353 N354">
    <cfRule type="expression" dxfId="14521" priority="47673">
      <formula>$H353="CÉLULA CONSTRUTIVA"</formula>
    </cfRule>
  </conditionalFormatting>
  <conditionalFormatting sqref="M353:M354">
    <cfRule type="expression" dxfId="14520" priority="47644">
      <formula>$H353="SUBETAPA"</formula>
    </cfRule>
  </conditionalFormatting>
  <conditionalFormatting sqref="M354">
    <cfRule type="expression" dxfId="14519" priority="47643">
      <formula>$H354="CÉLULA CONSTRUTIVA"</formula>
    </cfRule>
    <cfRule type="expression" dxfId="14518" priority="47645">
      <formula>$H354="ETAPA"</formula>
    </cfRule>
  </conditionalFormatting>
  <conditionalFormatting sqref="M355 N356">
    <cfRule type="expression" dxfId="14517" priority="47630">
      <formula>$H355="CÉLULA CONSTRUTIVA"</formula>
    </cfRule>
  </conditionalFormatting>
  <conditionalFormatting sqref="M355:M356">
    <cfRule type="expression" dxfId="14516" priority="47601">
      <formula>$H355="SUBETAPA"</formula>
    </cfRule>
  </conditionalFormatting>
  <conditionalFormatting sqref="M356">
    <cfRule type="expression" dxfId="14515" priority="47600">
      <formula>$H356="CÉLULA CONSTRUTIVA"</formula>
    </cfRule>
    <cfRule type="expression" dxfId="14514" priority="47602">
      <formula>$H356="ETAPA"</formula>
    </cfRule>
  </conditionalFormatting>
  <conditionalFormatting sqref="M357 N358">
    <cfRule type="expression" dxfId="14513" priority="47587">
      <formula>$H357="CÉLULA CONSTRUTIVA"</formula>
    </cfRule>
  </conditionalFormatting>
  <conditionalFormatting sqref="M357:M358">
    <cfRule type="expression" dxfId="14512" priority="47558">
      <formula>$H357="SUBETAPA"</formula>
    </cfRule>
  </conditionalFormatting>
  <conditionalFormatting sqref="M358">
    <cfRule type="expression" dxfId="14511" priority="47557">
      <formula>$H358="CÉLULA CONSTRUTIVA"</formula>
    </cfRule>
    <cfRule type="expression" dxfId="14510" priority="47559">
      <formula>$H358="ETAPA"</formula>
    </cfRule>
  </conditionalFormatting>
  <conditionalFormatting sqref="M359 N360">
    <cfRule type="expression" dxfId="14509" priority="46190">
      <formula>$H359="SUBETAPA"</formula>
    </cfRule>
    <cfRule type="expression" dxfId="14508" priority="46191">
      <formula>$H359="CÉLULA CONSTRUTIVA"</formula>
    </cfRule>
  </conditionalFormatting>
  <conditionalFormatting sqref="M360">
    <cfRule type="expression" dxfId="14507" priority="46160">
      <formula>$H360="CÉLULA CONSTRUTIVA"</formula>
    </cfRule>
    <cfRule type="expression" dxfId="14506" priority="46161">
      <formula>$H360="SUBETAPA"</formula>
    </cfRule>
    <cfRule type="expression" dxfId="14505" priority="46162">
      <formula>$H360="ETAPA"</formula>
    </cfRule>
  </conditionalFormatting>
  <conditionalFormatting sqref="M361 N362">
    <cfRule type="expression" dxfId="14504" priority="47544">
      <formula>$H361="CÉLULA CONSTRUTIVA"</formula>
    </cfRule>
  </conditionalFormatting>
  <conditionalFormatting sqref="M361:M362">
    <cfRule type="expression" dxfId="14503" priority="47515">
      <formula>$H361="SUBETAPA"</formula>
    </cfRule>
  </conditionalFormatting>
  <conditionalFormatting sqref="M362">
    <cfRule type="expression" dxfId="14502" priority="47514">
      <formula>$H362="CÉLULA CONSTRUTIVA"</formula>
    </cfRule>
    <cfRule type="expression" dxfId="14501" priority="47516">
      <formula>$H362="ETAPA"</formula>
    </cfRule>
  </conditionalFormatting>
  <conditionalFormatting sqref="M363 N364">
    <cfRule type="expression" dxfId="14500" priority="47501">
      <formula>$H363="CÉLULA CONSTRUTIVA"</formula>
    </cfRule>
  </conditionalFormatting>
  <conditionalFormatting sqref="M363:M364">
    <cfRule type="expression" dxfId="14499" priority="47472">
      <formula>$H363="SUBETAPA"</formula>
    </cfRule>
  </conditionalFormatting>
  <conditionalFormatting sqref="M364">
    <cfRule type="expression" dxfId="14498" priority="47471">
      <formula>$H364="CÉLULA CONSTRUTIVA"</formula>
    </cfRule>
    <cfRule type="expression" dxfId="14497" priority="47473">
      <formula>$H364="ETAPA"</formula>
    </cfRule>
  </conditionalFormatting>
  <conditionalFormatting sqref="M365 N366">
    <cfRule type="expression" dxfId="14496" priority="47458">
      <formula>$H365="CÉLULA CONSTRUTIVA"</formula>
    </cfRule>
  </conditionalFormatting>
  <conditionalFormatting sqref="M365:M366">
    <cfRule type="expression" dxfId="14495" priority="47429">
      <formula>$H365="SUBETAPA"</formula>
    </cfRule>
  </conditionalFormatting>
  <conditionalFormatting sqref="M366">
    <cfRule type="expression" dxfId="14494" priority="47428">
      <formula>$H366="CÉLULA CONSTRUTIVA"</formula>
    </cfRule>
    <cfRule type="expression" dxfId="14493" priority="47430">
      <formula>$H366="ETAPA"</formula>
    </cfRule>
  </conditionalFormatting>
  <conditionalFormatting sqref="M367 N368">
    <cfRule type="expression" dxfId="14492" priority="47415">
      <formula>$H367="CÉLULA CONSTRUTIVA"</formula>
    </cfRule>
  </conditionalFormatting>
  <conditionalFormatting sqref="M367:M368">
    <cfRule type="expression" dxfId="14491" priority="47386">
      <formula>$H367="SUBETAPA"</formula>
    </cfRule>
  </conditionalFormatting>
  <conditionalFormatting sqref="M368">
    <cfRule type="expression" dxfId="14490" priority="47385">
      <formula>$H368="CÉLULA CONSTRUTIVA"</formula>
    </cfRule>
    <cfRule type="expression" dxfId="14489" priority="47387">
      <formula>$H368="ETAPA"</formula>
    </cfRule>
  </conditionalFormatting>
  <conditionalFormatting sqref="M369 N370">
    <cfRule type="expression" dxfId="14488" priority="47372">
      <formula>$H369="CÉLULA CONSTRUTIVA"</formula>
    </cfRule>
  </conditionalFormatting>
  <conditionalFormatting sqref="M369:M370">
    <cfRule type="expression" dxfId="14487" priority="47343">
      <formula>$H369="SUBETAPA"</formula>
    </cfRule>
  </conditionalFormatting>
  <conditionalFormatting sqref="M370">
    <cfRule type="expression" dxfId="14486" priority="47342">
      <formula>$H370="CÉLULA CONSTRUTIVA"</formula>
    </cfRule>
    <cfRule type="expression" dxfId="14485" priority="47344">
      <formula>$H370="ETAPA"</formula>
    </cfRule>
  </conditionalFormatting>
  <conditionalFormatting sqref="M371 N372">
    <cfRule type="expression" dxfId="14484" priority="47329">
      <formula>$H371="CÉLULA CONSTRUTIVA"</formula>
    </cfRule>
  </conditionalFormatting>
  <conditionalFormatting sqref="M372">
    <cfRule type="expression" dxfId="14483" priority="47299">
      <formula>$H372="CÉLULA CONSTRUTIVA"</formula>
    </cfRule>
    <cfRule type="expression" dxfId="14482" priority="47300">
      <formula>$H372="SUBETAPA"</formula>
    </cfRule>
    <cfRule type="expression" dxfId="14481" priority="47301">
      <formula>$H372="ETAPA"</formula>
    </cfRule>
  </conditionalFormatting>
  <conditionalFormatting sqref="M373 N374">
    <cfRule type="expression" dxfId="14480" priority="47285">
      <formula>$H373="SUBETAPA"</formula>
    </cfRule>
    <cfRule type="expression" dxfId="14479" priority="47286">
      <formula>$H373="CÉLULA CONSTRUTIVA"</formula>
    </cfRule>
  </conditionalFormatting>
  <conditionalFormatting sqref="M374">
    <cfRule type="expression" dxfId="14478" priority="47256">
      <formula>$H374="CÉLULA CONSTRUTIVA"</formula>
    </cfRule>
    <cfRule type="expression" dxfId="14477" priority="47257">
      <formula>$H374="SUBETAPA"</formula>
    </cfRule>
    <cfRule type="expression" dxfId="14476" priority="47258">
      <formula>$H374="ETAPA"</formula>
    </cfRule>
  </conditionalFormatting>
  <conditionalFormatting sqref="M375 N376">
    <cfRule type="expression" dxfId="14475" priority="47242">
      <formula>$H375="SUBETAPA"</formula>
    </cfRule>
    <cfRule type="expression" dxfId="14474" priority="47243">
      <formula>$H375="CÉLULA CONSTRUTIVA"</formula>
    </cfRule>
  </conditionalFormatting>
  <conditionalFormatting sqref="M376">
    <cfRule type="expression" dxfId="14473" priority="47213">
      <formula>$H376="CÉLULA CONSTRUTIVA"</formula>
    </cfRule>
    <cfRule type="expression" dxfId="14472" priority="47214">
      <formula>$H376="SUBETAPA"</formula>
    </cfRule>
    <cfRule type="expression" dxfId="14471" priority="47215">
      <formula>$H376="ETAPA"</formula>
    </cfRule>
  </conditionalFormatting>
  <conditionalFormatting sqref="M377 N378">
    <cfRule type="expression" dxfId="14470" priority="47199">
      <formula>$H377="SUBETAPA"</formula>
    </cfRule>
    <cfRule type="expression" dxfId="14469" priority="47200">
      <formula>$H377="CÉLULA CONSTRUTIVA"</formula>
    </cfRule>
  </conditionalFormatting>
  <conditionalFormatting sqref="M378">
    <cfRule type="expression" dxfId="14468" priority="47169">
      <formula>$H378="CÉLULA CONSTRUTIVA"</formula>
    </cfRule>
    <cfRule type="expression" dxfId="14467" priority="47170">
      <formula>$H378="SUBETAPA"</formula>
    </cfRule>
    <cfRule type="expression" dxfId="14466" priority="47171">
      <formula>$H378="ETAPA"</formula>
    </cfRule>
  </conditionalFormatting>
  <conditionalFormatting sqref="M619">
    <cfRule type="expression" dxfId="14465" priority="86908">
      <formula>$H619="CÉLULA CONSTRUTIVA"</formula>
    </cfRule>
    <cfRule type="expression" dxfId="14464" priority="86909">
      <formula>$H619="ETAPA"</formula>
    </cfRule>
  </conditionalFormatting>
  <conditionalFormatting sqref="M620:M621">
    <cfRule type="expression" dxfId="14463" priority="59110">
      <formula>$H620="ETAPA"</formula>
    </cfRule>
  </conditionalFormatting>
  <conditionalFormatting sqref="M623">
    <cfRule type="expression" dxfId="14462" priority="59074">
      <formula>$H623="CÉLULA CONSTRUTIVA"</formula>
    </cfRule>
    <cfRule type="expression" dxfId="14461" priority="59075">
      <formula>$H623="ETAPA"</formula>
    </cfRule>
  </conditionalFormatting>
  <conditionalFormatting sqref="M625 M627">
    <cfRule type="expression" dxfId="14460" priority="59104">
      <formula>$H625="CÉLULA CONSTRUTIVA"</formula>
    </cfRule>
    <cfRule type="expression" dxfId="14459" priority="59105">
      <formula>$H625="ETAPA"</formula>
    </cfRule>
  </conditionalFormatting>
  <conditionalFormatting sqref="M629 M631">
    <cfRule type="expression" dxfId="14458" priority="59106">
      <formula>$H629="CÉLULA CONSTRUTIVA"</formula>
    </cfRule>
    <cfRule type="expression" dxfId="14457" priority="59107">
      <formula>$H629="ETAPA"</formula>
    </cfRule>
  </conditionalFormatting>
  <conditionalFormatting sqref="M633:M634 H637:J637">
    <cfRule type="expression" dxfId="14456" priority="59096">
      <formula>$H633="ETAPA"</formula>
    </cfRule>
  </conditionalFormatting>
  <conditionalFormatting sqref="M636 M638">
    <cfRule type="expression" dxfId="14455" priority="59094">
      <formula>$H636="CÉLULA CONSTRUTIVA"</formula>
    </cfRule>
    <cfRule type="expression" dxfId="14454" priority="59095">
      <formula>$H636="ETAPA"</formula>
    </cfRule>
  </conditionalFormatting>
  <conditionalFormatting sqref="M640">
    <cfRule type="expression" dxfId="14453" priority="58514">
      <formula>$H640="CÉLULA CONSTRUTIVA"</formula>
    </cfRule>
    <cfRule type="expression" dxfId="14452" priority="58515">
      <formula>$H640="ETAPA"</formula>
    </cfRule>
  </conditionalFormatting>
  <conditionalFormatting sqref="M642 M644">
    <cfRule type="expression" dxfId="14451" priority="58516">
      <formula>$H642="CÉLULA CONSTRUTIVA"</formula>
    </cfRule>
    <cfRule type="expression" dxfId="14450" priority="58517">
      <formula>$H642="ETAPA"</formula>
    </cfRule>
  </conditionalFormatting>
  <conditionalFormatting sqref="M646:M647 H650:J650">
    <cfRule type="expression" dxfId="14449" priority="58506">
      <formula>$H646="ETAPA"</formula>
    </cfRule>
  </conditionalFormatting>
  <conditionalFormatting sqref="M649">
    <cfRule type="expression" dxfId="14448" priority="58477">
      <formula>$H649="CÉLULA CONSTRUTIVA"</formula>
    </cfRule>
    <cfRule type="expression" dxfId="14447" priority="58479">
      <formula>$H649="SUBETAPA"</formula>
    </cfRule>
  </conditionalFormatting>
  <conditionalFormatting sqref="M651">
    <cfRule type="expression" dxfId="14446" priority="58504">
      <formula>$H651="CÉLULA CONSTRUTIVA"</formula>
    </cfRule>
    <cfRule type="expression" dxfId="14445" priority="58505">
      <formula>$H651="ETAPA"</formula>
    </cfRule>
  </conditionalFormatting>
  <conditionalFormatting sqref="M653">
    <cfRule type="expression" dxfId="14444" priority="58596">
      <formula>$H653="CÉLULA CONSTRUTIVA"</formula>
    </cfRule>
    <cfRule type="expression" dxfId="14443" priority="58597">
      <formula>$H653="ETAPA"</formula>
    </cfRule>
  </conditionalFormatting>
  <conditionalFormatting sqref="M655 M657">
    <cfRule type="expression" dxfId="14442" priority="58598">
      <formula>$H655="CÉLULA CONSTRUTIVA"</formula>
    </cfRule>
    <cfRule type="expression" dxfId="14441" priority="58599">
      <formula>$H655="ETAPA"</formula>
    </cfRule>
  </conditionalFormatting>
  <conditionalFormatting sqref="M659:M660 H663:J663">
    <cfRule type="expression" dxfId="14440" priority="58588">
      <formula>$H659="ETAPA"</formula>
    </cfRule>
  </conditionalFormatting>
  <conditionalFormatting sqref="M662">
    <cfRule type="expression" dxfId="14439" priority="58474">
      <formula>$H662="CÉLULA CONSTRUTIVA"</formula>
    </cfRule>
    <cfRule type="expression" dxfId="14438" priority="58476">
      <formula>$H662="SUBETAPA"</formula>
    </cfRule>
  </conditionalFormatting>
  <conditionalFormatting sqref="M664">
    <cfRule type="expression" dxfId="14437" priority="58586">
      <formula>$H664="CÉLULA CONSTRUTIVA"</formula>
    </cfRule>
    <cfRule type="expression" dxfId="14436" priority="58587">
      <formula>$H664="ETAPA"</formula>
    </cfRule>
  </conditionalFormatting>
  <conditionalFormatting sqref="M666">
    <cfRule type="expression" dxfId="14435" priority="58678">
      <formula>$H666="CÉLULA CONSTRUTIVA"</formula>
    </cfRule>
    <cfRule type="expression" dxfId="14434" priority="58679">
      <formula>$H666="ETAPA"</formula>
    </cfRule>
  </conditionalFormatting>
  <conditionalFormatting sqref="M668 M670">
    <cfRule type="expression" dxfId="14433" priority="58680">
      <formula>$H668="CÉLULA CONSTRUTIVA"</formula>
    </cfRule>
    <cfRule type="expression" dxfId="14432" priority="58681">
      <formula>$H668="ETAPA"</formula>
    </cfRule>
  </conditionalFormatting>
  <conditionalFormatting sqref="M672:M673 H676:J676">
    <cfRule type="expression" dxfId="14431" priority="58670">
      <formula>$H672="ETAPA"</formula>
    </cfRule>
  </conditionalFormatting>
  <conditionalFormatting sqref="M675">
    <cfRule type="expression" dxfId="14430" priority="58471">
      <formula>$H675="CÉLULA CONSTRUTIVA"</formula>
    </cfRule>
    <cfRule type="expression" dxfId="14429" priority="58473">
      <formula>$H675="SUBETAPA"</formula>
    </cfRule>
  </conditionalFormatting>
  <conditionalFormatting sqref="M677">
    <cfRule type="expression" dxfId="14428" priority="58668">
      <formula>$H677="CÉLULA CONSTRUTIVA"</formula>
    </cfRule>
    <cfRule type="expression" dxfId="14427" priority="58669">
      <formula>$H677="ETAPA"</formula>
    </cfRule>
  </conditionalFormatting>
  <conditionalFormatting sqref="M679">
    <cfRule type="expression" dxfId="14426" priority="58760">
      <formula>$H679="CÉLULA CONSTRUTIVA"</formula>
    </cfRule>
    <cfRule type="expression" dxfId="14425" priority="58761">
      <formula>$H679="ETAPA"</formula>
    </cfRule>
  </conditionalFormatting>
  <conditionalFormatting sqref="M681 M683">
    <cfRule type="expression" dxfId="14424" priority="58762">
      <formula>$H681="CÉLULA CONSTRUTIVA"</formula>
    </cfRule>
    <cfRule type="expression" dxfId="14423" priority="58763">
      <formula>$H681="ETAPA"</formula>
    </cfRule>
  </conditionalFormatting>
  <conditionalFormatting sqref="M685:M686 H689:J689">
    <cfRule type="expression" dxfId="14422" priority="58752">
      <formula>$H685="ETAPA"</formula>
    </cfRule>
  </conditionalFormatting>
  <conditionalFormatting sqref="M688">
    <cfRule type="expression" dxfId="14421" priority="58468">
      <formula>$H688="CÉLULA CONSTRUTIVA"</formula>
    </cfRule>
    <cfRule type="expression" dxfId="14420" priority="58470">
      <formula>$H688="SUBETAPA"</formula>
    </cfRule>
  </conditionalFormatting>
  <conditionalFormatting sqref="M690">
    <cfRule type="expression" dxfId="14419" priority="58750">
      <formula>$H690="CÉLULA CONSTRUTIVA"</formula>
    </cfRule>
    <cfRule type="expression" dxfId="14418" priority="58751">
      <formula>$H690="ETAPA"</formula>
    </cfRule>
  </conditionalFormatting>
  <conditionalFormatting sqref="M692">
    <cfRule type="expression" dxfId="14417" priority="58842">
      <formula>$H692="CÉLULA CONSTRUTIVA"</formula>
    </cfRule>
    <cfRule type="expression" dxfId="14416" priority="58843">
      <formula>$H692="ETAPA"</formula>
    </cfRule>
  </conditionalFormatting>
  <conditionalFormatting sqref="M694 M696">
    <cfRule type="expression" dxfId="14415" priority="58844">
      <formula>$H694="CÉLULA CONSTRUTIVA"</formula>
    </cfRule>
    <cfRule type="expression" dxfId="14414" priority="58845">
      <formula>$H694="ETAPA"</formula>
    </cfRule>
  </conditionalFormatting>
  <conditionalFormatting sqref="M698:M699 H702:J702">
    <cfRule type="expression" dxfId="14413" priority="58834">
      <formula>$H698="ETAPA"</formula>
    </cfRule>
  </conditionalFormatting>
  <conditionalFormatting sqref="M701">
    <cfRule type="expression" dxfId="14412" priority="58465">
      <formula>$H701="CÉLULA CONSTRUTIVA"</formula>
    </cfRule>
    <cfRule type="expression" dxfId="14411" priority="58467">
      <formula>$H701="SUBETAPA"</formula>
    </cfRule>
  </conditionalFormatting>
  <conditionalFormatting sqref="M703">
    <cfRule type="expression" dxfId="14410" priority="58832">
      <formula>$H703="CÉLULA CONSTRUTIVA"</formula>
    </cfRule>
    <cfRule type="expression" dxfId="14409" priority="58833">
      <formula>$H703="ETAPA"</formula>
    </cfRule>
  </conditionalFormatting>
  <conditionalFormatting sqref="M705">
    <cfRule type="expression" dxfId="14408" priority="58924">
      <formula>$H705="CÉLULA CONSTRUTIVA"</formula>
    </cfRule>
    <cfRule type="expression" dxfId="14407" priority="58925">
      <formula>$H705="ETAPA"</formula>
    </cfRule>
  </conditionalFormatting>
  <conditionalFormatting sqref="M707 M709">
    <cfRule type="expression" dxfId="14406" priority="58926">
      <formula>$H707="CÉLULA CONSTRUTIVA"</formula>
    </cfRule>
    <cfRule type="expression" dxfId="14405" priority="58927">
      <formula>$H707="ETAPA"</formula>
    </cfRule>
  </conditionalFormatting>
  <conditionalFormatting sqref="M711:M712 H715:J715">
    <cfRule type="expression" dxfId="14404" priority="58916">
      <formula>$H711="ETAPA"</formula>
    </cfRule>
  </conditionalFormatting>
  <conditionalFormatting sqref="M714">
    <cfRule type="expression" dxfId="14403" priority="58462">
      <formula>$H714="CÉLULA CONSTRUTIVA"</formula>
    </cfRule>
    <cfRule type="expression" dxfId="14402" priority="58464">
      <formula>$H714="SUBETAPA"</formula>
    </cfRule>
  </conditionalFormatting>
  <conditionalFormatting sqref="M716">
    <cfRule type="expression" dxfId="14401" priority="58914">
      <formula>$H716="CÉLULA CONSTRUTIVA"</formula>
    </cfRule>
    <cfRule type="expression" dxfId="14400" priority="58915">
      <formula>$H716="ETAPA"</formula>
    </cfRule>
  </conditionalFormatting>
  <conditionalFormatting sqref="M718">
    <cfRule type="expression" dxfId="14399" priority="59009">
      <formula>$H718="CÉLULA CONSTRUTIVA"</formula>
    </cfRule>
    <cfRule type="expression" dxfId="14398" priority="59010">
      <formula>$H718="ETAPA"</formula>
    </cfRule>
  </conditionalFormatting>
  <conditionalFormatting sqref="M720 M722">
    <cfRule type="expression" dxfId="14397" priority="59011">
      <formula>$H720="CÉLULA CONSTRUTIVA"</formula>
    </cfRule>
    <cfRule type="expression" dxfId="14396" priority="59012">
      <formula>$H720="ETAPA"</formula>
    </cfRule>
  </conditionalFormatting>
  <conditionalFormatting sqref="M724:M725 H728:J728">
    <cfRule type="expression" dxfId="14395" priority="58998">
      <formula>$H724="ETAPA"</formula>
    </cfRule>
  </conditionalFormatting>
  <conditionalFormatting sqref="M727">
    <cfRule type="expression" dxfId="14394" priority="58459">
      <formula>$H727="CÉLULA CONSTRUTIVA"</formula>
    </cfRule>
    <cfRule type="expression" dxfId="14393" priority="58461">
      <formula>$H727="SUBETAPA"</formula>
    </cfRule>
  </conditionalFormatting>
  <conditionalFormatting sqref="M729">
    <cfRule type="expression" dxfId="14392" priority="58996">
      <formula>$H729="CÉLULA CONSTRUTIVA"</formula>
    </cfRule>
    <cfRule type="expression" dxfId="14391" priority="58997">
      <formula>$H729="ETAPA"</formula>
    </cfRule>
  </conditionalFormatting>
  <conditionalFormatting sqref="M731">
    <cfRule type="expression" dxfId="14390" priority="59186">
      <formula>$H731="CÉLULA CONSTRUTIVA"</formula>
    </cfRule>
    <cfRule type="expression" dxfId="14389" priority="59187">
      <formula>$H731="ETAPA"</formula>
    </cfRule>
  </conditionalFormatting>
  <conditionalFormatting sqref="M733 M735">
    <cfRule type="expression" dxfId="14388" priority="59188">
      <formula>$H733="CÉLULA CONSTRUTIVA"</formula>
    </cfRule>
    <cfRule type="expression" dxfId="14387" priority="59189">
      <formula>$H733="ETAPA"</formula>
    </cfRule>
  </conditionalFormatting>
  <conditionalFormatting sqref="M737:M738 H741:J741">
    <cfRule type="expression" dxfId="14386" priority="59178">
      <formula>$H737="ETAPA"</formula>
    </cfRule>
  </conditionalFormatting>
  <conditionalFormatting sqref="M740">
    <cfRule type="expression" dxfId="14385" priority="58456">
      <formula>$H740="CÉLULA CONSTRUTIVA"</formula>
    </cfRule>
    <cfRule type="expression" dxfId="14384" priority="58458">
      <formula>$H740="SUBETAPA"</formula>
    </cfRule>
  </conditionalFormatting>
  <conditionalFormatting sqref="M742">
    <cfRule type="expression" dxfId="14383" priority="59176">
      <formula>$H742="CÉLULA CONSTRUTIVA"</formula>
    </cfRule>
    <cfRule type="expression" dxfId="14382" priority="59177">
      <formula>$H742="ETAPA"</formula>
    </cfRule>
  </conditionalFormatting>
  <conditionalFormatting sqref="M744">
    <cfRule type="expression" dxfId="14381" priority="59268">
      <formula>$H744="CÉLULA CONSTRUTIVA"</formula>
    </cfRule>
    <cfRule type="expression" dxfId="14380" priority="59269">
      <formula>$H744="ETAPA"</formula>
    </cfRule>
  </conditionalFormatting>
  <conditionalFormatting sqref="M746 M748">
    <cfRule type="expression" dxfId="14379" priority="59270">
      <formula>$H746="CÉLULA CONSTRUTIVA"</formula>
    </cfRule>
    <cfRule type="expression" dxfId="14378" priority="59271">
      <formula>$H746="ETAPA"</formula>
    </cfRule>
  </conditionalFormatting>
  <conditionalFormatting sqref="M750:M751 H754:J754">
    <cfRule type="expression" dxfId="14377" priority="59260">
      <formula>$H750="ETAPA"</formula>
    </cfRule>
  </conditionalFormatting>
  <conditionalFormatting sqref="M753">
    <cfRule type="expression" dxfId="14376" priority="58453">
      <formula>$H753="CÉLULA CONSTRUTIVA"</formula>
    </cfRule>
    <cfRule type="expression" dxfId="14375" priority="58455">
      <formula>$H753="SUBETAPA"</formula>
    </cfRule>
  </conditionalFormatting>
  <conditionalFormatting sqref="M755">
    <cfRule type="expression" dxfId="14374" priority="59258">
      <formula>$H755="CÉLULA CONSTRUTIVA"</formula>
    </cfRule>
    <cfRule type="expression" dxfId="14373" priority="59259">
      <formula>$H755="ETAPA"</formula>
    </cfRule>
  </conditionalFormatting>
  <conditionalFormatting sqref="M757">
    <cfRule type="expression" dxfId="14372" priority="59350">
      <formula>$H757="CÉLULA CONSTRUTIVA"</formula>
    </cfRule>
    <cfRule type="expression" dxfId="14371" priority="59351">
      <formula>$H757="ETAPA"</formula>
    </cfRule>
  </conditionalFormatting>
  <conditionalFormatting sqref="M759 M761">
    <cfRule type="expression" dxfId="14370" priority="59352">
      <formula>$H759="CÉLULA CONSTRUTIVA"</formula>
    </cfRule>
    <cfRule type="expression" dxfId="14369" priority="59353">
      <formula>$H759="ETAPA"</formula>
    </cfRule>
  </conditionalFormatting>
  <conditionalFormatting sqref="M763:M764 H767:J767">
    <cfRule type="expression" dxfId="14368" priority="59342">
      <formula>$H763="ETAPA"</formula>
    </cfRule>
  </conditionalFormatting>
  <conditionalFormatting sqref="M766">
    <cfRule type="expression" dxfId="14367" priority="58450">
      <formula>$H766="CÉLULA CONSTRUTIVA"</formula>
    </cfRule>
    <cfRule type="expression" dxfId="14366" priority="58452">
      <formula>$H766="SUBETAPA"</formula>
    </cfRule>
  </conditionalFormatting>
  <conditionalFormatting sqref="M768">
    <cfRule type="expression" dxfId="14365" priority="59340">
      <formula>$H768="CÉLULA CONSTRUTIVA"</formula>
    </cfRule>
    <cfRule type="expression" dxfId="14364" priority="59341">
      <formula>$H768="ETAPA"</formula>
    </cfRule>
  </conditionalFormatting>
  <conditionalFormatting sqref="M770">
    <cfRule type="expression" dxfId="14363" priority="59432">
      <formula>$H770="CÉLULA CONSTRUTIVA"</formula>
    </cfRule>
    <cfRule type="expression" dxfId="14362" priority="59433">
      <formula>$H770="ETAPA"</formula>
    </cfRule>
  </conditionalFormatting>
  <conditionalFormatting sqref="M772 M774">
    <cfRule type="expression" dxfId="14361" priority="59434">
      <formula>$H772="CÉLULA CONSTRUTIVA"</formula>
    </cfRule>
    <cfRule type="expression" dxfId="14360" priority="59435">
      <formula>$H772="ETAPA"</formula>
    </cfRule>
  </conditionalFormatting>
  <conditionalFormatting sqref="M776:M777 H780:J780">
    <cfRule type="expression" dxfId="14359" priority="59424">
      <formula>$H776="ETAPA"</formula>
    </cfRule>
  </conditionalFormatting>
  <conditionalFormatting sqref="M779">
    <cfRule type="expression" dxfId="14358" priority="58447">
      <formula>$H779="CÉLULA CONSTRUTIVA"</formula>
    </cfRule>
    <cfRule type="expression" dxfId="14357" priority="58449">
      <formula>$H779="SUBETAPA"</formula>
    </cfRule>
  </conditionalFormatting>
  <conditionalFormatting sqref="M781">
    <cfRule type="expression" dxfId="14356" priority="59422">
      <formula>$H781="CÉLULA CONSTRUTIVA"</formula>
    </cfRule>
    <cfRule type="expression" dxfId="14355" priority="59423">
      <formula>$H781="ETAPA"</formula>
    </cfRule>
  </conditionalFormatting>
  <conditionalFormatting sqref="M783">
    <cfRule type="expression" dxfId="14354" priority="59514">
      <formula>$H783="CÉLULA CONSTRUTIVA"</formula>
    </cfRule>
    <cfRule type="expression" dxfId="14353" priority="59515">
      <formula>$H783="ETAPA"</formula>
    </cfRule>
  </conditionalFormatting>
  <conditionalFormatting sqref="M785 M787">
    <cfRule type="expression" dxfId="14352" priority="59516">
      <formula>$H785="CÉLULA CONSTRUTIVA"</formula>
    </cfRule>
    <cfRule type="expression" dxfId="14351" priority="59517">
      <formula>$H785="ETAPA"</formula>
    </cfRule>
  </conditionalFormatting>
  <conditionalFormatting sqref="M789:M790 H793:J793">
    <cfRule type="expression" dxfId="14350" priority="59506">
      <formula>$H789="ETAPA"</formula>
    </cfRule>
  </conditionalFormatting>
  <conditionalFormatting sqref="M792">
    <cfRule type="expression" dxfId="14349" priority="58444">
      <formula>$H792="CÉLULA CONSTRUTIVA"</formula>
    </cfRule>
    <cfRule type="expression" dxfId="14348" priority="58446">
      <formula>$H792="SUBETAPA"</formula>
    </cfRule>
  </conditionalFormatting>
  <conditionalFormatting sqref="M794">
    <cfRule type="expression" dxfId="14347" priority="59504">
      <formula>$H794="CÉLULA CONSTRUTIVA"</formula>
    </cfRule>
    <cfRule type="expression" dxfId="14346" priority="59505">
      <formula>$H794="ETAPA"</formula>
    </cfRule>
  </conditionalFormatting>
  <conditionalFormatting sqref="M796">
    <cfRule type="expression" dxfId="14345" priority="59596">
      <formula>$H796="CÉLULA CONSTRUTIVA"</formula>
    </cfRule>
    <cfRule type="expression" dxfId="14344" priority="59597">
      <formula>$H796="ETAPA"</formula>
    </cfRule>
  </conditionalFormatting>
  <conditionalFormatting sqref="M798 M800">
    <cfRule type="expression" dxfId="14343" priority="59598">
      <formula>$H798="CÉLULA CONSTRUTIVA"</formula>
    </cfRule>
    <cfRule type="expression" dxfId="14342" priority="59599">
      <formula>$H798="ETAPA"</formula>
    </cfRule>
  </conditionalFormatting>
  <conditionalFormatting sqref="M802:M803 H806:J806">
    <cfRule type="expression" dxfId="14341" priority="59588">
      <formula>$H802="ETAPA"</formula>
    </cfRule>
  </conditionalFormatting>
  <conditionalFormatting sqref="M805">
    <cfRule type="expression" dxfId="14340" priority="58441">
      <formula>$H805="CÉLULA CONSTRUTIVA"</formula>
    </cfRule>
    <cfRule type="expression" dxfId="14339" priority="58443">
      <formula>$H805="SUBETAPA"</formula>
    </cfRule>
  </conditionalFormatting>
  <conditionalFormatting sqref="M807">
    <cfRule type="expression" dxfId="14338" priority="59586">
      <formula>$H807="CÉLULA CONSTRUTIVA"</formula>
    </cfRule>
    <cfRule type="expression" dxfId="14337" priority="59587">
      <formula>$H807="ETAPA"</formula>
    </cfRule>
  </conditionalFormatting>
  <conditionalFormatting sqref="M809 M811">
    <cfRule type="expression" dxfId="14336" priority="56836">
      <formula>$H809="CÉLULA CONSTRUTIVA"</formula>
    </cfRule>
    <cfRule type="expression" dxfId="14335" priority="56837">
      <formula>$H809="ETAPA"</formula>
    </cfRule>
  </conditionalFormatting>
  <conditionalFormatting sqref="M814">
    <cfRule type="expression" dxfId="14334" priority="56827">
      <formula>$H814="CÉLULA CONSTRUTIVA"</formula>
    </cfRule>
    <cfRule type="expression" dxfId="14333" priority="56828">
      <formula>$H814="ETAPA"</formula>
    </cfRule>
  </conditionalFormatting>
  <conditionalFormatting sqref="M816">
    <cfRule type="expression" dxfId="14332" priority="56829">
      <formula>$H816="CÉLULA CONSTRUTIVA"</formula>
    </cfRule>
    <cfRule type="expression" dxfId="14331" priority="56830">
      <formula>$H816="ETAPA"</formula>
    </cfRule>
  </conditionalFormatting>
  <conditionalFormatting sqref="M818:M819">
    <cfRule type="expression" dxfId="14330" priority="56819">
      <formula>$H818="ETAPA"</formula>
    </cfRule>
  </conditionalFormatting>
  <conditionalFormatting sqref="M820 M822">
    <cfRule type="expression" dxfId="14329" priority="56945">
      <formula>$H820="CÉLULA CONSTRUTIVA"</formula>
    </cfRule>
    <cfRule type="expression" dxfId="14328" priority="56946">
      <formula>$H820="ETAPA"</formula>
    </cfRule>
  </conditionalFormatting>
  <conditionalFormatting sqref="M825">
    <cfRule type="expression" dxfId="14327" priority="56936">
      <formula>$H825="CÉLULA CONSTRUTIVA"</formula>
    </cfRule>
    <cfRule type="expression" dxfId="14326" priority="56937">
      <formula>$H825="ETAPA"</formula>
    </cfRule>
  </conditionalFormatting>
  <conditionalFormatting sqref="M827:M828">
    <cfRule type="expression" dxfId="14325" priority="56928">
      <formula>$H827="ETAPA"</formula>
    </cfRule>
  </conditionalFormatting>
  <conditionalFormatting sqref="M829 M831">
    <cfRule type="expression" dxfId="14324" priority="57054">
      <formula>$H829="CÉLULA CONSTRUTIVA"</formula>
    </cfRule>
    <cfRule type="expression" dxfId="14323" priority="57055">
      <formula>$H829="ETAPA"</formula>
    </cfRule>
  </conditionalFormatting>
  <conditionalFormatting sqref="M834">
    <cfRule type="expression" dxfId="14322" priority="57045">
      <formula>$H834="CÉLULA CONSTRUTIVA"</formula>
    </cfRule>
    <cfRule type="expression" dxfId="14321" priority="57046">
      <formula>$H834="ETAPA"</formula>
    </cfRule>
  </conditionalFormatting>
  <conditionalFormatting sqref="M836">
    <cfRule type="expression" dxfId="14320" priority="57037">
      <formula>$H836="ETAPA"</formula>
    </cfRule>
  </conditionalFormatting>
  <conditionalFormatting sqref="M837">
    <cfRule type="expression" dxfId="14319" priority="3422">
      <formula>$H837="ETAPA"</formula>
    </cfRule>
  </conditionalFormatting>
  <conditionalFormatting sqref="M838 M840">
    <cfRule type="expression" dxfId="14318" priority="57163">
      <formula>$H838="CÉLULA CONSTRUTIVA"</formula>
    </cfRule>
    <cfRule type="expression" dxfId="14317" priority="57164">
      <formula>$H838="ETAPA"</formula>
    </cfRule>
  </conditionalFormatting>
  <conditionalFormatting sqref="M843">
    <cfRule type="expression" dxfId="14316" priority="57154">
      <formula>$H843="CÉLULA CONSTRUTIVA"</formula>
    </cfRule>
    <cfRule type="expression" dxfId="14315" priority="57155">
      <formula>$H843="ETAPA"</formula>
    </cfRule>
  </conditionalFormatting>
  <conditionalFormatting sqref="M845">
    <cfRule type="expression" dxfId="14314" priority="57146">
      <formula>$H845="ETAPA"</formula>
    </cfRule>
  </conditionalFormatting>
  <conditionalFormatting sqref="M846">
    <cfRule type="expression" dxfId="14313" priority="3414">
      <formula>$H846="ETAPA"</formula>
    </cfRule>
  </conditionalFormatting>
  <conditionalFormatting sqref="M847 M849">
    <cfRule type="expression" dxfId="14312" priority="57272">
      <formula>$H847="CÉLULA CONSTRUTIVA"</formula>
    </cfRule>
    <cfRule type="expression" dxfId="14311" priority="57273">
      <formula>$H847="ETAPA"</formula>
    </cfRule>
  </conditionalFormatting>
  <conditionalFormatting sqref="M852">
    <cfRule type="expression" dxfId="14310" priority="57263">
      <formula>$H852="CÉLULA CONSTRUTIVA"</formula>
    </cfRule>
    <cfRule type="expression" dxfId="14309" priority="57264">
      <formula>$H852="ETAPA"</formula>
    </cfRule>
  </conditionalFormatting>
  <conditionalFormatting sqref="M854">
    <cfRule type="expression" dxfId="14308" priority="57255">
      <formula>$H854="ETAPA"</formula>
    </cfRule>
  </conditionalFormatting>
  <conditionalFormatting sqref="M855">
    <cfRule type="expression" dxfId="14307" priority="3406">
      <formula>$H855="ETAPA"</formula>
    </cfRule>
  </conditionalFormatting>
  <conditionalFormatting sqref="M856 M858">
    <cfRule type="expression" dxfId="14306" priority="57381">
      <formula>$H856="CÉLULA CONSTRUTIVA"</formula>
    </cfRule>
    <cfRule type="expression" dxfId="14305" priority="57382">
      <formula>$H856="ETAPA"</formula>
    </cfRule>
  </conditionalFormatting>
  <conditionalFormatting sqref="M861">
    <cfRule type="expression" dxfId="14304" priority="57372">
      <formula>$H861="CÉLULA CONSTRUTIVA"</formula>
    </cfRule>
    <cfRule type="expression" dxfId="14303" priority="57373">
      <formula>$H861="ETAPA"</formula>
    </cfRule>
  </conditionalFormatting>
  <conditionalFormatting sqref="M863">
    <cfRule type="expression" dxfId="14302" priority="57364">
      <formula>$H863="ETAPA"</formula>
    </cfRule>
  </conditionalFormatting>
  <conditionalFormatting sqref="M864">
    <cfRule type="expression" dxfId="14301" priority="3398">
      <formula>$H864="ETAPA"</formula>
    </cfRule>
  </conditionalFormatting>
  <conditionalFormatting sqref="M865 M867">
    <cfRule type="expression" dxfId="14300" priority="57490">
      <formula>$H865="CÉLULA CONSTRUTIVA"</formula>
    </cfRule>
    <cfRule type="expression" dxfId="14299" priority="57491">
      <formula>$H865="ETAPA"</formula>
    </cfRule>
  </conditionalFormatting>
  <conditionalFormatting sqref="M870">
    <cfRule type="expression" dxfId="14298" priority="57481">
      <formula>$H870="CÉLULA CONSTRUTIVA"</formula>
    </cfRule>
    <cfRule type="expression" dxfId="14297" priority="57482">
      <formula>$H870="ETAPA"</formula>
    </cfRule>
  </conditionalFormatting>
  <conditionalFormatting sqref="M872">
    <cfRule type="expression" dxfId="14296" priority="57473">
      <formula>$H872="ETAPA"</formula>
    </cfRule>
  </conditionalFormatting>
  <conditionalFormatting sqref="M873">
    <cfRule type="expression" dxfId="14295" priority="3390">
      <formula>$H873="ETAPA"</formula>
    </cfRule>
  </conditionalFormatting>
  <conditionalFormatting sqref="M874 M876">
    <cfRule type="expression" dxfId="14294" priority="57599">
      <formula>$H874="CÉLULA CONSTRUTIVA"</formula>
    </cfRule>
    <cfRule type="expression" dxfId="14293" priority="57600">
      <formula>$H874="ETAPA"</formula>
    </cfRule>
  </conditionalFormatting>
  <conditionalFormatting sqref="M879">
    <cfRule type="expression" dxfId="14292" priority="57590">
      <formula>$H879="CÉLULA CONSTRUTIVA"</formula>
    </cfRule>
    <cfRule type="expression" dxfId="14291" priority="57591">
      <formula>$H879="ETAPA"</formula>
    </cfRule>
  </conditionalFormatting>
  <conditionalFormatting sqref="M881">
    <cfRule type="expression" dxfId="14290" priority="57582">
      <formula>$H881="ETAPA"</formula>
    </cfRule>
  </conditionalFormatting>
  <conditionalFormatting sqref="M882">
    <cfRule type="expression" dxfId="14289" priority="3382">
      <formula>$H882="ETAPA"</formula>
    </cfRule>
  </conditionalFormatting>
  <conditionalFormatting sqref="M883 M885">
    <cfRule type="expression" dxfId="14288" priority="57708">
      <formula>$H883="CÉLULA CONSTRUTIVA"</formula>
    </cfRule>
    <cfRule type="expression" dxfId="14287" priority="57709">
      <formula>$H883="ETAPA"</formula>
    </cfRule>
  </conditionalFormatting>
  <conditionalFormatting sqref="M888">
    <cfRule type="expression" dxfId="14286" priority="57699">
      <formula>$H888="CÉLULA CONSTRUTIVA"</formula>
    </cfRule>
    <cfRule type="expression" dxfId="14285" priority="57700">
      <formula>$H888="ETAPA"</formula>
    </cfRule>
  </conditionalFormatting>
  <conditionalFormatting sqref="M890">
    <cfRule type="expression" dxfId="14284" priority="57691">
      <formula>$H890="ETAPA"</formula>
    </cfRule>
  </conditionalFormatting>
  <conditionalFormatting sqref="M891">
    <cfRule type="expression" dxfId="14283" priority="3374">
      <formula>$H891="ETAPA"</formula>
    </cfRule>
  </conditionalFormatting>
  <conditionalFormatting sqref="M892 M894">
    <cfRule type="expression" dxfId="14282" priority="57817">
      <formula>$H892="CÉLULA CONSTRUTIVA"</formula>
    </cfRule>
    <cfRule type="expression" dxfId="14281" priority="57818">
      <formula>$H892="ETAPA"</formula>
    </cfRule>
  </conditionalFormatting>
  <conditionalFormatting sqref="M897">
    <cfRule type="expression" dxfId="14280" priority="57808">
      <formula>$H897="CÉLULA CONSTRUTIVA"</formula>
    </cfRule>
    <cfRule type="expression" dxfId="14279" priority="57809">
      <formula>$H897="ETAPA"</formula>
    </cfRule>
  </conditionalFormatting>
  <conditionalFormatting sqref="M899">
    <cfRule type="expression" dxfId="14278" priority="57810">
      <formula>$H899="CÉLULA CONSTRUTIVA"</formula>
    </cfRule>
    <cfRule type="expression" dxfId="14277" priority="57811">
      <formula>$H899="ETAPA"</formula>
    </cfRule>
  </conditionalFormatting>
  <conditionalFormatting sqref="M901">
    <cfRule type="expression" dxfId="14276" priority="57800">
      <formula>$H901="ETAPA"</formula>
    </cfRule>
  </conditionalFormatting>
  <conditionalFormatting sqref="M902">
    <cfRule type="expression" dxfId="14275" priority="3366">
      <formula>$H902="ETAPA"</formula>
    </cfRule>
  </conditionalFormatting>
  <conditionalFormatting sqref="M903 M905">
    <cfRule type="expression" dxfId="14274" priority="57926">
      <formula>$H903="CÉLULA CONSTRUTIVA"</formula>
    </cfRule>
    <cfRule type="expression" dxfId="14273" priority="57927">
      <formula>$H903="ETAPA"</formula>
    </cfRule>
  </conditionalFormatting>
  <conditionalFormatting sqref="M908">
    <cfRule type="expression" dxfId="14272" priority="57917">
      <formula>$H908="CÉLULA CONSTRUTIVA"</formula>
    </cfRule>
    <cfRule type="expression" dxfId="14271" priority="57918">
      <formula>$H908="ETAPA"</formula>
    </cfRule>
  </conditionalFormatting>
  <conditionalFormatting sqref="M910">
    <cfRule type="expression" dxfId="14270" priority="57919">
      <formula>$H910="CÉLULA CONSTRUTIVA"</formula>
    </cfRule>
    <cfRule type="expression" dxfId="14269" priority="57920">
      <formula>$H910="ETAPA"</formula>
    </cfRule>
  </conditionalFormatting>
  <conditionalFormatting sqref="M912">
    <cfRule type="expression" dxfId="14268" priority="57909">
      <formula>$H912="ETAPA"</formula>
    </cfRule>
  </conditionalFormatting>
  <conditionalFormatting sqref="M913">
    <cfRule type="expression" dxfId="14267" priority="3358">
      <formula>$H913="ETAPA"</formula>
    </cfRule>
  </conditionalFormatting>
  <conditionalFormatting sqref="M914 M916">
    <cfRule type="expression" dxfId="14266" priority="58035">
      <formula>$H914="CÉLULA CONSTRUTIVA"</formula>
    </cfRule>
    <cfRule type="expression" dxfId="14265" priority="58036">
      <formula>$H914="ETAPA"</formula>
    </cfRule>
  </conditionalFormatting>
  <conditionalFormatting sqref="M919">
    <cfRule type="expression" dxfId="14264" priority="58026">
      <formula>$H919="CÉLULA CONSTRUTIVA"</formula>
    </cfRule>
    <cfRule type="expression" dxfId="14263" priority="58027">
      <formula>$H919="ETAPA"</formula>
    </cfRule>
  </conditionalFormatting>
  <conditionalFormatting sqref="M921">
    <cfRule type="expression" dxfId="14262" priority="58018">
      <formula>$H921="ETAPA"</formula>
    </cfRule>
  </conditionalFormatting>
  <conditionalFormatting sqref="M922">
    <cfRule type="expression" dxfId="14261" priority="3350">
      <formula>$H922="ETAPA"</formula>
    </cfRule>
  </conditionalFormatting>
  <conditionalFormatting sqref="M923 M925">
    <cfRule type="expression" dxfId="14260" priority="58144">
      <formula>$H923="CÉLULA CONSTRUTIVA"</formula>
    </cfRule>
    <cfRule type="expression" dxfId="14259" priority="58145">
      <formula>$H923="ETAPA"</formula>
    </cfRule>
  </conditionalFormatting>
  <conditionalFormatting sqref="M928">
    <cfRule type="expression" dxfId="14258" priority="58135">
      <formula>$H928="CÉLULA CONSTRUTIVA"</formula>
    </cfRule>
    <cfRule type="expression" dxfId="14257" priority="58136">
      <formula>$H928="ETAPA"</formula>
    </cfRule>
  </conditionalFormatting>
  <conditionalFormatting sqref="M930">
    <cfRule type="expression" dxfId="14256" priority="58127">
      <formula>$H930="ETAPA"</formula>
    </cfRule>
  </conditionalFormatting>
  <conditionalFormatting sqref="M931">
    <cfRule type="expression" dxfId="14255" priority="3342">
      <formula>$H931="ETAPA"</formula>
    </cfRule>
  </conditionalFormatting>
  <conditionalFormatting sqref="M932 M934">
    <cfRule type="expression" dxfId="14254" priority="58253">
      <formula>$H932="CÉLULA CONSTRUTIVA"</formula>
    </cfRule>
    <cfRule type="expression" dxfId="14253" priority="58254">
      <formula>$H932="ETAPA"</formula>
    </cfRule>
  </conditionalFormatting>
  <conditionalFormatting sqref="M937">
    <cfRule type="expression" dxfId="14252" priority="58244">
      <formula>$H937="CÉLULA CONSTRUTIVA"</formula>
    </cfRule>
    <cfRule type="expression" dxfId="14251" priority="58245">
      <formula>$H937="ETAPA"</formula>
    </cfRule>
  </conditionalFormatting>
  <conditionalFormatting sqref="M939">
    <cfRule type="expression" dxfId="14250" priority="58246">
      <formula>$H939="CÉLULA CONSTRUTIVA"</formula>
    </cfRule>
    <cfRule type="expression" dxfId="14249" priority="58247">
      <formula>$H939="ETAPA"</formula>
    </cfRule>
  </conditionalFormatting>
  <conditionalFormatting sqref="M941">
    <cfRule type="expression" dxfId="14248" priority="58236">
      <formula>$H941="ETAPA"</formula>
    </cfRule>
  </conditionalFormatting>
  <conditionalFormatting sqref="M942">
    <cfRule type="expression" dxfId="14247" priority="3334">
      <formula>$H942="ETAPA"</formula>
    </cfRule>
  </conditionalFormatting>
  <conditionalFormatting sqref="M944:M945">
    <cfRule type="expression" dxfId="14246" priority="51555">
      <formula>$H944="ETAPA"</formula>
    </cfRule>
  </conditionalFormatting>
  <conditionalFormatting sqref="M947">
    <cfRule type="expression" dxfId="14245" priority="51557">
      <formula>$H947="CÉLULA CONSTRUTIVA"</formula>
    </cfRule>
    <cfRule type="expression" dxfId="14244" priority="51558">
      <formula>$H947="ETAPA"</formula>
    </cfRule>
  </conditionalFormatting>
  <conditionalFormatting sqref="M949">
    <cfRule type="expression" dxfId="14243" priority="51496">
      <formula>$H949="CÉLULA CONSTRUTIVA"</formula>
    </cfRule>
    <cfRule type="expression" dxfId="14242" priority="51497">
      <formula>$H949="ETAPA"</formula>
    </cfRule>
  </conditionalFormatting>
  <conditionalFormatting sqref="M955 M957">
    <cfRule type="expression" dxfId="14241" priority="51562">
      <formula>$H955="CÉLULA CONSTRUTIVA"</formula>
    </cfRule>
    <cfRule type="expression" dxfId="14240" priority="51563">
      <formula>$H955="ETAPA"</formula>
    </cfRule>
  </conditionalFormatting>
  <conditionalFormatting sqref="M959:M960">
    <cfRule type="expression" dxfId="14239" priority="51710">
      <formula>$H959="ETAPA"</formula>
    </cfRule>
  </conditionalFormatting>
  <conditionalFormatting sqref="M962">
    <cfRule type="expression" dxfId="14238" priority="51712">
      <formula>$H962="CÉLULA CONSTRUTIVA"</formula>
    </cfRule>
    <cfRule type="expression" dxfId="14237" priority="51713">
      <formula>$H962="ETAPA"</formula>
    </cfRule>
  </conditionalFormatting>
  <conditionalFormatting sqref="M964">
    <cfRule type="expression" dxfId="14236" priority="51458">
      <formula>$H964="CÉLULA CONSTRUTIVA"</formula>
    </cfRule>
    <cfRule type="expression" dxfId="14235" priority="51459">
      <formula>$H964="ETAPA"</formula>
    </cfRule>
  </conditionalFormatting>
  <conditionalFormatting sqref="M965">
    <cfRule type="expression" dxfId="14234" priority="51472">
      <formula>$H965="ETAPA"</formula>
    </cfRule>
  </conditionalFormatting>
  <conditionalFormatting sqref="M970 M972">
    <cfRule type="expression" dxfId="14233" priority="51717">
      <formula>$H970="CÉLULA CONSTRUTIVA"</formula>
    </cfRule>
    <cfRule type="expression" dxfId="14232" priority="51718">
      <formula>$H970="ETAPA"</formula>
    </cfRule>
  </conditionalFormatting>
  <conditionalFormatting sqref="M974:M975">
    <cfRule type="expression" dxfId="14231" priority="51868">
      <formula>$H974="ETAPA"</formula>
    </cfRule>
  </conditionalFormatting>
  <conditionalFormatting sqref="M977">
    <cfRule type="expression" dxfId="14230" priority="51870">
      <formula>$H977="CÉLULA CONSTRUTIVA"</formula>
    </cfRule>
    <cfRule type="expression" dxfId="14229" priority="51871">
      <formula>$H977="ETAPA"</formula>
    </cfRule>
  </conditionalFormatting>
  <conditionalFormatting sqref="M979">
    <cfRule type="expression" dxfId="14228" priority="51420">
      <formula>$H979="CÉLULA CONSTRUTIVA"</formula>
    </cfRule>
    <cfRule type="expression" dxfId="14227" priority="51421">
      <formula>$H979="ETAPA"</formula>
    </cfRule>
  </conditionalFormatting>
  <conditionalFormatting sqref="M980">
    <cfRule type="expression" dxfId="14226" priority="51434">
      <formula>$H980="ETAPA"</formula>
    </cfRule>
  </conditionalFormatting>
  <conditionalFormatting sqref="M985 M987">
    <cfRule type="expression" dxfId="14225" priority="51875">
      <formula>$H985="CÉLULA CONSTRUTIVA"</formula>
    </cfRule>
    <cfRule type="expression" dxfId="14224" priority="51876">
      <formula>$H985="ETAPA"</formula>
    </cfRule>
  </conditionalFormatting>
  <conditionalFormatting sqref="M989:M990">
    <cfRule type="expression" dxfId="14223" priority="52023">
      <formula>$H989="ETAPA"</formula>
    </cfRule>
  </conditionalFormatting>
  <conditionalFormatting sqref="M992">
    <cfRule type="expression" dxfId="14222" priority="52025">
      <formula>$H992="CÉLULA CONSTRUTIVA"</formula>
    </cfRule>
    <cfRule type="expression" dxfId="14221" priority="52026">
      <formula>$H992="ETAPA"</formula>
    </cfRule>
  </conditionalFormatting>
  <conditionalFormatting sqref="M994">
    <cfRule type="expression" dxfId="14220" priority="51382">
      <formula>$H994="CÉLULA CONSTRUTIVA"</formula>
    </cfRule>
    <cfRule type="expression" dxfId="14219" priority="51383">
      <formula>$H994="ETAPA"</formula>
    </cfRule>
  </conditionalFormatting>
  <conditionalFormatting sqref="M995">
    <cfRule type="expression" dxfId="14218" priority="51396">
      <formula>$H995="ETAPA"</formula>
    </cfRule>
  </conditionalFormatting>
  <conditionalFormatting sqref="M1000 M1002">
    <cfRule type="expression" dxfId="14217" priority="52030">
      <formula>$H1000="CÉLULA CONSTRUTIVA"</formula>
    </cfRule>
    <cfRule type="expression" dxfId="14216" priority="52031">
      <formula>$H1000="ETAPA"</formula>
    </cfRule>
  </conditionalFormatting>
  <conditionalFormatting sqref="M1004:M1005">
    <cfRule type="expression" dxfId="14215" priority="52181">
      <formula>$H1004="ETAPA"</formula>
    </cfRule>
  </conditionalFormatting>
  <conditionalFormatting sqref="M1007">
    <cfRule type="expression" dxfId="14214" priority="52183">
      <formula>$H1007="CÉLULA CONSTRUTIVA"</formula>
    </cfRule>
    <cfRule type="expression" dxfId="14213" priority="52184">
      <formula>$H1007="ETAPA"</formula>
    </cfRule>
  </conditionalFormatting>
  <conditionalFormatting sqref="M1009">
    <cfRule type="expression" dxfId="14212" priority="51344">
      <formula>$H1009="CÉLULA CONSTRUTIVA"</formula>
    </cfRule>
    <cfRule type="expression" dxfId="14211" priority="51345">
      <formula>$H1009="ETAPA"</formula>
    </cfRule>
  </conditionalFormatting>
  <conditionalFormatting sqref="M1010">
    <cfRule type="expression" dxfId="14210" priority="51358">
      <formula>$H1010="ETAPA"</formula>
    </cfRule>
  </conditionalFormatting>
  <conditionalFormatting sqref="M1015 M1017">
    <cfRule type="expression" dxfId="14209" priority="52188">
      <formula>$H1015="CÉLULA CONSTRUTIVA"</formula>
    </cfRule>
    <cfRule type="expression" dxfId="14208" priority="52189">
      <formula>$H1015="ETAPA"</formula>
    </cfRule>
  </conditionalFormatting>
  <conditionalFormatting sqref="M1019:M1020">
    <cfRule type="expression" dxfId="14207" priority="52336">
      <formula>$H1019="ETAPA"</formula>
    </cfRule>
  </conditionalFormatting>
  <conditionalFormatting sqref="M1022">
    <cfRule type="expression" dxfId="14206" priority="52338">
      <formula>$H1022="CÉLULA CONSTRUTIVA"</formula>
    </cfRule>
    <cfRule type="expression" dxfId="14205" priority="52339">
      <formula>$H1022="ETAPA"</formula>
    </cfRule>
  </conditionalFormatting>
  <conditionalFormatting sqref="M1024">
    <cfRule type="expression" dxfId="14204" priority="51306">
      <formula>$H1024="CÉLULA CONSTRUTIVA"</formula>
    </cfRule>
    <cfRule type="expression" dxfId="14203" priority="51307">
      <formula>$H1024="ETAPA"</formula>
    </cfRule>
  </conditionalFormatting>
  <conditionalFormatting sqref="M1025">
    <cfRule type="expression" dxfId="14202" priority="51320">
      <formula>$H1025="ETAPA"</formula>
    </cfRule>
  </conditionalFormatting>
  <conditionalFormatting sqref="M1030 M1032">
    <cfRule type="expression" dxfId="14201" priority="52343">
      <formula>$H1030="CÉLULA CONSTRUTIVA"</formula>
    </cfRule>
    <cfRule type="expression" dxfId="14200" priority="52344">
      <formula>$H1030="ETAPA"</formula>
    </cfRule>
  </conditionalFormatting>
  <conditionalFormatting sqref="M1034:M1035">
    <cfRule type="expression" dxfId="14199" priority="52491">
      <formula>$H1034="ETAPA"</formula>
    </cfRule>
  </conditionalFormatting>
  <conditionalFormatting sqref="M1037">
    <cfRule type="expression" dxfId="14198" priority="52493">
      <formula>$H1037="CÉLULA CONSTRUTIVA"</formula>
    </cfRule>
    <cfRule type="expression" dxfId="14197" priority="52494">
      <formula>$H1037="ETAPA"</formula>
    </cfRule>
  </conditionalFormatting>
  <conditionalFormatting sqref="M1039">
    <cfRule type="expression" dxfId="14196" priority="51268">
      <formula>$H1039="CÉLULA CONSTRUTIVA"</formula>
    </cfRule>
    <cfRule type="expression" dxfId="14195" priority="51269">
      <formula>$H1039="ETAPA"</formula>
    </cfRule>
  </conditionalFormatting>
  <conditionalFormatting sqref="M1040">
    <cfRule type="expression" dxfId="14194" priority="51282">
      <formula>$H1040="ETAPA"</formula>
    </cfRule>
  </conditionalFormatting>
  <conditionalFormatting sqref="M1045 M1047">
    <cfRule type="expression" dxfId="14193" priority="52498">
      <formula>$H1045="CÉLULA CONSTRUTIVA"</formula>
    </cfRule>
    <cfRule type="expression" dxfId="14192" priority="52499">
      <formula>$H1045="ETAPA"</formula>
    </cfRule>
  </conditionalFormatting>
  <conditionalFormatting sqref="M1049:M1050">
    <cfRule type="expression" dxfId="14191" priority="52649">
      <formula>$H1049="ETAPA"</formula>
    </cfRule>
  </conditionalFormatting>
  <conditionalFormatting sqref="M1052">
    <cfRule type="expression" dxfId="14190" priority="52651">
      <formula>$H1052="CÉLULA CONSTRUTIVA"</formula>
    </cfRule>
    <cfRule type="expression" dxfId="14189" priority="52652">
      <formula>$H1052="ETAPA"</formula>
    </cfRule>
  </conditionalFormatting>
  <conditionalFormatting sqref="M1054">
    <cfRule type="expression" dxfId="14188" priority="51230">
      <formula>$H1054="CÉLULA CONSTRUTIVA"</formula>
    </cfRule>
    <cfRule type="expression" dxfId="14187" priority="51231">
      <formula>$H1054="ETAPA"</formula>
    </cfRule>
  </conditionalFormatting>
  <conditionalFormatting sqref="M1055">
    <cfRule type="expression" dxfId="14186" priority="51244">
      <formula>$H1055="ETAPA"</formula>
    </cfRule>
  </conditionalFormatting>
  <conditionalFormatting sqref="M1060 M1062">
    <cfRule type="expression" dxfId="14185" priority="52656">
      <formula>$H1060="CÉLULA CONSTRUTIVA"</formula>
    </cfRule>
    <cfRule type="expression" dxfId="14184" priority="52657">
      <formula>$H1060="ETAPA"</formula>
    </cfRule>
  </conditionalFormatting>
  <conditionalFormatting sqref="M1064:M1065">
    <cfRule type="expression" dxfId="14183" priority="52804">
      <formula>$H1064="ETAPA"</formula>
    </cfRule>
  </conditionalFormatting>
  <conditionalFormatting sqref="M1067">
    <cfRule type="expression" dxfId="14182" priority="52806">
      <formula>$H1067="CÉLULA CONSTRUTIVA"</formula>
    </cfRule>
    <cfRule type="expression" dxfId="14181" priority="52807">
      <formula>$H1067="ETAPA"</formula>
    </cfRule>
  </conditionalFormatting>
  <conditionalFormatting sqref="M1069">
    <cfRule type="expression" dxfId="14180" priority="51192">
      <formula>$H1069="CÉLULA CONSTRUTIVA"</formula>
    </cfRule>
    <cfRule type="expression" dxfId="14179" priority="51193">
      <formula>$H1069="ETAPA"</formula>
    </cfRule>
  </conditionalFormatting>
  <conditionalFormatting sqref="M1070">
    <cfRule type="expression" dxfId="14178" priority="51206">
      <formula>$H1070="ETAPA"</formula>
    </cfRule>
  </conditionalFormatting>
  <conditionalFormatting sqref="M1075 M1077">
    <cfRule type="expression" dxfId="14177" priority="52811">
      <formula>$H1075="CÉLULA CONSTRUTIVA"</formula>
    </cfRule>
    <cfRule type="expression" dxfId="14176" priority="52812">
      <formula>$H1075="ETAPA"</formula>
    </cfRule>
  </conditionalFormatting>
  <conditionalFormatting sqref="M1079:M1080">
    <cfRule type="expression" dxfId="14175" priority="52962">
      <formula>$H1079="ETAPA"</formula>
    </cfRule>
  </conditionalFormatting>
  <conditionalFormatting sqref="M1082">
    <cfRule type="expression" dxfId="14174" priority="52964">
      <formula>$H1082="CÉLULA CONSTRUTIVA"</formula>
    </cfRule>
    <cfRule type="expression" dxfId="14173" priority="52965">
      <formula>$H1082="ETAPA"</formula>
    </cfRule>
  </conditionalFormatting>
  <conditionalFormatting sqref="M1084">
    <cfRule type="expression" dxfId="14172" priority="51154">
      <formula>$H1084="CÉLULA CONSTRUTIVA"</formula>
    </cfRule>
    <cfRule type="expression" dxfId="14171" priority="51155">
      <formula>$H1084="ETAPA"</formula>
    </cfRule>
  </conditionalFormatting>
  <conditionalFormatting sqref="M1085">
    <cfRule type="expression" dxfId="14170" priority="51168">
      <formula>$H1085="ETAPA"</formula>
    </cfRule>
  </conditionalFormatting>
  <conditionalFormatting sqref="M1090 M1092">
    <cfRule type="expression" dxfId="14169" priority="52969">
      <formula>$H1090="CÉLULA CONSTRUTIVA"</formula>
    </cfRule>
    <cfRule type="expression" dxfId="14168" priority="52970">
      <formula>$H1090="ETAPA"</formula>
    </cfRule>
  </conditionalFormatting>
  <conditionalFormatting sqref="M1094:M1095">
    <cfRule type="expression" dxfId="14167" priority="53117">
      <formula>$H1094="ETAPA"</formula>
    </cfRule>
  </conditionalFormatting>
  <conditionalFormatting sqref="M1097">
    <cfRule type="expression" dxfId="14166" priority="53119">
      <formula>$H1097="CÉLULA CONSTRUTIVA"</formula>
    </cfRule>
    <cfRule type="expression" dxfId="14165" priority="53120">
      <formula>$H1097="ETAPA"</formula>
    </cfRule>
  </conditionalFormatting>
  <conditionalFormatting sqref="M1099">
    <cfRule type="expression" dxfId="14164" priority="51116">
      <formula>$H1099="CÉLULA CONSTRUTIVA"</formula>
    </cfRule>
    <cfRule type="expression" dxfId="14163" priority="51117">
      <formula>$H1099="ETAPA"</formula>
    </cfRule>
  </conditionalFormatting>
  <conditionalFormatting sqref="M1100">
    <cfRule type="expression" dxfId="14162" priority="51130">
      <formula>$H1100="ETAPA"</formula>
    </cfRule>
  </conditionalFormatting>
  <conditionalFormatting sqref="M1105 M1107">
    <cfRule type="expression" dxfId="14161" priority="53124">
      <formula>$H1105="CÉLULA CONSTRUTIVA"</formula>
    </cfRule>
    <cfRule type="expression" dxfId="14160" priority="53125">
      <formula>$H1105="ETAPA"</formula>
    </cfRule>
  </conditionalFormatting>
  <conditionalFormatting sqref="M1109:M1110">
    <cfRule type="expression" dxfId="14159" priority="53275">
      <formula>$H1109="ETAPA"</formula>
    </cfRule>
  </conditionalFormatting>
  <conditionalFormatting sqref="M1112">
    <cfRule type="expression" dxfId="14158" priority="53277">
      <formula>$H1112="CÉLULA CONSTRUTIVA"</formula>
    </cfRule>
    <cfRule type="expression" dxfId="14157" priority="53278">
      <formula>$H1112="ETAPA"</formula>
    </cfRule>
  </conditionalFormatting>
  <conditionalFormatting sqref="M1114">
    <cfRule type="expression" dxfId="14156" priority="51078">
      <formula>$H1114="CÉLULA CONSTRUTIVA"</formula>
    </cfRule>
    <cfRule type="expression" dxfId="14155" priority="51079">
      <formula>$H1114="ETAPA"</formula>
    </cfRule>
  </conditionalFormatting>
  <conditionalFormatting sqref="M1115">
    <cfRule type="expression" dxfId="14154" priority="51092">
      <formula>$H1115="ETAPA"</formula>
    </cfRule>
  </conditionalFormatting>
  <conditionalFormatting sqref="M1120 M1122">
    <cfRule type="expression" dxfId="14153" priority="53282">
      <formula>$H1120="CÉLULA CONSTRUTIVA"</formula>
    </cfRule>
    <cfRule type="expression" dxfId="14152" priority="53283">
      <formula>$H1120="ETAPA"</formula>
    </cfRule>
  </conditionalFormatting>
  <conditionalFormatting sqref="M1124:M1125">
    <cfRule type="expression" dxfId="14151" priority="53430">
      <formula>$H1124="ETAPA"</formula>
    </cfRule>
  </conditionalFormatting>
  <conditionalFormatting sqref="M1127">
    <cfRule type="expression" dxfId="14150" priority="53432">
      <formula>$H1127="CÉLULA CONSTRUTIVA"</formula>
    </cfRule>
    <cfRule type="expression" dxfId="14149" priority="53433">
      <formula>$H1127="ETAPA"</formula>
    </cfRule>
  </conditionalFormatting>
  <conditionalFormatting sqref="M1129">
    <cfRule type="expression" dxfId="14148" priority="51040">
      <formula>$H1129="CÉLULA CONSTRUTIVA"</formula>
    </cfRule>
    <cfRule type="expression" dxfId="14147" priority="51041">
      <formula>$H1129="ETAPA"</formula>
    </cfRule>
  </conditionalFormatting>
  <conditionalFormatting sqref="M1130">
    <cfRule type="expression" dxfId="14146" priority="51054">
      <formula>$H1130="ETAPA"</formula>
    </cfRule>
  </conditionalFormatting>
  <conditionalFormatting sqref="M1135 M1137">
    <cfRule type="expression" dxfId="14145" priority="53437">
      <formula>$H1135="CÉLULA CONSTRUTIVA"</formula>
    </cfRule>
    <cfRule type="expression" dxfId="14144" priority="53438">
      <formula>$H1135="ETAPA"</formula>
    </cfRule>
  </conditionalFormatting>
  <conditionalFormatting sqref="M1139:M1140">
    <cfRule type="expression" dxfId="14143" priority="53588">
      <formula>$H1139="ETAPA"</formula>
    </cfRule>
  </conditionalFormatting>
  <conditionalFormatting sqref="M1142">
    <cfRule type="expression" dxfId="14142" priority="53590">
      <formula>$H1142="CÉLULA CONSTRUTIVA"</formula>
    </cfRule>
    <cfRule type="expression" dxfId="14141" priority="53591">
      <formula>$H1142="ETAPA"</formula>
    </cfRule>
  </conditionalFormatting>
  <conditionalFormatting sqref="M1144">
    <cfRule type="expression" dxfId="14140" priority="51002">
      <formula>$H1144="CÉLULA CONSTRUTIVA"</formula>
    </cfRule>
    <cfRule type="expression" dxfId="14139" priority="51003">
      <formula>$H1144="ETAPA"</formula>
    </cfRule>
  </conditionalFormatting>
  <conditionalFormatting sqref="M1145">
    <cfRule type="expression" dxfId="14138" priority="51016">
      <formula>$H1145="ETAPA"</formula>
    </cfRule>
  </conditionalFormatting>
  <conditionalFormatting sqref="M1150 M1152">
    <cfRule type="expression" dxfId="14137" priority="53595">
      <formula>$H1150="CÉLULA CONSTRUTIVA"</formula>
    </cfRule>
    <cfRule type="expression" dxfId="14136" priority="53596">
      <formula>$H1150="ETAPA"</formula>
    </cfRule>
  </conditionalFormatting>
  <conditionalFormatting sqref="M1239:M1243 O3073:O3074 O3095:O3096 O3117:O3118 O3129 O3140:O3141">
    <cfRule type="expression" dxfId="14135" priority="80361">
      <formula>$H1239="ETAPA"</formula>
    </cfRule>
  </conditionalFormatting>
  <conditionalFormatting sqref="M1242:M1243">
    <cfRule type="expression" dxfId="14134" priority="86967">
      <formula>$H1242="SUBETAPA"</formula>
    </cfRule>
    <cfRule type="expression" dxfId="14133" priority="86968">
      <formula>$H1242="CÉLULA CONSTRUTIVA"</formula>
    </cfRule>
  </conditionalFormatting>
  <conditionalFormatting sqref="M1252">
    <cfRule type="expression" dxfId="14132" priority="86969">
      <formula>$H1252="SUBETAPA"</formula>
    </cfRule>
    <cfRule type="expression" dxfId="14131" priority="86970">
      <formula>$H1252="CÉLULA CONSTRUTIVA"</formula>
    </cfRule>
    <cfRule type="expression" dxfId="14130" priority="86971">
      <formula>$H1252="ETAPA"</formula>
    </cfRule>
  </conditionalFormatting>
  <conditionalFormatting sqref="M1253:M1254 I1253:K1254 I1256:K1256 I1255:J1255 M1256:M1257">
    <cfRule type="expression" dxfId="14129" priority="2702">
      <formula>$H1253="CÉLULA CONSTRUTIVA"</formula>
    </cfRule>
  </conditionalFormatting>
  <conditionalFormatting sqref="M1253:M1254 M1256:M1257">
    <cfRule type="expression" dxfId="14128" priority="2701">
      <formula>$H1253="SUBETAPA"</formula>
    </cfRule>
  </conditionalFormatting>
  <conditionalFormatting sqref="M1259">
    <cfRule type="expression" dxfId="14127" priority="2698">
      <formula>$H1259="SUBETAPA"</formula>
    </cfRule>
    <cfRule type="expression" dxfId="14126" priority="2699">
      <formula>$H1259="CÉLULA CONSTRUTIVA"</formula>
    </cfRule>
    <cfRule type="expression" dxfId="14125" priority="2700">
      <formula>$H1259="ETAPA"</formula>
    </cfRule>
  </conditionalFormatting>
  <conditionalFormatting sqref="M1262:M1266">
    <cfRule type="expression" dxfId="14124" priority="2695">
      <formula>$H1262="SUBETAPA"</formula>
    </cfRule>
    <cfRule type="expression" dxfId="14123" priority="2696">
      <formula>$H1262="CÉLULA CONSTRUTIVA"</formula>
    </cfRule>
    <cfRule type="expression" dxfId="14122" priority="2697">
      <formula>$H1262="ETAPA"</formula>
    </cfRule>
  </conditionalFormatting>
  <conditionalFormatting sqref="M1267:M1268 I1267:K1268 I1270:K1270 I1269:J1269 M1270:M1271">
    <cfRule type="expression" dxfId="14121" priority="2771">
      <formula>$H1267="CÉLULA CONSTRUTIVA"</formula>
    </cfRule>
  </conditionalFormatting>
  <conditionalFormatting sqref="M1267:M1268 M1270:M1271">
    <cfRule type="expression" dxfId="14120" priority="2770">
      <formula>$H1267="SUBETAPA"</formula>
    </cfRule>
  </conditionalFormatting>
  <conditionalFormatting sqref="M1273">
    <cfRule type="expression" dxfId="14119" priority="2767">
      <formula>$H1273="SUBETAPA"</formula>
    </cfRule>
    <cfRule type="expression" dxfId="14118" priority="2768">
      <formula>$H1273="CÉLULA CONSTRUTIVA"</formula>
    </cfRule>
    <cfRule type="expression" dxfId="14117" priority="2769">
      <formula>$H1273="ETAPA"</formula>
    </cfRule>
  </conditionalFormatting>
  <conditionalFormatting sqref="M1276:M1280">
    <cfRule type="expression" dxfId="14116" priority="2764">
      <formula>$H1276="SUBETAPA"</formula>
    </cfRule>
    <cfRule type="expression" dxfId="14115" priority="2765">
      <formula>$H1276="CÉLULA CONSTRUTIVA"</formula>
    </cfRule>
    <cfRule type="expression" dxfId="14114" priority="2766">
      <formula>$H1276="ETAPA"</formula>
    </cfRule>
  </conditionalFormatting>
  <conditionalFormatting sqref="M1281:M1282 I1281:K1282 I1284:K1284 I1283:J1283 M1284:M1285">
    <cfRule type="expression" dxfId="14113" priority="2840">
      <formula>$H1281="CÉLULA CONSTRUTIVA"</formula>
    </cfRule>
  </conditionalFormatting>
  <conditionalFormatting sqref="M1281:M1282 M1284:M1285">
    <cfRule type="expression" dxfId="14112" priority="2839">
      <formula>$H1281="SUBETAPA"</formula>
    </cfRule>
  </conditionalFormatting>
  <conditionalFormatting sqref="M1287">
    <cfRule type="expression" dxfId="14111" priority="2836">
      <formula>$H1287="SUBETAPA"</formula>
    </cfRule>
    <cfRule type="expression" dxfId="14110" priority="2837">
      <formula>$H1287="CÉLULA CONSTRUTIVA"</formula>
    </cfRule>
    <cfRule type="expression" dxfId="14109" priority="2838">
      <formula>$H1287="ETAPA"</formula>
    </cfRule>
  </conditionalFormatting>
  <conditionalFormatting sqref="M1290:M1294">
    <cfRule type="expression" dxfId="14108" priority="2833">
      <formula>$H1290="SUBETAPA"</formula>
    </cfRule>
    <cfRule type="expression" dxfId="14107" priority="2834">
      <formula>$H1290="CÉLULA CONSTRUTIVA"</formula>
    </cfRule>
    <cfRule type="expression" dxfId="14106" priority="2835">
      <formula>$H1290="ETAPA"</formula>
    </cfRule>
  </conditionalFormatting>
  <conditionalFormatting sqref="M1295:M1296 I1295:K1296 I1298:K1298 I1297:J1297 M1298:M1299">
    <cfRule type="expression" dxfId="14105" priority="2909">
      <formula>$H1295="CÉLULA CONSTRUTIVA"</formula>
    </cfRule>
  </conditionalFormatting>
  <conditionalFormatting sqref="M1295:M1296 M1298:M1299">
    <cfRule type="expression" dxfId="14104" priority="2908">
      <formula>$H1295="SUBETAPA"</formula>
    </cfRule>
  </conditionalFormatting>
  <conditionalFormatting sqref="M1301">
    <cfRule type="expression" dxfId="14103" priority="2905">
      <formula>$H1301="SUBETAPA"</formula>
    </cfRule>
    <cfRule type="expression" dxfId="14102" priority="2906">
      <formula>$H1301="CÉLULA CONSTRUTIVA"</formula>
    </cfRule>
    <cfRule type="expression" dxfId="14101" priority="2907">
      <formula>$H1301="ETAPA"</formula>
    </cfRule>
  </conditionalFormatting>
  <conditionalFormatting sqref="M1304:M1308">
    <cfRule type="expression" dxfId="14100" priority="2902">
      <formula>$H1304="SUBETAPA"</formula>
    </cfRule>
    <cfRule type="expression" dxfId="14099" priority="2903">
      <formula>$H1304="CÉLULA CONSTRUTIVA"</formula>
    </cfRule>
    <cfRule type="expression" dxfId="14098" priority="2904">
      <formula>$H1304="ETAPA"</formula>
    </cfRule>
  </conditionalFormatting>
  <conditionalFormatting sqref="M1309:M1310 I1309:K1310 I1312:K1312 I1311:J1311 M1313">
    <cfRule type="expression" dxfId="14097" priority="2978">
      <formula>$H1309="CÉLULA CONSTRUTIVA"</formula>
    </cfRule>
  </conditionalFormatting>
  <conditionalFormatting sqref="M1309:M1310 M1313">
    <cfRule type="expression" dxfId="14096" priority="2977">
      <formula>$H1309="SUBETAPA"</formula>
    </cfRule>
  </conditionalFormatting>
  <conditionalFormatting sqref="M1312">
    <cfRule type="expression" dxfId="14095" priority="2656">
      <formula>$H1312="ETAPA"</formula>
    </cfRule>
    <cfRule type="expression" dxfId="14094" priority="2657">
      <formula>$H1312="SUBETAPA"</formula>
    </cfRule>
  </conditionalFormatting>
  <conditionalFormatting sqref="M1315">
    <cfRule type="expression" dxfId="14093" priority="2974">
      <formula>$H1315="SUBETAPA"</formula>
    </cfRule>
    <cfRule type="expression" dxfId="14092" priority="2975">
      <formula>$H1315="CÉLULA CONSTRUTIVA"</formula>
    </cfRule>
    <cfRule type="expression" dxfId="14091" priority="2976">
      <formula>$H1315="ETAPA"</formula>
    </cfRule>
  </conditionalFormatting>
  <conditionalFormatting sqref="M1316">
    <cfRule type="expression" dxfId="14090" priority="2655">
      <formula>$H1316="SUBETAPA"</formula>
    </cfRule>
  </conditionalFormatting>
  <conditionalFormatting sqref="M1318:M1321">
    <cfRule type="expression" dxfId="14089" priority="2971">
      <formula>$H1318="SUBETAPA"</formula>
    </cfRule>
    <cfRule type="expression" dxfId="14088" priority="2972">
      <formula>$H1318="CÉLULA CONSTRUTIVA"</formula>
    </cfRule>
    <cfRule type="expression" dxfId="14087" priority="2973">
      <formula>$H1318="ETAPA"</formula>
    </cfRule>
  </conditionalFormatting>
  <conditionalFormatting sqref="M1322">
    <cfRule type="expression" dxfId="14086" priority="2652">
      <formula>$H1322="ETAPA"</formula>
    </cfRule>
    <cfRule type="expression" dxfId="14085" priority="2653">
      <formula>$H1322="SUBETAPA"</formula>
    </cfRule>
    <cfRule type="expression" dxfId="14084" priority="2654">
      <formula>$H1322="CÉLULA CONSTRUTIVA"</formula>
    </cfRule>
  </conditionalFormatting>
  <conditionalFormatting sqref="M1323:M1324 I1323:K1324 I1326:K1326 I1325:J1325 M1327">
    <cfRule type="expression" dxfId="14083" priority="3047">
      <formula>$H1323="CÉLULA CONSTRUTIVA"</formula>
    </cfRule>
  </conditionalFormatting>
  <conditionalFormatting sqref="M1323:M1324 M1327">
    <cfRule type="expression" dxfId="14082" priority="3046">
      <formula>$H1323="SUBETAPA"</formula>
    </cfRule>
  </conditionalFormatting>
  <conditionalFormatting sqref="M1325">
    <cfRule type="expression" dxfId="14081" priority="2649">
      <formula>$H1325="ETAPA"</formula>
    </cfRule>
    <cfRule type="expression" dxfId="14080" priority="2650">
      <formula>$H1325="SUBETAPA"</formula>
    </cfRule>
    <cfRule type="expression" dxfId="14079" priority="2651">
      <formula>$H1325="CÉLULA CONSTRUTIVA"</formula>
    </cfRule>
  </conditionalFormatting>
  <conditionalFormatting sqref="M1326">
    <cfRule type="expression" dxfId="14078" priority="2646">
      <formula>$H1326="ETAPA"</formula>
    </cfRule>
    <cfRule type="expression" dxfId="14077" priority="2647">
      <formula>$H1326="SUBETAPA"</formula>
    </cfRule>
    <cfRule type="expression" dxfId="14076" priority="2648">
      <formula>$H1326="CÉLULA CONSTRUTIVA"</formula>
    </cfRule>
  </conditionalFormatting>
  <conditionalFormatting sqref="M1328">
    <cfRule type="expression" dxfId="14075" priority="2643">
      <formula>$H1328="ETAPA"</formula>
    </cfRule>
    <cfRule type="expression" dxfId="14074" priority="2644">
      <formula>$H1328="SUBETAPA"</formula>
    </cfRule>
    <cfRule type="expression" dxfId="14073" priority="2645">
      <formula>$H1328="CÉLULA CONSTRUTIVA"</formula>
    </cfRule>
  </conditionalFormatting>
  <conditionalFormatting sqref="M1329">
    <cfRule type="expression" dxfId="14072" priority="3043">
      <formula>$H1329="SUBETAPA"</formula>
    </cfRule>
    <cfRule type="expression" dxfId="14071" priority="3044">
      <formula>$H1329="CÉLULA CONSTRUTIVA"</formula>
    </cfRule>
    <cfRule type="expression" dxfId="14070" priority="3045">
      <formula>$H1329="ETAPA"</formula>
    </cfRule>
  </conditionalFormatting>
  <conditionalFormatting sqref="M1330">
    <cfRule type="expression" dxfId="14069" priority="2640">
      <formula>$H1330="ETAPA"</formula>
    </cfRule>
    <cfRule type="expression" dxfId="14068" priority="2641">
      <formula>$H1330="SUBETAPA"</formula>
    </cfRule>
    <cfRule type="expression" dxfId="14067" priority="2642">
      <formula>$H1330="CÉLULA CONSTRUTIVA"</formula>
    </cfRule>
  </conditionalFormatting>
  <conditionalFormatting sqref="M1331">
    <cfRule type="expression" dxfId="14066" priority="2637">
      <formula>$H1331="ETAPA"</formula>
    </cfRule>
    <cfRule type="expression" dxfId="14065" priority="2638">
      <formula>$H1331="SUBETAPA"</formula>
    </cfRule>
    <cfRule type="expression" dxfId="14064" priority="2639">
      <formula>$H1331="CÉLULA CONSTRUTIVA"</formula>
    </cfRule>
  </conditionalFormatting>
  <conditionalFormatting sqref="M1332:M1335">
    <cfRule type="expression" dxfId="14063" priority="3040">
      <formula>$H1332="SUBETAPA"</formula>
    </cfRule>
    <cfRule type="expression" dxfId="14062" priority="3041">
      <formula>$H1332="CÉLULA CONSTRUTIVA"</formula>
    </cfRule>
    <cfRule type="expression" dxfId="14061" priority="3042">
      <formula>$H1332="ETAPA"</formula>
    </cfRule>
  </conditionalFormatting>
  <conditionalFormatting sqref="M1336">
    <cfRule type="expression" dxfId="14060" priority="2634">
      <formula>$H1336="ETAPA"</formula>
    </cfRule>
    <cfRule type="expression" dxfId="14059" priority="2635">
      <formula>$H1336="SUBETAPA"</formula>
    </cfRule>
    <cfRule type="expression" dxfId="14058" priority="2636">
      <formula>$H1336="CÉLULA CONSTRUTIVA"</formula>
    </cfRule>
  </conditionalFormatting>
  <conditionalFormatting sqref="M1337:M1338 I1337:K1338 I1340:K1340 I1339:J1339 M1340:M1341">
    <cfRule type="expression" dxfId="14057" priority="3116">
      <formula>$H1337="CÉLULA CONSTRUTIVA"</formula>
    </cfRule>
  </conditionalFormatting>
  <conditionalFormatting sqref="M1337:M1338 M1340:M1341">
    <cfRule type="expression" dxfId="14056" priority="3115">
      <formula>$H1337="SUBETAPA"</formula>
    </cfRule>
  </conditionalFormatting>
  <conditionalFormatting sqref="M1343">
    <cfRule type="expression" dxfId="14055" priority="3112">
      <formula>$H1343="SUBETAPA"</formula>
    </cfRule>
    <cfRule type="expression" dxfId="14054" priority="3113">
      <formula>$H1343="CÉLULA CONSTRUTIVA"</formula>
    </cfRule>
    <cfRule type="expression" dxfId="14053" priority="3114">
      <formula>$H1343="ETAPA"</formula>
    </cfRule>
  </conditionalFormatting>
  <conditionalFormatting sqref="M1346:M1350">
    <cfRule type="expression" dxfId="14052" priority="3109">
      <formula>$H1346="SUBETAPA"</formula>
    </cfRule>
    <cfRule type="expression" dxfId="14051" priority="3110">
      <formula>$H1346="CÉLULA CONSTRUTIVA"</formula>
    </cfRule>
    <cfRule type="expression" dxfId="14050" priority="3111">
      <formula>$H1346="ETAPA"</formula>
    </cfRule>
  </conditionalFormatting>
  <conditionalFormatting sqref="M1351:M1352 I1351:K1352 I1354:K1354 I1353:J1353 M1354:M1355">
    <cfRule type="expression" dxfId="14049" priority="86721">
      <formula>$H1351="CÉLULA CONSTRUTIVA"</formula>
    </cfRule>
  </conditionalFormatting>
  <conditionalFormatting sqref="M1351:M1352 M1354:M1355">
    <cfRule type="expression" dxfId="14048" priority="86720">
      <formula>$H1351="SUBETAPA"</formula>
    </cfRule>
  </conditionalFormatting>
  <conditionalFormatting sqref="M1357">
    <cfRule type="expression" dxfId="14047" priority="59899">
      <formula>$H1357="SUBETAPA"</formula>
    </cfRule>
    <cfRule type="expression" dxfId="14046" priority="59900">
      <formula>$H1357="CÉLULA CONSTRUTIVA"</formula>
    </cfRule>
    <cfRule type="expression" dxfId="14045" priority="59901">
      <formula>$H1357="ETAPA"</formula>
    </cfRule>
  </conditionalFormatting>
  <conditionalFormatting sqref="M1360:M1368 M1386:M1388 M1393:M1395 M1400:M1402 M1405:M1407 M1410:M1412 M1415:M1417">
    <cfRule type="expression" dxfId="14044" priority="86704">
      <formula>$H1360="ETAPA"</formula>
    </cfRule>
  </conditionalFormatting>
  <conditionalFormatting sqref="M1370">
    <cfRule type="expression" dxfId="14043" priority="53767">
      <formula>$H1370="SUBETAPA"</formula>
    </cfRule>
    <cfRule type="expression" dxfId="14042" priority="53768">
      <formula>$H1370="CÉLULA CONSTRUTIVA"</formula>
    </cfRule>
    <cfRule type="expression" dxfId="14041" priority="53769">
      <formula>$H1370="ETAPA"</formula>
    </cfRule>
  </conditionalFormatting>
  <conditionalFormatting sqref="M1373">
    <cfRule type="expression" dxfId="14040" priority="53891">
      <formula>$H1373="SUBETAPA"</formula>
    </cfRule>
    <cfRule type="expression" dxfId="14039" priority="53892">
      <formula>$H1373="CÉLULA CONSTRUTIVA"</formula>
    </cfRule>
    <cfRule type="expression" dxfId="14038" priority="53893">
      <formula>$H1373="ETAPA"</formula>
    </cfRule>
  </conditionalFormatting>
  <conditionalFormatting sqref="M1376">
    <cfRule type="expression" dxfId="14037" priority="54015">
      <formula>$H1376="SUBETAPA"</formula>
    </cfRule>
    <cfRule type="expression" dxfId="14036" priority="54016">
      <formula>$H1376="CÉLULA CONSTRUTIVA"</formula>
    </cfRule>
    <cfRule type="expression" dxfId="14035" priority="54017">
      <formula>$H1376="ETAPA"</formula>
    </cfRule>
  </conditionalFormatting>
  <conditionalFormatting sqref="M1379">
    <cfRule type="expression" dxfId="14034" priority="54139">
      <formula>$H1379="SUBETAPA"</formula>
    </cfRule>
    <cfRule type="expression" dxfId="14033" priority="54140">
      <formula>$H1379="CÉLULA CONSTRUTIVA"</formula>
    </cfRule>
    <cfRule type="expression" dxfId="14032" priority="54141">
      <formula>$H1379="ETAPA"</formula>
    </cfRule>
  </conditionalFormatting>
  <conditionalFormatting sqref="M1382">
    <cfRule type="expression" dxfId="14031" priority="54263">
      <formula>$H1382="SUBETAPA"</formula>
    </cfRule>
    <cfRule type="expression" dxfId="14030" priority="54264">
      <formula>$H1382="CÉLULA CONSTRUTIVA"</formula>
    </cfRule>
    <cfRule type="expression" dxfId="14029" priority="54265">
      <formula>$H1382="ETAPA"</formula>
    </cfRule>
  </conditionalFormatting>
  <conditionalFormatting sqref="M1385">
    <cfRule type="expression" dxfId="14028" priority="54387">
      <formula>$H1385="SUBETAPA"</formula>
    </cfRule>
    <cfRule type="expression" dxfId="14027" priority="54388">
      <formula>$H1385="CÉLULA CONSTRUTIVA"</formula>
    </cfRule>
    <cfRule type="expression" dxfId="14026" priority="54389">
      <formula>$H1385="ETAPA"</formula>
    </cfRule>
  </conditionalFormatting>
  <conditionalFormatting sqref="M1390">
    <cfRule type="expression" dxfId="14025" priority="54511">
      <formula>$H1390="SUBETAPA"</formula>
    </cfRule>
    <cfRule type="expression" dxfId="14024" priority="54512">
      <formula>$H1390="CÉLULA CONSTRUTIVA"</formula>
    </cfRule>
    <cfRule type="expression" dxfId="14023" priority="54513">
      <formula>$H1390="ETAPA"</formula>
    </cfRule>
  </conditionalFormatting>
  <conditionalFormatting sqref="M1391">
    <cfRule type="expression" dxfId="14022" priority="54503">
      <formula>$H1391="CÉLULA CONSTRUTIVA"</formula>
    </cfRule>
    <cfRule type="expression" dxfId="14021" priority="54504">
      <formula>$H1391="ETAPA"</formula>
    </cfRule>
  </conditionalFormatting>
  <conditionalFormatting sqref="M1392">
    <cfRule type="expression" dxfId="14020" priority="54514">
      <formula>$H1392="ETAPA"</formula>
    </cfRule>
  </conditionalFormatting>
  <conditionalFormatting sqref="M1397">
    <cfRule type="expression" dxfId="14019" priority="54635">
      <formula>$H1397="SUBETAPA"</formula>
    </cfRule>
    <cfRule type="expression" dxfId="14018" priority="54636">
      <formula>$H1397="CÉLULA CONSTRUTIVA"</formula>
    </cfRule>
    <cfRule type="expression" dxfId="14017" priority="54637">
      <formula>$H1397="ETAPA"</formula>
    </cfRule>
  </conditionalFormatting>
  <conditionalFormatting sqref="M1398">
    <cfRule type="expression" dxfId="14016" priority="54627">
      <formula>$H1398="CÉLULA CONSTRUTIVA"</formula>
    </cfRule>
    <cfRule type="expression" dxfId="14015" priority="54628">
      <formula>$H1398="ETAPA"</formula>
    </cfRule>
  </conditionalFormatting>
  <conditionalFormatting sqref="M1399">
    <cfRule type="expression" dxfId="14014" priority="54638">
      <formula>$H1399="ETAPA"</formula>
    </cfRule>
  </conditionalFormatting>
  <conditionalFormatting sqref="M1404">
    <cfRule type="expression" dxfId="14013" priority="54759">
      <formula>$H1404="SUBETAPA"</formula>
    </cfRule>
    <cfRule type="expression" dxfId="14012" priority="54760">
      <formula>$H1404="CÉLULA CONSTRUTIVA"</formula>
    </cfRule>
    <cfRule type="expression" dxfId="14011" priority="54761">
      <formula>$H1404="ETAPA"</formula>
    </cfRule>
  </conditionalFormatting>
  <conditionalFormatting sqref="M1409">
    <cfRule type="expression" dxfId="14010" priority="54883">
      <formula>$H1409="SUBETAPA"</formula>
    </cfRule>
    <cfRule type="expression" dxfId="14009" priority="54884">
      <formula>$H1409="CÉLULA CONSTRUTIVA"</formula>
    </cfRule>
    <cfRule type="expression" dxfId="14008" priority="54885">
      <formula>$H1409="ETAPA"</formula>
    </cfRule>
  </conditionalFormatting>
  <conditionalFormatting sqref="M1414">
    <cfRule type="expression" dxfId="14007" priority="55007">
      <formula>$H1414="SUBETAPA"</formula>
    </cfRule>
    <cfRule type="expression" dxfId="14006" priority="55008">
      <formula>$H1414="CÉLULA CONSTRUTIVA"</formula>
    </cfRule>
    <cfRule type="expression" dxfId="14005" priority="55009">
      <formula>$H1414="ETAPA"</formula>
    </cfRule>
  </conditionalFormatting>
  <conditionalFormatting sqref="M1415:M1417 M1410:M1412 M1405:M1407 M1400:M1402 M1393:M1395 M1386:M1388 M1360:M1368">
    <cfRule type="expression" dxfId="14004" priority="86702">
      <formula>$H1360="SUBETAPA"</formula>
    </cfRule>
    <cfRule type="expression" dxfId="14003" priority="86703">
      <formula>$H1360="CÉLULA CONSTRUTIVA"</formula>
    </cfRule>
  </conditionalFormatting>
  <conditionalFormatting sqref="M1419">
    <cfRule type="expression" dxfId="14002" priority="55131">
      <formula>$H1419="SUBETAPA"</formula>
    </cfRule>
    <cfRule type="expression" dxfId="14001" priority="55132">
      <formula>$H1419="CÉLULA CONSTRUTIVA"</formula>
    </cfRule>
    <cfRule type="expression" dxfId="14000" priority="55133">
      <formula>$H1419="ETAPA"</formula>
    </cfRule>
  </conditionalFormatting>
  <conditionalFormatting sqref="M1422">
    <cfRule type="expression" dxfId="13999" priority="55255">
      <formula>$H1422="SUBETAPA"</formula>
    </cfRule>
    <cfRule type="expression" dxfId="13998" priority="55256">
      <formula>$H1422="CÉLULA CONSTRUTIVA"</formula>
    </cfRule>
    <cfRule type="expression" dxfId="13997" priority="55257">
      <formula>$H1422="ETAPA"</formula>
    </cfRule>
  </conditionalFormatting>
  <conditionalFormatting sqref="M1676:M1693 M1696:M1709 M1712:M1724 M1727:M1736 M1739:M1748 M1751:M1760 M1763:M1774 M1787:M1799 M1802:M1810 M1813:M1823 M1826:M1836 M1839:M1852 M1855:M1868 M1871:M1881 M1884:M1891 M1893:M1896">
    <cfRule type="expression" dxfId="13996" priority="80494">
      <formula>$H1676="ETAPA"</formula>
    </cfRule>
  </conditionalFormatting>
  <conditionalFormatting sqref="M1676:M1693 M1696:M1709 M1712:M1724 M1727:M1736 M1739:M1748 M1751:M1760 M1763:M1774 M1813:M1823 M1826:M1836 M1893:M1896">
    <cfRule type="expression" dxfId="13995" priority="80492">
      <formula>$H1676="ETAPA"</formula>
    </cfRule>
  </conditionalFormatting>
  <conditionalFormatting sqref="M1676:M1693 M1696:M1709 M1712:M1724 M1727:M1736 M1739:M1748 M1751:M1760 M1763:M1784 M1787:M1799 M1802:M1810 M1813:M1823 M1826:M1836 M1839:M1852 M1855:M1868 M1871:M1881 M1884:M1891 M1893:M1896 M2754 L2755:M2755">
    <cfRule type="expression" dxfId="13994" priority="80497">
      <formula>$H1676="ETAPA"</formula>
    </cfRule>
  </conditionalFormatting>
  <conditionalFormatting sqref="M1696:M1709 M1676:M1693 M1727:M1736 M1712:M1724 M1763:M1774 M1751:M1760 M1739:M1748 M1839:M1852 M1826:M1836 M1813:M1823 M1802:M1810 M1893:M1896 M1884:M1891 M1871:M1881 M1855:M1868 M1787:M1799 M2337:M2339">
    <cfRule type="expression" dxfId="13993" priority="80493">
      <formula>$H1676="CÉLULA CONSTRUTIVA"</formula>
    </cfRule>
    <cfRule type="expression" dxfId="13992" priority="80495">
      <formula>$H1676="SUBETAPA"</formula>
    </cfRule>
    <cfRule type="expression" dxfId="13991" priority="80496">
      <formula>$H1676="CÉLULA CONSTRUTIVA"</formula>
    </cfRule>
  </conditionalFormatting>
  <conditionalFormatting sqref="M1775:M1784 M2352 M2401 M2424 M2447 M2471 M2498 M2523 M2542 M2558 M2574 M2590 M2606">
    <cfRule type="expression" dxfId="13990" priority="82438">
      <formula>$H1775="ETAPA"</formula>
    </cfRule>
  </conditionalFormatting>
  <conditionalFormatting sqref="M1775:M1784 M2352 M2401 M2424 M2447 M2471 M2498 M2523 M2542:M2543 M2558:M2559 M2574:M2575 M2590:M2591 M2606:M2607">
    <cfRule type="expression" dxfId="13989" priority="82441">
      <formula>$H1775="ETAPA"</formula>
    </cfRule>
  </conditionalFormatting>
  <conditionalFormatting sqref="M1775:M1784 M2352 M2401 M2542 M2523 M2498 M2471 M2447 M2424 M2606 M2590 M2574 M2558">
    <cfRule type="expression" dxfId="13988" priority="82437">
      <formula>$H1775="CÉLULA CONSTRUTIVA"</formula>
    </cfRule>
    <cfRule type="expression" dxfId="13987" priority="82439">
      <formula>$H1775="SUBETAPA"</formula>
    </cfRule>
    <cfRule type="expression" dxfId="13986" priority="82440">
      <formula>$H1775="CÉLULA CONSTRUTIVA"</formula>
    </cfRule>
  </conditionalFormatting>
  <conditionalFormatting sqref="M1787:M1810 M2034:M2062 M2065:M2083 M2086:M2100 M2103:M2116 M2119:M2133 M2136:M2151 M2154:M2180 M2183:M2209 M2212:M2229 M2232:M2249 M2252:M2272 M2275:M2296 M2299:M2320 M2323:M2334 M2354:M2356 M2358:M2359 M2378:M2381 M2403:M2406 M2409:M2410 M2426:M2429 M2432:M2433 M2449:M2452 M2455:M2456 M2473:M2476 M2479:M2480 M2508:M2509 M2525:M2528 M2530:M2531 M2545 M2547 M2561 M2563 M2577 M2579 M2593 M2595 M2609 M2611 M2624">
    <cfRule type="expression" dxfId="13985" priority="78857">
      <formula>$H1787="ETAPA"</formula>
    </cfRule>
  </conditionalFormatting>
  <conditionalFormatting sqref="M1800:M1801 M2034:M2062 M2065:M2083 M2086:M2100 M2103:M2116 M2119:M2133 M2136:M2151 M2154:M2180 M2183:M2209 M2212:M2229 M2232:M2249 M2252:M2272 M2275:M2296 M2299:M2320 M2323:M2334 M2355:M2356 M2358:M2359 M2379:M2381 M2404:M2406 M2409:M2410 M2427:M2429 M2432:M2433 M2450:M2452 M2455:M2456 M2474:M2476 M2479:M2480 M2508:M2509 M2526:M2528 M2530:M2531 M2545 M2547 M2561 M2563 M2577 M2579 M2593 M2595 M2609 M2611 M2624">
    <cfRule type="expression" dxfId="13984" priority="78854">
      <formula>$H1800="ETAPA"</formula>
    </cfRule>
  </conditionalFormatting>
  <conditionalFormatting sqref="M1800:M1801 M2034:M2062 M2065:M2083 M2086:M2100 M2103:M2116 M2119:M2133 M2136:M2151 M2154:M2180 M2183:M2209 M2212:M2229 M2252:M2272 M2232:M2249 M2275:M2296 M2323:M2334 M2299:M2320 M2358:M2359 M2355:M2356 M2379:M2381 M2409:M2410 M2404:M2406 M2547 M2545 M2530:M2531 M2526:M2528 M2508:M2509 M2479:M2480 M2474:M2476 M2455:M2456 M2450:M2452 M2432:M2433 M2427:M2429 M2624 M2611 M2609 M2595 M2593 M2579 M2577 M2563 M2561">
    <cfRule type="expression" dxfId="13983" priority="78853">
      <formula>$H1800="CÉLULA CONSTRUTIVA"</formula>
    </cfRule>
    <cfRule type="expression" dxfId="13982" priority="78855">
      <formula>$H1800="SUBETAPA"</formula>
    </cfRule>
    <cfRule type="expression" dxfId="13981" priority="78856">
      <formula>$H1800="CÉLULA CONSTRUTIVA"</formula>
    </cfRule>
  </conditionalFormatting>
  <conditionalFormatting sqref="M1824:M1825">
    <cfRule type="expression" dxfId="13980" priority="83491">
      <formula>$H1824="ETAPA"</formula>
    </cfRule>
  </conditionalFormatting>
  <conditionalFormatting sqref="M1899">
    <cfRule type="expression" dxfId="13979" priority="76089">
      <formula>$H1899="SUBETAPA"</formula>
    </cfRule>
  </conditionalFormatting>
  <conditionalFormatting sqref="M1900:M1901 M1914 M1927 M1935 M1940 M1948 M1957 M2014 M2025">
    <cfRule type="expression" dxfId="13978" priority="76127">
      <formula>$H1900="ETAPA"</formula>
    </cfRule>
    <cfRule type="expression" dxfId="13977" priority="76130">
      <formula>$H1900="ETAPA"</formula>
    </cfRule>
  </conditionalFormatting>
  <conditionalFormatting sqref="M1900:M1901 M1935 M1927 M1914 M1957 M1948 M1940 M2025 M2014">
    <cfRule type="expression" dxfId="13976" priority="76126">
      <formula>$H1900="CÉLULA CONSTRUTIVA"</formula>
    </cfRule>
    <cfRule type="expression" dxfId="13975" priority="76128">
      <formula>$H1900="SUBETAPA"</formula>
    </cfRule>
    <cfRule type="expression" dxfId="13974" priority="76129">
      <formula>$H1900="CÉLULA CONSTRUTIVA"</formula>
    </cfRule>
  </conditionalFormatting>
  <conditionalFormatting sqref="M1908:M1909">
    <cfRule type="expression" dxfId="13973" priority="75966">
      <formula>$H1908="ETAPA"</formula>
    </cfRule>
    <cfRule type="expression" dxfId="13972" priority="75967">
      <formula>$H1908="CÉLULA CONSTRUTIVA"</formula>
    </cfRule>
    <cfRule type="expression" dxfId="13971" priority="75968">
      <formula>$H1908="ETAPA"</formula>
    </cfRule>
    <cfRule type="expression" dxfId="13970" priority="75969">
      <formula>$H1908="SUBETAPA"</formula>
    </cfRule>
    <cfRule type="expression" dxfId="13969" priority="75970">
      <formula>$H1908="CÉLULA CONSTRUTIVA"</formula>
    </cfRule>
    <cfRule type="expression" dxfId="13968" priority="75971">
      <formula>$H1908="ETAPA"</formula>
    </cfRule>
  </conditionalFormatting>
  <conditionalFormatting sqref="M1910 O1911">
    <cfRule type="expression" dxfId="13967" priority="76014">
      <formula>$H1910="SUBETAPA"</formula>
    </cfRule>
  </conditionalFormatting>
  <conditionalFormatting sqref="M1911 M1924 M1932 M1937 M1945 M1954 M1970 M2022 M2030">
    <cfRule type="expression" dxfId="13966" priority="76058">
      <formula>$H1911="ETAPA"</formula>
    </cfRule>
  </conditionalFormatting>
  <conditionalFormatting sqref="M1911 M1937 M1932 M1924 M1970 M1954 M1945 M2030 M2022">
    <cfRule type="expression" dxfId="13965" priority="76057">
      <formula>$H1911="CÉLULA CONSTRUTIVA"</formula>
    </cfRule>
    <cfRule type="expression" dxfId="13964" priority="76059">
      <formula>$H1911="SUBETAPA"</formula>
    </cfRule>
    <cfRule type="expression" dxfId="13963" priority="76060">
      <formula>$H1911="CÉLULA CONSTRUTIVA"</formula>
    </cfRule>
  </conditionalFormatting>
  <conditionalFormatting sqref="M1913">
    <cfRule type="expression" dxfId="13962" priority="76275">
      <formula>$H1913="SUBETAPA"</formula>
    </cfRule>
  </conditionalFormatting>
  <conditionalFormatting sqref="M1915:M1919">
    <cfRule type="expression" dxfId="13961" priority="76189">
      <formula>$H1915="CÉLULA CONSTRUTIVA"</formula>
    </cfRule>
    <cfRule type="expression" dxfId="13960" priority="76190">
      <formula>$H1915="ETAPA"</formula>
    </cfRule>
    <cfRule type="expression" dxfId="13959" priority="76191">
      <formula>$H1915="SUBETAPA"</formula>
    </cfRule>
  </conditionalFormatting>
  <conditionalFormatting sqref="M1920 O1920">
    <cfRule type="expression" dxfId="13958" priority="60926">
      <formula>$H1920="CÉLULA CONSTRUTIVA"</formula>
    </cfRule>
    <cfRule type="expression" dxfId="13957" priority="60927">
      <formula>$H1920="ETAPA"</formula>
    </cfRule>
  </conditionalFormatting>
  <conditionalFormatting sqref="M1920">
    <cfRule type="expression" dxfId="13956" priority="60923">
      <formula>$H1920="CÉLULA CONSTRUTIVA"</formula>
    </cfRule>
    <cfRule type="expression" dxfId="13955" priority="60924">
      <formula>$H1920="ETAPA"</formula>
    </cfRule>
    <cfRule type="expression" dxfId="13954" priority="60925">
      <formula>$H1920="SUBETAPA"</formula>
    </cfRule>
  </conditionalFormatting>
  <conditionalFormatting sqref="M1923">
    <cfRule type="expression" dxfId="13953" priority="76200">
      <formula>$H1923="SUBETAPA"</formula>
    </cfRule>
  </conditionalFormatting>
  <conditionalFormatting sqref="M1926">
    <cfRule type="expression" dxfId="13952" priority="76461">
      <formula>$H1926="SUBETAPA"</formula>
    </cfRule>
  </conditionalFormatting>
  <conditionalFormatting sqref="M1931">
    <cfRule type="expression" dxfId="13951" priority="76386">
      <formula>$H1931="SUBETAPA"</formula>
    </cfRule>
  </conditionalFormatting>
  <conditionalFormatting sqref="M1934">
    <cfRule type="expression" dxfId="13950" priority="76647">
      <formula>$H1934="SUBETAPA"</formula>
    </cfRule>
  </conditionalFormatting>
  <conditionalFormatting sqref="M1936">
    <cfRule type="expression" dxfId="13949" priority="76572">
      <formula>$H1936="SUBETAPA"</formula>
    </cfRule>
  </conditionalFormatting>
  <conditionalFormatting sqref="M1939">
    <cfRule type="expression" dxfId="13948" priority="76833">
      <formula>$H1939="SUBETAPA"</formula>
    </cfRule>
  </conditionalFormatting>
  <conditionalFormatting sqref="M1944">
    <cfRule type="expression" dxfId="13947" priority="76758">
      <formula>$H1944="SUBETAPA"</formula>
    </cfRule>
  </conditionalFormatting>
  <conditionalFormatting sqref="M1947">
    <cfRule type="expression" dxfId="13946" priority="77019">
      <formula>$H1947="SUBETAPA"</formula>
    </cfRule>
  </conditionalFormatting>
  <conditionalFormatting sqref="M1953">
    <cfRule type="expression" dxfId="13945" priority="76944">
      <formula>$H1953="SUBETAPA"</formula>
    </cfRule>
  </conditionalFormatting>
  <conditionalFormatting sqref="M1956">
    <cfRule type="expression" dxfId="13944" priority="77205">
      <formula>$H1956="SUBETAPA"</formula>
    </cfRule>
  </conditionalFormatting>
  <conditionalFormatting sqref="M1962 O1962">
    <cfRule type="expression" dxfId="13943" priority="60796">
      <formula>$H1962="CÉLULA CONSTRUTIVA"</formula>
    </cfRule>
    <cfRule type="expression" dxfId="13942" priority="60797">
      <formula>$H1962="ETAPA"</formula>
    </cfRule>
  </conditionalFormatting>
  <conditionalFormatting sqref="M1962">
    <cfRule type="expression" dxfId="13941" priority="60793">
      <formula>$H1962="CÉLULA CONSTRUTIVA"</formula>
    </cfRule>
    <cfRule type="expression" dxfId="13940" priority="60794">
      <formula>$H1962="ETAPA"</formula>
    </cfRule>
    <cfRule type="expression" dxfId="13939" priority="60795">
      <formula>$H1962="SUBETAPA"</formula>
    </cfRule>
  </conditionalFormatting>
  <conditionalFormatting sqref="M1969">
    <cfRule type="expression" dxfId="13938" priority="77130">
      <formula>$H1969="SUBETAPA"</formula>
    </cfRule>
  </conditionalFormatting>
  <conditionalFormatting sqref="M1985:M1989">
    <cfRule type="expression" dxfId="13937" priority="77491">
      <formula>$H1985="CÉLULA CONSTRUTIVA"</formula>
    </cfRule>
    <cfRule type="expression" dxfId="13936" priority="77492">
      <formula>$H1985="ETAPA"</formula>
    </cfRule>
    <cfRule type="expression" dxfId="13935" priority="77493">
      <formula>$H1985="SUBETAPA"</formula>
    </cfRule>
  </conditionalFormatting>
  <conditionalFormatting sqref="M1992:M1996">
    <cfRule type="expression" dxfId="13934" priority="77677">
      <formula>$H1992="CÉLULA CONSTRUTIVA"</formula>
    </cfRule>
    <cfRule type="expression" dxfId="13933" priority="77678">
      <formula>$H1992="ETAPA"</formula>
    </cfRule>
    <cfRule type="expression" dxfId="13932" priority="77679">
      <formula>$H1992="SUBETAPA"</formula>
    </cfRule>
  </conditionalFormatting>
  <conditionalFormatting sqref="M1999:M2003">
    <cfRule type="expression" dxfId="13931" priority="77863">
      <formula>$H1999="CÉLULA CONSTRUTIVA"</formula>
    </cfRule>
    <cfRule type="expression" dxfId="13930" priority="77864">
      <formula>$H1999="ETAPA"</formula>
    </cfRule>
    <cfRule type="expression" dxfId="13929" priority="77865">
      <formula>$H1999="SUBETAPA"</formula>
    </cfRule>
  </conditionalFormatting>
  <conditionalFormatting sqref="M2006:M2010">
    <cfRule type="expression" dxfId="13928" priority="78049">
      <formula>$H2006="CÉLULA CONSTRUTIVA"</formula>
    </cfRule>
    <cfRule type="expression" dxfId="13927" priority="78050">
      <formula>$H2006="ETAPA"</formula>
    </cfRule>
    <cfRule type="expression" dxfId="13926" priority="78051">
      <formula>$H2006="SUBETAPA"</formula>
    </cfRule>
  </conditionalFormatting>
  <conditionalFormatting sqref="M2013">
    <cfRule type="expression" dxfId="13925" priority="78321">
      <formula>$H2013="SUBETAPA"</formula>
    </cfRule>
  </conditionalFormatting>
  <conditionalFormatting sqref="M2015:M2019">
    <cfRule type="expression" dxfId="13924" priority="78235">
      <formula>$H2015="CÉLULA CONSTRUTIVA"</formula>
    </cfRule>
    <cfRule type="expression" dxfId="13923" priority="78236">
      <formula>$H2015="ETAPA"</formula>
    </cfRule>
    <cfRule type="expression" dxfId="13922" priority="78237">
      <formula>$H2015="SUBETAPA"</formula>
    </cfRule>
  </conditionalFormatting>
  <conditionalFormatting sqref="M2021">
    <cfRule type="expression" dxfId="13921" priority="78246">
      <formula>$H2021="SUBETAPA"</formula>
    </cfRule>
  </conditionalFormatting>
  <conditionalFormatting sqref="M2024">
    <cfRule type="expression" dxfId="13920" priority="78507">
      <formula>$H2024="SUBETAPA"</formula>
    </cfRule>
  </conditionalFormatting>
  <conditionalFormatting sqref="M2029">
    <cfRule type="expression" dxfId="13919" priority="78432">
      <formula>$H2029="SUBETAPA"</formula>
    </cfRule>
  </conditionalFormatting>
  <conditionalFormatting sqref="M2343:M2344 O2343:O2344">
    <cfRule type="expression" dxfId="13918" priority="61919">
      <formula>$H2343="CÉLULA CONSTRUTIVA"</formula>
    </cfRule>
  </conditionalFormatting>
  <conditionalFormatting sqref="M2343:M2344">
    <cfRule type="expression" dxfId="13917" priority="61923">
      <formula>$H2343="CÉLULA CONSTRUTIVA"</formula>
    </cfRule>
    <cfRule type="expression" dxfId="13916" priority="61924">
      <formula>$H2343="ETAPA"</formula>
    </cfRule>
    <cfRule type="expression" dxfId="13915" priority="61925">
      <formula>$H2343="SUBETAPA"</formula>
    </cfRule>
    <cfRule type="expression" dxfId="13914" priority="61926">
      <formula>$H2343="CÉLULA CONSTRUTIVA"</formula>
    </cfRule>
    <cfRule type="expression" dxfId="13913" priority="61927">
      <formula>$H2343="ETAPA"</formula>
    </cfRule>
  </conditionalFormatting>
  <conditionalFormatting sqref="M2348:M2349">
    <cfRule type="expression" dxfId="13912" priority="61807">
      <formula>$H2348="ETAPA"</formula>
    </cfRule>
  </conditionalFormatting>
  <conditionalFormatting sqref="M2349">
    <cfRule type="expression" dxfId="13911" priority="61804">
      <formula>$H2349="CÉLULA CONSTRUTIVA"</formula>
    </cfRule>
    <cfRule type="expression" dxfId="13910" priority="61805">
      <formula>$H2349="ETAPA"</formula>
    </cfRule>
    <cfRule type="expression" dxfId="13909" priority="61806">
      <formula>$H2349="CÉLULA CONSTRUTIVA"</formula>
    </cfRule>
    <cfRule type="expression" dxfId="13908" priority="61808">
      <formula>$H2349="SUBETAPA"</formula>
    </cfRule>
  </conditionalFormatting>
  <conditionalFormatting sqref="M2350">
    <cfRule type="expression" dxfId="13907" priority="61809">
      <formula>$H2350="CÉLULA CONSTRUTIVA"</formula>
    </cfRule>
    <cfRule type="expression" dxfId="13906" priority="61810">
      <formula>$H2350="ETAPA"</formula>
    </cfRule>
    <cfRule type="expression" dxfId="13905" priority="61811">
      <formula>$H2350="SUBETAPA"</formula>
    </cfRule>
    <cfRule type="expression" dxfId="13904" priority="61812">
      <formula>$H2350="CÉLULA CONSTRUTIVA"</formula>
    </cfRule>
    <cfRule type="expression" dxfId="13903" priority="61813">
      <formula>$H2350="ETAPA"</formula>
    </cfRule>
  </conditionalFormatting>
  <conditionalFormatting sqref="M2351">
    <cfRule type="expression" dxfId="13902" priority="61782">
      <formula>$H2351="CÉLULA CONSTRUTIVA"</formula>
    </cfRule>
    <cfRule type="expression" dxfId="13901" priority="61783">
      <formula>$H2351="ETAPA"</formula>
    </cfRule>
    <cfRule type="expression" dxfId="13900" priority="61784">
      <formula>$H2351="CÉLULA CONSTRUTIVA"</formula>
    </cfRule>
    <cfRule type="expression" dxfId="13899" priority="61785">
      <formula>$H2351="ETAPA"</formula>
    </cfRule>
    <cfRule type="expression" dxfId="13898" priority="61786">
      <formula>$H2351="SUBETAPA"</formula>
    </cfRule>
  </conditionalFormatting>
  <conditionalFormatting sqref="M2353">
    <cfRule type="expression" dxfId="13897" priority="62010">
      <formula>$H2353="CÉLULA CONSTRUTIVA"</formula>
    </cfRule>
    <cfRule type="expression" dxfId="13896" priority="62011">
      <formula>$H2353="ETAPA"</formula>
    </cfRule>
    <cfRule type="expression" dxfId="13895" priority="62012">
      <formula>$H2353="SUBETAPA"</formula>
    </cfRule>
    <cfRule type="expression" dxfId="13894" priority="62013">
      <formula>$H2353="CÉLULA CONSTRUTIVA"</formula>
    </cfRule>
    <cfRule type="expression" dxfId="13893" priority="62014">
      <formula>$H2353="ETAPA"</formula>
    </cfRule>
  </conditionalFormatting>
  <conditionalFormatting sqref="M2355:M2357">
    <cfRule type="expression" dxfId="13892" priority="61906">
      <formula>$H2355="ETAPA"</formula>
    </cfRule>
  </conditionalFormatting>
  <conditionalFormatting sqref="M2357">
    <cfRule type="expression" dxfId="13891" priority="61901">
      <formula>$H2357="ETAPA"</formula>
    </cfRule>
    <cfRule type="expression" dxfId="13890" priority="61902">
      <formula>$H2357="CÉLULA CONSTRUTIVA"</formula>
    </cfRule>
    <cfRule type="expression" dxfId="13889" priority="61903">
      <formula>$H2357="ETAPA"</formula>
    </cfRule>
    <cfRule type="expression" dxfId="13888" priority="61904">
      <formula>$H2357="SUBETAPA"</formula>
    </cfRule>
    <cfRule type="expression" dxfId="13887" priority="61905">
      <formula>$H2357="CÉLULA CONSTRUTIVA"</formula>
    </cfRule>
  </conditionalFormatting>
  <conditionalFormatting sqref="M2362">
    <cfRule type="expression" dxfId="13886" priority="62200">
      <formula>$H2362="CÉLULA CONSTRUTIVA"</formula>
    </cfRule>
    <cfRule type="expression" dxfId="13885" priority="62201">
      <formula>$H2362="ETAPA"</formula>
    </cfRule>
    <cfRule type="expression" dxfId="13884" priority="62202">
      <formula>$H2362="SUBETAPA"</formula>
    </cfRule>
    <cfRule type="expression" dxfId="13883" priority="62203">
      <formula>$H2362="CÉLULA CONSTRUTIVA"</formula>
    </cfRule>
  </conditionalFormatting>
  <conditionalFormatting sqref="M2364:M2365 O2364:O2365">
    <cfRule type="expression" dxfId="13882" priority="62158">
      <formula>$H2364="CÉLULA CONSTRUTIVA"</formula>
    </cfRule>
  </conditionalFormatting>
  <conditionalFormatting sqref="M2364:M2365">
    <cfRule type="expression" dxfId="13881" priority="62162">
      <formula>$H2364="CÉLULA CONSTRUTIVA"</formula>
    </cfRule>
    <cfRule type="expression" dxfId="13880" priority="62163">
      <formula>$H2364="ETAPA"</formula>
    </cfRule>
    <cfRule type="expression" dxfId="13879" priority="62164">
      <formula>$H2364="SUBETAPA"</formula>
    </cfRule>
    <cfRule type="expression" dxfId="13878" priority="62165">
      <formula>$H2364="CÉLULA CONSTRUTIVA"</formula>
    </cfRule>
    <cfRule type="expression" dxfId="13877" priority="62166">
      <formula>$H2364="ETAPA"</formula>
    </cfRule>
  </conditionalFormatting>
  <conditionalFormatting sqref="M2368">
    <cfRule type="expression" dxfId="13876" priority="7119">
      <formula>$H2368="CÉLULA CONSTRUTIVA"</formula>
    </cfRule>
  </conditionalFormatting>
  <conditionalFormatting sqref="M2369 O2369">
    <cfRule type="expression" dxfId="13875" priority="62214">
      <formula>$H2369="SUBETAPA"</formula>
    </cfRule>
    <cfRule type="expression" dxfId="13874" priority="62215">
      <formula>$H2369="CÉLULA CONSTRUTIVA"</formula>
    </cfRule>
  </conditionalFormatting>
  <conditionalFormatting sqref="M2369">
    <cfRule type="expression" dxfId="13873" priority="62212">
      <formula>$H2369="CÉLULA CONSTRUTIVA"</formula>
    </cfRule>
    <cfRule type="expression" dxfId="13872" priority="62213">
      <formula>$H2369="ETAPA"</formula>
    </cfRule>
  </conditionalFormatting>
  <conditionalFormatting sqref="M2369:M2370">
    <cfRule type="expression" dxfId="13871" priority="62216">
      <formula>$H2369="ETAPA"</formula>
    </cfRule>
  </conditionalFormatting>
  <conditionalFormatting sqref="M2371">
    <cfRule type="expression" dxfId="13870" priority="62043">
      <formula>$H2371="CÉLULA CONSTRUTIVA"</formula>
    </cfRule>
    <cfRule type="expression" dxfId="13869" priority="62044">
      <formula>$H2371="ETAPA"</formula>
    </cfRule>
    <cfRule type="expression" dxfId="13868" priority="62045">
      <formula>$H2371="CÉLULA CONSTRUTIVA"</formula>
    </cfRule>
    <cfRule type="expression" dxfId="13867" priority="62046">
      <formula>$H2371="ETAPA"</formula>
    </cfRule>
    <cfRule type="expression" dxfId="13866" priority="62047">
      <formula>$H2371="SUBETAPA"</formula>
    </cfRule>
  </conditionalFormatting>
  <conditionalFormatting sqref="M2372">
    <cfRule type="expression" dxfId="13865" priority="62048">
      <formula>$H2372="CÉLULA CONSTRUTIVA"</formula>
    </cfRule>
    <cfRule type="expression" dxfId="13864" priority="62049">
      <formula>$H2372="ETAPA"</formula>
    </cfRule>
    <cfRule type="expression" dxfId="13863" priority="62050">
      <formula>$H2372="SUBETAPA"</formula>
    </cfRule>
    <cfRule type="expression" dxfId="13862" priority="62051">
      <formula>$H2372="CÉLULA CONSTRUTIVA"</formula>
    </cfRule>
    <cfRule type="expression" dxfId="13861" priority="62052">
      <formula>$H2372="ETAPA"</formula>
    </cfRule>
  </conditionalFormatting>
  <conditionalFormatting sqref="M2373">
    <cfRule type="expression" dxfId="13860" priority="62021">
      <formula>$H2373="CÉLULA CONSTRUTIVA"</formula>
    </cfRule>
    <cfRule type="expression" dxfId="13859" priority="62022">
      <formula>$H2373="ETAPA"</formula>
    </cfRule>
    <cfRule type="expression" dxfId="13858" priority="62023">
      <formula>$H2373="CÉLULA CONSTRUTIVA"</formula>
    </cfRule>
    <cfRule type="expression" dxfId="13857" priority="62024">
      <formula>$H2373="ETAPA"</formula>
    </cfRule>
    <cfRule type="expression" dxfId="13856" priority="62025">
      <formula>$H2373="SUBETAPA"</formula>
    </cfRule>
  </conditionalFormatting>
  <conditionalFormatting sqref="M2374">
    <cfRule type="expression" dxfId="13855" priority="62026">
      <formula>$H2374="CÉLULA CONSTRUTIVA"</formula>
    </cfRule>
    <cfRule type="expression" dxfId="13854" priority="62027">
      <formula>$H2374="ETAPA"</formula>
    </cfRule>
    <cfRule type="expression" dxfId="13853" priority="62028">
      <formula>$H2374="SUBETAPA"</formula>
    </cfRule>
    <cfRule type="expression" dxfId="13852" priority="62029">
      <formula>$H2374="CÉLULA CONSTRUTIVA"</formula>
    </cfRule>
    <cfRule type="expression" dxfId="13851" priority="62030">
      <formula>$H2374="ETAPA"</formula>
    </cfRule>
  </conditionalFormatting>
  <conditionalFormatting sqref="M2375:M2376">
    <cfRule type="expression" dxfId="13850" priority="62037">
      <formula>$H2375="CÉLULA CONSTRUTIVA"</formula>
    </cfRule>
    <cfRule type="expression" dxfId="13849" priority="62038">
      <formula>$H2375="ETAPA"</formula>
    </cfRule>
    <cfRule type="expression" dxfId="13848" priority="62039">
      <formula>$H2375="SUBETAPA"</formula>
    </cfRule>
    <cfRule type="expression" dxfId="13847" priority="62040">
      <formula>$H2375="CÉLULA CONSTRUTIVA"</formula>
    </cfRule>
    <cfRule type="expression" dxfId="13846" priority="62041">
      <formula>$H2375="ETAPA"</formula>
    </cfRule>
  </conditionalFormatting>
  <conditionalFormatting sqref="M2377">
    <cfRule type="expression" dxfId="13845" priority="62249">
      <formula>$H2377="CÉLULA CONSTRUTIVA"</formula>
    </cfRule>
    <cfRule type="expression" dxfId="13844" priority="62250">
      <formula>$H2377="ETAPA"</formula>
    </cfRule>
    <cfRule type="expression" dxfId="13843" priority="62251">
      <formula>$H2377="SUBETAPA"</formula>
    </cfRule>
    <cfRule type="expression" dxfId="13842" priority="62252">
      <formula>$H2377="CÉLULA CONSTRUTIVA"</formula>
    </cfRule>
    <cfRule type="expression" dxfId="13841" priority="62253">
      <formula>$H2377="ETAPA"</formula>
    </cfRule>
  </conditionalFormatting>
  <conditionalFormatting sqref="M2379:M2382">
    <cfRule type="expression" dxfId="13840" priority="62132">
      <formula>$H2379="ETAPA"</formula>
    </cfRule>
  </conditionalFormatting>
  <conditionalFormatting sqref="M2382">
    <cfRule type="expression" dxfId="13839" priority="62127">
      <formula>$H2382="ETAPA"</formula>
    </cfRule>
    <cfRule type="expression" dxfId="13838" priority="62128">
      <formula>$H2382="CÉLULA CONSTRUTIVA"</formula>
    </cfRule>
    <cfRule type="expression" dxfId="13837" priority="62129">
      <formula>$H2382="ETAPA"</formula>
    </cfRule>
    <cfRule type="expression" dxfId="13836" priority="62130">
      <formula>$H2382="SUBETAPA"</formula>
    </cfRule>
    <cfRule type="expression" dxfId="13835" priority="62131">
      <formula>$H2382="CÉLULA CONSTRUTIVA"</formula>
    </cfRule>
  </conditionalFormatting>
  <conditionalFormatting sqref="M2383">
    <cfRule type="expression" dxfId="13834" priority="62140">
      <formula>$H2383="ETAPA"</formula>
    </cfRule>
    <cfRule type="expression" dxfId="13833" priority="62141">
      <formula>$H2383="CÉLULA CONSTRUTIVA"</formula>
    </cfRule>
    <cfRule type="expression" dxfId="13832" priority="62142">
      <formula>$H2383="ETAPA"</formula>
    </cfRule>
    <cfRule type="expression" dxfId="13831" priority="62143">
      <formula>$H2383="SUBETAPA"</formula>
    </cfRule>
    <cfRule type="expression" dxfId="13830" priority="62144">
      <formula>$H2383="CÉLULA CONSTRUTIVA"</formula>
    </cfRule>
    <cfRule type="expression" dxfId="13829" priority="62145">
      <formula>$H2383="ETAPA"</formula>
    </cfRule>
  </conditionalFormatting>
  <conditionalFormatting sqref="M2384:M2386">
    <cfRule type="expression" dxfId="13828" priority="62074">
      <formula>$H2384="ETAPA"</formula>
    </cfRule>
    <cfRule type="expression" dxfId="13827" priority="62075">
      <formula>$H2384="CÉLULA CONSTRUTIVA"</formula>
    </cfRule>
    <cfRule type="expression" dxfId="13826" priority="62076">
      <formula>$H2384="ETAPA"</formula>
    </cfRule>
    <cfRule type="expression" dxfId="13825" priority="62077">
      <formula>$H2384="SUBETAPA"</formula>
    </cfRule>
    <cfRule type="expression" dxfId="13824" priority="62078">
      <formula>$H2384="CÉLULA CONSTRUTIVA"</formula>
    </cfRule>
    <cfRule type="expression" dxfId="13823" priority="62079">
      <formula>$H2384="ETAPA"</formula>
    </cfRule>
  </conditionalFormatting>
  <conditionalFormatting sqref="M2389">
    <cfRule type="expression" dxfId="13822" priority="62439">
      <formula>$H2389="CÉLULA CONSTRUTIVA"</formula>
    </cfRule>
    <cfRule type="expression" dxfId="13821" priority="62440">
      <formula>$H2389="ETAPA"</formula>
    </cfRule>
    <cfRule type="expression" dxfId="13820" priority="62441">
      <formula>$H2389="SUBETAPA"</formula>
    </cfRule>
    <cfRule type="expression" dxfId="13819" priority="62442">
      <formula>$H2389="CÉLULA CONSTRUTIVA"</formula>
    </cfRule>
  </conditionalFormatting>
  <conditionalFormatting sqref="M2391:M2392 O2391:O2392">
    <cfRule type="expression" dxfId="13818" priority="62397">
      <formula>$H2391="CÉLULA CONSTRUTIVA"</formula>
    </cfRule>
  </conditionalFormatting>
  <conditionalFormatting sqref="M2391:M2392">
    <cfRule type="expression" dxfId="13817" priority="62401">
      <formula>$H2391="CÉLULA CONSTRUTIVA"</formula>
    </cfRule>
    <cfRule type="expression" dxfId="13816" priority="62402">
      <formula>$H2391="ETAPA"</formula>
    </cfRule>
    <cfRule type="expression" dxfId="13815" priority="62403">
      <formula>$H2391="SUBETAPA"</formula>
    </cfRule>
    <cfRule type="expression" dxfId="13814" priority="62404">
      <formula>$H2391="CÉLULA CONSTRUTIVA"</formula>
    </cfRule>
    <cfRule type="expression" dxfId="13813" priority="62405">
      <formula>$H2391="ETAPA"</formula>
    </cfRule>
  </conditionalFormatting>
  <conditionalFormatting sqref="M2395">
    <cfRule type="expression" dxfId="13812" priority="7063">
      <formula>$H2395="CÉLULA CONSTRUTIVA"</formula>
    </cfRule>
  </conditionalFormatting>
  <conditionalFormatting sqref="M2396 O2396">
    <cfRule type="expression" dxfId="13811" priority="62453">
      <formula>$H2396="SUBETAPA"</formula>
    </cfRule>
    <cfRule type="expression" dxfId="13810" priority="62454">
      <formula>$H2396="CÉLULA CONSTRUTIVA"</formula>
    </cfRule>
  </conditionalFormatting>
  <conditionalFormatting sqref="M2396">
    <cfRule type="expression" dxfId="13809" priority="62451">
      <formula>$H2396="CÉLULA CONSTRUTIVA"</formula>
    </cfRule>
    <cfRule type="expression" dxfId="13808" priority="62452">
      <formula>$H2396="ETAPA"</formula>
    </cfRule>
  </conditionalFormatting>
  <conditionalFormatting sqref="M2396:M2397">
    <cfRule type="expression" dxfId="13807" priority="62455">
      <formula>$H2396="ETAPA"</formula>
    </cfRule>
  </conditionalFormatting>
  <conditionalFormatting sqref="M2398">
    <cfRule type="expression" dxfId="13806" priority="62282">
      <formula>$H2398="CÉLULA CONSTRUTIVA"</formula>
    </cfRule>
    <cfRule type="expression" dxfId="13805" priority="62283">
      <formula>$H2398="ETAPA"</formula>
    </cfRule>
    <cfRule type="expression" dxfId="13804" priority="62284">
      <formula>$H2398="CÉLULA CONSTRUTIVA"</formula>
    </cfRule>
    <cfRule type="expression" dxfId="13803" priority="62285">
      <formula>$H2398="ETAPA"</formula>
    </cfRule>
    <cfRule type="expression" dxfId="13802" priority="62286">
      <formula>$H2398="SUBETAPA"</formula>
    </cfRule>
  </conditionalFormatting>
  <conditionalFormatting sqref="M2399">
    <cfRule type="expression" dxfId="13801" priority="62287">
      <formula>$H2399="CÉLULA CONSTRUTIVA"</formula>
    </cfRule>
    <cfRule type="expression" dxfId="13800" priority="62288">
      <formula>$H2399="ETAPA"</formula>
    </cfRule>
    <cfRule type="expression" dxfId="13799" priority="62289">
      <formula>$H2399="SUBETAPA"</formula>
    </cfRule>
    <cfRule type="expression" dxfId="13798" priority="62290">
      <formula>$H2399="CÉLULA CONSTRUTIVA"</formula>
    </cfRule>
    <cfRule type="expression" dxfId="13797" priority="62291">
      <formula>$H2399="ETAPA"</formula>
    </cfRule>
  </conditionalFormatting>
  <conditionalFormatting sqref="M2400">
    <cfRule type="expression" dxfId="13796" priority="62260">
      <formula>$H2400="CÉLULA CONSTRUTIVA"</formula>
    </cfRule>
    <cfRule type="expression" dxfId="13795" priority="62261">
      <formula>$H2400="ETAPA"</formula>
    </cfRule>
    <cfRule type="expression" dxfId="13794" priority="62262">
      <formula>$H2400="CÉLULA CONSTRUTIVA"</formula>
    </cfRule>
    <cfRule type="expression" dxfId="13793" priority="62263">
      <formula>$H2400="ETAPA"</formula>
    </cfRule>
    <cfRule type="expression" dxfId="13792" priority="62264">
      <formula>$H2400="SUBETAPA"</formula>
    </cfRule>
  </conditionalFormatting>
  <conditionalFormatting sqref="M2402">
    <cfRule type="expression" dxfId="13791" priority="62488">
      <formula>$H2402="CÉLULA CONSTRUTIVA"</formula>
    </cfRule>
    <cfRule type="expression" dxfId="13790" priority="62489">
      <formula>$H2402="ETAPA"</formula>
    </cfRule>
    <cfRule type="expression" dxfId="13789" priority="62490">
      <formula>$H2402="SUBETAPA"</formula>
    </cfRule>
    <cfRule type="expression" dxfId="13788" priority="62491">
      <formula>$H2402="CÉLULA CONSTRUTIVA"</formula>
    </cfRule>
    <cfRule type="expression" dxfId="13787" priority="62492">
      <formula>$H2402="ETAPA"</formula>
    </cfRule>
  </conditionalFormatting>
  <conditionalFormatting sqref="M2404:M2407">
    <cfRule type="expression" dxfId="13786" priority="62371">
      <formula>$H2404="ETAPA"</formula>
    </cfRule>
  </conditionalFormatting>
  <conditionalFormatting sqref="M2407">
    <cfRule type="expression" dxfId="13785" priority="62366">
      <formula>$H2407="ETAPA"</formula>
    </cfRule>
    <cfRule type="expression" dxfId="13784" priority="62367">
      <formula>$H2407="CÉLULA CONSTRUTIVA"</formula>
    </cfRule>
    <cfRule type="expression" dxfId="13783" priority="62368">
      <formula>$H2407="ETAPA"</formula>
    </cfRule>
    <cfRule type="expression" dxfId="13782" priority="62369">
      <formula>$H2407="SUBETAPA"</formula>
    </cfRule>
    <cfRule type="expression" dxfId="13781" priority="62370">
      <formula>$H2407="CÉLULA CONSTRUTIVA"</formula>
    </cfRule>
  </conditionalFormatting>
  <conditionalFormatting sqref="M2408">
    <cfRule type="expression" dxfId="13780" priority="62379">
      <formula>$H2408="ETAPA"</formula>
    </cfRule>
    <cfRule type="expression" dxfId="13779" priority="62380">
      <formula>$H2408="CÉLULA CONSTRUTIVA"</formula>
    </cfRule>
    <cfRule type="expression" dxfId="13778" priority="62381">
      <formula>$H2408="ETAPA"</formula>
    </cfRule>
    <cfRule type="expression" dxfId="13777" priority="62382">
      <formula>$H2408="SUBETAPA"</formula>
    </cfRule>
    <cfRule type="expression" dxfId="13776" priority="62383">
      <formula>$H2408="CÉLULA CONSTRUTIVA"</formula>
    </cfRule>
    <cfRule type="expression" dxfId="13775" priority="62384">
      <formula>$H2408="ETAPA"</formula>
    </cfRule>
  </conditionalFormatting>
  <conditionalFormatting sqref="M2413">
    <cfRule type="expression" dxfId="13774" priority="62678">
      <formula>$H2413="CÉLULA CONSTRUTIVA"</formula>
    </cfRule>
    <cfRule type="expression" dxfId="13773" priority="62679">
      <formula>$H2413="ETAPA"</formula>
    </cfRule>
    <cfRule type="expression" dxfId="13772" priority="62680">
      <formula>$H2413="SUBETAPA"</formula>
    </cfRule>
    <cfRule type="expression" dxfId="13771" priority="62681">
      <formula>$H2413="CÉLULA CONSTRUTIVA"</formula>
    </cfRule>
  </conditionalFormatting>
  <conditionalFormatting sqref="M2415:M2416 O2415:O2416">
    <cfRule type="expression" dxfId="13770" priority="62636">
      <formula>$H2415="CÉLULA CONSTRUTIVA"</formula>
    </cfRule>
  </conditionalFormatting>
  <conditionalFormatting sqref="M2415:M2416">
    <cfRule type="expression" dxfId="13769" priority="62640">
      <formula>$H2415="CÉLULA CONSTRUTIVA"</formula>
    </cfRule>
    <cfRule type="expression" dxfId="13768" priority="62641">
      <formula>$H2415="ETAPA"</formula>
    </cfRule>
    <cfRule type="expression" dxfId="13767" priority="62642">
      <formula>$H2415="SUBETAPA"</formula>
    </cfRule>
    <cfRule type="expression" dxfId="13766" priority="62643">
      <formula>$H2415="CÉLULA CONSTRUTIVA"</formula>
    </cfRule>
    <cfRule type="expression" dxfId="13765" priority="62644">
      <formula>$H2415="ETAPA"</formula>
    </cfRule>
  </conditionalFormatting>
  <conditionalFormatting sqref="M2418">
    <cfRule type="expression" dxfId="13764" priority="7007">
      <formula>$H2418="CÉLULA CONSTRUTIVA"</formula>
    </cfRule>
  </conditionalFormatting>
  <conditionalFormatting sqref="M2419 O2419">
    <cfRule type="expression" dxfId="13763" priority="62692">
      <formula>$H2419="SUBETAPA"</formula>
    </cfRule>
    <cfRule type="expression" dxfId="13762" priority="62693">
      <formula>$H2419="CÉLULA CONSTRUTIVA"</formula>
    </cfRule>
  </conditionalFormatting>
  <conditionalFormatting sqref="M2419">
    <cfRule type="expression" dxfId="13761" priority="62690">
      <formula>$H2419="CÉLULA CONSTRUTIVA"</formula>
    </cfRule>
    <cfRule type="expression" dxfId="13760" priority="62691">
      <formula>$H2419="ETAPA"</formula>
    </cfRule>
  </conditionalFormatting>
  <conditionalFormatting sqref="M2419:M2420">
    <cfRule type="expression" dxfId="13759" priority="62694">
      <formula>$H2419="ETAPA"</formula>
    </cfRule>
  </conditionalFormatting>
  <conditionalFormatting sqref="M2421">
    <cfRule type="expression" dxfId="13758" priority="62521">
      <formula>$H2421="CÉLULA CONSTRUTIVA"</formula>
    </cfRule>
    <cfRule type="expression" dxfId="13757" priority="62522">
      <formula>$H2421="ETAPA"</formula>
    </cfRule>
    <cfRule type="expression" dxfId="13756" priority="62523">
      <formula>$H2421="CÉLULA CONSTRUTIVA"</formula>
    </cfRule>
    <cfRule type="expression" dxfId="13755" priority="62524">
      <formula>$H2421="ETAPA"</formula>
    </cfRule>
    <cfRule type="expression" dxfId="13754" priority="62525">
      <formula>$H2421="SUBETAPA"</formula>
    </cfRule>
  </conditionalFormatting>
  <conditionalFormatting sqref="M2422">
    <cfRule type="expression" dxfId="13753" priority="62526">
      <formula>$H2422="CÉLULA CONSTRUTIVA"</formula>
    </cfRule>
    <cfRule type="expression" dxfId="13752" priority="62527">
      <formula>$H2422="ETAPA"</formula>
    </cfRule>
    <cfRule type="expression" dxfId="13751" priority="62528">
      <formula>$H2422="SUBETAPA"</formula>
    </cfRule>
    <cfRule type="expression" dxfId="13750" priority="62529">
      <formula>$H2422="CÉLULA CONSTRUTIVA"</formula>
    </cfRule>
    <cfRule type="expression" dxfId="13749" priority="62530">
      <formula>$H2422="ETAPA"</formula>
    </cfRule>
  </conditionalFormatting>
  <conditionalFormatting sqref="M2423">
    <cfRule type="expression" dxfId="13748" priority="62499">
      <formula>$H2423="CÉLULA CONSTRUTIVA"</formula>
    </cfRule>
    <cfRule type="expression" dxfId="13747" priority="62500">
      <formula>$H2423="ETAPA"</formula>
    </cfRule>
    <cfRule type="expression" dxfId="13746" priority="62501">
      <formula>$H2423="CÉLULA CONSTRUTIVA"</formula>
    </cfRule>
    <cfRule type="expression" dxfId="13745" priority="62502">
      <formula>$H2423="ETAPA"</formula>
    </cfRule>
    <cfRule type="expression" dxfId="13744" priority="62503">
      <formula>$H2423="SUBETAPA"</formula>
    </cfRule>
  </conditionalFormatting>
  <conditionalFormatting sqref="M2425">
    <cfRule type="expression" dxfId="13743" priority="62727">
      <formula>$H2425="CÉLULA CONSTRUTIVA"</formula>
    </cfRule>
    <cfRule type="expression" dxfId="13742" priority="62728">
      <formula>$H2425="ETAPA"</formula>
    </cfRule>
    <cfRule type="expression" dxfId="13741" priority="62729">
      <formula>$H2425="SUBETAPA"</formula>
    </cfRule>
    <cfRule type="expression" dxfId="13740" priority="62730">
      <formula>$H2425="CÉLULA CONSTRUTIVA"</formula>
    </cfRule>
    <cfRule type="expression" dxfId="13739" priority="62731">
      <formula>$H2425="ETAPA"</formula>
    </cfRule>
  </conditionalFormatting>
  <conditionalFormatting sqref="M2427:M2430">
    <cfRule type="expression" dxfId="13738" priority="62610">
      <formula>$H2427="ETAPA"</formula>
    </cfRule>
  </conditionalFormatting>
  <conditionalFormatting sqref="M2430">
    <cfRule type="expression" dxfId="13737" priority="62605">
      <formula>$H2430="ETAPA"</formula>
    </cfRule>
    <cfRule type="expression" dxfId="13736" priority="62606">
      <formula>$H2430="CÉLULA CONSTRUTIVA"</formula>
    </cfRule>
    <cfRule type="expression" dxfId="13735" priority="62607">
      <formula>$H2430="ETAPA"</formula>
    </cfRule>
    <cfRule type="expression" dxfId="13734" priority="62608">
      <formula>$H2430="SUBETAPA"</formula>
    </cfRule>
    <cfRule type="expression" dxfId="13733" priority="62609">
      <formula>$H2430="CÉLULA CONSTRUTIVA"</formula>
    </cfRule>
  </conditionalFormatting>
  <conditionalFormatting sqref="M2431">
    <cfRule type="expression" dxfId="13732" priority="62618">
      <formula>$H2431="ETAPA"</formula>
    </cfRule>
    <cfRule type="expression" dxfId="13731" priority="62619">
      <formula>$H2431="CÉLULA CONSTRUTIVA"</formula>
    </cfRule>
    <cfRule type="expression" dxfId="13730" priority="62620">
      <formula>$H2431="ETAPA"</formula>
    </cfRule>
    <cfRule type="expression" dxfId="13729" priority="62621">
      <formula>$H2431="SUBETAPA"</formula>
    </cfRule>
    <cfRule type="expression" dxfId="13728" priority="62622">
      <formula>$H2431="CÉLULA CONSTRUTIVA"</formula>
    </cfRule>
    <cfRule type="expression" dxfId="13727" priority="62623">
      <formula>$H2431="ETAPA"</formula>
    </cfRule>
  </conditionalFormatting>
  <conditionalFormatting sqref="M2436">
    <cfRule type="expression" dxfId="13726" priority="62917">
      <formula>$H2436="CÉLULA CONSTRUTIVA"</formula>
    </cfRule>
    <cfRule type="expression" dxfId="13725" priority="62918">
      <formula>$H2436="ETAPA"</formula>
    </cfRule>
    <cfRule type="expression" dxfId="13724" priority="62919">
      <formula>$H2436="SUBETAPA"</formula>
    </cfRule>
    <cfRule type="expression" dxfId="13723" priority="62920">
      <formula>$H2436="CÉLULA CONSTRUTIVA"</formula>
    </cfRule>
  </conditionalFormatting>
  <conditionalFormatting sqref="M2438:M2439 O2438:O2439">
    <cfRule type="expression" dxfId="13722" priority="62875">
      <formula>$H2438="CÉLULA CONSTRUTIVA"</formula>
    </cfRule>
  </conditionalFormatting>
  <conditionalFormatting sqref="M2438:M2439">
    <cfRule type="expression" dxfId="13721" priority="62879">
      <formula>$H2438="CÉLULA CONSTRUTIVA"</formula>
    </cfRule>
    <cfRule type="expression" dxfId="13720" priority="62880">
      <formula>$H2438="ETAPA"</formula>
    </cfRule>
    <cfRule type="expression" dxfId="13719" priority="62881">
      <formula>$H2438="SUBETAPA"</formula>
    </cfRule>
    <cfRule type="expression" dxfId="13718" priority="62882">
      <formula>$H2438="CÉLULA CONSTRUTIVA"</formula>
    </cfRule>
    <cfRule type="expression" dxfId="13717" priority="62883">
      <formula>$H2438="ETAPA"</formula>
    </cfRule>
  </conditionalFormatting>
  <conditionalFormatting sqref="M2441">
    <cfRule type="expression" dxfId="13716" priority="6951">
      <formula>$H2441="CÉLULA CONSTRUTIVA"</formula>
    </cfRule>
  </conditionalFormatting>
  <conditionalFormatting sqref="M2442 O2442">
    <cfRule type="expression" dxfId="13715" priority="62931">
      <formula>$H2442="SUBETAPA"</formula>
    </cfRule>
    <cfRule type="expression" dxfId="13714" priority="62932">
      <formula>$H2442="CÉLULA CONSTRUTIVA"</formula>
    </cfRule>
  </conditionalFormatting>
  <conditionalFormatting sqref="M2442">
    <cfRule type="expression" dxfId="13713" priority="62929">
      <formula>$H2442="CÉLULA CONSTRUTIVA"</formula>
    </cfRule>
    <cfRule type="expression" dxfId="13712" priority="62930">
      <formula>$H2442="ETAPA"</formula>
    </cfRule>
  </conditionalFormatting>
  <conditionalFormatting sqref="M2442:M2443">
    <cfRule type="expression" dxfId="13711" priority="62933">
      <formula>$H2442="ETAPA"</formula>
    </cfRule>
  </conditionalFormatting>
  <conditionalFormatting sqref="M2444">
    <cfRule type="expression" dxfId="13710" priority="62760">
      <formula>$H2444="CÉLULA CONSTRUTIVA"</formula>
    </cfRule>
    <cfRule type="expression" dxfId="13709" priority="62761">
      <formula>$H2444="ETAPA"</formula>
    </cfRule>
    <cfRule type="expression" dxfId="13708" priority="62762">
      <formula>$H2444="CÉLULA CONSTRUTIVA"</formula>
    </cfRule>
    <cfRule type="expression" dxfId="13707" priority="62763">
      <formula>$H2444="ETAPA"</formula>
    </cfRule>
    <cfRule type="expression" dxfId="13706" priority="62764">
      <formula>$H2444="SUBETAPA"</formula>
    </cfRule>
  </conditionalFormatting>
  <conditionalFormatting sqref="M2445">
    <cfRule type="expression" dxfId="13705" priority="62765">
      <formula>$H2445="CÉLULA CONSTRUTIVA"</formula>
    </cfRule>
    <cfRule type="expression" dxfId="13704" priority="62766">
      <formula>$H2445="ETAPA"</formula>
    </cfRule>
    <cfRule type="expression" dxfId="13703" priority="62767">
      <formula>$H2445="SUBETAPA"</formula>
    </cfRule>
    <cfRule type="expression" dxfId="13702" priority="62768">
      <formula>$H2445="CÉLULA CONSTRUTIVA"</formula>
    </cfRule>
    <cfRule type="expression" dxfId="13701" priority="62769">
      <formula>$H2445="ETAPA"</formula>
    </cfRule>
  </conditionalFormatting>
  <conditionalFormatting sqref="M2446">
    <cfRule type="expression" dxfId="13700" priority="62738">
      <formula>$H2446="CÉLULA CONSTRUTIVA"</formula>
    </cfRule>
    <cfRule type="expression" dxfId="13699" priority="62739">
      <formula>$H2446="ETAPA"</formula>
    </cfRule>
    <cfRule type="expression" dxfId="13698" priority="62740">
      <formula>$H2446="CÉLULA CONSTRUTIVA"</formula>
    </cfRule>
    <cfRule type="expression" dxfId="13697" priority="62741">
      <formula>$H2446="ETAPA"</formula>
    </cfRule>
    <cfRule type="expression" dxfId="13696" priority="62742">
      <formula>$H2446="SUBETAPA"</formula>
    </cfRule>
  </conditionalFormatting>
  <conditionalFormatting sqref="M2448">
    <cfRule type="expression" dxfId="13695" priority="62966">
      <formula>$H2448="CÉLULA CONSTRUTIVA"</formula>
    </cfRule>
    <cfRule type="expression" dxfId="13694" priority="62967">
      <formula>$H2448="ETAPA"</formula>
    </cfRule>
    <cfRule type="expression" dxfId="13693" priority="62968">
      <formula>$H2448="SUBETAPA"</formula>
    </cfRule>
    <cfRule type="expression" dxfId="13692" priority="62969">
      <formula>$H2448="CÉLULA CONSTRUTIVA"</formula>
    </cfRule>
    <cfRule type="expression" dxfId="13691" priority="62970">
      <formula>$H2448="ETAPA"</formula>
    </cfRule>
  </conditionalFormatting>
  <conditionalFormatting sqref="M2450:M2453">
    <cfRule type="expression" dxfId="13690" priority="62849">
      <formula>$H2450="ETAPA"</formula>
    </cfRule>
  </conditionalFormatting>
  <conditionalFormatting sqref="M2453">
    <cfRule type="expression" dxfId="13689" priority="62844">
      <formula>$H2453="ETAPA"</formula>
    </cfRule>
    <cfRule type="expression" dxfId="13688" priority="62845">
      <formula>$H2453="CÉLULA CONSTRUTIVA"</formula>
    </cfRule>
    <cfRule type="expression" dxfId="13687" priority="62846">
      <formula>$H2453="ETAPA"</formula>
    </cfRule>
    <cfRule type="expression" dxfId="13686" priority="62847">
      <formula>$H2453="SUBETAPA"</formula>
    </cfRule>
    <cfRule type="expression" dxfId="13685" priority="62848">
      <formula>$H2453="CÉLULA CONSTRUTIVA"</formula>
    </cfRule>
  </conditionalFormatting>
  <conditionalFormatting sqref="M2454">
    <cfRule type="expression" dxfId="13684" priority="62857">
      <formula>$H2454="ETAPA"</formula>
    </cfRule>
    <cfRule type="expression" dxfId="13683" priority="62858">
      <formula>$H2454="CÉLULA CONSTRUTIVA"</formula>
    </cfRule>
    <cfRule type="expression" dxfId="13682" priority="62859">
      <formula>$H2454="ETAPA"</formula>
    </cfRule>
    <cfRule type="expression" dxfId="13681" priority="62860">
      <formula>$H2454="SUBETAPA"</formula>
    </cfRule>
    <cfRule type="expression" dxfId="13680" priority="62861">
      <formula>$H2454="CÉLULA CONSTRUTIVA"</formula>
    </cfRule>
    <cfRule type="expression" dxfId="13679" priority="62862">
      <formula>$H2454="ETAPA"</formula>
    </cfRule>
  </conditionalFormatting>
  <conditionalFormatting sqref="M2459">
    <cfRule type="expression" dxfId="13678" priority="63156">
      <formula>$H2459="CÉLULA CONSTRUTIVA"</formula>
    </cfRule>
    <cfRule type="expression" dxfId="13677" priority="63157">
      <formula>$H2459="ETAPA"</formula>
    </cfRule>
    <cfRule type="expression" dxfId="13676" priority="63158">
      <formula>$H2459="SUBETAPA"</formula>
    </cfRule>
    <cfRule type="expression" dxfId="13675" priority="63159">
      <formula>$H2459="CÉLULA CONSTRUTIVA"</formula>
    </cfRule>
  </conditionalFormatting>
  <conditionalFormatting sqref="M2461:M2462 O2461:O2462">
    <cfRule type="expression" dxfId="13674" priority="63114">
      <formula>$H2461="CÉLULA CONSTRUTIVA"</formula>
    </cfRule>
  </conditionalFormatting>
  <conditionalFormatting sqref="M2461:M2462">
    <cfRule type="expression" dxfId="13673" priority="63118">
      <formula>$H2461="CÉLULA CONSTRUTIVA"</formula>
    </cfRule>
    <cfRule type="expression" dxfId="13672" priority="63119">
      <formula>$H2461="ETAPA"</formula>
    </cfRule>
    <cfRule type="expression" dxfId="13671" priority="63120">
      <formula>$H2461="SUBETAPA"</formula>
    </cfRule>
    <cfRule type="expression" dxfId="13670" priority="63121">
      <formula>$H2461="CÉLULA CONSTRUTIVA"</formula>
    </cfRule>
    <cfRule type="expression" dxfId="13669" priority="63122">
      <formula>$H2461="ETAPA"</formula>
    </cfRule>
  </conditionalFormatting>
  <conditionalFormatting sqref="M2465">
    <cfRule type="expression" dxfId="13668" priority="6895">
      <formula>$H2465="CÉLULA CONSTRUTIVA"</formula>
    </cfRule>
  </conditionalFormatting>
  <conditionalFormatting sqref="M2466 O2466">
    <cfRule type="expression" dxfId="13667" priority="63170">
      <formula>$H2466="SUBETAPA"</formula>
    </cfRule>
    <cfRule type="expression" dxfId="13666" priority="63171">
      <formula>$H2466="CÉLULA CONSTRUTIVA"</formula>
    </cfRule>
  </conditionalFormatting>
  <conditionalFormatting sqref="M2466">
    <cfRule type="expression" dxfId="13665" priority="63168">
      <formula>$H2466="CÉLULA CONSTRUTIVA"</formula>
    </cfRule>
    <cfRule type="expression" dxfId="13664" priority="63169">
      <formula>$H2466="ETAPA"</formula>
    </cfRule>
  </conditionalFormatting>
  <conditionalFormatting sqref="M2466:M2467">
    <cfRule type="expression" dxfId="13663" priority="63172">
      <formula>$H2466="ETAPA"</formula>
    </cfRule>
  </conditionalFormatting>
  <conditionalFormatting sqref="M2468">
    <cfRule type="expression" dxfId="13662" priority="62999">
      <formula>$H2468="CÉLULA CONSTRUTIVA"</formula>
    </cfRule>
    <cfRule type="expression" dxfId="13661" priority="63000">
      <formula>$H2468="ETAPA"</formula>
    </cfRule>
    <cfRule type="expression" dxfId="13660" priority="63001">
      <formula>$H2468="CÉLULA CONSTRUTIVA"</formula>
    </cfRule>
    <cfRule type="expression" dxfId="13659" priority="63002">
      <formula>$H2468="ETAPA"</formula>
    </cfRule>
    <cfRule type="expression" dxfId="13658" priority="63003">
      <formula>$H2468="SUBETAPA"</formula>
    </cfRule>
  </conditionalFormatting>
  <conditionalFormatting sqref="M2469">
    <cfRule type="expression" dxfId="13657" priority="63004">
      <formula>$H2469="CÉLULA CONSTRUTIVA"</formula>
    </cfRule>
    <cfRule type="expression" dxfId="13656" priority="63005">
      <formula>$H2469="ETAPA"</formula>
    </cfRule>
    <cfRule type="expression" dxfId="13655" priority="63006">
      <formula>$H2469="SUBETAPA"</formula>
    </cfRule>
    <cfRule type="expression" dxfId="13654" priority="63007">
      <formula>$H2469="CÉLULA CONSTRUTIVA"</formula>
    </cfRule>
    <cfRule type="expression" dxfId="13653" priority="63008">
      <formula>$H2469="ETAPA"</formula>
    </cfRule>
  </conditionalFormatting>
  <conditionalFormatting sqref="M2470">
    <cfRule type="expression" dxfId="13652" priority="62977">
      <formula>$H2470="CÉLULA CONSTRUTIVA"</formula>
    </cfRule>
    <cfRule type="expression" dxfId="13651" priority="62978">
      <formula>$H2470="ETAPA"</formula>
    </cfRule>
    <cfRule type="expression" dxfId="13650" priority="62979">
      <formula>$H2470="CÉLULA CONSTRUTIVA"</formula>
    </cfRule>
    <cfRule type="expression" dxfId="13649" priority="62980">
      <formula>$H2470="ETAPA"</formula>
    </cfRule>
    <cfRule type="expression" dxfId="13648" priority="62981">
      <formula>$H2470="SUBETAPA"</formula>
    </cfRule>
  </conditionalFormatting>
  <conditionalFormatting sqref="M2472">
    <cfRule type="expression" dxfId="13647" priority="63205">
      <formula>$H2472="CÉLULA CONSTRUTIVA"</formula>
    </cfRule>
    <cfRule type="expression" dxfId="13646" priority="63206">
      <formula>$H2472="ETAPA"</formula>
    </cfRule>
    <cfRule type="expression" dxfId="13645" priority="63207">
      <formula>$H2472="SUBETAPA"</formula>
    </cfRule>
    <cfRule type="expression" dxfId="13644" priority="63208">
      <formula>$H2472="CÉLULA CONSTRUTIVA"</formula>
    </cfRule>
    <cfRule type="expression" dxfId="13643" priority="63209">
      <formula>$H2472="ETAPA"</formula>
    </cfRule>
  </conditionalFormatting>
  <conditionalFormatting sqref="M2474:M2477">
    <cfRule type="expression" dxfId="13642" priority="63088">
      <formula>$H2474="ETAPA"</formula>
    </cfRule>
  </conditionalFormatting>
  <conditionalFormatting sqref="M2477">
    <cfRule type="expression" dxfId="13641" priority="63083">
      <formula>$H2477="ETAPA"</formula>
    </cfRule>
    <cfRule type="expression" dxfId="13640" priority="63084">
      <formula>$H2477="CÉLULA CONSTRUTIVA"</formula>
    </cfRule>
    <cfRule type="expression" dxfId="13639" priority="63085">
      <formula>$H2477="ETAPA"</formula>
    </cfRule>
    <cfRule type="expression" dxfId="13638" priority="63086">
      <formula>$H2477="SUBETAPA"</formula>
    </cfRule>
    <cfRule type="expression" dxfId="13637" priority="63087">
      <formula>$H2477="CÉLULA CONSTRUTIVA"</formula>
    </cfRule>
  </conditionalFormatting>
  <conditionalFormatting sqref="M2478">
    <cfRule type="expression" dxfId="13636" priority="63096">
      <formula>$H2478="ETAPA"</formula>
    </cfRule>
    <cfRule type="expression" dxfId="13635" priority="63097">
      <formula>$H2478="CÉLULA CONSTRUTIVA"</formula>
    </cfRule>
    <cfRule type="expression" dxfId="13634" priority="63098">
      <formula>$H2478="ETAPA"</formula>
    </cfRule>
    <cfRule type="expression" dxfId="13633" priority="63099">
      <formula>$H2478="SUBETAPA"</formula>
    </cfRule>
    <cfRule type="expression" dxfId="13632" priority="63100">
      <formula>$H2478="CÉLULA CONSTRUTIVA"</formula>
    </cfRule>
    <cfRule type="expression" dxfId="13631" priority="63101">
      <formula>$H2478="ETAPA"</formula>
    </cfRule>
  </conditionalFormatting>
  <conditionalFormatting sqref="M2483">
    <cfRule type="expression" dxfId="13630" priority="63395">
      <formula>$H2483="CÉLULA CONSTRUTIVA"</formula>
    </cfRule>
    <cfRule type="expression" dxfId="13629" priority="63396">
      <formula>$H2483="ETAPA"</formula>
    </cfRule>
    <cfRule type="expression" dxfId="13628" priority="63397">
      <formula>$H2483="SUBETAPA"</formula>
    </cfRule>
    <cfRule type="expression" dxfId="13627" priority="63398">
      <formula>$H2483="CÉLULA CONSTRUTIVA"</formula>
    </cfRule>
  </conditionalFormatting>
  <conditionalFormatting sqref="M2485:M2486 O2485:O2486">
    <cfRule type="expression" dxfId="13626" priority="63353">
      <formula>$H2485="CÉLULA CONSTRUTIVA"</formula>
    </cfRule>
  </conditionalFormatting>
  <conditionalFormatting sqref="M2485:M2486">
    <cfRule type="expression" dxfId="13625" priority="63357">
      <formula>$H2485="CÉLULA CONSTRUTIVA"</formula>
    </cfRule>
    <cfRule type="expression" dxfId="13624" priority="63358">
      <formula>$H2485="ETAPA"</formula>
    </cfRule>
    <cfRule type="expression" dxfId="13623" priority="63359">
      <formula>$H2485="SUBETAPA"</formula>
    </cfRule>
    <cfRule type="expression" dxfId="13622" priority="63360">
      <formula>$H2485="CÉLULA CONSTRUTIVA"</formula>
    </cfRule>
    <cfRule type="expression" dxfId="13621" priority="63361">
      <formula>$H2485="ETAPA"</formula>
    </cfRule>
  </conditionalFormatting>
  <conditionalFormatting sqref="M2489">
    <cfRule type="expression" dxfId="13620" priority="6839">
      <formula>$H2489="CÉLULA CONSTRUTIVA"</formula>
    </cfRule>
  </conditionalFormatting>
  <conditionalFormatting sqref="M2490 O2490">
    <cfRule type="expression" dxfId="13619" priority="63368">
      <formula>$H2490="ETAPA"</formula>
    </cfRule>
  </conditionalFormatting>
  <conditionalFormatting sqref="M2490">
    <cfRule type="expression" dxfId="13618" priority="63369">
      <formula>$H2490="CÉLULA CONSTRUTIVA"</formula>
    </cfRule>
    <cfRule type="expression" dxfId="13617" priority="63370">
      <formula>$H2490="ETAPA"</formula>
    </cfRule>
    <cfRule type="expression" dxfId="13616" priority="63371">
      <formula>$H2490="SUBETAPA"</formula>
    </cfRule>
    <cfRule type="expression" dxfId="13615" priority="63372">
      <formula>$H2490="CÉLULA CONSTRUTIVA"</formula>
    </cfRule>
    <cfRule type="expression" dxfId="13614" priority="63373">
      <formula>$H2490="ETAPA"</formula>
    </cfRule>
  </conditionalFormatting>
  <conditionalFormatting sqref="M2490:M2491">
    <cfRule type="expression" dxfId="13613" priority="63366">
      <formula>$H2490="CÉLULA CONSTRUTIVA"</formula>
    </cfRule>
  </conditionalFormatting>
  <conditionalFormatting sqref="M2491:M2492 O2491:O2492">
    <cfRule type="expression" dxfId="13612" priority="63409">
      <formula>$H2491="SUBETAPA"</formula>
    </cfRule>
    <cfRule type="expression" dxfId="13611" priority="63410">
      <formula>$H2491="CÉLULA CONSTRUTIVA"</formula>
    </cfRule>
  </conditionalFormatting>
  <conditionalFormatting sqref="M2491:M2492">
    <cfRule type="expression" dxfId="13610" priority="63407">
      <formula>$H2491="CÉLULA CONSTRUTIVA"</formula>
    </cfRule>
    <cfRule type="expression" dxfId="13609" priority="63408">
      <formula>$H2491="ETAPA"</formula>
    </cfRule>
  </conditionalFormatting>
  <conditionalFormatting sqref="M2491:M2493">
    <cfRule type="expression" dxfId="13608" priority="63411">
      <formula>$H2491="ETAPA"</formula>
    </cfRule>
  </conditionalFormatting>
  <conditionalFormatting sqref="M2494">
    <cfRule type="expression" dxfId="13607" priority="63238">
      <formula>$H2494="CÉLULA CONSTRUTIVA"</formula>
    </cfRule>
    <cfRule type="expression" dxfId="13606" priority="63239">
      <formula>$H2494="ETAPA"</formula>
    </cfRule>
    <cfRule type="expression" dxfId="13605" priority="63240">
      <formula>$H2494="CÉLULA CONSTRUTIVA"</formula>
    </cfRule>
    <cfRule type="expression" dxfId="13604" priority="63241">
      <formula>$H2494="ETAPA"</formula>
    </cfRule>
    <cfRule type="expression" dxfId="13603" priority="63242">
      <formula>$H2494="SUBETAPA"</formula>
    </cfRule>
  </conditionalFormatting>
  <conditionalFormatting sqref="M2495">
    <cfRule type="expression" dxfId="13602" priority="63243">
      <formula>$H2495="CÉLULA CONSTRUTIVA"</formula>
    </cfRule>
    <cfRule type="expression" dxfId="13601" priority="63244">
      <formula>$H2495="ETAPA"</formula>
    </cfRule>
    <cfRule type="expression" dxfId="13600" priority="63245">
      <formula>$H2495="SUBETAPA"</formula>
    </cfRule>
    <cfRule type="expression" dxfId="13599" priority="63246">
      <formula>$H2495="CÉLULA CONSTRUTIVA"</formula>
    </cfRule>
    <cfRule type="expression" dxfId="13598" priority="63247">
      <formula>$H2495="ETAPA"</formula>
    </cfRule>
  </conditionalFormatting>
  <conditionalFormatting sqref="M2496">
    <cfRule type="expression" dxfId="13597" priority="63216">
      <formula>$H2496="CÉLULA CONSTRUTIVA"</formula>
    </cfRule>
    <cfRule type="expression" dxfId="13596" priority="63217">
      <formula>$H2496="ETAPA"</formula>
    </cfRule>
    <cfRule type="expression" dxfId="13595" priority="63218">
      <formula>$H2496="CÉLULA CONSTRUTIVA"</formula>
    </cfRule>
    <cfRule type="expression" dxfId="13594" priority="63219">
      <formula>$H2496="ETAPA"</formula>
    </cfRule>
    <cfRule type="expression" dxfId="13593" priority="63220">
      <formula>$H2496="SUBETAPA"</formula>
    </cfRule>
  </conditionalFormatting>
  <conditionalFormatting sqref="M2497">
    <cfRule type="expression" dxfId="13592" priority="63227">
      <formula>$H2497="CÉLULA CONSTRUTIVA"</formula>
    </cfRule>
    <cfRule type="expression" dxfId="13591" priority="63228">
      <formula>$H2497="ETAPA"</formula>
    </cfRule>
    <cfRule type="expression" dxfId="13590" priority="63229">
      <formula>$H2497="CÉLULA CONSTRUTIVA"</formula>
    </cfRule>
    <cfRule type="expression" dxfId="13589" priority="63230">
      <formula>$H2497="ETAPA"</formula>
    </cfRule>
    <cfRule type="expression" dxfId="13588" priority="63231">
      <formula>$H2497="SUBETAPA"</formula>
    </cfRule>
  </conditionalFormatting>
  <conditionalFormatting sqref="M2499">
    <cfRule type="expression" dxfId="13587" priority="63437">
      <formula>$H2499="CÉLULA CONSTRUTIVA"</formula>
    </cfRule>
    <cfRule type="expression" dxfId="13586" priority="63438">
      <formula>$H2499="ETAPA"</formula>
    </cfRule>
    <cfRule type="expression" dxfId="13585" priority="63439">
      <formula>$H2499="CÉLULA CONSTRUTIVA"</formula>
    </cfRule>
    <cfRule type="expression" dxfId="13584" priority="63440">
      <formula>$H2499="ETAPA"</formula>
    </cfRule>
    <cfRule type="expression" dxfId="13583" priority="63441">
      <formula>$H2499="SUBETAPA"</formula>
    </cfRule>
  </conditionalFormatting>
  <conditionalFormatting sqref="M2500">
    <cfRule type="expression" dxfId="13582" priority="63444">
      <formula>$H2500="CÉLULA CONSTRUTIVA"</formula>
    </cfRule>
    <cfRule type="expression" dxfId="13581" priority="63445">
      <formula>$H2500="ETAPA"</formula>
    </cfRule>
    <cfRule type="expression" dxfId="13580" priority="63446">
      <formula>$H2500="SUBETAPA"</formula>
    </cfRule>
    <cfRule type="expression" dxfId="13579" priority="63447">
      <formula>$H2500="CÉLULA CONSTRUTIVA"</formula>
    </cfRule>
  </conditionalFormatting>
  <conditionalFormatting sqref="M2500:M2501">
    <cfRule type="expression" dxfId="13578" priority="63448">
      <formula>$H2500="ETAPA"</formula>
    </cfRule>
  </conditionalFormatting>
  <conditionalFormatting sqref="M2502:M2505">
    <cfRule type="expression" dxfId="13577" priority="63419">
      <formula>$H2502="ETAPA"</formula>
    </cfRule>
    <cfRule type="expression" dxfId="13576" priority="63420">
      <formula>$H2502="CÉLULA CONSTRUTIVA"</formula>
    </cfRule>
    <cfRule type="expression" dxfId="13575" priority="63421">
      <formula>$H2502="ETAPA"</formula>
    </cfRule>
    <cfRule type="expression" dxfId="13574" priority="63422">
      <formula>$H2502="SUBETAPA"</formula>
    </cfRule>
    <cfRule type="expression" dxfId="13573" priority="63423">
      <formula>$H2502="CÉLULA CONSTRUTIVA"</formula>
    </cfRule>
    <cfRule type="expression" dxfId="13572" priority="63424">
      <formula>$H2502="ETAPA"</formula>
    </cfRule>
  </conditionalFormatting>
  <conditionalFormatting sqref="M2506">
    <cfRule type="expression" dxfId="13571" priority="63322">
      <formula>$H2506="ETAPA"</formula>
    </cfRule>
    <cfRule type="expression" dxfId="13570" priority="63323">
      <formula>$H2506="CÉLULA CONSTRUTIVA"</formula>
    </cfRule>
    <cfRule type="expression" dxfId="13569" priority="63324">
      <formula>$H2506="ETAPA"</formula>
    </cfRule>
    <cfRule type="expression" dxfId="13568" priority="63325">
      <formula>$H2506="SUBETAPA"</formula>
    </cfRule>
    <cfRule type="expression" dxfId="13567" priority="63326">
      <formula>$H2506="CÉLULA CONSTRUTIVA"</formula>
    </cfRule>
    <cfRule type="expression" dxfId="13566" priority="63327">
      <formula>$H2506="ETAPA"</formula>
    </cfRule>
  </conditionalFormatting>
  <conditionalFormatting sqref="M2507">
    <cfRule type="expression" dxfId="13565" priority="63335">
      <formula>$H2507="ETAPA"</formula>
    </cfRule>
    <cfRule type="expression" dxfId="13564" priority="63336">
      <formula>$H2507="CÉLULA CONSTRUTIVA"</formula>
    </cfRule>
    <cfRule type="expression" dxfId="13563" priority="63337">
      <formula>$H2507="ETAPA"</formula>
    </cfRule>
    <cfRule type="expression" dxfId="13562" priority="63338">
      <formula>$H2507="SUBETAPA"</formula>
    </cfRule>
    <cfRule type="expression" dxfId="13561" priority="63339">
      <formula>$H2507="CÉLULA CONSTRUTIVA"</formula>
    </cfRule>
    <cfRule type="expression" dxfId="13560" priority="63340">
      <formula>$H2507="ETAPA"</formula>
    </cfRule>
  </conditionalFormatting>
  <conditionalFormatting sqref="M2512:M2513 O2512:O2513">
    <cfRule type="expression" dxfId="13559" priority="63592">
      <formula>$H2512="CÉLULA CONSTRUTIVA"</formula>
    </cfRule>
  </conditionalFormatting>
  <conditionalFormatting sqref="M2512:M2513">
    <cfRule type="expression" dxfId="13558" priority="63596">
      <formula>$H2512="CÉLULA CONSTRUTIVA"</formula>
    </cfRule>
    <cfRule type="expression" dxfId="13557" priority="63597">
      <formula>$H2512="ETAPA"</formula>
    </cfRule>
    <cfRule type="expression" dxfId="13556" priority="63598">
      <formula>$H2512="SUBETAPA"</formula>
    </cfRule>
    <cfRule type="expression" dxfId="13555" priority="63599">
      <formula>$H2512="CÉLULA CONSTRUTIVA"</formula>
    </cfRule>
    <cfRule type="expression" dxfId="13554" priority="63600">
      <formula>$H2512="ETAPA"</formula>
    </cfRule>
  </conditionalFormatting>
  <conditionalFormatting sqref="M2516">
    <cfRule type="expression" dxfId="13553" priority="6783">
      <formula>$H2516="CÉLULA CONSTRUTIVA"</formula>
    </cfRule>
  </conditionalFormatting>
  <conditionalFormatting sqref="M2517 O2517">
    <cfRule type="expression" dxfId="13552" priority="63648">
      <formula>$H2517="SUBETAPA"</formula>
    </cfRule>
    <cfRule type="expression" dxfId="13551" priority="63649">
      <formula>$H2517="CÉLULA CONSTRUTIVA"</formula>
    </cfRule>
  </conditionalFormatting>
  <conditionalFormatting sqref="M2517">
    <cfRule type="expression" dxfId="13550" priority="63646">
      <formula>$H2517="CÉLULA CONSTRUTIVA"</formula>
    </cfRule>
    <cfRule type="expression" dxfId="13549" priority="63647">
      <formula>$H2517="ETAPA"</formula>
    </cfRule>
  </conditionalFormatting>
  <conditionalFormatting sqref="M2517:M2518">
    <cfRule type="expression" dxfId="13548" priority="63650">
      <formula>$H2517="ETAPA"</formula>
    </cfRule>
  </conditionalFormatting>
  <conditionalFormatting sqref="M2519">
    <cfRule type="expression" dxfId="13547" priority="63477">
      <formula>$H2519="CÉLULA CONSTRUTIVA"</formula>
    </cfRule>
    <cfRule type="expression" dxfId="13546" priority="63478">
      <formula>$H2519="ETAPA"</formula>
    </cfRule>
    <cfRule type="expression" dxfId="13545" priority="63479">
      <formula>$H2519="CÉLULA CONSTRUTIVA"</formula>
    </cfRule>
    <cfRule type="expression" dxfId="13544" priority="63480">
      <formula>$H2519="ETAPA"</formula>
    </cfRule>
    <cfRule type="expression" dxfId="13543" priority="63481">
      <formula>$H2519="SUBETAPA"</formula>
    </cfRule>
  </conditionalFormatting>
  <conditionalFormatting sqref="M2520">
    <cfRule type="expression" dxfId="13542" priority="63482">
      <formula>$H2520="CÉLULA CONSTRUTIVA"</formula>
    </cfRule>
    <cfRule type="expression" dxfId="13541" priority="63483">
      <formula>$H2520="ETAPA"</formula>
    </cfRule>
    <cfRule type="expression" dxfId="13540" priority="63484">
      <formula>$H2520="SUBETAPA"</formula>
    </cfRule>
    <cfRule type="expression" dxfId="13539" priority="63485">
      <formula>$H2520="CÉLULA CONSTRUTIVA"</formula>
    </cfRule>
    <cfRule type="expression" dxfId="13538" priority="63486">
      <formula>$H2520="ETAPA"</formula>
    </cfRule>
  </conditionalFormatting>
  <conditionalFormatting sqref="M2521">
    <cfRule type="expression" dxfId="13537" priority="63455">
      <formula>$H2521="CÉLULA CONSTRUTIVA"</formula>
    </cfRule>
    <cfRule type="expression" dxfId="13536" priority="63456">
      <formula>$H2521="ETAPA"</formula>
    </cfRule>
    <cfRule type="expression" dxfId="13535" priority="63457">
      <formula>$H2521="CÉLULA CONSTRUTIVA"</formula>
    </cfRule>
    <cfRule type="expression" dxfId="13534" priority="63458">
      <formula>$H2521="ETAPA"</formula>
    </cfRule>
    <cfRule type="expression" dxfId="13533" priority="63459">
      <formula>$H2521="SUBETAPA"</formula>
    </cfRule>
  </conditionalFormatting>
  <conditionalFormatting sqref="M2522">
    <cfRule type="expression" dxfId="13532" priority="63466">
      <formula>$H2522="CÉLULA CONSTRUTIVA"</formula>
    </cfRule>
    <cfRule type="expression" dxfId="13531" priority="63467">
      <formula>$H2522="ETAPA"</formula>
    </cfRule>
    <cfRule type="expression" dxfId="13530" priority="63468">
      <formula>$H2522="CÉLULA CONSTRUTIVA"</formula>
    </cfRule>
    <cfRule type="expression" dxfId="13529" priority="63469">
      <formula>$H2522="ETAPA"</formula>
    </cfRule>
    <cfRule type="expression" dxfId="13528" priority="63470">
      <formula>$H2522="SUBETAPA"</formula>
    </cfRule>
  </conditionalFormatting>
  <conditionalFormatting sqref="M2524">
    <cfRule type="expression" dxfId="13527" priority="63683">
      <formula>$H2524="CÉLULA CONSTRUTIVA"</formula>
    </cfRule>
    <cfRule type="expression" dxfId="13526" priority="63684">
      <formula>$H2524="ETAPA"</formula>
    </cfRule>
    <cfRule type="expression" dxfId="13525" priority="63685">
      <formula>$H2524="SUBETAPA"</formula>
    </cfRule>
    <cfRule type="expression" dxfId="13524" priority="63686">
      <formula>$H2524="CÉLULA CONSTRUTIVA"</formula>
    </cfRule>
    <cfRule type="expression" dxfId="13523" priority="63687">
      <formula>$H2524="ETAPA"</formula>
    </cfRule>
  </conditionalFormatting>
  <conditionalFormatting sqref="M2526:M2529">
    <cfRule type="expression" dxfId="13522" priority="63579">
      <formula>$H2526="ETAPA"</formula>
    </cfRule>
  </conditionalFormatting>
  <conditionalFormatting sqref="M2529">
    <cfRule type="expression" dxfId="13521" priority="63574">
      <formula>$H2529="ETAPA"</formula>
    </cfRule>
    <cfRule type="expression" dxfId="13520" priority="63575">
      <formula>$H2529="CÉLULA CONSTRUTIVA"</formula>
    </cfRule>
    <cfRule type="expression" dxfId="13519" priority="63576">
      <formula>$H2529="ETAPA"</formula>
    </cfRule>
    <cfRule type="expression" dxfId="13518" priority="63577">
      <formula>$H2529="SUBETAPA"</formula>
    </cfRule>
    <cfRule type="expression" dxfId="13517" priority="63578">
      <formula>$H2529="CÉLULA CONSTRUTIVA"</formula>
    </cfRule>
  </conditionalFormatting>
  <conditionalFormatting sqref="M2530:M2531 M2508:M2509 M2479:M2480 M2455:M2456 M2432:M2433 M2409:M2410 M2358:M2359 M1800:M1801">
    <cfRule type="expression" dxfId="13516" priority="78852">
      <formula>$H1800="ETAPA"</formula>
    </cfRule>
  </conditionalFormatting>
  <conditionalFormatting sqref="M2534:M2535 O2534:O2535">
    <cfRule type="expression" dxfId="13515" priority="63831">
      <formula>$H2534="CÉLULA CONSTRUTIVA"</formula>
    </cfRule>
  </conditionalFormatting>
  <conditionalFormatting sqref="M2534:M2535">
    <cfRule type="expression" dxfId="13514" priority="63835">
      <formula>$H2534="CÉLULA CONSTRUTIVA"</formula>
    </cfRule>
    <cfRule type="expression" dxfId="13513" priority="63836">
      <formula>$H2534="ETAPA"</formula>
    </cfRule>
    <cfRule type="expression" dxfId="13512" priority="63837">
      <formula>$H2534="SUBETAPA"</formula>
    </cfRule>
    <cfRule type="expression" dxfId="13511" priority="63838">
      <formula>$H2534="CÉLULA CONSTRUTIVA"</formula>
    </cfRule>
    <cfRule type="expression" dxfId="13510" priority="63839">
      <formula>$H2534="ETAPA"</formula>
    </cfRule>
  </conditionalFormatting>
  <conditionalFormatting sqref="M2537">
    <cfRule type="expression" dxfId="13509" priority="6704">
      <formula>$H2537="CÉLULA CONSTRUTIVA"</formula>
    </cfRule>
  </conditionalFormatting>
  <conditionalFormatting sqref="M2538:M2539">
    <cfRule type="expression" dxfId="13508" priority="63719">
      <formula>$H2538="ETAPA"</formula>
    </cfRule>
  </conditionalFormatting>
  <conditionalFormatting sqref="M2539">
    <cfRule type="expression" dxfId="13507" priority="63716">
      <formula>$H2539="CÉLULA CONSTRUTIVA"</formula>
    </cfRule>
    <cfRule type="expression" dxfId="13506" priority="63717">
      <formula>$H2539="ETAPA"</formula>
    </cfRule>
    <cfRule type="expression" dxfId="13505" priority="63718">
      <formula>$H2539="CÉLULA CONSTRUTIVA"</formula>
    </cfRule>
    <cfRule type="expression" dxfId="13504" priority="63720">
      <formula>$H2539="SUBETAPA"</formula>
    </cfRule>
  </conditionalFormatting>
  <conditionalFormatting sqref="M2540">
    <cfRule type="expression" dxfId="13503" priority="63721">
      <formula>$H2540="CÉLULA CONSTRUTIVA"</formula>
    </cfRule>
    <cfRule type="expression" dxfId="13502" priority="63722">
      <formula>$H2540="ETAPA"</formula>
    </cfRule>
    <cfRule type="expression" dxfId="13501" priority="63723">
      <formula>$H2540="SUBETAPA"</formula>
    </cfRule>
    <cfRule type="expression" dxfId="13500" priority="63724">
      <formula>$H2540="CÉLULA CONSTRUTIVA"</formula>
    </cfRule>
    <cfRule type="expression" dxfId="13499" priority="63725">
      <formula>$H2540="ETAPA"</formula>
    </cfRule>
  </conditionalFormatting>
  <conditionalFormatting sqref="M2541">
    <cfRule type="expression" dxfId="13498" priority="63694">
      <formula>$H2541="CÉLULA CONSTRUTIVA"</formula>
    </cfRule>
    <cfRule type="expression" dxfId="13497" priority="63695">
      <formula>$H2541="ETAPA"</formula>
    </cfRule>
    <cfRule type="expression" dxfId="13496" priority="63696">
      <formula>$H2541="CÉLULA CONSTRUTIVA"</formula>
    </cfRule>
    <cfRule type="expression" dxfId="13495" priority="63697">
      <formula>$H2541="ETAPA"</formula>
    </cfRule>
    <cfRule type="expression" dxfId="13494" priority="63698">
      <formula>$H2541="SUBETAPA"</formula>
    </cfRule>
  </conditionalFormatting>
  <conditionalFormatting sqref="M2544">
    <cfRule type="expression" dxfId="13493" priority="6677">
      <formula>$H2544="CÉLULA CONSTRUTIVA"</formula>
    </cfRule>
    <cfRule type="expression" dxfId="13492" priority="6678">
      <formula>$H2544="ETAPA"</formula>
    </cfRule>
    <cfRule type="expression" dxfId="13491" priority="6679">
      <formula>$H2544="CÉLULA CONSTRUTIVA"</formula>
    </cfRule>
    <cfRule type="expression" dxfId="13490" priority="6680">
      <formula>$H2544="ETAPA"</formula>
    </cfRule>
    <cfRule type="expression" dxfId="13489" priority="6681">
      <formula>$H2544="SUBETAPA"</formula>
    </cfRule>
    <cfRule type="expression" dxfId="13488" priority="6682">
      <formula>$H2544="CÉLULA CONSTRUTIVA"</formula>
    </cfRule>
    <cfRule type="expression" dxfId="13487" priority="6683">
      <formula>$H2544="ETAPA"</formula>
    </cfRule>
  </conditionalFormatting>
  <conditionalFormatting sqref="M2545:M2547">
    <cfRule type="expression" dxfId="13486" priority="63818">
      <formula>$H2545="ETAPA"</formula>
    </cfRule>
  </conditionalFormatting>
  <conditionalFormatting sqref="M2546">
    <cfRule type="expression" dxfId="13485" priority="63813">
      <formula>$H2546="ETAPA"</formula>
    </cfRule>
    <cfRule type="expression" dxfId="13484" priority="63814">
      <formula>$H2546="CÉLULA CONSTRUTIVA"</formula>
    </cfRule>
    <cfRule type="expression" dxfId="13483" priority="63815">
      <formula>$H2546="ETAPA"</formula>
    </cfRule>
    <cfRule type="expression" dxfId="13482" priority="63816">
      <formula>$H2546="SUBETAPA"</formula>
    </cfRule>
    <cfRule type="expression" dxfId="13481" priority="63817">
      <formula>$H2546="CÉLULA CONSTRUTIVA"</formula>
    </cfRule>
  </conditionalFormatting>
  <conditionalFormatting sqref="M2550:M2551 O2550:O2551">
    <cfRule type="expression" dxfId="13480" priority="64070">
      <formula>$H2550="CÉLULA CONSTRUTIVA"</formula>
    </cfRule>
  </conditionalFormatting>
  <conditionalFormatting sqref="M2550:M2551">
    <cfRule type="expression" dxfId="13479" priority="64074">
      <formula>$H2550="CÉLULA CONSTRUTIVA"</formula>
    </cfRule>
    <cfRule type="expression" dxfId="13478" priority="64075">
      <formula>$H2550="ETAPA"</formula>
    </cfRule>
    <cfRule type="expression" dxfId="13477" priority="64076">
      <formula>$H2550="SUBETAPA"</formula>
    </cfRule>
    <cfRule type="expression" dxfId="13476" priority="64077">
      <formula>$H2550="CÉLULA CONSTRUTIVA"</formula>
    </cfRule>
    <cfRule type="expression" dxfId="13475" priority="64078">
      <formula>$H2550="ETAPA"</formula>
    </cfRule>
  </conditionalFormatting>
  <conditionalFormatting sqref="M2553">
    <cfRule type="expression" dxfId="13474" priority="6646">
      <formula>$H2553="CÉLULA CONSTRUTIVA"</formula>
    </cfRule>
  </conditionalFormatting>
  <conditionalFormatting sqref="M2554:M2555">
    <cfRule type="expression" dxfId="13473" priority="63958">
      <formula>$H2554="ETAPA"</formula>
    </cfRule>
  </conditionalFormatting>
  <conditionalFormatting sqref="M2555">
    <cfRule type="expression" dxfId="13472" priority="63955">
      <formula>$H2555="CÉLULA CONSTRUTIVA"</formula>
    </cfRule>
    <cfRule type="expression" dxfId="13471" priority="63956">
      <formula>$H2555="ETAPA"</formula>
    </cfRule>
    <cfRule type="expression" dxfId="13470" priority="63957">
      <formula>$H2555="CÉLULA CONSTRUTIVA"</formula>
    </cfRule>
    <cfRule type="expression" dxfId="13469" priority="63959">
      <formula>$H2555="SUBETAPA"</formula>
    </cfRule>
  </conditionalFormatting>
  <conditionalFormatting sqref="M2556">
    <cfRule type="expression" dxfId="13468" priority="63960">
      <formula>$H2556="CÉLULA CONSTRUTIVA"</formula>
    </cfRule>
    <cfRule type="expression" dxfId="13467" priority="63961">
      <formula>$H2556="ETAPA"</formula>
    </cfRule>
    <cfRule type="expression" dxfId="13466" priority="63962">
      <formula>$H2556="SUBETAPA"</formula>
    </cfRule>
    <cfRule type="expression" dxfId="13465" priority="63963">
      <formula>$H2556="CÉLULA CONSTRUTIVA"</formula>
    </cfRule>
    <cfRule type="expression" dxfId="13464" priority="63964">
      <formula>$H2556="ETAPA"</formula>
    </cfRule>
  </conditionalFormatting>
  <conditionalFormatting sqref="M2557">
    <cfRule type="expression" dxfId="13463" priority="63933">
      <formula>$H2557="CÉLULA CONSTRUTIVA"</formula>
    </cfRule>
    <cfRule type="expression" dxfId="13462" priority="63934">
      <formula>$H2557="ETAPA"</formula>
    </cfRule>
    <cfRule type="expression" dxfId="13461" priority="63935">
      <formula>$H2557="CÉLULA CONSTRUTIVA"</formula>
    </cfRule>
    <cfRule type="expression" dxfId="13460" priority="63936">
      <formula>$H2557="ETAPA"</formula>
    </cfRule>
    <cfRule type="expression" dxfId="13459" priority="63937">
      <formula>$H2557="SUBETAPA"</formula>
    </cfRule>
  </conditionalFormatting>
  <conditionalFormatting sqref="M2560">
    <cfRule type="expression" dxfId="13458" priority="6619">
      <formula>$H2560="CÉLULA CONSTRUTIVA"</formula>
    </cfRule>
    <cfRule type="expression" dxfId="13457" priority="6620">
      <formula>$H2560="ETAPA"</formula>
    </cfRule>
    <cfRule type="expression" dxfId="13456" priority="6621">
      <formula>$H2560="CÉLULA CONSTRUTIVA"</formula>
    </cfRule>
    <cfRule type="expression" dxfId="13455" priority="6622">
      <formula>$H2560="ETAPA"</formula>
    </cfRule>
    <cfRule type="expression" dxfId="13454" priority="6623">
      <formula>$H2560="SUBETAPA"</formula>
    </cfRule>
    <cfRule type="expression" dxfId="13453" priority="6624">
      <formula>$H2560="CÉLULA CONSTRUTIVA"</formula>
    </cfRule>
    <cfRule type="expression" dxfId="13452" priority="6625">
      <formula>$H2560="ETAPA"</formula>
    </cfRule>
  </conditionalFormatting>
  <conditionalFormatting sqref="M2561:M2563">
    <cfRule type="expression" dxfId="13451" priority="64057">
      <formula>$H2561="ETAPA"</formula>
    </cfRule>
  </conditionalFormatting>
  <conditionalFormatting sqref="M2562">
    <cfRule type="expression" dxfId="13450" priority="64052">
      <formula>$H2562="ETAPA"</formula>
    </cfRule>
    <cfRule type="expression" dxfId="13449" priority="64053">
      <formula>$H2562="CÉLULA CONSTRUTIVA"</formula>
    </cfRule>
    <cfRule type="expression" dxfId="13448" priority="64054">
      <formula>$H2562="ETAPA"</formula>
    </cfRule>
    <cfRule type="expression" dxfId="13447" priority="64055">
      <formula>$H2562="SUBETAPA"</formula>
    </cfRule>
    <cfRule type="expression" dxfId="13446" priority="64056">
      <formula>$H2562="CÉLULA CONSTRUTIVA"</formula>
    </cfRule>
  </conditionalFormatting>
  <conditionalFormatting sqref="M2566:M2567 O2566:O2567">
    <cfRule type="expression" dxfId="13445" priority="64309">
      <formula>$H2566="CÉLULA CONSTRUTIVA"</formula>
    </cfRule>
  </conditionalFormatting>
  <conditionalFormatting sqref="M2566:M2567">
    <cfRule type="expression" dxfId="13444" priority="64313">
      <formula>$H2566="CÉLULA CONSTRUTIVA"</formula>
    </cfRule>
    <cfRule type="expression" dxfId="13443" priority="64314">
      <formula>$H2566="ETAPA"</formula>
    </cfRule>
    <cfRule type="expression" dxfId="13442" priority="64315">
      <formula>$H2566="SUBETAPA"</formula>
    </cfRule>
    <cfRule type="expression" dxfId="13441" priority="64316">
      <formula>$H2566="CÉLULA CONSTRUTIVA"</formula>
    </cfRule>
    <cfRule type="expression" dxfId="13440" priority="64317">
      <formula>$H2566="ETAPA"</formula>
    </cfRule>
  </conditionalFormatting>
  <conditionalFormatting sqref="M2569">
    <cfRule type="expression" dxfId="13439" priority="6588">
      <formula>$H2569="CÉLULA CONSTRUTIVA"</formula>
    </cfRule>
  </conditionalFormatting>
  <conditionalFormatting sqref="M2570:M2571">
    <cfRule type="expression" dxfId="13438" priority="64197">
      <formula>$H2570="ETAPA"</formula>
    </cfRule>
  </conditionalFormatting>
  <conditionalFormatting sqref="M2571">
    <cfRule type="expression" dxfId="13437" priority="64194">
      <formula>$H2571="CÉLULA CONSTRUTIVA"</formula>
    </cfRule>
    <cfRule type="expression" dxfId="13436" priority="64195">
      <formula>$H2571="ETAPA"</formula>
    </cfRule>
    <cfRule type="expression" dxfId="13435" priority="64196">
      <formula>$H2571="CÉLULA CONSTRUTIVA"</formula>
    </cfRule>
    <cfRule type="expression" dxfId="13434" priority="64198">
      <formula>$H2571="SUBETAPA"</formula>
    </cfRule>
  </conditionalFormatting>
  <conditionalFormatting sqref="M2572">
    <cfRule type="expression" dxfId="13433" priority="64199">
      <formula>$H2572="CÉLULA CONSTRUTIVA"</formula>
    </cfRule>
    <cfRule type="expression" dxfId="13432" priority="64200">
      <formula>$H2572="ETAPA"</formula>
    </cfRule>
    <cfRule type="expression" dxfId="13431" priority="64201">
      <formula>$H2572="SUBETAPA"</formula>
    </cfRule>
    <cfRule type="expression" dxfId="13430" priority="64202">
      <formula>$H2572="CÉLULA CONSTRUTIVA"</formula>
    </cfRule>
    <cfRule type="expression" dxfId="13429" priority="64203">
      <formula>$H2572="ETAPA"</formula>
    </cfRule>
  </conditionalFormatting>
  <conditionalFormatting sqref="M2573">
    <cfRule type="expression" dxfId="13428" priority="64172">
      <formula>$H2573="CÉLULA CONSTRUTIVA"</formula>
    </cfRule>
    <cfRule type="expression" dxfId="13427" priority="64173">
      <formula>$H2573="ETAPA"</formula>
    </cfRule>
    <cfRule type="expression" dxfId="13426" priority="64174">
      <formula>$H2573="CÉLULA CONSTRUTIVA"</formula>
    </cfRule>
    <cfRule type="expression" dxfId="13425" priority="64175">
      <formula>$H2573="ETAPA"</formula>
    </cfRule>
    <cfRule type="expression" dxfId="13424" priority="64176">
      <formula>$H2573="SUBETAPA"</formula>
    </cfRule>
  </conditionalFormatting>
  <conditionalFormatting sqref="M2576">
    <cfRule type="expression" dxfId="13423" priority="6561">
      <formula>$H2576="CÉLULA CONSTRUTIVA"</formula>
    </cfRule>
    <cfRule type="expression" dxfId="13422" priority="6562">
      <formula>$H2576="ETAPA"</formula>
    </cfRule>
    <cfRule type="expression" dxfId="13421" priority="6563">
      <formula>$H2576="CÉLULA CONSTRUTIVA"</formula>
    </cfRule>
    <cfRule type="expression" dxfId="13420" priority="6564">
      <formula>$H2576="ETAPA"</formula>
    </cfRule>
    <cfRule type="expression" dxfId="13419" priority="6565">
      <formula>$H2576="SUBETAPA"</formula>
    </cfRule>
    <cfRule type="expression" dxfId="13418" priority="6566">
      <formula>$H2576="CÉLULA CONSTRUTIVA"</formula>
    </cfRule>
    <cfRule type="expression" dxfId="13417" priority="6567">
      <formula>$H2576="ETAPA"</formula>
    </cfRule>
  </conditionalFormatting>
  <conditionalFormatting sqref="M2577:M2579">
    <cfRule type="expression" dxfId="13416" priority="64296">
      <formula>$H2577="ETAPA"</formula>
    </cfRule>
  </conditionalFormatting>
  <conditionalFormatting sqref="M2578">
    <cfRule type="expression" dxfId="13415" priority="64291">
      <formula>$H2578="ETAPA"</formula>
    </cfRule>
    <cfRule type="expression" dxfId="13414" priority="64292">
      <formula>$H2578="CÉLULA CONSTRUTIVA"</formula>
    </cfRule>
    <cfRule type="expression" dxfId="13413" priority="64293">
      <formula>$H2578="ETAPA"</formula>
    </cfRule>
    <cfRule type="expression" dxfId="13412" priority="64294">
      <formula>$H2578="SUBETAPA"</formula>
    </cfRule>
    <cfRule type="expression" dxfId="13411" priority="64295">
      <formula>$H2578="CÉLULA CONSTRUTIVA"</formula>
    </cfRule>
  </conditionalFormatting>
  <conditionalFormatting sqref="M2582:M2583 O2582:O2583">
    <cfRule type="expression" dxfId="13410" priority="64548">
      <formula>$H2582="CÉLULA CONSTRUTIVA"</formula>
    </cfRule>
  </conditionalFormatting>
  <conditionalFormatting sqref="M2582:M2583">
    <cfRule type="expression" dxfId="13409" priority="64552">
      <formula>$H2582="CÉLULA CONSTRUTIVA"</formula>
    </cfRule>
    <cfRule type="expression" dxfId="13408" priority="64553">
      <formula>$H2582="ETAPA"</formula>
    </cfRule>
    <cfRule type="expression" dxfId="13407" priority="64554">
      <formula>$H2582="SUBETAPA"</formula>
    </cfRule>
    <cfRule type="expression" dxfId="13406" priority="64555">
      <formula>$H2582="CÉLULA CONSTRUTIVA"</formula>
    </cfRule>
    <cfRule type="expression" dxfId="13405" priority="64556">
      <formula>$H2582="ETAPA"</formula>
    </cfRule>
  </conditionalFormatting>
  <conditionalFormatting sqref="M2585">
    <cfRule type="expression" dxfId="13404" priority="6530">
      <formula>$H2585="CÉLULA CONSTRUTIVA"</formula>
    </cfRule>
  </conditionalFormatting>
  <conditionalFormatting sqref="M2586:M2587">
    <cfRule type="expression" dxfId="13403" priority="64436">
      <formula>$H2586="ETAPA"</formula>
    </cfRule>
  </conditionalFormatting>
  <conditionalFormatting sqref="M2587">
    <cfRule type="expression" dxfId="13402" priority="64433">
      <formula>$H2587="CÉLULA CONSTRUTIVA"</formula>
    </cfRule>
    <cfRule type="expression" dxfId="13401" priority="64434">
      <formula>$H2587="ETAPA"</formula>
    </cfRule>
    <cfRule type="expression" dxfId="13400" priority="64435">
      <formula>$H2587="CÉLULA CONSTRUTIVA"</formula>
    </cfRule>
    <cfRule type="expression" dxfId="13399" priority="64437">
      <formula>$H2587="SUBETAPA"</formula>
    </cfRule>
  </conditionalFormatting>
  <conditionalFormatting sqref="M2588">
    <cfRule type="expression" dxfId="13398" priority="64438">
      <formula>$H2588="CÉLULA CONSTRUTIVA"</formula>
    </cfRule>
    <cfRule type="expression" dxfId="13397" priority="64439">
      <formula>$H2588="ETAPA"</formula>
    </cfRule>
    <cfRule type="expression" dxfId="13396" priority="64440">
      <formula>$H2588="SUBETAPA"</formula>
    </cfRule>
    <cfRule type="expression" dxfId="13395" priority="64441">
      <formula>$H2588="CÉLULA CONSTRUTIVA"</formula>
    </cfRule>
    <cfRule type="expression" dxfId="13394" priority="64442">
      <formula>$H2588="ETAPA"</formula>
    </cfRule>
  </conditionalFormatting>
  <conditionalFormatting sqref="M2589">
    <cfRule type="expression" dxfId="13393" priority="64411">
      <formula>$H2589="CÉLULA CONSTRUTIVA"</formula>
    </cfRule>
    <cfRule type="expression" dxfId="13392" priority="64412">
      <formula>$H2589="ETAPA"</formula>
    </cfRule>
    <cfRule type="expression" dxfId="13391" priority="64413">
      <formula>$H2589="CÉLULA CONSTRUTIVA"</formula>
    </cfRule>
    <cfRule type="expression" dxfId="13390" priority="64414">
      <formula>$H2589="ETAPA"</formula>
    </cfRule>
    <cfRule type="expression" dxfId="13389" priority="64415">
      <formula>$H2589="SUBETAPA"</formula>
    </cfRule>
  </conditionalFormatting>
  <conditionalFormatting sqref="M2592">
    <cfRule type="expression" dxfId="13388" priority="6503">
      <formula>$H2592="CÉLULA CONSTRUTIVA"</formula>
    </cfRule>
    <cfRule type="expression" dxfId="13387" priority="6504">
      <formula>$H2592="ETAPA"</formula>
    </cfRule>
    <cfRule type="expression" dxfId="13386" priority="6505">
      <formula>$H2592="CÉLULA CONSTRUTIVA"</formula>
    </cfRule>
    <cfRule type="expression" dxfId="13385" priority="6506">
      <formula>$H2592="ETAPA"</formula>
    </cfRule>
    <cfRule type="expression" dxfId="13384" priority="6507">
      <formula>$H2592="SUBETAPA"</formula>
    </cfRule>
    <cfRule type="expression" dxfId="13383" priority="6508">
      <formula>$H2592="CÉLULA CONSTRUTIVA"</formula>
    </cfRule>
    <cfRule type="expression" dxfId="13382" priority="6509">
      <formula>$H2592="ETAPA"</formula>
    </cfRule>
  </conditionalFormatting>
  <conditionalFormatting sqref="M2593:M2595">
    <cfRule type="expression" dxfId="13381" priority="64535">
      <formula>$H2593="ETAPA"</formula>
    </cfRule>
  </conditionalFormatting>
  <conditionalFormatting sqref="M2594">
    <cfRule type="expression" dxfId="13380" priority="64530">
      <formula>$H2594="ETAPA"</formula>
    </cfRule>
    <cfRule type="expression" dxfId="13379" priority="64531">
      <formula>$H2594="CÉLULA CONSTRUTIVA"</formula>
    </cfRule>
    <cfRule type="expression" dxfId="13378" priority="64532">
      <formula>$H2594="ETAPA"</formula>
    </cfRule>
    <cfRule type="expression" dxfId="13377" priority="64533">
      <formula>$H2594="SUBETAPA"</formula>
    </cfRule>
    <cfRule type="expression" dxfId="13376" priority="64534">
      <formula>$H2594="CÉLULA CONSTRUTIVA"</formula>
    </cfRule>
  </conditionalFormatting>
  <conditionalFormatting sqref="M2598:M2599 O2598:O2599">
    <cfRule type="expression" dxfId="13375" priority="64787">
      <formula>$H2598="CÉLULA CONSTRUTIVA"</formula>
    </cfRule>
  </conditionalFormatting>
  <conditionalFormatting sqref="M2598:M2599">
    <cfRule type="expression" dxfId="13374" priority="64791">
      <formula>$H2598="CÉLULA CONSTRUTIVA"</formula>
    </cfRule>
    <cfRule type="expression" dxfId="13373" priority="64792">
      <formula>$H2598="ETAPA"</formula>
    </cfRule>
    <cfRule type="expression" dxfId="13372" priority="64793">
      <formula>$H2598="SUBETAPA"</formula>
    </cfRule>
    <cfRule type="expression" dxfId="13371" priority="64794">
      <formula>$H2598="CÉLULA CONSTRUTIVA"</formula>
    </cfRule>
    <cfRule type="expression" dxfId="13370" priority="64795">
      <formula>$H2598="ETAPA"</formula>
    </cfRule>
  </conditionalFormatting>
  <conditionalFormatting sqref="M2601">
    <cfRule type="expression" dxfId="13369" priority="6472">
      <formula>$H2601="CÉLULA CONSTRUTIVA"</formula>
    </cfRule>
  </conditionalFormatting>
  <conditionalFormatting sqref="M2602:M2603">
    <cfRule type="expression" dxfId="13368" priority="64675">
      <formula>$H2602="ETAPA"</formula>
    </cfRule>
  </conditionalFormatting>
  <conditionalFormatting sqref="M2603">
    <cfRule type="expression" dxfId="13367" priority="64672">
      <formula>$H2603="CÉLULA CONSTRUTIVA"</formula>
    </cfRule>
    <cfRule type="expression" dxfId="13366" priority="64673">
      <formula>$H2603="ETAPA"</formula>
    </cfRule>
    <cfRule type="expression" dxfId="13365" priority="64674">
      <formula>$H2603="CÉLULA CONSTRUTIVA"</formula>
    </cfRule>
    <cfRule type="expression" dxfId="13364" priority="64676">
      <formula>$H2603="SUBETAPA"</formula>
    </cfRule>
  </conditionalFormatting>
  <conditionalFormatting sqref="M2604">
    <cfRule type="expression" dxfId="13363" priority="64677">
      <formula>$H2604="CÉLULA CONSTRUTIVA"</formula>
    </cfRule>
    <cfRule type="expression" dxfId="13362" priority="64678">
      <formula>$H2604="ETAPA"</formula>
    </cfRule>
    <cfRule type="expression" dxfId="13361" priority="64679">
      <formula>$H2604="SUBETAPA"</formula>
    </cfRule>
    <cfRule type="expression" dxfId="13360" priority="64680">
      <formula>$H2604="CÉLULA CONSTRUTIVA"</formula>
    </cfRule>
    <cfRule type="expression" dxfId="13359" priority="64681">
      <formula>$H2604="ETAPA"</formula>
    </cfRule>
  </conditionalFormatting>
  <conditionalFormatting sqref="M2605">
    <cfRule type="expression" dxfId="13358" priority="64650">
      <formula>$H2605="CÉLULA CONSTRUTIVA"</formula>
    </cfRule>
    <cfRule type="expression" dxfId="13357" priority="64651">
      <formula>$H2605="ETAPA"</formula>
    </cfRule>
    <cfRule type="expression" dxfId="13356" priority="64652">
      <formula>$H2605="CÉLULA CONSTRUTIVA"</formula>
    </cfRule>
    <cfRule type="expression" dxfId="13355" priority="64653">
      <formula>$H2605="ETAPA"</formula>
    </cfRule>
    <cfRule type="expression" dxfId="13354" priority="64654">
      <formula>$H2605="SUBETAPA"</formula>
    </cfRule>
  </conditionalFormatting>
  <conditionalFormatting sqref="M2608">
    <cfRule type="expression" dxfId="13353" priority="6445">
      <formula>$H2608="CÉLULA CONSTRUTIVA"</formula>
    </cfRule>
    <cfRule type="expression" dxfId="13352" priority="6446">
      <formula>$H2608="ETAPA"</formula>
    </cfRule>
    <cfRule type="expression" dxfId="13351" priority="6447">
      <formula>$H2608="CÉLULA CONSTRUTIVA"</formula>
    </cfRule>
    <cfRule type="expression" dxfId="13350" priority="6448">
      <formula>$H2608="ETAPA"</formula>
    </cfRule>
    <cfRule type="expression" dxfId="13349" priority="6449">
      <formula>$H2608="SUBETAPA"</formula>
    </cfRule>
    <cfRule type="expression" dxfId="13348" priority="6450">
      <formula>$H2608="CÉLULA CONSTRUTIVA"</formula>
    </cfRule>
    <cfRule type="expression" dxfId="13347" priority="6451">
      <formula>$H2608="ETAPA"</formula>
    </cfRule>
  </conditionalFormatting>
  <conditionalFormatting sqref="M2609:M2611">
    <cfRule type="expression" dxfId="13346" priority="64774">
      <formula>$H2609="ETAPA"</formula>
    </cfRule>
  </conditionalFormatting>
  <conditionalFormatting sqref="M2610">
    <cfRule type="expression" dxfId="13345" priority="64769">
      <formula>$H2610="ETAPA"</formula>
    </cfRule>
    <cfRule type="expression" dxfId="13344" priority="64770">
      <formula>$H2610="CÉLULA CONSTRUTIVA"</formula>
    </cfRule>
    <cfRule type="expression" dxfId="13343" priority="64771">
      <formula>$H2610="ETAPA"</formula>
    </cfRule>
    <cfRule type="expression" dxfId="13342" priority="64772">
      <formula>$H2610="SUBETAPA"</formula>
    </cfRule>
    <cfRule type="expression" dxfId="13341" priority="64773">
      <formula>$H2610="CÉLULA CONSTRUTIVA"</formula>
    </cfRule>
  </conditionalFormatting>
  <conditionalFormatting sqref="M2614:M2615 O2614:O2615">
    <cfRule type="expression" dxfId="13340" priority="65026">
      <formula>$H2614="CÉLULA CONSTRUTIVA"</formula>
    </cfRule>
  </conditionalFormatting>
  <conditionalFormatting sqref="M2614:M2615">
    <cfRule type="expression" dxfId="13339" priority="65030">
      <formula>$H2614="CÉLULA CONSTRUTIVA"</formula>
    </cfRule>
    <cfRule type="expression" dxfId="13338" priority="65031">
      <formula>$H2614="ETAPA"</formula>
    </cfRule>
    <cfRule type="expression" dxfId="13337" priority="65032">
      <formula>$H2614="SUBETAPA"</formula>
    </cfRule>
    <cfRule type="expression" dxfId="13336" priority="65033">
      <formula>$H2614="CÉLULA CONSTRUTIVA"</formula>
    </cfRule>
    <cfRule type="expression" dxfId="13335" priority="65034">
      <formula>$H2614="ETAPA"</formula>
    </cfRule>
  </conditionalFormatting>
  <conditionalFormatting sqref="M2617">
    <cfRule type="expression" dxfId="13334" priority="6414">
      <formula>$H2617="CÉLULA CONSTRUTIVA"</formula>
    </cfRule>
  </conditionalFormatting>
  <conditionalFormatting sqref="M2618:M2619">
    <cfRule type="expression" dxfId="13333" priority="64914">
      <formula>$H2618="ETAPA"</formula>
    </cfRule>
  </conditionalFormatting>
  <conditionalFormatting sqref="M2619">
    <cfRule type="expression" dxfId="13332" priority="64911">
      <formula>$H2619="CÉLULA CONSTRUTIVA"</formula>
    </cfRule>
    <cfRule type="expression" dxfId="13331" priority="64912">
      <formula>$H2619="ETAPA"</formula>
    </cfRule>
    <cfRule type="expression" dxfId="13330" priority="64913">
      <formula>$H2619="CÉLULA CONSTRUTIVA"</formula>
    </cfRule>
    <cfRule type="expression" dxfId="13329" priority="64915">
      <formula>$H2619="SUBETAPA"</formula>
    </cfRule>
  </conditionalFormatting>
  <conditionalFormatting sqref="M2620">
    <cfRule type="expression" dxfId="13328" priority="64916">
      <formula>$H2620="CÉLULA CONSTRUTIVA"</formula>
    </cfRule>
    <cfRule type="expression" dxfId="13327" priority="64917">
      <formula>$H2620="ETAPA"</formula>
    </cfRule>
    <cfRule type="expression" dxfId="13326" priority="64918">
      <formula>$H2620="SUBETAPA"</formula>
    </cfRule>
    <cfRule type="expression" dxfId="13325" priority="64919">
      <formula>$H2620="CÉLULA CONSTRUTIVA"</formula>
    </cfRule>
    <cfRule type="expression" dxfId="13324" priority="64920">
      <formula>$H2620="ETAPA"</formula>
    </cfRule>
  </conditionalFormatting>
  <conditionalFormatting sqref="M2621">
    <cfRule type="expression" dxfId="13323" priority="64889">
      <formula>$H2621="CÉLULA CONSTRUTIVA"</formula>
    </cfRule>
    <cfRule type="expression" dxfId="13322" priority="64890">
      <formula>$H2621="ETAPA"</formula>
    </cfRule>
    <cfRule type="expression" dxfId="13321" priority="64891">
      <formula>$H2621="CÉLULA CONSTRUTIVA"</formula>
    </cfRule>
    <cfRule type="expression" dxfId="13320" priority="64893">
      <formula>$H2621="SUBETAPA"</formula>
    </cfRule>
  </conditionalFormatting>
  <conditionalFormatting sqref="M2621:M2622">
    <cfRule type="expression" dxfId="13319" priority="64892">
      <formula>$H2621="ETAPA"</formula>
    </cfRule>
  </conditionalFormatting>
  <conditionalFormatting sqref="M2623">
    <cfRule type="expression" dxfId="13318" priority="6387">
      <formula>$H2623="CÉLULA CONSTRUTIVA"</formula>
    </cfRule>
    <cfRule type="expression" dxfId="13317" priority="6388">
      <formula>$H2623="ETAPA"</formula>
    </cfRule>
    <cfRule type="expression" dxfId="13316" priority="6389">
      <formula>$H2623="CÉLULA CONSTRUTIVA"</formula>
    </cfRule>
    <cfRule type="expression" dxfId="13315" priority="6390">
      <formula>$H2623="ETAPA"</formula>
    </cfRule>
    <cfRule type="expression" dxfId="13314" priority="6391">
      <formula>$H2623="SUBETAPA"</formula>
    </cfRule>
    <cfRule type="expression" dxfId="13313" priority="6392">
      <formula>$H2623="CÉLULA CONSTRUTIVA"</formula>
    </cfRule>
    <cfRule type="expression" dxfId="13312" priority="6393">
      <formula>$H2623="ETAPA"</formula>
    </cfRule>
  </conditionalFormatting>
  <conditionalFormatting sqref="M2624:M2625">
    <cfRule type="expression" dxfId="13311" priority="65013">
      <formula>$H2624="ETAPA"</formula>
    </cfRule>
  </conditionalFormatting>
  <conditionalFormatting sqref="M2625">
    <cfRule type="expression" dxfId="13310" priority="65008">
      <formula>$H2625="ETAPA"</formula>
    </cfRule>
    <cfRule type="expression" dxfId="13309" priority="65009">
      <formula>$H2625="CÉLULA CONSTRUTIVA"</formula>
    </cfRule>
    <cfRule type="expression" dxfId="13308" priority="65010">
      <formula>$H2625="ETAPA"</formula>
    </cfRule>
    <cfRule type="expression" dxfId="13307" priority="65011">
      <formula>$H2625="SUBETAPA"</formula>
    </cfRule>
    <cfRule type="expression" dxfId="13306" priority="65012">
      <formula>$H2625="CÉLULA CONSTRUTIVA"</formula>
    </cfRule>
  </conditionalFormatting>
  <conditionalFormatting sqref="M2629">
    <cfRule type="expression" dxfId="13305" priority="1929">
      <formula>$H2629="ETAPA"</formula>
    </cfRule>
    <cfRule type="expression" dxfId="13304" priority="1930">
      <formula>$H2629="CÉLULA CONSTRUTIVA"</formula>
    </cfRule>
    <cfRule type="expression" dxfId="13303" priority="1931">
      <formula>$H2629="ETAPA"</formula>
    </cfRule>
    <cfRule type="expression" dxfId="13302" priority="1932">
      <formula>$H2629="SUBETAPA"</formula>
    </cfRule>
  </conditionalFormatting>
  <conditionalFormatting sqref="M2629:M2630">
    <cfRule type="expression" dxfId="13301" priority="1928">
      <formula>$H2629="CÉLULA CONSTRUTIVA"</formula>
    </cfRule>
  </conditionalFormatting>
  <conditionalFormatting sqref="M2629:M2635">
    <cfRule type="expression" dxfId="13300" priority="1933">
      <formula>$H2629="ETAPA"</formula>
    </cfRule>
  </conditionalFormatting>
  <conditionalFormatting sqref="M2630 O2630">
    <cfRule type="expression" dxfId="13299" priority="1895">
      <formula>$H2630="CÉLULA CONSTRUTIVA"</formula>
    </cfRule>
  </conditionalFormatting>
  <conditionalFormatting sqref="M2630">
    <cfRule type="expression" dxfId="13298" priority="1924">
      <formula>$H2630="ETAPA"</formula>
    </cfRule>
    <cfRule type="expression" dxfId="13297" priority="1925">
      <formula>$H2630="SUBETAPA"</formula>
    </cfRule>
    <cfRule type="expression" dxfId="13296" priority="1926">
      <formula>$H2630="CÉLULA CONSTRUTIVA"</formula>
    </cfRule>
    <cfRule type="expression" dxfId="13295" priority="1927">
      <formula>$H2630="ETAPA"</formula>
    </cfRule>
  </conditionalFormatting>
  <conditionalFormatting sqref="M2631:M2635">
    <cfRule type="expression" dxfId="13294" priority="1921">
      <formula>$H2631="CÉLULA CONSTRUTIVA"</formula>
    </cfRule>
    <cfRule type="expression" dxfId="13293" priority="1922">
      <formula>$H2631="SUBETAPA"</formula>
    </cfRule>
    <cfRule type="expression" dxfId="13292" priority="1923">
      <formula>$H2631="CÉLULA CONSTRUTIVA"</formula>
    </cfRule>
    <cfRule type="expression" dxfId="13291" priority="1934">
      <formula>$H2631="ETAPA"</formula>
    </cfRule>
    <cfRule type="expression" dxfId="13290" priority="1935">
      <formula>$H2631="ETAPA"</formula>
    </cfRule>
  </conditionalFormatting>
  <conditionalFormatting sqref="M2640">
    <cfRule type="expression" dxfId="13289" priority="1997">
      <formula>$H2640="ETAPA"</formula>
    </cfRule>
    <cfRule type="expression" dxfId="13288" priority="1998">
      <formula>$H2640="CÉLULA CONSTRUTIVA"</formula>
    </cfRule>
    <cfRule type="expression" dxfId="13287" priority="1999">
      <formula>$H2640="ETAPA"</formula>
    </cfRule>
    <cfRule type="expression" dxfId="13286" priority="2000">
      <formula>$H2640="SUBETAPA"</formula>
    </cfRule>
  </conditionalFormatting>
  <conditionalFormatting sqref="M2640:M2641">
    <cfRule type="expression" dxfId="13285" priority="1996">
      <formula>$H2640="CÉLULA CONSTRUTIVA"</formula>
    </cfRule>
    <cfRule type="expression" dxfId="13284" priority="2001">
      <formula>$H2640="ETAPA"</formula>
    </cfRule>
  </conditionalFormatting>
  <conditionalFormatting sqref="M2641 O2641">
    <cfRule type="expression" dxfId="13283" priority="1963">
      <formula>$H2641="CÉLULA CONSTRUTIVA"</formula>
    </cfRule>
  </conditionalFormatting>
  <conditionalFormatting sqref="M2641">
    <cfRule type="expression" dxfId="13282" priority="1992">
      <formula>$H2641="ETAPA"</formula>
    </cfRule>
    <cfRule type="expression" dxfId="13281" priority="1993">
      <formula>$H2641="SUBETAPA"</formula>
    </cfRule>
    <cfRule type="expression" dxfId="13280" priority="1994">
      <formula>$H2641="CÉLULA CONSTRUTIVA"</formula>
    </cfRule>
    <cfRule type="expression" dxfId="13279" priority="1995">
      <formula>$H2641="ETAPA"</formula>
    </cfRule>
  </conditionalFormatting>
  <conditionalFormatting sqref="M2650">
    <cfRule type="expression" dxfId="13278" priority="2065">
      <formula>$H2650="ETAPA"</formula>
    </cfRule>
    <cfRule type="expression" dxfId="13277" priority="2066">
      <formula>$H2650="CÉLULA CONSTRUTIVA"</formula>
    </cfRule>
    <cfRule type="expression" dxfId="13276" priority="2067">
      <formula>$H2650="ETAPA"</formula>
    </cfRule>
    <cfRule type="expression" dxfId="13275" priority="2068">
      <formula>$H2650="SUBETAPA"</formula>
    </cfRule>
  </conditionalFormatting>
  <conditionalFormatting sqref="M2650:M2651">
    <cfRule type="expression" dxfId="13274" priority="2064">
      <formula>$H2650="CÉLULA CONSTRUTIVA"</formula>
    </cfRule>
    <cfRule type="expression" dxfId="13273" priority="2069">
      <formula>$H2650="ETAPA"</formula>
    </cfRule>
  </conditionalFormatting>
  <conditionalFormatting sqref="M2651 O2651">
    <cfRule type="expression" dxfId="13272" priority="2031">
      <formula>$H2651="CÉLULA CONSTRUTIVA"</formula>
    </cfRule>
  </conditionalFormatting>
  <conditionalFormatting sqref="M2651">
    <cfRule type="expression" dxfId="13271" priority="2060">
      <formula>$H2651="ETAPA"</formula>
    </cfRule>
    <cfRule type="expression" dxfId="13270" priority="2061">
      <formula>$H2651="SUBETAPA"</formula>
    </cfRule>
    <cfRule type="expression" dxfId="13269" priority="2062">
      <formula>$H2651="CÉLULA CONSTRUTIVA"</formula>
    </cfRule>
    <cfRule type="expression" dxfId="13268" priority="2063">
      <formula>$H2651="ETAPA"</formula>
    </cfRule>
  </conditionalFormatting>
  <conditionalFormatting sqref="M2659">
    <cfRule type="expression" dxfId="13267" priority="2133">
      <formula>$H2659="ETAPA"</formula>
    </cfRule>
    <cfRule type="expression" dxfId="13266" priority="2134">
      <formula>$H2659="CÉLULA CONSTRUTIVA"</formula>
    </cfRule>
    <cfRule type="expression" dxfId="13265" priority="2135">
      <formula>$H2659="ETAPA"</formula>
    </cfRule>
    <cfRule type="expression" dxfId="13264" priority="2136">
      <formula>$H2659="SUBETAPA"</formula>
    </cfRule>
  </conditionalFormatting>
  <conditionalFormatting sqref="M2659:M2660">
    <cfRule type="expression" dxfId="13263" priority="2132">
      <formula>$H2659="CÉLULA CONSTRUTIVA"</formula>
    </cfRule>
    <cfRule type="expression" dxfId="13262" priority="2137">
      <formula>$H2659="ETAPA"</formula>
    </cfRule>
  </conditionalFormatting>
  <conditionalFormatting sqref="M2660 O2660">
    <cfRule type="expression" dxfId="13261" priority="2099">
      <formula>$H2660="CÉLULA CONSTRUTIVA"</formula>
    </cfRule>
  </conditionalFormatting>
  <conditionalFormatting sqref="M2660">
    <cfRule type="expression" dxfId="13260" priority="2128">
      <formula>$H2660="ETAPA"</formula>
    </cfRule>
    <cfRule type="expression" dxfId="13259" priority="2129">
      <formula>$H2660="SUBETAPA"</formula>
    </cfRule>
    <cfRule type="expression" dxfId="13258" priority="2130">
      <formula>$H2660="CÉLULA CONSTRUTIVA"</formula>
    </cfRule>
    <cfRule type="expression" dxfId="13257" priority="2131">
      <formula>$H2660="ETAPA"</formula>
    </cfRule>
  </conditionalFormatting>
  <conditionalFormatting sqref="M2666">
    <cfRule type="expression" dxfId="13256" priority="2201">
      <formula>$H2666="ETAPA"</formula>
    </cfRule>
    <cfRule type="expression" dxfId="13255" priority="2202">
      <formula>$H2666="CÉLULA CONSTRUTIVA"</formula>
    </cfRule>
    <cfRule type="expression" dxfId="13254" priority="2203">
      <formula>$H2666="ETAPA"</formula>
    </cfRule>
    <cfRule type="expression" dxfId="13253" priority="2204">
      <formula>$H2666="SUBETAPA"</formula>
    </cfRule>
  </conditionalFormatting>
  <conditionalFormatting sqref="M2666:M2667">
    <cfRule type="expression" dxfId="13252" priority="2200">
      <formula>$H2666="CÉLULA CONSTRUTIVA"</formula>
    </cfRule>
    <cfRule type="expression" dxfId="13251" priority="2205">
      <formula>$H2666="ETAPA"</formula>
    </cfRule>
  </conditionalFormatting>
  <conditionalFormatting sqref="M2667 O2667">
    <cfRule type="expression" dxfId="13250" priority="2167">
      <formula>$H2667="CÉLULA CONSTRUTIVA"</formula>
    </cfRule>
  </conditionalFormatting>
  <conditionalFormatting sqref="M2667">
    <cfRule type="expression" dxfId="13249" priority="2196">
      <formula>$H2667="ETAPA"</formula>
    </cfRule>
    <cfRule type="expression" dxfId="13248" priority="2197">
      <formula>$H2667="SUBETAPA"</formula>
    </cfRule>
    <cfRule type="expression" dxfId="13247" priority="2198">
      <formula>$H2667="CÉLULA CONSTRUTIVA"</formula>
    </cfRule>
    <cfRule type="expression" dxfId="13246" priority="2199">
      <formula>$H2667="ETAPA"</formula>
    </cfRule>
  </conditionalFormatting>
  <conditionalFormatting sqref="M2673">
    <cfRule type="expression" dxfId="13245" priority="2269">
      <formula>$H2673="ETAPA"</formula>
    </cfRule>
    <cfRule type="expression" dxfId="13244" priority="2270">
      <formula>$H2673="CÉLULA CONSTRUTIVA"</formula>
    </cfRule>
    <cfRule type="expression" dxfId="13243" priority="2271">
      <formula>$H2673="ETAPA"</formula>
    </cfRule>
    <cfRule type="expression" dxfId="13242" priority="2272">
      <formula>$H2673="SUBETAPA"</formula>
    </cfRule>
  </conditionalFormatting>
  <conditionalFormatting sqref="M2673:M2674">
    <cfRule type="expression" dxfId="13241" priority="2268">
      <formula>$H2673="CÉLULA CONSTRUTIVA"</formula>
    </cfRule>
    <cfRule type="expression" dxfId="13240" priority="2273">
      <formula>$H2673="ETAPA"</formula>
    </cfRule>
  </conditionalFormatting>
  <conditionalFormatting sqref="M2674 O2674">
    <cfRule type="expression" dxfId="13239" priority="2235">
      <formula>$H2674="CÉLULA CONSTRUTIVA"</formula>
    </cfRule>
  </conditionalFormatting>
  <conditionalFormatting sqref="M2674">
    <cfRule type="expression" dxfId="13238" priority="2264">
      <formula>$H2674="ETAPA"</formula>
    </cfRule>
    <cfRule type="expression" dxfId="13237" priority="2265">
      <formula>$H2674="SUBETAPA"</formula>
    </cfRule>
    <cfRule type="expression" dxfId="13236" priority="2266">
      <formula>$H2674="CÉLULA CONSTRUTIVA"</formula>
    </cfRule>
    <cfRule type="expression" dxfId="13235" priority="2267">
      <formula>$H2674="ETAPA"</formula>
    </cfRule>
  </conditionalFormatting>
  <conditionalFormatting sqref="M2681">
    <cfRule type="expression" dxfId="13234" priority="2337">
      <formula>$H2681="ETAPA"</formula>
    </cfRule>
    <cfRule type="expression" dxfId="13233" priority="2338">
      <formula>$H2681="CÉLULA CONSTRUTIVA"</formula>
    </cfRule>
    <cfRule type="expression" dxfId="13232" priority="2339">
      <formula>$H2681="ETAPA"</formula>
    </cfRule>
    <cfRule type="expression" dxfId="13231" priority="2340">
      <formula>$H2681="SUBETAPA"</formula>
    </cfRule>
  </conditionalFormatting>
  <conditionalFormatting sqref="M2681:M2682">
    <cfRule type="expression" dxfId="13230" priority="2336">
      <formula>$H2681="CÉLULA CONSTRUTIVA"</formula>
    </cfRule>
    <cfRule type="expression" dxfId="13229" priority="2341">
      <formula>$H2681="ETAPA"</formula>
    </cfRule>
  </conditionalFormatting>
  <conditionalFormatting sqref="M2682 O2682">
    <cfRule type="expression" dxfId="13228" priority="2303">
      <formula>$H2682="CÉLULA CONSTRUTIVA"</formula>
    </cfRule>
  </conditionalFormatting>
  <conditionalFormatting sqref="M2682">
    <cfRule type="expression" dxfId="13227" priority="2332">
      <formula>$H2682="ETAPA"</formula>
    </cfRule>
    <cfRule type="expression" dxfId="13226" priority="2333">
      <formula>$H2682="SUBETAPA"</formula>
    </cfRule>
    <cfRule type="expression" dxfId="13225" priority="2334">
      <formula>$H2682="CÉLULA CONSTRUTIVA"</formula>
    </cfRule>
    <cfRule type="expression" dxfId="13224" priority="2335">
      <formula>$H2682="ETAPA"</formula>
    </cfRule>
  </conditionalFormatting>
  <conditionalFormatting sqref="M2691">
    <cfRule type="expression" dxfId="13223" priority="2405">
      <formula>$H2691="ETAPA"</formula>
    </cfRule>
    <cfRule type="expression" dxfId="13222" priority="2406">
      <formula>$H2691="CÉLULA CONSTRUTIVA"</formula>
    </cfRule>
    <cfRule type="expression" dxfId="13221" priority="2407">
      <formula>$H2691="ETAPA"</formula>
    </cfRule>
    <cfRule type="expression" dxfId="13220" priority="2408">
      <formula>$H2691="SUBETAPA"</formula>
    </cfRule>
  </conditionalFormatting>
  <conditionalFormatting sqref="M2691:M2692">
    <cfRule type="expression" dxfId="13219" priority="2404">
      <formula>$H2691="CÉLULA CONSTRUTIVA"</formula>
    </cfRule>
    <cfRule type="expression" dxfId="13218" priority="2409">
      <formula>$H2691="ETAPA"</formula>
    </cfRule>
  </conditionalFormatting>
  <conditionalFormatting sqref="M2692 O2692">
    <cfRule type="expression" dxfId="13217" priority="2371">
      <formula>$H2692="CÉLULA CONSTRUTIVA"</formula>
    </cfRule>
  </conditionalFormatting>
  <conditionalFormatting sqref="M2692">
    <cfRule type="expression" dxfId="13216" priority="2400">
      <formula>$H2692="ETAPA"</formula>
    </cfRule>
    <cfRule type="expression" dxfId="13215" priority="2401">
      <formula>$H2692="SUBETAPA"</formula>
    </cfRule>
    <cfRule type="expression" dxfId="13214" priority="2402">
      <formula>$H2692="CÉLULA CONSTRUTIVA"</formula>
    </cfRule>
    <cfRule type="expression" dxfId="13213" priority="2403">
      <formula>$H2692="ETAPA"</formula>
    </cfRule>
  </conditionalFormatting>
  <conditionalFormatting sqref="M2699">
    <cfRule type="expression" dxfId="13212" priority="2473">
      <formula>$H2699="ETAPA"</formula>
    </cfRule>
    <cfRule type="expression" dxfId="13211" priority="2474">
      <formula>$H2699="CÉLULA CONSTRUTIVA"</formula>
    </cfRule>
    <cfRule type="expression" dxfId="13210" priority="2475">
      <formula>$H2699="ETAPA"</formula>
    </cfRule>
    <cfRule type="expression" dxfId="13209" priority="2476">
      <formula>$H2699="SUBETAPA"</formula>
    </cfRule>
  </conditionalFormatting>
  <conditionalFormatting sqref="M2699:M2700">
    <cfRule type="expression" dxfId="13208" priority="2472">
      <formula>$H2699="CÉLULA CONSTRUTIVA"</formula>
    </cfRule>
    <cfRule type="expression" dxfId="13207" priority="2477">
      <formula>$H2699="ETAPA"</formula>
    </cfRule>
  </conditionalFormatting>
  <conditionalFormatting sqref="M2700 O2700">
    <cfRule type="expression" dxfId="13206" priority="2439">
      <formula>$H2700="CÉLULA CONSTRUTIVA"</formula>
    </cfRule>
  </conditionalFormatting>
  <conditionalFormatting sqref="M2700">
    <cfRule type="expression" dxfId="13205" priority="2468">
      <formula>$H2700="ETAPA"</formula>
    </cfRule>
    <cfRule type="expression" dxfId="13204" priority="2469">
      <formula>$H2700="SUBETAPA"</formula>
    </cfRule>
    <cfRule type="expression" dxfId="13203" priority="2470">
      <formula>$H2700="CÉLULA CONSTRUTIVA"</formula>
    </cfRule>
    <cfRule type="expression" dxfId="13202" priority="2471">
      <formula>$H2700="ETAPA"</formula>
    </cfRule>
  </conditionalFormatting>
  <conditionalFormatting sqref="M2710">
    <cfRule type="expression" dxfId="13201" priority="2541">
      <formula>$H2710="ETAPA"</formula>
    </cfRule>
    <cfRule type="expression" dxfId="13200" priority="2542">
      <formula>$H2710="CÉLULA CONSTRUTIVA"</formula>
    </cfRule>
    <cfRule type="expression" dxfId="13199" priority="2543">
      <formula>$H2710="ETAPA"</formula>
    </cfRule>
    <cfRule type="expression" dxfId="13198" priority="2544">
      <formula>$H2710="SUBETAPA"</formula>
    </cfRule>
  </conditionalFormatting>
  <conditionalFormatting sqref="M2710:M2711">
    <cfRule type="expression" dxfId="13197" priority="2540">
      <formula>$H2710="CÉLULA CONSTRUTIVA"</formula>
    </cfRule>
    <cfRule type="expression" dxfId="13196" priority="2545">
      <formula>$H2710="ETAPA"</formula>
    </cfRule>
  </conditionalFormatting>
  <conditionalFormatting sqref="M2711 O2711">
    <cfRule type="expression" dxfId="13195" priority="2507">
      <formula>$H2711="CÉLULA CONSTRUTIVA"</formula>
    </cfRule>
  </conditionalFormatting>
  <conditionalFormatting sqref="M2711">
    <cfRule type="expression" dxfId="13194" priority="2536">
      <formula>$H2711="ETAPA"</formula>
    </cfRule>
    <cfRule type="expression" dxfId="13193" priority="2537">
      <formula>$H2711="SUBETAPA"</formula>
    </cfRule>
    <cfRule type="expression" dxfId="13192" priority="2538">
      <formula>$H2711="CÉLULA CONSTRUTIVA"</formula>
    </cfRule>
    <cfRule type="expression" dxfId="13191" priority="2539">
      <formula>$H2711="ETAPA"</formula>
    </cfRule>
  </conditionalFormatting>
  <conditionalFormatting sqref="M2721">
    <cfRule type="expression" dxfId="13190" priority="1784">
      <formula>$H2721="ETAPA"</formula>
    </cfRule>
    <cfRule type="expression" dxfId="13189" priority="1785">
      <formula>$H2721="CÉLULA CONSTRUTIVA"</formula>
    </cfRule>
    <cfRule type="expression" dxfId="13188" priority="1786">
      <formula>$H2721="ETAPA"</formula>
    </cfRule>
    <cfRule type="expression" dxfId="13187" priority="1787">
      <formula>$H2721="SUBETAPA"</formula>
    </cfRule>
  </conditionalFormatting>
  <conditionalFormatting sqref="M2721:M2722">
    <cfRule type="expression" dxfId="13186" priority="1783">
      <formula>$H2721="CÉLULA CONSTRUTIVA"</formula>
    </cfRule>
    <cfRule type="expression" dxfId="13185" priority="1788">
      <formula>$H2721="ETAPA"</formula>
    </cfRule>
  </conditionalFormatting>
  <conditionalFormatting sqref="M2722 O2722">
    <cfRule type="expression" dxfId="13184" priority="1750">
      <formula>$H2722="CÉLULA CONSTRUTIVA"</formula>
    </cfRule>
  </conditionalFormatting>
  <conditionalFormatting sqref="M2722">
    <cfRule type="expression" dxfId="13183" priority="1779">
      <formula>$H2722="ETAPA"</formula>
    </cfRule>
    <cfRule type="expression" dxfId="13182" priority="1780">
      <formula>$H2722="SUBETAPA"</formula>
    </cfRule>
    <cfRule type="expression" dxfId="13181" priority="1781">
      <formula>$H2722="CÉLULA CONSTRUTIVA"</formula>
    </cfRule>
    <cfRule type="expression" dxfId="13180" priority="1782">
      <formula>$H2722="ETAPA"</formula>
    </cfRule>
  </conditionalFormatting>
  <conditionalFormatting sqref="M2732">
    <cfRule type="expression" dxfId="13179" priority="1854">
      <formula>$H2732="ETAPA"</formula>
    </cfRule>
    <cfRule type="expression" dxfId="13178" priority="1855">
      <formula>$H2732="CÉLULA CONSTRUTIVA"</formula>
    </cfRule>
    <cfRule type="expression" dxfId="13177" priority="1856">
      <formula>$H2732="ETAPA"</formula>
    </cfRule>
    <cfRule type="expression" dxfId="13176" priority="1857">
      <formula>$H2732="SUBETAPA"</formula>
    </cfRule>
  </conditionalFormatting>
  <conditionalFormatting sqref="M2732:M2733">
    <cfRule type="expression" dxfId="13175" priority="1853">
      <formula>$H2732="CÉLULA CONSTRUTIVA"</formula>
    </cfRule>
    <cfRule type="expression" dxfId="13174" priority="1858">
      <formula>$H2732="ETAPA"</formula>
    </cfRule>
  </conditionalFormatting>
  <conditionalFormatting sqref="M2733 O2733">
    <cfRule type="expression" dxfId="13173" priority="1819">
      <formula>$H2733="CÉLULA CONSTRUTIVA"</formula>
    </cfRule>
  </conditionalFormatting>
  <conditionalFormatting sqref="M2733">
    <cfRule type="expression" dxfId="13172" priority="1849">
      <formula>$H2733="ETAPA"</formula>
    </cfRule>
    <cfRule type="expression" dxfId="13171" priority="1850">
      <formula>$H2733="SUBETAPA"</formula>
    </cfRule>
    <cfRule type="expression" dxfId="13170" priority="1851">
      <formula>$H2733="CÉLULA CONSTRUTIVA"</formula>
    </cfRule>
    <cfRule type="expression" dxfId="13169" priority="1852">
      <formula>$H2733="ETAPA"</formula>
    </cfRule>
  </conditionalFormatting>
  <conditionalFormatting sqref="M2743">
    <cfRule type="expression" dxfId="13168" priority="2609">
      <formula>$H2743="ETAPA"</formula>
    </cfRule>
    <cfRule type="expression" dxfId="13167" priority="2610">
      <formula>$H2743="CÉLULA CONSTRUTIVA"</formula>
    </cfRule>
    <cfRule type="expression" dxfId="13166" priority="2611">
      <formula>$H2743="ETAPA"</formula>
    </cfRule>
    <cfRule type="expression" dxfId="13165" priority="2612">
      <formula>$H2743="SUBETAPA"</formula>
    </cfRule>
  </conditionalFormatting>
  <conditionalFormatting sqref="M2743:M2744">
    <cfRule type="expression" dxfId="13164" priority="2608">
      <formula>$H2743="CÉLULA CONSTRUTIVA"</formula>
    </cfRule>
    <cfRule type="expression" dxfId="13163" priority="2613">
      <formula>$H2743="ETAPA"</formula>
    </cfRule>
  </conditionalFormatting>
  <conditionalFormatting sqref="M2744 O2744">
    <cfRule type="expression" dxfId="13162" priority="2575">
      <formula>$H2744="CÉLULA CONSTRUTIVA"</formula>
    </cfRule>
  </conditionalFormatting>
  <conditionalFormatting sqref="M2744">
    <cfRule type="expression" dxfId="13161" priority="2604">
      <formula>$H2744="ETAPA"</formula>
    </cfRule>
    <cfRule type="expression" dxfId="13160" priority="2605">
      <formula>$H2744="SUBETAPA"</formula>
    </cfRule>
    <cfRule type="expression" dxfId="13159" priority="2606">
      <formula>$H2744="CÉLULA CONSTRUTIVA"</formula>
    </cfRule>
    <cfRule type="expression" dxfId="13158" priority="2607">
      <formula>$H2744="ETAPA"</formula>
    </cfRule>
  </conditionalFormatting>
  <conditionalFormatting sqref="M2754">
    <cfRule type="expression" dxfId="13157" priority="121155">
      <formula>$H2754="ETAPA"</formula>
    </cfRule>
    <cfRule type="expression" dxfId="13156" priority="121156">
      <formula>$H2754="CÉLULA CONSTRUTIVA"</formula>
    </cfRule>
    <cfRule type="expression" dxfId="13155" priority="121157">
      <formula>$H2754="ETAPA"</formula>
    </cfRule>
    <cfRule type="expression" dxfId="13154" priority="121158">
      <formula>$H2754="SUBETAPA"</formula>
    </cfRule>
  </conditionalFormatting>
  <conditionalFormatting sqref="M2754:M2755">
    <cfRule type="expression" dxfId="13153" priority="121159">
      <formula>$H2754="CÉLULA CONSTRUTIVA"</formula>
    </cfRule>
  </conditionalFormatting>
  <conditionalFormatting sqref="M2755 O2755">
    <cfRule type="expression" dxfId="13152" priority="116859">
      <formula>$H2755="CÉLULA CONSTRUTIVA"</formula>
    </cfRule>
  </conditionalFormatting>
  <conditionalFormatting sqref="M2755">
    <cfRule type="expression" dxfId="13151" priority="121164">
      <formula>$H2755="ETAPA"</formula>
    </cfRule>
    <cfRule type="expression" dxfId="13150" priority="121165">
      <formula>$H2755="SUBETAPA"</formula>
    </cfRule>
    <cfRule type="expression" dxfId="13149" priority="121166">
      <formula>$H2755="CÉLULA CONSTRUTIVA"</formula>
    </cfRule>
    <cfRule type="expression" dxfId="13148" priority="121167">
      <formula>$H2755="ETAPA"</formula>
    </cfRule>
  </conditionalFormatting>
  <conditionalFormatting sqref="M2756:M2757 M2723:M2725 M2642:M2643 M2745:M2747 M2734:M2736 M2712:M2714 M2701:M2703 M2693:M2694 M2683:M2684 M2675:M2676 M2668 M2661 M2652">
    <cfRule type="expression" dxfId="13147" priority="378">
      <formula>$H2642="CÉLULA CONSTRUTIVA"</formula>
    </cfRule>
    <cfRule type="expression" dxfId="13146" priority="379">
      <formula>$H2642="SUBETAPA"</formula>
    </cfRule>
    <cfRule type="expression" dxfId="13145" priority="380">
      <formula>$H2642="CÉLULA CONSTRUTIVA"</formula>
    </cfRule>
    <cfRule type="expression" dxfId="13144" priority="381">
      <formula>$H2642="ETAPA"</formula>
    </cfRule>
    <cfRule type="expression" dxfId="13143" priority="382">
      <formula>$H2642="ETAPA"</formula>
    </cfRule>
    <cfRule type="expression" dxfId="13142" priority="383">
      <formula>$H2642="ETAPA"</formula>
    </cfRule>
    <cfRule type="expression" dxfId="13141" priority="387">
      <formula>$H2642="CÉLULA CONSTRUTIVA"</formula>
    </cfRule>
  </conditionalFormatting>
  <conditionalFormatting sqref="M2781:M2784 L2778:L2780">
    <cfRule type="expression" dxfId="13140" priority="1516">
      <formula>$H2778="ETAPA"</formula>
    </cfRule>
    <cfRule type="expression" dxfId="13139" priority="1530">
      <formula>$H2778="SUBETAPA"</formula>
    </cfRule>
  </conditionalFormatting>
  <conditionalFormatting sqref="M2790:M2793 L2787:L2789">
    <cfRule type="expression" dxfId="13138" priority="1558">
      <formula>$H2787="ETAPA"</formula>
    </cfRule>
    <cfRule type="expression" dxfId="13137" priority="1572">
      <formula>$H2787="SUBETAPA"</formula>
    </cfRule>
  </conditionalFormatting>
  <conditionalFormatting sqref="M2808:M2811 L2805:L2807">
    <cfRule type="expression" dxfId="13136" priority="1642">
      <formula>$H2805="ETAPA"</formula>
    </cfRule>
    <cfRule type="expression" dxfId="13135" priority="1656">
      <formula>$H2805="SUBETAPA"</formula>
    </cfRule>
  </conditionalFormatting>
  <conditionalFormatting sqref="M3149:M3150 M3155:M3156 M3162:M3163 M3170:M3171">
    <cfRule type="expression" dxfId="13134" priority="83648">
      <formula>$H3149="ETAPA"</formula>
    </cfRule>
    <cfRule type="expression" dxfId="13133" priority="83649">
      <formula>$H3149="CÉLULA CONSTRUTIVA"</formula>
    </cfRule>
    <cfRule type="expression" dxfId="13132" priority="83650">
      <formula>$H3149="ETAPA"</formula>
    </cfRule>
    <cfRule type="expression" dxfId="13131" priority="83651">
      <formula>$H3149="SUBETAPA"</formula>
    </cfRule>
    <cfRule type="expression" dxfId="13130" priority="83652">
      <formula>$H3149="CÉLULA CONSTRUTIVA"</formula>
    </cfRule>
  </conditionalFormatting>
  <conditionalFormatting sqref="M3149:M3151 M3155:M3157 M3162:M3164 M3170:M3172">
    <cfRule type="expression" dxfId="13129" priority="83653">
      <formula>$H3149="ETAPA"</formula>
    </cfRule>
  </conditionalFormatting>
  <conditionalFormatting sqref="M3151 M3157 M3164 M3172">
    <cfRule type="expression" dxfId="13128" priority="83655">
      <formula>$H3151="CÉLULA CONSTRUTIVA"</formula>
    </cfRule>
    <cfRule type="expression" dxfId="13127" priority="83656">
      <formula>$H3151="ETAPA"</formula>
    </cfRule>
    <cfRule type="expression" dxfId="13126" priority="83657">
      <formula>$H3151="SUBETAPA"</formula>
    </cfRule>
    <cfRule type="expression" dxfId="13125" priority="83658">
      <formula>$H3151="CÉLULA CONSTRUTIVA"</formula>
    </cfRule>
    <cfRule type="expression" dxfId="13124" priority="83659">
      <formula>$H3151="ETAPA"</formula>
    </cfRule>
  </conditionalFormatting>
  <conditionalFormatting sqref="M3152 M3154 M3158 M3165">
    <cfRule type="expression" dxfId="13123" priority="83619">
      <formula>$H3152="ETAPA"</formula>
    </cfRule>
    <cfRule type="expression" dxfId="13122" priority="83621">
      <formula>$H3152="ETAPA"</formula>
    </cfRule>
    <cfRule type="expression" dxfId="13121" priority="83624">
      <formula>$H3152="ETAPA"</formula>
    </cfRule>
  </conditionalFormatting>
  <conditionalFormatting sqref="M3152 M3158 M3165 M3154">
    <cfRule type="expression" dxfId="13120" priority="83620">
      <formula>$H3152="CÉLULA CONSTRUTIVA"</formula>
    </cfRule>
    <cfRule type="expression" dxfId="13119" priority="83622">
      <formula>$H3152="SUBETAPA"</formula>
    </cfRule>
    <cfRule type="expression" dxfId="13118" priority="83623">
      <formula>$H3152="CÉLULA CONSTRUTIVA"</formula>
    </cfRule>
  </conditionalFormatting>
  <conditionalFormatting sqref="M3153 O3153">
    <cfRule type="expression" dxfId="13117" priority="61021">
      <formula>$H3153="CÉLULA CONSTRUTIVA"</formula>
    </cfRule>
  </conditionalFormatting>
  <conditionalFormatting sqref="M3153">
    <cfRule type="expression" dxfId="13116" priority="61023">
      <formula>$H3153="ETAPA"</formula>
    </cfRule>
    <cfRule type="expression" dxfId="13115" priority="61024">
      <formula>$H3153="CÉLULA CONSTRUTIVA"</formula>
    </cfRule>
    <cfRule type="expression" dxfId="13114" priority="61025">
      <formula>$H3153="ETAPA"</formula>
    </cfRule>
    <cfRule type="expression" dxfId="13113" priority="61026">
      <formula>$H3153="SUBETAPA"</formula>
    </cfRule>
    <cfRule type="expression" dxfId="13112" priority="61027">
      <formula>$H3153="CÉLULA CONSTRUTIVA"</formula>
    </cfRule>
    <cfRule type="expression" dxfId="13111" priority="61028">
      <formula>$H3153="ETAPA"</formula>
    </cfRule>
  </conditionalFormatting>
  <conditionalFormatting sqref="M21:N21">
    <cfRule type="expression" dxfId="13110" priority="46659">
      <formula>$H21="ETAPA"</formula>
    </cfRule>
  </conditionalFormatting>
  <conditionalFormatting sqref="M24:N24">
    <cfRule type="expression" dxfId="13109" priority="50707">
      <formula>$H24="ETAPA"</formula>
    </cfRule>
  </conditionalFormatting>
  <conditionalFormatting sqref="M25:N25">
    <cfRule type="expression" dxfId="13108" priority="50752">
      <formula>$H25="ETAPA"</formula>
    </cfRule>
  </conditionalFormatting>
  <conditionalFormatting sqref="M41:N41">
    <cfRule type="expression" dxfId="13107" priority="50542">
      <formula>$H41="ETAPA"</formula>
    </cfRule>
  </conditionalFormatting>
  <conditionalFormatting sqref="M52:N52">
    <cfRule type="expression" dxfId="13106" priority="50407">
      <formula>$H52="SUBETAPA"</formula>
    </cfRule>
  </conditionalFormatting>
  <conditionalFormatting sqref="M56:N56">
    <cfRule type="expression" dxfId="13105" priority="50352">
      <formula>$H56="SUBETAPA"</formula>
    </cfRule>
  </conditionalFormatting>
  <conditionalFormatting sqref="M58:N58">
    <cfRule type="expression" dxfId="13104" priority="50691">
      <formula>$H58="ETAPA"</formula>
    </cfRule>
  </conditionalFormatting>
  <conditionalFormatting sqref="M77:N77">
    <cfRule type="expression" dxfId="13103" priority="50944">
      <formula>$H77="SUBETAPA"</formula>
    </cfRule>
  </conditionalFormatting>
  <conditionalFormatting sqref="M84:N84">
    <cfRule type="expression" dxfId="13102" priority="50299">
      <formula>$H84="SUBETAPA"</formula>
    </cfRule>
  </conditionalFormatting>
  <conditionalFormatting sqref="M85:N93">
    <cfRule type="expression" dxfId="13101" priority="50318">
      <formula>$H85="SUBETAPA"</formula>
    </cfRule>
  </conditionalFormatting>
  <conditionalFormatting sqref="M96:N96 M100:M101">
    <cfRule type="expression" dxfId="13100" priority="50949">
      <formula>$H96="SUBETAPA"</formula>
    </cfRule>
  </conditionalFormatting>
  <conditionalFormatting sqref="M104:N104">
    <cfRule type="expression" dxfId="13099" priority="50129">
      <formula>$H104="SUBETAPA"</formula>
    </cfRule>
  </conditionalFormatting>
  <conditionalFormatting sqref="M106:N106">
    <cfRule type="expression" dxfId="13098" priority="50111">
      <formula>$H106="SUBETAPA"</formula>
    </cfRule>
  </conditionalFormatting>
  <conditionalFormatting sqref="M108:N108">
    <cfRule type="expression" dxfId="13097" priority="50093">
      <formula>$H108="SUBETAPA"</formula>
    </cfRule>
  </conditionalFormatting>
  <conditionalFormatting sqref="M110:N110">
    <cfRule type="expression" dxfId="13096" priority="50075">
      <formula>$H110="SUBETAPA"</formula>
    </cfRule>
  </conditionalFormatting>
  <conditionalFormatting sqref="M112:N112">
    <cfRule type="expression" dxfId="13095" priority="50057">
      <formula>$H112="SUBETAPA"</formula>
    </cfRule>
  </conditionalFormatting>
  <conditionalFormatting sqref="M116:N116">
    <cfRule type="expression" dxfId="13094" priority="50039">
      <formula>$H116="SUBETAPA"</formula>
    </cfRule>
  </conditionalFormatting>
  <conditionalFormatting sqref="M118:N118">
    <cfRule type="expression" dxfId="13093" priority="50021">
      <formula>$H118="SUBETAPA"</formula>
    </cfRule>
  </conditionalFormatting>
  <conditionalFormatting sqref="M120:N120">
    <cfRule type="expression" dxfId="13092" priority="50003">
      <formula>$H120="SUBETAPA"</formula>
    </cfRule>
  </conditionalFormatting>
  <conditionalFormatting sqref="M131:N131">
    <cfRule type="expression" dxfId="13091" priority="49874">
      <formula>$H131="SUBETAPA"</formula>
    </cfRule>
  </conditionalFormatting>
  <conditionalFormatting sqref="M139:N139">
    <cfRule type="expression" dxfId="13090" priority="49782">
      <formula>$H139="SUBETAPA"</formula>
    </cfRule>
  </conditionalFormatting>
  <conditionalFormatting sqref="M140:N140">
    <cfRule type="expression" dxfId="13089" priority="50951">
      <formula>$H140="SUBETAPA"</formula>
    </cfRule>
  </conditionalFormatting>
  <conditionalFormatting sqref="M177:N177">
    <cfRule type="expression" dxfId="13088" priority="49508">
      <formula>$H177="SUBETAPA"</formula>
    </cfRule>
  </conditionalFormatting>
  <conditionalFormatting sqref="M186:N186">
    <cfRule type="expression" dxfId="13087" priority="49490">
      <formula>$H186="SUBETAPA"</formula>
    </cfRule>
  </conditionalFormatting>
  <conditionalFormatting sqref="M195:N195">
    <cfRule type="expression" dxfId="13086" priority="49472">
      <formula>$H195="SUBETAPA"</formula>
    </cfRule>
  </conditionalFormatting>
  <conditionalFormatting sqref="M213:N213">
    <cfRule type="expression" dxfId="13085" priority="49454">
      <formula>$H213="SUBETAPA"</formula>
    </cfRule>
  </conditionalFormatting>
  <conditionalFormatting sqref="M274:N274">
    <cfRule type="expression" dxfId="13084" priority="49149">
      <formula>$H274="SUBETAPA"</formula>
    </cfRule>
  </conditionalFormatting>
  <conditionalFormatting sqref="M314:N314">
    <cfRule type="expression" dxfId="13083" priority="48453">
      <formula>$H314="ETAPA"</formula>
    </cfRule>
  </conditionalFormatting>
  <conditionalFormatting sqref="M316:N316">
    <cfRule type="expression" dxfId="13082" priority="48423">
      <formula>$H316="ETAPA"</formula>
    </cfRule>
  </conditionalFormatting>
  <conditionalFormatting sqref="M318:N318">
    <cfRule type="expression" dxfId="13081" priority="48352">
      <formula>$H318="ETAPA"</formula>
    </cfRule>
  </conditionalFormatting>
  <conditionalFormatting sqref="M320:N320">
    <cfRule type="expression" dxfId="13080" priority="48337">
      <formula>$H320="ETAPA"</formula>
    </cfRule>
  </conditionalFormatting>
  <conditionalFormatting sqref="M322:N322">
    <cfRule type="expression" dxfId="13079" priority="48266">
      <formula>$H322="ETAPA"</formula>
    </cfRule>
  </conditionalFormatting>
  <conditionalFormatting sqref="M326:N326">
    <cfRule type="expression" dxfId="13078" priority="48180">
      <formula>$H326="ETAPA"</formula>
    </cfRule>
  </conditionalFormatting>
  <conditionalFormatting sqref="M328:N328">
    <cfRule type="expression" dxfId="13077" priority="46240">
      <formula>$H328="ETAPA"</formula>
    </cfRule>
  </conditionalFormatting>
  <conditionalFormatting sqref="M340:N340">
    <cfRule type="expression" dxfId="13076" priority="47933">
      <formula>$H340="ETAPA"</formula>
    </cfRule>
  </conditionalFormatting>
  <conditionalFormatting sqref="M349:N349">
    <cfRule type="expression" dxfId="13075" priority="47761">
      <formula>$H349="ETAPA"</formula>
    </cfRule>
  </conditionalFormatting>
  <conditionalFormatting sqref="M351:N351">
    <cfRule type="expression" dxfId="13074" priority="47718">
      <formula>$H351="ETAPA"</formula>
    </cfRule>
  </conditionalFormatting>
  <conditionalFormatting sqref="M353:N353">
    <cfRule type="expression" dxfId="13073" priority="47675">
      <formula>$H353="ETAPA"</formula>
    </cfRule>
  </conditionalFormatting>
  <conditionalFormatting sqref="M355:N355">
    <cfRule type="expression" dxfId="13072" priority="47632">
      <formula>$H355="ETAPA"</formula>
    </cfRule>
  </conditionalFormatting>
  <conditionalFormatting sqref="M357:N357">
    <cfRule type="expression" dxfId="13071" priority="47589">
      <formula>$H357="ETAPA"</formula>
    </cfRule>
  </conditionalFormatting>
  <conditionalFormatting sqref="M359:N359">
    <cfRule type="expression" dxfId="13070" priority="46193">
      <formula>$H359="ETAPA"</formula>
    </cfRule>
  </conditionalFormatting>
  <conditionalFormatting sqref="M361:N361">
    <cfRule type="expression" dxfId="13069" priority="47546">
      <formula>$H361="ETAPA"</formula>
    </cfRule>
  </conditionalFormatting>
  <conditionalFormatting sqref="M363:N363">
    <cfRule type="expression" dxfId="13068" priority="47503">
      <formula>$H363="ETAPA"</formula>
    </cfRule>
  </conditionalFormatting>
  <conditionalFormatting sqref="M365:N365">
    <cfRule type="expression" dxfId="13067" priority="47460">
      <formula>$H365="ETAPA"</formula>
    </cfRule>
  </conditionalFormatting>
  <conditionalFormatting sqref="M367:N367">
    <cfRule type="expression" dxfId="13066" priority="47417">
      <formula>$H367="ETAPA"</formula>
    </cfRule>
  </conditionalFormatting>
  <conditionalFormatting sqref="M369:N369">
    <cfRule type="expression" dxfId="13065" priority="47374">
      <formula>$H369="ETAPA"</formula>
    </cfRule>
  </conditionalFormatting>
  <conditionalFormatting sqref="M371:N371">
    <cfRule type="expression" dxfId="13064" priority="47331">
      <formula>$H371="ETAPA"</formula>
    </cfRule>
  </conditionalFormatting>
  <conditionalFormatting sqref="M373:N373">
    <cfRule type="expression" dxfId="13063" priority="47288">
      <formula>$H373="ETAPA"</formula>
    </cfRule>
  </conditionalFormatting>
  <conditionalFormatting sqref="M375:N375">
    <cfRule type="expression" dxfId="13062" priority="47245">
      <formula>$H375="ETAPA"</formula>
    </cfRule>
  </conditionalFormatting>
  <conditionalFormatting sqref="M377:N377">
    <cfRule type="expression" dxfId="13061" priority="47202">
      <formula>$H377="ETAPA"</formula>
    </cfRule>
  </conditionalFormatting>
  <conditionalFormatting sqref="M3056:N3056">
    <cfRule type="expression" dxfId="13060" priority="4">
      <formula>$H3056="CÉLULA CONSTRUTIVA"</formula>
    </cfRule>
  </conditionalFormatting>
  <conditionalFormatting sqref="N8">
    <cfRule type="expression" dxfId="13059" priority="50999">
      <formula>$H8="SUBETAPA"</formula>
    </cfRule>
    <cfRule type="expression" dxfId="13058" priority="51000">
      <formula>$H8="CÉLULA CONSTRUTIVA"</formula>
    </cfRule>
  </conditionalFormatting>
  <conditionalFormatting sqref="N8:N10 M59:N60 N69:N70 N100:N101">
    <cfRule type="expression" dxfId="13057" priority="50957">
      <formula>$H8="ETAPA"</formula>
    </cfRule>
  </conditionalFormatting>
  <conditionalFormatting sqref="N9 N59 N69 N100">
    <cfRule type="expression" dxfId="13056" priority="50955">
      <formula>$H9="SUBETAPA"</formula>
    </cfRule>
    <cfRule type="expression" dxfId="13055" priority="50956">
      <formula>$H9="CÉLULA CONSTRUTIVA"</formula>
    </cfRule>
  </conditionalFormatting>
  <conditionalFormatting sqref="N10 N60 N63 N66 N70 N72 N77 N79 N101 N140 N281">
    <cfRule type="expression" dxfId="13054" priority="50959">
      <formula>$H10="CÉLULA CONSTRUTIVA"</formula>
    </cfRule>
  </conditionalFormatting>
  <conditionalFormatting sqref="N10 N60 N70 N101 M79:N79 N281 N63 N65:N66 N72">
    <cfRule type="expression" dxfId="13053" priority="50958">
      <formula>$H10="SUBETAPA"</formula>
    </cfRule>
  </conditionalFormatting>
  <conditionalFormatting sqref="N12">
    <cfRule type="expression" dxfId="13052" priority="4077">
      <formula>$H12="SUBETAPA"</formula>
    </cfRule>
    <cfRule type="expression" dxfId="13051" priority="4078">
      <formula>$H12="CÉLULA CONSTRUTIVA"</formula>
    </cfRule>
  </conditionalFormatting>
  <conditionalFormatting sqref="N12:N13">
    <cfRule type="expression" dxfId="13050" priority="4079">
      <formula>$H12="ETAPA"</formula>
    </cfRule>
  </conditionalFormatting>
  <conditionalFormatting sqref="N13">
    <cfRule type="expression" dxfId="13049" priority="4080">
      <formula>$H13="SUBETAPA"</formula>
    </cfRule>
    <cfRule type="expression" dxfId="13048" priority="4081">
      <formula>$H13="CÉLULA CONSTRUTIVA"</formula>
    </cfRule>
  </conditionalFormatting>
  <conditionalFormatting sqref="N16">
    <cfRule type="expression" dxfId="13047" priority="4051">
      <formula>$H16="ETAPA"</formula>
    </cfRule>
    <cfRule type="expression" dxfId="13046" priority="4052">
      <formula>$H16="SUBETAPA"</formula>
    </cfRule>
    <cfRule type="expression" dxfId="13045" priority="4053">
      <formula>$H16="CÉLULA CONSTRUTIVA"</formula>
    </cfRule>
  </conditionalFormatting>
  <conditionalFormatting sqref="N20">
    <cfRule type="expression" dxfId="13044" priority="46610">
      <formula>$H20="CÉLULA CONSTRUTIVA"</formula>
    </cfRule>
    <cfRule type="expression" dxfId="13043" priority="46611">
      <formula>$H20="SUBETAPA"</formula>
    </cfRule>
    <cfRule type="expression" dxfId="13042" priority="46612">
      <formula>$H20="ETAPA"</formula>
    </cfRule>
    <cfRule type="expression" dxfId="13041" priority="46613">
      <formula>$H20="SUBETAPA"</formula>
    </cfRule>
    <cfRule type="expression" dxfId="13040" priority="46614">
      <formula>$H20="CÉLULA CONSTRUTIVA"</formula>
    </cfRule>
    <cfRule type="expression" dxfId="13039" priority="46615">
      <formula>$H20="ETAPA"</formula>
    </cfRule>
  </conditionalFormatting>
  <conditionalFormatting sqref="N21">
    <cfRule type="expression" dxfId="13038" priority="46667">
      <formula>$H21="SUBETAPA"</formula>
    </cfRule>
    <cfRule type="expression" dxfId="13037" priority="46668">
      <formula>$H21="CÉLULA CONSTRUTIVA"</formula>
    </cfRule>
  </conditionalFormatting>
  <conditionalFormatting sqref="N21:N22">
    <cfRule type="expression" dxfId="13036" priority="46656">
      <formula>$H21="ETAPA"</formula>
    </cfRule>
  </conditionalFormatting>
  <conditionalFormatting sqref="N22">
    <cfRule type="expression" dxfId="13035" priority="46673">
      <formula>$H22="SUBETAPA"</formula>
    </cfRule>
  </conditionalFormatting>
  <conditionalFormatting sqref="N23 L22:L23">
    <cfRule type="expression" dxfId="13034" priority="46581">
      <formula>$H22="ETAPA"</formula>
    </cfRule>
  </conditionalFormatting>
  <conditionalFormatting sqref="N23 L23">
    <cfRule type="expression" dxfId="13033" priority="46579">
      <formula>$H23="CÉLULA CONSTRUTIVA"</formula>
    </cfRule>
  </conditionalFormatting>
  <conditionalFormatting sqref="N23">
    <cfRule type="expression" dxfId="13032" priority="46580">
      <formula>$H23="SUBETAPA"</formula>
    </cfRule>
    <cfRule type="expression" dxfId="13031" priority="46582">
      <formula>$H23="SUBETAPA"</formula>
    </cfRule>
    <cfRule type="expression" dxfId="13030" priority="46583">
      <formula>$H23="CÉLULA CONSTRUTIVA"</formula>
    </cfRule>
    <cfRule type="expression" dxfId="13029" priority="46584">
      <formula>$H23="ETAPA"</formula>
    </cfRule>
  </conditionalFormatting>
  <conditionalFormatting sqref="N24">
    <cfRule type="expression" dxfId="13028" priority="50703">
      <formula>$H24="SUBETAPA"</formula>
    </cfRule>
    <cfRule type="expression" dxfId="13027" priority="50704">
      <formula>$H24="ETAPA"</formula>
    </cfRule>
    <cfRule type="expression" dxfId="13026" priority="50715">
      <formula>$H24="CÉLULA CONSTRUTIVA"</formula>
    </cfRule>
  </conditionalFormatting>
  <conditionalFormatting sqref="N25">
    <cfRule type="expression" dxfId="13025" priority="50750">
      <formula>$H25="SUBETAPA"</formula>
    </cfRule>
    <cfRule type="expression" dxfId="13024" priority="50751">
      <formula>$H25="CÉLULA CONSTRUTIVA"</formula>
    </cfRule>
  </conditionalFormatting>
  <conditionalFormatting sqref="N26">
    <cfRule type="expression" dxfId="13023" priority="50670">
      <formula>$H26="SUBETAPA"</formula>
    </cfRule>
    <cfRule type="expression" dxfId="13022" priority="50671">
      <formula>$H26="CÉLULA CONSTRUTIVA"</formula>
    </cfRule>
  </conditionalFormatting>
  <conditionalFormatting sqref="N26:N27 L26:L27 G26:G27">
    <cfRule type="expression" dxfId="13021" priority="50663">
      <formula>$H26="CÉLULA CONSTRUTIVA"</formula>
    </cfRule>
  </conditionalFormatting>
  <conditionalFormatting sqref="N26:N27 L26:L30">
    <cfRule type="expression" dxfId="13020" priority="50665">
      <formula>$H26="ETAPA"</formula>
    </cfRule>
  </conditionalFormatting>
  <conditionalFormatting sqref="N28 N30:N31">
    <cfRule type="expression" dxfId="13019" priority="50753">
      <formula>$H28="SUBETAPA"</formula>
    </cfRule>
  </conditionalFormatting>
  <conditionalFormatting sqref="N28 N31">
    <cfRule type="expression" dxfId="13018" priority="50754">
      <formula>$H28="CÉLULA CONSTRUTIVA"</formula>
    </cfRule>
  </conditionalFormatting>
  <conditionalFormatting sqref="N33">
    <cfRule type="expression" dxfId="13017" priority="50612">
      <formula>$H33="SUBETAPA"</formula>
    </cfRule>
    <cfRule type="expression" dxfId="13016" priority="50613">
      <formula>$H33="CÉLULA CONSTRUTIVA"</formula>
    </cfRule>
  </conditionalFormatting>
  <conditionalFormatting sqref="N33:N34">
    <cfRule type="expression" dxfId="13015" priority="50614">
      <formula>$H33="ETAPA"</formula>
    </cfRule>
  </conditionalFormatting>
  <conditionalFormatting sqref="N34 N38:N39">
    <cfRule type="expression" dxfId="13014" priority="50615">
      <formula>$H34="SUBETAPA"</formula>
    </cfRule>
  </conditionalFormatting>
  <conditionalFormatting sqref="N34 N39">
    <cfRule type="expression" dxfId="13013" priority="50616">
      <formula>$H34="CÉLULA CONSTRUTIVA"</formula>
    </cfRule>
  </conditionalFormatting>
  <conditionalFormatting sqref="N34:N36">
    <cfRule type="expression" dxfId="13012" priority="50633">
      <formula>$H34="CÉLULA CONSTRUTIVA"</formula>
    </cfRule>
    <cfRule type="expression" dxfId="13011" priority="50635">
      <formula>$H34="ETAPA"</formula>
    </cfRule>
  </conditionalFormatting>
  <conditionalFormatting sqref="N37">
    <cfRule type="expression" dxfId="13010" priority="46717">
      <formula>$H37="SUBETAPA"</formula>
    </cfRule>
    <cfRule type="expression" dxfId="13009" priority="46718">
      <formula>$H37="CÉLULA CONSTRUTIVA"</formula>
    </cfRule>
    <cfRule type="expression" dxfId="13008" priority="46719">
      <formula>$H37="CÉLULA CONSTRUTIVA"</formula>
    </cfRule>
    <cfRule type="expression" dxfId="13007" priority="46720">
      <formula>$H37="ETAPA"</formula>
    </cfRule>
  </conditionalFormatting>
  <conditionalFormatting sqref="N38">
    <cfRule type="expression" dxfId="13006" priority="50617">
      <formula>$H38="CÉLULA CONSTRUTIVA"</formula>
    </cfRule>
  </conditionalFormatting>
  <conditionalFormatting sqref="N41">
    <cfRule type="expression" dxfId="13005" priority="50540">
      <formula>$H41="SUBETAPA"</formula>
    </cfRule>
    <cfRule type="expression" dxfId="13004" priority="50541">
      <formula>$H41="CÉLULA CONSTRUTIVA"</formula>
    </cfRule>
  </conditionalFormatting>
  <conditionalFormatting sqref="N42">
    <cfRule type="expression" dxfId="13003" priority="50492">
      <formula>$H42="SUBETAPA"</formula>
    </cfRule>
    <cfRule type="expression" dxfId="13002" priority="50493">
      <formula>$H42="CÉLULA CONSTRUTIVA"</formula>
    </cfRule>
  </conditionalFormatting>
  <conditionalFormatting sqref="N42:N43 L42:L43 G42">
    <cfRule type="expression" dxfId="13001" priority="50485">
      <formula>$H42="CÉLULA CONSTRUTIVA"</formula>
    </cfRule>
  </conditionalFormatting>
  <conditionalFormatting sqref="N42:N43 L42:L43">
    <cfRule type="expression" dxfId="13000" priority="50487">
      <formula>$H42="ETAPA"</formula>
    </cfRule>
  </conditionalFormatting>
  <conditionalFormatting sqref="N44 N49">
    <cfRule type="expression" dxfId="12999" priority="50543">
      <formula>$H44="SUBETAPA"</formula>
    </cfRule>
    <cfRule type="expression" dxfId="12998" priority="50544">
      <formula>$H44="CÉLULA CONSTRUTIVA"</formula>
    </cfRule>
  </conditionalFormatting>
  <conditionalFormatting sqref="N46">
    <cfRule type="expression" dxfId="12997" priority="46773">
      <formula>$H46="SUBETAPA"</formula>
    </cfRule>
    <cfRule type="expression" dxfId="12996" priority="46774">
      <formula>$H46="CÉLULA CONSTRUTIVA"</formula>
    </cfRule>
    <cfRule type="expression" dxfId="12995" priority="46775">
      <formula>$H46="ETAPA"</formula>
    </cfRule>
  </conditionalFormatting>
  <conditionalFormatting sqref="N47">
    <cfRule type="expression" dxfId="12994" priority="46742">
      <formula>$H47="SUBETAPA"</formula>
    </cfRule>
    <cfRule type="expression" dxfId="12993" priority="46743">
      <formula>$H47="CÉLULA CONSTRUTIVA"</formula>
    </cfRule>
    <cfRule type="expression" dxfId="12992" priority="46744">
      <formula>$H47="ETAPA"</formula>
    </cfRule>
  </conditionalFormatting>
  <conditionalFormatting sqref="N51 N54">
    <cfRule type="expression" dxfId="12991" priority="50447">
      <formula>$H51="SUBETAPA"</formula>
    </cfRule>
  </conditionalFormatting>
  <conditionalFormatting sqref="N51">
    <cfRule type="expression" dxfId="12990" priority="50451">
      <formula>$H51="CÉLULA CONSTRUTIVA"</formula>
    </cfRule>
  </conditionalFormatting>
  <conditionalFormatting sqref="N52">
    <cfRule type="expression" dxfId="12989" priority="50411">
      <formula>$H52="CÉLULA CONSTRUTIVA"</formula>
    </cfRule>
    <cfRule type="expression" dxfId="12988" priority="50412">
      <formula>$H52="ETAPA"</formula>
    </cfRule>
    <cfRule type="expression" dxfId="12987" priority="50422">
      <formula>$H52="CÉLULA CONSTRUTIVA"</formula>
    </cfRule>
    <cfRule type="expression" dxfId="12986" priority="50423">
      <formula>$H52="ETAPA"</formula>
    </cfRule>
  </conditionalFormatting>
  <conditionalFormatting sqref="N53">
    <cfRule type="expression" dxfId="12985" priority="46414">
      <formula>$H53="SUBETAPA"</formula>
    </cfRule>
  </conditionalFormatting>
  <conditionalFormatting sqref="N55 N57">
    <cfRule type="expression" dxfId="12984" priority="50392">
      <formula>$H55="SUBETAPA"</formula>
    </cfRule>
  </conditionalFormatting>
  <conditionalFormatting sqref="N55">
    <cfRule type="expression" dxfId="12983" priority="50396">
      <formula>$H55="CÉLULA CONSTRUTIVA"</formula>
    </cfRule>
  </conditionalFormatting>
  <conditionalFormatting sqref="N56">
    <cfRule type="expression" dxfId="12982" priority="50356">
      <formula>$H56="CÉLULA CONSTRUTIVA"</formula>
    </cfRule>
    <cfRule type="expression" dxfId="12981" priority="50357">
      <formula>$H56="ETAPA"</formula>
    </cfRule>
    <cfRule type="expression" dxfId="12980" priority="50367">
      <formula>$H56="CÉLULA CONSTRUTIVA"</formula>
    </cfRule>
    <cfRule type="expression" dxfId="12979" priority="50368">
      <formula>$H56="ETAPA"</formula>
    </cfRule>
  </conditionalFormatting>
  <conditionalFormatting sqref="N58">
    <cfRule type="expression" dxfId="12978" priority="50687">
      <formula>$H58="SUBETAPA"</formula>
    </cfRule>
    <cfRule type="expression" dxfId="12977" priority="50688">
      <formula>$H58="ETAPA"</formula>
    </cfRule>
    <cfRule type="expression" dxfId="12976" priority="50699">
      <formula>$H58="CÉLULA CONSTRUTIVA"</formula>
    </cfRule>
  </conditionalFormatting>
  <conditionalFormatting sqref="N65">
    <cfRule type="expression" dxfId="12975" priority="50960">
      <formula>$H65="CÉLULA CONSTRUTIVA"</formula>
    </cfRule>
  </conditionalFormatting>
  <conditionalFormatting sqref="N68">
    <cfRule type="expression" dxfId="12974" priority="50961">
      <formula>$H68="SUBETAPA"</formula>
    </cfRule>
    <cfRule type="expression" dxfId="12973" priority="50962">
      <formula>$H68="CÉLULA CONSTRUTIVA"</formula>
    </cfRule>
    <cfRule type="expression" dxfId="12972" priority="50963">
      <formula>$H68="ETAPA"</formula>
    </cfRule>
  </conditionalFormatting>
  <conditionalFormatting sqref="N80">
    <cfRule type="expression" dxfId="12971" priority="50326">
      <formula>$H80="SUBETAPA"</formula>
    </cfRule>
    <cfRule type="expression" dxfId="12970" priority="50327">
      <formula>$H80="CÉLULA CONSTRUTIVA"</formula>
    </cfRule>
  </conditionalFormatting>
  <conditionalFormatting sqref="N80:N81">
    <cfRule type="expression" dxfId="12969" priority="50328">
      <formula>$H80="ETAPA"</formula>
    </cfRule>
  </conditionalFormatting>
  <conditionalFormatting sqref="N81 M95:N95 N83">
    <cfRule type="expression" dxfId="12968" priority="50329">
      <formula>$H81="SUBETAPA"</formula>
    </cfRule>
  </conditionalFormatting>
  <conditionalFormatting sqref="N81 N83 N93 N95">
    <cfRule type="expression" dxfId="12967" priority="50330">
      <formula>$H81="CÉLULA CONSTRUTIVA"</formula>
    </cfRule>
  </conditionalFormatting>
  <conditionalFormatting sqref="N84 G84:K84">
    <cfRule type="expression" dxfId="12966" priority="50307">
      <formula>$H84="ETAPA"</formula>
    </cfRule>
  </conditionalFormatting>
  <conditionalFormatting sqref="N84">
    <cfRule type="expression" dxfId="12965" priority="50295">
      <formula>$H84="SUBETAPA"</formula>
    </cfRule>
    <cfRule type="expression" dxfId="12964" priority="50296">
      <formula>$H84="ETAPA"</formula>
    </cfRule>
    <cfRule type="expression" dxfId="12963" priority="50306">
      <formula>$H84="CÉLULA CONSTRUTIVA"</formula>
    </cfRule>
  </conditionalFormatting>
  <conditionalFormatting sqref="N85:N86">
    <cfRule type="expression" dxfId="12962" priority="50340">
      <formula>$H85="CÉLULA CONSTRUTIVA"</formula>
    </cfRule>
  </conditionalFormatting>
  <conditionalFormatting sqref="N85:N91 G83:K83 G85:K87 G91:K92 G90:I90 K90 G89:K89 G88:I88 K88">
    <cfRule type="expression" dxfId="12961" priority="50341">
      <formula>$H83="ETAPA"</formula>
    </cfRule>
  </conditionalFormatting>
  <conditionalFormatting sqref="N87:N92">
    <cfRule type="expression" dxfId="12960" priority="50331">
      <formula>$H87="CÉLULA CONSTRUTIVA"</formula>
    </cfRule>
  </conditionalFormatting>
  <conditionalFormatting sqref="N92">
    <cfRule type="expression" dxfId="12959" priority="50332">
      <formula>$H92="ETAPA"</formula>
    </cfRule>
  </conditionalFormatting>
  <conditionalFormatting sqref="N96">
    <cfRule type="expression" dxfId="12958" priority="50953">
      <formula>$H96="CÉLULA CONSTRUTIVA"</formula>
    </cfRule>
    <cfRule type="expression" dxfId="12957" priority="50954">
      <formula>$H96="ETAPA"</formula>
    </cfRule>
  </conditionalFormatting>
  <conditionalFormatting sqref="N97">
    <cfRule type="expression" dxfId="12956" priority="50172">
      <formula>$H97="SUBETAPA"</formula>
    </cfRule>
    <cfRule type="expression" dxfId="12955" priority="50173">
      <formula>$H97="CÉLULA CONSTRUTIVA"</formula>
    </cfRule>
  </conditionalFormatting>
  <conditionalFormatting sqref="N97:N98">
    <cfRule type="expression" dxfId="12954" priority="50174">
      <formula>$H97="ETAPA"</formula>
    </cfRule>
  </conditionalFormatting>
  <conditionalFormatting sqref="N98">
    <cfRule type="expression" dxfId="12953" priority="50175">
      <formula>$H98="SUBETAPA"</formula>
    </cfRule>
    <cfRule type="expression" dxfId="12952" priority="50176">
      <formula>$H98="CÉLULA CONSTRUTIVA"</formula>
    </cfRule>
  </conditionalFormatting>
  <conditionalFormatting sqref="N104">
    <cfRule type="expression" dxfId="12951" priority="50132">
      <formula>$H104="CÉLULA CONSTRUTIVA"</formula>
    </cfRule>
  </conditionalFormatting>
  <conditionalFormatting sqref="N106">
    <cfRule type="expression" dxfId="12950" priority="50114">
      <formula>$H106="CÉLULA CONSTRUTIVA"</formula>
    </cfRule>
  </conditionalFormatting>
  <conditionalFormatting sqref="N108">
    <cfRule type="expression" dxfId="12949" priority="50096">
      <formula>$H108="CÉLULA CONSTRUTIVA"</formula>
    </cfRule>
  </conditionalFormatting>
  <conditionalFormatting sqref="N110">
    <cfRule type="expression" dxfId="12948" priority="50078">
      <formula>$H110="CÉLULA CONSTRUTIVA"</formula>
    </cfRule>
  </conditionalFormatting>
  <conditionalFormatting sqref="N112">
    <cfRule type="expression" dxfId="12947" priority="50060">
      <formula>$H112="CÉLULA CONSTRUTIVA"</formula>
    </cfRule>
  </conditionalFormatting>
  <conditionalFormatting sqref="N114">
    <cfRule type="expression" dxfId="12946" priority="46361">
      <formula>$H114="SUBETAPA"</formula>
    </cfRule>
    <cfRule type="expression" dxfId="12945" priority="46362">
      <formula>$H114="CÉLULA CONSTRUTIVA"</formula>
    </cfRule>
  </conditionalFormatting>
  <conditionalFormatting sqref="N116">
    <cfRule type="expression" dxfId="12944" priority="50042">
      <formula>$H116="CÉLULA CONSTRUTIVA"</formula>
    </cfRule>
  </conditionalFormatting>
  <conditionalFormatting sqref="N118">
    <cfRule type="expression" dxfId="12943" priority="50024">
      <formula>$H118="CÉLULA CONSTRUTIVA"</formula>
    </cfRule>
  </conditionalFormatting>
  <conditionalFormatting sqref="N120">
    <cfRule type="expression" dxfId="12942" priority="50006">
      <formula>$H120="CÉLULA CONSTRUTIVA"</formula>
    </cfRule>
  </conditionalFormatting>
  <conditionalFormatting sqref="N122">
    <cfRule type="expression" dxfId="12941" priority="49986">
      <formula>$H122="CÉLULA CONSTRUTIVA"</formula>
    </cfRule>
  </conditionalFormatting>
  <conditionalFormatting sqref="N122:N123 G123:K123">
    <cfRule type="expression" dxfId="12940" priority="49978">
      <formula>$H122="ETAPA"</formula>
    </cfRule>
  </conditionalFormatting>
  <conditionalFormatting sqref="N122:N123 G122:L122 G123:K123">
    <cfRule type="expression" dxfId="12939" priority="49976">
      <formula>$H122="CÉLULA CONSTRUTIVA"</formula>
    </cfRule>
  </conditionalFormatting>
  <conditionalFormatting sqref="N122:N123">
    <cfRule type="expression" dxfId="12938" priority="49985">
      <formula>$H122="SUBETAPA"</formula>
    </cfRule>
  </conditionalFormatting>
  <conditionalFormatting sqref="N123">
    <cfRule type="expression" dxfId="12937" priority="49987">
      <formula>$H123="CÉLULA CONSTRUTIVA"</formula>
    </cfRule>
    <cfRule type="expression" dxfId="12936" priority="49988">
      <formula>$H123="ETAPA"</formula>
    </cfRule>
  </conditionalFormatting>
  <conditionalFormatting sqref="N125">
    <cfRule type="expression" dxfId="12935" priority="49949">
      <formula>$H125="CÉLULA CONSTRUTIVA"</formula>
    </cfRule>
  </conditionalFormatting>
  <conditionalFormatting sqref="N125:N126 G126:K126">
    <cfRule type="expression" dxfId="12934" priority="49941">
      <formula>$H125="ETAPA"</formula>
    </cfRule>
  </conditionalFormatting>
  <conditionalFormatting sqref="N125:N126 G125:L125 G126:K126">
    <cfRule type="expression" dxfId="12933" priority="49939">
      <formula>$H125="CÉLULA CONSTRUTIVA"</formula>
    </cfRule>
  </conditionalFormatting>
  <conditionalFormatting sqref="N125:N126">
    <cfRule type="expression" dxfId="12932" priority="49948">
      <formula>$H125="SUBETAPA"</formula>
    </cfRule>
  </conditionalFormatting>
  <conditionalFormatting sqref="N126">
    <cfRule type="expression" dxfId="12931" priority="49950">
      <formula>$H126="CÉLULA CONSTRUTIVA"</formula>
    </cfRule>
    <cfRule type="expression" dxfId="12930" priority="49951">
      <formula>$H126="ETAPA"</formula>
    </cfRule>
  </conditionalFormatting>
  <conditionalFormatting sqref="N128">
    <cfRule type="expression" dxfId="12929" priority="49912">
      <formula>$H128="CÉLULA CONSTRUTIVA"</formula>
    </cfRule>
  </conditionalFormatting>
  <conditionalFormatting sqref="N128:N129 G129:K129">
    <cfRule type="expression" dxfId="12928" priority="49904">
      <formula>$H128="ETAPA"</formula>
    </cfRule>
  </conditionalFormatting>
  <conditionalFormatting sqref="N128:N129 G128:L128 G129:K129">
    <cfRule type="expression" dxfId="12927" priority="49902">
      <formula>$H128="CÉLULA CONSTRUTIVA"</formula>
    </cfRule>
  </conditionalFormatting>
  <conditionalFormatting sqref="N128:N129">
    <cfRule type="expression" dxfId="12926" priority="49911">
      <formula>$H128="SUBETAPA"</formula>
    </cfRule>
  </conditionalFormatting>
  <conditionalFormatting sqref="N129">
    <cfRule type="expression" dxfId="12925" priority="49913">
      <formula>$H129="CÉLULA CONSTRUTIVA"</formula>
    </cfRule>
    <cfRule type="expression" dxfId="12924" priority="49914">
      <formula>$H129="ETAPA"</formula>
    </cfRule>
  </conditionalFormatting>
  <conditionalFormatting sqref="N131">
    <cfRule type="expression" dxfId="12923" priority="49877">
      <formula>$H131="CÉLULA CONSTRUTIVA"</formula>
    </cfRule>
  </conditionalFormatting>
  <conditionalFormatting sqref="N133">
    <cfRule type="expression" dxfId="12922" priority="49857">
      <formula>$H133="CÉLULA CONSTRUTIVA"</formula>
    </cfRule>
  </conditionalFormatting>
  <conditionalFormatting sqref="N133:N134 G134:K134">
    <cfRule type="expression" dxfId="12921" priority="49849">
      <formula>$H133="ETAPA"</formula>
    </cfRule>
  </conditionalFormatting>
  <conditionalFormatting sqref="N133:N134 G133:L133 G134:K134">
    <cfRule type="expression" dxfId="12920" priority="49847">
      <formula>$H133="CÉLULA CONSTRUTIVA"</formula>
    </cfRule>
  </conditionalFormatting>
  <conditionalFormatting sqref="N133:N134">
    <cfRule type="expression" dxfId="12919" priority="49856">
      <formula>$H133="SUBETAPA"</formula>
    </cfRule>
  </conditionalFormatting>
  <conditionalFormatting sqref="N134">
    <cfRule type="expression" dxfId="12918" priority="49858">
      <formula>$H134="CÉLULA CONSTRUTIVA"</formula>
    </cfRule>
    <cfRule type="expression" dxfId="12917" priority="49859">
      <formula>$H134="ETAPA"</formula>
    </cfRule>
  </conditionalFormatting>
  <conditionalFormatting sqref="N136">
    <cfRule type="expression" dxfId="12916" priority="49820">
      <formula>$H136="CÉLULA CONSTRUTIVA"</formula>
    </cfRule>
  </conditionalFormatting>
  <conditionalFormatting sqref="N136:N137 G137:K137">
    <cfRule type="expression" dxfId="12915" priority="49812">
      <formula>$H136="ETAPA"</formula>
    </cfRule>
  </conditionalFormatting>
  <conditionalFormatting sqref="N136:N137 G136:L136 G137:K137">
    <cfRule type="expression" dxfId="12914" priority="49810">
      <formula>$H136="CÉLULA CONSTRUTIVA"</formula>
    </cfRule>
  </conditionalFormatting>
  <conditionalFormatting sqref="N136:N137">
    <cfRule type="expression" dxfId="12913" priority="49819">
      <formula>$H136="SUBETAPA"</formula>
    </cfRule>
  </conditionalFormatting>
  <conditionalFormatting sqref="N137">
    <cfRule type="expression" dxfId="12912" priority="49821">
      <formula>$H137="CÉLULA CONSTRUTIVA"</formula>
    </cfRule>
    <cfRule type="expression" dxfId="12911" priority="49822">
      <formula>$H137="ETAPA"</formula>
    </cfRule>
  </conditionalFormatting>
  <conditionalFormatting sqref="N139">
    <cfRule type="expression" dxfId="12910" priority="49783">
      <formula>$H139="CÉLULA CONSTRUTIVA"</formula>
    </cfRule>
  </conditionalFormatting>
  <conditionalFormatting sqref="N145:N147 G145:J147">
    <cfRule type="expression" dxfId="12909" priority="50885">
      <formula>$H145="CÉLULA CONSTRUTIVA"</formula>
    </cfRule>
  </conditionalFormatting>
  <conditionalFormatting sqref="N145:N147">
    <cfRule type="expression" dxfId="12908" priority="50887">
      <formula>$H145="ETAPA"</formula>
    </cfRule>
    <cfRule type="expression" dxfId="12907" priority="50889">
      <formula>$H145="SUBETAPA"</formula>
    </cfRule>
  </conditionalFormatting>
  <conditionalFormatting sqref="N148">
    <cfRule type="expression" dxfId="12906" priority="49766">
      <formula>$H148="CÉLULA CONSTRUTIVA"</formula>
    </cfRule>
  </conditionalFormatting>
  <conditionalFormatting sqref="N148:N153">
    <cfRule type="expression" dxfId="12905" priority="49765">
      <formula>$H148="SUBETAPA"</formula>
    </cfRule>
  </conditionalFormatting>
  <conditionalFormatting sqref="N154:N156 G154:J156">
    <cfRule type="expression" dxfId="12904" priority="49731">
      <formula>$H154="CÉLULA CONSTRUTIVA"</formula>
    </cfRule>
  </conditionalFormatting>
  <conditionalFormatting sqref="N154:N156">
    <cfRule type="expression" dxfId="12903" priority="49733">
      <formula>$H154="ETAPA"</formula>
    </cfRule>
    <cfRule type="expression" dxfId="12902" priority="49735">
      <formula>$H154="SUBETAPA"</formula>
    </cfRule>
  </conditionalFormatting>
  <conditionalFormatting sqref="N157 G157:I157">
    <cfRule type="expression" dxfId="12901" priority="49698">
      <formula>$H157="CÉLULA CONSTRUTIVA"</formula>
    </cfRule>
  </conditionalFormatting>
  <conditionalFormatting sqref="N157">
    <cfRule type="expression" dxfId="12900" priority="49700">
      <formula>$H157="ETAPA"</formula>
    </cfRule>
    <cfRule type="expression" dxfId="12899" priority="49702">
      <formula>$H157="SUBETAPA"</formula>
    </cfRule>
  </conditionalFormatting>
  <conditionalFormatting sqref="N158">
    <cfRule type="expression" dxfId="12898" priority="49680">
      <formula>$H158="CÉLULA CONSTRUTIVA"</formula>
    </cfRule>
  </conditionalFormatting>
  <conditionalFormatting sqref="N158:N163">
    <cfRule type="expression" dxfId="12897" priority="49679">
      <formula>$H158="SUBETAPA"</formula>
    </cfRule>
  </conditionalFormatting>
  <conditionalFormatting sqref="N164:N166 G164:J166">
    <cfRule type="expression" dxfId="12896" priority="49645">
      <formula>$H164="CÉLULA CONSTRUTIVA"</formula>
    </cfRule>
  </conditionalFormatting>
  <conditionalFormatting sqref="N164:N166">
    <cfRule type="expression" dxfId="12895" priority="49647">
      <formula>$H164="ETAPA"</formula>
    </cfRule>
    <cfRule type="expression" dxfId="12894" priority="49649">
      <formula>$H164="SUBETAPA"</formula>
    </cfRule>
  </conditionalFormatting>
  <conditionalFormatting sqref="N167 G167:I167">
    <cfRule type="expression" dxfId="12893" priority="49612">
      <formula>$H167="CÉLULA CONSTRUTIVA"</formula>
    </cfRule>
  </conditionalFormatting>
  <conditionalFormatting sqref="N167">
    <cfRule type="expression" dxfId="12892" priority="49614">
      <formula>$H167="ETAPA"</formula>
    </cfRule>
    <cfRule type="expression" dxfId="12891" priority="49616">
      <formula>$H167="SUBETAPA"</formula>
    </cfRule>
  </conditionalFormatting>
  <conditionalFormatting sqref="N168">
    <cfRule type="expression" dxfId="12890" priority="49594">
      <formula>$H168="CÉLULA CONSTRUTIVA"</formula>
    </cfRule>
  </conditionalFormatting>
  <conditionalFormatting sqref="N168:N173">
    <cfRule type="expression" dxfId="12889" priority="49593">
      <formula>$H168="SUBETAPA"</formula>
    </cfRule>
  </conditionalFormatting>
  <conditionalFormatting sqref="N174:N176 G174:J176">
    <cfRule type="expression" dxfId="12888" priority="49559">
      <formula>$H174="CÉLULA CONSTRUTIVA"</formula>
    </cfRule>
  </conditionalFormatting>
  <conditionalFormatting sqref="N174:N176">
    <cfRule type="expression" dxfId="12887" priority="49561">
      <formula>$H174="ETAPA"</formula>
    </cfRule>
    <cfRule type="expression" dxfId="12886" priority="49563">
      <formula>$H174="SUBETAPA"</formula>
    </cfRule>
  </conditionalFormatting>
  <conditionalFormatting sqref="N177">
    <cfRule type="expression" dxfId="12885" priority="49509">
      <formula>$H177="CÉLULA CONSTRUTIVA"</formula>
    </cfRule>
  </conditionalFormatting>
  <conditionalFormatting sqref="N178">
    <cfRule type="expression" dxfId="12884" priority="3319">
      <formula>$H178="ETAPA"</formula>
    </cfRule>
    <cfRule type="expression" dxfId="12883" priority="3322">
      <formula>$H178="SUBETAPA"</formula>
    </cfRule>
  </conditionalFormatting>
  <conditionalFormatting sqref="N185 G185:J185">
    <cfRule type="expression" dxfId="12882" priority="3303">
      <formula>$H185="CÉLULA CONSTRUTIVA"</formula>
    </cfRule>
  </conditionalFormatting>
  <conditionalFormatting sqref="N185">
    <cfRule type="expression" dxfId="12881" priority="3305">
      <formula>$H185="ETAPA"</formula>
    </cfRule>
    <cfRule type="expression" dxfId="12880" priority="3307">
      <formula>$H185="SUBETAPA"</formula>
    </cfRule>
  </conditionalFormatting>
  <conditionalFormatting sqref="N186">
    <cfRule type="expression" dxfId="12879" priority="49491">
      <formula>$H186="CÉLULA CONSTRUTIVA"</formula>
    </cfRule>
  </conditionalFormatting>
  <conditionalFormatting sqref="N187">
    <cfRule type="expression" dxfId="12878" priority="3285">
      <formula>$H187="ETAPA"</formula>
    </cfRule>
    <cfRule type="expression" dxfId="12877" priority="3288">
      <formula>$H187="SUBETAPA"</formula>
    </cfRule>
  </conditionalFormatting>
  <conditionalFormatting sqref="N194 G194:J194">
    <cfRule type="expression" dxfId="12876" priority="3269">
      <formula>$H194="CÉLULA CONSTRUTIVA"</formula>
    </cfRule>
  </conditionalFormatting>
  <conditionalFormatting sqref="N194">
    <cfRule type="expression" dxfId="12875" priority="3271">
      <formula>$H194="ETAPA"</formula>
    </cfRule>
    <cfRule type="expression" dxfId="12874" priority="3273">
      <formula>$H194="SUBETAPA"</formula>
    </cfRule>
  </conditionalFormatting>
  <conditionalFormatting sqref="N195">
    <cfRule type="expression" dxfId="12873" priority="49473">
      <formula>$H195="CÉLULA CONSTRUTIVA"</formula>
    </cfRule>
  </conditionalFormatting>
  <conditionalFormatting sqref="N196">
    <cfRule type="expression" dxfId="12872" priority="3251">
      <formula>$H196="ETAPA"</formula>
    </cfRule>
    <cfRule type="expression" dxfId="12871" priority="3254">
      <formula>$H196="SUBETAPA"</formula>
    </cfRule>
  </conditionalFormatting>
  <conditionalFormatting sqref="N203 G203:J203">
    <cfRule type="expression" dxfId="12870" priority="3235">
      <formula>$H203="CÉLULA CONSTRUTIVA"</formula>
    </cfRule>
  </conditionalFormatting>
  <conditionalFormatting sqref="N203">
    <cfRule type="expression" dxfId="12869" priority="3237">
      <formula>$H203="ETAPA"</formula>
    </cfRule>
    <cfRule type="expression" dxfId="12868" priority="3239">
      <formula>$H203="SUBETAPA"</formula>
    </cfRule>
  </conditionalFormatting>
  <conditionalFormatting sqref="N204 L206 K206:K211 G210:J211 M206:O211">
    <cfRule type="expression" dxfId="12867" priority="46338">
      <formula>$H204="ETAPA"</formula>
    </cfRule>
  </conditionalFormatting>
  <conditionalFormatting sqref="N204">
    <cfRule type="expression" dxfId="12866" priority="46326">
      <formula>$H204="SUBETAPA"</formula>
    </cfRule>
    <cfRule type="expression" dxfId="12865" priority="46327">
      <formula>$H204="CÉLULA CONSTRUTIVA"</formula>
    </cfRule>
  </conditionalFormatting>
  <conditionalFormatting sqref="N205">
    <cfRule type="expression" dxfId="12864" priority="3217">
      <formula>$H205="ETAPA"</formula>
    </cfRule>
    <cfRule type="expression" dxfId="12863" priority="3220">
      <formula>$H205="SUBETAPA"</formula>
    </cfRule>
  </conditionalFormatting>
  <conditionalFormatting sqref="N212 G212:J212">
    <cfRule type="expression" dxfId="12862" priority="3201">
      <formula>$H212="CÉLULA CONSTRUTIVA"</formula>
    </cfRule>
  </conditionalFormatting>
  <conditionalFormatting sqref="N212">
    <cfRule type="expression" dxfId="12861" priority="3203">
      <formula>$H212="ETAPA"</formula>
    </cfRule>
    <cfRule type="expression" dxfId="12860" priority="3205">
      <formula>$H212="SUBETAPA"</formula>
    </cfRule>
  </conditionalFormatting>
  <conditionalFormatting sqref="N213">
    <cfRule type="expression" dxfId="12859" priority="49455">
      <formula>$H213="CÉLULA CONSTRUTIVA"</formula>
    </cfRule>
  </conditionalFormatting>
  <conditionalFormatting sqref="N214">
    <cfRule type="expression" dxfId="12858" priority="3183">
      <formula>$H214="ETAPA"</formula>
    </cfRule>
    <cfRule type="expression" dxfId="12857" priority="3186">
      <formula>$H214="SUBETAPA"</formula>
    </cfRule>
  </conditionalFormatting>
  <conditionalFormatting sqref="N221 G221:J221">
    <cfRule type="expression" dxfId="12856" priority="3167">
      <formula>$H221="CÉLULA CONSTRUTIVA"</formula>
    </cfRule>
  </conditionalFormatting>
  <conditionalFormatting sqref="N221">
    <cfRule type="expression" dxfId="12855" priority="3169">
      <formula>$H221="ETAPA"</formula>
    </cfRule>
    <cfRule type="expression" dxfId="12854" priority="3171">
      <formula>$H221="SUBETAPA"</formula>
    </cfRule>
  </conditionalFormatting>
  <conditionalFormatting sqref="N222">
    <cfRule type="expression" dxfId="12853" priority="49436">
      <formula>$H222="CÉLULA CONSTRUTIVA"</formula>
    </cfRule>
  </conditionalFormatting>
  <conditionalFormatting sqref="N222:N227">
    <cfRule type="expression" dxfId="12852" priority="49435">
      <formula>$H222="SUBETAPA"</formula>
    </cfRule>
  </conditionalFormatting>
  <conditionalFormatting sqref="N228:N230 G228:J230">
    <cfRule type="expression" dxfId="12851" priority="49401">
      <formula>$H228="CÉLULA CONSTRUTIVA"</formula>
    </cfRule>
  </conditionalFormatting>
  <conditionalFormatting sqref="N228:N230">
    <cfRule type="expression" dxfId="12850" priority="49403">
      <formula>$H228="ETAPA"</formula>
    </cfRule>
    <cfRule type="expression" dxfId="12849" priority="49405">
      <formula>$H228="SUBETAPA"</formula>
    </cfRule>
  </conditionalFormatting>
  <conditionalFormatting sqref="N231">
    <cfRule type="expression" dxfId="12848" priority="49386">
      <formula>$H231="CÉLULA CONSTRUTIVA"</formula>
    </cfRule>
  </conditionalFormatting>
  <conditionalFormatting sqref="N231:N236">
    <cfRule type="expression" dxfId="12847" priority="49385">
      <formula>$H231="SUBETAPA"</formula>
    </cfRule>
  </conditionalFormatting>
  <conditionalFormatting sqref="N237:N239 G237:J239">
    <cfRule type="expression" dxfId="12846" priority="49351">
      <formula>$H237="CÉLULA CONSTRUTIVA"</formula>
    </cfRule>
  </conditionalFormatting>
  <conditionalFormatting sqref="N237:N239">
    <cfRule type="expression" dxfId="12845" priority="49353">
      <formula>$H237="ETAPA"</formula>
    </cfRule>
    <cfRule type="expression" dxfId="12844" priority="49355">
      <formula>$H237="SUBETAPA"</formula>
    </cfRule>
  </conditionalFormatting>
  <conditionalFormatting sqref="N240">
    <cfRule type="expression" dxfId="12843" priority="49336">
      <formula>$H240="CÉLULA CONSTRUTIVA"</formula>
    </cfRule>
  </conditionalFormatting>
  <conditionalFormatting sqref="N240:N245">
    <cfRule type="expression" dxfId="12842" priority="49335">
      <formula>$H240="SUBETAPA"</formula>
    </cfRule>
  </conditionalFormatting>
  <conditionalFormatting sqref="N246:N248 G246:J248">
    <cfRule type="expression" dxfId="12841" priority="49301">
      <formula>$H246="CÉLULA CONSTRUTIVA"</formula>
    </cfRule>
  </conditionalFormatting>
  <conditionalFormatting sqref="N246:N248">
    <cfRule type="expression" dxfId="12840" priority="49303">
      <formula>$H246="ETAPA"</formula>
    </cfRule>
    <cfRule type="expression" dxfId="12839" priority="49305">
      <formula>$H246="SUBETAPA"</formula>
    </cfRule>
  </conditionalFormatting>
  <conditionalFormatting sqref="N249">
    <cfRule type="expression" dxfId="12838" priority="49286">
      <formula>$H249="CÉLULA CONSTRUTIVA"</formula>
    </cfRule>
  </conditionalFormatting>
  <conditionalFormatting sqref="N249:N254">
    <cfRule type="expression" dxfId="12837" priority="49285">
      <formula>$H249="SUBETAPA"</formula>
    </cfRule>
  </conditionalFormatting>
  <conditionalFormatting sqref="N255:N257 G255:J257">
    <cfRule type="expression" dxfId="12836" priority="49251">
      <formula>$H255="CÉLULA CONSTRUTIVA"</formula>
    </cfRule>
  </conditionalFormatting>
  <conditionalFormatting sqref="N255:N257">
    <cfRule type="expression" dxfId="12835" priority="49253">
      <formula>$H255="ETAPA"</formula>
    </cfRule>
    <cfRule type="expression" dxfId="12834" priority="49255">
      <formula>$H255="SUBETAPA"</formula>
    </cfRule>
  </conditionalFormatting>
  <conditionalFormatting sqref="N258">
    <cfRule type="expression" dxfId="12833" priority="49236">
      <formula>$H258="CÉLULA CONSTRUTIVA"</formula>
    </cfRule>
  </conditionalFormatting>
  <conditionalFormatting sqref="N258:N263">
    <cfRule type="expression" dxfId="12832" priority="49235">
      <formula>$H258="SUBETAPA"</formula>
    </cfRule>
  </conditionalFormatting>
  <conditionalFormatting sqref="N264:N266 G264:J266">
    <cfRule type="expression" dxfId="12831" priority="49201">
      <formula>$H264="CÉLULA CONSTRUTIVA"</formula>
    </cfRule>
  </conditionalFormatting>
  <conditionalFormatting sqref="N264:N266">
    <cfRule type="expression" dxfId="12830" priority="49203">
      <formula>$H264="ETAPA"</formula>
    </cfRule>
    <cfRule type="expression" dxfId="12829" priority="49205">
      <formula>$H264="SUBETAPA"</formula>
    </cfRule>
  </conditionalFormatting>
  <conditionalFormatting sqref="N267">
    <cfRule type="expression" dxfId="12828" priority="49186">
      <formula>$H267="CÉLULA CONSTRUTIVA"</formula>
    </cfRule>
  </conditionalFormatting>
  <conditionalFormatting sqref="N267:N272">
    <cfRule type="expression" dxfId="12827" priority="49185">
      <formula>$H267="SUBETAPA"</formula>
    </cfRule>
  </conditionalFormatting>
  <conditionalFormatting sqref="N274">
    <cfRule type="expression" dxfId="12826" priority="49150">
      <formula>$H274="CÉLULA CONSTRUTIVA"</formula>
    </cfRule>
  </conditionalFormatting>
  <conditionalFormatting sqref="N280">
    <cfRule type="expression" dxfId="12825" priority="49130">
      <formula>$H280="SUBETAPA"</formula>
    </cfRule>
    <cfRule type="expression" dxfId="12824" priority="49131">
      <formula>$H280="CÉLULA CONSTRUTIVA"</formula>
    </cfRule>
  </conditionalFormatting>
  <conditionalFormatting sqref="N282 G141:J144 K141:K147">
    <cfRule type="expression" dxfId="12823" priority="50926">
      <formula>$H141="ETAPA"</formula>
    </cfRule>
  </conditionalFormatting>
  <conditionalFormatting sqref="N282">
    <cfRule type="expression" dxfId="12822" priority="50922">
      <formula>$H282="SUBETAPA"</formula>
    </cfRule>
  </conditionalFormatting>
  <conditionalFormatting sqref="N283">
    <cfRule type="expression" dxfId="12821" priority="49111">
      <formula>$H283="SUBETAPA"</formula>
    </cfRule>
    <cfRule type="expression" dxfId="12820" priority="49112">
      <formula>$H283="CÉLULA CONSTRUTIVA"</formula>
    </cfRule>
  </conditionalFormatting>
  <conditionalFormatting sqref="N284 L283:M283">
    <cfRule type="expression" dxfId="12819" priority="49107">
      <formula>$H283="SUBETAPA"</formula>
    </cfRule>
  </conditionalFormatting>
  <conditionalFormatting sqref="N284">
    <cfRule type="expression" dxfId="12818" priority="49109">
      <formula>$H284="ETAPA"</formula>
    </cfRule>
  </conditionalFormatting>
  <conditionalFormatting sqref="N285">
    <cfRule type="expression" dxfId="12817" priority="49065">
      <formula>$H285="SUBETAPA"</formula>
    </cfRule>
    <cfRule type="expression" dxfId="12816" priority="49066">
      <formula>$H285="CÉLULA CONSTRUTIVA"</formula>
    </cfRule>
  </conditionalFormatting>
  <conditionalFormatting sqref="N286 L285:M285">
    <cfRule type="expression" dxfId="12815" priority="49061">
      <formula>$H285="SUBETAPA"</formula>
    </cfRule>
  </conditionalFormatting>
  <conditionalFormatting sqref="N286">
    <cfRule type="expression" dxfId="12814" priority="49063">
      <formula>$H286="ETAPA"</formula>
    </cfRule>
  </conditionalFormatting>
  <conditionalFormatting sqref="N287">
    <cfRule type="expression" dxfId="12813" priority="49019">
      <formula>$H287="SUBETAPA"</formula>
    </cfRule>
    <cfRule type="expression" dxfId="12812" priority="49020">
      <formula>$H287="CÉLULA CONSTRUTIVA"</formula>
    </cfRule>
  </conditionalFormatting>
  <conditionalFormatting sqref="N288 L287:M287">
    <cfRule type="expression" dxfId="12811" priority="49015">
      <formula>$H287="SUBETAPA"</formula>
    </cfRule>
  </conditionalFormatting>
  <conditionalFormatting sqref="N288">
    <cfRule type="expression" dxfId="12810" priority="49017">
      <formula>$H288="ETAPA"</formula>
    </cfRule>
  </conditionalFormatting>
  <conditionalFormatting sqref="N289">
    <cfRule type="expression" dxfId="12809" priority="48973">
      <formula>$H289="SUBETAPA"</formula>
    </cfRule>
    <cfRule type="expression" dxfId="12808" priority="48974">
      <formula>$H289="CÉLULA CONSTRUTIVA"</formula>
    </cfRule>
  </conditionalFormatting>
  <conditionalFormatting sqref="N290 L289:M289">
    <cfRule type="expression" dxfId="12807" priority="48969">
      <formula>$H289="SUBETAPA"</formula>
    </cfRule>
  </conditionalFormatting>
  <conditionalFormatting sqref="N290">
    <cfRule type="expression" dxfId="12806" priority="48971">
      <formula>$H290="ETAPA"</formula>
    </cfRule>
  </conditionalFormatting>
  <conditionalFormatting sqref="N291">
    <cfRule type="expression" dxfId="12805" priority="48927">
      <formula>$H291="SUBETAPA"</formula>
    </cfRule>
    <cfRule type="expression" dxfId="12804" priority="48928">
      <formula>$H291="CÉLULA CONSTRUTIVA"</formula>
    </cfRule>
  </conditionalFormatting>
  <conditionalFormatting sqref="N292 L291:M291">
    <cfRule type="expression" dxfId="12803" priority="48923">
      <formula>$H291="SUBETAPA"</formula>
    </cfRule>
  </conditionalFormatting>
  <conditionalFormatting sqref="N292">
    <cfRule type="expression" dxfId="12802" priority="48925">
      <formula>$H292="ETAPA"</formula>
    </cfRule>
  </conditionalFormatting>
  <conditionalFormatting sqref="N293">
    <cfRule type="expression" dxfId="12801" priority="48881">
      <formula>$H293="SUBETAPA"</formula>
    </cfRule>
    <cfRule type="expression" dxfId="12800" priority="48882">
      <formula>$H293="CÉLULA CONSTRUTIVA"</formula>
    </cfRule>
  </conditionalFormatting>
  <conditionalFormatting sqref="N294 L293:M293">
    <cfRule type="expression" dxfId="12799" priority="48877">
      <formula>$H293="SUBETAPA"</formula>
    </cfRule>
  </conditionalFormatting>
  <conditionalFormatting sqref="N294">
    <cfRule type="expression" dxfId="12798" priority="48879">
      <formula>$H294="ETAPA"</formula>
    </cfRule>
  </conditionalFormatting>
  <conditionalFormatting sqref="N295">
    <cfRule type="expression" dxfId="12797" priority="46292">
      <formula>$H295="SUBETAPA"</formula>
    </cfRule>
    <cfRule type="expression" dxfId="12796" priority="46293">
      <formula>$H295="CÉLULA CONSTRUTIVA"</formula>
    </cfRule>
  </conditionalFormatting>
  <conditionalFormatting sqref="N296">
    <cfRule type="expression" dxfId="12795" priority="46290">
      <formula>$H296="ETAPA"</formula>
    </cfRule>
  </conditionalFormatting>
  <conditionalFormatting sqref="N297">
    <cfRule type="expression" dxfId="12794" priority="48835">
      <formula>$H297="SUBETAPA"</formula>
    </cfRule>
    <cfRule type="expression" dxfId="12793" priority="48836">
      <formula>$H297="CÉLULA CONSTRUTIVA"</formula>
    </cfRule>
  </conditionalFormatting>
  <conditionalFormatting sqref="N298 L297:M297">
    <cfRule type="expression" dxfId="12792" priority="48831">
      <formula>$H297="SUBETAPA"</formula>
    </cfRule>
  </conditionalFormatting>
  <conditionalFormatting sqref="N298">
    <cfRule type="expression" dxfId="12791" priority="48833">
      <formula>$H298="ETAPA"</formula>
    </cfRule>
  </conditionalFormatting>
  <conditionalFormatting sqref="N299">
    <cfRule type="expression" dxfId="12790" priority="48789">
      <formula>$H299="SUBETAPA"</formula>
    </cfRule>
    <cfRule type="expression" dxfId="12789" priority="48790">
      <formula>$H299="CÉLULA CONSTRUTIVA"</formula>
    </cfRule>
  </conditionalFormatting>
  <conditionalFormatting sqref="N300 L299:M299">
    <cfRule type="expression" dxfId="12788" priority="48785">
      <formula>$H299="SUBETAPA"</formula>
    </cfRule>
  </conditionalFormatting>
  <conditionalFormatting sqref="N300">
    <cfRule type="expression" dxfId="12787" priority="48787">
      <formula>$H300="ETAPA"</formula>
    </cfRule>
  </conditionalFormatting>
  <conditionalFormatting sqref="N301">
    <cfRule type="expression" dxfId="12786" priority="48743">
      <formula>$H301="SUBETAPA"</formula>
    </cfRule>
    <cfRule type="expression" dxfId="12785" priority="48744">
      <formula>$H301="CÉLULA CONSTRUTIVA"</formula>
    </cfRule>
  </conditionalFormatting>
  <conditionalFormatting sqref="N302 L301:M301">
    <cfRule type="expression" dxfId="12784" priority="48739">
      <formula>$H301="SUBETAPA"</formula>
    </cfRule>
  </conditionalFormatting>
  <conditionalFormatting sqref="N302">
    <cfRule type="expression" dxfId="12783" priority="48741">
      <formula>$H302="ETAPA"</formula>
    </cfRule>
  </conditionalFormatting>
  <conditionalFormatting sqref="N303">
    <cfRule type="expression" dxfId="12782" priority="48697">
      <formula>$H303="SUBETAPA"</formula>
    </cfRule>
    <cfRule type="expression" dxfId="12781" priority="48698">
      <formula>$H303="CÉLULA CONSTRUTIVA"</formula>
    </cfRule>
  </conditionalFormatting>
  <conditionalFormatting sqref="N304">
    <cfRule type="expression" dxfId="12780" priority="48693">
      <formula>$H304="SUBETAPA"</formula>
    </cfRule>
    <cfRule type="expression" dxfId="12779" priority="48695">
      <formula>$H304="ETAPA"</formula>
    </cfRule>
  </conditionalFormatting>
  <conditionalFormatting sqref="N305">
    <cfRule type="expression" dxfId="12778" priority="48651">
      <formula>$H305="SUBETAPA"</formula>
    </cfRule>
    <cfRule type="expression" dxfId="12777" priority="48652">
      <formula>$H305="CÉLULA CONSTRUTIVA"</formula>
    </cfRule>
  </conditionalFormatting>
  <conditionalFormatting sqref="N306 L305:M305">
    <cfRule type="expression" dxfId="12776" priority="48647">
      <formula>$H305="SUBETAPA"</formula>
    </cfRule>
  </conditionalFormatting>
  <conditionalFormatting sqref="N306">
    <cfRule type="expression" dxfId="12775" priority="48649">
      <formula>$H306="ETAPA"</formula>
    </cfRule>
  </conditionalFormatting>
  <conditionalFormatting sqref="N307">
    <cfRule type="expression" dxfId="12774" priority="48605">
      <formula>$H307="SUBETAPA"</formula>
    </cfRule>
    <cfRule type="expression" dxfId="12773" priority="48606">
      <formula>$H307="CÉLULA CONSTRUTIVA"</formula>
    </cfRule>
  </conditionalFormatting>
  <conditionalFormatting sqref="N308">
    <cfRule type="expression" dxfId="12772" priority="48601">
      <formula>$H308="SUBETAPA"</formula>
    </cfRule>
    <cfRule type="expression" dxfId="12771" priority="48603">
      <formula>$H308="ETAPA"</formula>
    </cfRule>
  </conditionalFormatting>
  <conditionalFormatting sqref="N309">
    <cfRule type="expression" dxfId="12770" priority="48559">
      <formula>$H309="SUBETAPA"</formula>
    </cfRule>
    <cfRule type="expression" dxfId="12769" priority="48560">
      <formula>$H309="CÉLULA CONSTRUTIVA"</formula>
    </cfRule>
  </conditionalFormatting>
  <conditionalFormatting sqref="N310 L309:M309">
    <cfRule type="expression" dxfId="12768" priority="48555">
      <formula>$H309="SUBETAPA"</formula>
    </cfRule>
  </conditionalFormatting>
  <conditionalFormatting sqref="N310">
    <cfRule type="expression" dxfId="12767" priority="48557">
      <formula>$H310="ETAPA"</formula>
    </cfRule>
  </conditionalFormatting>
  <conditionalFormatting sqref="N311">
    <cfRule type="expression" dxfId="12766" priority="48513">
      <formula>$H311="SUBETAPA"</formula>
    </cfRule>
    <cfRule type="expression" dxfId="12765" priority="48514">
      <formula>$H311="CÉLULA CONSTRUTIVA"</formula>
    </cfRule>
  </conditionalFormatting>
  <conditionalFormatting sqref="N313">
    <cfRule type="expression" dxfId="12764" priority="48441">
      <formula>$H313="SUBETAPA"</formula>
    </cfRule>
    <cfRule type="expression" dxfId="12763" priority="48442">
      <formula>$H313="CÉLULA CONSTRUTIVA"</formula>
    </cfRule>
  </conditionalFormatting>
  <conditionalFormatting sqref="N314">
    <cfRule type="expression" dxfId="12762" priority="48454">
      <formula>$H314="SUBETAPA"</formula>
    </cfRule>
    <cfRule type="expression" dxfId="12761" priority="48455">
      <formula>$H314="CÉLULA CONSTRUTIVA"</formula>
    </cfRule>
  </conditionalFormatting>
  <conditionalFormatting sqref="N315">
    <cfRule type="expression" dxfId="12760" priority="48414">
      <formula>$H315="SUBETAPA"</formula>
    </cfRule>
    <cfRule type="expression" dxfId="12759" priority="48415">
      <formula>$H315="CÉLULA CONSTRUTIVA"</formula>
    </cfRule>
    <cfRule type="expression" dxfId="12758" priority="48416">
      <formula>$H315="ETAPA"</formula>
    </cfRule>
  </conditionalFormatting>
  <conditionalFormatting sqref="N316">
    <cfRule type="expression" dxfId="12757" priority="48424">
      <formula>$H316="SUBETAPA"</formula>
    </cfRule>
    <cfRule type="expression" dxfId="12756" priority="48425">
      <formula>$H316="CÉLULA CONSTRUTIVA"</formula>
    </cfRule>
  </conditionalFormatting>
  <conditionalFormatting sqref="N317">
    <cfRule type="expression" dxfId="12755" priority="48387">
      <formula>$H317="SUBETAPA"</formula>
    </cfRule>
    <cfRule type="expression" dxfId="12754" priority="48388">
      <formula>$H317="CÉLULA CONSTRUTIVA"</formula>
    </cfRule>
    <cfRule type="expression" dxfId="12753" priority="48389">
      <formula>$H317="ETAPA"</formula>
    </cfRule>
  </conditionalFormatting>
  <conditionalFormatting sqref="N318">
    <cfRule type="expression" dxfId="12752" priority="48353">
      <formula>$H318="SUBETAPA"</formula>
    </cfRule>
    <cfRule type="expression" dxfId="12751" priority="48354">
      <formula>$H318="CÉLULA CONSTRUTIVA"</formula>
    </cfRule>
  </conditionalFormatting>
  <conditionalFormatting sqref="N319">
    <cfRule type="expression" dxfId="12750" priority="48328">
      <formula>$H319="SUBETAPA"</formula>
    </cfRule>
    <cfRule type="expression" dxfId="12749" priority="48329">
      <formula>$H319="CÉLULA CONSTRUTIVA"</formula>
    </cfRule>
    <cfRule type="expression" dxfId="12748" priority="48330">
      <formula>$H319="ETAPA"</formula>
    </cfRule>
  </conditionalFormatting>
  <conditionalFormatting sqref="N320">
    <cfRule type="expression" dxfId="12747" priority="48338">
      <formula>$H320="SUBETAPA"</formula>
    </cfRule>
    <cfRule type="expression" dxfId="12746" priority="48339">
      <formula>$H320="CÉLULA CONSTRUTIVA"</formula>
    </cfRule>
  </conditionalFormatting>
  <conditionalFormatting sqref="N321">
    <cfRule type="expression" dxfId="12745" priority="48301">
      <formula>$H321="SUBETAPA"</formula>
    </cfRule>
    <cfRule type="expression" dxfId="12744" priority="48302">
      <formula>$H321="CÉLULA CONSTRUTIVA"</formula>
    </cfRule>
    <cfRule type="expression" dxfId="12743" priority="48303">
      <formula>$H321="ETAPA"</formula>
    </cfRule>
  </conditionalFormatting>
  <conditionalFormatting sqref="N322">
    <cfRule type="expression" dxfId="12742" priority="48267">
      <formula>$H322="SUBETAPA"</formula>
    </cfRule>
    <cfRule type="expression" dxfId="12741" priority="48268">
      <formula>$H322="CÉLULA CONSTRUTIVA"</formula>
    </cfRule>
  </conditionalFormatting>
  <conditionalFormatting sqref="N323">
    <cfRule type="expression" dxfId="12740" priority="48242">
      <formula>$H323="SUBETAPA"</formula>
    </cfRule>
    <cfRule type="expression" dxfId="12739" priority="48243">
      <formula>$H323="CÉLULA CONSTRUTIVA"</formula>
    </cfRule>
    <cfRule type="expression" dxfId="12738" priority="48244">
      <formula>$H323="ETAPA"</formula>
    </cfRule>
  </conditionalFormatting>
  <conditionalFormatting sqref="N324">
    <cfRule type="expression" dxfId="12737" priority="48251">
      <formula>$H324="ETAPA"</formula>
    </cfRule>
    <cfRule type="expression" dxfId="12736" priority="48252">
      <formula>$H324="SUBETAPA"</formula>
    </cfRule>
    <cfRule type="expression" dxfId="12735" priority="48253">
      <formula>$H324="CÉLULA CONSTRUTIVA"</formula>
    </cfRule>
  </conditionalFormatting>
  <conditionalFormatting sqref="N325">
    <cfRule type="expression" dxfId="12734" priority="48215">
      <formula>$H325="SUBETAPA"</formula>
    </cfRule>
    <cfRule type="expression" dxfId="12733" priority="48216">
      <formula>$H325="CÉLULA CONSTRUTIVA"</formula>
    </cfRule>
    <cfRule type="expression" dxfId="12732" priority="48217">
      <formula>$H325="ETAPA"</formula>
    </cfRule>
  </conditionalFormatting>
  <conditionalFormatting sqref="N326">
    <cfRule type="expression" dxfId="12731" priority="48181">
      <formula>$H326="SUBETAPA"</formula>
    </cfRule>
    <cfRule type="expression" dxfId="12730" priority="48182">
      <formula>$H326="CÉLULA CONSTRUTIVA"</formula>
    </cfRule>
  </conditionalFormatting>
  <conditionalFormatting sqref="N327">
    <cfRule type="expression" dxfId="12729" priority="48158">
      <formula>$H327="SUBETAPA"</formula>
    </cfRule>
    <cfRule type="expression" dxfId="12728" priority="48159">
      <formula>$H327="CÉLULA CONSTRUTIVA"</formula>
    </cfRule>
    <cfRule type="expression" dxfId="12727" priority="48160">
      <formula>$H327="ETAPA"</formula>
    </cfRule>
  </conditionalFormatting>
  <conditionalFormatting sqref="N328">
    <cfRule type="expression" dxfId="12726" priority="46241">
      <formula>$H328="SUBETAPA"</formula>
    </cfRule>
    <cfRule type="expression" dxfId="12725" priority="46242">
      <formula>$H328="CÉLULA CONSTRUTIVA"</formula>
    </cfRule>
  </conditionalFormatting>
  <conditionalFormatting sqref="N329">
    <cfRule type="expression" dxfId="12724" priority="46231">
      <formula>$H329="SUBETAPA"</formula>
    </cfRule>
    <cfRule type="expression" dxfId="12723" priority="46232">
      <formula>$H329="CÉLULA CONSTRUTIVA"</formula>
    </cfRule>
    <cfRule type="expression" dxfId="12722" priority="46233">
      <formula>$H329="ETAPA"</formula>
    </cfRule>
  </conditionalFormatting>
  <conditionalFormatting sqref="N330">
    <cfRule type="expression" dxfId="12721" priority="48163">
      <formula>$H330="ETAPA"</formula>
    </cfRule>
    <cfRule type="expression" dxfId="12720" priority="48166">
      <formula>$H330="SUBETAPA"</formula>
    </cfRule>
    <cfRule type="expression" dxfId="12719" priority="48167">
      <formula>$H330="CÉLULA CONSTRUTIVA"</formula>
    </cfRule>
  </conditionalFormatting>
  <conditionalFormatting sqref="N331">
    <cfRule type="expression" dxfId="12718" priority="48132">
      <formula>$H331="SUBETAPA"</formula>
    </cfRule>
    <cfRule type="expression" dxfId="12717" priority="48133">
      <formula>$H331="CÉLULA CONSTRUTIVA"</formula>
    </cfRule>
    <cfRule type="expression" dxfId="12716" priority="48134">
      <formula>$H331="ETAPA"</formula>
    </cfRule>
  </conditionalFormatting>
  <conditionalFormatting sqref="N332">
    <cfRule type="expression" dxfId="12715" priority="48095">
      <formula>$H332="ETAPA"</formula>
    </cfRule>
    <cfRule type="expression" dxfId="12714" priority="48098">
      <formula>$H332="SUBETAPA"</formula>
    </cfRule>
    <cfRule type="expression" dxfId="12713" priority="48099">
      <formula>$H332="CÉLULA CONSTRUTIVA"</formula>
    </cfRule>
  </conditionalFormatting>
  <conditionalFormatting sqref="N333">
    <cfRule type="expression" dxfId="12712" priority="48077">
      <formula>$H333="SUBETAPA"</formula>
    </cfRule>
    <cfRule type="expression" dxfId="12711" priority="48078">
      <formula>$H333="CÉLULA CONSTRUTIVA"</formula>
    </cfRule>
    <cfRule type="expression" dxfId="12710" priority="48079">
      <formula>$H333="ETAPA"</formula>
    </cfRule>
  </conditionalFormatting>
  <conditionalFormatting sqref="N334">
    <cfRule type="expression" dxfId="12709" priority="48082">
      <formula>$H334="ETAPA"</formula>
    </cfRule>
    <cfRule type="expression" dxfId="12708" priority="48085">
      <formula>$H334="SUBETAPA"</formula>
    </cfRule>
    <cfRule type="expression" dxfId="12707" priority="48086">
      <formula>$H334="CÉLULA CONSTRUTIVA"</formula>
    </cfRule>
  </conditionalFormatting>
  <conditionalFormatting sqref="N335">
    <cfRule type="expression" dxfId="12706" priority="48050">
      <formula>$H335="SUBETAPA"</formula>
    </cfRule>
    <cfRule type="expression" dxfId="12705" priority="48051">
      <formula>$H335="CÉLULA CONSTRUTIVA"</formula>
    </cfRule>
    <cfRule type="expression" dxfId="12704" priority="48052">
      <formula>$H335="ETAPA"</formula>
    </cfRule>
  </conditionalFormatting>
  <conditionalFormatting sqref="N336">
    <cfRule type="expression" dxfId="12703" priority="48013">
      <formula>$H336="ETAPA"</formula>
    </cfRule>
    <cfRule type="expression" dxfId="12702" priority="48016">
      <formula>$H336="SUBETAPA"</formula>
    </cfRule>
    <cfRule type="expression" dxfId="12701" priority="48017">
      <formula>$H336="CÉLULA CONSTRUTIVA"</formula>
    </cfRule>
  </conditionalFormatting>
  <conditionalFormatting sqref="N337">
    <cfRule type="expression" dxfId="12700" priority="47995">
      <formula>$H337="SUBETAPA"</formula>
    </cfRule>
    <cfRule type="expression" dxfId="12699" priority="47996">
      <formula>$H337="CÉLULA CONSTRUTIVA"</formula>
    </cfRule>
    <cfRule type="expression" dxfId="12698" priority="47997">
      <formula>$H337="ETAPA"</formula>
    </cfRule>
  </conditionalFormatting>
  <conditionalFormatting sqref="N338">
    <cfRule type="expression" dxfId="12697" priority="48000">
      <formula>$H338="ETAPA"</formula>
    </cfRule>
    <cfRule type="expression" dxfId="12696" priority="48003">
      <formula>$H338="SUBETAPA"</formula>
    </cfRule>
    <cfRule type="expression" dxfId="12695" priority="48004">
      <formula>$H338="CÉLULA CONSTRUTIVA"</formula>
    </cfRule>
  </conditionalFormatting>
  <conditionalFormatting sqref="N339">
    <cfRule type="expression" dxfId="12694" priority="47968">
      <formula>$H339="SUBETAPA"</formula>
    </cfRule>
    <cfRule type="expression" dxfId="12693" priority="47969">
      <formula>$H339="CÉLULA CONSTRUTIVA"</formula>
    </cfRule>
    <cfRule type="expression" dxfId="12692" priority="47970">
      <formula>$H339="ETAPA"</formula>
    </cfRule>
  </conditionalFormatting>
  <conditionalFormatting sqref="N340">
    <cfRule type="expression" dxfId="12691" priority="47934">
      <formula>$H340="SUBETAPA"</formula>
    </cfRule>
    <cfRule type="expression" dxfId="12690" priority="47935">
      <formula>$H340="CÉLULA CONSTRUTIVA"</formula>
    </cfRule>
  </conditionalFormatting>
  <conditionalFormatting sqref="N341">
    <cfRule type="expression" dxfId="12689" priority="47911">
      <formula>$H341="SUBETAPA"</formula>
    </cfRule>
    <cfRule type="expression" dxfId="12688" priority="47912">
      <formula>$H341="CÉLULA CONSTRUTIVA"</formula>
    </cfRule>
    <cfRule type="expression" dxfId="12687" priority="47913">
      <formula>$H341="ETAPA"</formula>
    </cfRule>
  </conditionalFormatting>
  <conditionalFormatting sqref="N342">
    <cfRule type="expression" dxfId="12686" priority="47916">
      <formula>$H342="ETAPA"</formula>
    </cfRule>
    <cfRule type="expression" dxfId="12685" priority="47919">
      <formula>$H342="SUBETAPA"</formula>
    </cfRule>
    <cfRule type="expression" dxfId="12684" priority="47920">
      <formula>$H342="CÉLULA CONSTRUTIVA"</formula>
    </cfRule>
  </conditionalFormatting>
  <conditionalFormatting sqref="N343">
    <cfRule type="expression" dxfId="12683" priority="47884">
      <formula>$H343="SUBETAPA"</formula>
    </cfRule>
    <cfRule type="expression" dxfId="12682" priority="47885">
      <formula>$H343="CÉLULA CONSTRUTIVA"</formula>
    </cfRule>
    <cfRule type="expression" dxfId="12681" priority="47886">
      <formula>$H343="ETAPA"</formula>
    </cfRule>
  </conditionalFormatting>
  <conditionalFormatting sqref="N344">
    <cfRule type="expression" dxfId="12680" priority="47850">
      <formula>$H344="SUBETAPA"</formula>
    </cfRule>
    <cfRule type="expression" dxfId="12679" priority="47851">
      <formula>$H344="CÉLULA CONSTRUTIVA"</formula>
    </cfRule>
  </conditionalFormatting>
  <conditionalFormatting sqref="N346">
    <cfRule type="expression" dxfId="12678" priority="48469">
      <formula>$H346="SUBETAPA"</formula>
    </cfRule>
    <cfRule type="expression" dxfId="12677" priority="48470">
      <formula>$H346="CÉLULA CONSTRUTIVA"</formula>
    </cfRule>
  </conditionalFormatting>
  <conditionalFormatting sqref="N347">
    <cfRule type="expression" dxfId="12676" priority="47808">
      <formula>$H347="SUBETAPA"</formula>
    </cfRule>
    <cfRule type="expression" dxfId="12675" priority="47809">
      <formula>$H347="CÉLULA CONSTRUTIVA"</formula>
    </cfRule>
  </conditionalFormatting>
  <conditionalFormatting sqref="N348 O640:O648 O653:O661 O666:O674 O679:O687 O692:O700 O705:O713 O718:O726 O731:O739 O744:O752 O757:O765 O783:O791 O770:O778 M441:M442 M425:M426 M408:M410 M391:M393 M509:M511 M491:M493 M474:M476 M457:M459 M614:M615 M598:M600 M580:M581 M563:M565 M545:M547 M527:M529 J1576 J1492 J1467 J1460 J1453">
    <cfRule type="expression" dxfId="12674" priority="6006">
      <formula>$H348="SUBETAPA"</formula>
    </cfRule>
    <cfRule type="expression" dxfId="12673" priority="6007">
      <formula>$H348="ETAPA"</formula>
    </cfRule>
  </conditionalFormatting>
  <conditionalFormatting sqref="N349">
    <cfRule type="expression" dxfId="12672" priority="47762">
      <formula>$H349="SUBETAPA"</formula>
    </cfRule>
    <cfRule type="expression" dxfId="12671" priority="47763">
      <formula>$H349="CÉLULA CONSTRUTIVA"</formula>
    </cfRule>
  </conditionalFormatting>
  <conditionalFormatting sqref="N350">
    <cfRule type="expression" dxfId="12670" priority="47758">
      <formula>$H350="SUBETAPA"</formula>
    </cfRule>
    <cfRule type="expression" dxfId="12669" priority="47760">
      <formula>$H350="ETAPA"</formula>
    </cfRule>
  </conditionalFormatting>
  <conditionalFormatting sqref="N351">
    <cfRule type="expression" dxfId="12668" priority="47719">
      <formula>$H351="SUBETAPA"</formula>
    </cfRule>
    <cfRule type="expression" dxfId="12667" priority="47720">
      <formula>$H351="CÉLULA CONSTRUTIVA"</formula>
    </cfRule>
  </conditionalFormatting>
  <conditionalFormatting sqref="N353">
    <cfRule type="expression" dxfId="12666" priority="47676">
      <formula>$H353="SUBETAPA"</formula>
    </cfRule>
    <cfRule type="expression" dxfId="12665" priority="47677">
      <formula>$H353="CÉLULA CONSTRUTIVA"</formula>
    </cfRule>
  </conditionalFormatting>
  <conditionalFormatting sqref="N354">
    <cfRule type="expression" dxfId="12664" priority="47672">
      <formula>$H354="SUBETAPA"</formula>
    </cfRule>
    <cfRule type="expression" dxfId="12663" priority="47674">
      <formula>$H354="ETAPA"</formula>
    </cfRule>
  </conditionalFormatting>
  <conditionalFormatting sqref="N355">
    <cfRule type="expression" dxfId="12662" priority="47633">
      <formula>$H355="SUBETAPA"</formula>
    </cfRule>
    <cfRule type="expression" dxfId="12661" priority="47634">
      <formula>$H355="CÉLULA CONSTRUTIVA"</formula>
    </cfRule>
  </conditionalFormatting>
  <conditionalFormatting sqref="N356">
    <cfRule type="expression" dxfId="12660" priority="47629">
      <formula>$H356="SUBETAPA"</formula>
    </cfRule>
    <cfRule type="expression" dxfId="12659" priority="47631">
      <formula>$H356="ETAPA"</formula>
    </cfRule>
  </conditionalFormatting>
  <conditionalFormatting sqref="N357">
    <cfRule type="expression" dxfId="12658" priority="47590">
      <formula>$H357="SUBETAPA"</formula>
    </cfRule>
    <cfRule type="expression" dxfId="12657" priority="47591">
      <formula>$H357="CÉLULA CONSTRUTIVA"</formula>
    </cfRule>
  </conditionalFormatting>
  <conditionalFormatting sqref="N358">
    <cfRule type="expression" dxfId="12656" priority="47586">
      <formula>$H358="SUBETAPA"</formula>
    </cfRule>
    <cfRule type="expression" dxfId="12655" priority="47588">
      <formula>$H358="ETAPA"</formula>
    </cfRule>
  </conditionalFormatting>
  <conditionalFormatting sqref="N359">
    <cfRule type="expression" dxfId="12654" priority="46194">
      <formula>$H359="SUBETAPA"</formula>
    </cfRule>
    <cfRule type="expression" dxfId="12653" priority="46195">
      <formula>$H359="CÉLULA CONSTRUTIVA"</formula>
    </cfRule>
  </conditionalFormatting>
  <conditionalFormatting sqref="N360">
    <cfRule type="expression" dxfId="12652" priority="46192">
      <formula>$H360="ETAPA"</formula>
    </cfRule>
  </conditionalFormatting>
  <conditionalFormatting sqref="N361">
    <cfRule type="expression" dxfId="12651" priority="47547">
      <formula>$H361="SUBETAPA"</formula>
    </cfRule>
    <cfRule type="expression" dxfId="12650" priority="47548">
      <formula>$H361="CÉLULA CONSTRUTIVA"</formula>
    </cfRule>
  </conditionalFormatting>
  <conditionalFormatting sqref="N362">
    <cfRule type="expression" dxfId="12649" priority="47543">
      <formula>$H362="SUBETAPA"</formula>
    </cfRule>
    <cfRule type="expression" dxfId="12648" priority="47545">
      <formula>$H362="ETAPA"</formula>
    </cfRule>
  </conditionalFormatting>
  <conditionalFormatting sqref="N363">
    <cfRule type="expression" dxfId="12647" priority="47504">
      <formula>$H363="SUBETAPA"</formula>
    </cfRule>
    <cfRule type="expression" dxfId="12646" priority="47505">
      <formula>$H363="CÉLULA CONSTRUTIVA"</formula>
    </cfRule>
  </conditionalFormatting>
  <conditionalFormatting sqref="N364">
    <cfRule type="expression" dxfId="12645" priority="47500">
      <formula>$H364="SUBETAPA"</formula>
    </cfRule>
    <cfRule type="expression" dxfId="12644" priority="47502">
      <formula>$H364="ETAPA"</formula>
    </cfRule>
  </conditionalFormatting>
  <conditionalFormatting sqref="N365">
    <cfRule type="expression" dxfId="12643" priority="47461">
      <formula>$H365="SUBETAPA"</formula>
    </cfRule>
    <cfRule type="expression" dxfId="12642" priority="47462">
      <formula>$H365="CÉLULA CONSTRUTIVA"</formula>
    </cfRule>
  </conditionalFormatting>
  <conditionalFormatting sqref="N366">
    <cfRule type="expression" dxfId="12641" priority="47457">
      <formula>$H366="SUBETAPA"</formula>
    </cfRule>
    <cfRule type="expression" dxfId="12640" priority="47459">
      <formula>$H366="ETAPA"</formula>
    </cfRule>
  </conditionalFormatting>
  <conditionalFormatting sqref="N367">
    <cfRule type="expression" dxfId="12639" priority="47418">
      <formula>$H367="SUBETAPA"</formula>
    </cfRule>
    <cfRule type="expression" dxfId="12638" priority="47419">
      <formula>$H367="CÉLULA CONSTRUTIVA"</formula>
    </cfRule>
  </conditionalFormatting>
  <conditionalFormatting sqref="N368">
    <cfRule type="expression" dxfId="12637" priority="47414">
      <formula>$H368="SUBETAPA"</formula>
    </cfRule>
    <cfRule type="expression" dxfId="12636" priority="47416">
      <formula>$H368="ETAPA"</formula>
    </cfRule>
  </conditionalFormatting>
  <conditionalFormatting sqref="N369">
    <cfRule type="expression" dxfId="12635" priority="47375">
      <formula>$H369="SUBETAPA"</formula>
    </cfRule>
    <cfRule type="expression" dxfId="12634" priority="47376">
      <formula>$H369="CÉLULA CONSTRUTIVA"</formula>
    </cfRule>
  </conditionalFormatting>
  <conditionalFormatting sqref="N370">
    <cfRule type="expression" dxfId="12633" priority="47371">
      <formula>$H370="SUBETAPA"</formula>
    </cfRule>
    <cfRule type="expression" dxfId="12632" priority="47373">
      <formula>$H370="ETAPA"</formula>
    </cfRule>
  </conditionalFormatting>
  <conditionalFormatting sqref="N371">
    <cfRule type="expression" dxfId="12631" priority="47332">
      <formula>$H371="SUBETAPA"</formula>
    </cfRule>
    <cfRule type="expression" dxfId="12630" priority="47333">
      <formula>$H371="CÉLULA CONSTRUTIVA"</formula>
    </cfRule>
  </conditionalFormatting>
  <conditionalFormatting sqref="N372 M371">
    <cfRule type="expression" dxfId="12629" priority="47328">
      <formula>$H371="SUBETAPA"</formula>
    </cfRule>
  </conditionalFormatting>
  <conditionalFormatting sqref="N372">
    <cfRule type="expression" dxfId="12628" priority="47330">
      <formula>$H372="ETAPA"</formula>
    </cfRule>
  </conditionalFormatting>
  <conditionalFormatting sqref="N373">
    <cfRule type="expression" dxfId="12627" priority="47289">
      <formula>$H373="SUBETAPA"</formula>
    </cfRule>
    <cfRule type="expression" dxfId="12626" priority="47290">
      <formula>$H373="CÉLULA CONSTRUTIVA"</formula>
    </cfRule>
  </conditionalFormatting>
  <conditionalFormatting sqref="N374">
    <cfRule type="expression" dxfId="12625" priority="47287">
      <formula>$H374="ETAPA"</formula>
    </cfRule>
  </conditionalFormatting>
  <conditionalFormatting sqref="N375">
    <cfRule type="expression" dxfId="12624" priority="47246">
      <formula>$H375="SUBETAPA"</formula>
    </cfRule>
    <cfRule type="expression" dxfId="12623" priority="47247">
      <formula>$H375="CÉLULA CONSTRUTIVA"</formula>
    </cfRule>
  </conditionalFormatting>
  <conditionalFormatting sqref="N376">
    <cfRule type="expression" dxfId="12622" priority="47244">
      <formula>$H376="ETAPA"</formula>
    </cfRule>
  </conditionalFormatting>
  <conditionalFormatting sqref="N377">
    <cfRule type="expression" dxfId="12621" priority="47203">
      <formula>$H377="SUBETAPA"</formula>
    </cfRule>
    <cfRule type="expression" dxfId="12620" priority="47204">
      <formula>$H377="CÉLULA CONSTRUTIVA"</formula>
    </cfRule>
  </conditionalFormatting>
  <conditionalFormatting sqref="N378">
    <cfRule type="expression" dxfId="12619" priority="47201">
      <formula>$H378="ETAPA"</formula>
    </cfRule>
  </conditionalFormatting>
  <conditionalFormatting sqref="N27:O27">
    <cfRule type="expression" dxfId="12618" priority="50672">
      <formula>$H27="SUBETAPA"</formula>
    </cfRule>
    <cfRule type="expression" dxfId="12617" priority="50673">
      <formula>$H27="CÉLULA CONSTRUTIVA"</formula>
    </cfRule>
    <cfRule type="expression" dxfId="12616" priority="50674">
      <formula>$H27="ETAPA"</formula>
    </cfRule>
  </conditionalFormatting>
  <conditionalFormatting sqref="N29:O29 N30 N32:O32">
    <cfRule type="expression" dxfId="12615" priority="50757">
      <formula>$H29="ETAPA"</formula>
    </cfRule>
  </conditionalFormatting>
  <conditionalFormatting sqref="N29:O29 N30">
    <cfRule type="expression" dxfId="12614" priority="50756">
      <formula>$H29="CÉLULA CONSTRUTIVA"</formula>
    </cfRule>
  </conditionalFormatting>
  <conditionalFormatting sqref="N29:O29">
    <cfRule type="expression" dxfId="12613" priority="50755">
      <formula>$H29="SUBETAPA"</formula>
    </cfRule>
  </conditionalFormatting>
  <conditionalFormatting sqref="N32:O32">
    <cfRule type="expression" dxfId="12612" priority="50732">
      <formula>$H32="SUBETAPA"</formula>
    </cfRule>
  </conditionalFormatting>
  <conditionalFormatting sqref="N35:O35 N36">
    <cfRule type="expression" dxfId="12611" priority="50619">
      <formula>$H35="CÉLULA CONSTRUTIVA"</formula>
    </cfRule>
  </conditionalFormatting>
  <conditionalFormatting sqref="N35:O35">
    <cfRule type="expression" dxfId="12610" priority="50618">
      <formula>$H35="SUBETAPA"</formula>
    </cfRule>
  </conditionalFormatting>
  <conditionalFormatting sqref="N40:O40">
    <cfRule type="expression" dxfId="12609" priority="50586">
      <formula>$H40="SUBETAPA"</formula>
    </cfRule>
  </conditionalFormatting>
  <conditionalFormatting sqref="N43:O43">
    <cfRule type="expression" dxfId="12608" priority="50494">
      <formula>$H43="SUBETAPA"</formula>
    </cfRule>
    <cfRule type="expression" dxfId="12607" priority="50495">
      <formula>$H43="CÉLULA CONSTRUTIVA"</formula>
    </cfRule>
    <cfRule type="expression" dxfId="12606" priority="50496">
      <formula>$H43="ETAPA"</formula>
    </cfRule>
  </conditionalFormatting>
  <conditionalFormatting sqref="N45:O45 N48 N50:O50">
    <cfRule type="expression" dxfId="12605" priority="50547">
      <formula>$H45="ETAPA"</formula>
    </cfRule>
  </conditionalFormatting>
  <conditionalFormatting sqref="N45:O45 N48">
    <cfRule type="expression" dxfId="12604" priority="50546">
      <formula>$H45="CÉLULA CONSTRUTIVA"</formula>
    </cfRule>
  </conditionalFormatting>
  <conditionalFormatting sqref="N46:O46 K46">
    <cfRule type="expression" dxfId="12603" priority="46779">
      <formula>$H46="CÉLULA CONSTRUTIVA"</formula>
    </cfRule>
    <cfRule type="expression" dxfId="12602" priority="46780">
      <formula>$H46="SUBETAPA"</formula>
    </cfRule>
  </conditionalFormatting>
  <conditionalFormatting sqref="N50:O50">
    <cfRule type="expression" dxfId="12601" priority="50521">
      <formula>$H50="SUBETAPA"</formula>
    </cfRule>
  </conditionalFormatting>
  <conditionalFormatting sqref="N53:O53 H53:L53">
    <cfRule type="expression" dxfId="12600" priority="46413">
      <formula>$H53="CÉLULA CONSTRUTIVA"</formula>
    </cfRule>
    <cfRule type="expression" dxfId="12599" priority="46417">
      <formula>$H53="SUBETAPA"</formula>
    </cfRule>
  </conditionalFormatting>
  <conditionalFormatting sqref="N53:O53">
    <cfRule type="expression" dxfId="12598" priority="46415">
      <formula>$H53="ETAPA"</formula>
    </cfRule>
  </conditionalFormatting>
  <conditionalFormatting sqref="N64:O64">
    <cfRule type="expression" dxfId="12597" priority="50965">
      <formula>$H64="SUBETAPA"</formula>
    </cfRule>
    <cfRule type="expression" dxfId="12596" priority="50966">
      <formula>$H64="CÉLULA CONSTRUTIVA"</formula>
    </cfRule>
  </conditionalFormatting>
  <conditionalFormatting sqref="N67:O67">
    <cfRule type="expression" dxfId="12595" priority="50964">
      <formula>$H67="SUBETAPA"</formula>
    </cfRule>
  </conditionalFormatting>
  <conditionalFormatting sqref="N71:O71">
    <cfRule type="expression" dxfId="12594" priority="50967">
      <formula>$H71="SUBETAPA"</formula>
    </cfRule>
    <cfRule type="expression" dxfId="12593" priority="50968">
      <formula>$H71="CÉLULA CONSTRUTIVA"</formula>
    </cfRule>
    <cfRule type="expression" dxfId="12592" priority="50969">
      <formula>$H71="ETAPA"</formula>
    </cfRule>
  </conditionalFormatting>
  <conditionalFormatting sqref="N82:O82">
    <cfRule type="expression" dxfId="12591" priority="50333">
      <formula>$H82="SUBETAPA"</formula>
    </cfRule>
    <cfRule type="expression" dxfId="12590" priority="50334">
      <formula>$H82="CÉLULA CONSTRUTIVA"</formula>
    </cfRule>
    <cfRule type="expression" dxfId="12589" priority="50335">
      <formula>$H82="ETAPA"</formula>
    </cfRule>
  </conditionalFormatting>
  <conditionalFormatting sqref="N99:O99">
    <cfRule type="expression" dxfId="12588" priority="50177">
      <formula>$H99="SUBETAPA"</formula>
    </cfRule>
    <cfRule type="expression" dxfId="12587" priority="50178">
      <formula>$H99="CÉLULA CONSTRUTIVA"</formula>
    </cfRule>
    <cfRule type="expression" dxfId="12586" priority="50179">
      <formula>$H99="ETAPA"</formula>
    </cfRule>
  </conditionalFormatting>
  <conditionalFormatting sqref="N102:O102">
    <cfRule type="expression" dxfId="12585" priority="50970">
      <formula>$H102="SUBETAPA"</formula>
    </cfRule>
    <cfRule type="expression" dxfId="12584" priority="50971">
      <formula>$H102="CÉLULA CONSTRUTIVA"</formula>
    </cfRule>
    <cfRule type="expression" dxfId="12583" priority="50972">
      <formula>$H102="ETAPA"</formula>
    </cfRule>
  </conditionalFormatting>
  <conditionalFormatting sqref="N115:O115 G115:L115">
    <cfRule type="expression" dxfId="12582" priority="46369">
      <formula>$H115="CÉLULA CONSTRUTIVA"</formula>
    </cfRule>
  </conditionalFormatting>
  <conditionalFormatting sqref="N115:O115 L115">
    <cfRule type="expression" dxfId="12581" priority="46370">
      <formula>$H115="SUBETAPA"</formula>
    </cfRule>
  </conditionalFormatting>
  <conditionalFormatting sqref="N312:O312 L311:M311">
    <cfRule type="expression" dxfId="12580" priority="48509">
      <formula>$H311="SUBETAPA"</formula>
    </cfRule>
  </conditionalFormatting>
  <conditionalFormatting sqref="N312:O312">
    <cfRule type="expression" dxfId="12579" priority="48511">
      <formula>$H312="ETAPA"</formula>
    </cfRule>
  </conditionalFormatting>
  <conditionalFormatting sqref="N344:O344">
    <cfRule type="expression" dxfId="12578" priority="47847">
      <formula>$H344="ETAPA"</formula>
    </cfRule>
  </conditionalFormatting>
  <conditionalFormatting sqref="N345:O345">
    <cfRule type="expression" dxfId="12577" priority="47842">
      <formula>$H345="SUBETAPA"</formula>
    </cfRule>
    <cfRule type="expression" dxfId="12576" priority="47843">
      <formula>$H345="CÉLULA CONSTRUTIVA"</formula>
    </cfRule>
    <cfRule type="expression" dxfId="12575" priority="47844">
      <formula>$H345="ETAPA"</formula>
    </cfRule>
  </conditionalFormatting>
  <conditionalFormatting sqref="N352:O352">
    <cfRule type="expression" dxfId="12574" priority="47715">
      <formula>$H352="SUBETAPA"</formula>
    </cfRule>
    <cfRule type="expression" dxfId="12573" priority="47717">
      <formula>$H352="ETAPA"</formula>
    </cfRule>
  </conditionalFormatting>
  <conditionalFormatting sqref="O8:O10 O59:O60 O63 O66 O68 O70 O72 O77 O79 O96 O140 O281 O100:O101">
    <cfRule type="expression" dxfId="12572" priority="50915">
      <formula>$H8="CÉLULA CONSTRUTIVA"</formula>
    </cfRule>
  </conditionalFormatting>
  <conditionalFormatting sqref="O12:O13">
    <cfRule type="expression" dxfId="12571" priority="4074">
      <formula>$H12="SUBETAPA"</formula>
    </cfRule>
    <cfRule type="expression" dxfId="12570" priority="4075">
      <formula>$H12="CÉLULA CONSTRUTIVA"</formula>
    </cfRule>
  </conditionalFormatting>
  <conditionalFormatting sqref="O14:O15 O17 O1155:O1238 O20">
    <cfRule type="expression" dxfId="12569" priority="4056">
      <formula>$H14="ETAPA"</formula>
    </cfRule>
    <cfRule type="expression" dxfId="12568" priority="4057">
      <formula>$H14="SUBETAPA"</formula>
    </cfRule>
    <cfRule type="expression" dxfId="12567" priority="4058">
      <formula>$H14="ETAPA"</formula>
    </cfRule>
    <cfRule type="expression" dxfId="12566" priority="4059">
      <formula>$H14="SUBETAPA"</formula>
    </cfRule>
    <cfRule type="expression" dxfId="12565" priority="4060">
      <formula>$H14="ETAPA"</formula>
    </cfRule>
    <cfRule type="expression" dxfId="12564" priority="4061">
      <formula>$H14="SUBETAPA"</formula>
    </cfRule>
    <cfRule type="expression" dxfId="12563" priority="4062">
      <formula>$H14="CÉLULA CONSTRUTIVA"</formula>
    </cfRule>
  </conditionalFormatting>
  <conditionalFormatting sqref="O16">
    <cfRule type="expression" dxfId="12562" priority="4048">
      <formula>$H16="SUBETAPA"</formula>
    </cfRule>
    <cfRule type="expression" dxfId="12561" priority="4049">
      <formula>$H16="CÉLULA CONSTRUTIVA"</formula>
    </cfRule>
  </conditionalFormatting>
  <conditionalFormatting sqref="O18:O19">
    <cfRule type="expression" dxfId="12560" priority="46555">
      <formula>$H18="SUBETAPA"</formula>
    </cfRule>
    <cfRule type="expression" dxfId="12559" priority="46556">
      <formula>$H18="CÉLULA CONSTRUTIVA"</formula>
    </cfRule>
    <cfRule type="expression" dxfId="12558" priority="46557">
      <formula>$H18="ETAPA"</formula>
    </cfRule>
  </conditionalFormatting>
  <conditionalFormatting sqref="O21:O22">
    <cfRule type="expression" dxfId="12557" priority="46552">
      <formula>$H21="SUBETAPA"</formula>
    </cfRule>
    <cfRule type="expression" dxfId="12556" priority="46553">
      <formula>$H21="CÉLULA CONSTRUTIVA"</formula>
    </cfRule>
    <cfRule type="expression" dxfId="12555" priority="46554">
      <formula>$H21="ETAPA"</formula>
    </cfRule>
  </conditionalFormatting>
  <conditionalFormatting sqref="O23">
    <cfRule type="expression" dxfId="12554" priority="4029">
      <formula>$H23="ETAPA"</formula>
    </cfRule>
    <cfRule type="expression" dxfId="12553" priority="4030">
      <formula>$H23="SUBETAPA"</formula>
    </cfRule>
    <cfRule type="expression" dxfId="12552" priority="4031">
      <formula>$H23="ETAPA"</formula>
    </cfRule>
    <cfRule type="expression" dxfId="12551" priority="4032">
      <formula>$H23="SUBETAPA"</formula>
    </cfRule>
    <cfRule type="expression" dxfId="12550" priority="4033">
      <formula>$H23="ETAPA"</formula>
    </cfRule>
    <cfRule type="expression" dxfId="12549" priority="4034">
      <formula>$H23="SUBETAPA"</formula>
    </cfRule>
    <cfRule type="expression" dxfId="12548" priority="4035">
      <formula>$H23="CÉLULA CONSTRUTIVA"</formula>
    </cfRule>
  </conditionalFormatting>
  <conditionalFormatting sqref="O24:O26">
    <cfRule type="expression" dxfId="12547" priority="50660">
      <formula>$H24="SUBETAPA"</formula>
    </cfRule>
  </conditionalFormatting>
  <conditionalFormatting sqref="O25 O28 O31">
    <cfRule type="expression" dxfId="12546" priority="50737">
      <formula>$H25="CÉLULA CONSTRUTIVA"</formula>
    </cfRule>
  </conditionalFormatting>
  <conditionalFormatting sqref="O26">
    <cfRule type="expression" dxfId="12545" priority="50661">
      <formula>$H26="CÉLULA CONSTRUTIVA"</formula>
    </cfRule>
    <cfRule type="expression" dxfId="12544" priority="50662">
      <formula>$H26="ETAPA"</formula>
    </cfRule>
  </conditionalFormatting>
  <conditionalFormatting sqref="O28 O31">
    <cfRule type="expression" dxfId="12543" priority="50736">
      <formula>$H28="SUBETAPA"</formula>
    </cfRule>
  </conditionalFormatting>
  <conditionalFormatting sqref="O33:O34 O39">
    <cfRule type="expression" dxfId="12542" priority="50590">
      <formula>$H33="SUBETAPA"</formula>
    </cfRule>
    <cfRule type="expression" dxfId="12541" priority="50591">
      <formula>$H33="CÉLULA CONSTRUTIVA"</formula>
    </cfRule>
    <cfRule type="expression" dxfId="12540" priority="50592">
      <formula>$H33="ETAPA"</formula>
    </cfRule>
  </conditionalFormatting>
  <conditionalFormatting sqref="O41 N44:O44 N49:O49">
    <cfRule type="expression" dxfId="12539" priority="50527">
      <formula>$H41="ETAPA"</formula>
    </cfRule>
  </conditionalFormatting>
  <conditionalFormatting sqref="O41 O44 O49">
    <cfRule type="expression" dxfId="12538" priority="50526">
      <formula>$H41="CÉLULA CONSTRUTIVA"</formula>
    </cfRule>
  </conditionalFormatting>
  <conditionalFormatting sqref="O41:O42">
    <cfRule type="expression" dxfId="12537" priority="50482">
      <formula>$H41="SUBETAPA"</formula>
    </cfRule>
  </conditionalFormatting>
  <conditionalFormatting sqref="O42">
    <cfRule type="expression" dxfId="12536" priority="50483">
      <formula>$H42="CÉLULA CONSTRUTIVA"</formula>
    </cfRule>
    <cfRule type="expression" dxfId="12535" priority="50484">
      <formula>$H42="ETAPA"</formula>
    </cfRule>
  </conditionalFormatting>
  <conditionalFormatting sqref="O44 O49">
    <cfRule type="expression" dxfId="12534" priority="50525">
      <formula>$H44="SUBETAPA"</formula>
    </cfRule>
  </conditionalFormatting>
  <conditionalFormatting sqref="O51">
    <cfRule type="expression" dxfId="12533" priority="50444">
      <formula>$H51="CÉLULA CONSTRUTIVA"</formula>
    </cfRule>
    <cfRule type="expression" dxfId="12532" priority="50445">
      <formula>$H51="ETAPA"</formula>
    </cfRule>
  </conditionalFormatting>
  <conditionalFormatting sqref="O51:O52">
    <cfRule type="expression" dxfId="12531" priority="50403">
      <formula>$H51="SUBETAPA"</formula>
    </cfRule>
  </conditionalFormatting>
  <conditionalFormatting sqref="O52">
    <cfRule type="expression" dxfId="12530" priority="50404">
      <formula>$H52="CÉLULA CONSTRUTIVA"</formula>
    </cfRule>
    <cfRule type="expression" dxfId="12529" priority="50405">
      <formula>$H52="ETAPA"</formula>
    </cfRule>
  </conditionalFormatting>
  <conditionalFormatting sqref="O55">
    <cfRule type="expression" dxfId="12528" priority="50389">
      <formula>$H55="CÉLULA CONSTRUTIVA"</formula>
    </cfRule>
    <cfRule type="expression" dxfId="12527" priority="50390">
      <formula>$H55="ETAPA"</formula>
    </cfRule>
  </conditionalFormatting>
  <conditionalFormatting sqref="O55:O56">
    <cfRule type="expression" dxfId="12526" priority="50348">
      <formula>$H55="SUBETAPA"</formula>
    </cfRule>
  </conditionalFormatting>
  <conditionalFormatting sqref="O56">
    <cfRule type="expression" dxfId="12525" priority="50349">
      <formula>$H56="CÉLULA CONSTRUTIVA"</formula>
    </cfRule>
    <cfRule type="expression" dxfId="12524" priority="50350">
      <formula>$H56="ETAPA"</formula>
    </cfRule>
  </conditionalFormatting>
  <conditionalFormatting sqref="O58">
    <cfRule type="expression" dxfId="12523" priority="50684">
      <formula>$H58="CÉLULA CONSTRUTIVA"</formula>
    </cfRule>
    <cfRule type="expression" dxfId="12522" priority="50685">
      <formula>$H58="ETAPA"</formula>
    </cfRule>
  </conditionalFormatting>
  <conditionalFormatting sqref="O58:O60">
    <cfRule type="expression" dxfId="12521" priority="50683">
      <formula>$H58="SUBETAPA"</formula>
    </cfRule>
  </conditionalFormatting>
  <conditionalFormatting sqref="O61:O62">
    <cfRule type="expression" dxfId="12520" priority="3979">
      <formula>$H61="ETAPA"</formula>
    </cfRule>
    <cfRule type="expression" dxfId="12519" priority="3980">
      <formula>$H61="SUBETAPA"</formula>
    </cfRule>
    <cfRule type="expression" dxfId="12518" priority="3981">
      <formula>$H61="ETAPA"</formula>
    </cfRule>
    <cfRule type="expression" dxfId="12517" priority="3982">
      <formula>$H61="SUBETAPA"</formula>
    </cfRule>
    <cfRule type="expression" dxfId="12516" priority="3983">
      <formula>$H61="ETAPA"</formula>
    </cfRule>
    <cfRule type="expression" dxfId="12515" priority="3984">
      <formula>$H61="SUBETAPA"</formula>
    </cfRule>
    <cfRule type="expression" dxfId="12514" priority="3985">
      <formula>$H61="CÉLULA CONSTRUTIVA"</formula>
    </cfRule>
  </conditionalFormatting>
  <conditionalFormatting sqref="O80 G80:G82 N80:N83 N85:N93 G93:L94 M94:O94">
    <cfRule type="expression" dxfId="12513" priority="50313">
      <formula>$H80="SUBETAPA"</formula>
    </cfRule>
  </conditionalFormatting>
  <conditionalFormatting sqref="O80 N80:N83 N85:N93 M94:O94 L80:L83">
    <cfRule type="expression" dxfId="12512" priority="50314">
      <formula>$H80="ETAPA"</formula>
    </cfRule>
  </conditionalFormatting>
  <conditionalFormatting sqref="O81 O83 O93 O95">
    <cfRule type="expression" dxfId="12511" priority="50310">
      <formula>$H81="CÉLULA CONSTRUTIVA"</formula>
    </cfRule>
    <cfRule type="expression" dxfId="12510" priority="50311">
      <formula>$H81="ETAPA"</formula>
    </cfRule>
  </conditionalFormatting>
  <conditionalFormatting sqref="O81 O83 O95">
    <cfRule type="expression" dxfId="12509" priority="50309">
      <formula>$H81="SUBETAPA"</formula>
    </cfRule>
  </conditionalFormatting>
  <conditionalFormatting sqref="O84:O92">
    <cfRule type="expression" dxfId="12508" priority="50304">
      <formula>$H84="CÉLULA CONSTRUTIVA"</formula>
    </cfRule>
    <cfRule type="expression" dxfId="12507" priority="50305">
      <formula>$H84="ETAPA"</formula>
    </cfRule>
  </conditionalFormatting>
  <conditionalFormatting sqref="O84:O93">
    <cfRule type="expression" dxfId="12506" priority="50303">
      <formula>$H84="SUBETAPA"</formula>
    </cfRule>
  </conditionalFormatting>
  <conditionalFormatting sqref="O96:O98">
    <cfRule type="expression" dxfId="12505" priority="50160">
      <formula>$H96="SUBETAPA"</formula>
    </cfRule>
  </conditionalFormatting>
  <conditionalFormatting sqref="O97:O98">
    <cfRule type="expression" dxfId="12504" priority="50161">
      <formula>$H97="CÉLULA CONSTRUTIVA"</formula>
    </cfRule>
    <cfRule type="expression" dxfId="12503" priority="50162">
      <formula>$H97="ETAPA"</formula>
    </cfRule>
  </conditionalFormatting>
  <conditionalFormatting sqref="O104">
    <cfRule type="expression" dxfId="12502" priority="50121">
      <formula>$H104="SUBETAPA"</formula>
    </cfRule>
    <cfRule type="expression" dxfId="12501" priority="50122">
      <formula>$H104="CÉLULA CONSTRUTIVA"</formula>
    </cfRule>
    <cfRule type="expression" dxfId="12500" priority="50123">
      <formula>$H104="ETAPA"</formula>
    </cfRule>
  </conditionalFormatting>
  <conditionalFormatting sqref="O106">
    <cfRule type="expression" dxfId="12499" priority="50103">
      <formula>$H106="SUBETAPA"</formula>
    </cfRule>
    <cfRule type="expression" dxfId="12498" priority="50104">
      <formula>$H106="CÉLULA CONSTRUTIVA"</formula>
    </cfRule>
    <cfRule type="expression" dxfId="12497" priority="50105">
      <formula>$H106="ETAPA"</formula>
    </cfRule>
  </conditionalFormatting>
  <conditionalFormatting sqref="O108">
    <cfRule type="expression" dxfId="12496" priority="50085">
      <formula>$H108="SUBETAPA"</formula>
    </cfRule>
    <cfRule type="expression" dxfId="12495" priority="50086">
      <formula>$H108="CÉLULA CONSTRUTIVA"</formula>
    </cfRule>
    <cfRule type="expression" dxfId="12494" priority="50087">
      <formula>$H108="ETAPA"</formula>
    </cfRule>
  </conditionalFormatting>
  <conditionalFormatting sqref="O110">
    <cfRule type="expression" dxfId="12493" priority="50067">
      <formula>$H110="SUBETAPA"</formula>
    </cfRule>
    <cfRule type="expression" dxfId="12492" priority="50068">
      <formula>$H110="CÉLULA CONSTRUTIVA"</formula>
    </cfRule>
    <cfRule type="expression" dxfId="12491" priority="50069">
      <formula>$H110="ETAPA"</formula>
    </cfRule>
  </conditionalFormatting>
  <conditionalFormatting sqref="O112">
    <cfRule type="expression" dxfId="12490" priority="50049">
      <formula>$H112="SUBETAPA"</formula>
    </cfRule>
    <cfRule type="expression" dxfId="12489" priority="50050">
      <formula>$H112="CÉLULA CONSTRUTIVA"</formula>
    </cfRule>
    <cfRule type="expression" dxfId="12488" priority="50051">
      <formula>$H112="ETAPA"</formula>
    </cfRule>
  </conditionalFormatting>
  <conditionalFormatting sqref="O114">
    <cfRule type="expression" dxfId="12487" priority="46350">
      <formula>$H114="SUBETAPA"</formula>
    </cfRule>
    <cfRule type="expression" dxfId="12486" priority="46351">
      <formula>$H114="CÉLULA CONSTRUTIVA"</formula>
    </cfRule>
    <cfRule type="expression" dxfId="12485" priority="46352">
      <formula>$H114="ETAPA"</formula>
    </cfRule>
  </conditionalFormatting>
  <conditionalFormatting sqref="O116">
    <cfRule type="expression" dxfId="12484" priority="50031">
      <formula>$H116="SUBETAPA"</formula>
    </cfRule>
    <cfRule type="expression" dxfId="12483" priority="50032">
      <formula>$H116="CÉLULA CONSTRUTIVA"</formula>
    </cfRule>
    <cfRule type="expression" dxfId="12482" priority="50033">
      <formula>$H116="ETAPA"</formula>
    </cfRule>
  </conditionalFormatting>
  <conditionalFormatting sqref="O118">
    <cfRule type="expression" dxfId="12481" priority="50013">
      <formula>$H118="SUBETAPA"</formula>
    </cfRule>
    <cfRule type="expression" dxfId="12480" priority="50014">
      <formula>$H118="CÉLULA CONSTRUTIVA"</formula>
    </cfRule>
    <cfRule type="expression" dxfId="12479" priority="50015">
      <formula>$H118="ETAPA"</formula>
    </cfRule>
  </conditionalFormatting>
  <conditionalFormatting sqref="O120">
    <cfRule type="expression" dxfId="12478" priority="49995">
      <formula>$H120="SUBETAPA"</formula>
    </cfRule>
    <cfRule type="expression" dxfId="12477" priority="49996">
      <formula>$H120="CÉLULA CONSTRUTIVA"</formula>
    </cfRule>
    <cfRule type="expression" dxfId="12476" priority="49997">
      <formula>$H120="ETAPA"</formula>
    </cfRule>
  </conditionalFormatting>
  <conditionalFormatting sqref="O122">
    <cfRule type="expression" dxfId="12475" priority="49973">
      <formula>$H122="SUBETAPA"</formula>
    </cfRule>
    <cfRule type="expression" dxfId="12474" priority="49974">
      <formula>$H122="CÉLULA CONSTRUTIVA"</formula>
    </cfRule>
    <cfRule type="expression" dxfId="12473" priority="49975">
      <formula>$H122="ETAPA"</formula>
    </cfRule>
  </conditionalFormatting>
  <conditionalFormatting sqref="O123 O126">
    <cfRule type="expression" dxfId="12472" priority="46144">
      <formula>$H123="ETAPA"</formula>
    </cfRule>
  </conditionalFormatting>
  <conditionalFormatting sqref="O125">
    <cfRule type="expression" dxfId="12471" priority="49936">
      <formula>$H125="SUBETAPA"</formula>
    </cfRule>
    <cfRule type="expression" dxfId="12470" priority="49937">
      <formula>$H125="CÉLULA CONSTRUTIVA"</formula>
    </cfRule>
    <cfRule type="expression" dxfId="12469" priority="49938">
      <formula>$H125="ETAPA"</formula>
    </cfRule>
  </conditionalFormatting>
  <conditionalFormatting sqref="O126 O123">
    <cfRule type="expression" dxfId="12468" priority="46142">
      <formula>$H123="SUBETAPA"</formula>
    </cfRule>
    <cfRule type="expression" dxfId="12467" priority="46143">
      <formula>$H123="CÉLULA CONSTRUTIVA"</formula>
    </cfRule>
  </conditionalFormatting>
  <conditionalFormatting sqref="O128">
    <cfRule type="expression" dxfId="12466" priority="49899">
      <formula>$H128="SUBETAPA"</formula>
    </cfRule>
    <cfRule type="expression" dxfId="12465" priority="49900">
      <formula>$H128="CÉLULA CONSTRUTIVA"</formula>
    </cfRule>
    <cfRule type="expression" dxfId="12464" priority="49901">
      <formula>$H128="ETAPA"</formula>
    </cfRule>
  </conditionalFormatting>
  <conditionalFormatting sqref="O129">
    <cfRule type="expression" dxfId="12463" priority="47121">
      <formula>$H129="SUBETAPA"</formula>
    </cfRule>
    <cfRule type="expression" dxfId="12462" priority="47122">
      <formula>$H129="CÉLULA CONSTRUTIVA"</formula>
    </cfRule>
    <cfRule type="expression" dxfId="12461" priority="47123">
      <formula>$H129="ETAPA"</formula>
    </cfRule>
  </conditionalFormatting>
  <conditionalFormatting sqref="O131">
    <cfRule type="expression" dxfId="12460" priority="49866">
      <formula>$H131="SUBETAPA"</formula>
    </cfRule>
    <cfRule type="expression" dxfId="12459" priority="49867">
      <formula>$H131="CÉLULA CONSTRUTIVA"</formula>
    </cfRule>
    <cfRule type="expression" dxfId="12458" priority="49868">
      <formula>$H131="ETAPA"</formula>
    </cfRule>
  </conditionalFormatting>
  <conditionalFormatting sqref="O133">
    <cfRule type="expression" dxfId="12457" priority="49844">
      <formula>$H133="SUBETAPA"</formula>
    </cfRule>
    <cfRule type="expression" dxfId="12456" priority="49845">
      <formula>$H133="CÉLULA CONSTRUTIVA"</formula>
    </cfRule>
    <cfRule type="expression" dxfId="12455" priority="49846">
      <formula>$H133="ETAPA"</formula>
    </cfRule>
  </conditionalFormatting>
  <conditionalFormatting sqref="O134">
    <cfRule type="expression" dxfId="12454" priority="46347">
      <formula>$H134="SUBETAPA"</formula>
    </cfRule>
    <cfRule type="expression" dxfId="12453" priority="46348">
      <formula>$H134="CÉLULA CONSTRUTIVA"</formula>
    </cfRule>
    <cfRule type="expression" dxfId="12452" priority="46349">
      <formula>$H134="ETAPA"</formula>
    </cfRule>
  </conditionalFormatting>
  <conditionalFormatting sqref="O136">
    <cfRule type="expression" dxfId="12451" priority="49807">
      <formula>$H136="SUBETAPA"</formula>
    </cfRule>
    <cfRule type="expression" dxfId="12450" priority="49808">
      <formula>$H136="CÉLULA CONSTRUTIVA"</formula>
    </cfRule>
    <cfRule type="expression" dxfId="12449" priority="49809">
      <formula>$H136="ETAPA"</formula>
    </cfRule>
  </conditionalFormatting>
  <conditionalFormatting sqref="O137">
    <cfRule type="expression" dxfId="12448" priority="46344">
      <formula>$H137="SUBETAPA"</formula>
    </cfRule>
    <cfRule type="expression" dxfId="12447" priority="46345">
      <formula>$H137="CÉLULA CONSTRUTIVA"</formula>
    </cfRule>
    <cfRule type="expression" dxfId="12446" priority="46346">
      <formula>$H137="ETAPA"</formula>
    </cfRule>
  </conditionalFormatting>
  <conditionalFormatting sqref="O139">
    <cfRule type="expression" dxfId="12445" priority="49776">
      <formula>$H139="CÉLULA CONSTRUTIVA"</formula>
    </cfRule>
    <cfRule type="expression" dxfId="12444" priority="49777">
      <formula>$H139="ETAPA"</formula>
    </cfRule>
  </conditionalFormatting>
  <conditionalFormatting sqref="O141:O147">
    <cfRule type="expression" dxfId="12443" priority="50862">
      <formula>$H141="CÉLULA CONSTRUTIVA"</formula>
    </cfRule>
    <cfRule type="expression" dxfId="12442" priority="50863">
      <formula>$H141="ETAPA"</formula>
    </cfRule>
  </conditionalFormatting>
  <conditionalFormatting sqref="O148">
    <cfRule type="expression" dxfId="12441" priority="49756">
      <formula>$H148="CÉLULA CONSTRUTIVA"</formula>
    </cfRule>
    <cfRule type="expression" dxfId="12440" priority="49757">
      <formula>$H148="ETAPA"</formula>
    </cfRule>
  </conditionalFormatting>
  <conditionalFormatting sqref="O149">
    <cfRule type="expression" dxfId="12439" priority="49762">
      <formula>$H149="CÉLULA CONSTRUTIVA"</formula>
    </cfRule>
    <cfRule type="expression" dxfId="12438" priority="49767">
      <formula>$H149="ETAPA"</formula>
    </cfRule>
  </conditionalFormatting>
  <conditionalFormatting sqref="O150:O156">
    <cfRule type="expression" dxfId="12437" priority="49726">
      <formula>$H150="CÉLULA CONSTRUTIVA"</formula>
    </cfRule>
    <cfRule type="expression" dxfId="12436" priority="49727">
      <formula>$H150="ETAPA"</formula>
    </cfRule>
  </conditionalFormatting>
  <conditionalFormatting sqref="O157">
    <cfRule type="expression" dxfId="12435" priority="49693">
      <formula>$H157="CÉLULA CONSTRUTIVA"</formula>
    </cfRule>
    <cfRule type="expression" dxfId="12434" priority="49694">
      <formula>$H157="ETAPA"</formula>
    </cfRule>
  </conditionalFormatting>
  <conditionalFormatting sqref="O158">
    <cfRule type="expression" dxfId="12433" priority="49670">
      <formula>$H158="CÉLULA CONSTRUTIVA"</formula>
    </cfRule>
    <cfRule type="expression" dxfId="12432" priority="49671">
      <formula>$H158="ETAPA"</formula>
    </cfRule>
  </conditionalFormatting>
  <conditionalFormatting sqref="O159">
    <cfRule type="expression" dxfId="12431" priority="49676">
      <formula>$H159="CÉLULA CONSTRUTIVA"</formula>
    </cfRule>
    <cfRule type="expression" dxfId="12430" priority="49681">
      <formula>$H159="ETAPA"</formula>
    </cfRule>
  </conditionalFormatting>
  <conditionalFormatting sqref="O160:O166">
    <cfRule type="expression" dxfId="12429" priority="49640">
      <formula>$H160="CÉLULA CONSTRUTIVA"</formula>
    </cfRule>
    <cfRule type="expression" dxfId="12428" priority="49641">
      <formula>$H160="ETAPA"</formula>
    </cfRule>
  </conditionalFormatting>
  <conditionalFormatting sqref="O167">
    <cfRule type="expression" dxfId="12427" priority="49607">
      <formula>$H167="CÉLULA CONSTRUTIVA"</formula>
    </cfRule>
    <cfRule type="expression" dxfId="12426" priority="49608">
      <formula>$H167="ETAPA"</formula>
    </cfRule>
  </conditionalFormatting>
  <conditionalFormatting sqref="O168">
    <cfRule type="expression" dxfId="12425" priority="49584">
      <formula>$H168="CÉLULA CONSTRUTIVA"</formula>
    </cfRule>
    <cfRule type="expression" dxfId="12424" priority="49585">
      <formula>$H168="ETAPA"</formula>
    </cfRule>
  </conditionalFormatting>
  <conditionalFormatting sqref="O169">
    <cfRule type="expression" dxfId="12423" priority="49590">
      <formula>$H169="CÉLULA CONSTRUTIVA"</formula>
    </cfRule>
    <cfRule type="expression" dxfId="12422" priority="49595">
      <formula>$H169="ETAPA"</formula>
    </cfRule>
  </conditionalFormatting>
  <conditionalFormatting sqref="O170:O176">
    <cfRule type="expression" dxfId="12421" priority="49554">
      <formula>$H170="CÉLULA CONSTRUTIVA"</formula>
    </cfRule>
    <cfRule type="expression" dxfId="12420" priority="49555">
      <formula>$H170="ETAPA"</formula>
    </cfRule>
  </conditionalFormatting>
  <conditionalFormatting sqref="O177">
    <cfRule type="expression" dxfId="12419" priority="49501">
      <formula>$H177="CÉLULA CONSTRUTIVA"</formula>
    </cfRule>
    <cfRule type="expression" dxfId="12418" priority="49502">
      <formula>$H177="ETAPA"</formula>
    </cfRule>
  </conditionalFormatting>
  <conditionalFormatting sqref="O178">
    <cfRule type="expression" dxfId="12417" priority="3321">
      <formula>$H178="CÉLULA CONSTRUTIVA"</formula>
    </cfRule>
    <cfRule type="expression" dxfId="12416" priority="3323">
      <formula>$H178="ETAPA"</formula>
    </cfRule>
  </conditionalFormatting>
  <conditionalFormatting sqref="O185">
    <cfRule type="expression" dxfId="12415" priority="3297">
      <formula>$H185="SUBETAPA"</formula>
    </cfRule>
    <cfRule type="expression" dxfId="12414" priority="3298">
      <formula>$H185="CÉLULA CONSTRUTIVA"</formula>
    </cfRule>
    <cfRule type="expression" dxfId="12413" priority="3299">
      <formula>$H185="ETAPA"</formula>
    </cfRule>
  </conditionalFormatting>
  <conditionalFormatting sqref="O186">
    <cfRule type="expression" dxfId="12412" priority="49482">
      <formula>$H186="SUBETAPA"</formula>
    </cfRule>
    <cfRule type="expression" dxfId="12411" priority="49483">
      <formula>$H186="CÉLULA CONSTRUTIVA"</formula>
    </cfRule>
    <cfRule type="expression" dxfId="12410" priority="49484">
      <formula>$H186="ETAPA"</formula>
    </cfRule>
  </conditionalFormatting>
  <conditionalFormatting sqref="O187">
    <cfRule type="expression" dxfId="12409" priority="3287">
      <formula>$H187="CÉLULA CONSTRUTIVA"</formula>
    </cfRule>
    <cfRule type="expression" dxfId="12408" priority="3289">
      <formula>$H187="ETAPA"</formula>
    </cfRule>
    <cfRule type="expression" dxfId="12407" priority="3293">
      <formula>$H187="SUBETAPA"</formula>
    </cfRule>
  </conditionalFormatting>
  <conditionalFormatting sqref="O194">
    <cfRule type="expression" dxfId="12406" priority="3263">
      <formula>$H194="SUBETAPA"</formula>
    </cfRule>
    <cfRule type="expression" dxfId="12405" priority="3264">
      <formula>$H194="CÉLULA CONSTRUTIVA"</formula>
    </cfRule>
    <cfRule type="expression" dxfId="12404" priority="3265">
      <formula>$H194="ETAPA"</formula>
    </cfRule>
  </conditionalFormatting>
  <conditionalFormatting sqref="O195">
    <cfRule type="expression" dxfId="12403" priority="49464">
      <formula>$H195="SUBETAPA"</formula>
    </cfRule>
    <cfRule type="expression" dxfId="12402" priority="49465">
      <formula>$H195="CÉLULA CONSTRUTIVA"</formula>
    </cfRule>
    <cfRule type="expression" dxfId="12401" priority="49466">
      <formula>$H195="ETAPA"</formula>
    </cfRule>
  </conditionalFormatting>
  <conditionalFormatting sqref="O196">
    <cfRule type="expression" dxfId="12400" priority="3253">
      <formula>$H196="CÉLULA CONSTRUTIVA"</formula>
    </cfRule>
    <cfRule type="expression" dxfId="12399" priority="3255">
      <formula>$H196="ETAPA"</formula>
    </cfRule>
    <cfRule type="expression" dxfId="12398" priority="3259">
      <formula>$H196="SUBETAPA"</formula>
    </cfRule>
  </conditionalFormatting>
  <conditionalFormatting sqref="O203">
    <cfRule type="expression" dxfId="12397" priority="3229">
      <formula>$H203="SUBETAPA"</formula>
    </cfRule>
    <cfRule type="expression" dxfId="12396" priority="3230">
      <formula>$H203="CÉLULA CONSTRUTIVA"</formula>
    </cfRule>
    <cfRule type="expression" dxfId="12395" priority="3231">
      <formula>$H203="ETAPA"</formula>
    </cfRule>
  </conditionalFormatting>
  <conditionalFormatting sqref="O204">
    <cfRule type="expression" dxfId="12394" priority="46317">
      <formula>$H204="SUBETAPA"</formula>
    </cfRule>
    <cfRule type="expression" dxfId="12393" priority="46318">
      <formula>$H204="CÉLULA CONSTRUTIVA"</formula>
    </cfRule>
    <cfRule type="expression" dxfId="12392" priority="46319">
      <formula>$H204="ETAPA"</formula>
    </cfRule>
  </conditionalFormatting>
  <conditionalFormatting sqref="O205">
    <cfRule type="expression" dxfId="12391" priority="3219">
      <formula>$H205="CÉLULA CONSTRUTIVA"</formula>
    </cfRule>
    <cfRule type="expression" dxfId="12390" priority="3221">
      <formula>$H205="ETAPA"</formula>
    </cfRule>
    <cfRule type="expression" dxfId="12389" priority="3225">
      <formula>$H205="SUBETAPA"</formula>
    </cfRule>
  </conditionalFormatting>
  <conditionalFormatting sqref="O212">
    <cfRule type="expression" dxfId="12388" priority="3195">
      <formula>$H212="SUBETAPA"</formula>
    </cfRule>
    <cfRule type="expression" dxfId="12387" priority="3196">
      <formula>$H212="CÉLULA CONSTRUTIVA"</formula>
    </cfRule>
    <cfRule type="expression" dxfId="12386" priority="3197">
      <formula>$H212="ETAPA"</formula>
    </cfRule>
  </conditionalFormatting>
  <conditionalFormatting sqref="O213">
    <cfRule type="expression" dxfId="12385" priority="49446">
      <formula>$H213="SUBETAPA"</formula>
    </cfRule>
    <cfRule type="expression" dxfId="12384" priority="49447">
      <formula>$H213="CÉLULA CONSTRUTIVA"</formula>
    </cfRule>
    <cfRule type="expression" dxfId="12383" priority="49448">
      <formula>$H213="ETAPA"</formula>
    </cfRule>
  </conditionalFormatting>
  <conditionalFormatting sqref="O214">
    <cfRule type="expression" dxfId="12382" priority="3185">
      <formula>$H214="CÉLULA CONSTRUTIVA"</formula>
    </cfRule>
    <cfRule type="expression" dxfId="12381" priority="3187">
      <formula>$H214="ETAPA"</formula>
    </cfRule>
    <cfRule type="expression" dxfId="12380" priority="3191">
      <formula>$H214="SUBETAPA"</formula>
    </cfRule>
  </conditionalFormatting>
  <conditionalFormatting sqref="O221">
    <cfRule type="expression" dxfId="12379" priority="3161">
      <formula>$H221="SUBETAPA"</formula>
    </cfRule>
    <cfRule type="expression" dxfId="12378" priority="3162">
      <formula>$H221="CÉLULA CONSTRUTIVA"</formula>
    </cfRule>
    <cfRule type="expression" dxfId="12377" priority="3163">
      <formula>$H221="ETAPA"</formula>
    </cfRule>
  </conditionalFormatting>
  <conditionalFormatting sqref="O222">
    <cfRule type="expression" dxfId="12376" priority="49426">
      <formula>$H222="CÉLULA CONSTRUTIVA"</formula>
    </cfRule>
    <cfRule type="expression" dxfId="12375" priority="49427">
      <formula>$H222="ETAPA"</formula>
    </cfRule>
  </conditionalFormatting>
  <conditionalFormatting sqref="O222:O268">
    <cfRule type="expression" dxfId="12374" priority="49175">
      <formula>$H222="SUBETAPA"</formula>
    </cfRule>
  </conditionalFormatting>
  <conditionalFormatting sqref="O223">
    <cfRule type="expression" dxfId="12373" priority="49432">
      <formula>$H223="CÉLULA CONSTRUTIVA"</formula>
    </cfRule>
    <cfRule type="expression" dxfId="12372" priority="49437">
      <formula>$H223="ETAPA"</formula>
    </cfRule>
  </conditionalFormatting>
  <conditionalFormatting sqref="O224:O230">
    <cfRule type="expression" dxfId="12371" priority="49396">
      <formula>$H224="CÉLULA CONSTRUTIVA"</formula>
    </cfRule>
    <cfRule type="expression" dxfId="12370" priority="49397">
      <formula>$H224="ETAPA"</formula>
    </cfRule>
  </conditionalFormatting>
  <conditionalFormatting sqref="O231">
    <cfRule type="expression" dxfId="12369" priority="49376">
      <formula>$H231="CÉLULA CONSTRUTIVA"</formula>
    </cfRule>
    <cfRule type="expression" dxfId="12368" priority="49377">
      <formula>$H231="ETAPA"</formula>
    </cfRule>
  </conditionalFormatting>
  <conditionalFormatting sqref="O232">
    <cfRule type="expression" dxfId="12367" priority="49382">
      <formula>$H232="CÉLULA CONSTRUTIVA"</formula>
    </cfRule>
    <cfRule type="expression" dxfId="12366" priority="49387">
      <formula>$H232="ETAPA"</formula>
    </cfRule>
  </conditionalFormatting>
  <conditionalFormatting sqref="O233:O239">
    <cfRule type="expression" dxfId="12365" priority="49346">
      <formula>$H233="CÉLULA CONSTRUTIVA"</formula>
    </cfRule>
    <cfRule type="expression" dxfId="12364" priority="49347">
      <formula>$H233="ETAPA"</formula>
    </cfRule>
  </conditionalFormatting>
  <conditionalFormatting sqref="O240">
    <cfRule type="expression" dxfId="12363" priority="49326">
      <formula>$H240="CÉLULA CONSTRUTIVA"</formula>
    </cfRule>
    <cfRule type="expression" dxfId="12362" priority="49327">
      <formula>$H240="ETAPA"</formula>
    </cfRule>
  </conditionalFormatting>
  <conditionalFormatting sqref="O241">
    <cfRule type="expression" dxfId="12361" priority="49332">
      <formula>$H241="CÉLULA CONSTRUTIVA"</formula>
    </cfRule>
    <cfRule type="expression" dxfId="12360" priority="49337">
      <formula>$H241="ETAPA"</formula>
    </cfRule>
  </conditionalFormatting>
  <conditionalFormatting sqref="O242:O248">
    <cfRule type="expression" dxfId="12359" priority="49296">
      <formula>$H242="CÉLULA CONSTRUTIVA"</formula>
    </cfRule>
    <cfRule type="expression" dxfId="12358" priority="49297">
      <formula>$H242="ETAPA"</formula>
    </cfRule>
  </conditionalFormatting>
  <conditionalFormatting sqref="O249">
    <cfRule type="expression" dxfId="12357" priority="49276">
      <formula>$H249="CÉLULA CONSTRUTIVA"</formula>
    </cfRule>
    <cfRule type="expression" dxfId="12356" priority="49277">
      <formula>$H249="ETAPA"</formula>
    </cfRule>
  </conditionalFormatting>
  <conditionalFormatting sqref="O250">
    <cfRule type="expression" dxfId="12355" priority="49282">
      <formula>$H250="CÉLULA CONSTRUTIVA"</formula>
    </cfRule>
    <cfRule type="expression" dxfId="12354" priority="49287">
      <formula>$H250="ETAPA"</formula>
    </cfRule>
  </conditionalFormatting>
  <conditionalFormatting sqref="O251:O257">
    <cfRule type="expression" dxfId="12353" priority="49246">
      <formula>$H251="CÉLULA CONSTRUTIVA"</formula>
    </cfRule>
    <cfRule type="expression" dxfId="12352" priority="49247">
      <formula>$H251="ETAPA"</formula>
    </cfRule>
  </conditionalFormatting>
  <conditionalFormatting sqref="O258">
    <cfRule type="expression" dxfId="12351" priority="49226">
      <formula>$H258="CÉLULA CONSTRUTIVA"</formula>
    </cfRule>
    <cfRule type="expression" dxfId="12350" priority="49227">
      <formula>$H258="ETAPA"</formula>
    </cfRule>
  </conditionalFormatting>
  <conditionalFormatting sqref="O259">
    <cfRule type="expression" dxfId="12349" priority="49232">
      <formula>$H259="CÉLULA CONSTRUTIVA"</formula>
    </cfRule>
    <cfRule type="expression" dxfId="12348" priority="49237">
      <formula>$H259="ETAPA"</formula>
    </cfRule>
  </conditionalFormatting>
  <conditionalFormatting sqref="O260:O266">
    <cfRule type="expression" dxfId="12347" priority="49196">
      <formula>$H260="CÉLULA CONSTRUTIVA"</formula>
    </cfRule>
    <cfRule type="expression" dxfId="12346" priority="49197">
      <formula>$H260="ETAPA"</formula>
    </cfRule>
  </conditionalFormatting>
  <conditionalFormatting sqref="O267">
    <cfRule type="expression" dxfId="12345" priority="49176">
      <formula>$H267="CÉLULA CONSTRUTIVA"</formula>
    </cfRule>
    <cfRule type="expression" dxfId="12344" priority="49177">
      <formula>$H267="ETAPA"</formula>
    </cfRule>
  </conditionalFormatting>
  <conditionalFormatting sqref="O268">
    <cfRule type="expression" dxfId="12343" priority="49182">
      <formula>$H268="CÉLULA CONSTRUTIVA"</formula>
    </cfRule>
    <cfRule type="expression" dxfId="12342" priority="49187">
      <formula>$H268="ETAPA"</formula>
    </cfRule>
  </conditionalFormatting>
  <conditionalFormatting sqref="O274">
    <cfRule type="expression" dxfId="12341" priority="49141">
      <formula>$H274="CÉLULA CONSTRUTIVA"</formula>
    </cfRule>
    <cfRule type="expression" dxfId="12340" priority="49142">
      <formula>$H274="ETAPA"</formula>
    </cfRule>
  </conditionalFormatting>
  <conditionalFormatting sqref="O274:O275">
    <cfRule type="expression" dxfId="12339" priority="49140">
      <formula>$H274="SUBETAPA"</formula>
    </cfRule>
  </conditionalFormatting>
  <conditionalFormatting sqref="O275">
    <cfRule type="expression" dxfId="12338" priority="49147">
      <formula>$H275="CÉLULA CONSTRUTIVA"</formula>
    </cfRule>
    <cfRule type="expression" dxfId="12337" priority="49151">
      <formula>$H275="ETAPA"</formula>
    </cfRule>
  </conditionalFormatting>
  <conditionalFormatting sqref="O280">
    <cfRule type="expression" dxfId="12336" priority="49122">
      <formula>$H280="CÉLULA CONSTRUTIVA"</formula>
    </cfRule>
    <cfRule type="expression" dxfId="12335" priority="49123">
      <formula>$H280="ETAPA"</formula>
    </cfRule>
  </conditionalFormatting>
  <conditionalFormatting sqref="O280:O281">
    <cfRule type="expression" dxfId="12334" priority="49121">
      <formula>$H280="SUBETAPA"</formula>
    </cfRule>
  </conditionalFormatting>
  <conditionalFormatting sqref="O282">
    <cfRule type="expression" dxfId="12333" priority="3942">
      <formula>$H282="ETAPA"</formula>
    </cfRule>
    <cfRule type="expression" dxfId="12332" priority="3943">
      <formula>$H282="SUBETAPA"</formula>
    </cfRule>
    <cfRule type="expression" dxfId="12331" priority="3944">
      <formula>$H282="ETAPA"</formula>
    </cfRule>
    <cfRule type="expression" dxfId="12330" priority="3945">
      <formula>$H282="SUBETAPA"</formula>
    </cfRule>
    <cfRule type="expression" dxfId="12329" priority="3946">
      <formula>$H282="ETAPA"</formula>
    </cfRule>
    <cfRule type="expression" dxfId="12328" priority="3947">
      <formula>$H282="SUBETAPA"</formula>
    </cfRule>
    <cfRule type="expression" dxfId="12327" priority="3948">
      <formula>$H282="CÉLULA CONSTRUTIVA"</formula>
    </cfRule>
  </conditionalFormatting>
  <conditionalFormatting sqref="O283">
    <cfRule type="expression" dxfId="12326" priority="49101">
      <formula>$H283="SUBETAPA"</formula>
    </cfRule>
    <cfRule type="expression" dxfId="12325" priority="49102">
      <formula>$H283="CÉLULA CONSTRUTIVA"</formula>
    </cfRule>
    <cfRule type="expression" dxfId="12324" priority="49103">
      <formula>$H283="ETAPA"</formula>
    </cfRule>
  </conditionalFormatting>
  <conditionalFormatting sqref="O284">
    <cfRule type="expression" dxfId="12323" priority="3935">
      <formula>$H284="ETAPA"</formula>
    </cfRule>
    <cfRule type="expression" dxfId="12322" priority="3936">
      <formula>$H284="SUBETAPA"</formula>
    </cfRule>
    <cfRule type="expression" dxfId="12321" priority="3937">
      <formula>$H284="ETAPA"</formula>
    </cfRule>
    <cfRule type="expression" dxfId="12320" priority="3938">
      <formula>$H284="SUBETAPA"</formula>
    </cfRule>
    <cfRule type="expression" dxfId="12319" priority="3939">
      <formula>$H284="ETAPA"</formula>
    </cfRule>
    <cfRule type="expression" dxfId="12318" priority="3940">
      <formula>$H284="SUBETAPA"</formula>
    </cfRule>
    <cfRule type="expression" dxfId="12317" priority="3941">
      <formula>$H284="CÉLULA CONSTRUTIVA"</formula>
    </cfRule>
  </conditionalFormatting>
  <conditionalFormatting sqref="O285">
    <cfRule type="expression" dxfId="12316" priority="49055">
      <formula>$H285="SUBETAPA"</formula>
    </cfRule>
    <cfRule type="expression" dxfId="12315" priority="49056">
      <formula>$H285="CÉLULA CONSTRUTIVA"</formula>
    </cfRule>
    <cfRule type="expression" dxfId="12314" priority="49057">
      <formula>$H285="ETAPA"</formula>
    </cfRule>
  </conditionalFormatting>
  <conditionalFormatting sqref="O286">
    <cfRule type="expression" dxfId="12313" priority="3928">
      <formula>$H286="ETAPA"</formula>
    </cfRule>
    <cfRule type="expression" dxfId="12312" priority="3929">
      <formula>$H286="SUBETAPA"</formula>
    </cfRule>
    <cfRule type="expression" dxfId="12311" priority="3930">
      <formula>$H286="ETAPA"</formula>
    </cfRule>
    <cfRule type="expression" dxfId="12310" priority="3931">
      <formula>$H286="SUBETAPA"</formula>
    </cfRule>
    <cfRule type="expression" dxfId="12309" priority="3932">
      <formula>$H286="ETAPA"</formula>
    </cfRule>
    <cfRule type="expression" dxfId="12308" priority="3933">
      <formula>$H286="SUBETAPA"</formula>
    </cfRule>
    <cfRule type="expression" dxfId="12307" priority="3934">
      <formula>$H286="CÉLULA CONSTRUTIVA"</formula>
    </cfRule>
  </conditionalFormatting>
  <conditionalFormatting sqref="O287">
    <cfRule type="expression" dxfId="12306" priority="49009">
      <formula>$H287="SUBETAPA"</formula>
    </cfRule>
    <cfRule type="expression" dxfId="12305" priority="49010">
      <formula>$H287="CÉLULA CONSTRUTIVA"</formula>
    </cfRule>
    <cfRule type="expression" dxfId="12304" priority="49011">
      <formula>$H287="ETAPA"</formula>
    </cfRule>
  </conditionalFormatting>
  <conditionalFormatting sqref="O288">
    <cfRule type="expression" dxfId="12303" priority="3921">
      <formula>$H288="ETAPA"</formula>
    </cfRule>
    <cfRule type="expression" dxfId="12302" priority="3922">
      <formula>$H288="SUBETAPA"</formula>
    </cfRule>
    <cfRule type="expression" dxfId="12301" priority="3923">
      <formula>$H288="ETAPA"</formula>
    </cfRule>
    <cfRule type="expression" dxfId="12300" priority="3924">
      <formula>$H288="SUBETAPA"</formula>
    </cfRule>
    <cfRule type="expression" dxfId="12299" priority="3925">
      <formula>$H288="ETAPA"</formula>
    </cfRule>
    <cfRule type="expression" dxfId="12298" priority="3926">
      <formula>$H288="SUBETAPA"</formula>
    </cfRule>
    <cfRule type="expression" dxfId="12297" priority="3927">
      <formula>$H288="CÉLULA CONSTRUTIVA"</formula>
    </cfRule>
  </conditionalFormatting>
  <conditionalFormatting sqref="O289">
    <cfRule type="expression" dxfId="12296" priority="48963">
      <formula>$H289="SUBETAPA"</formula>
    </cfRule>
    <cfRule type="expression" dxfId="12295" priority="48964">
      <formula>$H289="CÉLULA CONSTRUTIVA"</formula>
    </cfRule>
    <cfRule type="expression" dxfId="12294" priority="48965">
      <formula>$H289="ETAPA"</formula>
    </cfRule>
  </conditionalFormatting>
  <conditionalFormatting sqref="O290">
    <cfRule type="expression" dxfId="12293" priority="3914">
      <formula>$H290="ETAPA"</formula>
    </cfRule>
    <cfRule type="expression" dxfId="12292" priority="3915">
      <formula>$H290="SUBETAPA"</formula>
    </cfRule>
    <cfRule type="expression" dxfId="12291" priority="3916">
      <formula>$H290="ETAPA"</formula>
    </cfRule>
    <cfRule type="expression" dxfId="12290" priority="3917">
      <formula>$H290="SUBETAPA"</formula>
    </cfRule>
    <cfRule type="expression" dxfId="12289" priority="3918">
      <formula>$H290="ETAPA"</formula>
    </cfRule>
    <cfRule type="expression" dxfId="12288" priority="3919">
      <formula>$H290="SUBETAPA"</formula>
    </cfRule>
    <cfRule type="expression" dxfId="12287" priority="3920">
      <formula>$H290="CÉLULA CONSTRUTIVA"</formula>
    </cfRule>
  </conditionalFormatting>
  <conditionalFormatting sqref="O291">
    <cfRule type="expression" dxfId="12286" priority="48917">
      <formula>$H291="SUBETAPA"</formula>
    </cfRule>
    <cfRule type="expression" dxfId="12285" priority="48918">
      <formula>$H291="CÉLULA CONSTRUTIVA"</formula>
    </cfRule>
    <cfRule type="expression" dxfId="12284" priority="48919">
      <formula>$H291="ETAPA"</formula>
    </cfRule>
  </conditionalFormatting>
  <conditionalFormatting sqref="O292">
    <cfRule type="expression" dxfId="12283" priority="3907">
      <formula>$H292="ETAPA"</formula>
    </cfRule>
    <cfRule type="expression" dxfId="12282" priority="3908">
      <formula>$H292="SUBETAPA"</formula>
    </cfRule>
    <cfRule type="expression" dxfId="12281" priority="3909">
      <formula>$H292="ETAPA"</formula>
    </cfRule>
    <cfRule type="expression" dxfId="12280" priority="3910">
      <formula>$H292="SUBETAPA"</formula>
    </cfRule>
    <cfRule type="expression" dxfId="12279" priority="3911">
      <formula>$H292="ETAPA"</formula>
    </cfRule>
    <cfRule type="expression" dxfId="12278" priority="3912">
      <formula>$H292="SUBETAPA"</formula>
    </cfRule>
    <cfRule type="expression" dxfId="12277" priority="3913">
      <formula>$H292="CÉLULA CONSTRUTIVA"</formula>
    </cfRule>
  </conditionalFormatting>
  <conditionalFormatting sqref="O293">
    <cfRule type="expression" dxfId="12276" priority="48871">
      <formula>$H293="SUBETAPA"</formula>
    </cfRule>
    <cfRule type="expression" dxfId="12275" priority="48872">
      <formula>$H293="CÉLULA CONSTRUTIVA"</formula>
    </cfRule>
    <cfRule type="expression" dxfId="12274" priority="48873">
      <formula>$H293="ETAPA"</formula>
    </cfRule>
  </conditionalFormatting>
  <conditionalFormatting sqref="O294">
    <cfRule type="expression" dxfId="12273" priority="3900">
      <formula>$H294="ETAPA"</formula>
    </cfRule>
    <cfRule type="expression" dxfId="12272" priority="3901">
      <formula>$H294="SUBETAPA"</formula>
    </cfRule>
    <cfRule type="expression" dxfId="12271" priority="3902">
      <formula>$H294="ETAPA"</formula>
    </cfRule>
    <cfRule type="expression" dxfId="12270" priority="3903">
      <formula>$H294="SUBETAPA"</formula>
    </cfRule>
    <cfRule type="expression" dxfId="12269" priority="3904">
      <formula>$H294="ETAPA"</formula>
    </cfRule>
    <cfRule type="expression" dxfId="12268" priority="3905">
      <formula>$H294="SUBETAPA"</formula>
    </cfRule>
    <cfRule type="expression" dxfId="12267" priority="3906">
      <formula>$H294="CÉLULA CONSTRUTIVA"</formula>
    </cfRule>
  </conditionalFormatting>
  <conditionalFormatting sqref="O295">
    <cfRule type="expression" dxfId="12266" priority="46282">
      <formula>$H295="SUBETAPA"</formula>
    </cfRule>
    <cfRule type="expression" dxfId="12265" priority="46283">
      <formula>$H295="CÉLULA CONSTRUTIVA"</formula>
    </cfRule>
    <cfRule type="expression" dxfId="12264" priority="46284">
      <formula>$H295="ETAPA"</formula>
    </cfRule>
  </conditionalFormatting>
  <conditionalFormatting sqref="O296">
    <cfRule type="expression" dxfId="12263" priority="3893">
      <formula>$H296="ETAPA"</formula>
    </cfRule>
    <cfRule type="expression" dxfId="12262" priority="3894">
      <formula>$H296="SUBETAPA"</formula>
    </cfRule>
    <cfRule type="expression" dxfId="12261" priority="3895">
      <formula>$H296="ETAPA"</formula>
    </cfRule>
    <cfRule type="expression" dxfId="12260" priority="3896">
      <formula>$H296="SUBETAPA"</formula>
    </cfRule>
    <cfRule type="expression" dxfId="12259" priority="3897">
      <formula>$H296="ETAPA"</formula>
    </cfRule>
    <cfRule type="expression" dxfId="12258" priority="3898">
      <formula>$H296="SUBETAPA"</formula>
    </cfRule>
    <cfRule type="expression" dxfId="12257" priority="3899">
      <formula>$H296="CÉLULA CONSTRUTIVA"</formula>
    </cfRule>
  </conditionalFormatting>
  <conditionalFormatting sqref="O297">
    <cfRule type="expression" dxfId="12256" priority="48825">
      <formula>$H297="SUBETAPA"</formula>
    </cfRule>
    <cfRule type="expression" dxfId="12255" priority="48826">
      <formula>$H297="CÉLULA CONSTRUTIVA"</formula>
    </cfRule>
    <cfRule type="expression" dxfId="12254" priority="48827">
      <formula>$H297="ETAPA"</formula>
    </cfRule>
  </conditionalFormatting>
  <conditionalFormatting sqref="O298">
    <cfRule type="expression" dxfId="12253" priority="3886">
      <formula>$H298="ETAPA"</formula>
    </cfRule>
    <cfRule type="expression" dxfId="12252" priority="3887">
      <formula>$H298="SUBETAPA"</formula>
    </cfRule>
    <cfRule type="expression" dxfId="12251" priority="3888">
      <formula>$H298="ETAPA"</formula>
    </cfRule>
    <cfRule type="expression" dxfId="12250" priority="3889">
      <formula>$H298="SUBETAPA"</formula>
    </cfRule>
    <cfRule type="expression" dxfId="12249" priority="3890">
      <formula>$H298="ETAPA"</formula>
    </cfRule>
    <cfRule type="expression" dxfId="12248" priority="3891">
      <formula>$H298="SUBETAPA"</formula>
    </cfRule>
    <cfRule type="expression" dxfId="12247" priority="3892">
      <formula>$H298="CÉLULA CONSTRUTIVA"</formula>
    </cfRule>
  </conditionalFormatting>
  <conditionalFormatting sqref="O299">
    <cfRule type="expression" dxfId="12246" priority="48779">
      <formula>$H299="SUBETAPA"</formula>
    </cfRule>
    <cfRule type="expression" dxfId="12245" priority="48780">
      <formula>$H299="CÉLULA CONSTRUTIVA"</formula>
    </cfRule>
    <cfRule type="expression" dxfId="12244" priority="48781">
      <formula>$H299="ETAPA"</formula>
    </cfRule>
  </conditionalFormatting>
  <conditionalFormatting sqref="O300">
    <cfRule type="expression" dxfId="12243" priority="3879">
      <formula>$H300="ETAPA"</formula>
    </cfRule>
    <cfRule type="expression" dxfId="12242" priority="3880">
      <formula>$H300="SUBETAPA"</formula>
    </cfRule>
    <cfRule type="expression" dxfId="12241" priority="3881">
      <formula>$H300="ETAPA"</formula>
    </cfRule>
    <cfRule type="expression" dxfId="12240" priority="3882">
      <formula>$H300="SUBETAPA"</formula>
    </cfRule>
    <cfRule type="expression" dxfId="12239" priority="3883">
      <formula>$H300="ETAPA"</formula>
    </cfRule>
    <cfRule type="expression" dxfId="12238" priority="3884">
      <formula>$H300="SUBETAPA"</formula>
    </cfRule>
    <cfRule type="expression" dxfId="12237" priority="3885">
      <formula>$H300="CÉLULA CONSTRUTIVA"</formula>
    </cfRule>
  </conditionalFormatting>
  <conditionalFormatting sqref="O301">
    <cfRule type="expression" dxfId="12236" priority="48733">
      <formula>$H301="SUBETAPA"</formula>
    </cfRule>
    <cfRule type="expression" dxfId="12235" priority="48734">
      <formula>$H301="CÉLULA CONSTRUTIVA"</formula>
    </cfRule>
    <cfRule type="expression" dxfId="12234" priority="48735">
      <formula>$H301="ETAPA"</formula>
    </cfRule>
  </conditionalFormatting>
  <conditionalFormatting sqref="O303">
    <cfRule type="expression" dxfId="12233" priority="48687">
      <formula>$H303="SUBETAPA"</formula>
    </cfRule>
    <cfRule type="expression" dxfId="12232" priority="48688">
      <formula>$H303="CÉLULA CONSTRUTIVA"</formula>
    </cfRule>
    <cfRule type="expression" dxfId="12231" priority="48689">
      <formula>$H303="ETAPA"</formula>
    </cfRule>
  </conditionalFormatting>
  <conditionalFormatting sqref="O304 O302">
    <cfRule type="expression" dxfId="12230" priority="3865">
      <formula>$H302="ETAPA"</formula>
    </cfRule>
    <cfRule type="expression" dxfId="12229" priority="3866">
      <formula>$H302="SUBETAPA"</formula>
    </cfRule>
    <cfRule type="expression" dxfId="12228" priority="3867">
      <formula>$H302="ETAPA"</formula>
    </cfRule>
    <cfRule type="expression" dxfId="12227" priority="3868">
      <formula>$H302="SUBETAPA"</formula>
    </cfRule>
    <cfRule type="expression" dxfId="12226" priority="3869">
      <formula>$H302="ETAPA"</formula>
    </cfRule>
    <cfRule type="expression" dxfId="12225" priority="3870">
      <formula>$H302="SUBETAPA"</formula>
    </cfRule>
    <cfRule type="expression" dxfId="12224" priority="3871">
      <formula>$H302="CÉLULA CONSTRUTIVA"</formula>
    </cfRule>
  </conditionalFormatting>
  <conditionalFormatting sqref="O305">
    <cfRule type="expression" dxfId="12223" priority="48641">
      <formula>$H305="SUBETAPA"</formula>
    </cfRule>
    <cfRule type="expression" dxfId="12222" priority="48642">
      <formula>$H305="CÉLULA CONSTRUTIVA"</formula>
    </cfRule>
    <cfRule type="expression" dxfId="12221" priority="48643">
      <formula>$H305="ETAPA"</formula>
    </cfRule>
  </conditionalFormatting>
  <conditionalFormatting sqref="O306">
    <cfRule type="expression" dxfId="12220" priority="3858">
      <formula>$H306="ETAPA"</formula>
    </cfRule>
    <cfRule type="expression" dxfId="12219" priority="3859">
      <formula>$H306="SUBETAPA"</formula>
    </cfRule>
    <cfRule type="expression" dxfId="12218" priority="3860">
      <formula>$H306="ETAPA"</formula>
    </cfRule>
    <cfRule type="expression" dxfId="12217" priority="3861">
      <formula>$H306="SUBETAPA"</formula>
    </cfRule>
    <cfRule type="expression" dxfId="12216" priority="3862">
      <formula>$H306="ETAPA"</formula>
    </cfRule>
    <cfRule type="expression" dxfId="12215" priority="3863">
      <formula>$H306="SUBETAPA"</formula>
    </cfRule>
    <cfRule type="expression" dxfId="12214" priority="3864">
      <formula>$H306="CÉLULA CONSTRUTIVA"</formula>
    </cfRule>
  </conditionalFormatting>
  <conditionalFormatting sqref="O307">
    <cfRule type="expression" dxfId="12213" priority="48595">
      <formula>$H307="SUBETAPA"</formula>
    </cfRule>
    <cfRule type="expression" dxfId="12212" priority="48596">
      <formula>$H307="CÉLULA CONSTRUTIVA"</formula>
    </cfRule>
    <cfRule type="expression" dxfId="12211" priority="48597">
      <formula>$H307="ETAPA"</formula>
    </cfRule>
  </conditionalFormatting>
  <conditionalFormatting sqref="O308">
    <cfRule type="expression" dxfId="12210" priority="3851">
      <formula>$H308="ETAPA"</formula>
    </cfRule>
    <cfRule type="expression" dxfId="12209" priority="3852">
      <formula>$H308="SUBETAPA"</formula>
    </cfRule>
    <cfRule type="expression" dxfId="12208" priority="3853">
      <formula>$H308="ETAPA"</formula>
    </cfRule>
    <cfRule type="expression" dxfId="12207" priority="3854">
      <formula>$H308="SUBETAPA"</formula>
    </cfRule>
    <cfRule type="expression" dxfId="12206" priority="3855">
      <formula>$H308="ETAPA"</formula>
    </cfRule>
    <cfRule type="expression" dxfId="12205" priority="3856">
      <formula>$H308="SUBETAPA"</formula>
    </cfRule>
    <cfRule type="expression" dxfId="12204" priority="3857">
      <formula>$H308="CÉLULA CONSTRUTIVA"</formula>
    </cfRule>
  </conditionalFormatting>
  <conditionalFormatting sqref="O309">
    <cfRule type="expression" dxfId="12203" priority="48549">
      <formula>$H309="SUBETAPA"</formula>
    </cfRule>
    <cfRule type="expression" dxfId="12202" priority="48550">
      <formula>$H309="CÉLULA CONSTRUTIVA"</formula>
    </cfRule>
    <cfRule type="expression" dxfId="12201" priority="48551">
      <formula>$H309="ETAPA"</formula>
    </cfRule>
  </conditionalFormatting>
  <conditionalFormatting sqref="O310">
    <cfRule type="expression" dxfId="12200" priority="3844">
      <formula>$H310="ETAPA"</formula>
    </cfRule>
    <cfRule type="expression" dxfId="12199" priority="3845">
      <formula>$H310="SUBETAPA"</formula>
    </cfRule>
    <cfRule type="expression" dxfId="12198" priority="3846">
      <formula>$H310="ETAPA"</formula>
    </cfRule>
    <cfRule type="expression" dxfId="12197" priority="3847">
      <formula>$H310="SUBETAPA"</formula>
    </cfRule>
    <cfRule type="expression" dxfId="12196" priority="3848">
      <formula>$H310="ETAPA"</formula>
    </cfRule>
    <cfRule type="expression" dxfId="12195" priority="3849">
      <formula>$H310="SUBETAPA"</formula>
    </cfRule>
    <cfRule type="expression" dxfId="12194" priority="3850">
      <formula>$H310="CÉLULA CONSTRUTIVA"</formula>
    </cfRule>
  </conditionalFormatting>
  <conditionalFormatting sqref="O311">
    <cfRule type="expression" dxfId="12193" priority="48503">
      <formula>$H311="SUBETAPA"</formula>
    </cfRule>
    <cfRule type="expression" dxfId="12192" priority="48504">
      <formula>$H311="CÉLULA CONSTRUTIVA"</formula>
    </cfRule>
    <cfRule type="expression" dxfId="12191" priority="48505">
      <formula>$H311="ETAPA"</formula>
    </cfRule>
  </conditionalFormatting>
  <conditionalFormatting sqref="O313">
    <cfRule type="expression" dxfId="12190" priority="48433">
      <formula>$H313="CÉLULA CONSTRUTIVA"</formula>
    </cfRule>
    <cfRule type="expression" dxfId="12189" priority="48434">
      <formula>$H313="ETAPA"</formula>
    </cfRule>
  </conditionalFormatting>
  <conditionalFormatting sqref="O313:O314">
    <cfRule type="expression" dxfId="12188" priority="48432">
      <formula>$H313="SUBETAPA"</formula>
    </cfRule>
  </conditionalFormatting>
  <conditionalFormatting sqref="O314">
    <cfRule type="expression" dxfId="12187" priority="48449">
      <formula>$H314="CÉLULA CONSTRUTIVA"</formula>
    </cfRule>
    <cfRule type="expression" dxfId="12186" priority="48450">
      <formula>$H314="ETAPA"</formula>
    </cfRule>
  </conditionalFormatting>
  <conditionalFormatting sqref="O315">
    <cfRule type="expression" dxfId="12185" priority="3795">
      <formula>$H315="ETAPA"</formula>
    </cfRule>
    <cfRule type="expression" dxfId="12184" priority="3796">
      <formula>$H315="SUBETAPA"</formula>
    </cfRule>
    <cfRule type="expression" dxfId="12183" priority="3797">
      <formula>$H315="ETAPA"</formula>
    </cfRule>
    <cfRule type="expression" dxfId="12182" priority="3798">
      <formula>$H315="SUBETAPA"</formula>
    </cfRule>
    <cfRule type="expression" dxfId="12181" priority="3799">
      <formula>$H315="ETAPA"</formula>
    </cfRule>
    <cfRule type="expression" dxfId="12180" priority="3800">
      <formula>$H315="SUBETAPA"</formula>
    </cfRule>
    <cfRule type="expression" dxfId="12179" priority="3801">
      <formula>$H315="CÉLULA CONSTRUTIVA"</formula>
    </cfRule>
  </conditionalFormatting>
  <conditionalFormatting sqref="O316">
    <cfRule type="expression" dxfId="12178" priority="3841">
      <formula>$H316="SUBETAPA"</formula>
    </cfRule>
    <cfRule type="expression" dxfId="12177" priority="3842">
      <formula>$H316="CÉLULA CONSTRUTIVA"</formula>
    </cfRule>
    <cfRule type="expression" dxfId="12176" priority="3843">
      <formula>$H316="ETAPA"</formula>
    </cfRule>
  </conditionalFormatting>
  <conditionalFormatting sqref="O317">
    <cfRule type="expression" dxfId="12175" priority="3788">
      <formula>$H317="ETAPA"</formula>
    </cfRule>
    <cfRule type="expression" dxfId="12174" priority="3789">
      <formula>$H317="SUBETAPA"</formula>
    </cfRule>
    <cfRule type="expression" dxfId="12173" priority="3790">
      <formula>$H317="ETAPA"</formula>
    </cfRule>
    <cfRule type="expression" dxfId="12172" priority="3791">
      <formula>$H317="SUBETAPA"</formula>
    </cfRule>
    <cfRule type="expression" dxfId="12171" priority="3792">
      <formula>$H317="ETAPA"</formula>
    </cfRule>
    <cfRule type="expression" dxfId="12170" priority="3793">
      <formula>$H317="SUBETAPA"</formula>
    </cfRule>
    <cfRule type="expression" dxfId="12169" priority="3794">
      <formula>$H317="CÉLULA CONSTRUTIVA"</formula>
    </cfRule>
  </conditionalFormatting>
  <conditionalFormatting sqref="O318">
    <cfRule type="expression" dxfId="12168" priority="3838">
      <formula>$H318="SUBETAPA"</formula>
    </cfRule>
    <cfRule type="expression" dxfId="12167" priority="3839">
      <formula>$H318="CÉLULA CONSTRUTIVA"</formula>
    </cfRule>
    <cfRule type="expression" dxfId="12166" priority="3840">
      <formula>$H318="ETAPA"</formula>
    </cfRule>
  </conditionalFormatting>
  <conditionalFormatting sqref="O319">
    <cfRule type="expression" dxfId="12165" priority="3781">
      <formula>$H319="ETAPA"</formula>
    </cfRule>
    <cfRule type="expression" dxfId="12164" priority="3782">
      <formula>$H319="SUBETAPA"</formula>
    </cfRule>
    <cfRule type="expression" dxfId="12163" priority="3783">
      <formula>$H319="ETAPA"</formula>
    </cfRule>
    <cfRule type="expression" dxfId="12162" priority="3784">
      <formula>$H319="SUBETAPA"</formula>
    </cfRule>
    <cfRule type="expression" dxfId="12161" priority="3785">
      <formula>$H319="ETAPA"</formula>
    </cfRule>
    <cfRule type="expression" dxfId="12160" priority="3786">
      <formula>$H319="SUBETAPA"</formula>
    </cfRule>
    <cfRule type="expression" dxfId="12159" priority="3787">
      <formula>$H319="CÉLULA CONSTRUTIVA"</formula>
    </cfRule>
  </conditionalFormatting>
  <conditionalFormatting sqref="O320">
    <cfRule type="expression" dxfId="12158" priority="3835">
      <formula>$H320="SUBETAPA"</formula>
    </cfRule>
    <cfRule type="expression" dxfId="12157" priority="3836">
      <formula>$H320="CÉLULA CONSTRUTIVA"</formula>
    </cfRule>
    <cfRule type="expression" dxfId="12156" priority="3837">
      <formula>$H320="ETAPA"</formula>
    </cfRule>
  </conditionalFormatting>
  <conditionalFormatting sqref="O321">
    <cfRule type="expression" dxfId="12155" priority="3774">
      <formula>$H321="ETAPA"</formula>
    </cfRule>
    <cfRule type="expression" dxfId="12154" priority="3775">
      <formula>$H321="SUBETAPA"</formula>
    </cfRule>
    <cfRule type="expression" dxfId="12153" priority="3776">
      <formula>$H321="ETAPA"</formula>
    </cfRule>
    <cfRule type="expression" dxfId="12152" priority="3777">
      <formula>$H321="SUBETAPA"</formula>
    </cfRule>
    <cfRule type="expression" dxfId="12151" priority="3778">
      <formula>$H321="ETAPA"</formula>
    </cfRule>
    <cfRule type="expression" dxfId="12150" priority="3779">
      <formula>$H321="SUBETAPA"</formula>
    </cfRule>
    <cfRule type="expression" dxfId="12149" priority="3780">
      <formula>$H321="CÉLULA CONSTRUTIVA"</formula>
    </cfRule>
  </conditionalFormatting>
  <conditionalFormatting sqref="O322">
    <cfRule type="expression" dxfId="12148" priority="3832">
      <formula>$H322="SUBETAPA"</formula>
    </cfRule>
    <cfRule type="expression" dxfId="12147" priority="3833">
      <formula>$H322="CÉLULA CONSTRUTIVA"</formula>
    </cfRule>
    <cfRule type="expression" dxfId="12146" priority="3834">
      <formula>$H322="ETAPA"</formula>
    </cfRule>
  </conditionalFormatting>
  <conditionalFormatting sqref="O323">
    <cfRule type="expression" dxfId="12145" priority="3767">
      <formula>$H323="ETAPA"</formula>
    </cfRule>
    <cfRule type="expression" dxfId="12144" priority="3768">
      <formula>$H323="SUBETAPA"</formula>
    </cfRule>
    <cfRule type="expression" dxfId="12143" priority="3769">
      <formula>$H323="ETAPA"</formula>
    </cfRule>
    <cfRule type="expression" dxfId="12142" priority="3770">
      <formula>$H323="SUBETAPA"</formula>
    </cfRule>
    <cfRule type="expression" dxfId="12141" priority="3771">
      <formula>$H323="ETAPA"</formula>
    </cfRule>
    <cfRule type="expression" dxfId="12140" priority="3772">
      <formula>$H323="SUBETAPA"</formula>
    </cfRule>
    <cfRule type="expression" dxfId="12139" priority="3773">
      <formula>$H323="CÉLULA CONSTRUTIVA"</formula>
    </cfRule>
  </conditionalFormatting>
  <conditionalFormatting sqref="O324">
    <cfRule type="expression" dxfId="12138" priority="3829">
      <formula>$H324="SUBETAPA"</formula>
    </cfRule>
    <cfRule type="expression" dxfId="12137" priority="3830">
      <formula>$H324="CÉLULA CONSTRUTIVA"</formula>
    </cfRule>
    <cfRule type="expression" dxfId="12136" priority="3831">
      <formula>$H324="ETAPA"</formula>
    </cfRule>
  </conditionalFormatting>
  <conditionalFormatting sqref="O325">
    <cfRule type="expression" dxfId="12135" priority="3760">
      <formula>$H325="ETAPA"</formula>
    </cfRule>
    <cfRule type="expression" dxfId="12134" priority="3761">
      <formula>$H325="SUBETAPA"</formula>
    </cfRule>
    <cfRule type="expression" dxfId="12133" priority="3762">
      <formula>$H325="ETAPA"</formula>
    </cfRule>
    <cfRule type="expression" dxfId="12132" priority="3763">
      <formula>$H325="SUBETAPA"</formula>
    </cfRule>
    <cfRule type="expression" dxfId="12131" priority="3764">
      <formula>$H325="ETAPA"</formula>
    </cfRule>
    <cfRule type="expression" dxfId="12130" priority="3765">
      <formula>$H325="SUBETAPA"</formula>
    </cfRule>
    <cfRule type="expression" dxfId="12129" priority="3766">
      <formula>$H325="CÉLULA CONSTRUTIVA"</formula>
    </cfRule>
  </conditionalFormatting>
  <conditionalFormatting sqref="O326">
    <cfRule type="expression" dxfId="12128" priority="3826">
      <formula>$H326="SUBETAPA"</formula>
    </cfRule>
    <cfRule type="expression" dxfId="12127" priority="3827">
      <formula>$H326="CÉLULA CONSTRUTIVA"</formula>
    </cfRule>
    <cfRule type="expression" dxfId="12126" priority="3828">
      <formula>$H326="ETAPA"</formula>
    </cfRule>
  </conditionalFormatting>
  <conditionalFormatting sqref="O327">
    <cfRule type="expression" dxfId="12125" priority="3753">
      <formula>$H327="ETAPA"</formula>
    </cfRule>
    <cfRule type="expression" dxfId="12124" priority="3754">
      <formula>$H327="SUBETAPA"</formula>
    </cfRule>
    <cfRule type="expression" dxfId="12123" priority="3755">
      <formula>$H327="ETAPA"</formula>
    </cfRule>
    <cfRule type="expression" dxfId="12122" priority="3756">
      <formula>$H327="SUBETAPA"</formula>
    </cfRule>
    <cfRule type="expression" dxfId="12121" priority="3757">
      <formula>$H327="ETAPA"</formula>
    </cfRule>
    <cfRule type="expression" dxfId="12120" priority="3758">
      <formula>$H327="SUBETAPA"</formula>
    </cfRule>
    <cfRule type="expression" dxfId="12119" priority="3759">
      <formula>$H327="CÉLULA CONSTRUTIVA"</formula>
    </cfRule>
  </conditionalFormatting>
  <conditionalFormatting sqref="O328">
    <cfRule type="expression" dxfId="12118" priority="3802">
      <formula>$H328="SUBETAPA"</formula>
    </cfRule>
    <cfRule type="expression" dxfId="12117" priority="3803">
      <formula>$H328="CÉLULA CONSTRUTIVA"</formula>
    </cfRule>
    <cfRule type="expression" dxfId="12116" priority="3804">
      <formula>$H328="ETAPA"</formula>
    </cfRule>
  </conditionalFormatting>
  <conditionalFormatting sqref="O329">
    <cfRule type="expression" dxfId="12115" priority="3746">
      <formula>$H329="ETAPA"</formula>
    </cfRule>
    <cfRule type="expression" dxfId="12114" priority="3747">
      <formula>$H329="SUBETAPA"</formula>
    </cfRule>
    <cfRule type="expression" dxfId="12113" priority="3748">
      <formula>$H329="ETAPA"</formula>
    </cfRule>
    <cfRule type="expression" dxfId="12112" priority="3749">
      <formula>$H329="SUBETAPA"</formula>
    </cfRule>
    <cfRule type="expression" dxfId="12111" priority="3750">
      <formula>$H329="ETAPA"</formula>
    </cfRule>
    <cfRule type="expression" dxfId="12110" priority="3751">
      <formula>$H329="SUBETAPA"</formula>
    </cfRule>
    <cfRule type="expression" dxfId="12109" priority="3752">
      <formula>$H329="CÉLULA CONSTRUTIVA"</formula>
    </cfRule>
  </conditionalFormatting>
  <conditionalFormatting sqref="O330">
    <cfRule type="expression" dxfId="12108" priority="3823">
      <formula>$H330="SUBETAPA"</formula>
    </cfRule>
    <cfRule type="expression" dxfId="12107" priority="3824">
      <formula>$H330="CÉLULA CONSTRUTIVA"</formula>
    </cfRule>
    <cfRule type="expression" dxfId="12106" priority="3825">
      <formula>$H330="ETAPA"</formula>
    </cfRule>
  </conditionalFormatting>
  <conditionalFormatting sqref="O331">
    <cfRule type="expression" dxfId="12105" priority="3739">
      <formula>$H331="ETAPA"</formula>
    </cfRule>
    <cfRule type="expression" dxfId="12104" priority="3740">
      <formula>$H331="SUBETAPA"</formula>
    </cfRule>
    <cfRule type="expression" dxfId="12103" priority="3741">
      <formula>$H331="ETAPA"</formula>
    </cfRule>
    <cfRule type="expression" dxfId="12102" priority="3742">
      <formula>$H331="SUBETAPA"</formula>
    </cfRule>
    <cfRule type="expression" dxfId="12101" priority="3743">
      <formula>$H331="ETAPA"</formula>
    </cfRule>
    <cfRule type="expression" dxfId="12100" priority="3744">
      <formula>$H331="SUBETAPA"</formula>
    </cfRule>
    <cfRule type="expression" dxfId="12099" priority="3745">
      <formula>$H331="CÉLULA CONSTRUTIVA"</formula>
    </cfRule>
  </conditionalFormatting>
  <conditionalFormatting sqref="O332">
    <cfRule type="expression" dxfId="12098" priority="3820">
      <formula>$H332="SUBETAPA"</formula>
    </cfRule>
    <cfRule type="expression" dxfId="12097" priority="3821">
      <formula>$H332="CÉLULA CONSTRUTIVA"</formula>
    </cfRule>
    <cfRule type="expression" dxfId="12096" priority="3822">
      <formula>$H332="ETAPA"</formula>
    </cfRule>
  </conditionalFormatting>
  <conditionalFormatting sqref="O333">
    <cfRule type="expression" dxfId="12095" priority="3732">
      <formula>$H333="ETAPA"</formula>
    </cfRule>
    <cfRule type="expression" dxfId="12094" priority="3733">
      <formula>$H333="SUBETAPA"</formula>
    </cfRule>
    <cfRule type="expression" dxfId="12093" priority="3734">
      <formula>$H333="ETAPA"</formula>
    </cfRule>
    <cfRule type="expression" dxfId="12092" priority="3735">
      <formula>$H333="SUBETAPA"</formula>
    </cfRule>
    <cfRule type="expression" dxfId="12091" priority="3736">
      <formula>$H333="ETAPA"</formula>
    </cfRule>
    <cfRule type="expression" dxfId="12090" priority="3737">
      <formula>$H333="SUBETAPA"</formula>
    </cfRule>
    <cfRule type="expression" dxfId="12089" priority="3738">
      <formula>$H333="CÉLULA CONSTRUTIVA"</formula>
    </cfRule>
  </conditionalFormatting>
  <conditionalFormatting sqref="O334">
    <cfRule type="expression" dxfId="12088" priority="3817">
      <formula>$H334="SUBETAPA"</formula>
    </cfRule>
    <cfRule type="expression" dxfId="12087" priority="3818">
      <formula>$H334="CÉLULA CONSTRUTIVA"</formula>
    </cfRule>
    <cfRule type="expression" dxfId="12086" priority="3819">
      <formula>$H334="ETAPA"</formula>
    </cfRule>
  </conditionalFormatting>
  <conditionalFormatting sqref="O336">
    <cfRule type="expression" dxfId="12085" priority="3814">
      <formula>$H336="SUBETAPA"</formula>
    </cfRule>
    <cfRule type="expression" dxfId="12084" priority="3815">
      <formula>$H336="CÉLULA CONSTRUTIVA"</formula>
    </cfRule>
    <cfRule type="expression" dxfId="12083" priority="3816">
      <formula>$H336="ETAPA"</formula>
    </cfRule>
  </conditionalFormatting>
  <conditionalFormatting sqref="O337 O335">
    <cfRule type="expression" dxfId="12082" priority="3725">
      <formula>$H335="ETAPA"</formula>
    </cfRule>
    <cfRule type="expression" dxfId="12081" priority="3726">
      <formula>$H335="SUBETAPA"</formula>
    </cfRule>
    <cfRule type="expression" dxfId="12080" priority="3727">
      <formula>$H335="ETAPA"</formula>
    </cfRule>
    <cfRule type="expression" dxfId="12079" priority="3728">
      <formula>$H335="SUBETAPA"</formula>
    </cfRule>
    <cfRule type="expression" dxfId="12078" priority="3729">
      <formula>$H335="ETAPA"</formula>
    </cfRule>
    <cfRule type="expression" dxfId="12077" priority="3730">
      <formula>$H335="SUBETAPA"</formula>
    </cfRule>
    <cfRule type="expression" dxfId="12076" priority="3731">
      <formula>$H335="CÉLULA CONSTRUTIVA"</formula>
    </cfRule>
  </conditionalFormatting>
  <conditionalFormatting sqref="O338">
    <cfRule type="expression" dxfId="12075" priority="3811">
      <formula>$H338="SUBETAPA"</formula>
    </cfRule>
    <cfRule type="expression" dxfId="12074" priority="3812">
      <formula>$H338="CÉLULA CONSTRUTIVA"</formula>
    </cfRule>
    <cfRule type="expression" dxfId="12073" priority="3813">
      <formula>$H338="ETAPA"</formula>
    </cfRule>
  </conditionalFormatting>
  <conditionalFormatting sqref="O339">
    <cfRule type="expression" dxfId="12072" priority="3718">
      <formula>$H339="ETAPA"</formula>
    </cfRule>
    <cfRule type="expression" dxfId="12071" priority="3719">
      <formula>$H339="SUBETAPA"</formula>
    </cfRule>
    <cfRule type="expression" dxfId="12070" priority="3720">
      <formula>$H339="ETAPA"</formula>
    </cfRule>
    <cfRule type="expression" dxfId="12069" priority="3721">
      <formula>$H339="SUBETAPA"</formula>
    </cfRule>
    <cfRule type="expression" dxfId="12068" priority="3722">
      <formula>$H339="ETAPA"</formula>
    </cfRule>
    <cfRule type="expression" dxfId="12067" priority="3723">
      <formula>$H339="SUBETAPA"</formula>
    </cfRule>
    <cfRule type="expression" dxfId="12066" priority="3724">
      <formula>$H339="CÉLULA CONSTRUTIVA"</formula>
    </cfRule>
  </conditionalFormatting>
  <conditionalFormatting sqref="O340">
    <cfRule type="expression" dxfId="12065" priority="3808">
      <formula>$H340="SUBETAPA"</formula>
    </cfRule>
    <cfRule type="expression" dxfId="12064" priority="3809">
      <formula>$H340="CÉLULA CONSTRUTIVA"</formula>
    </cfRule>
    <cfRule type="expression" dxfId="12063" priority="3810">
      <formula>$H340="ETAPA"</formula>
    </cfRule>
  </conditionalFormatting>
  <conditionalFormatting sqref="O341">
    <cfRule type="expression" dxfId="12062" priority="3711">
      <formula>$H341="ETAPA"</formula>
    </cfRule>
    <cfRule type="expression" dxfId="12061" priority="3712">
      <formula>$H341="SUBETAPA"</formula>
    </cfRule>
    <cfRule type="expression" dxfId="12060" priority="3713">
      <formula>$H341="ETAPA"</formula>
    </cfRule>
    <cfRule type="expression" dxfId="12059" priority="3714">
      <formula>$H341="SUBETAPA"</formula>
    </cfRule>
    <cfRule type="expression" dxfId="12058" priority="3715">
      <formula>$H341="ETAPA"</formula>
    </cfRule>
    <cfRule type="expression" dxfId="12057" priority="3716">
      <formula>$H341="SUBETAPA"</formula>
    </cfRule>
    <cfRule type="expression" dxfId="12056" priority="3717">
      <formula>$H341="CÉLULA CONSTRUTIVA"</formula>
    </cfRule>
  </conditionalFormatting>
  <conditionalFormatting sqref="O342">
    <cfRule type="expression" dxfId="12055" priority="3805">
      <formula>$H342="SUBETAPA"</formula>
    </cfRule>
    <cfRule type="expression" dxfId="12054" priority="3806">
      <formula>$H342="CÉLULA CONSTRUTIVA"</formula>
    </cfRule>
    <cfRule type="expression" dxfId="12053" priority="3807">
      <formula>$H342="ETAPA"</formula>
    </cfRule>
  </conditionalFormatting>
  <conditionalFormatting sqref="O343">
    <cfRule type="expression" dxfId="12052" priority="3704">
      <formula>$H343="ETAPA"</formula>
    </cfRule>
    <cfRule type="expression" dxfId="12051" priority="3705">
      <formula>$H343="SUBETAPA"</formula>
    </cfRule>
    <cfRule type="expression" dxfId="12050" priority="3706">
      <formula>$H343="ETAPA"</formula>
    </cfRule>
    <cfRule type="expression" dxfId="12049" priority="3707">
      <formula>$H343="SUBETAPA"</formula>
    </cfRule>
    <cfRule type="expression" dxfId="12048" priority="3708">
      <formula>$H343="ETAPA"</formula>
    </cfRule>
    <cfRule type="expression" dxfId="12047" priority="3709">
      <formula>$H343="SUBETAPA"</formula>
    </cfRule>
    <cfRule type="expression" dxfId="12046" priority="3710">
      <formula>$H343="CÉLULA CONSTRUTIVA"</formula>
    </cfRule>
  </conditionalFormatting>
  <conditionalFormatting sqref="O344">
    <cfRule type="expression" dxfId="12045" priority="47845">
      <formula>$H344="SUBETAPA"</formula>
    </cfRule>
    <cfRule type="expression" dxfId="12044" priority="47846">
      <formula>$H344="CÉLULA CONSTRUTIVA"</formula>
    </cfRule>
  </conditionalFormatting>
  <conditionalFormatting sqref="O346">
    <cfRule type="expression" dxfId="12043" priority="48462">
      <formula>$H346="CÉLULA CONSTRUTIVA"</formula>
    </cfRule>
    <cfRule type="expression" dxfId="12042" priority="48463">
      <formula>$H346="ETAPA"</formula>
    </cfRule>
  </conditionalFormatting>
  <conditionalFormatting sqref="O346:O347">
    <cfRule type="expression" dxfId="12041" priority="47798">
      <formula>$H346="SUBETAPA"</formula>
    </cfRule>
  </conditionalFormatting>
  <conditionalFormatting sqref="O347">
    <cfRule type="expression" dxfId="12040" priority="47799">
      <formula>$H347="CÉLULA CONSTRUTIVA"</formula>
    </cfRule>
    <cfRule type="expression" dxfId="12039" priority="47800">
      <formula>$H347="ETAPA"</formula>
    </cfRule>
  </conditionalFormatting>
  <conditionalFormatting sqref="O348">
    <cfRule type="expression" dxfId="12038" priority="3697">
      <formula>$H348="ETAPA"</formula>
    </cfRule>
    <cfRule type="expression" dxfId="12037" priority="3698">
      <formula>$H348="SUBETAPA"</formula>
    </cfRule>
    <cfRule type="expression" dxfId="12036" priority="3699">
      <formula>$H348="ETAPA"</formula>
    </cfRule>
    <cfRule type="expression" dxfId="12035" priority="3700">
      <formula>$H348="SUBETAPA"</formula>
    </cfRule>
    <cfRule type="expression" dxfId="12034" priority="3701">
      <formula>$H348="ETAPA"</formula>
    </cfRule>
    <cfRule type="expression" dxfId="12033" priority="3702">
      <formula>$H348="SUBETAPA"</formula>
    </cfRule>
    <cfRule type="expression" dxfId="12032" priority="3703">
      <formula>$H348="CÉLULA CONSTRUTIVA"</formula>
    </cfRule>
  </conditionalFormatting>
  <conditionalFormatting sqref="O349">
    <cfRule type="expression" dxfId="12031" priority="47752">
      <formula>$H349="SUBETAPA"</formula>
    </cfRule>
    <cfRule type="expression" dxfId="12030" priority="47753">
      <formula>$H349="CÉLULA CONSTRUTIVA"</formula>
    </cfRule>
    <cfRule type="expression" dxfId="12029" priority="47754">
      <formula>$H349="ETAPA"</formula>
    </cfRule>
  </conditionalFormatting>
  <conditionalFormatting sqref="O350">
    <cfRule type="expression" dxfId="12028" priority="3690">
      <formula>$H350="ETAPA"</formula>
    </cfRule>
    <cfRule type="expression" dxfId="12027" priority="3691">
      <formula>$H350="SUBETAPA"</formula>
    </cfRule>
    <cfRule type="expression" dxfId="12026" priority="3692">
      <formula>$H350="ETAPA"</formula>
    </cfRule>
    <cfRule type="expression" dxfId="12025" priority="3693">
      <formula>$H350="SUBETAPA"</formula>
    </cfRule>
    <cfRule type="expression" dxfId="12024" priority="3694">
      <formula>$H350="ETAPA"</formula>
    </cfRule>
    <cfRule type="expression" dxfId="12023" priority="3695">
      <formula>$H350="SUBETAPA"</formula>
    </cfRule>
    <cfRule type="expression" dxfId="12022" priority="3696">
      <formula>$H350="CÉLULA CONSTRUTIVA"</formula>
    </cfRule>
  </conditionalFormatting>
  <conditionalFormatting sqref="O351">
    <cfRule type="expression" dxfId="12021" priority="47709">
      <formula>$H351="SUBETAPA"</formula>
    </cfRule>
    <cfRule type="expression" dxfId="12020" priority="47710">
      <formula>$H351="CÉLULA CONSTRUTIVA"</formula>
    </cfRule>
    <cfRule type="expression" dxfId="12019" priority="47711">
      <formula>$H351="ETAPA"</formula>
    </cfRule>
  </conditionalFormatting>
  <conditionalFormatting sqref="O353">
    <cfRule type="expression" dxfId="12018" priority="47666">
      <formula>$H353="SUBETAPA"</formula>
    </cfRule>
    <cfRule type="expression" dxfId="12017" priority="47667">
      <formula>$H353="CÉLULA CONSTRUTIVA"</formula>
    </cfRule>
    <cfRule type="expression" dxfId="12016" priority="47668">
      <formula>$H353="ETAPA"</formula>
    </cfRule>
  </conditionalFormatting>
  <conditionalFormatting sqref="O354">
    <cfRule type="expression" dxfId="12015" priority="3687">
      <formula>$H354="SUBETAPA"</formula>
    </cfRule>
    <cfRule type="expression" dxfId="12014" priority="3688">
      <formula>$H354="CÉLULA CONSTRUTIVA"</formula>
    </cfRule>
    <cfRule type="expression" dxfId="12013" priority="3689">
      <formula>$H354="ETAPA"</formula>
    </cfRule>
  </conditionalFormatting>
  <conditionalFormatting sqref="O355">
    <cfRule type="expression" dxfId="12012" priority="47623">
      <formula>$H355="SUBETAPA"</formula>
    </cfRule>
    <cfRule type="expression" dxfId="12011" priority="47624">
      <formula>$H355="CÉLULA CONSTRUTIVA"</formula>
    </cfRule>
    <cfRule type="expression" dxfId="12010" priority="47625">
      <formula>$H355="ETAPA"</formula>
    </cfRule>
  </conditionalFormatting>
  <conditionalFormatting sqref="O356">
    <cfRule type="expression" dxfId="12009" priority="3684">
      <formula>$H356="SUBETAPA"</formula>
    </cfRule>
    <cfRule type="expression" dxfId="12008" priority="3685">
      <formula>$H356="CÉLULA CONSTRUTIVA"</formula>
    </cfRule>
    <cfRule type="expression" dxfId="12007" priority="3686">
      <formula>$H356="ETAPA"</formula>
    </cfRule>
  </conditionalFormatting>
  <conditionalFormatting sqref="O357">
    <cfRule type="expression" dxfId="12006" priority="47580">
      <formula>$H357="SUBETAPA"</formula>
    </cfRule>
    <cfRule type="expression" dxfId="12005" priority="47581">
      <formula>$H357="CÉLULA CONSTRUTIVA"</formula>
    </cfRule>
    <cfRule type="expression" dxfId="12004" priority="47582">
      <formula>$H357="ETAPA"</formula>
    </cfRule>
  </conditionalFormatting>
  <conditionalFormatting sqref="O358">
    <cfRule type="expression" dxfId="12003" priority="3681">
      <formula>$H358="SUBETAPA"</formula>
    </cfRule>
    <cfRule type="expression" dxfId="12002" priority="3682">
      <formula>$H358="CÉLULA CONSTRUTIVA"</formula>
    </cfRule>
    <cfRule type="expression" dxfId="12001" priority="3683">
      <formula>$H358="ETAPA"</formula>
    </cfRule>
  </conditionalFormatting>
  <conditionalFormatting sqref="O359">
    <cfRule type="expression" dxfId="12000" priority="46184">
      <formula>$H359="SUBETAPA"</formula>
    </cfRule>
    <cfRule type="expression" dxfId="11999" priority="46185">
      <formula>$H359="CÉLULA CONSTRUTIVA"</formula>
    </cfRule>
    <cfRule type="expression" dxfId="11998" priority="46186">
      <formula>$H359="ETAPA"</formula>
    </cfRule>
  </conditionalFormatting>
  <conditionalFormatting sqref="O360">
    <cfRule type="expression" dxfId="11997" priority="3678">
      <formula>$H360="SUBETAPA"</formula>
    </cfRule>
    <cfRule type="expression" dxfId="11996" priority="3679">
      <formula>$H360="CÉLULA CONSTRUTIVA"</formula>
    </cfRule>
    <cfRule type="expression" dxfId="11995" priority="3680">
      <formula>$H360="ETAPA"</formula>
    </cfRule>
  </conditionalFormatting>
  <conditionalFormatting sqref="O361">
    <cfRule type="expression" dxfId="11994" priority="47537">
      <formula>$H361="SUBETAPA"</formula>
    </cfRule>
    <cfRule type="expression" dxfId="11993" priority="47538">
      <formula>$H361="CÉLULA CONSTRUTIVA"</formula>
    </cfRule>
    <cfRule type="expression" dxfId="11992" priority="47539">
      <formula>$H361="ETAPA"</formula>
    </cfRule>
  </conditionalFormatting>
  <conditionalFormatting sqref="O362">
    <cfRule type="expression" dxfId="11991" priority="3675">
      <formula>$H362="SUBETAPA"</formula>
    </cfRule>
    <cfRule type="expression" dxfId="11990" priority="3676">
      <formula>$H362="CÉLULA CONSTRUTIVA"</formula>
    </cfRule>
    <cfRule type="expression" dxfId="11989" priority="3677">
      <formula>$H362="ETAPA"</formula>
    </cfRule>
  </conditionalFormatting>
  <conditionalFormatting sqref="O363">
    <cfRule type="expression" dxfId="11988" priority="47494">
      <formula>$H363="SUBETAPA"</formula>
    </cfRule>
    <cfRule type="expression" dxfId="11987" priority="47495">
      <formula>$H363="CÉLULA CONSTRUTIVA"</formula>
    </cfRule>
    <cfRule type="expression" dxfId="11986" priority="47496">
      <formula>$H363="ETAPA"</formula>
    </cfRule>
  </conditionalFormatting>
  <conditionalFormatting sqref="O364">
    <cfRule type="expression" dxfId="11985" priority="3672">
      <formula>$H364="SUBETAPA"</formula>
    </cfRule>
    <cfRule type="expression" dxfId="11984" priority="3673">
      <formula>$H364="CÉLULA CONSTRUTIVA"</formula>
    </cfRule>
    <cfRule type="expression" dxfId="11983" priority="3674">
      <formula>$H364="ETAPA"</formula>
    </cfRule>
  </conditionalFormatting>
  <conditionalFormatting sqref="O365">
    <cfRule type="expression" dxfId="11982" priority="47451">
      <formula>$H365="SUBETAPA"</formula>
    </cfRule>
    <cfRule type="expression" dxfId="11981" priority="47452">
      <formula>$H365="CÉLULA CONSTRUTIVA"</formula>
    </cfRule>
    <cfRule type="expression" dxfId="11980" priority="47453">
      <formula>$H365="ETAPA"</formula>
    </cfRule>
  </conditionalFormatting>
  <conditionalFormatting sqref="O366">
    <cfRule type="expression" dxfId="11979" priority="3669">
      <formula>$H366="SUBETAPA"</formula>
    </cfRule>
    <cfRule type="expression" dxfId="11978" priority="3670">
      <formula>$H366="CÉLULA CONSTRUTIVA"</formula>
    </cfRule>
    <cfRule type="expression" dxfId="11977" priority="3671">
      <formula>$H366="ETAPA"</formula>
    </cfRule>
  </conditionalFormatting>
  <conditionalFormatting sqref="O367">
    <cfRule type="expression" dxfId="11976" priority="47408">
      <formula>$H367="SUBETAPA"</formula>
    </cfRule>
    <cfRule type="expression" dxfId="11975" priority="47409">
      <formula>$H367="CÉLULA CONSTRUTIVA"</formula>
    </cfRule>
    <cfRule type="expression" dxfId="11974" priority="47410">
      <formula>$H367="ETAPA"</formula>
    </cfRule>
  </conditionalFormatting>
  <conditionalFormatting sqref="O368">
    <cfRule type="expression" dxfId="11973" priority="3666">
      <formula>$H368="SUBETAPA"</formula>
    </cfRule>
    <cfRule type="expression" dxfId="11972" priority="3667">
      <formula>$H368="CÉLULA CONSTRUTIVA"</formula>
    </cfRule>
    <cfRule type="expression" dxfId="11971" priority="3668">
      <formula>$H368="ETAPA"</formula>
    </cfRule>
  </conditionalFormatting>
  <conditionalFormatting sqref="O369">
    <cfRule type="expression" dxfId="11970" priority="47365">
      <formula>$H369="SUBETAPA"</formula>
    </cfRule>
    <cfRule type="expression" dxfId="11969" priority="47366">
      <formula>$H369="CÉLULA CONSTRUTIVA"</formula>
    </cfRule>
    <cfRule type="expression" dxfId="11968" priority="47367">
      <formula>$H369="ETAPA"</formula>
    </cfRule>
  </conditionalFormatting>
  <conditionalFormatting sqref="O370">
    <cfRule type="expression" dxfId="11967" priority="3663">
      <formula>$H370="SUBETAPA"</formula>
    </cfRule>
    <cfRule type="expression" dxfId="11966" priority="3664">
      <formula>$H370="CÉLULA CONSTRUTIVA"</formula>
    </cfRule>
    <cfRule type="expression" dxfId="11965" priority="3665">
      <formula>$H370="ETAPA"</formula>
    </cfRule>
  </conditionalFormatting>
  <conditionalFormatting sqref="O371">
    <cfRule type="expression" dxfId="11964" priority="47322">
      <formula>$H371="SUBETAPA"</formula>
    </cfRule>
    <cfRule type="expression" dxfId="11963" priority="47323">
      <formula>$H371="CÉLULA CONSTRUTIVA"</formula>
    </cfRule>
    <cfRule type="expression" dxfId="11962" priority="47324">
      <formula>$H371="ETAPA"</formula>
    </cfRule>
  </conditionalFormatting>
  <conditionalFormatting sqref="O372">
    <cfRule type="expression" dxfId="11961" priority="3660">
      <formula>$H372="SUBETAPA"</formula>
    </cfRule>
    <cfRule type="expression" dxfId="11960" priority="3661">
      <formula>$H372="CÉLULA CONSTRUTIVA"</formula>
    </cfRule>
    <cfRule type="expression" dxfId="11959" priority="3662">
      <formula>$H372="ETAPA"</formula>
    </cfRule>
  </conditionalFormatting>
  <conditionalFormatting sqref="O373">
    <cfRule type="expression" dxfId="11958" priority="47279">
      <formula>$H373="SUBETAPA"</formula>
    </cfRule>
    <cfRule type="expression" dxfId="11957" priority="47280">
      <formula>$H373="CÉLULA CONSTRUTIVA"</formula>
    </cfRule>
    <cfRule type="expression" dxfId="11956" priority="47281">
      <formula>$H373="ETAPA"</formula>
    </cfRule>
  </conditionalFormatting>
  <conditionalFormatting sqref="O374">
    <cfRule type="expression" dxfId="11955" priority="3657">
      <formula>$H374="SUBETAPA"</formula>
    </cfRule>
    <cfRule type="expression" dxfId="11954" priority="3658">
      <formula>$H374="CÉLULA CONSTRUTIVA"</formula>
    </cfRule>
    <cfRule type="expression" dxfId="11953" priority="3659">
      <formula>$H374="ETAPA"</formula>
    </cfRule>
  </conditionalFormatting>
  <conditionalFormatting sqref="O375">
    <cfRule type="expression" dxfId="11952" priority="47236">
      <formula>$H375="SUBETAPA"</formula>
    </cfRule>
    <cfRule type="expression" dxfId="11951" priority="47237">
      <formula>$H375="CÉLULA CONSTRUTIVA"</formula>
    </cfRule>
    <cfRule type="expression" dxfId="11950" priority="47238">
      <formula>$H375="ETAPA"</formula>
    </cfRule>
  </conditionalFormatting>
  <conditionalFormatting sqref="O376">
    <cfRule type="expression" dxfId="11949" priority="3654">
      <formula>$H376="SUBETAPA"</formula>
    </cfRule>
    <cfRule type="expression" dxfId="11948" priority="3655">
      <formula>$H376="CÉLULA CONSTRUTIVA"</formula>
    </cfRule>
    <cfRule type="expression" dxfId="11947" priority="3656">
      <formula>$H376="ETAPA"</formula>
    </cfRule>
  </conditionalFormatting>
  <conditionalFormatting sqref="O377">
    <cfRule type="expression" dxfId="11946" priority="47193">
      <formula>$H377="SUBETAPA"</formula>
    </cfRule>
    <cfRule type="expression" dxfId="11945" priority="47194">
      <formula>$H377="CÉLULA CONSTRUTIVA"</formula>
    </cfRule>
    <cfRule type="expression" dxfId="11944" priority="47195">
      <formula>$H377="ETAPA"</formula>
    </cfRule>
  </conditionalFormatting>
  <conditionalFormatting sqref="O378">
    <cfRule type="expression" dxfId="11943" priority="3651">
      <formula>$H378="SUBETAPA"</formula>
    </cfRule>
    <cfRule type="expression" dxfId="11942" priority="3652">
      <formula>$H378="CÉLULA CONSTRUTIVA"</formula>
    </cfRule>
    <cfRule type="expression" dxfId="11941" priority="3653">
      <formula>$H378="ETAPA"</formula>
    </cfRule>
  </conditionalFormatting>
  <conditionalFormatting sqref="O379">
    <cfRule type="expression" dxfId="11940" priority="58353">
      <formula>$H379="CÉLULA CONSTRUTIVA"</formula>
    </cfRule>
    <cfRule type="expression" dxfId="11939" priority="58354">
      <formula>$H379="ETAPA"</formula>
    </cfRule>
    <cfRule type="expression" dxfId="11938" priority="58355">
      <formula>$H379="SUBETAPA"</formula>
    </cfRule>
  </conditionalFormatting>
  <conditionalFormatting sqref="O382:O384 G383:K384 M383:M384">
    <cfRule type="expression" dxfId="11937" priority="99292">
      <formula>$H382="ETAPA"</formula>
    </cfRule>
  </conditionalFormatting>
  <conditionalFormatting sqref="O385">
    <cfRule type="expression" dxfId="11936" priority="99298">
      <formula>$H385="SUBETAPA"</formula>
    </cfRule>
  </conditionalFormatting>
  <conditionalFormatting sqref="O388:O390 G387:I390">
    <cfRule type="expression" dxfId="11935" priority="99311">
      <formula>$H387="SUBETAPA"</formula>
    </cfRule>
  </conditionalFormatting>
  <conditionalFormatting sqref="O398 L398">
    <cfRule type="expression" dxfId="11934" priority="7581">
      <formula>$H398="CÉLULA CONSTRUTIVA"</formula>
    </cfRule>
  </conditionalFormatting>
  <conditionalFormatting sqref="O398">
    <cfRule type="expression" dxfId="11933" priority="7556">
      <formula>$H398="ETAPA"</formula>
    </cfRule>
  </conditionalFormatting>
  <conditionalFormatting sqref="O402">
    <cfRule type="expression" dxfId="11932" priority="99393">
      <formula>$H402="SUBETAPA"</formula>
    </cfRule>
  </conditionalFormatting>
  <conditionalFormatting sqref="O405:O407 G404:I407">
    <cfRule type="expression" dxfId="11931" priority="99406">
      <formula>$H404="SUBETAPA"</formula>
    </cfRule>
  </conditionalFormatting>
  <conditionalFormatting sqref="O419">
    <cfRule type="expression" dxfId="11930" priority="99488">
      <formula>$H419="SUBETAPA"</formula>
    </cfRule>
  </conditionalFormatting>
  <conditionalFormatting sqref="O422:O424 G421:I424">
    <cfRule type="expression" dxfId="11929" priority="99501">
      <formula>$H421="SUBETAPA"</formula>
    </cfRule>
  </conditionalFormatting>
  <conditionalFormatting sqref="O431 G431:I431 K431">
    <cfRule type="expression" dxfId="11928" priority="7527">
      <formula>$H431="SUBETAPA"</formula>
    </cfRule>
  </conditionalFormatting>
  <conditionalFormatting sqref="O431">
    <cfRule type="expression" dxfId="11927" priority="7526">
      <formula>$H431="ETAPA"</formula>
    </cfRule>
  </conditionalFormatting>
  <conditionalFormatting sqref="O435">
    <cfRule type="expression" dxfId="11926" priority="99583">
      <formula>$H435="SUBETAPA"</formula>
    </cfRule>
  </conditionalFormatting>
  <conditionalFormatting sqref="O438:O440 G437:I440">
    <cfRule type="expression" dxfId="11925" priority="99596">
      <formula>$H437="SUBETAPA"</formula>
    </cfRule>
  </conditionalFormatting>
  <conditionalFormatting sqref="O447 G447:I447 K447">
    <cfRule type="expression" dxfId="11924" priority="7489">
      <formula>$H447="SUBETAPA"</formula>
    </cfRule>
  </conditionalFormatting>
  <conditionalFormatting sqref="O447">
    <cfRule type="expression" dxfId="11923" priority="7488">
      <formula>$H447="ETAPA"</formula>
    </cfRule>
  </conditionalFormatting>
  <conditionalFormatting sqref="O451">
    <cfRule type="expression" dxfId="11922" priority="99678">
      <formula>$H451="SUBETAPA"</formula>
    </cfRule>
  </conditionalFormatting>
  <conditionalFormatting sqref="O454:O456 G453:I456">
    <cfRule type="expression" dxfId="11921" priority="99691">
      <formula>$H453="SUBETAPA"</formula>
    </cfRule>
  </conditionalFormatting>
  <conditionalFormatting sqref="O464 G464:I464 K464">
    <cfRule type="expression" dxfId="11920" priority="7458">
      <formula>$H464="SUBETAPA"</formula>
    </cfRule>
  </conditionalFormatting>
  <conditionalFormatting sqref="O464">
    <cfRule type="expression" dxfId="11919" priority="7457">
      <formula>$H464="ETAPA"</formula>
    </cfRule>
  </conditionalFormatting>
  <conditionalFormatting sqref="O468">
    <cfRule type="expression" dxfId="11918" priority="99773">
      <formula>$H468="SUBETAPA"</formula>
    </cfRule>
  </conditionalFormatting>
  <conditionalFormatting sqref="O471:O473 G470:I473">
    <cfRule type="expression" dxfId="11917" priority="99786">
      <formula>$H470="SUBETAPA"</formula>
    </cfRule>
  </conditionalFormatting>
  <conditionalFormatting sqref="O481 G481:I481 K481">
    <cfRule type="expression" dxfId="11916" priority="7427">
      <formula>$H481="SUBETAPA"</formula>
    </cfRule>
  </conditionalFormatting>
  <conditionalFormatting sqref="O481">
    <cfRule type="expression" dxfId="11915" priority="7426">
      <formula>$H481="ETAPA"</formula>
    </cfRule>
  </conditionalFormatting>
  <conditionalFormatting sqref="O485">
    <cfRule type="expression" dxfId="11914" priority="99868">
      <formula>$H485="SUBETAPA"</formula>
    </cfRule>
  </conditionalFormatting>
  <conditionalFormatting sqref="O488:O490 G487:I490">
    <cfRule type="expression" dxfId="11913" priority="99881">
      <formula>$H487="SUBETAPA"</formula>
    </cfRule>
  </conditionalFormatting>
  <conditionalFormatting sqref="O498 G498:I498 K498">
    <cfRule type="expression" dxfId="11912" priority="7396">
      <formula>$H498="SUBETAPA"</formula>
    </cfRule>
  </conditionalFormatting>
  <conditionalFormatting sqref="O498">
    <cfRule type="expression" dxfId="11911" priority="7395">
      <formula>$H498="ETAPA"</formula>
    </cfRule>
  </conditionalFormatting>
  <conditionalFormatting sqref="O502">
    <cfRule type="expression" dxfId="11910" priority="99963">
      <formula>$H502="SUBETAPA"</formula>
    </cfRule>
  </conditionalFormatting>
  <conditionalFormatting sqref="O505:O508 G504:I508">
    <cfRule type="expression" dxfId="11909" priority="99976">
      <formula>$H504="SUBETAPA"</formula>
    </cfRule>
  </conditionalFormatting>
  <conditionalFormatting sqref="O516 G516:I516 K516">
    <cfRule type="expression" dxfId="11908" priority="7365">
      <formula>$H516="SUBETAPA"</formula>
    </cfRule>
  </conditionalFormatting>
  <conditionalFormatting sqref="O516">
    <cfRule type="expression" dxfId="11907" priority="7364">
      <formula>$H516="ETAPA"</formula>
    </cfRule>
  </conditionalFormatting>
  <conditionalFormatting sqref="O520">
    <cfRule type="expression" dxfId="11906" priority="100058">
      <formula>$H520="SUBETAPA"</formula>
    </cfRule>
  </conditionalFormatting>
  <conditionalFormatting sqref="O523:O525 G522:I525">
    <cfRule type="expression" dxfId="11905" priority="100071">
      <formula>$H522="SUBETAPA"</formula>
    </cfRule>
  </conditionalFormatting>
  <conditionalFormatting sqref="O526 G526:I526">
    <cfRule type="expression" dxfId="11904" priority="59766">
      <formula>$H526="SUBETAPA"</formula>
    </cfRule>
  </conditionalFormatting>
  <conditionalFormatting sqref="O534 G534:I534 K534">
    <cfRule type="expression" dxfId="11903" priority="7334">
      <formula>$H534="SUBETAPA"</formula>
    </cfRule>
  </conditionalFormatting>
  <conditionalFormatting sqref="O534">
    <cfRule type="expression" dxfId="11902" priority="7333">
      <formula>$H534="ETAPA"</formula>
    </cfRule>
  </conditionalFormatting>
  <conditionalFormatting sqref="O537:O538">
    <cfRule type="expression" dxfId="11901" priority="100155">
      <formula>$H537="ETAPA"</formula>
    </cfRule>
  </conditionalFormatting>
  <conditionalFormatting sqref="O538">
    <cfRule type="expression" dxfId="11900" priority="100153">
      <formula>$H538="SUBETAPA"</formula>
    </cfRule>
  </conditionalFormatting>
  <conditionalFormatting sqref="O541:O543 G540:I543">
    <cfRule type="expression" dxfId="11899" priority="100166">
      <formula>$H540="SUBETAPA"</formula>
    </cfRule>
  </conditionalFormatting>
  <conditionalFormatting sqref="O544 G544:I544">
    <cfRule type="expression" dxfId="11898" priority="59748">
      <formula>$H544="SUBETAPA"</formula>
    </cfRule>
  </conditionalFormatting>
  <conditionalFormatting sqref="O552 G552:I552 K552">
    <cfRule type="expression" dxfId="11897" priority="7303">
      <formula>$H552="SUBETAPA"</formula>
    </cfRule>
  </conditionalFormatting>
  <conditionalFormatting sqref="O552">
    <cfRule type="expression" dxfId="11896" priority="7302">
      <formula>$H552="ETAPA"</formula>
    </cfRule>
  </conditionalFormatting>
  <conditionalFormatting sqref="O555:O556">
    <cfRule type="expression" dxfId="11895" priority="100250">
      <formula>$H555="ETAPA"</formula>
    </cfRule>
  </conditionalFormatting>
  <conditionalFormatting sqref="O556">
    <cfRule type="expression" dxfId="11894" priority="100248">
      <formula>$H556="SUBETAPA"</formula>
    </cfRule>
  </conditionalFormatting>
  <conditionalFormatting sqref="O559:O561 G558:I561">
    <cfRule type="expression" dxfId="11893" priority="100261">
      <formula>$H558="SUBETAPA"</formula>
    </cfRule>
  </conditionalFormatting>
  <conditionalFormatting sqref="O562 G562:I562">
    <cfRule type="expression" dxfId="11892" priority="59730">
      <formula>$H562="SUBETAPA"</formula>
    </cfRule>
  </conditionalFormatting>
  <conditionalFormatting sqref="O570 G570:I570 K570">
    <cfRule type="expression" dxfId="11891" priority="7272">
      <formula>$H570="SUBETAPA"</formula>
    </cfRule>
  </conditionalFormatting>
  <conditionalFormatting sqref="O570">
    <cfRule type="expression" dxfId="11890" priority="7271">
      <formula>$H570="ETAPA"</formula>
    </cfRule>
  </conditionalFormatting>
  <conditionalFormatting sqref="O573:O574">
    <cfRule type="expression" dxfId="11889" priority="100345">
      <formula>$H573="ETAPA"</formula>
    </cfRule>
  </conditionalFormatting>
  <conditionalFormatting sqref="O574">
    <cfRule type="expression" dxfId="11888" priority="100343">
      <formula>$H574="SUBETAPA"</formula>
    </cfRule>
  </conditionalFormatting>
  <conditionalFormatting sqref="O577:O579 G576:I579">
    <cfRule type="expression" dxfId="11887" priority="100356">
      <formula>$H576="SUBETAPA"</formula>
    </cfRule>
  </conditionalFormatting>
  <conditionalFormatting sqref="O586 G586:I586 K586">
    <cfRule type="expression" dxfId="11886" priority="7241">
      <formula>$H586="SUBETAPA"</formula>
    </cfRule>
  </conditionalFormatting>
  <conditionalFormatting sqref="O586">
    <cfRule type="expression" dxfId="11885" priority="7240">
      <formula>$H586="ETAPA"</formula>
    </cfRule>
  </conditionalFormatting>
  <conditionalFormatting sqref="O589 G589:K590 M589:M590">
    <cfRule type="expression" dxfId="11884" priority="100434">
      <formula>$H589="ETAPA"</formula>
    </cfRule>
  </conditionalFormatting>
  <conditionalFormatting sqref="O590:O591">
    <cfRule type="expression" dxfId="11883" priority="100440">
      <formula>$H590="ETAPA"</formula>
    </cfRule>
  </conditionalFormatting>
  <conditionalFormatting sqref="O591">
    <cfRule type="expression" dxfId="11882" priority="100438">
      <formula>$H591="SUBETAPA"</formula>
    </cfRule>
  </conditionalFormatting>
  <conditionalFormatting sqref="O594:O596 G593:I596">
    <cfRule type="expression" dxfId="11881" priority="100451">
      <formula>$H593="SUBETAPA"</formula>
    </cfRule>
  </conditionalFormatting>
  <conditionalFormatting sqref="O597 G597:I597">
    <cfRule type="expression" dxfId="11880" priority="59694">
      <formula>$H597="SUBETAPA"</formula>
    </cfRule>
  </conditionalFormatting>
  <conditionalFormatting sqref="O605 G605:I605 K605">
    <cfRule type="expression" dxfId="11879" priority="7210">
      <formula>$H605="SUBETAPA"</formula>
    </cfRule>
  </conditionalFormatting>
  <conditionalFormatting sqref="O605">
    <cfRule type="expression" dxfId="11878" priority="7209">
      <formula>$H605="ETAPA"</formula>
    </cfRule>
  </conditionalFormatting>
  <conditionalFormatting sqref="O611:O613 G610:I613">
    <cfRule type="expression" dxfId="11877" priority="100546">
      <formula>$H610="SUBETAPA"</formula>
    </cfRule>
  </conditionalFormatting>
  <conditionalFormatting sqref="O618 G618:I618 K618">
    <cfRule type="expression" dxfId="11876" priority="7179">
      <formula>$H618="SUBETAPA"</formula>
    </cfRule>
  </conditionalFormatting>
  <conditionalFormatting sqref="O618">
    <cfRule type="expression" dxfId="11875" priority="7178">
      <formula>$H618="ETAPA"</formula>
    </cfRule>
  </conditionalFormatting>
  <conditionalFormatting sqref="O619">
    <cfRule type="expression" dxfId="11874" priority="58356">
      <formula>$H619="CÉLULA CONSTRUTIVA"</formula>
    </cfRule>
    <cfRule type="expression" dxfId="11873" priority="58357">
      <formula>$H619="ETAPA"</formula>
    </cfRule>
    <cfRule type="expression" dxfId="11872" priority="58358">
      <formula>$H619="SUBETAPA"</formula>
    </cfRule>
  </conditionalFormatting>
  <conditionalFormatting sqref="O620:O621 O1242:O1243 O1250">
    <cfRule type="expression" dxfId="11871" priority="86952">
      <formula>$H620="ETAPA"</formula>
    </cfRule>
  </conditionalFormatting>
  <conditionalFormatting sqref="O622:O635">
    <cfRule type="expression" dxfId="11870" priority="58379">
      <formula>$H622="SUBETAPA"</formula>
    </cfRule>
    <cfRule type="expression" dxfId="11869" priority="58380">
      <formula>$H622="ETAPA"</formula>
    </cfRule>
  </conditionalFormatting>
  <conditionalFormatting sqref="O636">
    <cfRule type="expression" dxfId="11868" priority="3584">
      <formula>$H636="SUBETAPA"</formula>
    </cfRule>
    <cfRule type="expression" dxfId="11867" priority="3585">
      <formula>$H636="CÉLULA CONSTRUTIVA"</formula>
    </cfRule>
    <cfRule type="expression" dxfId="11866" priority="3586">
      <formula>$H636="ETAPA"</formula>
    </cfRule>
  </conditionalFormatting>
  <conditionalFormatting sqref="O638">
    <cfRule type="expression" dxfId="11865" priority="59087">
      <formula>$H638="SUBETAPA"</formula>
    </cfRule>
    <cfRule type="expression" dxfId="11864" priority="59088">
      <formula>$H638="CÉLULA CONSTRUTIVA"</formula>
    </cfRule>
    <cfRule type="expression" dxfId="11863" priority="59089">
      <formula>$H638="ETAPA"</formula>
    </cfRule>
  </conditionalFormatting>
  <conditionalFormatting sqref="O649">
    <cfRule type="expression" dxfId="11862" priority="3587">
      <formula>$H649="SUBETAPA"</formula>
    </cfRule>
    <cfRule type="expression" dxfId="11861" priority="3588">
      <formula>$H649="CÉLULA CONSTRUTIVA"</formula>
    </cfRule>
    <cfRule type="expression" dxfId="11860" priority="3589">
      <formula>$H649="ETAPA"</formula>
    </cfRule>
  </conditionalFormatting>
  <conditionalFormatting sqref="O651">
    <cfRule type="expression" dxfId="11859" priority="58497">
      <formula>$H651="SUBETAPA"</formula>
    </cfRule>
    <cfRule type="expression" dxfId="11858" priority="58498">
      <formula>$H651="CÉLULA CONSTRUTIVA"</formula>
    </cfRule>
    <cfRule type="expression" dxfId="11857" priority="58499">
      <formula>$H651="ETAPA"</formula>
    </cfRule>
  </conditionalFormatting>
  <conditionalFormatting sqref="O662">
    <cfRule type="expression" dxfId="11856" priority="3590">
      <formula>$H662="SUBETAPA"</formula>
    </cfRule>
    <cfRule type="expression" dxfId="11855" priority="3591">
      <formula>$H662="CÉLULA CONSTRUTIVA"</formula>
    </cfRule>
    <cfRule type="expression" dxfId="11854" priority="3592">
      <formula>$H662="ETAPA"</formula>
    </cfRule>
  </conditionalFormatting>
  <conditionalFormatting sqref="O664">
    <cfRule type="expression" dxfId="11853" priority="58579">
      <formula>$H664="SUBETAPA"</formula>
    </cfRule>
    <cfRule type="expression" dxfId="11852" priority="58580">
      <formula>$H664="CÉLULA CONSTRUTIVA"</formula>
    </cfRule>
    <cfRule type="expression" dxfId="11851" priority="58581">
      <formula>$H664="ETAPA"</formula>
    </cfRule>
  </conditionalFormatting>
  <conditionalFormatting sqref="O675">
    <cfRule type="expression" dxfId="11850" priority="3593">
      <formula>$H675="SUBETAPA"</formula>
    </cfRule>
    <cfRule type="expression" dxfId="11849" priority="3594">
      <formula>$H675="CÉLULA CONSTRUTIVA"</formula>
    </cfRule>
    <cfRule type="expression" dxfId="11848" priority="3595">
      <formula>$H675="ETAPA"</formula>
    </cfRule>
  </conditionalFormatting>
  <conditionalFormatting sqref="O677">
    <cfRule type="expression" dxfId="11847" priority="58661">
      <formula>$H677="SUBETAPA"</formula>
    </cfRule>
    <cfRule type="expression" dxfId="11846" priority="58662">
      <formula>$H677="CÉLULA CONSTRUTIVA"</formula>
    </cfRule>
    <cfRule type="expression" dxfId="11845" priority="58663">
      <formula>$H677="ETAPA"</formula>
    </cfRule>
  </conditionalFormatting>
  <conditionalFormatting sqref="O688">
    <cfRule type="expression" dxfId="11844" priority="3596">
      <formula>$H688="SUBETAPA"</formula>
    </cfRule>
    <cfRule type="expression" dxfId="11843" priority="3597">
      <formula>$H688="CÉLULA CONSTRUTIVA"</formula>
    </cfRule>
    <cfRule type="expression" dxfId="11842" priority="3598">
      <formula>$H688="ETAPA"</formula>
    </cfRule>
  </conditionalFormatting>
  <conditionalFormatting sqref="O690">
    <cfRule type="expression" dxfId="11841" priority="58743">
      <formula>$H690="SUBETAPA"</formula>
    </cfRule>
    <cfRule type="expression" dxfId="11840" priority="58744">
      <formula>$H690="CÉLULA CONSTRUTIVA"</formula>
    </cfRule>
    <cfRule type="expression" dxfId="11839" priority="58745">
      <formula>$H690="ETAPA"</formula>
    </cfRule>
  </conditionalFormatting>
  <conditionalFormatting sqref="O701">
    <cfRule type="expression" dxfId="11838" priority="3599">
      <formula>$H701="SUBETAPA"</formula>
    </cfRule>
    <cfRule type="expression" dxfId="11837" priority="3600">
      <formula>$H701="CÉLULA CONSTRUTIVA"</formula>
    </cfRule>
    <cfRule type="expression" dxfId="11836" priority="3601">
      <formula>$H701="ETAPA"</formula>
    </cfRule>
  </conditionalFormatting>
  <conditionalFormatting sqref="O703">
    <cfRule type="expression" dxfId="11835" priority="58825">
      <formula>$H703="SUBETAPA"</formula>
    </cfRule>
    <cfRule type="expression" dxfId="11834" priority="58826">
      <formula>$H703="CÉLULA CONSTRUTIVA"</formula>
    </cfRule>
    <cfRule type="expression" dxfId="11833" priority="58827">
      <formula>$H703="ETAPA"</formula>
    </cfRule>
  </conditionalFormatting>
  <conditionalFormatting sqref="O714">
    <cfRule type="expression" dxfId="11832" priority="3602">
      <formula>$H714="SUBETAPA"</formula>
    </cfRule>
    <cfRule type="expression" dxfId="11831" priority="3603">
      <formula>$H714="CÉLULA CONSTRUTIVA"</formula>
    </cfRule>
    <cfRule type="expression" dxfId="11830" priority="3604">
      <formula>$H714="ETAPA"</formula>
    </cfRule>
  </conditionalFormatting>
  <conditionalFormatting sqref="O716">
    <cfRule type="expression" dxfId="11829" priority="58907">
      <formula>$H716="SUBETAPA"</formula>
    </cfRule>
    <cfRule type="expression" dxfId="11828" priority="58908">
      <formula>$H716="CÉLULA CONSTRUTIVA"</formula>
    </cfRule>
    <cfRule type="expression" dxfId="11827" priority="58909">
      <formula>$H716="ETAPA"</formula>
    </cfRule>
  </conditionalFormatting>
  <conditionalFormatting sqref="O727">
    <cfRule type="expression" dxfId="11826" priority="3605">
      <formula>$H727="SUBETAPA"</formula>
    </cfRule>
    <cfRule type="expression" dxfId="11825" priority="3606">
      <formula>$H727="CÉLULA CONSTRUTIVA"</formula>
    </cfRule>
    <cfRule type="expression" dxfId="11824" priority="3607">
      <formula>$H727="ETAPA"</formula>
    </cfRule>
  </conditionalFormatting>
  <conditionalFormatting sqref="O729">
    <cfRule type="expression" dxfId="11823" priority="58989">
      <formula>$H729="SUBETAPA"</formula>
    </cfRule>
    <cfRule type="expression" dxfId="11822" priority="58990">
      <formula>$H729="CÉLULA CONSTRUTIVA"</formula>
    </cfRule>
    <cfRule type="expression" dxfId="11821" priority="58991">
      <formula>$H729="ETAPA"</formula>
    </cfRule>
  </conditionalFormatting>
  <conditionalFormatting sqref="O740">
    <cfRule type="expression" dxfId="11820" priority="3608">
      <formula>$H740="SUBETAPA"</formula>
    </cfRule>
    <cfRule type="expression" dxfId="11819" priority="3609">
      <formula>$H740="CÉLULA CONSTRUTIVA"</formula>
    </cfRule>
    <cfRule type="expression" dxfId="11818" priority="3610">
      <formula>$H740="ETAPA"</formula>
    </cfRule>
  </conditionalFormatting>
  <conditionalFormatting sqref="O742">
    <cfRule type="expression" dxfId="11817" priority="59169">
      <formula>$H742="SUBETAPA"</formula>
    </cfRule>
    <cfRule type="expression" dxfId="11816" priority="59170">
      <formula>$H742="CÉLULA CONSTRUTIVA"</formula>
    </cfRule>
    <cfRule type="expression" dxfId="11815" priority="59171">
      <formula>$H742="ETAPA"</formula>
    </cfRule>
  </conditionalFormatting>
  <conditionalFormatting sqref="O753">
    <cfRule type="expression" dxfId="11814" priority="58421">
      <formula>$H753="SUBETAPA"</formula>
    </cfRule>
    <cfRule type="expression" dxfId="11813" priority="58422">
      <formula>$H753="CÉLULA CONSTRUTIVA"</formula>
    </cfRule>
    <cfRule type="expression" dxfId="11812" priority="58423">
      <formula>$H753="ETAPA"</formula>
    </cfRule>
  </conditionalFormatting>
  <conditionalFormatting sqref="O755">
    <cfRule type="expression" dxfId="11811" priority="59251">
      <formula>$H755="SUBETAPA"</formula>
    </cfRule>
    <cfRule type="expression" dxfId="11810" priority="59252">
      <formula>$H755="CÉLULA CONSTRUTIVA"</formula>
    </cfRule>
    <cfRule type="expression" dxfId="11809" priority="59253">
      <formula>$H755="ETAPA"</formula>
    </cfRule>
  </conditionalFormatting>
  <conditionalFormatting sqref="O766">
    <cfRule type="expression" dxfId="11808" priority="3611">
      <formula>$H766="SUBETAPA"</formula>
    </cfRule>
    <cfRule type="expression" dxfId="11807" priority="3612">
      <formula>$H766="CÉLULA CONSTRUTIVA"</formula>
    </cfRule>
    <cfRule type="expression" dxfId="11806" priority="3613">
      <formula>$H766="ETAPA"</formula>
    </cfRule>
  </conditionalFormatting>
  <conditionalFormatting sqref="O768">
    <cfRule type="expression" dxfId="11805" priority="59333">
      <formula>$H768="SUBETAPA"</formula>
    </cfRule>
    <cfRule type="expression" dxfId="11804" priority="59334">
      <formula>$H768="CÉLULA CONSTRUTIVA"</formula>
    </cfRule>
    <cfRule type="expression" dxfId="11803" priority="59335">
      <formula>$H768="ETAPA"</formula>
    </cfRule>
  </conditionalFormatting>
  <conditionalFormatting sqref="O779">
    <cfRule type="expression" dxfId="11802" priority="3581">
      <formula>$H779="SUBETAPA"</formula>
    </cfRule>
    <cfRule type="expression" dxfId="11801" priority="3582">
      <formula>$H779="CÉLULA CONSTRUTIVA"</formula>
    </cfRule>
    <cfRule type="expression" dxfId="11800" priority="3583">
      <formula>$H779="ETAPA"</formula>
    </cfRule>
  </conditionalFormatting>
  <conditionalFormatting sqref="O781">
    <cfRule type="expression" dxfId="11799" priority="59415">
      <formula>$H781="SUBETAPA"</formula>
    </cfRule>
    <cfRule type="expression" dxfId="11798" priority="59416">
      <formula>$H781="CÉLULA CONSTRUTIVA"</formula>
    </cfRule>
    <cfRule type="expression" dxfId="11797" priority="59417">
      <formula>$H781="ETAPA"</formula>
    </cfRule>
  </conditionalFormatting>
  <conditionalFormatting sqref="O792">
    <cfRule type="expression" dxfId="11796" priority="3578">
      <formula>$H792="SUBETAPA"</formula>
    </cfRule>
    <cfRule type="expression" dxfId="11795" priority="3579">
      <formula>$H792="CÉLULA CONSTRUTIVA"</formula>
    </cfRule>
    <cfRule type="expression" dxfId="11794" priority="3580">
      <formula>$H792="ETAPA"</formula>
    </cfRule>
  </conditionalFormatting>
  <conditionalFormatting sqref="O794">
    <cfRule type="expression" dxfId="11793" priority="59497">
      <formula>$H794="SUBETAPA"</formula>
    </cfRule>
    <cfRule type="expression" dxfId="11792" priority="59498">
      <formula>$H794="CÉLULA CONSTRUTIVA"</formula>
    </cfRule>
    <cfRule type="expression" dxfId="11791" priority="59499">
      <formula>$H794="ETAPA"</formula>
    </cfRule>
  </conditionalFormatting>
  <conditionalFormatting sqref="O805">
    <cfRule type="expression" dxfId="11790" priority="3575">
      <formula>$H805="SUBETAPA"</formula>
    </cfRule>
    <cfRule type="expression" dxfId="11789" priority="3576">
      <formula>$H805="CÉLULA CONSTRUTIVA"</formula>
    </cfRule>
    <cfRule type="expression" dxfId="11788" priority="3577">
      <formula>$H805="ETAPA"</formula>
    </cfRule>
  </conditionalFormatting>
  <conditionalFormatting sqref="O807">
    <cfRule type="expression" dxfId="11787" priority="59579">
      <formula>$H807="SUBETAPA"</formula>
    </cfRule>
    <cfRule type="expression" dxfId="11786" priority="59580">
      <formula>$H807="CÉLULA CONSTRUTIVA"</formula>
    </cfRule>
    <cfRule type="expression" dxfId="11785" priority="59581">
      <formula>$H807="ETAPA"</formula>
    </cfRule>
  </conditionalFormatting>
  <conditionalFormatting sqref="O808">
    <cfRule type="expression" dxfId="11784" priority="58350">
      <formula>$H808="CÉLULA CONSTRUTIVA"</formula>
    </cfRule>
    <cfRule type="expression" dxfId="11783" priority="58351">
      <formula>$H808="ETAPA"</formula>
    </cfRule>
    <cfRule type="expression" dxfId="11782" priority="58352">
      <formula>$H808="SUBETAPA"</formula>
    </cfRule>
  </conditionalFormatting>
  <conditionalFormatting sqref="O809">
    <cfRule type="expression" dxfId="11781" priority="56833">
      <formula>$H809="SUBETAPA"</formula>
    </cfRule>
    <cfRule type="expression" dxfId="11780" priority="56834">
      <formula>$H809="CÉLULA CONSTRUTIVA"</formula>
    </cfRule>
    <cfRule type="expression" dxfId="11779" priority="56835">
      <formula>$H809="ETAPA"</formula>
    </cfRule>
  </conditionalFormatting>
  <conditionalFormatting sqref="O811">
    <cfRule type="expression" dxfId="11778" priority="56814">
      <formula>$H811="SUBETAPA"</formula>
    </cfRule>
    <cfRule type="expression" dxfId="11777" priority="56815">
      <formula>$H811="ETAPA"</formula>
    </cfRule>
  </conditionalFormatting>
  <conditionalFormatting sqref="O813">
    <cfRule type="expression" dxfId="11776" priority="56812">
      <formula>$H813="SUBETAPA"</formula>
    </cfRule>
    <cfRule type="expression" dxfId="11775" priority="56813">
      <formula>$H813="ETAPA"</formula>
    </cfRule>
  </conditionalFormatting>
  <conditionalFormatting sqref="O814">
    <cfRule type="expression" dxfId="11774" priority="56820">
      <formula>$H814="SUBETAPA"</formula>
    </cfRule>
    <cfRule type="expression" dxfId="11773" priority="56821">
      <formula>$H814="CÉLULA CONSTRUTIVA"</formula>
    </cfRule>
    <cfRule type="expression" dxfId="11772" priority="56822">
      <formula>$H814="ETAPA"</formula>
    </cfRule>
  </conditionalFormatting>
  <conditionalFormatting sqref="O815">
    <cfRule type="expression" dxfId="11771" priority="56808">
      <formula>$H815="SUBETAPA"</formula>
    </cfRule>
    <cfRule type="expression" dxfId="11770" priority="56809">
      <formula>$H815="ETAPA"</formula>
    </cfRule>
  </conditionalFormatting>
  <conditionalFormatting sqref="O816 O812">
    <cfRule type="expression" dxfId="11769" priority="56823">
      <formula>$H812="SUBETAPA"</formula>
    </cfRule>
    <cfRule type="expression" dxfId="11768" priority="56824">
      <formula>$H812="CÉLULA CONSTRUTIVA"</formula>
    </cfRule>
    <cfRule type="expression" dxfId="11767" priority="56825">
      <formula>$H812="ETAPA"</formula>
    </cfRule>
  </conditionalFormatting>
  <conditionalFormatting sqref="O817">
    <cfRule type="expression" dxfId="11766" priority="56794">
      <formula>$H817="SUBETAPA"</formula>
    </cfRule>
    <cfRule type="expression" dxfId="11765" priority="56795">
      <formula>$H817="ETAPA"</formula>
    </cfRule>
    <cfRule type="expression" dxfId="11764" priority="56796">
      <formula>$H817="CÉLULA CONSTRUTIVA"</formula>
    </cfRule>
  </conditionalFormatting>
  <conditionalFormatting sqref="O818">
    <cfRule type="expression" dxfId="11763" priority="56816">
      <formula>$H818="SUBETAPA"</formula>
    </cfRule>
    <cfRule type="expression" dxfId="11762" priority="56817">
      <formula>$H818="CÉLULA CONSTRUTIVA"</formula>
    </cfRule>
    <cfRule type="expression" dxfId="11761" priority="56818">
      <formula>$H818="ETAPA"</formula>
    </cfRule>
  </conditionalFormatting>
  <conditionalFormatting sqref="O819">
    <cfRule type="expression" dxfId="11760" priority="3430">
      <formula>$H819="ETAPA"</formula>
    </cfRule>
    <cfRule type="expression" dxfId="11759" priority="3431">
      <formula>$H819="SUBETAPA"</formula>
    </cfRule>
    <cfRule type="expression" dxfId="11758" priority="3432">
      <formula>$H819="ETAPA"</formula>
    </cfRule>
    <cfRule type="expression" dxfId="11757" priority="3433">
      <formula>$H819="SUBETAPA"</formula>
    </cfRule>
    <cfRule type="expression" dxfId="11756" priority="3434">
      <formula>$H819="ETAPA"</formula>
    </cfRule>
    <cfRule type="expression" dxfId="11755" priority="3435">
      <formula>$H819="SUBETAPA"</formula>
    </cfRule>
    <cfRule type="expression" dxfId="11754" priority="3436">
      <formula>$H819="CÉLULA CONSTRUTIVA"</formula>
    </cfRule>
  </conditionalFormatting>
  <conditionalFormatting sqref="O820">
    <cfRule type="expression" dxfId="11753" priority="56942">
      <formula>$H820="SUBETAPA"</formula>
    </cfRule>
    <cfRule type="expression" dxfId="11752" priority="56943">
      <formula>$H820="CÉLULA CONSTRUTIVA"</formula>
    </cfRule>
    <cfRule type="expression" dxfId="11751" priority="56944">
      <formula>$H820="ETAPA"</formula>
    </cfRule>
  </conditionalFormatting>
  <conditionalFormatting sqref="O822">
    <cfRule type="expression" dxfId="11750" priority="56923">
      <formula>$H822="SUBETAPA"</formula>
    </cfRule>
    <cfRule type="expression" dxfId="11749" priority="56924">
      <formula>$H822="ETAPA"</formula>
    </cfRule>
  </conditionalFormatting>
  <conditionalFormatting sqref="O823">
    <cfRule type="expression" dxfId="11748" priority="56932">
      <formula>$H823="SUBETAPA"</formula>
    </cfRule>
    <cfRule type="expression" dxfId="11747" priority="56933">
      <formula>$H823="CÉLULA CONSTRUTIVA"</formula>
    </cfRule>
    <cfRule type="expression" dxfId="11746" priority="56934">
      <formula>$H823="ETAPA"</formula>
    </cfRule>
  </conditionalFormatting>
  <conditionalFormatting sqref="O824">
    <cfRule type="expression" dxfId="11745" priority="56921">
      <formula>$H824="SUBETAPA"</formula>
    </cfRule>
    <cfRule type="expression" dxfId="11744" priority="56922">
      <formula>$H824="ETAPA"</formula>
    </cfRule>
  </conditionalFormatting>
  <conditionalFormatting sqref="O825">
    <cfRule type="expression" dxfId="11743" priority="56929">
      <formula>$H825="SUBETAPA"</formula>
    </cfRule>
    <cfRule type="expression" dxfId="11742" priority="56930">
      <formula>$H825="CÉLULA CONSTRUTIVA"</formula>
    </cfRule>
    <cfRule type="expression" dxfId="11741" priority="56931">
      <formula>$H825="ETAPA"</formula>
    </cfRule>
  </conditionalFormatting>
  <conditionalFormatting sqref="O826">
    <cfRule type="expression" dxfId="11740" priority="56917">
      <formula>$H826="SUBETAPA"</formula>
    </cfRule>
    <cfRule type="expression" dxfId="11739" priority="56918">
      <formula>$H826="ETAPA"</formula>
    </cfRule>
  </conditionalFormatting>
  <conditionalFormatting sqref="O827">
    <cfRule type="expression" dxfId="11738" priority="56925">
      <formula>$H827="SUBETAPA"</formula>
    </cfRule>
    <cfRule type="expression" dxfId="11737" priority="56926">
      <formula>$H827="CÉLULA CONSTRUTIVA"</formula>
    </cfRule>
    <cfRule type="expression" dxfId="11736" priority="56927">
      <formula>$H827="ETAPA"</formula>
    </cfRule>
  </conditionalFormatting>
  <conditionalFormatting sqref="O828">
    <cfRule type="expression" dxfId="11735" priority="3423">
      <formula>$H828="ETAPA"</formula>
    </cfRule>
    <cfRule type="expression" dxfId="11734" priority="3424">
      <formula>$H828="SUBETAPA"</formula>
    </cfRule>
    <cfRule type="expression" dxfId="11733" priority="3425">
      <formula>$H828="ETAPA"</formula>
    </cfRule>
    <cfRule type="expression" dxfId="11732" priority="3426">
      <formula>$H828="SUBETAPA"</formula>
    </cfRule>
    <cfRule type="expression" dxfId="11731" priority="3427">
      <formula>$H828="ETAPA"</formula>
    </cfRule>
    <cfRule type="expression" dxfId="11730" priority="3428">
      <formula>$H828="SUBETAPA"</formula>
    </cfRule>
    <cfRule type="expression" dxfId="11729" priority="3429">
      <formula>$H828="CÉLULA CONSTRUTIVA"</formula>
    </cfRule>
  </conditionalFormatting>
  <conditionalFormatting sqref="O829">
    <cfRule type="expression" dxfId="11728" priority="57051">
      <formula>$H829="SUBETAPA"</formula>
    </cfRule>
    <cfRule type="expression" dxfId="11727" priority="57052">
      <formula>$H829="CÉLULA CONSTRUTIVA"</formula>
    </cfRule>
    <cfRule type="expression" dxfId="11726" priority="57053">
      <formula>$H829="ETAPA"</formula>
    </cfRule>
  </conditionalFormatting>
  <conditionalFormatting sqref="O831">
    <cfRule type="expression" dxfId="11725" priority="57032">
      <formula>$H831="SUBETAPA"</formula>
    </cfRule>
    <cfRule type="expression" dxfId="11724" priority="57033">
      <formula>$H831="ETAPA"</formula>
    </cfRule>
  </conditionalFormatting>
  <conditionalFormatting sqref="O832">
    <cfRule type="expression" dxfId="11723" priority="57041">
      <formula>$H832="SUBETAPA"</formula>
    </cfRule>
    <cfRule type="expression" dxfId="11722" priority="57042">
      <formula>$H832="CÉLULA CONSTRUTIVA"</formula>
    </cfRule>
    <cfRule type="expression" dxfId="11721" priority="57043">
      <formula>$H832="ETAPA"</formula>
    </cfRule>
  </conditionalFormatting>
  <conditionalFormatting sqref="O833">
    <cfRule type="expression" dxfId="11720" priority="57030">
      <formula>$H833="SUBETAPA"</formula>
    </cfRule>
    <cfRule type="expression" dxfId="11719" priority="57031">
      <formula>$H833="ETAPA"</formula>
    </cfRule>
  </conditionalFormatting>
  <conditionalFormatting sqref="O834">
    <cfRule type="expression" dxfId="11718" priority="57038">
      <formula>$H834="SUBETAPA"</formula>
    </cfRule>
    <cfRule type="expression" dxfId="11717" priority="57039">
      <formula>$H834="CÉLULA CONSTRUTIVA"</formula>
    </cfRule>
    <cfRule type="expression" dxfId="11716" priority="57040">
      <formula>$H834="ETAPA"</formula>
    </cfRule>
  </conditionalFormatting>
  <conditionalFormatting sqref="O835">
    <cfRule type="expression" dxfId="11715" priority="57026">
      <formula>$H835="SUBETAPA"</formula>
    </cfRule>
    <cfRule type="expression" dxfId="11714" priority="57027">
      <formula>$H835="ETAPA"</formula>
    </cfRule>
  </conditionalFormatting>
  <conditionalFormatting sqref="O836">
    <cfRule type="expression" dxfId="11713" priority="57034">
      <formula>$H836="SUBETAPA"</formula>
    </cfRule>
    <cfRule type="expression" dxfId="11712" priority="57035">
      <formula>$H836="CÉLULA CONSTRUTIVA"</formula>
    </cfRule>
    <cfRule type="expression" dxfId="11711" priority="57036">
      <formula>$H836="ETAPA"</formula>
    </cfRule>
  </conditionalFormatting>
  <conditionalFormatting sqref="O837">
    <cfRule type="expression" dxfId="11710" priority="3415">
      <formula>$H837="ETAPA"</formula>
    </cfRule>
    <cfRule type="expression" dxfId="11709" priority="3416">
      <formula>$H837="SUBETAPA"</formula>
    </cfRule>
    <cfRule type="expression" dxfId="11708" priority="3417">
      <formula>$H837="ETAPA"</formula>
    </cfRule>
    <cfRule type="expression" dxfId="11707" priority="3418">
      <formula>$H837="SUBETAPA"</formula>
    </cfRule>
    <cfRule type="expression" dxfId="11706" priority="3419">
      <formula>$H837="ETAPA"</formula>
    </cfRule>
    <cfRule type="expression" dxfId="11705" priority="3420">
      <formula>$H837="SUBETAPA"</formula>
    </cfRule>
    <cfRule type="expression" dxfId="11704" priority="3421">
      <formula>$H837="CÉLULA CONSTRUTIVA"</formula>
    </cfRule>
  </conditionalFormatting>
  <conditionalFormatting sqref="O838">
    <cfRule type="expression" dxfId="11703" priority="57160">
      <formula>$H838="SUBETAPA"</formula>
    </cfRule>
    <cfRule type="expression" dxfId="11702" priority="57161">
      <formula>$H838="CÉLULA CONSTRUTIVA"</formula>
    </cfRule>
    <cfRule type="expression" dxfId="11701" priority="57162">
      <formula>$H838="ETAPA"</formula>
    </cfRule>
  </conditionalFormatting>
  <conditionalFormatting sqref="O840">
    <cfRule type="expression" dxfId="11700" priority="57141">
      <formula>$H840="SUBETAPA"</formula>
    </cfRule>
    <cfRule type="expression" dxfId="11699" priority="57142">
      <formula>$H840="ETAPA"</formula>
    </cfRule>
  </conditionalFormatting>
  <conditionalFormatting sqref="O841">
    <cfRule type="expression" dxfId="11698" priority="57150">
      <formula>$H841="SUBETAPA"</formula>
    </cfRule>
    <cfRule type="expression" dxfId="11697" priority="57151">
      <formula>$H841="CÉLULA CONSTRUTIVA"</formula>
    </cfRule>
    <cfRule type="expression" dxfId="11696" priority="57152">
      <formula>$H841="ETAPA"</formula>
    </cfRule>
  </conditionalFormatting>
  <conditionalFormatting sqref="O842">
    <cfRule type="expression" dxfId="11695" priority="57139">
      <formula>$H842="SUBETAPA"</formula>
    </cfRule>
    <cfRule type="expression" dxfId="11694" priority="57140">
      <formula>$H842="ETAPA"</formula>
    </cfRule>
  </conditionalFormatting>
  <conditionalFormatting sqref="O843">
    <cfRule type="expression" dxfId="11693" priority="57147">
      <formula>$H843="SUBETAPA"</formula>
    </cfRule>
    <cfRule type="expression" dxfId="11692" priority="57148">
      <formula>$H843="CÉLULA CONSTRUTIVA"</formula>
    </cfRule>
    <cfRule type="expression" dxfId="11691" priority="57149">
      <formula>$H843="ETAPA"</formula>
    </cfRule>
  </conditionalFormatting>
  <conditionalFormatting sqref="O844">
    <cfRule type="expression" dxfId="11690" priority="57135">
      <formula>$H844="SUBETAPA"</formula>
    </cfRule>
    <cfRule type="expression" dxfId="11689" priority="57136">
      <formula>$H844="ETAPA"</formula>
    </cfRule>
  </conditionalFormatting>
  <conditionalFormatting sqref="O845">
    <cfRule type="expression" dxfId="11688" priority="57143">
      <formula>$H845="SUBETAPA"</formula>
    </cfRule>
    <cfRule type="expression" dxfId="11687" priority="57144">
      <formula>$H845="CÉLULA CONSTRUTIVA"</formula>
    </cfRule>
    <cfRule type="expression" dxfId="11686" priority="57145">
      <formula>$H845="ETAPA"</formula>
    </cfRule>
  </conditionalFormatting>
  <conditionalFormatting sqref="O846">
    <cfRule type="expression" dxfId="11685" priority="3407">
      <formula>$H846="ETAPA"</formula>
    </cfRule>
    <cfRule type="expression" dxfId="11684" priority="3408">
      <formula>$H846="SUBETAPA"</formula>
    </cfRule>
    <cfRule type="expression" dxfId="11683" priority="3409">
      <formula>$H846="ETAPA"</formula>
    </cfRule>
    <cfRule type="expression" dxfId="11682" priority="3410">
      <formula>$H846="SUBETAPA"</formula>
    </cfRule>
    <cfRule type="expression" dxfId="11681" priority="3411">
      <formula>$H846="ETAPA"</formula>
    </cfRule>
    <cfRule type="expression" dxfId="11680" priority="3412">
      <formula>$H846="SUBETAPA"</formula>
    </cfRule>
    <cfRule type="expression" dxfId="11679" priority="3413">
      <formula>$H846="CÉLULA CONSTRUTIVA"</formula>
    </cfRule>
  </conditionalFormatting>
  <conditionalFormatting sqref="O847">
    <cfRule type="expression" dxfId="11678" priority="57269">
      <formula>$H847="SUBETAPA"</formula>
    </cfRule>
    <cfRule type="expression" dxfId="11677" priority="57270">
      <formula>$H847="CÉLULA CONSTRUTIVA"</formula>
    </cfRule>
    <cfRule type="expression" dxfId="11676" priority="57271">
      <formula>$H847="ETAPA"</formula>
    </cfRule>
  </conditionalFormatting>
  <conditionalFormatting sqref="O849">
    <cfRule type="expression" dxfId="11675" priority="57250">
      <formula>$H849="SUBETAPA"</formula>
    </cfRule>
    <cfRule type="expression" dxfId="11674" priority="57251">
      <formula>$H849="ETAPA"</formula>
    </cfRule>
  </conditionalFormatting>
  <conditionalFormatting sqref="O850">
    <cfRule type="expression" dxfId="11673" priority="57259">
      <formula>$H850="SUBETAPA"</formula>
    </cfRule>
    <cfRule type="expression" dxfId="11672" priority="57260">
      <formula>$H850="CÉLULA CONSTRUTIVA"</formula>
    </cfRule>
    <cfRule type="expression" dxfId="11671" priority="57261">
      <formula>$H850="ETAPA"</formula>
    </cfRule>
  </conditionalFormatting>
  <conditionalFormatting sqref="O851">
    <cfRule type="expression" dxfId="11670" priority="57248">
      <formula>$H851="SUBETAPA"</formula>
    </cfRule>
    <cfRule type="expression" dxfId="11669" priority="57249">
      <formula>$H851="ETAPA"</formula>
    </cfRule>
  </conditionalFormatting>
  <conditionalFormatting sqref="O852">
    <cfRule type="expression" dxfId="11668" priority="57256">
      <formula>$H852="SUBETAPA"</formula>
    </cfRule>
    <cfRule type="expression" dxfId="11667" priority="57257">
      <formula>$H852="CÉLULA CONSTRUTIVA"</formula>
    </cfRule>
    <cfRule type="expression" dxfId="11666" priority="57258">
      <formula>$H852="ETAPA"</formula>
    </cfRule>
  </conditionalFormatting>
  <conditionalFormatting sqref="O853">
    <cfRule type="expression" dxfId="11665" priority="57244">
      <formula>$H853="SUBETAPA"</formula>
    </cfRule>
    <cfRule type="expression" dxfId="11664" priority="57245">
      <formula>$H853="ETAPA"</formula>
    </cfRule>
  </conditionalFormatting>
  <conditionalFormatting sqref="O854">
    <cfRule type="expression" dxfId="11663" priority="57252">
      <formula>$H854="SUBETAPA"</formula>
    </cfRule>
    <cfRule type="expression" dxfId="11662" priority="57253">
      <formula>$H854="CÉLULA CONSTRUTIVA"</formula>
    </cfRule>
    <cfRule type="expression" dxfId="11661" priority="57254">
      <formula>$H854="ETAPA"</formula>
    </cfRule>
  </conditionalFormatting>
  <conditionalFormatting sqref="O855">
    <cfRule type="expression" dxfId="11660" priority="3399">
      <formula>$H855="ETAPA"</formula>
    </cfRule>
    <cfRule type="expression" dxfId="11659" priority="3400">
      <formula>$H855="SUBETAPA"</formula>
    </cfRule>
    <cfRule type="expression" dxfId="11658" priority="3401">
      <formula>$H855="ETAPA"</formula>
    </cfRule>
    <cfRule type="expression" dxfId="11657" priority="3402">
      <formula>$H855="SUBETAPA"</formula>
    </cfRule>
    <cfRule type="expression" dxfId="11656" priority="3403">
      <formula>$H855="ETAPA"</formula>
    </cfRule>
    <cfRule type="expression" dxfId="11655" priority="3404">
      <formula>$H855="SUBETAPA"</formula>
    </cfRule>
    <cfRule type="expression" dxfId="11654" priority="3405">
      <formula>$H855="CÉLULA CONSTRUTIVA"</formula>
    </cfRule>
  </conditionalFormatting>
  <conditionalFormatting sqref="O856">
    <cfRule type="expression" dxfId="11653" priority="57378">
      <formula>$H856="SUBETAPA"</formula>
    </cfRule>
    <cfRule type="expression" dxfId="11652" priority="57379">
      <formula>$H856="CÉLULA CONSTRUTIVA"</formula>
    </cfRule>
    <cfRule type="expression" dxfId="11651" priority="57380">
      <formula>$H856="ETAPA"</formula>
    </cfRule>
  </conditionalFormatting>
  <conditionalFormatting sqref="O858">
    <cfRule type="expression" dxfId="11650" priority="57359">
      <formula>$H858="SUBETAPA"</formula>
    </cfRule>
    <cfRule type="expression" dxfId="11649" priority="57360">
      <formula>$H858="ETAPA"</formula>
    </cfRule>
  </conditionalFormatting>
  <conditionalFormatting sqref="O859">
    <cfRule type="expression" dxfId="11648" priority="57368">
      <formula>$H859="SUBETAPA"</formula>
    </cfRule>
    <cfRule type="expression" dxfId="11647" priority="57369">
      <formula>$H859="CÉLULA CONSTRUTIVA"</formula>
    </cfRule>
    <cfRule type="expression" dxfId="11646" priority="57370">
      <formula>$H859="ETAPA"</formula>
    </cfRule>
  </conditionalFormatting>
  <conditionalFormatting sqref="O860">
    <cfRule type="expression" dxfId="11645" priority="57357">
      <formula>$H860="SUBETAPA"</formula>
    </cfRule>
    <cfRule type="expression" dxfId="11644" priority="57358">
      <formula>$H860="ETAPA"</formula>
    </cfRule>
  </conditionalFormatting>
  <conditionalFormatting sqref="O861">
    <cfRule type="expression" dxfId="11643" priority="57365">
      <formula>$H861="SUBETAPA"</formula>
    </cfRule>
    <cfRule type="expression" dxfId="11642" priority="57366">
      <formula>$H861="CÉLULA CONSTRUTIVA"</formula>
    </cfRule>
    <cfRule type="expression" dxfId="11641" priority="57367">
      <formula>$H861="ETAPA"</formula>
    </cfRule>
  </conditionalFormatting>
  <conditionalFormatting sqref="O862">
    <cfRule type="expression" dxfId="11640" priority="57353">
      <formula>$H862="SUBETAPA"</formula>
    </cfRule>
    <cfRule type="expression" dxfId="11639" priority="57354">
      <formula>$H862="ETAPA"</formula>
    </cfRule>
  </conditionalFormatting>
  <conditionalFormatting sqref="O863">
    <cfRule type="expression" dxfId="11638" priority="57361">
      <formula>$H863="SUBETAPA"</formula>
    </cfRule>
    <cfRule type="expression" dxfId="11637" priority="57362">
      <formula>$H863="CÉLULA CONSTRUTIVA"</formula>
    </cfRule>
    <cfRule type="expression" dxfId="11636" priority="57363">
      <formula>$H863="ETAPA"</formula>
    </cfRule>
  </conditionalFormatting>
  <conditionalFormatting sqref="O864">
    <cfRule type="expression" dxfId="11635" priority="3391">
      <formula>$H864="ETAPA"</formula>
    </cfRule>
    <cfRule type="expression" dxfId="11634" priority="3392">
      <formula>$H864="SUBETAPA"</formula>
    </cfRule>
    <cfRule type="expression" dxfId="11633" priority="3393">
      <formula>$H864="ETAPA"</formula>
    </cfRule>
    <cfRule type="expression" dxfId="11632" priority="3394">
      <formula>$H864="SUBETAPA"</formula>
    </cfRule>
    <cfRule type="expression" dxfId="11631" priority="3395">
      <formula>$H864="ETAPA"</formula>
    </cfRule>
    <cfRule type="expression" dxfId="11630" priority="3396">
      <formula>$H864="SUBETAPA"</formula>
    </cfRule>
    <cfRule type="expression" dxfId="11629" priority="3397">
      <formula>$H864="CÉLULA CONSTRUTIVA"</formula>
    </cfRule>
  </conditionalFormatting>
  <conditionalFormatting sqref="O865">
    <cfRule type="expression" dxfId="11628" priority="57487">
      <formula>$H865="SUBETAPA"</formula>
    </cfRule>
    <cfRule type="expression" dxfId="11627" priority="57488">
      <formula>$H865="CÉLULA CONSTRUTIVA"</formula>
    </cfRule>
    <cfRule type="expression" dxfId="11626" priority="57489">
      <formula>$H865="ETAPA"</formula>
    </cfRule>
  </conditionalFormatting>
  <conditionalFormatting sqref="O867">
    <cfRule type="expression" dxfId="11625" priority="57468">
      <formula>$H867="SUBETAPA"</formula>
    </cfRule>
    <cfRule type="expression" dxfId="11624" priority="57469">
      <formula>$H867="ETAPA"</formula>
    </cfRule>
  </conditionalFormatting>
  <conditionalFormatting sqref="O868">
    <cfRule type="expression" dxfId="11623" priority="57477">
      <formula>$H868="SUBETAPA"</formula>
    </cfRule>
    <cfRule type="expression" dxfId="11622" priority="57478">
      <formula>$H868="CÉLULA CONSTRUTIVA"</formula>
    </cfRule>
    <cfRule type="expression" dxfId="11621" priority="57479">
      <formula>$H868="ETAPA"</formula>
    </cfRule>
  </conditionalFormatting>
  <conditionalFormatting sqref="O869">
    <cfRule type="expression" dxfId="11620" priority="57466">
      <formula>$H869="SUBETAPA"</formula>
    </cfRule>
    <cfRule type="expression" dxfId="11619" priority="57467">
      <formula>$H869="ETAPA"</formula>
    </cfRule>
  </conditionalFormatting>
  <conditionalFormatting sqref="O870">
    <cfRule type="expression" dxfId="11618" priority="57474">
      <formula>$H870="SUBETAPA"</formula>
    </cfRule>
    <cfRule type="expression" dxfId="11617" priority="57475">
      <formula>$H870="CÉLULA CONSTRUTIVA"</formula>
    </cfRule>
    <cfRule type="expression" dxfId="11616" priority="57476">
      <formula>$H870="ETAPA"</formula>
    </cfRule>
  </conditionalFormatting>
  <conditionalFormatting sqref="O871">
    <cfRule type="expression" dxfId="11615" priority="57462">
      <formula>$H871="SUBETAPA"</formula>
    </cfRule>
    <cfRule type="expression" dxfId="11614" priority="57463">
      <formula>$H871="ETAPA"</formula>
    </cfRule>
  </conditionalFormatting>
  <conditionalFormatting sqref="O872">
    <cfRule type="expression" dxfId="11613" priority="57470">
      <formula>$H872="SUBETAPA"</formula>
    </cfRule>
    <cfRule type="expression" dxfId="11612" priority="57471">
      <formula>$H872="CÉLULA CONSTRUTIVA"</formula>
    </cfRule>
    <cfRule type="expression" dxfId="11611" priority="57472">
      <formula>$H872="ETAPA"</formula>
    </cfRule>
  </conditionalFormatting>
  <conditionalFormatting sqref="O873">
    <cfRule type="expression" dxfId="11610" priority="3383">
      <formula>$H873="ETAPA"</formula>
    </cfRule>
    <cfRule type="expression" dxfId="11609" priority="3384">
      <formula>$H873="SUBETAPA"</formula>
    </cfRule>
    <cfRule type="expression" dxfId="11608" priority="3385">
      <formula>$H873="ETAPA"</formula>
    </cfRule>
    <cfRule type="expression" dxfId="11607" priority="3386">
      <formula>$H873="SUBETAPA"</formula>
    </cfRule>
    <cfRule type="expression" dxfId="11606" priority="3387">
      <formula>$H873="ETAPA"</formula>
    </cfRule>
    <cfRule type="expression" dxfId="11605" priority="3388">
      <formula>$H873="SUBETAPA"</formula>
    </cfRule>
    <cfRule type="expression" dxfId="11604" priority="3389">
      <formula>$H873="CÉLULA CONSTRUTIVA"</formula>
    </cfRule>
  </conditionalFormatting>
  <conditionalFormatting sqref="O874">
    <cfRule type="expression" dxfId="11603" priority="57596">
      <formula>$H874="SUBETAPA"</formula>
    </cfRule>
    <cfRule type="expression" dxfId="11602" priority="57597">
      <formula>$H874="CÉLULA CONSTRUTIVA"</formula>
    </cfRule>
    <cfRule type="expression" dxfId="11601" priority="57598">
      <formula>$H874="ETAPA"</formula>
    </cfRule>
  </conditionalFormatting>
  <conditionalFormatting sqref="O876">
    <cfRule type="expression" dxfId="11600" priority="57577">
      <formula>$H876="SUBETAPA"</formula>
    </cfRule>
    <cfRule type="expression" dxfId="11599" priority="57578">
      <formula>$H876="ETAPA"</formula>
    </cfRule>
  </conditionalFormatting>
  <conditionalFormatting sqref="O877">
    <cfRule type="expression" dxfId="11598" priority="57586">
      <formula>$H877="SUBETAPA"</formula>
    </cfRule>
    <cfRule type="expression" dxfId="11597" priority="57587">
      <formula>$H877="CÉLULA CONSTRUTIVA"</formula>
    </cfRule>
    <cfRule type="expression" dxfId="11596" priority="57588">
      <formula>$H877="ETAPA"</formula>
    </cfRule>
  </conditionalFormatting>
  <conditionalFormatting sqref="O878">
    <cfRule type="expression" dxfId="11595" priority="57575">
      <formula>$H878="SUBETAPA"</formula>
    </cfRule>
    <cfRule type="expression" dxfId="11594" priority="57576">
      <formula>$H878="ETAPA"</formula>
    </cfRule>
  </conditionalFormatting>
  <conditionalFormatting sqref="O879">
    <cfRule type="expression" dxfId="11593" priority="57583">
      <formula>$H879="SUBETAPA"</formula>
    </cfRule>
    <cfRule type="expression" dxfId="11592" priority="57584">
      <formula>$H879="CÉLULA CONSTRUTIVA"</formula>
    </cfRule>
    <cfRule type="expression" dxfId="11591" priority="57585">
      <formula>$H879="ETAPA"</formula>
    </cfRule>
  </conditionalFormatting>
  <conditionalFormatting sqref="O880">
    <cfRule type="expression" dxfId="11590" priority="57571">
      <formula>$H880="SUBETAPA"</formula>
    </cfRule>
    <cfRule type="expression" dxfId="11589" priority="57572">
      <formula>$H880="ETAPA"</formula>
    </cfRule>
  </conditionalFormatting>
  <conditionalFormatting sqref="O881">
    <cfRule type="expression" dxfId="11588" priority="57579">
      <formula>$H881="SUBETAPA"</formula>
    </cfRule>
    <cfRule type="expression" dxfId="11587" priority="57580">
      <formula>$H881="CÉLULA CONSTRUTIVA"</formula>
    </cfRule>
    <cfRule type="expression" dxfId="11586" priority="57581">
      <formula>$H881="ETAPA"</formula>
    </cfRule>
  </conditionalFormatting>
  <conditionalFormatting sqref="O882">
    <cfRule type="expression" dxfId="11585" priority="3375">
      <formula>$H882="ETAPA"</formula>
    </cfRule>
    <cfRule type="expression" dxfId="11584" priority="3376">
      <formula>$H882="SUBETAPA"</formula>
    </cfRule>
    <cfRule type="expression" dxfId="11583" priority="3377">
      <formula>$H882="ETAPA"</formula>
    </cfRule>
    <cfRule type="expression" dxfId="11582" priority="3378">
      <formula>$H882="SUBETAPA"</formula>
    </cfRule>
    <cfRule type="expression" dxfId="11581" priority="3379">
      <formula>$H882="ETAPA"</formula>
    </cfRule>
    <cfRule type="expression" dxfId="11580" priority="3380">
      <formula>$H882="SUBETAPA"</formula>
    </cfRule>
    <cfRule type="expression" dxfId="11579" priority="3381">
      <formula>$H882="CÉLULA CONSTRUTIVA"</formula>
    </cfRule>
  </conditionalFormatting>
  <conditionalFormatting sqref="O883">
    <cfRule type="expression" dxfId="11578" priority="57705">
      <formula>$H883="SUBETAPA"</formula>
    </cfRule>
    <cfRule type="expression" dxfId="11577" priority="57706">
      <formula>$H883="CÉLULA CONSTRUTIVA"</formula>
    </cfRule>
    <cfRule type="expression" dxfId="11576" priority="57707">
      <formula>$H883="ETAPA"</formula>
    </cfRule>
  </conditionalFormatting>
  <conditionalFormatting sqref="O885">
    <cfRule type="expression" dxfId="11575" priority="57686">
      <formula>$H885="SUBETAPA"</formula>
    </cfRule>
    <cfRule type="expression" dxfId="11574" priority="57687">
      <formula>$H885="ETAPA"</formula>
    </cfRule>
  </conditionalFormatting>
  <conditionalFormatting sqref="O886">
    <cfRule type="expression" dxfId="11573" priority="57695">
      <formula>$H886="SUBETAPA"</formula>
    </cfRule>
    <cfRule type="expression" dxfId="11572" priority="57696">
      <formula>$H886="CÉLULA CONSTRUTIVA"</formula>
    </cfRule>
    <cfRule type="expression" dxfId="11571" priority="57697">
      <formula>$H886="ETAPA"</formula>
    </cfRule>
  </conditionalFormatting>
  <conditionalFormatting sqref="O887">
    <cfRule type="expression" dxfId="11570" priority="57684">
      <formula>$H887="SUBETAPA"</formula>
    </cfRule>
    <cfRule type="expression" dxfId="11569" priority="57685">
      <formula>$H887="ETAPA"</formula>
    </cfRule>
  </conditionalFormatting>
  <conditionalFormatting sqref="O888">
    <cfRule type="expression" dxfId="11568" priority="57692">
      <formula>$H888="SUBETAPA"</formula>
    </cfRule>
    <cfRule type="expression" dxfId="11567" priority="57693">
      <formula>$H888="CÉLULA CONSTRUTIVA"</formula>
    </cfRule>
    <cfRule type="expression" dxfId="11566" priority="57694">
      <formula>$H888="ETAPA"</formula>
    </cfRule>
  </conditionalFormatting>
  <conditionalFormatting sqref="O889">
    <cfRule type="expression" dxfId="11565" priority="57680">
      <formula>$H889="SUBETAPA"</formula>
    </cfRule>
    <cfRule type="expression" dxfId="11564" priority="57681">
      <formula>$H889="ETAPA"</formula>
    </cfRule>
  </conditionalFormatting>
  <conditionalFormatting sqref="O890">
    <cfRule type="expression" dxfId="11563" priority="57688">
      <formula>$H890="SUBETAPA"</formula>
    </cfRule>
    <cfRule type="expression" dxfId="11562" priority="57689">
      <formula>$H890="CÉLULA CONSTRUTIVA"</formula>
    </cfRule>
    <cfRule type="expression" dxfId="11561" priority="57690">
      <formula>$H890="ETAPA"</formula>
    </cfRule>
  </conditionalFormatting>
  <conditionalFormatting sqref="O891">
    <cfRule type="expression" dxfId="11560" priority="3367">
      <formula>$H891="ETAPA"</formula>
    </cfRule>
    <cfRule type="expression" dxfId="11559" priority="3368">
      <formula>$H891="SUBETAPA"</formula>
    </cfRule>
    <cfRule type="expression" dxfId="11558" priority="3369">
      <formula>$H891="ETAPA"</formula>
    </cfRule>
    <cfRule type="expression" dxfId="11557" priority="3370">
      <formula>$H891="SUBETAPA"</formula>
    </cfRule>
    <cfRule type="expression" dxfId="11556" priority="3371">
      <formula>$H891="ETAPA"</formula>
    </cfRule>
    <cfRule type="expression" dxfId="11555" priority="3372">
      <formula>$H891="SUBETAPA"</formula>
    </cfRule>
    <cfRule type="expression" dxfId="11554" priority="3373">
      <formula>$H891="CÉLULA CONSTRUTIVA"</formula>
    </cfRule>
  </conditionalFormatting>
  <conditionalFormatting sqref="O892">
    <cfRule type="expression" dxfId="11553" priority="57814">
      <formula>$H892="SUBETAPA"</formula>
    </cfRule>
    <cfRule type="expression" dxfId="11552" priority="57815">
      <formula>$H892="CÉLULA CONSTRUTIVA"</formula>
    </cfRule>
    <cfRule type="expression" dxfId="11551" priority="57816">
      <formula>$H892="ETAPA"</formula>
    </cfRule>
  </conditionalFormatting>
  <conditionalFormatting sqref="O894">
    <cfRule type="expression" dxfId="11550" priority="57795">
      <formula>$H894="SUBETAPA"</formula>
    </cfRule>
    <cfRule type="expression" dxfId="11549" priority="57796">
      <formula>$H894="ETAPA"</formula>
    </cfRule>
  </conditionalFormatting>
  <conditionalFormatting sqref="O895 O899">
    <cfRule type="expression" dxfId="11548" priority="57806">
      <formula>$H895="ETAPA"</formula>
    </cfRule>
  </conditionalFormatting>
  <conditionalFormatting sqref="O896">
    <cfRule type="expression" dxfId="11547" priority="57793">
      <formula>$H896="SUBETAPA"</formula>
    </cfRule>
    <cfRule type="expression" dxfId="11546" priority="57794">
      <formula>$H896="ETAPA"</formula>
    </cfRule>
  </conditionalFormatting>
  <conditionalFormatting sqref="O897">
    <cfRule type="expression" dxfId="11545" priority="57801">
      <formula>$H897="SUBETAPA"</formula>
    </cfRule>
    <cfRule type="expression" dxfId="11544" priority="57802">
      <formula>$H897="CÉLULA CONSTRUTIVA"</formula>
    </cfRule>
    <cfRule type="expression" dxfId="11543" priority="57803">
      <formula>$H897="ETAPA"</formula>
    </cfRule>
  </conditionalFormatting>
  <conditionalFormatting sqref="O898">
    <cfRule type="expression" dxfId="11542" priority="57789">
      <formula>$H898="SUBETAPA"</formula>
    </cfRule>
    <cfRule type="expression" dxfId="11541" priority="57790">
      <formula>$H898="ETAPA"</formula>
    </cfRule>
  </conditionalFormatting>
  <conditionalFormatting sqref="O899 O895">
    <cfRule type="expression" dxfId="11540" priority="57804">
      <formula>$H895="SUBETAPA"</formula>
    </cfRule>
    <cfRule type="expression" dxfId="11539" priority="57805">
      <formula>$H895="CÉLULA CONSTRUTIVA"</formula>
    </cfRule>
  </conditionalFormatting>
  <conditionalFormatting sqref="O900">
    <cfRule type="expression" dxfId="11538" priority="57775">
      <formula>$H900="SUBETAPA"</formula>
    </cfRule>
    <cfRule type="expression" dxfId="11537" priority="57776">
      <formula>$H900="ETAPA"</formula>
    </cfRule>
    <cfRule type="expression" dxfId="11536" priority="57777">
      <formula>$H900="CÉLULA CONSTRUTIVA"</formula>
    </cfRule>
  </conditionalFormatting>
  <conditionalFormatting sqref="O901">
    <cfRule type="expression" dxfId="11535" priority="57797">
      <formula>$H901="SUBETAPA"</formula>
    </cfRule>
    <cfRule type="expression" dxfId="11534" priority="57798">
      <formula>$H901="CÉLULA CONSTRUTIVA"</formula>
    </cfRule>
    <cfRule type="expression" dxfId="11533" priority="57799">
      <formula>$H901="ETAPA"</formula>
    </cfRule>
  </conditionalFormatting>
  <conditionalFormatting sqref="O902">
    <cfRule type="expression" dxfId="11532" priority="3359">
      <formula>$H902="ETAPA"</formula>
    </cfRule>
    <cfRule type="expression" dxfId="11531" priority="3360">
      <formula>$H902="SUBETAPA"</formula>
    </cfRule>
    <cfRule type="expression" dxfId="11530" priority="3361">
      <formula>$H902="ETAPA"</formula>
    </cfRule>
    <cfRule type="expression" dxfId="11529" priority="3362">
      <formula>$H902="SUBETAPA"</formula>
    </cfRule>
    <cfRule type="expression" dxfId="11528" priority="3363">
      <formula>$H902="ETAPA"</formula>
    </cfRule>
    <cfRule type="expression" dxfId="11527" priority="3364">
      <formula>$H902="SUBETAPA"</formula>
    </cfRule>
    <cfRule type="expression" dxfId="11526" priority="3365">
      <formula>$H902="CÉLULA CONSTRUTIVA"</formula>
    </cfRule>
  </conditionalFormatting>
  <conditionalFormatting sqref="O903">
    <cfRule type="expression" dxfId="11525" priority="57923">
      <formula>$H903="SUBETAPA"</formula>
    </cfRule>
    <cfRule type="expression" dxfId="11524" priority="57924">
      <formula>$H903="CÉLULA CONSTRUTIVA"</formula>
    </cfRule>
    <cfRule type="expression" dxfId="11523" priority="57925">
      <formula>$H903="ETAPA"</formula>
    </cfRule>
  </conditionalFormatting>
  <conditionalFormatting sqref="O905">
    <cfRule type="expression" dxfId="11522" priority="57904">
      <formula>$H905="SUBETAPA"</formula>
    </cfRule>
    <cfRule type="expression" dxfId="11521" priority="57905">
      <formula>$H905="ETAPA"</formula>
    </cfRule>
  </conditionalFormatting>
  <conditionalFormatting sqref="O906 O910">
    <cfRule type="expression" dxfId="11520" priority="57915">
      <formula>$H906="ETAPA"</formula>
    </cfRule>
  </conditionalFormatting>
  <conditionalFormatting sqref="O907">
    <cfRule type="expression" dxfId="11519" priority="57902">
      <formula>$H907="SUBETAPA"</formula>
    </cfRule>
    <cfRule type="expression" dxfId="11518" priority="57903">
      <formula>$H907="ETAPA"</formula>
    </cfRule>
  </conditionalFormatting>
  <conditionalFormatting sqref="O908">
    <cfRule type="expression" dxfId="11517" priority="57910">
      <formula>$H908="SUBETAPA"</formula>
    </cfRule>
    <cfRule type="expression" dxfId="11516" priority="57911">
      <formula>$H908="CÉLULA CONSTRUTIVA"</formula>
    </cfRule>
    <cfRule type="expression" dxfId="11515" priority="57912">
      <formula>$H908="ETAPA"</formula>
    </cfRule>
  </conditionalFormatting>
  <conditionalFormatting sqref="O909">
    <cfRule type="expression" dxfId="11514" priority="57898">
      <formula>$H909="SUBETAPA"</formula>
    </cfRule>
    <cfRule type="expression" dxfId="11513" priority="57899">
      <formula>$H909="ETAPA"</formula>
    </cfRule>
  </conditionalFormatting>
  <conditionalFormatting sqref="O910 O906">
    <cfRule type="expression" dxfId="11512" priority="57913">
      <formula>$H906="SUBETAPA"</formula>
    </cfRule>
    <cfRule type="expression" dxfId="11511" priority="57914">
      <formula>$H906="CÉLULA CONSTRUTIVA"</formula>
    </cfRule>
  </conditionalFormatting>
  <conditionalFormatting sqref="O911">
    <cfRule type="expression" dxfId="11510" priority="57884">
      <formula>$H911="SUBETAPA"</formula>
    </cfRule>
    <cfRule type="expression" dxfId="11509" priority="57885">
      <formula>$H911="ETAPA"</formula>
    </cfRule>
    <cfRule type="expression" dxfId="11508" priority="57886">
      <formula>$H911="CÉLULA CONSTRUTIVA"</formula>
    </cfRule>
  </conditionalFormatting>
  <conditionalFormatting sqref="O912">
    <cfRule type="expression" dxfId="11507" priority="57906">
      <formula>$H912="SUBETAPA"</formula>
    </cfRule>
    <cfRule type="expression" dxfId="11506" priority="57907">
      <formula>$H912="CÉLULA CONSTRUTIVA"</formula>
    </cfRule>
    <cfRule type="expression" dxfId="11505" priority="57908">
      <formula>$H912="ETAPA"</formula>
    </cfRule>
  </conditionalFormatting>
  <conditionalFormatting sqref="O913">
    <cfRule type="expression" dxfId="11504" priority="3351">
      <formula>$H913="ETAPA"</formula>
    </cfRule>
    <cfRule type="expression" dxfId="11503" priority="3352">
      <formula>$H913="SUBETAPA"</formula>
    </cfRule>
    <cfRule type="expression" dxfId="11502" priority="3353">
      <formula>$H913="ETAPA"</formula>
    </cfRule>
    <cfRule type="expression" dxfId="11501" priority="3354">
      <formula>$H913="SUBETAPA"</formula>
    </cfRule>
    <cfRule type="expression" dxfId="11500" priority="3355">
      <formula>$H913="ETAPA"</formula>
    </cfRule>
    <cfRule type="expression" dxfId="11499" priority="3356">
      <formula>$H913="SUBETAPA"</formula>
    </cfRule>
    <cfRule type="expression" dxfId="11498" priority="3357">
      <formula>$H913="CÉLULA CONSTRUTIVA"</formula>
    </cfRule>
  </conditionalFormatting>
  <conditionalFormatting sqref="O914">
    <cfRule type="expression" dxfId="11497" priority="58032">
      <formula>$H914="SUBETAPA"</formula>
    </cfRule>
    <cfRule type="expression" dxfId="11496" priority="58033">
      <formula>$H914="CÉLULA CONSTRUTIVA"</formula>
    </cfRule>
    <cfRule type="expression" dxfId="11495" priority="58034">
      <formula>$H914="ETAPA"</formula>
    </cfRule>
  </conditionalFormatting>
  <conditionalFormatting sqref="O916">
    <cfRule type="expression" dxfId="11494" priority="58013">
      <formula>$H916="SUBETAPA"</formula>
    </cfRule>
    <cfRule type="expression" dxfId="11493" priority="58014">
      <formula>$H916="ETAPA"</formula>
    </cfRule>
  </conditionalFormatting>
  <conditionalFormatting sqref="O917">
    <cfRule type="expression" dxfId="11492" priority="58022">
      <formula>$H917="SUBETAPA"</formula>
    </cfRule>
    <cfRule type="expression" dxfId="11491" priority="58023">
      <formula>$H917="CÉLULA CONSTRUTIVA"</formula>
    </cfRule>
    <cfRule type="expression" dxfId="11490" priority="58024">
      <formula>$H917="ETAPA"</formula>
    </cfRule>
  </conditionalFormatting>
  <conditionalFormatting sqref="O918">
    <cfRule type="expression" dxfId="11489" priority="58011">
      <formula>$H918="SUBETAPA"</formula>
    </cfRule>
    <cfRule type="expression" dxfId="11488" priority="58012">
      <formula>$H918="ETAPA"</formula>
    </cfRule>
  </conditionalFormatting>
  <conditionalFormatting sqref="O919">
    <cfRule type="expression" dxfId="11487" priority="58019">
      <formula>$H919="SUBETAPA"</formula>
    </cfRule>
    <cfRule type="expression" dxfId="11486" priority="58020">
      <formula>$H919="CÉLULA CONSTRUTIVA"</formula>
    </cfRule>
    <cfRule type="expression" dxfId="11485" priority="58021">
      <formula>$H919="ETAPA"</formula>
    </cfRule>
  </conditionalFormatting>
  <conditionalFormatting sqref="O920">
    <cfRule type="expression" dxfId="11484" priority="58007">
      <formula>$H920="SUBETAPA"</formula>
    </cfRule>
    <cfRule type="expression" dxfId="11483" priority="58008">
      <formula>$H920="ETAPA"</formula>
    </cfRule>
  </conditionalFormatting>
  <conditionalFormatting sqref="O921">
    <cfRule type="expression" dxfId="11482" priority="58015">
      <formula>$H921="SUBETAPA"</formula>
    </cfRule>
    <cfRule type="expression" dxfId="11481" priority="58016">
      <formula>$H921="CÉLULA CONSTRUTIVA"</formula>
    </cfRule>
    <cfRule type="expression" dxfId="11480" priority="58017">
      <formula>$H921="ETAPA"</formula>
    </cfRule>
  </conditionalFormatting>
  <conditionalFormatting sqref="O922">
    <cfRule type="expression" dxfId="11479" priority="3343">
      <formula>$H922="ETAPA"</formula>
    </cfRule>
    <cfRule type="expression" dxfId="11478" priority="3344">
      <formula>$H922="SUBETAPA"</formula>
    </cfRule>
    <cfRule type="expression" dxfId="11477" priority="3345">
      <formula>$H922="ETAPA"</formula>
    </cfRule>
    <cfRule type="expression" dxfId="11476" priority="3346">
      <formula>$H922="SUBETAPA"</formula>
    </cfRule>
    <cfRule type="expression" dxfId="11475" priority="3347">
      <formula>$H922="ETAPA"</formula>
    </cfRule>
    <cfRule type="expression" dxfId="11474" priority="3348">
      <formula>$H922="SUBETAPA"</formula>
    </cfRule>
    <cfRule type="expression" dxfId="11473" priority="3349">
      <formula>$H922="CÉLULA CONSTRUTIVA"</formula>
    </cfRule>
  </conditionalFormatting>
  <conditionalFormatting sqref="O923">
    <cfRule type="expression" dxfId="11472" priority="58141">
      <formula>$H923="SUBETAPA"</formula>
    </cfRule>
    <cfRule type="expression" dxfId="11471" priority="58142">
      <formula>$H923="CÉLULA CONSTRUTIVA"</formula>
    </cfRule>
    <cfRule type="expression" dxfId="11470" priority="58143">
      <formula>$H923="ETAPA"</formula>
    </cfRule>
  </conditionalFormatting>
  <conditionalFormatting sqref="O925">
    <cfRule type="expression" dxfId="11469" priority="58122">
      <formula>$H925="SUBETAPA"</formula>
    </cfRule>
    <cfRule type="expression" dxfId="11468" priority="58123">
      <formula>$H925="ETAPA"</formula>
    </cfRule>
  </conditionalFormatting>
  <conditionalFormatting sqref="O926">
    <cfRule type="expression" dxfId="11467" priority="58131">
      <formula>$H926="SUBETAPA"</formula>
    </cfRule>
    <cfRule type="expression" dxfId="11466" priority="58132">
      <formula>$H926="CÉLULA CONSTRUTIVA"</formula>
    </cfRule>
    <cfRule type="expression" dxfId="11465" priority="58133">
      <formula>$H926="ETAPA"</formula>
    </cfRule>
  </conditionalFormatting>
  <conditionalFormatting sqref="O927">
    <cfRule type="expression" dxfId="11464" priority="58120">
      <formula>$H927="SUBETAPA"</formula>
    </cfRule>
    <cfRule type="expression" dxfId="11463" priority="58121">
      <formula>$H927="ETAPA"</formula>
    </cfRule>
  </conditionalFormatting>
  <conditionalFormatting sqref="O928">
    <cfRule type="expression" dxfId="11462" priority="58128">
      <formula>$H928="SUBETAPA"</formula>
    </cfRule>
    <cfRule type="expression" dxfId="11461" priority="58129">
      <formula>$H928="CÉLULA CONSTRUTIVA"</formula>
    </cfRule>
    <cfRule type="expression" dxfId="11460" priority="58130">
      <formula>$H928="ETAPA"</formula>
    </cfRule>
  </conditionalFormatting>
  <conditionalFormatting sqref="O929">
    <cfRule type="expression" dxfId="11459" priority="58116">
      <formula>$H929="SUBETAPA"</formula>
    </cfRule>
    <cfRule type="expression" dxfId="11458" priority="58117">
      <formula>$H929="ETAPA"</formula>
    </cfRule>
  </conditionalFormatting>
  <conditionalFormatting sqref="O930">
    <cfRule type="expression" dxfId="11457" priority="58124">
      <formula>$H930="SUBETAPA"</formula>
    </cfRule>
    <cfRule type="expression" dxfId="11456" priority="58125">
      <formula>$H930="CÉLULA CONSTRUTIVA"</formula>
    </cfRule>
    <cfRule type="expression" dxfId="11455" priority="58126">
      <formula>$H930="ETAPA"</formula>
    </cfRule>
  </conditionalFormatting>
  <conditionalFormatting sqref="O931">
    <cfRule type="expression" dxfId="11454" priority="3335">
      <formula>$H931="ETAPA"</formula>
    </cfRule>
    <cfRule type="expression" dxfId="11453" priority="3336">
      <formula>$H931="SUBETAPA"</formula>
    </cfRule>
    <cfRule type="expression" dxfId="11452" priority="3337">
      <formula>$H931="ETAPA"</formula>
    </cfRule>
    <cfRule type="expression" dxfId="11451" priority="3338">
      <formula>$H931="SUBETAPA"</formula>
    </cfRule>
    <cfRule type="expression" dxfId="11450" priority="3339">
      <formula>$H931="ETAPA"</formula>
    </cfRule>
    <cfRule type="expression" dxfId="11449" priority="3340">
      <formula>$H931="SUBETAPA"</formula>
    </cfRule>
    <cfRule type="expression" dxfId="11448" priority="3341">
      <formula>$H931="CÉLULA CONSTRUTIVA"</formula>
    </cfRule>
  </conditionalFormatting>
  <conditionalFormatting sqref="O932">
    <cfRule type="expression" dxfId="11447" priority="58250">
      <formula>$H932="SUBETAPA"</formula>
    </cfRule>
    <cfRule type="expression" dxfId="11446" priority="58251">
      <formula>$H932="CÉLULA CONSTRUTIVA"</formula>
    </cfRule>
    <cfRule type="expression" dxfId="11445" priority="58252">
      <formula>$H932="ETAPA"</formula>
    </cfRule>
  </conditionalFormatting>
  <conditionalFormatting sqref="O934">
    <cfRule type="expression" dxfId="11444" priority="58231">
      <formula>$H934="SUBETAPA"</formula>
    </cfRule>
    <cfRule type="expression" dxfId="11443" priority="58232">
      <formula>$H934="ETAPA"</formula>
    </cfRule>
  </conditionalFormatting>
  <conditionalFormatting sqref="O935 O939">
    <cfRule type="expression" dxfId="11442" priority="58242">
      <formula>$H935="ETAPA"</formula>
    </cfRule>
  </conditionalFormatting>
  <conditionalFormatting sqref="O936">
    <cfRule type="expression" dxfId="11441" priority="58229">
      <formula>$H936="SUBETAPA"</formula>
    </cfRule>
    <cfRule type="expression" dxfId="11440" priority="58230">
      <formula>$H936="ETAPA"</formula>
    </cfRule>
  </conditionalFormatting>
  <conditionalFormatting sqref="O937">
    <cfRule type="expression" dxfId="11439" priority="58237">
      <formula>$H937="SUBETAPA"</formula>
    </cfRule>
    <cfRule type="expression" dxfId="11438" priority="58238">
      <formula>$H937="CÉLULA CONSTRUTIVA"</formula>
    </cfRule>
    <cfRule type="expression" dxfId="11437" priority="58239">
      <formula>$H937="ETAPA"</formula>
    </cfRule>
  </conditionalFormatting>
  <conditionalFormatting sqref="O938">
    <cfRule type="expression" dxfId="11436" priority="58225">
      <formula>$H938="SUBETAPA"</formula>
    </cfRule>
    <cfRule type="expression" dxfId="11435" priority="58226">
      <formula>$H938="ETAPA"</formula>
    </cfRule>
  </conditionalFormatting>
  <conditionalFormatting sqref="O939 O935">
    <cfRule type="expression" dxfId="11434" priority="58240">
      <formula>$H935="SUBETAPA"</formula>
    </cfRule>
    <cfRule type="expression" dxfId="11433" priority="58241">
      <formula>$H935="CÉLULA CONSTRUTIVA"</formula>
    </cfRule>
  </conditionalFormatting>
  <conditionalFormatting sqref="O940">
    <cfRule type="expression" dxfId="11432" priority="58211">
      <formula>$H940="SUBETAPA"</formula>
    </cfRule>
    <cfRule type="expression" dxfId="11431" priority="58212">
      <formula>$H940="ETAPA"</formula>
    </cfRule>
    <cfRule type="expression" dxfId="11430" priority="58213">
      <formula>$H940="CÉLULA CONSTRUTIVA"</formula>
    </cfRule>
  </conditionalFormatting>
  <conditionalFormatting sqref="O941">
    <cfRule type="expression" dxfId="11429" priority="58233">
      <formula>$H941="SUBETAPA"</formula>
    </cfRule>
    <cfRule type="expression" dxfId="11428" priority="58234">
      <formula>$H941="CÉLULA CONSTRUTIVA"</formula>
    </cfRule>
    <cfRule type="expression" dxfId="11427" priority="58235">
      <formula>$H941="ETAPA"</formula>
    </cfRule>
  </conditionalFormatting>
  <conditionalFormatting sqref="O942">
    <cfRule type="expression" dxfId="11426" priority="3327">
      <formula>$H942="ETAPA"</formula>
    </cfRule>
    <cfRule type="expression" dxfId="11425" priority="3328">
      <formula>$H942="SUBETAPA"</formula>
    </cfRule>
    <cfRule type="expression" dxfId="11424" priority="3329">
      <formula>$H942="ETAPA"</formula>
    </cfRule>
    <cfRule type="expression" dxfId="11423" priority="3330">
      <formula>$H942="SUBETAPA"</formula>
    </cfRule>
    <cfRule type="expression" dxfId="11422" priority="3331">
      <formula>$H942="ETAPA"</formula>
    </cfRule>
    <cfRule type="expression" dxfId="11421" priority="3332">
      <formula>$H942="SUBETAPA"</formula>
    </cfRule>
    <cfRule type="expression" dxfId="11420" priority="3333">
      <formula>$H942="CÉLULA CONSTRUTIVA"</formula>
    </cfRule>
  </conditionalFormatting>
  <conditionalFormatting sqref="O943">
    <cfRule type="expression" dxfId="11419" priority="58347">
      <formula>$H943="CÉLULA CONSTRUTIVA"</formula>
    </cfRule>
    <cfRule type="expression" dxfId="11418" priority="58348">
      <formula>$H943="ETAPA"</formula>
    </cfRule>
    <cfRule type="expression" dxfId="11417" priority="58349">
      <formula>$H943="SUBETAPA"</formula>
    </cfRule>
  </conditionalFormatting>
  <conditionalFormatting sqref="O944:O945">
    <cfRule type="expression" dxfId="11416" priority="51552">
      <formula>$H944="SUBETAPA"</formula>
    </cfRule>
    <cfRule type="expression" dxfId="11415" priority="51553">
      <formula>$H944="CÉLULA CONSTRUTIVA"</formula>
    </cfRule>
    <cfRule type="expression" dxfId="11414" priority="51554">
      <formula>$H944="ETAPA"</formula>
    </cfRule>
  </conditionalFormatting>
  <conditionalFormatting sqref="O955 O957 O947:O953">
    <cfRule type="expression" dxfId="11413" priority="51559">
      <formula>$H947="SUBETAPA"</formula>
    </cfRule>
    <cfRule type="expression" dxfId="11412" priority="51560">
      <formula>$H947="CÉLULA CONSTRUTIVA"</formula>
    </cfRule>
    <cfRule type="expression" dxfId="11411" priority="51561">
      <formula>$H947="ETAPA"</formula>
    </cfRule>
  </conditionalFormatting>
  <conditionalFormatting sqref="O959:O960">
    <cfRule type="expression" dxfId="11410" priority="51707">
      <formula>$H959="SUBETAPA"</formula>
    </cfRule>
    <cfRule type="expression" dxfId="11409" priority="51708">
      <formula>$H959="CÉLULA CONSTRUTIVA"</formula>
    </cfRule>
    <cfRule type="expression" dxfId="11408" priority="51709">
      <formula>$H959="ETAPA"</formula>
    </cfRule>
  </conditionalFormatting>
  <conditionalFormatting sqref="O964:O965">
    <cfRule type="expression" dxfId="11407" priority="51469">
      <formula>$H964="SUBETAPA"</formula>
    </cfRule>
    <cfRule type="expression" dxfId="11406" priority="51470">
      <formula>$H964="CÉLULA CONSTRUTIVA"</formula>
    </cfRule>
    <cfRule type="expression" dxfId="11405" priority="51471">
      <formula>$H964="ETAPA"</formula>
    </cfRule>
  </conditionalFormatting>
  <conditionalFormatting sqref="O967">
    <cfRule type="expression" dxfId="11404" priority="51546">
      <formula>$H967="SUBETAPA"</formula>
    </cfRule>
    <cfRule type="expression" dxfId="11403" priority="51547">
      <formula>$H967="CÉLULA CONSTRUTIVA"</formula>
    </cfRule>
    <cfRule type="expression" dxfId="11402" priority="51548">
      <formula>$H967="ETAPA"</formula>
    </cfRule>
  </conditionalFormatting>
  <conditionalFormatting sqref="O968 O970 O972 O962:O963 O966">
    <cfRule type="expression" dxfId="11401" priority="51714">
      <formula>$H962="SUBETAPA"</formula>
    </cfRule>
    <cfRule type="expression" dxfId="11400" priority="51715">
      <formula>$H962="CÉLULA CONSTRUTIVA"</formula>
    </cfRule>
    <cfRule type="expression" dxfId="11399" priority="51716">
      <formula>$H962="ETAPA"</formula>
    </cfRule>
  </conditionalFormatting>
  <conditionalFormatting sqref="O974:O975">
    <cfRule type="expression" dxfId="11398" priority="51865">
      <formula>$H974="SUBETAPA"</formula>
    </cfRule>
    <cfRule type="expression" dxfId="11397" priority="51866">
      <formula>$H974="CÉLULA CONSTRUTIVA"</formula>
    </cfRule>
    <cfRule type="expression" dxfId="11396" priority="51867">
      <formula>$H974="ETAPA"</formula>
    </cfRule>
  </conditionalFormatting>
  <conditionalFormatting sqref="O979:O980">
    <cfRule type="expression" dxfId="11395" priority="51431">
      <formula>$H979="SUBETAPA"</formula>
    </cfRule>
    <cfRule type="expression" dxfId="11394" priority="51432">
      <formula>$H979="CÉLULA CONSTRUTIVA"</formula>
    </cfRule>
    <cfRule type="expression" dxfId="11393" priority="51433">
      <formula>$H979="ETAPA"</formula>
    </cfRule>
  </conditionalFormatting>
  <conditionalFormatting sqref="O982">
    <cfRule type="expression" dxfId="11392" priority="51543">
      <formula>$H982="SUBETAPA"</formula>
    </cfRule>
    <cfRule type="expression" dxfId="11391" priority="51544">
      <formula>$H982="CÉLULA CONSTRUTIVA"</formula>
    </cfRule>
    <cfRule type="expression" dxfId="11390" priority="51545">
      <formula>$H982="ETAPA"</formula>
    </cfRule>
  </conditionalFormatting>
  <conditionalFormatting sqref="O985 O987 O977:O978 O983 O981">
    <cfRule type="expression" dxfId="11389" priority="51872">
      <formula>$H977="SUBETAPA"</formula>
    </cfRule>
    <cfRule type="expression" dxfId="11388" priority="51873">
      <formula>$H977="CÉLULA CONSTRUTIVA"</formula>
    </cfRule>
    <cfRule type="expression" dxfId="11387" priority="51874">
      <formula>$H977="ETAPA"</formula>
    </cfRule>
  </conditionalFormatting>
  <conditionalFormatting sqref="O989:O990">
    <cfRule type="expression" dxfId="11386" priority="52020">
      <formula>$H989="SUBETAPA"</formula>
    </cfRule>
    <cfRule type="expression" dxfId="11385" priority="52021">
      <formula>$H989="CÉLULA CONSTRUTIVA"</formula>
    </cfRule>
    <cfRule type="expression" dxfId="11384" priority="52022">
      <formula>$H989="ETAPA"</formula>
    </cfRule>
  </conditionalFormatting>
  <conditionalFormatting sqref="O994:O995">
    <cfRule type="expression" dxfId="11383" priority="51393">
      <formula>$H994="SUBETAPA"</formula>
    </cfRule>
    <cfRule type="expression" dxfId="11382" priority="51394">
      <formula>$H994="CÉLULA CONSTRUTIVA"</formula>
    </cfRule>
    <cfRule type="expression" dxfId="11381" priority="51395">
      <formula>$H994="ETAPA"</formula>
    </cfRule>
  </conditionalFormatting>
  <conditionalFormatting sqref="O997">
    <cfRule type="expression" dxfId="11380" priority="51540">
      <formula>$H997="SUBETAPA"</formula>
    </cfRule>
    <cfRule type="expression" dxfId="11379" priority="51541">
      <formula>$H997="CÉLULA CONSTRUTIVA"</formula>
    </cfRule>
    <cfRule type="expression" dxfId="11378" priority="51542">
      <formula>$H997="ETAPA"</formula>
    </cfRule>
  </conditionalFormatting>
  <conditionalFormatting sqref="O998 O1000 O1002 O992:O993 O996">
    <cfRule type="expression" dxfId="11377" priority="52027">
      <formula>$H992="SUBETAPA"</formula>
    </cfRule>
    <cfRule type="expression" dxfId="11376" priority="52028">
      <formula>$H992="CÉLULA CONSTRUTIVA"</formula>
    </cfRule>
    <cfRule type="expression" dxfId="11375" priority="52029">
      <formula>$H992="ETAPA"</formula>
    </cfRule>
  </conditionalFormatting>
  <conditionalFormatting sqref="O1004:O1005">
    <cfRule type="expression" dxfId="11374" priority="52178">
      <formula>$H1004="SUBETAPA"</formula>
    </cfRule>
    <cfRule type="expression" dxfId="11373" priority="52179">
      <formula>$H1004="CÉLULA CONSTRUTIVA"</formula>
    </cfRule>
    <cfRule type="expression" dxfId="11372" priority="52180">
      <formula>$H1004="ETAPA"</formula>
    </cfRule>
  </conditionalFormatting>
  <conditionalFormatting sqref="O1009:O1010">
    <cfRule type="expression" dxfId="11371" priority="51355">
      <formula>$H1009="SUBETAPA"</formula>
    </cfRule>
    <cfRule type="expression" dxfId="11370" priority="51356">
      <formula>$H1009="CÉLULA CONSTRUTIVA"</formula>
    </cfRule>
    <cfRule type="expression" dxfId="11369" priority="51357">
      <formula>$H1009="ETAPA"</formula>
    </cfRule>
  </conditionalFormatting>
  <conditionalFormatting sqref="O1012">
    <cfRule type="expression" dxfId="11368" priority="51537">
      <formula>$H1012="SUBETAPA"</formula>
    </cfRule>
    <cfRule type="expression" dxfId="11367" priority="51538">
      <formula>$H1012="CÉLULA CONSTRUTIVA"</formula>
    </cfRule>
    <cfRule type="expression" dxfId="11366" priority="51539">
      <formula>$H1012="ETAPA"</formula>
    </cfRule>
  </conditionalFormatting>
  <conditionalFormatting sqref="O1015 O1017 O1007:O1008 O1013 O1011">
    <cfRule type="expression" dxfId="11365" priority="52185">
      <formula>$H1007="SUBETAPA"</formula>
    </cfRule>
    <cfRule type="expression" dxfId="11364" priority="52186">
      <formula>$H1007="CÉLULA CONSTRUTIVA"</formula>
    </cfRule>
    <cfRule type="expression" dxfId="11363" priority="52187">
      <formula>$H1007="ETAPA"</formula>
    </cfRule>
  </conditionalFormatting>
  <conditionalFormatting sqref="O1019:O1020">
    <cfRule type="expression" dxfId="11362" priority="52333">
      <formula>$H1019="SUBETAPA"</formula>
    </cfRule>
    <cfRule type="expression" dxfId="11361" priority="52334">
      <formula>$H1019="CÉLULA CONSTRUTIVA"</formula>
    </cfRule>
    <cfRule type="expression" dxfId="11360" priority="52335">
      <formula>$H1019="ETAPA"</formula>
    </cfRule>
  </conditionalFormatting>
  <conditionalFormatting sqref="O1024:O1025">
    <cfRule type="expression" dxfId="11359" priority="51317">
      <formula>$H1024="SUBETAPA"</formula>
    </cfRule>
    <cfRule type="expression" dxfId="11358" priority="51318">
      <formula>$H1024="CÉLULA CONSTRUTIVA"</formula>
    </cfRule>
    <cfRule type="expression" dxfId="11357" priority="51319">
      <formula>$H1024="ETAPA"</formula>
    </cfRule>
  </conditionalFormatting>
  <conditionalFormatting sqref="O1027">
    <cfRule type="expression" dxfId="11356" priority="51534">
      <formula>$H1027="SUBETAPA"</formula>
    </cfRule>
    <cfRule type="expression" dxfId="11355" priority="51535">
      <formula>$H1027="CÉLULA CONSTRUTIVA"</formula>
    </cfRule>
    <cfRule type="expression" dxfId="11354" priority="51536">
      <formula>$H1027="ETAPA"</formula>
    </cfRule>
  </conditionalFormatting>
  <conditionalFormatting sqref="O1028 O1030 O1032 O1022:O1023 O1026">
    <cfRule type="expression" dxfId="11353" priority="52340">
      <formula>$H1022="SUBETAPA"</formula>
    </cfRule>
    <cfRule type="expression" dxfId="11352" priority="52341">
      <formula>$H1022="CÉLULA CONSTRUTIVA"</formula>
    </cfRule>
    <cfRule type="expression" dxfId="11351" priority="52342">
      <formula>$H1022="ETAPA"</formula>
    </cfRule>
  </conditionalFormatting>
  <conditionalFormatting sqref="O1034:O1035">
    <cfRule type="expression" dxfId="11350" priority="52488">
      <formula>$H1034="SUBETAPA"</formula>
    </cfRule>
    <cfRule type="expression" dxfId="11349" priority="52489">
      <formula>$H1034="CÉLULA CONSTRUTIVA"</formula>
    </cfRule>
    <cfRule type="expression" dxfId="11348" priority="52490">
      <formula>$H1034="ETAPA"</formula>
    </cfRule>
  </conditionalFormatting>
  <conditionalFormatting sqref="O1039:O1040">
    <cfRule type="expression" dxfId="11347" priority="51279">
      <formula>$H1039="SUBETAPA"</formula>
    </cfRule>
    <cfRule type="expression" dxfId="11346" priority="51280">
      <formula>$H1039="CÉLULA CONSTRUTIVA"</formula>
    </cfRule>
    <cfRule type="expression" dxfId="11345" priority="51281">
      <formula>$H1039="ETAPA"</formula>
    </cfRule>
  </conditionalFormatting>
  <conditionalFormatting sqref="O1042">
    <cfRule type="expression" dxfId="11344" priority="51531">
      <formula>$H1042="SUBETAPA"</formula>
    </cfRule>
    <cfRule type="expression" dxfId="11343" priority="51532">
      <formula>$H1042="CÉLULA CONSTRUTIVA"</formula>
    </cfRule>
    <cfRule type="expression" dxfId="11342" priority="51533">
      <formula>$H1042="ETAPA"</formula>
    </cfRule>
  </conditionalFormatting>
  <conditionalFormatting sqref="O1045 O1047 O1037:O1038 O1043 O1041">
    <cfRule type="expression" dxfId="11341" priority="52495">
      <formula>$H1037="SUBETAPA"</formula>
    </cfRule>
    <cfRule type="expression" dxfId="11340" priority="52496">
      <formula>$H1037="CÉLULA CONSTRUTIVA"</formula>
    </cfRule>
    <cfRule type="expression" dxfId="11339" priority="52497">
      <formula>$H1037="ETAPA"</formula>
    </cfRule>
  </conditionalFormatting>
  <conditionalFormatting sqref="O1049:O1050">
    <cfRule type="expression" dxfId="11338" priority="52646">
      <formula>$H1049="SUBETAPA"</formula>
    </cfRule>
    <cfRule type="expression" dxfId="11337" priority="52647">
      <formula>$H1049="CÉLULA CONSTRUTIVA"</formula>
    </cfRule>
    <cfRule type="expression" dxfId="11336" priority="52648">
      <formula>$H1049="ETAPA"</formula>
    </cfRule>
  </conditionalFormatting>
  <conditionalFormatting sqref="O1054:O1055">
    <cfRule type="expression" dxfId="11335" priority="51241">
      <formula>$H1054="SUBETAPA"</formula>
    </cfRule>
    <cfRule type="expression" dxfId="11334" priority="51242">
      <formula>$H1054="CÉLULA CONSTRUTIVA"</formula>
    </cfRule>
    <cfRule type="expression" dxfId="11333" priority="51243">
      <formula>$H1054="ETAPA"</formula>
    </cfRule>
  </conditionalFormatting>
  <conditionalFormatting sqref="O1057">
    <cfRule type="expression" dxfId="11332" priority="51528">
      <formula>$H1057="SUBETAPA"</formula>
    </cfRule>
    <cfRule type="expression" dxfId="11331" priority="51529">
      <formula>$H1057="CÉLULA CONSTRUTIVA"</formula>
    </cfRule>
    <cfRule type="expression" dxfId="11330" priority="51530">
      <formula>$H1057="ETAPA"</formula>
    </cfRule>
  </conditionalFormatting>
  <conditionalFormatting sqref="O1060 O1062 O1052:O1053 O1058 O1056">
    <cfRule type="expression" dxfId="11329" priority="52653">
      <formula>$H1052="SUBETAPA"</formula>
    </cfRule>
    <cfRule type="expression" dxfId="11328" priority="52654">
      <formula>$H1052="CÉLULA CONSTRUTIVA"</formula>
    </cfRule>
    <cfRule type="expression" dxfId="11327" priority="52655">
      <formula>$H1052="ETAPA"</formula>
    </cfRule>
  </conditionalFormatting>
  <conditionalFormatting sqref="O1064:O1065">
    <cfRule type="expression" dxfId="11326" priority="52801">
      <formula>$H1064="SUBETAPA"</formula>
    </cfRule>
    <cfRule type="expression" dxfId="11325" priority="52802">
      <formula>$H1064="CÉLULA CONSTRUTIVA"</formula>
    </cfRule>
    <cfRule type="expression" dxfId="11324" priority="52803">
      <formula>$H1064="ETAPA"</formula>
    </cfRule>
  </conditionalFormatting>
  <conditionalFormatting sqref="O1069:O1070">
    <cfRule type="expression" dxfId="11323" priority="51203">
      <formula>$H1069="SUBETAPA"</formula>
    </cfRule>
    <cfRule type="expression" dxfId="11322" priority="51204">
      <formula>$H1069="CÉLULA CONSTRUTIVA"</formula>
    </cfRule>
    <cfRule type="expression" dxfId="11321" priority="51205">
      <formula>$H1069="ETAPA"</formula>
    </cfRule>
  </conditionalFormatting>
  <conditionalFormatting sqref="O1072">
    <cfRule type="expression" dxfId="11320" priority="51525">
      <formula>$H1072="SUBETAPA"</formula>
    </cfRule>
    <cfRule type="expression" dxfId="11319" priority="51526">
      <formula>$H1072="CÉLULA CONSTRUTIVA"</formula>
    </cfRule>
    <cfRule type="expression" dxfId="11318" priority="51527">
      <formula>$H1072="ETAPA"</formula>
    </cfRule>
  </conditionalFormatting>
  <conditionalFormatting sqref="O1073 O1075 O1077 O1067:O1068 O1071">
    <cfRule type="expression" dxfId="11317" priority="52808">
      <formula>$H1067="SUBETAPA"</formula>
    </cfRule>
    <cfRule type="expression" dxfId="11316" priority="52809">
      <formula>$H1067="CÉLULA CONSTRUTIVA"</formula>
    </cfRule>
    <cfRule type="expression" dxfId="11315" priority="52810">
      <formula>$H1067="ETAPA"</formula>
    </cfRule>
  </conditionalFormatting>
  <conditionalFormatting sqref="O1079:O1080">
    <cfRule type="expression" dxfId="11314" priority="52959">
      <formula>$H1079="SUBETAPA"</formula>
    </cfRule>
    <cfRule type="expression" dxfId="11313" priority="52960">
      <formula>$H1079="CÉLULA CONSTRUTIVA"</formula>
    </cfRule>
    <cfRule type="expression" dxfId="11312" priority="52961">
      <formula>$H1079="ETAPA"</formula>
    </cfRule>
  </conditionalFormatting>
  <conditionalFormatting sqref="O1084:O1085">
    <cfRule type="expression" dxfId="11311" priority="51165">
      <formula>$H1084="SUBETAPA"</formula>
    </cfRule>
    <cfRule type="expression" dxfId="11310" priority="51166">
      <formula>$H1084="CÉLULA CONSTRUTIVA"</formula>
    </cfRule>
    <cfRule type="expression" dxfId="11309" priority="51167">
      <formula>$H1084="ETAPA"</formula>
    </cfRule>
  </conditionalFormatting>
  <conditionalFormatting sqref="O1087">
    <cfRule type="expression" dxfId="11308" priority="51522">
      <formula>$H1087="SUBETAPA"</formula>
    </cfRule>
    <cfRule type="expression" dxfId="11307" priority="51523">
      <formula>$H1087="CÉLULA CONSTRUTIVA"</formula>
    </cfRule>
    <cfRule type="expression" dxfId="11306" priority="51524">
      <formula>$H1087="ETAPA"</formula>
    </cfRule>
  </conditionalFormatting>
  <conditionalFormatting sqref="O1090 O1092 O1082:O1083 O1088 O1086">
    <cfRule type="expression" dxfId="11305" priority="52966">
      <formula>$H1082="SUBETAPA"</formula>
    </cfRule>
    <cfRule type="expression" dxfId="11304" priority="52967">
      <formula>$H1082="CÉLULA CONSTRUTIVA"</formula>
    </cfRule>
    <cfRule type="expression" dxfId="11303" priority="52968">
      <formula>$H1082="ETAPA"</formula>
    </cfRule>
  </conditionalFormatting>
  <conditionalFormatting sqref="O1094:O1095">
    <cfRule type="expression" dxfId="11302" priority="53114">
      <formula>$H1094="SUBETAPA"</formula>
    </cfRule>
    <cfRule type="expression" dxfId="11301" priority="53115">
      <formula>$H1094="CÉLULA CONSTRUTIVA"</formula>
    </cfRule>
    <cfRule type="expression" dxfId="11300" priority="53116">
      <formula>$H1094="ETAPA"</formula>
    </cfRule>
  </conditionalFormatting>
  <conditionalFormatting sqref="O1099:O1100">
    <cfRule type="expression" dxfId="11299" priority="51127">
      <formula>$H1099="SUBETAPA"</formula>
    </cfRule>
    <cfRule type="expression" dxfId="11298" priority="51128">
      <formula>$H1099="CÉLULA CONSTRUTIVA"</formula>
    </cfRule>
    <cfRule type="expression" dxfId="11297" priority="51129">
      <formula>$H1099="ETAPA"</formula>
    </cfRule>
  </conditionalFormatting>
  <conditionalFormatting sqref="O1102">
    <cfRule type="expression" dxfId="11296" priority="51519">
      <formula>$H1102="SUBETAPA"</formula>
    </cfRule>
    <cfRule type="expression" dxfId="11295" priority="51520">
      <formula>$H1102="CÉLULA CONSTRUTIVA"</formula>
    </cfRule>
    <cfRule type="expression" dxfId="11294" priority="51521">
      <formula>$H1102="ETAPA"</formula>
    </cfRule>
  </conditionalFormatting>
  <conditionalFormatting sqref="O1103 O1105 O1107 O1097:O1098 O1101">
    <cfRule type="expression" dxfId="11293" priority="53121">
      <formula>$H1097="SUBETAPA"</formula>
    </cfRule>
    <cfRule type="expression" dxfId="11292" priority="53122">
      <formula>$H1097="CÉLULA CONSTRUTIVA"</formula>
    </cfRule>
    <cfRule type="expression" dxfId="11291" priority="53123">
      <formula>$H1097="ETAPA"</formula>
    </cfRule>
  </conditionalFormatting>
  <conditionalFormatting sqref="O1109:O1110">
    <cfRule type="expression" dxfId="11290" priority="53272">
      <formula>$H1109="SUBETAPA"</formula>
    </cfRule>
    <cfRule type="expression" dxfId="11289" priority="53273">
      <formula>$H1109="CÉLULA CONSTRUTIVA"</formula>
    </cfRule>
    <cfRule type="expression" dxfId="11288" priority="53274">
      <formula>$H1109="ETAPA"</formula>
    </cfRule>
  </conditionalFormatting>
  <conditionalFormatting sqref="O1114:O1115">
    <cfRule type="expression" dxfId="11287" priority="51089">
      <formula>$H1114="SUBETAPA"</formula>
    </cfRule>
    <cfRule type="expression" dxfId="11286" priority="51090">
      <formula>$H1114="CÉLULA CONSTRUTIVA"</formula>
    </cfRule>
    <cfRule type="expression" dxfId="11285" priority="51091">
      <formula>$H1114="ETAPA"</formula>
    </cfRule>
  </conditionalFormatting>
  <conditionalFormatting sqref="O1117">
    <cfRule type="expression" dxfId="11284" priority="51516">
      <formula>$H1117="SUBETAPA"</formula>
    </cfRule>
    <cfRule type="expression" dxfId="11283" priority="51517">
      <formula>$H1117="CÉLULA CONSTRUTIVA"</formula>
    </cfRule>
    <cfRule type="expression" dxfId="11282" priority="51518">
      <formula>$H1117="ETAPA"</formula>
    </cfRule>
  </conditionalFormatting>
  <conditionalFormatting sqref="O1120 O1122 O1112:O1113 O1118 O1116">
    <cfRule type="expression" dxfId="11281" priority="53279">
      <formula>$H1112="SUBETAPA"</formula>
    </cfRule>
    <cfRule type="expression" dxfId="11280" priority="53280">
      <formula>$H1112="CÉLULA CONSTRUTIVA"</formula>
    </cfRule>
    <cfRule type="expression" dxfId="11279" priority="53281">
      <formula>$H1112="ETAPA"</formula>
    </cfRule>
  </conditionalFormatting>
  <conditionalFormatting sqref="O1124:O1125">
    <cfRule type="expression" dxfId="11278" priority="53427">
      <formula>$H1124="SUBETAPA"</formula>
    </cfRule>
    <cfRule type="expression" dxfId="11277" priority="53428">
      <formula>$H1124="CÉLULA CONSTRUTIVA"</formula>
    </cfRule>
    <cfRule type="expression" dxfId="11276" priority="53429">
      <formula>$H1124="ETAPA"</formula>
    </cfRule>
  </conditionalFormatting>
  <conditionalFormatting sqref="O1129:O1130">
    <cfRule type="expression" dxfId="11275" priority="51051">
      <formula>$H1129="SUBETAPA"</formula>
    </cfRule>
    <cfRule type="expression" dxfId="11274" priority="51052">
      <formula>$H1129="CÉLULA CONSTRUTIVA"</formula>
    </cfRule>
    <cfRule type="expression" dxfId="11273" priority="51053">
      <formula>$H1129="ETAPA"</formula>
    </cfRule>
  </conditionalFormatting>
  <conditionalFormatting sqref="O1132">
    <cfRule type="expression" dxfId="11272" priority="51513">
      <formula>$H1132="SUBETAPA"</formula>
    </cfRule>
    <cfRule type="expression" dxfId="11271" priority="51514">
      <formula>$H1132="CÉLULA CONSTRUTIVA"</formula>
    </cfRule>
    <cfRule type="expression" dxfId="11270" priority="51515">
      <formula>$H1132="ETAPA"</formula>
    </cfRule>
  </conditionalFormatting>
  <conditionalFormatting sqref="O1133 O1135 O1137 O1127:O1128 O1131">
    <cfRule type="expression" dxfId="11269" priority="53434">
      <formula>$H1127="SUBETAPA"</formula>
    </cfRule>
    <cfRule type="expression" dxfId="11268" priority="53435">
      <formula>$H1127="CÉLULA CONSTRUTIVA"</formula>
    </cfRule>
    <cfRule type="expression" dxfId="11267" priority="53436">
      <formula>$H1127="ETAPA"</formula>
    </cfRule>
  </conditionalFormatting>
  <conditionalFormatting sqref="O1139:O1140">
    <cfRule type="expression" dxfId="11266" priority="53585">
      <formula>$H1139="SUBETAPA"</formula>
    </cfRule>
    <cfRule type="expression" dxfId="11265" priority="53586">
      <formula>$H1139="CÉLULA CONSTRUTIVA"</formula>
    </cfRule>
    <cfRule type="expression" dxfId="11264" priority="53587">
      <formula>$H1139="ETAPA"</formula>
    </cfRule>
  </conditionalFormatting>
  <conditionalFormatting sqref="O1144:O1145">
    <cfRule type="expression" dxfId="11263" priority="51013">
      <formula>$H1144="SUBETAPA"</formula>
    </cfRule>
    <cfRule type="expression" dxfId="11262" priority="51014">
      <formula>$H1144="CÉLULA CONSTRUTIVA"</formula>
    </cfRule>
    <cfRule type="expression" dxfId="11261" priority="51015">
      <formula>$H1144="ETAPA"</formula>
    </cfRule>
  </conditionalFormatting>
  <conditionalFormatting sqref="O1147">
    <cfRule type="expression" dxfId="11260" priority="51510">
      <formula>$H1147="SUBETAPA"</formula>
    </cfRule>
    <cfRule type="expression" dxfId="11259" priority="51511">
      <formula>$H1147="CÉLULA CONSTRUTIVA"</formula>
    </cfRule>
    <cfRule type="expression" dxfId="11258" priority="51512">
      <formula>$H1147="ETAPA"</formula>
    </cfRule>
  </conditionalFormatting>
  <conditionalFormatting sqref="O1150 O1152 O1142:O1143 O1148 O1146">
    <cfRule type="expression" dxfId="11257" priority="53592">
      <formula>$H1142="SUBETAPA"</formula>
    </cfRule>
    <cfRule type="expression" dxfId="11256" priority="53593">
      <formula>$H1142="CÉLULA CONSTRUTIVA"</formula>
    </cfRule>
    <cfRule type="expression" dxfId="11255" priority="53594">
      <formula>$H1142="ETAPA"</formula>
    </cfRule>
  </conditionalFormatting>
  <conditionalFormatting sqref="O1154">
    <cfRule type="expression" dxfId="11254" priority="58344">
      <formula>$H1154="CÉLULA CONSTRUTIVA"</formula>
    </cfRule>
    <cfRule type="expression" dxfId="11253" priority="58345">
      <formula>$H1154="ETAPA"</formula>
    </cfRule>
    <cfRule type="expression" dxfId="11252" priority="58346">
      <formula>$H1154="SUBETAPA"</formula>
    </cfRule>
  </conditionalFormatting>
  <conditionalFormatting sqref="O1239">
    <cfRule type="expression" dxfId="11251" priority="58341">
      <formula>$H1239="CÉLULA CONSTRUTIVA"</formula>
    </cfRule>
    <cfRule type="expression" dxfId="11250" priority="58342">
      <formula>$H1239="ETAPA"</formula>
    </cfRule>
    <cfRule type="expression" dxfId="11249" priority="58343">
      <formula>$H1239="SUBETAPA"</formula>
    </cfRule>
  </conditionalFormatting>
  <conditionalFormatting sqref="O1240:O1241">
    <cfRule type="expression" dxfId="11248" priority="86985">
      <formula>$H1240="SUBETAPA"</formula>
    </cfRule>
    <cfRule type="expression" dxfId="11247" priority="86986">
      <formula>$H1240="CÉLULA CONSTRUTIVA"</formula>
    </cfRule>
    <cfRule type="expression" dxfId="11246" priority="86987">
      <formula>$H1240="ETAPA"</formula>
    </cfRule>
  </conditionalFormatting>
  <conditionalFormatting sqref="O1245:O1246">
    <cfRule type="expression" dxfId="11245" priority="3554">
      <formula>$H1245="ETAPA"</formula>
    </cfRule>
    <cfRule type="expression" dxfId="11244" priority="3555">
      <formula>$H1245="SUBETAPA"</formula>
    </cfRule>
    <cfRule type="expression" dxfId="11243" priority="3556">
      <formula>$H1245="ETAPA"</formula>
    </cfRule>
    <cfRule type="expression" dxfId="11242" priority="3557">
      <formula>$H1245="SUBETAPA"</formula>
    </cfRule>
    <cfRule type="expression" dxfId="11241" priority="3558">
      <formula>$H1245="ETAPA"</formula>
    </cfRule>
    <cfRule type="expression" dxfId="11240" priority="3559">
      <formula>$H1245="SUBETAPA"</formula>
    </cfRule>
    <cfRule type="expression" dxfId="11239" priority="3560">
      <formula>$H1245="CÉLULA CONSTRUTIVA"</formula>
    </cfRule>
  </conditionalFormatting>
  <conditionalFormatting sqref="O1249">
    <cfRule type="expression" dxfId="11238" priority="3561">
      <formula>$H1249="ETAPA"</formula>
    </cfRule>
    <cfRule type="expression" dxfId="11237" priority="3562">
      <formula>$H1249="SUBETAPA"</formula>
    </cfRule>
    <cfRule type="expression" dxfId="11236" priority="3563">
      <formula>$H1249="ETAPA"</formula>
    </cfRule>
    <cfRule type="expression" dxfId="11235" priority="3564">
      <formula>$H1249="SUBETAPA"</formula>
    </cfRule>
    <cfRule type="expression" dxfId="11234" priority="3565">
      <formula>$H1249="ETAPA"</formula>
    </cfRule>
    <cfRule type="expression" dxfId="11233" priority="3566">
      <formula>$H1249="SUBETAPA"</formula>
    </cfRule>
    <cfRule type="expression" dxfId="11232" priority="3567">
      <formula>$H1249="CÉLULA CONSTRUTIVA"</formula>
    </cfRule>
  </conditionalFormatting>
  <conditionalFormatting sqref="O1250 O620:O621 O1242:O1243">
    <cfRule type="expression" dxfId="11231" priority="86950">
      <formula>$H620="SUBETAPA"</formula>
    </cfRule>
    <cfRule type="expression" dxfId="11230" priority="86951">
      <formula>$H620="CÉLULA CONSTRUTIVA"</formula>
    </cfRule>
  </conditionalFormatting>
  <conditionalFormatting sqref="O1252">
    <cfRule type="expression" dxfId="11229" priority="58338">
      <formula>$H1252="CÉLULA CONSTRUTIVA"</formula>
    </cfRule>
    <cfRule type="expression" dxfId="11228" priority="58339">
      <formula>$H1252="ETAPA"</formula>
    </cfRule>
    <cfRule type="expression" dxfId="11227" priority="58340">
      <formula>$H1252="SUBETAPA"</formula>
    </cfRule>
  </conditionalFormatting>
  <conditionalFormatting sqref="O1253:O1254 O1257">
    <cfRule type="expression" dxfId="11226" priority="2694">
      <formula>$H1253="ETAPA"</formula>
    </cfRule>
  </conditionalFormatting>
  <conditionalFormatting sqref="O1255:O1256">
    <cfRule type="expression" dxfId="11225" priority="2687">
      <formula>$H1255="ETAPA"</formula>
    </cfRule>
    <cfRule type="expression" dxfId="11224" priority="2688">
      <formula>$H1255="SUBETAPA"</formula>
    </cfRule>
    <cfRule type="expression" dxfId="11223" priority="2689">
      <formula>$H1255="ETAPA"</formula>
    </cfRule>
    <cfRule type="expression" dxfId="11222" priority="2690">
      <formula>$H1255="SUBETAPA"</formula>
    </cfRule>
    <cfRule type="expression" dxfId="11221" priority="2691">
      <formula>$H1255="ETAPA"</formula>
    </cfRule>
    <cfRule type="expression" dxfId="11220" priority="2692">
      <formula>$H1255="SUBETAPA"</formula>
    </cfRule>
    <cfRule type="expression" dxfId="11219" priority="2693">
      <formula>$H1255="CÉLULA CONSTRUTIVA"</formula>
    </cfRule>
  </conditionalFormatting>
  <conditionalFormatting sqref="O1257 O1253:O1254">
    <cfRule type="expression" dxfId="11218" priority="2685">
      <formula>$H1253="SUBETAPA"</formula>
    </cfRule>
    <cfRule type="expression" dxfId="11217" priority="2686">
      <formula>$H1253="CÉLULA CONSTRUTIVA"</formula>
    </cfRule>
  </conditionalFormatting>
  <conditionalFormatting sqref="O1259">
    <cfRule type="expression" dxfId="11216" priority="2682">
      <formula>$H1259="SUBETAPA"</formula>
    </cfRule>
    <cfRule type="expression" dxfId="11215" priority="2683">
      <formula>$H1259="CÉLULA CONSTRUTIVA"</formula>
    </cfRule>
    <cfRule type="expression" dxfId="11214" priority="2684">
      <formula>$H1259="ETAPA"</formula>
    </cfRule>
  </conditionalFormatting>
  <conditionalFormatting sqref="O1260">
    <cfRule type="expression" dxfId="11213" priority="2679">
      <formula>$H1260="ETAPA"</formula>
    </cfRule>
    <cfRule type="expression" dxfId="11212" priority="2680">
      <formula>$H1260="SUBETAPA"</formula>
    </cfRule>
    <cfRule type="expression" dxfId="11211" priority="2681">
      <formula>$H1260="CÉLULA CONSTRUTIVA"</formula>
    </cfRule>
  </conditionalFormatting>
  <conditionalFormatting sqref="O1261">
    <cfRule type="expression" dxfId="11210" priority="2658">
      <formula>$H1261="ETAPA"</formula>
    </cfRule>
    <cfRule type="expression" dxfId="11209" priority="2659">
      <formula>$H1261="SUBETAPA"</formula>
    </cfRule>
    <cfRule type="expression" dxfId="11208" priority="2660">
      <formula>$H1261="ETAPA"</formula>
    </cfRule>
    <cfRule type="expression" dxfId="11207" priority="2661">
      <formula>$H1261="SUBETAPA"</formula>
    </cfRule>
    <cfRule type="expression" dxfId="11206" priority="2662">
      <formula>$H1261="ETAPA"</formula>
    </cfRule>
    <cfRule type="expression" dxfId="11205" priority="2663">
      <formula>$H1261="SUBETAPA"</formula>
    </cfRule>
    <cfRule type="expression" dxfId="11204" priority="2664">
      <formula>$H1261="CÉLULA CONSTRUTIVA"</formula>
    </cfRule>
  </conditionalFormatting>
  <conditionalFormatting sqref="O1262:O1266">
    <cfRule type="expression" dxfId="11203" priority="2676">
      <formula>$H1262="SUBETAPA"</formula>
    </cfRule>
    <cfRule type="expression" dxfId="11202" priority="2677">
      <formula>$H1262="CÉLULA CONSTRUTIVA"</formula>
    </cfRule>
    <cfRule type="expression" dxfId="11201" priority="2678">
      <formula>$H1262="ETAPA"</formula>
    </cfRule>
  </conditionalFormatting>
  <conditionalFormatting sqref="O1267:O1268 O1271">
    <cfRule type="expression" dxfId="11200" priority="2763">
      <formula>$H1267="ETAPA"</formula>
    </cfRule>
  </conditionalFormatting>
  <conditionalFormatting sqref="O1269:O1270">
    <cfRule type="expression" dxfId="11199" priority="2756">
      <formula>$H1269="ETAPA"</formula>
    </cfRule>
    <cfRule type="expression" dxfId="11198" priority="2757">
      <formula>$H1269="SUBETAPA"</formula>
    </cfRule>
    <cfRule type="expression" dxfId="11197" priority="2758">
      <formula>$H1269="ETAPA"</formula>
    </cfRule>
    <cfRule type="expression" dxfId="11196" priority="2759">
      <formula>$H1269="SUBETAPA"</formula>
    </cfRule>
    <cfRule type="expression" dxfId="11195" priority="2760">
      <formula>$H1269="ETAPA"</formula>
    </cfRule>
    <cfRule type="expression" dxfId="11194" priority="2761">
      <formula>$H1269="SUBETAPA"</formula>
    </cfRule>
    <cfRule type="expression" dxfId="11193" priority="2762">
      <formula>$H1269="CÉLULA CONSTRUTIVA"</formula>
    </cfRule>
  </conditionalFormatting>
  <conditionalFormatting sqref="O1271 O1267:O1268">
    <cfRule type="expression" dxfId="11192" priority="2754">
      <formula>$H1267="SUBETAPA"</formula>
    </cfRule>
    <cfRule type="expression" dxfId="11191" priority="2755">
      <formula>$H1267="CÉLULA CONSTRUTIVA"</formula>
    </cfRule>
  </conditionalFormatting>
  <conditionalFormatting sqref="O1273">
    <cfRule type="expression" dxfId="11190" priority="2751">
      <formula>$H1273="SUBETAPA"</formula>
    </cfRule>
    <cfRule type="expression" dxfId="11189" priority="2752">
      <formula>$H1273="CÉLULA CONSTRUTIVA"</formula>
    </cfRule>
    <cfRule type="expression" dxfId="11188" priority="2753">
      <formula>$H1273="ETAPA"</formula>
    </cfRule>
  </conditionalFormatting>
  <conditionalFormatting sqref="O1274">
    <cfRule type="expression" dxfId="11187" priority="2748">
      <formula>$H1274="ETAPA"</formula>
    </cfRule>
    <cfRule type="expression" dxfId="11186" priority="2749">
      <formula>$H1274="SUBETAPA"</formula>
    </cfRule>
    <cfRule type="expression" dxfId="11185" priority="2750">
      <formula>$H1274="CÉLULA CONSTRUTIVA"</formula>
    </cfRule>
  </conditionalFormatting>
  <conditionalFormatting sqref="O1275">
    <cfRule type="expression" dxfId="11184" priority="2727">
      <formula>$H1275="ETAPA"</formula>
    </cfRule>
    <cfRule type="expression" dxfId="11183" priority="2728">
      <formula>$H1275="SUBETAPA"</formula>
    </cfRule>
    <cfRule type="expression" dxfId="11182" priority="2729">
      <formula>$H1275="ETAPA"</formula>
    </cfRule>
    <cfRule type="expression" dxfId="11181" priority="2730">
      <formula>$H1275="SUBETAPA"</formula>
    </cfRule>
    <cfRule type="expression" dxfId="11180" priority="2731">
      <formula>$H1275="ETAPA"</formula>
    </cfRule>
    <cfRule type="expression" dxfId="11179" priority="2732">
      <formula>$H1275="SUBETAPA"</formula>
    </cfRule>
    <cfRule type="expression" dxfId="11178" priority="2733">
      <formula>$H1275="CÉLULA CONSTRUTIVA"</formula>
    </cfRule>
  </conditionalFormatting>
  <conditionalFormatting sqref="O1276:O1280">
    <cfRule type="expression" dxfId="11177" priority="2745">
      <formula>$H1276="SUBETAPA"</formula>
    </cfRule>
    <cfRule type="expression" dxfId="11176" priority="2746">
      <formula>$H1276="CÉLULA CONSTRUTIVA"</formula>
    </cfRule>
    <cfRule type="expression" dxfId="11175" priority="2747">
      <formula>$H1276="ETAPA"</formula>
    </cfRule>
  </conditionalFormatting>
  <conditionalFormatting sqref="O1281:O1282 O1285">
    <cfRule type="expression" dxfId="11174" priority="2832">
      <formula>$H1281="ETAPA"</formula>
    </cfRule>
  </conditionalFormatting>
  <conditionalFormatting sqref="O1283:O1284">
    <cfRule type="expression" dxfId="11173" priority="2825">
      <formula>$H1283="ETAPA"</formula>
    </cfRule>
    <cfRule type="expression" dxfId="11172" priority="2826">
      <formula>$H1283="SUBETAPA"</formula>
    </cfRule>
    <cfRule type="expression" dxfId="11171" priority="2827">
      <formula>$H1283="ETAPA"</formula>
    </cfRule>
    <cfRule type="expression" dxfId="11170" priority="2828">
      <formula>$H1283="SUBETAPA"</formula>
    </cfRule>
    <cfRule type="expression" dxfId="11169" priority="2829">
      <formula>$H1283="ETAPA"</formula>
    </cfRule>
    <cfRule type="expression" dxfId="11168" priority="2830">
      <formula>$H1283="SUBETAPA"</formula>
    </cfRule>
    <cfRule type="expression" dxfId="11167" priority="2831">
      <formula>$H1283="CÉLULA CONSTRUTIVA"</formula>
    </cfRule>
  </conditionalFormatting>
  <conditionalFormatting sqref="O1285 O1281:O1282">
    <cfRule type="expression" dxfId="11166" priority="2823">
      <formula>$H1281="SUBETAPA"</formula>
    </cfRule>
    <cfRule type="expression" dxfId="11165" priority="2824">
      <formula>$H1281="CÉLULA CONSTRUTIVA"</formula>
    </cfRule>
  </conditionalFormatting>
  <conditionalFormatting sqref="O1287">
    <cfRule type="expression" dxfId="11164" priority="2820">
      <formula>$H1287="SUBETAPA"</formula>
    </cfRule>
    <cfRule type="expression" dxfId="11163" priority="2821">
      <formula>$H1287="CÉLULA CONSTRUTIVA"</formula>
    </cfRule>
    <cfRule type="expression" dxfId="11162" priority="2822">
      <formula>$H1287="ETAPA"</formula>
    </cfRule>
  </conditionalFormatting>
  <conditionalFormatting sqref="O1288">
    <cfRule type="expression" dxfId="11161" priority="2817">
      <formula>$H1288="ETAPA"</formula>
    </cfRule>
    <cfRule type="expression" dxfId="11160" priority="2818">
      <formula>$H1288="SUBETAPA"</formula>
    </cfRule>
    <cfRule type="expression" dxfId="11159" priority="2819">
      <formula>$H1288="CÉLULA CONSTRUTIVA"</formula>
    </cfRule>
  </conditionalFormatting>
  <conditionalFormatting sqref="O1289">
    <cfRule type="expression" dxfId="11158" priority="2796">
      <formula>$H1289="ETAPA"</formula>
    </cfRule>
    <cfRule type="expression" dxfId="11157" priority="2797">
      <formula>$H1289="SUBETAPA"</formula>
    </cfRule>
    <cfRule type="expression" dxfId="11156" priority="2798">
      <formula>$H1289="ETAPA"</formula>
    </cfRule>
    <cfRule type="expression" dxfId="11155" priority="2799">
      <formula>$H1289="SUBETAPA"</formula>
    </cfRule>
    <cfRule type="expression" dxfId="11154" priority="2800">
      <formula>$H1289="ETAPA"</formula>
    </cfRule>
    <cfRule type="expression" dxfId="11153" priority="2801">
      <formula>$H1289="SUBETAPA"</formula>
    </cfRule>
    <cfRule type="expression" dxfId="11152" priority="2802">
      <formula>$H1289="CÉLULA CONSTRUTIVA"</formula>
    </cfRule>
  </conditionalFormatting>
  <conditionalFormatting sqref="O1290:O1294">
    <cfRule type="expression" dxfId="11151" priority="2814">
      <formula>$H1290="SUBETAPA"</formula>
    </cfRule>
    <cfRule type="expression" dxfId="11150" priority="2815">
      <formula>$H1290="CÉLULA CONSTRUTIVA"</formula>
    </cfRule>
    <cfRule type="expression" dxfId="11149" priority="2816">
      <formula>$H1290="ETAPA"</formula>
    </cfRule>
  </conditionalFormatting>
  <conditionalFormatting sqref="O1295:O1296 O1299">
    <cfRule type="expression" dxfId="11148" priority="2901">
      <formula>$H1295="ETAPA"</formula>
    </cfRule>
  </conditionalFormatting>
  <conditionalFormatting sqref="O1297:O1298">
    <cfRule type="expression" dxfId="11147" priority="2894">
      <formula>$H1297="ETAPA"</formula>
    </cfRule>
    <cfRule type="expression" dxfId="11146" priority="2895">
      <formula>$H1297="SUBETAPA"</formula>
    </cfRule>
    <cfRule type="expression" dxfId="11145" priority="2896">
      <formula>$H1297="ETAPA"</formula>
    </cfRule>
    <cfRule type="expression" dxfId="11144" priority="2897">
      <formula>$H1297="SUBETAPA"</formula>
    </cfRule>
    <cfRule type="expression" dxfId="11143" priority="2898">
      <formula>$H1297="ETAPA"</formula>
    </cfRule>
    <cfRule type="expression" dxfId="11142" priority="2899">
      <formula>$H1297="SUBETAPA"</formula>
    </cfRule>
    <cfRule type="expression" dxfId="11141" priority="2900">
      <formula>$H1297="CÉLULA CONSTRUTIVA"</formula>
    </cfRule>
  </conditionalFormatting>
  <conditionalFormatting sqref="O1299 O1295:O1296">
    <cfRule type="expression" dxfId="11140" priority="2892">
      <formula>$H1295="SUBETAPA"</formula>
    </cfRule>
    <cfRule type="expression" dxfId="11139" priority="2893">
      <formula>$H1295="CÉLULA CONSTRUTIVA"</formula>
    </cfRule>
  </conditionalFormatting>
  <conditionalFormatting sqref="O1301">
    <cfRule type="expression" dxfId="11138" priority="2889">
      <formula>$H1301="SUBETAPA"</formula>
    </cfRule>
    <cfRule type="expression" dxfId="11137" priority="2890">
      <formula>$H1301="CÉLULA CONSTRUTIVA"</formula>
    </cfRule>
    <cfRule type="expression" dxfId="11136" priority="2891">
      <formula>$H1301="ETAPA"</formula>
    </cfRule>
  </conditionalFormatting>
  <conditionalFormatting sqref="O1302">
    <cfRule type="expression" dxfId="11135" priority="2886">
      <formula>$H1302="ETAPA"</formula>
    </cfRule>
    <cfRule type="expression" dxfId="11134" priority="2887">
      <formula>$H1302="SUBETAPA"</formula>
    </cfRule>
    <cfRule type="expression" dxfId="11133" priority="2888">
      <formula>$H1302="CÉLULA CONSTRUTIVA"</formula>
    </cfRule>
  </conditionalFormatting>
  <conditionalFormatting sqref="O1303">
    <cfRule type="expression" dxfId="11132" priority="2865">
      <formula>$H1303="ETAPA"</formula>
    </cfRule>
    <cfRule type="expression" dxfId="11131" priority="2866">
      <formula>$H1303="SUBETAPA"</formula>
    </cfRule>
    <cfRule type="expression" dxfId="11130" priority="2867">
      <formula>$H1303="ETAPA"</formula>
    </cfRule>
    <cfRule type="expression" dxfId="11129" priority="2868">
      <formula>$H1303="SUBETAPA"</formula>
    </cfRule>
    <cfRule type="expression" dxfId="11128" priority="2869">
      <formula>$H1303="ETAPA"</formula>
    </cfRule>
    <cfRule type="expression" dxfId="11127" priority="2870">
      <formula>$H1303="SUBETAPA"</formula>
    </cfRule>
    <cfRule type="expression" dxfId="11126" priority="2871">
      <formula>$H1303="CÉLULA CONSTRUTIVA"</formula>
    </cfRule>
  </conditionalFormatting>
  <conditionalFormatting sqref="O1304:O1308">
    <cfRule type="expression" dxfId="11125" priority="2883">
      <formula>$H1304="SUBETAPA"</formula>
    </cfRule>
    <cfRule type="expression" dxfId="11124" priority="2884">
      <formula>$H1304="CÉLULA CONSTRUTIVA"</formula>
    </cfRule>
    <cfRule type="expression" dxfId="11123" priority="2885">
      <formula>$H1304="ETAPA"</formula>
    </cfRule>
  </conditionalFormatting>
  <conditionalFormatting sqref="O1309:O1310 O1313">
    <cfRule type="expression" dxfId="11122" priority="2970">
      <formula>$H1309="ETAPA"</formula>
    </cfRule>
  </conditionalFormatting>
  <conditionalFormatting sqref="O1311:O1312">
    <cfRule type="expression" dxfId="11121" priority="2963">
      <formula>$H1311="ETAPA"</formula>
    </cfRule>
    <cfRule type="expression" dxfId="11120" priority="2964">
      <formula>$H1311="SUBETAPA"</formula>
    </cfRule>
    <cfRule type="expression" dxfId="11119" priority="2965">
      <formula>$H1311="ETAPA"</formula>
    </cfRule>
    <cfRule type="expression" dxfId="11118" priority="2966">
      <formula>$H1311="SUBETAPA"</formula>
    </cfRule>
    <cfRule type="expression" dxfId="11117" priority="2967">
      <formula>$H1311="ETAPA"</formula>
    </cfRule>
    <cfRule type="expression" dxfId="11116" priority="2968">
      <formula>$H1311="SUBETAPA"</formula>
    </cfRule>
    <cfRule type="expression" dxfId="11115" priority="2969">
      <formula>$H1311="CÉLULA CONSTRUTIVA"</formula>
    </cfRule>
  </conditionalFormatting>
  <conditionalFormatting sqref="O1313 O1309:O1310">
    <cfRule type="expression" dxfId="11114" priority="2961">
      <formula>$H1309="SUBETAPA"</formula>
    </cfRule>
    <cfRule type="expression" dxfId="11113" priority="2962">
      <formula>$H1309="CÉLULA CONSTRUTIVA"</formula>
    </cfRule>
  </conditionalFormatting>
  <conditionalFormatting sqref="O1315">
    <cfRule type="expression" dxfId="11112" priority="2958">
      <formula>$H1315="SUBETAPA"</formula>
    </cfRule>
    <cfRule type="expression" dxfId="11111" priority="2959">
      <formula>$H1315="CÉLULA CONSTRUTIVA"</formula>
    </cfRule>
    <cfRule type="expression" dxfId="11110" priority="2960">
      <formula>$H1315="ETAPA"</formula>
    </cfRule>
  </conditionalFormatting>
  <conditionalFormatting sqref="O1316">
    <cfRule type="expression" dxfId="11109" priority="2955">
      <formula>$H1316="ETAPA"</formula>
    </cfRule>
    <cfRule type="expression" dxfId="11108" priority="2956">
      <formula>$H1316="SUBETAPA"</formula>
    </cfRule>
    <cfRule type="expression" dxfId="11107" priority="2957">
      <formula>$H1316="CÉLULA CONSTRUTIVA"</formula>
    </cfRule>
  </conditionalFormatting>
  <conditionalFormatting sqref="O1317">
    <cfRule type="expression" dxfId="11106" priority="2934">
      <formula>$H1317="ETAPA"</formula>
    </cfRule>
    <cfRule type="expression" dxfId="11105" priority="2935">
      <formula>$H1317="SUBETAPA"</formula>
    </cfRule>
    <cfRule type="expression" dxfId="11104" priority="2936">
      <formula>$H1317="ETAPA"</formula>
    </cfRule>
    <cfRule type="expression" dxfId="11103" priority="2937">
      <formula>$H1317="SUBETAPA"</formula>
    </cfRule>
    <cfRule type="expression" dxfId="11102" priority="2938">
      <formula>$H1317="ETAPA"</formula>
    </cfRule>
    <cfRule type="expression" dxfId="11101" priority="2939">
      <formula>$H1317="SUBETAPA"</formula>
    </cfRule>
    <cfRule type="expression" dxfId="11100" priority="2940">
      <formula>$H1317="CÉLULA CONSTRUTIVA"</formula>
    </cfRule>
  </conditionalFormatting>
  <conditionalFormatting sqref="O1318:O1322">
    <cfRule type="expression" dxfId="11099" priority="2952">
      <formula>$H1318="SUBETAPA"</formula>
    </cfRule>
    <cfRule type="expression" dxfId="11098" priority="2953">
      <formula>$H1318="CÉLULA CONSTRUTIVA"</formula>
    </cfRule>
    <cfRule type="expression" dxfId="11097" priority="2954">
      <formula>$H1318="ETAPA"</formula>
    </cfRule>
  </conditionalFormatting>
  <conditionalFormatting sqref="O1323:O1324 O1327">
    <cfRule type="expression" dxfId="11096" priority="3039">
      <formula>$H1323="ETAPA"</formula>
    </cfRule>
  </conditionalFormatting>
  <conditionalFormatting sqref="O1325:O1326">
    <cfRule type="expression" dxfId="11095" priority="3032">
      <formula>$H1325="ETAPA"</formula>
    </cfRule>
    <cfRule type="expression" dxfId="11094" priority="3033">
      <formula>$H1325="SUBETAPA"</formula>
    </cfRule>
    <cfRule type="expression" dxfId="11093" priority="3034">
      <formula>$H1325="ETAPA"</formula>
    </cfRule>
    <cfRule type="expression" dxfId="11092" priority="3035">
      <formula>$H1325="SUBETAPA"</formula>
    </cfRule>
    <cfRule type="expression" dxfId="11091" priority="3036">
      <formula>$H1325="ETAPA"</formula>
    </cfRule>
    <cfRule type="expression" dxfId="11090" priority="3037">
      <formula>$H1325="SUBETAPA"</formula>
    </cfRule>
    <cfRule type="expression" dxfId="11089" priority="3038">
      <formula>$H1325="CÉLULA CONSTRUTIVA"</formula>
    </cfRule>
  </conditionalFormatting>
  <conditionalFormatting sqref="O1327 O1323:O1324">
    <cfRule type="expression" dxfId="11088" priority="3030">
      <formula>$H1323="SUBETAPA"</formula>
    </cfRule>
    <cfRule type="expression" dxfId="11087" priority="3031">
      <formula>$H1323="CÉLULA CONSTRUTIVA"</formula>
    </cfRule>
  </conditionalFormatting>
  <conditionalFormatting sqref="O1329">
    <cfRule type="expression" dxfId="11086" priority="3027">
      <formula>$H1329="SUBETAPA"</formula>
    </cfRule>
    <cfRule type="expression" dxfId="11085" priority="3028">
      <formula>$H1329="CÉLULA CONSTRUTIVA"</formula>
    </cfRule>
    <cfRule type="expression" dxfId="11084" priority="3029">
      <formula>$H1329="ETAPA"</formula>
    </cfRule>
  </conditionalFormatting>
  <conditionalFormatting sqref="O1330">
    <cfRule type="expression" dxfId="11083" priority="3024">
      <formula>$H1330="ETAPA"</formula>
    </cfRule>
    <cfRule type="expression" dxfId="11082" priority="3025">
      <formula>$H1330="SUBETAPA"</formula>
    </cfRule>
    <cfRule type="expression" dxfId="11081" priority="3026">
      <formula>$H1330="CÉLULA CONSTRUTIVA"</formula>
    </cfRule>
  </conditionalFormatting>
  <conditionalFormatting sqref="O1331">
    <cfRule type="expression" dxfId="11080" priority="3003">
      <formula>$H1331="ETAPA"</formula>
    </cfRule>
    <cfRule type="expression" dxfId="11079" priority="3004">
      <formula>$H1331="SUBETAPA"</formula>
    </cfRule>
    <cfRule type="expression" dxfId="11078" priority="3005">
      <formula>$H1331="ETAPA"</formula>
    </cfRule>
    <cfRule type="expression" dxfId="11077" priority="3006">
      <formula>$H1331="SUBETAPA"</formula>
    </cfRule>
    <cfRule type="expression" dxfId="11076" priority="3007">
      <formula>$H1331="ETAPA"</formula>
    </cfRule>
    <cfRule type="expression" dxfId="11075" priority="3008">
      <formula>$H1331="SUBETAPA"</formula>
    </cfRule>
    <cfRule type="expression" dxfId="11074" priority="3009">
      <formula>$H1331="CÉLULA CONSTRUTIVA"</formula>
    </cfRule>
  </conditionalFormatting>
  <conditionalFormatting sqref="O1332:O1336">
    <cfRule type="expression" dxfId="11073" priority="3021">
      <formula>$H1332="SUBETAPA"</formula>
    </cfRule>
    <cfRule type="expression" dxfId="11072" priority="3022">
      <formula>$H1332="CÉLULA CONSTRUTIVA"</formula>
    </cfRule>
    <cfRule type="expression" dxfId="11071" priority="3023">
      <formula>$H1332="ETAPA"</formula>
    </cfRule>
  </conditionalFormatting>
  <conditionalFormatting sqref="O1337:O1338 O1341">
    <cfRule type="expression" dxfId="11070" priority="3108">
      <formula>$H1337="ETAPA"</formula>
    </cfRule>
  </conditionalFormatting>
  <conditionalFormatting sqref="O1339:O1340">
    <cfRule type="expression" dxfId="11069" priority="3101">
      <formula>$H1339="ETAPA"</formula>
    </cfRule>
    <cfRule type="expression" dxfId="11068" priority="3102">
      <formula>$H1339="SUBETAPA"</formula>
    </cfRule>
    <cfRule type="expression" dxfId="11067" priority="3103">
      <formula>$H1339="ETAPA"</formula>
    </cfRule>
    <cfRule type="expression" dxfId="11066" priority="3104">
      <formula>$H1339="SUBETAPA"</formula>
    </cfRule>
    <cfRule type="expression" dxfId="11065" priority="3105">
      <formula>$H1339="ETAPA"</formula>
    </cfRule>
    <cfRule type="expression" dxfId="11064" priority="3106">
      <formula>$H1339="SUBETAPA"</formula>
    </cfRule>
    <cfRule type="expression" dxfId="11063" priority="3107">
      <formula>$H1339="CÉLULA CONSTRUTIVA"</formula>
    </cfRule>
  </conditionalFormatting>
  <conditionalFormatting sqref="O1341 O1337:O1338">
    <cfRule type="expression" dxfId="11062" priority="3099">
      <formula>$H1337="SUBETAPA"</formula>
    </cfRule>
    <cfRule type="expression" dxfId="11061" priority="3100">
      <formula>$H1337="CÉLULA CONSTRUTIVA"</formula>
    </cfRule>
  </conditionalFormatting>
  <conditionalFormatting sqref="O1343">
    <cfRule type="expression" dxfId="11060" priority="3096">
      <formula>$H1343="SUBETAPA"</formula>
    </cfRule>
    <cfRule type="expression" dxfId="11059" priority="3097">
      <formula>$H1343="CÉLULA CONSTRUTIVA"</formula>
    </cfRule>
    <cfRule type="expression" dxfId="11058" priority="3098">
      <formula>$H1343="ETAPA"</formula>
    </cfRule>
  </conditionalFormatting>
  <conditionalFormatting sqref="O1344">
    <cfRule type="expression" dxfId="11057" priority="3093">
      <formula>$H1344="ETAPA"</formula>
    </cfRule>
    <cfRule type="expression" dxfId="11056" priority="3094">
      <formula>$H1344="SUBETAPA"</formula>
    </cfRule>
    <cfRule type="expression" dxfId="11055" priority="3095">
      <formula>$H1344="CÉLULA CONSTRUTIVA"</formula>
    </cfRule>
  </conditionalFormatting>
  <conditionalFormatting sqref="O1345">
    <cfRule type="expression" dxfId="11054" priority="3072">
      <formula>$H1345="ETAPA"</formula>
    </cfRule>
    <cfRule type="expression" dxfId="11053" priority="3073">
      <formula>$H1345="SUBETAPA"</formula>
    </cfRule>
    <cfRule type="expression" dxfId="11052" priority="3074">
      <formula>$H1345="ETAPA"</formula>
    </cfRule>
    <cfRule type="expression" dxfId="11051" priority="3075">
      <formula>$H1345="SUBETAPA"</formula>
    </cfRule>
    <cfRule type="expression" dxfId="11050" priority="3076">
      <formula>$H1345="ETAPA"</formula>
    </cfRule>
    <cfRule type="expression" dxfId="11049" priority="3077">
      <formula>$H1345="SUBETAPA"</formula>
    </cfRule>
    <cfRule type="expression" dxfId="11048" priority="3078">
      <formula>$H1345="CÉLULA CONSTRUTIVA"</formula>
    </cfRule>
  </conditionalFormatting>
  <conditionalFormatting sqref="O1346:O1350">
    <cfRule type="expression" dxfId="11047" priority="3090">
      <formula>$H1346="SUBETAPA"</formula>
    </cfRule>
    <cfRule type="expression" dxfId="11046" priority="3091">
      <formula>$H1346="CÉLULA CONSTRUTIVA"</formula>
    </cfRule>
    <cfRule type="expression" dxfId="11045" priority="3092">
      <formula>$H1346="ETAPA"</formula>
    </cfRule>
  </conditionalFormatting>
  <conditionalFormatting sqref="O1351:O1352 O1355">
    <cfRule type="expression" dxfId="11044" priority="86699">
      <formula>$H1351="ETAPA"</formula>
    </cfRule>
  </conditionalFormatting>
  <conditionalFormatting sqref="O1353:O1354">
    <cfRule type="expression" dxfId="11043" priority="3547">
      <formula>$H1353="ETAPA"</formula>
    </cfRule>
    <cfRule type="expression" dxfId="11042" priority="3548">
      <formula>$H1353="SUBETAPA"</formula>
    </cfRule>
    <cfRule type="expression" dxfId="11041" priority="3549">
      <formula>$H1353="ETAPA"</formula>
    </cfRule>
    <cfRule type="expression" dxfId="11040" priority="3550">
      <formula>$H1353="SUBETAPA"</formula>
    </cfRule>
    <cfRule type="expression" dxfId="11039" priority="3551">
      <formula>$H1353="ETAPA"</formula>
    </cfRule>
    <cfRule type="expression" dxfId="11038" priority="3552">
      <formula>$H1353="SUBETAPA"</formula>
    </cfRule>
    <cfRule type="expression" dxfId="11037" priority="3553">
      <formula>$H1353="CÉLULA CONSTRUTIVA"</formula>
    </cfRule>
  </conditionalFormatting>
  <conditionalFormatting sqref="O1355 O1351:O1352">
    <cfRule type="expression" dxfId="11036" priority="86697">
      <formula>$H1351="SUBETAPA"</formula>
    </cfRule>
    <cfRule type="expression" dxfId="11035" priority="86698">
      <formula>$H1351="CÉLULA CONSTRUTIVA"</formula>
    </cfRule>
  </conditionalFormatting>
  <conditionalFormatting sqref="O1357">
    <cfRule type="expression" dxfId="11034" priority="59896">
      <formula>$H1357="SUBETAPA"</formula>
    </cfRule>
    <cfRule type="expression" dxfId="11033" priority="59897">
      <formula>$H1357="CÉLULA CONSTRUTIVA"</formula>
    </cfRule>
    <cfRule type="expression" dxfId="11032" priority="59898">
      <formula>$H1357="ETAPA"</formula>
    </cfRule>
  </conditionalFormatting>
  <conditionalFormatting sqref="O1358">
    <cfRule type="expression" dxfId="11031" priority="3537">
      <formula>$H1358="ETAPA"</formula>
    </cfRule>
    <cfRule type="expression" dxfId="11030" priority="3538">
      <formula>$H1358="SUBETAPA"</formula>
    </cfRule>
    <cfRule type="expression" dxfId="11029" priority="3539">
      <formula>$H1358="CÉLULA CONSTRUTIVA"</formula>
    </cfRule>
  </conditionalFormatting>
  <conditionalFormatting sqref="O1359">
    <cfRule type="expression" dxfId="11028" priority="3141">
      <formula>$H1359="ETAPA"</formula>
    </cfRule>
    <cfRule type="expression" dxfId="11027" priority="3142">
      <formula>$H1359="SUBETAPA"</formula>
    </cfRule>
    <cfRule type="expression" dxfId="11026" priority="3143">
      <formula>$H1359="ETAPA"</formula>
    </cfRule>
    <cfRule type="expression" dxfId="11025" priority="3144">
      <formula>$H1359="SUBETAPA"</formula>
    </cfRule>
    <cfRule type="expression" dxfId="11024" priority="3145">
      <formula>$H1359="ETAPA"</formula>
    </cfRule>
    <cfRule type="expression" dxfId="11023" priority="3146">
      <formula>$H1359="SUBETAPA"</formula>
    </cfRule>
    <cfRule type="expression" dxfId="11022" priority="3147">
      <formula>$H1359="CÉLULA CONSTRUTIVA"</formula>
    </cfRule>
  </conditionalFormatting>
  <conditionalFormatting sqref="O1360:O1364">
    <cfRule type="expression" dxfId="11021" priority="86717">
      <formula>$H1360="SUBETAPA"</formula>
    </cfRule>
    <cfRule type="expression" dxfId="11020" priority="86718">
      <formula>$H1360="CÉLULA CONSTRUTIVA"</formula>
    </cfRule>
    <cfRule type="expression" dxfId="11019" priority="86719">
      <formula>$H1360="ETAPA"</formula>
    </cfRule>
  </conditionalFormatting>
  <conditionalFormatting sqref="O1365">
    <cfRule type="expression" dxfId="11018" priority="58335">
      <formula>$H1365="CÉLULA CONSTRUTIVA"</formula>
    </cfRule>
    <cfRule type="expression" dxfId="11017" priority="58336">
      <formula>$H1365="ETAPA"</formula>
    </cfRule>
    <cfRule type="expression" dxfId="11016" priority="58337">
      <formula>$H1365="SUBETAPA"</formula>
    </cfRule>
  </conditionalFormatting>
  <conditionalFormatting sqref="O1366:O1368">
    <cfRule type="expression" dxfId="11015" priority="53755">
      <formula>$H1366="SUBETAPA"</formula>
    </cfRule>
    <cfRule type="expression" dxfId="11014" priority="53756">
      <formula>$H1366="CÉLULA CONSTRUTIVA"</formula>
    </cfRule>
    <cfRule type="expression" dxfId="11013" priority="53757">
      <formula>$H1366="ETAPA"</formula>
    </cfRule>
  </conditionalFormatting>
  <conditionalFormatting sqref="O1370">
    <cfRule type="expression" dxfId="11012" priority="3530">
      <formula>$H1370="ETAPA"</formula>
    </cfRule>
    <cfRule type="expression" dxfId="11011" priority="3531">
      <formula>$H1370="SUBETAPA"</formula>
    </cfRule>
    <cfRule type="expression" dxfId="11010" priority="3532">
      <formula>$H1370="ETAPA"</formula>
    </cfRule>
    <cfRule type="expression" dxfId="11009" priority="3533">
      <formula>$H1370="SUBETAPA"</formula>
    </cfRule>
    <cfRule type="expression" dxfId="11008" priority="3534">
      <formula>$H1370="ETAPA"</formula>
    </cfRule>
    <cfRule type="expression" dxfId="11007" priority="3535">
      <formula>$H1370="SUBETAPA"</formula>
    </cfRule>
    <cfRule type="expression" dxfId="11006" priority="3536">
      <formula>$H1370="CÉLULA CONSTRUTIVA"</formula>
    </cfRule>
  </conditionalFormatting>
  <conditionalFormatting sqref="O1373">
    <cfRule type="expression" dxfId="11005" priority="3523">
      <formula>$H1373="ETAPA"</formula>
    </cfRule>
    <cfRule type="expression" dxfId="11004" priority="3524">
      <formula>$H1373="SUBETAPA"</formula>
    </cfRule>
    <cfRule type="expression" dxfId="11003" priority="3525">
      <formula>$H1373="ETAPA"</formula>
    </cfRule>
    <cfRule type="expression" dxfId="11002" priority="3526">
      <formula>$H1373="SUBETAPA"</formula>
    </cfRule>
    <cfRule type="expression" dxfId="11001" priority="3527">
      <formula>$H1373="ETAPA"</formula>
    </cfRule>
    <cfRule type="expression" dxfId="11000" priority="3528">
      <formula>$H1373="SUBETAPA"</formula>
    </cfRule>
    <cfRule type="expression" dxfId="10999" priority="3529">
      <formula>$H1373="CÉLULA CONSTRUTIVA"</formula>
    </cfRule>
  </conditionalFormatting>
  <conditionalFormatting sqref="O1376 H1376 J1376:L1376">
    <cfRule type="expression" dxfId="10998" priority="54014">
      <formula>$H1376="ETAPA"</formula>
    </cfRule>
  </conditionalFormatting>
  <conditionalFormatting sqref="O1379 H1379 J1379:L1379">
    <cfRule type="expression" dxfId="10997" priority="54138">
      <formula>$H1379="ETAPA"</formula>
    </cfRule>
  </conditionalFormatting>
  <conditionalFormatting sqref="O1382 H1382 J1382:L1382">
    <cfRule type="expression" dxfId="10996" priority="54262">
      <formula>$H1382="ETAPA"</formula>
    </cfRule>
  </conditionalFormatting>
  <conditionalFormatting sqref="O1385 H1385 J1385:L1385">
    <cfRule type="expression" dxfId="10995" priority="54386">
      <formula>$H1385="ETAPA"</formula>
    </cfRule>
  </conditionalFormatting>
  <conditionalFormatting sqref="O1386:O1388">
    <cfRule type="expression" dxfId="10994" priority="54499">
      <formula>$H1386="SUBETAPA"</formula>
    </cfRule>
    <cfRule type="expression" dxfId="10993" priority="54500">
      <formula>$H1386="CÉLULA CONSTRUTIVA"</formula>
    </cfRule>
    <cfRule type="expression" dxfId="10992" priority="54501">
      <formula>$H1386="ETAPA"</formula>
    </cfRule>
  </conditionalFormatting>
  <conditionalFormatting sqref="O1390 H1390 J1390:L1390">
    <cfRule type="expression" dxfId="10991" priority="54510">
      <formula>$H1390="ETAPA"</formula>
    </cfRule>
  </conditionalFormatting>
  <conditionalFormatting sqref="O1391:O1392">
    <cfRule type="expression" dxfId="10990" priority="54505">
      <formula>$H1391="SUBETAPA"</formula>
    </cfRule>
    <cfRule type="expression" dxfId="10989" priority="54506">
      <formula>$H1391="CÉLULA CONSTRUTIVA"</formula>
    </cfRule>
    <cfRule type="expression" dxfId="10988" priority="54507">
      <formula>$H1391="ETAPA"</formula>
    </cfRule>
  </conditionalFormatting>
  <conditionalFormatting sqref="O1393:O1395">
    <cfRule type="expression" dxfId="10987" priority="54623">
      <formula>$H1393="SUBETAPA"</formula>
    </cfRule>
    <cfRule type="expression" dxfId="10986" priority="54624">
      <formula>$H1393="CÉLULA CONSTRUTIVA"</formula>
    </cfRule>
    <cfRule type="expression" dxfId="10985" priority="54625">
      <formula>$H1393="ETAPA"</formula>
    </cfRule>
  </conditionalFormatting>
  <conditionalFormatting sqref="O1397 H1397 J1397:L1397">
    <cfRule type="expression" dxfId="10984" priority="54634">
      <formula>$H1397="ETAPA"</formula>
    </cfRule>
  </conditionalFormatting>
  <conditionalFormatting sqref="O1398:O1399">
    <cfRule type="expression" dxfId="10983" priority="54629">
      <formula>$H1398="SUBETAPA"</formula>
    </cfRule>
    <cfRule type="expression" dxfId="10982" priority="54630">
      <formula>$H1398="CÉLULA CONSTRUTIVA"</formula>
    </cfRule>
    <cfRule type="expression" dxfId="10981" priority="54631">
      <formula>$H1398="ETAPA"</formula>
    </cfRule>
  </conditionalFormatting>
  <conditionalFormatting sqref="O1400:O1402">
    <cfRule type="expression" dxfId="10980" priority="54747">
      <formula>$H1400="SUBETAPA"</formula>
    </cfRule>
    <cfRule type="expression" dxfId="10979" priority="54748">
      <formula>$H1400="CÉLULA CONSTRUTIVA"</formula>
    </cfRule>
    <cfRule type="expression" dxfId="10978" priority="54749">
      <formula>$H1400="ETAPA"</formula>
    </cfRule>
  </conditionalFormatting>
  <conditionalFormatting sqref="O1404">
    <cfRule type="expression" dxfId="10977" priority="3516">
      <formula>$H1404="ETAPA"</formula>
    </cfRule>
    <cfRule type="expression" dxfId="10976" priority="3517">
      <formula>$H1404="SUBETAPA"</formula>
    </cfRule>
    <cfRule type="expression" dxfId="10975" priority="3518">
      <formula>$H1404="ETAPA"</formula>
    </cfRule>
    <cfRule type="expression" dxfId="10974" priority="3519">
      <formula>$H1404="SUBETAPA"</formula>
    </cfRule>
    <cfRule type="expression" dxfId="10973" priority="3520">
      <formula>$H1404="ETAPA"</formula>
    </cfRule>
    <cfRule type="expression" dxfId="10972" priority="3521">
      <formula>$H1404="SUBETAPA"</formula>
    </cfRule>
    <cfRule type="expression" dxfId="10971" priority="3522">
      <formula>$H1404="CÉLULA CONSTRUTIVA"</formula>
    </cfRule>
  </conditionalFormatting>
  <conditionalFormatting sqref="O1405:O1406">
    <cfRule type="expression" dxfId="10970" priority="54871">
      <formula>$H1405="SUBETAPA"</formula>
    </cfRule>
    <cfRule type="expression" dxfId="10969" priority="54872">
      <formula>$H1405="CÉLULA CONSTRUTIVA"</formula>
    </cfRule>
    <cfRule type="expression" dxfId="10968" priority="54873">
      <formula>$H1405="ETAPA"</formula>
    </cfRule>
  </conditionalFormatting>
  <conditionalFormatting sqref="O1407">
    <cfRule type="expression" dxfId="10967" priority="3509">
      <formula>$H1407="ETAPA"</formula>
    </cfRule>
    <cfRule type="expression" dxfId="10966" priority="3510">
      <formula>$H1407="SUBETAPA"</formula>
    </cfRule>
    <cfRule type="expression" dxfId="10965" priority="3511">
      <formula>$H1407="ETAPA"</formula>
    </cfRule>
    <cfRule type="expression" dxfId="10964" priority="3512">
      <formula>$H1407="SUBETAPA"</formula>
    </cfRule>
    <cfRule type="expression" dxfId="10963" priority="3513">
      <formula>$H1407="ETAPA"</formula>
    </cfRule>
    <cfRule type="expression" dxfId="10962" priority="3514">
      <formula>$H1407="SUBETAPA"</formula>
    </cfRule>
    <cfRule type="expression" dxfId="10961" priority="3515">
      <formula>$H1407="CÉLULA CONSTRUTIVA"</formula>
    </cfRule>
  </conditionalFormatting>
  <conditionalFormatting sqref="O1409 H1409 J1409:L1409">
    <cfRule type="expression" dxfId="10960" priority="54882">
      <formula>$H1409="ETAPA"</formula>
    </cfRule>
  </conditionalFormatting>
  <conditionalFormatting sqref="O1410:O1412">
    <cfRule type="expression" dxfId="10959" priority="54995">
      <formula>$H1410="SUBETAPA"</formula>
    </cfRule>
    <cfRule type="expression" dxfId="10958" priority="54996">
      <formula>$H1410="CÉLULA CONSTRUTIVA"</formula>
    </cfRule>
    <cfRule type="expression" dxfId="10957" priority="54997">
      <formula>$H1410="ETAPA"</formula>
    </cfRule>
  </conditionalFormatting>
  <conditionalFormatting sqref="O1414">
    <cfRule type="expression" dxfId="10956" priority="3495">
      <formula>$H1414="ETAPA"</formula>
    </cfRule>
    <cfRule type="expression" dxfId="10955" priority="3496">
      <formula>$H1414="SUBETAPA"</formula>
    </cfRule>
    <cfRule type="expression" dxfId="10954" priority="3497">
      <formula>$H1414="ETAPA"</formula>
    </cfRule>
    <cfRule type="expression" dxfId="10953" priority="3498">
      <formula>$H1414="SUBETAPA"</formula>
    </cfRule>
    <cfRule type="expression" dxfId="10952" priority="3499">
      <formula>$H1414="ETAPA"</formula>
    </cfRule>
    <cfRule type="expression" dxfId="10951" priority="3500">
      <formula>$H1414="SUBETAPA"</formula>
    </cfRule>
    <cfRule type="expression" dxfId="10950" priority="3501">
      <formula>$H1414="CÉLULA CONSTRUTIVA"</formula>
    </cfRule>
  </conditionalFormatting>
  <conditionalFormatting sqref="O1415:O1417">
    <cfRule type="expression" dxfId="10949" priority="55119">
      <formula>$H1415="SUBETAPA"</formula>
    </cfRule>
    <cfRule type="expression" dxfId="10948" priority="55120">
      <formula>$H1415="CÉLULA CONSTRUTIVA"</formula>
    </cfRule>
    <cfRule type="expression" dxfId="10947" priority="55121">
      <formula>$H1415="ETAPA"</formula>
    </cfRule>
  </conditionalFormatting>
  <conditionalFormatting sqref="O1419">
    <cfRule type="expression" dxfId="10946" priority="3481">
      <formula>$H1419="ETAPA"</formula>
    </cfRule>
    <cfRule type="expression" dxfId="10945" priority="3482">
      <formula>$H1419="SUBETAPA"</formula>
    </cfRule>
    <cfRule type="expression" dxfId="10944" priority="3483">
      <formula>$H1419="ETAPA"</formula>
    </cfRule>
    <cfRule type="expression" dxfId="10943" priority="3484">
      <formula>$H1419="SUBETAPA"</formula>
    </cfRule>
    <cfRule type="expression" dxfId="10942" priority="3485">
      <formula>$H1419="ETAPA"</formula>
    </cfRule>
    <cfRule type="expression" dxfId="10941" priority="3486">
      <formula>$H1419="SUBETAPA"</formula>
    </cfRule>
    <cfRule type="expression" dxfId="10940" priority="3487">
      <formula>$H1419="CÉLULA CONSTRUTIVA"</formula>
    </cfRule>
  </conditionalFormatting>
  <conditionalFormatting sqref="O1422">
    <cfRule type="expression" dxfId="10939" priority="3467">
      <formula>$H1422="ETAPA"</formula>
    </cfRule>
    <cfRule type="expression" dxfId="10938" priority="3468">
      <formula>$H1422="SUBETAPA"</formula>
    </cfRule>
    <cfRule type="expression" dxfId="10937" priority="3469">
      <formula>$H1422="ETAPA"</formula>
    </cfRule>
    <cfRule type="expression" dxfId="10936" priority="3470">
      <formula>$H1422="SUBETAPA"</formula>
    </cfRule>
    <cfRule type="expression" dxfId="10935" priority="3471">
      <formula>$H1422="ETAPA"</formula>
    </cfRule>
    <cfRule type="expression" dxfId="10934" priority="3472">
      <formula>$H1422="SUBETAPA"</formula>
    </cfRule>
    <cfRule type="expression" dxfId="10933" priority="3473">
      <formula>$H1422="CÉLULA CONSTRUTIVA"</formula>
    </cfRule>
  </conditionalFormatting>
  <conditionalFormatting sqref="O1423">
    <cfRule type="expression" dxfId="10932" priority="58332">
      <formula>$H1423="CÉLULA CONSTRUTIVA"</formula>
    </cfRule>
    <cfRule type="expression" dxfId="10931" priority="58333">
      <formula>$H1423="ETAPA"</formula>
    </cfRule>
    <cfRule type="expression" dxfId="10930" priority="58334">
      <formula>$H1423="SUBETAPA"</formula>
    </cfRule>
  </conditionalFormatting>
  <conditionalFormatting sqref="O1428:O1429">
    <cfRule type="expression" dxfId="10929" priority="91930">
      <formula>$H1428="SUBETAPA"</formula>
    </cfRule>
    <cfRule type="expression" dxfId="10928" priority="91931">
      <formula>$H1428="CÉLULA CONSTRUTIVA"</formula>
    </cfRule>
  </conditionalFormatting>
  <conditionalFormatting sqref="O1431">
    <cfRule type="expression" dxfId="10927" priority="4777">
      <formula>$H1431="ETAPA"</formula>
    </cfRule>
    <cfRule type="expression" dxfId="10926" priority="4778">
      <formula>$H1431="SUBETAPA"</formula>
    </cfRule>
  </conditionalFormatting>
  <conditionalFormatting sqref="O1437:O1442">
    <cfRule type="expression" dxfId="10925" priority="92312">
      <formula>$H1437="ETAPA"</formula>
    </cfRule>
  </conditionalFormatting>
  <conditionalFormatting sqref="O1440:O1442">
    <cfRule type="expression" dxfId="10924" priority="92310">
      <formula>$H1440="SUBETAPA"</formula>
    </cfRule>
    <cfRule type="expression" dxfId="10923" priority="92311">
      <formula>$H1440="CÉLULA CONSTRUTIVA"</formula>
    </cfRule>
  </conditionalFormatting>
  <conditionalFormatting sqref="O1443:O1446">
    <cfRule type="expression" dxfId="10922" priority="92193">
      <formula>$H1443="CÉLULA CONSTRUTIVA"</formula>
    </cfRule>
  </conditionalFormatting>
  <conditionalFormatting sqref="O1456">
    <cfRule type="expression" dxfId="10921" priority="4426">
      <formula>$H1456="ETAPA"</formula>
    </cfRule>
    <cfRule type="expression" dxfId="10920" priority="4427">
      <formula>$H1456="SUBETAPA"</formula>
    </cfRule>
  </conditionalFormatting>
  <conditionalFormatting sqref="O1460 K1460">
    <cfRule type="expression" dxfId="10919" priority="4442">
      <formula>$H1460="SUBETAPA"</formula>
    </cfRule>
    <cfRule type="expression" dxfId="10918" priority="4443">
      <formula>$H1460="ETAPA"</formula>
    </cfRule>
  </conditionalFormatting>
  <conditionalFormatting sqref="O1463">
    <cfRule type="expression" dxfId="10917" priority="4390">
      <formula>$H1463="ETAPA"</formula>
    </cfRule>
    <cfRule type="expression" dxfId="10916" priority="4391">
      <formula>$H1463="SUBETAPA"</formula>
    </cfRule>
  </conditionalFormatting>
  <conditionalFormatting sqref="O1467 K1467">
    <cfRule type="expression" dxfId="10915" priority="4406">
      <formula>$H1467="SUBETAPA"</formula>
    </cfRule>
    <cfRule type="expression" dxfId="10914" priority="4407">
      <formula>$H1467="ETAPA"</formula>
    </cfRule>
  </conditionalFormatting>
  <conditionalFormatting sqref="O1473">
    <cfRule type="expression" dxfId="10913" priority="4354">
      <formula>$H1473="ETAPA"</formula>
    </cfRule>
    <cfRule type="expression" dxfId="10912" priority="4355">
      <formula>$H1473="SUBETAPA"</formula>
    </cfRule>
  </conditionalFormatting>
  <conditionalFormatting sqref="O1482 K1482">
    <cfRule type="expression" dxfId="10911" priority="4367">
      <formula>$H1482="SUBETAPA"</formula>
    </cfRule>
    <cfRule type="expression" dxfId="10910" priority="4368">
      <formula>$H1482="ETAPA"</formula>
    </cfRule>
  </conditionalFormatting>
  <conditionalFormatting sqref="O1482:O1485">
    <cfRule type="expression" dxfId="10909" priority="4358">
      <formula>$H1482="CÉLULA CONSTRUTIVA"</formula>
    </cfRule>
  </conditionalFormatting>
  <conditionalFormatting sqref="O1483 O1485 J1485:K1485 K1483">
    <cfRule type="expression" dxfId="10908" priority="4370">
      <formula>$H1483="SUBETAPA"</formula>
    </cfRule>
    <cfRule type="expression" dxfId="10907" priority="4371">
      <formula>$H1483="ETAPA"</formula>
    </cfRule>
  </conditionalFormatting>
  <conditionalFormatting sqref="O1484 K1484">
    <cfRule type="expression" dxfId="10906" priority="4364">
      <formula>$H1484="SUBETAPA"</formula>
    </cfRule>
    <cfRule type="expression" dxfId="10905" priority="4365">
      <formula>$H1484="ETAPA"</formula>
    </cfRule>
  </conditionalFormatting>
  <conditionalFormatting sqref="O1488">
    <cfRule type="expression" dxfId="10904" priority="4318">
      <formula>$H1488="ETAPA"</formula>
    </cfRule>
    <cfRule type="expression" dxfId="10903" priority="4319">
      <formula>$H1488="SUBETAPA"</formula>
    </cfRule>
  </conditionalFormatting>
  <conditionalFormatting sqref="O1492:O1493 J1493:K1493 K1492">
    <cfRule type="expression" dxfId="10902" priority="4334">
      <formula>$H1492="SUBETAPA"</formula>
    </cfRule>
    <cfRule type="expression" dxfId="10901" priority="4335">
      <formula>$H1492="ETAPA"</formula>
    </cfRule>
  </conditionalFormatting>
  <conditionalFormatting sqref="O1499">
    <cfRule type="expression" dxfId="10900" priority="4460">
      <formula>$H1499="SUBETAPA"</formula>
    </cfRule>
    <cfRule type="expression" dxfId="10899" priority="4461">
      <formula>$H1499="CÉLULA CONSTRUTIVA"</formula>
    </cfRule>
  </conditionalFormatting>
  <conditionalFormatting sqref="O1501:O1504">
    <cfRule type="expression" dxfId="10898" priority="4638">
      <formula>$H1501="ETAPA"</formula>
    </cfRule>
    <cfRule type="expression" dxfId="10897" priority="4639">
      <formula>$H1501="SUBETAPA"</formula>
    </cfRule>
  </conditionalFormatting>
  <conditionalFormatting sqref="O1505">
    <cfRule type="expression" dxfId="10896" priority="4282">
      <formula>$H1505="ETAPA"</formula>
    </cfRule>
    <cfRule type="expression" dxfId="10895" priority="4283">
      <formula>$H1505="SUBETAPA"</formula>
    </cfRule>
  </conditionalFormatting>
  <conditionalFormatting sqref="O1513 K1513">
    <cfRule type="expression" dxfId="10894" priority="4295">
      <formula>$H1513="SUBETAPA"</formula>
    </cfRule>
    <cfRule type="expression" dxfId="10893" priority="4296">
      <formula>$H1513="ETAPA"</formula>
    </cfRule>
  </conditionalFormatting>
  <conditionalFormatting sqref="O1513:O1518">
    <cfRule type="expression" dxfId="10892" priority="4286">
      <formula>$H1513="CÉLULA CONSTRUTIVA"</formula>
    </cfRule>
  </conditionalFormatting>
  <conditionalFormatting sqref="O1516:O1517 K1516:K1517">
    <cfRule type="expression" dxfId="10891" priority="4292">
      <formula>$H1516="SUBETAPA"</formula>
    </cfRule>
    <cfRule type="expression" dxfId="10890" priority="4293">
      <formula>$H1516="ETAPA"</formula>
    </cfRule>
  </conditionalFormatting>
  <conditionalFormatting sqref="O1518 J1518:K1518 O1514:O1515 K1514:K1515">
    <cfRule type="expression" dxfId="10889" priority="4298">
      <formula>$H1514="SUBETAPA"</formula>
    </cfRule>
    <cfRule type="expression" dxfId="10888" priority="4299">
      <formula>$H1514="ETAPA"</formula>
    </cfRule>
  </conditionalFormatting>
  <conditionalFormatting sqref="O1535:O1538">
    <cfRule type="expression" dxfId="10887" priority="88876">
      <formula>$H1535="CÉLULA CONSTRUTIVA"</formula>
    </cfRule>
  </conditionalFormatting>
  <conditionalFormatting sqref="O1543:O1545">
    <cfRule type="expression" dxfId="10886" priority="4600">
      <formula>$H1543="ETAPA"</formula>
    </cfRule>
    <cfRule type="expression" dxfId="10885" priority="4601">
      <formula>$H1543="SUBETAPA"</formula>
    </cfRule>
  </conditionalFormatting>
  <conditionalFormatting sqref="O1547:O1551">
    <cfRule type="expression" dxfId="10884" priority="4598">
      <formula>$H1547="ETAPA"</formula>
    </cfRule>
    <cfRule type="expression" dxfId="10883" priority="4599">
      <formula>$H1547="SUBETAPA"</formula>
    </cfRule>
  </conditionalFormatting>
  <conditionalFormatting sqref="O1557:O1560">
    <cfRule type="expression" dxfId="10882" priority="89535">
      <formula>$H1557="CÉLULA CONSTRUTIVA"</formula>
    </cfRule>
  </conditionalFormatting>
  <conditionalFormatting sqref="O1585:O1589">
    <cfRule type="expression" dxfId="10881" priority="4558">
      <formula>$H1585="ETAPA"</formula>
    </cfRule>
    <cfRule type="expression" dxfId="10880" priority="4559">
      <formula>$H1585="SUBETAPA"</formula>
    </cfRule>
  </conditionalFormatting>
  <conditionalFormatting sqref="O1595:O1598">
    <cfRule type="expression" dxfId="10879" priority="90853">
      <formula>$H1595="CÉLULA CONSTRUTIVA"</formula>
    </cfRule>
  </conditionalFormatting>
  <conditionalFormatting sqref="O1606:O1610">
    <cfRule type="expression" dxfId="10878" priority="4538">
      <formula>$H1606="ETAPA"</formula>
    </cfRule>
    <cfRule type="expression" dxfId="10877" priority="4539">
      <formula>$H1606="SUBETAPA"</formula>
    </cfRule>
  </conditionalFormatting>
  <conditionalFormatting sqref="O1616:O1619">
    <cfRule type="expression" dxfId="10876" priority="91513">
      <formula>$H1616="CÉLULA CONSTRUTIVA"</formula>
    </cfRule>
  </conditionalFormatting>
  <conditionalFormatting sqref="O1624:O1626">
    <cfRule type="expression" dxfId="10875" priority="4520">
      <formula>$H1624="ETAPA"</formula>
    </cfRule>
    <cfRule type="expression" dxfId="10874" priority="4521">
      <formula>$H1624="SUBETAPA"</formula>
    </cfRule>
  </conditionalFormatting>
  <conditionalFormatting sqref="O1630:O1634">
    <cfRule type="expression" dxfId="10873" priority="4518">
      <formula>$H1630="ETAPA"</formula>
    </cfRule>
    <cfRule type="expression" dxfId="10872" priority="4519">
      <formula>$H1630="SUBETAPA"</formula>
    </cfRule>
  </conditionalFormatting>
  <conditionalFormatting sqref="O1640:O1643">
    <cfRule type="expression" dxfId="10871" priority="96147">
      <formula>$H1640="CÉLULA CONSTRUTIVA"</formula>
    </cfRule>
  </conditionalFormatting>
  <conditionalFormatting sqref="O1648:O1650">
    <cfRule type="expression" dxfId="10870" priority="4500">
      <formula>$H1648="ETAPA"</formula>
    </cfRule>
    <cfRule type="expression" dxfId="10869" priority="4501">
      <formula>$H1648="SUBETAPA"</formula>
    </cfRule>
  </conditionalFormatting>
  <conditionalFormatting sqref="O1674:O1675 O1681 O1693">
    <cfRule type="expression" dxfId="10868" priority="80565">
      <formula>$H1674="CÉLULA CONSTRUTIVA"</formula>
    </cfRule>
    <cfRule type="expression" dxfId="10867" priority="80566">
      <formula>$H1674="ETAPA"</formula>
    </cfRule>
  </conditionalFormatting>
  <conditionalFormatting sqref="O1676 H1676 K1676">
    <cfRule type="expression" dxfId="10866" priority="80490">
      <formula>$H1676="SUBETAPA"</formula>
    </cfRule>
  </conditionalFormatting>
  <conditionalFormatting sqref="O1676:O1677">
    <cfRule type="expression" dxfId="10865" priority="80483">
      <formula>$H1676="ETAPA"</formula>
    </cfRule>
  </conditionalFormatting>
  <conditionalFormatting sqref="O1677 H1677 K1677">
    <cfRule type="expression" dxfId="10864" priority="80484">
      <formula>$H1677="SUBETAPA"</formula>
    </cfRule>
  </conditionalFormatting>
  <conditionalFormatting sqref="O1678">
    <cfRule type="expression" dxfId="10863" priority="3460">
      <formula>$H1678="ETAPA"</formula>
    </cfRule>
    <cfRule type="expression" dxfId="10862" priority="3461">
      <formula>$H1678="SUBETAPA"</formula>
    </cfRule>
    <cfRule type="expression" dxfId="10861" priority="3462">
      <formula>$H1678="ETAPA"</formula>
    </cfRule>
    <cfRule type="expression" dxfId="10860" priority="3463">
      <formula>$H1678="SUBETAPA"</formula>
    </cfRule>
    <cfRule type="expression" dxfId="10859" priority="3464">
      <formula>$H1678="ETAPA"</formula>
    </cfRule>
    <cfRule type="expression" dxfId="10858" priority="3465">
      <formula>$H1678="SUBETAPA"</formula>
    </cfRule>
    <cfRule type="expression" dxfId="10857" priority="3466">
      <formula>$H1678="CÉLULA CONSTRUTIVA"</formula>
    </cfRule>
  </conditionalFormatting>
  <conditionalFormatting sqref="O1683 O1685">
    <cfRule type="expression" dxfId="10856" priority="80353">
      <formula>$H1683="CÉLULA CONSTRUTIVA"</formula>
    </cfRule>
  </conditionalFormatting>
  <conditionalFormatting sqref="O1684 H1683:H1684 J1684 J1683:L1683">
    <cfRule type="expression" dxfId="10855" priority="80354">
      <formula>$H1683="CÉLULA CONSTRUTIVA"</formula>
    </cfRule>
  </conditionalFormatting>
  <conditionalFormatting sqref="O1689:O1690">
    <cfRule type="expression" dxfId="10854" priority="80397">
      <formula>$H1689="CÉLULA CONSTRUTIVA"</formula>
    </cfRule>
  </conditionalFormatting>
  <conditionalFormatting sqref="O1692">
    <cfRule type="expression" dxfId="10853" priority="80450">
      <formula>$H1692="ETAPA"</formula>
    </cfRule>
  </conditionalFormatting>
  <conditionalFormatting sqref="O1694:O1695 O1709">
    <cfRule type="expression" dxfId="10852" priority="80889">
      <formula>$H1694="CÉLULA CONSTRUTIVA"</formula>
    </cfRule>
    <cfRule type="expression" dxfId="10851" priority="80890">
      <formula>$H1694="ETAPA"</formula>
    </cfRule>
  </conditionalFormatting>
  <conditionalFormatting sqref="O1696 H1696 K1696">
    <cfRule type="expression" dxfId="10850" priority="80814">
      <formula>$H1696="SUBETAPA"</formula>
    </cfRule>
  </conditionalFormatting>
  <conditionalFormatting sqref="O1696:O1700">
    <cfRule type="expression" dxfId="10849" priority="80691">
      <formula>$H1696="ETAPA"</formula>
    </cfRule>
  </conditionalFormatting>
  <conditionalFormatting sqref="O1697 H1697 K1697">
    <cfRule type="expression" dxfId="10848" priority="80808">
      <formula>$H1697="SUBETAPA"</formula>
    </cfRule>
  </conditionalFormatting>
  <conditionalFormatting sqref="O1700 O1702">
    <cfRule type="expression" dxfId="10847" priority="80677">
      <formula>$H1700="CÉLULA CONSTRUTIVA"</formula>
    </cfRule>
  </conditionalFormatting>
  <conditionalFormatting sqref="O1701">
    <cfRule type="expression" dxfId="10846" priority="60979">
      <formula>$H1701="CÉLULA CONSTRUTIVA"</formula>
    </cfRule>
    <cfRule type="expression" dxfId="10845" priority="60980">
      <formula>$H1701="SUBETAPA"</formula>
    </cfRule>
    <cfRule type="expression" dxfId="10844" priority="60981">
      <formula>$H1701="ETAPA"</formula>
    </cfRule>
  </conditionalFormatting>
  <conditionalFormatting sqref="O1706:O1707">
    <cfRule type="expression" dxfId="10843" priority="80721">
      <formula>$H1706="CÉLULA CONSTRUTIVA"</formula>
    </cfRule>
  </conditionalFormatting>
  <conditionalFormatting sqref="O1710:O1711 O1724">
    <cfRule type="expression" dxfId="10842" priority="81213">
      <formula>$H1710="CÉLULA CONSTRUTIVA"</formula>
    </cfRule>
    <cfRule type="expression" dxfId="10841" priority="81214">
      <formula>$H1710="ETAPA"</formula>
    </cfRule>
  </conditionalFormatting>
  <conditionalFormatting sqref="O1712 H1712 K1712">
    <cfRule type="expression" dxfId="10840" priority="81138">
      <formula>$H1712="SUBETAPA"</formula>
    </cfRule>
  </conditionalFormatting>
  <conditionalFormatting sqref="O1712:O1716">
    <cfRule type="expression" dxfId="10839" priority="81015">
      <formula>$H1712="ETAPA"</formula>
    </cfRule>
  </conditionalFormatting>
  <conditionalFormatting sqref="O1713 H1713 K1713">
    <cfRule type="expression" dxfId="10838" priority="81132">
      <formula>$H1713="SUBETAPA"</formula>
    </cfRule>
  </conditionalFormatting>
  <conditionalFormatting sqref="O1716">
    <cfRule type="expression" dxfId="10837" priority="81001">
      <formula>$H1716="CÉLULA CONSTRUTIVA"</formula>
    </cfRule>
  </conditionalFormatting>
  <conditionalFormatting sqref="O1717">
    <cfRule type="expression" dxfId="10836" priority="60976">
      <formula>$H1717="CÉLULA CONSTRUTIVA"</formula>
    </cfRule>
    <cfRule type="expression" dxfId="10835" priority="60977">
      <formula>$H1717="SUBETAPA"</formula>
    </cfRule>
    <cfRule type="expression" dxfId="10834" priority="60978">
      <formula>$H1717="ETAPA"</formula>
    </cfRule>
  </conditionalFormatting>
  <conditionalFormatting sqref="O1721:O1722">
    <cfRule type="expression" dxfId="10833" priority="81045">
      <formula>$H1721="CÉLULA CONSTRUTIVA"</formula>
    </cfRule>
  </conditionalFormatting>
  <conditionalFormatting sqref="O1725:O1726">
    <cfRule type="expression" dxfId="10832" priority="81537">
      <formula>$H1725="CÉLULA CONSTRUTIVA"</formula>
    </cfRule>
    <cfRule type="expression" dxfId="10831" priority="81538">
      <formula>$H1725="ETAPA"</formula>
    </cfRule>
  </conditionalFormatting>
  <conditionalFormatting sqref="O1727 H1727 K1727">
    <cfRule type="expression" dxfId="10830" priority="81462">
      <formula>$H1727="SUBETAPA"</formula>
    </cfRule>
  </conditionalFormatting>
  <conditionalFormatting sqref="O1727:O1731">
    <cfRule type="expression" dxfId="10829" priority="81339">
      <formula>$H1727="ETAPA"</formula>
    </cfRule>
  </conditionalFormatting>
  <conditionalFormatting sqref="O1728 H1728 K1728">
    <cfRule type="expression" dxfId="10828" priority="81456">
      <formula>$H1728="SUBETAPA"</formula>
    </cfRule>
  </conditionalFormatting>
  <conditionalFormatting sqref="O1731">
    <cfRule type="expression" dxfId="10827" priority="81325">
      <formula>$H1731="CÉLULA CONSTRUTIVA"</formula>
    </cfRule>
  </conditionalFormatting>
  <conditionalFormatting sqref="O1732">
    <cfRule type="expression" dxfId="10826" priority="60973">
      <formula>$H1732="CÉLULA CONSTRUTIVA"</formula>
    </cfRule>
    <cfRule type="expression" dxfId="10825" priority="60974">
      <formula>$H1732="SUBETAPA"</formula>
    </cfRule>
    <cfRule type="expression" dxfId="10824" priority="60975">
      <formula>$H1732="ETAPA"</formula>
    </cfRule>
  </conditionalFormatting>
  <conditionalFormatting sqref="O1734:O1735">
    <cfRule type="expression" dxfId="10823" priority="81369">
      <formula>$H1734="CÉLULA CONSTRUTIVA"</formula>
    </cfRule>
  </conditionalFormatting>
  <conditionalFormatting sqref="O1737:O1738 O1742:O1743">
    <cfRule type="expression" dxfId="10822" priority="81862">
      <formula>$H1737="ETAPA"</formula>
    </cfRule>
  </conditionalFormatting>
  <conditionalFormatting sqref="O1737:O1738">
    <cfRule type="expression" dxfId="10821" priority="81861">
      <formula>$H1737="CÉLULA CONSTRUTIVA"</formula>
    </cfRule>
  </conditionalFormatting>
  <conditionalFormatting sqref="O1739 H1739 K1739">
    <cfRule type="expression" dxfId="10820" priority="81786">
      <formula>$H1739="SUBETAPA"</formula>
    </cfRule>
  </conditionalFormatting>
  <conditionalFormatting sqref="O1739:O1740">
    <cfRule type="expression" dxfId="10819" priority="81779">
      <formula>$H1739="ETAPA"</formula>
    </cfRule>
  </conditionalFormatting>
  <conditionalFormatting sqref="O1740 H1740 K1740">
    <cfRule type="expression" dxfId="10818" priority="81780">
      <formula>$H1740="SUBETAPA"</formula>
    </cfRule>
  </conditionalFormatting>
  <conditionalFormatting sqref="O1743">
    <cfRule type="expression" dxfId="10817" priority="81649">
      <formula>$H1743="CÉLULA CONSTRUTIVA"</formula>
    </cfRule>
  </conditionalFormatting>
  <conditionalFormatting sqref="O1744">
    <cfRule type="expression" dxfId="10816" priority="60970">
      <formula>$H1744="CÉLULA CONSTRUTIVA"</formula>
    </cfRule>
    <cfRule type="expression" dxfId="10815" priority="60971">
      <formula>$H1744="SUBETAPA"</formula>
    </cfRule>
    <cfRule type="expression" dxfId="10814" priority="60972">
      <formula>$H1744="ETAPA"</formula>
    </cfRule>
  </conditionalFormatting>
  <conditionalFormatting sqref="O1746:O1747">
    <cfRule type="expression" dxfId="10813" priority="81693">
      <formula>$H1746="CÉLULA CONSTRUTIVA"</formula>
    </cfRule>
  </conditionalFormatting>
  <conditionalFormatting sqref="O1749:O1750">
    <cfRule type="expression" dxfId="10812" priority="82185">
      <formula>$H1749="CÉLULA CONSTRUTIVA"</formula>
    </cfRule>
    <cfRule type="expression" dxfId="10811" priority="82186">
      <formula>$H1749="ETAPA"</formula>
    </cfRule>
  </conditionalFormatting>
  <conditionalFormatting sqref="O1751 H1751 K1751">
    <cfRule type="expression" dxfId="10810" priority="82110">
      <formula>$H1751="SUBETAPA"</formula>
    </cfRule>
  </conditionalFormatting>
  <conditionalFormatting sqref="O1751:O1755">
    <cfRule type="expression" dxfId="10809" priority="81987">
      <formula>$H1751="ETAPA"</formula>
    </cfRule>
  </conditionalFormatting>
  <conditionalFormatting sqref="O1752 H1752 K1752">
    <cfRule type="expression" dxfId="10808" priority="82104">
      <formula>$H1752="SUBETAPA"</formula>
    </cfRule>
  </conditionalFormatting>
  <conditionalFormatting sqref="O1755">
    <cfRule type="expression" dxfId="10807" priority="81973">
      <formula>$H1755="CÉLULA CONSTRUTIVA"</formula>
    </cfRule>
  </conditionalFormatting>
  <conditionalFormatting sqref="O1756">
    <cfRule type="expression" dxfId="10806" priority="60967">
      <formula>$H1756="CÉLULA CONSTRUTIVA"</formula>
    </cfRule>
    <cfRule type="expression" dxfId="10805" priority="60968">
      <formula>$H1756="SUBETAPA"</formula>
    </cfRule>
    <cfRule type="expression" dxfId="10804" priority="60969">
      <formula>$H1756="ETAPA"</formula>
    </cfRule>
  </conditionalFormatting>
  <conditionalFormatting sqref="O1758:O1759">
    <cfRule type="expression" dxfId="10803" priority="82017">
      <formula>$H1758="CÉLULA CONSTRUTIVA"</formula>
    </cfRule>
  </conditionalFormatting>
  <conditionalFormatting sqref="O1761:O1762 O1773 O1781:O1782 O1784">
    <cfRule type="expression" dxfId="10802" priority="82509">
      <formula>$H1761="CÉLULA CONSTRUTIVA"</formula>
    </cfRule>
  </conditionalFormatting>
  <conditionalFormatting sqref="O1761:O1762 O1781:O1782 O1784 O1771">
    <cfRule type="expression" dxfId="10801" priority="82510">
      <formula>$H1761="ETAPA"</formula>
    </cfRule>
  </conditionalFormatting>
  <conditionalFormatting sqref="O1763 H1763 K1763">
    <cfRule type="expression" dxfId="10800" priority="82434">
      <formula>$H1763="SUBETAPA"</formula>
    </cfRule>
  </conditionalFormatting>
  <conditionalFormatting sqref="O1763:O1767">
    <cfRule type="expression" dxfId="10799" priority="82311">
      <formula>$H1763="ETAPA"</formula>
    </cfRule>
  </conditionalFormatting>
  <conditionalFormatting sqref="O1764 H1764 K1764">
    <cfRule type="expression" dxfId="10798" priority="82428">
      <formula>$H1764="SUBETAPA"</formula>
    </cfRule>
  </conditionalFormatting>
  <conditionalFormatting sqref="O1767 H1767 K1767">
    <cfRule type="expression" dxfId="10797" priority="82338">
      <formula>$H1767="SUBETAPA"</formula>
    </cfRule>
  </conditionalFormatting>
  <conditionalFormatting sqref="O1771">
    <cfRule type="expression" dxfId="10796" priority="82297">
      <formula>$H1771="CÉLULA CONSTRUTIVA"</formula>
    </cfRule>
  </conditionalFormatting>
  <conditionalFormatting sqref="O1772">
    <cfRule type="expression" dxfId="10795" priority="60964">
      <formula>$H1772="CÉLULA CONSTRUTIVA"</formula>
    </cfRule>
    <cfRule type="expression" dxfId="10794" priority="60965">
      <formula>$H1772="SUBETAPA"</formula>
    </cfRule>
    <cfRule type="expression" dxfId="10793" priority="60966">
      <formula>$H1772="ETAPA"</formula>
    </cfRule>
  </conditionalFormatting>
  <conditionalFormatting sqref="O1779:O1780">
    <cfRule type="expression" dxfId="10792" priority="82341">
      <formula>$H1779="CÉLULA CONSTRUTIVA"</formula>
    </cfRule>
  </conditionalFormatting>
  <conditionalFormatting sqref="O1783">
    <cfRule type="expression" dxfId="10791" priority="82394">
      <formula>$H1783="ETAPA"</formula>
    </cfRule>
  </conditionalFormatting>
  <conditionalFormatting sqref="O1785:O1786 O1795 O1797 O1799 O1810">
    <cfRule type="expression" dxfId="10790" priority="82833">
      <formula>$H1785="CÉLULA CONSTRUTIVA"</formula>
    </cfRule>
  </conditionalFormatting>
  <conditionalFormatting sqref="O1785:O1786 O1797 O1799 O1810 O1793">
    <cfRule type="expression" dxfId="10789" priority="82834">
      <formula>$H1785="ETAPA"</formula>
    </cfRule>
  </conditionalFormatting>
  <conditionalFormatting sqref="O1787 H1787 K1787">
    <cfRule type="expression" dxfId="10788" priority="82758">
      <formula>$H1787="SUBETAPA"</formula>
    </cfRule>
  </conditionalFormatting>
  <conditionalFormatting sqref="O1787:O1791">
    <cfRule type="expression" dxfId="10787" priority="82635">
      <formula>$H1787="ETAPA"</formula>
    </cfRule>
  </conditionalFormatting>
  <conditionalFormatting sqref="O1788 H1788 K1788">
    <cfRule type="expression" dxfId="10786" priority="82752">
      <formula>$H1788="SUBETAPA"</formula>
    </cfRule>
  </conditionalFormatting>
  <conditionalFormatting sqref="O1791 H1791 K1791">
    <cfRule type="expression" dxfId="10785" priority="82662">
      <formula>$H1791="SUBETAPA"</formula>
    </cfRule>
  </conditionalFormatting>
  <conditionalFormatting sqref="O1793">
    <cfRule type="expression" dxfId="10784" priority="82621">
      <formula>$H1793="CÉLULA CONSTRUTIVA"</formula>
    </cfRule>
  </conditionalFormatting>
  <conditionalFormatting sqref="O1794">
    <cfRule type="expression" dxfId="10783" priority="60961">
      <formula>$H1794="CÉLULA CONSTRUTIVA"</formula>
    </cfRule>
    <cfRule type="expression" dxfId="10782" priority="60962">
      <formula>$H1794="SUBETAPA"</formula>
    </cfRule>
    <cfRule type="expression" dxfId="10781" priority="60963">
      <formula>$H1794="ETAPA"</formula>
    </cfRule>
  </conditionalFormatting>
  <conditionalFormatting sqref="O1796 H1810 H1795:H1796 H1802 J1802:L1802 J1796 L1810 J1795:L1795 O1802:O1805">
    <cfRule type="expression" dxfId="10780" priority="82835">
      <formula>$H1795="CÉLULA CONSTRUTIVA"</formula>
    </cfRule>
  </conditionalFormatting>
  <conditionalFormatting sqref="O1798">
    <cfRule type="expression" dxfId="10779" priority="82783">
      <formula>$H1798="ETAPA"</formula>
    </cfRule>
  </conditionalFormatting>
  <conditionalFormatting sqref="O1800:O1801">
    <cfRule type="expression" dxfId="10778" priority="78847">
      <formula>$H1800="CÉLULA CONSTRUTIVA"</formula>
    </cfRule>
    <cfRule type="expression" dxfId="10777" priority="78848">
      <formula>$H1800="ETAPA"</formula>
    </cfRule>
    <cfRule type="expression" dxfId="10776" priority="78858">
      <formula>$H1800="CÉLULA CONSTRUTIVA"</formula>
    </cfRule>
    <cfRule type="expression" dxfId="10775" priority="78859">
      <formula>$H1800="ETAPA"</formula>
    </cfRule>
  </conditionalFormatting>
  <conditionalFormatting sqref="O1806:O1807">
    <cfRule type="expression" dxfId="10774" priority="82665">
      <formula>$H1806="CÉLULA CONSTRUTIVA"</formula>
    </cfRule>
  </conditionalFormatting>
  <conditionalFormatting sqref="O1809">
    <cfRule type="expression" dxfId="10773" priority="82718">
      <formula>$H1809="ETAPA"</formula>
    </cfRule>
  </conditionalFormatting>
  <conditionalFormatting sqref="O1811:O1812 O1823">
    <cfRule type="expression" dxfId="10772" priority="83157">
      <formula>$H1811="CÉLULA CONSTRUTIVA"</formula>
    </cfRule>
    <cfRule type="expression" dxfId="10771" priority="83158">
      <formula>$H1811="ETAPA"</formula>
    </cfRule>
  </conditionalFormatting>
  <conditionalFormatting sqref="O1813 H1813 K1813">
    <cfRule type="expression" dxfId="10770" priority="83082">
      <formula>$H1813="SUBETAPA"</formula>
    </cfRule>
  </conditionalFormatting>
  <conditionalFormatting sqref="O1813:O1816">
    <cfRule type="expression" dxfId="10769" priority="82959">
      <formula>$H1813="ETAPA"</formula>
    </cfRule>
  </conditionalFormatting>
  <conditionalFormatting sqref="O1814 H1814 K1814">
    <cfRule type="expression" dxfId="10768" priority="83076">
      <formula>$H1814="SUBETAPA"</formula>
    </cfRule>
  </conditionalFormatting>
  <conditionalFormatting sqref="O1816 H1816 K1816">
    <cfRule type="expression" dxfId="10767" priority="82986">
      <formula>$H1816="SUBETAPA"</formula>
    </cfRule>
  </conditionalFormatting>
  <conditionalFormatting sqref="O1824:O1825 O1836">
    <cfRule type="expression" dxfId="10766" priority="83481">
      <formula>$H1824="CÉLULA CONSTRUTIVA"</formula>
    </cfRule>
    <cfRule type="expression" dxfId="10765" priority="83482">
      <formula>$H1824="ETAPA"</formula>
    </cfRule>
  </conditionalFormatting>
  <conditionalFormatting sqref="O1826 H1826 K1826">
    <cfRule type="expression" dxfId="10764" priority="83406">
      <formula>$H1826="SUBETAPA"</formula>
    </cfRule>
  </conditionalFormatting>
  <conditionalFormatting sqref="O1827 H1827 K1827">
    <cfRule type="expression" dxfId="10763" priority="83400">
      <formula>$H1827="SUBETAPA"</formula>
    </cfRule>
  </conditionalFormatting>
  <conditionalFormatting sqref="O1829 H1829 K1829">
    <cfRule type="expression" dxfId="10762" priority="83310">
      <formula>$H1829="SUBETAPA"</formula>
    </cfRule>
  </conditionalFormatting>
  <conditionalFormatting sqref="O1839 H1839 K1839">
    <cfRule type="expression" dxfId="10761" priority="111884">
      <formula>$H1839="SUBETAPA"</formula>
    </cfRule>
  </conditionalFormatting>
  <conditionalFormatting sqref="O1840 H1840 K1840">
    <cfRule type="expression" dxfId="10760" priority="111837">
      <formula>$H1840="SUBETAPA"</formula>
    </cfRule>
  </conditionalFormatting>
  <conditionalFormatting sqref="O1842 H1842 K1842">
    <cfRule type="expression" dxfId="10759" priority="104426">
      <formula>$H1842="SUBETAPA"</formula>
    </cfRule>
  </conditionalFormatting>
  <conditionalFormatting sqref="O1844">
    <cfRule type="expression" dxfId="10758" priority="83593">
      <formula>$H1844="CÉLULA CONSTRUTIVA"</formula>
    </cfRule>
  </conditionalFormatting>
  <conditionalFormatting sqref="O1845">
    <cfRule type="expression" dxfId="10757" priority="83568">
      <formula>$H1845="CÉLULA CONSTRUTIVA"</formula>
    </cfRule>
  </conditionalFormatting>
  <conditionalFormatting sqref="O1851">
    <cfRule type="expression" dxfId="10756" priority="111758">
      <formula>$H1851="ETAPA"</formula>
    </cfRule>
  </conditionalFormatting>
  <conditionalFormatting sqref="O1853:O1854 O1868 O1860">
    <cfRule type="expression" dxfId="10755" priority="79295">
      <formula>$H1853="ETAPA"</formula>
    </cfRule>
  </conditionalFormatting>
  <conditionalFormatting sqref="O1853:O1854 O1868">
    <cfRule type="expression" dxfId="10754" priority="79294">
      <formula>$H1853="CÉLULA CONSTRUTIVA"</formula>
    </cfRule>
  </conditionalFormatting>
  <conditionalFormatting sqref="O1855 H1855 K1855">
    <cfRule type="expression" dxfId="10753" priority="79219">
      <formula>$H1855="SUBETAPA"</formula>
    </cfRule>
  </conditionalFormatting>
  <conditionalFormatting sqref="O1855:O1858">
    <cfRule type="expression" dxfId="10752" priority="79096">
      <formula>$H1855="ETAPA"</formula>
    </cfRule>
  </conditionalFormatting>
  <conditionalFormatting sqref="O1856 H1856 K1856">
    <cfRule type="expression" dxfId="10751" priority="79213">
      <formula>$H1856="SUBETAPA"</formula>
    </cfRule>
  </conditionalFormatting>
  <conditionalFormatting sqref="O1858 H1858 K1858">
    <cfRule type="expression" dxfId="10750" priority="79123">
      <formula>$H1858="SUBETAPA"</formula>
    </cfRule>
  </conditionalFormatting>
  <conditionalFormatting sqref="O1860">
    <cfRule type="expression" dxfId="10749" priority="79082">
      <formula>$H1860="CÉLULA CONSTRUTIVA"</formula>
    </cfRule>
  </conditionalFormatting>
  <conditionalFormatting sqref="O1861">
    <cfRule type="expression" dxfId="10748" priority="79057">
      <formula>$H1861="CÉLULA CONSTRUTIVA"</formula>
    </cfRule>
  </conditionalFormatting>
  <conditionalFormatting sqref="O1867">
    <cfRule type="expression" dxfId="10747" priority="79179">
      <formula>$H1867="ETAPA"</formula>
    </cfRule>
  </conditionalFormatting>
  <conditionalFormatting sqref="O1869:O1870 O1881">
    <cfRule type="expression" dxfId="10746" priority="79618">
      <formula>$H1869="CÉLULA CONSTRUTIVA"</formula>
    </cfRule>
    <cfRule type="expression" dxfId="10745" priority="79619">
      <formula>$H1869="ETAPA"</formula>
    </cfRule>
  </conditionalFormatting>
  <conditionalFormatting sqref="O1871 H1871 K1871">
    <cfRule type="expression" dxfId="10744" priority="79543">
      <formula>$H1871="SUBETAPA"</formula>
    </cfRule>
  </conditionalFormatting>
  <conditionalFormatting sqref="O1871:O1874">
    <cfRule type="expression" dxfId="10743" priority="79420">
      <formula>$H1871="ETAPA"</formula>
    </cfRule>
  </conditionalFormatting>
  <conditionalFormatting sqref="O1872 H1872 K1872">
    <cfRule type="expression" dxfId="10742" priority="79537">
      <formula>$H1872="SUBETAPA"</formula>
    </cfRule>
  </conditionalFormatting>
  <conditionalFormatting sqref="O1874">
    <cfRule type="expression" dxfId="10741" priority="79406">
      <formula>$H1874="CÉLULA CONSTRUTIVA"</formula>
    </cfRule>
  </conditionalFormatting>
  <conditionalFormatting sqref="O1875">
    <cfRule type="expression" dxfId="10740" priority="79381">
      <formula>$H1875="CÉLULA CONSTRUTIVA"</formula>
    </cfRule>
  </conditionalFormatting>
  <conditionalFormatting sqref="O1880">
    <cfRule type="expression" dxfId="10739" priority="79503">
      <formula>$H1880="ETAPA"</formula>
    </cfRule>
  </conditionalFormatting>
  <conditionalFormatting sqref="O1882:O1883 O1896">
    <cfRule type="expression" dxfId="10738" priority="79942">
      <formula>$H1882="CÉLULA CONSTRUTIVA"</formula>
    </cfRule>
    <cfRule type="expression" dxfId="10737" priority="79943">
      <formula>$H1882="ETAPA"</formula>
    </cfRule>
  </conditionalFormatting>
  <conditionalFormatting sqref="O1884 H1884 K1884">
    <cfRule type="expression" dxfId="10736" priority="79867">
      <formula>$H1884="SUBETAPA"</formula>
    </cfRule>
  </conditionalFormatting>
  <conditionalFormatting sqref="O1884:O1886">
    <cfRule type="expression" dxfId="10735" priority="79744">
      <formula>$H1884="ETAPA"</formula>
    </cfRule>
  </conditionalFormatting>
  <conditionalFormatting sqref="O1885 H1885 K1885">
    <cfRule type="expression" dxfId="10734" priority="79861">
      <formula>$H1885="SUBETAPA"</formula>
    </cfRule>
  </conditionalFormatting>
  <conditionalFormatting sqref="O1897">
    <cfRule type="expression" dxfId="10733" priority="59931">
      <formula>$H1897="ETAPA"</formula>
    </cfRule>
    <cfRule type="expression" dxfId="10732" priority="59932">
      <formula>$H1897="SUBETAPA"</formula>
    </cfRule>
    <cfRule type="expression" dxfId="10731" priority="59933">
      <formula>$H1897="CÉLULA CONSTRUTIVA"</formula>
    </cfRule>
  </conditionalFormatting>
  <conditionalFormatting sqref="O1908">
    <cfRule type="expression" dxfId="10730" priority="75972">
      <formula>$H1908="CÉLULA CONSTRUTIVA"</formula>
    </cfRule>
    <cfRule type="expression" dxfId="10729" priority="75973">
      <formula>$H1908="ETAPA"</formula>
    </cfRule>
    <cfRule type="expression" dxfId="10728" priority="75994">
      <formula>$H1908="SUBETAPA"</formula>
    </cfRule>
  </conditionalFormatting>
  <conditionalFormatting sqref="O1909">
    <cfRule type="expression" dxfId="10727" priority="75982">
      <formula>$H1909="SUBETAPA"</formula>
    </cfRule>
    <cfRule type="expression" dxfId="10726" priority="75983">
      <formula>$H1909="CÉLULA CONSTRUTIVA"</formula>
    </cfRule>
    <cfRule type="expression" dxfId="10725" priority="75984">
      <formula>$H1909="ETAPA"</formula>
    </cfRule>
  </conditionalFormatting>
  <conditionalFormatting sqref="O1911 M1911">
    <cfRule type="expression" dxfId="10724" priority="76013">
      <formula>$H1911="ETAPA"</formula>
    </cfRule>
  </conditionalFormatting>
  <conditionalFormatting sqref="O1911">
    <cfRule type="expression" dxfId="10723" priority="76012">
      <formula>$H1911="CÉLULA CONSTRUTIVA"</formula>
    </cfRule>
  </conditionalFormatting>
  <conditionalFormatting sqref="O1915:O1919">
    <cfRule type="expression" dxfId="10722" priority="76192">
      <formula>$H1915="CÉLULA CONSTRUTIVA"</formula>
    </cfRule>
    <cfRule type="expression" dxfId="10721" priority="76193">
      <formula>$H1915="ETAPA"</formula>
    </cfRule>
  </conditionalFormatting>
  <conditionalFormatting sqref="O1924 L1924:M1924">
    <cfRule type="expression" dxfId="10720" priority="76186">
      <formula>$H1924="ETAPA"</formula>
    </cfRule>
  </conditionalFormatting>
  <conditionalFormatting sqref="O1924">
    <cfRule type="expression" dxfId="10719" priority="76185">
      <formula>$H1924="CÉLULA CONSTRUTIVA"</formula>
    </cfRule>
    <cfRule type="expression" dxfId="10718" priority="76187">
      <formula>$H1924="SUBETAPA"</formula>
    </cfRule>
  </conditionalFormatting>
  <conditionalFormatting sqref="O1932 L1932:M1932">
    <cfRule type="expression" dxfId="10717" priority="76372">
      <formula>$H1932="ETAPA"</formula>
    </cfRule>
  </conditionalFormatting>
  <conditionalFormatting sqref="O1932">
    <cfRule type="expression" dxfId="10716" priority="76371">
      <formula>$H1932="CÉLULA CONSTRUTIVA"</formula>
    </cfRule>
    <cfRule type="expression" dxfId="10715" priority="76373">
      <formula>$H1932="SUBETAPA"</formula>
    </cfRule>
  </conditionalFormatting>
  <conditionalFormatting sqref="O1937 L1937:M1937">
    <cfRule type="expression" dxfId="10714" priority="76558">
      <formula>$H1937="ETAPA"</formula>
    </cfRule>
  </conditionalFormatting>
  <conditionalFormatting sqref="O1937">
    <cfRule type="expression" dxfId="10713" priority="76557">
      <formula>$H1937="CÉLULA CONSTRUTIVA"</formula>
    </cfRule>
    <cfRule type="expression" dxfId="10712" priority="76559">
      <formula>$H1937="SUBETAPA"</formula>
    </cfRule>
  </conditionalFormatting>
  <conditionalFormatting sqref="O1945 L1945:M1945">
    <cfRule type="expression" dxfId="10711" priority="76744">
      <formula>$H1945="ETAPA"</formula>
    </cfRule>
  </conditionalFormatting>
  <conditionalFormatting sqref="O1945">
    <cfRule type="expression" dxfId="10710" priority="76743">
      <formula>$H1945="CÉLULA CONSTRUTIVA"</formula>
    </cfRule>
    <cfRule type="expression" dxfId="10709" priority="76745">
      <formula>$H1945="SUBETAPA"</formula>
    </cfRule>
  </conditionalFormatting>
  <conditionalFormatting sqref="O1954 L1954:M1954">
    <cfRule type="expression" dxfId="10708" priority="76930">
      <formula>$H1954="ETAPA"</formula>
    </cfRule>
  </conditionalFormatting>
  <conditionalFormatting sqref="O1954">
    <cfRule type="expression" dxfId="10707" priority="76929">
      <formula>$H1954="CÉLULA CONSTRUTIVA"</formula>
    </cfRule>
    <cfRule type="expression" dxfId="10706" priority="76931">
      <formula>$H1954="SUBETAPA"</formula>
    </cfRule>
  </conditionalFormatting>
  <conditionalFormatting sqref="O1970 L1970:M1970">
    <cfRule type="expression" dxfId="10705" priority="77116">
      <formula>$H1970="ETAPA"</formula>
    </cfRule>
  </conditionalFormatting>
  <conditionalFormatting sqref="O1970">
    <cfRule type="expression" dxfId="10704" priority="77115">
      <formula>$H1970="CÉLULA CONSTRUTIVA"</formula>
    </cfRule>
    <cfRule type="expression" dxfId="10703" priority="77117">
      <formula>$H1970="SUBETAPA"</formula>
    </cfRule>
  </conditionalFormatting>
  <conditionalFormatting sqref="O1985:O1989">
    <cfRule type="expression" dxfId="10702" priority="77494">
      <formula>$H1985="CÉLULA CONSTRUTIVA"</formula>
    </cfRule>
    <cfRule type="expression" dxfId="10701" priority="77495">
      <formula>$H1985="ETAPA"</formula>
    </cfRule>
  </conditionalFormatting>
  <conditionalFormatting sqref="O1992:O1996">
    <cfRule type="expression" dxfId="10700" priority="77680">
      <formula>$H1992="CÉLULA CONSTRUTIVA"</formula>
    </cfRule>
    <cfRule type="expression" dxfId="10699" priority="77681">
      <formula>$H1992="ETAPA"</formula>
    </cfRule>
  </conditionalFormatting>
  <conditionalFormatting sqref="O1999:O2003">
    <cfRule type="expression" dxfId="10698" priority="77866">
      <formula>$H1999="CÉLULA CONSTRUTIVA"</formula>
    </cfRule>
    <cfRule type="expression" dxfId="10697" priority="77867">
      <formula>$H1999="ETAPA"</formula>
    </cfRule>
  </conditionalFormatting>
  <conditionalFormatting sqref="O2006:O2010">
    <cfRule type="expression" dxfId="10696" priority="78052">
      <formula>$H2006="CÉLULA CONSTRUTIVA"</formula>
    </cfRule>
    <cfRule type="expression" dxfId="10695" priority="78053">
      <formula>$H2006="ETAPA"</formula>
    </cfRule>
  </conditionalFormatting>
  <conditionalFormatting sqref="O2015:O2019">
    <cfRule type="expression" dxfId="10694" priority="78238">
      <formula>$H2015="CÉLULA CONSTRUTIVA"</formula>
    </cfRule>
    <cfRule type="expression" dxfId="10693" priority="78239">
      <formula>$H2015="ETAPA"</formula>
    </cfRule>
  </conditionalFormatting>
  <conditionalFormatting sqref="O2022 L2022:M2022">
    <cfRule type="expression" dxfId="10692" priority="78232">
      <formula>$H2022="ETAPA"</formula>
    </cfRule>
  </conditionalFormatting>
  <conditionalFormatting sqref="O2022">
    <cfRule type="expression" dxfId="10691" priority="78231">
      <formula>$H2022="CÉLULA CONSTRUTIVA"</formula>
    </cfRule>
    <cfRule type="expression" dxfId="10690" priority="78233">
      <formula>$H2022="SUBETAPA"</formula>
    </cfRule>
  </conditionalFormatting>
  <conditionalFormatting sqref="O2030 L2030:M2030">
    <cfRule type="expression" dxfId="10689" priority="78418">
      <formula>$H2030="ETAPA"</formula>
    </cfRule>
  </conditionalFormatting>
  <conditionalFormatting sqref="O2030">
    <cfRule type="expression" dxfId="10688" priority="78417">
      <formula>$H2030="CÉLULA CONSTRUTIVA"</formula>
    </cfRule>
    <cfRule type="expression" dxfId="10687" priority="78419">
      <formula>$H2030="SUBETAPA"</formula>
    </cfRule>
  </conditionalFormatting>
  <conditionalFormatting sqref="O2032:O2033 O2035:O2040 O2052 O2054:O2055 O2061:O2062">
    <cfRule type="expression" dxfId="10686" priority="67440">
      <formula>$H2032="ETAPA"</formula>
    </cfRule>
  </conditionalFormatting>
  <conditionalFormatting sqref="O2034">
    <cfRule type="expression" dxfId="10685" priority="3453">
      <formula>$H2034="ETAPA"</formula>
    </cfRule>
    <cfRule type="expression" dxfId="10684" priority="3454">
      <formula>$H2034="SUBETAPA"</formula>
    </cfRule>
    <cfRule type="expression" dxfId="10683" priority="3455">
      <formula>$H2034="ETAPA"</formula>
    </cfRule>
    <cfRule type="expression" dxfId="10682" priority="3456">
      <formula>$H2034="SUBETAPA"</formula>
    </cfRule>
    <cfRule type="expression" dxfId="10681" priority="3457">
      <formula>$H2034="ETAPA"</formula>
    </cfRule>
    <cfRule type="expression" dxfId="10680" priority="3458">
      <formula>$H2034="SUBETAPA"</formula>
    </cfRule>
    <cfRule type="expression" dxfId="10679" priority="3459">
      <formula>$H2034="CÉLULA CONSTRUTIVA"</formula>
    </cfRule>
  </conditionalFormatting>
  <conditionalFormatting sqref="O2041">
    <cfRule type="expression" dxfId="10678" priority="3446">
      <formula>$H2041="ETAPA"</formula>
    </cfRule>
    <cfRule type="expression" dxfId="10677" priority="3447">
      <formula>$H2041="SUBETAPA"</formula>
    </cfRule>
    <cfRule type="expression" dxfId="10676" priority="3448">
      <formula>$H2041="ETAPA"</formula>
    </cfRule>
    <cfRule type="expression" dxfId="10675" priority="3449">
      <formula>$H2041="SUBETAPA"</formula>
    </cfRule>
    <cfRule type="expression" dxfId="10674" priority="3450">
      <formula>$H2041="ETAPA"</formula>
    </cfRule>
    <cfRule type="expression" dxfId="10673" priority="3451">
      <formula>$H2041="SUBETAPA"</formula>
    </cfRule>
    <cfRule type="expression" dxfId="10672" priority="3452">
      <formula>$H2041="CÉLULA CONSTRUTIVA"</formula>
    </cfRule>
  </conditionalFormatting>
  <conditionalFormatting sqref="O2043 H2043 K2043">
    <cfRule type="expression" dxfId="10671" priority="67271">
      <formula>$H2043="SUBETAPA"</formula>
    </cfRule>
  </conditionalFormatting>
  <conditionalFormatting sqref="O2043:O2046">
    <cfRule type="expression" dxfId="10670" priority="66889">
      <formula>$H2043="ETAPA"</formula>
    </cfRule>
  </conditionalFormatting>
  <conditionalFormatting sqref="O2047 H2047 K2047">
    <cfRule type="expression" dxfId="10669" priority="67159">
      <formula>$H2047="SUBETAPA"</formula>
    </cfRule>
  </conditionalFormatting>
  <conditionalFormatting sqref="O2047:O2049">
    <cfRule type="expression" dxfId="10668" priority="66894">
      <formula>$H2047="ETAPA"</formula>
    </cfRule>
  </conditionalFormatting>
  <conditionalFormatting sqref="O2048:O2049">
    <cfRule type="expression" dxfId="10667" priority="66892">
      <formula>$H2048="SUBETAPA"</formula>
    </cfRule>
    <cfRule type="expression" dxfId="10666" priority="66893">
      <formula>$H2048="CÉLULA CONSTRUTIVA"</formula>
    </cfRule>
  </conditionalFormatting>
  <conditionalFormatting sqref="O2051 J2061:L2062 J2051:L2051 H2051">
    <cfRule type="expression" dxfId="10665" priority="67442">
      <formula>$H2051="CÉLULA CONSTRUTIVA"</formula>
    </cfRule>
  </conditionalFormatting>
  <conditionalFormatting sqref="O2051 L2056 J2061:L2062 J2051:L2051 H2051">
    <cfRule type="expression" dxfId="10664" priority="67441">
      <formula>$H2051="SUBETAPA"</formula>
    </cfRule>
  </conditionalFormatting>
  <conditionalFormatting sqref="O2052 O2054:O2055 O2061:O2062 O2032:O2033 O2035:O2036">
    <cfRule type="expression" dxfId="10663" priority="67360">
      <formula>$H2032="CÉLULA CONSTRUTIVA"</formula>
    </cfRule>
    <cfRule type="expression" dxfId="10662" priority="67439">
      <formula>$H2032="SUBETAPA"</formula>
    </cfRule>
  </conditionalFormatting>
  <conditionalFormatting sqref="O2053 H2052:H2053 J2053:K2053 J2052:L2052 L2053:L2054">
    <cfRule type="expression" dxfId="10661" priority="67361">
      <formula>$H2052="CÉLULA CONSTRUTIVA"</formula>
    </cfRule>
  </conditionalFormatting>
  <conditionalFormatting sqref="O2059:O2060 H2059:H2064">
    <cfRule type="expression" dxfId="10660" priority="67185">
      <formula>$H2059="ETAPA"</formula>
    </cfRule>
  </conditionalFormatting>
  <conditionalFormatting sqref="O2059:O2060">
    <cfRule type="expression" dxfId="10659" priority="67162">
      <formula>$H2059="CÉLULA CONSTRUTIVA"</formula>
    </cfRule>
  </conditionalFormatting>
  <conditionalFormatting sqref="O2063:O2064 O2066 O2072 O2074 O2076:O2077 O2082:O2083">
    <cfRule type="expression" dxfId="10658" priority="68080">
      <formula>$H2063="ETAPA"</formula>
    </cfRule>
  </conditionalFormatting>
  <conditionalFormatting sqref="O2067 H2066:H2067 J2067:K2067 J2066:L2066 K2070:L2070">
    <cfRule type="expression" dxfId="10657" priority="67744">
      <formula>$H2066="CÉLULA CONSTRUTIVA"</formula>
    </cfRule>
  </conditionalFormatting>
  <conditionalFormatting sqref="O2073 J2082:L2083 J2073:L2073 H2073">
    <cfRule type="expression" dxfId="10656" priority="68082">
      <formula>$H2073="CÉLULA CONSTRUTIVA"</formula>
    </cfRule>
  </conditionalFormatting>
  <conditionalFormatting sqref="O2073 L2078 J2082:L2083 J2073:L2073 H2073">
    <cfRule type="expression" dxfId="10655" priority="68081">
      <formula>$H2073="SUBETAPA"</formula>
    </cfRule>
  </conditionalFormatting>
  <conditionalFormatting sqref="O2073">
    <cfRule type="expression" dxfId="10654" priority="68004">
      <formula>$H2073="ETAPA"</formula>
    </cfRule>
  </conditionalFormatting>
  <conditionalFormatting sqref="O2074 O2076:O2077 O2082:O2083 O2072 O2063:O2064 O2066">
    <cfRule type="expression" dxfId="10653" priority="68000">
      <formula>$H2063="CÉLULA CONSTRUTIVA"</formula>
    </cfRule>
    <cfRule type="expression" dxfId="10652" priority="68079">
      <formula>$H2063="SUBETAPA"</formula>
    </cfRule>
  </conditionalFormatting>
  <conditionalFormatting sqref="O2075 H2074:H2075 J2075:K2075 J2074:L2074 H2079:H2080 J2079:L2080 L2075:L2076">
    <cfRule type="expression" dxfId="10651" priority="68001">
      <formula>$H2074="CÉLULA CONSTRUTIVA"</formula>
    </cfRule>
  </conditionalFormatting>
  <conditionalFormatting sqref="O2084:O2085 O2087 O2092 O2094:O2096">
    <cfRule type="expression" dxfId="10650" priority="68720">
      <formula>$H2084="ETAPA"</formula>
    </cfRule>
  </conditionalFormatting>
  <conditionalFormatting sqref="O2088 H2087:H2088 J2088:K2088 J2087:L2087 K2090">
    <cfRule type="expression" dxfId="10649" priority="68384">
      <formula>$H2087="CÉLULA CONSTRUTIVA"</formula>
    </cfRule>
  </conditionalFormatting>
  <conditionalFormatting sqref="O2093 J2093:L2093 H2093">
    <cfRule type="expression" dxfId="10648" priority="68722">
      <formula>$H2093="CÉLULA CONSTRUTIVA"</formula>
    </cfRule>
  </conditionalFormatting>
  <conditionalFormatting sqref="O2093 L2097 J2093:L2093 H2093">
    <cfRule type="expression" dxfId="10647" priority="68721">
      <formula>$H2093="SUBETAPA"</formula>
    </cfRule>
  </conditionalFormatting>
  <conditionalFormatting sqref="O2094:O2096 O2092 O2084:O2085 O2087">
    <cfRule type="expression" dxfId="10646" priority="68640">
      <formula>$H2084="CÉLULA CONSTRUTIVA"</formula>
    </cfRule>
    <cfRule type="expression" dxfId="10645" priority="68719">
      <formula>$H2084="SUBETAPA"</formula>
    </cfRule>
  </conditionalFormatting>
  <conditionalFormatting sqref="O2101:O2102 O2104 O2110:O2112">
    <cfRule type="expression" dxfId="10644" priority="69360">
      <formula>$H2101="ETAPA"</formula>
    </cfRule>
  </conditionalFormatting>
  <conditionalFormatting sqref="O2105 H2104:H2105 J2105:K2105 J2104:L2104 K2107">
    <cfRule type="expression" dxfId="10643" priority="69024">
      <formula>$H2104="CÉLULA CONSTRUTIVA"</formula>
    </cfRule>
  </conditionalFormatting>
  <conditionalFormatting sqref="O2109 J2109:L2109 H2109">
    <cfRule type="expression" dxfId="10642" priority="69362">
      <formula>$H2109="CÉLULA CONSTRUTIVA"</formula>
    </cfRule>
  </conditionalFormatting>
  <conditionalFormatting sqref="O2109 L2113 J2109:L2109 H2109">
    <cfRule type="expression" dxfId="10641" priority="69361">
      <formula>$H2109="SUBETAPA"</formula>
    </cfRule>
  </conditionalFormatting>
  <conditionalFormatting sqref="O2110:O2112 O2101:O2102 O2104">
    <cfRule type="expression" dxfId="10640" priority="69280">
      <formula>$H2101="CÉLULA CONSTRUTIVA"</formula>
    </cfRule>
    <cfRule type="expression" dxfId="10639" priority="69359">
      <formula>$H2101="SUBETAPA"</formula>
    </cfRule>
  </conditionalFormatting>
  <conditionalFormatting sqref="O2117:O2118 O2120 O2125 O2127:O2129">
    <cfRule type="expression" dxfId="10638" priority="70000">
      <formula>$H2117="ETAPA"</formula>
    </cfRule>
  </conditionalFormatting>
  <conditionalFormatting sqref="O2121 H2120:H2121 J2121:K2121 J2120:L2120 K2123">
    <cfRule type="expression" dxfId="10637" priority="69664">
      <formula>$H2120="CÉLULA CONSTRUTIVA"</formula>
    </cfRule>
  </conditionalFormatting>
  <conditionalFormatting sqref="O2126 J2126:L2126 H2126">
    <cfRule type="expression" dxfId="10636" priority="70002">
      <formula>$H2126="CÉLULA CONSTRUTIVA"</formula>
    </cfRule>
  </conditionalFormatting>
  <conditionalFormatting sqref="O2126 L2130 J2126:L2126 H2126">
    <cfRule type="expression" dxfId="10635" priority="70001">
      <formula>$H2126="SUBETAPA"</formula>
    </cfRule>
  </conditionalFormatting>
  <conditionalFormatting sqref="O2127:O2129 O2125 O2117:O2118 O2120">
    <cfRule type="expression" dxfId="10634" priority="69920">
      <formula>$H2117="CÉLULA CONSTRUTIVA"</formula>
    </cfRule>
    <cfRule type="expression" dxfId="10633" priority="69999">
      <formula>$H2117="SUBETAPA"</formula>
    </cfRule>
  </conditionalFormatting>
  <conditionalFormatting sqref="O2134:O2135 O2137 O2139:O2143 O2145:O2147">
    <cfRule type="expression" dxfId="10632" priority="70640">
      <formula>$H2134="ETAPA"</formula>
    </cfRule>
  </conditionalFormatting>
  <conditionalFormatting sqref="O2138 H2137:H2138 J2138:K2138 J2137:L2137 H2140:H2141 O2140:O2142 J2140:L2140 K2141">
    <cfRule type="expression" dxfId="10631" priority="70304">
      <formula>$H2137="CÉLULA CONSTRUTIVA"</formula>
    </cfRule>
  </conditionalFormatting>
  <conditionalFormatting sqref="O2144 J2144:L2144 H2144">
    <cfRule type="expression" dxfId="10630" priority="70642">
      <formula>$H2144="CÉLULA CONSTRUTIVA"</formula>
    </cfRule>
  </conditionalFormatting>
  <conditionalFormatting sqref="O2144 L2148 J2144:L2144 H2144">
    <cfRule type="expression" dxfId="10629" priority="70641">
      <formula>$H2144="SUBETAPA"</formula>
    </cfRule>
  </conditionalFormatting>
  <conditionalFormatting sqref="O2145:O2147 O2143 O2134:O2135 O2137">
    <cfRule type="expression" dxfId="10628" priority="70560">
      <formula>$H2134="CÉLULA CONSTRUTIVA"</formula>
    </cfRule>
    <cfRule type="expression" dxfId="10627" priority="70639">
      <formula>$H2134="SUBETAPA"</formula>
    </cfRule>
  </conditionalFormatting>
  <conditionalFormatting sqref="O2152:O2153 O2155 O2160 O2169 O2171 O2173 O2178:O2179">
    <cfRule type="expression" dxfId="10626" priority="71280">
      <formula>$H2152="ETAPA"</formula>
    </cfRule>
  </conditionalFormatting>
  <conditionalFormatting sqref="O2156 H2155:H2156 J2156:K2156 J2155:L2155 K2158">
    <cfRule type="expression" dxfId="10625" priority="70944">
      <formula>$H2155="CÉLULA CONSTRUTIVA"</formula>
    </cfRule>
  </conditionalFormatting>
  <conditionalFormatting sqref="O2161 H2161 J2161:L2161">
    <cfRule type="expression" dxfId="10624" priority="70795">
      <formula>$H2161="SUBETAPA"</formula>
    </cfRule>
  </conditionalFormatting>
  <conditionalFormatting sqref="O2165">
    <cfRule type="expression" dxfId="10623" priority="70787">
      <formula>$H2165="CÉLULA CONSTRUTIVA"</formula>
    </cfRule>
    <cfRule type="expression" dxfId="10622" priority="70817">
      <formula>$H2165="SUBETAPA"</formula>
    </cfRule>
  </conditionalFormatting>
  <conditionalFormatting sqref="O2165:O2166">
    <cfRule type="expression" dxfId="10621" priority="70818">
      <formula>$H2165="ETAPA"</formula>
    </cfRule>
  </conditionalFormatting>
  <conditionalFormatting sqref="O2166 H2166 K2166">
    <cfRule type="expression" dxfId="10620" priority="70999">
      <formula>$H2166="SUBETAPA"</formula>
    </cfRule>
  </conditionalFormatting>
  <conditionalFormatting sqref="O2168 H2172 H2178:H2180 O2180 J2178:L2179 J2172:L2172 J2168:L2168 H2168 K2180:L2180">
    <cfRule type="expression" dxfId="10619" priority="71282">
      <formula>$H2168="CÉLULA CONSTRUTIVA"</formula>
    </cfRule>
  </conditionalFormatting>
  <conditionalFormatting sqref="O2168 L2172 L2174 O2180 H2178:H2180 J2178:L2179 J2168:L2168 H2168 K2180:L2180">
    <cfRule type="expression" dxfId="10618" priority="71281">
      <formula>$H2168="SUBETAPA"</formula>
    </cfRule>
  </conditionalFormatting>
  <conditionalFormatting sqref="O2169 O2171 O2173 O2178:O2179 O2160 O2152:O2153 O2155">
    <cfRule type="expression" dxfId="10617" priority="71200">
      <formula>$H2152="CÉLULA CONSTRUTIVA"</formula>
    </cfRule>
    <cfRule type="expression" dxfId="10616" priority="71279">
      <formula>$H2152="SUBETAPA"</formula>
    </cfRule>
  </conditionalFormatting>
  <conditionalFormatting sqref="O2170 H2169:H2170 J2170:K2170 J2169:L2169 L2170:L2171">
    <cfRule type="expression" dxfId="10615" priority="71201">
      <formula>$H2169="CÉLULA CONSTRUTIVA"</formula>
    </cfRule>
  </conditionalFormatting>
  <conditionalFormatting sqref="O2181:O2182 O2187 O2191 O2201 O2203:O2204 O2208:O2209">
    <cfRule type="expression" dxfId="10614" priority="71920">
      <formula>$H2181="ETAPA"</formula>
    </cfRule>
  </conditionalFormatting>
  <conditionalFormatting sqref="O2188:O2190">
    <cfRule type="expression" dxfId="10613" priority="71375">
      <formula>$H2188="ETAPA"</formula>
    </cfRule>
  </conditionalFormatting>
  <conditionalFormatting sqref="O2190 H2190 K2190">
    <cfRule type="expression" dxfId="10612" priority="71639">
      <formula>$H2190="SUBETAPA"</formula>
    </cfRule>
  </conditionalFormatting>
  <conditionalFormatting sqref="O2191 O2201 O2203:O2204 O2208:O2209 O2187 O2181:O2182">
    <cfRule type="expression" dxfId="10611" priority="71840">
      <formula>$H2181="CÉLULA CONSTRUTIVA"</formula>
    </cfRule>
    <cfRule type="expression" dxfId="10610" priority="71919">
      <formula>$H2181="SUBETAPA"</formula>
    </cfRule>
  </conditionalFormatting>
  <conditionalFormatting sqref="O2196">
    <cfRule type="expression" dxfId="10609" priority="71335">
      <formula>$H2196="CÉLULA CONSTRUTIVA"</formula>
    </cfRule>
    <cfRule type="expression" dxfId="10608" priority="71363">
      <formula>$H2196="SUBETAPA"</formula>
    </cfRule>
    <cfRule type="expression" dxfId="10607" priority="71364">
      <formula>$H2196="ETAPA"</formula>
    </cfRule>
  </conditionalFormatting>
  <conditionalFormatting sqref="O2200 J2208:L2209 J2200:L2200 H2200">
    <cfRule type="expression" dxfId="10606" priority="71922">
      <formula>$H2200="CÉLULA CONSTRUTIVA"</formula>
    </cfRule>
  </conditionalFormatting>
  <conditionalFormatting sqref="O2200 L2205 J2208:L2209 J2200:L2200 H2200">
    <cfRule type="expression" dxfId="10605" priority="71921">
      <formula>$H2200="SUBETAPA"</formula>
    </cfRule>
  </conditionalFormatting>
  <conditionalFormatting sqref="O2202 H2201:H2202 J2202:K2202 J2201:L2201 L2202:L2203">
    <cfRule type="expression" dxfId="10604" priority="71841">
      <formula>$H2201="CÉLULA CONSTRUTIVA"</formula>
    </cfRule>
  </conditionalFormatting>
  <conditionalFormatting sqref="O2210:O2211 O2218 O2222 O2224:O2225 O2228:O2229">
    <cfRule type="expression" dxfId="10603" priority="72560">
      <formula>$H2210="ETAPA"</formula>
    </cfRule>
  </conditionalFormatting>
  <conditionalFormatting sqref="O2213">
    <cfRule type="expression" dxfId="10602" priority="72105">
      <formula>$H2213="SUBETAPA"</formula>
    </cfRule>
    <cfRule type="expression" dxfId="10601" priority="72106">
      <formula>$H2213="CÉLULA CONSTRUTIVA"</formula>
    </cfRule>
    <cfRule type="expression" dxfId="10600" priority="72107">
      <formula>$H2213="ETAPA"</formula>
    </cfRule>
  </conditionalFormatting>
  <conditionalFormatting sqref="O2214 H2210:H2211 O2221">
    <cfRule type="expression" dxfId="10599" priority="72484">
      <formula>$H2210="ETAPA"</formula>
    </cfRule>
  </conditionalFormatting>
  <conditionalFormatting sqref="O2214">
    <cfRule type="expression" dxfId="10598" priority="72251">
      <formula>$H2214="SUBETAPA"</formula>
    </cfRule>
    <cfRule type="expression" dxfId="10597" priority="72252">
      <formula>$H2214="CÉLULA CONSTRUTIVA"</formula>
    </cfRule>
  </conditionalFormatting>
  <conditionalFormatting sqref="O2219 H2219 K2219">
    <cfRule type="expression" dxfId="10596" priority="72279">
      <formula>$H2219="SUBETAPA"</formula>
    </cfRule>
  </conditionalFormatting>
  <conditionalFormatting sqref="O2219">
    <cfRule type="expression" dxfId="10595" priority="72277">
      <formula>$H2219="ETAPA"</formula>
    </cfRule>
  </conditionalFormatting>
  <conditionalFormatting sqref="O2221 J2228:L2229 J2221:L2221 H2221 L2223:L2224">
    <cfRule type="expression" dxfId="10594" priority="72562">
      <formula>$H2221="CÉLULA CONSTRUTIVA"</formula>
    </cfRule>
  </conditionalFormatting>
  <conditionalFormatting sqref="O2221 L2226 J2228:L2229 J2221:L2221 H2221">
    <cfRule type="expression" dxfId="10593" priority="72561">
      <formula>$H2221="SUBETAPA"</formula>
    </cfRule>
  </conditionalFormatting>
  <conditionalFormatting sqref="O2222 O2224:O2225 O2228:O2229 O2218 O2210:O2211">
    <cfRule type="expression" dxfId="10592" priority="72480">
      <formula>$H2210="CÉLULA CONSTRUTIVA"</formula>
    </cfRule>
    <cfRule type="expression" dxfId="10591" priority="72559">
      <formula>$H2210="SUBETAPA"</formula>
    </cfRule>
  </conditionalFormatting>
  <conditionalFormatting sqref="O2223 H2222:H2223 J2223:K2223 J2222:L2222">
    <cfRule type="expression" dxfId="10590" priority="72481">
      <formula>$H2222="CÉLULA CONSTRUTIVA"</formula>
    </cfRule>
  </conditionalFormatting>
  <conditionalFormatting sqref="O2230:O2231 O2238 O2242 O2244:O2245 O2248:O2249">
    <cfRule type="expression" dxfId="10589" priority="73200">
      <formula>$H2230="ETAPA"</formula>
    </cfRule>
  </conditionalFormatting>
  <conditionalFormatting sqref="O2233">
    <cfRule type="expression" dxfId="10588" priority="72745">
      <formula>$H2233="SUBETAPA"</formula>
    </cfRule>
    <cfRule type="expression" dxfId="10587" priority="72746">
      <formula>$H2233="CÉLULA CONSTRUTIVA"</formula>
    </cfRule>
    <cfRule type="expression" dxfId="10586" priority="72747">
      <formula>$H2233="ETAPA"</formula>
    </cfRule>
  </conditionalFormatting>
  <conditionalFormatting sqref="O2234 O2241">
    <cfRule type="expression" dxfId="10585" priority="73124">
      <formula>$H2234="ETAPA"</formula>
    </cfRule>
  </conditionalFormatting>
  <conditionalFormatting sqref="O2234">
    <cfRule type="expression" dxfId="10584" priority="72891">
      <formula>$H2234="SUBETAPA"</formula>
    </cfRule>
    <cfRule type="expression" dxfId="10583" priority="72892">
      <formula>$H2234="CÉLULA CONSTRUTIVA"</formula>
    </cfRule>
  </conditionalFormatting>
  <conditionalFormatting sqref="O2239 H2239 K2239">
    <cfRule type="expression" dxfId="10582" priority="72919">
      <formula>$H2239="SUBETAPA"</formula>
    </cfRule>
  </conditionalFormatting>
  <conditionalFormatting sqref="O2239">
    <cfRule type="expression" dxfId="10581" priority="72917">
      <formula>$H2239="ETAPA"</formula>
    </cfRule>
  </conditionalFormatting>
  <conditionalFormatting sqref="O2241 L2243 J2248:L2249 J2241:L2241 H2241">
    <cfRule type="expression" dxfId="10580" priority="73202">
      <formula>$H2241="CÉLULA CONSTRUTIVA"</formula>
    </cfRule>
  </conditionalFormatting>
  <conditionalFormatting sqref="O2241 L2243 L2246 J2248:L2249 J2241:L2241 H2241">
    <cfRule type="expression" dxfId="10579" priority="73201">
      <formula>$H2241="SUBETAPA"</formula>
    </cfRule>
  </conditionalFormatting>
  <conditionalFormatting sqref="O2242 O2244:O2245 O2248:O2249 O2238 O2230:O2231">
    <cfRule type="expression" dxfId="10578" priority="73120">
      <formula>$H2230="CÉLULA CONSTRUTIVA"</formula>
    </cfRule>
    <cfRule type="expression" dxfId="10577" priority="73199">
      <formula>$H2230="SUBETAPA"</formula>
    </cfRule>
  </conditionalFormatting>
  <conditionalFormatting sqref="O2243 H2242:H2243 J2243:K2243 J2242:L2242">
    <cfRule type="expression" dxfId="10576" priority="73121">
      <formula>$H2242="CÉLULA CONSTRUTIVA"</formula>
    </cfRule>
  </conditionalFormatting>
  <conditionalFormatting sqref="O2250:O2251 O2258 O2264 O2266:O2267 O2271:O2272">
    <cfRule type="expression" dxfId="10575" priority="73840">
      <formula>$H2250="ETAPA"</formula>
    </cfRule>
  </conditionalFormatting>
  <conditionalFormatting sqref="O2253">
    <cfRule type="expression" dxfId="10574" priority="73385">
      <formula>$H2253="SUBETAPA"</formula>
    </cfRule>
    <cfRule type="expression" dxfId="10573" priority="73386">
      <formula>$H2253="CÉLULA CONSTRUTIVA"</formula>
    </cfRule>
    <cfRule type="expression" dxfId="10572" priority="73387">
      <formula>$H2253="ETAPA"</formula>
    </cfRule>
  </conditionalFormatting>
  <conditionalFormatting sqref="O2254 O2263">
    <cfRule type="expression" dxfId="10571" priority="73764">
      <formula>$H2254="ETAPA"</formula>
    </cfRule>
  </conditionalFormatting>
  <conditionalFormatting sqref="O2254">
    <cfRule type="expression" dxfId="10570" priority="73531">
      <formula>$H2254="SUBETAPA"</formula>
    </cfRule>
    <cfRule type="expression" dxfId="10569" priority="73532">
      <formula>$H2254="CÉLULA CONSTRUTIVA"</formula>
    </cfRule>
  </conditionalFormatting>
  <conditionalFormatting sqref="O2259 H2259 K2259">
    <cfRule type="expression" dxfId="10568" priority="73671">
      <formula>$H2259="SUBETAPA"</formula>
    </cfRule>
  </conditionalFormatting>
  <conditionalFormatting sqref="O2259:O2261">
    <cfRule type="expression" dxfId="10567" priority="73288">
      <formula>$H2259="ETAPA"</formula>
    </cfRule>
  </conditionalFormatting>
  <conditionalFormatting sqref="O2261 H2261 K2261">
    <cfRule type="expression" dxfId="10566" priority="73559">
      <formula>$H2261="SUBETAPA"</formula>
    </cfRule>
  </conditionalFormatting>
  <conditionalFormatting sqref="O2263 L2265 J2271:L2272">
    <cfRule type="expression" dxfId="10565" priority="73842">
      <formula>$H2263="CÉLULA CONSTRUTIVA"</formula>
    </cfRule>
  </conditionalFormatting>
  <conditionalFormatting sqref="O2263 L2265 L2268 J2271:L2272">
    <cfRule type="expression" dxfId="10564" priority="73841">
      <formula>$H2263="SUBETAPA"</formula>
    </cfRule>
  </conditionalFormatting>
  <conditionalFormatting sqref="O2264 O2266:O2267 O2271:O2272 O2258 O2250:O2251">
    <cfRule type="expression" dxfId="10563" priority="73760">
      <formula>$H2250="CÉLULA CONSTRUTIVA"</formula>
    </cfRule>
    <cfRule type="expression" dxfId="10562" priority="73839">
      <formula>$H2250="SUBETAPA"</formula>
    </cfRule>
  </conditionalFormatting>
  <conditionalFormatting sqref="O2265 H2264:H2265 J2265:K2265 J2264:L2264">
    <cfRule type="expression" dxfId="10561" priority="73761">
      <formula>$H2264="CÉLULA CONSTRUTIVA"</formula>
    </cfRule>
  </conditionalFormatting>
  <conditionalFormatting sqref="O2273:O2274 O2281 O2288 O2290:O2291 O2295:O2296">
    <cfRule type="expression" dxfId="10560" priority="74480">
      <formula>$H2273="ETAPA"</formula>
    </cfRule>
  </conditionalFormatting>
  <conditionalFormatting sqref="O2276">
    <cfRule type="expression" dxfId="10559" priority="74025">
      <formula>$H2276="SUBETAPA"</formula>
    </cfRule>
    <cfRule type="expression" dxfId="10558" priority="74026">
      <formula>$H2276="CÉLULA CONSTRUTIVA"</formula>
    </cfRule>
    <cfRule type="expression" dxfId="10557" priority="74027">
      <formula>$H2276="ETAPA"</formula>
    </cfRule>
  </conditionalFormatting>
  <conditionalFormatting sqref="O2277 O2287">
    <cfRule type="expression" dxfId="10556" priority="74404">
      <formula>$H2277="ETAPA"</formula>
    </cfRule>
  </conditionalFormatting>
  <conditionalFormatting sqref="O2277">
    <cfRule type="expression" dxfId="10555" priority="74171">
      <formula>$H2277="SUBETAPA"</formula>
    </cfRule>
    <cfRule type="expression" dxfId="10554" priority="74172">
      <formula>$H2277="CÉLULA CONSTRUTIVA"</formula>
    </cfRule>
  </conditionalFormatting>
  <conditionalFormatting sqref="O2282 H2282 K2282">
    <cfRule type="expression" dxfId="10553" priority="74311">
      <formula>$H2282="SUBETAPA"</formula>
    </cfRule>
  </conditionalFormatting>
  <conditionalFormatting sqref="O2282:O2285">
    <cfRule type="expression" dxfId="10552" priority="73928">
      <formula>$H2282="ETAPA"</formula>
    </cfRule>
  </conditionalFormatting>
  <conditionalFormatting sqref="O2285 H2285 K2285">
    <cfRule type="expression" dxfId="10551" priority="74199">
      <formula>$H2285="SUBETAPA"</formula>
    </cfRule>
  </conditionalFormatting>
  <conditionalFormatting sqref="O2287 L2289 J2295:L2296">
    <cfRule type="expression" dxfId="10550" priority="74482">
      <formula>$H2287="CÉLULA CONSTRUTIVA"</formula>
    </cfRule>
  </conditionalFormatting>
  <conditionalFormatting sqref="O2287 L2289 L2292 J2295:L2296">
    <cfRule type="expression" dxfId="10549" priority="74481">
      <formula>$H2287="SUBETAPA"</formula>
    </cfRule>
  </conditionalFormatting>
  <conditionalFormatting sqref="O2288 O2290:O2291 O2295:O2296 O2281 O2273:O2274">
    <cfRule type="expression" dxfId="10548" priority="74400">
      <formula>$H2273="CÉLULA CONSTRUTIVA"</formula>
    </cfRule>
    <cfRule type="expression" dxfId="10547" priority="74479">
      <formula>$H2273="SUBETAPA"</formula>
    </cfRule>
  </conditionalFormatting>
  <conditionalFormatting sqref="O2289 H2288:H2289 J2289:K2289 J2288:L2288">
    <cfRule type="expression" dxfId="10546" priority="74401">
      <formula>$H2288="CÉLULA CONSTRUTIVA"</formula>
    </cfRule>
  </conditionalFormatting>
  <conditionalFormatting sqref="O2297:O2298 O2306 O2311 O2313 O2319:O2320">
    <cfRule type="expression" dxfId="10545" priority="75120">
      <formula>$H2297="ETAPA"</formula>
    </cfRule>
  </conditionalFormatting>
  <conditionalFormatting sqref="O2299:O2300 H2299:H2300 K2299:K2300">
    <cfRule type="expression" dxfId="10544" priority="74740">
      <formula>$H2299="SUBETAPA"</formula>
    </cfRule>
  </conditionalFormatting>
  <conditionalFormatting sqref="O2299:O2301">
    <cfRule type="expression" dxfId="10543" priority="74667">
      <formula>$H2299="ETAPA"</formula>
    </cfRule>
  </conditionalFormatting>
  <conditionalFormatting sqref="O2301">
    <cfRule type="expression" dxfId="10542" priority="74665">
      <formula>$H2301="SUBETAPA"</formula>
    </cfRule>
    <cfRule type="expression" dxfId="10541" priority="74666">
      <formula>$H2301="CÉLULA CONSTRUTIVA"</formula>
    </cfRule>
  </conditionalFormatting>
  <conditionalFormatting sqref="O2302">
    <cfRule type="expression" dxfId="10540" priority="74811">
      <formula>$H2302="SUBETAPA"</formula>
    </cfRule>
    <cfRule type="expression" dxfId="10539" priority="74812">
      <formula>$H2302="CÉLULA CONSTRUTIVA"</formula>
    </cfRule>
    <cfRule type="expression" dxfId="10538" priority="75044">
      <formula>$H2302="ETAPA"</formula>
    </cfRule>
  </conditionalFormatting>
  <conditionalFormatting sqref="O2307 H2307 K2307">
    <cfRule type="expression" dxfId="10537" priority="74951">
      <formula>$H2307="SUBETAPA"</formula>
    </cfRule>
  </conditionalFormatting>
  <conditionalFormatting sqref="O2307:O2310">
    <cfRule type="expression" dxfId="10536" priority="74569">
      <formula>$H2307="ETAPA"</formula>
    </cfRule>
  </conditionalFormatting>
  <conditionalFormatting sqref="O2310 L2312 K2314:L2315 J2319:L2320 J2310:L2310 H2310">
    <cfRule type="expression" dxfId="10535" priority="75122">
      <formula>$H2310="CÉLULA CONSTRUTIVA"</formula>
    </cfRule>
  </conditionalFormatting>
  <conditionalFormatting sqref="O2310 L2312 L2314 J2319:L2320 J2310:L2310 H2310">
    <cfRule type="expression" dxfId="10534" priority="75121">
      <formula>$H2310="SUBETAPA"</formula>
    </cfRule>
  </conditionalFormatting>
  <conditionalFormatting sqref="O2311 O2313 O2319:O2320 O2306 O2297:O2298">
    <cfRule type="expression" dxfId="10533" priority="75040">
      <formula>$H2297="CÉLULA CONSTRUTIVA"</formula>
    </cfRule>
    <cfRule type="expression" dxfId="10532" priority="75119">
      <formula>$H2297="SUBETAPA"</formula>
    </cfRule>
  </conditionalFormatting>
  <conditionalFormatting sqref="O2312 H2311:H2312 J2312:K2312 J2311:L2311">
    <cfRule type="expression" dxfId="10531" priority="75041">
      <formula>$H2311="CÉLULA CONSTRUTIVA"</formula>
    </cfRule>
  </conditionalFormatting>
  <conditionalFormatting sqref="O2317:O2318 H2317:H2322">
    <cfRule type="expression" dxfId="10530" priority="74865">
      <formula>$H2317="ETAPA"</formula>
    </cfRule>
  </conditionalFormatting>
  <conditionalFormatting sqref="O2317:O2318">
    <cfRule type="expression" dxfId="10529" priority="74842">
      <formula>$H2317="CÉLULA CONSTRUTIVA"</formula>
    </cfRule>
  </conditionalFormatting>
  <conditionalFormatting sqref="O2321:O2322 O2328 O2330 O2333:O2334">
    <cfRule type="expression" dxfId="10528" priority="75760">
      <formula>$H2321="ETAPA"</formula>
    </cfRule>
  </conditionalFormatting>
  <conditionalFormatting sqref="O2327 L2329 J2333:L2334 J2327:L2327 H2327">
    <cfRule type="expression" dxfId="10527" priority="75762">
      <formula>$H2327="CÉLULA CONSTRUTIVA"</formula>
    </cfRule>
  </conditionalFormatting>
  <conditionalFormatting sqref="O2327 L2329 L2331 J2333:L2334 J2327:L2327 H2327">
    <cfRule type="expression" dxfId="10526" priority="75761">
      <formula>$H2327="SUBETAPA"</formula>
    </cfRule>
  </conditionalFormatting>
  <conditionalFormatting sqref="O2327">
    <cfRule type="expression" dxfId="10525" priority="75684">
      <formula>$H2327="ETAPA"</formula>
    </cfRule>
  </conditionalFormatting>
  <conditionalFormatting sqref="O2328 O2330 O2333:O2334 O2321:O2322">
    <cfRule type="expression" dxfId="10524" priority="75680">
      <formula>$H2321="CÉLULA CONSTRUTIVA"</formula>
    </cfRule>
    <cfRule type="expression" dxfId="10523" priority="75759">
      <formula>$H2321="SUBETAPA"</formula>
    </cfRule>
  </conditionalFormatting>
  <conditionalFormatting sqref="O2329 H2328:H2329 J2329:K2329 J2328:L2328">
    <cfRule type="expression" dxfId="10522" priority="75681">
      <formula>$H2328="CÉLULA CONSTRUTIVA"</formula>
    </cfRule>
  </conditionalFormatting>
  <conditionalFormatting sqref="O2338 O2335:O2336">
    <cfRule type="expression" dxfId="10521" priority="86530">
      <formula>$H2335="CÉLULA CONSTRUTIVA"</formula>
    </cfRule>
  </conditionalFormatting>
  <conditionalFormatting sqref="O2340">
    <cfRule type="expression" dxfId="10520" priority="59930">
      <formula>$H2340="CÉLULA CONSTRUTIVA"</formula>
    </cfRule>
  </conditionalFormatting>
  <conditionalFormatting sqref="O2342 O2348 O2354">
    <cfRule type="expression" dxfId="10519" priority="61965">
      <formula>$H2342="SUBETAPA"</formula>
    </cfRule>
    <cfRule type="expression" dxfId="10518" priority="61966">
      <formula>$H2342="ETAPA"</formula>
    </cfRule>
  </conditionalFormatting>
  <conditionalFormatting sqref="O2343:O2344 M2343:M2344">
    <cfRule type="expression" dxfId="10517" priority="61921">
      <formula>$H2343="ETAPA"</formula>
    </cfRule>
  </conditionalFormatting>
  <conditionalFormatting sqref="O2343:O2344">
    <cfRule type="expression" dxfId="10516" priority="61920">
      <formula>$H2343="SUBETAPA"</formula>
    </cfRule>
    <cfRule type="expression" dxfId="10515" priority="61930">
      <formula>$H2343="SUBETAPA"</formula>
    </cfRule>
  </conditionalFormatting>
  <conditionalFormatting sqref="O2343:O2345">
    <cfRule type="expression" dxfId="10514" priority="61931">
      <formula>$H2343="CÉLULA CONSTRUTIVA"</formula>
    </cfRule>
  </conditionalFormatting>
  <conditionalFormatting sqref="O2345:O2346">
    <cfRule type="expression" dxfId="10513" priority="62017">
      <formula>$H2345="SUBETAPA"</formula>
    </cfRule>
    <cfRule type="expression" dxfId="10512" priority="62018">
      <formula>$H2345="CÉLULA CONSTRUTIVA"</formula>
    </cfRule>
  </conditionalFormatting>
  <conditionalFormatting sqref="O2346">
    <cfRule type="expression" dxfId="10511" priority="62019">
      <formula>$H2346="SUBETAPA"</formula>
    </cfRule>
  </conditionalFormatting>
  <conditionalFormatting sqref="O2347 K2347">
    <cfRule type="expression" dxfId="10510" priority="7135">
      <formula>$H2347="SUBETAPA"</formula>
    </cfRule>
    <cfRule type="expression" dxfId="10509" priority="7136">
      <formula>$H2347="CÉLULA CONSTRUTIVA"</formula>
    </cfRule>
  </conditionalFormatting>
  <conditionalFormatting sqref="O2347">
    <cfRule type="expression" dxfId="10508" priority="7127">
      <formula>$H2347="ETAPA"</formula>
    </cfRule>
  </conditionalFormatting>
  <conditionalFormatting sqref="O2349:O2350">
    <cfRule type="expression" dxfId="10507" priority="61803">
      <formula>$H2349="CÉLULA CONSTRUTIVA"</formula>
    </cfRule>
  </conditionalFormatting>
  <conditionalFormatting sqref="O2357:O2358">
    <cfRule type="expression" dxfId="10506" priority="61898">
      <formula>$H2357="ETAPA"</formula>
    </cfRule>
  </conditionalFormatting>
  <conditionalFormatting sqref="O2358">
    <cfRule type="expression" dxfId="10505" priority="61981">
      <formula>$H2358="SUBETAPA"</formula>
    </cfRule>
  </conditionalFormatting>
  <conditionalFormatting sqref="O2363 O2369:O2370 O2378:O2379">
    <cfRule type="expression" dxfId="10504" priority="62205">
      <formula>$H2363="ETAPA"</formula>
    </cfRule>
  </conditionalFormatting>
  <conditionalFormatting sqref="O2363 O2370 O2378">
    <cfRule type="expression" dxfId="10503" priority="62204">
      <formula>$H2363="SUBETAPA"</formula>
    </cfRule>
  </conditionalFormatting>
  <conditionalFormatting sqref="O2364:O2365 M2364:M2365">
    <cfRule type="expression" dxfId="10502" priority="62160">
      <formula>$H2364="ETAPA"</formula>
    </cfRule>
  </conditionalFormatting>
  <conditionalFormatting sqref="O2364:O2365">
    <cfRule type="expression" dxfId="10501" priority="62159">
      <formula>$H2364="SUBETAPA"</formula>
    </cfRule>
    <cfRule type="expression" dxfId="10500" priority="62169">
      <formula>$H2364="SUBETAPA"</formula>
    </cfRule>
  </conditionalFormatting>
  <conditionalFormatting sqref="O2364:O2366">
    <cfRule type="expression" dxfId="10499" priority="62170">
      <formula>$H2364="CÉLULA CONSTRUTIVA"</formula>
    </cfRule>
  </conditionalFormatting>
  <conditionalFormatting sqref="O2366:O2367">
    <cfRule type="expression" dxfId="10498" priority="62256">
      <formula>$H2366="SUBETAPA"</formula>
    </cfRule>
    <cfRule type="expression" dxfId="10497" priority="62257">
      <formula>$H2366="CÉLULA CONSTRUTIVA"</formula>
    </cfRule>
  </conditionalFormatting>
  <conditionalFormatting sqref="O2367">
    <cfRule type="expression" dxfId="10496" priority="62258">
      <formula>$H2367="SUBETAPA"</formula>
    </cfRule>
  </conditionalFormatting>
  <conditionalFormatting sqref="O2368 K2368">
    <cfRule type="expression" dxfId="10495" priority="7106">
      <formula>$H2368="SUBETAPA"</formula>
    </cfRule>
    <cfRule type="expression" dxfId="10494" priority="7107">
      <formula>$H2368="CÉLULA CONSTRUTIVA"</formula>
    </cfRule>
  </conditionalFormatting>
  <conditionalFormatting sqref="O2368">
    <cfRule type="expression" dxfId="10493" priority="7104">
      <formula>$H2368="ETAPA"</formula>
    </cfRule>
  </conditionalFormatting>
  <conditionalFormatting sqref="O2371:O2372">
    <cfRule type="expression" dxfId="10492" priority="62042">
      <formula>$H2371="CÉLULA CONSTRUTIVA"</formula>
    </cfRule>
  </conditionalFormatting>
  <conditionalFormatting sqref="O2373:O2374">
    <cfRule type="expression" dxfId="10491" priority="62020">
      <formula>$H2373="CÉLULA CONSTRUTIVA"</formula>
    </cfRule>
  </conditionalFormatting>
  <conditionalFormatting sqref="O2379 O2384 H2369 H2379 J2369:K2369 J2379:K2379 J2383:J2385">
    <cfRule type="expression" dxfId="10490" priority="62220">
      <formula>$H2369="SUBETAPA"</formula>
    </cfRule>
  </conditionalFormatting>
  <conditionalFormatting sqref="O2380 H2380 J2380:K2380">
    <cfRule type="expression" dxfId="10489" priority="7091">
      <formula>$H2380="SUBETAPA"</formula>
    </cfRule>
  </conditionalFormatting>
  <conditionalFormatting sqref="O2380 J2380:L2380">
    <cfRule type="expression" dxfId="10488" priority="7088">
      <formula>$H2380="ETAPA"</formula>
    </cfRule>
  </conditionalFormatting>
  <conditionalFormatting sqref="O2382:O2384">
    <cfRule type="expression" dxfId="10487" priority="62123">
      <formula>$H2382="ETAPA"</formula>
    </cfRule>
  </conditionalFormatting>
  <conditionalFormatting sqref="O2390 O2396:O2397 O2403:O2404">
    <cfRule type="expression" dxfId="10486" priority="62444">
      <formula>$H2390="ETAPA"</formula>
    </cfRule>
  </conditionalFormatting>
  <conditionalFormatting sqref="O2390 O2397 O2403">
    <cfRule type="expression" dxfId="10485" priority="62443">
      <formula>$H2390="SUBETAPA"</formula>
    </cfRule>
  </conditionalFormatting>
  <conditionalFormatting sqref="O2391:O2392 M2391:M2392">
    <cfRule type="expression" dxfId="10484" priority="62399">
      <formula>$H2391="ETAPA"</formula>
    </cfRule>
  </conditionalFormatting>
  <conditionalFormatting sqref="O2391:O2392">
    <cfRule type="expression" dxfId="10483" priority="62398">
      <formula>$H2391="SUBETAPA"</formula>
    </cfRule>
    <cfRule type="expression" dxfId="10482" priority="62408">
      <formula>$H2391="SUBETAPA"</formula>
    </cfRule>
  </conditionalFormatting>
  <conditionalFormatting sqref="O2391:O2393">
    <cfRule type="expression" dxfId="10481" priority="62409">
      <formula>$H2391="CÉLULA CONSTRUTIVA"</formula>
    </cfRule>
  </conditionalFormatting>
  <conditionalFormatting sqref="O2393:O2394">
    <cfRule type="expression" dxfId="10480" priority="62495">
      <formula>$H2393="SUBETAPA"</formula>
    </cfRule>
    <cfRule type="expression" dxfId="10479" priority="62496">
      <formula>$H2393="CÉLULA CONSTRUTIVA"</formula>
    </cfRule>
  </conditionalFormatting>
  <conditionalFormatting sqref="O2394">
    <cfRule type="expression" dxfId="10478" priority="62497">
      <formula>$H2394="SUBETAPA"</formula>
    </cfRule>
  </conditionalFormatting>
  <conditionalFormatting sqref="O2395 K2395">
    <cfRule type="expression" dxfId="10477" priority="7050">
      <formula>$H2395="SUBETAPA"</formula>
    </cfRule>
    <cfRule type="expression" dxfId="10476" priority="7051">
      <formula>$H2395="CÉLULA CONSTRUTIVA"</formula>
    </cfRule>
  </conditionalFormatting>
  <conditionalFormatting sqref="O2395">
    <cfRule type="expression" dxfId="10475" priority="7048">
      <formula>$H2395="ETAPA"</formula>
    </cfRule>
  </conditionalFormatting>
  <conditionalFormatting sqref="O2398:O2399">
    <cfRule type="expression" dxfId="10474" priority="62281">
      <formula>$H2398="CÉLULA CONSTRUTIVA"</formula>
    </cfRule>
  </conditionalFormatting>
  <conditionalFormatting sqref="O2404 O2409 H2396 H2404 J2396:K2396 J2404:K2404">
    <cfRule type="expression" dxfId="10473" priority="62459">
      <formula>$H2396="SUBETAPA"</formula>
    </cfRule>
  </conditionalFormatting>
  <conditionalFormatting sqref="O2405 H2405 J2405:K2405">
    <cfRule type="expression" dxfId="10472" priority="7035">
      <formula>$H2405="SUBETAPA"</formula>
    </cfRule>
  </conditionalFormatting>
  <conditionalFormatting sqref="O2405 J2405:L2405">
    <cfRule type="expression" dxfId="10471" priority="7032">
      <formula>$H2405="ETAPA"</formula>
    </cfRule>
  </conditionalFormatting>
  <conditionalFormatting sqref="O2407:O2409">
    <cfRule type="expression" dxfId="10470" priority="62362">
      <formula>$H2407="ETAPA"</formula>
    </cfRule>
  </conditionalFormatting>
  <conditionalFormatting sqref="O2414 O2419:O2420 O2426:O2427">
    <cfRule type="expression" dxfId="10469" priority="62683">
      <formula>$H2414="ETAPA"</formula>
    </cfRule>
  </conditionalFormatting>
  <conditionalFormatting sqref="O2414 O2420 O2426">
    <cfRule type="expression" dxfId="10468" priority="62682">
      <formula>$H2414="SUBETAPA"</formula>
    </cfRule>
  </conditionalFormatting>
  <conditionalFormatting sqref="O2415:O2416 M2415:M2416">
    <cfRule type="expression" dxfId="10467" priority="62638">
      <formula>$H2415="ETAPA"</formula>
    </cfRule>
  </conditionalFormatting>
  <conditionalFormatting sqref="O2415:O2416">
    <cfRule type="expression" dxfId="10466" priority="62637">
      <formula>$H2415="SUBETAPA"</formula>
    </cfRule>
    <cfRule type="expression" dxfId="10465" priority="62647">
      <formula>$H2415="SUBETAPA"</formula>
    </cfRule>
  </conditionalFormatting>
  <conditionalFormatting sqref="O2415:O2417">
    <cfRule type="expression" dxfId="10464" priority="62648">
      <formula>$H2415="CÉLULA CONSTRUTIVA"</formula>
    </cfRule>
  </conditionalFormatting>
  <conditionalFormatting sqref="O2418 K2418">
    <cfRule type="expression" dxfId="10463" priority="6994">
      <formula>$H2418="SUBETAPA"</formula>
    </cfRule>
    <cfRule type="expression" dxfId="10462" priority="6995">
      <formula>$H2418="CÉLULA CONSTRUTIVA"</formula>
    </cfRule>
  </conditionalFormatting>
  <conditionalFormatting sqref="O2418">
    <cfRule type="expression" dxfId="10461" priority="6992">
      <formula>$H2418="ETAPA"</formula>
    </cfRule>
  </conditionalFormatting>
  <conditionalFormatting sqref="O2421:O2422">
    <cfRule type="expression" dxfId="10460" priority="62520">
      <formula>$H2421="CÉLULA CONSTRUTIVA"</formula>
    </cfRule>
  </conditionalFormatting>
  <conditionalFormatting sqref="O2427 O2432 H2419 H2427 J2419:K2419 J2427:K2427">
    <cfRule type="expression" dxfId="10459" priority="62698">
      <formula>$H2419="SUBETAPA"</formula>
    </cfRule>
  </conditionalFormatting>
  <conditionalFormatting sqref="O2428 H2428 J2428:K2428">
    <cfRule type="expression" dxfId="10458" priority="6979">
      <formula>$H2428="SUBETAPA"</formula>
    </cfRule>
  </conditionalFormatting>
  <conditionalFormatting sqref="O2428 J2428:L2428">
    <cfRule type="expression" dxfId="10457" priority="6976">
      <formula>$H2428="ETAPA"</formula>
    </cfRule>
  </conditionalFormatting>
  <conditionalFormatting sqref="O2430:O2432">
    <cfRule type="expression" dxfId="10456" priority="62601">
      <formula>$H2430="ETAPA"</formula>
    </cfRule>
  </conditionalFormatting>
  <conditionalFormatting sqref="O2437 O2442:O2443 O2449:O2450">
    <cfRule type="expression" dxfId="10455" priority="62922">
      <formula>$H2437="ETAPA"</formula>
    </cfRule>
  </conditionalFormatting>
  <conditionalFormatting sqref="O2437 O2443 O2449">
    <cfRule type="expression" dxfId="10454" priority="62921">
      <formula>$H2437="SUBETAPA"</formula>
    </cfRule>
  </conditionalFormatting>
  <conditionalFormatting sqref="O2438:O2439 M2438:M2439">
    <cfRule type="expression" dxfId="10453" priority="62877">
      <formula>$H2438="ETAPA"</formula>
    </cfRule>
  </conditionalFormatting>
  <conditionalFormatting sqref="O2438:O2439">
    <cfRule type="expression" dxfId="10452" priority="62876">
      <formula>$H2438="SUBETAPA"</formula>
    </cfRule>
    <cfRule type="expression" dxfId="10451" priority="62886">
      <formula>$H2438="SUBETAPA"</formula>
    </cfRule>
  </conditionalFormatting>
  <conditionalFormatting sqref="O2438:O2440">
    <cfRule type="expression" dxfId="10450" priority="62887">
      <formula>$H2438="CÉLULA CONSTRUTIVA"</formula>
    </cfRule>
  </conditionalFormatting>
  <conditionalFormatting sqref="O2441 K2441">
    <cfRule type="expression" dxfId="10449" priority="6938">
      <formula>$H2441="SUBETAPA"</formula>
    </cfRule>
    <cfRule type="expression" dxfId="10448" priority="6939">
      <formula>$H2441="CÉLULA CONSTRUTIVA"</formula>
    </cfRule>
  </conditionalFormatting>
  <conditionalFormatting sqref="O2441">
    <cfRule type="expression" dxfId="10447" priority="6936">
      <formula>$H2441="ETAPA"</formula>
    </cfRule>
  </conditionalFormatting>
  <conditionalFormatting sqref="O2444:O2445">
    <cfRule type="expression" dxfId="10446" priority="62759">
      <formula>$H2444="CÉLULA CONSTRUTIVA"</formula>
    </cfRule>
  </conditionalFormatting>
  <conditionalFormatting sqref="O2450 O2455 H2442 H2450 J2442:K2442 J2450:K2450">
    <cfRule type="expression" dxfId="10445" priority="62937">
      <formula>$H2442="SUBETAPA"</formula>
    </cfRule>
  </conditionalFormatting>
  <conditionalFormatting sqref="O2451 H2451 J2451:K2451">
    <cfRule type="expression" dxfId="10444" priority="6923">
      <formula>$H2451="SUBETAPA"</formula>
    </cfRule>
  </conditionalFormatting>
  <conditionalFormatting sqref="O2451 J2451:L2451">
    <cfRule type="expression" dxfId="10443" priority="6920">
      <formula>$H2451="ETAPA"</formula>
    </cfRule>
  </conditionalFormatting>
  <conditionalFormatting sqref="O2453:O2455">
    <cfRule type="expression" dxfId="10442" priority="62840">
      <formula>$H2453="ETAPA"</formula>
    </cfRule>
  </conditionalFormatting>
  <conditionalFormatting sqref="O2460 O2466:O2467 O2473:O2474">
    <cfRule type="expression" dxfId="10441" priority="63161">
      <formula>$H2460="ETAPA"</formula>
    </cfRule>
  </conditionalFormatting>
  <conditionalFormatting sqref="O2460 O2467 O2473">
    <cfRule type="expression" dxfId="10440" priority="63160">
      <formula>$H2460="SUBETAPA"</formula>
    </cfRule>
  </conditionalFormatting>
  <conditionalFormatting sqref="O2461:O2462 M2461:M2462">
    <cfRule type="expression" dxfId="10439" priority="63116">
      <formula>$H2461="ETAPA"</formula>
    </cfRule>
  </conditionalFormatting>
  <conditionalFormatting sqref="O2461:O2462">
    <cfRule type="expression" dxfId="10438" priority="63115">
      <formula>$H2461="SUBETAPA"</formula>
    </cfRule>
    <cfRule type="expression" dxfId="10437" priority="63125">
      <formula>$H2461="SUBETAPA"</formula>
    </cfRule>
  </conditionalFormatting>
  <conditionalFormatting sqref="O2461:O2463">
    <cfRule type="expression" dxfId="10436" priority="63126">
      <formula>$H2461="CÉLULA CONSTRUTIVA"</formula>
    </cfRule>
  </conditionalFormatting>
  <conditionalFormatting sqref="O2463:O2464">
    <cfRule type="expression" dxfId="10435" priority="63212">
      <formula>$H2463="SUBETAPA"</formula>
    </cfRule>
    <cfRule type="expression" dxfId="10434" priority="63213">
      <formula>$H2463="CÉLULA CONSTRUTIVA"</formula>
    </cfRule>
  </conditionalFormatting>
  <conditionalFormatting sqref="O2464">
    <cfRule type="expression" dxfId="10433" priority="63214">
      <formula>$H2464="SUBETAPA"</formula>
    </cfRule>
  </conditionalFormatting>
  <conditionalFormatting sqref="O2465 K2465">
    <cfRule type="expression" dxfId="10432" priority="6882">
      <formula>$H2465="SUBETAPA"</formula>
    </cfRule>
    <cfRule type="expression" dxfId="10431" priority="6883">
      <formula>$H2465="CÉLULA CONSTRUTIVA"</formula>
    </cfRule>
  </conditionalFormatting>
  <conditionalFormatting sqref="O2465">
    <cfRule type="expression" dxfId="10430" priority="6880">
      <formula>$H2465="ETAPA"</formula>
    </cfRule>
  </conditionalFormatting>
  <conditionalFormatting sqref="O2468:O2469">
    <cfRule type="expression" dxfId="10429" priority="62998">
      <formula>$H2468="CÉLULA CONSTRUTIVA"</formula>
    </cfRule>
  </conditionalFormatting>
  <conditionalFormatting sqref="O2474 O2479 H2466 H2474 J2466:K2466 J2474:K2474">
    <cfRule type="expression" dxfId="10428" priority="63176">
      <formula>$H2466="SUBETAPA"</formula>
    </cfRule>
  </conditionalFormatting>
  <conditionalFormatting sqref="O2475 H2475 J2475:K2475">
    <cfRule type="expression" dxfId="10427" priority="6867">
      <formula>$H2475="SUBETAPA"</formula>
    </cfRule>
  </conditionalFormatting>
  <conditionalFormatting sqref="O2475 J2475:L2475">
    <cfRule type="expression" dxfId="10426" priority="6864">
      <formula>$H2475="ETAPA"</formula>
    </cfRule>
  </conditionalFormatting>
  <conditionalFormatting sqref="O2477:O2479">
    <cfRule type="expression" dxfId="10425" priority="63079">
      <formula>$H2477="ETAPA"</formula>
    </cfRule>
  </conditionalFormatting>
  <conditionalFormatting sqref="O2484 O2492:O2493 O2501:O2502">
    <cfRule type="expression" dxfId="10424" priority="63400">
      <formula>$H2484="ETAPA"</formula>
    </cfRule>
  </conditionalFormatting>
  <conditionalFormatting sqref="O2484 O2493 O2501">
    <cfRule type="expression" dxfId="10423" priority="63399">
      <formula>$H2484="SUBETAPA"</formula>
    </cfRule>
  </conditionalFormatting>
  <conditionalFormatting sqref="O2485:O2486 M2485:M2486">
    <cfRule type="expression" dxfId="10422" priority="63355">
      <formula>$H2485="ETAPA"</formula>
    </cfRule>
  </conditionalFormatting>
  <conditionalFormatting sqref="O2485:O2486">
    <cfRule type="expression" dxfId="10421" priority="63354">
      <formula>$H2485="SUBETAPA"</formula>
    </cfRule>
    <cfRule type="expression" dxfId="10420" priority="63364">
      <formula>$H2485="SUBETAPA"</formula>
    </cfRule>
  </conditionalFormatting>
  <conditionalFormatting sqref="O2485:O2487">
    <cfRule type="expression" dxfId="10419" priority="63365">
      <formula>$H2485="CÉLULA CONSTRUTIVA"</formula>
    </cfRule>
  </conditionalFormatting>
  <conditionalFormatting sqref="O2489 K2489">
    <cfRule type="expression" dxfId="10418" priority="6826">
      <formula>$H2489="SUBETAPA"</formula>
    </cfRule>
    <cfRule type="expression" dxfId="10417" priority="6827">
      <formula>$H2489="CÉLULA CONSTRUTIVA"</formula>
    </cfRule>
  </conditionalFormatting>
  <conditionalFormatting sqref="O2489">
    <cfRule type="expression" dxfId="10416" priority="6824">
      <formula>$H2489="ETAPA"</formula>
    </cfRule>
  </conditionalFormatting>
  <conditionalFormatting sqref="O2490 H2490 J2490:K2490">
    <cfRule type="expression" dxfId="10415" priority="63374">
      <formula>$H2490="SUBETAPA"</formula>
    </cfRule>
  </conditionalFormatting>
  <conditionalFormatting sqref="O2494:O2495">
    <cfRule type="expression" dxfId="10414" priority="63237">
      <formula>$H2494="CÉLULA CONSTRUTIVA"</formula>
    </cfRule>
  </conditionalFormatting>
  <conditionalFormatting sqref="O2502 O2508 H2491:H2492 H2502 J2491:K2492 J2502:K2502 J2504:K2505 H2504:H2505 O2504:O2505">
    <cfRule type="expression" dxfId="10413" priority="63415">
      <formula>$H2491="SUBETAPA"</formula>
    </cfRule>
  </conditionalFormatting>
  <conditionalFormatting sqref="O2503 H2503 J2503:K2503">
    <cfRule type="expression" dxfId="10412" priority="6811">
      <formula>$H2503="SUBETAPA"</formula>
    </cfRule>
  </conditionalFormatting>
  <conditionalFormatting sqref="O2503 J2503:L2503">
    <cfRule type="expression" dxfId="10411" priority="6808">
      <formula>$H2503="ETAPA"</formula>
    </cfRule>
  </conditionalFormatting>
  <conditionalFormatting sqref="O2504:O2508">
    <cfRule type="expression" dxfId="10410" priority="63318">
      <formula>$H2504="ETAPA"</formula>
    </cfRule>
  </conditionalFormatting>
  <conditionalFormatting sqref="O2511 O2518 O2525">
    <cfRule type="expression" dxfId="10409" priority="63638">
      <formula>$H2511="SUBETAPA"</formula>
    </cfRule>
    <cfRule type="expression" dxfId="10408" priority="63639">
      <formula>$H2511="ETAPA"</formula>
    </cfRule>
  </conditionalFormatting>
  <conditionalFormatting sqref="O2512:O2513 M2512:M2513">
    <cfRule type="expression" dxfId="10407" priority="63594">
      <formula>$H2512="ETAPA"</formula>
    </cfRule>
  </conditionalFormatting>
  <conditionalFormatting sqref="O2512:O2513">
    <cfRule type="expression" dxfId="10406" priority="63593">
      <formula>$H2512="SUBETAPA"</formula>
    </cfRule>
    <cfRule type="expression" dxfId="10405" priority="63603">
      <formula>$H2512="SUBETAPA"</formula>
    </cfRule>
  </conditionalFormatting>
  <conditionalFormatting sqref="O2512:O2514">
    <cfRule type="expression" dxfId="10404" priority="63604">
      <formula>$H2512="CÉLULA CONSTRUTIVA"</formula>
    </cfRule>
  </conditionalFormatting>
  <conditionalFormatting sqref="O2516 K2516">
    <cfRule type="expression" dxfId="10403" priority="6770">
      <formula>$H2516="SUBETAPA"</formula>
    </cfRule>
    <cfRule type="expression" dxfId="10402" priority="6771">
      <formula>$H2516="CÉLULA CONSTRUTIVA"</formula>
    </cfRule>
  </conditionalFormatting>
  <conditionalFormatting sqref="O2516">
    <cfRule type="expression" dxfId="10401" priority="6768">
      <formula>$H2516="ETAPA"</formula>
    </cfRule>
  </conditionalFormatting>
  <conditionalFormatting sqref="O2519:O2520">
    <cfRule type="expression" dxfId="10400" priority="63476">
      <formula>$H2519="CÉLULA CONSTRUTIVA"</formula>
    </cfRule>
  </conditionalFormatting>
  <conditionalFormatting sqref="O2526 H2526 J2526:K2526">
    <cfRule type="expression" dxfId="10399" priority="6727">
      <formula>$H2526="SUBETAPA"</formula>
    </cfRule>
  </conditionalFormatting>
  <conditionalFormatting sqref="O2526 J2526:L2526">
    <cfRule type="expression" dxfId="10398" priority="6734">
      <formula>$H2526="ETAPA"</formula>
    </cfRule>
  </conditionalFormatting>
  <conditionalFormatting sqref="O2527:O2530">
    <cfRule type="expression" dxfId="10397" priority="63571">
      <formula>$H2527="ETAPA"</formula>
    </cfRule>
  </conditionalFormatting>
  <conditionalFormatting sqref="O2530 H2517 J2517:K2517 J2527:K2528 H2527:H2528 O2527:O2528">
    <cfRule type="expression" dxfId="10396" priority="63654">
      <formula>$H2517="SUBETAPA"</formula>
    </cfRule>
  </conditionalFormatting>
  <conditionalFormatting sqref="O2533 O2538 O2543">
    <cfRule type="expression" dxfId="10395" priority="63877">
      <formula>$H2533="SUBETAPA"</formula>
    </cfRule>
    <cfRule type="expression" dxfId="10394" priority="63878">
      <formula>$H2533="ETAPA"</formula>
    </cfRule>
  </conditionalFormatting>
  <conditionalFormatting sqref="O2534:O2535 M2534:M2535">
    <cfRule type="expression" dxfId="10393" priority="63833">
      <formula>$H2534="ETAPA"</formula>
    </cfRule>
  </conditionalFormatting>
  <conditionalFormatting sqref="O2534:O2535">
    <cfRule type="expression" dxfId="10392" priority="63832">
      <formula>$H2534="SUBETAPA"</formula>
    </cfRule>
    <cfRule type="expression" dxfId="10391" priority="63842">
      <formula>$H2534="SUBETAPA"</formula>
    </cfRule>
  </conditionalFormatting>
  <conditionalFormatting sqref="O2534:O2536">
    <cfRule type="expression" dxfId="10390" priority="63843">
      <formula>$H2534="CÉLULA CONSTRUTIVA"</formula>
    </cfRule>
  </conditionalFormatting>
  <conditionalFormatting sqref="O2537 K2537">
    <cfRule type="expression" dxfId="10389" priority="6691">
      <formula>$H2537="SUBETAPA"</formula>
    </cfRule>
    <cfRule type="expression" dxfId="10388" priority="6692">
      <formula>$H2537="CÉLULA CONSTRUTIVA"</formula>
    </cfRule>
  </conditionalFormatting>
  <conditionalFormatting sqref="O2537">
    <cfRule type="expression" dxfId="10387" priority="6689">
      <formula>$H2537="ETAPA"</formula>
    </cfRule>
  </conditionalFormatting>
  <conditionalFormatting sqref="O2539:O2540">
    <cfRule type="expression" dxfId="10386" priority="63715">
      <formula>$H2539="CÉLULA CONSTRUTIVA"</formula>
    </cfRule>
  </conditionalFormatting>
  <conditionalFormatting sqref="O2544 H2544 J2544:K2544">
    <cfRule type="expression" dxfId="10385" priority="6669">
      <formula>$H2544="SUBETAPA"</formula>
    </cfRule>
  </conditionalFormatting>
  <conditionalFormatting sqref="O2544 J2544:L2544">
    <cfRule type="expression" dxfId="10384" priority="6670">
      <formula>$H2544="ETAPA"</formula>
    </cfRule>
  </conditionalFormatting>
  <conditionalFormatting sqref="O2549 O2554 O2559">
    <cfRule type="expression" dxfId="10383" priority="64116">
      <formula>$H2549="SUBETAPA"</formula>
    </cfRule>
    <cfRule type="expression" dxfId="10382" priority="64117">
      <formula>$H2549="ETAPA"</formula>
    </cfRule>
  </conditionalFormatting>
  <conditionalFormatting sqref="O2550:O2551 M2550:M2551">
    <cfRule type="expression" dxfId="10381" priority="64072">
      <formula>$H2550="ETAPA"</formula>
    </cfRule>
  </conditionalFormatting>
  <conditionalFormatting sqref="O2550:O2551">
    <cfRule type="expression" dxfId="10380" priority="64071">
      <formula>$H2550="SUBETAPA"</formula>
    </cfRule>
    <cfRule type="expression" dxfId="10379" priority="64081">
      <formula>$H2550="SUBETAPA"</formula>
    </cfRule>
  </conditionalFormatting>
  <conditionalFormatting sqref="O2550:O2552">
    <cfRule type="expression" dxfId="10378" priority="64082">
      <formula>$H2550="CÉLULA CONSTRUTIVA"</formula>
    </cfRule>
  </conditionalFormatting>
  <conditionalFormatting sqref="O2553 K2553">
    <cfRule type="expression" dxfId="10377" priority="6633">
      <formula>$H2553="SUBETAPA"</formula>
    </cfRule>
    <cfRule type="expression" dxfId="10376" priority="6634">
      <formula>$H2553="CÉLULA CONSTRUTIVA"</formula>
    </cfRule>
  </conditionalFormatting>
  <conditionalFormatting sqref="O2553">
    <cfRule type="expression" dxfId="10375" priority="6631">
      <formula>$H2553="ETAPA"</formula>
    </cfRule>
  </conditionalFormatting>
  <conditionalFormatting sqref="O2555:O2556">
    <cfRule type="expression" dxfId="10374" priority="63954">
      <formula>$H2555="CÉLULA CONSTRUTIVA"</formula>
    </cfRule>
  </conditionalFormatting>
  <conditionalFormatting sqref="O2560 H2560 J2560:K2560">
    <cfRule type="expression" dxfId="10373" priority="6611">
      <formula>$H2560="SUBETAPA"</formula>
    </cfRule>
  </conditionalFormatting>
  <conditionalFormatting sqref="O2560 J2560:L2560">
    <cfRule type="expression" dxfId="10372" priority="6612">
      <formula>$H2560="ETAPA"</formula>
    </cfRule>
  </conditionalFormatting>
  <conditionalFormatting sqref="O2565 O2570 O2575">
    <cfRule type="expression" dxfId="10371" priority="64355">
      <formula>$H2565="SUBETAPA"</formula>
    </cfRule>
    <cfRule type="expression" dxfId="10370" priority="64356">
      <formula>$H2565="ETAPA"</formula>
    </cfRule>
  </conditionalFormatting>
  <conditionalFormatting sqref="O2566:O2567 M2566:M2567">
    <cfRule type="expression" dxfId="10369" priority="64311">
      <formula>$H2566="ETAPA"</formula>
    </cfRule>
  </conditionalFormatting>
  <conditionalFormatting sqref="O2566:O2567">
    <cfRule type="expression" dxfId="10368" priority="64310">
      <formula>$H2566="SUBETAPA"</formula>
    </cfRule>
    <cfRule type="expression" dxfId="10367" priority="64320">
      <formula>$H2566="SUBETAPA"</formula>
    </cfRule>
  </conditionalFormatting>
  <conditionalFormatting sqref="O2566:O2568">
    <cfRule type="expression" dxfId="10366" priority="64321">
      <formula>$H2566="CÉLULA CONSTRUTIVA"</formula>
    </cfRule>
  </conditionalFormatting>
  <conditionalFormatting sqref="O2569 K2569">
    <cfRule type="expression" dxfId="10365" priority="6575">
      <formula>$H2569="SUBETAPA"</formula>
    </cfRule>
    <cfRule type="expression" dxfId="10364" priority="6576">
      <formula>$H2569="CÉLULA CONSTRUTIVA"</formula>
    </cfRule>
  </conditionalFormatting>
  <conditionalFormatting sqref="O2569">
    <cfRule type="expression" dxfId="10363" priority="6573">
      <formula>$H2569="ETAPA"</formula>
    </cfRule>
  </conditionalFormatting>
  <conditionalFormatting sqref="O2571:O2572">
    <cfRule type="expression" dxfId="10362" priority="64193">
      <formula>$H2571="CÉLULA CONSTRUTIVA"</formula>
    </cfRule>
  </conditionalFormatting>
  <conditionalFormatting sqref="O2576 H2576 J2576:K2576">
    <cfRule type="expression" dxfId="10361" priority="6553">
      <formula>$H2576="SUBETAPA"</formula>
    </cfRule>
  </conditionalFormatting>
  <conditionalFormatting sqref="O2576 J2576:L2576">
    <cfRule type="expression" dxfId="10360" priority="6554">
      <formula>$H2576="ETAPA"</formula>
    </cfRule>
  </conditionalFormatting>
  <conditionalFormatting sqref="O2581 O2586 O2591">
    <cfRule type="expression" dxfId="10359" priority="64594">
      <formula>$H2581="SUBETAPA"</formula>
    </cfRule>
    <cfRule type="expression" dxfId="10358" priority="64595">
      <formula>$H2581="ETAPA"</formula>
    </cfRule>
  </conditionalFormatting>
  <conditionalFormatting sqref="O2582:O2583 M2582:M2583">
    <cfRule type="expression" dxfId="10357" priority="64550">
      <formula>$H2582="ETAPA"</formula>
    </cfRule>
  </conditionalFormatting>
  <conditionalFormatting sqref="O2582:O2583">
    <cfRule type="expression" dxfId="10356" priority="64549">
      <formula>$H2582="SUBETAPA"</formula>
    </cfRule>
    <cfRule type="expression" dxfId="10355" priority="64559">
      <formula>$H2582="SUBETAPA"</formula>
    </cfRule>
  </conditionalFormatting>
  <conditionalFormatting sqref="O2582:O2584">
    <cfRule type="expression" dxfId="10354" priority="64560">
      <formula>$H2582="CÉLULA CONSTRUTIVA"</formula>
    </cfRule>
  </conditionalFormatting>
  <conditionalFormatting sqref="O2585 K2585">
    <cfRule type="expression" dxfId="10353" priority="6517">
      <formula>$H2585="SUBETAPA"</formula>
    </cfRule>
    <cfRule type="expression" dxfId="10352" priority="6518">
      <formula>$H2585="CÉLULA CONSTRUTIVA"</formula>
    </cfRule>
  </conditionalFormatting>
  <conditionalFormatting sqref="O2585">
    <cfRule type="expression" dxfId="10351" priority="6515">
      <formula>$H2585="ETAPA"</formula>
    </cfRule>
  </conditionalFormatting>
  <conditionalFormatting sqref="O2587:O2588">
    <cfRule type="expression" dxfId="10350" priority="64432">
      <formula>$H2587="CÉLULA CONSTRUTIVA"</formula>
    </cfRule>
  </conditionalFormatting>
  <conditionalFormatting sqref="O2592 H2592 J2592:K2592">
    <cfRule type="expression" dxfId="10349" priority="6495">
      <formula>$H2592="SUBETAPA"</formula>
    </cfRule>
  </conditionalFormatting>
  <conditionalFormatting sqref="O2592 J2592:L2592">
    <cfRule type="expression" dxfId="10348" priority="6496">
      <formula>$H2592="ETAPA"</formula>
    </cfRule>
  </conditionalFormatting>
  <conditionalFormatting sqref="O2597 O2602 O2607">
    <cfRule type="expression" dxfId="10347" priority="64833">
      <formula>$H2597="SUBETAPA"</formula>
    </cfRule>
    <cfRule type="expression" dxfId="10346" priority="64834">
      <formula>$H2597="ETAPA"</formula>
    </cfRule>
  </conditionalFormatting>
  <conditionalFormatting sqref="O2598:O2599 M2598:M2599">
    <cfRule type="expression" dxfId="10345" priority="64789">
      <formula>$H2598="ETAPA"</formula>
    </cfRule>
  </conditionalFormatting>
  <conditionalFormatting sqref="O2598:O2599">
    <cfRule type="expression" dxfId="10344" priority="64788">
      <formula>$H2598="SUBETAPA"</formula>
    </cfRule>
    <cfRule type="expression" dxfId="10343" priority="64798">
      <formula>$H2598="SUBETAPA"</formula>
    </cfRule>
  </conditionalFormatting>
  <conditionalFormatting sqref="O2598:O2600">
    <cfRule type="expression" dxfId="10342" priority="64799">
      <formula>$H2598="CÉLULA CONSTRUTIVA"</formula>
    </cfRule>
  </conditionalFormatting>
  <conditionalFormatting sqref="O2601 K2601">
    <cfRule type="expression" dxfId="10341" priority="6459">
      <formula>$H2601="SUBETAPA"</formula>
    </cfRule>
    <cfRule type="expression" dxfId="10340" priority="6460">
      <formula>$H2601="CÉLULA CONSTRUTIVA"</formula>
    </cfRule>
  </conditionalFormatting>
  <conditionalFormatting sqref="O2601">
    <cfRule type="expression" dxfId="10339" priority="6457">
      <formula>$H2601="ETAPA"</formula>
    </cfRule>
  </conditionalFormatting>
  <conditionalFormatting sqref="O2603:O2604">
    <cfRule type="expression" dxfId="10338" priority="64671">
      <formula>$H2603="CÉLULA CONSTRUTIVA"</formula>
    </cfRule>
  </conditionalFormatting>
  <conditionalFormatting sqref="O2608 H2608 J2608:K2608">
    <cfRule type="expression" dxfId="10337" priority="6437">
      <formula>$H2608="SUBETAPA"</formula>
    </cfRule>
  </conditionalFormatting>
  <conditionalFormatting sqref="O2608 J2608:L2608">
    <cfRule type="expression" dxfId="10336" priority="6438">
      <formula>$H2608="ETAPA"</formula>
    </cfRule>
  </conditionalFormatting>
  <conditionalFormatting sqref="O2613 O2618 O2622">
    <cfRule type="expression" dxfId="10335" priority="65072">
      <formula>$H2613="SUBETAPA"</formula>
    </cfRule>
    <cfRule type="expression" dxfId="10334" priority="65073">
      <formula>$H2613="ETAPA"</formula>
    </cfRule>
  </conditionalFormatting>
  <conditionalFormatting sqref="O2614:O2615 M2614:M2615">
    <cfRule type="expression" dxfId="10333" priority="65028">
      <formula>$H2614="ETAPA"</formula>
    </cfRule>
  </conditionalFormatting>
  <conditionalFormatting sqref="O2614:O2615">
    <cfRule type="expression" dxfId="10332" priority="65027">
      <formula>$H2614="SUBETAPA"</formula>
    </cfRule>
    <cfRule type="expression" dxfId="10331" priority="65037">
      <formula>$H2614="SUBETAPA"</formula>
    </cfRule>
  </conditionalFormatting>
  <conditionalFormatting sqref="O2614:O2616">
    <cfRule type="expression" dxfId="10330" priority="65038">
      <formula>$H2614="CÉLULA CONSTRUTIVA"</formula>
    </cfRule>
  </conditionalFormatting>
  <conditionalFormatting sqref="O2617 K2617">
    <cfRule type="expression" dxfId="10329" priority="6401">
      <formula>$H2617="SUBETAPA"</formula>
    </cfRule>
    <cfRule type="expression" dxfId="10328" priority="6402">
      <formula>$H2617="CÉLULA CONSTRUTIVA"</formula>
    </cfRule>
  </conditionalFormatting>
  <conditionalFormatting sqref="O2617">
    <cfRule type="expression" dxfId="10327" priority="6399">
      <formula>$H2617="ETAPA"</formula>
    </cfRule>
  </conditionalFormatting>
  <conditionalFormatting sqref="O2619:O2620">
    <cfRule type="expression" dxfId="10326" priority="64910">
      <formula>$H2619="CÉLULA CONSTRUTIVA"</formula>
    </cfRule>
  </conditionalFormatting>
  <conditionalFormatting sqref="O2623 H2623 J2623:K2623">
    <cfRule type="expression" dxfId="10325" priority="6379">
      <formula>$H2623="SUBETAPA"</formula>
    </cfRule>
  </conditionalFormatting>
  <conditionalFormatting sqref="O2623 J2623:L2623">
    <cfRule type="expression" dxfId="10324" priority="6380">
      <formula>$H2623="ETAPA"</formula>
    </cfRule>
  </conditionalFormatting>
  <conditionalFormatting sqref="O2626">
    <cfRule type="expression" dxfId="10323" priority="59927">
      <formula>$H2626="ETAPA"</formula>
    </cfRule>
    <cfRule type="expression" dxfId="10322" priority="59928">
      <formula>$H2626="SUBETAPA"</formula>
    </cfRule>
    <cfRule type="expression" dxfId="10321" priority="59929">
      <formula>$H2626="CÉLULA CONSTRUTIVA"</formula>
    </cfRule>
  </conditionalFormatting>
  <conditionalFormatting sqref="O2627:O2628">
    <cfRule type="expression" dxfId="10320" priority="1891">
      <formula>$H2627="ETAPA"</formula>
    </cfRule>
    <cfRule type="expression" dxfId="10319" priority="1920">
      <formula>$H2627="SUBETAPA"</formula>
    </cfRule>
  </conditionalFormatting>
  <conditionalFormatting sqref="O2629">
    <cfRule type="expression" dxfId="10318" priority="1917">
      <formula>$H2629="SUBETAPA"</formula>
    </cfRule>
    <cfRule type="expression" dxfId="10317" priority="1918">
      <formula>$H2629="CÉLULA CONSTRUTIVA"</formula>
    </cfRule>
    <cfRule type="expression" dxfId="10316" priority="1919">
      <formula>$H2629="ETAPA"</formula>
    </cfRule>
  </conditionalFormatting>
  <conditionalFormatting sqref="O2630">
    <cfRule type="expression" dxfId="10315" priority="1886">
      <formula>$H2630="SUBETAPA"</formula>
    </cfRule>
  </conditionalFormatting>
  <conditionalFormatting sqref="O2631">
    <cfRule type="expression" dxfId="10314" priority="1914">
      <formula>$H2631="SUBETAPA"</formula>
    </cfRule>
    <cfRule type="expression" dxfId="10313" priority="1915">
      <formula>$H2631="CÉLULA CONSTRUTIVA"</formula>
    </cfRule>
    <cfRule type="expression" dxfId="10312" priority="1916">
      <formula>$H2631="ETAPA"</formula>
    </cfRule>
  </conditionalFormatting>
  <conditionalFormatting sqref="O2632">
    <cfRule type="expression" dxfId="10311" priority="1911">
      <formula>$H2632="SUBETAPA"</formula>
    </cfRule>
    <cfRule type="expression" dxfId="10310" priority="1912">
      <formula>$H2632="CÉLULA CONSTRUTIVA"</formula>
    </cfRule>
    <cfRule type="expression" dxfId="10309" priority="1913">
      <formula>$H2632="ETAPA"</formula>
    </cfRule>
  </conditionalFormatting>
  <conditionalFormatting sqref="O2633">
    <cfRule type="expression" dxfId="10308" priority="1908">
      <formula>$H2633="SUBETAPA"</formula>
    </cfRule>
    <cfRule type="expression" dxfId="10307" priority="1909">
      <formula>$H2633="CÉLULA CONSTRUTIVA"</formula>
    </cfRule>
    <cfRule type="expression" dxfId="10306" priority="1910">
      <formula>$H2633="ETAPA"</formula>
    </cfRule>
  </conditionalFormatting>
  <conditionalFormatting sqref="O2634">
    <cfRule type="expression" dxfId="10305" priority="1905">
      <formula>$H2634="SUBETAPA"</formula>
    </cfRule>
    <cfRule type="expression" dxfId="10304" priority="1906">
      <formula>$H2634="CÉLULA CONSTRUTIVA"</formula>
    </cfRule>
    <cfRule type="expression" dxfId="10303" priority="1907">
      <formula>$H2634="ETAPA"</formula>
    </cfRule>
  </conditionalFormatting>
  <conditionalFormatting sqref="O2635">
    <cfRule type="expression" dxfId="10302" priority="1902">
      <formula>$H2635="SUBETAPA"</formula>
    </cfRule>
    <cfRule type="expression" dxfId="10301" priority="1903">
      <formula>$H2635="CÉLULA CONSTRUTIVA"</formula>
    </cfRule>
    <cfRule type="expression" dxfId="10300" priority="1904">
      <formula>$H2635="ETAPA"</formula>
    </cfRule>
  </conditionalFormatting>
  <conditionalFormatting sqref="O2636 O2630">
    <cfRule type="expression" dxfId="10299" priority="1951">
      <formula>$H2630="ETAPA"</formula>
    </cfRule>
  </conditionalFormatting>
  <conditionalFormatting sqref="O2636">
    <cfRule type="expression" dxfId="10298" priority="1949">
      <formula>$H2636="SUBETAPA"</formula>
    </cfRule>
    <cfRule type="expression" dxfId="10297" priority="1950">
      <formula>$H2636="CÉLULA CONSTRUTIVA"</formula>
    </cfRule>
  </conditionalFormatting>
  <conditionalFormatting sqref="O2637">
    <cfRule type="expression" dxfId="10296" priority="1899">
      <formula>$H2637="SUBETAPA"</formula>
    </cfRule>
    <cfRule type="expression" dxfId="10295" priority="1900">
      <formula>$H2637="CÉLULA CONSTRUTIVA"</formula>
    </cfRule>
    <cfRule type="expression" dxfId="10294" priority="1901">
      <formula>$H2637="ETAPA"</formula>
    </cfRule>
  </conditionalFormatting>
  <conditionalFormatting sqref="O2638:O2639">
    <cfRule type="expression" dxfId="10293" priority="1959">
      <formula>$H2638="ETAPA"</formula>
    </cfRule>
    <cfRule type="expression" dxfId="10292" priority="1988">
      <formula>$H2638="SUBETAPA"</formula>
    </cfRule>
  </conditionalFormatting>
  <conditionalFormatting sqref="O2640">
    <cfRule type="expression" dxfId="10291" priority="1985">
      <formula>$H2640="SUBETAPA"</formula>
    </cfRule>
    <cfRule type="expression" dxfId="10290" priority="1986">
      <formula>$H2640="CÉLULA CONSTRUTIVA"</formula>
    </cfRule>
    <cfRule type="expression" dxfId="10289" priority="1987">
      <formula>$H2640="ETAPA"</formula>
    </cfRule>
  </conditionalFormatting>
  <conditionalFormatting sqref="O2641">
    <cfRule type="expression" dxfId="10288" priority="1954">
      <formula>$H2641="SUBETAPA"</formula>
    </cfRule>
  </conditionalFormatting>
  <conditionalFormatting sqref="O2642">
    <cfRule type="expression" dxfId="10287" priority="1982">
      <formula>$H2642="SUBETAPA"</formula>
    </cfRule>
    <cfRule type="expression" dxfId="10286" priority="1983">
      <formula>$H2642="CÉLULA CONSTRUTIVA"</formula>
    </cfRule>
    <cfRule type="expression" dxfId="10285" priority="1984">
      <formula>$H2642="ETAPA"</formula>
    </cfRule>
  </conditionalFormatting>
  <conditionalFormatting sqref="O2643">
    <cfRule type="expression" dxfId="10284" priority="1979">
      <formula>$H2643="SUBETAPA"</formula>
    </cfRule>
    <cfRule type="expression" dxfId="10283" priority="1980">
      <formula>$H2643="CÉLULA CONSTRUTIVA"</formula>
    </cfRule>
    <cfRule type="expression" dxfId="10282" priority="1981">
      <formula>$H2643="ETAPA"</formula>
    </cfRule>
  </conditionalFormatting>
  <conditionalFormatting sqref="O2644 O2646 O2641">
    <cfRule type="expression" dxfId="10281" priority="2019">
      <formula>$H2641="ETAPA"</formula>
    </cfRule>
  </conditionalFormatting>
  <conditionalFormatting sqref="O2644 O2646">
    <cfRule type="expression" dxfId="10280" priority="2017">
      <formula>$H2644="SUBETAPA"</formula>
    </cfRule>
    <cfRule type="expression" dxfId="10279" priority="2018">
      <formula>$H2644="CÉLULA CONSTRUTIVA"</formula>
    </cfRule>
  </conditionalFormatting>
  <conditionalFormatting sqref="O2645 O2647">
    <cfRule type="expression" dxfId="10278" priority="1967">
      <formula>$H2645="SUBETAPA"</formula>
    </cfRule>
    <cfRule type="expression" dxfId="10277" priority="1968">
      <formula>$H2645="CÉLULA CONSTRUTIVA"</formula>
    </cfRule>
    <cfRule type="expression" dxfId="10276" priority="1969">
      <formula>$H2645="ETAPA"</formula>
    </cfRule>
  </conditionalFormatting>
  <conditionalFormatting sqref="O2648:O2649">
    <cfRule type="expression" dxfId="10275" priority="2027">
      <formula>$H2648="ETAPA"</formula>
    </cfRule>
    <cfRule type="expression" dxfId="10274" priority="2056">
      <formula>$H2648="SUBETAPA"</formula>
    </cfRule>
  </conditionalFormatting>
  <conditionalFormatting sqref="O2650">
    <cfRule type="expression" dxfId="10273" priority="2053">
      <formula>$H2650="SUBETAPA"</formula>
    </cfRule>
    <cfRule type="expression" dxfId="10272" priority="2054">
      <formula>$H2650="CÉLULA CONSTRUTIVA"</formula>
    </cfRule>
    <cfRule type="expression" dxfId="10271" priority="2055">
      <formula>$H2650="ETAPA"</formula>
    </cfRule>
  </conditionalFormatting>
  <conditionalFormatting sqref="O2651">
    <cfRule type="expression" dxfId="10270" priority="2022">
      <formula>$H2651="SUBETAPA"</formula>
    </cfRule>
  </conditionalFormatting>
  <conditionalFormatting sqref="O2652">
    <cfRule type="expression" dxfId="10269" priority="2047">
      <formula>$H2652="SUBETAPA"</formula>
    </cfRule>
    <cfRule type="expression" dxfId="10268" priority="2048">
      <formula>$H2652="CÉLULA CONSTRUTIVA"</formula>
    </cfRule>
    <cfRule type="expression" dxfId="10267" priority="2049">
      <formula>$H2652="ETAPA"</formula>
    </cfRule>
  </conditionalFormatting>
  <conditionalFormatting sqref="O2653 O2655 O2651">
    <cfRule type="expression" dxfId="10266" priority="2087">
      <formula>$H2651="ETAPA"</formula>
    </cfRule>
  </conditionalFormatting>
  <conditionalFormatting sqref="O2654">
    <cfRule type="expression" dxfId="10265" priority="2035">
      <formula>$H2654="SUBETAPA"</formula>
    </cfRule>
    <cfRule type="expression" dxfId="10264" priority="2036">
      <formula>$H2654="CÉLULA CONSTRUTIVA"</formula>
    </cfRule>
    <cfRule type="expression" dxfId="10263" priority="2037">
      <formula>$H2654="ETAPA"</formula>
    </cfRule>
  </conditionalFormatting>
  <conditionalFormatting sqref="O2655 O2653">
    <cfRule type="expression" dxfId="10262" priority="2085">
      <formula>$H2653="SUBETAPA"</formula>
    </cfRule>
    <cfRule type="expression" dxfId="10261" priority="2086">
      <formula>$H2653="CÉLULA CONSTRUTIVA"</formula>
    </cfRule>
  </conditionalFormatting>
  <conditionalFormatting sqref="O2656">
    <cfRule type="expression" dxfId="10260" priority="237">
      <formula>$H2656="SUBETAPA"</formula>
    </cfRule>
    <cfRule type="expression" dxfId="10259" priority="238">
      <formula>$H2656="CÉLULA CONSTRUTIVA"</formula>
    </cfRule>
    <cfRule type="expression" dxfId="10258" priority="239">
      <formula>$H2656="ETAPA"</formula>
    </cfRule>
  </conditionalFormatting>
  <conditionalFormatting sqref="O2657:O2658">
    <cfRule type="expression" dxfId="10257" priority="2095">
      <formula>$H2657="ETAPA"</formula>
    </cfRule>
    <cfRule type="expression" dxfId="10256" priority="2124">
      <formula>$H2657="SUBETAPA"</formula>
    </cfRule>
  </conditionalFormatting>
  <conditionalFormatting sqref="O2659">
    <cfRule type="expression" dxfId="10255" priority="2121">
      <formula>$H2659="SUBETAPA"</formula>
    </cfRule>
    <cfRule type="expression" dxfId="10254" priority="2122">
      <formula>$H2659="CÉLULA CONSTRUTIVA"</formula>
    </cfRule>
    <cfRule type="expression" dxfId="10253" priority="2123">
      <formula>$H2659="ETAPA"</formula>
    </cfRule>
  </conditionalFormatting>
  <conditionalFormatting sqref="O2660">
    <cfRule type="expression" dxfId="10252" priority="2090">
      <formula>$H2660="SUBETAPA"</formula>
    </cfRule>
  </conditionalFormatting>
  <conditionalFormatting sqref="O2661">
    <cfRule type="expression" dxfId="10251" priority="2115">
      <formula>$H2661="SUBETAPA"</formula>
    </cfRule>
    <cfRule type="expression" dxfId="10250" priority="2116">
      <formula>$H2661="CÉLULA CONSTRUTIVA"</formula>
    </cfRule>
    <cfRule type="expression" dxfId="10249" priority="2117">
      <formula>$H2661="ETAPA"</formula>
    </cfRule>
  </conditionalFormatting>
  <conditionalFormatting sqref="O2662 O2660">
    <cfRule type="expression" dxfId="10248" priority="2155">
      <formula>$H2660="ETAPA"</formula>
    </cfRule>
  </conditionalFormatting>
  <conditionalFormatting sqref="O2662">
    <cfRule type="expression" dxfId="10247" priority="2153">
      <formula>$H2662="SUBETAPA"</formula>
    </cfRule>
    <cfRule type="expression" dxfId="10246" priority="2154">
      <formula>$H2662="CÉLULA CONSTRUTIVA"</formula>
    </cfRule>
  </conditionalFormatting>
  <conditionalFormatting sqref="O2663">
    <cfRule type="expression" dxfId="10245" priority="240">
      <formula>$H2663="SUBETAPA"</formula>
    </cfRule>
    <cfRule type="expression" dxfId="10244" priority="241">
      <formula>$H2663="CÉLULA CONSTRUTIVA"</formula>
    </cfRule>
    <cfRule type="expression" dxfId="10243" priority="242">
      <formula>$H2663="ETAPA"</formula>
    </cfRule>
  </conditionalFormatting>
  <conditionalFormatting sqref="O2664:O2665">
    <cfRule type="expression" dxfId="10242" priority="2163">
      <formula>$H2664="ETAPA"</formula>
    </cfRule>
    <cfRule type="expression" dxfId="10241" priority="2192">
      <formula>$H2664="SUBETAPA"</formula>
    </cfRule>
  </conditionalFormatting>
  <conditionalFormatting sqref="O2666">
    <cfRule type="expression" dxfId="10240" priority="2189">
      <formula>$H2666="SUBETAPA"</formula>
    </cfRule>
    <cfRule type="expression" dxfId="10239" priority="2190">
      <formula>$H2666="CÉLULA CONSTRUTIVA"</formula>
    </cfRule>
    <cfRule type="expression" dxfId="10238" priority="2191">
      <formula>$H2666="ETAPA"</formula>
    </cfRule>
  </conditionalFormatting>
  <conditionalFormatting sqref="O2667">
    <cfRule type="expression" dxfId="10237" priority="2158">
      <formula>$H2667="SUBETAPA"</formula>
    </cfRule>
  </conditionalFormatting>
  <conditionalFormatting sqref="O2668">
    <cfRule type="expression" dxfId="10236" priority="2183">
      <formula>$H2668="SUBETAPA"</formula>
    </cfRule>
    <cfRule type="expression" dxfId="10235" priority="2184">
      <formula>$H2668="CÉLULA CONSTRUTIVA"</formula>
    </cfRule>
    <cfRule type="expression" dxfId="10234" priority="2185">
      <formula>$H2668="ETAPA"</formula>
    </cfRule>
  </conditionalFormatting>
  <conditionalFormatting sqref="O2669 O2667">
    <cfRule type="expression" dxfId="10233" priority="2223">
      <formula>$H2667="ETAPA"</formula>
    </cfRule>
  </conditionalFormatting>
  <conditionalFormatting sqref="O2669">
    <cfRule type="expression" dxfId="10232" priority="2221">
      <formula>$H2669="SUBETAPA"</formula>
    </cfRule>
    <cfRule type="expression" dxfId="10231" priority="2222">
      <formula>$H2669="CÉLULA CONSTRUTIVA"</formula>
    </cfRule>
  </conditionalFormatting>
  <conditionalFormatting sqref="O2670">
    <cfRule type="expression" dxfId="10230" priority="243">
      <formula>$H2670="SUBETAPA"</formula>
    </cfRule>
    <cfRule type="expression" dxfId="10229" priority="244">
      <formula>$H2670="CÉLULA CONSTRUTIVA"</formula>
    </cfRule>
    <cfRule type="expression" dxfId="10228" priority="245">
      <formula>$H2670="ETAPA"</formula>
    </cfRule>
  </conditionalFormatting>
  <conditionalFormatting sqref="O2671:O2672">
    <cfRule type="expression" dxfId="10227" priority="2231">
      <formula>$H2671="ETAPA"</formula>
    </cfRule>
    <cfRule type="expression" dxfId="10226" priority="2260">
      <formula>$H2671="SUBETAPA"</formula>
    </cfRule>
  </conditionalFormatting>
  <conditionalFormatting sqref="O2673">
    <cfRule type="expression" dxfId="10225" priority="2257">
      <formula>$H2673="SUBETAPA"</formula>
    </cfRule>
    <cfRule type="expression" dxfId="10224" priority="2258">
      <formula>$H2673="CÉLULA CONSTRUTIVA"</formula>
    </cfRule>
    <cfRule type="expression" dxfId="10223" priority="2259">
      <formula>$H2673="ETAPA"</formula>
    </cfRule>
  </conditionalFormatting>
  <conditionalFormatting sqref="O2674">
    <cfRule type="expression" dxfId="10222" priority="2226">
      <formula>$H2674="SUBETAPA"</formula>
    </cfRule>
  </conditionalFormatting>
  <conditionalFormatting sqref="O2675">
    <cfRule type="expression" dxfId="10221" priority="2254">
      <formula>$H2675="SUBETAPA"</formula>
    </cfRule>
    <cfRule type="expression" dxfId="10220" priority="2255">
      <formula>$H2675="CÉLULA CONSTRUTIVA"</formula>
    </cfRule>
    <cfRule type="expression" dxfId="10219" priority="2256">
      <formula>$H2675="ETAPA"</formula>
    </cfRule>
  </conditionalFormatting>
  <conditionalFormatting sqref="O2676">
    <cfRule type="expression" dxfId="10218" priority="2251">
      <formula>$H2676="SUBETAPA"</formula>
    </cfRule>
    <cfRule type="expression" dxfId="10217" priority="2252">
      <formula>$H2676="CÉLULA CONSTRUTIVA"</formula>
    </cfRule>
    <cfRule type="expression" dxfId="10216" priority="2253">
      <formula>$H2676="ETAPA"</formula>
    </cfRule>
  </conditionalFormatting>
  <conditionalFormatting sqref="O2677 O2674">
    <cfRule type="expression" dxfId="10215" priority="2291">
      <formula>$H2674="ETAPA"</formula>
    </cfRule>
  </conditionalFormatting>
  <conditionalFormatting sqref="O2677">
    <cfRule type="expression" dxfId="10214" priority="2289">
      <formula>$H2677="SUBETAPA"</formula>
    </cfRule>
    <cfRule type="expression" dxfId="10213" priority="2290">
      <formula>$H2677="CÉLULA CONSTRUTIVA"</formula>
    </cfRule>
  </conditionalFormatting>
  <conditionalFormatting sqref="O2678">
    <cfRule type="expression" dxfId="10212" priority="246">
      <formula>$H2678="SUBETAPA"</formula>
    </cfRule>
    <cfRule type="expression" dxfId="10211" priority="247">
      <formula>$H2678="CÉLULA CONSTRUTIVA"</formula>
    </cfRule>
    <cfRule type="expression" dxfId="10210" priority="248">
      <formula>$H2678="ETAPA"</formula>
    </cfRule>
  </conditionalFormatting>
  <conditionalFormatting sqref="O2679:O2680">
    <cfRule type="expression" dxfId="10209" priority="2299">
      <formula>$H2679="ETAPA"</formula>
    </cfRule>
    <cfRule type="expression" dxfId="10208" priority="2328">
      <formula>$H2679="SUBETAPA"</formula>
    </cfRule>
  </conditionalFormatting>
  <conditionalFormatting sqref="O2681">
    <cfRule type="expression" dxfId="10207" priority="2325">
      <formula>$H2681="SUBETAPA"</formula>
    </cfRule>
    <cfRule type="expression" dxfId="10206" priority="2326">
      <formula>$H2681="CÉLULA CONSTRUTIVA"</formula>
    </cfRule>
    <cfRule type="expression" dxfId="10205" priority="2327">
      <formula>$H2681="ETAPA"</formula>
    </cfRule>
  </conditionalFormatting>
  <conditionalFormatting sqref="O2682">
    <cfRule type="expression" dxfId="10204" priority="2294">
      <formula>$H2682="SUBETAPA"</formula>
    </cfRule>
  </conditionalFormatting>
  <conditionalFormatting sqref="O2683">
    <cfRule type="expression" dxfId="10203" priority="2322">
      <formula>$H2683="SUBETAPA"</formula>
    </cfRule>
    <cfRule type="expression" dxfId="10202" priority="2323">
      <formula>$H2683="CÉLULA CONSTRUTIVA"</formula>
    </cfRule>
    <cfRule type="expression" dxfId="10201" priority="2324">
      <formula>$H2683="ETAPA"</formula>
    </cfRule>
  </conditionalFormatting>
  <conditionalFormatting sqref="O2684">
    <cfRule type="expression" dxfId="10200" priority="2319">
      <formula>$H2684="SUBETAPA"</formula>
    </cfRule>
    <cfRule type="expression" dxfId="10199" priority="2320">
      <formula>$H2684="CÉLULA CONSTRUTIVA"</formula>
    </cfRule>
    <cfRule type="expression" dxfId="10198" priority="2321">
      <formula>$H2684="ETAPA"</formula>
    </cfRule>
  </conditionalFormatting>
  <conditionalFormatting sqref="O2685 O2687 O2682">
    <cfRule type="expression" dxfId="10197" priority="2359">
      <formula>$H2682="ETAPA"</formula>
    </cfRule>
  </conditionalFormatting>
  <conditionalFormatting sqref="O2685 O2687">
    <cfRule type="expression" dxfId="10196" priority="2357">
      <formula>$H2685="SUBETAPA"</formula>
    </cfRule>
    <cfRule type="expression" dxfId="10195" priority="2358">
      <formula>$H2685="CÉLULA CONSTRUTIVA"</formula>
    </cfRule>
  </conditionalFormatting>
  <conditionalFormatting sqref="O2686">
    <cfRule type="expression" dxfId="10194" priority="2307">
      <formula>$H2686="SUBETAPA"</formula>
    </cfRule>
    <cfRule type="expression" dxfId="10193" priority="2308">
      <formula>$H2686="CÉLULA CONSTRUTIVA"</formula>
    </cfRule>
    <cfRule type="expression" dxfId="10192" priority="2309">
      <formula>$H2686="ETAPA"</formula>
    </cfRule>
  </conditionalFormatting>
  <conditionalFormatting sqref="O2688">
    <cfRule type="expression" dxfId="10191" priority="249">
      <formula>$H2688="SUBETAPA"</formula>
    </cfRule>
    <cfRule type="expression" dxfId="10190" priority="250">
      <formula>$H2688="CÉLULA CONSTRUTIVA"</formula>
    </cfRule>
    <cfRule type="expression" dxfId="10189" priority="251">
      <formula>$H2688="ETAPA"</formula>
    </cfRule>
  </conditionalFormatting>
  <conditionalFormatting sqref="O2689:O2690">
    <cfRule type="expression" dxfId="10188" priority="2367">
      <formula>$H2689="ETAPA"</formula>
    </cfRule>
    <cfRule type="expression" dxfId="10187" priority="2396">
      <formula>$H2689="SUBETAPA"</formula>
    </cfRule>
  </conditionalFormatting>
  <conditionalFormatting sqref="O2691">
    <cfRule type="expression" dxfId="10186" priority="2393">
      <formula>$H2691="SUBETAPA"</formula>
    </cfRule>
    <cfRule type="expression" dxfId="10185" priority="2394">
      <formula>$H2691="CÉLULA CONSTRUTIVA"</formula>
    </cfRule>
    <cfRule type="expression" dxfId="10184" priority="2395">
      <formula>$H2691="ETAPA"</formula>
    </cfRule>
  </conditionalFormatting>
  <conditionalFormatting sqref="O2692">
    <cfRule type="expression" dxfId="10183" priority="2362">
      <formula>$H2692="SUBETAPA"</formula>
    </cfRule>
  </conditionalFormatting>
  <conditionalFormatting sqref="O2693">
    <cfRule type="expression" dxfId="10182" priority="2390">
      <formula>$H2693="SUBETAPA"</formula>
    </cfRule>
    <cfRule type="expression" dxfId="10181" priority="2391">
      <formula>$H2693="CÉLULA CONSTRUTIVA"</formula>
    </cfRule>
    <cfRule type="expression" dxfId="10180" priority="2392">
      <formula>$H2693="ETAPA"</formula>
    </cfRule>
  </conditionalFormatting>
  <conditionalFormatting sqref="O2694">
    <cfRule type="expression" dxfId="10179" priority="2387">
      <formula>$H2694="SUBETAPA"</formula>
    </cfRule>
    <cfRule type="expression" dxfId="10178" priority="2388">
      <formula>$H2694="CÉLULA CONSTRUTIVA"</formula>
    </cfRule>
    <cfRule type="expression" dxfId="10177" priority="2389">
      <formula>$H2694="ETAPA"</formula>
    </cfRule>
  </conditionalFormatting>
  <conditionalFormatting sqref="O2695 O2692">
    <cfRule type="expression" dxfId="10176" priority="2427">
      <formula>$H2692="ETAPA"</formula>
    </cfRule>
  </conditionalFormatting>
  <conditionalFormatting sqref="O2695">
    <cfRule type="expression" dxfId="10175" priority="2425">
      <formula>$H2695="SUBETAPA"</formula>
    </cfRule>
    <cfRule type="expression" dxfId="10174" priority="2426">
      <formula>$H2695="CÉLULA CONSTRUTIVA"</formula>
    </cfRule>
  </conditionalFormatting>
  <conditionalFormatting sqref="O2696">
    <cfRule type="expression" dxfId="10173" priority="2375">
      <formula>$H2696="SUBETAPA"</formula>
    </cfRule>
    <cfRule type="expression" dxfId="10172" priority="2376">
      <formula>$H2696="CÉLULA CONSTRUTIVA"</formula>
    </cfRule>
    <cfRule type="expression" dxfId="10171" priority="2377">
      <formula>$H2696="ETAPA"</formula>
    </cfRule>
  </conditionalFormatting>
  <conditionalFormatting sqref="O2697:O2698">
    <cfRule type="expression" dxfId="10170" priority="2435">
      <formula>$H2697="ETAPA"</formula>
    </cfRule>
    <cfRule type="expression" dxfId="10169" priority="2464">
      <formula>$H2697="SUBETAPA"</formula>
    </cfRule>
  </conditionalFormatting>
  <conditionalFormatting sqref="O2699">
    <cfRule type="expression" dxfId="10168" priority="2461">
      <formula>$H2699="SUBETAPA"</formula>
    </cfRule>
    <cfRule type="expression" dxfId="10167" priority="2462">
      <formula>$H2699="CÉLULA CONSTRUTIVA"</formula>
    </cfRule>
    <cfRule type="expression" dxfId="10166" priority="2463">
      <formula>$H2699="ETAPA"</formula>
    </cfRule>
  </conditionalFormatting>
  <conditionalFormatting sqref="O2700">
    <cfRule type="expression" dxfId="10165" priority="2430">
      <formula>$H2700="SUBETAPA"</formula>
    </cfRule>
  </conditionalFormatting>
  <conditionalFormatting sqref="O2701">
    <cfRule type="expression" dxfId="10164" priority="2458">
      <formula>$H2701="SUBETAPA"</formula>
    </cfRule>
    <cfRule type="expression" dxfId="10163" priority="2459">
      <formula>$H2701="CÉLULA CONSTRUTIVA"</formula>
    </cfRule>
    <cfRule type="expression" dxfId="10162" priority="2460">
      <formula>$H2701="ETAPA"</formula>
    </cfRule>
  </conditionalFormatting>
  <conditionalFormatting sqref="O2702">
    <cfRule type="expression" dxfId="10161" priority="2455">
      <formula>$H2702="SUBETAPA"</formula>
    </cfRule>
    <cfRule type="expression" dxfId="10160" priority="2456">
      <formula>$H2702="CÉLULA CONSTRUTIVA"</formula>
    </cfRule>
    <cfRule type="expression" dxfId="10159" priority="2457">
      <formula>$H2702="ETAPA"</formula>
    </cfRule>
  </conditionalFormatting>
  <conditionalFormatting sqref="O2703">
    <cfRule type="expression" dxfId="10158" priority="2452">
      <formula>$H2703="SUBETAPA"</formula>
    </cfRule>
    <cfRule type="expression" dxfId="10157" priority="2453">
      <formula>$H2703="CÉLULA CONSTRUTIVA"</formula>
    </cfRule>
    <cfRule type="expression" dxfId="10156" priority="2454">
      <formula>$H2703="ETAPA"</formula>
    </cfRule>
  </conditionalFormatting>
  <conditionalFormatting sqref="O2704 O2706 O2700">
    <cfRule type="expression" dxfId="10155" priority="2495">
      <formula>$H2700="ETAPA"</formula>
    </cfRule>
  </conditionalFormatting>
  <conditionalFormatting sqref="O2704 O2706">
    <cfRule type="expression" dxfId="10154" priority="2493">
      <formula>$H2704="SUBETAPA"</formula>
    </cfRule>
    <cfRule type="expression" dxfId="10153" priority="2494">
      <formula>$H2704="CÉLULA CONSTRUTIVA"</formula>
    </cfRule>
  </conditionalFormatting>
  <conditionalFormatting sqref="O2705 O2707">
    <cfRule type="expression" dxfId="10152" priority="2443">
      <formula>$H2705="SUBETAPA"</formula>
    </cfRule>
    <cfRule type="expression" dxfId="10151" priority="2444">
      <formula>$H2705="CÉLULA CONSTRUTIVA"</formula>
    </cfRule>
    <cfRule type="expression" dxfId="10150" priority="2445">
      <formula>$H2705="ETAPA"</formula>
    </cfRule>
  </conditionalFormatting>
  <conditionalFormatting sqref="O2708:O2709">
    <cfRule type="expression" dxfId="10149" priority="2503">
      <formula>$H2708="ETAPA"</formula>
    </cfRule>
    <cfRule type="expression" dxfId="10148" priority="2532">
      <formula>$H2708="SUBETAPA"</formula>
    </cfRule>
  </conditionalFormatting>
  <conditionalFormatting sqref="O2710">
    <cfRule type="expression" dxfId="10147" priority="2529">
      <formula>$H2710="SUBETAPA"</formula>
    </cfRule>
    <cfRule type="expression" dxfId="10146" priority="2530">
      <formula>$H2710="CÉLULA CONSTRUTIVA"</formula>
    </cfRule>
    <cfRule type="expression" dxfId="10145" priority="2531">
      <formula>$H2710="ETAPA"</formula>
    </cfRule>
  </conditionalFormatting>
  <conditionalFormatting sqref="O2711">
    <cfRule type="expression" dxfId="10144" priority="2498">
      <formula>$H2711="SUBETAPA"</formula>
    </cfRule>
  </conditionalFormatting>
  <conditionalFormatting sqref="O2712">
    <cfRule type="expression" dxfId="10143" priority="2526">
      <formula>$H2712="SUBETAPA"</formula>
    </cfRule>
    <cfRule type="expression" dxfId="10142" priority="2527">
      <formula>$H2712="CÉLULA CONSTRUTIVA"</formula>
    </cfRule>
    <cfRule type="expression" dxfId="10141" priority="2528">
      <formula>$H2712="ETAPA"</formula>
    </cfRule>
  </conditionalFormatting>
  <conditionalFormatting sqref="O2713">
    <cfRule type="expression" dxfId="10140" priority="2523">
      <formula>$H2713="SUBETAPA"</formula>
    </cfRule>
    <cfRule type="expression" dxfId="10139" priority="2524">
      <formula>$H2713="CÉLULA CONSTRUTIVA"</formula>
    </cfRule>
    <cfRule type="expression" dxfId="10138" priority="2525">
      <formula>$H2713="ETAPA"</formula>
    </cfRule>
  </conditionalFormatting>
  <conditionalFormatting sqref="O2714">
    <cfRule type="expression" dxfId="10137" priority="2520">
      <formula>$H2714="SUBETAPA"</formula>
    </cfRule>
    <cfRule type="expression" dxfId="10136" priority="2521">
      <formula>$H2714="CÉLULA CONSTRUTIVA"</formula>
    </cfRule>
    <cfRule type="expression" dxfId="10135" priority="2522">
      <formula>$H2714="ETAPA"</formula>
    </cfRule>
  </conditionalFormatting>
  <conditionalFormatting sqref="O2715 O2717 O2711">
    <cfRule type="expression" dxfId="10134" priority="2563">
      <formula>$H2711="ETAPA"</formula>
    </cfRule>
  </conditionalFormatting>
  <conditionalFormatting sqref="O2715 O2717">
    <cfRule type="expression" dxfId="10133" priority="2561">
      <formula>$H2715="SUBETAPA"</formula>
    </cfRule>
    <cfRule type="expression" dxfId="10132" priority="2562">
      <formula>$H2715="CÉLULA CONSTRUTIVA"</formula>
    </cfRule>
  </conditionalFormatting>
  <conditionalFormatting sqref="O2716 O2718">
    <cfRule type="expression" dxfId="10131" priority="2511">
      <formula>$H2716="SUBETAPA"</formula>
    </cfRule>
    <cfRule type="expression" dxfId="10130" priority="2512">
      <formula>$H2716="CÉLULA CONSTRUTIVA"</formula>
    </cfRule>
    <cfRule type="expression" dxfId="10129" priority="2513">
      <formula>$H2716="ETAPA"</formula>
    </cfRule>
  </conditionalFormatting>
  <conditionalFormatting sqref="O2719:O2720">
    <cfRule type="expression" dxfId="10128" priority="1746">
      <formula>$H2719="ETAPA"</formula>
    </cfRule>
    <cfRule type="expression" dxfId="10127" priority="1775">
      <formula>$H2719="SUBETAPA"</formula>
    </cfRule>
  </conditionalFormatting>
  <conditionalFormatting sqref="O2721">
    <cfRule type="expression" dxfId="10126" priority="1772">
      <formula>$H2721="SUBETAPA"</formula>
    </cfRule>
    <cfRule type="expression" dxfId="10125" priority="1773">
      <formula>$H2721="CÉLULA CONSTRUTIVA"</formula>
    </cfRule>
    <cfRule type="expression" dxfId="10124" priority="1774">
      <formula>$H2721="ETAPA"</formula>
    </cfRule>
  </conditionalFormatting>
  <conditionalFormatting sqref="O2722">
    <cfRule type="expression" dxfId="10123" priority="1741">
      <formula>$H2722="SUBETAPA"</formula>
    </cfRule>
  </conditionalFormatting>
  <conditionalFormatting sqref="O2723">
    <cfRule type="expression" dxfId="10122" priority="1769">
      <formula>$H2723="SUBETAPA"</formula>
    </cfRule>
    <cfRule type="expression" dxfId="10121" priority="1770">
      <formula>$H2723="CÉLULA CONSTRUTIVA"</formula>
    </cfRule>
    <cfRule type="expression" dxfId="10120" priority="1771">
      <formula>$H2723="ETAPA"</formula>
    </cfRule>
  </conditionalFormatting>
  <conditionalFormatting sqref="O2724">
    <cfRule type="expression" dxfId="10119" priority="1766">
      <formula>$H2724="SUBETAPA"</formula>
    </cfRule>
    <cfRule type="expression" dxfId="10118" priority="1767">
      <formula>$H2724="CÉLULA CONSTRUTIVA"</formula>
    </cfRule>
    <cfRule type="expression" dxfId="10117" priority="1768">
      <formula>$H2724="ETAPA"</formula>
    </cfRule>
  </conditionalFormatting>
  <conditionalFormatting sqref="O2725">
    <cfRule type="expression" dxfId="10116" priority="1763">
      <formula>$H2725="SUBETAPA"</formula>
    </cfRule>
    <cfRule type="expression" dxfId="10115" priority="1764">
      <formula>$H2725="CÉLULA CONSTRUTIVA"</formula>
    </cfRule>
    <cfRule type="expression" dxfId="10114" priority="1765">
      <formula>$H2725="ETAPA"</formula>
    </cfRule>
  </conditionalFormatting>
  <conditionalFormatting sqref="O2726 O2728 O2722">
    <cfRule type="expression" dxfId="10113" priority="1806">
      <formula>$H2722="ETAPA"</formula>
    </cfRule>
  </conditionalFormatting>
  <conditionalFormatting sqref="O2726 O2728">
    <cfRule type="expression" dxfId="10112" priority="1804">
      <formula>$H2726="SUBETAPA"</formula>
    </cfRule>
    <cfRule type="expression" dxfId="10111" priority="1805">
      <formula>$H2726="CÉLULA CONSTRUTIVA"</formula>
    </cfRule>
  </conditionalFormatting>
  <conditionalFormatting sqref="O2727 O2729">
    <cfRule type="expression" dxfId="10110" priority="1754">
      <formula>$H2727="SUBETAPA"</formula>
    </cfRule>
    <cfRule type="expression" dxfId="10109" priority="1755">
      <formula>$H2727="CÉLULA CONSTRUTIVA"</formula>
    </cfRule>
    <cfRule type="expression" dxfId="10108" priority="1756">
      <formula>$H2727="ETAPA"</formula>
    </cfRule>
  </conditionalFormatting>
  <conditionalFormatting sqref="O2730:O2731">
    <cfRule type="expression" dxfId="10107" priority="1815">
      <formula>$H2730="ETAPA"</formula>
    </cfRule>
    <cfRule type="expression" dxfId="10106" priority="1844">
      <formula>$H2730="SUBETAPA"</formula>
    </cfRule>
  </conditionalFormatting>
  <conditionalFormatting sqref="O2732">
    <cfRule type="expression" dxfId="10105" priority="1841">
      <formula>$H2732="SUBETAPA"</formula>
    </cfRule>
    <cfRule type="expression" dxfId="10104" priority="1842">
      <formula>$H2732="CÉLULA CONSTRUTIVA"</formula>
    </cfRule>
    <cfRule type="expression" dxfId="10103" priority="1843">
      <formula>$H2732="ETAPA"</formula>
    </cfRule>
  </conditionalFormatting>
  <conditionalFormatting sqref="O2733">
    <cfRule type="expression" dxfId="10102" priority="1810">
      <formula>$H2733="SUBETAPA"</formula>
    </cfRule>
  </conditionalFormatting>
  <conditionalFormatting sqref="O2734">
    <cfRule type="expression" dxfId="10101" priority="1838">
      <formula>$H2734="SUBETAPA"</formula>
    </cfRule>
    <cfRule type="expression" dxfId="10100" priority="1839">
      <formula>$H2734="CÉLULA CONSTRUTIVA"</formula>
    </cfRule>
    <cfRule type="expression" dxfId="10099" priority="1840">
      <formula>$H2734="ETAPA"</formula>
    </cfRule>
  </conditionalFormatting>
  <conditionalFormatting sqref="O2735">
    <cfRule type="expression" dxfId="10098" priority="1835">
      <formula>$H2735="SUBETAPA"</formula>
    </cfRule>
    <cfRule type="expression" dxfId="10097" priority="1836">
      <formula>$H2735="CÉLULA CONSTRUTIVA"</formula>
    </cfRule>
    <cfRule type="expression" dxfId="10096" priority="1837">
      <formula>$H2735="ETAPA"</formula>
    </cfRule>
  </conditionalFormatting>
  <conditionalFormatting sqref="O2736">
    <cfRule type="expression" dxfId="10095" priority="1832">
      <formula>$H2736="SUBETAPA"</formula>
    </cfRule>
    <cfRule type="expression" dxfId="10094" priority="1833">
      <formula>$H2736="CÉLULA CONSTRUTIVA"</formula>
    </cfRule>
    <cfRule type="expression" dxfId="10093" priority="1834">
      <formula>$H2736="ETAPA"</formula>
    </cfRule>
  </conditionalFormatting>
  <conditionalFormatting sqref="O2737 O2739 O2733">
    <cfRule type="expression" dxfId="10092" priority="1882">
      <formula>$H2733="ETAPA"</formula>
    </cfRule>
  </conditionalFormatting>
  <conditionalFormatting sqref="O2737 O2739">
    <cfRule type="expression" dxfId="10091" priority="1877">
      <formula>$H2737="SUBETAPA"</formula>
    </cfRule>
    <cfRule type="expression" dxfId="10090" priority="1878">
      <formula>$H2737="CÉLULA CONSTRUTIVA"</formula>
    </cfRule>
  </conditionalFormatting>
  <conditionalFormatting sqref="O2738 O2740">
    <cfRule type="expression" dxfId="10089" priority="1823">
      <formula>$H2738="SUBETAPA"</formula>
    </cfRule>
    <cfRule type="expression" dxfId="10088" priority="1824">
      <formula>$H2738="CÉLULA CONSTRUTIVA"</formula>
    </cfRule>
    <cfRule type="expression" dxfId="10087" priority="1825">
      <formula>$H2738="ETAPA"</formula>
    </cfRule>
  </conditionalFormatting>
  <conditionalFormatting sqref="O2741:O2742">
    <cfRule type="expression" dxfId="10086" priority="2571">
      <formula>$H2741="ETAPA"</formula>
    </cfRule>
    <cfRule type="expression" dxfId="10085" priority="2600">
      <formula>$H2741="SUBETAPA"</formula>
    </cfRule>
  </conditionalFormatting>
  <conditionalFormatting sqref="O2743">
    <cfRule type="expression" dxfId="10084" priority="2597">
      <formula>$H2743="SUBETAPA"</formula>
    </cfRule>
    <cfRule type="expression" dxfId="10083" priority="2598">
      <formula>$H2743="CÉLULA CONSTRUTIVA"</formula>
    </cfRule>
    <cfRule type="expression" dxfId="10082" priority="2599">
      <formula>$H2743="ETAPA"</formula>
    </cfRule>
  </conditionalFormatting>
  <conditionalFormatting sqref="O2744">
    <cfRule type="expression" dxfId="10081" priority="2566">
      <formula>$H2744="SUBETAPA"</formula>
    </cfRule>
  </conditionalFormatting>
  <conditionalFormatting sqref="O2745">
    <cfRule type="expression" dxfId="10080" priority="2594">
      <formula>$H2745="SUBETAPA"</formula>
    </cfRule>
    <cfRule type="expression" dxfId="10079" priority="2595">
      <formula>$H2745="CÉLULA CONSTRUTIVA"</formula>
    </cfRule>
    <cfRule type="expression" dxfId="10078" priority="2596">
      <formula>$H2745="ETAPA"</formula>
    </cfRule>
  </conditionalFormatting>
  <conditionalFormatting sqref="O2746">
    <cfRule type="expression" dxfId="10077" priority="2591">
      <formula>$H2746="SUBETAPA"</formula>
    </cfRule>
    <cfRule type="expression" dxfId="10076" priority="2592">
      <formula>$H2746="CÉLULA CONSTRUTIVA"</formula>
    </cfRule>
    <cfRule type="expression" dxfId="10075" priority="2593">
      <formula>$H2746="ETAPA"</formula>
    </cfRule>
  </conditionalFormatting>
  <conditionalFormatting sqref="O2747">
    <cfRule type="expression" dxfId="10074" priority="2588">
      <formula>$H2747="SUBETAPA"</formula>
    </cfRule>
    <cfRule type="expression" dxfId="10073" priority="2589">
      <formula>$H2747="CÉLULA CONSTRUTIVA"</formula>
    </cfRule>
    <cfRule type="expression" dxfId="10072" priority="2590">
      <formula>$H2747="ETAPA"</formula>
    </cfRule>
  </conditionalFormatting>
  <conditionalFormatting sqref="O2748 O2750 O2744">
    <cfRule type="expression" dxfId="10071" priority="2631">
      <formula>$H2744="ETAPA"</formula>
    </cfRule>
  </conditionalFormatting>
  <conditionalFormatting sqref="O2748 O2750">
    <cfRule type="expression" dxfId="10070" priority="2629">
      <formula>$H2748="SUBETAPA"</formula>
    </cfRule>
    <cfRule type="expression" dxfId="10069" priority="2630">
      <formula>$H2748="CÉLULA CONSTRUTIVA"</formula>
    </cfRule>
  </conditionalFormatting>
  <conditionalFormatting sqref="O2749 O2751">
    <cfRule type="expression" dxfId="10068" priority="2579">
      <formula>$H2749="SUBETAPA"</formula>
    </cfRule>
    <cfRule type="expression" dxfId="10067" priority="2580">
      <formula>$H2749="CÉLULA CONSTRUTIVA"</formula>
    </cfRule>
    <cfRule type="expression" dxfId="10066" priority="2581">
      <formula>$H2749="ETAPA"</formula>
    </cfRule>
  </conditionalFormatting>
  <conditionalFormatting sqref="O2752:O2753 O610 O614 O616 O606:O607 O593 O598 O602 O587:O588 O576 O580 O583 O571:O572 O558 O563 O567 O553:O554 O540 O545 O549 O535:O536 O522 O527 O531 O517:O518 O504 O509 O513 O499:O500 O487 O491 O495 O482:O483 O470 O474 O478 O465:O466 O453 O457 O461 O448:O449 O437 O441 O444 O432:O433 O421 O425 O428 O416:O417 O404 O408 O412 O399:O400 O380:O381 O387 O391 O395 O2338 O2335:O2336 O1844 O1836:O1838 O1823:O1825 O1797 O1810:O1812 O1793 O1781:O1782 O1784:O1786 O1771 O1755 O1743 O1731 O1724:O1726 O1716 O1709:O1711 O1700 O1674:O1675 O1681 O1693:O1695 O1683 O1881:O1883 O1874 O1868:O1870 O1860 O1852:O1854 O2029 O2023:O2024 O2021 O2012:O2013 O1969 O1955:O1956 O1953 O1946:O1947 O1944 O1938:O1939 O1936 O1933:O1934 O1931 O1925:O1926 O1923 O1912:O1913 O1910 O1799:O1801">
    <cfRule type="expression" dxfId="10065" priority="116153">
      <formula>$H380="SUBETAPA"</formula>
    </cfRule>
  </conditionalFormatting>
  <conditionalFormatting sqref="O2754">
    <cfRule type="expression" dxfId="10064" priority="59973">
      <formula>$H2754="SUBETAPA"</formula>
    </cfRule>
    <cfRule type="expression" dxfId="10063" priority="59974">
      <formula>$H2754="CÉLULA CONSTRUTIVA"</formula>
    </cfRule>
    <cfRule type="expression" dxfId="10062" priority="59975">
      <formula>$H2754="ETAPA"</formula>
    </cfRule>
  </conditionalFormatting>
  <conditionalFormatting sqref="O2755">
    <cfRule type="expression" dxfId="10061" priority="116887">
      <formula>$H2755="SUBETAPA"</formula>
    </cfRule>
  </conditionalFormatting>
  <conditionalFormatting sqref="O2755:O2756">
    <cfRule type="expression" dxfId="10060" priority="60000">
      <formula>$H2755="ETAPA"</formula>
    </cfRule>
  </conditionalFormatting>
  <conditionalFormatting sqref="O2756">
    <cfRule type="expression" dxfId="10059" priority="59998">
      <formula>$H2756="SUBETAPA"</formula>
    </cfRule>
    <cfRule type="expression" dxfId="10058" priority="59999">
      <formula>$H2756="CÉLULA CONSTRUTIVA"</formula>
    </cfRule>
  </conditionalFormatting>
  <conditionalFormatting sqref="O2757">
    <cfRule type="expression" dxfId="10057" priority="59995">
      <formula>$H2757="SUBETAPA"</formula>
    </cfRule>
    <cfRule type="expression" dxfId="10056" priority="59996">
      <formula>$H2757="CÉLULA CONSTRUTIVA"</formula>
    </cfRule>
    <cfRule type="expression" dxfId="10055" priority="59997">
      <formula>$H2757="ETAPA"</formula>
    </cfRule>
  </conditionalFormatting>
  <conditionalFormatting sqref="O2760">
    <cfRule type="expression" dxfId="10054" priority="1378">
      <formula>$H2760="SUBETAPA"</formula>
    </cfRule>
    <cfRule type="expression" dxfId="10053" priority="1379">
      <formula>$H2760="CÉLULA CONSTRUTIVA"</formula>
    </cfRule>
    <cfRule type="expression" dxfId="10052" priority="1380">
      <formula>$H2760="ETAPA"</formula>
    </cfRule>
  </conditionalFormatting>
  <conditionalFormatting sqref="O2761">
    <cfRule type="expression" dxfId="10051" priority="1375">
      <formula>$H2761="SUBETAPA"</formula>
    </cfRule>
    <cfRule type="expression" dxfId="10050" priority="1376">
      <formula>$H2761="CÉLULA CONSTRUTIVA"</formula>
    </cfRule>
    <cfRule type="expression" dxfId="10049" priority="1377">
      <formula>$H2761="ETAPA"</formula>
    </cfRule>
  </conditionalFormatting>
  <conditionalFormatting sqref="O2762">
    <cfRule type="expression" dxfId="10048" priority="1371">
      <formula>$H2762="ETAPA"</formula>
    </cfRule>
    <cfRule type="expression" dxfId="10047" priority="1372">
      <formula>$H2762="CÉLULA CONSTRUTIVA"</formula>
    </cfRule>
  </conditionalFormatting>
  <conditionalFormatting sqref="O2763">
    <cfRule type="expression" dxfId="10046" priority="1368">
      <formula>$H2763="SUBETAPA"</formula>
    </cfRule>
    <cfRule type="expression" dxfId="10045" priority="1369">
      <formula>$H2763="CÉLULA CONSTRUTIVA"</formula>
    </cfRule>
    <cfRule type="expression" dxfId="10044" priority="1370">
      <formula>$H2763="ETAPA"</formula>
    </cfRule>
  </conditionalFormatting>
  <conditionalFormatting sqref="O2766">
    <cfRule type="expression" dxfId="10043" priority="1420">
      <formula>$H2766="SUBETAPA"</formula>
    </cfRule>
    <cfRule type="expression" dxfId="10042" priority="1421">
      <formula>$H2766="CÉLULA CONSTRUTIVA"</formula>
    </cfRule>
    <cfRule type="expression" dxfId="10041" priority="1422">
      <formula>$H2766="ETAPA"</formula>
    </cfRule>
  </conditionalFormatting>
  <conditionalFormatting sqref="O2767">
    <cfRule type="expression" dxfId="10040" priority="1417">
      <formula>$H2767="SUBETAPA"</formula>
    </cfRule>
    <cfRule type="expression" dxfId="10039" priority="1418">
      <formula>$H2767="CÉLULA CONSTRUTIVA"</formula>
    </cfRule>
    <cfRule type="expression" dxfId="10038" priority="1419">
      <formula>$H2767="ETAPA"</formula>
    </cfRule>
  </conditionalFormatting>
  <conditionalFormatting sqref="O2768">
    <cfRule type="expression" dxfId="10037" priority="1413">
      <formula>$H2768="ETAPA"</formula>
    </cfRule>
    <cfRule type="expression" dxfId="10036" priority="1414">
      <formula>$H2768="CÉLULA CONSTRUTIVA"</formula>
    </cfRule>
  </conditionalFormatting>
  <conditionalFormatting sqref="O2769">
    <cfRule type="expression" dxfId="10035" priority="1410">
      <formula>$H2769="SUBETAPA"</formula>
    </cfRule>
    <cfRule type="expression" dxfId="10034" priority="1411">
      <formula>$H2769="CÉLULA CONSTRUTIVA"</formula>
    </cfRule>
    <cfRule type="expression" dxfId="10033" priority="1412">
      <formula>$H2769="ETAPA"</formula>
    </cfRule>
  </conditionalFormatting>
  <conditionalFormatting sqref="O2772">
    <cfRule type="expression" dxfId="10032" priority="1462">
      <formula>$H2772="SUBETAPA"</formula>
    </cfRule>
    <cfRule type="expression" dxfId="10031" priority="1463">
      <formula>$H2772="CÉLULA CONSTRUTIVA"</formula>
    </cfRule>
    <cfRule type="expression" dxfId="10030" priority="1464">
      <formula>$H2772="ETAPA"</formula>
    </cfRule>
  </conditionalFormatting>
  <conditionalFormatting sqref="O2773">
    <cfRule type="expression" dxfId="10029" priority="1459">
      <formula>$H2773="SUBETAPA"</formula>
    </cfRule>
    <cfRule type="expression" dxfId="10028" priority="1460">
      <formula>$H2773="CÉLULA CONSTRUTIVA"</formula>
    </cfRule>
    <cfRule type="expression" dxfId="10027" priority="1461">
      <formula>$H2773="ETAPA"</formula>
    </cfRule>
  </conditionalFormatting>
  <conditionalFormatting sqref="O2774">
    <cfRule type="expression" dxfId="10026" priority="1455">
      <formula>$H2774="ETAPA"</formula>
    </cfRule>
    <cfRule type="expression" dxfId="10025" priority="1456">
      <formula>$H2774="CÉLULA CONSTRUTIVA"</formula>
    </cfRule>
  </conditionalFormatting>
  <conditionalFormatting sqref="O2775">
    <cfRule type="expression" dxfId="10024" priority="1452">
      <formula>$H2775="SUBETAPA"</formula>
    </cfRule>
    <cfRule type="expression" dxfId="10023" priority="1453">
      <formula>$H2775="CÉLULA CONSTRUTIVA"</formula>
    </cfRule>
    <cfRule type="expression" dxfId="10022" priority="1454">
      <formula>$H2775="ETAPA"</formula>
    </cfRule>
  </conditionalFormatting>
  <conditionalFormatting sqref="O2778">
    <cfRule type="expression" dxfId="10021" priority="1507">
      <formula>$H2778="SUBETAPA"</formula>
    </cfRule>
    <cfRule type="expression" dxfId="10020" priority="1508">
      <formula>$H2778="CÉLULA CONSTRUTIVA"</formula>
    </cfRule>
    <cfRule type="expression" dxfId="10019" priority="1509">
      <formula>$H2778="ETAPA"</formula>
    </cfRule>
  </conditionalFormatting>
  <conditionalFormatting sqref="O2779">
    <cfRule type="expression" dxfId="10018" priority="1504">
      <formula>$H2779="SUBETAPA"</formula>
    </cfRule>
    <cfRule type="expression" dxfId="10017" priority="1505">
      <formula>$H2779="CÉLULA CONSTRUTIVA"</formula>
    </cfRule>
    <cfRule type="expression" dxfId="10016" priority="1506">
      <formula>$H2779="ETAPA"</formula>
    </cfRule>
  </conditionalFormatting>
  <conditionalFormatting sqref="O2780">
    <cfRule type="expression" dxfId="10015" priority="1501">
      <formula>$H2780="SUBETAPA"</formula>
    </cfRule>
    <cfRule type="expression" dxfId="10014" priority="1502">
      <formula>$H2780="CÉLULA CONSTRUTIVA"</formula>
    </cfRule>
    <cfRule type="expression" dxfId="10013" priority="1503">
      <formula>$H2780="ETAPA"</formula>
    </cfRule>
  </conditionalFormatting>
  <conditionalFormatting sqref="O2781 H2781 J2781:L2781">
    <cfRule type="expression" dxfId="10012" priority="1500">
      <formula>$H2781="CÉLULA CONSTRUTIVA"</formula>
    </cfRule>
  </conditionalFormatting>
  <conditionalFormatting sqref="O2781">
    <cfRule type="expression" dxfId="10011" priority="1499">
      <formula>$H2781="SUBETAPA"</formula>
    </cfRule>
  </conditionalFormatting>
  <conditionalFormatting sqref="O2783">
    <cfRule type="expression" dxfId="10010" priority="1497">
      <formula>$H2783="ETAPA"</formula>
    </cfRule>
    <cfRule type="expression" dxfId="10009" priority="1498">
      <formula>$H2783="CÉLULA CONSTRUTIVA"</formula>
    </cfRule>
  </conditionalFormatting>
  <conditionalFormatting sqref="O2784">
    <cfRule type="expression" dxfId="10008" priority="1494">
      <formula>$H2784="SUBETAPA"</formula>
    </cfRule>
    <cfRule type="expression" dxfId="10007" priority="1495">
      <formula>$H2784="CÉLULA CONSTRUTIVA"</formula>
    </cfRule>
    <cfRule type="expression" dxfId="10006" priority="1496">
      <formula>$H2784="ETAPA"</formula>
    </cfRule>
  </conditionalFormatting>
  <conditionalFormatting sqref="O2787">
    <cfRule type="expression" dxfId="10005" priority="1549">
      <formula>$H2787="SUBETAPA"</formula>
    </cfRule>
    <cfRule type="expression" dxfId="10004" priority="1550">
      <formula>$H2787="CÉLULA CONSTRUTIVA"</formula>
    </cfRule>
    <cfRule type="expression" dxfId="10003" priority="1551">
      <formula>$H2787="ETAPA"</formula>
    </cfRule>
  </conditionalFormatting>
  <conditionalFormatting sqref="O2788">
    <cfRule type="expression" dxfId="10002" priority="1546">
      <formula>$H2788="SUBETAPA"</formula>
    </cfRule>
    <cfRule type="expression" dxfId="10001" priority="1547">
      <formula>$H2788="CÉLULA CONSTRUTIVA"</formula>
    </cfRule>
    <cfRule type="expression" dxfId="10000" priority="1548">
      <formula>$H2788="ETAPA"</formula>
    </cfRule>
  </conditionalFormatting>
  <conditionalFormatting sqref="O2789">
    <cfRule type="expression" dxfId="9999" priority="1543">
      <formula>$H2789="SUBETAPA"</formula>
    </cfRule>
    <cfRule type="expression" dxfId="9998" priority="1544">
      <formula>$H2789="CÉLULA CONSTRUTIVA"</formula>
    </cfRule>
    <cfRule type="expression" dxfId="9997" priority="1545">
      <formula>$H2789="ETAPA"</formula>
    </cfRule>
  </conditionalFormatting>
  <conditionalFormatting sqref="O2790 H2790 J2790:L2790">
    <cfRule type="expression" dxfId="9996" priority="1542">
      <formula>$H2790="CÉLULA CONSTRUTIVA"</formula>
    </cfRule>
  </conditionalFormatting>
  <conditionalFormatting sqref="O2790">
    <cfRule type="expression" dxfId="9995" priority="1541">
      <formula>$H2790="SUBETAPA"</formula>
    </cfRule>
  </conditionalFormatting>
  <conditionalFormatting sqref="O2792">
    <cfRule type="expression" dxfId="9994" priority="1539">
      <formula>$H2792="ETAPA"</formula>
    </cfRule>
    <cfRule type="expression" dxfId="9993" priority="1540">
      <formula>$H2792="CÉLULA CONSTRUTIVA"</formula>
    </cfRule>
  </conditionalFormatting>
  <conditionalFormatting sqref="O2793">
    <cfRule type="expression" dxfId="9992" priority="1536">
      <formula>$H2793="SUBETAPA"</formula>
    </cfRule>
    <cfRule type="expression" dxfId="9991" priority="1537">
      <formula>$H2793="CÉLULA CONSTRUTIVA"</formula>
    </cfRule>
    <cfRule type="expression" dxfId="9990" priority="1538">
      <formula>$H2793="ETAPA"</formula>
    </cfRule>
  </conditionalFormatting>
  <conditionalFormatting sqref="O2796">
    <cfRule type="expression" dxfId="9989" priority="1591">
      <formula>$H2796="SUBETAPA"</formula>
    </cfRule>
    <cfRule type="expression" dxfId="9988" priority="1592">
      <formula>$H2796="CÉLULA CONSTRUTIVA"</formula>
    </cfRule>
    <cfRule type="expression" dxfId="9987" priority="1593">
      <formula>$H2796="ETAPA"</formula>
    </cfRule>
  </conditionalFormatting>
  <conditionalFormatting sqref="O2797">
    <cfRule type="expression" dxfId="9986" priority="1588">
      <formula>$H2797="SUBETAPA"</formula>
    </cfRule>
    <cfRule type="expression" dxfId="9985" priority="1589">
      <formula>$H2797="CÉLULA CONSTRUTIVA"</formula>
    </cfRule>
    <cfRule type="expression" dxfId="9984" priority="1590">
      <formula>$H2797="ETAPA"</formula>
    </cfRule>
  </conditionalFormatting>
  <conditionalFormatting sqref="O2798">
    <cfRule type="expression" dxfId="9983" priority="1585">
      <formula>$H2798="SUBETAPA"</formula>
    </cfRule>
    <cfRule type="expression" dxfId="9982" priority="1586">
      <formula>$H2798="CÉLULA CONSTRUTIVA"</formula>
    </cfRule>
    <cfRule type="expression" dxfId="9981" priority="1587">
      <formula>$H2798="ETAPA"</formula>
    </cfRule>
  </conditionalFormatting>
  <conditionalFormatting sqref="O2799 H2799 J2799:L2799">
    <cfRule type="expression" dxfId="9980" priority="1584">
      <formula>$H2799="CÉLULA CONSTRUTIVA"</formula>
    </cfRule>
  </conditionalFormatting>
  <conditionalFormatting sqref="O2799">
    <cfRule type="expression" dxfId="9979" priority="1583">
      <formula>$H2799="SUBETAPA"</formula>
    </cfRule>
  </conditionalFormatting>
  <conditionalFormatting sqref="O2801">
    <cfRule type="expression" dxfId="9978" priority="1581">
      <formula>$H2801="ETAPA"</formula>
    </cfRule>
    <cfRule type="expression" dxfId="9977" priority="1582">
      <formula>$H2801="CÉLULA CONSTRUTIVA"</formula>
    </cfRule>
  </conditionalFormatting>
  <conditionalFormatting sqref="O2802">
    <cfRule type="expression" dxfId="9976" priority="1578">
      <formula>$H2802="SUBETAPA"</formula>
    </cfRule>
    <cfRule type="expression" dxfId="9975" priority="1579">
      <formula>$H2802="CÉLULA CONSTRUTIVA"</formula>
    </cfRule>
    <cfRule type="expression" dxfId="9974" priority="1580">
      <formula>$H2802="ETAPA"</formula>
    </cfRule>
  </conditionalFormatting>
  <conditionalFormatting sqref="O2805">
    <cfRule type="expression" dxfId="9973" priority="1633">
      <formula>$H2805="SUBETAPA"</formula>
    </cfRule>
    <cfRule type="expression" dxfId="9972" priority="1634">
      <formula>$H2805="CÉLULA CONSTRUTIVA"</formula>
    </cfRule>
    <cfRule type="expression" dxfId="9971" priority="1635">
      <formula>$H2805="ETAPA"</formula>
    </cfRule>
  </conditionalFormatting>
  <conditionalFormatting sqref="O2806">
    <cfRule type="expression" dxfId="9970" priority="1630">
      <formula>$H2806="SUBETAPA"</formula>
    </cfRule>
    <cfRule type="expression" dxfId="9969" priority="1631">
      <formula>$H2806="CÉLULA CONSTRUTIVA"</formula>
    </cfRule>
    <cfRule type="expression" dxfId="9968" priority="1632">
      <formula>$H2806="ETAPA"</formula>
    </cfRule>
  </conditionalFormatting>
  <conditionalFormatting sqref="O2807">
    <cfRule type="expression" dxfId="9967" priority="1627">
      <formula>$H2807="SUBETAPA"</formula>
    </cfRule>
    <cfRule type="expression" dxfId="9966" priority="1628">
      <formula>$H2807="CÉLULA CONSTRUTIVA"</formula>
    </cfRule>
    <cfRule type="expression" dxfId="9965" priority="1629">
      <formula>$H2807="ETAPA"</formula>
    </cfRule>
  </conditionalFormatting>
  <conditionalFormatting sqref="O2808 H2808 J2808:L2808">
    <cfRule type="expression" dxfId="9964" priority="1626">
      <formula>$H2808="CÉLULA CONSTRUTIVA"</formula>
    </cfRule>
  </conditionalFormatting>
  <conditionalFormatting sqref="O2808">
    <cfRule type="expression" dxfId="9963" priority="1625">
      <formula>$H2808="SUBETAPA"</formula>
    </cfRule>
  </conditionalFormatting>
  <conditionalFormatting sqref="O2810">
    <cfRule type="expression" dxfId="9962" priority="1623">
      <formula>$H2810="ETAPA"</formula>
    </cfRule>
    <cfRule type="expression" dxfId="9961" priority="1624">
      <formula>$H2810="CÉLULA CONSTRUTIVA"</formula>
    </cfRule>
  </conditionalFormatting>
  <conditionalFormatting sqref="O2811">
    <cfRule type="expression" dxfId="9960" priority="1620">
      <formula>$H2811="SUBETAPA"</formula>
    </cfRule>
    <cfRule type="expression" dxfId="9959" priority="1621">
      <formula>$H2811="CÉLULA CONSTRUTIVA"</formula>
    </cfRule>
    <cfRule type="expression" dxfId="9958" priority="1622">
      <formula>$H2811="ETAPA"</formula>
    </cfRule>
  </conditionalFormatting>
  <conditionalFormatting sqref="O2814">
    <cfRule type="expression" dxfId="9957" priority="1675">
      <formula>$H2814="SUBETAPA"</formula>
    </cfRule>
    <cfRule type="expression" dxfId="9956" priority="1676">
      <formula>$H2814="CÉLULA CONSTRUTIVA"</formula>
    </cfRule>
    <cfRule type="expression" dxfId="9955" priority="1677">
      <formula>$H2814="ETAPA"</formula>
    </cfRule>
  </conditionalFormatting>
  <conditionalFormatting sqref="O2815">
    <cfRule type="expression" dxfId="9954" priority="1672">
      <formula>$H2815="SUBETAPA"</formula>
    </cfRule>
    <cfRule type="expression" dxfId="9953" priority="1673">
      <formula>$H2815="CÉLULA CONSTRUTIVA"</formula>
    </cfRule>
    <cfRule type="expression" dxfId="9952" priority="1674">
      <formula>$H2815="ETAPA"</formula>
    </cfRule>
  </conditionalFormatting>
  <conditionalFormatting sqref="O2816">
    <cfRule type="expression" dxfId="9951" priority="1669">
      <formula>$H2816="SUBETAPA"</formula>
    </cfRule>
    <cfRule type="expression" dxfId="9950" priority="1670">
      <formula>$H2816="CÉLULA CONSTRUTIVA"</formula>
    </cfRule>
    <cfRule type="expression" dxfId="9949" priority="1671">
      <formula>$H2816="ETAPA"</formula>
    </cfRule>
  </conditionalFormatting>
  <conditionalFormatting sqref="O2817">
    <cfRule type="expression" dxfId="9948" priority="1665">
      <formula>$H2817="ETAPA"</formula>
    </cfRule>
    <cfRule type="expression" dxfId="9947" priority="1666">
      <formula>$H2817="CÉLULA CONSTRUTIVA"</formula>
    </cfRule>
  </conditionalFormatting>
  <conditionalFormatting sqref="O2818">
    <cfRule type="expression" dxfId="9946" priority="1662">
      <formula>$H2818="SUBETAPA"</formula>
    </cfRule>
    <cfRule type="expression" dxfId="9945" priority="1663">
      <formula>$H2818="CÉLULA CONSTRUTIVA"</formula>
    </cfRule>
    <cfRule type="expression" dxfId="9944" priority="1664">
      <formula>$H2818="ETAPA"</formula>
    </cfRule>
  </conditionalFormatting>
  <conditionalFormatting sqref="O2819 O2828">
    <cfRule type="expression" dxfId="9943" priority="422">
      <formula>$H2819="SUBETAPA"</formula>
    </cfRule>
  </conditionalFormatting>
  <conditionalFormatting sqref="O2819:O2820 O2828">
    <cfRule type="expression" dxfId="9942" priority="393">
      <formula>$H2819="ETAPA"</formula>
    </cfRule>
  </conditionalFormatting>
  <conditionalFormatting sqref="O2820">
    <cfRule type="expression" dxfId="9941" priority="423">
      <formula>$H2820="CÉLULA CONSTRUTIVA"</formula>
    </cfRule>
  </conditionalFormatting>
  <conditionalFormatting sqref="O2821">
    <cfRule type="expression" dxfId="9940" priority="418">
      <formula>$H2821="SUBETAPA"</formula>
    </cfRule>
    <cfRule type="expression" dxfId="9939" priority="419">
      <formula>$H2821="CÉLULA CONSTRUTIVA"</formula>
    </cfRule>
    <cfRule type="expression" dxfId="9938" priority="420">
      <formula>$H2821="ETAPA"</formula>
    </cfRule>
  </conditionalFormatting>
  <conditionalFormatting sqref="O2824">
    <cfRule type="expression" dxfId="9937" priority="412">
      <formula>$H2824="SUBETAPA"</formula>
    </cfRule>
    <cfRule type="expression" dxfId="9936" priority="413">
      <formula>$H2824="CÉLULA CONSTRUTIVA"</formula>
    </cfRule>
    <cfRule type="expression" dxfId="9935" priority="414">
      <formula>$H2824="ETAPA"</formula>
    </cfRule>
  </conditionalFormatting>
  <conditionalFormatting sqref="O2825">
    <cfRule type="expression" dxfId="9934" priority="409">
      <formula>$H2825="SUBETAPA"</formula>
    </cfRule>
    <cfRule type="expression" dxfId="9933" priority="410">
      <formula>$H2825="CÉLULA CONSTRUTIVA"</formula>
    </cfRule>
    <cfRule type="expression" dxfId="9932" priority="411">
      <formula>$H2825="ETAPA"</formula>
    </cfRule>
  </conditionalFormatting>
  <conditionalFormatting sqref="O2826">
    <cfRule type="expression" dxfId="9931" priority="406">
      <formula>$H2826="SUBETAPA"</formula>
    </cfRule>
    <cfRule type="expression" dxfId="9930" priority="407">
      <formula>$H2826="CÉLULA CONSTRUTIVA"</formula>
    </cfRule>
    <cfRule type="expression" dxfId="9929" priority="408">
      <formula>$H2826="ETAPA"</formula>
    </cfRule>
  </conditionalFormatting>
  <conditionalFormatting sqref="O2827">
    <cfRule type="expression" dxfId="9928" priority="403">
      <formula>$H2827="SUBETAPA"</formula>
    </cfRule>
    <cfRule type="expression" dxfId="9927" priority="404">
      <formula>$H2827="CÉLULA CONSTRUTIVA"</formula>
    </cfRule>
    <cfRule type="expression" dxfId="9926" priority="405">
      <formula>$H2827="ETAPA"</formula>
    </cfRule>
  </conditionalFormatting>
  <conditionalFormatting sqref="O2829">
    <cfRule type="expression" dxfId="9925" priority="395">
      <formula>$H2829="SUBETAPA"</formula>
    </cfRule>
    <cfRule type="expression" dxfId="9924" priority="396">
      <formula>$H2829="CÉLULA CONSTRUTIVA"</formula>
    </cfRule>
    <cfRule type="expression" dxfId="9923" priority="397">
      <formula>$H2829="ETAPA"</formula>
    </cfRule>
  </conditionalFormatting>
  <conditionalFormatting sqref="O2830 O2837">
    <cfRule type="expression" dxfId="9922" priority="487">
      <formula>$H2830="SUBETAPA"</formula>
    </cfRule>
  </conditionalFormatting>
  <conditionalFormatting sqref="O2830:O2831 O2837">
    <cfRule type="expression" dxfId="9921" priority="458">
      <formula>$H2830="ETAPA"</formula>
    </cfRule>
  </conditionalFormatting>
  <conditionalFormatting sqref="O2831">
    <cfRule type="expression" dxfId="9920" priority="488">
      <formula>$H2831="CÉLULA CONSTRUTIVA"</formula>
    </cfRule>
  </conditionalFormatting>
  <conditionalFormatting sqref="O2832">
    <cfRule type="expression" dxfId="9919" priority="483">
      <formula>$H2832="SUBETAPA"</formula>
    </cfRule>
    <cfRule type="expression" dxfId="9918" priority="484">
      <formula>$H2832="CÉLULA CONSTRUTIVA"</formula>
    </cfRule>
    <cfRule type="expression" dxfId="9917" priority="485">
      <formula>$H2832="ETAPA"</formula>
    </cfRule>
  </conditionalFormatting>
  <conditionalFormatting sqref="O2835">
    <cfRule type="expression" dxfId="9916" priority="477">
      <formula>$H2835="SUBETAPA"</formula>
    </cfRule>
    <cfRule type="expression" dxfId="9915" priority="478">
      <formula>$H2835="CÉLULA CONSTRUTIVA"</formula>
    </cfRule>
    <cfRule type="expression" dxfId="9914" priority="479">
      <formula>$H2835="ETAPA"</formula>
    </cfRule>
  </conditionalFormatting>
  <conditionalFormatting sqref="O2836">
    <cfRule type="expression" dxfId="9913" priority="474">
      <formula>$H2836="SUBETAPA"</formula>
    </cfRule>
    <cfRule type="expression" dxfId="9912" priority="475">
      <formula>$H2836="CÉLULA CONSTRUTIVA"</formula>
    </cfRule>
    <cfRule type="expression" dxfId="9911" priority="476">
      <formula>$H2836="ETAPA"</formula>
    </cfRule>
  </conditionalFormatting>
  <conditionalFormatting sqref="O2838">
    <cfRule type="expression" dxfId="9910" priority="460">
      <formula>$H2838="SUBETAPA"</formula>
    </cfRule>
    <cfRule type="expression" dxfId="9909" priority="461">
      <formula>$H2838="CÉLULA CONSTRUTIVA"</formula>
    </cfRule>
    <cfRule type="expression" dxfId="9908" priority="462">
      <formula>$H2838="ETAPA"</formula>
    </cfRule>
  </conditionalFormatting>
  <conditionalFormatting sqref="O2839 O2846">
    <cfRule type="expression" dxfId="9907" priority="552">
      <formula>$H2839="SUBETAPA"</formula>
    </cfRule>
  </conditionalFormatting>
  <conditionalFormatting sqref="O2839:O2840 O2846">
    <cfRule type="expression" dxfId="9906" priority="523">
      <formula>$H2839="ETAPA"</formula>
    </cfRule>
  </conditionalFormatting>
  <conditionalFormatting sqref="O2840">
    <cfRule type="expression" dxfId="9905" priority="553">
      <formula>$H2840="CÉLULA CONSTRUTIVA"</formula>
    </cfRule>
  </conditionalFormatting>
  <conditionalFormatting sqref="O2841">
    <cfRule type="expression" dxfId="9904" priority="548">
      <formula>$H2841="SUBETAPA"</formula>
    </cfRule>
    <cfRule type="expression" dxfId="9903" priority="549">
      <formula>$H2841="CÉLULA CONSTRUTIVA"</formula>
    </cfRule>
    <cfRule type="expression" dxfId="9902" priority="550">
      <formula>$H2841="ETAPA"</formula>
    </cfRule>
  </conditionalFormatting>
  <conditionalFormatting sqref="O2844">
    <cfRule type="expression" dxfId="9901" priority="542">
      <formula>$H2844="SUBETAPA"</formula>
    </cfRule>
    <cfRule type="expression" dxfId="9900" priority="543">
      <formula>$H2844="CÉLULA CONSTRUTIVA"</formula>
    </cfRule>
    <cfRule type="expression" dxfId="9899" priority="544">
      <formula>$H2844="ETAPA"</formula>
    </cfRule>
  </conditionalFormatting>
  <conditionalFormatting sqref="O2845">
    <cfRule type="expression" dxfId="9898" priority="539">
      <formula>$H2845="SUBETAPA"</formula>
    </cfRule>
    <cfRule type="expression" dxfId="9897" priority="540">
      <formula>$H2845="CÉLULA CONSTRUTIVA"</formula>
    </cfRule>
    <cfRule type="expression" dxfId="9896" priority="541">
      <formula>$H2845="ETAPA"</formula>
    </cfRule>
  </conditionalFormatting>
  <conditionalFormatting sqref="O2847">
    <cfRule type="expression" dxfId="9895" priority="525">
      <formula>$H2847="SUBETAPA"</formula>
    </cfRule>
    <cfRule type="expression" dxfId="9894" priority="526">
      <formula>$H2847="CÉLULA CONSTRUTIVA"</formula>
    </cfRule>
    <cfRule type="expression" dxfId="9893" priority="527">
      <formula>$H2847="ETAPA"</formula>
    </cfRule>
  </conditionalFormatting>
  <conditionalFormatting sqref="O2848 O2855">
    <cfRule type="expression" dxfId="9892" priority="617">
      <formula>$H2848="SUBETAPA"</formula>
    </cfRule>
  </conditionalFormatting>
  <conditionalFormatting sqref="O2848:O2849 O2855">
    <cfRule type="expression" dxfId="9891" priority="588">
      <formula>$H2848="ETAPA"</formula>
    </cfRule>
  </conditionalFormatting>
  <conditionalFormatting sqref="O2849">
    <cfRule type="expression" dxfId="9890" priority="618">
      <formula>$H2849="CÉLULA CONSTRUTIVA"</formula>
    </cfRule>
  </conditionalFormatting>
  <conditionalFormatting sqref="O2850">
    <cfRule type="expression" dxfId="9889" priority="613">
      <formula>$H2850="SUBETAPA"</formula>
    </cfRule>
    <cfRule type="expression" dxfId="9888" priority="614">
      <formula>$H2850="CÉLULA CONSTRUTIVA"</formula>
    </cfRule>
    <cfRule type="expression" dxfId="9887" priority="615">
      <formula>$H2850="ETAPA"</formula>
    </cfRule>
  </conditionalFormatting>
  <conditionalFormatting sqref="O2853">
    <cfRule type="expression" dxfId="9886" priority="607">
      <formula>$H2853="SUBETAPA"</formula>
    </cfRule>
    <cfRule type="expression" dxfId="9885" priority="608">
      <formula>$H2853="CÉLULA CONSTRUTIVA"</formula>
    </cfRule>
    <cfRule type="expression" dxfId="9884" priority="609">
      <formula>$H2853="ETAPA"</formula>
    </cfRule>
  </conditionalFormatting>
  <conditionalFormatting sqref="O2854">
    <cfRule type="expression" dxfId="9883" priority="604">
      <formula>$H2854="SUBETAPA"</formula>
    </cfRule>
    <cfRule type="expression" dxfId="9882" priority="605">
      <formula>$H2854="CÉLULA CONSTRUTIVA"</formula>
    </cfRule>
    <cfRule type="expression" dxfId="9881" priority="606">
      <formula>$H2854="ETAPA"</formula>
    </cfRule>
  </conditionalFormatting>
  <conditionalFormatting sqref="O2856">
    <cfRule type="expression" dxfId="9880" priority="590">
      <formula>$H2856="SUBETAPA"</formula>
    </cfRule>
    <cfRule type="expression" dxfId="9879" priority="591">
      <formula>$H2856="CÉLULA CONSTRUTIVA"</formula>
    </cfRule>
    <cfRule type="expression" dxfId="9878" priority="592">
      <formula>$H2856="ETAPA"</formula>
    </cfRule>
  </conditionalFormatting>
  <conditionalFormatting sqref="O2857 O2864">
    <cfRule type="expression" dxfId="9877" priority="682">
      <formula>$H2857="SUBETAPA"</formula>
    </cfRule>
  </conditionalFormatting>
  <conditionalFormatting sqref="O2857:O2858 O2864">
    <cfRule type="expression" dxfId="9876" priority="653">
      <formula>$H2857="ETAPA"</formula>
    </cfRule>
  </conditionalFormatting>
  <conditionalFormatting sqref="O2858">
    <cfRule type="expression" dxfId="9875" priority="683">
      <formula>$H2858="CÉLULA CONSTRUTIVA"</formula>
    </cfRule>
  </conditionalFormatting>
  <conditionalFormatting sqref="O2859">
    <cfRule type="expression" dxfId="9874" priority="678">
      <formula>$H2859="SUBETAPA"</formula>
    </cfRule>
    <cfRule type="expression" dxfId="9873" priority="679">
      <formula>$H2859="CÉLULA CONSTRUTIVA"</formula>
    </cfRule>
    <cfRule type="expression" dxfId="9872" priority="680">
      <formula>$H2859="ETAPA"</formula>
    </cfRule>
  </conditionalFormatting>
  <conditionalFormatting sqref="O2862">
    <cfRule type="expression" dxfId="9871" priority="672">
      <formula>$H2862="SUBETAPA"</formula>
    </cfRule>
    <cfRule type="expression" dxfId="9870" priority="673">
      <formula>$H2862="CÉLULA CONSTRUTIVA"</formula>
    </cfRule>
    <cfRule type="expression" dxfId="9869" priority="674">
      <formula>$H2862="ETAPA"</formula>
    </cfRule>
  </conditionalFormatting>
  <conditionalFormatting sqref="O2863">
    <cfRule type="expression" dxfId="9868" priority="669">
      <formula>$H2863="SUBETAPA"</formula>
    </cfRule>
    <cfRule type="expression" dxfId="9867" priority="670">
      <formula>$H2863="CÉLULA CONSTRUTIVA"</formula>
    </cfRule>
    <cfRule type="expression" dxfId="9866" priority="671">
      <formula>$H2863="ETAPA"</formula>
    </cfRule>
  </conditionalFormatting>
  <conditionalFormatting sqref="O2865">
    <cfRule type="expression" dxfId="9865" priority="655">
      <formula>$H2865="SUBETAPA"</formula>
    </cfRule>
    <cfRule type="expression" dxfId="9864" priority="656">
      <formula>$H2865="CÉLULA CONSTRUTIVA"</formula>
    </cfRule>
    <cfRule type="expression" dxfId="9863" priority="657">
      <formula>$H2865="ETAPA"</formula>
    </cfRule>
  </conditionalFormatting>
  <conditionalFormatting sqref="O2866 O2873">
    <cfRule type="expression" dxfId="9862" priority="747">
      <formula>$H2866="SUBETAPA"</formula>
    </cfRule>
  </conditionalFormatting>
  <conditionalFormatting sqref="O2866:O2867 O2873">
    <cfRule type="expression" dxfId="9861" priority="718">
      <formula>$H2866="ETAPA"</formula>
    </cfRule>
  </conditionalFormatting>
  <conditionalFormatting sqref="O2867">
    <cfRule type="expression" dxfId="9860" priority="748">
      <formula>$H2867="CÉLULA CONSTRUTIVA"</formula>
    </cfRule>
  </conditionalFormatting>
  <conditionalFormatting sqref="O2868">
    <cfRule type="expression" dxfId="9859" priority="743">
      <formula>$H2868="SUBETAPA"</formula>
    </cfRule>
    <cfRule type="expression" dxfId="9858" priority="744">
      <formula>$H2868="CÉLULA CONSTRUTIVA"</formula>
    </cfRule>
    <cfRule type="expression" dxfId="9857" priority="745">
      <formula>$H2868="ETAPA"</formula>
    </cfRule>
  </conditionalFormatting>
  <conditionalFormatting sqref="O2871">
    <cfRule type="expression" dxfId="9856" priority="737">
      <formula>$H2871="SUBETAPA"</formula>
    </cfRule>
    <cfRule type="expression" dxfId="9855" priority="738">
      <formula>$H2871="CÉLULA CONSTRUTIVA"</formula>
    </cfRule>
    <cfRule type="expression" dxfId="9854" priority="739">
      <formula>$H2871="ETAPA"</formula>
    </cfRule>
  </conditionalFormatting>
  <conditionalFormatting sqref="O2872">
    <cfRule type="expression" dxfId="9853" priority="734">
      <formula>$H2872="SUBETAPA"</formula>
    </cfRule>
    <cfRule type="expression" dxfId="9852" priority="735">
      <formula>$H2872="CÉLULA CONSTRUTIVA"</formula>
    </cfRule>
    <cfRule type="expression" dxfId="9851" priority="736">
      <formula>$H2872="ETAPA"</formula>
    </cfRule>
  </conditionalFormatting>
  <conditionalFormatting sqref="O2874">
    <cfRule type="expression" dxfId="9850" priority="720">
      <formula>$H2874="SUBETAPA"</formula>
    </cfRule>
    <cfRule type="expression" dxfId="9849" priority="721">
      <formula>$H2874="CÉLULA CONSTRUTIVA"</formula>
    </cfRule>
    <cfRule type="expression" dxfId="9848" priority="722">
      <formula>$H2874="ETAPA"</formula>
    </cfRule>
  </conditionalFormatting>
  <conditionalFormatting sqref="O2875 O2884">
    <cfRule type="expression" dxfId="9847" priority="812">
      <formula>$H2875="SUBETAPA"</formula>
    </cfRule>
  </conditionalFormatting>
  <conditionalFormatting sqref="O2875:O2876 O2884">
    <cfRule type="expression" dxfId="9846" priority="783">
      <formula>$H2875="ETAPA"</formula>
    </cfRule>
  </conditionalFormatting>
  <conditionalFormatting sqref="O2876">
    <cfRule type="expression" dxfId="9845" priority="813">
      <formula>$H2876="CÉLULA CONSTRUTIVA"</formula>
    </cfRule>
  </conditionalFormatting>
  <conditionalFormatting sqref="O2877">
    <cfRule type="expression" dxfId="9844" priority="808">
      <formula>$H2877="SUBETAPA"</formula>
    </cfRule>
    <cfRule type="expression" dxfId="9843" priority="809">
      <formula>$H2877="CÉLULA CONSTRUTIVA"</formula>
    </cfRule>
    <cfRule type="expression" dxfId="9842" priority="810">
      <formula>$H2877="ETAPA"</formula>
    </cfRule>
  </conditionalFormatting>
  <conditionalFormatting sqref="O2880">
    <cfRule type="expression" dxfId="9841" priority="802">
      <formula>$H2880="SUBETAPA"</formula>
    </cfRule>
    <cfRule type="expression" dxfId="9840" priority="803">
      <formula>$H2880="CÉLULA CONSTRUTIVA"</formula>
    </cfRule>
    <cfRule type="expression" dxfId="9839" priority="804">
      <formula>$H2880="ETAPA"</formula>
    </cfRule>
  </conditionalFormatting>
  <conditionalFormatting sqref="O2881">
    <cfRule type="expression" dxfId="9838" priority="799">
      <formula>$H2881="SUBETAPA"</formula>
    </cfRule>
    <cfRule type="expression" dxfId="9837" priority="800">
      <formula>$H2881="CÉLULA CONSTRUTIVA"</formula>
    </cfRule>
    <cfRule type="expression" dxfId="9836" priority="801">
      <formula>$H2881="ETAPA"</formula>
    </cfRule>
  </conditionalFormatting>
  <conditionalFormatting sqref="O2882">
    <cfRule type="expression" dxfId="9835" priority="796">
      <formula>$H2882="SUBETAPA"</formula>
    </cfRule>
    <cfRule type="expression" dxfId="9834" priority="797">
      <formula>$H2882="CÉLULA CONSTRUTIVA"</formula>
    </cfRule>
    <cfRule type="expression" dxfId="9833" priority="798">
      <formula>$H2882="ETAPA"</formula>
    </cfRule>
  </conditionalFormatting>
  <conditionalFormatting sqref="O2883">
    <cfRule type="expression" dxfId="9832" priority="793">
      <formula>$H2883="SUBETAPA"</formula>
    </cfRule>
    <cfRule type="expression" dxfId="9831" priority="794">
      <formula>$H2883="CÉLULA CONSTRUTIVA"</formula>
    </cfRule>
    <cfRule type="expression" dxfId="9830" priority="795">
      <formula>$H2883="ETAPA"</formula>
    </cfRule>
  </conditionalFormatting>
  <conditionalFormatting sqref="O2885">
    <cfRule type="expression" dxfId="9829" priority="785">
      <formula>$H2885="SUBETAPA"</formula>
    </cfRule>
    <cfRule type="expression" dxfId="9828" priority="786">
      <formula>$H2885="CÉLULA CONSTRUTIVA"</formula>
    </cfRule>
    <cfRule type="expression" dxfId="9827" priority="787">
      <formula>$H2885="ETAPA"</formula>
    </cfRule>
  </conditionalFormatting>
  <conditionalFormatting sqref="O2886 O2895">
    <cfRule type="expression" dxfId="9826" priority="877">
      <formula>$H2886="SUBETAPA"</formula>
    </cfRule>
  </conditionalFormatting>
  <conditionalFormatting sqref="O2886:O2887 O2895">
    <cfRule type="expression" dxfId="9825" priority="848">
      <formula>$H2886="ETAPA"</formula>
    </cfRule>
  </conditionalFormatting>
  <conditionalFormatting sqref="O2887">
    <cfRule type="expression" dxfId="9824" priority="878">
      <formula>$H2887="CÉLULA CONSTRUTIVA"</formula>
    </cfRule>
  </conditionalFormatting>
  <conditionalFormatting sqref="O2888">
    <cfRule type="expression" dxfId="9823" priority="873">
      <formula>$H2888="SUBETAPA"</formula>
    </cfRule>
    <cfRule type="expression" dxfId="9822" priority="874">
      <formula>$H2888="CÉLULA CONSTRUTIVA"</formula>
    </cfRule>
    <cfRule type="expression" dxfId="9821" priority="875">
      <formula>$H2888="ETAPA"</formula>
    </cfRule>
  </conditionalFormatting>
  <conditionalFormatting sqref="O2891">
    <cfRule type="expression" dxfId="9820" priority="867">
      <formula>$H2891="SUBETAPA"</formula>
    </cfRule>
    <cfRule type="expression" dxfId="9819" priority="868">
      <formula>$H2891="CÉLULA CONSTRUTIVA"</formula>
    </cfRule>
    <cfRule type="expression" dxfId="9818" priority="869">
      <formula>$H2891="ETAPA"</formula>
    </cfRule>
  </conditionalFormatting>
  <conditionalFormatting sqref="O2892">
    <cfRule type="expression" dxfId="9817" priority="864">
      <formula>$H2892="SUBETAPA"</formula>
    </cfRule>
    <cfRule type="expression" dxfId="9816" priority="865">
      <formula>$H2892="CÉLULA CONSTRUTIVA"</formula>
    </cfRule>
    <cfRule type="expression" dxfId="9815" priority="866">
      <formula>$H2892="ETAPA"</formula>
    </cfRule>
  </conditionalFormatting>
  <conditionalFormatting sqref="O2893">
    <cfRule type="expression" dxfId="9814" priority="861">
      <formula>$H2893="SUBETAPA"</formula>
    </cfRule>
    <cfRule type="expression" dxfId="9813" priority="862">
      <formula>$H2893="CÉLULA CONSTRUTIVA"</formula>
    </cfRule>
    <cfRule type="expression" dxfId="9812" priority="863">
      <formula>$H2893="ETAPA"</formula>
    </cfRule>
  </conditionalFormatting>
  <conditionalFormatting sqref="O2894">
    <cfRule type="expression" dxfId="9811" priority="858">
      <formula>$H2894="SUBETAPA"</formula>
    </cfRule>
    <cfRule type="expression" dxfId="9810" priority="859">
      <formula>$H2894="CÉLULA CONSTRUTIVA"</formula>
    </cfRule>
    <cfRule type="expression" dxfId="9809" priority="860">
      <formula>$H2894="ETAPA"</formula>
    </cfRule>
  </conditionalFormatting>
  <conditionalFormatting sqref="O2896">
    <cfRule type="expression" dxfId="9808" priority="850">
      <formula>$H2896="SUBETAPA"</formula>
    </cfRule>
    <cfRule type="expression" dxfId="9807" priority="851">
      <formula>$H2896="CÉLULA CONSTRUTIVA"</formula>
    </cfRule>
    <cfRule type="expression" dxfId="9806" priority="852">
      <formula>$H2896="ETAPA"</formula>
    </cfRule>
  </conditionalFormatting>
  <conditionalFormatting sqref="O2897 O2904">
    <cfRule type="expression" dxfId="9805" priority="942">
      <formula>$H2897="SUBETAPA"</formula>
    </cfRule>
  </conditionalFormatting>
  <conditionalFormatting sqref="O2897:O2898 O2904">
    <cfRule type="expression" dxfId="9804" priority="913">
      <formula>$H2897="ETAPA"</formula>
    </cfRule>
  </conditionalFormatting>
  <conditionalFormatting sqref="O2898">
    <cfRule type="expression" dxfId="9803" priority="943">
      <formula>$H2898="CÉLULA CONSTRUTIVA"</formula>
    </cfRule>
  </conditionalFormatting>
  <conditionalFormatting sqref="O2899">
    <cfRule type="expression" dxfId="9802" priority="938">
      <formula>$H2899="SUBETAPA"</formula>
    </cfRule>
    <cfRule type="expression" dxfId="9801" priority="939">
      <formula>$H2899="CÉLULA CONSTRUTIVA"</formula>
    </cfRule>
    <cfRule type="expression" dxfId="9800" priority="940">
      <formula>$H2899="ETAPA"</formula>
    </cfRule>
  </conditionalFormatting>
  <conditionalFormatting sqref="O2900">
    <cfRule type="expression" dxfId="9799" priority="935">
      <formula>$H2900="SUBETAPA"</formula>
    </cfRule>
    <cfRule type="expression" dxfId="9798" priority="936">
      <formula>$H2900="CÉLULA CONSTRUTIVA"</formula>
    </cfRule>
    <cfRule type="expression" dxfId="9797" priority="937">
      <formula>$H2900="ETAPA"</formula>
    </cfRule>
  </conditionalFormatting>
  <conditionalFormatting sqref="O2902">
    <cfRule type="expression" dxfId="9796" priority="932">
      <formula>$H2902="SUBETAPA"</formula>
    </cfRule>
    <cfRule type="expression" dxfId="9795" priority="933">
      <formula>$H2902="CÉLULA CONSTRUTIVA"</formula>
    </cfRule>
    <cfRule type="expression" dxfId="9794" priority="934">
      <formula>$H2902="ETAPA"</formula>
    </cfRule>
  </conditionalFormatting>
  <conditionalFormatting sqref="O2903">
    <cfRule type="expression" dxfId="9793" priority="929">
      <formula>$H2903="SUBETAPA"</formula>
    </cfRule>
    <cfRule type="expression" dxfId="9792" priority="930">
      <formula>$H2903="CÉLULA CONSTRUTIVA"</formula>
    </cfRule>
    <cfRule type="expression" dxfId="9791" priority="931">
      <formula>$H2903="ETAPA"</formula>
    </cfRule>
  </conditionalFormatting>
  <conditionalFormatting sqref="O2905">
    <cfRule type="expression" dxfId="9790" priority="915">
      <formula>$H2905="SUBETAPA"</formula>
    </cfRule>
    <cfRule type="expression" dxfId="9789" priority="916">
      <formula>$H2905="CÉLULA CONSTRUTIVA"</formula>
    </cfRule>
    <cfRule type="expression" dxfId="9788" priority="917">
      <formula>$H2905="ETAPA"</formula>
    </cfRule>
  </conditionalFormatting>
  <conditionalFormatting sqref="O2906 O2913">
    <cfRule type="expression" dxfId="9787" priority="1007">
      <formula>$H2906="SUBETAPA"</formula>
    </cfRule>
  </conditionalFormatting>
  <conditionalFormatting sqref="O2906:O2907 O2913">
    <cfRule type="expression" dxfId="9786" priority="978">
      <formula>$H2906="ETAPA"</formula>
    </cfRule>
  </conditionalFormatting>
  <conditionalFormatting sqref="O2907">
    <cfRule type="expression" dxfId="9785" priority="1008">
      <formula>$H2907="CÉLULA CONSTRUTIVA"</formula>
    </cfRule>
  </conditionalFormatting>
  <conditionalFormatting sqref="O2908">
    <cfRule type="expression" dxfId="9784" priority="1003">
      <formula>$H2908="SUBETAPA"</formula>
    </cfRule>
    <cfRule type="expression" dxfId="9783" priority="1004">
      <formula>$H2908="CÉLULA CONSTRUTIVA"</formula>
    </cfRule>
    <cfRule type="expression" dxfId="9782" priority="1005">
      <formula>$H2908="ETAPA"</formula>
    </cfRule>
  </conditionalFormatting>
  <conditionalFormatting sqref="O2909">
    <cfRule type="expression" dxfId="9781" priority="1000">
      <formula>$H2909="SUBETAPA"</formula>
    </cfRule>
    <cfRule type="expression" dxfId="9780" priority="1001">
      <formula>$H2909="CÉLULA CONSTRUTIVA"</formula>
    </cfRule>
    <cfRule type="expression" dxfId="9779" priority="1002">
      <formula>$H2909="ETAPA"</formula>
    </cfRule>
  </conditionalFormatting>
  <conditionalFormatting sqref="O2911">
    <cfRule type="expression" dxfId="9778" priority="997">
      <formula>$H2911="SUBETAPA"</formula>
    </cfRule>
    <cfRule type="expression" dxfId="9777" priority="998">
      <formula>$H2911="CÉLULA CONSTRUTIVA"</formula>
    </cfRule>
    <cfRule type="expression" dxfId="9776" priority="999">
      <formula>$H2911="ETAPA"</formula>
    </cfRule>
  </conditionalFormatting>
  <conditionalFormatting sqref="O2912">
    <cfRule type="expression" dxfId="9775" priority="994">
      <formula>$H2912="SUBETAPA"</formula>
    </cfRule>
    <cfRule type="expression" dxfId="9774" priority="995">
      <formula>$H2912="CÉLULA CONSTRUTIVA"</formula>
    </cfRule>
    <cfRule type="expression" dxfId="9773" priority="996">
      <formula>$H2912="ETAPA"</formula>
    </cfRule>
  </conditionalFormatting>
  <conditionalFormatting sqref="O2914">
    <cfRule type="expression" dxfId="9772" priority="980">
      <formula>$H2914="SUBETAPA"</formula>
    </cfRule>
    <cfRule type="expression" dxfId="9771" priority="981">
      <formula>$H2914="CÉLULA CONSTRUTIVA"</formula>
    </cfRule>
    <cfRule type="expression" dxfId="9770" priority="982">
      <formula>$H2914="ETAPA"</formula>
    </cfRule>
  </conditionalFormatting>
  <conditionalFormatting sqref="O2915 O2922">
    <cfRule type="expression" dxfId="9769" priority="1072">
      <formula>$H2915="SUBETAPA"</formula>
    </cfRule>
  </conditionalFormatting>
  <conditionalFormatting sqref="O2915:O2916 O2922">
    <cfRule type="expression" dxfId="9768" priority="1043">
      <formula>$H2915="ETAPA"</formula>
    </cfRule>
  </conditionalFormatting>
  <conditionalFormatting sqref="O2916">
    <cfRule type="expression" dxfId="9767" priority="1073">
      <formula>$H2916="CÉLULA CONSTRUTIVA"</formula>
    </cfRule>
  </conditionalFormatting>
  <conditionalFormatting sqref="O2917">
    <cfRule type="expression" dxfId="9766" priority="1068">
      <formula>$H2917="SUBETAPA"</formula>
    </cfRule>
    <cfRule type="expression" dxfId="9765" priority="1069">
      <formula>$H2917="CÉLULA CONSTRUTIVA"</formula>
    </cfRule>
    <cfRule type="expression" dxfId="9764" priority="1070">
      <formula>$H2917="ETAPA"</formula>
    </cfRule>
  </conditionalFormatting>
  <conditionalFormatting sqref="O2918">
    <cfRule type="expression" dxfId="9763" priority="1065">
      <formula>$H2918="SUBETAPA"</formula>
    </cfRule>
    <cfRule type="expression" dxfId="9762" priority="1066">
      <formula>$H2918="CÉLULA CONSTRUTIVA"</formula>
    </cfRule>
    <cfRule type="expression" dxfId="9761" priority="1067">
      <formula>$H2918="ETAPA"</formula>
    </cfRule>
  </conditionalFormatting>
  <conditionalFormatting sqref="O2920">
    <cfRule type="expression" dxfId="9760" priority="1062">
      <formula>$H2920="SUBETAPA"</formula>
    </cfRule>
    <cfRule type="expression" dxfId="9759" priority="1063">
      <formula>$H2920="CÉLULA CONSTRUTIVA"</formula>
    </cfRule>
    <cfRule type="expression" dxfId="9758" priority="1064">
      <formula>$H2920="ETAPA"</formula>
    </cfRule>
  </conditionalFormatting>
  <conditionalFormatting sqref="O2921">
    <cfRule type="expression" dxfId="9757" priority="1059">
      <formula>$H2921="SUBETAPA"</formula>
    </cfRule>
    <cfRule type="expression" dxfId="9756" priority="1060">
      <formula>$H2921="CÉLULA CONSTRUTIVA"</formula>
    </cfRule>
    <cfRule type="expression" dxfId="9755" priority="1061">
      <formula>$H2921="ETAPA"</formula>
    </cfRule>
  </conditionalFormatting>
  <conditionalFormatting sqref="O2923">
    <cfRule type="expression" dxfId="9754" priority="1045">
      <formula>$H2923="SUBETAPA"</formula>
    </cfRule>
    <cfRule type="expression" dxfId="9753" priority="1046">
      <formula>$H2923="CÉLULA CONSTRUTIVA"</formula>
    </cfRule>
    <cfRule type="expression" dxfId="9752" priority="1047">
      <formula>$H2923="ETAPA"</formula>
    </cfRule>
  </conditionalFormatting>
  <conditionalFormatting sqref="O2924 O2931">
    <cfRule type="expression" dxfId="9751" priority="1137">
      <formula>$H2924="SUBETAPA"</formula>
    </cfRule>
  </conditionalFormatting>
  <conditionalFormatting sqref="O2924:O2925 O2931">
    <cfRule type="expression" dxfId="9750" priority="1108">
      <formula>$H2924="ETAPA"</formula>
    </cfRule>
  </conditionalFormatting>
  <conditionalFormatting sqref="O2925">
    <cfRule type="expression" dxfId="9749" priority="1138">
      <formula>$H2925="CÉLULA CONSTRUTIVA"</formula>
    </cfRule>
  </conditionalFormatting>
  <conditionalFormatting sqref="O2926">
    <cfRule type="expression" dxfId="9748" priority="1133">
      <formula>$H2926="SUBETAPA"</formula>
    </cfRule>
    <cfRule type="expression" dxfId="9747" priority="1134">
      <formula>$H2926="CÉLULA CONSTRUTIVA"</formula>
    </cfRule>
    <cfRule type="expression" dxfId="9746" priority="1135">
      <formula>$H2926="ETAPA"</formula>
    </cfRule>
  </conditionalFormatting>
  <conditionalFormatting sqref="O2927">
    <cfRule type="expression" dxfId="9745" priority="1130">
      <formula>$H2927="SUBETAPA"</formula>
    </cfRule>
    <cfRule type="expression" dxfId="9744" priority="1131">
      <formula>$H2927="CÉLULA CONSTRUTIVA"</formula>
    </cfRule>
    <cfRule type="expression" dxfId="9743" priority="1132">
      <formula>$H2927="ETAPA"</formula>
    </cfRule>
  </conditionalFormatting>
  <conditionalFormatting sqref="O2929">
    <cfRule type="expression" dxfId="9742" priority="1127">
      <formula>$H2929="SUBETAPA"</formula>
    </cfRule>
    <cfRule type="expression" dxfId="9741" priority="1128">
      <formula>$H2929="CÉLULA CONSTRUTIVA"</formula>
    </cfRule>
    <cfRule type="expression" dxfId="9740" priority="1129">
      <formula>$H2929="ETAPA"</formula>
    </cfRule>
  </conditionalFormatting>
  <conditionalFormatting sqref="O2930">
    <cfRule type="expression" dxfId="9739" priority="1124">
      <formula>$H2930="SUBETAPA"</formula>
    </cfRule>
    <cfRule type="expression" dxfId="9738" priority="1125">
      <formula>$H2930="CÉLULA CONSTRUTIVA"</formula>
    </cfRule>
    <cfRule type="expression" dxfId="9737" priority="1126">
      <formula>$H2930="ETAPA"</formula>
    </cfRule>
  </conditionalFormatting>
  <conditionalFormatting sqref="O2932">
    <cfRule type="expression" dxfId="9736" priority="1110">
      <formula>$H2932="SUBETAPA"</formula>
    </cfRule>
    <cfRule type="expression" dxfId="9735" priority="1111">
      <formula>$H2932="CÉLULA CONSTRUTIVA"</formula>
    </cfRule>
    <cfRule type="expression" dxfId="9734" priority="1112">
      <formula>$H2932="ETAPA"</formula>
    </cfRule>
  </conditionalFormatting>
  <conditionalFormatting sqref="O2933 O2942">
    <cfRule type="expression" dxfId="9733" priority="1202">
      <formula>$H2933="SUBETAPA"</formula>
    </cfRule>
  </conditionalFormatting>
  <conditionalFormatting sqref="O2933:O2934 O2942">
    <cfRule type="expression" dxfId="9732" priority="1173">
      <formula>$H2933="ETAPA"</formula>
    </cfRule>
  </conditionalFormatting>
  <conditionalFormatting sqref="O2934">
    <cfRule type="expression" dxfId="9731" priority="1203">
      <formula>$H2934="CÉLULA CONSTRUTIVA"</formula>
    </cfRule>
  </conditionalFormatting>
  <conditionalFormatting sqref="O2935">
    <cfRule type="expression" dxfId="9730" priority="1198">
      <formula>$H2935="SUBETAPA"</formula>
    </cfRule>
    <cfRule type="expression" dxfId="9729" priority="1199">
      <formula>$H2935="CÉLULA CONSTRUTIVA"</formula>
    </cfRule>
    <cfRule type="expression" dxfId="9728" priority="1200">
      <formula>$H2935="ETAPA"</formula>
    </cfRule>
  </conditionalFormatting>
  <conditionalFormatting sqref="O2936">
    <cfRule type="expression" dxfId="9727" priority="1195">
      <formula>$H2936="SUBETAPA"</formula>
    </cfRule>
    <cfRule type="expression" dxfId="9726" priority="1196">
      <formula>$H2936="CÉLULA CONSTRUTIVA"</formula>
    </cfRule>
    <cfRule type="expression" dxfId="9725" priority="1197">
      <formula>$H2936="ETAPA"</formula>
    </cfRule>
  </conditionalFormatting>
  <conditionalFormatting sqref="O2938">
    <cfRule type="expression" dxfId="9724" priority="1192">
      <formula>$H2938="SUBETAPA"</formula>
    </cfRule>
    <cfRule type="expression" dxfId="9723" priority="1193">
      <formula>$H2938="CÉLULA CONSTRUTIVA"</formula>
    </cfRule>
    <cfRule type="expression" dxfId="9722" priority="1194">
      <formula>$H2938="ETAPA"</formula>
    </cfRule>
  </conditionalFormatting>
  <conditionalFormatting sqref="O2939">
    <cfRule type="expression" dxfId="9721" priority="1189">
      <formula>$H2939="SUBETAPA"</formula>
    </cfRule>
    <cfRule type="expression" dxfId="9720" priority="1190">
      <formula>$H2939="CÉLULA CONSTRUTIVA"</formula>
    </cfRule>
    <cfRule type="expression" dxfId="9719" priority="1191">
      <formula>$H2939="ETAPA"</formula>
    </cfRule>
  </conditionalFormatting>
  <conditionalFormatting sqref="O2940">
    <cfRule type="expression" dxfId="9718" priority="1186">
      <formula>$H2940="SUBETAPA"</formula>
    </cfRule>
    <cfRule type="expression" dxfId="9717" priority="1187">
      <formula>$H2940="CÉLULA CONSTRUTIVA"</formula>
    </cfRule>
    <cfRule type="expression" dxfId="9716" priority="1188">
      <formula>$H2940="ETAPA"</formula>
    </cfRule>
  </conditionalFormatting>
  <conditionalFormatting sqref="O2941">
    <cfRule type="expression" dxfId="9715" priority="1183">
      <formula>$H2941="SUBETAPA"</formula>
    </cfRule>
    <cfRule type="expression" dxfId="9714" priority="1184">
      <formula>$H2941="CÉLULA CONSTRUTIVA"</formula>
    </cfRule>
    <cfRule type="expression" dxfId="9713" priority="1185">
      <formula>$H2941="ETAPA"</formula>
    </cfRule>
  </conditionalFormatting>
  <conditionalFormatting sqref="O2943">
    <cfRule type="expression" dxfId="9712" priority="1175">
      <formula>$H2943="SUBETAPA"</formula>
    </cfRule>
    <cfRule type="expression" dxfId="9711" priority="1176">
      <formula>$H2943="CÉLULA CONSTRUTIVA"</formula>
    </cfRule>
    <cfRule type="expression" dxfId="9710" priority="1177">
      <formula>$H2943="ETAPA"</formula>
    </cfRule>
  </conditionalFormatting>
  <conditionalFormatting sqref="O2944 O2952">
    <cfRule type="expression" dxfId="9709" priority="1267">
      <formula>$H2944="SUBETAPA"</formula>
    </cfRule>
  </conditionalFormatting>
  <conditionalFormatting sqref="O2944:O2945 O2952">
    <cfRule type="expression" dxfId="9708" priority="1238">
      <formula>$H2944="ETAPA"</formula>
    </cfRule>
  </conditionalFormatting>
  <conditionalFormatting sqref="O2945">
    <cfRule type="expression" dxfId="9707" priority="1268">
      <formula>$H2945="CÉLULA CONSTRUTIVA"</formula>
    </cfRule>
  </conditionalFormatting>
  <conditionalFormatting sqref="O2946">
    <cfRule type="expression" dxfId="9706" priority="1263">
      <formula>$H2946="SUBETAPA"</formula>
    </cfRule>
    <cfRule type="expression" dxfId="9705" priority="1264">
      <formula>$H2946="CÉLULA CONSTRUTIVA"</formula>
    </cfRule>
    <cfRule type="expression" dxfId="9704" priority="1265">
      <formula>$H2946="ETAPA"</formula>
    </cfRule>
  </conditionalFormatting>
  <conditionalFormatting sqref="O2947">
    <cfRule type="expression" dxfId="9703" priority="1260">
      <formula>$H2947="SUBETAPA"</formula>
    </cfRule>
    <cfRule type="expression" dxfId="9702" priority="1261">
      <formula>$H2947="CÉLULA CONSTRUTIVA"</formula>
    </cfRule>
    <cfRule type="expression" dxfId="9701" priority="1262">
      <formula>$H2947="ETAPA"</formula>
    </cfRule>
  </conditionalFormatting>
  <conditionalFormatting sqref="O2948">
    <cfRule type="expression" dxfId="9700" priority="1251">
      <formula>$H2948="SUBETAPA"</formula>
    </cfRule>
    <cfRule type="expression" dxfId="9699" priority="1252">
      <formula>$H2948="CÉLULA CONSTRUTIVA"</formula>
    </cfRule>
    <cfRule type="expression" dxfId="9698" priority="1253">
      <formula>$H2948="ETAPA"</formula>
    </cfRule>
  </conditionalFormatting>
  <conditionalFormatting sqref="O2949">
    <cfRule type="expression" dxfId="9697" priority="1248">
      <formula>$H2949="SUBETAPA"</formula>
    </cfRule>
    <cfRule type="expression" dxfId="9696" priority="1249">
      <formula>$H2949="CÉLULA CONSTRUTIVA"</formula>
    </cfRule>
    <cfRule type="expression" dxfId="9695" priority="1250">
      <formula>$H2949="ETAPA"</formula>
    </cfRule>
  </conditionalFormatting>
  <conditionalFormatting sqref="O2950">
    <cfRule type="expression" dxfId="9694" priority="1245">
      <formula>$H2950="SUBETAPA"</formula>
    </cfRule>
    <cfRule type="expression" dxfId="9693" priority="1246">
      <formula>$H2950="CÉLULA CONSTRUTIVA"</formula>
    </cfRule>
    <cfRule type="expression" dxfId="9692" priority="1247">
      <formula>$H2950="ETAPA"</formula>
    </cfRule>
  </conditionalFormatting>
  <conditionalFormatting sqref="O2951">
    <cfRule type="expression" dxfId="9691" priority="1243">
      <formula>$H2951="SUBETAPA"</formula>
    </cfRule>
    <cfRule type="expression" dxfId="9690" priority="1244">
      <formula>$H2951="CÉLULA CONSTRUTIVA"</formula>
    </cfRule>
  </conditionalFormatting>
  <conditionalFormatting sqref="O2953">
    <cfRule type="expression" dxfId="9689" priority="1240">
      <formula>$H2953="SUBETAPA"</formula>
    </cfRule>
    <cfRule type="expression" dxfId="9688" priority="1241">
      <formula>$H2953="CÉLULA CONSTRUTIVA"</formula>
    </cfRule>
    <cfRule type="expression" dxfId="9687" priority="1242">
      <formula>$H2953="ETAPA"</formula>
    </cfRule>
  </conditionalFormatting>
  <conditionalFormatting sqref="O2954">
    <cfRule type="expression" dxfId="9686" priority="59924">
      <formula>$H2954="ETAPA"</formula>
    </cfRule>
    <cfRule type="expression" dxfId="9685" priority="59925">
      <formula>$H2954="SUBETAPA"</formula>
    </cfRule>
    <cfRule type="expression" dxfId="9684" priority="59926">
      <formula>$H2954="CÉLULA CONSTRUTIVA"</formula>
    </cfRule>
  </conditionalFormatting>
  <conditionalFormatting sqref="O2955:O2956 O2958 O2965 O2970 O2975 O2980 O2985 O2992 O2999 O3002:O3006 O3008 O3015 O3022 O3029 O3036:O3037 O3041 O3050:O3051 O3053 O3067 O3076:O3078 O3081:O3082 O3084 O3091 O3100:O3101 O3103 O3112 O3123:O3124 O3126 O3136 O3147:O3148 O3150:O3151 O3156:O3157 O3159:O3161 O3166:O3168 O3171:O3172">
    <cfRule type="expression" dxfId="9683" priority="83627">
      <formula>$H2955="ETAPA"</formula>
    </cfRule>
  </conditionalFormatting>
  <conditionalFormatting sqref="O2957">
    <cfRule type="expression" dxfId="9682" priority="66712">
      <formula>$H2957="ETAPA"</formula>
    </cfRule>
    <cfRule type="expression" dxfId="9681" priority="66713">
      <formula>$H2957="SUBETAPA"</formula>
    </cfRule>
  </conditionalFormatting>
  <conditionalFormatting sqref="O2959 O3054 O3104 O3085">
    <cfRule type="expression" dxfId="9680" priority="66714">
      <formula>$H2959="CÉLULA CONSTRUTIVA"</formula>
    </cfRule>
    <cfRule type="expression" dxfId="9679" priority="66715">
      <formula>$H2959="SUBETAPA"</formula>
    </cfRule>
  </conditionalFormatting>
  <conditionalFormatting sqref="O2959:O2960">
    <cfRule type="expression" dxfId="9678" priority="66705">
      <formula>$H2959="ETAPA"</formula>
    </cfRule>
  </conditionalFormatting>
  <conditionalFormatting sqref="O2960">
    <cfRule type="expression" dxfId="9677" priority="66704">
      <formula>$H2960="CÉLULA CONSTRUTIVA"</formula>
    </cfRule>
  </conditionalFormatting>
  <conditionalFormatting sqref="O2966">
    <cfRule type="expression" dxfId="9676" priority="65564">
      <formula>$H2966="ETAPA"</formula>
    </cfRule>
    <cfRule type="expression" dxfId="9675" priority="65570">
      <formula>$H2966="CÉLULA CONSTRUTIVA"</formula>
    </cfRule>
    <cfRule type="expression" dxfId="9674" priority="65571">
      <formula>$H2966="SUBETAPA"</formula>
    </cfRule>
  </conditionalFormatting>
  <conditionalFormatting sqref="O2971">
    <cfRule type="expression" dxfId="9673" priority="65166">
      <formula>$H2971="ETAPA"</formula>
    </cfRule>
    <cfRule type="expression" dxfId="9672" priority="65172">
      <formula>$H2971="CÉLULA CONSTRUTIVA"</formula>
    </cfRule>
    <cfRule type="expression" dxfId="9671" priority="65173">
      <formula>$H2971="SUBETAPA"</formula>
    </cfRule>
  </conditionalFormatting>
  <conditionalFormatting sqref="O2976">
    <cfRule type="expression" dxfId="9670" priority="65270">
      <formula>$H2976="ETAPA"</formula>
    </cfRule>
    <cfRule type="expression" dxfId="9669" priority="65276">
      <formula>$H2976="CÉLULA CONSTRUTIVA"</formula>
    </cfRule>
    <cfRule type="expression" dxfId="9668" priority="65277">
      <formula>$H2976="SUBETAPA"</formula>
    </cfRule>
  </conditionalFormatting>
  <conditionalFormatting sqref="O2981">
    <cfRule type="expression" dxfId="9667" priority="65365">
      <formula>$H2981="ETAPA"</formula>
    </cfRule>
    <cfRule type="expression" dxfId="9666" priority="65371">
      <formula>$H2981="CÉLULA CONSTRUTIVA"</formula>
    </cfRule>
    <cfRule type="expression" dxfId="9665" priority="65372">
      <formula>$H2981="SUBETAPA"</formula>
    </cfRule>
  </conditionalFormatting>
  <conditionalFormatting sqref="O2986">
    <cfRule type="expression" dxfId="9664" priority="65469">
      <formula>$H2986="ETAPA"</formula>
    </cfRule>
    <cfRule type="expression" dxfId="9663" priority="65475">
      <formula>$H2986="CÉLULA CONSTRUTIVA"</formula>
    </cfRule>
    <cfRule type="expression" dxfId="9662" priority="65476">
      <formula>$H2986="SUBETAPA"</formula>
    </cfRule>
  </conditionalFormatting>
  <conditionalFormatting sqref="O2991">
    <cfRule type="expression" dxfId="9661" priority="65684">
      <formula>$H2991="ETAPA"</formula>
    </cfRule>
    <cfRule type="expression" dxfId="9660" priority="65685">
      <formula>$H2991="SUBETAPA"</formula>
    </cfRule>
  </conditionalFormatting>
  <conditionalFormatting sqref="O2993">
    <cfRule type="expression" dxfId="9659" priority="65680">
      <formula>$H2993="ETAPA"</formula>
    </cfRule>
    <cfRule type="expression" dxfId="9658" priority="65686">
      <formula>$H2993="CÉLULA CONSTRUTIVA"</formula>
    </cfRule>
    <cfRule type="expression" dxfId="9657" priority="65687">
      <formula>$H2993="SUBETAPA"</formula>
    </cfRule>
  </conditionalFormatting>
  <conditionalFormatting sqref="O2998">
    <cfRule type="expression" dxfId="9656" priority="66198">
      <formula>$H2998="ETAPA"</formula>
    </cfRule>
    <cfRule type="expression" dxfId="9655" priority="66199">
      <formula>$H2998="SUBETAPA"</formula>
    </cfRule>
  </conditionalFormatting>
  <conditionalFormatting sqref="O3000">
    <cfRule type="expression" dxfId="9654" priority="66200">
      <formula>$H3000="CÉLULA CONSTRUTIVA"</formula>
    </cfRule>
    <cfRule type="expression" dxfId="9653" priority="66201">
      <formula>$H3000="SUBETAPA"</formula>
    </cfRule>
  </conditionalFormatting>
  <conditionalFormatting sqref="O3000:O3001">
    <cfRule type="expression" dxfId="9652" priority="66191">
      <formula>$H3000="ETAPA"</formula>
    </cfRule>
  </conditionalFormatting>
  <conditionalFormatting sqref="O3001">
    <cfRule type="expression" dxfId="9651" priority="66190">
      <formula>$H3001="CÉLULA CONSTRUTIVA"</formula>
    </cfRule>
  </conditionalFormatting>
  <conditionalFormatting sqref="O3007">
    <cfRule type="expression" dxfId="9650" priority="65800">
      <formula>$H3007="ETAPA"</formula>
    </cfRule>
    <cfRule type="expression" dxfId="9649" priority="65801">
      <formula>$H3007="SUBETAPA"</formula>
    </cfRule>
  </conditionalFormatting>
  <conditionalFormatting sqref="O3009">
    <cfRule type="expression" dxfId="9648" priority="65796">
      <formula>$H3009="ETAPA"</formula>
    </cfRule>
    <cfRule type="expression" dxfId="9647" priority="65802">
      <formula>$H3009="CÉLULA CONSTRUTIVA"</formula>
    </cfRule>
    <cfRule type="expression" dxfId="9646" priority="65803">
      <formula>$H3009="SUBETAPA"</formula>
    </cfRule>
  </conditionalFormatting>
  <conditionalFormatting sqref="O3014">
    <cfRule type="expression" dxfId="9645" priority="65904">
      <formula>$H3014="ETAPA"</formula>
    </cfRule>
    <cfRule type="expression" dxfId="9644" priority="65905">
      <formula>$H3014="SUBETAPA"</formula>
    </cfRule>
  </conditionalFormatting>
  <conditionalFormatting sqref="O3016">
    <cfRule type="expression" dxfId="9643" priority="65900">
      <formula>$H3016="ETAPA"</formula>
    </cfRule>
    <cfRule type="expression" dxfId="9642" priority="65906">
      <formula>$H3016="CÉLULA CONSTRUTIVA"</formula>
    </cfRule>
    <cfRule type="expression" dxfId="9641" priority="65907">
      <formula>$H3016="SUBETAPA"</formula>
    </cfRule>
  </conditionalFormatting>
  <conditionalFormatting sqref="O3021">
    <cfRule type="expression" dxfId="9640" priority="65999">
      <formula>$H3021="ETAPA"</formula>
    </cfRule>
    <cfRule type="expression" dxfId="9639" priority="66000">
      <formula>$H3021="SUBETAPA"</formula>
    </cfRule>
  </conditionalFormatting>
  <conditionalFormatting sqref="O3023">
    <cfRule type="expression" dxfId="9638" priority="65995">
      <formula>$H3023="ETAPA"</formula>
    </cfRule>
    <cfRule type="expression" dxfId="9637" priority="66001">
      <formula>$H3023="CÉLULA CONSTRUTIVA"</formula>
    </cfRule>
    <cfRule type="expression" dxfId="9636" priority="66002">
      <formula>$H3023="SUBETAPA"</formula>
    </cfRule>
  </conditionalFormatting>
  <conditionalFormatting sqref="O3028">
    <cfRule type="expression" dxfId="9635" priority="66103">
      <formula>$H3028="ETAPA"</formula>
    </cfRule>
    <cfRule type="expression" dxfId="9634" priority="66104">
      <formula>$H3028="SUBETAPA"</formula>
    </cfRule>
  </conditionalFormatting>
  <conditionalFormatting sqref="O3030">
    <cfRule type="expression" dxfId="9633" priority="66099">
      <formula>$H3030="ETAPA"</formula>
    </cfRule>
    <cfRule type="expression" dxfId="9632" priority="66105">
      <formula>$H3030="CÉLULA CONSTRUTIVA"</formula>
    </cfRule>
    <cfRule type="expression" dxfId="9631" priority="66106">
      <formula>$H3030="SUBETAPA"</formula>
    </cfRule>
  </conditionalFormatting>
  <conditionalFormatting sqref="O3035 O3048 O3125 O3135 O3142 O3149 O3155 O3162 O3170">
    <cfRule type="expression" dxfId="9630" priority="83636">
      <formula>$H3035="ETAPA"</formula>
    </cfRule>
    <cfRule type="expression" dxfId="9629" priority="83639">
      <formula>$H3035="SUBETAPA"</formula>
    </cfRule>
  </conditionalFormatting>
  <conditionalFormatting sqref="O3037 O3145 M3151 M3157 M3164 M3172 O3172 O3164 O3157 O3151">
    <cfRule type="expression" dxfId="9628" priority="83646">
      <formula>$H3037="CÉLULA CONSTRUTIVA"</formula>
    </cfRule>
  </conditionalFormatting>
  <conditionalFormatting sqref="O3037 O3145 O3151 O3157 O3164 O3172">
    <cfRule type="expression" dxfId="9627" priority="83647">
      <formula>$H3037="SUBETAPA"</formula>
    </cfRule>
  </conditionalFormatting>
  <conditionalFormatting sqref="O3042">
    <cfRule type="expression" dxfId="9626" priority="66310">
      <formula>$H3042="ETAPA"</formula>
    </cfRule>
    <cfRule type="expression" dxfId="9625" priority="66316">
      <formula>$H3042="CÉLULA CONSTRUTIVA"</formula>
    </cfRule>
    <cfRule type="expression" dxfId="9624" priority="66317">
      <formula>$H3042="SUBETAPA"</formula>
    </cfRule>
  </conditionalFormatting>
  <conditionalFormatting sqref="O3045">
    <cfRule type="expression" dxfId="9623" priority="59921">
      <formula>$H3045="ETAPA"</formula>
    </cfRule>
    <cfRule type="expression" dxfId="9622" priority="59922">
      <formula>$H3045="SUBETAPA"</formula>
    </cfRule>
    <cfRule type="expression" dxfId="9621" priority="59923">
      <formula>$H3045="CÉLULA CONSTRUTIVA"</formula>
    </cfRule>
  </conditionalFormatting>
  <conditionalFormatting sqref="O3049">
    <cfRule type="expression" dxfId="9620" priority="59918">
      <formula>$H3049="ETAPA"</formula>
    </cfRule>
    <cfRule type="expression" dxfId="9619" priority="59919">
      <formula>$H3049="SUBETAPA"</formula>
    </cfRule>
    <cfRule type="expression" dxfId="9618" priority="59920">
      <formula>$H3049="CÉLULA CONSTRUTIVA"</formula>
    </cfRule>
  </conditionalFormatting>
  <conditionalFormatting sqref="O3052 O3066 O3075">
    <cfRule type="expression" dxfId="9617" priority="61056">
      <formula>$H3052="ETAPA"</formula>
    </cfRule>
    <cfRule type="expression" dxfId="9616" priority="61057">
      <formula>$H3052="SUBETAPA"</formula>
    </cfRule>
  </conditionalFormatting>
  <conditionalFormatting sqref="O3054:O3055 O3059">
    <cfRule type="expression" dxfId="9615" priority="61049">
      <formula>$H3054="ETAPA"</formula>
    </cfRule>
  </conditionalFormatting>
  <conditionalFormatting sqref="O3055 O3059">
    <cfRule type="expression" dxfId="9614" priority="61048">
      <formula>$H3055="CÉLULA CONSTRUTIVA"</formula>
    </cfRule>
  </conditionalFormatting>
  <conditionalFormatting sqref="O3056:O3058 O3060:O3063">
    <cfRule type="expression" dxfId="9613" priority="61045">
      <formula>$H3056="ETAPA"</formula>
    </cfRule>
  </conditionalFormatting>
  <conditionalFormatting sqref="O3060:O3062 O3056:O3058">
    <cfRule type="expression" dxfId="9612" priority="61043">
      <formula>$H3056="SUBETAPA"</formula>
    </cfRule>
    <cfRule type="expression" dxfId="9611" priority="61044">
      <formula>$H3056="CÉLULA CONSTRUTIVA"</formula>
    </cfRule>
  </conditionalFormatting>
  <conditionalFormatting sqref="O3064:O3065">
    <cfRule type="expression" dxfId="9610" priority="60187">
      <formula>$H3064="SUBETAPA"</formula>
    </cfRule>
    <cfRule type="expression" dxfId="9609" priority="60188">
      <formula>$H3064="CÉLULA CONSTRUTIVA"</formula>
    </cfRule>
    <cfRule type="expression" dxfId="9608" priority="60189">
      <formula>$H3064="ETAPA"</formula>
    </cfRule>
  </conditionalFormatting>
  <conditionalFormatting sqref="O3068">
    <cfRule type="expression" dxfId="9607" priority="4084">
      <formula>$H3068="ETAPA"</formula>
    </cfRule>
    <cfRule type="expression" dxfId="9606" priority="4085">
      <formula>$H3068="CÉLULA CONSTRUTIVA"</formula>
    </cfRule>
    <cfRule type="expression" dxfId="9605" priority="4086">
      <formula>$H3068="SUBETAPA"</formula>
    </cfRule>
  </conditionalFormatting>
  <conditionalFormatting sqref="O3069 O3079:O3080">
    <cfRule type="expression" dxfId="9604" priority="61052">
      <formula>$H3069="ETAPA"</formula>
    </cfRule>
    <cfRule type="expression" dxfId="9603" priority="61058">
      <formula>$H3069="CÉLULA CONSTRUTIVA"</formula>
    </cfRule>
    <cfRule type="expression" dxfId="9602" priority="61059">
      <formula>$H3069="SUBETAPA"</formula>
    </cfRule>
  </conditionalFormatting>
  <conditionalFormatting sqref="O3083 O3097">
    <cfRule type="expression" dxfId="9601" priority="61302">
      <formula>$H3083="ETAPA"</formula>
    </cfRule>
    <cfRule type="expression" dxfId="9600" priority="61303">
      <formula>$H3083="SUBETAPA"</formula>
    </cfRule>
  </conditionalFormatting>
  <conditionalFormatting sqref="O3085:O3086">
    <cfRule type="expression" dxfId="9599" priority="61295">
      <formula>$H3085="ETAPA"</formula>
    </cfRule>
  </conditionalFormatting>
  <conditionalFormatting sqref="O3086">
    <cfRule type="expression" dxfId="9598" priority="61294">
      <formula>$H3086="CÉLULA CONSTRUTIVA"</formula>
    </cfRule>
  </conditionalFormatting>
  <conditionalFormatting sqref="O3089">
    <cfRule type="expression" dxfId="9597" priority="4173">
      <formula>$H3089="ETAPA"</formula>
    </cfRule>
    <cfRule type="expression" dxfId="9596" priority="4174">
      <formula>$H3089="SUBETAPA"</formula>
    </cfRule>
  </conditionalFormatting>
  <conditionalFormatting sqref="O3090">
    <cfRule type="expression" dxfId="9595" priority="4167">
      <formula>$H3090="SUBETAPA"</formula>
    </cfRule>
    <cfRule type="expression" dxfId="9594" priority="4168">
      <formula>$H3090="CÉLULA CONSTRUTIVA"</formula>
    </cfRule>
    <cfRule type="expression" dxfId="9593" priority="4169">
      <formula>$H3090="ETAPA"</formula>
    </cfRule>
  </conditionalFormatting>
  <conditionalFormatting sqref="O3092">
    <cfRule type="expression" dxfId="9592" priority="4087">
      <formula>$H3092="ETAPA"</formula>
    </cfRule>
    <cfRule type="expression" dxfId="9591" priority="4088">
      <formula>$H3092="CÉLULA CONSTRUTIVA"</formula>
    </cfRule>
    <cfRule type="expression" dxfId="9590" priority="4089">
      <formula>$H3092="SUBETAPA"</formula>
    </cfRule>
  </conditionalFormatting>
  <conditionalFormatting sqref="O3093">
    <cfRule type="expression" dxfId="9589" priority="4201">
      <formula>$H3093="ETAPA"</formula>
    </cfRule>
    <cfRule type="expression" dxfId="9588" priority="4202">
      <formula>$H3093="CÉLULA CONSTRUTIVA"</formula>
    </cfRule>
    <cfRule type="expression" dxfId="9587" priority="4203">
      <formula>$H3093="SUBETAPA"</formula>
    </cfRule>
  </conditionalFormatting>
  <conditionalFormatting sqref="O3102 O3119">
    <cfRule type="expression" dxfId="9586" priority="61548">
      <formula>$H3102="ETAPA"</formula>
    </cfRule>
    <cfRule type="expression" dxfId="9585" priority="61549">
      <formula>$H3102="SUBETAPA"</formula>
    </cfRule>
  </conditionalFormatting>
  <conditionalFormatting sqref="O3104:O3105 O3107">
    <cfRule type="expression" dxfId="9584" priority="61541">
      <formula>$H3104="ETAPA"</formula>
    </cfRule>
  </conditionalFormatting>
  <conditionalFormatting sqref="O3105 O3107">
    <cfRule type="expression" dxfId="9583" priority="61540">
      <formula>$H3105="CÉLULA CONSTRUTIVA"</formula>
    </cfRule>
  </conditionalFormatting>
  <conditionalFormatting sqref="O3106">
    <cfRule type="expression" dxfId="9582" priority="61535">
      <formula>$H3106="SUBETAPA"</formula>
    </cfRule>
    <cfRule type="expression" dxfId="9581" priority="61536">
      <formula>$H3106="CÉLULA CONSTRUTIVA"</formula>
    </cfRule>
    <cfRule type="expression" dxfId="9580" priority="61537">
      <formula>$H3106="ETAPA"</formula>
    </cfRule>
  </conditionalFormatting>
  <conditionalFormatting sqref="O3110">
    <cfRule type="expression" dxfId="9579" priority="4157">
      <formula>$H3110="ETAPA"</formula>
    </cfRule>
    <cfRule type="expression" dxfId="9578" priority="4158">
      <formula>$H3110="SUBETAPA"</formula>
    </cfRule>
  </conditionalFormatting>
  <conditionalFormatting sqref="O3111">
    <cfRule type="expression" dxfId="9577" priority="4151">
      <formula>$H3111="SUBETAPA"</formula>
    </cfRule>
    <cfRule type="expression" dxfId="9576" priority="4152">
      <formula>$H3111="CÉLULA CONSTRUTIVA"</formula>
    </cfRule>
    <cfRule type="expression" dxfId="9575" priority="4153">
      <formula>$H3111="ETAPA"</formula>
    </cfRule>
  </conditionalFormatting>
  <conditionalFormatting sqref="O3113">
    <cfRule type="expression" dxfId="9574" priority="4090">
      <formula>$H3113="ETAPA"</formula>
    </cfRule>
    <cfRule type="expression" dxfId="9573" priority="4091">
      <formula>$H3113="CÉLULA CONSTRUTIVA"</formula>
    </cfRule>
    <cfRule type="expression" dxfId="9572" priority="4092">
      <formula>$H3113="SUBETAPA"</formula>
    </cfRule>
  </conditionalFormatting>
  <conditionalFormatting sqref="O3114">
    <cfRule type="expression" dxfId="9571" priority="4198">
      <formula>$H3114="ETAPA"</formula>
    </cfRule>
    <cfRule type="expression" dxfId="9570" priority="4199">
      <formula>$H3114="CÉLULA CONSTRUTIVA"</formula>
    </cfRule>
    <cfRule type="expression" dxfId="9569" priority="4200">
      <formula>$H3114="SUBETAPA"</formula>
    </cfRule>
  </conditionalFormatting>
  <conditionalFormatting sqref="O3122">
    <cfRule type="expression" dxfId="9568" priority="61544">
      <formula>$H3122="ETAPA"</formula>
    </cfRule>
    <cfRule type="expression" dxfId="9567" priority="61550">
      <formula>$H3122="CÉLULA CONSTRUTIVA"</formula>
    </cfRule>
    <cfRule type="expression" dxfId="9566" priority="61551">
      <formula>$H3122="SUBETAPA"</formula>
    </cfRule>
  </conditionalFormatting>
  <conditionalFormatting sqref="O3128 O3130 M3152 M3158 M3165 O3165 O3158 O3152 O3154 M3154">
    <cfRule type="expression" dxfId="9565" priority="83615">
      <formula>$H3128="CÉLULA CONSTRUTIVA"</formula>
    </cfRule>
  </conditionalFormatting>
  <conditionalFormatting sqref="O3128 O3130 O3152 O3154 O3158 O3164:O3165">
    <cfRule type="expression" dxfId="9564" priority="83616">
      <formula>$H3128="ETAPA"</formula>
    </cfRule>
  </conditionalFormatting>
  <conditionalFormatting sqref="O3129 M1239:M1241 O3073:O3074 O3140:O3141 O3117:O3118 O3095:O3096">
    <cfRule type="expression" dxfId="9563" priority="80359">
      <formula>$H1239="SUBETAPA"</formula>
    </cfRule>
    <cfRule type="expression" dxfId="9562" priority="80360">
      <formula>$H1239="CÉLULA CONSTRUTIVA"</formula>
    </cfRule>
  </conditionalFormatting>
  <conditionalFormatting sqref="O3131:O3132 O3108:O3109 O3087:O3088 O639 O652 O665 O678 O691 O704 O717 O1420 O1383 O1380 O1377 O1374 O1371 O1511:O1512 O1480:O1481 H1702 J1702 L1702 G1685:H1685 J1685 L1685 O1682 O1768 H1845 J1845 L1845 H1875 J1875 L1875 H1861 J1861 L1861">
    <cfRule type="expression" dxfId="9561" priority="5720">
      <formula>$H639="SUBETAPA"</formula>
    </cfRule>
    <cfRule type="expression" dxfId="9560" priority="5721">
      <formula>$H639="CÉLULA CONSTRUTIVA"</formula>
    </cfRule>
    <cfRule type="expression" dxfId="9559" priority="5722">
      <formula>$H639="ETAPA"</formula>
    </cfRule>
  </conditionalFormatting>
  <conditionalFormatting sqref="O3133">
    <cfRule type="expression" dxfId="9558" priority="4141">
      <formula>$H3133="ETAPA"</formula>
    </cfRule>
    <cfRule type="expression" dxfId="9557" priority="4142">
      <formula>$H3133="SUBETAPA"</formula>
    </cfRule>
  </conditionalFormatting>
  <conditionalFormatting sqref="O3134">
    <cfRule type="expression" dxfId="9556" priority="4135">
      <formula>$H3134="SUBETAPA"</formula>
    </cfRule>
    <cfRule type="expression" dxfId="9555" priority="4136">
      <formula>$H3134="CÉLULA CONSTRUTIVA"</formula>
    </cfRule>
    <cfRule type="expression" dxfId="9554" priority="4137">
      <formula>$H3134="ETAPA"</formula>
    </cfRule>
  </conditionalFormatting>
  <conditionalFormatting sqref="O3137:O3138">
    <cfRule type="expression" dxfId="9553" priority="4195">
      <formula>$H3137="ETAPA"</formula>
    </cfRule>
    <cfRule type="expression" dxfId="9552" priority="4196">
      <formula>$H3137="CÉLULA CONSTRUTIVA"</formula>
    </cfRule>
    <cfRule type="expression" dxfId="9551" priority="4197">
      <formula>$H3137="SUBETAPA"</formula>
    </cfRule>
  </conditionalFormatting>
  <conditionalFormatting sqref="O3146">
    <cfRule type="expression" dxfId="9550" priority="59915">
      <formula>$H3146="ETAPA"</formula>
    </cfRule>
    <cfRule type="expression" dxfId="9549" priority="59916">
      <formula>$H3146="SUBETAPA"</formula>
    </cfRule>
    <cfRule type="expression" dxfId="9548" priority="59917">
      <formula>$H3146="CÉLULA CONSTRUTIVA"</formula>
    </cfRule>
  </conditionalFormatting>
  <conditionalFormatting sqref="O3147:O3148 O3159:O3161 O3036 O3046 O3126 O3150 O3156 O3171 O2955:O2956 O2958 O3041 O2999 O3029 O3022 O3015 O3002:O3006 O3008 O2992 O2965 O2985 O2980 O2975 O2970 O3123:O3124 O3103 O3100:O3101 O3084 O3081:O3082 O3050:O3051 O3053 O3067 O3076:O3078 O3166:O3168 O3091 O3112 O3136">
    <cfRule type="expression" dxfId="9547" priority="83625">
      <formula>$H2955="SUBETAPA"</formula>
    </cfRule>
    <cfRule type="expression" dxfId="9546" priority="83626">
      <formula>$H2955="CÉLULA CONSTRUTIVA"</formula>
    </cfRule>
  </conditionalFormatting>
  <conditionalFormatting sqref="O3153">
    <cfRule type="expression" dxfId="9545" priority="61020">
      <formula>$H3153="ETAPA"</formula>
    </cfRule>
    <cfRule type="expression" dxfId="9544" priority="61022">
      <formula>$H3153="SUBETAPA"</formula>
    </cfRule>
  </conditionalFormatting>
  <conditionalFormatting sqref="O3163">
    <cfRule type="expression" dxfId="9543" priority="3437">
      <formula>$H3163="ETAPA"</formula>
    </cfRule>
    <cfRule type="expression" dxfId="9542" priority="3438">
      <formula>$H3163="SUBETAPA"</formula>
    </cfRule>
    <cfRule type="expression" dxfId="9541" priority="3439">
      <formula>$H3163="ETAPA"</formula>
    </cfRule>
    <cfRule type="expression" dxfId="9540" priority="3440">
      <formula>$H3163="SUBETAPA"</formula>
    </cfRule>
    <cfRule type="expression" dxfId="9539" priority="3441">
      <formula>$H3163="ETAPA"</formula>
    </cfRule>
    <cfRule type="expression" dxfId="9538" priority="3442">
      <formula>$H3163="SUBETAPA"</formula>
    </cfRule>
    <cfRule type="expression" dxfId="9537" priority="3443">
      <formula>$H3163="CÉLULA CONSTRUTIVA"</formula>
    </cfRule>
  </conditionalFormatting>
  <conditionalFormatting sqref="O3169">
    <cfRule type="expression" dxfId="9536" priority="59912">
      <formula>$H3169="ETAPA"</formula>
    </cfRule>
    <cfRule type="expression" dxfId="9535" priority="59913">
      <formula>$H3169="SUBETAPA"</formula>
    </cfRule>
    <cfRule type="expression" dxfId="9534" priority="59914">
      <formula>$H3169="CÉLULA CONSTRUTIVA"</formula>
    </cfRule>
  </conditionalFormatting>
  <conditionalFormatting sqref="P8:P3173">
    <cfRule type="expression" dxfId="9533" priority="121168">
      <formula>AND($H8="SERVIÇO",$P8="Pendente")</formula>
    </cfRule>
    <cfRule type="expression" dxfId="9532" priority="121169">
      <formula>AND($H8="SERVIÇO",$P8="Finalizado")</formula>
    </cfRule>
    <cfRule type="expression" dxfId="9531" priority="121170">
      <formula>AND($H8="SERVIÇO",$P8="Em andamento")</formula>
    </cfRule>
  </conditionalFormatting>
  <dataValidations count="5">
    <dataValidation type="list" allowBlank="1" showErrorMessage="1" sqref="P1385 P1397 P1399 P1395 P1803:P1804 P1819 P1409 P1404 P1414 P1402 P1407 P1412 P1417 P1719 P1687 P1704 P1392 P1832 P1388 P1390 P1863 P1877 P1847 P1242:P1243 P1245:P1249 P2328:P2329 P1251 P2311:P2312 P2288:P2290 P1353:P1354 P1364 P2264:P2266 P1356 P1358:P1359 P2242:P2244 P1361:P1362 P2222:P2224 P2201:P2203 P1373 P1376 P2169:P2172 P1368 P1370 P1382 P1379 P2052:P2054 P2074:P2076 P615 P1888 P45:P48 P17:P18 P327 P343 P341 P339 P337 P335 P333 P331 P329 P323 P321 P319 P317 P315 P312 P20 P325 P1776:P1777 P378:P380 P11 P1669:P1673 P50 P53:P54 P73:P76 P84:P92 P310 P426:P427 P429:P432 P409:P411 P413:P416 P392:P394 P396:P399 P376 P492:P494 P496:P499 P475:P477 P479:P482 P458:P460 P462:P465 P442:P443 P445:P448 P599:P601 P581:P582 P584:P587 P564:P566 P568:P571 P546:P548 P550:P553 P528:P530 P532:P535 P510:P512 P514:P517 P1665:P1667 P14:P15 P25 P23 P27 P29:P30 P32:P33 P35:P38 P40:P41 P43 P59 P57 P61:P62 P64:P65 P69 P67 P71 P80 P78 P82 P96:P97 P94 P99:P100 P102:P103 P105 P107 P109 P111 P113 P115 P117 P119 P121 P123:P124 P126:P127 P129:P130 P132 P134:P135 P137:P139 P141:P147 P149:P157 P159:P167 P169:P176 P2550:P2553 P178:P185 P187:P194 P196:P203 P205:P212 P223:P230 P232:P239 P241:P248 P250:P257 P259:P266 P268:P273 P275:P280 P282 P284 P286 P288 P290 P292 P294 P296 P298 P300 P302 P304 P306 P308 P345 P348 P350 P352 P354 P356 P358 P360 P362 P364 P366 P368 P370 P372 P374 P382:P384 P386 P388:P390 P401 P403 P405:P407 P418 P420 P422:P424 P434 P436 P438:P440 P450 P452 P454:P456 P467 P469 P471:P473 P484 P486 P488:P490 P501 P503 P505:P508 P519 P521 P523:P526 P537 P539 P541:P544 P555 P557 P559:P562 P573 P575 P577:P579 P589:P590 P592 P594:P597 P603:P606 P608:P609 P611:P613 P1422:P1424 P1419 P1426:P1427 P1429 P1431:P1432 P1434 P1436 P1438 P1440:P1447 P1449 P1451 P1453:P1454 P1456 P1458 P1460:P1461 P1463 P1465 P1467:P1468 P1470:P1471 P1473 P1475 P1477:P1478 P1480:P1486 P1488 P1490 P1492:P1494 P1496:P1497 P1499 P1501:P1503 P1505 P1507 P1509 P1511:P1519 P1521:P1522 P1524:P1525 P1527 P1529 P1531 P1533:P1539 P1541:P1542 P1544:P1545 P1547:P1549 P1551 P1553 P1555:P1561 P1563 P1565 P1567:P1568 P1570 P1572 P1574:P1578 P1580:P1581 P1583 P1585:P1587 P1589 P1591 P1593:P1599 P1601:P1602 P1604 P1606:P1608 P1610 P1612 P1614:P1620 P1622:P1623 P1625:P1626 P1628 P1630:P1632 P1634 P1636 P1638:P1644 P1646:P1647 P1649:P1650 P1652 P1654 P1656:P1661 P1663 P1676:P1679 P1681:P1682 P1696:P1699 P1712:P1715 P1717 P1727:P1730 P1732 P1739:P1742 P1744 P1751:P1754 P1756 P1763:P1766 P1772 P1774 P1779:P1784 P1787:P1790 P1794 P1796:P1801 P1813:P1815 P1826:P1828 P1839:P1841 P1855:P1857 P1871:P1873 P1884:P1886 P1894 P1903:P1906 P1914 P1916:P1920 P1927 P1935 P1940 P1948 P1957 P2014 P2025 P2034 P2038:P2042 P2065 P2086 P2088 P2103 P2105 P2119 P2121 P2136 P2138 P2140:P2143 P2154 P2156 P2183 P2212 P2214 P2232 P2234 P2252 P2254 P2260 P2275 P2277 P2283:P2284 P2299:P2300 P2302 P2323 P2337 P2362 P2389 P2413 P2436 P2459 P2483 P2619:P2621 P2754 P2727 P617:P618 P622 P624 P626 P628 P630 P632 P634 P636 P638 P641 P643 P645 P647 P649 P651 P654 P656 P658 P660 P662 P664 P667 P669 P671 P673 P675 P677 P680 P682 P684 P686 P688 P690 P693 P695 P697 P699 P701 P703 P706 P708 P710 P712 P714 P716 P719 P721 P723 P725 P727 P729 P732 P734 P736 P738 P740 P742 P745 P747 P749 P751 P753 P755 P758 P760 P762 P764 P766 P768 P771 P773 P775 P777 P779 P781 P784 P786 P788 P790 P792 P794 P797 P799 P801 P803 P805 P807 P811 P813 P815 P817 P819 P822 P824 P826 P828 P831 P833 P835 P837 P840 P842 P844 P846 P849 P851 P853 P855 P858 P860 P862 P864 P867 P869 P871 P873 P876 P878 P880 P882 P885 P887 P889 P891 P894 P896 P898 P900 P902 P905 P907 P909 P911 P913 P916 P918 P920 P922 P925 P927 P929 P931 P934 P936 P938 P940 P942 P946 P948 P950 P952 P954 P956 P958 P961 P963 P965 P967 P969 P971 P973 P976 P978 P980 P982 P984 P986 P988 P991 P993 P995 P997 P999 P1001 P1003 P1006 P1008 P1010 P1012 P1014 P1016 P1018 P1021 P1023 P1025 P1027 P1029 P1031 P1033 P1036 P1038 P1040 P1042 P1044 P1046 P1048 P1051 P1053 P1055 P1057 P1059 P1061 P1063 P1066 P1068 P1070 P1072 P1074 P1076 P1078 P1081 P1083 P1085 P1087 P1089 P1091 P1093 P1096 P1098 P1100 P1102 P1104 P1106 P1108 P1111 P1113 P1115 P1117 P1119 P1121 P1123 P1126 P1128 P1130 P1132 P1134 P1136 P1138 P1141 P1143 P1145 P1147 P1149 P1151 P1153 P1157 P1159 P1161 P1164 P1166 P1169 P1171 P1174 P1176 P1179 P1181 P1184 P1186 P1189 P1191 P1193 P1196 P1198 P1200 P1203 P1205 P1207 P1210 P1212 P1214 P1217 P1219 P1221 P1224 P1226 P1229 P1231 P1233 P1236 P1238 P2957 P2959 P2961 P2963 P2966 P2968 P2971 P2973 P2976 P2978 P2981 P2983 P2986 P2988 P2991 P2993 P2995 P2998 P3000 P3002 P3004 P3007 P3009 P3011 P3014 P3016 P3018 P3021 P3023 P3025 P3028 P3030 P3032 P3035 P3037 P3039 P3042 P3044 P3048 P3052:P3054 P3056:P3058 P3060:P3072 P3074:P3080 P3083:P3085 P3087:P3094 P3096:P3099 P3102:P3104 P3106 P3108:P3116 P3118:P3122 P3125:P3127 P3129 P3131:P3139 P3141:P3145 P3149:P3150 P3152 P3154 P3157 P3159 P3161 P3163:P3165 P3167:P3168 P3172 P1706:P1709 P1701:P1702 P1689:P1693 P1684:P1685 P1734:P1736 P1721:P1724 P1768:P1770 P1758:P1760 P1746:P1748 P1849:P1852 P1845 P1843 P1834:P1836 P1830 P1821:P1823 P1817 P1806:P1810 P1792 P1896:P1898 P1890:P1891 P1879:P1881 P1875 P1865:P1868 P1861 P1859 P2056:P2062 P2048:P2050 P2044:P2046 P2036 P2078:P2083 P2070:P2072 P2067:P2068 P2097:P2100 P2094:P2095 P2090:P2092 P2113:P2116 P2110:P2111 P2107:P2108 P2130:P2133 P2127:P2128 P2123:P2125 P2148:P2151 P2145:P2146 P2174:P2180 P2167 P2158:P2165 P2205:P2209 P2191:P2199 P2185:P2189 P2226:P2229 P2220 P2216:P2218 P2268:P2272 P2262 P2256:P2258 P2246:P2249 P2240 P2236:P2238 P2292:P2296 P2286 P2279:P2281 P2339:P2341 P2331:P2334 P2325:P2326 P2314:P2320 P2308:P2309 P2304:P2306 P2355:P2360 P2349:P2353 P2343:P2347 P2379:P2387 P2371:P2377 P2364:P2369 P2404:P2411 P2398:P2402 P2391:P2396 P2544:P2548 P2539:P2542 P2534:P2537 P2526:P2532 P2519:P2524 P2512:P2517 P2502:P2510 P2494:P2500 P2485:P2492 P2474:P2481 P2468:P2472 P2461:P2466 P2450:P2457 P2444:P2448 P2438:P2442 P2427:P2434 P2421:P2425 P2415:P2419 P1263:P1264 P2614:P2617 P2608:P2612 P2603:P2606 P2598:P2601 P2592:P2596 P2587:P2590 P2582:P2585 P2576:P2580 P2571:P2574 P2566:P2569 P2560:P2564 P2555:P2558 P214:P221 P1339:P1340 P1350 P1342 P1344:P1345 P1347:P1348 P1325:P1326 P1336 P1328 P1330:P1331 P1333:P1334 P1311:P1312 P1322 P1314 P1316:P1317 P1319:P1320 P1297:P1298 P1308 P1300 P1302:P1303 P1305:P1306 P1283:P1284 P1294 P1286 P1288:P1289 P1291:P1292 P1269:P1270 P1280 P1272 P1274:P1275 P1277:P1278 P1255:P1256 P1266 P1258 P1260:P1261 P2743 P2745:P2747 P2749 P2716 P2629 P2710 P2712:P2714 P2683:P2684 P2699 P2701:P2703 P2705 P2691 P2693:P2694 P2686 P2688:P2689 P2681 P2623:P2627 P2678:P2679 P2673 P2675:P2676 P2670:P2671 P2666 P2663:P2664 P2659 P2631:P2635 P2656:P2657 P2650 P2654 P2640 P2642:P2643 P2645 P2732 P2734:P2736 P2738 P2721 P2723:P2725 P2805:P2807 P2814:P2816 P2809 P2811:P2812 P2775:P2776 P2802:P2803 P2796:P2798 P2800 P2791 P2793:P2794 P2787:P2789 P2784:P2785 P2778:P2780 P2782 P2769:P2770 P2763:P2764 P2938:P2939 P2953 P2951 P2946:P2947 P2949 P2941 P2943:P2944 P2935:P2936 P2899:P2900 P2932:P2933 P2926:P2927 P2929:P2930 P2923:P2924 P2917:P2918 P2920:P2921 P2902:P2903 P2914:P2915 P2908:P2909 P2911:P2912 P2905:P2906 P2818:P2819 P2896:P2897 P2891:P2892 P2894 P2883 P2885:P2886 P2880:P2881 P2862:P2863 P2874:P2875 P2871:P2872 P2865:P2866 P2856:P2857 P2853:P2854 P2847:P2848 P2844:P2845 P2824:P2825 P2838:P2839 P2835:P2836 P2827 P2829:P2830 P2637:P2638 P2751:P2752 P2740:P2741 P2729:P2730 P2647:P2648 P2756:P2758 P2718:P2719 P2707:P2708 P2696:P2697 P2668 P2661 P2652 P2760:P2761 P2766:P2767 P2772:P2773 P2888:P2889 P2877:P2878 P2868:P2869 P2859:P2860 P2850:P2851 P2841:P2842 P2832:P2833 P2821:P2822 P1908:P1909 P1900:P1901 P1911:P1912 P1937:P1938 P1932:P1933 P1929:P1930 P1924:P1925 P1922 P1978:P1984 P1973:P1976 P1970:P1971 P1967:P1968 P1959:P1965 P1954:P1955 P1950:P1952 P1945:P1946 P1942:P1943 P2030:P2031 P2027:P2028 P2022:P2023 P2016:P2020 P2007:P2012 P2000:P2005 P1993:P1998 P1986:P1991" xr:uid="{00000000-0002-0000-0700-000001000000}">
      <formula1>"Finalizado,Em Andamento,Pendente,N/A,Lançado ERP"</formula1>
    </dataValidation>
    <dataValidation type="list" allowBlank="1" showErrorMessage="1" sqref="H3173 H1423:H2953 H8:H618" xr:uid="{00000000-0002-0000-0700-000002000000}">
      <formula1>"UNIDADE CONSTRUTIVA,CÉLULA CONSTRUTIVA,ETAPA,SUBETAPA,SERVIÇO"</formula1>
    </dataValidation>
    <dataValidation type="list" allowBlank="1" showInputMessage="1" showErrorMessage="1" sqref="H619:H1422 H2954:H3172" xr:uid="{E3CF6FC6-181D-4700-AB20-D280FA623DDF}">
      <formula1>"UNIDADE CONSTRUTIVA,CÉLULA CONSTRUTIVA,ETAPA,SUBETAPA,SERVIÇO"</formula1>
    </dataValidation>
    <dataValidation type="list" allowBlank="1" showInputMessage="1" showErrorMessage="1" sqref="P3155 P678 P1386 P756 P743 P1383 P1415 P3019 P3026 P3033 P2979 P3147 P2996 P1380 P730 P1400 P1410 P1239:P1240 P1393 P665 P2954:P2955 P691 P2984 P704 P2964 P1377 P795 P639 P3040 P3045:P3046 P2989 P782 P1420 P2969 P1365:P1366 P769 P2974 P3012 P1371 P652 P619:P620 P3005 P717 P3170 P1405 P1374 P1351 P1323 P1337 P1252:P1253 P1309 P1295 P1267 P1281" xr:uid="{9A530B8B-5D26-4382-8F93-933A885F3525}">
      <formula1>"Finalizado, Em Andamento, Pendente, N/A,Lançado ERP"</formula1>
    </dataValidation>
    <dataValidation type="list" allowBlank="1" showErrorMessage="1" sqref="P10 P13 P16 P19 P22 P26 P28 P31 P34 P39 P42 P44 P49 P52 P56 P60 P63 P66 P68 P70 P72 P77 P79 P81 P83 P93 P95 P98 P101 P104 P106 P108 P110 P112 P114 P116 P118 P120 P122 P125 P128 P131 P133 P136 P140 P148 P158 P168 P3171 P177 P186 P195 P204 P222 P231 P240 P249 P258 P267 P274 P281 P283 P285 P287 P289 P291 P293 P295 P297 P299 P301 P303 P305 P307 P309 P311 P314 P316 P318 P320 P322 P324 P326 P328 P330 P332 P334 P336 P338 P340 P342 P344 P347 P349 P351 P353 P355 P357 P359 P361 P363 P365 P367 P369 P371 P373 P375 P377 P381 P385 P387 P391 P395 P400 P402 P404 P408 P412 P417 P419 P421 P425 P428 P433 P435 P437 P441 P444 P449 P451 P453 P457 P461 P466 P468 P470 P474 P478 P483 P485 P487 P491 P495 P500 P502 P504 P509 P513 P518 P520 P522 P527 P531 P536 P538 P540 P545 P549 P554 P556 P558 P563 P567 P572 P574 P576 P580 P583 P588 P591 P593 P598 P602 P607 P610 P614 P616 P621 P623 P625 P627 P629 P631 P633 P635 P637 P640 P642 P644 P646 P648 P650 P653 P655 P657 P659 P661 P663 P666 P668 P670 P672 P674 P676 P679 P681 P683 P685 P687 P689 P692 P694 P696 P698 P700 P702 P705 P707 P709 P711 P713 P715 P718 P720 P722 P724 P726 P728 P731 P733 P735 P737 P739 P741 P744 P746 P748 P750 P752 P754 P757 P759 P761 P763 P765 P767 P770 P772 P774 P776 P778 P780 P783 P785 P787 P789 P791 P793 P796 P798 P800 P802 P804 P806 P810 P812 P814 P816 P818 P821 P823 P825 P827 P830 P832 P834 P836 P839 P841 P843 P845 P848 P850 P852 P854 P857 P859 P861 P863 P866 P868 P870 P872 P875 P877 P879 P881 P884 P886 P888 P890 P893 P895 P897 P899 P901 P904 P906 P908 P910 P912 P915 P917 P919 P921 P924 P926 P928 P930 P933 P935 P937 P939 P941 P945 P947 P949 P951 P953 P955 P957 P960 P962 P964 P966 P968 P970 P972 P975 P977 P979 P981 P983 P985 P987 P990 P992 P994 P996 P998 P1000 P1002 P1005 P1007 P1009 P1011 P1013 P1015 P1017 P1020 P1022 P1024 P1026 P1028 P1030 P1032 P1035 P1037 P1039 P1041 P1043 P1045 P1047 P1050 P1052 P1054 P1056 P1058 P1060 P1062 P1065 P1067 P1069 P1071 P1073 P1075 P1077 P1080 P1082 P1084 P1086 P1088 P1090 P1092 P1095 P1097 P1099 P1101 P1103 P1105 P1107 P1110 P1112 P1114 P1116 P1118 P1120 P1122 P1125 P1127 P1129 P1131 P1133 P1135 P1137 P1140 P1142 P1144 P1146 P1148 P1150 P1152 P1156 P1158 P1160 P1163 P1165 P1168 P1170 P1173 P1175 P1178 P1180 P1183 P1185 P1188 P1190 P1192 P1195 P1197 P1199 P1202 P1204 P1206 P1209 P1211 P1213 P1216 P1218 P1220 P1223 P1225 P1228 P1230 P1232 P1235 P1237 P1241 P1244 P1250 P1352 P1355 P213 P1360 P1363 P1367 P1369 P1372 P1375 P1378 P1381 P1384 P1387 P1389 P1391 P1394 P1396 P1398 P1401 P1403 P1406 P1408 P1411 P1413 P1416 P1418 P1421 P1425 P1428 P1430 P1433 P1435 P1437 P1439 P1448 P1450 P1452 P1455 P1457 P1459 P1462 P1464 P1466 P1469 P1472 P1474 P1476 P1479 P1487 P1489 P1491 P1495 P1498 P1500 P1504 P1506 P1508 P1510 P1520 P1523 P1526 P1528 P1530 P1532 P1540 P1543 P1546 P1550 P1552 P1554 P1562 P1564 P1566 P1569 P1571 P1573 P1579 P1582 P1584 P1588 P1590 P1592 P1600 P1603 P1605 P1609 P1611 P1613 P1621 P1624 P1627 P1629 P1633 P1635 P1637 P1645 P1648 P1651 P1653 P1655 P1662 P1664 P1668 P1675 P1680 P1683 P1686 P1688 P1695 P1700 P1703 P1705 P1711 P1716 P1718 P1720 P1726 P1731 P1733 P1738 P1743 P1745 P1750 P1755 P1757 P1762 P1767 P1771 P1773 P1775 P1778 P1786 P1791 P1793 P1795 P1802 P1805 P1812 P1816 P1818 P1820 P1825 P1829 P1831 P1833 P1838 P1842 P1844 P1846 P1848 P1854 P1858 P1860 P1862 P1864 P1870 P1874 P1876 P1878 P1883 P1887 P1889 P1893 P1895 P1899 P1902 P1907 P1910 P1913 P1915 P1921 P1923 P1926 P1928 P1931 P1934 P1936 P1939 P1941 P1944 P1947 P1949 P1953 P1956 P1958 P1966 P1969 P1972 P1977 P1985 P1992 P1999 P2006 P2013 P2015 P2021 P2024 P2026 P2029 P2033 P2035 P2037 P2043 P2047 P2051 P2055 P2064 P2066 P2069 P2073 P2077 P2085 P2087 P2089 P2093 P2096 P2102 P2104 P2106 P2109 P2112 P2118 P2120 P2122 P2126 P2129 P2135 P2137 P2139 P2144 P2147 P2153 P2155 P2157 P2166 P2168 P2173 P2182 P2184 P2190 P2200 P2204 P2211 P2213 P2215 P2219 P2221 P2225 P2231 P2233 P2235 P2239 P2241 P2245 P2251 P2253 P2255 P2259 P2261 P2263 P2267 P2274 P2276 P2278 P2282 P2285 P2287 P2291 P2298 P2301 P2303 P2307 P2310 P2313 P2322 P2324 P2327 P2330 P2336 P2338 P2342 P2348 P2354 P2361 P2363 P2370 P2378 P2388 P2390 P2397 P2403 P2412 P2414 P2420 P2426 P2435 P2437 P2443 P2449 P2458 P2460 P2467 P2473 P2482 P2484 P2493 P2501 P2511 P2518 P2525 P2533 P2538 P2543 P2549 P2554 P2559 P2565 P2570 P2575 P2581 P2586 P2591 P2597 P2602 P2607 P2613 P2618 P2622 P2753 P2755 P2956 P2958 P2960 P2962 P2965 P2967 P2970 P2972 P2975 P2977 P2980 P2982 P2985 P2987 P2990 P2992 P2994 P2997 P2999 P3001 P3003 P3006 P3008 P3010 P3013 P3015 P3017 P3020 P3022 P3024 P3027 P3029 P3031 P3034 P3036 P3038 P3041 P3043 P3047 P3051 P2828 P3059 P3073 P3082 P3086 P3095 P3101 P3105 P3107 P3117 P3124 P3128 P3130 P3140 P3148 P3151 P3153 P3156 P3158 P3160 P3162 P3166 P1357 P1338 P1341 P1346 P1349 P1343 P1324 P1327 P1332 P1335 P1329 P1310 P1313 P1318 P1321 P1315 P1296 P1299 P1304 P1307 P1301 P1282 P1285 P1290 P1293 P1287 P1268 P1271 P1276 P1279 P1273 P1254 P1257 P1262 P1265 P1259 P2742 P2744 P2748 P2750 P2709 P2711 P2715 P2717 P2698 P2700 P2704 P2706 P2690 P2692 P2695 P2680 P2682 P2685 P2687 P2672 P2674 P2677 P2665 P2667 P2669 P2658 P2660 P2662 P2649 P2651 P2653 P2655 P2639 P2641 P2644 P2646 P2628 P2630 P2636 P2731 P2733 P2737 P2739 P2720 P2722 P2726 P2728 P2813 P2817 P2804 P2808 P2810 P2795 P2799 P2801 P2786 P2790 P2792 P2777 P2781 P2783 P2771 P2774 P2765 P2768 P2759 P2762 P2945 P2948 P2950 P2952 P2934 P2937 P2940 P2942 P2925 P2928 P2931 P2916 P2919 P2922 P2907 P2910 P2913 P2898 P2901 P2904 P2887 P2890 P2893 P2895 P2876 P2879 P2882 P2884 P2867 P2870 P2873 P2858 P2861 P2864 P2849 P2852 P2855 P2840 P2843 P2846 P2831 P2834 P2837 P2820 P2823 P2826 P3055" xr:uid="{19D79748-2C06-4203-AF7B-70DD99A26416}">
      <formula1>#REF!</formula1>
    </dataValidation>
  </dataValidations>
  <printOptions horizontalCentered="1"/>
  <pageMargins left="0.51181102362204722" right="0.51181102362204722" top="0.78740157480314965" bottom="0.7874015748031496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8C015-0361-4D0B-B397-32C0F9700B12}">
  <sheetPr>
    <tabColor rgb="FF1851D6"/>
    <outlinePr summaryBelow="0" summaryRight="0"/>
    <pageSetUpPr fitToPage="1"/>
  </sheetPr>
  <dimension ref="A1:AF496"/>
  <sheetViews>
    <sheetView showGridLines="0" zoomScale="90" zoomScaleNormal="90" workbookViewId="0">
      <pane xSplit="3" ySplit="3" topLeftCell="D158" activePane="bottomRight" state="frozen"/>
      <selection activeCell="B1" sqref="B1:D3"/>
      <selection pane="topRight" activeCell="B1" sqref="B1:D3"/>
      <selection pane="bottomLeft" activeCell="B1" sqref="B1:D3"/>
      <selection pane="bottomRight" activeCell="C354" sqref="C354"/>
    </sheetView>
  </sheetViews>
  <sheetFormatPr defaultColWidth="8.85546875" defaultRowHeight="19.5" x14ac:dyDescent="0.2"/>
  <cols>
    <col min="1" max="1" width="23.7109375" style="1407" bestFit="1" customWidth="1"/>
    <col min="2" max="2" width="23.5703125" style="1433" customWidth="1"/>
    <col min="3" max="3" width="84.7109375" style="1407" bestFit="1" customWidth="1"/>
    <col min="4" max="4" width="9.140625" style="1407" customWidth="1"/>
    <col min="5" max="32" width="8.85546875" style="1434"/>
  </cols>
  <sheetData>
    <row r="1" spans="1:32" ht="21.75" customHeight="1" x14ac:dyDescent="0.2">
      <c r="A1" s="1936" t="s">
        <v>5547</v>
      </c>
      <c r="B1" s="1937"/>
      <c r="C1" s="1938"/>
      <c r="D1"/>
      <c r="E1"/>
      <c r="F1"/>
      <c r="G1"/>
      <c r="H1"/>
      <c r="I1"/>
      <c r="J1"/>
      <c r="K1"/>
      <c r="L1"/>
      <c r="M1"/>
      <c r="N1"/>
      <c r="O1"/>
      <c r="P1"/>
      <c r="Q1"/>
      <c r="R1"/>
      <c r="S1"/>
      <c r="T1"/>
      <c r="U1"/>
      <c r="V1"/>
      <c r="W1"/>
      <c r="X1"/>
      <c r="Y1"/>
      <c r="Z1"/>
      <c r="AA1"/>
      <c r="AB1"/>
      <c r="AC1"/>
      <c r="AD1"/>
      <c r="AE1"/>
      <c r="AF1"/>
    </row>
    <row r="2" spans="1:32" ht="21.75" customHeight="1" x14ac:dyDescent="0.2">
      <c r="A2" s="1939"/>
      <c r="B2" s="1940"/>
      <c r="C2" s="1941"/>
      <c r="D2"/>
      <c r="E2"/>
      <c r="F2"/>
      <c r="G2"/>
      <c r="H2"/>
      <c r="I2"/>
      <c r="J2"/>
      <c r="K2"/>
      <c r="L2"/>
      <c r="M2"/>
      <c r="N2"/>
      <c r="O2"/>
      <c r="P2"/>
      <c r="Q2"/>
      <c r="R2"/>
      <c r="S2"/>
      <c r="T2"/>
      <c r="U2"/>
      <c r="V2"/>
      <c r="W2"/>
      <c r="X2"/>
      <c r="Y2"/>
      <c r="Z2"/>
      <c r="AA2"/>
      <c r="AB2"/>
      <c r="AC2"/>
      <c r="AD2"/>
      <c r="AE2"/>
      <c r="AF2"/>
    </row>
    <row r="3" spans="1:32" ht="21.75" customHeight="1" x14ac:dyDescent="0.2">
      <c r="A3" s="1942" t="s">
        <v>5548</v>
      </c>
      <c r="B3" s="1943"/>
      <c r="C3" s="1944"/>
      <c r="D3"/>
      <c r="E3"/>
      <c r="F3"/>
      <c r="G3"/>
      <c r="H3"/>
      <c r="I3"/>
      <c r="J3"/>
      <c r="K3"/>
      <c r="L3"/>
      <c r="M3"/>
      <c r="N3"/>
      <c r="O3"/>
      <c r="P3"/>
      <c r="Q3"/>
      <c r="R3"/>
      <c r="S3"/>
      <c r="T3"/>
      <c r="U3"/>
      <c r="V3"/>
      <c r="W3"/>
      <c r="X3"/>
      <c r="Y3"/>
      <c r="Z3"/>
      <c r="AA3"/>
      <c r="AB3"/>
      <c r="AC3"/>
      <c r="AD3"/>
      <c r="AE3"/>
      <c r="AF3"/>
    </row>
    <row r="4" spans="1:32" ht="12" customHeight="1" x14ac:dyDescent="0.2">
      <c r="A4" s="1413"/>
      <c r="B4" s="1414"/>
      <c r="C4" s="1415"/>
      <c r="D4"/>
      <c r="E4"/>
      <c r="F4"/>
      <c r="G4"/>
      <c r="H4"/>
      <c r="I4"/>
      <c r="J4"/>
      <c r="K4"/>
      <c r="L4"/>
      <c r="M4"/>
      <c r="N4"/>
      <c r="O4"/>
      <c r="P4"/>
      <c r="Q4"/>
      <c r="R4"/>
      <c r="S4"/>
      <c r="T4"/>
      <c r="U4"/>
      <c r="V4"/>
      <c r="W4"/>
      <c r="X4"/>
      <c r="Y4"/>
      <c r="Z4"/>
      <c r="AA4"/>
      <c r="AB4"/>
      <c r="AC4"/>
      <c r="AD4"/>
      <c r="AE4"/>
      <c r="AF4"/>
    </row>
    <row r="5" spans="1:32" ht="20.45" customHeight="1" x14ac:dyDescent="0.2">
      <c r="A5" s="1416" t="s">
        <v>5549</v>
      </c>
      <c r="B5" s="1417">
        <v>1</v>
      </c>
      <c r="C5" s="1418" t="s">
        <v>40</v>
      </c>
      <c r="D5"/>
      <c r="E5"/>
      <c r="F5"/>
      <c r="G5"/>
      <c r="H5"/>
      <c r="I5"/>
      <c r="J5"/>
      <c r="K5"/>
      <c r="L5"/>
      <c r="M5"/>
      <c r="N5"/>
      <c r="O5"/>
      <c r="P5"/>
      <c r="Q5"/>
      <c r="R5"/>
      <c r="S5"/>
      <c r="T5"/>
      <c r="U5"/>
      <c r="V5"/>
      <c r="W5"/>
      <c r="X5"/>
      <c r="Y5"/>
      <c r="Z5"/>
      <c r="AA5"/>
      <c r="AB5"/>
      <c r="AC5"/>
      <c r="AD5"/>
      <c r="AE5"/>
      <c r="AF5"/>
    </row>
    <row r="6" spans="1:32" ht="20.45" customHeight="1" x14ac:dyDescent="0.2">
      <c r="A6" s="1419" t="s">
        <v>1237</v>
      </c>
      <c r="B6" s="1417">
        <v>1</v>
      </c>
      <c r="C6" s="1420" t="s">
        <v>1302</v>
      </c>
      <c r="D6"/>
      <c r="E6"/>
      <c r="F6"/>
      <c r="G6"/>
      <c r="H6"/>
      <c r="I6"/>
      <c r="J6"/>
      <c r="K6"/>
      <c r="L6"/>
      <c r="M6"/>
      <c r="N6"/>
      <c r="O6"/>
      <c r="P6"/>
      <c r="Q6"/>
      <c r="R6"/>
      <c r="S6"/>
      <c r="T6"/>
      <c r="U6"/>
      <c r="V6"/>
      <c r="W6"/>
      <c r="X6"/>
      <c r="Y6"/>
      <c r="Z6"/>
      <c r="AA6"/>
      <c r="AB6"/>
      <c r="AC6"/>
      <c r="AD6"/>
      <c r="AE6"/>
      <c r="AF6"/>
    </row>
    <row r="7" spans="1:32" ht="20.45" customHeight="1" x14ac:dyDescent="0.2">
      <c r="A7" s="1419" t="s">
        <v>39</v>
      </c>
      <c r="B7" s="1800" t="s">
        <v>9643</v>
      </c>
      <c r="C7" s="1420" t="s">
        <v>5550</v>
      </c>
      <c r="D7"/>
      <c r="E7"/>
      <c r="F7"/>
      <c r="G7"/>
      <c r="H7"/>
      <c r="I7"/>
      <c r="J7"/>
      <c r="K7"/>
      <c r="L7"/>
      <c r="M7"/>
      <c r="N7"/>
      <c r="O7"/>
      <c r="P7"/>
      <c r="Q7"/>
      <c r="R7"/>
      <c r="S7"/>
      <c r="T7"/>
      <c r="U7"/>
      <c r="V7"/>
      <c r="W7"/>
      <c r="X7"/>
      <c r="Y7"/>
      <c r="Z7"/>
      <c r="AA7"/>
      <c r="AB7"/>
      <c r="AC7"/>
      <c r="AD7"/>
      <c r="AE7"/>
      <c r="AF7"/>
    </row>
    <row r="8" spans="1:32" ht="20.45" customHeight="1" x14ac:dyDescent="0.2">
      <c r="A8" s="1421" t="s">
        <v>1228</v>
      </c>
      <c r="B8" s="1417" t="s">
        <v>5792</v>
      </c>
      <c r="C8" s="1422" t="s">
        <v>5</v>
      </c>
      <c r="D8"/>
      <c r="E8"/>
      <c r="F8"/>
      <c r="G8"/>
      <c r="H8"/>
      <c r="I8"/>
      <c r="J8"/>
      <c r="K8"/>
      <c r="L8"/>
      <c r="M8"/>
      <c r="N8"/>
      <c r="O8"/>
      <c r="P8"/>
      <c r="Q8"/>
      <c r="R8"/>
      <c r="S8"/>
      <c r="T8"/>
      <c r="U8"/>
      <c r="V8"/>
      <c r="W8"/>
      <c r="X8"/>
      <c r="Y8"/>
      <c r="Z8"/>
      <c r="AA8"/>
      <c r="AB8"/>
      <c r="AC8"/>
      <c r="AD8"/>
      <c r="AE8"/>
      <c r="AF8"/>
    </row>
    <row r="9" spans="1:32" ht="20.45" customHeight="1" x14ac:dyDescent="0.2">
      <c r="A9" s="1421" t="s">
        <v>1228</v>
      </c>
      <c r="B9" s="1417" t="s">
        <v>8960</v>
      </c>
      <c r="C9" s="1422" t="s">
        <v>6</v>
      </c>
      <c r="D9"/>
      <c r="E9"/>
      <c r="F9"/>
      <c r="G9"/>
      <c r="H9"/>
      <c r="I9"/>
      <c r="J9"/>
      <c r="K9"/>
      <c r="L9"/>
      <c r="M9"/>
      <c r="N9"/>
      <c r="O9"/>
      <c r="P9"/>
      <c r="Q9"/>
      <c r="R9"/>
      <c r="S9"/>
      <c r="T9"/>
      <c r="U9"/>
      <c r="V9"/>
      <c r="W9"/>
      <c r="X9"/>
      <c r="Y9"/>
      <c r="Z9"/>
      <c r="AA9"/>
      <c r="AB9"/>
      <c r="AC9"/>
      <c r="AD9"/>
      <c r="AE9"/>
      <c r="AF9"/>
    </row>
    <row r="10" spans="1:32" ht="20.45" customHeight="1" x14ac:dyDescent="0.2">
      <c r="A10" s="1421" t="s">
        <v>1228</v>
      </c>
      <c r="B10" s="1417" t="s">
        <v>8959</v>
      </c>
      <c r="C10" s="1422" t="s">
        <v>7</v>
      </c>
      <c r="D10"/>
      <c r="E10"/>
      <c r="F10"/>
      <c r="G10"/>
      <c r="H10"/>
      <c r="I10"/>
      <c r="J10"/>
      <c r="K10"/>
      <c r="L10"/>
      <c r="M10"/>
      <c r="N10"/>
      <c r="O10"/>
      <c r="P10"/>
      <c r="Q10"/>
      <c r="R10"/>
      <c r="S10"/>
      <c r="T10"/>
      <c r="U10"/>
      <c r="V10"/>
      <c r="W10"/>
      <c r="X10"/>
      <c r="Y10"/>
      <c r="Z10"/>
      <c r="AA10"/>
      <c r="AB10"/>
      <c r="AC10"/>
      <c r="AD10"/>
      <c r="AE10"/>
      <c r="AF10"/>
    </row>
    <row r="11" spans="1:32" ht="20.45" customHeight="1" x14ac:dyDescent="0.2">
      <c r="A11" s="1421" t="s">
        <v>1228</v>
      </c>
      <c r="B11" s="1417" t="s">
        <v>8958</v>
      </c>
      <c r="C11" s="1422" t="s">
        <v>2010</v>
      </c>
      <c r="D11"/>
      <c r="E11"/>
      <c r="F11"/>
      <c r="G11"/>
      <c r="H11"/>
      <c r="I11"/>
      <c r="J11"/>
      <c r="K11"/>
      <c r="L11"/>
      <c r="M11"/>
      <c r="N11"/>
      <c r="O11"/>
      <c r="P11"/>
      <c r="Q11"/>
      <c r="R11"/>
      <c r="S11"/>
      <c r="T11"/>
      <c r="U11"/>
      <c r="V11"/>
      <c r="W11"/>
      <c r="X11"/>
      <c r="Y11"/>
      <c r="Z11"/>
      <c r="AA11"/>
      <c r="AB11"/>
      <c r="AC11"/>
      <c r="AD11"/>
      <c r="AE11"/>
      <c r="AF11"/>
    </row>
    <row r="12" spans="1:32" ht="20.45" customHeight="1" x14ac:dyDescent="0.2">
      <c r="A12" s="1419" t="s">
        <v>39</v>
      </c>
      <c r="B12" s="1800" t="s">
        <v>9644</v>
      </c>
      <c r="C12" s="1420" t="s">
        <v>5551</v>
      </c>
      <c r="D12"/>
      <c r="E12"/>
      <c r="F12"/>
      <c r="G12"/>
      <c r="H12"/>
      <c r="I12"/>
      <c r="J12"/>
      <c r="K12"/>
      <c r="L12"/>
      <c r="M12"/>
      <c r="N12"/>
      <c r="O12"/>
      <c r="P12"/>
      <c r="Q12"/>
      <c r="R12"/>
      <c r="S12"/>
      <c r="T12"/>
      <c r="U12"/>
      <c r="V12"/>
      <c r="W12"/>
      <c r="X12"/>
      <c r="Y12"/>
      <c r="Z12"/>
      <c r="AA12"/>
      <c r="AB12"/>
      <c r="AC12"/>
      <c r="AD12"/>
      <c r="AE12"/>
      <c r="AF12"/>
    </row>
    <row r="13" spans="1:32" ht="20.45" customHeight="1" x14ac:dyDescent="0.2">
      <c r="A13" s="1421" t="s">
        <v>1228</v>
      </c>
      <c r="B13" s="1417" t="s">
        <v>5795</v>
      </c>
      <c r="C13" s="1422" t="s">
        <v>5552</v>
      </c>
      <c r="D13"/>
      <c r="E13"/>
      <c r="F13"/>
      <c r="G13"/>
      <c r="H13"/>
      <c r="I13"/>
      <c r="J13"/>
      <c r="K13"/>
      <c r="L13"/>
      <c r="M13"/>
      <c r="N13"/>
      <c r="O13"/>
      <c r="P13"/>
      <c r="Q13"/>
      <c r="R13"/>
      <c r="S13"/>
      <c r="T13"/>
      <c r="U13"/>
      <c r="V13"/>
      <c r="W13"/>
      <c r="X13"/>
      <c r="Y13"/>
      <c r="Z13"/>
      <c r="AA13"/>
      <c r="AB13"/>
      <c r="AC13"/>
      <c r="AD13"/>
      <c r="AE13"/>
      <c r="AF13"/>
    </row>
    <row r="14" spans="1:32" ht="20.45" customHeight="1" x14ac:dyDescent="0.2">
      <c r="A14" s="1421" t="s">
        <v>1228</v>
      </c>
      <c r="B14" s="1417" t="s">
        <v>5798</v>
      </c>
      <c r="C14" s="1422" t="s">
        <v>2023</v>
      </c>
      <c r="D14"/>
      <c r="E14"/>
      <c r="F14"/>
      <c r="G14"/>
      <c r="H14"/>
      <c r="I14"/>
      <c r="J14"/>
      <c r="K14"/>
      <c r="L14"/>
      <c r="M14"/>
      <c r="N14"/>
      <c r="O14"/>
      <c r="P14"/>
      <c r="Q14"/>
      <c r="R14"/>
      <c r="S14"/>
      <c r="T14"/>
      <c r="U14"/>
      <c r="V14"/>
      <c r="W14"/>
      <c r="X14"/>
      <c r="Y14"/>
      <c r="Z14"/>
      <c r="AA14"/>
      <c r="AB14"/>
      <c r="AC14"/>
      <c r="AD14"/>
      <c r="AE14"/>
      <c r="AF14"/>
    </row>
    <row r="15" spans="1:32" ht="20.45" customHeight="1" x14ac:dyDescent="0.2">
      <c r="A15" s="1419" t="s">
        <v>1237</v>
      </c>
      <c r="B15" s="1417">
        <v>2</v>
      </c>
      <c r="C15" s="1420" t="s">
        <v>2026</v>
      </c>
      <c r="D15"/>
      <c r="E15"/>
      <c r="F15"/>
      <c r="G15"/>
      <c r="H15"/>
      <c r="I15"/>
      <c r="J15"/>
      <c r="K15"/>
      <c r="L15"/>
      <c r="M15"/>
      <c r="N15"/>
      <c r="O15"/>
      <c r="P15"/>
      <c r="Q15"/>
      <c r="R15"/>
      <c r="S15"/>
      <c r="T15"/>
      <c r="U15"/>
      <c r="V15"/>
      <c r="W15"/>
      <c r="X15"/>
      <c r="Y15"/>
      <c r="Z15"/>
      <c r="AA15"/>
      <c r="AB15"/>
      <c r="AC15"/>
      <c r="AD15"/>
      <c r="AE15"/>
      <c r="AF15"/>
    </row>
    <row r="16" spans="1:32" ht="20.45" customHeight="1" x14ac:dyDescent="0.2">
      <c r="A16" s="1419" t="s">
        <v>39</v>
      </c>
      <c r="B16" s="1800" t="s">
        <v>9645</v>
      </c>
      <c r="C16" s="1420" t="s">
        <v>5553</v>
      </c>
      <c r="D16"/>
      <c r="E16"/>
      <c r="F16"/>
      <c r="G16"/>
      <c r="H16"/>
      <c r="I16"/>
      <c r="J16"/>
      <c r="K16"/>
      <c r="L16"/>
      <c r="M16"/>
      <c r="N16"/>
      <c r="O16"/>
      <c r="P16"/>
      <c r="Q16"/>
      <c r="R16"/>
      <c r="S16"/>
      <c r="T16"/>
      <c r="U16"/>
      <c r="V16"/>
      <c r="W16"/>
      <c r="X16"/>
      <c r="Y16"/>
      <c r="Z16"/>
      <c r="AA16"/>
      <c r="AB16"/>
      <c r="AC16"/>
      <c r="AD16"/>
      <c r="AE16"/>
      <c r="AF16"/>
    </row>
    <row r="17" spans="1:32" ht="20.45" customHeight="1" x14ac:dyDescent="0.2">
      <c r="A17" s="1421" t="s">
        <v>1228</v>
      </c>
      <c r="B17" s="1417" t="s">
        <v>5808</v>
      </c>
      <c r="C17" s="1422" t="s">
        <v>5554</v>
      </c>
      <c r="D17"/>
      <c r="E17"/>
      <c r="F17"/>
      <c r="G17"/>
      <c r="H17"/>
      <c r="I17"/>
      <c r="J17"/>
      <c r="K17"/>
      <c r="L17"/>
      <c r="M17"/>
      <c r="N17"/>
      <c r="O17"/>
      <c r="P17"/>
      <c r="Q17"/>
      <c r="R17"/>
      <c r="S17"/>
      <c r="T17"/>
      <c r="U17"/>
      <c r="V17"/>
      <c r="W17"/>
      <c r="X17"/>
      <c r="Y17"/>
      <c r="Z17"/>
      <c r="AA17"/>
      <c r="AB17"/>
      <c r="AC17"/>
      <c r="AD17"/>
      <c r="AE17"/>
      <c r="AF17"/>
    </row>
    <row r="18" spans="1:32" ht="20.45" customHeight="1" x14ac:dyDescent="0.2">
      <c r="A18" s="1421" t="s">
        <v>1228</v>
      </c>
      <c r="B18" s="1417" t="s">
        <v>5810</v>
      </c>
      <c r="C18" s="1422" t="s">
        <v>2030</v>
      </c>
      <c r="D18"/>
      <c r="E18"/>
      <c r="F18"/>
      <c r="G18"/>
      <c r="H18"/>
      <c r="I18"/>
      <c r="J18"/>
      <c r="K18"/>
      <c r="L18"/>
      <c r="M18"/>
      <c r="N18"/>
      <c r="O18"/>
      <c r="P18"/>
      <c r="Q18"/>
      <c r="R18"/>
      <c r="S18"/>
      <c r="T18"/>
      <c r="U18"/>
      <c r="V18"/>
      <c r="W18"/>
      <c r="X18"/>
      <c r="Y18"/>
      <c r="Z18"/>
      <c r="AA18"/>
      <c r="AB18"/>
      <c r="AC18"/>
      <c r="AD18"/>
      <c r="AE18"/>
      <c r="AF18"/>
    </row>
    <row r="19" spans="1:32" ht="20.45" customHeight="1" x14ac:dyDescent="0.2">
      <c r="A19" s="1421" t="s">
        <v>1228</v>
      </c>
      <c r="B19" s="1417" t="s">
        <v>5813</v>
      </c>
      <c r="C19" s="1422" t="s">
        <v>2085</v>
      </c>
      <c r="D19"/>
      <c r="E19"/>
      <c r="F19" s="1717"/>
      <c r="G19"/>
      <c r="H19"/>
      <c r="I19"/>
      <c r="J19"/>
      <c r="K19"/>
      <c r="L19"/>
      <c r="M19"/>
      <c r="N19"/>
      <c r="O19"/>
      <c r="P19"/>
      <c r="Q19"/>
      <c r="R19"/>
      <c r="S19"/>
      <c r="T19"/>
      <c r="U19"/>
      <c r="V19"/>
      <c r="W19"/>
      <c r="X19"/>
      <c r="Y19"/>
      <c r="Z19"/>
      <c r="AA19"/>
      <c r="AB19"/>
      <c r="AC19"/>
      <c r="AD19"/>
      <c r="AE19"/>
      <c r="AF19"/>
    </row>
    <row r="20" spans="1:32" ht="20.45" customHeight="1" x14ac:dyDescent="0.2">
      <c r="A20" s="1421" t="s">
        <v>1228</v>
      </c>
      <c r="B20" s="1417" t="s">
        <v>8957</v>
      </c>
      <c r="C20" s="1422" t="s">
        <v>2086</v>
      </c>
      <c r="D20"/>
      <c r="E20"/>
      <c r="F20"/>
      <c r="G20"/>
      <c r="H20"/>
      <c r="I20"/>
      <c r="J20"/>
      <c r="K20"/>
      <c r="L20"/>
      <c r="M20"/>
      <c r="N20"/>
      <c r="O20"/>
      <c r="P20"/>
      <c r="Q20"/>
      <c r="R20"/>
      <c r="S20"/>
      <c r="T20"/>
      <c r="U20"/>
      <c r="V20"/>
      <c r="W20"/>
      <c r="X20"/>
      <c r="Y20"/>
      <c r="Z20"/>
      <c r="AA20"/>
      <c r="AB20"/>
      <c r="AC20"/>
      <c r="AD20"/>
      <c r="AE20"/>
      <c r="AF20"/>
    </row>
    <row r="21" spans="1:32" ht="20.45" customHeight="1" x14ac:dyDescent="0.2">
      <c r="A21" s="1419" t="s">
        <v>39</v>
      </c>
      <c r="B21" s="1800" t="s">
        <v>9646</v>
      </c>
      <c r="C21" s="1420" t="s">
        <v>2045</v>
      </c>
      <c r="D21"/>
      <c r="E21"/>
      <c r="F21"/>
      <c r="G21"/>
      <c r="H21"/>
      <c r="I21"/>
      <c r="J21"/>
      <c r="K21"/>
      <c r="L21"/>
      <c r="M21"/>
      <c r="N21"/>
      <c r="O21"/>
      <c r="P21"/>
      <c r="Q21"/>
      <c r="R21"/>
      <c r="S21"/>
      <c r="T21"/>
      <c r="U21"/>
      <c r="V21"/>
      <c r="W21"/>
      <c r="X21"/>
      <c r="Y21"/>
      <c r="Z21"/>
      <c r="AA21"/>
      <c r="AB21"/>
      <c r="AC21"/>
      <c r="AD21"/>
      <c r="AE21"/>
      <c r="AF21"/>
    </row>
    <row r="22" spans="1:32" ht="20.45" customHeight="1" x14ac:dyDescent="0.2">
      <c r="A22" s="1421" t="s">
        <v>1228</v>
      </c>
      <c r="B22" s="1417" t="s">
        <v>5816</v>
      </c>
      <c r="C22" s="1423" t="s">
        <v>2046</v>
      </c>
      <c r="D22"/>
      <c r="E22"/>
      <c r="F22"/>
      <c r="G22"/>
      <c r="H22"/>
      <c r="I22"/>
      <c r="J22"/>
      <c r="K22"/>
      <c r="L22"/>
      <c r="M22"/>
      <c r="N22"/>
      <c r="O22"/>
      <c r="P22"/>
      <c r="Q22"/>
      <c r="R22"/>
      <c r="S22"/>
      <c r="T22"/>
      <c r="U22"/>
      <c r="V22"/>
      <c r="W22"/>
      <c r="X22"/>
      <c r="Y22"/>
      <c r="Z22"/>
      <c r="AA22"/>
      <c r="AB22"/>
      <c r="AC22"/>
      <c r="AD22"/>
      <c r="AE22"/>
      <c r="AF22"/>
    </row>
    <row r="23" spans="1:32" ht="20.45" customHeight="1" x14ac:dyDescent="0.2">
      <c r="A23" s="1421" t="s">
        <v>1228</v>
      </c>
      <c r="B23" s="1417" t="s">
        <v>5821</v>
      </c>
      <c r="C23" s="1424" t="s">
        <v>5555</v>
      </c>
      <c r="D23"/>
      <c r="E23"/>
      <c r="F23"/>
      <c r="G23"/>
      <c r="H23"/>
      <c r="I23"/>
      <c r="J23"/>
      <c r="K23"/>
      <c r="L23"/>
      <c r="M23"/>
      <c r="N23"/>
      <c r="O23"/>
      <c r="P23"/>
      <c r="Q23"/>
      <c r="R23"/>
      <c r="S23"/>
      <c r="T23"/>
      <c r="U23"/>
      <c r="V23"/>
      <c r="W23"/>
      <c r="X23"/>
      <c r="Y23"/>
      <c r="Z23"/>
      <c r="AA23"/>
      <c r="AB23"/>
      <c r="AC23"/>
      <c r="AD23"/>
      <c r="AE23"/>
      <c r="AF23"/>
    </row>
    <row r="24" spans="1:32" ht="20.45" customHeight="1" x14ac:dyDescent="0.2">
      <c r="A24" s="1421" t="s">
        <v>1228</v>
      </c>
      <c r="B24" s="1417" t="s">
        <v>8956</v>
      </c>
      <c r="C24" s="1423" t="s">
        <v>8</v>
      </c>
      <c r="D24"/>
      <c r="E24"/>
      <c r="F24"/>
      <c r="G24"/>
      <c r="H24"/>
      <c r="I24"/>
      <c r="J24"/>
      <c r="K24"/>
      <c r="L24"/>
      <c r="M24"/>
      <c r="N24"/>
      <c r="O24"/>
      <c r="P24"/>
      <c r="Q24"/>
      <c r="R24"/>
      <c r="S24"/>
      <c r="T24"/>
      <c r="U24"/>
      <c r="V24"/>
      <c r="W24"/>
      <c r="X24"/>
      <c r="Y24"/>
      <c r="Z24"/>
      <c r="AA24"/>
      <c r="AB24"/>
      <c r="AC24"/>
      <c r="AD24"/>
      <c r="AE24"/>
      <c r="AF24"/>
    </row>
    <row r="25" spans="1:32" ht="20.45" customHeight="1" x14ac:dyDescent="0.2">
      <c r="A25" s="1421" t="s">
        <v>1228</v>
      </c>
      <c r="B25" s="1417" t="s">
        <v>8955</v>
      </c>
      <c r="C25" s="1423" t="s">
        <v>2090</v>
      </c>
      <c r="D25"/>
      <c r="E25"/>
      <c r="F25"/>
      <c r="G25"/>
      <c r="H25"/>
      <c r="I25"/>
      <c r="J25"/>
      <c r="K25"/>
      <c r="L25"/>
      <c r="M25"/>
      <c r="N25"/>
      <c r="O25"/>
      <c r="P25"/>
      <c r="Q25"/>
      <c r="R25"/>
      <c r="S25"/>
      <c r="T25"/>
      <c r="U25"/>
      <c r="V25"/>
      <c r="W25"/>
      <c r="X25"/>
      <c r="Y25"/>
      <c r="Z25"/>
      <c r="AA25"/>
      <c r="AB25"/>
      <c r="AC25"/>
      <c r="AD25"/>
      <c r="AE25"/>
      <c r="AF25"/>
    </row>
    <row r="26" spans="1:32" ht="20.45" customHeight="1" x14ac:dyDescent="0.2">
      <c r="A26" s="1421" t="s">
        <v>1228</v>
      </c>
      <c r="B26" s="1417" t="s">
        <v>8954</v>
      </c>
      <c r="C26" s="1423" t="s">
        <v>1245</v>
      </c>
      <c r="D26"/>
      <c r="E26"/>
      <c r="F26"/>
      <c r="G26"/>
      <c r="H26"/>
      <c r="I26"/>
      <c r="J26"/>
      <c r="K26"/>
      <c r="L26"/>
      <c r="M26"/>
      <c r="N26"/>
      <c r="O26"/>
      <c r="P26"/>
      <c r="Q26"/>
      <c r="R26"/>
      <c r="S26"/>
      <c r="T26"/>
      <c r="U26"/>
      <c r="V26"/>
      <c r="W26"/>
      <c r="X26"/>
      <c r="Y26"/>
      <c r="Z26"/>
      <c r="AA26"/>
      <c r="AB26"/>
      <c r="AC26"/>
      <c r="AD26"/>
      <c r="AE26"/>
      <c r="AF26"/>
    </row>
    <row r="27" spans="1:32" ht="20.45" customHeight="1" x14ac:dyDescent="0.2">
      <c r="A27" s="1419" t="s">
        <v>39</v>
      </c>
      <c r="B27" s="1800" t="s">
        <v>9647</v>
      </c>
      <c r="C27" s="1420" t="s">
        <v>2071</v>
      </c>
      <c r="D27"/>
      <c r="E27"/>
      <c r="F27"/>
      <c r="G27"/>
      <c r="H27"/>
      <c r="I27"/>
      <c r="J27"/>
      <c r="K27"/>
      <c r="L27"/>
      <c r="M27"/>
      <c r="N27"/>
      <c r="O27"/>
      <c r="P27"/>
      <c r="Q27"/>
      <c r="R27"/>
      <c r="S27"/>
      <c r="T27"/>
      <c r="U27"/>
      <c r="V27"/>
      <c r="W27"/>
      <c r="X27"/>
      <c r="Y27"/>
      <c r="Z27"/>
      <c r="AA27"/>
      <c r="AB27"/>
      <c r="AC27"/>
      <c r="AD27"/>
      <c r="AE27"/>
      <c r="AF27"/>
    </row>
    <row r="28" spans="1:32" ht="20.45" customHeight="1" x14ac:dyDescent="0.2">
      <c r="A28" s="1421" t="s">
        <v>1228</v>
      </c>
      <c r="B28" s="1417" t="s">
        <v>5824</v>
      </c>
      <c r="C28" s="1423" t="s">
        <v>5556</v>
      </c>
      <c r="D28"/>
      <c r="E28"/>
      <c r="F28"/>
      <c r="G28"/>
      <c r="H28"/>
      <c r="I28"/>
      <c r="J28"/>
      <c r="K28"/>
      <c r="L28"/>
      <c r="M28"/>
      <c r="N28"/>
      <c r="O28"/>
      <c r="P28"/>
      <c r="Q28"/>
      <c r="R28"/>
      <c r="S28"/>
      <c r="T28"/>
      <c r="U28"/>
      <c r="V28"/>
      <c r="W28"/>
      <c r="X28"/>
      <c r="Y28"/>
      <c r="Z28"/>
      <c r="AA28"/>
      <c r="AB28"/>
      <c r="AC28"/>
      <c r="AD28"/>
      <c r="AE28"/>
      <c r="AF28"/>
    </row>
    <row r="29" spans="1:32" ht="20.45" customHeight="1" x14ac:dyDescent="0.2">
      <c r="A29" s="1421" t="s">
        <v>1228</v>
      </c>
      <c r="B29" s="1417" t="s">
        <v>5826</v>
      </c>
      <c r="C29" s="1423" t="s">
        <v>5557</v>
      </c>
      <c r="D29"/>
      <c r="E29"/>
      <c r="F29"/>
      <c r="G29"/>
      <c r="H29"/>
      <c r="I29"/>
      <c r="J29"/>
      <c r="K29"/>
      <c r="L29"/>
      <c r="M29"/>
      <c r="N29"/>
      <c r="O29"/>
      <c r="P29"/>
      <c r="Q29"/>
      <c r="R29"/>
      <c r="S29"/>
      <c r="T29"/>
      <c r="U29"/>
      <c r="V29"/>
      <c r="W29"/>
      <c r="X29"/>
      <c r="Y29"/>
      <c r="Z29"/>
      <c r="AA29"/>
      <c r="AB29"/>
      <c r="AC29"/>
      <c r="AD29"/>
      <c r="AE29"/>
      <c r="AF29"/>
    </row>
    <row r="30" spans="1:32" ht="20.45" customHeight="1" x14ac:dyDescent="0.2">
      <c r="A30" s="1419" t="s">
        <v>1237</v>
      </c>
      <c r="B30" s="1417">
        <v>3</v>
      </c>
      <c r="C30" s="1420" t="s">
        <v>9</v>
      </c>
      <c r="D30"/>
      <c r="E30"/>
      <c r="F30"/>
      <c r="G30"/>
      <c r="H30"/>
      <c r="I30"/>
      <c r="J30"/>
      <c r="K30"/>
      <c r="L30"/>
      <c r="M30"/>
      <c r="N30"/>
      <c r="O30"/>
      <c r="P30"/>
      <c r="Q30"/>
      <c r="R30"/>
      <c r="S30"/>
      <c r="T30"/>
      <c r="U30"/>
      <c r="V30"/>
      <c r="W30"/>
      <c r="X30"/>
      <c r="Y30"/>
      <c r="Z30"/>
      <c r="AA30"/>
      <c r="AB30"/>
      <c r="AC30"/>
      <c r="AD30"/>
      <c r="AE30"/>
      <c r="AF30"/>
    </row>
    <row r="31" spans="1:32" ht="20.45" customHeight="1" x14ac:dyDescent="0.2">
      <c r="A31" s="1419" t="s">
        <v>39</v>
      </c>
      <c r="B31" s="1800" t="s">
        <v>9648</v>
      </c>
      <c r="C31" s="1420" t="s">
        <v>9</v>
      </c>
      <c r="D31"/>
      <c r="E31"/>
      <c r="F31"/>
      <c r="G31"/>
      <c r="H31"/>
      <c r="I31"/>
      <c r="J31"/>
      <c r="K31"/>
      <c r="L31"/>
      <c r="M31"/>
      <c r="N31"/>
      <c r="O31"/>
      <c r="P31"/>
      <c r="Q31"/>
      <c r="R31"/>
      <c r="S31"/>
      <c r="T31"/>
      <c r="U31"/>
      <c r="V31"/>
      <c r="W31"/>
      <c r="X31"/>
      <c r="Y31"/>
      <c r="Z31"/>
      <c r="AA31"/>
      <c r="AB31"/>
      <c r="AC31"/>
      <c r="AD31"/>
      <c r="AE31"/>
      <c r="AF31"/>
    </row>
    <row r="32" spans="1:32" ht="20.45" customHeight="1" x14ac:dyDescent="0.2">
      <c r="A32" s="1421" t="s">
        <v>1228</v>
      </c>
      <c r="B32" s="1417" t="s">
        <v>5842</v>
      </c>
      <c r="C32" s="1423" t="s">
        <v>2098</v>
      </c>
      <c r="D32"/>
      <c r="E32"/>
      <c r="F32"/>
      <c r="G32"/>
      <c r="H32"/>
      <c r="I32"/>
      <c r="J32"/>
      <c r="K32"/>
      <c r="L32"/>
      <c r="M32"/>
      <c r="N32"/>
      <c r="O32"/>
      <c r="P32"/>
      <c r="Q32"/>
      <c r="R32"/>
      <c r="S32"/>
      <c r="T32"/>
      <c r="U32"/>
      <c r="V32"/>
      <c r="W32"/>
      <c r="X32"/>
      <c r="Y32"/>
      <c r="Z32"/>
      <c r="AA32"/>
      <c r="AB32"/>
      <c r="AC32"/>
      <c r="AD32"/>
      <c r="AE32"/>
      <c r="AF32"/>
    </row>
    <row r="33" spans="1:32" ht="20.45" customHeight="1" x14ac:dyDescent="0.2">
      <c r="A33" s="1421" t="s">
        <v>1228</v>
      </c>
      <c r="B33" s="1417" t="s">
        <v>5845</v>
      </c>
      <c r="C33" s="1423" t="s">
        <v>2074</v>
      </c>
      <c r="D33"/>
      <c r="E33"/>
      <c r="F33"/>
      <c r="G33"/>
      <c r="H33"/>
      <c r="I33"/>
      <c r="J33"/>
      <c r="K33"/>
      <c r="L33"/>
      <c r="M33"/>
      <c r="N33"/>
      <c r="O33"/>
      <c r="P33"/>
      <c r="Q33"/>
      <c r="R33"/>
      <c r="S33"/>
      <c r="T33"/>
      <c r="U33"/>
      <c r="V33"/>
      <c r="W33"/>
      <c r="X33"/>
      <c r="Y33"/>
      <c r="Z33"/>
      <c r="AA33"/>
      <c r="AB33"/>
      <c r="AC33"/>
      <c r="AD33"/>
      <c r="AE33"/>
      <c r="AF33"/>
    </row>
    <row r="34" spans="1:32" ht="20.45" customHeight="1" x14ac:dyDescent="0.2">
      <c r="A34" s="1421" t="s">
        <v>1228</v>
      </c>
      <c r="B34" s="1417" t="s">
        <v>5848</v>
      </c>
      <c r="C34" s="1424" t="s">
        <v>2076</v>
      </c>
      <c r="D34"/>
      <c r="E34"/>
      <c r="F34"/>
      <c r="G34"/>
      <c r="H34"/>
      <c r="I34"/>
      <c r="J34"/>
      <c r="K34"/>
      <c r="L34"/>
      <c r="M34"/>
      <c r="N34"/>
      <c r="O34"/>
      <c r="P34"/>
      <c r="Q34"/>
      <c r="R34"/>
      <c r="S34"/>
      <c r="T34"/>
      <c r="U34"/>
      <c r="V34"/>
      <c r="W34"/>
      <c r="X34"/>
      <c r="Y34"/>
      <c r="Z34"/>
      <c r="AA34"/>
      <c r="AB34"/>
      <c r="AC34"/>
      <c r="AD34"/>
      <c r="AE34"/>
      <c r="AF34"/>
    </row>
    <row r="35" spans="1:32" ht="20.45" customHeight="1" x14ac:dyDescent="0.2">
      <c r="A35" s="1416" t="s">
        <v>5549</v>
      </c>
      <c r="B35" s="1417">
        <v>2</v>
      </c>
      <c r="C35" s="1425" t="s">
        <v>10</v>
      </c>
      <c r="D35"/>
      <c r="E35"/>
      <c r="F35"/>
      <c r="G35"/>
      <c r="H35"/>
      <c r="I35"/>
      <c r="J35"/>
      <c r="K35"/>
      <c r="L35"/>
      <c r="M35"/>
      <c r="N35"/>
      <c r="O35"/>
      <c r="P35"/>
      <c r="Q35"/>
      <c r="R35"/>
      <c r="S35"/>
      <c r="T35"/>
      <c r="U35"/>
      <c r="V35"/>
      <c r="W35"/>
      <c r="X35"/>
      <c r="Y35"/>
      <c r="Z35"/>
      <c r="AA35"/>
      <c r="AB35"/>
      <c r="AC35"/>
      <c r="AD35"/>
      <c r="AE35"/>
      <c r="AF35"/>
    </row>
    <row r="36" spans="1:32" ht="20.45" customHeight="1" x14ac:dyDescent="0.2">
      <c r="A36" s="1419" t="s">
        <v>1237</v>
      </c>
      <c r="B36" s="1417">
        <v>1</v>
      </c>
      <c r="C36" s="1420" t="s">
        <v>3</v>
      </c>
      <c r="D36"/>
      <c r="E36"/>
      <c r="F36"/>
      <c r="G36"/>
      <c r="H36"/>
      <c r="I36"/>
      <c r="J36"/>
      <c r="K36"/>
      <c r="L36"/>
      <c r="M36"/>
      <c r="N36"/>
      <c r="O36"/>
      <c r="P36"/>
      <c r="Q36"/>
      <c r="R36"/>
      <c r="S36"/>
      <c r="T36"/>
      <c r="U36"/>
      <c r="V36"/>
      <c r="W36"/>
      <c r="X36"/>
      <c r="Y36"/>
      <c r="Z36"/>
      <c r="AA36"/>
      <c r="AB36"/>
      <c r="AC36"/>
      <c r="AD36"/>
      <c r="AE36"/>
      <c r="AF36"/>
    </row>
    <row r="37" spans="1:32" ht="20.45" customHeight="1" x14ac:dyDescent="0.2">
      <c r="A37" s="1419" t="s">
        <v>39</v>
      </c>
      <c r="B37" s="1800" t="s">
        <v>9643</v>
      </c>
      <c r="C37" s="1420" t="s">
        <v>41</v>
      </c>
      <c r="D37"/>
      <c r="E37"/>
      <c r="F37"/>
      <c r="G37"/>
      <c r="H37"/>
      <c r="I37"/>
      <c r="J37"/>
      <c r="K37"/>
      <c r="L37"/>
      <c r="M37"/>
      <c r="N37"/>
      <c r="O37"/>
      <c r="P37"/>
      <c r="Q37"/>
      <c r="R37"/>
      <c r="S37"/>
      <c r="T37"/>
      <c r="U37"/>
      <c r="V37"/>
      <c r="W37"/>
      <c r="X37"/>
      <c r="Y37"/>
      <c r="Z37"/>
      <c r="AA37"/>
      <c r="AB37"/>
      <c r="AC37"/>
      <c r="AD37"/>
      <c r="AE37"/>
      <c r="AF37"/>
    </row>
    <row r="38" spans="1:32" ht="20.45" customHeight="1" x14ac:dyDescent="0.2">
      <c r="A38" s="1421" t="s">
        <v>1228</v>
      </c>
      <c r="B38" s="1417" t="s">
        <v>5792</v>
      </c>
      <c r="C38" s="1422" t="s">
        <v>5558</v>
      </c>
      <c r="D38"/>
      <c r="E38"/>
      <c r="F38"/>
      <c r="G38"/>
      <c r="H38"/>
      <c r="I38"/>
      <c r="J38"/>
      <c r="K38"/>
      <c r="L38"/>
      <c r="M38"/>
      <c r="N38"/>
      <c r="O38"/>
      <c r="P38"/>
      <c r="Q38"/>
      <c r="R38"/>
      <c r="S38"/>
      <c r="T38"/>
      <c r="U38"/>
      <c r="V38"/>
      <c r="W38"/>
      <c r="X38"/>
      <c r="Y38"/>
      <c r="Z38"/>
      <c r="AA38"/>
      <c r="AB38"/>
      <c r="AC38"/>
      <c r="AD38"/>
      <c r="AE38"/>
      <c r="AF38"/>
    </row>
    <row r="39" spans="1:32" ht="20.45" customHeight="1" x14ac:dyDescent="0.2">
      <c r="A39" s="1421" t="s">
        <v>1228</v>
      </c>
      <c r="B39" s="1417" t="s">
        <v>8960</v>
      </c>
      <c r="C39" s="1422" t="s">
        <v>5559</v>
      </c>
      <c r="D39"/>
      <c r="E39"/>
      <c r="F39"/>
      <c r="G39"/>
      <c r="H39"/>
      <c r="I39"/>
      <c r="J39"/>
      <c r="K39"/>
      <c r="L39"/>
      <c r="M39"/>
      <c r="N39"/>
      <c r="O39"/>
      <c r="P39"/>
      <c r="Q39"/>
      <c r="R39"/>
      <c r="S39"/>
      <c r="T39"/>
      <c r="U39"/>
      <c r="V39"/>
      <c r="W39"/>
      <c r="X39"/>
      <c r="Y39"/>
      <c r="Z39"/>
      <c r="AA39"/>
      <c r="AB39"/>
      <c r="AC39"/>
      <c r="AD39"/>
      <c r="AE39"/>
      <c r="AF39"/>
    </row>
    <row r="40" spans="1:32" ht="20.45" customHeight="1" x14ac:dyDescent="0.2">
      <c r="A40" s="1421" t="s">
        <v>1228</v>
      </c>
      <c r="B40" s="1417" t="s">
        <v>8959</v>
      </c>
      <c r="C40" s="1422" t="s">
        <v>5560</v>
      </c>
      <c r="D40"/>
      <c r="E40"/>
      <c r="F40"/>
      <c r="G40"/>
      <c r="H40"/>
      <c r="I40"/>
      <c r="J40"/>
      <c r="K40"/>
      <c r="L40"/>
      <c r="M40"/>
      <c r="N40"/>
      <c r="O40"/>
      <c r="P40"/>
      <c r="Q40"/>
      <c r="R40"/>
      <c r="S40"/>
      <c r="T40"/>
      <c r="U40"/>
      <c r="V40"/>
      <c r="W40"/>
      <c r="X40"/>
      <c r="Y40"/>
      <c r="Z40"/>
      <c r="AA40"/>
      <c r="AB40"/>
      <c r="AC40"/>
      <c r="AD40"/>
      <c r="AE40"/>
      <c r="AF40"/>
    </row>
    <row r="41" spans="1:32" ht="20.45" customHeight="1" x14ac:dyDescent="0.2">
      <c r="A41" s="1421" t="s">
        <v>1228</v>
      </c>
      <c r="B41" s="1417" t="s">
        <v>8958</v>
      </c>
      <c r="C41" s="1422" t="s">
        <v>5561</v>
      </c>
      <c r="D41"/>
      <c r="E41"/>
      <c r="F41"/>
      <c r="G41"/>
      <c r="H41"/>
      <c r="I41"/>
      <c r="J41"/>
      <c r="K41"/>
      <c r="L41"/>
      <c r="M41"/>
      <c r="N41"/>
      <c r="O41"/>
      <c r="P41"/>
      <c r="Q41"/>
      <c r="R41"/>
      <c r="S41"/>
      <c r="T41"/>
      <c r="U41"/>
      <c r="V41"/>
      <c r="W41"/>
      <c r="X41"/>
      <c r="Y41"/>
      <c r="Z41"/>
      <c r="AA41"/>
      <c r="AB41"/>
      <c r="AC41"/>
      <c r="AD41"/>
      <c r="AE41"/>
      <c r="AF41"/>
    </row>
    <row r="42" spans="1:32" ht="20.45" customHeight="1" x14ac:dyDescent="0.2">
      <c r="A42" s="1421" t="s">
        <v>1228</v>
      </c>
      <c r="B42" s="1417" t="s">
        <v>9066</v>
      </c>
      <c r="C42" s="1422" t="s">
        <v>5562</v>
      </c>
      <c r="D42"/>
      <c r="E42"/>
      <c r="F42"/>
      <c r="G42"/>
      <c r="H42"/>
      <c r="I42"/>
      <c r="J42"/>
      <c r="K42"/>
      <c r="L42"/>
      <c r="M42"/>
      <c r="N42"/>
      <c r="O42"/>
      <c r="P42"/>
      <c r="Q42"/>
      <c r="R42"/>
      <c r="S42"/>
      <c r="T42"/>
      <c r="U42"/>
      <c r="V42"/>
      <c r="W42"/>
      <c r="X42"/>
      <c r="Y42"/>
      <c r="Z42"/>
      <c r="AA42"/>
      <c r="AB42"/>
      <c r="AC42"/>
      <c r="AD42"/>
      <c r="AE42"/>
      <c r="AF42"/>
    </row>
    <row r="43" spans="1:32" ht="20.45" customHeight="1" x14ac:dyDescent="0.2">
      <c r="A43" s="1419" t="s">
        <v>39</v>
      </c>
      <c r="B43" s="1800" t="s">
        <v>9644</v>
      </c>
      <c r="C43" s="1420" t="s">
        <v>11</v>
      </c>
      <c r="D43"/>
      <c r="E43"/>
      <c r="F43"/>
      <c r="G43"/>
      <c r="H43"/>
      <c r="I43"/>
      <c r="J43"/>
      <c r="K43"/>
      <c r="L43"/>
      <c r="M43"/>
      <c r="N43"/>
      <c r="O43"/>
      <c r="P43"/>
      <c r="Q43"/>
      <c r="R43"/>
      <c r="S43"/>
      <c r="T43"/>
      <c r="U43"/>
      <c r="V43"/>
      <c r="W43"/>
      <c r="X43"/>
      <c r="Y43"/>
      <c r="Z43"/>
      <c r="AA43"/>
      <c r="AB43"/>
      <c r="AC43"/>
      <c r="AD43"/>
      <c r="AE43"/>
      <c r="AF43"/>
    </row>
    <row r="44" spans="1:32" ht="20.45" customHeight="1" x14ac:dyDescent="0.2">
      <c r="A44" s="1421" t="s">
        <v>1228</v>
      </c>
      <c r="B44" s="1417" t="s">
        <v>5795</v>
      </c>
      <c r="C44" s="1422" t="s">
        <v>12</v>
      </c>
      <c r="D44"/>
      <c r="E44"/>
      <c r="F44"/>
      <c r="G44"/>
      <c r="H44"/>
      <c r="I44"/>
      <c r="J44"/>
      <c r="K44"/>
      <c r="L44"/>
      <c r="M44"/>
      <c r="N44"/>
      <c r="O44"/>
      <c r="P44"/>
      <c r="Q44"/>
      <c r="R44"/>
      <c r="S44"/>
      <c r="T44"/>
      <c r="U44"/>
      <c r="V44"/>
      <c r="W44"/>
      <c r="X44"/>
      <c r="Y44"/>
      <c r="Z44"/>
      <c r="AA44"/>
      <c r="AB44"/>
      <c r="AC44"/>
      <c r="AD44"/>
      <c r="AE44"/>
      <c r="AF44"/>
    </row>
    <row r="45" spans="1:32" ht="20.45" customHeight="1" x14ac:dyDescent="0.2">
      <c r="A45" s="1421" t="s">
        <v>1228</v>
      </c>
      <c r="B45" s="1417" t="s">
        <v>5798</v>
      </c>
      <c r="C45" s="1422" t="s">
        <v>13</v>
      </c>
      <c r="D45"/>
      <c r="E45"/>
      <c r="F45"/>
      <c r="G45"/>
      <c r="H45"/>
      <c r="I45"/>
      <c r="J45"/>
      <c r="K45"/>
      <c r="L45"/>
      <c r="M45"/>
      <c r="N45"/>
      <c r="O45"/>
      <c r="P45"/>
      <c r="Q45"/>
      <c r="R45"/>
      <c r="S45"/>
      <c r="T45"/>
      <c r="U45"/>
      <c r="V45"/>
      <c r="W45"/>
      <c r="X45"/>
      <c r="Y45"/>
      <c r="Z45"/>
      <c r="AA45"/>
      <c r="AB45"/>
      <c r="AC45"/>
      <c r="AD45"/>
      <c r="AE45"/>
      <c r="AF45"/>
    </row>
    <row r="46" spans="1:32" ht="20.45" customHeight="1" x14ac:dyDescent="0.2">
      <c r="A46" s="1421" t="s">
        <v>1228</v>
      </c>
      <c r="B46" s="1417" t="s">
        <v>9065</v>
      </c>
      <c r="C46" s="1422" t="s">
        <v>1151</v>
      </c>
      <c r="D46"/>
      <c r="E46"/>
      <c r="F46"/>
      <c r="G46"/>
      <c r="H46"/>
      <c r="I46"/>
      <c r="J46"/>
      <c r="K46"/>
      <c r="L46"/>
      <c r="M46"/>
      <c r="N46"/>
      <c r="O46"/>
      <c r="P46"/>
      <c r="Q46"/>
      <c r="R46"/>
      <c r="S46"/>
      <c r="T46"/>
      <c r="U46"/>
      <c r="V46"/>
      <c r="W46"/>
      <c r="X46"/>
      <c r="Y46"/>
      <c r="Z46"/>
      <c r="AA46"/>
      <c r="AB46"/>
      <c r="AC46"/>
      <c r="AD46"/>
      <c r="AE46"/>
      <c r="AF46"/>
    </row>
    <row r="47" spans="1:32" ht="20.45" customHeight="1" x14ac:dyDescent="0.2">
      <c r="A47" s="1421" t="s">
        <v>1228</v>
      </c>
      <c r="B47" s="1417" t="s">
        <v>9064</v>
      </c>
      <c r="C47" s="1422" t="s">
        <v>14</v>
      </c>
      <c r="D47"/>
      <c r="E47"/>
      <c r="F47"/>
      <c r="G47"/>
      <c r="H47"/>
      <c r="I47"/>
      <c r="J47"/>
      <c r="K47"/>
      <c r="L47"/>
      <c r="M47"/>
      <c r="N47"/>
      <c r="O47"/>
      <c r="P47"/>
      <c r="Q47"/>
      <c r="R47"/>
      <c r="S47"/>
      <c r="T47"/>
      <c r="U47"/>
      <c r="V47"/>
      <c r="W47"/>
      <c r="X47"/>
      <c r="Y47"/>
      <c r="Z47"/>
      <c r="AA47"/>
      <c r="AB47"/>
      <c r="AC47"/>
      <c r="AD47"/>
      <c r="AE47"/>
      <c r="AF47"/>
    </row>
    <row r="48" spans="1:32" ht="20.45" customHeight="1" x14ac:dyDescent="0.2">
      <c r="A48" s="1421" t="s">
        <v>1228</v>
      </c>
      <c r="B48" s="1417" t="s">
        <v>9063</v>
      </c>
      <c r="C48" s="1422" t="s">
        <v>15</v>
      </c>
      <c r="D48"/>
      <c r="E48"/>
      <c r="F48"/>
      <c r="G48"/>
      <c r="H48"/>
      <c r="I48"/>
      <c r="J48"/>
      <c r="K48"/>
      <c r="L48"/>
      <c r="M48"/>
      <c r="N48"/>
      <c r="O48"/>
      <c r="P48"/>
      <c r="Q48"/>
      <c r="R48"/>
      <c r="S48"/>
      <c r="T48"/>
      <c r="U48"/>
      <c r="V48"/>
      <c r="W48"/>
      <c r="X48"/>
      <c r="Y48"/>
      <c r="Z48"/>
      <c r="AA48"/>
      <c r="AB48"/>
      <c r="AC48"/>
      <c r="AD48"/>
      <c r="AE48"/>
      <c r="AF48"/>
    </row>
    <row r="49" spans="1:32" ht="20.45" customHeight="1" x14ac:dyDescent="0.2">
      <c r="A49" s="1419" t="s">
        <v>39</v>
      </c>
      <c r="B49" s="1800" t="s">
        <v>9649</v>
      </c>
      <c r="C49" s="1420" t="s">
        <v>230</v>
      </c>
      <c r="D49"/>
      <c r="E49"/>
      <c r="F49"/>
      <c r="G49"/>
      <c r="H49"/>
      <c r="I49"/>
      <c r="J49"/>
      <c r="K49"/>
      <c r="L49"/>
      <c r="M49"/>
      <c r="N49"/>
      <c r="O49"/>
      <c r="P49"/>
      <c r="Q49"/>
      <c r="R49"/>
      <c r="S49"/>
      <c r="T49"/>
      <c r="U49"/>
      <c r="V49"/>
      <c r="W49"/>
      <c r="X49"/>
      <c r="Y49"/>
      <c r="Z49"/>
      <c r="AA49"/>
      <c r="AB49"/>
      <c r="AC49"/>
      <c r="AD49"/>
      <c r="AE49"/>
      <c r="AF49"/>
    </row>
    <row r="50" spans="1:32" ht="20.45" customHeight="1" x14ac:dyDescent="0.2">
      <c r="A50" s="1421" t="s">
        <v>1228</v>
      </c>
      <c r="B50" s="1417" t="s">
        <v>5801</v>
      </c>
      <c r="C50" s="1422" t="s">
        <v>16</v>
      </c>
      <c r="D50"/>
      <c r="E50"/>
      <c r="F50"/>
      <c r="G50"/>
      <c r="H50"/>
      <c r="I50"/>
      <c r="J50"/>
      <c r="K50"/>
      <c r="L50"/>
      <c r="M50"/>
      <c r="N50"/>
      <c r="O50"/>
      <c r="P50"/>
      <c r="Q50"/>
      <c r="R50"/>
      <c r="S50"/>
      <c r="T50"/>
      <c r="U50"/>
      <c r="V50"/>
      <c r="W50"/>
      <c r="X50"/>
      <c r="Y50"/>
      <c r="Z50"/>
      <c r="AA50"/>
      <c r="AB50"/>
      <c r="AC50"/>
      <c r="AD50"/>
      <c r="AE50"/>
      <c r="AF50"/>
    </row>
    <row r="51" spans="1:32" ht="20.45" customHeight="1" x14ac:dyDescent="0.2">
      <c r="A51" s="1421" t="s">
        <v>1228</v>
      </c>
      <c r="B51" s="1417" t="s">
        <v>9062</v>
      </c>
      <c r="C51" s="1422" t="s">
        <v>13</v>
      </c>
      <c r="D51"/>
      <c r="E51"/>
      <c r="F51"/>
      <c r="G51"/>
      <c r="H51"/>
      <c r="I51"/>
      <c r="J51"/>
      <c r="K51"/>
      <c r="L51"/>
      <c r="M51"/>
      <c r="N51"/>
      <c r="O51"/>
      <c r="P51"/>
      <c r="Q51"/>
      <c r="R51"/>
      <c r="S51"/>
      <c r="T51"/>
      <c r="U51"/>
      <c r="V51"/>
      <c r="W51"/>
      <c r="X51"/>
      <c r="Y51"/>
      <c r="Z51"/>
      <c r="AA51"/>
      <c r="AB51"/>
      <c r="AC51"/>
      <c r="AD51"/>
      <c r="AE51"/>
      <c r="AF51"/>
    </row>
    <row r="52" spans="1:32" ht="20.45" customHeight="1" x14ac:dyDescent="0.2">
      <c r="A52" s="1421" t="s">
        <v>1228</v>
      </c>
      <c r="B52" s="1417" t="s">
        <v>9061</v>
      </c>
      <c r="C52" s="1422" t="s">
        <v>14</v>
      </c>
      <c r="D52"/>
      <c r="E52"/>
      <c r="F52"/>
      <c r="G52"/>
      <c r="H52"/>
      <c r="I52"/>
      <c r="J52"/>
      <c r="K52"/>
      <c r="L52"/>
      <c r="M52"/>
      <c r="N52"/>
      <c r="O52"/>
      <c r="P52"/>
      <c r="Q52"/>
      <c r="R52"/>
      <c r="S52"/>
      <c r="T52"/>
      <c r="U52"/>
      <c r="V52"/>
      <c r="W52"/>
      <c r="X52"/>
      <c r="Y52"/>
      <c r="Z52"/>
      <c r="AA52"/>
      <c r="AB52"/>
      <c r="AC52"/>
      <c r="AD52"/>
      <c r="AE52"/>
      <c r="AF52"/>
    </row>
    <row r="53" spans="1:32" ht="20.45" customHeight="1" x14ac:dyDescent="0.2">
      <c r="A53" s="1421" t="s">
        <v>1228</v>
      </c>
      <c r="B53" s="1417" t="s">
        <v>9060</v>
      </c>
      <c r="C53" s="1422" t="s">
        <v>15</v>
      </c>
      <c r="D53"/>
      <c r="E53"/>
      <c r="F53"/>
      <c r="G53"/>
      <c r="H53"/>
      <c r="I53"/>
      <c r="J53"/>
      <c r="K53"/>
      <c r="L53"/>
      <c r="M53"/>
      <c r="N53"/>
      <c r="O53"/>
      <c r="P53"/>
      <c r="Q53"/>
      <c r="R53"/>
      <c r="S53"/>
      <c r="T53"/>
      <c r="U53"/>
      <c r="V53"/>
      <c r="W53"/>
      <c r="X53"/>
      <c r="Y53"/>
      <c r="Z53"/>
      <c r="AA53"/>
      <c r="AB53"/>
      <c r="AC53"/>
      <c r="AD53"/>
      <c r="AE53"/>
      <c r="AF53"/>
    </row>
    <row r="54" spans="1:32" ht="20.45" customHeight="1" x14ac:dyDescent="0.2">
      <c r="A54" s="1419" t="s">
        <v>1237</v>
      </c>
      <c r="B54" s="1417">
        <v>2</v>
      </c>
      <c r="C54" s="1420" t="s">
        <v>42</v>
      </c>
      <c r="D54"/>
      <c r="E54"/>
      <c r="F54"/>
      <c r="G54"/>
      <c r="H54"/>
      <c r="I54"/>
      <c r="J54"/>
      <c r="K54"/>
      <c r="L54"/>
      <c r="M54"/>
      <c r="N54"/>
      <c r="O54"/>
      <c r="P54"/>
      <c r="Q54"/>
      <c r="R54"/>
      <c r="S54"/>
      <c r="T54"/>
      <c r="U54"/>
      <c r="V54"/>
      <c r="W54"/>
      <c r="X54"/>
      <c r="Y54"/>
      <c r="Z54"/>
      <c r="AA54"/>
      <c r="AB54"/>
      <c r="AC54"/>
      <c r="AD54"/>
      <c r="AE54"/>
      <c r="AF54"/>
    </row>
    <row r="55" spans="1:32" ht="20.45" customHeight="1" x14ac:dyDescent="0.2">
      <c r="A55" s="1419" t="s">
        <v>39</v>
      </c>
      <c r="B55" s="1800" t="s">
        <v>9645</v>
      </c>
      <c r="C55" s="1426" t="s">
        <v>9681</v>
      </c>
      <c r="D55"/>
      <c r="E55"/>
      <c r="F55"/>
      <c r="G55"/>
      <c r="H55"/>
      <c r="I55"/>
      <c r="J55"/>
      <c r="K55"/>
      <c r="L55"/>
      <c r="M55"/>
      <c r="N55"/>
      <c r="O55"/>
      <c r="P55"/>
      <c r="Q55"/>
      <c r="R55"/>
      <c r="S55"/>
      <c r="T55"/>
      <c r="U55"/>
      <c r="V55"/>
      <c r="W55"/>
      <c r="X55"/>
      <c r="Y55"/>
      <c r="Z55"/>
      <c r="AA55"/>
      <c r="AB55"/>
      <c r="AC55"/>
      <c r="AD55"/>
      <c r="AE55"/>
      <c r="AF55"/>
    </row>
    <row r="56" spans="1:32" ht="20.45" customHeight="1" x14ac:dyDescent="0.2">
      <c r="A56" s="1421" t="s">
        <v>1228</v>
      </c>
      <c r="B56" s="1417" t="s">
        <v>5808</v>
      </c>
      <c r="C56" s="1422" t="s">
        <v>16</v>
      </c>
      <c r="D56"/>
      <c r="E56"/>
      <c r="F56"/>
      <c r="G56"/>
      <c r="H56"/>
      <c r="I56"/>
      <c r="J56"/>
      <c r="K56"/>
      <c r="L56"/>
      <c r="M56"/>
      <c r="N56"/>
      <c r="O56"/>
      <c r="P56"/>
      <c r="Q56"/>
      <c r="R56"/>
      <c r="S56"/>
      <c r="T56"/>
      <c r="U56"/>
      <c r="V56"/>
      <c r="W56"/>
      <c r="X56"/>
      <c r="Y56"/>
      <c r="Z56"/>
      <c r="AA56"/>
      <c r="AB56"/>
      <c r="AC56"/>
      <c r="AD56"/>
      <c r="AE56"/>
      <c r="AF56"/>
    </row>
    <row r="57" spans="1:32" ht="20.45" customHeight="1" x14ac:dyDescent="0.2">
      <c r="A57" s="1421" t="s">
        <v>1228</v>
      </c>
      <c r="B57" s="1417" t="s">
        <v>5810</v>
      </c>
      <c r="C57" s="1422" t="s">
        <v>13</v>
      </c>
      <c r="D57"/>
      <c r="E57"/>
      <c r="F57"/>
      <c r="G57"/>
      <c r="H57"/>
      <c r="I57"/>
      <c r="J57"/>
      <c r="K57"/>
      <c r="L57"/>
      <c r="M57"/>
      <c r="N57"/>
      <c r="O57"/>
      <c r="P57"/>
      <c r="Q57"/>
      <c r="R57"/>
      <c r="S57"/>
      <c r="T57"/>
      <c r="U57"/>
      <c r="V57"/>
      <c r="W57"/>
      <c r="X57"/>
      <c r="Y57"/>
      <c r="Z57"/>
      <c r="AA57"/>
      <c r="AB57"/>
      <c r="AC57"/>
      <c r="AD57"/>
      <c r="AE57"/>
      <c r="AF57"/>
    </row>
    <row r="58" spans="1:32" ht="20.45" customHeight="1" x14ac:dyDescent="0.2">
      <c r="A58" s="1421" t="s">
        <v>1228</v>
      </c>
      <c r="B58" s="1417" t="s">
        <v>5813</v>
      </c>
      <c r="C58" s="1422" t="s">
        <v>5563</v>
      </c>
      <c r="D58"/>
      <c r="E58"/>
      <c r="F58"/>
      <c r="G58"/>
      <c r="H58"/>
      <c r="I58"/>
      <c r="J58"/>
      <c r="K58"/>
      <c r="L58"/>
      <c r="M58"/>
      <c r="N58"/>
      <c r="O58"/>
      <c r="P58"/>
      <c r="Q58"/>
      <c r="R58"/>
      <c r="S58"/>
      <c r="T58"/>
      <c r="U58"/>
      <c r="V58"/>
      <c r="W58"/>
      <c r="X58"/>
      <c r="Y58"/>
      <c r="Z58"/>
      <c r="AA58"/>
      <c r="AB58"/>
      <c r="AC58"/>
      <c r="AD58"/>
      <c r="AE58"/>
      <c r="AF58"/>
    </row>
    <row r="59" spans="1:32" ht="20.45" customHeight="1" x14ac:dyDescent="0.2">
      <c r="A59" s="1421" t="s">
        <v>1228</v>
      </c>
      <c r="B59" s="1417" t="s">
        <v>8957</v>
      </c>
      <c r="C59" s="1422" t="s">
        <v>5564</v>
      </c>
      <c r="D59"/>
      <c r="E59"/>
      <c r="F59"/>
      <c r="G59"/>
      <c r="H59"/>
      <c r="I59"/>
      <c r="J59"/>
      <c r="K59"/>
      <c r="L59"/>
      <c r="M59"/>
      <c r="N59"/>
      <c r="O59"/>
      <c r="P59"/>
      <c r="Q59"/>
      <c r="R59"/>
      <c r="S59"/>
      <c r="T59"/>
      <c r="U59"/>
      <c r="V59"/>
      <c r="W59"/>
      <c r="X59"/>
      <c r="Y59"/>
      <c r="Z59"/>
      <c r="AA59"/>
      <c r="AB59"/>
      <c r="AC59"/>
      <c r="AD59"/>
      <c r="AE59"/>
      <c r="AF59"/>
    </row>
    <row r="60" spans="1:32" ht="20.45" customHeight="1" x14ac:dyDescent="0.2">
      <c r="A60" s="1421" t="s">
        <v>1228</v>
      </c>
      <c r="B60" s="1417" t="s">
        <v>9059</v>
      </c>
      <c r="C60" s="1422" t="s">
        <v>15</v>
      </c>
      <c r="D60"/>
      <c r="E60"/>
      <c r="F60"/>
      <c r="G60"/>
      <c r="H60"/>
      <c r="I60"/>
      <c r="J60"/>
      <c r="K60"/>
      <c r="L60"/>
      <c r="M60"/>
      <c r="N60"/>
      <c r="O60"/>
      <c r="P60"/>
      <c r="Q60"/>
      <c r="R60"/>
      <c r="S60"/>
      <c r="T60"/>
      <c r="U60"/>
      <c r="V60"/>
      <c r="W60"/>
      <c r="X60"/>
      <c r="Y60"/>
      <c r="Z60"/>
      <c r="AA60"/>
      <c r="AB60"/>
      <c r="AC60"/>
      <c r="AD60"/>
      <c r="AE60"/>
      <c r="AF60"/>
    </row>
    <row r="61" spans="1:32" ht="20.45" customHeight="1" x14ac:dyDescent="0.2">
      <c r="A61" s="1419" t="s">
        <v>39</v>
      </c>
      <c r="B61" s="1800" t="s">
        <v>9646</v>
      </c>
      <c r="C61" s="1426" t="s">
        <v>5565</v>
      </c>
      <c r="D61"/>
      <c r="E61"/>
      <c r="F61"/>
      <c r="G61"/>
      <c r="H61"/>
      <c r="I61"/>
      <c r="J61"/>
      <c r="K61"/>
      <c r="L61"/>
      <c r="M61"/>
      <c r="N61"/>
      <c r="O61"/>
      <c r="P61"/>
      <c r="Q61"/>
      <c r="R61"/>
      <c r="S61"/>
      <c r="T61"/>
      <c r="U61"/>
      <c r="V61"/>
      <c r="W61"/>
      <c r="X61"/>
      <c r="Y61"/>
      <c r="Z61"/>
      <c r="AA61"/>
      <c r="AB61"/>
      <c r="AC61"/>
      <c r="AD61"/>
      <c r="AE61"/>
      <c r="AF61"/>
    </row>
    <row r="62" spans="1:32" ht="20.45" customHeight="1" x14ac:dyDescent="0.2">
      <c r="A62" s="1421" t="s">
        <v>1228</v>
      </c>
      <c r="B62" s="1417" t="s">
        <v>5816</v>
      </c>
      <c r="C62" s="1422" t="s">
        <v>16</v>
      </c>
      <c r="D62"/>
      <c r="E62"/>
      <c r="F62"/>
      <c r="G62"/>
      <c r="H62"/>
      <c r="I62"/>
      <c r="J62"/>
      <c r="K62"/>
      <c r="L62"/>
      <c r="M62"/>
      <c r="N62"/>
      <c r="O62"/>
      <c r="P62"/>
      <c r="Q62"/>
      <c r="R62"/>
      <c r="S62"/>
      <c r="T62"/>
      <c r="U62"/>
      <c r="V62"/>
      <c r="W62"/>
      <c r="X62"/>
      <c r="Y62"/>
      <c r="Z62"/>
      <c r="AA62"/>
      <c r="AB62"/>
      <c r="AC62"/>
      <c r="AD62"/>
      <c r="AE62"/>
      <c r="AF62"/>
    </row>
    <row r="63" spans="1:32" ht="20.45" customHeight="1" x14ac:dyDescent="0.2">
      <c r="A63" s="1421" t="s">
        <v>1228</v>
      </c>
      <c r="B63" s="1417" t="s">
        <v>5821</v>
      </c>
      <c r="C63" s="1422" t="s">
        <v>13</v>
      </c>
      <c r="D63"/>
      <c r="E63"/>
      <c r="F63"/>
      <c r="G63"/>
      <c r="H63"/>
      <c r="I63"/>
      <c r="J63"/>
      <c r="K63"/>
      <c r="L63"/>
      <c r="M63"/>
      <c r="N63"/>
      <c r="O63"/>
      <c r="P63"/>
      <c r="Q63"/>
      <c r="R63"/>
      <c r="S63"/>
      <c r="T63"/>
      <c r="U63"/>
      <c r="V63"/>
      <c r="W63"/>
      <c r="X63"/>
      <c r="Y63"/>
      <c r="Z63"/>
      <c r="AA63"/>
      <c r="AB63"/>
      <c r="AC63"/>
      <c r="AD63"/>
      <c r="AE63"/>
      <c r="AF63"/>
    </row>
    <row r="64" spans="1:32" ht="20.45" customHeight="1" x14ac:dyDescent="0.2">
      <c r="A64" s="1421" t="s">
        <v>1228</v>
      </c>
      <c r="B64" s="1417" t="s">
        <v>8956</v>
      </c>
      <c r="C64" s="1422" t="s">
        <v>5563</v>
      </c>
      <c r="D64"/>
      <c r="E64"/>
      <c r="F64"/>
      <c r="G64"/>
      <c r="H64"/>
      <c r="I64"/>
      <c r="J64"/>
      <c r="K64"/>
      <c r="L64"/>
      <c r="M64"/>
      <c r="N64"/>
      <c r="O64"/>
      <c r="P64"/>
      <c r="Q64"/>
      <c r="R64"/>
      <c r="S64"/>
      <c r="T64"/>
      <c r="U64"/>
      <c r="V64"/>
      <c r="W64"/>
      <c r="X64"/>
      <c r="Y64"/>
      <c r="Z64"/>
      <c r="AA64"/>
      <c r="AB64"/>
      <c r="AC64"/>
      <c r="AD64"/>
      <c r="AE64"/>
      <c r="AF64"/>
    </row>
    <row r="65" spans="1:32" ht="20.45" customHeight="1" x14ac:dyDescent="0.2">
      <c r="A65" s="1421" t="s">
        <v>1228</v>
      </c>
      <c r="B65" s="1417" t="s">
        <v>8955</v>
      </c>
      <c r="C65" s="1422" t="s">
        <v>5564</v>
      </c>
      <c r="D65"/>
      <c r="E65"/>
      <c r="F65"/>
      <c r="G65"/>
      <c r="H65"/>
      <c r="I65"/>
      <c r="J65"/>
      <c r="K65"/>
      <c r="L65"/>
      <c r="M65"/>
      <c r="N65"/>
      <c r="O65"/>
      <c r="P65"/>
      <c r="Q65"/>
      <c r="R65"/>
      <c r="S65"/>
      <c r="T65"/>
      <c r="U65"/>
      <c r="V65"/>
      <c r="W65"/>
      <c r="X65"/>
      <c r="Y65"/>
      <c r="Z65"/>
      <c r="AA65"/>
      <c r="AB65"/>
      <c r="AC65"/>
      <c r="AD65"/>
      <c r="AE65"/>
      <c r="AF65"/>
    </row>
    <row r="66" spans="1:32" ht="20.45" customHeight="1" x14ac:dyDescent="0.2">
      <c r="A66" s="1421" t="s">
        <v>1228</v>
      </c>
      <c r="B66" s="1417" t="s">
        <v>8954</v>
      </c>
      <c r="C66" s="1422" t="s">
        <v>15</v>
      </c>
      <c r="D66"/>
      <c r="E66"/>
      <c r="F66"/>
      <c r="G66"/>
      <c r="H66"/>
      <c r="I66"/>
      <c r="J66"/>
      <c r="K66"/>
      <c r="L66"/>
      <c r="M66"/>
      <c r="N66"/>
      <c r="O66"/>
      <c r="P66"/>
      <c r="Q66"/>
      <c r="R66"/>
      <c r="S66"/>
      <c r="T66"/>
      <c r="U66"/>
      <c r="V66"/>
      <c r="W66"/>
      <c r="X66"/>
      <c r="Y66"/>
      <c r="Z66"/>
      <c r="AA66"/>
      <c r="AB66"/>
      <c r="AC66"/>
      <c r="AD66"/>
      <c r="AE66"/>
      <c r="AF66"/>
    </row>
    <row r="67" spans="1:32" ht="20.45" customHeight="1" x14ac:dyDescent="0.2">
      <c r="A67" s="1419" t="s">
        <v>39</v>
      </c>
      <c r="B67" s="1800" t="s">
        <v>9647</v>
      </c>
      <c r="C67" s="1426" t="s">
        <v>5566</v>
      </c>
      <c r="D67"/>
      <c r="E67"/>
      <c r="F67"/>
      <c r="G67"/>
      <c r="H67"/>
      <c r="I67"/>
      <c r="J67"/>
      <c r="K67"/>
      <c r="L67"/>
      <c r="M67"/>
      <c r="N67"/>
      <c r="O67"/>
      <c r="P67"/>
      <c r="Q67"/>
      <c r="R67"/>
      <c r="S67"/>
      <c r="T67"/>
      <c r="U67"/>
      <c r="V67"/>
      <c r="W67"/>
      <c r="X67"/>
      <c r="Y67"/>
      <c r="Z67"/>
      <c r="AA67"/>
      <c r="AB67"/>
      <c r="AC67"/>
      <c r="AD67"/>
      <c r="AE67"/>
      <c r="AF67"/>
    </row>
    <row r="68" spans="1:32" ht="20.45" customHeight="1" x14ac:dyDescent="0.2">
      <c r="A68" s="1421" t="s">
        <v>1228</v>
      </c>
      <c r="B68" s="1417" t="s">
        <v>5824</v>
      </c>
      <c r="C68" s="1422" t="s">
        <v>16</v>
      </c>
      <c r="D68"/>
      <c r="E68"/>
      <c r="F68"/>
      <c r="G68"/>
      <c r="H68"/>
      <c r="I68"/>
      <c r="J68"/>
      <c r="K68"/>
      <c r="L68"/>
      <c r="M68"/>
      <c r="N68"/>
      <c r="O68"/>
      <c r="P68"/>
      <c r="Q68"/>
      <c r="R68"/>
      <c r="S68"/>
      <c r="T68"/>
      <c r="U68"/>
      <c r="V68"/>
      <c r="W68"/>
      <c r="X68"/>
      <c r="Y68"/>
      <c r="Z68"/>
      <c r="AA68"/>
      <c r="AB68"/>
      <c r="AC68"/>
      <c r="AD68"/>
      <c r="AE68"/>
      <c r="AF68"/>
    </row>
    <row r="69" spans="1:32" ht="20.45" customHeight="1" x14ac:dyDescent="0.2">
      <c r="A69" s="1421" t="s">
        <v>1228</v>
      </c>
      <c r="B69" s="1417" t="s">
        <v>5826</v>
      </c>
      <c r="C69" s="1422" t="s">
        <v>13</v>
      </c>
      <c r="D69"/>
      <c r="E69"/>
      <c r="F69"/>
      <c r="G69"/>
      <c r="H69"/>
      <c r="I69"/>
      <c r="J69"/>
      <c r="K69"/>
      <c r="L69"/>
      <c r="M69"/>
      <c r="N69"/>
      <c r="O69"/>
      <c r="P69"/>
      <c r="Q69"/>
      <c r="R69"/>
      <c r="S69"/>
      <c r="T69"/>
      <c r="U69"/>
      <c r="V69"/>
      <c r="W69"/>
      <c r="X69"/>
      <c r="Y69"/>
      <c r="Z69"/>
      <c r="AA69"/>
      <c r="AB69"/>
      <c r="AC69"/>
      <c r="AD69"/>
      <c r="AE69"/>
      <c r="AF69"/>
    </row>
    <row r="70" spans="1:32" ht="20.45" customHeight="1" x14ac:dyDescent="0.2">
      <c r="A70" s="1421" t="s">
        <v>1228</v>
      </c>
      <c r="B70" s="1417" t="s">
        <v>5831</v>
      </c>
      <c r="C70" s="1422" t="s">
        <v>5563</v>
      </c>
      <c r="D70"/>
      <c r="E70"/>
      <c r="F70"/>
      <c r="G70"/>
      <c r="H70"/>
      <c r="I70"/>
      <c r="J70"/>
      <c r="K70"/>
      <c r="L70"/>
      <c r="M70"/>
      <c r="N70"/>
      <c r="O70"/>
      <c r="P70"/>
      <c r="Q70"/>
      <c r="R70"/>
      <c r="S70"/>
      <c r="T70"/>
      <c r="U70"/>
      <c r="V70"/>
      <c r="W70"/>
      <c r="X70"/>
      <c r="Y70"/>
      <c r="Z70"/>
      <c r="AA70"/>
      <c r="AB70"/>
      <c r="AC70"/>
      <c r="AD70"/>
      <c r="AE70"/>
      <c r="AF70"/>
    </row>
    <row r="71" spans="1:32" ht="20.45" customHeight="1" x14ac:dyDescent="0.2">
      <c r="A71" s="1421" t="s">
        <v>1228</v>
      </c>
      <c r="B71" s="1417" t="s">
        <v>9058</v>
      </c>
      <c r="C71" s="1422" t="s">
        <v>5564</v>
      </c>
      <c r="D71"/>
      <c r="E71"/>
      <c r="F71"/>
      <c r="G71"/>
      <c r="H71"/>
      <c r="I71"/>
      <c r="J71"/>
      <c r="K71"/>
      <c r="L71"/>
      <c r="M71"/>
      <c r="N71"/>
      <c r="O71"/>
      <c r="P71"/>
      <c r="Q71"/>
      <c r="R71"/>
      <c r="S71"/>
      <c r="T71"/>
      <c r="U71"/>
      <c r="V71"/>
      <c r="W71"/>
      <c r="X71"/>
      <c r="Y71"/>
      <c r="Z71"/>
      <c r="AA71"/>
      <c r="AB71"/>
      <c r="AC71"/>
      <c r="AD71"/>
      <c r="AE71"/>
      <c r="AF71"/>
    </row>
    <row r="72" spans="1:32" ht="20.45" customHeight="1" x14ac:dyDescent="0.2">
      <c r="A72" s="1421" t="s">
        <v>1228</v>
      </c>
      <c r="B72" s="1417" t="s">
        <v>9057</v>
      </c>
      <c r="C72" s="1422" t="s">
        <v>15</v>
      </c>
      <c r="D72"/>
      <c r="E72"/>
      <c r="F72"/>
      <c r="G72"/>
      <c r="H72"/>
      <c r="I72"/>
      <c r="J72"/>
      <c r="K72"/>
      <c r="L72"/>
      <c r="M72"/>
      <c r="N72"/>
      <c r="O72"/>
      <c r="P72"/>
      <c r="Q72"/>
      <c r="R72"/>
      <c r="S72"/>
      <c r="T72"/>
      <c r="U72"/>
      <c r="V72"/>
      <c r="W72"/>
      <c r="X72"/>
      <c r="Y72"/>
      <c r="Z72"/>
      <c r="AA72"/>
      <c r="AB72"/>
      <c r="AC72"/>
      <c r="AD72"/>
      <c r="AE72"/>
      <c r="AF72"/>
    </row>
    <row r="73" spans="1:32" ht="20.45" customHeight="1" x14ac:dyDescent="0.2">
      <c r="A73" s="1419" t="s">
        <v>1237</v>
      </c>
      <c r="B73" s="1417">
        <v>3</v>
      </c>
      <c r="C73" s="1420" t="s">
        <v>5567</v>
      </c>
      <c r="D73"/>
      <c r="E73"/>
      <c r="F73"/>
      <c r="G73"/>
      <c r="H73"/>
      <c r="I73"/>
      <c r="J73"/>
      <c r="K73"/>
      <c r="L73"/>
      <c r="M73"/>
      <c r="N73"/>
      <c r="O73"/>
      <c r="P73"/>
      <c r="Q73"/>
      <c r="R73"/>
      <c r="S73"/>
      <c r="T73"/>
      <c r="U73"/>
      <c r="V73"/>
      <c r="W73"/>
      <c r="X73"/>
      <c r="Y73"/>
      <c r="Z73"/>
      <c r="AA73"/>
      <c r="AB73"/>
      <c r="AC73"/>
      <c r="AD73"/>
      <c r="AE73"/>
      <c r="AF73"/>
    </row>
    <row r="74" spans="1:32" ht="20.45" customHeight="1" x14ac:dyDescent="0.2">
      <c r="A74" s="1419" t="s">
        <v>39</v>
      </c>
      <c r="B74" s="1800" t="s">
        <v>9648</v>
      </c>
      <c r="C74" s="1427" t="s">
        <v>9682</v>
      </c>
      <c r="D74"/>
      <c r="E74"/>
      <c r="F74"/>
      <c r="G74"/>
      <c r="H74"/>
      <c r="I74"/>
      <c r="J74"/>
      <c r="K74"/>
      <c r="L74"/>
      <c r="M74"/>
      <c r="N74"/>
      <c r="O74"/>
      <c r="P74"/>
      <c r="Q74"/>
      <c r="R74"/>
      <c r="S74"/>
      <c r="T74"/>
      <c r="U74"/>
      <c r="V74"/>
      <c r="W74"/>
      <c r="X74"/>
      <c r="Y74"/>
      <c r="Z74"/>
      <c r="AA74"/>
      <c r="AB74"/>
      <c r="AC74"/>
      <c r="AD74"/>
      <c r="AE74"/>
      <c r="AF74"/>
    </row>
    <row r="75" spans="1:32" ht="20.45" customHeight="1" x14ac:dyDescent="0.2">
      <c r="A75" s="1421" t="s">
        <v>1228</v>
      </c>
      <c r="B75" s="1417" t="s">
        <v>5842</v>
      </c>
      <c r="C75" s="1422" t="s">
        <v>2616</v>
      </c>
      <c r="D75"/>
      <c r="E75"/>
      <c r="F75"/>
      <c r="G75"/>
      <c r="H75"/>
      <c r="I75"/>
      <c r="J75"/>
      <c r="K75"/>
      <c r="L75"/>
      <c r="M75"/>
      <c r="N75"/>
      <c r="O75"/>
      <c r="P75"/>
      <c r="Q75"/>
      <c r="R75"/>
      <c r="S75"/>
      <c r="T75"/>
      <c r="U75"/>
      <c r="V75"/>
      <c r="W75"/>
      <c r="X75"/>
      <c r="Y75"/>
      <c r="Z75"/>
      <c r="AA75"/>
      <c r="AB75"/>
      <c r="AC75"/>
      <c r="AD75"/>
      <c r="AE75"/>
      <c r="AF75"/>
    </row>
    <row r="76" spans="1:32" ht="20.45" customHeight="1" x14ac:dyDescent="0.2">
      <c r="A76" s="1421" t="s">
        <v>1228</v>
      </c>
      <c r="B76" s="1417" t="s">
        <v>5845</v>
      </c>
      <c r="C76" s="1422" t="s">
        <v>5568</v>
      </c>
      <c r="D76"/>
      <c r="E76"/>
      <c r="F76"/>
      <c r="G76"/>
      <c r="H76"/>
      <c r="I76"/>
      <c r="J76"/>
      <c r="K76"/>
      <c r="L76"/>
      <c r="M76"/>
      <c r="N76"/>
      <c r="O76"/>
      <c r="P76"/>
      <c r="Q76"/>
      <c r="R76"/>
      <c r="S76"/>
      <c r="T76"/>
      <c r="U76"/>
      <c r="V76"/>
      <c r="W76"/>
      <c r="X76"/>
      <c r="Y76"/>
      <c r="Z76"/>
      <c r="AA76"/>
      <c r="AB76"/>
      <c r="AC76"/>
      <c r="AD76"/>
      <c r="AE76"/>
      <c r="AF76"/>
    </row>
    <row r="77" spans="1:32" ht="20.45" customHeight="1" x14ac:dyDescent="0.2">
      <c r="A77" s="1421" t="s">
        <v>1228</v>
      </c>
      <c r="B77" s="1417" t="s">
        <v>5848</v>
      </c>
      <c r="C77" s="1422" t="s">
        <v>1252</v>
      </c>
      <c r="D77"/>
      <c r="E77"/>
      <c r="F77"/>
      <c r="G77"/>
      <c r="H77"/>
      <c r="I77"/>
      <c r="J77"/>
      <c r="K77"/>
      <c r="L77"/>
      <c r="M77"/>
      <c r="N77"/>
      <c r="O77"/>
      <c r="P77"/>
      <c r="Q77"/>
      <c r="R77"/>
      <c r="S77"/>
      <c r="T77"/>
      <c r="U77"/>
      <c r="V77"/>
      <c r="W77"/>
      <c r="X77"/>
      <c r="Y77"/>
      <c r="Z77"/>
      <c r="AA77"/>
      <c r="AB77"/>
      <c r="AC77"/>
      <c r="AD77"/>
      <c r="AE77"/>
      <c r="AF77"/>
    </row>
    <row r="78" spans="1:32" ht="20.45" customHeight="1" x14ac:dyDescent="0.2">
      <c r="A78" s="1421" t="s">
        <v>1228</v>
      </c>
      <c r="B78" s="1417" t="s">
        <v>5850</v>
      </c>
      <c r="C78" s="1422" t="s">
        <v>1330</v>
      </c>
      <c r="D78"/>
      <c r="E78"/>
      <c r="F78"/>
      <c r="G78"/>
      <c r="H78"/>
      <c r="I78"/>
      <c r="J78"/>
      <c r="K78"/>
      <c r="L78"/>
      <c r="M78"/>
      <c r="N78"/>
      <c r="O78"/>
      <c r="P78"/>
      <c r="Q78"/>
      <c r="R78"/>
      <c r="S78"/>
      <c r="T78"/>
      <c r="U78"/>
      <c r="V78"/>
      <c r="W78"/>
      <c r="X78"/>
      <c r="Y78"/>
      <c r="Z78"/>
      <c r="AA78"/>
      <c r="AB78"/>
      <c r="AC78"/>
      <c r="AD78"/>
      <c r="AE78"/>
      <c r="AF78"/>
    </row>
    <row r="79" spans="1:32" ht="20.45" customHeight="1" x14ac:dyDescent="0.2">
      <c r="A79" s="1421" t="s">
        <v>1228</v>
      </c>
      <c r="B79" s="1417" t="s">
        <v>9056</v>
      </c>
      <c r="C79" s="1422" t="s">
        <v>15</v>
      </c>
      <c r="D79"/>
      <c r="E79"/>
      <c r="F79"/>
      <c r="G79"/>
      <c r="H79"/>
      <c r="I79"/>
      <c r="J79"/>
      <c r="K79"/>
      <c r="L79"/>
      <c r="M79"/>
      <c r="N79"/>
      <c r="O79"/>
      <c r="P79"/>
      <c r="Q79"/>
      <c r="R79"/>
      <c r="S79"/>
      <c r="T79"/>
      <c r="U79"/>
      <c r="V79"/>
      <c r="W79"/>
      <c r="X79"/>
      <c r="Y79"/>
      <c r="Z79"/>
      <c r="AA79"/>
      <c r="AB79"/>
      <c r="AC79"/>
      <c r="AD79"/>
      <c r="AE79"/>
      <c r="AF79"/>
    </row>
    <row r="80" spans="1:32" ht="20.45" customHeight="1" x14ac:dyDescent="0.2">
      <c r="A80" s="1419" t="s">
        <v>39</v>
      </c>
      <c r="B80" s="1800" t="s">
        <v>9650</v>
      </c>
      <c r="C80" s="1427" t="s">
        <v>5569</v>
      </c>
      <c r="D80"/>
      <c r="E80"/>
      <c r="F80"/>
      <c r="G80"/>
      <c r="H80"/>
      <c r="I80"/>
      <c r="J80"/>
      <c r="K80"/>
      <c r="L80"/>
      <c r="M80"/>
      <c r="N80"/>
      <c r="O80"/>
      <c r="P80"/>
      <c r="Q80"/>
      <c r="R80"/>
      <c r="S80"/>
      <c r="T80"/>
      <c r="U80"/>
      <c r="V80"/>
      <c r="W80"/>
      <c r="X80"/>
      <c r="Y80"/>
      <c r="Z80"/>
      <c r="AA80"/>
      <c r="AB80"/>
      <c r="AC80"/>
      <c r="AD80"/>
      <c r="AE80"/>
      <c r="AF80"/>
    </row>
    <row r="81" spans="1:32" ht="20.45" customHeight="1" x14ac:dyDescent="0.2">
      <c r="A81" s="1421" t="s">
        <v>1228</v>
      </c>
      <c r="B81" s="1417" t="s">
        <v>5852</v>
      </c>
      <c r="C81" s="1422" t="s">
        <v>2616</v>
      </c>
      <c r="D81"/>
      <c r="E81"/>
      <c r="F81"/>
      <c r="G81"/>
      <c r="H81"/>
      <c r="I81"/>
      <c r="J81"/>
      <c r="K81"/>
      <c r="L81"/>
      <c r="M81"/>
      <c r="N81"/>
      <c r="O81"/>
      <c r="P81"/>
      <c r="Q81"/>
      <c r="R81"/>
      <c r="S81"/>
      <c r="T81"/>
      <c r="U81"/>
      <c r="V81"/>
      <c r="W81"/>
      <c r="X81"/>
      <c r="Y81"/>
      <c r="Z81"/>
      <c r="AA81"/>
      <c r="AB81"/>
      <c r="AC81"/>
      <c r="AD81"/>
      <c r="AE81"/>
      <c r="AF81"/>
    </row>
    <row r="82" spans="1:32" ht="20.45" customHeight="1" x14ac:dyDescent="0.2">
      <c r="A82" s="1421" t="s">
        <v>1228</v>
      </c>
      <c r="B82" s="1417" t="s">
        <v>5854</v>
      </c>
      <c r="C82" s="1422" t="s">
        <v>5568</v>
      </c>
      <c r="D82"/>
      <c r="E82"/>
      <c r="F82"/>
      <c r="G82"/>
      <c r="H82"/>
      <c r="I82"/>
      <c r="J82"/>
      <c r="K82"/>
      <c r="L82"/>
      <c r="M82"/>
      <c r="N82"/>
      <c r="O82"/>
      <c r="P82"/>
      <c r="Q82"/>
      <c r="R82"/>
      <c r="S82"/>
      <c r="T82"/>
      <c r="U82"/>
      <c r="V82"/>
      <c r="W82"/>
      <c r="X82"/>
      <c r="Y82"/>
      <c r="Z82"/>
      <c r="AA82"/>
      <c r="AB82"/>
      <c r="AC82"/>
      <c r="AD82"/>
      <c r="AE82"/>
      <c r="AF82"/>
    </row>
    <row r="83" spans="1:32" ht="20.45" customHeight="1" x14ac:dyDescent="0.2">
      <c r="A83" s="1421" t="s">
        <v>1228</v>
      </c>
      <c r="B83" s="1417" t="s">
        <v>5859</v>
      </c>
      <c r="C83" s="1422" t="s">
        <v>1252</v>
      </c>
      <c r="D83"/>
      <c r="E83"/>
      <c r="F83"/>
      <c r="G83"/>
      <c r="H83"/>
      <c r="I83"/>
      <c r="J83"/>
      <c r="K83"/>
      <c r="L83"/>
      <c r="M83"/>
      <c r="N83"/>
      <c r="O83"/>
      <c r="P83"/>
      <c r="Q83"/>
      <c r="R83"/>
      <c r="S83"/>
      <c r="T83"/>
      <c r="U83"/>
      <c r="V83"/>
      <c r="W83"/>
      <c r="X83"/>
      <c r="Y83"/>
      <c r="Z83"/>
      <c r="AA83"/>
      <c r="AB83"/>
      <c r="AC83"/>
      <c r="AD83"/>
      <c r="AE83"/>
      <c r="AF83"/>
    </row>
    <row r="84" spans="1:32" ht="20.45" customHeight="1" x14ac:dyDescent="0.2">
      <c r="A84" s="1421" t="s">
        <v>1228</v>
      </c>
      <c r="B84" s="1417" t="s">
        <v>5861</v>
      </c>
      <c r="C84" s="1422" t="s">
        <v>1330</v>
      </c>
      <c r="D84"/>
      <c r="E84"/>
      <c r="F84"/>
      <c r="G84"/>
      <c r="H84"/>
      <c r="I84"/>
      <c r="J84"/>
      <c r="K84"/>
      <c r="L84"/>
      <c r="M84"/>
      <c r="N84"/>
      <c r="O84"/>
      <c r="P84"/>
      <c r="Q84"/>
      <c r="R84"/>
      <c r="S84"/>
      <c r="T84"/>
      <c r="U84"/>
      <c r="V84"/>
      <c r="W84"/>
      <c r="X84"/>
      <c r="Y84"/>
      <c r="Z84"/>
      <c r="AA84"/>
      <c r="AB84"/>
      <c r="AC84"/>
      <c r="AD84"/>
      <c r="AE84"/>
      <c r="AF84"/>
    </row>
    <row r="85" spans="1:32" ht="20.45" customHeight="1" x14ac:dyDescent="0.2">
      <c r="A85" s="1421" t="s">
        <v>1228</v>
      </c>
      <c r="B85" s="1417" t="s">
        <v>9055</v>
      </c>
      <c r="C85" s="1422" t="s">
        <v>15</v>
      </c>
      <c r="D85"/>
      <c r="E85"/>
      <c r="F85"/>
      <c r="G85"/>
      <c r="H85"/>
      <c r="I85"/>
      <c r="J85"/>
      <c r="K85"/>
      <c r="L85"/>
      <c r="M85"/>
      <c r="N85"/>
      <c r="O85"/>
      <c r="P85"/>
      <c r="Q85"/>
      <c r="R85"/>
      <c r="S85"/>
      <c r="T85"/>
      <c r="U85"/>
      <c r="V85"/>
      <c r="W85"/>
      <c r="X85"/>
      <c r="Y85"/>
      <c r="Z85"/>
      <c r="AA85"/>
      <c r="AB85"/>
      <c r="AC85"/>
      <c r="AD85"/>
      <c r="AE85"/>
      <c r="AF85"/>
    </row>
    <row r="86" spans="1:32" ht="20.45" customHeight="1" x14ac:dyDescent="0.2">
      <c r="A86" s="1419" t="s">
        <v>39</v>
      </c>
      <c r="B86" s="1800" t="s">
        <v>9651</v>
      </c>
      <c r="C86" s="1427" t="s">
        <v>5570</v>
      </c>
      <c r="D86"/>
      <c r="E86"/>
      <c r="F86"/>
      <c r="G86"/>
      <c r="H86"/>
      <c r="I86"/>
      <c r="J86"/>
      <c r="K86"/>
      <c r="L86"/>
      <c r="M86"/>
      <c r="N86"/>
      <c r="O86"/>
      <c r="P86"/>
      <c r="Q86"/>
      <c r="R86"/>
      <c r="S86"/>
      <c r="T86"/>
      <c r="U86"/>
      <c r="V86"/>
      <c r="W86"/>
      <c r="X86"/>
      <c r="Y86"/>
      <c r="Z86"/>
      <c r="AA86"/>
      <c r="AB86"/>
      <c r="AC86"/>
      <c r="AD86"/>
      <c r="AE86"/>
      <c r="AF86"/>
    </row>
    <row r="87" spans="1:32" ht="20.45" customHeight="1" x14ac:dyDescent="0.2">
      <c r="A87" s="1421" t="s">
        <v>1228</v>
      </c>
      <c r="B87" s="1417" t="s">
        <v>5863</v>
      </c>
      <c r="C87" s="1422" t="s">
        <v>2616</v>
      </c>
      <c r="D87"/>
      <c r="E87"/>
      <c r="F87"/>
      <c r="G87"/>
      <c r="H87"/>
      <c r="I87"/>
      <c r="J87"/>
      <c r="K87"/>
      <c r="L87"/>
      <c r="M87"/>
      <c r="N87"/>
      <c r="O87"/>
      <c r="P87"/>
      <c r="Q87"/>
      <c r="R87"/>
      <c r="S87"/>
      <c r="T87"/>
      <c r="U87"/>
      <c r="V87"/>
      <c r="W87"/>
      <c r="X87"/>
      <c r="Y87"/>
      <c r="Z87"/>
      <c r="AA87"/>
      <c r="AB87"/>
      <c r="AC87"/>
      <c r="AD87"/>
      <c r="AE87"/>
      <c r="AF87"/>
    </row>
    <row r="88" spans="1:32" ht="20.45" customHeight="1" x14ac:dyDescent="0.2">
      <c r="A88" s="1421" t="s">
        <v>1228</v>
      </c>
      <c r="B88" s="1417" t="s">
        <v>5865</v>
      </c>
      <c r="C88" s="1422" t="s">
        <v>5568</v>
      </c>
      <c r="D88"/>
      <c r="E88"/>
      <c r="F88"/>
      <c r="G88"/>
      <c r="H88"/>
      <c r="I88"/>
      <c r="J88"/>
      <c r="K88"/>
      <c r="L88"/>
      <c r="M88"/>
      <c r="N88"/>
      <c r="O88"/>
      <c r="P88"/>
      <c r="Q88"/>
      <c r="R88"/>
      <c r="S88"/>
      <c r="T88"/>
      <c r="U88"/>
      <c r="V88"/>
      <c r="W88"/>
      <c r="X88"/>
      <c r="Y88"/>
      <c r="Z88"/>
      <c r="AA88"/>
      <c r="AB88"/>
      <c r="AC88"/>
      <c r="AD88"/>
      <c r="AE88"/>
      <c r="AF88"/>
    </row>
    <row r="89" spans="1:32" ht="20.45" customHeight="1" x14ac:dyDescent="0.2">
      <c r="A89" s="1421" t="s">
        <v>1228</v>
      </c>
      <c r="B89" s="1417" t="s">
        <v>5875</v>
      </c>
      <c r="C89" s="1422" t="s">
        <v>1252</v>
      </c>
      <c r="D89"/>
      <c r="E89"/>
      <c r="F89"/>
      <c r="G89"/>
      <c r="H89"/>
      <c r="I89"/>
      <c r="J89"/>
      <c r="K89"/>
      <c r="L89"/>
      <c r="M89"/>
      <c r="N89"/>
      <c r="O89"/>
      <c r="P89"/>
      <c r="Q89"/>
      <c r="R89"/>
      <c r="S89"/>
      <c r="T89"/>
      <c r="U89"/>
      <c r="V89"/>
      <c r="W89"/>
      <c r="X89"/>
      <c r="Y89"/>
      <c r="Z89"/>
      <c r="AA89"/>
      <c r="AB89"/>
      <c r="AC89"/>
      <c r="AD89"/>
      <c r="AE89"/>
      <c r="AF89"/>
    </row>
    <row r="90" spans="1:32" ht="20.45" customHeight="1" x14ac:dyDescent="0.2">
      <c r="A90" s="1421" t="s">
        <v>1228</v>
      </c>
      <c r="B90" s="1417" t="s">
        <v>5877</v>
      </c>
      <c r="C90" s="1422" t="s">
        <v>1330</v>
      </c>
      <c r="D90"/>
      <c r="E90"/>
      <c r="F90"/>
      <c r="G90"/>
      <c r="H90"/>
      <c r="I90"/>
      <c r="J90"/>
      <c r="K90"/>
      <c r="L90"/>
      <c r="M90"/>
      <c r="N90"/>
      <c r="O90"/>
      <c r="P90"/>
      <c r="Q90"/>
      <c r="R90"/>
      <c r="S90"/>
      <c r="T90"/>
      <c r="U90"/>
      <c r="V90"/>
      <c r="W90"/>
      <c r="X90"/>
      <c r="Y90"/>
      <c r="Z90"/>
      <c r="AA90"/>
      <c r="AB90"/>
      <c r="AC90"/>
      <c r="AD90"/>
      <c r="AE90"/>
      <c r="AF90"/>
    </row>
    <row r="91" spans="1:32" ht="20.45" customHeight="1" x14ac:dyDescent="0.2">
      <c r="A91" s="1421" t="s">
        <v>1228</v>
      </c>
      <c r="B91" s="1417" t="s">
        <v>9054</v>
      </c>
      <c r="C91" s="1422" t="s">
        <v>15</v>
      </c>
      <c r="D91"/>
      <c r="E91"/>
      <c r="F91"/>
      <c r="G91"/>
      <c r="H91"/>
      <c r="I91"/>
      <c r="J91"/>
      <c r="K91"/>
      <c r="L91"/>
      <c r="M91"/>
      <c r="N91"/>
      <c r="O91"/>
      <c r="P91"/>
      <c r="Q91"/>
      <c r="R91"/>
      <c r="S91"/>
      <c r="T91"/>
      <c r="U91"/>
      <c r="V91"/>
      <c r="W91"/>
      <c r="X91"/>
      <c r="Y91"/>
      <c r="Z91"/>
      <c r="AA91"/>
      <c r="AB91"/>
      <c r="AC91"/>
      <c r="AD91"/>
      <c r="AE91"/>
      <c r="AF91"/>
    </row>
    <row r="92" spans="1:32" ht="20.45" customHeight="1" x14ac:dyDescent="0.2">
      <c r="A92" s="1419" t="s">
        <v>1237</v>
      </c>
      <c r="B92" s="1417">
        <v>4</v>
      </c>
      <c r="C92" s="1420" t="s">
        <v>441</v>
      </c>
      <c r="D92"/>
      <c r="E92"/>
      <c r="F92"/>
      <c r="G92"/>
      <c r="H92"/>
      <c r="I92"/>
      <c r="J92"/>
      <c r="K92"/>
      <c r="L92"/>
      <c r="M92"/>
      <c r="N92"/>
      <c r="O92"/>
      <c r="P92"/>
      <c r="Q92"/>
      <c r="R92"/>
      <c r="S92"/>
      <c r="T92"/>
      <c r="U92"/>
      <c r="V92"/>
      <c r="W92"/>
      <c r="X92"/>
      <c r="Y92"/>
      <c r="Z92"/>
      <c r="AA92"/>
      <c r="AB92"/>
      <c r="AC92"/>
      <c r="AD92"/>
      <c r="AE92"/>
      <c r="AF92"/>
    </row>
    <row r="93" spans="1:32" ht="20.45" customHeight="1" x14ac:dyDescent="0.2">
      <c r="A93" s="1419" t="s">
        <v>39</v>
      </c>
      <c r="B93" s="1800" t="s">
        <v>9652</v>
      </c>
      <c r="C93" s="1427" t="s">
        <v>9683</v>
      </c>
      <c r="D93"/>
      <c r="E93"/>
      <c r="F93"/>
      <c r="G93"/>
      <c r="H93"/>
      <c r="I93"/>
      <c r="J93"/>
      <c r="K93"/>
      <c r="L93"/>
      <c r="M93"/>
      <c r="N93"/>
      <c r="O93"/>
      <c r="P93"/>
      <c r="Q93"/>
      <c r="R93"/>
      <c r="S93"/>
      <c r="T93"/>
      <c r="U93"/>
      <c r="V93"/>
      <c r="W93"/>
      <c r="X93"/>
      <c r="Y93"/>
      <c r="Z93"/>
      <c r="AA93"/>
      <c r="AB93"/>
      <c r="AC93"/>
      <c r="AD93"/>
      <c r="AE93"/>
      <c r="AF93"/>
    </row>
    <row r="94" spans="1:32" ht="20.45" customHeight="1" x14ac:dyDescent="0.2">
      <c r="A94" s="1421" t="s">
        <v>1228</v>
      </c>
      <c r="B94" s="1417" t="s">
        <v>5880</v>
      </c>
      <c r="C94" s="1422" t="s">
        <v>25</v>
      </c>
      <c r="D94"/>
      <c r="E94"/>
      <c r="F94"/>
      <c r="G94"/>
      <c r="H94"/>
      <c r="I94"/>
      <c r="J94"/>
      <c r="K94"/>
      <c r="L94"/>
      <c r="M94"/>
      <c r="N94"/>
      <c r="O94"/>
      <c r="P94"/>
      <c r="Q94"/>
      <c r="R94"/>
      <c r="S94"/>
      <c r="T94"/>
      <c r="U94"/>
      <c r="V94"/>
      <c r="W94"/>
      <c r="X94"/>
      <c r="Y94"/>
      <c r="Z94"/>
      <c r="AA94"/>
      <c r="AB94"/>
      <c r="AC94"/>
      <c r="AD94"/>
      <c r="AE94"/>
      <c r="AF94"/>
    </row>
    <row r="95" spans="1:32" ht="20.45" customHeight="1" x14ac:dyDescent="0.2">
      <c r="A95" s="1421" t="s">
        <v>1228</v>
      </c>
      <c r="B95" s="1417" t="s">
        <v>9053</v>
      </c>
      <c r="C95" s="1422" t="s">
        <v>5571</v>
      </c>
      <c r="D95"/>
      <c r="E95"/>
      <c r="F95"/>
      <c r="G95"/>
      <c r="H95"/>
      <c r="I95"/>
      <c r="J95"/>
      <c r="K95"/>
      <c r="L95"/>
      <c r="M95"/>
      <c r="N95"/>
      <c r="O95"/>
      <c r="P95"/>
      <c r="Q95"/>
      <c r="R95"/>
      <c r="S95"/>
      <c r="T95"/>
      <c r="U95"/>
      <c r="V95"/>
      <c r="W95"/>
      <c r="X95"/>
      <c r="Y95"/>
      <c r="Z95"/>
      <c r="AA95"/>
      <c r="AB95"/>
      <c r="AC95"/>
      <c r="AD95"/>
      <c r="AE95"/>
      <c r="AF95"/>
    </row>
    <row r="96" spans="1:32" ht="20.45" customHeight="1" x14ac:dyDescent="0.2">
      <c r="A96" s="1421" t="s">
        <v>1228</v>
      </c>
      <c r="B96" s="1417" t="s">
        <v>9052</v>
      </c>
      <c r="C96" s="1422" t="s">
        <v>2528</v>
      </c>
      <c r="D96"/>
      <c r="E96"/>
      <c r="F96"/>
      <c r="G96"/>
      <c r="H96"/>
      <c r="I96"/>
      <c r="J96"/>
      <c r="K96"/>
      <c r="L96"/>
      <c r="M96"/>
      <c r="N96"/>
      <c r="O96"/>
      <c r="P96"/>
      <c r="Q96"/>
      <c r="R96"/>
      <c r="S96"/>
      <c r="T96"/>
      <c r="U96"/>
      <c r="V96"/>
      <c r="W96"/>
      <c r="X96"/>
      <c r="Y96"/>
      <c r="Z96"/>
      <c r="AA96"/>
      <c r="AB96"/>
      <c r="AC96"/>
      <c r="AD96"/>
      <c r="AE96"/>
      <c r="AF96"/>
    </row>
    <row r="97" spans="1:32" ht="20.45" customHeight="1" x14ac:dyDescent="0.2">
      <c r="A97" s="1421" t="s">
        <v>1228</v>
      </c>
      <c r="B97" s="1417" t="s">
        <v>9051</v>
      </c>
      <c r="C97" s="1422" t="s">
        <v>5572</v>
      </c>
      <c r="D97"/>
      <c r="E97"/>
      <c r="F97"/>
      <c r="G97"/>
      <c r="H97"/>
      <c r="I97"/>
      <c r="J97"/>
      <c r="K97"/>
      <c r="L97"/>
      <c r="M97"/>
      <c r="N97"/>
      <c r="O97"/>
      <c r="P97"/>
      <c r="Q97"/>
      <c r="R97"/>
      <c r="S97"/>
      <c r="T97"/>
      <c r="U97"/>
      <c r="V97"/>
      <c r="W97"/>
      <c r="X97"/>
      <c r="Y97"/>
      <c r="Z97"/>
      <c r="AA97"/>
      <c r="AB97"/>
      <c r="AC97"/>
      <c r="AD97"/>
      <c r="AE97"/>
      <c r="AF97"/>
    </row>
    <row r="98" spans="1:32" ht="20.45" customHeight="1" x14ac:dyDescent="0.2">
      <c r="A98" s="1421" t="s">
        <v>1228</v>
      </c>
      <c r="B98" s="1417" t="s">
        <v>9050</v>
      </c>
      <c r="C98" s="1422" t="s">
        <v>2785</v>
      </c>
      <c r="D98"/>
      <c r="E98"/>
      <c r="F98"/>
      <c r="G98"/>
      <c r="H98"/>
      <c r="I98"/>
      <c r="J98"/>
      <c r="K98"/>
      <c r="L98"/>
      <c r="M98"/>
      <c r="N98"/>
      <c r="O98"/>
      <c r="P98"/>
      <c r="Q98"/>
      <c r="R98"/>
      <c r="S98"/>
      <c r="T98"/>
      <c r="U98"/>
      <c r="V98"/>
      <c r="W98"/>
      <c r="X98"/>
      <c r="Y98"/>
      <c r="Z98"/>
      <c r="AA98"/>
      <c r="AB98"/>
      <c r="AC98"/>
      <c r="AD98"/>
      <c r="AE98"/>
      <c r="AF98"/>
    </row>
    <row r="99" spans="1:32" ht="20.45" customHeight="1" x14ac:dyDescent="0.2">
      <c r="A99" s="1421" t="s">
        <v>1228</v>
      </c>
      <c r="B99" s="1417" t="s">
        <v>9049</v>
      </c>
      <c r="C99" s="1422" t="s">
        <v>5573</v>
      </c>
      <c r="D99"/>
      <c r="E99"/>
      <c r="F99"/>
      <c r="G99"/>
      <c r="H99"/>
      <c r="I99"/>
      <c r="J99"/>
      <c r="K99"/>
      <c r="L99"/>
      <c r="M99"/>
      <c r="N99"/>
      <c r="O99"/>
      <c r="P99"/>
      <c r="Q99"/>
      <c r="R99"/>
      <c r="S99"/>
      <c r="T99"/>
      <c r="U99"/>
      <c r="V99"/>
      <c r="W99"/>
      <c r="X99"/>
      <c r="Y99"/>
      <c r="Z99"/>
      <c r="AA99"/>
      <c r="AB99"/>
      <c r="AC99"/>
      <c r="AD99"/>
      <c r="AE99"/>
      <c r="AF99"/>
    </row>
    <row r="100" spans="1:32" ht="20.45" customHeight="1" x14ac:dyDescent="0.2">
      <c r="A100" s="1421" t="s">
        <v>1228</v>
      </c>
      <c r="B100" s="1417" t="s">
        <v>9048</v>
      </c>
      <c r="C100" s="1422" t="s">
        <v>2786</v>
      </c>
      <c r="D100"/>
      <c r="E100"/>
      <c r="F100"/>
      <c r="G100"/>
      <c r="H100"/>
      <c r="I100"/>
      <c r="J100"/>
      <c r="K100"/>
      <c r="L100"/>
      <c r="M100"/>
      <c r="N100"/>
      <c r="O100"/>
      <c r="P100"/>
      <c r="Q100"/>
      <c r="R100"/>
      <c r="S100"/>
      <c r="T100"/>
      <c r="U100"/>
      <c r="V100"/>
      <c r="W100"/>
      <c r="X100"/>
      <c r="Y100"/>
      <c r="Z100"/>
      <c r="AA100"/>
      <c r="AB100"/>
      <c r="AC100"/>
      <c r="AD100"/>
      <c r="AE100"/>
      <c r="AF100"/>
    </row>
    <row r="101" spans="1:32" ht="20.45" customHeight="1" x14ac:dyDescent="0.2">
      <c r="A101" s="1421" t="s">
        <v>1228</v>
      </c>
      <c r="B101" s="1417" t="s">
        <v>9047</v>
      </c>
      <c r="C101" s="1422" t="s">
        <v>2787</v>
      </c>
      <c r="D101"/>
      <c r="E101"/>
      <c r="F101"/>
      <c r="G101"/>
      <c r="H101"/>
      <c r="I101"/>
      <c r="J101"/>
      <c r="K101"/>
      <c r="L101"/>
      <c r="M101"/>
      <c r="N101"/>
      <c r="O101"/>
      <c r="P101"/>
      <c r="Q101"/>
      <c r="R101"/>
      <c r="S101"/>
      <c r="T101"/>
      <c r="U101"/>
      <c r="V101"/>
      <c r="W101"/>
      <c r="X101"/>
      <c r="Y101"/>
      <c r="Z101"/>
      <c r="AA101"/>
      <c r="AB101"/>
      <c r="AC101"/>
      <c r="AD101"/>
      <c r="AE101"/>
      <c r="AF101"/>
    </row>
    <row r="102" spans="1:32" ht="20.45" customHeight="1" x14ac:dyDescent="0.2">
      <c r="A102" s="1421" t="s">
        <v>1228</v>
      </c>
      <c r="B102" s="1417" t="s">
        <v>9046</v>
      </c>
      <c r="C102" s="1422" t="s">
        <v>5574</v>
      </c>
      <c r="D102"/>
      <c r="E102"/>
      <c r="F102"/>
      <c r="G102"/>
      <c r="H102"/>
      <c r="I102"/>
      <c r="J102"/>
      <c r="K102"/>
      <c r="L102"/>
      <c r="M102"/>
      <c r="N102"/>
      <c r="O102"/>
      <c r="P102"/>
      <c r="Q102"/>
      <c r="R102"/>
      <c r="S102"/>
      <c r="T102"/>
      <c r="U102"/>
      <c r="V102"/>
      <c r="W102"/>
      <c r="X102"/>
      <c r="Y102"/>
      <c r="Z102"/>
      <c r="AA102"/>
      <c r="AB102"/>
      <c r="AC102"/>
      <c r="AD102"/>
      <c r="AE102"/>
      <c r="AF102"/>
    </row>
    <row r="103" spans="1:32" ht="20.45" customHeight="1" x14ac:dyDescent="0.2">
      <c r="A103" s="1421" t="s">
        <v>1228</v>
      </c>
      <c r="B103" s="1417" t="s">
        <v>9045</v>
      </c>
      <c r="C103" s="1422" t="s">
        <v>5575</v>
      </c>
      <c r="D103"/>
      <c r="E103"/>
      <c r="F103"/>
      <c r="G103"/>
      <c r="H103"/>
      <c r="I103"/>
      <c r="J103"/>
      <c r="K103"/>
      <c r="L103"/>
      <c r="M103"/>
      <c r="N103"/>
      <c r="O103"/>
      <c r="P103"/>
      <c r="Q103"/>
      <c r="R103"/>
      <c r="S103"/>
      <c r="T103"/>
      <c r="U103"/>
      <c r="V103"/>
      <c r="W103"/>
      <c r="X103"/>
      <c r="Y103"/>
      <c r="Z103"/>
      <c r="AA103"/>
      <c r="AB103"/>
      <c r="AC103"/>
      <c r="AD103"/>
      <c r="AE103"/>
      <c r="AF103"/>
    </row>
    <row r="104" spans="1:32" ht="20.45" customHeight="1" x14ac:dyDescent="0.2">
      <c r="A104" s="1421" t="s">
        <v>1228</v>
      </c>
      <c r="B104" s="1417" t="s">
        <v>9044</v>
      </c>
      <c r="C104" s="1422" t="s">
        <v>15</v>
      </c>
      <c r="D104"/>
      <c r="E104"/>
      <c r="F104"/>
      <c r="G104"/>
      <c r="H104"/>
      <c r="I104"/>
      <c r="J104"/>
      <c r="K104"/>
      <c r="L104"/>
      <c r="M104"/>
      <c r="N104"/>
      <c r="O104"/>
      <c r="P104"/>
      <c r="Q104"/>
      <c r="R104"/>
      <c r="S104"/>
      <c r="T104"/>
      <c r="U104"/>
      <c r="V104"/>
      <c r="W104"/>
      <c r="X104"/>
      <c r="Y104"/>
      <c r="Z104"/>
      <c r="AA104"/>
      <c r="AB104"/>
      <c r="AC104"/>
      <c r="AD104"/>
      <c r="AE104"/>
      <c r="AF104"/>
    </row>
    <row r="105" spans="1:32" ht="20.45" customHeight="1" x14ac:dyDescent="0.2">
      <c r="A105" s="1419" t="s">
        <v>39</v>
      </c>
      <c r="B105" s="1800" t="s">
        <v>9653</v>
      </c>
      <c r="C105" s="1427" t="s">
        <v>5576</v>
      </c>
      <c r="D105"/>
      <c r="E105"/>
      <c r="F105"/>
      <c r="G105"/>
      <c r="H105"/>
      <c r="I105"/>
      <c r="J105"/>
      <c r="K105"/>
      <c r="L105"/>
      <c r="M105"/>
      <c r="N105"/>
      <c r="O105"/>
      <c r="P105"/>
      <c r="Q105"/>
      <c r="R105"/>
      <c r="S105"/>
      <c r="T105"/>
      <c r="U105"/>
      <c r="V105"/>
      <c r="W105"/>
      <c r="X105"/>
      <c r="Y105"/>
      <c r="Z105"/>
      <c r="AA105"/>
      <c r="AB105"/>
      <c r="AC105"/>
      <c r="AD105"/>
      <c r="AE105"/>
      <c r="AF105"/>
    </row>
    <row r="106" spans="1:32" ht="20.45" customHeight="1" x14ac:dyDescent="0.2">
      <c r="A106" s="1421" t="s">
        <v>1228</v>
      </c>
      <c r="B106" s="1417" t="s">
        <v>5883</v>
      </c>
      <c r="C106" s="1422" t="s">
        <v>25</v>
      </c>
      <c r="D106"/>
      <c r="E106"/>
      <c r="F106"/>
      <c r="G106"/>
      <c r="H106"/>
      <c r="I106"/>
      <c r="J106"/>
      <c r="K106"/>
      <c r="L106"/>
      <c r="M106"/>
      <c r="N106"/>
      <c r="O106"/>
      <c r="P106"/>
      <c r="Q106"/>
      <c r="R106"/>
      <c r="S106"/>
      <c r="T106"/>
      <c r="U106"/>
      <c r="V106"/>
      <c r="W106"/>
      <c r="X106"/>
      <c r="Y106"/>
      <c r="Z106"/>
      <c r="AA106"/>
      <c r="AB106"/>
      <c r="AC106"/>
      <c r="AD106"/>
      <c r="AE106"/>
      <c r="AF106"/>
    </row>
    <row r="107" spans="1:32" ht="20.45" customHeight="1" x14ac:dyDescent="0.2">
      <c r="A107" s="1421" t="s">
        <v>1228</v>
      </c>
      <c r="B107" s="1417" t="s">
        <v>5886</v>
      </c>
      <c r="C107" s="1422" t="s">
        <v>5571</v>
      </c>
      <c r="D107"/>
      <c r="E107"/>
      <c r="F107"/>
      <c r="G107"/>
      <c r="H107"/>
      <c r="I107"/>
      <c r="J107"/>
      <c r="K107"/>
      <c r="L107"/>
      <c r="M107"/>
      <c r="N107"/>
      <c r="O107"/>
      <c r="P107"/>
      <c r="Q107"/>
      <c r="R107"/>
      <c r="S107"/>
      <c r="T107"/>
      <c r="U107"/>
      <c r="V107"/>
      <c r="W107"/>
      <c r="X107"/>
      <c r="Y107"/>
      <c r="Z107"/>
      <c r="AA107"/>
      <c r="AB107"/>
      <c r="AC107"/>
      <c r="AD107"/>
      <c r="AE107"/>
      <c r="AF107"/>
    </row>
    <row r="108" spans="1:32" ht="20.45" customHeight="1" x14ac:dyDescent="0.2">
      <c r="A108" s="1421" t="s">
        <v>1228</v>
      </c>
      <c r="B108" s="1417" t="s">
        <v>5888</v>
      </c>
      <c r="C108" s="1422" t="s">
        <v>2528</v>
      </c>
      <c r="D108"/>
      <c r="E108"/>
      <c r="F108"/>
      <c r="G108"/>
      <c r="H108"/>
      <c r="I108"/>
      <c r="J108"/>
      <c r="K108"/>
      <c r="L108"/>
      <c r="M108"/>
      <c r="N108"/>
      <c r="O108"/>
      <c r="P108"/>
      <c r="Q108"/>
      <c r="R108"/>
      <c r="S108"/>
      <c r="T108"/>
      <c r="U108"/>
      <c r="V108"/>
      <c r="W108"/>
      <c r="X108"/>
      <c r="Y108"/>
      <c r="Z108"/>
      <c r="AA108"/>
      <c r="AB108"/>
      <c r="AC108"/>
      <c r="AD108"/>
      <c r="AE108"/>
      <c r="AF108"/>
    </row>
    <row r="109" spans="1:32" ht="20.45" customHeight="1" x14ac:dyDescent="0.2">
      <c r="A109" s="1421" t="s">
        <v>1228</v>
      </c>
      <c r="B109" s="1417" t="s">
        <v>5890</v>
      </c>
      <c r="C109" s="1422" t="s">
        <v>5572</v>
      </c>
      <c r="D109"/>
      <c r="E109"/>
      <c r="F109"/>
      <c r="G109"/>
      <c r="H109"/>
      <c r="I109"/>
      <c r="J109"/>
      <c r="K109"/>
      <c r="L109"/>
      <c r="M109"/>
      <c r="N109"/>
      <c r="O109"/>
      <c r="P109"/>
      <c r="Q109"/>
      <c r="R109"/>
      <c r="S109"/>
      <c r="T109"/>
      <c r="U109"/>
      <c r="V109"/>
      <c r="W109"/>
      <c r="X109"/>
      <c r="Y109"/>
      <c r="Z109"/>
      <c r="AA109"/>
      <c r="AB109"/>
      <c r="AC109"/>
      <c r="AD109"/>
      <c r="AE109"/>
      <c r="AF109"/>
    </row>
    <row r="110" spans="1:32" ht="20.45" customHeight="1" x14ac:dyDescent="0.2">
      <c r="A110" s="1421" t="s">
        <v>1228</v>
      </c>
      <c r="B110" s="1417" t="s">
        <v>5892</v>
      </c>
      <c r="C110" s="1422" t="s">
        <v>2785</v>
      </c>
      <c r="D110"/>
      <c r="E110"/>
      <c r="F110"/>
      <c r="G110"/>
      <c r="H110"/>
      <c r="I110"/>
      <c r="J110"/>
      <c r="K110"/>
      <c r="L110"/>
      <c r="M110"/>
      <c r="N110"/>
      <c r="O110"/>
      <c r="P110"/>
      <c r="Q110"/>
      <c r="R110"/>
      <c r="S110"/>
      <c r="T110"/>
      <c r="U110"/>
      <c r="V110"/>
      <c r="W110"/>
      <c r="X110"/>
      <c r="Y110"/>
      <c r="Z110"/>
      <c r="AA110"/>
      <c r="AB110"/>
      <c r="AC110"/>
      <c r="AD110"/>
      <c r="AE110"/>
      <c r="AF110"/>
    </row>
    <row r="111" spans="1:32" ht="20.45" customHeight="1" x14ac:dyDescent="0.2">
      <c r="A111" s="1421" t="s">
        <v>1228</v>
      </c>
      <c r="B111" s="1417" t="s">
        <v>5894</v>
      </c>
      <c r="C111" s="1422" t="s">
        <v>5573</v>
      </c>
      <c r="D111"/>
      <c r="E111"/>
      <c r="F111"/>
      <c r="G111"/>
      <c r="H111"/>
      <c r="I111"/>
      <c r="J111"/>
      <c r="K111"/>
      <c r="L111"/>
      <c r="M111"/>
      <c r="N111"/>
      <c r="O111"/>
      <c r="P111"/>
      <c r="Q111"/>
      <c r="R111"/>
      <c r="S111"/>
      <c r="T111"/>
      <c r="U111"/>
      <c r="V111"/>
      <c r="W111"/>
      <c r="X111"/>
      <c r="Y111"/>
      <c r="Z111"/>
      <c r="AA111"/>
      <c r="AB111"/>
      <c r="AC111"/>
      <c r="AD111"/>
      <c r="AE111"/>
      <c r="AF111"/>
    </row>
    <row r="112" spans="1:32" ht="20.45" customHeight="1" x14ac:dyDescent="0.2">
      <c r="A112" s="1421" t="s">
        <v>1228</v>
      </c>
      <c r="B112" s="1417" t="s">
        <v>5896</v>
      </c>
      <c r="C112" s="1422" t="s">
        <v>2786</v>
      </c>
      <c r="D112"/>
      <c r="E112"/>
      <c r="F112"/>
      <c r="G112"/>
      <c r="H112"/>
      <c r="I112"/>
      <c r="J112"/>
      <c r="K112"/>
      <c r="L112"/>
      <c r="M112"/>
      <c r="N112"/>
      <c r="O112"/>
      <c r="P112"/>
      <c r="Q112"/>
      <c r="R112"/>
      <c r="S112"/>
      <c r="T112"/>
      <c r="U112"/>
      <c r="V112"/>
      <c r="W112"/>
      <c r="X112"/>
      <c r="Y112"/>
      <c r="Z112"/>
      <c r="AA112"/>
      <c r="AB112"/>
      <c r="AC112"/>
      <c r="AD112"/>
      <c r="AE112"/>
      <c r="AF112"/>
    </row>
    <row r="113" spans="1:32" ht="20.45" customHeight="1" x14ac:dyDescent="0.2">
      <c r="A113" s="1421" t="s">
        <v>1228</v>
      </c>
      <c r="B113" s="1417" t="s">
        <v>5898</v>
      </c>
      <c r="C113" s="1422" t="s">
        <v>2787</v>
      </c>
      <c r="D113"/>
      <c r="E113"/>
      <c r="F113"/>
      <c r="G113"/>
      <c r="H113"/>
      <c r="I113"/>
      <c r="J113"/>
      <c r="K113"/>
      <c r="L113"/>
      <c r="M113"/>
      <c r="N113"/>
      <c r="O113"/>
      <c r="P113"/>
      <c r="Q113"/>
      <c r="R113"/>
      <c r="S113"/>
      <c r="T113"/>
      <c r="U113"/>
      <c r="V113"/>
      <c r="W113"/>
      <c r="X113"/>
      <c r="Y113"/>
      <c r="Z113"/>
      <c r="AA113"/>
      <c r="AB113"/>
      <c r="AC113"/>
      <c r="AD113"/>
      <c r="AE113"/>
      <c r="AF113"/>
    </row>
    <row r="114" spans="1:32" ht="20.45" customHeight="1" x14ac:dyDescent="0.2">
      <c r="A114" s="1421" t="s">
        <v>1228</v>
      </c>
      <c r="B114" s="1417" t="s">
        <v>5900</v>
      </c>
      <c r="C114" s="1422" t="s">
        <v>5574</v>
      </c>
      <c r="D114"/>
      <c r="E114"/>
      <c r="F114"/>
      <c r="G114"/>
      <c r="H114"/>
      <c r="I114"/>
      <c r="J114"/>
      <c r="K114"/>
      <c r="L114"/>
      <c r="M114"/>
      <c r="N114"/>
      <c r="O114"/>
      <c r="P114"/>
      <c r="Q114"/>
      <c r="R114"/>
      <c r="S114"/>
      <c r="T114"/>
      <c r="U114"/>
      <c r="V114"/>
      <c r="W114"/>
      <c r="X114"/>
      <c r="Y114"/>
      <c r="Z114"/>
      <c r="AA114"/>
      <c r="AB114"/>
      <c r="AC114"/>
      <c r="AD114"/>
      <c r="AE114"/>
      <c r="AF114"/>
    </row>
    <row r="115" spans="1:32" ht="20.45" customHeight="1" x14ac:dyDescent="0.2">
      <c r="A115" s="1421" t="s">
        <v>1228</v>
      </c>
      <c r="B115" s="1417" t="s">
        <v>5902</v>
      </c>
      <c r="C115" s="1422" t="s">
        <v>5575</v>
      </c>
      <c r="D115"/>
      <c r="E115"/>
      <c r="F115"/>
      <c r="G115"/>
      <c r="H115"/>
      <c r="I115"/>
      <c r="J115"/>
      <c r="K115"/>
      <c r="L115"/>
      <c r="M115"/>
      <c r="N115"/>
      <c r="O115"/>
      <c r="P115"/>
      <c r="Q115"/>
      <c r="R115"/>
      <c r="S115"/>
      <c r="T115"/>
      <c r="U115"/>
      <c r="V115"/>
      <c r="W115"/>
      <c r="X115"/>
      <c r="Y115"/>
      <c r="Z115"/>
      <c r="AA115"/>
      <c r="AB115"/>
      <c r="AC115"/>
      <c r="AD115"/>
      <c r="AE115"/>
      <c r="AF115"/>
    </row>
    <row r="116" spans="1:32" ht="20.45" customHeight="1" x14ac:dyDescent="0.2">
      <c r="A116" s="1421" t="s">
        <v>1228</v>
      </c>
      <c r="B116" s="1417" t="s">
        <v>5904</v>
      </c>
      <c r="C116" s="1422" t="s">
        <v>15</v>
      </c>
      <c r="D116"/>
      <c r="E116"/>
      <c r="F116"/>
      <c r="G116"/>
      <c r="H116"/>
      <c r="I116"/>
      <c r="J116"/>
      <c r="K116"/>
      <c r="L116"/>
      <c r="M116"/>
      <c r="N116"/>
      <c r="O116"/>
      <c r="P116"/>
      <c r="Q116"/>
      <c r="R116"/>
      <c r="S116"/>
      <c r="T116"/>
      <c r="U116"/>
      <c r="V116"/>
      <c r="W116"/>
      <c r="X116"/>
      <c r="Y116"/>
      <c r="Z116"/>
      <c r="AA116"/>
      <c r="AB116"/>
      <c r="AC116"/>
      <c r="AD116"/>
      <c r="AE116"/>
      <c r="AF116"/>
    </row>
    <row r="117" spans="1:32" ht="20.45" customHeight="1" x14ac:dyDescent="0.2">
      <c r="A117" s="1419" t="s">
        <v>39</v>
      </c>
      <c r="B117" s="1800" t="s">
        <v>9654</v>
      </c>
      <c r="C117" s="1427" t="s">
        <v>5577</v>
      </c>
      <c r="D117"/>
      <c r="E117"/>
      <c r="F117"/>
      <c r="G117"/>
      <c r="H117"/>
      <c r="I117"/>
      <c r="J117"/>
      <c r="K117"/>
      <c r="L117"/>
      <c r="M117"/>
      <c r="N117"/>
      <c r="O117"/>
      <c r="P117"/>
      <c r="Q117"/>
      <c r="R117"/>
      <c r="S117"/>
      <c r="T117"/>
      <c r="U117"/>
      <c r="V117"/>
      <c r="W117"/>
      <c r="X117"/>
      <c r="Y117"/>
      <c r="Z117"/>
      <c r="AA117"/>
      <c r="AB117"/>
      <c r="AC117"/>
      <c r="AD117"/>
      <c r="AE117"/>
      <c r="AF117"/>
    </row>
    <row r="118" spans="1:32" ht="20.45" customHeight="1" x14ac:dyDescent="0.2">
      <c r="A118" s="1421" t="s">
        <v>1228</v>
      </c>
      <c r="B118" s="1417" t="s">
        <v>5922</v>
      </c>
      <c r="C118" s="1422" t="s">
        <v>25</v>
      </c>
      <c r="D118"/>
      <c r="E118"/>
      <c r="F118"/>
      <c r="G118"/>
      <c r="H118"/>
      <c r="I118"/>
      <c r="J118"/>
      <c r="K118"/>
      <c r="L118"/>
      <c r="M118"/>
      <c r="N118"/>
      <c r="O118"/>
      <c r="P118"/>
      <c r="Q118"/>
      <c r="R118"/>
      <c r="S118"/>
      <c r="T118"/>
      <c r="U118"/>
      <c r="V118"/>
      <c r="W118"/>
      <c r="X118"/>
      <c r="Y118"/>
      <c r="Z118"/>
      <c r="AA118"/>
      <c r="AB118"/>
      <c r="AC118"/>
      <c r="AD118"/>
      <c r="AE118"/>
      <c r="AF118"/>
    </row>
    <row r="119" spans="1:32" ht="20.45" customHeight="1" x14ac:dyDescent="0.2">
      <c r="A119" s="1421" t="s">
        <v>1228</v>
      </c>
      <c r="B119" s="1417" t="s">
        <v>5930</v>
      </c>
      <c r="C119" s="1422" t="s">
        <v>5571</v>
      </c>
      <c r="D119"/>
      <c r="E119"/>
      <c r="F119"/>
      <c r="G119"/>
      <c r="H119"/>
      <c r="I119"/>
      <c r="J119"/>
      <c r="K119"/>
      <c r="L119"/>
      <c r="M119"/>
      <c r="N119"/>
      <c r="O119"/>
      <c r="P119"/>
      <c r="Q119"/>
      <c r="R119"/>
      <c r="S119"/>
      <c r="T119"/>
      <c r="U119"/>
      <c r="V119"/>
      <c r="W119"/>
      <c r="X119"/>
      <c r="Y119"/>
      <c r="Z119"/>
      <c r="AA119"/>
      <c r="AB119"/>
      <c r="AC119"/>
      <c r="AD119"/>
      <c r="AE119"/>
      <c r="AF119"/>
    </row>
    <row r="120" spans="1:32" ht="20.45" customHeight="1" x14ac:dyDescent="0.2">
      <c r="A120" s="1421" t="s">
        <v>1228</v>
      </c>
      <c r="B120" s="1417" t="s">
        <v>5940</v>
      </c>
      <c r="C120" s="1422" t="s">
        <v>2528</v>
      </c>
      <c r="D120"/>
      <c r="E120"/>
      <c r="F120"/>
      <c r="G120"/>
      <c r="H120"/>
      <c r="I120"/>
      <c r="J120"/>
      <c r="K120"/>
      <c r="L120"/>
      <c r="M120"/>
      <c r="N120"/>
      <c r="O120"/>
      <c r="P120"/>
      <c r="Q120"/>
      <c r="R120"/>
      <c r="S120"/>
      <c r="T120"/>
      <c r="U120"/>
      <c r="V120"/>
      <c r="W120"/>
      <c r="X120"/>
      <c r="Y120"/>
      <c r="Z120"/>
      <c r="AA120"/>
      <c r="AB120"/>
      <c r="AC120"/>
      <c r="AD120"/>
      <c r="AE120"/>
      <c r="AF120"/>
    </row>
    <row r="121" spans="1:32" ht="20.45" customHeight="1" x14ac:dyDescent="0.2">
      <c r="A121" s="1421" t="s">
        <v>1228</v>
      </c>
      <c r="B121" s="1417" t="s">
        <v>5950</v>
      </c>
      <c r="C121" s="1422" t="s">
        <v>5572</v>
      </c>
      <c r="D121"/>
      <c r="E121"/>
      <c r="F121"/>
      <c r="G121"/>
      <c r="H121"/>
      <c r="I121"/>
      <c r="J121"/>
      <c r="K121"/>
      <c r="L121"/>
      <c r="M121"/>
      <c r="N121"/>
      <c r="O121"/>
      <c r="P121"/>
      <c r="Q121"/>
      <c r="R121"/>
      <c r="S121"/>
      <c r="T121"/>
      <c r="U121"/>
      <c r="V121"/>
      <c r="W121"/>
      <c r="X121"/>
      <c r="Y121"/>
      <c r="Z121"/>
      <c r="AA121"/>
      <c r="AB121"/>
      <c r="AC121"/>
      <c r="AD121"/>
      <c r="AE121"/>
      <c r="AF121"/>
    </row>
    <row r="122" spans="1:32" ht="20.45" customHeight="1" x14ac:dyDescent="0.2">
      <c r="A122" s="1421" t="s">
        <v>1228</v>
      </c>
      <c r="B122" s="1417" t="s">
        <v>5959</v>
      </c>
      <c r="C122" s="1422" t="s">
        <v>2785</v>
      </c>
      <c r="D122"/>
      <c r="E122"/>
      <c r="F122"/>
      <c r="G122"/>
      <c r="H122"/>
      <c r="I122"/>
      <c r="J122"/>
      <c r="K122"/>
      <c r="L122"/>
      <c r="M122"/>
      <c r="N122"/>
      <c r="O122"/>
      <c r="P122"/>
      <c r="Q122"/>
      <c r="R122"/>
      <c r="S122"/>
      <c r="T122"/>
      <c r="U122"/>
      <c r="V122"/>
      <c r="W122"/>
      <c r="X122"/>
      <c r="Y122"/>
      <c r="Z122"/>
      <c r="AA122"/>
      <c r="AB122"/>
      <c r="AC122"/>
      <c r="AD122"/>
      <c r="AE122"/>
      <c r="AF122"/>
    </row>
    <row r="123" spans="1:32" ht="20.45" customHeight="1" x14ac:dyDescent="0.2">
      <c r="A123" s="1421" t="s">
        <v>1228</v>
      </c>
      <c r="B123" s="1417" t="s">
        <v>5968</v>
      </c>
      <c r="C123" s="1422" t="s">
        <v>5573</v>
      </c>
      <c r="D123"/>
      <c r="E123"/>
      <c r="F123"/>
      <c r="G123"/>
      <c r="H123"/>
      <c r="I123"/>
      <c r="J123"/>
      <c r="K123"/>
      <c r="L123"/>
      <c r="M123"/>
      <c r="N123"/>
      <c r="O123"/>
      <c r="P123"/>
      <c r="Q123"/>
      <c r="R123"/>
      <c r="S123"/>
      <c r="T123"/>
      <c r="U123"/>
      <c r="V123"/>
      <c r="W123"/>
      <c r="X123"/>
      <c r="Y123"/>
      <c r="Z123"/>
      <c r="AA123"/>
      <c r="AB123"/>
      <c r="AC123"/>
      <c r="AD123"/>
      <c r="AE123"/>
      <c r="AF123"/>
    </row>
    <row r="124" spans="1:32" ht="20.45" customHeight="1" x14ac:dyDescent="0.2">
      <c r="A124" s="1421" t="s">
        <v>1228</v>
      </c>
      <c r="B124" s="1417" t="s">
        <v>5977</v>
      </c>
      <c r="C124" s="1422" t="s">
        <v>2786</v>
      </c>
      <c r="D124"/>
      <c r="E124"/>
      <c r="F124"/>
      <c r="G124"/>
      <c r="H124"/>
      <c r="I124"/>
      <c r="J124"/>
      <c r="K124"/>
      <c r="L124"/>
      <c r="M124"/>
      <c r="N124"/>
      <c r="O124"/>
      <c r="P124"/>
      <c r="Q124"/>
      <c r="R124"/>
      <c r="S124"/>
      <c r="T124"/>
      <c r="U124"/>
      <c r="V124"/>
      <c r="W124"/>
      <c r="X124"/>
      <c r="Y124"/>
      <c r="Z124"/>
      <c r="AA124"/>
      <c r="AB124"/>
      <c r="AC124"/>
      <c r="AD124"/>
      <c r="AE124"/>
      <c r="AF124"/>
    </row>
    <row r="125" spans="1:32" ht="20.45" customHeight="1" x14ac:dyDescent="0.2">
      <c r="A125" s="1421" t="s">
        <v>1228</v>
      </c>
      <c r="B125" s="1417" t="s">
        <v>5986</v>
      </c>
      <c r="C125" s="1422" t="s">
        <v>2787</v>
      </c>
      <c r="D125"/>
      <c r="E125"/>
      <c r="F125"/>
      <c r="G125"/>
      <c r="H125"/>
      <c r="I125"/>
      <c r="J125"/>
      <c r="K125"/>
      <c r="L125"/>
      <c r="M125"/>
      <c r="N125"/>
      <c r="O125"/>
      <c r="P125"/>
      <c r="Q125"/>
      <c r="R125"/>
      <c r="S125"/>
      <c r="T125"/>
      <c r="U125"/>
      <c r="V125"/>
      <c r="W125"/>
      <c r="X125"/>
      <c r="Y125"/>
      <c r="Z125"/>
      <c r="AA125"/>
      <c r="AB125"/>
      <c r="AC125"/>
      <c r="AD125"/>
      <c r="AE125"/>
      <c r="AF125"/>
    </row>
    <row r="126" spans="1:32" ht="20.45" customHeight="1" x14ac:dyDescent="0.2">
      <c r="A126" s="1421" t="s">
        <v>1228</v>
      </c>
      <c r="B126" s="1417" t="s">
        <v>5995</v>
      </c>
      <c r="C126" s="1422" t="s">
        <v>5574</v>
      </c>
      <c r="D126"/>
      <c r="E126"/>
      <c r="F126"/>
      <c r="G126"/>
      <c r="H126"/>
      <c r="I126"/>
      <c r="J126"/>
      <c r="K126"/>
      <c r="L126"/>
      <c r="M126"/>
      <c r="N126"/>
      <c r="O126"/>
      <c r="P126"/>
      <c r="Q126"/>
      <c r="R126"/>
      <c r="S126"/>
      <c r="T126"/>
      <c r="U126"/>
      <c r="V126"/>
      <c r="W126"/>
      <c r="X126"/>
      <c r="Y126"/>
      <c r="Z126"/>
      <c r="AA126"/>
      <c r="AB126"/>
      <c r="AC126"/>
      <c r="AD126"/>
      <c r="AE126"/>
      <c r="AF126"/>
    </row>
    <row r="127" spans="1:32" ht="20.45" customHeight="1" x14ac:dyDescent="0.2">
      <c r="A127" s="1421" t="s">
        <v>1228</v>
      </c>
      <c r="B127" s="1417" t="s">
        <v>6004</v>
      </c>
      <c r="C127" s="1422" t="s">
        <v>5575</v>
      </c>
      <c r="D127"/>
      <c r="E127"/>
      <c r="F127"/>
      <c r="G127"/>
      <c r="H127"/>
      <c r="I127"/>
      <c r="J127"/>
      <c r="K127"/>
      <c r="L127"/>
      <c r="M127"/>
      <c r="N127"/>
      <c r="O127"/>
      <c r="P127"/>
      <c r="Q127"/>
      <c r="R127"/>
      <c r="S127"/>
      <c r="T127"/>
      <c r="U127"/>
      <c r="V127"/>
      <c r="W127"/>
      <c r="X127"/>
      <c r="Y127"/>
      <c r="Z127"/>
      <c r="AA127"/>
      <c r="AB127"/>
      <c r="AC127"/>
      <c r="AD127"/>
      <c r="AE127"/>
      <c r="AF127"/>
    </row>
    <row r="128" spans="1:32" ht="20.45" customHeight="1" x14ac:dyDescent="0.2">
      <c r="A128" s="1421" t="s">
        <v>1228</v>
      </c>
      <c r="B128" s="1417" t="s">
        <v>6013</v>
      </c>
      <c r="C128" s="1422" t="s">
        <v>15</v>
      </c>
      <c r="D128"/>
      <c r="E128"/>
      <c r="F128"/>
      <c r="G128"/>
      <c r="H128"/>
      <c r="I128"/>
      <c r="J128"/>
      <c r="K128"/>
      <c r="L128"/>
      <c r="M128"/>
      <c r="N128"/>
      <c r="O128"/>
      <c r="P128"/>
      <c r="Q128"/>
      <c r="R128"/>
      <c r="S128"/>
      <c r="T128"/>
      <c r="U128"/>
      <c r="V128"/>
      <c r="W128"/>
      <c r="X128"/>
      <c r="Y128"/>
      <c r="Z128"/>
      <c r="AA128"/>
      <c r="AB128"/>
      <c r="AC128"/>
      <c r="AD128"/>
      <c r="AE128"/>
      <c r="AF128"/>
    </row>
    <row r="129" spans="1:32" ht="20.45" customHeight="1" x14ac:dyDescent="0.2">
      <c r="A129" s="1419" t="s">
        <v>1237</v>
      </c>
      <c r="B129" s="1417">
        <v>5</v>
      </c>
      <c r="C129" s="1420" t="s">
        <v>18</v>
      </c>
      <c r="D129"/>
      <c r="E129"/>
      <c r="F129"/>
      <c r="G129"/>
      <c r="H129"/>
      <c r="I129"/>
      <c r="J129"/>
      <c r="K129"/>
      <c r="L129"/>
      <c r="M129"/>
      <c r="N129"/>
      <c r="O129"/>
      <c r="P129"/>
      <c r="Q129"/>
      <c r="R129"/>
      <c r="S129"/>
      <c r="T129"/>
      <c r="U129"/>
      <c r="V129"/>
      <c r="W129"/>
      <c r="X129"/>
      <c r="Y129"/>
      <c r="Z129"/>
      <c r="AA129"/>
      <c r="AB129"/>
      <c r="AC129"/>
      <c r="AD129"/>
      <c r="AE129"/>
      <c r="AF129"/>
    </row>
    <row r="130" spans="1:32" ht="20.45" customHeight="1" x14ac:dyDescent="0.2">
      <c r="A130" s="1419" t="s">
        <v>39</v>
      </c>
      <c r="B130" s="1800" t="s">
        <v>9655</v>
      </c>
      <c r="C130" s="1427" t="s">
        <v>9684</v>
      </c>
      <c r="D130"/>
      <c r="E130"/>
      <c r="F130"/>
      <c r="G130"/>
      <c r="H130"/>
      <c r="I130"/>
      <c r="J130"/>
      <c r="K130"/>
      <c r="L130"/>
      <c r="M130"/>
      <c r="N130"/>
      <c r="O130"/>
      <c r="P130"/>
      <c r="Q130"/>
      <c r="R130"/>
      <c r="S130"/>
      <c r="T130"/>
      <c r="U130"/>
      <c r="V130"/>
      <c r="W130"/>
      <c r="X130"/>
      <c r="Y130"/>
      <c r="Z130"/>
      <c r="AA130"/>
      <c r="AB130"/>
      <c r="AC130"/>
      <c r="AD130"/>
      <c r="AE130"/>
      <c r="AF130"/>
    </row>
    <row r="131" spans="1:32" ht="20.45" customHeight="1" x14ac:dyDescent="0.2">
      <c r="A131" s="1421" t="s">
        <v>1228</v>
      </c>
      <c r="B131" s="1417" t="s">
        <v>6163</v>
      </c>
      <c r="C131" s="1422" t="s">
        <v>2521</v>
      </c>
      <c r="D131"/>
      <c r="E131"/>
      <c r="F131"/>
      <c r="G131"/>
      <c r="H131"/>
      <c r="I131"/>
      <c r="J131"/>
      <c r="K131"/>
      <c r="L131"/>
      <c r="M131"/>
      <c r="N131"/>
      <c r="O131"/>
      <c r="P131"/>
      <c r="Q131"/>
      <c r="R131"/>
      <c r="S131"/>
      <c r="T131"/>
      <c r="U131"/>
      <c r="V131"/>
      <c r="W131"/>
      <c r="X131"/>
      <c r="Y131"/>
      <c r="Z131"/>
      <c r="AA131"/>
      <c r="AB131"/>
      <c r="AC131"/>
      <c r="AD131"/>
      <c r="AE131"/>
      <c r="AF131"/>
    </row>
    <row r="132" spans="1:32" ht="20.45" customHeight="1" x14ac:dyDescent="0.2">
      <c r="A132" s="1421" t="s">
        <v>1228</v>
      </c>
      <c r="B132" s="1417" t="s">
        <v>6167</v>
      </c>
      <c r="C132" s="1422" t="s">
        <v>5578</v>
      </c>
      <c r="D132"/>
      <c r="E132"/>
      <c r="F132"/>
      <c r="G132"/>
      <c r="H132"/>
      <c r="I132"/>
      <c r="J132"/>
      <c r="K132"/>
      <c r="L132"/>
      <c r="M132"/>
      <c r="N132"/>
      <c r="O132"/>
      <c r="P132"/>
      <c r="Q132"/>
      <c r="R132"/>
      <c r="S132"/>
      <c r="T132"/>
      <c r="U132"/>
      <c r="V132"/>
      <c r="W132"/>
      <c r="X132"/>
      <c r="Y132"/>
      <c r="Z132"/>
      <c r="AA132"/>
      <c r="AB132"/>
      <c r="AC132"/>
      <c r="AD132"/>
      <c r="AE132"/>
      <c r="AF132"/>
    </row>
    <row r="133" spans="1:32" ht="20.45" customHeight="1" x14ac:dyDescent="0.2">
      <c r="A133" s="1421" t="s">
        <v>1228</v>
      </c>
      <c r="B133" s="1417" t="s">
        <v>6169</v>
      </c>
      <c r="C133" s="1422" t="s">
        <v>2796</v>
      </c>
      <c r="D133"/>
      <c r="E133"/>
      <c r="F133"/>
      <c r="G133"/>
      <c r="H133"/>
      <c r="I133"/>
      <c r="J133"/>
      <c r="K133"/>
      <c r="L133"/>
      <c r="M133"/>
      <c r="N133"/>
      <c r="O133"/>
      <c r="P133"/>
      <c r="Q133"/>
      <c r="R133"/>
      <c r="S133"/>
      <c r="T133"/>
      <c r="U133"/>
      <c r="V133"/>
      <c r="W133"/>
      <c r="X133"/>
      <c r="Y133"/>
      <c r="Z133"/>
      <c r="AA133"/>
      <c r="AB133"/>
      <c r="AC133"/>
      <c r="AD133"/>
      <c r="AE133"/>
      <c r="AF133"/>
    </row>
    <row r="134" spans="1:32" ht="20.45" customHeight="1" x14ac:dyDescent="0.2">
      <c r="A134" s="1421" t="s">
        <v>1228</v>
      </c>
      <c r="B134" s="1417" t="s">
        <v>6173</v>
      </c>
      <c r="C134" s="1422" t="s">
        <v>5579</v>
      </c>
      <c r="D134"/>
      <c r="E134"/>
      <c r="F134"/>
      <c r="G134"/>
      <c r="H134"/>
      <c r="I134"/>
      <c r="J134"/>
      <c r="K134"/>
      <c r="L134"/>
      <c r="M134"/>
      <c r="N134"/>
      <c r="O134"/>
      <c r="P134"/>
      <c r="Q134"/>
      <c r="R134"/>
      <c r="S134"/>
      <c r="T134"/>
      <c r="U134"/>
      <c r="V134"/>
      <c r="W134"/>
      <c r="X134"/>
      <c r="Y134"/>
      <c r="Z134"/>
      <c r="AA134"/>
      <c r="AB134"/>
      <c r="AC134"/>
      <c r="AD134"/>
      <c r="AE134"/>
      <c r="AF134"/>
    </row>
    <row r="135" spans="1:32" ht="20.45" customHeight="1" x14ac:dyDescent="0.2">
      <c r="A135" s="1421" t="s">
        <v>1228</v>
      </c>
      <c r="B135" s="1417" t="s">
        <v>6177</v>
      </c>
      <c r="C135" s="1422" t="s">
        <v>2797</v>
      </c>
      <c r="D135"/>
      <c r="E135"/>
      <c r="F135"/>
      <c r="G135"/>
      <c r="H135"/>
      <c r="I135"/>
      <c r="J135"/>
      <c r="K135"/>
      <c r="L135"/>
      <c r="M135"/>
      <c r="N135"/>
      <c r="O135"/>
      <c r="P135"/>
      <c r="Q135"/>
      <c r="R135"/>
      <c r="S135"/>
      <c r="T135"/>
      <c r="U135"/>
      <c r="V135"/>
      <c r="W135"/>
      <c r="X135"/>
      <c r="Y135"/>
      <c r="Z135"/>
      <c r="AA135"/>
      <c r="AB135"/>
      <c r="AC135"/>
      <c r="AD135"/>
      <c r="AE135"/>
      <c r="AF135"/>
    </row>
    <row r="136" spans="1:32" ht="20.45" customHeight="1" x14ac:dyDescent="0.2">
      <c r="A136" s="1421" t="s">
        <v>1228</v>
      </c>
      <c r="B136" s="1417" t="s">
        <v>9043</v>
      </c>
      <c r="C136" s="1422" t="s">
        <v>5580</v>
      </c>
      <c r="D136"/>
      <c r="E136"/>
      <c r="F136"/>
      <c r="G136"/>
      <c r="H136"/>
      <c r="I136"/>
      <c r="J136"/>
      <c r="K136"/>
      <c r="L136"/>
      <c r="M136"/>
      <c r="N136"/>
      <c r="O136"/>
      <c r="P136"/>
      <c r="Q136"/>
      <c r="R136"/>
      <c r="S136"/>
      <c r="T136"/>
      <c r="U136"/>
      <c r="V136"/>
      <c r="W136"/>
      <c r="X136"/>
      <c r="Y136"/>
      <c r="Z136"/>
      <c r="AA136"/>
      <c r="AB136"/>
      <c r="AC136"/>
      <c r="AD136"/>
      <c r="AE136"/>
      <c r="AF136"/>
    </row>
    <row r="137" spans="1:32" ht="20.45" customHeight="1" x14ac:dyDescent="0.2">
      <c r="A137" s="1421" t="s">
        <v>1228</v>
      </c>
      <c r="B137" s="1417" t="s">
        <v>9042</v>
      </c>
      <c r="C137" s="1422" t="s">
        <v>2522</v>
      </c>
      <c r="D137"/>
      <c r="E137"/>
      <c r="F137"/>
      <c r="G137"/>
      <c r="H137"/>
      <c r="I137"/>
      <c r="J137"/>
      <c r="K137"/>
      <c r="L137"/>
      <c r="M137"/>
      <c r="N137"/>
      <c r="O137"/>
      <c r="P137"/>
      <c r="Q137"/>
      <c r="R137"/>
      <c r="S137"/>
      <c r="T137"/>
      <c r="U137"/>
      <c r="V137"/>
      <c r="W137"/>
      <c r="X137"/>
      <c r="Y137"/>
      <c r="Z137"/>
      <c r="AA137"/>
      <c r="AB137"/>
      <c r="AC137"/>
      <c r="AD137"/>
      <c r="AE137"/>
      <c r="AF137"/>
    </row>
    <row r="138" spans="1:32" ht="20.45" customHeight="1" x14ac:dyDescent="0.2">
      <c r="A138" s="1421" t="s">
        <v>1228</v>
      </c>
      <c r="B138" s="1417" t="s">
        <v>9041</v>
      </c>
      <c r="C138" s="1422" t="s">
        <v>15</v>
      </c>
      <c r="D138"/>
      <c r="E138"/>
      <c r="F138"/>
      <c r="G138"/>
      <c r="H138"/>
      <c r="I138"/>
      <c r="J138"/>
      <c r="K138"/>
      <c r="L138"/>
      <c r="M138"/>
      <c r="N138"/>
      <c r="O138"/>
      <c r="P138"/>
      <c r="Q138"/>
      <c r="R138"/>
      <c r="S138"/>
      <c r="T138"/>
      <c r="U138"/>
      <c r="V138"/>
      <c r="W138"/>
      <c r="X138"/>
      <c r="Y138"/>
      <c r="Z138"/>
      <c r="AA138"/>
      <c r="AB138"/>
      <c r="AC138"/>
      <c r="AD138"/>
      <c r="AE138"/>
      <c r="AF138"/>
    </row>
    <row r="139" spans="1:32" ht="20.45" customHeight="1" x14ac:dyDescent="0.2">
      <c r="A139" s="1419" t="s">
        <v>39</v>
      </c>
      <c r="B139" s="1800" t="s">
        <v>9656</v>
      </c>
      <c r="C139" s="1427" t="s">
        <v>5581</v>
      </c>
      <c r="D139"/>
      <c r="E139"/>
      <c r="F139"/>
      <c r="G139"/>
      <c r="H139"/>
      <c r="I139"/>
      <c r="J139"/>
      <c r="K139"/>
      <c r="L139"/>
      <c r="M139"/>
      <c r="N139"/>
      <c r="O139"/>
      <c r="P139"/>
      <c r="Q139"/>
      <c r="R139"/>
      <c r="S139"/>
      <c r="T139"/>
      <c r="U139"/>
      <c r="V139"/>
      <c r="W139"/>
      <c r="X139"/>
      <c r="Y139"/>
      <c r="Z139"/>
      <c r="AA139"/>
      <c r="AB139"/>
      <c r="AC139"/>
      <c r="AD139"/>
      <c r="AE139"/>
      <c r="AF139"/>
    </row>
    <row r="140" spans="1:32" ht="20.45" customHeight="1" x14ac:dyDescent="0.2">
      <c r="A140" s="1421" t="s">
        <v>1228</v>
      </c>
      <c r="B140" s="1417" t="s">
        <v>6182</v>
      </c>
      <c r="C140" s="1422" t="s">
        <v>2521</v>
      </c>
      <c r="D140"/>
      <c r="E140"/>
      <c r="F140"/>
      <c r="G140"/>
      <c r="H140"/>
      <c r="I140"/>
      <c r="J140"/>
      <c r="K140"/>
      <c r="L140"/>
      <c r="M140"/>
      <c r="N140"/>
      <c r="O140"/>
      <c r="P140"/>
      <c r="Q140"/>
      <c r="R140"/>
      <c r="S140"/>
      <c r="T140"/>
      <c r="U140"/>
      <c r="V140"/>
      <c r="W140"/>
      <c r="X140"/>
      <c r="Y140"/>
      <c r="Z140"/>
      <c r="AA140"/>
      <c r="AB140"/>
      <c r="AC140"/>
      <c r="AD140"/>
      <c r="AE140"/>
      <c r="AF140"/>
    </row>
    <row r="141" spans="1:32" ht="20.45" customHeight="1" x14ac:dyDescent="0.2">
      <c r="A141" s="1421" t="s">
        <v>1228</v>
      </c>
      <c r="B141" s="1417" t="s">
        <v>6184</v>
      </c>
      <c r="C141" s="1422" t="s">
        <v>5578</v>
      </c>
      <c r="D141"/>
      <c r="E141"/>
      <c r="F141"/>
      <c r="G141"/>
      <c r="H141"/>
      <c r="I141"/>
      <c r="J141"/>
      <c r="K141"/>
      <c r="L141"/>
      <c r="M141"/>
      <c r="N141"/>
      <c r="O141"/>
      <c r="P141"/>
      <c r="Q141"/>
      <c r="R141"/>
      <c r="S141"/>
      <c r="T141"/>
      <c r="U141"/>
      <c r="V141"/>
      <c r="W141"/>
      <c r="X141"/>
      <c r="Y141"/>
      <c r="Z141"/>
      <c r="AA141"/>
      <c r="AB141"/>
      <c r="AC141"/>
      <c r="AD141"/>
      <c r="AE141"/>
      <c r="AF141"/>
    </row>
    <row r="142" spans="1:32" ht="20.45" customHeight="1" x14ac:dyDescent="0.2">
      <c r="A142" s="1421" t="s">
        <v>1228</v>
      </c>
      <c r="B142" s="1417" t="s">
        <v>6186</v>
      </c>
      <c r="C142" s="1422" t="s">
        <v>2796</v>
      </c>
      <c r="D142"/>
      <c r="E142"/>
      <c r="F142"/>
      <c r="G142"/>
      <c r="H142"/>
      <c r="I142"/>
      <c r="J142"/>
      <c r="K142"/>
      <c r="L142"/>
      <c r="M142"/>
      <c r="N142"/>
      <c r="O142"/>
      <c r="P142"/>
      <c r="Q142"/>
      <c r="R142"/>
      <c r="S142"/>
      <c r="T142"/>
      <c r="U142"/>
      <c r="V142"/>
      <c r="W142"/>
      <c r="X142"/>
      <c r="Y142"/>
      <c r="Z142"/>
      <c r="AA142"/>
      <c r="AB142"/>
      <c r="AC142"/>
      <c r="AD142"/>
      <c r="AE142"/>
      <c r="AF142"/>
    </row>
    <row r="143" spans="1:32" ht="20.45" customHeight="1" x14ac:dyDescent="0.2">
      <c r="A143" s="1421" t="s">
        <v>1228</v>
      </c>
      <c r="B143" s="1417" t="s">
        <v>6190</v>
      </c>
      <c r="C143" s="1422" t="s">
        <v>5579</v>
      </c>
      <c r="D143"/>
      <c r="E143"/>
      <c r="F143"/>
      <c r="G143"/>
      <c r="H143"/>
      <c r="I143"/>
      <c r="J143"/>
      <c r="K143"/>
      <c r="L143"/>
      <c r="M143"/>
      <c r="N143"/>
      <c r="O143"/>
      <c r="P143"/>
      <c r="Q143"/>
      <c r="R143"/>
      <c r="S143"/>
      <c r="T143"/>
      <c r="U143"/>
      <c r="V143"/>
      <c r="W143"/>
      <c r="X143"/>
      <c r="Y143"/>
      <c r="Z143"/>
      <c r="AA143"/>
      <c r="AB143"/>
      <c r="AC143"/>
      <c r="AD143"/>
      <c r="AE143"/>
      <c r="AF143"/>
    </row>
    <row r="144" spans="1:32" ht="20.45" customHeight="1" x14ac:dyDescent="0.2">
      <c r="A144" s="1421" t="s">
        <v>1228</v>
      </c>
      <c r="B144" s="1417" t="s">
        <v>6194</v>
      </c>
      <c r="C144" s="1422" t="s">
        <v>2797</v>
      </c>
      <c r="D144"/>
      <c r="E144"/>
      <c r="F144"/>
      <c r="G144"/>
      <c r="H144"/>
      <c r="I144"/>
      <c r="J144"/>
      <c r="K144"/>
      <c r="L144"/>
      <c r="M144"/>
      <c r="N144"/>
      <c r="O144"/>
      <c r="P144"/>
      <c r="Q144"/>
      <c r="R144"/>
      <c r="S144"/>
      <c r="T144"/>
      <c r="U144"/>
      <c r="V144"/>
      <c r="W144"/>
      <c r="X144"/>
      <c r="Y144"/>
      <c r="Z144"/>
      <c r="AA144"/>
      <c r="AB144"/>
      <c r="AC144"/>
      <c r="AD144"/>
      <c r="AE144"/>
      <c r="AF144"/>
    </row>
    <row r="145" spans="1:32" ht="20.45" customHeight="1" x14ac:dyDescent="0.2">
      <c r="A145" s="1421" t="s">
        <v>1228</v>
      </c>
      <c r="B145" s="1417" t="s">
        <v>9040</v>
      </c>
      <c r="C145" s="1422" t="s">
        <v>5580</v>
      </c>
      <c r="D145"/>
      <c r="E145"/>
      <c r="F145"/>
      <c r="G145"/>
      <c r="H145"/>
      <c r="I145"/>
      <c r="J145"/>
      <c r="K145"/>
      <c r="L145"/>
      <c r="M145"/>
      <c r="N145"/>
      <c r="O145"/>
      <c r="P145"/>
      <c r="Q145"/>
      <c r="R145"/>
      <c r="S145"/>
      <c r="T145"/>
      <c r="U145"/>
      <c r="V145"/>
      <c r="W145"/>
      <c r="X145"/>
      <c r="Y145"/>
      <c r="Z145"/>
      <c r="AA145"/>
      <c r="AB145"/>
      <c r="AC145"/>
      <c r="AD145"/>
      <c r="AE145"/>
      <c r="AF145"/>
    </row>
    <row r="146" spans="1:32" ht="20.45" customHeight="1" x14ac:dyDescent="0.2">
      <c r="A146" s="1421" t="s">
        <v>1228</v>
      </c>
      <c r="B146" s="1417" t="s">
        <v>9039</v>
      </c>
      <c r="C146" s="1422" t="s">
        <v>2522</v>
      </c>
      <c r="D146"/>
      <c r="E146"/>
      <c r="F146"/>
      <c r="G146"/>
      <c r="H146"/>
      <c r="I146"/>
      <c r="J146"/>
      <c r="K146"/>
      <c r="L146"/>
      <c r="M146"/>
      <c r="N146"/>
      <c r="O146"/>
      <c r="P146"/>
      <c r="Q146"/>
      <c r="R146"/>
      <c r="S146"/>
      <c r="T146"/>
      <c r="U146"/>
      <c r="V146"/>
      <c r="W146"/>
      <c r="X146"/>
      <c r="Y146"/>
      <c r="Z146"/>
      <c r="AA146"/>
      <c r="AB146"/>
      <c r="AC146"/>
      <c r="AD146"/>
      <c r="AE146"/>
      <c r="AF146"/>
    </row>
    <row r="147" spans="1:32" ht="20.45" customHeight="1" x14ac:dyDescent="0.2">
      <c r="A147" s="1421" t="s">
        <v>1228</v>
      </c>
      <c r="B147" s="1417" t="s">
        <v>9038</v>
      </c>
      <c r="C147" s="1422" t="s">
        <v>15</v>
      </c>
      <c r="D147"/>
      <c r="E147"/>
      <c r="F147"/>
      <c r="G147"/>
      <c r="H147"/>
      <c r="I147"/>
      <c r="J147"/>
      <c r="K147"/>
      <c r="L147"/>
      <c r="M147"/>
      <c r="N147"/>
      <c r="O147"/>
      <c r="P147"/>
      <c r="Q147"/>
      <c r="R147"/>
      <c r="S147"/>
      <c r="T147"/>
      <c r="U147"/>
      <c r="V147"/>
      <c r="W147"/>
      <c r="X147"/>
      <c r="Y147"/>
      <c r="Z147"/>
      <c r="AA147"/>
      <c r="AB147"/>
      <c r="AC147"/>
      <c r="AD147"/>
      <c r="AE147"/>
      <c r="AF147"/>
    </row>
    <row r="148" spans="1:32" ht="20.45" customHeight="1" x14ac:dyDescent="0.2">
      <c r="A148" s="1419" t="s">
        <v>39</v>
      </c>
      <c r="B148" s="1800" t="s">
        <v>9657</v>
      </c>
      <c r="C148" s="1427" t="s">
        <v>5582</v>
      </c>
      <c r="D148"/>
      <c r="E148"/>
      <c r="F148"/>
      <c r="G148"/>
      <c r="H148"/>
      <c r="I148"/>
      <c r="J148"/>
      <c r="K148"/>
      <c r="L148"/>
      <c r="M148"/>
      <c r="N148"/>
      <c r="O148"/>
      <c r="P148"/>
      <c r="Q148"/>
      <c r="R148"/>
      <c r="S148"/>
      <c r="T148"/>
      <c r="U148"/>
      <c r="V148"/>
      <c r="W148"/>
      <c r="X148"/>
      <c r="Y148"/>
      <c r="Z148"/>
      <c r="AA148"/>
      <c r="AB148"/>
      <c r="AC148"/>
      <c r="AD148"/>
      <c r="AE148"/>
      <c r="AF148"/>
    </row>
    <row r="149" spans="1:32" ht="20.45" customHeight="1" x14ac:dyDescent="0.2">
      <c r="A149" s="1421" t="s">
        <v>1228</v>
      </c>
      <c r="B149" s="1417" t="s">
        <v>6199</v>
      </c>
      <c r="C149" s="1422" t="s">
        <v>2521</v>
      </c>
      <c r="D149"/>
      <c r="E149"/>
      <c r="F149"/>
      <c r="G149"/>
      <c r="H149"/>
      <c r="I149"/>
      <c r="J149"/>
      <c r="K149"/>
      <c r="L149"/>
      <c r="M149"/>
      <c r="N149"/>
      <c r="O149"/>
      <c r="P149"/>
      <c r="Q149"/>
      <c r="R149"/>
      <c r="S149"/>
      <c r="T149"/>
      <c r="U149"/>
      <c r="V149"/>
      <c r="W149"/>
      <c r="X149"/>
      <c r="Y149"/>
      <c r="Z149"/>
      <c r="AA149"/>
      <c r="AB149"/>
      <c r="AC149"/>
      <c r="AD149"/>
      <c r="AE149"/>
      <c r="AF149"/>
    </row>
    <row r="150" spans="1:32" ht="20.45" customHeight="1" x14ac:dyDescent="0.2">
      <c r="A150" s="1421" t="s">
        <v>1228</v>
      </c>
      <c r="B150" s="1417" t="s">
        <v>6201</v>
      </c>
      <c r="C150" s="1422" t="s">
        <v>5578</v>
      </c>
      <c r="D150"/>
      <c r="E150"/>
      <c r="F150"/>
      <c r="G150"/>
      <c r="H150"/>
      <c r="I150"/>
      <c r="J150"/>
      <c r="K150"/>
      <c r="L150"/>
      <c r="M150"/>
      <c r="N150"/>
      <c r="O150"/>
      <c r="P150"/>
      <c r="Q150"/>
      <c r="R150"/>
      <c r="S150"/>
      <c r="T150"/>
      <c r="U150"/>
      <c r="V150"/>
      <c r="W150"/>
      <c r="X150"/>
      <c r="Y150"/>
      <c r="Z150"/>
      <c r="AA150"/>
      <c r="AB150"/>
      <c r="AC150"/>
      <c r="AD150"/>
      <c r="AE150"/>
      <c r="AF150"/>
    </row>
    <row r="151" spans="1:32" ht="20.45" customHeight="1" x14ac:dyDescent="0.2">
      <c r="A151" s="1421" t="s">
        <v>1228</v>
      </c>
      <c r="B151" s="1417" t="s">
        <v>6203</v>
      </c>
      <c r="C151" s="1422" t="s">
        <v>2796</v>
      </c>
      <c r="D151"/>
      <c r="E151"/>
      <c r="F151"/>
      <c r="G151"/>
      <c r="H151"/>
      <c r="I151"/>
      <c r="J151"/>
      <c r="K151"/>
      <c r="L151"/>
      <c r="M151"/>
      <c r="N151"/>
      <c r="O151"/>
      <c r="P151"/>
      <c r="Q151"/>
      <c r="R151"/>
      <c r="S151"/>
      <c r="T151"/>
      <c r="U151"/>
      <c r="V151"/>
      <c r="W151"/>
      <c r="X151"/>
      <c r="Y151"/>
      <c r="Z151"/>
      <c r="AA151"/>
      <c r="AB151"/>
      <c r="AC151"/>
      <c r="AD151"/>
      <c r="AE151"/>
      <c r="AF151"/>
    </row>
    <row r="152" spans="1:32" ht="20.45" customHeight="1" x14ac:dyDescent="0.2">
      <c r="A152" s="1421" t="s">
        <v>1228</v>
      </c>
      <c r="B152" s="1417" t="s">
        <v>6207</v>
      </c>
      <c r="C152" s="1422" t="s">
        <v>5579</v>
      </c>
      <c r="D152"/>
      <c r="E152"/>
      <c r="F152"/>
      <c r="G152"/>
      <c r="H152"/>
      <c r="I152"/>
      <c r="J152"/>
      <c r="K152"/>
      <c r="L152"/>
      <c r="M152"/>
      <c r="N152"/>
      <c r="O152"/>
      <c r="P152"/>
      <c r="Q152"/>
      <c r="R152"/>
      <c r="S152"/>
      <c r="T152"/>
      <c r="U152"/>
      <c r="V152"/>
      <c r="W152"/>
      <c r="X152"/>
      <c r="Y152"/>
      <c r="Z152"/>
      <c r="AA152"/>
      <c r="AB152"/>
      <c r="AC152"/>
      <c r="AD152"/>
      <c r="AE152"/>
      <c r="AF152"/>
    </row>
    <row r="153" spans="1:32" ht="20.45" customHeight="1" x14ac:dyDescent="0.2">
      <c r="A153" s="1421" t="s">
        <v>1228</v>
      </c>
      <c r="B153" s="1417" t="s">
        <v>6210</v>
      </c>
      <c r="C153" s="1422" t="s">
        <v>2797</v>
      </c>
      <c r="D153"/>
      <c r="E153"/>
      <c r="F153"/>
      <c r="G153"/>
      <c r="H153"/>
      <c r="I153"/>
      <c r="J153"/>
      <c r="K153"/>
      <c r="L153"/>
      <c r="M153"/>
      <c r="N153"/>
      <c r="O153"/>
      <c r="P153"/>
      <c r="Q153"/>
      <c r="R153"/>
      <c r="S153"/>
      <c r="T153"/>
      <c r="U153"/>
      <c r="V153"/>
      <c r="W153"/>
      <c r="X153"/>
      <c r="Y153"/>
      <c r="Z153"/>
      <c r="AA153"/>
      <c r="AB153"/>
      <c r="AC153"/>
      <c r="AD153"/>
      <c r="AE153"/>
      <c r="AF153"/>
    </row>
    <row r="154" spans="1:32" ht="20.45" customHeight="1" x14ac:dyDescent="0.2">
      <c r="A154" s="1421" t="s">
        <v>1228</v>
      </c>
      <c r="B154" s="1417" t="s">
        <v>9037</v>
      </c>
      <c r="C154" s="1422" t="s">
        <v>5580</v>
      </c>
      <c r="D154"/>
      <c r="E154"/>
      <c r="F154"/>
      <c r="G154"/>
      <c r="H154"/>
      <c r="I154"/>
      <c r="J154"/>
      <c r="K154"/>
      <c r="L154"/>
      <c r="M154"/>
      <c r="N154"/>
      <c r="O154"/>
      <c r="P154"/>
      <c r="Q154"/>
      <c r="R154"/>
      <c r="S154"/>
      <c r="T154"/>
      <c r="U154"/>
      <c r="V154"/>
      <c r="W154"/>
      <c r="X154"/>
      <c r="Y154"/>
      <c r="Z154"/>
      <c r="AA154"/>
      <c r="AB154"/>
      <c r="AC154"/>
      <c r="AD154"/>
      <c r="AE154"/>
      <c r="AF154"/>
    </row>
    <row r="155" spans="1:32" ht="20.45" customHeight="1" x14ac:dyDescent="0.2">
      <c r="A155" s="1421" t="s">
        <v>1228</v>
      </c>
      <c r="B155" s="1417" t="s">
        <v>9036</v>
      </c>
      <c r="C155" s="1422" t="s">
        <v>2522</v>
      </c>
      <c r="D155"/>
      <c r="E155"/>
      <c r="F155"/>
      <c r="G155"/>
      <c r="H155"/>
      <c r="I155"/>
      <c r="J155"/>
      <c r="K155"/>
      <c r="L155"/>
      <c r="M155"/>
      <c r="N155"/>
      <c r="O155"/>
      <c r="P155"/>
      <c r="Q155"/>
      <c r="R155"/>
      <c r="S155"/>
      <c r="T155"/>
      <c r="U155"/>
      <c r="V155"/>
      <c r="W155"/>
      <c r="X155"/>
      <c r="Y155"/>
      <c r="Z155"/>
      <c r="AA155"/>
      <c r="AB155"/>
      <c r="AC155"/>
      <c r="AD155"/>
      <c r="AE155"/>
      <c r="AF155"/>
    </row>
    <row r="156" spans="1:32" ht="20.45" customHeight="1" x14ac:dyDescent="0.2">
      <c r="A156" s="1421" t="s">
        <v>1228</v>
      </c>
      <c r="B156" s="1417" t="s">
        <v>9035</v>
      </c>
      <c r="C156" s="1422" t="s">
        <v>15</v>
      </c>
      <c r="D156"/>
      <c r="E156"/>
      <c r="F156"/>
      <c r="G156"/>
      <c r="H156"/>
      <c r="I156"/>
      <c r="J156"/>
      <c r="K156"/>
      <c r="L156"/>
      <c r="M156"/>
      <c r="N156"/>
      <c r="O156"/>
      <c r="P156"/>
      <c r="Q156"/>
      <c r="R156"/>
      <c r="S156"/>
      <c r="T156"/>
      <c r="U156"/>
      <c r="V156"/>
      <c r="W156"/>
      <c r="X156"/>
      <c r="Y156"/>
      <c r="Z156"/>
      <c r="AA156"/>
      <c r="AB156"/>
      <c r="AC156"/>
      <c r="AD156"/>
      <c r="AE156"/>
      <c r="AF156"/>
    </row>
    <row r="157" spans="1:32" ht="20.45" customHeight="1" x14ac:dyDescent="0.2">
      <c r="A157" s="1419" t="s">
        <v>1237</v>
      </c>
      <c r="B157" s="1417">
        <v>6</v>
      </c>
      <c r="C157" s="1420" t="s">
        <v>17</v>
      </c>
      <c r="D157"/>
      <c r="E157"/>
      <c r="F157"/>
      <c r="G157"/>
      <c r="H157"/>
      <c r="I157"/>
      <c r="J157"/>
      <c r="K157"/>
      <c r="L157"/>
      <c r="M157"/>
      <c r="N157"/>
      <c r="O157"/>
      <c r="P157"/>
      <c r="Q157"/>
      <c r="R157"/>
      <c r="S157"/>
      <c r="T157"/>
      <c r="U157"/>
      <c r="V157"/>
      <c r="W157"/>
      <c r="X157"/>
      <c r="Y157"/>
      <c r="Z157"/>
      <c r="AA157"/>
      <c r="AB157"/>
      <c r="AC157"/>
      <c r="AD157"/>
      <c r="AE157"/>
      <c r="AF157"/>
    </row>
    <row r="158" spans="1:32" ht="20.45" customHeight="1" x14ac:dyDescent="0.2">
      <c r="A158" s="1419" t="s">
        <v>39</v>
      </c>
      <c r="B158" s="1800" t="s">
        <v>9658</v>
      </c>
      <c r="C158" s="1427" t="s">
        <v>9685</v>
      </c>
      <c r="D158"/>
      <c r="E158"/>
      <c r="F158"/>
      <c r="G158"/>
      <c r="H158"/>
      <c r="I158"/>
      <c r="J158"/>
      <c r="K158"/>
      <c r="L158"/>
      <c r="M158"/>
      <c r="N158"/>
      <c r="O158"/>
      <c r="P158"/>
      <c r="Q158"/>
      <c r="R158"/>
      <c r="S158"/>
      <c r="T158"/>
      <c r="U158"/>
      <c r="V158"/>
      <c r="W158"/>
      <c r="X158"/>
      <c r="Y158"/>
      <c r="Z158"/>
      <c r="AA158"/>
      <c r="AB158"/>
      <c r="AC158"/>
      <c r="AD158"/>
      <c r="AE158"/>
      <c r="AF158"/>
    </row>
    <row r="159" spans="1:32" ht="20.45" customHeight="1" x14ac:dyDescent="0.2">
      <c r="A159" s="1421" t="s">
        <v>1228</v>
      </c>
      <c r="B159" s="1417" t="s">
        <v>6403</v>
      </c>
      <c r="C159" s="1422" t="s">
        <v>5583</v>
      </c>
      <c r="D159"/>
      <c r="E159"/>
      <c r="F159"/>
      <c r="G159"/>
      <c r="H159"/>
      <c r="I159"/>
      <c r="J159"/>
      <c r="K159"/>
      <c r="L159"/>
      <c r="M159"/>
      <c r="N159"/>
      <c r="O159"/>
      <c r="P159"/>
      <c r="Q159"/>
      <c r="R159"/>
      <c r="S159"/>
      <c r="T159"/>
      <c r="U159"/>
      <c r="V159"/>
      <c r="W159"/>
      <c r="X159"/>
      <c r="Y159"/>
      <c r="Z159"/>
      <c r="AA159"/>
      <c r="AB159"/>
      <c r="AC159"/>
      <c r="AD159"/>
      <c r="AE159"/>
      <c r="AF159"/>
    </row>
    <row r="160" spans="1:32" ht="20.45" customHeight="1" x14ac:dyDescent="0.2">
      <c r="A160" s="1421" t="s">
        <v>1228</v>
      </c>
      <c r="B160" s="1417" t="s">
        <v>6405</v>
      </c>
      <c r="C160" s="1422" t="s">
        <v>5584</v>
      </c>
      <c r="D160"/>
      <c r="E160"/>
      <c r="F160"/>
      <c r="G160"/>
      <c r="H160"/>
      <c r="I160"/>
      <c r="J160"/>
      <c r="K160"/>
      <c r="L160"/>
      <c r="M160"/>
      <c r="N160"/>
      <c r="O160"/>
      <c r="P160"/>
      <c r="Q160"/>
      <c r="R160"/>
      <c r="S160"/>
      <c r="T160"/>
      <c r="U160"/>
      <c r="V160"/>
      <c r="W160"/>
      <c r="X160"/>
      <c r="Y160"/>
      <c r="Z160"/>
      <c r="AA160"/>
      <c r="AB160"/>
      <c r="AC160"/>
      <c r="AD160"/>
      <c r="AE160"/>
      <c r="AF160"/>
    </row>
    <row r="161" spans="1:32" ht="20.45" customHeight="1" x14ac:dyDescent="0.2">
      <c r="A161" s="1421" t="s">
        <v>1228</v>
      </c>
      <c r="B161" s="1417" t="s">
        <v>6407</v>
      </c>
      <c r="C161" s="1422" t="s">
        <v>2520</v>
      </c>
      <c r="D161"/>
      <c r="E161"/>
      <c r="F161"/>
      <c r="G161"/>
      <c r="H161"/>
      <c r="I161"/>
      <c r="J161"/>
      <c r="K161"/>
      <c r="L161"/>
      <c r="M161"/>
      <c r="N161"/>
      <c r="O161"/>
      <c r="P161"/>
      <c r="Q161"/>
      <c r="R161"/>
      <c r="S161"/>
      <c r="T161"/>
      <c r="U161"/>
      <c r="V161"/>
      <c r="W161"/>
      <c r="X161"/>
      <c r="Y161"/>
      <c r="Z161"/>
      <c r="AA161"/>
      <c r="AB161"/>
      <c r="AC161"/>
      <c r="AD161"/>
      <c r="AE161"/>
      <c r="AF161"/>
    </row>
    <row r="162" spans="1:32" ht="20.45" customHeight="1" x14ac:dyDescent="0.2">
      <c r="A162" s="1421" t="s">
        <v>1228</v>
      </c>
      <c r="B162" s="1417" t="s">
        <v>6409</v>
      </c>
      <c r="C162" s="1422" t="s">
        <v>2790</v>
      </c>
      <c r="D162"/>
      <c r="E162"/>
      <c r="F162"/>
      <c r="G162"/>
      <c r="H162"/>
      <c r="I162"/>
      <c r="J162"/>
      <c r="K162"/>
      <c r="L162"/>
      <c r="M162"/>
      <c r="N162"/>
      <c r="O162"/>
      <c r="P162"/>
      <c r="Q162"/>
      <c r="R162"/>
      <c r="S162"/>
      <c r="T162"/>
      <c r="U162"/>
      <c r="V162"/>
      <c r="W162"/>
      <c r="X162"/>
      <c r="Y162"/>
      <c r="Z162"/>
      <c r="AA162"/>
      <c r="AB162"/>
      <c r="AC162"/>
      <c r="AD162"/>
      <c r="AE162"/>
      <c r="AF162"/>
    </row>
    <row r="163" spans="1:32" ht="20.45" customHeight="1" x14ac:dyDescent="0.2">
      <c r="A163" s="1421" t="s">
        <v>1228</v>
      </c>
      <c r="B163" s="1417" t="s">
        <v>6411</v>
      </c>
      <c r="C163" s="1422" t="s">
        <v>2792</v>
      </c>
      <c r="D163"/>
      <c r="E163"/>
      <c r="F163"/>
      <c r="G163"/>
      <c r="H163"/>
      <c r="I163"/>
      <c r="J163"/>
      <c r="K163"/>
      <c r="L163"/>
      <c r="M163"/>
      <c r="N163"/>
      <c r="O163"/>
      <c r="P163"/>
      <c r="Q163"/>
      <c r="R163"/>
      <c r="S163"/>
      <c r="T163"/>
      <c r="U163"/>
      <c r="V163"/>
      <c r="W163"/>
      <c r="X163"/>
      <c r="Y163"/>
      <c r="Z163"/>
      <c r="AA163"/>
      <c r="AB163"/>
      <c r="AC163"/>
      <c r="AD163"/>
      <c r="AE163"/>
      <c r="AF163"/>
    </row>
    <row r="164" spans="1:32" ht="20.45" customHeight="1" x14ac:dyDescent="0.2">
      <c r="A164" s="1421" t="s">
        <v>1228</v>
      </c>
      <c r="B164" s="1417" t="s">
        <v>6413</v>
      </c>
      <c r="C164" s="1422" t="s">
        <v>2793</v>
      </c>
      <c r="D164"/>
      <c r="E164"/>
      <c r="F164"/>
      <c r="G164"/>
      <c r="H164"/>
      <c r="I164"/>
      <c r="J164"/>
      <c r="K164"/>
      <c r="L164"/>
      <c r="M164"/>
      <c r="N164"/>
      <c r="O164"/>
      <c r="P164"/>
      <c r="Q164"/>
      <c r="R164"/>
      <c r="S164"/>
      <c r="T164"/>
      <c r="U164"/>
      <c r="V164"/>
      <c r="W164"/>
      <c r="X164"/>
      <c r="Y164"/>
      <c r="Z164"/>
      <c r="AA164"/>
      <c r="AB164"/>
      <c r="AC164"/>
      <c r="AD164"/>
      <c r="AE164"/>
      <c r="AF164"/>
    </row>
    <row r="165" spans="1:32" ht="20.45" customHeight="1" x14ac:dyDescent="0.2">
      <c r="A165" s="1421" t="s">
        <v>1228</v>
      </c>
      <c r="B165" s="1417" t="s">
        <v>6415</v>
      </c>
      <c r="C165" s="1422" t="s">
        <v>2794</v>
      </c>
      <c r="D165"/>
      <c r="E165"/>
      <c r="F165"/>
      <c r="G165"/>
      <c r="H165"/>
      <c r="I165"/>
      <c r="J165"/>
      <c r="K165"/>
      <c r="L165"/>
      <c r="M165"/>
      <c r="N165"/>
      <c r="O165"/>
      <c r="P165"/>
      <c r="Q165"/>
      <c r="R165"/>
      <c r="S165"/>
      <c r="T165"/>
      <c r="U165"/>
      <c r="V165"/>
      <c r="W165"/>
      <c r="X165"/>
      <c r="Y165"/>
      <c r="Z165"/>
      <c r="AA165"/>
      <c r="AB165"/>
      <c r="AC165"/>
      <c r="AD165"/>
      <c r="AE165"/>
      <c r="AF165"/>
    </row>
    <row r="166" spans="1:32" ht="20.45" customHeight="1" x14ac:dyDescent="0.2">
      <c r="A166" s="1421" t="s">
        <v>1228</v>
      </c>
      <c r="B166" s="1417" t="s">
        <v>6417</v>
      </c>
      <c r="C166" s="1422" t="s">
        <v>2795</v>
      </c>
      <c r="D166"/>
      <c r="E166"/>
      <c r="F166"/>
      <c r="G166"/>
      <c r="H166"/>
      <c r="I166"/>
      <c r="J166"/>
      <c r="K166"/>
      <c r="L166"/>
      <c r="M166"/>
      <c r="N166"/>
      <c r="O166"/>
      <c r="P166"/>
      <c r="Q166"/>
      <c r="R166"/>
      <c r="S166"/>
      <c r="T166"/>
      <c r="U166"/>
      <c r="V166"/>
      <c r="W166"/>
      <c r="X166"/>
      <c r="Y166"/>
      <c r="Z166"/>
      <c r="AA166"/>
      <c r="AB166"/>
      <c r="AC166"/>
      <c r="AD166"/>
      <c r="AE166"/>
      <c r="AF166"/>
    </row>
    <row r="167" spans="1:32" ht="20.45" customHeight="1" x14ac:dyDescent="0.2">
      <c r="A167" s="1421" t="s">
        <v>1228</v>
      </c>
      <c r="B167" s="1417" t="s">
        <v>6419</v>
      </c>
      <c r="C167" s="1422" t="s">
        <v>15</v>
      </c>
      <c r="D167"/>
      <c r="E167"/>
      <c r="F167"/>
      <c r="G167"/>
      <c r="H167"/>
      <c r="I167"/>
      <c r="J167"/>
      <c r="K167"/>
      <c r="L167"/>
      <c r="M167"/>
      <c r="N167"/>
      <c r="O167"/>
      <c r="P167"/>
      <c r="Q167"/>
      <c r="R167"/>
      <c r="S167"/>
      <c r="T167"/>
      <c r="U167"/>
      <c r="V167"/>
      <c r="W167"/>
      <c r="X167"/>
      <c r="Y167"/>
      <c r="Z167"/>
      <c r="AA167"/>
      <c r="AB167"/>
      <c r="AC167"/>
      <c r="AD167"/>
      <c r="AE167"/>
      <c r="AF167"/>
    </row>
    <row r="168" spans="1:32" ht="20.45" customHeight="1" x14ac:dyDescent="0.2">
      <c r="A168" s="1419" t="s">
        <v>39</v>
      </c>
      <c r="B168" s="1800" t="s">
        <v>9659</v>
      </c>
      <c r="C168" s="1427" t="s">
        <v>5585</v>
      </c>
      <c r="D168"/>
      <c r="E168"/>
      <c r="F168"/>
      <c r="G168"/>
      <c r="H168"/>
      <c r="I168"/>
      <c r="J168"/>
      <c r="K168"/>
      <c r="L168"/>
      <c r="M168"/>
      <c r="N168"/>
      <c r="O168"/>
      <c r="P168"/>
      <c r="Q168"/>
      <c r="R168"/>
      <c r="S168"/>
      <c r="T168"/>
      <c r="U168"/>
      <c r="V168"/>
      <c r="W168"/>
      <c r="X168"/>
      <c r="Y168"/>
      <c r="Z168"/>
      <c r="AA168"/>
      <c r="AB168"/>
      <c r="AC168"/>
      <c r="AD168"/>
      <c r="AE168"/>
      <c r="AF168"/>
    </row>
    <row r="169" spans="1:32" ht="20.45" customHeight="1" x14ac:dyDescent="0.2">
      <c r="A169" s="1421" t="s">
        <v>1228</v>
      </c>
      <c r="B169" s="1417" t="s">
        <v>6422</v>
      </c>
      <c r="C169" s="1422" t="s">
        <v>5583</v>
      </c>
      <c r="D169"/>
      <c r="E169"/>
      <c r="F169"/>
      <c r="G169"/>
      <c r="H169"/>
      <c r="I169"/>
      <c r="J169"/>
      <c r="K169"/>
      <c r="L169"/>
      <c r="M169"/>
      <c r="N169"/>
      <c r="O169"/>
      <c r="P169"/>
      <c r="Q169"/>
      <c r="R169"/>
      <c r="S169"/>
      <c r="T169"/>
      <c r="U169"/>
      <c r="V169"/>
      <c r="W169"/>
      <c r="X169"/>
      <c r="Y169"/>
      <c r="Z169"/>
      <c r="AA169"/>
      <c r="AB169"/>
      <c r="AC169"/>
      <c r="AD169"/>
      <c r="AE169"/>
      <c r="AF169"/>
    </row>
    <row r="170" spans="1:32" ht="20.45" customHeight="1" x14ac:dyDescent="0.2">
      <c r="A170" s="1421" t="s">
        <v>1228</v>
      </c>
      <c r="B170" s="1417" t="s">
        <v>6424</v>
      </c>
      <c r="C170" s="1422" t="s">
        <v>5584</v>
      </c>
      <c r="D170"/>
      <c r="E170"/>
      <c r="F170"/>
      <c r="G170"/>
      <c r="H170"/>
      <c r="I170"/>
      <c r="J170"/>
      <c r="K170"/>
      <c r="L170"/>
      <c r="M170"/>
      <c r="N170"/>
      <c r="O170"/>
      <c r="P170"/>
      <c r="Q170"/>
      <c r="R170"/>
      <c r="S170"/>
      <c r="T170"/>
      <c r="U170"/>
      <c r="V170"/>
      <c r="W170"/>
      <c r="X170"/>
      <c r="Y170"/>
      <c r="Z170"/>
      <c r="AA170"/>
      <c r="AB170"/>
      <c r="AC170"/>
      <c r="AD170"/>
      <c r="AE170"/>
      <c r="AF170"/>
    </row>
    <row r="171" spans="1:32" ht="20.45" customHeight="1" x14ac:dyDescent="0.2">
      <c r="A171" s="1421" t="s">
        <v>1228</v>
      </c>
      <c r="B171" s="1417" t="s">
        <v>6426</v>
      </c>
      <c r="C171" s="1422" t="s">
        <v>2520</v>
      </c>
      <c r="D171"/>
      <c r="E171"/>
      <c r="F171"/>
      <c r="G171"/>
      <c r="H171"/>
      <c r="I171"/>
      <c r="J171"/>
      <c r="K171"/>
      <c r="L171"/>
      <c r="M171"/>
      <c r="N171"/>
      <c r="O171"/>
      <c r="P171"/>
      <c r="Q171"/>
      <c r="R171"/>
      <c r="S171"/>
      <c r="T171"/>
      <c r="U171"/>
      <c r="V171"/>
      <c r="W171"/>
      <c r="X171"/>
      <c r="Y171"/>
      <c r="Z171"/>
      <c r="AA171"/>
      <c r="AB171"/>
      <c r="AC171"/>
      <c r="AD171"/>
      <c r="AE171"/>
      <c r="AF171"/>
    </row>
    <row r="172" spans="1:32" ht="20.45" customHeight="1" x14ac:dyDescent="0.2">
      <c r="A172" s="1421" t="s">
        <v>1228</v>
      </c>
      <c r="B172" s="1417" t="s">
        <v>6428</v>
      </c>
      <c r="C172" s="1422" t="s">
        <v>2790</v>
      </c>
      <c r="D172"/>
      <c r="E172"/>
      <c r="F172"/>
      <c r="G172"/>
      <c r="H172"/>
      <c r="I172"/>
      <c r="J172"/>
      <c r="K172"/>
      <c r="L172"/>
      <c r="M172"/>
      <c r="N172"/>
      <c r="O172"/>
      <c r="P172"/>
      <c r="Q172"/>
      <c r="R172"/>
      <c r="S172"/>
      <c r="T172"/>
      <c r="U172"/>
      <c r="V172"/>
      <c r="W172"/>
      <c r="X172"/>
      <c r="Y172"/>
      <c r="Z172"/>
      <c r="AA172"/>
      <c r="AB172"/>
      <c r="AC172"/>
      <c r="AD172"/>
      <c r="AE172"/>
      <c r="AF172"/>
    </row>
    <row r="173" spans="1:32" ht="20.45" customHeight="1" x14ac:dyDescent="0.2">
      <c r="A173" s="1421" t="s">
        <v>1228</v>
      </c>
      <c r="B173" s="1417" t="s">
        <v>6430</v>
      </c>
      <c r="C173" s="1422" t="s">
        <v>2792</v>
      </c>
      <c r="D173"/>
      <c r="E173"/>
      <c r="F173"/>
      <c r="G173"/>
      <c r="H173"/>
      <c r="I173"/>
      <c r="J173"/>
      <c r="K173"/>
      <c r="L173"/>
      <c r="M173"/>
      <c r="N173"/>
      <c r="O173"/>
      <c r="P173"/>
      <c r="Q173"/>
      <c r="R173"/>
      <c r="S173"/>
      <c r="T173"/>
      <c r="U173"/>
      <c r="V173"/>
      <c r="W173"/>
      <c r="X173"/>
      <c r="Y173"/>
      <c r="Z173"/>
      <c r="AA173"/>
      <c r="AB173"/>
      <c r="AC173"/>
      <c r="AD173"/>
      <c r="AE173"/>
      <c r="AF173"/>
    </row>
    <row r="174" spans="1:32" ht="20.45" customHeight="1" x14ac:dyDescent="0.2">
      <c r="A174" s="1421" t="s">
        <v>1228</v>
      </c>
      <c r="B174" s="1417" t="s">
        <v>6432</v>
      </c>
      <c r="C174" s="1422" t="s">
        <v>2793</v>
      </c>
      <c r="D174"/>
      <c r="E174"/>
      <c r="F174"/>
      <c r="G174"/>
      <c r="H174"/>
      <c r="I174"/>
      <c r="J174"/>
      <c r="K174"/>
      <c r="L174"/>
      <c r="M174"/>
      <c r="N174"/>
      <c r="O174"/>
      <c r="P174"/>
      <c r="Q174"/>
      <c r="R174"/>
      <c r="S174"/>
      <c r="T174"/>
      <c r="U174"/>
      <c r="V174"/>
      <c r="W174"/>
      <c r="X174"/>
      <c r="Y174"/>
      <c r="Z174"/>
      <c r="AA174"/>
      <c r="AB174"/>
      <c r="AC174"/>
      <c r="AD174"/>
      <c r="AE174"/>
      <c r="AF174"/>
    </row>
    <row r="175" spans="1:32" ht="20.45" customHeight="1" x14ac:dyDescent="0.2">
      <c r="A175" s="1421" t="s">
        <v>1228</v>
      </c>
      <c r="B175" s="1417" t="s">
        <v>9034</v>
      </c>
      <c r="C175" s="1422" t="s">
        <v>2794</v>
      </c>
      <c r="D175"/>
      <c r="E175"/>
      <c r="F175"/>
      <c r="G175"/>
      <c r="H175"/>
      <c r="I175"/>
      <c r="J175"/>
      <c r="K175"/>
      <c r="L175"/>
      <c r="M175"/>
      <c r="N175"/>
      <c r="O175"/>
      <c r="P175"/>
      <c r="Q175"/>
      <c r="R175"/>
      <c r="S175"/>
      <c r="T175"/>
      <c r="U175"/>
      <c r="V175"/>
      <c r="W175"/>
      <c r="X175"/>
      <c r="Y175"/>
      <c r="Z175"/>
      <c r="AA175"/>
      <c r="AB175"/>
      <c r="AC175"/>
      <c r="AD175"/>
      <c r="AE175"/>
      <c r="AF175"/>
    </row>
    <row r="176" spans="1:32" ht="20.45" customHeight="1" x14ac:dyDescent="0.2">
      <c r="A176" s="1421" t="s">
        <v>1228</v>
      </c>
      <c r="B176" s="1417" t="s">
        <v>9033</v>
      </c>
      <c r="C176" s="1422" t="s">
        <v>2795</v>
      </c>
      <c r="D176"/>
      <c r="E176"/>
      <c r="F176"/>
      <c r="G176"/>
      <c r="H176"/>
      <c r="I176"/>
      <c r="J176"/>
      <c r="K176"/>
      <c r="L176"/>
      <c r="M176"/>
      <c r="N176"/>
      <c r="O176"/>
      <c r="P176"/>
      <c r="Q176"/>
      <c r="R176"/>
      <c r="S176"/>
      <c r="T176"/>
      <c r="U176"/>
      <c r="V176"/>
      <c r="W176"/>
      <c r="X176"/>
      <c r="Y176"/>
      <c r="Z176"/>
      <c r="AA176"/>
      <c r="AB176"/>
      <c r="AC176"/>
      <c r="AD176"/>
      <c r="AE176"/>
      <c r="AF176"/>
    </row>
    <row r="177" spans="1:32" ht="20.45" customHeight="1" x14ac:dyDescent="0.2">
      <c r="A177" s="1421" t="s">
        <v>1228</v>
      </c>
      <c r="B177" s="1417" t="s">
        <v>9032</v>
      </c>
      <c r="C177" s="1422" t="s">
        <v>15</v>
      </c>
      <c r="D177"/>
      <c r="E177"/>
      <c r="F177"/>
      <c r="G177"/>
      <c r="H177"/>
      <c r="I177"/>
      <c r="J177"/>
      <c r="K177"/>
      <c r="L177"/>
      <c r="M177"/>
      <c r="N177"/>
      <c r="O177"/>
      <c r="P177"/>
      <c r="Q177"/>
      <c r="R177"/>
      <c r="S177"/>
      <c r="T177"/>
      <c r="U177"/>
      <c r="V177"/>
      <c r="W177"/>
      <c r="X177"/>
      <c r="Y177"/>
      <c r="Z177"/>
      <c r="AA177"/>
      <c r="AB177"/>
      <c r="AC177"/>
      <c r="AD177"/>
      <c r="AE177"/>
      <c r="AF177"/>
    </row>
    <row r="178" spans="1:32" ht="20.45" customHeight="1" x14ac:dyDescent="0.2">
      <c r="A178" s="1419" t="s">
        <v>39</v>
      </c>
      <c r="B178" s="1800" t="s">
        <v>9660</v>
      </c>
      <c r="C178" s="1427" t="s">
        <v>5586</v>
      </c>
      <c r="D178"/>
      <c r="E178"/>
      <c r="F178"/>
      <c r="G178"/>
      <c r="H178"/>
      <c r="I178"/>
      <c r="J178"/>
      <c r="K178"/>
      <c r="L178"/>
      <c r="M178"/>
      <c r="N178"/>
      <c r="O178"/>
      <c r="P178"/>
      <c r="Q178"/>
      <c r="R178"/>
      <c r="S178"/>
      <c r="T178"/>
      <c r="U178"/>
      <c r="V178"/>
      <c r="W178"/>
      <c r="X178"/>
      <c r="Y178"/>
      <c r="Z178"/>
      <c r="AA178"/>
      <c r="AB178"/>
      <c r="AC178"/>
      <c r="AD178"/>
      <c r="AE178"/>
      <c r="AF178"/>
    </row>
    <row r="179" spans="1:32" ht="20.45" customHeight="1" x14ac:dyDescent="0.2">
      <c r="A179" s="1421" t="s">
        <v>1228</v>
      </c>
      <c r="B179" s="1417" t="s">
        <v>6435</v>
      </c>
      <c r="C179" s="1422" t="s">
        <v>5583</v>
      </c>
      <c r="D179"/>
      <c r="E179"/>
      <c r="F179"/>
      <c r="G179"/>
      <c r="H179"/>
      <c r="I179"/>
      <c r="J179"/>
      <c r="K179"/>
      <c r="L179"/>
      <c r="M179"/>
      <c r="N179"/>
      <c r="O179"/>
      <c r="P179"/>
      <c r="Q179"/>
      <c r="R179"/>
      <c r="S179"/>
      <c r="T179"/>
      <c r="U179"/>
      <c r="V179"/>
      <c r="W179"/>
      <c r="X179"/>
      <c r="Y179"/>
      <c r="Z179"/>
      <c r="AA179"/>
      <c r="AB179"/>
      <c r="AC179"/>
      <c r="AD179"/>
      <c r="AE179"/>
      <c r="AF179"/>
    </row>
    <row r="180" spans="1:32" ht="20.45" customHeight="1" x14ac:dyDescent="0.2">
      <c r="A180" s="1421" t="s">
        <v>1228</v>
      </c>
      <c r="B180" s="1417" t="s">
        <v>6437</v>
      </c>
      <c r="C180" s="1422" t="s">
        <v>5584</v>
      </c>
      <c r="D180"/>
      <c r="E180"/>
      <c r="F180"/>
      <c r="G180"/>
      <c r="H180"/>
      <c r="I180"/>
      <c r="J180"/>
      <c r="K180"/>
      <c r="L180"/>
      <c r="M180"/>
      <c r="N180"/>
      <c r="O180"/>
      <c r="P180"/>
      <c r="Q180"/>
      <c r="R180"/>
      <c r="S180"/>
      <c r="T180"/>
      <c r="U180"/>
      <c r="V180"/>
      <c r="W180"/>
      <c r="X180"/>
      <c r="Y180"/>
      <c r="Z180"/>
      <c r="AA180"/>
      <c r="AB180"/>
      <c r="AC180"/>
      <c r="AD180"/>
      <c r="AE180"/>
      <c r="AF180"/>
    </row>
    <row r="181" spans="1:32" ht="20.45" customHeight="1" x14ac:dyDescent="0.2">
      <c r="A181" s="1421" t="s">
        <v>1228</v>
      </c>
      <c r="B181" s="1417" t="s">
        <v>6439</v>
      </c>
      <c r="C181" s="1422" t="s">
        <v>2520</v>
      </c>
      <c r="D181"/>
      <c r="E181"/>
      <c r="F181"/>
      <c r="G181"/>
      <c r="H181"/>
      <c r="I181"/>
      <c r="J181"/>
      <c r="K181"/>
      <c r="L181"/>
      <c r="M181"/>
      <c r="N181"/>
      <c r="O181"/>
      <c r="P181"/>
      <c r="Q181"/>
      <c r="R181"/>
      <c r="S181"/>
      <c r="T181"/>
      <c r="U181"/>
      <c r="V181"/>
      <c r="W181"/>
      <c r="X181"/>
      <c r="Y181"/>
      <c r="Z181"/>
      <c r="AA181"/>
      <c r="AB181"/>
      <c r="AC181"/>
      <c r="AD181"/>
      <c r="AE181"/>
      <c r="AF181"/>
    </row>
    <row r="182" spans="1:32" ht="20.45" customHeight="1" x14ac:dyDescent="0.2">
      <c r="A182" s="1421" t="s">
        <v>1228</v>
      </c>
      <c r="B182" s="1417" t="s">
        <v>6441</v>
      </c>
      <c r="C182" s="1422" t="s">
        <v>2790</v>
      </c>
      <c r="D182"/>
      <c r="E182"/>
      <c r="F182"/>
      <c r="G182"/>
      <c r="H182"/>
      <c r="I182"/>
      <c r="J182"/>
      <c r="K182"/>
      <c r="L182"/>
      <c r="M182"/>
      <c r="N182"/>
      <c r="O182"/>
      <c r="P182"/>
      <c r="Q182"/>
      <c r="R182"/>
      <c r="S182"/>
      <c r="T182"/>
      <c r="U182"/>
      <c r="V182"/>
      <c r="W182"/>
      <c r="X182"/>
      <c r="Y182"/>
      <c r="Z182"/>
      <c r="AA182"/>
      <c r="AB182"/>
      <c r="AC182"/>
      <c r="AD182"/>
      <c r="AE182"/>
      <c r="AF182"/>
    </row>
    <row r="183" spans="1:32" ht="20.45" customHeight="1" x14ac:dyDescent="0.2">
      <c r="A183" s="1421" t="s">
        <v>1228</v>
      </c>
      <c r="B183" s="1417" t="s">
        <v>6443</v>
      </c>
      <c r="C183" s="1422" t="s">
        <v>2792</v>
      </c>
      <c r="D183"/>
      <c r="E183"/>
      <c r="F183"/>
      <c r="G183"/>
      <c r="H183"/>
      <c r="I183"/>
      <c r="J183"/>
      <c r="K183"/>
      <c r="L183"/>
      <c r="M183"/>
      <c r="N183"/>
      <c r="O183"/>
      <c r="P183"/>
      <c r="Q183"/>
      <c r="R183"/>
      <c r="S183"/>
      <c r="T183"/>
      <c r="U183"/>
      <c r="V183"/>
      <c r="W183"/>
      <c r="X183"/>
      <c r="Y183"/>
      <c r="Z183"/>
      <c r="AA183"/>
      <c r="AB183"/>
      <c r="AC183"/>
      <c r="AD183"/>
      <c r="AE183"/>
      <c r="AF183"/>
    </row>
    <row r="184" spans="1:32" ht="20.45" customHeight="1" x14ac:dyDescent="0.2">
      <c r="A184" s="1421" t="s">
        <v>1228</v>
      </c>
      <c r="B184" s="1417" t="s">
        <v>6445</v>
      </c>
      <c r="C184" s="1422" t="s">
        <v>2793</v>
      </c>
      <c r="D184"/>
      <c r="E184"/>
      <c r="F184"/>
      <c r="G184"/>
      <c r="H184"/>
      <c r="I184"/>
      <c r="J184"/>
      <c r="K184"/>
      <c r="L184"/>
      <c r="M184"/>
      <c r="N184"/>
      <c r="O184"/>
      <c r="P184"/>
      <c r="Q184"/>
      <c r="R184"/>
      <c r="S184"/>
      <c r="T184"/>
      <c r="U184"/>
      <c r="V184"/>
      <c r="W184"/>
      <c r="X184"/>
      <c r="Y184"/>
      <c r="Z184"/>
      <c r="AA184"/>
      <c r="AB184"/>
      <c r="AC184"/>
      <c r="AD184"/>
      <c r="AE184"/>
      <c r="AF184"/>
    </row>
    <row r="185" spans="1:32" ht="20.45" customHeight="1" x14ac:dyDescent="0.2">
      <c r="A185" s="1421" t="s">
        <v>1228</v>
      </c>
      <c r="B185" s="1417" t="s">
        <v>9031</v>
      </c>
      <c r="C185" s="1422" t="s">
        <v>2794</v>
      </c>
      <c r="D185"/>
      <c r="E185"/>
      <c r="F185"/>
      <c r="G185"/>
      <c r="H185"/>
      <c r="I185"/>
      <c r="J185"/>
      <c r="K185"/>
      <c r="L185"/>
      <c r="M185"/>
      <c r="N185"/>
      <c r="O185"/>
      <c r="P185"/>
      <c r="Q185"/>
      <c r="R185"/>
      <c r="S185"/>
      <c r="T185"/>
      <c r="U185"/>
      <c r="V185"/>
      <c r="W185"/>
      <c r="X185"/>
      <c r="Y185"/>
      <c r="Z185"/>
      <c r="AA185"/>
      <c r="AB185"/>
      <c r="AC185"/>
      <c r="AD185"/>
      <c r="AE185"/>
      <c r="AF185"/>
    </row>
    <row r="186" spans="1:32" ht="20.45" customHeight="1" x14ac:dyDescent="0.2">
      <c r="A186" s="1421" t="s">
        <v>1228</v>
      </c>
      <c r="B186" s="1417" t="s">
        <v>9030</v>
      </c>
      <c r="C186" s="1422" t="s">
        <v>2795</v>
      </c>
      <c r="D186"/>
      <c r="E186"/>
      <c r="F186"/>
      <c r="G186"/>
      <c r="H186"/>
      <c r="I186"/>
      <c r="J186"/>
      <c r="K186"/>
      <c r="L186"/>
      <c r="M186"/>
      <c r="N186"/>
      <c r="O186"/>
      <c r="P186"/>
      <c r="Q186"/>
      <c r="R186"/>
      <c r="S186"/>
      <c r="T186"/>
      <c r="U186"/>
      <c r="V186"/>
      <c r="W186"/>
      <c r="X186"/>
      <c r="Y186"/>
      <c r="Z186"/>
      <c r="AA186"/>
      <c r="AB186"/>
      <c r="AC186"/>
      <c r="AD186"/>
      <c r="AE186"/>
      <c r="AF186"/>
    </row>
    <row r="187" spans="1:32" ht="20.45" customHeight="1" x14ac:dyDescent="0.2">
      <c r="A187" s="1421" t="s">
        <v>1228</v>
      </c>
      <c r="B187" s="1417" t="s">
        <v>9029</v>
      </c>
      <c r="C187" s="1422" t="s">
        <v>15</v>
      </c>
      <c r="D187"/>
      <c r="E187"/>
      <c r="F187"/>
      <c r="G187"/>
      <c r="H187"/>
      <c r="I187"/>
      <c r="J187"/>
      <c r="K187"/>
      <c r="L187"/>
      <c r="M187"/>
      <c r="N187"/>
      <c r="O187"/>
      <c r="P187"/>
      <c r="Q187"/>
      <c r="R187"/>
      <c r="S187"/>
      <c r="T187"/>
      <c r="U187"/>
      <c r="V187"/>
      <c r="W187"/>
      <c r="X187"/>
      <c r="Y187"/>
      <c r="Z187"/>
      <c r="AA187"/>
      <c r="AB187"/>
      <c r="AC187"/>
      <c r="AD187"/>
      <c r="AE187"/>
      <c r="AF187"/>
    </row>
    <row r="188" spans="1:32" ht="20.45" customHeight="1" x14ac:dyDescent="0.2">
      <c r="A188" s="1419" t="s">
        <v>1237</v>
      </c>
      <c r="B188" s="1417">
        <v>7</v>
      </c>
      <c r="C188" s="1420" t="s">
        <v>1258</v>
      </c>
      <c r="D188"/>
      <c r="E188"/>
      <c r="F188"/>
      <c r="G188"/>
      <c r="H188"/>
      <c r="I188"/>
      <c r="J188"/>
      <c r="K188"/>
      <c r="L188"/>
      <c r="M188"/>
      <c r="N188"/>
      <c r="O188"/>
      <c r="P188"/>
      <c r="Q188"/>
      <c r="R188"/>
      <c r="S188"/>
      <c r="T188"/>
      <c r="U188"/>
      <c r="V188"/>
      <c r="W188"/>
      <c r="X188"/>
      <c r="Y188"/>
      <c r="Z188"/>
      <c r="AA188"/>
      <c r="AB188"/>
      <c r="AC188"/>
      <c r="AD188"/>
      <c r="AE188"/>
      <c r="AF188"/>
    </row>
    <row r="189" spans="1:32" ht="20.45" customHeight="1" x14ac:dyDescent="0.2">
      <c r="A189" s="1419" t="s">
        <v>39</v>
      </c>
      <c r="B189" s="1800" t="s">
        <v>9661</v>
      </c>
      <c r="C189" s="1427" t="s">
        <v>9686</v>
      </c>
      <c r="D189"/>
      <c r="E189"/>
      <c r="F189"/>
      <c r="G189"/>
      <c r="H189"/>
      <c r="I189"/>
      <c r="J189"/>
      <c r="K189"/>
      <c r="L189"/>
      <c r="M189"/>
      <c r="N189"/>
      <c r="O189"/>
      <c r="P189"/>
      <c r="Q189"/>
      <c r="R189"/>
      <c r="S189"/>
      <c r="T189"/>
      <c r="U189"/>
      <c r="V189"/>
      <c r="W189"/>
      <c r="X189"/>
      <c r="Y189"/>
      <c r="Z189"/>
      <c r="AA189"/>
      <c r="AB189"/>
      <c r="AC189"/>
      <c r="AD189"/>
      <c r="AE189"/>
      <c r="AF189"/>
    </row>
    <row r="190" spans="1:32" ht="20.45" customHeight="1" x14ac:dyDescent="0.2">
      <c r="A190" s="1421" t="s">
        <v>1228</v>
      </c>
      <c r="B190" s="1417" t="s">
        <v>6592</v>
      </c>
      <c r="C190" s="1422" t="s">
        <v>2798</v>
      </c>
      <c r="D190"/>
      <c r="E190"/>
      <c r="F190"/>
      <c r="G190"/>
      <c r="H190"/>
      <c r="I190"/>
      <c r="J190"/>
      <c r="K190"/>
      <c r="L190"/>
      <c r="M190"/>
      <c r="N190"/>
      <c r="O190"/>
      <c r="P190"/>
      <c r="Q190"/>
      <c r="R190"/>
      <c r="S190"/>
      <c r="T190"/>
      <c r="U190"/>
      <c r="V190"/>
      <c r="W190"/>
      <c r="X190"/>
      <c r="Y190"/>
      <c r="Z190"/>
      <c r="AA190"/>
      <c r="AB190"/>
      <c r="AC190"/>
      <c r="AD190"/>
      <c r="AE190"/>
      <c r="AF190"/>
    </row>
    <row r="191" spans="1:32" ht="20.45" customHeight="1" x14ac:dyDescent="0.2">
      <c r="A191" s="1421" t="s">
        <v>1228</v>
      </c>
      <c r="B191" s="1417" t="s">
        <v>6594</v>
      </c>
      <c r="C191" s="1422" t="s">
        <v>2799</v>
      </c>
      <c r="D191"/>
      <c r="E191"/>
      <c r="F191"/>
      <c r="G191"/>
      <c r="H191"/>
      <c r="I191"/>
      <c r="J191"/>
      <c r="K191"/>
      <c r="L191"/>
      <c r="M191"/>
      <c r="N191"/>
      <c r="O191"/>
      <c r="P191"/>
      <c r="Q191"/>
      <c r="R191"/>
      <c r="S191"/>
      <c r="T191"/>
      <c r="U191"/>
      <c r="V191"/>
      <c r="W191"/>
      <c r="X191"/>
      <c r="Y191"/>
      <c r="Z191"/>
      <c r="AA191"/>
      <c r="AB191"/>
      <c r="AC191"/>
      <c r="AD191"/>
      <c r="AE191"/>
      <c r="AF191"/>
    </row>
    <row r="192" spans="1:32" ht="20.45" customHeight="1" x14ac:dyDescent="0.2">
      <c r="A192" s="1421" t="s">
        <v>1228</v>
      </c>
      <c r="B192" s="1417" t="s">
        <v>6596</v>
      </c>
      <c r="C192" s="1422" t="s">
        <v>2800</v>
      </c>
      <c r="D192"/>
      <c r="E192"/>
      <c r="F192"/>
      <c r="G192"/>
      <c r="H192"/>
      <c r="I192"/>
      <c r="J192"/>
      <c r="K192"/>
      <c r="L192"/>
      <c r="M192"/>
      <c r="N192"/>
      <c r="O192"/>
      <c r="P192"/>
      <c r="Q192"/>
      <c r="R192"/>
      <c r="S192"/>
      <c r="T192"/>
      <c r="U192"/>
      <c r="V192"/>
      <c r="W192"/>
      <c r="X192"/>
      <c r="Y192"/>
      <c r="Z192"/>
      <c r="AA192"/>
      <c r="AB192"/>
      <c r="AC192"/>
      <c r="AD192"/>
      <c r="AE192"/>
      <c r="AF192"/>
    </row>
    <row r="193" spans="1:32" ht="20.45" customHeight="1" x14ac:dyDescent="0.2">
      <c r="A193" s="1421" t="s">
        <v>1228</v>
      </c>
      <c r="B193" s="1417" t="s">
        <v>6598</v>
      </c>
      <c r="C193" s="1422" t="s">
        <v>2523</v>
      </c>
      <c r="D193"/>
      <c r="E193"/>
      <c r="F193"/>
      <c r="G193"/>
      <c r="H193"/>
      <c r="I193"/>
      <c r="J193"/>
      <c r="K193"/>
      <c r="L193"/>
      <c r="M193"/>
      <c r="N193"/>
      <c r="O193"/>
      <c r="P193"/>
      <c r="Q193"/>
      <c r="R193"/>
      <c r="S193"/>
      <c r="T193"/>
      <c r="U193"/>
      <c r="V193"/>
      <c r="W193"/>
      <c r="X193"/>
      <c r="Y193"/>
      <c r="Z193"/>
      <c r="AA193"/>
      <c r="AB193"/>
      <c r="AC193"/>
      <c r="AD193"/>
      <c r="AE193"/>
      <c r="AF193"/>
    </row>
    <row r="194" spans="1:32" ht="20.45" customHeight="1" x14ac:dyDescent="0.2">
      <c r="A194" s="1421" t="s">
        <v>1228</v>
      </c>
      <c r="B194" s="1417" t="s">
        <v>6600</v>
      </c>
      <c r="C194" s="1422" t="s">
        <v>2522</v>
      </c>
      <c r="D194"/>
      <c r="E194"/>
      <c r="F194"/>
      <c r="G194"/>
      <c r="H194"/>
      <c r="I194"/>
      <c r="J194"/>
      <c r="K194"/>
      <c r="L194"/>
      <c r="M194"/>
      <c r="N194"/>
      <c r="O194"/>
      <c r="P194"/>
      <c r="Q194"/>
      <c r="R194"/>
      <c r="S194"/>
      <c r="T194"/>
      <c r="U194"/>
      <c r="V194"/>
      <c r="W194"/>
      <c r="X194"/>
      <c r="Y194"/>
      <c r="Z194"/>
      <c r="AA194"/>
      <c r="AB194"/>
      <c r="AC194"/>
      <c r="AD194"/>
      <c r="AE194"/>
      <c r="AF194"/>
    </row>
    <row r="195" spans="1:32" ht="20.45" customHeight="1" x14ac:dyDescent="0.2">
      <c r="A195" s="1421" t="s">
        <v>1228</v>
      </c>
      <c r="B195" s="1417" t="s">
        <v>9028</v>
      </c>
      <c r="C195" s="1422" t="s">
        <v>15</v>
      </c>
      <c r="D195"/>
      <c r="E195"/>
      <c r="F195"/>
      <c r="G195"/>
      <c r="H195"/>
      <c r="I195"/>
      <c r="J195"/>
      <c r="K195"/>
      <c r="L195"/>
      <c r="M195"/>
      <c r="N195"/>
      <c r="O195"/>
      <c r="P195"/>
      <c r="Q195"/>
      <c r="R195"/>
      <c r="S195"/>
      <c r="T195"/>
      <c r="U195"/>
      <c r="V195"/>
      <c r="W195"/>
      <c r="X195"/>
      <c r="Y195"/>
      <c r="Z195"/>
      <c r="AA195"/>
      <c r="AB195"/>
      <c r="AC195"/>
      <c r="AD195"/>
      <c r="AE195"/>
      <c r="AF195"/>
    </row>
    <row r="196" spans="1:32" ht="20.45" customHeight="1" x14ac:dyDescent="0.2">
      <c r="A196" s="1419" t="s">
        <v>39</v>
      </c>
      <c r="B196" s="1800" t="s">
        <v>9662</v>
      </c>
      <c r="C196" s="1427" t="s">
        <v>5587</v>
      </c>
      <c r="D196"/>
      <c r="E196"/>
      <c r="F196"/>
      <c r="G196"/>
      <c r="H196"/>
      <c r="I196"/>
      <c r="J196"/>
      <c r="K196"/>
      <c r="L196"/>
      <c r="M196"/>
      <c r="N196"/>
      <c r="O196"/>
      <c r="P196"/>
      <c r="Q196"/>
      <c r="R196"/>
      <c r="S196"/>
      <c r="T196"/>
      <c r="U196"/>
      <c r="V196"/>
      <c r="W196"/>
      <c r="X196"/>
      <c r="Y196"/>
      <c r="Z196"/>
      <c r="AA196"/>
      <c r="AB196"/>
      <c r="AC196"/>
      <c r="AD196"/>
      <c r="AE196"/>
      <c r="AF196"/>
    </row>
    <row r="197" spans="1:32" ht="20.45" customHeight="1" x14ac:dyDescent="0.2">
      <c r="A197" s="1421" t="s">
        <v>1228</v>
      </c>
      <c r="B197" s="1417" t="s">
        <v>6603</v>
      </c>
      <c r="C197" s="1422" t="s">
        <v>2798</v>
      </c>
      <c r="D197"/>
      <c r="E197"/>
      <c r="F197"/>
      <c r="G197"/>
      <c r="H197"/>
      <c r="I197"/>
      <c r="J197"/>
      <c r="K197"/>
      <c r="L197"/>
      <c r="M197"/>
      <c r="N197"/>
      <c r="O197"/>
      <c r="P197"/>
      <c r="Q197"/>
      <c r="R197"/>
      <c r="S197"/>
      <c r="T197"/>
      <c r="U197"/>
      <c r="V197"/>
      <c r="W197"/>
      <c r="X197"/>
      <c r="Y197"/>
      <c r="Z197"/>
      <c r="AA197"/>
      <c r="AB197"/>
      <c r="AC197"/>
      <c r="AD197"/>
      <c r="AE197"/>
      <c r="AF197"/>
    </row>
    <row r="198" spans="1:32" ht="20.45" customHeight="1" x14ac:dyDescent="0.2">
      <c r="A198" s="1421" t="s">
        <v>1228</v>
      </c>
      <c r="B198" s="1417" t="s">
        <v>6605</v>
      </c>
      <c r="C198" s="1422" t="s">
        <v>2799</v>
      </c>
      <c r="D198"/>
      <c r="E198"/>
      <c r="F198"/>
      <c r="G198"/>
      <c r="H198"/>
      <c r="I198"/>
      <c r="J198"/>
      <c r="K198"/>
      <c r="L198"/>
      <c r="M198"/>
      <c r="N198"/>
      <c r="O198"/>
      <c r="P198"/>
      <c r="Q198"/>
      <c r="R198"/>
      <c r="S198"/>
      <c r="T198"/>
      <c r="U198"/>
      <c r="V198"/>
      <c r="W198"/>
      <c r="X198"/>
      <c r="Y198"/>
      <c r="Z198"/>
      <c r="AA198"/>
      <c r="AB198"/>
      <c r="AC198"/>
      <c r="AD198"/>
      <c r="AE198"/>
      <c r="AF198"/>
    </row>
    <row r="199" spans="1:32" ht="20.45" customHeight="1" x14ac:dyDescent="0.2">
      <c r="A199" s="1421" t="s">
        <v>1228</v>
      </c>
      <c r="B199" s="1417" t="s">
        <v>6607</v>
      </c>
      <c r="C199" s="1422" t="s">
        <v>2800</v>
      </c>
      <c r="D199"/>
      <c r="E199"/>
      <c r="F199"/>
      <c r="G199"/>
      <c r="H199"/>
      <c r="I199"/>
      <c r="J199"/>
      <c r="K199"/>
      <c r="L199"/>
      <c r="M199"/>
      <c r="N199"/>
      <c r="O199"/>
      <c r="P199"/>
      <c r="Q199"/>
      <c r="R199"/>
      <c r="S199"/>
      <c r="T199"/>
      <c r="U199"/>
      <c r="V199"/>
      <c r="W199"/>
      <c r="X199"/>
      <c r="Y199"/>
      <c r="Z199"/>
      <c r="AA199"/>
      <c r="AB199"/>
      <c r="AC199"/>
      <c r="AD199"/>
      <c r="AE199"/>
      <c r="AF199"/>
    </row>
    <row r="200" spans="1:32" ht="20.45" customHeight="1" x14ac:dyDescent="0.2">
      <c r="A200" s="1421" t="s">
        <v>1228</v>
      </c>
      <c r="B200" s="1417" t="s">
        <v>6609</v>
      </c>
      <c r="C200" s="1422" t="s">
        <v>2523</v>
      </c>
      <c r="D200"/>
      <c r="E200"/>
      <c r="F200"/>
      <c r="G200"/>
      <c r="H200"/>
      <c r="I200"/>
      <c r="J200"/>
      <c r="K200"/>
      <c r="L200"/>
      <c r="M200"/>
      <c r="N200"/>
      <c r="O200"/>
      <c r="P200"/>
      <c r="Q200"/>
      <c r="R200"/>
      <c r="S200"/>
      <c r="T200"/>
      <c r="U200"/>
      <c r="V200"/>
      <c r="W200"/>
      <c r="X200"/>
      <c r="Y200"/>
      <c r="Z200"/>
      <c r="AA200"/>
      <c r="AB200"/>
      <c r="AC200"/>
      <c r="AD200"/>
      <c r="AE200"/>
      <c r="AF200"/>
    </row>
    <row r="201" spans="1:32" ht="20.45" customHeight="1" x14ac:dyDescent="0.2">
      <c r="A201" s="1421" t="s">
        <v>1228</v>
      </c>
      <c r="B201" s="1417" t="s">
        <v>9027</v>
      </c>
      <c r="C201" s="1422" t="s">
        <v>2522</v>
      </c>
      <c r="D201"/>
      <c r="E201"/>
      <c r="F201"/>
      <c r="G201"/>
      <c r="H201"/>
      <c r="I201"/>
      <c r="J201"/>
      <c r="K201"/>
      <c r="L201"/>
      <c r="M201"/>
      <c r="N201"/>
      <c r="O201"/>
      <c r="P201"/>
      <c r="Q201"/>
      <c r="R201"/>
      <c r="S201"/>
      <c r="T201"/>
      <c r="U201"/>
      <c r="V201"/>
      <c r="W201"/>
      <c r="X201"/>
      <c r="Y201"/>
      <c r="Z201"/>
      <c r="AA201"/>
      <c r="AB201"/>
      <c r="AC201"/>
      <c r="AD201"/>
      <c r="AE201"/>
      <c r="AF201"/>
    </row>
    <row r="202" spans="1:32" ht="20.45" customHeight="1" x14ac:dyDescent="0.2">
      <c r="A202" s="1421" t="s">
        <v>1228</v>
      </c>
      <c r="B202" s="1417" t="s">
        <v>9026</v>
      </c>
      <c r="C202" s="1422" t="s">
        <v>15</v>
      </c>
      <c r="D202"/>
      <c r="E202"/>
      <c r="F202"/>
      <c r="G202"/>
      <c r="H202"/>
      <c r="I202"/>
      <c r="J202"/>
      <c r="K202"/>
      <c r="L202"/>
      <c r="M202"/>
      <c r="N202"/>
      <c r="O202"/>
      <c r="P202"/>
      <c r="Q202"/>
      <c r="R202"/>
      <c r="S202"/>
      <c r="T202"/>
      <c r="U202"/>
      <c r="V202"/>
      <c r="W202"/>
      <c r="X202"/>
      <c r="Y202"/>
      <c r="Z202"/>
      <c r="AA202"/>
      <c r="AB202"/>
      <c r="AC202"/>
      <c r="AD202"/>
      <c r="AE202"/>
      <c r="AF202"/>
    </row>
    <row r="203" spans="1:32" ht="20.45" customHeight="1" x14ac:dyDescent="0.2">
      <c r="A203" s="1419" t="s">
        <v>39</v>
      </c>
      <c r="B203" s="1800" t="s">
        <v>9663</v>
      </c>
      <c r="C203" s="1427" t="s">
        <v>5588</v>
      </c>
      <c r="D203"/>
      <c r="E203"/>
      <c r="F203"/>
      <c r="G203"/>
      <c r="H203"/>
      <c r="I203"/>
      <c r="J203"/>
      <c r="K203"/>
      <c r="L203"/>
      <c r="M203"/>
      <c r="N203"/>
      <c r="O203"/>
      <c r="P203"/>
      <c r="Q203"/>
      <c r="R203"/>
      <c r="S203"/>
      <c r="T203"/>
      <c r="U203"/>
      <c r="V203"/>
      <c r="W203"/>
      <c r="X203"/>
      <c r="Y203"/>
      <c r="Z203"/>
      <c r="AA203"/>
      <c r="AB203"/>
      <c r="AC203"/>
      <c r="AD203"/>
      <c r="AE203"/>
      <c r="AF203"/>
    </row>
    <row r="204" spans="1:32" ht="20.45" customHeight="1" x14ac:dyDescent="0.2">
      <c r="A204" s="1421" t="s">
        <v>1228</v>
      </c>
      <c r="B204" s="1417" t="s">
        <v>6612</v>
      </c>
      <c r="C204" s="1422" t="s">
        <v>2798</v>
      </c>
      <c r="D204"/>
      <c r="E204"/>
      <c r="F204"/>
      <c r="G204"/>
      <c r="H204"/>
      <c r="I204"/>
      <c r="J204"/>
      <c r="K204"/>
      <c r="L204"/>
      <c r="M204"/>
      <c r="N204"/>
      <c r="O204"/>
      <c r="P204"/>
      <c r="Q204"/>
      <c r="R204"/>
      <c r="S204"/>
      <c r="T204"/>
      <c r="U204"/>
      <c r="V204"/>
      <c r="W204"/>
      <c r="X204"/>
      <c r="Y204"/>
      <c r="Z204"/>
      <c r="AA204"/>
      <c r="AB204"/>
      <c r="AC204"/>
      <c r="AD204"/>
      <c r="AE204"/>
      <c r="AF204"/>
    </row>
    <row r="205" spans="1:32" ht="20.45" customHeight="1" x14ac:dyDescent="0.2">
      <c r="A205" s="1421" t="s">
        <v>1228</v>
      </c>
      <c r="B205" s="1417" t="s">
        <v>6614</v>
      </c>
      <c r="C205" s="1422" t="s">
        <v>2799</v>
      </c>
      <c r="D205"/>
      <c r="E205"/>
      <c r="F205"/>
      <c r="G205"/>
      <c r="H205"/>
      <c r="I205"/>
      <c r="J205"/>
      <c r="K205"/>
      <c r="L205"/>
      <c r="M205"/>
      <c r="N205"/>
      <c r="O205"/>
      <c r="P205"/>
      <c r="Q205"/>
      <c r="R205"/>
      <c r="S205"/>
      <c r="T205"/>
      <c r="U205"/>
      <c r="V205"/>
      <c r="W205"/>
      <c r="X205"/>
      <c r="Y205"/>
      <c r="Z205"/>
      <c r="AA205"/>
      <c r="AB205"/>
      <c r="AC205"/>
      <c r="AD205"/>
      <c r="AE205"/>
      <c r="AF205"/>
    </row>
    <row r="206" spans="1:32" ht="20.45" customHeight="1" x14ac:dyDescent="0.2">
      <c r="A206" s="1421" t="s">
        <v>1228</v>
      </c>
      <c r="B206" s="1417" t="s">
        <v>6616</v>
      </c>
      <c r="C206" s="1422" t="s">
        <v>2800</v>
      </c>
      <c r="D206"/>
      <c r="E206"/>
      <c r="F206"/>
      <c r="G206"/>
      <c r="H206"/>
      <c r="I206"/>
      <c r="J206"/>
      <c r="K206"/>
      <c r="L206"/>
      <c r="M206"/>
      <c r="N206"/>
      <c r="O206"/>
      <c r="P206"/>
      <c r="Q206"/>
      <c r="R206"/>
      <c r="S206"/>
      <c r="T206"/>
      <c r="U206"/>
      <c r="V206"/>
      <c r="W206"/>
      <c r="X206"/>
      <c r="Y206"/>
      <c r="Z206"/>
      <c r="AA206"/>
      <c r="AB206"/>
      <c r="AC206"/>
      <c r="AD206"/>
      <c r="AE206"/>
      <c r="AF206"/>
    </row>
    <row r="207" spans="1:32" ht="20.45" customHeight="1" x14ac:dyDescent="0.2">
      <c r="A207" s="1421" t="s">
        <v>1228</v>
      </c>
      <c r="B207" s="1417" t="s">
        <v>6618</v>
      </c>
      <c r="C207" s="1422" t="s">
        <v>2523</v>
      </c>
      <c r="D207"/>
      <c r="E207"/>
      <c r="F207"/>
      <c r="G207"/>
      <c r="H207"/>
      <c r="I207"/>
      <c r="J207"/>
      <c r="K207"/>
      <c r="L207"/>
      <c r="M207"/>
      <c r="N207"/>
      <c r="O207"/>
      <c r="P207"/>
      <c r="Q207"/>
      <c r="R207"/>
      <c r="S207"/>
      <c r="T207"/>
      <c r="U207"/>
      <c r="V207"/>
      <c r="W207"/>
      <c r="X207"/>
      <c r="Y207"/>
      <c r="Z207"/>
      <c r="AA207"/>
      <c r="AB207"/>
      <c r="AC207"/>
      <c r="AD207"/>
      <c r="AE207"/>
      <c r="AF207"/>
    </row>
    <row r="208" spans="1:32" ht="20.45" customHeight="1" x14ac:dyDescent="0.2">
      <c r="A208" s="1421" t="s">
        <v>1228</v>
      </c>
      <c r="B208" s="1417" t="s">
        <v>9025</v>
      </c>
      <c r="C208" s="1422" t="s">
        <v>2522</v>
      </c>
      <c r="D208"/>
      <c r="E208"/>
      <c r="F208"/>
      <c r="G208"/>
      <c r="H208"/>
      <c r="I208"/>
      <c r="J208"/>
      <c r="K208"/>
      <c r="L208"/>
      <c r="M208"/>
      <c r="N208"/>
      <c r="O208"/>
      <c r="P208"/>
      <c r="Q208"/>
      <c r="R208"/>
      <c r="S208"/>
      <c r="T208"/>
      <c r="U208"/>
      <c r="V208"/>
      <c r="W208"/>
      <c r="X208"/>
      <c r="Y208"/>
      <c r="Z208"/>
      <c r="AA208"/>
      <c r="AB208"/>
      <c r="AC208"/>
      <c r="AD208"/>
      <c r="AE208"/>
      <c r="AF208"/>
    </row>
    <row r="209" spans="1:32" ht="20.45" customHeight="1" x14ac:dyDescent="0.2">
      <c r="A209" s="1421" t="s">
        <v>1228</v>
      </c>
      <c r="B209" s="1417" t="s">
        <v>9024</v>
      </c>
      <c r="C209" s="1422" t="s">
        <v>15</v>
      </c>
      <c r="D209"/>
      <c r="E209"/>
      <c r="F209"/>
      <c r="G209"/>
      <c r="H209"/>
      <c r="I209"/>
      <c r="J209"/>
      <c r="K209"/>
      <c r="L209"/>
      <c r="M209"/>
      <c r="N209"/>
      <c r="O209"/>
      <c r="P209"/>
      <c r="Q209"/>
      <c r="R209"/>
      <c r="S209"/>
      <c r="T209"/>
      <c r="U209"/>
      <c r="V209"/>
      <c r="W209"/>
      <c r="X209"/>
      <c r="Y209"/>
      <c r="Z209"/>
      <c r="AA209"/>
      <c r="AB209"/>
      <c r="AC209"/>
      <c r="AD209"/>
      <c r="AE209"/>
      <c r="AF209"/>
    </row>
    <row r="210" spans="1:32" ht="20.45" customHeight="1" x14ac:dyDescent="0.2">
      <c r="A210" s="1419" t="s">
        <v>1237</v>
      </c>
      <c r="B210" s="1417">
        <v>8</v>
      </c>
      <c r="C210" s="1420" t="s">
        <v>19</v>
      </c>
      <c r="D210"/>
      <c r="E210"/>
      <c r="F210"/>
      <c r="G210"/>
      <c r="H210"/>
      <c r="I210"/>
      <c r="J210"/>
      <c r="K210"/>
      <c r="L210"/>
      <c r="M210"/>
      <c r="N210"/>
      <c r="O210"/>
      <c r="P210"/>
      <c r="Q210"/>
      <c r="R210"/>
      <c r="S210"/>
      <c r="T210"/>
      <c r="U210"/>
      <c r="V210"/>
      <c r="W210"/>
      <c r="X210"/>
      <c r="Y210"/>
      <c r="Z210"/>
      <c r="AA210"/>
      <c r="AB210"/>
      <c r="AC210"/>
      <c r="AD210"/>
      <c r="AE210"/>
      <c r="AF210"/>
    </row>
    <row r="211" spans="1:32" ht="20.45" customHeight="1" x14ac:dyDescent="0.2">
      <c r="A211" s="1419" t="s">
        <v>39</v>
      </c>
      <c r="B211" s="1800" t="s">
        <v>9664</v>
      </c>
      <c r="C211" s="1427" t="s">
        <v>9687</v>
      </c>
      <c r="D211"/>
      <c r="E211"/>
      <c r="F211"/>
      <c r="G211"/>
      <c r="H211"/>
      <c r="I211"/>
      <c r="J211"/>
      <c r="K211"/>
      <c r="L211"/>
      <c r="M211"/>
      <c r="N211"/>
      <c r="O211"/>
      <c r="P211"/>
      <c r="Q211"/>
      <c r="R211"/>
      <c r="S211"/>
      <c r="T211"/>
      <c r="U211"/>
      <c r="V211"/>
      <c r="W211"/>
      <c r="X211"/>
      <c r="Y211"/>
      <c r="Z211"/>
      <c r="AA211"/>
      <c r="AB211"/>
      <c r="AC211"/>
      <c r="AD211"/>
      <c r="AE211"/>
      <c r="AF211"/>
    </row>
    <row r="212" spans="1:32" ht="20.45" customHeight="1" x14ac:dyDescent="0.2">
      <c r="A212" s="1421" t="s">
        <v>1228</v>
      </c>
      <c r="B212" s="1417" t="s">
        <v>6727</v>
      </c>
      <c r="C212" s="1422" t="s">
        <v>2802</v>
      </c>
      <c r="D212"/>
      <c r="E212"/>
      <c r="F212"/>
      <c r="G212"/>
      <c r="H212"/>
      <c r="I212"/>
      <c r="J212"/>
      <c r="K212"/>
      <c r="L212"/>
      <c r="M212"/>
      <c r="N212"/>
      <c r="O212"/>
      <c r="P212"/>
      <c r="Q212"/>
      <c r="R212"/>
      <c r="S212"/>
      <c r="T212"/>
      <c r="U212"/>
      <c r="V212"/>
      <c r="W212"/>
      <c r="X212"/>
      <c r="Y212"/>
      <c r="Z212"/>
      <c r="AA212"/>
      <c r="AB212"/>
      <c r="AC212"/>
      <c r="AD212"/>
      <c r="AE212"/>
      <c r="AF212"/>
    </row>
    <row r="213" spans="1:32" ht="20.45" customHeight="1" x14ac:dyDescent="0.2">
      <c r="A213" s="1421" t="s">
        <v>1228</v>
      </c>
      <c r="B213" s="1417" t="s">
        <v>6729</v>
      </c>
      <c r="C213" s="1422" t="s">
        <v>5589</v>
      </c>
      <c r="D213"/>
      <c r="E213"/>
      <c r="F213"/>
      <c r="G213"/>
      <c r="H213"/>
      <c r="I213"/>
      <c r="J213"/>
      <c r="K213"/>
      <c r="L213"/>
      <c r="M213"/>
      <c r="N213"/>
      <c r="O213"/>
      <c r="P213"/>
      <c r="Q213"/>
      <c r="R213"/>
      <c r="S213"/>
      <c r="T213"/>
      <c r="U213"/>
      <c r="V213"/>
      <c r="W213"/>
      <c r="X213"/>
      <c r="Y213"/>
      <c r="Z213"/>
      <c r="AA213"/>
      <c r="AB213"/>
      <c r="AC213"/>
      <c r="AD213"/>
      <c r="AE213"/>
      <c r="AF213"/>
    </row>
    <row r="214" spans="1:32" ht="20.45" customHeight="1" x14ac:dyDescent="0.2">
      <c r="A214" s="1421" t="s">
        <v>1228</v>
      </c>
      <c r="B214" s="1417" t="s">
        <v>6731</v>
      </c>
      <c r="C214" s="1422" t="s">
        <v>5590</v>
      </c>
      <c r="D214"/>
      <c r="E214"/>
      <c r="F214"/>
      <c r="G214"/>
      <c r="H214"/>
      <c r="I214"/>
      <c r="J214"/>
      <c r="K214"/>
      <c r="L214"/>
      <c r="M214"/>
      <c r="N214"/>
      <c r="O214"/>
      <c r="P214"/>
      <c r="Q214"/>
      <c r="R214"/>
      <c r="S214"/>
      <c r="T214"/>
      <c r="U214"/>
      <c r="V214"/>
      <c r="W214"/>
      <c r="X214"/>
      <c r="Y214"/>
      <c r="Z214"/>
      <c r="AA214"/>
      <c r="AB214"/>
      <c r="AC214"/>
      <c r="AD214"/>
      <c r="AE214"/>
      <c r="AF214"/>
    </row>
    <row r="215" spans="1:32" ht="20.45" customHeight="1" x14ac:dyDescent="0.2">
      <c r="A215" s="1421" t="s">
        <v>1228</v>
      </c>
      <c r="B215" s="1417" t="s">
        <v>6733</v>
      </c>
      <c r="C215" s="1422" t="s">
        <v>5591</v>
      </c>
      <c r="D215"/>
      <c r="E215"/>
      <c r="F215"/>
      <c r="G215"/>
      <c r="H215"/>
      <c r="I215"/>
      <c r="J215"/>
      <c r="K215"/>
      <c r="L215"/>
      <c r="M215"/>
      <c r="N215"/>
      <c r="O215"/>
      <c r="P215"/>
      <c r="Q215"/>
      <c r="R215"/>
      <c r="S215"/>
      <c r="T215"/>
      <c r="U215"/>
      <c r="V215"/>
      <c r="W215"/>
      <c r="X215"/>
      <c r="Y215"/>
      <c r="Z215"/>
      <c r="AA215"/>
      <c r="AB215"/>
      <c r="AC215"/>
      <c r="AD215"/>
      <c r="AE215"/>
      <c r="AF215"/>
    </row>
    <row r="216" spans="1:32" ht="20.45" customHeight="1" x14ac:dyDescent="0.2">
      <c r="A216" s="1421" t="s">
        <v>1228</v>
      </c>
      <c r="B216" s="1417" t="s">
        <v>6735</v>
      </c>
      <c r="C216" s="1422" t="s">
        <v>15</v>
      </c>
      <c r="D216"/>
      <c r="E216"/>
      <c r="F216"/>
      <c r="G216"/>
      <c r="H216"/>
      <c r="I216"/>
      <c r="J216"/>
      <c r="K216"/>
      <c r="L216"/>
      <c r="M216"/>
      <c r="N216"/>
      <c r="O216"/>
      <c r="P216"/>
      <c r="Q216"/>
      <c r="R216"/>
      <c r="S216"/>
      <c r="T216"/>
      <c r="U216"/>
      <c r="V216"/>
      <c r="W216"/>
      <c r="X216"/>
      <c r="Y216"/>
      <c r="Z216"/>
      <c r="AA216"/>
      <c r="AB216"/>
      <c r="AC216"/>
      <c r="AD216"/>
      <c r="AE216"/>
      <c r="AF216"/>
    </row>
    <row r="217" spans="1:32" ht="20.45" customHeight="1" x14ac:dyDescent="0.2">
      <c r="A217" s="1419" t="s">
        <v>39</v>
      </c>
      <c r="B217" s="1800" t="s">
        <v>9665</v>
      </c>
      <c r="C217" s="1427" t="s">
        <v>5592</v>
      </c>
      <c r="D217"/>
      <c r="E217"/>
      <c r="F217"/>
      <c r="G217"/>
      <c r="H217"/>
      <c r="I217"/>
      <c r="J217"/>
      <c r="K217"/>
      <c r="L217"/>
      <c r="M217"/>
      <c r="N217"/>
      <c r="O217"/>
      <c r="P217"/>
      <c r="Q217"/>
      <c r="R217"/>
      <c r="S217"/>
      <c r="T217"/>
      <c r="U217"/>
      <c r="V217"/>
      <c r="W217"/>
      <c r="X217"/>
      <c r="Y217"/>
      <c r="Z217"/>
      <c r="AA217"/>
      <c r="AB217"/>
      <c r="AC217"/>
      <c r="AD217"/>
      <c r="AE217"/>
      <c r="AF217"/>
    </row>
    <row r="218" spans="1:32" ht="20.45" customHeight="1" x14ac:dyDescent="0.2">
      <c r="A218" s="1421" t="s">
        <v>1228</v>
      </c>
      <c r="B218" s="1417" t="s">
        <v>6742</v>
      </c>
      <c r="C218" s="1422" t="s">
        <v>2802</v>
      </c>
      <c r="D218"/>
      <c r="E218"/>
      <c r="F218"/>
      <c r="G218"/>
      <c r="H218"/>
      <c r="I218"/>
      <c r="J218"/>
      <c r="K218"/>
      <c r="L218"/>
      <c r="M218"/>
      <c r="N218"/>
      <c r="O218"/>
      <c r="P218"/>
      <c r="Q218"/>
      <c r="R218"/>
      <c r="S218"/>
      <c r="T218"/>
      <c r="U218"/>
      <c r="V218"/>
      <c r="W218"/>
      <c r="X218"/>
      <c r="Y218"/>
      <c r="Z218"/>
      <c r="AA218"/>
      <c r="AB218"/>
      <c r="AC218"/>
      <c r="AD218"/>
      <c r="AE218"/>
      <c r="AF218"/>
    </row>
    <row r="219" spans="1:32" ht="20.45" customHeight="1" x14ac:dyDescent="0.2">
      <c r="A219" s="1421" t="s">
        <v>1228</v>
      </c>
      <c r="B219" s="1417" t="s">
        <v>6744</v>
      </c>
      <c r="C219" s="1422" t="s">
        <v>5589</v>
      </c>
      <c r="D219"/>
      <c r="E219"/>
      <c r="F219"/>
      <c r="G219"/>
      <c r="H219"/>
      <c r="I219"/>
      <c r="J219"/>
      <c r="K219"/>
      <c r="L219"/>
      <c r="M219"/>
      <c r="N219"/>
      <c r="O219"/>
      <c r="P219"/>
      <c r="Q219"/>
      <c r="R219"/>
      <c r="S219"/>
      <c r="T219"/>
      <c r="U219"/>
      <c r="V219"/>
      <c r="W219"/>
      <c r="X219"/>
      <c r="Y219"/>
      <c r="Z219"/>
      <c r="AA219"/>
      <c r="AB219"/>
      <c r="AC219"/>
      <c r="AD219"/>
      <c r="AE219"/>
      <c r="AF219"/>
    </row>
    <row r="220" spans="1:32" ht="20.45" customHeight="1" x14ac:dyDescent="0.2">
      <c r="A220" s="1421" t="s">
        <v>1228</v>
      </c>
      <c r="B220" s="1417" t="s">
        <v>6746</v>
      </c>
      <c r="C220" s="1422" t="s">
        <v>5590</v>
      </c>
      <c r="D220"/>
      <c r="E220"/>
      <c r="F220"/>
      <c r="G220"/>
      <c r="H220"/>
      <c r="I220"/>
      <c r="J220"/>
      <c r="K220"/>
      <c r="L220"/>
      <c r="M220"/>
      <c r="N220"/>
      <c r="O220"/>
      <c r="P220"/>
      <c r="Q220"/>
      <c r="R220"/>
      <c r="S220"/>
      <c r="T220"/>
      <c r="U220"/>
      <c r="V220"/>
      <c r="W220"/>
      <c r="X220"/>
      <c r="Y220"/>
      <c r="Z220"/>
      <c r="AA220"/>
      <c r="AB220"/>
      <c r="AC220"/>
      <c r="AD220"/>
      <c r="AE220"/>
      <c r="AF220"/>
    </row>
    <row r="221" spans="1:32" ht="20.45" customHeight="1" x14ac:dyDescent="0.2">
      <c r="A221" s="1421" t="s">
        <v>1228</v>
      </c>
      <c r="B221" s="1417" t="s">
        <v>6748</v>
      </c>
      <c r="C221" s="1422" t="s">
        <v>5591</v>
      </c>
      <c r="D221"/>
      <c r="E221"/>
      <c r="F221"/>
      <c r="G221"/>
      <c r="H221"/>
      <c r="I221"/>
      <c r="J221"/>
      <c r="K221"/>
      <c r="L221"/>
      <c r="M221"/>
      <c r="N221"/>
      <c r="O221"/>
      <c r="P221"/>
      <c r="Q221"/>
      <c r="R221"/>
      <c r="S221"/>
      <c r="T221"/>
      <c r="U221"/>
      <c r="V221"/>
      <c r="W221"/>
      <c r="X221"/>
      <c r="Y221"/>
      <c r="Z221"/>
      <c r="AA221"/>
      <c r="AB221"/>
      <c r="AC221"/>
      <c r="AD221"/>
      <c r="AE221"/>
      <c r="AF221"/>
    </row>
    <row r="222" spans="1:32" ht="20.45" customHeight="1" x14ac:dyDescent="0.2">
      <c r="A222" s="1421" t="s">
        <v>1228</v>
      </c>
      <c r="B222" s="1417" t="s">
        <v>6750</v>
      </c>
      <c r="C222" s="1422" t="s">
        <v>15</v>
      </c>
      <c r="D222"/>
      <c r="E222"/>
      <c r="F222"/>
      <c r="G222"/>
      <c r="H222"/>
      <c r="I222"/>
      <c r="J222"/>
      <c r="K222"/>
      <c r="L222"/>
      <c r="M222"/>
      <c r="N222"/>
      <c r="O222"/>
      <c r="P222"/>
      <c r="Q222"/>
      <c r="R222"/>
      <c r="S222"/>
      <c r="T222"/>
      <c r="U222"/>
      <c r="V222"/>
      <c r="W222"/>
      <c r="X222"/>
      <c r="Y222"/>
      <c r="Z222"/>
      <c r="AA222"/>
      <c r="AB222"/>
      <c r="AC222"/>
      <c r="AD222"/>
      <c r="AE222"/>
      <c r="AF222"/>
    </row>
    <row r="223" spans="1:32" ht="20.45" customHeight="1" x14ac:dyDescent="0.2">
      <c r="A223" s="1419" t="s">
        <v>39</v>
      </c>
      <c r="B223" s="1800" t="s">
        <v>9666</v>
      </c>
      <c r="C223" s="1427" t="s">
        <v>5593</v>
      </c>
      <c r="D223"/>
      <c r="E223"/>
      <c r="F223"/>
      <c r="G223"/>
      <c r="H223"/>
      <c r="I223"/>
      <c r="J223"/>
      <c r="K223"/>
      <c r="L223"/>
      <c r="M223"/>
      <c r="N223"/>
      <c r="O223"/>
      <c r="P223"/>
      <c r="Q223"/>
      <c r="R223"/>
      <c r="S223"/>
      <c r="T223"/>
      <c r="U223"/>
      <c r="V223"/>
      <c r="W223"/>
      <c r="X223"/>
      <c r="Y223"/>
      <c r="Z223"/>
      <c r="AA223"/>
      <c r="AB223"/>
      <c r="AC223"/>
      <c r="AD223"/>
      <c r="AE223"/>
      <c r="AF223"/>
    </row>
    <row r="224" spans="1:32" ht="20.45" customHeight="1" x14ac:dyDescent="0.2">
      <c r="A224" s="1421" t="s">
        <v>1228</v>
      </c>
      <c r="B224" s="1417" t="s">
        <v>6757</v>
      </c>
      <c r="C224" s="1422" t="s">
        <v>2802</v>
      </c>
      <c r="D224"/>
      <c r="E224"/>
      <c r="F224"/>
      <c r="G224"/>
      <c r="H224"/>
      <c r="I224"/>
      <c r="J224"/>
      <c r="K224"/>
      <c r="L224"/>
      <c r="M224"/>
      <c r="N224"/>
      <c r="O224"/>
      <c r="P224"/>
      <c r="Q224"/>
      <c r="R224"/>
      <c r="S224"/>
      <c r="T224"/>
      <c r="U224"/>
      <c r="V224"/>
      <c r="W224"/>
      <c r="X224"/>
      <c r="Y224"/>
      <c r="Z224"/>
      <c r="AA224"/>
      <c r="AB224"/>
      <c r="AC224"/>
      <c r="AD224"/>
      <c r="AE224"/>
      <c r="AF224"/>
    </row>
    <row r="225" spans="1:32" ht="20.45" customHeight="1" x14ac:dyDescent="0.2">
      <c r="A225" s="1421" t="s">
        <v>1228</v>
      </c>
      <c r="B225" s="1417" t="s">
        <v>6759</v>
      </c>
      <c r="C225" s="1422" t="s">
        <v>5589</v>
      </c>
      <c r="D225"/>
      <c r="E225"/>
      <c r="F225"/>
      <c r="G225"/>
      <c r="H225"/>
      <c r="I225"/>
      <c r="J225"/>
      <c r="K225"/>
      <c r="L225"/>
      <c r="M225"/>
      <c r="N225"/>
      <c r="O225"/>
      <c r="P225"/>
      <c r="Q225"/>
      <c r="R225"/>
      <c r="S225"/>
      <c r="T225"/>
      <c r="U225"/>
      <c r="V225"/>
      <c r="W225"/>
      <c r="X225"/>
      <c r="Y225"/>
      <c r="Z225"/>
      <c r="AA225"/>
      <c r="AB225"/>
      <c r="AC225"/>
      <c r="AD225"/>
      <c r="AE225"/>
      <c r="AF225"/>
    </row>
    <row r="226" spans="1:32" ht="20.45" customHeight="1" x14ac:dyDescent="0.2">
      <c r="A226" s="1421" t="s">
        <v>1228</v>
      </c>
      <c r="B226" s="1417" t="s">
        <v>6761</v>
      </c>
      <c r="C226" s="1422" t="s">
        <v>5590</v>
      </c>
      <c r="D226"/>
      <c r="E226"/>
      <c r="F226"/>
      <c r="G226"/>
      <c r="H226"/>
      <c r="I226"/>
      <c r="J226"/>
      <c r="K226"/>
      <c r="L226"/>
      <c r="M226"/>
      <c r="N226"/>
      <c r="O226"/>
      <c r="P226"/>
      <c r="Q226"/>
      <c r="R226"/>
      <c r="S226"/>
      <c r="T226"/>
      <c r="U226"/>
      <c r="V226"/>
      <c r="W226"/>
      <c r="X226"/>
      <c r="Y226"/>
      <c r="Z226"/>
      <c r="AA226"/>
      <c r="AB226"/>
      <c r="AC226"/>
      <c r="AD226"/>
      <c r="AE226"/>
      <c r="AF226"/>
    </row>
    <row r="227" spans="1:32" ht="20.45" customHeight="1" x14ac:dyDescent="0.2">
      <c r="A227" s="1421" t="s">
        <v>1228</v>
      </c>
      <c r="B227" s="1417" t="s">
        <v>6763</v>
      </c>
      <c r="C227" s="1422" t="s">
        <v>5591</v>
      </c>
      <c r="D227"/>
      <c r="E227"/>
      <c r="F227"/>
      <c r="G227"/>
      <c r="H227"/>
      <c r="I227"/>
      <c r="J227"/>
      <c r="K227"/>
      <c r="L227"/>
      <c r="M227"/>
      <c r="N227"/>
      <c r="O227"/>
      <c r="P227"/>
      <c r="Q227"/>
      <c r="R227"/>
      <c r="S227"/>
      <c r="T227"/>
      <c r="U227"/>
      <c r="V227"/>
      <c r="W227"/>
      <c r="X227"/>
      <c r="Y227"/>
      <c r="Z227"/>
      <c r="AA227"/>
      <c r="AB227"/>
      <c r="AC227"/>
      <c r="AD227"/>
      <c r="AE227"/>
      <c r="AF227"/>
    </row>
    <row r="228" spans="1:32" ht="20.45" customHeight="1" x14ac:dyDescent="0.2">
      <c r="A228" s="1421" t="s">
        <v>1228</v>
      </c>
      <c r="B228" s="1417" t="s">
        <v>6765</v>
      </c>
      <c r="C228" s="1422" t="s">
        <v>15</v>
      </c>
      <c r="D228"/>
      <c r="E228"/>
      <c r="F228"/>
      <c r="G228"/>
      <c r="H228"/>
      <c r="I228"/>
      <c r="J228"/>
      <c r="K228"/>
      <c r="L228"/>
      <c r="M228"/>
      <c r="N228"/>
      <c r="O228"/>
      <c r="P228"/>
      <c r="Q228"/>
      <c r="R228"/>
      <c r="S228"/>
      <c r="T228"/>
      <c r="U228"/>
      <c r="V228"/>
      <c r="W228"/>
      <c r="X228"/>
      <c r="Y228"/>
      <c r="Z228"/>
      <c r="AA228"/>
      <c r="AB228"/>
      <c r="AC228"/>
      <c r="AD228"/>
      <c r="AE228"/>
      <c r="AF228"/>
    </row>
    <row r="229" spans="1:32" ht="20.45" customHeight="1" x14ac:dyDescent="0.2">
      <c r="A229" s="1419" t="s">
        <v>1237</v>
      </c>
      <c r="B229" s="1417">
        <v>9</v>
      </c>
      <c r="C229" s="1420" t="s">
        <v>5594</v>
      </c>
      <c r="D229"/>
      <c r="E229"/>
      <c r="F229"/>
      <c r="G229"/>
      <c r="H229"/>
      <c r="I229"/>
      <c r="J229"/>
      <c r="K229"/>
      <c r="L229"/>
      <c r="M229"/>
      <c r="N229"/>
      <c r="O229"/>
      <c r="P229"/>
      <c r="Q229"/>
      <c r="R229"/>
      <c r="S229"/>
      <c r="T229"/>
      <c r="U229"/>
      <c r="V229"/>
      <c r="W229"/>
      <c r="X229"/>
      <c r="Y229"/>
      <c r="Z229"/>
      <c r="AA229"/>
      <c r="AB229"/>
      <c r="AC229"/>
      <c r="AD229"/>
      <c r="AE229"/>
      <c r="AF229"/>
    </row>
    <row r="230" spans="1:32" ht="20.45" customHeight="1" x14ac:dyDescent="0.2">
      <c r="A230" s="1419" t="s">
        <v>39</v>
      </c>
      <c r="B230" s="1800" t="s">
        <v>9667</v>
      </c>
      <c r="C230" s="1420" t="s">
        <v>9688</v>
      </c>
      <c r="D230"/>
      <c r="E230"/>
      <c r="F230"/>
      <c r="G230"/>
      <c r="H230"/>
      <c r="I230"/>
      <c r="J230"/>
      <c r="K230"/>
      <c r="L230"/>
      <c r="M230"/>
      <c r="N230"/>
      <c r="O230"/>
      <c r="P230"/>
      <c r="Q230"/>
      <c r="R230"/>
      <c r="S230"/>
      <c r="T230"/>
      <c r="U230"/>
      <c r="V230"/>
      <c r="W230"/>
      <c r="X230"/>
      <c r="Y230"/>
      <c r="Z230"/>
      <c r="AA230"/>
      <c r="AB230"/>
      <c r="AC230"/>
      <c r="AD230"/>
      <c r="AE230"/>
      <c r="AF230"/>
    </row>
    <row r="231" spans="1:32" ht="20.45" customHeight="1" x14ac:dyDescent="0.2">
      <c r="A231" s="1421" t="s">
        <v>1228</v>
      </c>
      <c r="B231" s="1417" t="s">
        <v>6938</v>
      </c>
      <c r="C231" s="1422" t="s">
        <v>2809</v>
      </c>
      <c r="D231"/>
      <c r="E231"/>
      <c r="F231"/>
      <c r="G231"/>
      <c r="H231"/>
      <c r="I231"/>
      <c r="J231"/>
      <c r="K231"/>
      <c r="L231"/>
      <c r="M231"/>
      <c r="N231"/>
      <c r="O231"/>
      <c r="P231"/>
      <c r="Q231"/>
      <c r="R231"/>
      <c r="S231"/>
      <c r="T231"/>
      <c r="U231"/>
      <c r="V231"/>
      <c r="W231"/>
      <c r="X231"/>
      <c r="Y231"/>
      <c r="Z231"/>
      <c r="AA231"/>
      <c r="AB231"/>
      <c r="AC231"/>
      <c r="AD231"/>
      <c r="AE231"/>
      <c r="AF231"/>
    </row>
    <row r="232" spans="1:32" ht="20.45" customHeight="1" x14ac:dyDescent="0.2">
      <c r="A232" s="1421" t="s">
        <v>1228</v>
      </c>
      <c r="B232" s="1417" t="s">
        <v>6940</v>
      </c>
      <c r="C232" s="1422" t="s">
        <v>5595</v>
      </c>
      <c r="D232"/>
      <c r="E232"/>
      <c r="F232"/>
      <c r="G232"/>
      <c r="H232"/>
      <c r="I232"/>
      <c r="J232"/>
      <c r="K232"/>
      <c r="L232"/>
      <c r="M232"/>
      <c r="N232"/>
      <c r="O232"/>
      <c r="P232"/>
      <c r="Q232"/>
      <c r="R232"/>
      <c r="S232"/>
      <c r="T232"/>
      <c r="U232"/>
      <c r="V232"/>
      <c r="W232"/>
      <c r="X232"/>
      <c r="Y232"/>
      <c r="Z232"/>
      <c r="AA232"/>
      <c r="AB232"/>
      <c r="AC232"/>
      <c r="AD232"/>
      <c r="AE232"/>
      <c r="AF232"/>
    </row>
    <row r="233" spans="1:32" ht="20.45" customHeight="1" x14ac:dyDescent="0.2">
      <c r="A233" s="1421" t="s">
        <v>1228</v>
      </c>
      <c r="B233" s="1417" t="s">
        <v>6942</v>
      </c>
      <c r="C233" s="1422" t="s">
        <v>5596</v>
      </c>
      <c r="D233"/>
      <c r="E233"/>
      <c r="F233"/>
      <c r="G233"/>
      <c r="H233"/>
      <c r="I233"/>
      <c r="J233"/>
      <c r="K233"/>
      <c r="L233"/>
      <c r="M233"/>
      <c r="N233"/>
      <c r="O233"/>
      <c r="P233"/>
      <c r="Q233"/>
      <c r="R233"/>
      <c r="S233"/>
      <c r="T233"/>
      <c r="U233"/>
      <c r="V233"/>
      <c r="W233"/>
      <c r="X233"/>
      <c r="Y233"/>
      <c r="Z233"/>
      <c r="AA233"/>
      <c r="AB233"/>
      <c r="AC233"/>
      <c r="AD233"/>
      <c r="AE233"/>
      <c r="AF233"/>
    </row>
    <row r="234" spans="1:32" ht="20.45" customHeight="1" x14ac:dyDescent="0.2">
      <c r="A234" s="1421" t="s">
        <v>1228</v>
      </c>
      <c r="B234" s="1417" t="s">
        <v>9023</v>
      </c>
      <c r="C234" s="1422" t="s">
        <v>2810</v>
      </c>
      <c r="D234"/>
      <c r="E234"/>
      <c r="F234"/>
      <c r="G234"/>
      <c r="H234"/>
      <c r="I234"/>
      <c r="J234"/>
      <c r="K234"/>
      <c r="L234"/>
      <c r="M234"/>
      <c r="N234"/>
      <c r="O234"/>
      <c r="P234"/>
      <c r="Q234"/>
      <c r="R234"/>
      <c r="S234"/>
      <c r="T234"/>
      <c r="U234"/>
      <c r="V234"/>
      <c r="W234"/>
      <c r="X234"/>
      <c r="Y234"/>
      <c r="Z234"/>
      <c r="AA234"/>
      <c r="AB234"/>
      <c r="AC234"/>
      <c r="AD234"/>
      <c r="AE234"/>
      <c r="AF234"/>
    </row>
    <row r="235" spans="1:32" ht="20.45" customHeight="1" x14ac:dyDescent="0.2">
      <c r="A235" s="1419" t="s">
        <v>39</v>
      </c>
      <c r="B235" s="1800" t="s">
        <v>9668</v>
      </c>
      <c r="C235" s="1420" t="s">
        <v>5597</v>
      </c>
      <c r="D235"/>
      <c r="E235"/>
      <c r="F235"/>
      <c r="G235"/>
      <c r="H235"/>
      <c r="I235"/>
      <c r="J235"/>
      <c r="K235"/>
      <c r="L235"/>
      <c r="M235"/>
      <c r="N235"/>
      <c r="O235"/>
      <c r="P235"/>
      <c r="Q235"/>
      <c r="R235"/>
      <c r="S235"/>
      <c r="T235"/>
      <c r="U235"/>
      <c r="V235"/>
      <c r="W235"/>
      <c r="X235"/>
      <c r="Y235"/>
      <c r="Z235"/>
      <c r="AA235"/>
      <c r="AB235"/>
      <c r="AC235"/>
      <c r="AD235"/>
      <c r="AE235"/>
      <c r="AF235"/>
    </row>
    <row r="236" spans="1:32" ht="20.45" customHeight="1" x14ac:dyDescent="0.2">
      <c r="A236" s="1421" t="s">
        <v>1228</v>
      </c>
      <c r="B236" s="1417" t="s">
        <v>6945</v>
      </c>
      <c r="C236" s="1422" t="s">
        <v>2809</v>
      </c>
      <c r="D236"/>
      <c r="E236"/>
      <c r="F236"/>
      <c r="G236"/>
      <c r="H236"/>
      <c r="I236"/>
      <c r="J236"/>
      <c r="K236"/>
      <c r="L236"/>
      <c r="M236"/>
      <c r="N236"/>
      <c r="O236"/>
      <c r="P236"/>
      <c r="Q236"/>
      <c r="R236"/>
      <c r="S236"/>
      <c r="T236"/>
      <c r="U236"/>
      <c r="V236"/>
      <c r="W236"/>
      <c r="X236"/>
      <c r="Y236"/>
      <c r="Z236"/>
      <c r="AA236"/>
      <c r="AB236"/>
      <c r="AC236"/>
      <c r="AD236"/>
      <c r="AE236"/>
      <c r="AF236"/>
    </row>
    <row r="237" spans="1:32" ht="20.45" customHeight="1" x14ac:dyDescent="0.2">
      <c r="A237" s="1421" t="s">
        <v>1228</v>
      </c>
      <c r="B237" s="1417" t="s">
        <v>6947</v>
      </c>
      <c r="C237" s="1422" t="s">
        <v>5595</v>
      </c>
      <c r="D237"/>
      <c r="E237"/>
      <c r="F237"/>
      <c r="G237"/>
      <c r="H237"/>
      <c r="I237"/>
      <c r="J237"/>
      <c r="K237"/>
      <c r="L237"/>
      <c r="M237"/>
      <c r="N237"/>
      <c r="O237"/>
      <c r="P237"/>
      <c r="Q237"/>
      <c r="R237"/>
      <c r="S237"/>
      <c r="T237"/>
      <c r="U237"/>
      <c r="V237"/>
      <c r="W237"/>
      <c r="X237"/>
      <c r="Y237"/>
      <c r="Z237"/>
      <c r="AA237"/>
      <c r="AB237"/>
      <c r="AC237"/>
      <c r="AD237"/>
      <c r="AE237"/>
      <c r="AF237"/>
    </row>
    <row r="238" spans="1:32" ht="20.45" customHeight="1" x14ac:dyDescent="0.2">
      <c r="A238" s="1421" t="s">
        <v>1228</v>
      </c>
      <c r="B238" s="1417" t="s">
        <v>9022</v>
      </c>
      <c r="C238" s="1422" t="s">
        <v>5596</v>
      </c>
      <c r="D238"/>
      <c r="E238"/>
      <c r="F238"/>
      <c r="G238"/>
      <c r="H238"/>
      <c r="I238"/>
      <c r="J238"/>
      <c r="K238"/>
      <c r="L238"/>
      <c r="M238"/>
      <c r="N238"/>
      <c r="O238"/>
      <c r="P238"/>
      <c r="Q238"/>
      <c r="R238"/>
      <c r="S238"/>
      <c r="T238"/>
      <c r="U238"/>
      <c r="V238"/>
      <c r="W238"/>
      <c r="X238"/>
      <c r="Y238"/>
      <c r="Z238"/>
      <c r="AA238"/>
      <c r="AB238"/>
      <c r="AC238"/>
      <c r="AD238"/>
      <c r="AE238"/>
      <c r="AF238"/>
    </row>
    <row r="239" spans="1:32" ht="20.45" customHeight="1" x14ac:dyDescent="0.2">
      <c r="A239" s="1421" t="s">
        <v>1228</v>
      </c>
      <c r="B239" s="1417" t="s">
        <v>9021</v>
      </c>
      <c r="C239" s="1422" t="s">
        <v>2810</v>
      </c>
      <c r="D239"/>
      <c r="E239"/>
      <c r="F239"/>
      <c r="G239"/>
      <c r="H239"/>
      <c r="I239"/>
      <c r="J239"/>
      <c r="K239"/>
      <c r="L239"/>
      <c r="M239"/>
      <c r="N239"/>
      <c r="O239"/>
      <c r="P239"/>
      <c r="Q239"/>
      <c r="R239"/>
      <c r="S239"/>
      <c r="T239"/>
      <c r="U239"/>
      <c r="V239"/>
      <c r="W239"/>
      <c r="X239"/>
      <c r="Y239"/>
      <c r="Z239"/>
      <c r="AA239"/>
      <c r="AB239"/>
      <c r="AC239"/>
      <c r="AD239"/>
      <c r="AE239"/>
      <c r="AF239"/>
    </row>
    <row r="240" spans="1:32" ht="20.45" customHeight="1" x14ac:dyDescent="0.2">
      <c r="A240" s="1419" t="s">
        <v>39</v>
      </c>
      <c r="B240" s="1800" t="s">
        <v>9669</v>
      </c>
      <c r="C240" s="1420" t="s">
        <v>5598</v>
      </c>
      <c r="D240"/>
      <c r="E240"/>
      <c r="F240"/>
      <c r="G240"/>
      <c r="H240"/>
      <c r="I240"/>
      <c r="J240"/>
      <c r="K240"/>
      <c r="L240"/>
      <c r="M240"/>
      <c r="N240"/>
      <c r="O240"/>
      <c r="P240"/>
      <c r="Q240"/>
      <c r="R240"/>
      <c r="S240"/>
      <c r="T240"/>
      <c r="U240"/>
      <c r="V240"/>
      <c r="W240"/>
      <c r="X240"/>
      <c r="Y240"/>
      <c r="Z240"/>
      <c r="AA240"/>
      <c r="AB240"/>
      <c r="AC240"/>
      <c r="AD240"/>
      <c r="AE240"/>
      <c r="AF240"/>
    </row>
    <row r="241" spans="1:32" ht="20.45" customHeight="1" x14ac:dyDescent="0.2">
      <c r="A241" s="1421" t="s">
        <v>1228</v>
      </c>
      <c r="B241" s="1417" t="s">
        <v>6950</v>
      </c>
      <c r="C241" s="1422" t="s">
        <v>2809</v>
      </c>
      <c r="D241"/>
      <c r="E241"/>
      <c r="F241"/>
      <c r="G241"/>
      <c r="H241"/>
      <c r="I241"/>
      <c r="J241"/>
      <c r="K241"/>
      <c r="L241"/>
      <c r="M241"/>
      <c r="N241"/>
      <c r="O241"/>
      <c r="P241"/>
      <c r="Q241"/>
      <c r="R241"/>
      <c r="S241"/>
      <c r="T241"/>
      <c r="U241"/>
      <c r="V241"/>
      <c r="W241"/>
      <c r="X241"/>
      <c r="Y241"/>
      <c r="Z241"/>
      <c r="AA241"/>
      <c r="AB241"/>
      <c r="AC241"/>
      <c r="AD241"/>
      <c r="AE241"/>
      <c r="AF241"/>
    </row>
    <row r="242" spans="1:32" ht="20.45" customHeight="1" x14ac:dyDescent="0.2">
      <c r="A242" s="1421" t="s">
        <v>1228</v>
      </c>
      <c r="B242" s="1417" t="s">
        <v>6952</v>
      </c>
      <c r="C242" s="1422" t="s">
        <v>5595</v>
      </c>
      <c r="D242"/>
      <c r="E242"/>
      <c r="F242"/>
      <c r="G242"/>
      <c r="H242"/>
      <c r="I242"/>
      <c r="J242"/>
      <c r="K242"/>
      <c r="L242"/>
      <c r="M242"/>
      <c r="N242"/>
      <c r="O242"/>
      <c r="P242"/>
      <c r="Q242"/>
      <c r="R242"/>
      <c r="S242"/>
      <c r="T242"/>
      <c r="U242"/>
      <c r="V242"/>
      <c r="W242"/>
      <c r="X242"/>
      <c r="Y242"/>
      <c r="Z242"/>
      <c r="AA242"/>
      <c r="AB242"/>
      <c r="AC242"/>
      <c r="AD242"/>
      <c r="AE242"/>
      <c r="AF242"/>
    </row>
    <row r="243" spans="1:32" ht="20.45" customHeight="1" x14ac:dyDescent="0.2">
      <c r="A243" s="1421" t="s">
        <v>1228</v>
      </c>
      <c r="B243" s="1417" t="s">
        <v>9020</v>
      </c>
      <c r="C243" s="1422" t="s">
        <v>5596</v>
      </c>
      <c r="D243"/>
      <c r="E243"/>
      <c r="F243"/>
      <c r="G243"/>
      <c r="H243"/>
      <c r="I243"/>
      <c r="J243"/>
      <c r="K243"/>
      <c r="L243"/>
      <c r="M243"/>
      <c r="N243"/>
      <c r="O243"/>
      <c r="P243"/>
      <c r="Q243"/>
      <c r="R243"/>
      <c r="S243"/>
      <c r="T243"/>
      <c r="U243"/>
      <c r="V243"/>
      <c r="W243"/>
      <c r="X243"/>
      <c r="Y243"/>
      <c r="Z243"/>
      <c r="AA243"/>
      <c r="AB243"/>
      <c r="AC243"/>
      <c r="AD243"/>
      <c r="AE243"/>
      <c r="AF243"/>
    </row>
    <row r="244" spans="1:32" ht="20.45" customHeight="1" x14ac:dyDescent="0.2">
      <c r="A244" s="1421" t="s">
        <v>1228</v>
      </c>
      <c r="B244" s="1417" t="s">
        <v>9019</v>
      </c>
      <c r="C244" s="1422" t="s">
        <v>2810</v>
      </c>
      <c r="D244"/>
      <c r="E244"/>
      <c r="F244"/>
      <c r="G244"/>
      <c r="H244"/>
      <c r="I244"/>
      <c r="J244"/>
      <c r="K244"/>
      <c r="L244"/>
      <c r="M244"/>
      <c r="N244"/>
      <c r="O244"/>
      <c r="P244"/>
      <c r="Q244"/>
      <c r="R244"/>
      <c r="S244"/>
      <c r="T244"/>
      <c r="U244"/>
      <c r="V244"/>
      <c r="W244"/>
      <c r="X244"/>
      <c r="Y244"/>
      <c r="Z244"/>
      <c r="AA244"/>
      <c r="AB244"/>
      <c r="AC244"/>
      <c r="AD244"/>
      <c r="AE244"/>
      <c r="AF244"/>
    </row>
    <row r="245" spans="1:32" ht="20.45" customHeight="1" x14ac:dyDescent="0.2">
      <c r="A245" s="1419" t="s">
        <v>39</v>
      </c>
      <c r="B245" s="1800" t="s">
        <v>9670</v>
      </c>
      <c r="C245" s="1420" t="s">
        <v>2524</v>
      </c>
      <c r="D245"/>
      <c r="E245"/>
      <c r="F245"/>
      <c r="G245"/>
      <c r="H245"/>
      <c r="I245"/>
      <c r="J245"/>
      <c r="K245"/>
      <c r="L245"/>
      <c r="M245"/>
      <c r="N245"/>
      <c r="O245"/>
      <c r="P245"/>
      <c r="Q245"/>
      <c r="R245"/>
      <c r="S245"/>
      <c r="T245"/>
      <c r="U245"/>
      <c r="V245"/>
      <c r="W245"/>
      <c r="X245"/>
      <c r="Y245"/>
      <c r="Z245"/>
      <c r="AA245"/>
      <c r="AB245"/>
      <c r="AC245"/>
      <c r="AD245"/>
      <c r="AE245"/>
      <c r="AF245"/>
    </row>
    <row r="246" spans="1:32" ht="20.45" customHeight="1" x14ac:dyDescent="0.2">
      <c r="A246" s="1421" t="s">
        <v>1228</v>
      </c>
      <c r="B246" s="1417" t="s">
        <v>6955</v>
      </c>
      <c r="C246" s="1422" t="s">
        <v>2811</v>
      </c>
      <c r="D246"/>
      <c r="E246"/>
      <c r="F246"/>
      <c r="G246"/>
      <c r="H246"/>
      <c r="I246"/>
      <c r="J246"/>
      <c r="K246"/>
      <c r="L246"/>
      <c r="M246"/>
      <c r="N246"/>
      <c r="O246"/>
      <c r="P246"/>
      <c r="Q246"/>
      <c r="R246"/>
      <c r="S246"/>
      <c r="T246"/>
      <c r="U246"/>
      <c r="V246"/>
      <c r="W246"/>
      <c r="X246"/>
      <c r="Y246"/>
      <c r="Z246"/>
      <c r="AA246"/>
      <c r="AB246"/>
      <c r="AC246"/>
      <c r="AD246"/>
      <c r="AE246"/>
      <c r="AF246"/>
    </row>
    <row r="247" spans="1:32" ht="20.45" customHeight="1" x14ac:dyDescent="0.2">
      <c r="A247" s="1419" t="s">
        <v>1237</v>
      </c>
      <c r="B247" s="1417">
        <v>10</v>
      </c>
      <c r="C247" s="1420" t="s">
        <v>20</v>
      </c>
      <c r="D247"/>
      <c r="E247"/>
      <c r="F247"/>
      <c r="G247"/>
      <c r="H247"/>
      <c r="I247"/>
      <c r="J247"/>
      <c r="K247"/>
      <c r="L247"/>
      <c r="M247"/>
      <c r="N247"/>
      <c r="O247"/>
      <c r="P247"/>
      <c r="Q247"/>
      <c r="R247"/>
      <c r="S247"/>
      <c r="T247"/>
      <c r="U247"/>
      <c r="V247"/>
      <c r="W247"/>
      <c r="X247"/>
      <c r="Y247"/>
      <c r="Z247"/>
      <c r="AA247"/>
      <c r="AB247"/>
      <c r="AC247"/>
      <c r="AD247"/>
      <c r="AE247"/>
      <c r="AF247"/>
    </row>
    <row r="248" spans="1:32" ht="20.45" customHeight="1" x14ac:dyDescent="0.2">
      <c r="A248" s="1419" t="s">
        <v>39</v>
      </c>
      <c r="B248" s="1800" t="s">
        <v>7022</v>
      </c>
      <c r="C248" s="1420" t="s">
        <v>2525</v>
      </c>
      <c r="D248"/>
      <c r="E248"/>
      <c r="F248"/>
      <c r="G248"/>
      <c r="H248"/>
      <c r="I248"/>
      <c r="J248"/>
      <c r="K248"/>
      <c r="L248"/>
      <c r="M248"/>
      <c r="N248"/>
      <c r="O248"/>
      <c r="P248"/>
      <c r="Q248"/>
      <c r="R248"/>
      <c r="S248"/>
      <c r="T248"/>
      <c r="U248"/>
      <c r="V248"/>
      <c r="W248"/>
      <c r="X248"/>
      <c r="Y248"/>
      <c r="Z248"/>
      <c r="AA248"/>
      <c r="AB248"/>
      <c r="AC248"/>
      <c r="AD248"/>
      <c r="AE248"/>
      <c r="AF248"/>
    </row>
    <row r="249" spans="1:32" ht="20.45" customHeight="1" x14ac:dyDescent="0.2">
      <c r="A249" s="1421" t="s">
        <v>1228</v>
      </c>
      <c r="B249" s="1417" t="s">
        <v>7023</v>
      </c>
      <c r="C249" s="1422" t="s">
        <v>2526</v>
      </c>
      <c r="D249"/>
      <c r="E249"/>
      <c r="F249"/>
      <c r="G249"/>
      <c r="H249"/>
      <c r="I249"/>
      <c r="J249"/>
      <c r="K249"/>
      <c r="L249"/>
      <c r="M249"/>
      <c r="N249"/>
      <c r="O249"/>
      <c r="P249"/>
      <c r="Q249"/>
      <c r="R249"/>
      <c r="S249"/>
      <c r="T249"/>
      <c r="U249"/>
      <c r="V249"/>
      <c r="W249"/>
      <c r="X249"/>
      <c r="Y249"/>
      <c r="Z249"/>
      <c r="AA249"/>
      <c r="AB249"/>
      <c r="AC249"/>
      <c r="AD249"/>
      <c r="AE249"/>
      <c r="AF249"/>
    </row>
    <row r="250" spans="1:32" ht="20.45" customHeight="1" x14ac:dyDescent="0.2">
      <c r="A250" s="1419" t="s">
        <v>39</v>
      </c>
      <c r="B250" s="1800" t="s">
        <v>9671</v>
      </c>
      <c r="C250" s="1420" t="s">
        <v>3536</v>
      </c>
      <c r="D250"/>
      <c r="E250"/>
      <c r="F250"/>
      <c r="G250"/>
      <c r="H250"/>
      <c r="I250"/>
      <c r="J250"/>
      <c r="K250"/>
      <c r="L250"/>
      <c r="M250"/>
      <c r="N250"/>
      <c r="O250"/>
      <c r="P250"/>
      <c r="Q250"/>
      <c r="R250"/>
      <c r="S250"/>
      <c r="T250"/>
      <c r="U250"/>
      <c r="V250"/>
      <c r="W250"/>
      <c r="X250"/>
      <c r="Y250"/>
      <c r="Z250"/>
      <c r="AA250"/>
      <c r="AB250"/>
      <c r="AC250"/>
      <c r="AD250"/>
      <c r="AE250"/>
      <c r="AF250"/>
    </row>
    <row r="251" spans="1:32" ht="20.45" customHeight="1" x14ac:dyDescent="0.2">
      <c r="A251" s="1421" t="s">
        <v>1228</v>
      </c>
      <c r="B251" s="1417" t="s">
        <v>9018</v>
      </c>
      <c r="C251" s="1422" t="s">
        <v>21</v>
      </c>
      <c r="D251"/>
      <c r="E251"/>
      <c r="F251"/>
      <c r="G251"/>
      <c r="H251"/>
      <c r="I251"/>
      <c r="J251"/>
      <c r="K251"/>
      <c r="L251"/>
      <c r="M251"/>
      <c r="N251"/>
      <c r="O251"/>
      <c r="P251"/>
      <c r="Q251"/>
      <c r="R251"/>
      <c r="S251"/>
      <c r="T251"/>
      <c r="U251"/>
      <c r="V251"/>
      <c r="W251"/>
      <c r="X251"/>
      <c r="Y251"/>
      <c r="Z251"/>
      <c r="AA251"/>
      <c r="AB251"/>
      <c r="AC251"/>
      <c r="AD251"/>
      <c r="AE251"/>
      <c r="AF251"/>
    </row>
    <row r="252" spans="1:32" ht="20.45" customHeight="1" x14ac:dyDescent="0.2">
      <c r="A252" s="1419" t="s">
        <v>1237</v>
      </c>
      <c r="B252" s="1417">
        <v>11</v>
      </c>
      <c r="C252" s="1420" t="s">
        <v>44</v>
      </c>
      <c r="D252"/>
      <c r="E252"/>
      <c r="F252"/>
      <c r="G252"/>
      <c r="H252"/>
      <c r="I252"/>
      <c r="J252"/>
      <c r="K252"/>
      <c r="L252"/>
      <c r="M252"/>
      <c r="N252"/>
      <c r="O252"/>
      <c r="P252"/>
      <c r="Q252"/>
      <c r="R252"/>
      <c r="S252"/>
      <c r="T252"/>
      <c r="U252"/>
      <c r="V252"/>
      <c r="W252"/>
      <c r="X252"/>
      <c r="Y252"/>
      <c r="Z252"/>
      <c r="AA252"/>
      <c r="AB252"/>
      <c r="AC252"/>
      <c r="AD252"/>
      <c r="AE252"/>
      <c r="AF252"/>
    </row>
    <row r="253" spans="1:32" ht="20.45" customHeight="1" x14ac:dyDescent="0.2">
      <c r="A253" s="1419" t="s">
        <v>39</v>
      </c>
      <c r="B253" s="1800" t="s">
        <v>7035</v>
      </c>
      <c r="C253" s="1420" t="s">
        <v>9689</v>
      </c>
      <c r="D253"/>
      <c r="E253"/>
      <c r="F253"/>
      <c r="G253"/>
      <c r="H253"/>
      <c r="I253"/>
      <c r="J253"/>
      <c r="K253"/>
      <c r="L253"/>
      <c r="M253"/>
      <c r="N253"/>
      <c r="O253"/>
      <c r="P253"/>
      <c r="Q253"/>
      <c r="R253"/>
      <c r="S253"/>
      <c r="T253"/>
      <c r="U253"/>
      <c r="V253"/>
      <c r="W253"/>
      <c r="X253"/>
      <c r="Y253"/>
      <c r="Z253"/>
      <c r="AA253"/>
      <c r="AB253"/>
      <c r="AC253"/>
      <c r="AD253"/>
      <c r="AE253"/>
      <c r="AF253"/>
    </row>
    <row r="254" spans="1:32" ht="20.45" customHeight="1" x14ac:dyDescent="0.2">
      <c r="A254" s="1421" t="s">
        <v>1228</v>
      </c>
      <c r="B254" s="1417" t="s">
        <v>7036</v>
      </c>
      <c r="C254" s="1422" t="s">
        <v>1303</v>
      </c>
      <c r="D254"/>
      <c r="E254"/>
      <c r="F254"/>
      <c r="G254"/>
      <c r="H254"/>
      <c r="I254"/>
      <c r="J254"/>
      <c r="K254"/>
      <c r="L254"/>
      <c r="M254"/>
      <c r="N254"/>
      <c r="O254"/>
      <c r="P254"/>
      <c r="Q254"/>
      <c r="R254"/>
      <c r="S254"/>
      <c r="T254"/>
      <c r="U254"/>
      <c r="V254"/>
      <c r="W254"/>
      <c r="X254"/>
      <c r="Y254"/>
      <c r="Z254"/>
      <c r="AA254"/>
      <c r="AB254"/>
      <c r="AC254"/>
      <c r="AD254"/>
      <c r="AE254"/>
      <c r="AF254"/>
    </row>
    <row r="255" spans="1:32" ht="20.45" customHeight="1" x14ac:dyDescent="0.2">
      <c r="A255" s="1421" t="s">
        <v>1228</v>
      </c>
      <c r="B255" s="1417" t="s">
        <v>7039</v>
      </c>
      <c r="C255" s="1422" t="s">
        <v>5599</v>
      </c>
      <c r="D255"/>
      <c r="E255"/>
      <c r="F255"/>
      <c r="G255"/>
      <c r="H255"/>
      <c r="I255"/>
      <c r="J255"/>
      <c r="K255"/>
      <c r="L255"/>
      <c r="M255"/>
      <c r="N255"/>
      <c r="O255"/>
      <c r="P255"/>
      <c r="Q255"/>
      <c r="R255"/>
      <c r="S255"/>
      <c r="T255"/>
      <c r="U255"/>
      <c r="V255"/>
      <c r="W255"/>
      <c r="X255"/>
      <c r="Y255"/>
      <c r="Z255"/>
      <c r="AA255"/>
      <c r="AB255"/>
      <c r="AC255"/>
      <c r="AD255"/>
      <c r="AE255"/>
      <c r="AF255"/>
    </row>
    <row r="256" spans="1:32" ht="20.45" customHeight="1" x14ac:dyDescent="0.2">
      <c r="A256" s="1421" t="s">
        <v>1228</v>
      </c>
      <c r="B256" s="1417" t="s">
        <v>7041</v>
      </c>
      <c r="C256" s="1422" t="s">
        <v>2806</v>
      </c>
      <c r="D256"/>
      <c r="E256"/>
      <c r="F256"/>
      <c r="G256"/>
      <c r="H256"/>
      <c r="I256"/>
      <c r="J256"/>
      <c r="K256"/>
      <c r="L256"/>
      <c r="M256"/>
      <c r="N256"/>
      <c r="O256"/>
      <c r="P256"/>
      <c r="Q256"/>
      <c r="R256"/>
      <c r="S256"/>
      <c r="T256"/>
      <c r="U256"/>
      <c r="V256"/>
      <c r="W256"/>
      <c r="X256"/>
      <c r="Y256"/>
      <c r="Z256"/>
      <c r="AA256"/>
      <c r="AB256"/>
      <c r="AC256"/>
      <c r="AD256"/>
      <c r="AE256"/>
      <c r="AF256"/>
    </row>
    <row r="257" spans="1:32" ht="20.45" customHeight="1" x14ac:dyDescent="0.2">
      <c r="A257" s="1421" t="s">
        <v>1228</v>
      </c>
      <c r="B257" s="1417" t="s">
        <v>7044</v>
      </c>
      <c r="C257" s="1422" t="s">
        <v>5600</v>
      </c>
      <c r="D257"/>
      <c r="E257"/>
      <c r="F257"/>
      <c r="G257"/>
      <c r="H257"/>
      <c r="I257"/>
      <c r="J257"/>
      <c r="K257"/>
      <c r="L257"/>
      <c r="M257"/>
      <c r="N257"/>
      <c r="O257"/>
      <c r="P257"/>
      <c r="Q257"/>
      <c r="R257"/>
      <c r="S257"/>
      <c r="T257"/>
      <c r="U257"/>
      <c r="V257"/>
      <c r="W257"/>
      <c r="X257"/>
      <c r="Y257"/>
      <c r="Z257"/>
      <c r="AA257"/>
      <c r="AB257"/>
      <c r="AC257"/>
      <c r="AD257"/>
      <c r="AE257"/>
      <c r="AF257"/>
    </row>
    <row r="258" spans="1:32" ht="20.45" customHeight="1" x14ac:dyDescent="0.2">
      <c r="A258" s="1419" t="s">
        <v>39</v>
      </c>
      <c r="B258" s="1800" t="s">
        <v>7049</v>
      </c>
      <c r="C258" s="1420" t="s">
        <v>5601</v>
      </c>
      <c r="D258"/>
      <c r="E258"/>
      <c r="F258"/>
      <c r="G258"/>
      <c r="H258"/>
      <c r="I258"/>
      <c r="J258"/>
      <c r="K258"/>
      <c r="L258"/>
      <c r="M258"/>
      <c r="N258"/>
      <c r="O258"/>
      <c r="P258"/>
      <c r="Q258"/>
      <c r="R258"/>
      <c r="S258"/>
      <c r="T258"/>
      <c r="U258"/>
      <c r="V258"/>
      <c r="W258"/>
      <c r="X258"/>
      <c r="Y258"/>
      <c r="Z258"/>
      <c r="AA258"/>
      <c r="AB258"/>
      <c r="AC258"/>
      <c r="AD258"/>
      <c r="AE258"/>
      <c r="AF258"/>
    </row>
    <row r="259" spans="1:32" ht="20.45" customHeight="1" x14ac:dyDescent="0.2">
      <c r="A259" s="1421" t="s">
        <v>1228</v>
      </c>
      <c r="B259" s="1417" t="s">
        <v>7050</v>
      </c>
      <c r="C259" s="1422" t="s">
        <v>1303</v>
      </c>
      <c r="D259"/>
      <c r="E259"/>
      <c r="F259"/>
      <c r="G259"/>
      <c r="H259"/>
      <c r="I259"/>
      <c r="J259"/>
      <c r="K259"/>
      <c r="L259"/>
      <c r="M259"/>
      <c r="N259"/>
      <c r="O259"/>
      <c r="P259"/>
      <c r="Q259"/>
      <c r="R259"/>
      <c r="S259"/>
      <c r="T259"/>
      <c r="U259"/>
      <c r="V259"/>
      <c r="W259"/>
      <c r="X259"/>
      <c r="Y259"/>
      <c r="Z259"/>
      <c r="AA259"/>
      <c r="AB259"/>
      <c r="AC259"/>
      <c r="AD259"/>
      <c r="AE259"/>
      <c r="AF259"/>
    </row>
    <row r="260" spans="1:32" ht="20.45" customHeight="1" x14ac:dyDescent="0.2">
      <c r="A260" s="1421" t="s">
        <v>1228</v>
      </c>
      <c r="B260" s="1417" t="s">
        <v>7053</v>
      </c>
      <c r="C260" s="1422" t="s">
        <v>5599</v>
      </c>
      <c r="D260"/>
      <c r="E260"/>
      <c r="F260"/>
      <c r="G260"/>
      <c r="H260"/>
      <c r="I260"/>
      <c r="J260"/>
      <c r="K260"/>
      <c r="L260"/>
      <c r="M260"/>
      <c r="N260"/>
      <c r="O260"/>
      <c r="P260"/>
      <c r="Q260"/>
      <c r="R260"/>
      <c r="S260"/>
      <c r="T260"/>
      <c r="U260"/>
      <c r="V260"/>
      <c r="W260"/>
      <c r="X260"/>
      <c r="Y260"/>
      <c r="Z260"/>
      <c r="AA260"/>
      <c r="AB260"/>
      <c r="AC260"/>
      <c r="AD260"/>
      <c r="AE260"/>
      <c r="AF260"/>
    </row>
    <row r="261" spans="1:32" ht="20.45" customHeight="1" x14ac:dyDescent="0.2">
      <c r="A261" s="1421" t="s">
        <v>1228</v>
      </c>
      <c r="B261" s="1417" t="s">
        <v>7055</v>
      </c>
      <c r="C261" s="1422" t="s">
        <v>2806</v>
      </c>
      <c r="D261"/>
      <c r="E261"/>
      <c r="F261"/>
      <c r="G261"/>
      <c r="H261"/>
      <c r="I261"/>
      <c r="J261"/>
      <c r="K261"/>
      <c r="L261"/>
      <c r="M261"/>
      <c r="N261"/>
      <c r="O261"/>
      <c r="P261"/>
      <c r="Q261"/>
      <c r="R261"/>
      <c r="S261"/>
      <c r="T261"/>
      <c r="U261"/>
      <c r="V261"/>
      <c r="W261"/>
      <c r="X261"/>
      <c r="Y261"/>
      <c r="Z261"/>
      <c r="AA261"/>
      <c r="AB261"/>
      <c r="AC261"/>
      <c r="AD261"/>
      <c r="AE261"/>
      <c r="AF261"/>
    </row>
    <row r="262" spans="1:32" ht="20.45" customHeight="1" x14ac:dyDescent="0.2">
      <c r="A262" s="1421" t="s">
        <v>1228</v>
      </c>
      <c r="B262" s="1417" t="s">
        <v>7058</v>
      </c>
      <c r="C262" s="1422" t="s">
        <v>5600</v>
      </c>
      <c r="D262"/>
      <c r="E262"/>
      <c r="F262"/>
      <c r="G262"/>
      <c r="H262"/>
      <c r="I262"/>
      <c r="J262"/>
      <c r="K262"/>
      <c r="L262"/>
      <c r="M262"/>
      <c r="N262"/>
      <c r="O262"/>
      <c r="P262"/>
      <c r="Q262"/>
      <c r="R262"/>
      <c r="S262"/>
      <c r="T262"/>
      <c r="U262"/>
      <c r="V262"/>
      <c r="W262"/>
      <c r="X262"/>
      <c r="Y262"/>
      <c r="Z262"/>
      <c r="AA262"/>
      <c r="AB262"/>
      <c r="AC262"/>
      <c r="AD262"/>
      <c r="AE262"/>
      <c r="AF262"/>
    </row>
    <row r="263" spans="1:32" ht="20.45" customHeight="1" x14ac:dyDescent="0.2">
      <c r="A263" s="1419" t="s">
        <v>39</v>
      </c>
      <c r="B263" s="1800" t="s">
        <v>7063</v>
      </c>
      <c r="C263" s="1420" t="s">
        <v>5602</v>
      </c>
      <c r="D263"/>
      <c r="E263"/>
      <c r="F263"/>
      <c r="G263"/>
      <c r="H263"/>
      <c r="I263"/>
      <c r="J263"/>
      <c r="K263"/>
      <c r="L263"/>
      <c r="M263"/>
      <c r="N263"/>
      <c r="O263"/>
      <c r="P263"/>
      <c r="Q263"/>
      <c r="R263"/>
      <c r="S263"/>
      <c r="T263"/>
      <c r="U263"/>
      <c r="V263"/>
      <c r="W263"/>
      <c r="X263"/>
      <c r="Y263"/>
      <c r="Z263"/>
      <c r="AA263"/>
      <c r="AB263"/>
      <c r="AC263"/>
      <c r="AD263"/>
      <c r="AE263"/>
      <c r="AF263"/>
    </row>
    <row r="264" spans="1:32" ht="20.45" customHeight="1" x14ac:dyDescent="0.2">
      <c r="A264" s="1421" t="s">
        <v>1228</v>
      </c>
      <c r="B264" s="1417" t="s">
        <v>7064</v>
      </c>
      <c r="C264" s="1422" t="s">
        <v>1303</v>
      </c>
      <c r="D264"/>
      <c r="E264"/>
      <c r="F264"/>
      <c r="G264"/>
      <c r="H264"/>
      <c r="I264"/>
      <c r="J264"/>
      <c r="K264"/>
      <c r="L264"/>
      <c r="M264"/>
      <c r="N264"/>
      <c r="O264"/>
      <c r="P264"/>
      <c r="Q264"/>
      <c r="R264"/>
      <c r="S264"/>
      <c r="T264"/>
      <c r="U264"/>
      <c r="V264"/>
      <c r="W264"/>
      <c r="X264"/>
      <c r="Y264"/>
      <c r="Z264"/>
      <c r="AA264"/>
      <c r="AB264"/>
      <c r="AC264"/>
      <c r="AD264"/>
      <c r="AE264"/>
      <c r="AF264"/>
    </row>
    <row r="265" spans="1:32" ht="20.45" customHeight="1" x14ac:dyDescent="0.2">
      <c r="A265" s="1421" t="s">
        <v>1228</v>
      </c>
      <c r="B265" s="1417" t="s">
        <v>7067</v>
      </c>
      <c r="C265" s="1422" t="s">
        <v>5599</v>
      </c>
      <c r="D265"/>
      <c r="E265"/>
      <c r="F265"/>
      <c r="G265"/>
      <c r="H265"/>
      <c r="I265"/>
      <c r="J265"/>
      <c r="K265"/>
      <c r="L265"/>
      <c r="M265"/>
      <c r="N265"/>
      <c r="O265"/>
      <c r="P265"/>
      <c r="Q265"/>
      <c r="R265"/>
      <c r="S265"/>
      <c r="T265"/>
      <c r="U265"/>
      <c r="V265"/>
      <c r="W265"/>
      <c r="X265"/>
      <c r="Y265"/>
      <c r="Z265"/>
      <c r="AA265"/>
      <c r="AB265"/>
      <c r="AC265"/>
      <c r="AD265"/>
      <c r="AE265"/>
      <c r="AF265"/>
    </row>
    <row r="266" spans="1:32" ht="20.45" customHeight="1" x14ac:dyDescent="0.2">
      <c r="A266" s="1421" t="s">
        <v>1228</v>
      </c>
      <c r="B266" s="1417" t="s">
        <v>7069</v>
      </c>
      <c r="C266" s="1422" t="s">
        <v>2806</v>
      </c>
      <c r="D266"/>
      <c r="E266"/>
      <c r="F266"/>
      <c r="G266"/>
      <c r="H266"/>
      <c r="I266"/>
      <c r="J266"/>
      <c r="K266"/>
      <c r="L266"/>
      <c r="M266"/>
      <c r="N266"/>
      <c r="O266"/>
      <c r="P266"/>
      <c r="Q266"/>
      <c r="R266"/>
      <c r="S266"/>
      <c r="T266"/>
      <c r="U266"/>
      <c r="V266"/>
      <c r="W266"/>
      <c r="X266"/>
      <c r="Y266"/>
      <c r="Z266"/>
      <c r="AA266"/>
      <c r="AB266"/>
      <c r="AC266"/>
      <c r="AD266"/>
      <c r="AE266"/>
      <c r="AF266"/>
    </row>
    <row r="267" spans="1:32" ht="20.45" customHeight="1" x14ac:dyDescent="0.2">
      <c r="A267" s="1421" t="s">
        <v>1228</v>
      </c>
      <c r="B267" s="1417" t="s">
        <v>7072</v>
      </c>
      <c r="C267" s="1422" t="s">
        <v>5600</v>
      </c>
      <c r="D267"/>
      <c r="E267"/>
      <c r="F267"/>
      <c r="G267"/>
      <c r="H267"/>
      <c r="I267"/>
      <c r="J267"/>
      <c r="K267"/>
      <c r="L267"/>
      <c r="M267"/>
      <c r="N267"/>
      <c r="O267"/>
      <c r="P267"/>
      <c r="Q267"/>
      <c r="R267"/>
      <c r="S267"/>
      <c r="T267"/>
      <c r="U267"/>
      <c r="V267"/>
      <c r="W267"/>
      <c r="X267"/>
      <c r="Y267"/>
      <c r="Z267"/>
      <c r="AA267"/>
      <c r="AB267"/>
      <c r="AC267"/>
      <c r="AD267"/>
      <c r="AE267"/>
      <c r="AF267"/>
    </row>
    <row r="268" spans="1:32" ht="20.45" customHeight="1" x14ac:dyDescent="0.2">
      <c r="A268" s="1419" t="s">
        <v>1237</v>
      </c>
      <c r="B268" s="1417">
        <v>12</v>
      </c>
      <c r="C268" s="1420" t="s">
        <v>5603</v>
      </c>
      <c r="D268"/>
      <c r="E268"/>
      <c r="F268"/>
      <c r="G268"/>
      <c r="H268"/>
      <c r="I268"/>
      <c r="J268"/>
      <c r="K268"/>
      <c r="L268"/>
      <c r="M268"/>
      <c r="N268"/>
      <c r="O268"/>
      <c r="P268"/>
      <c r="Q268"/>
      <c r="R268"/>
      <c r="S268"/>
      <c r="T268"/>
      <c r="U268"/>
      <c r="V268"/>
      <c r="W268"/>
      <c r="X268"/>
      <c r="Y268"/>
      <c r="Z268"/>
      <c r="AA268"/>
      <c r="AB268"/>
      <c r="AC268"/>
      <c r="AD268"/>
      <c r="AE268"/>
      <c r="AF268"/>
    </row>
    <row r="269" spans="1:32" ht="20.45" customHeight="1" x14ac:dyDescent="0.2">
      <c r="A269" s="1419" t="s">
        <v>39</v>
      </c>
      <c r="B269" s="1800" t="s">
        <v>7148</v>
      </c>
      <c r="C269" s="1420" t="s">
        <v>9690</v>
      </c>
      <c r="D269"/>
      <c r="E269"/>
      <c r="F269"/>
      <c r="G269"/>
      <c r="H269"/>
      <c r="I269"/>
      <c r="J269"/>
      <c r="K269"/>
      <c r="L269"/>
      <c r="M269"/>
      <c r="N269"/>
      <c r="O269"/>
      <c r="P269"/>
      <c r="Q269"/>
      <c r="R269"/>
      <c r="S269"/>
      <c r="T269"/>
      <c r="U269"/>
      <c r="V269"/>
      <c r="W269"/>
      <c r="X269"/>
      <c r="Y269"/>
      <c r="Z269"/>
      <c r="AA269"/>
      <c r="AB269"/>
      <c r="AC269"/>
      <c r="AD269"/>
      <c r="AE269"/>
      <c r="AF269"/>
    </row>
    <row r="270" spans="1:32" ht="20.45" customHeight="1" x14ac:dyDescent="0.2">
      <c r="A270" s="1421" t="s">
        <v>1228</v>
      </c>
      <c r="B270" s="1417" t="s">
        <v>7149</v>
      </c>
      <c r="C270" s="1422" t="s">
        <v>5604</v>
      </c>
      <c r="D270"/>
      <c r="E270"/>
      <c r="F270"/>
      <c r="G270"/>
      <c r="H270"/>
      <c r="I270"/>
      <c r="J270"/>
      <c r="K270"/>
      <c r="L270"/>
      <c r="M270"/>
      <c r="N270"/>
      <c r="O270"/>
      <c r="P270"/>
      <c r="Q270"/>
      <c r="R270"/>
      <c r="S270"/>
      <c r="T270"/>
      <c r="U270"/>
      <c r="V270"/>
      <c r="W270"/>
      <c r="X270"/>
      <c r="Y270"/>
      <c r="Z270"/>
      <c r="AA270"/>
      <c r="AB270"/>
      <c r="AC270"/>
      <c r="AD270"/>
      <c r="AE270"/>
      <c r="AF270"/>
    </row>
    <row r="271" spans="1:32" ht="20.45" customHeight="1" x14ac:dyDescent="0.2">
      <c r="A271" s="1421" t="s">
        <v>1228</v>
      </c>
      <c r="B271" s="1417" t="s">
        <v>7151</v>
      </c>
      <c r="C271" s="1422" t="s">
        <v>2815</v>
      </c>
      <c r="D271"/>
      <c r="E271"/>
      <c r="F271"/>
      <c r="G271"/>
      <c r="H271"/>
      <c r="I271"/>
      <c r="J271"/>
      <c r="K271"/>
      <c r="L271"/>
      <c r="M271"/>
      <c r="N271"/>
      <c r="O271"/>
      <c r="P271"/>
      <c r="Q271"/>
      <c r="R271"/>
      <c r="S271"/>
      <c r="T271"/>
      <c r="U271"/>
      <c r="V271"/>
      <c r="W271"/>
      <c r="X271"/>
      <c r="Y271"/>
      <c r="Z271"/>
      <c r="AA271"/>
      <c r="AB271"/>
      <c r="AC271"/>
      <c r="AD271"/>
      <c r="AE271"/>
      <c r="AF271"/>
    </row>
    <row r="272" spans="1:32" ht="20.45" customHeight="1" x14ac:dyDescent="0.2">
      <c r="A272" s="1421" t="s">
        <v>1228</v>
      </c>
      <c r="B272" s="1417" t="s">
        <v>9017</v>
      </c>
      <c r="C272" s="1422" t="s">
        <v>5605</v>
      </c>
      <c r="D272"/>
      <c r="E272"/>
      <c r="F272"/>
      <c r="G272"/>
      <c r="H272"/>
      <c r="I272"/>
      <c r="J272"/>
      <c r="K272"/>
      <c r="L272"/>
      <c r="M272"/>
      <c r="N272"/>
      <c r="O272"/>
      <c r="P272"/>
      <c r="Q272"/>
      <c r="R272"/>
      <c r="S272"/>
      <c r="T272"/>
      <c r="U272"/>
      <c r="V272"/>
      <c r="W272"/>
      <c r="X272"/>
      <c r="Y272"/>
      <c r="Z272"/>
      <c r="AA272"/>
      <c r="AB272"/>
      <c r="AC272"/>
      <c r="AD272"/>
      <c r="AE272"/>
      <c r="AF272"/>
    </row>
    <row r="273" spans="1:32" ht="20.45" customHeight="1" x14ac:dyDescent="0.2">
      <c r="A273" s="1421" t="s">
        <v>1228</v>
      </c>
      <c r="B273" s="1417" t="s">
        <v>9016</v>
      </c>
      <c r="C273" s="1422" t="s">
        <v>15</v>
      </c>
      <c r="D273"/>
      <c r="E273"/>
      <c r="F273"/>
      <c r="G273"/>
      <c r="H273"/>
      <c r="I273"/>
      <c r="J273"/>
      <c r="K273"/>
      <c r="L273"/>
      <c r="M273"/>
      <c r="N273"/>
      <c r="O273"/>
      <c r="P273"/>
      <c r="Q273"/>
      <c r="R273"/>
      <c r="S273"/>
      <c r="T273"/>
      <c r="U273"/>
      <c r="V273"/>
      <c r="W273"/>
      <c r="X273"/>
      <c r="Y273"/>
      <c r="Z273"/>
      <c r="AA273"/>
      <c r="AB273"/>
      <c r="AC273"/>
      <c r="AD273"/>
      <c r="AE273"/>
      <c r="AF273"/>
    </row>
    <row r="274" spans="1:32" ht="20.45" customHeight="1" x14ac:dyDescent="0.2">
      <c r="A274" s="1419" t="s">
        <v>39</v>
      </c>
      <c r="B274" s="1800" t="s">
        <v>7153</v>
      </c>
      <c r="C274" s="1420" t="s">
        <v>5606</v>
      </c>
      <c r="D274"/>
      <c r="E274"/>
      <c r="F274"/>
      <c r="G274"/>
      <c r="H274"/>
      <c r="I274"/>
      <c r="J274"/>
      <c r="K274"/>
      <c r="L274"/>
      <c r="M274"/>
      <c r="N274"/>
      <c r="O274"/>
      <c r="P274"/>
      <c r="Q274"/>
      <c r="R274"/>
      <c r="S274"/>
      <c r="T274"/>
      <c r="U274"/>
      <c r="V274"/>
      <c r="W274"/>
      <c r="X274"/>
      <c r="Y274"/>
      <c r="Z274"/>
      <c r="AA274"/>
      <c r="AB274"/>
      <c r="AC274"/>
      <c r="AD274"/>
      <c r="AE274"/>
      <c r="AF274"/>
    </row>
    <row r="275" spans="1:32" ht="20.45" customHeight="1" x14ac:dyDescent="0.2">
      <c r="A275" s="1421" t="s">
        <v>1228</v>
      </c>
      <c r="B275" s="1417" t="s">
        <v>7154</v>
      </c>
      <c r="C275" s="1422" t="s">
        <v>5604</v>
      </c>
      <c r="D275"/>
      <c r="E275"/>
      <c r="F275"/>
      <c r="G275"/>
      <c r="H275"/>
      <c r="I275"/>
      <c r="J275"/>
      <c r="K275"/>
      <c r="L275"/>
      <c r="M275"/>
      <c r="N275"/>
      <c r="O275"/>
      <c r="P275"/>
      <c r="Q275"/>
      <c r="R275"/>
      <c r="S275"/>
      <c r="T275"/>
      <c r="U275"/>
      <c r="V275"/>
      <c r="W275"/>
      <c r="X275"/>
      <c r="Y275"/>
      <c r="Z275"/>
      <c r="AA275"/>
      <c r="AB275"/>
      <c r="AC275"/>
      <c r="AD275"/>
      <c r="AE275"/>
      <c r="AF275"/>
    </row>
    <row r="276" spans="1:32" ht="20.45" customHeight="1" x14ac:dyDescent="0.2">
      <c r="A276" s="1421" t="s">
        <v>1228</v>
      </c>
      <c r="B276" s="1417" t="s">
        <v>9015</v>
      </c>
      <c r="C276" s="1422" t="s">
        <v>2815</v>
      </c>
      <c r="D276"/>
      <c r="E276"/>
      <c r="F276"/>
      <c r="G276"/>
      <c r="H276"/>
      <c r="I276"/>
      <c r="J276"/>
      <c r="K276"/>
      <c r="L276"/>
      <c r="M276"/>
      <c r="N276"/>
      <c r="O276"/>
      <c r="P276"/>
      <c r="Q276"/>
      <c r="R276"/>
      <c r="S276"/>
      <c r="T276"/>
      <c r="U276"/>
      <c r="V276"/>
      <c r="W276"/>
      <c r="X276"/>
      <c r="Y276"/>
      <c r="Z276"/>
      <c r="AA276"/>
      <c r="AB276"/>
      <c r="AC276"/>
      <c r="AD276"/>
      <c r="AE276"/>
      <c r="AF276"/>
    </row>
    <row r="277" spans="1:32" ht="20.45" customHeight="1" x14ac:dyDescent="0.2">
      <c r="A277" s="1421" t="s">
        <v>1228</v>
      </c>
      <c r="B277" s="1417" t="s">
        <v>9014</v>
      </c>
      <c r="C277" s="1422" t="s">
        <v>5605</v>
      </c>
      <c r="D277"/>
      <c r="E277"/>
      <c r="F277"/>
      <c r="G277"/>
      <c r="H277"/>
      <c r="I277"/>
      <c r="J277"/>
      <c r="K277"/>
      <c r="L277"/>
      <c r="M277"/>
      <c r="N277"/>
      <c r="O277"/>
      <c r="P277"/>
      <c r="Q277"/>
      <c r="R277"/>
      <c r="S277"/>
      <c r="T277"/>
      <c r="U277"/>
      <c r="V277"/>
      <c r="W277"/>
      <c r="X277"/>
      <c r="Y277"/>
      <c r="Z277"/>
      <c r="AA277"/>
      <c r="AB277"/>
      <c r="AC277"/>
      <c r="AD277"/>
      <c r="AE277"/>
      <c r="AF277"/>
    </row>
    <row r="278" spans="1:32" ht="20.45" customHeight="1" x14ac:dyDescent="0.2">
      <c r="A278" s="1421" t="s">
        <v>1228</v>
      </c>
      <c r="B278" s="1417" t="s">
        <v>9013</v>
      </c>
      <c r="C278" s="1422" t="s">
        <v>15</v>
      </c>
      <c r="D278"/>
      <c r="E278"/>
      <c r="F278"/>
      <c r="G278"/>
      <c r="H278"/>
      <c r="I278"/>
      <c r="J278"/>
      <c r="K278"/>
      <c r="L278"/>
      <c r="M278"/>
      <c r="N278"/>
      <c r="O278"/>
      <c r="P278"/>
      <c r="Q278"/>
      <c r="R278"/>
      <c r="S278"/>
      <c r="T278"/>
      <c r="U278"/>
      <c r="V278"/>
      <c r="W278"/>
      <c r="X278"/>
      <c r="Y278"/>
      <c r="Z278"/>
      <c r="AA278"/>
      <c r="AB278"/>
      <c r="AC278"/>
      <c r="AD278"/>
      <c r="AE278"/>
      <c r="AF278"/>
    </row>
    <row r="279" spans="1:32" ht="20.45" customHeight="1" x14ac:dyDescent="0.2">
      <c r="A279" s="1419" t="s">
        <v>39</v>
      </c>
      <c r="B279" s="1800" t="s">
        <v>7156</v>
      </c>
      <c r="C279" s="1420" t="s">
        <v>5607</v>
      </c>
      <c r="D279"/>
      <c r="E279"/>
      <c r="F279"/>
      <c r="G279"/>
      <c r="H279"/>
      <c r="I279"/>
      <c r="J279"/>
      <c r="K279"/>
      <c r="L279"/>
      <c r="M279"/>
      <c r="N279"/>
      <c r="O279"/>
      <c r="P279"/>
      <c r="Q279"/>
      <c r="R279"/>
      <c r="S279"/>
      <c r="T279"/>
      <c r="U279"/>
      <c r="V279"/>
      <c r="W279"/>
      <c r="X279"/>
      <c r="Y279"/>
      <c r="Z279"/>
      <c r="AA279"/>
      <c r="AB279"/>
      <c r="AC279"/>
      <c r="AD279"/>
      <c r="AE279"/>
      <c r="AF279"/>
    </row>
    <row r="280" spans="1:32" ht="20.45" customHeight="1" x14ac:dyDescent="0.2">
      <c r="A280" s="1421" t="s">
        <v>1228</v>
      </c>
      <c r="B280" s="1417" t="s">
        <v>7157</v>
      </c>
      <c r="C280" s="1422" t="s">
        <v>5604</v>
      </c>
      <c r="D280"/>
      <c r="E280"/>
      <c r="F280"/>
      <c r="G280"/>
      <c r="H280"/>
      <c r="I280"/>
      <c r="J280"/>
      <c r="K280"/>
      <c r="L280"/>
      <c r="M280"/>
      <c r="N280"/>
      <c r="O280"/>
      <c r="P280"/>
      <c r="Q280"/>
      <c r="R280"/>
      <c r="S280"/>
      <c r="T280"/>
      <c r="U280"/>
      <c r="V280"/>
      <c r="W280"/>
      <c r="X280"/>
      <c r="Y280"/>
      <c r="Z280"/>
      <c r="AA280"/>
      <c r="AB280"/>
      <c r="AC280"/>
      <c r="AD280"/>
      <c r="AE280"/>
      <c r="AF280"/>
    </row>
    <row r="281" spans="1:32" ht="20.45" customHeight="1" x14ac:dyDescent="0.2">
      <c r="A281" s="1421" t="s">
        <v>1228</v>
      </c>
      <c r="B281" s="1417" t="s">
        <v>9012</v>
      </c>
      <c r="C281" s="1422" t="s">
        <v>2815</v>
      </c>
      <c r="D281"/>
      <c r="E281"/>
      <c r="F281"/>
      <c r="G281"/>
      <c r="H281"/>
      <c r="I281"/>
      <c r="J281"/>
      <c r="K281"/>
      <c r="L281"/>
      <c r="M281"/>
      <c r="N281"/>
      <c r="O281"/>
      <c r="P281"/>
      <c r="Q281"/>
      <c r="R281"/>
      <c r="S281"/>
      <c r="T281"/>
      <c r="U281"/>
      <c r="V281"/>
      <c r="W281"/>
      <c r="X281"/>
      <c r="Y281"/>
      <c r="Z281"/>
      <c r="AA281"/>
      <c r="AB281"/>
      <c r="AC281"/>
      <c r="AD281"/>
      <c r="AE281"/>
      <c r="AF281"/>
    </row>
    <row r="282" spans="1:32" ht="20.45" customHeight="1" x14ac:dyDescent="0.2">
      <c r="A282" s="1421" t="s">
        <v>1228</v>
      </c>
      <c r="B282" s="1417" t="s">
        <v>9011</v>
      </c>
      <c r="C282" s="1422" t="s">
        <v>5605</v>
      </c>
      <c r="D282"/>
      <c r="E282"/>
      <c r="F282"/>
      <c r="G282"/>
      <c r="H282"/>
      <c r="I282"/>
      <c r="J282"/>
      <c r="K282"/>
      <c r="L282"/>
      <c r="M282"/>
      <c r="N282"/>
      <c r="O282"/>
      <c r="P282"/>
      <c r="Q282"/>
      <c r="R282"/>
      <c r="S282"/>
      <c r="T282"/>
      <c r="U282"/>
      <c r="V282"/>
      <c r="W282"/>
      <c r="X282"/>
      <c r="Y282"/>
      <c r="Z282"/>
      <c r="AA282"/>
      <c r="AB282"/>
      <c r="AC282"/>
      <c r="AD282"/>
      <c r="AE282"/>
      <c r="AF282"/>
    </row>
    <row r="283" spans="1:32" ht="20.45" customHeight="1" x14ac:dyDescent="0.2">
      <c r="A283" s="1421" t="s">
        <v>1228</v>
      </c>
      <c r="B283" s="1417" t="s">
        <v>9010</v>
      </c>
      <c r="C283" s="1422" t="s">
        <v>15</v>
      </c>
      <c r="D283"/>
      <c r="E283"/>
      <c r="F283"/>
      <c r="G283"/>
      <c r="H283"/>
      <c r="I283"/>
      <c r="J283"/>
      <c r="K283"/>
      <c r="L283"/>
      <c r="M283"/>
      <c r="N283"/>
      <c r="O283"/>
      <c r="P283"/>
      <c r="Q283"/>
      <c r="R283"/>
      <c r="S283"/>
      <c r="T283"/>
      <c r="U283"/>
      <c r="V283"/>
      <c r="W283"/>
      <c r="X283"/>
      <c r="Y283"/>
      <c r="Z283"/>
      <c r="AA283"/>
      <c r="AB283"/>
      <c r="AC283"/>
      <c r="AD283"/>
      <c r="AE283"/>
      <c r="AF283"/>
    </row>
    <row r="284" spans="1:32" ht="20.45" customHeight="1" x14ac:dyDescent="0.2">
      <c r="A284" s="1419" t="s">
        <v>1237</v>
      </c>
      <c r="B284" s="1417">
        <v>13</v>
      </c>
      <c r="C284" s="1420" t="s">
        <v>5608</v>
      </c>
      <c r="D284"/>
      <c r="E284"/>
      <c r="F284"/>
      <c r="G284"/>
      <c r="H284"/>
      <c r="I284"/>
      <c r="J284"/>
      <c r="K284"/>
      <c r="L284"/>
      <c r="M284"/>
      <c r="N284"/>
      <c r="O284"/>
      <c r="P284"/>
      <c r="Q284"/>
      <c r="R284"/>
      <c r="S284"/>
      <c r="T284"/>
      <c r="U284"/>
      <c r="V284"/>
      <c r="W284"/>
      <c r="X284"/>
      <c r="Y284"/>
      <c r="Z284"/>
      <c r="AA284"/>
      <c r="AB284"/>
      <c r="AC284"/>
      <c r="AD284"/>
      <c r="AE284"/>
      <c r="AF284"/>
    </row>
    <row r="285" spans="1:32" ht="20.45" customHeight="1" x14ac:dyDescent="0.2">
      <c r="A285" s="1419" t="s">
        <v>39</v>
      </c>
      <c r="B285" s="1800" t="s">
        <v>7206</v>
      </c>
      <c r="C285" s="1420" t="s">
        <v>9691</v>
      </c>
      <c r="D285"/>
      <c r="E285"/>
      <c r="F285"/>
      <c r="G285"/>
      <c r="H285"/>
      <c r="I285"/>
      <c r="J285"/>
      <c r="K285"/>
      <c r="L285"/>
      <c r="M285"/>
      <c r="N285"/>
      <c r="O285"/>
      <c r="P285"/>
      <c r="Q285"/>
      <c r="R285"/>
      <c r="S285"/>
      <c r="T285"/>
      <c r="U285"/>
      <c r="V285"/>
      <c r="W285"/>
      <c r="X285"/>
      <c r="Y285"/>
      <c r="Z285"/>
      <c r="AA285"/>
      <c r="AB285"/>
      <c r="AC285"/>
      <c r="AD285"/>
      <c r="AE285"/>
      <c r="AF285"/>
    </row>
    <row r="286" spans="1:32" ht="20.45" customHeight="1" x14ac:dyDescent="0.2">
      <c r="A286" s="1421" t="s">
        <v>1228</v>
      </c>
      <c r="B286" s="1417" t="s">
        <v>7207</v>
      </c>
      <c r="C286" s="1422" t="s">
        <v>2813</v>
      </c>
      <c r="D286"/>
      <c r="E286"/>
      <c r="F286"/>
      <c r="G286"/>
      <c r="H286"/>
      <c r="I286"/>
      <c r="J286"/>
      <c r="K286"/>
      <c r="L286"/>
      <c r="M286"/>
      <c r="N286"/>
      <c r="O286"/>
      <c r="P286"/>
      <c r="Q286"/>
      <c r="R286"/>
      <c r="S286"/>
      <c r="T286"/>
      <c r="U286"/>
      <c r="V286"/>
      <c r="W286"/>
      <c r="X286"/>
      <c r="Y286"/>
      <c r="Z286"/>
      <c r="AA286"/>
      <c r="AB286"/>
      <c r="AC286"/>
      <c r="AD286"/>
      <c r="AE286"/>
      <c r="AF286"/>
    </row>
    <row r="287" spans="1:32" ht="20.45" customHeight="1" x14ac:dyDescent="0.2">
      <c r="A287" s="1421" t="s">
        <v>1228</v>
      </c>
      <c r="B287" s="1417" t="s">
        <v>7210</v>
      </c>
      <c r="C287" s="1422" t="s">
        <v>2814</v>
      </c>
      <c r="D287"/>
      <c r="E287"/>
      <c r="F287"/>
      <c r="G287"/>
      <c r="H287"/>
      <c r="I287"/>
      <c r="J287"/>
      <c r="K287"/>
      <c r="L287"/>
      <c r="M287"/>
      <c r="N287"/>
      <c r="O287"/>
      <c r="P287"/>
      <c r="Q287"/>
      <c r="R287"/>
      <c r="S287"/>
      <c r="T287"/>
      <c r="U287"/>
      <c r="V287"/>
      <c r="W287"/>
      <c r="X287"/>
      <c r="Y287"/>
      <c r="Z287"/>
      <c r="AA287"/>
      <c r="AB287"/>
      <c r="AC287"/>
      <c r="AD287"/>
      <c r="AE287"/>
      <c r="AF287"/>
    </row>
    <row r="288" spans="1:32" ht="20.45" customHeight="1" x14ac:dyDescent="0.2">
      <c r="A288" s="1421" t="s">
        <v>1228</v>
      </c>
      <c r="B288" s="1417" t="s">
        <v>7211</v>
      </c>
      <c r="C288" s="1422" t="s">
        <v>2741</v>
      </c>
      <c r="D288"/>
      <c r="E288"/>
      <c r="F288"/>
      <c r="G288"/>
      <c r="H288"/>
      <c r="I288"/>
      <c r="J288"/>
      <c r="K288"/>
      <c r="L288"/>
      <c r="M288"/>
      <c r="N288"/>
      <c r="O288"/>
      <c r="P288"/>
      <c r="Q288"/>
      <c r="R288"/>
      <c r="S288"/>
      <c r="T288"/>
      <c r="U288"/>
      <c r="V288"/>
      <c r="W288"/>
      <c r="X288"/>
      <c r="Y288"/>
      <c r="Z288"/>
      <c r="AA288"/>
      <c r="AB288"/>
      <c r="AC288"/>
      <c r="AD288"/>
      <c r="AE288"/>
      <c r="AF288"/>
    </row>
    <row r="289" spans="1:32" ht="20.45" customHeight="1" x14ac:dyDescent="0.2">
      <c r="A289" s="1421" t="s">
        <v>1228</v>
      </c>
      <c r="B289" s="1417" t="s">
        <v>7214</v>
      </c>
      <c r="C289" s="1422" t="s">
        <v>15</v>
      </c>
      <c r="D289"/>
      <c r="E289"/>
      <c r="F289"/>
      <c r="G289"/>
      <c r="H289"/>
      <c r="I289"/>
      <c r="J289"/>
      <c r="K289"/>
      <c r="L289"/>
      <c r="M289"/>
      <c r="N289"/>
      <c r="O289"/>
      <c r="P289"/>
      <c r="Q289"/>
      <c r="R289"/>
      <c r="S289"/>
      <c r="T289"/>
      <c r="U289"/>
      <c r="V289"/>
      <c r="W289"/>
      <c r="X289"/>
      <c r="Y289"/>
      <c r="Z289"/>
      <c r="AA289"/>
      <c r="AB289"/>
      <c r="AC289"/>
      <c r="AD289"/>
      <c r="AE289"/>
      <c r="AF289"/>
    </row>
    <row r="290" spans="1:32" ht="20.45" customHeight="1" x14ac:dyDescent="0.2">
      <c r="A290" s="1419" t="s">
        <v>39</v>
      </c>
      <c r="B290" s="1800" t="s">
        <v>7228</v>
      </c>
      <c r="C290" s="1420" t="s">
        <v>5609</v>
      </c>
      <c r="D290"/>
      <c r="E290"/>
      <c r="F290"/>
      <c r="G290"/>
      <c r="H290"/>
      <c r="I290"/>
      <c r="J290"/>
      <c r="K290"/>
      <c r="L290"/>
      <c r="M290"/>
      <c r="N290"/>
      <c r="O290"/>
      <c r="P290"/>
      <c r="Q290"/>
      <c r="R290"/>
      <c r="S290"/>
      <c r="T290"/>
      <c r="U290"/>
      <c r="V290"/>
      <c r="W290"/>
      <c r="X290"/>
      <c r="Y290"/>
      <c r="Z290"/>
      <c r="AA290"/>
      <c r="AB290"/>
      <c r="AC290"/>
      <c r="AD290"/>
      <c r="AE290"/>
      <c r="AF290"/>
    </row>
    <row r="291" spans="1:32" ht="20.45" customHeight="1" x14ac:dyDescent="0.2">
      <c r="A291" s="1421" t="s">
        <v>1228</v>
      </c>
      <c r="B291" s="1417" t="s">
        <v>7229</v>
      </c>
      <c r="C291" s="1422" t="s">
        <v>2813</v>
      </c>
      <c r="D291"/>
      <c r="E291"/>
      <c r="F291"/>
      <c r="G291"/>
      <c r="H291"/>
      <c r="I291"/>
      <c r="J291"/>
      <c r="K291"/>
      <c r="L291"/>
      <c r="M291"/>
      <c r="N291"/>
      <c r="O291"/>
      <c r="P291"/>
      <c r="Q291"/>
      <c r="R291"/>
      <c r="S291"/>
      <c r="T291"/>
      <c r="U291"/>
      <c r="V291"/>
      <c r="W291"/>
      <c r="X291"/>
      <c r="Y291"/>
      <c r="Z291"/>
      <c r="AA291"/>
      <c r="AB291"/>
      <c r="AC291"/>
      <c r="AD291"/>
      <c r="AE291"/>
      <c r="AF291"/>
    </row>
    <row r="292" spans="1:32" ht="20.45" customHeight="1" x14ac:dyDescent="0.2">
      <c r="A292" s="1421" t="s">
        <v>1228</v>
      </c>
      <c r="B292" s="1417" t="s">
        <v>7231</v>
      </c>
      <c r="C292" s="1422" t="s">
        <v>2814</v>
      </c>
      <c r="D292"/>
      <c r="E292"/>
      <c r="F292"/>
      <c r="G292"/>
      <c r="H292"/>
      <c r="I292"/>
      <c r="J292"/>
      <c r="K292"/>
      <c r="L292"/>
      <c r="M292"/>
      <c r="N292"/>
      <c r="O292"/>
      <c r="P292"/>
      <c r="Q292"/>
      <c r="R292"/>
      <c r="S292"/>
      <c r="T292"/>
      <c r="U292"/>
      <c r="V292"/>
      <c r="W292"/>
      <c r="X292"/>
      <c r="Y292"/>
      <c r="Z292"/>
      <c r="AA292"/>
      <c r="AB292"/>
      <c r="AC292"/>
      <c r="AD292"/>
      <c r="AE292"/>
      <c r="AF292"/>
    </row>
    <row r="293" spans="1:32" ht="20.45" customHeight="1" x14ac:dyDescent="0.2">
      <c r="A293" s="1421" t="s">
        <v>1228</v>
      </c>
      <c r="B293" s="1417" t="s">
        <v>7233</v>
      </c>
      <c r="C293" s="1422" t="s">
        <v>2741</v>
      </c>
      <c r="D293"/>
      <c r="E293"/>
      <c r="F293"/>
      <c r="G293"/>
      <c r="H293"/>
      <c r="I293"/>
      <c r="J293"/>
      <c r="K293"/>
      <c r="L293"/>
      <c r="M293"/>
      <c r="N293"/>
      <c r="O293"/>
      <c r="P293"/>
      <c r="Q293"/>
      <c r="R293"/>
      <c r="S293"/>
      <c r="T293"/>
      <c r="U293"/>
      <c r="V293"/>
      <c r="W293"/>
      <c r="X293"/>
      <c r="Y293"/>
      <c r="Z293"/>
      <c r="AA293"/>
      <c r="AB293"/>
      <c r="AC293"/>
      <c r="AD293"/>
      <c r="AE293"/>
      <c r="AF293"/>
    </row>
    <row r="294" spans="1:32" ht="20.45" customHeight="1" x14ac:dyDescent="0.2">
      <c r="A294" s="1421" t="s">
        <v>1228</v>
      </c>
      <c r="B294" s="1417" t="s">
        <v>9009</v>
      </c>
      <c r="C294" s="1422" t="s">
        <v>15</v>
      </c>
      <c r="D294"/>
      <c r="E294"/>
      <c r="F294"/>
      <c r="G294"/>
      <c r="H294"/>
      <c r="I294"/>
      <c r="J294"/>
      <c r="K294"/>
      <c r="L294"/>
      <c r="M294"/>
      <c r="N294"/>
      <c r="O294"/>
      <c r="P294"/>
      <c r="Q294"/>
      <c r="R294"/>
      <c r="S294"/>
      <c r="T294"/>
      <c r="U294"/>
      <c r="V294"/>
      <c r="W294"/>
      <c r="X294"/>
      <c r="Y294"/>
      <c r="Z294"/>
      <c r="AA294"/>
      <c r="AB294"/>
      <c r="AC294"/>
      <c r="AD294"/>
      <c r="AE294"/>
      <c r="AF294"/>
    </row>
    <row r="295" spans="1:32" ht="20.45" customHeight="1" x14ac:dyDescent="0.2">
      <c r="A295" s="1419" t="s">
        <v>39</v>
      </c>
      <c r="B295" s="1800" t="s">
        <v>7235</v>
      </c>
      <c r="C295" s="1420" t="s">
        <v>5610</v>
      </c>
      <c r="D295"/>
      <c r="E295"/>
      <c r="F295"/>
      <c r="G295"/>
      <c r="H295"/>
      <c r="I295"/>
      <c r="J295"/>
      <c r="K295"/>
      <c r="L295"/>
      <c r="M295"/>
      <c r="N295"/>
      <c r="O295"/>
      <c r="P295"/>
      <c r="Q295"/>
      <c r="R295"/>
      <c r="S295"/>
      <c r="T295"/>
      <c r="U295"/>
      <c r="V295"/>
      <c r="W295"/>
      <c r="X295"/>
      <c r="Y295"/>
      <c r="Z295"/>
      <c r="AA295"/>
      <c r="AB295"/>
      <c r="AC295"/>
      <c r="AD295"/>
      <c r="AE295"/>
      <c r="AF295"/>
    </row>
    <row r="296" spans="1:32" ht="20.45" customHeight="1" x14ac:dyDescent="0.2">
      <c r="A296" s="1421" t="s">
        <v>1228</v>
      </c>
      <c r="B296" s="1417" t="s">
        <v>7236</v>
      </c>
      <c r="C296" s="1422" t="s">
        <v>2813</v>
      </c>
      <c r="D296"/>
      <c r="E296"/>
      <c r="F296"/>
      <c r="G296"/>
      <c r="H296"/>
      <c r="I296"/>
      <c r="J296"/>
      <c r="K296"/>
      <c r="L296"/>
      <c r="M296"/>
      <c r="N296"/>
      <c r="O296"/>
      <c r="P296"/>
      <c r="Q296"/>
      <c r="R296"/>
      <c r="S296"/>
      <c r="T296"/>
      <c r="U296"/>
      <c r="V296"/>
      <c r="W296"/>
      <c r="X296"/>
      <c r="Y296"/>
      <c r="Z296"/>
      <c r="AA296"/>
      <c r="AB296"/>
      <c r="AC296"/>
      <c r="AD296"/>
      <c r="AE296"/>
      <c r="AF296"/>
    </row>
    <row r="297" spans="1:32" ht="20.45" customHeight="1" x14ac:dyDescent="0.2">
      <c r="A297" s="1421" t="s">
        <v>1228</v>
      </c>
      <c r="B297" s="1417" t="s">
        <v>7238</v>
      </c>
      <c r="C297" s="1422" t="s">
        <v>2814</v>
      </c>
      <c r="D297"/>
      <c r="E297"/>
      <c r="F297"/>
      <c r="G297"/>
      <c r="H297"/>
      <c r="I297"/>
      <c r="J297"/>
      <c r="K297"/>
      <c r="L297"/>
      <c r="M297"/>
      <c r="N297"/>
      <c r="O297"/>
      <c r="P297"/>
      <c r="Q297"/>
      <c r="R297"/>
      <c r="S297"/>
      <c r="T297"/>
      <c r="U297"/>
      <c r="V297"/>
      <c r="W297"/>
      <c r="X297"/>
      <c r="Y297"/>
      <c r="Z297"/>
      <c r="AA297"/>
      <c r="AB297"/>
      <c r="AC297"/>
      <c r="AD297"/>
      <c r="AE297"/>
      <c r="AF297"/>
    </row>
    <row r="298" spans="1:32" ht="20.45" customHeight="1" x14ac:dyDescent="0.2">
      <c r="A298" s="1421" t="s">
        <v>1228</v>
      </c>
      <c r="B298" s="1417" t="s">
        <v>7240</v>
      </c>
      <c r="C298" s="1422" t="s">
        <v>2741</v>
      </c>
      <c r="D298"/>
      <c r="E298"/>
      <c r="F298"/>
      <c r="G298"/>
      <c r="H298"/>
      <c r="I298"/>
      <c r="J298"/>
      <c r="K298"/>
      <c r="L298"/>
      <c r="M298"/>
      <c r="N298"/>
      <c r="O298"/>
      <c r="P298"/>
      <c r="Q298"/>
      <c r="R298"/>
      <c r="S298"/>
      <c r="T298"/>
      <c r="U298"/>
      <c r="V298"/>
      <c r="W298"/>
      <c r="X298"/>
      <c r="Y298"/>
      <c r="Z298"/>
      <c r="AA298"/>
      <c r="AB298"/>
      <c r="AC298"/>
      <c r="AD298"/>
      <c r="AE298"/>
      <c r="AF298"/>
    </row>
    <row r="299" spans="1:32" ht="20.45" customHeight="1" x14ac:dyDescent="0.2">
      <c r="A299" s="1421" t="s">
        <v>1228</v>
      </c>
      <c r="B299" s="1417" t="s">
        <v>9008</v>
      </c>
      <c r="C299" s="1422" t="s">
        <v>15</v>
      </c>
      <c r="D299"/>
      <c r="E299"/>
      <c r="F299"/>
      <c r="G299"/>
      <c r="H299"/>
      <c r="I299"/>
      <c r="J299"/>
      <c r="K299"/>
      <c r="L299"/>
      <c r="M299"/>
      <c r="N299"/>
      <c r="O299"/>
      <c r="P299"/>
      <c r="Q299"/>
      <c r="R299"/>
      <c r="S299"/>
      <c r="T299"/>
      <c r="U299"/>
      <c r="V299"/>
      <c r="W299"/>
      <c r="X299"/>
      <c r="Y299"/>
      <c r="Z299"/>
      <c r="AA299"/>
      <c r="AB299"/>
      <c r="AC299"/>
      <c r="AD299"/>
      <c r="AE299"/>
      <c r="AF299"/>
    </row>
    <row r="300" spans="1:32" ht="20.45" customHeight="1" x14ac:dyDescent="0.2">
      <c r="A300" s="1419" t="s">
        <v>1237</v>
      </c>
      <c r="B300" s="1417">
        <v>14</v>
      </c>
      <c r="C300" s="1420" t="s">
        <v>5611</v>
      </c>
      <c r="D300"/>
      <c r="E300"/>
      <c r="F300"/>
      <c r="G300"/>
      <c r="H300"/>
      <c r="I300"/>
      <c r="J300"/>
      <c r="K300"/>
      <c r="L300"/>
      <c r="M300"/>
      <c r="N300"/>
      <c r="O300"/>
      <c r="P300"/>
      <c r="Q300"/>
      <c r="R300"/>
      <c r="S300"/>
      <c r="T300"/>
      <c r="U300"/>
      <c r="V300"/>
      <c r="W300"/>
      <c r="X300"/>
      <c r="Y300"/>
      <c r="Z300"/>
      <c r="AA300"/>
      <c r="AB300"/>
      <c r="AC300"/>
      <c r="AD300"/>
      <c r="AE300"/>
      <c r="AF300"/>
    </row>
    <row r="301" spans="1:32" ht="20.45" customHeight="1" x14ac:dyDescent="0.2">
      <c r="A301" s="1419" t="s">
        <v>39</v>
      </c>
      <c r="B301" s="1800" t="s">
        <v>7455</v>
      </c>
      <c r="C301" s="1427" t="s">
        <v>9612</v>
      </c>
      <c r="D301"/>
      <c r="E301"/>
      <c r="F301"/>
      <c r="G301"/>
      <c r="H301"/>
      <c r="I301"/>
      <c r="J301"/>
      <c r="K301"/>
      <c r="L301"/>
      <c r="M301"/>
      <c r="N301"/>
      <c r="O301"/>
      <c r="P301"/>
      <c r="Q301"/>
      <c r="R301"/>
      <c r="S301"/>
      <c r="T301"/>
      <c r="U301"/>
      <c r="V301"/>
      <c r="W301"/>
      <c r="X301"/>
      <c r="Y301"/>
      <c r="Z301"/>
      <c r="AA301"/>
      <c r="AB301"/>
      <c r="AC301"/>
      <c r="AD301"/>
      <c r="AE301"/>
      <c r="AF301"/>
    </row>
    <row r="302" spans="1:32" ht="20.45" customHeight="1" x14ac:dyDescent="0.2">
      <c r="A302" s="1421" t="s">
        <v>1228</v>
      </c>
      <c r="B302" s="1417" t="s">
        <v>7456</v>
      </c>
      <c r="C302" s="1422" t="s">
        <v>2744</v>
      </c>
      <c r="D302"/>
      <c r="E302"/>
      <c r="F302"/>
      <c r="G302"/>
      <c r="H302"/>
      <c r="I302"/>
      <c r="J302"/>
      <c r="K302"/>
      <c r="L302"/>
      <c r="M302"/>
      <c r="N302"/>
      <c r="O302"/>
      <c r="P302"/>
      <c r="Q302"/>
      <c r="R302"/>
      <c r="S302"/>
      <c r="T302"/>
      <c r="U302"/>
      <c r="V302"/>
      <c r="W302"/>
      <c r="X302"/>
      <c r="Y302"/>
      <c r="Z302"/>
      <c r="AA302"/>
      <c r="AB302"/>
      <c r="AC302"/>
      <c r="AD302"/>
      <c r="AE302"/>
      <c r="AF302"/>
    </row>
    <row r="303" spans="1:32" ht="20.45" customHeight="1" x14ac:dyDescent="0.2">
      <c r="A303" s="1421" t="s">
        <v>1228</v>
      </c>
      <c r="B303" s="1417" t="s">
        <v>7461</v>
      </c>
      <c r="C303" s="1422" t="s">
        <v>15</v>
      </c>
      <c r="D303"/>
      <c r="E303"/>
      <c r="F303"/>
      <c r="G303"/>
      <c r="H303"/>
      <c r="I303"/>
      <c r="J303"/>
      <c r="K303"/>
      <c r="L303"/>
      <c r="M303"/>
      <c r="N303"/>
      <c r="O303"/>
      <c r="P303"/>
      <c r="Q303"/>
      <c r="R303"/>
      <c r="S303"/>
      <c r="T303"/>
      <c r="U303"/>
      <c r="V303"/>
      <c r="W303"/>
      <c r="X303"/>
      <c r="Y303"/>
      <c r="Z303"/>
      <c r="AA303"/>
      <c r="AB303"/>
      <c r="AC303"/>
      <c r="AD303"/>
      <c r="AE303"/>
      <c r="AF303"/>
    </row>
    <row r="304" spans="1:32" ht="20.45" customHeight="1" x14ac:dyDescent="0.2">
      <c r="A304" s="1419" t="s">
        <v>39</v>
      </c>
      <c r="B304" s="1800" t="s">
        <v>7475</v>
      </c>
      <c r="C304" s="1427" t="s">
        <v>9613</v>
      </c>
      <c r="D304"/>
      <c r="E304"/>
      <c r="F304"/>
      <c r="G304"/>
      <c r="H304"/>
      <c r="I304"/>
      <c r="J304"/>
      <c r="K304"/>
      <c r="L304"/>
      <c r="M304"/>
      <c r="N304"/>
      <c r="O304"/>
      <c r="P304"/>
      <c r="Q304"/>
      <c r="R304"/>
      <c r="S304"/>
      <c r="T304"/>
      <c r="U304"/>
      <c r="V304"/>
      <c r="W304"/>
      <c r="X304"/>
      <c r="Y304"/>
      <c r="Z304"/>
      <c r="AA304"/>
      <c r="AB304"/>
      <c r="AC304"/>
      <c r="AD304"/>
      <c r="AE304"/>
      <c r="AF304"/>
    </row>
    <row r="305" spans="1:32" ht="20.45" customHeight="1" x14ac:dyDescent="0.2">
      <c r="A305" s="1421" t="s">
        <v>1228</v>
      </c>
      <c r="B305" s="1417" t="s">
        <v>7476</v>
      </c>
      <c r="C305" s="1422" t="s">
        <v>2744</v>
      </c>
      <c r="D305"/>
      <c r="E305"/>
      <c r="F305"/>
      <c r="G305"/>
      <c r="H305"/>
      <c r="I305"/>
      <c r="J305"/>
      <c r="K305"/>
      <c r="L305"/>
      <c r="M305"/>
      <c r="N305"/>
      <c r="O305"/>
      <c r="P305"/>
      <c r="Q305"/>
      <c r="R305"/>
      <c r="S305"/>
      <c r="T305"/>
      <c r="U305"/>
      <c r="V305"/>
      <c r="W305"/>
      <c r="X305"/>
      <c r="Y305"/>
      <c r="Z305"/>
      <c r="AA305"/>
      <c r="AB305"/>
      <c r="AC305"/>
      <c r="AD305"/>
      <c r="AE305"/>
      <c r="AF305"/>
    </row>
    <row r="306" spans="1:32" ht="20.45" customHeight="1" x14ac:dyDescent="0.2">
      <c r="A306" s="1421" t="s">
        <v>1228</v>
      </c>
      <c r="B306" s="1799" t="s">
        <v>7481</v>
      </c>
      <c r="C306" s="1422" t="s">
        <v>15</v>
      </c>
      <c r="D306"/>
      <c r="E306"/>
      <c r="F306"/>
      <c r="G306"/>
      <c r="H306"/>
      <c r="I306"/>
      <c r="J306"/>
      <c r="K306"/>
      <c r="L306"/>
      <c r="M306"/>
      <c r="N306"/>
      <c r="O306"/>
      <c r="P306"/>
      <c r="Q306"/>
      <c r="R306"/>
      <c r="S306"/>
      <c r="T306"/>
      <c r="U306"/>
      <c r="V306"/>
      <c r="W306"/>
      <c r="X306"/>
      <c r="Y306"/>
      <c r="Z306"/>
      <c r="AA306"/>
      <c r="AB306"/>
      <c r="AC306"/>
      <c r="AD306"/>
      <c r="AE306"/>
      <c r="AF306"/>
    </row>
    <row r="307" spans="1:32" ht="20.45" customHeight="1" x14ac:dyDescent="0.2">
      <c r="A307" s="1419" t="s">
        <v>39</v>
      </c>
      <c r="B307" s="1800" t="s">
        <v>7491</v>
      </c>
      <c r="C307" s="1427" t="s">
        <v>9614</v>
      </c>
      <c r="D307"/>
      <c r="E307"/>
      <c r="F307"/>
      <c r="G307"/>
      <c r="H307"/>
      <c r="I307"/>
      <c r="J307"/>
      <c r="K307"/>
      <c r="L307"/>
      <c r="M307"/>
      <c r="N307"/>
      <c r="O307"/>
      <c r="P307"/>
      <c r="Q307"/>
      <c r="R307"/>
      <c r="S307"/>
      <c r="T307"/>
      <c r="U307"/>
      <c r="V307"/>
      <c r="W307"/>
      <c r="X307"/>
      <c r="Y307"/>
      <c r="Z307"/>
      <c r="AA307"/>
      <c r="AB307"/>
      <c r="AC307"/>
      <c r="AD307"/>
      <c r="AE307"/>
      <c r="AF307"/>
    </row>
    <row r="308" spans="1:32" ht="20.45" customHeight="1" x14ac:dyDescent="0.2">
      <c r="A308" s="1421" t="s">
        <v>1228</v>
      </c>
      <c r="B308" s="1417" t="s">
        <v>7492</v>
      </c>
      <c r="C308" s="1422" t="s">
        <v>2744</v>
      </c>
      <c r="D308"/>
      <c r="E308"/>
      <c r="F308"/>
      <c r="G308"/>
      <c r="H308"/>
      <c r="I308"/>
      <c r="J308"/>
      <c r="K308"/>
      <c r="L308"/>
      <c r="M308"/>
      <c r="N308"/>
      <c r="O308"/>
      <c r="P308"/>
      <c r="Q308"/>
      <c r="R308"/>
      <c r="S308"/>
      <c r="T308"/>
      <c r="U308"/>
      <c r="V308"/>
      <c r="W308"/>
      <c r="X308"/>
      <c r="Y308"/>
      <c r="Z308"/>
      <c r="AA308"/>
      <c r="AB308"/>
      <c r="AC308"/>
      <c r="AD308"/>
      <c r="AE308"/>
      <c r="AF308"/>
    </row>
    <row r="309" spans="1:32" ht="20.45" customHeight="1" x14ac:dyDescent="0.2">
      <c r="A309" s="1421" t="s">
        <v>1228</v>
      </c>
      <c r="B309" s="1417" t="s">
        <v>7497</v>
      </c>
      <c r="C309" s="1422" t="s">
        <v>15</v>
      </c>
      <c r="D309"/>
      <c r="E309"/>
      <c r="F309"/>
      <c r="G309"/>
      <c r="H309"/>
      <c r="I309"/>
      <c r="J309"/>
      <c r="K309"/>
      <c r="L309"/>
      <c r="M309"/>
      <c r="N309"/>
      <c r="O309"/>
      <c r="P309"/>
      <c r="Q309"/>
      <c r="R309"/>
      <c r="S309"/>
      <c r="T309"/>
      <c r="U309"/>
      <c r="V309"/>
      <c r="W309"/>
      <c r="X309"/>
      <c r="Y309"/>
      <c r="Z309"/>
      <c r="AA309"/>
      <c r="AB309"/>
      <c r="AC309"/>
      <c r="AD309"/>
      <c r="AE309"/>
      <c r="AF309"/>
    </row>
    <row r="310" spans="1:32" ht="20.45" customHeight="1" x14ac:dyDescent="0.2">
      <c r="A310" s="1419" t="s">
        <v>1237</v>
      </c>
      <c r="B310" s="1417">
        <v>15</v>
      </c>
      <c r="C310" s="1420" t="s">
        <v>50</v>
      </c>
      <c r="D310"/>
      <c r="E310"/>
      <c r="F310"/>
      <c r="G310"/>
      <c r="H310"/>
      <c r="I310"/>
      <c r="J310"/>
      <c r="K310"/>
      <c r="L310"/>
      <c r="M310"/>
      <c r="N310"/>
      <c r="O310"/>
      <c r="P310"/>
      <c r="Q310"/>
      <c r="R310"/>
      <c r="S310"/>
      <c r="T310"/>
      <c r="U310"/>
      <c r="V310"/>
      <c r="W310"/>
      <c r="X310"/>
      <c r="Y310"/>
      <c r="Z310"/>
      <c r="AA310"/>
      <c r="AB310"/>
      <c r="AC310"/>
      <c r="AD310"/>
      <c r="AE310"/>
      <c r="AF310"/>
    </row>
    <row r="311" spans="1:32" ht="20.45" customHeight="1" x14ac:dyDescent="0.2">
      <c r="A311" s="1419" t="s">
        <v>39</v>
      </c>
      <c r="B311" s="1800" t="s">
        <v>7679</v>
      </c>
      <c r="C311" s="1427" t="s">
        <v>9692</v>
      </c>
      <c r="D311"/>
      <c r="E311"/>
      <c r="F311"/>
      <c r="G311"/>
      <c r="H311"/>
      <c r="I311"/>
      <c r="J311"/>
      <c r="K311"/>
      <c r="L311"/>
      <c r="M311"/>
      <c r="N311"/>
      <c r="O311"/>
      <c r="P311"/>
      <c r="Q311"/>
      <c r="R311"/>
      <c r="S311"/>
      <c r="T311"/>
      <c r="U311"/>
      <c r="V311"/>
      <c r="W311"/>
      <c r="X311"/>
      <c r="Y311"/>
      <c r="Z311"/>
      <c r="AA311"/>
      <c r="AB311"/>
      <c r="AC311"/>
      <c r="AD311"/>
      <c r="AE311"/>
      <c r="AF311"/>
    </row>
    <row r="312" spans="1:32" ht="20.45" customHeight="1" x14ac:dyDescent="0.2">
      <c r="A312" s="1421" t="s">
        <v>1228</v>
      </c>
      <c r="B312" s="1417" t="s">
        <v>7680</v>
      </c>
      <c r="C312" s="1422" t="s">
        <v>2743</v>
      </c>
      <c r="D312"/>
      <c r="E312"/>
      <c r="F312"/>
      <c r="G312"/>
      <c r="H312"/>
      <c r="I312"/>
      <c r="J312"/>
      <c r="K312"/>
      <c r="L312"/>
      <c r="M312"/>
      <c r="N312"/>
      <c r="O312"/>
      <c r="P312"/>
      <c r="Q312"/>
      <c r="R312"/>
      <c r="S312"/>
      <c r="T312"/>
      <c r="U312"/>
      <c r="V312"/>
      <c r="W312"/>
      <c r="X312"/>
      <c r="Y312"/>
      <c r="Z312"/>
      <c r="AA312"/>
      <c r="AB312"/>
      <c r="AC312"/>
      <c r="AD312"/>
      <c r="AE312"/>
      <c r="AF312"/>
    </row>
    <row r="313" spans="1:32" ht="20.45" customHeight="1" x14ac:dyDescent="0.2">
      <c r="A313" s="1421" t="s">
        <v>1228</v>
      </c>
      <c r="B313" s="1417" t="s">
        <v>7683</v>
      </c>
      <c r="C313" s="1422" t="s">
        <v>15</v>
      </c>
      <c r="D313"/>
      <c r="E313"/>
      <c r="F313"/>
      <c r="G313"/>
      <c r="H313"/>
      <c r="I313"/>
      <c r="J313"/>
      <c r="K313"/>
      <c r="L313"/>
      <c r="M313"/>
      <c r="N313"/>
      <c r="O313"/>
      <c r="P313"/>
      <c r="Q313"/>
      <c r="R313"/>
      <c r="S313"/>
      <c r="T313"/>
      <c r="U313"/>
      <c r="V313"/>
      <c r="W313"/>
      <c r="X313"/>
      <c r="Y313"/>
      <c r="Z313"/>
      <c r="AA313"/>
      <c r="AB313"/>
      <c r="AC313"/>
      <c r="AD313"/>
      <c r="AE313"/>
      <c r="AF313"/>
    </row>
    <row r="314" spans="1:32" ht="20.45" customHeight="1" x14ac:dyDescent="0.2">
      <c r="A314" s="1419" t="s">
        <v>39</v>
      </c>
      <c r="B314" s="1800" t="s">
        <v>7693</v>
      </c>
      <c r="C314" s="1427" t="s">
        <v>5612</v>
      </c>
      <c r="D314"/>
      <c r="E314"/>
      <c r="F314"/>
      <c r="G314"/>
      <c r="H314"/>
      <c r="I314"/>
      <c r="J314"/>
      <c r="K314"/>
      <c r="L314"/>
      <c r="M314"/>
      <c r="N314"/>
      <c r="O314"/>
      <c r="P314"/>
      <c r="Q314"/>
      <c r="R314"/>
      <c r="S314"/>
      <c r="T314"/>
      <c r="U314"/>
      <c r="V314"/>
      <c r="W314"/>
      <c r="X314"/>
      <c r="Y314"/>
      <c r="Z314"/>
      <c r="AA314"/>
      <c r="AB314"/>
      <c r="AC314"/>
      <c r="AD314"/>
      <c r="AE314"/>
      <c r="AF314"/>
    </row>
    <row r="315" spans="1:32" ht="20.45" customHeight="1" x14ac:dyDescent="0.2">
      <c r="A315" s="1421" t="s">
        <v>1228</v>
      </c>
      <c r="B315" s="1417" t="s">
        <v>7694</v>
      </c>
      <c r="C315" s="1422" t="s">
        <v>2743</v>
      </c>
      <c r="D315"/>
      <c r="E315"/>
      <c r="F315"/>
      <c r="G315"/>
      <c r="H315"/>
      <c r="I315"/>
      <c r="J315"/>
      <c r="K315"/>
      <c r="L315"/>
      <c r="M315"/>
      <c r="N315"/>
      <c r="O315"/>
      <c r="P315"/>
      <c r="Q315"/>
      <c r="R315"/>
      <c r="S315"/>
      <c r="T315"/>
      <c r="U315"/>
      <c r="V315"/>
      <c r="W315"/>
      <c r="X315"/>
      <c r="Y315"/>
      <c r="Z315"/>
      <c r="AA315"/>
      <c r="AB315"/>
      <c r="AC315"/>
      <c r="AD315"/>
      <c r="AE315"/>
      <c r="AF315"/>
    </row>
    <row r="316" spans="1:32" ht="20.45" customHeight="1" x14ac:dyDescent="0.2">
      <c r="A316" s="1421" t="s">
        <v>1228</v>
      </c>
      <c r="B316" s="1417" t="s">
        <v>7696</v>
      </c>
      <c r="C316" s="1422" t="s">
        <v>15</v>
      </c>
      <c r="D316"/>
      <c r="E316"/>
      <c r="F316"/>
      <c r="G316"/>
      <c r="H316"/>
      <c r="I316"/>
      <c r="J316"/>
      <c r="K316"/>
      <c r="L316"/>
      <c r="M316"/>
      <c r="N316"/>
      <c r="O316"/>
      <c r="P316"/>
      <c r="Q316"/>
      <c r="R316"/>
      <c r="S316"/>
      <c r="T316"/>
      <c r="U316"/>
      <c r="V316"/>
      <c r="W316"/>
      <c r="X316"/>
      <c r="Y316"/>
      <c r="Z316"/>
      <c r="AA316"/>
      <c r="AB316"/>
      <c r="AC316"/>
      <c r="AD316"/>
      <c r="AE316"/>
      <c r="AF316"/>
    </row>
    <row r="317" spans="1:32" ht="20.45" customHeight="1" x14ac:dyDescent="0.2">
      <c r="A317" s="1419" t="s">
        <v>39</v>
      </c>
      <c r="B317" s="1800" t="s">
        <v>7706</v>
      </c>
      <c r="C317" s="1427" t="s">
        <v>5613</v>
      </c>
      <c r="D317"/>
      <c r="E317"/>
      <c r="F317"/>
      <c r="G317"/>
      <c r="H317"/>
      <c r="I317"/>
      <c r="J317"/>
      <c r="K317"/>
      <c r="L317"/>
      <c r="M317"/>
      <c r="N317"/>
      <c r="O317"/>
      <c r="P317"/>
      <c r="Q317"/>
      <c r="R317"/>
      <c r="S317"/>
      <c r="T317"/>
      <c r="U317"/>
      <c r="V317"/>
      <c r="W317"/>
      <c r="X317"/>
      <c r="Y317"/>
      <c r="Z317"/>
      <c r="AA317"/>
      <c r="AB317"/>
      <c r="AC317"/>
      <c r="AD317"/>
      <c r="AE317"/>
      <c r="AF317"/>
    </row>
    <row r="318" spans="1:32" ht="20.45" customHeight="1" x14ac:dyDescent="0.2">
      <c r="A318" s="1421" t="s">
        <v>1228</v>
      </c>
      <c r="B318" s="1417" t="s">
        <v>7707</v>
      </c>
      <c r="C318" s="1422" t="s">
        <v>2743</v>
      </c>
      <c r="D318"/>
      <c r="E318"/>
      <c r="F318"/>
      <c r="G318"/>
      <c r="H318"/>
      <c r="I318"/>
      <c r="J318"/>
      <c r="K318"/>
      <c r="L318"/>
      <c r="M318"/>
      <c r="N318"/>
      <c r="O318"/>
      <c r="P318"/>
      <c r="Q318"/>
      <c r="R318"/>
      <c r="S318"/>
      <c r="T318"/>
      <c r="U318"/>
      <c r="V318"/>
      <c r="W318"/>
      <c r="X318"/>
      <c r="Y318"/>
      <c r="Z318"/>
      <c r="AA318"/>
      <c r="AB318"/>
      <c r="AC318"/>
      <c r="AD318"/>
      <c r="AE318"/>
      <c r="AF318"/>
    </row>
    <row r="319" spans="1:32" ht="20.45" customHeight="1" x14ac:dyDescent="0.2">
      <c r="A319" s="1421" t="s">
        <v>1228</v>
      </c>
      <c r="B319" s="1417" t="s">
        <v>7709</v>
      </c>
      <c r="C319" s="1422" t="s">
        <v>15</v>
      </c>
      <c r="D319"/>
      <c r="E319"/>
      <c r="F319"/>
      <c r="G319"/>
      <c r="H319"/>
      <c r="I319"/>
      <c r="J319"/>
      <c r="K319"/>
      <c r="L319"/>
      <c r="M319"/>
      <c r="N319"/>
      <c r="O319"/>
      <c r="P319"/>
      <c r="Q319"/>
      <c r="R319"/>
      <c r="S319"/>
      <c r="T319"/>
      <c r="U319"/>
      <c r="V319"/>
      <c r="W319"/>
      <c r="X319"/>
      <c r="Y319"/>
      <c r="Z319"/>
      <c r="AA319"/>
      <c r="AB319"/>
      <c r="AC319"/>
      <c r="AD319"/>
      <c r="AE319"/>
      <c r="AF319"/>
    </row>
    <row r="320" spans="1:32" ht="20.45" customHeight="1" x14ac:dyDescent="0.2">
      <c r="A320" s="1419" t="s">
        <v>1237</v>
      </c>
      <c r="B320" s="1417">
        <v>16</v>
      </c>
      <c r="C320" s="1420" t="s">
        <v>5614</v>
      </c>
      <c r="D320"/>
      <c r="E320"/>
      <c r="F320"/>
      <c r="G320"/>
      <c r="H320"/>
      <c r="I320"/>
      <c r="J320"/>
      <c r="K320"/>
      <c r="L320"/>
      <c r="M320"/>
      <c r="N320"/>
      <c r="O320"/>
      <c r="P320"/>
      <c r="Q320"/>
      <c r="R320"/>
      <c r="S320"/>
      <c r="T320"/>
      <c r="U320"/>
      <c r="V320"/>
      <c r="W320"/>
      <c r="X320"/>
      <c r="Y320"/>
      <c r="Z320"/>
      <c r="AA320"/>
      <c r="AB320"/>
      <c r="AC320"/>
      <c r="AD320"/>
      <c r="AE320"/>
      <c r="AF320"/>
    </row>
    <row r="321" spans="1:32" ht="20.45" customHeight="1" x14ac:dyDescent="0.2">
      <c r="A321" s="1419" t="s">
        <v>39</v>
      </c>
      <c r="B321" s="1800" t="s">
        <v>7813</v>
      </c>
      <c r="C321" s="1420" t="s">
        <v>9693</v>
      </c>
      <c r="D321"/>
      <c r="E321"/>
      <c r="F321"/>
      <c r="G321"/>
      <c r="H321"/>
      <c r="I321"/>
      <c r="J321"/>
      <c r="K321"/>
      <c r="L321"/>
      <c r="M321"/>
      <c r="N321"/>
      <c r="O321"/>
      <c r="P321"/>
      <c r="Q321"/>
      <c r="R321"/>
      <c r="S321"/>
      <c r="T321"/>
      <c r="U321"/>
      <c r="V321"/>
      <c r="W321"/>
      <c r="X321"/>
      <c r="Y321"/>
      <c r="Z321"/>
      <c r="AA321"/>
      <c r="AB321"/>
      <c r="AC321"/>
      <c r="AD321"/>
      <c r="AE321"/>
      <c r="AF321"/>
    </row>
    <row r="322" spans="1:32" ht="20.45" customHeight="1" x14ac:dyDescent="0.2">
      <c r="A322" s="1421" t="s">
        <v>1228</v>
      </c>
      <c r="B322" s="1417" t="s">
        <v>7814</v>
      </c>
      <c r="C322" s="1422" t="s">
        <v>23</v>
      </c>
      <c r="D322"/>
      <c r="E322"/>
      <c r="F322"/>
      <c r="G322"/>
      <c r="H322"/>
      <c r="I322"/>
      <c r="J322"/>
      <c r="K322"/>
      <c r="L322"/>
      <c r="M322"/>
      <c r="N322"/>
      <c r="O322"/>
      <c r="P322"/>
      <c r="Q322"/>
      <c r="R322"/>
      <c r="S322"/>
      <c r="T322"/>
      <c r="U322"/>
      <c r="V322"/>
      <c r="W322"/>
      <c r="X322"/>
      <c r="Y322"/>
      <c r="Z322"/>
      <c r="AA322"/>
      <c r="AB322"/>
      <c r="AC322"/>
      <c r="AD322"/>
      <c r="AE322"/>
      <c r="AF322"/>
    </row>
    <row r="323" spans="1:32" ht="20.45" customHeight="1" x14ac:dyDescent="0.2">
      <c r="A323" s="1421" t="s">
        <v>1228</v>
      </c>
      <c r="B323" s="1417" t="s">
        <v>7816</v>
      </c>
      <c r="C323" s="1422" t="s">
        <v>2815</v>
      </c>
      <c r="D323"/>
      <c r="E323"/>
      <c r="F323"/>
      <c r="G323"/>
      <c r="H323"/>
      <c r="I323"/>
      <c r="J323"/>
      <c r="K323"/>
      <c r="L323"/>
      <c r="M323"/>
      <c r="N323"/>
      <c r="O323"/>
      <c r="P323"/>
      <c r="Q323"/>
      <c r="R323"/>
      <c r="S323"/>
      <c r="T323"/>
      <c r="U323"/>
      <c r="V323"/>
      <c r="W323"/>
      <c r="X323"/>
      <c r="Y323"/>
      <c r="Z323"/>
      <c r="AA323"/>
      <c r="AB323"/>
      <c r="AC323"/>
      <c r="AD323"/>
      <c r="AE323"/>
      <c r="AF323"/>
    </row>
    <row r="324" spans="1:32" ht="20.45" customHeight="1" x14ac:dyDescent="0.2">
      <c r="A324" s="1421" t="s">
        <v>1228</v>
      </c>
      <c r="B324" s="1417" t="s">
        <v>7818</v>
      </c>
      <c r="C324" s="1422" t="s">
        <v>5605</v>
      </c>
      <c r="D324"/>
      <c r="E324"/>
      <c r="F324"/>
      <c r="G324"/>
      <c r="H324"/>
      <c r="I324"/>
      <c r="J324"/>
      <c r="K324"/>
      <c r="L324"/>
      <c r="M324"/>
      <c r="N324"/>
      <c r="O324"/>
      <c r="P324"/>
      <c r="Q324"/>
      <c r="R324"/>
      <c r="S324"/>
      <c r="T324"/>
      <c r="U324"/>
      <c r="V324"/>
      <c r="W324"/>
      <c r="X324"/>
      <c r="Y324"/>
      <c r="Z324"/>
      <c r="AA324"/>
      <c r="AB324"/>
      <c r="AC324"/>
      <c r="AD324"/>
      <c r="AE324"/>
      <c r="AF324"/>
    </row>
    <row r="325" spans="1:32" ht="20.45" customHeight="1" x14ac:dyDescent="0.2">
      <c r="A325" s="1421" t="s">
        <v>1228</v>
      </c>
      <c r="B325" s="1417" t="s">
        <v>7824</v>
      </c>
      <c r="C325" s="1422" t="s">
        <v>2816</v>
      </c>
      <c r="D325"/>
      <c r="E325"/>
      <c r="F325"/>
      <c r="G325"/>
      <c r="H325"/>
      <c r="I325"/>
      <c r="J325"/>
      <c r="K325"/>
      <c r="L325"/>
      <c r="M325"/>
      <c r="N325"/>
      <c r="O325"/>
      <c r="P325"/>
      <c r="Q325"/>
      <c r="R325"/>
      <c r="S325"/>
      <c r="T325"/>
      <c r="U325"/>
      <c r="V325"/>
      <c r="W325"/>
      <c r="X325"/>
      <c r="Y325"/>
      <c r="Z325"/>
      <c r="AA325"/>
      <c r="AB325"/>
      <c r="AC325"/>
      <c r="AD325"/>
      <c r="AE325"/>
      <c r="AF325"/>
    </row>
    <row r="326" spans="1:32" ht="20.45" customHeight="1" x14ac:dyDescent="0.2">
      <c r="A326" s="1421" t="s">
        <v>1228</v>
      </c>
      <c r="B326" s="1417" t="s">
        <v>7828</v>
      </c>
      <c r="C326" s="1422" t="s">
        <v>15</v>
      </c>
      <c r="D326"/>
      <c r="E326"/>
      <c r="F326"/>
      <c r="G326"/>
      <c r="H326"/>
      <c r="I326"/>
      <c r="J326"/>
      <c r="K326"/>
      <c r="L326"/>
      <c r="M326"/>
      <c r="N326"/>
      <c r="O326"/>
      <c r="P326"/>
      <c r="Q326"/>
      <c r="R326"/>
      <c r="S326"/>
      <c r="T326"/>
      <c r="U326"/>
      <c r="V326"/>
      <c r="W326"/>
      <c r="X326"/>
      <c r="Y326"/>
      <c r="Z326"/>
      <c r="AA326"/>
      <c r="AB326"/>
      <c r="AC326"/>
      <c r="AD326"/>
      <c r="AE326"/>
      <c r="AF326"/>
    </row>
    <row r="327" spans="1:32" ht="20.45" customHeight="1" x14ac:dyDescent="0.2">
      <c r="A327" s="1419" t="s">
        <v>39</v>
      </c>
      <c r="B327" s="1800" t="s">
        <v>7844</v>
      </c>
      <c r="C327" s="1420" t="s">
        <v>5615</v>
      </c>
      <c r="D327"/>
      <c r="E327"/>
      <c r="F327"/>
      <c r="G327"/>
      <c r="H327"/>
      <c r="I327"/>
      <c r="J327"/>
      <c r="K327"/>
      <c r="L327"/>
      <c r="M327"/>
      <c r="N327"/>
      <c r="O327"/>
      <c r="P327"/>
      <c r="Q327"/>
      <c r="R327"/>
      <c r="S327"/>
      <c r="T327"/>
      <c r="U327"/>
      <c r="V327"/>
      <c r="W327"/>
      <c r="X327"/>
      <c r="Y327"/>
      <c r="Z327"/>
      <c r="AA327"/>
      <c r="AB327"/>
      <c r="AC327"/>
      <c r="AD327"/>
      <c r="AE327"/>
      <c r="AF327"/>
    </row>
    <row r="328" spans="1:32" ht="20.45" customHeight="1" x14ac:dyDescent="0.2">
      <c r="A328" s="1421" t="s">
        <v>1228</v>
      </c>
      <c r="B328" s="1417" t="s">
        <v>7845</v>
      </c>
      <c r="C328" s="1422" t="s">
        <v>23</v>
      </c>
      <c r="D328"/>
      <c r="E328"/>
      <c r="F328"/>
      <c r="G328"/>
      <c r="H328"/>
      <c r="I328"/>
      <c r="J328"/>
      <c r="K328"/>
      <c r="L328"/>
      <c r="M328"/>
      <c r="N328"/>
      <c r="O328"/>
      <c r="P328"/>
      <c r="Q328"/>
      <c r="R328"/>
      <c r="S328"/>
      <c r="T328"/>
      <c r="U328"/>
      <c r="V328"/>
      <c r="W328"/>
      <c r="X328"/>
      <c r="Y328"/>
      <c r="Z328"/>
      <c r="AA328"/>
      <c r="AB328"/>
      <c r="AC328"/>
      <c r="AD328"/>
      <c r="AE328"/>
      <c r="AF328"/>
    </row>
    <row r="329" spans="1:32" ht="20.45" customHeight="1" x14ac:dyDescent="0.2">
      <c r="A329" s="1421" t="s">
        <v>1228</v>
      </c>
      <c r="B329" s="1417" t="s">
        <v>7847</v>
      </c>
      <c r="C329" s="1422" t="s">
        <v>2815</v>
      </c>
      <c r="D329"/>
      <c r="E329"/>
      <c r="F329"/>
      <c r="G329"/>
      <c r="H329"/>
      <c r="I329"/>
      <c r="J329"/>
      <c r="K329"/>
      <c r="L329"/>
      <c r="M329"/>
      <c r="N329"/>
      <c r="O329"/>
      <c r="P329"/>
      <c r="Q329"/>
      <c r="R329"/>
      <c r="S329"/>
      <c r="T329"/>
      <c r="U329"/>
      <c r="V329"/>
      <c r="W329"/>
      <c r="X329"/>
      <c r="Y329"/>
      <c r="Z329"/>
      <c r="AA329"/>
      <c r="AB329"/>
      <c r="AC329"/>
      <c r="AD329"/>
      <c r="AE329"/>
      <c r="AF329"/>
    </row>
    <row r="330" spans="1:32" ht="20.45" customHeight="1" x14ac:dyDescent="0.2">
      <c r="A330" s="1421" t="s">
        <v>1228</v>
      </c>
      <c r="B330" s="1417" t="s">
        <v>7850</v>
      </c>
      <c r="C330" s="1422" t="s">
        <v>5605</v>
      </c>
      <c r="D330"/>
      <c r="E330"/>
      <c r="F330"/>
      <c r="G330"/>
      <c r="H330"/>
      <c r="I330"/>
      <c r="J330"/>
      <c r="K330"/>
      <c r="L330"/>
      <c r="M330"/>
      <c r="N330"/>
      <c r="O330"/>
      <c r="P330"/>
      <c r="Q330"/>
      <c r="R330"/>
      <c r="S330"/>
      <c r="T330"/>
      <c r="U330"/>
      <c r="V330"/>
      <c r="W330"/>
      <c r="X330"/>
      <c r="Y330"/>
      <c r="Z330"/>
      <c r="AA330"/>
      <c r="AB330"/>
      <c r="AC330"/>
      <c r="AD330"/>
      <c r="AE330"/>
      <c r="AF330"/>
    </row>
    <row r="331" spans="1:32" ht="20.45" customHeight="1" x14ac:dyDescent="0.2">
      <c r="A331" s="1421" t="s">
        <v>1228</v>
      </c>
      <c r="B331" s="1417" t="s">
        <v>7854</v>
      </c>
      <c r="C331" s="1422" t="s">
        <v>2816</v>
      </c>
      <c r="D331"/>
      <c r="E331"/>
      <c r="F331"/>
      <c r="G331"/>
      <c r="H331"/>
      <c r="I331"/>
      <c r="J331"/>
      <c r="K331"/>
      <c r="L331"/>
      <c r="M331"/>
      <c r="N331"/>
      <c r="O331"/>
      <c r="P331"/>
      <c r="Q331"/>
      <c r="R331"/>
      <c r="S331"/>
      <c r="T331"/>
      <c r="U331"/>
      <c r="V331"/>
      <c r="W331"/>
      <c r="X331"/>
      <c r="Y331"/>
      <c r="Z331"/>
      <c r="AA331"/>
      <c r="AB331"/>
      <c r="AC331"/>
      <c r="AD331"/>
      <c r="AE331"/>
      <c r="AF331"/>
    </row>
    <row r="332" spans="1:32" ht="20.45" customHeight="1" x14ac:dyDescent="0.2">
      <c r="A332" s="1421" t="s">
        <v>1228</v>
      </c>
      <c r="B332" s="1417" t="s">
        <v>7858</v>
      </c>
      <c r="C332" s="1422" t="s">
        <v>15</v>
      </c>
      <c r="D332"/>
      <c r="E332"/>
      <c r="F332"/>
      <c r="G332"/>
      <c r="H332"/>
      <c r="I332"/>
      <c r="J332"/>
      <c r="K332"/>
      <c r="L332"/>
      <c r="M332"/>
      <c r="N332"/>
      <c r="O332"/>
      <c r="P332"/>
      <c r="Q332"/>
      <c r="R332"/>
      <c r="S332"/>
      <c r="T332"/>
      <c r="U332"/>
      <c r="V332"/>
      <c r="W332"/>
      <c r="X332"/>
      <c r="Y332"/>
      <c r="Z332"/>
      <c r="AA332"/>
      <c r="AB332"/>
      <c r="AC332"/>
      <c r="AD332"/>
      <c r="AE332"/>
      <c r="AF332"/>
    </row>
    <row r="333" spans="1:32" ht="20.45" customHeight="1" x14ac:dyDescent="0.2">
      <c r="A333" s="1419" t="s">
        <v>39</v>
      </c>
      <c r="B333" s="1800" t="s">
        <v>7865</v>
      </c>
      <c r="C333" s="1420" t="s">
        <v>5616</v>
      </c>
      <c r="D333"/>
      <c r="E333"/>
      <c r="F333"/>
      <c r="G333"/>
      <c r="H333"/>
      <c r="I333"/>
      <c r="J333"/>
      <c r="K333"/>
      <c r="L333"/>
      <c r="M333"/>
      <c r="N333"/>
      <c r="O333"/>
      <c r="P333"/>
      <c r="Q333"/>
      <c r="R333"/>
      <c r="S333"/>
      <c r="T333"/>
      <c r="U333"/>
      <c r="V333"/>
      <c r="W333"/>
      <c r="X333"/>
      <c r="Y333"/>
      <c r="Z333"/>
      <c r="AA333"/>
      <c r="AB333"/>
      <c r="AC333"/>
      <c r="AD333"/>
      <c r="AE333"/>
      <c r="AF333"/>
    </row>
    <row r="334" spans="1:32" ht="20.45" customHeight="1" x14ac:dyDescent="0.2">
      <c r="A334" s="1421" t="s">
        <v>1228</v>
      </c>
      <c r="B334" s="1417" t="s">
        <v>7866</v>
      </c>
      <c r="C334" s="1422" t="s">
        <v>23</v>
      </c>
      <c r="D334"/>
      <c r="E334"/>
      <c r="F334"/>
      <c r="G334"/>
      <c r="H334"/>
      <c r="I334"/>
      <c r="J334"/>
      <c r="K334"/>
      <c r="L334"/>
      <c r="M334"/>
      <c r="N334"/>
      <c r="O334"/>
      <c r="P334"/>
      <c r="Q334"/>
      <c r="R334"/>
      <c r="S334"/>
      <c r="T334"/>
      <c r="U334"/>
      <c r="V334"/>
      <c r="W334"/>
      <c r="X334"/>
      <c r="Y334"/>
      <c r="Z334"/>
      <c r="AA334"/>
      <c r="AB334"/>
      <c r="AC334"/>
      <c r="AD334"/>
      <c r="AE334"/>
      <c r="AF334"/>
    </row>
    <row r="335" spans="1:32" ht="20.45" customHeight="1" x14ac:dyDescent="0.2">
      <c r="A335" s="1421" t="s">
        <v>1228</v>
      </c>
      <c r="B335" s="1417" t="s">
        <v>7868</v>
      </c>
      <c r="C335" s="1422" t="s">
        <v>2815</v>
      </c>
      <c r="D335"/>
      <c r="E335"/>
      <c r="F335"/>
      <c r="G335"/>
      <c r="H335"/>
      <c r="I335"/>
      <c r="J335"/>
      <c r="K335"/>
      <c r="L335"/>
      <c r="M335"/>
      <c r="N335"/>
      <c r="O335"/>
      <c r="P335"/>
      <c r="Q335"/>
      <c r="R335"/>
      <c r="S335"/>
      <c r="T335"/>
      <c r="U335"/>
      <c r="V335"/>
      <c r="W335"/>
      <c r="X335"/>
      <c r="Y335"/>
      <c r="Z335"/>
      <c r="AA335"/>
      <c r="AB335"/>
      <c r="AC335"/>
      <c r="AD335"/>
      <c r="AE335"/>
      <c r="AF335"/>
    </row>
    <row r="336" spans="1:32" ht="20.45" customHeight="1" x14ac:dyDescent="0.2">
      <c r="A336" s="1421" t="s">
        <v>1228</v>
      </c>
      <c r="B336" s="1417" t="s">
        <v>7870</v>
      </c>
      <c r="C336" s="1422" t="s">
        <v>5605</v>
      </c>
      <c r="D336"/>
      <c r="E336"/>
      <c r="F336"/>
      <c r="G336"/>
      <c r="H336"/>
      <c r="I336"/>
      <c r="J336"/>
      <c r="K336"/>
      <c r="L336"/>
      <c r="M336"/>
      <c r="N336"/>
      <c r="O336"/>
      <c r="P336"/>
      <c r="Q336"/>
      <c r="R336"/>
      <c r="S336"/>
      <c r="T336"/>
      <c r="U336"/>
      <c r="V336"/>
      <c r="W336"/>
      <c r="X336"/>
      <c r="Y336"/>
      <c r="Z336"/>
      <c r="AA336"/>
      <c r="AB336"/>
      <c r="AC336"/>
      <c r="AD336"/>
      <c r="AE336"/>
      <c r="AF336"/>
    </row>
    <row r="337" spans="1:32" ht="20.45" customHeight="1" x14ac:dyDescent="0.2">
      <c r="A337" s="1421" t="s">
        <v>1228</v>
      </c>
      <c r="B337" s="1417" t="s">
        <v>7874</v>
      </c>
      <c r="C337" s="1422" t="s">
        <v>2816</v>
      </c>
      <c r="D337"/>
      <c r="E337"/>
      <c r="F337"/>
      <c r="G337"/>
      <c r="H337"/>
      <c r="I337"/>
      <c r="J337"/>
      <c r="K337"/>
      <c r="L337"/>
      <c r="M337"/>
      <c r="N337"/>
      <c r="O337"/>
      <c r="P337"/>
      <c r="Q337"/>
      <c r="R337"/>
      <c r="S337"/>
      <c r="T337"/>
      <c r="U337"/>
      <c r="V337"/>
      <c r="W337"/>
      <c r="X337"/>
      <c r="Y337"/>
      <c r="Z337"/>
      <c r="AA337"/>
      <c r="AB337"/>
      <c r="AC337"/>
      <c r="AD337"/>
      <c r="AE337"/>
      <c r="AF337"/>
    </row>
    <row r="338" spans="1:32" ht="20.45" customHeight="1" x14ac:dyDescent="0.2">
      <c r="A338" s="1421" t="s">
        <v>1228</v>
      </c>
      <c r="B338" s="1417" t="s">
        <v>7877</v>
      </c>
      <c r="C338" s="1422" t="s">
        <v>15</v>
      </c>
      <c r="D338"/>
      <c r="E338"/>
      <c r="F338"/>
      <c r="G338"/>
      <c r="H338"/>
      <c r="I338"/>
      <c r="J338"/>
      <c r="K338"/>
      <c r="L338"/>
      <c r="M338"/>
      <c r="N338"/>
      <c r="O338"/>
      <c r="P338"/>
      <c r="Q338"/>
      <c r="R338"/>
      <c r="S338"/>
      <c r="T338"/>
      <c r="U338"/>
      <c r="V338"/>
      <c r="W338"/>
      <c r="X338"/>
      <c r="Y338"/>
      <c r="Z338"/>
      <c r="AA338"/>
      <c r="AB338"/>
      <c r="AC338"/>
      <c r="AD338"/>
      <c r="AE338"/>
      <c r="AF338"/>
    </row>
    <row r="339" spans="1:32" ht="20.45" customHeight="1" x14ac:dyDescent="0.2">
      <c r="A339" s="1419" t="s">
        <v>1237</v>
      </c>
      <c r="B339" s="1417">
        <v>17</v>
      </c>
      <c r="C339" s="1420" t="s">
        <v>5617</v>
      </c>
      <c r="D339"/>
      <c r="E339"/>
      <c r="F339"/>
      <c r="G339"/>
      <c r="H339"/>
      <c r="I339"/>
      <c r="J339"/>
      <c r="K339"/>
      <c r="L339"/>
      <c r="M339"/>
      <c r="N339"/>
      <c r="O339"/>
      <c r="P339"/>
      <c r="Q339"/>
      <c r="R339"/>
      <c r="S339"/>
      <c r="T339"/>
      <c r="U339"/>
      <c r="V339"/>
      <c r="W339"/>
      <c r="X339"/>
      <c r="Y339"/>
      <c r="Z339"/>
      <c r="AA339"/>
      <c r="AB339"/>
      <c r="AC339"/>
      <c r="AD339"/>
      <c r="AE339"/>
      <c r="AF339"/>
    </row>
    <row r="340" spans="1:32" ht="20.45" customHeight="1" x14ac:dyDescent="0.2">
      <c r="A340" s="1419" t="s">
        <v>39</v>
      </c>
      <c r="B340" s="1800" t="s">
        <v>8122</v>
      </c>
      <c r="C340" s="1420" t="s">
        <v>9694</v>
      </c>
      <c r="D340"/>
      <c r="E340"/>
      <c r="F340"/>
      <c r="G340"/>
      <c r="H340"/>
      <c r="I340"/>
      <c r="J340"/>
      <c r="K340"/>
      <c r="L340"/>
      <c r="M340"/>
      <c r="N340"/>
      <c r="O340"/>
      <c r="P340"/>
      <c r="Q340"/>
      <c r="R340"/>
      <c r="S340"/>
      <c r="T340"/>
      <c r="U340"/>
      <c r="V340"/>
      <c r="W340"/>
      <c r="X340"/>
      <c r="Y340"/>
      <c r="Z340"/>
      <c r="AA340"/>
      <c r="AB340"/>
      <c r="AC340"/>
      <c r="AD340"/>
      <c r="AE340"/>
      <c r="AF340"/>
    </row>
    <row r="341" spans="1:32" ht="20.45" customHeight="1" x14ac:dyDescent="0.2">
      <c r="A341" s="1421" t="s">
        <v>1228</v>
      </c>
      <c r="B341" s="1417" t="s">
        <v>8123</v>
      </c>
      <c r="C341" s="1422" t="s">
        <v>2745</v>
      </c>
      <c r="D341"/>
      <c r="E341"/>
      <c r="F341"/>
      <c r="G341"/>
      <c r="H341"/>
      <c r="I341"/>
      <c r="J341"/>
      <c r="K341"/>
      <c r="L341"/>
      <c r="M341"/>
      <c r="N341"/>
      <c r="O341"/>
      <c r="P341"/>
      <c r="Q341"/>
      <c r="R341"/>
      <c r="S341"/>
      <c r="T341"/>
      <c r="U341"/>
      <c r="V341"/>
      <c r="W341"/>
      <c r="X341"/>
      <c r="Y341"/>
      <c r="Z341"/>
      <c r="AA341"/>
      <c r="AB341"/>
      <c r="AC341"/>
      <c r="AD341"/>
      <c r="AE341"/>
      <c r="AF341"/>
    </row>
    <row r="342" spans="1:32" ht="20.45" customHeight="1" x14ac:dyDescent="0.2">
      <c r="A342" s="1421" t="s">
        <v>1228</v>
      </c>
      <c r="B342" s="1417" t="s">
        <v>8129</v>
      </c>
      <c r="C342" s="1422" t="s">
        <v>5618</v>
      </c>
      <c r="D342"/>
      <c r="E342"/>
      <c r="F342"/>
      <c r="G342"/>
      <c r="H342"/>
      <c r="I342"/>
      <c r="J342"/>
      <c r="K342"/>
      <c r="L342"/>
      <c r="M342"/>
      <c r="N342"/>
      <c r="O342"/>
      <c r="P342"/>
      <c r="Q342"/>
      <c r="R342"/>
      <c r="S342"/>
      <c r="T342"/>
      <c r="U342"/>
      <c r="V342"/>
      <c r="W342"/>
      <c r="X342"/>
      <c r="Y342"/>
      <c r="Z342"/>
      <c r="AA342"/>
      <c r="AB342"/>
      <c r="AC342"/>
      <c r="AD342"/>
      <c r="AE342"/>
      <c r="AF342"/>
    </row>
    <row r="343" spans="1:32" ht="20.45" customHeight="1" x14ac:dyDescent="0.2">
      <c r="A343" s="1421" t="s">
        <v>1228</v>
      </c>
      <c r="B343" s="1417" t="s">
        <v>8135</v>
      </c>
      <c r="C343" s="1422" t="s">
        <v>2817</v>
      </c>
      <c r="D343"/>
      <c r="E343"/>
      <c r="F343"/>
      <c r="G343"/>
      <c r="H343"/>
      <c r="I343"/>
      <c r="J343"/>
      <c r="K343"/>
      <c r="L343"/>
      <c r="M343"/>
      <c r="N343"/>
      <c r="O343"/>
      <c r="P343"/>
      <c r="Q343"/>
      <c r="R343"/>
      <c r="S343"/>
      <c r="T343"/>
      <c r="U343"/>
      <c r="V343"/>
      <c r="W343"/>
      <c r="X343"/>
      <c r="Y343"/>
      <c r="Z343"/>
      <c r="AA343"/>
      <c r="AB343"/>
      <c r="AC343"/>
      <c r="AD343"/>
      <c r="AE343"/>
      <c r="AF343"/>
    </row>
    <row r="344" spans="1:32" ht="20.45" customHeight="1" x14ac:dyDescent="0.2">
      <c r="A344" s="1421" t="s">
        <v>1228</v>
      </c>
      <c r="B344" s="1417" t="s">
        <v>9007</v>
      </c>
      <c r="C344" s="1422" t="s">
        <v>2814</v>
      </c>
      <c r="D344"/>
      <c r="E344"/>
      <c r="F344"/>
      <c r="G344"/>
      <c r="H344"/>
      <c r="I344"/>
      <c r="J344"/>
      <c r="K344"/>
      <c r="L344"/>
      <c r="M344"/>
      <c r="N344"/>
      <c r="O344"/>
      <c r="P344"/>
      <c r="Q344"/>
      <c r="R344"/>
      <c r="S344"/>
      <c r="T344"/>
      <c r="U344"/>
      <c r="V344"/>
      <c r="W344"/>
      <c r="X344"/>
      <c r="Y344"/>
      <c r="Z344"/>
      <c r="AA344"/>
      <c r="AB344"/>
      <c r="AC344"/>
      <c r="AD344"/>
      <c r="AE344"/>
      <c r="AF344"/>
    </row>
    <row r="345" spans="1:32" ht="20.45" customHeight="1" x14ac:dyDescent="0.2">
      <c r="A345" s="1421" t="s">
        <v>1228</v>
      </c>
      <c r="B345" s="1417" t="s">
        <v>9006</v>
      </c>
      <c r="C345" s="1422" t="s">
        <v>2818</v>
      </c>
      <c r="D345"/>
      <c r="E345"/>
      <c r="F345"/>
      <c r="G345"/>
      <c r="H345"/>
      <c r="I345"/>
      <c r="J345"/>
      <c r="K345"/>
      <c r="L345"/>
      <c r="M345"/>
      <c r="N345"/>
      <c r="O345"/>
      <c r="P345"/>
      <c r="Q345"/>
      <c r="R345"/>
      <c r="S345"/>
      <c r="T345"/>
      <c r="U345"/>
      <c r="V345"/>
      <c r="W345"/>
      <c r="X345"/>
      <c r="Y345"/>
      <c r="Z345"/>
      <c r="AA345"/>
      <c r="AB345"/>
      <c r="AC345"/>
      <c r="AD345"/>
      <c r="AE345"/>
      <c r="AF345"/>
    </row>
    <row r="346" spans="1:32" ht="20.45" customHeight="1" x14ac:dyDescent="0.2">
      <c r="A346" s="1421" t="s">
        <v>1228</v>
      </c>
      <c r="B346" s="1417" t="s">
        <v>9005</v>
      </c>
      <c r="C346" s="1422" t="s">
        <v>5619</v>
      </c>
      <c r="D346"/>
      <c r="E346"/>
      <c r="F346"/>
      <c r="G346"/>
      <c r="H346"/>
      <c r="I346"/>
      <c r="J346"/>
      <c r="K346"/>
      <c r="L346"/>
      <c r="M346"/>
      <c r="N346"/>
      <c r="O346"/>
      <c r="P346"/>
      <c r="Q346"/>
      <c r="R346"/>
      <c r="S346"/>
      <c r="T346"/>
      <c r="U346"/>
      <c r="V346"/>
      <c r="W346"/>
      <c r="X346"/>
      <c r="Y346"/>
      <c r="Z346"/>
      <c r="AA346"/>
      <c r="AB346"/>
      <c r="AC346"/>
      <c r="AD346"/>
      <c r="AE346"/>
      <c r="AF346"/>
    </row>
    <row r="347" spans="1:32" ht="20.45" customHeight="1" x14ac:dyDescent="0.2">
      <c r="A347" s="1421" t="s">
        <v>1228</v>
      </c>
      <c r="B347" s="1417" t="s">
        <v>9004</v>
      </c>
      <c r="C347" s="1422" t="s">
        <v>15</v>
      </c>
      <c r="D347"/>
      <c r="E347"/>
      <c r="F347"/>
      <c r="G347"/>
      <c r="H347"/>
      <c r="I347"/>
      <c r="J347"/>
      <c r="K347"/>
      <c r="L347"/>
      <c r="M347"/>
      <c r="N347"/>
      <c r="O347"/>
      <c r="P347"/>
      <c r="Q347"/>
      <c r="R347"/>
      <c r="S347"/>
      <c r="T347"/>
      <c r="U347"/>
      <c r="V347"/>
      <c r="W347"/>
      <c r="X347"/>
      <c r="Y347"/>
      <c r="Z347"/>
      <c r="AA347"/>
      <c r="AB347"/>
      <c r="AC347"/>
      <c r="AD347"/>
      <c r="AE347"/>
      <c r="AF347"/>
    </row>
    <row r="348" spans="1:32" ht="20.45" customHeight="1" x14ac:dyDescent="0.2">
      <c r="A348" s="1419" t="s">
        <v>39</v>
      </c>
      <c r="B348" s="1800" t="s">
        <v>8141</v>
      </c>
      <c r="C348" s="1420" t="s">
        <v>5620</v>
      </c>
      <c r="D348"/>
      <c r="E348"/>
      <c r="F348"/>
      <c r="G348"/>
      <c r="H348"/>
      <c r="I348"/>
      <c r="J348"/>
      <c r="K348"/>
      <c r="L348"/>
      <c r="M348"/>
      <c r="N348"/>
      <c r="O348"/>
      <c r="P348"/>
      <c r="Q348"/>
      <c r="R348"/>
      <c r="S348"/>
      <c r="T348"/>
      <c r="U348"/>
      <c r="V348"/>
      <c r="W348"/>
      <c r="X348"/>
      <c r="Y348"/>
      <c r="Z348"/>
      <c r="AA348"/>
      <c r="AB348"/>
      <c r="AC348"/>
      <c r="AD348"/>
      <c r="AE348"/>
      <c r="AF348"/>
    </row>
    <row r="349" spans="1:32" ht="20.45" customHeight="1" x14ac:dyDescent="0.2">
      <c r="A349" s="1421" t="s">
        <v>1228</v>
      </c>
      <c r="B349" s="1417" t="s">
        <v>8142</v>
      </c>
      <c r="C349" s="1422" t="s">
        <v>2745</v>
      </c>
      <c r="D349"/>
      <c r="E349"/>
      <c r="F349"/>
      <c r="G349"/>
      <c r="H349"/>
      <c r="I349"/>
      <c r="J349"/>
      <c r="K349"/>
      <c r="L349"/>
      <c r="M349"/>
      <c r="N349"/>
      <c r="O349"/>
      <c r="P349"/>
      <c r="Q349"/>
      <c r="R349"/>
      <c r="S349"/>
      <c r="T349"/>
      <c r="U349"/>
      <c r="V349"/>
      <c r="W349"/>
      <c r="X349"/>
      <c r="Y349"/>
      <c r="Z349"/>
      <c r="AA349"/>
      <c r="AB349"/>
      <c r="AC349"/>
      <c r="AD349"/>
      <c r="AE349"/>
      <c r="AF349"/>
    </row>
    <row r="350" spans="1:32" ht="20.45" customHeight="1" x14ac:dyDescent="0.2">
      <c r="A350" s="1421" t="s">
        <v>1228</v>
      </c>
      <c r="B350" s="1417" t="s">
        <v>8144</v>
      </c>
      <c r="C350" s="1422" t="s">
        <v>5618</v>
      </c>
      <c r="D350"/>
      <c r="E350"/>
      <c r="F350"/>
      <c r="G350"/>
      <c r="H350"/>
      <c r="I350"/>
      <c r="J350"/>
      <c r="K350"/>
      <c r="L350"/>
      <c r="M350"/>
      <c r="N350"/>
      <c r="O350"/>
      <c r="P350"/>
      <c r="Q350"/>
      <c r="R350"/>
      <c r="S350"/>
      <c r="T350"/>
      <c r="U350"/>
      <c r="V350"/>
      <c r="W350"/>
      <c r="X350"/>
      <c r="Y350"/>
      <c r="Z350"/>
      <c r="AA350"/>
      <c r="AB350"/>
      <c r="AC350"/>
      <c r="AD350"/>
      <c r="AE350"/>
      <c r="AF350"/>
    </row>
    <row r="351" spans="1:32" ht="20.45" customHeight="1" x14ac:dyDescent="0.2">
      <c r="A351" s="1421" t="s">
        <v>1228</v>
      </c>
      <c r="B351" s="1417" t="s">
        <v>8151</v>
      </c>
      <c r="C351" s="1422" t="s">
        <v>2817</v>
      </c>
      <c r="D351"/>
      <c r="E351"/>
      <c r="F351"/>
      <c r="G351"/>
      <c r="H351"/>
      <c r="I351"/>
      <c r="J351"/>
      <c r="K351"/>
      <c r="L351"/>
      <c r="M351"/>
      <c r="N351"/>
      <c r="O351"/>
      <c r="P351"/>
      <c r="Q351"/>
      <c r="R351"/>
      <c r="S351"/>
      <c r="T351"/>
      <c r="U351"/>
      <c r="V351"/>
      <c r="W351"/>
      <c r="X351"/>
      <c r="Y351"/>
      <c r="Z351"/>
      <c r="AA351"/>
      <c r="AB351"/>
      <c r="AC351"/>
      <c r="AD351"/>
      <c r="AE351"/>
      <c r="AF351"/>
    </row>
    <row r="352" spans="1:32" ht="20.45" customHeight="1" x14ac:dyDescent="0.2">
      <c r="A352" s="1421" t="s">
        <v>1228</v>
      </c>
      <c r="B352" s="1417" t="s">
        <v>8159</v>
      </c>
      <c r="C352" s="1422" t="s">
        <v>2814</v>
      </c>
      <c r="D352"/>
      <c r="E352"/>
      <c r="F352"/>
      <c r="G352"/>
      <c r="H352"/>
      <c r="I352"/>
      <c r="J352"/>
      <c r="K352"/>
      <c r="L352"/>
      <c r="M352"/>
      <c r="N352"/>
      <c r="O352"/>
      <c r="P352"/>
      <c r="Q352"/>
      <c r="R352"/>
      <c r="S352"/>
      <c r="T352"/>
      <c r="U352"/>
      <c r="V352"/>
      <c r="W352"/>
      <c r="X352"/>
      <c r="Y352"/>
      <c r="Z352"/>
      <c r="AA352"/>
      <c r="AB352"/>
      <c r="AC352"/>
      <c r="AD352"/>
      <c r="AE352"/>
      <c r="AF352"/>
    </row>
    <row r="353" spans="1:32" ht="20.45" customHeight="1" x14ac:dyDescent="0.2">
      <c r="A353" s="1421" t="s">
        <v>1228</v>
      </c>
      <c r="B353" s="1417" t="s">
        <v>9003</v>
      </c>
      <c r="C353" s="1422" t="s">
        <v>2818</v>
      </c>
      <c r="D353"/>
      <c r="E353"/>
      <c r="F353"/>
      <c r="G353"/>
      <c r="H353"/>
      <c r="I353"/>
      <c r="J353"/>
      <c r="K353"/>
      <c r="L353"/>
      <c r="M353"/>
      <c r="N353"/>
      <c r="O353"/>
      <c r="P353"/>
      <c r="Q353"/>
      <c r="R353"/>
      <c r="S353"/>
      <c r="T353"/>
      <c r="U353"/>
      <c r="V353"/>
      <c r="W353"/>
      <c r="X353"/>
      <c r="Y353"/>
      <c r="Z353"/>
      <c r="AA353"/>
      <c r="AB353"/>
      <c r="AC353"/>
      <c r="AD353"/>
      <c r="AE353"/>
      <c r="AF353"/>
    </row>
    <row r="354" spans="1:32" ht="20.45" customHeight="1" x14ac:dyDescent="0.2">
      <c r="A354" s="1421" t="s">
        <v>1228</v>
      </c>
      <c r="B354" s="1417" t="s">
        <v>9002</v>
      </c>
      <c r="C354" s="1422" t="s">
        <v>5619</v>
      </c>
      <c r="D354"/>
      <c r="E354"/>
      <c r="F354"/>
      <c r="G354"/>
      <c r="H354"/>
      <c r="I354"/>
      <c r="J354"/>
      <c r="K354"/>
      <c r="L354"/>
      <c r="M354"/>
      <c r="N354"/>
      <c r="O354"/>
      <c r="P354"/>
      <c r="Q354"/>
      <c r="R354"/>
      <c r="S354"/>
      <c r="T354"/>
      <c r="U354"/>
      <c r="V354"/>
      <c r="W354"/>
      <c r="X354"/>
      <c r="Y354"/>
      <c r="Z354"/>
      <c r="AA354"/>
      <c r="AB354"/>
      <c r="AC354"/>
      <c r="AD354"/>
      <c r="AE354"/>
      <c r="AF354"/>
    </row>
    <row r="355" spans="1:32" ht="20.45" customHeight="1" x14ac:dyDescent="0.2">
      <c r="A355" s="1421" t="s">
        <v>1228</v>
      </c>
      <c r="B355" s="1417" t="s">
        <v>9001</v>
      </c>
      <c r="C355" s="1422" t="s">
        <v>15</v>
      </c>
      <c r="D355"/>
      <c r="E355"/>
      <c r="F355"/>
      <c r="G355"/>
      <c r="H355"/>
      <c r="I355"/>
      <c r="J355"/>
      <c r="K355"/>
      <c r="L355"/>
      <c r="M355"/>
      <c r="N355"/>
      <c r="O355"/>
      <c r="P355"/>
      <c r="Q355"/>
      <c r="R355"/>
      <c r="S355"/>
      <c r="T355"/>
      <c r="U355"/>
      <c r="V355"/>
      <c r="W355"/>
      <c r="X355"/>
      <c r="Y355"/>
      <c r="Z355"/>
      <c r="AA355"/>
      <c r="AB355"/>
      <c r="AC355"/>
      <c r="AD355"/>
      <c r="AE355"/>
      <c r="AF355"/>
    </row>
    <row r="356" spans="1:32" ht="20.45" customHeight="1" x14ac:dyDescent="0.2">
      <c r="A356" s="1419" t="s">
        <v>39</v>
      </c>
      <c r="B356" s="1800" t="s">
        <v>8168</v>
      </c>
      <c r="C356" s="1420" t="s">
        <v>5621</v>
      </c>
      <c r="D356"/>
      <c r="E356"/>
      <c r="F356"/>
      <c r="G356"/>
      <c r="H356"/>
      <c r="I356"/>
      <c r="J356"/>
      <c r="K356"/>
      <c r="L356"/>
      <c r="M356"/>
      <c r="N356"/>
      <c r="O356"/>
      <c r="P356"/>
      <c r="Q356"/>
      <c r="R356"/>
      <c r="S356"/>
      <c r="T356"/>
      <c r="U356"/>
      <c r="V356"/>
      <c r="W356"/>
      <c r="X356"/>
      <c r="Y356"/>
      <c r="Z356"/>
      <c r="AA356"/>
      <c r="AB356"/>
      <c r="AC356"/>
      <c r="AD356"/>
      <c r="AE356"/>
      <c r="AF356"/>
    </row>
    <row r="357" spans="1:32" ht="20.45" customHeight="1" x14ac:dyDescent="0.2">
      <c r="A357" s="1421" t="s">
        <v>1228</v>
      </c>
      <c r="B357" s="1417" t="s">
        <v>8169</v>
      </c>
      <c r="C357" s="1422" t="s">
        <v>2745</v>
      </c>
      <c r="D357"/>
      <c r="E357"/>
      <c r="F357"/>
      <c r="G357"/>
      <c r="H357"/>
      <c r="I357"/>
      <c r="J357"/>
      <c r="K357"/>
      <c r="L357"/>
      <c r="M357"/>
      <c r="N357"/>
      <c r="O357"/>
      <c r="P357"/>
      <c r="Q357"/>
      <c r="R357"/>
      <c r="S357"/>
      <c r="T357"/>
      <c r="U357"/>
      <c r="V357"/>
      <c r="W357"/>
      <c r="X357"/>
      <c r="Y357"/>
      <c r="Z357"/>
      <c r="AA357"/>
      <c r="AB357"/>
      <c r="AC357"/>
      <c r="AD357"/>
      <c r="AE357"/>
      <c r="AF357"/>
    </row>
    <row r="358" spans="1:32" ht="20.45" customHeight="1" x14ac:dyDescent="0.2">
      <c r="A358" s="1421" t="s">
        <v>1228</v>
      </c>
      <c r="B358" s="1417" t="s">
        <v>8171</v>
      </c>
      <c r="C358" s="1422" t="s">
        <v>5618</v>
      </c>
      <c r="D358"/>
      <c r="E358"/>
      <c r="F358"/>
      <c r="G358"/>
      <c r="H358"/>
      <c r="I358"/>
      <c r="J358"/>
      <c r="K358"/>
      <c r="L358"/>
      <c r="M358"/>
      <c r="N358"/>
      <c r="O358"/>
      <c r="P358"/>
      <c r="Q358"/>
      <c r="R358"/>
      <c r="S358"/>
      <c r="T358"/>
      <c r="U358"/>
      <c r="V358"/>
      <c r="W358"/>
      <c r="X358"/>
      <c r="Y358"/>
      <c r="Z358"/>
      <c r="AA358"/>
      <c r="AB358"/>
      <c r="AC358"/>
      <c r="AD358"/>
      <c r="AE358"/>
      <c r="AF358"/>
    </row>
    <row r="359" spans="1:32" ht="20.45" customHeight="1" x14ac:dyDescent="0.2">
      <c r="A359" s="1421" t="s">
        <v>1228</v>
      </c>
      <c r="B359" s="1417" t="s">
        <v>8178</v>
      </c>
      <c r="C359" s="1422" t="s">
        <v>2817</v>
      </c>
      <c r="D359"/>
      <c r="E359"/>
      <c r="F359"/>
      <c r="G359"/>
      <c r="H359"/>
      <c r="I359"/>
      <c r="J359"/>
      <c r="K359"/>
      <c r="L359"/>
      <c r="M359"/>
      <c r="N359"/>
      <c r="O359"/>
      <c r="P359"/>
      <c r="Q359"/>
      <c r="R359"/>
      <c r="S359"/>
      <c r="T359"/>
      <c r="U359"/>
      <c r="V359"/>
      <c r="W359"/>
      <c r="X359"/>
      <c r="Y359"/>
      <c r="Z359"/>
      <c r="AA359"/>
      <c r="AB359"/>
      <c r="AC359"/>
      <c r="AD359"/>
      <c r="AE359"/>
      <c r="AF359"/>
    </row>
    <row r="360" spans="1:32" ht="20.45" customHeight="1" x14ac:dyDescent="0.2">
      <c r="A360" s="1421" t="s">
        <v>1228</v>
      </c>
      <c r="B360" s="1417" t="s">
        <v>8184</v>
      </c>
      <c r="C360" s="1422" t="s">
        <v>2814</v>
      </c>
      <c r="D360"/>
      <c r="E360"/>
      <c r="F360"/>
      <c r="G360"/>
      <c r="H360"/>
      <c r="I360"/>
      <c r="J360"/>
      <c r="K360"/>
      <c r="L360"/>
      <c r="M360"/>
      <c r="N360"/>
      <c r="O360"/>
      <c r="P360"/>
      <c r="Q360"/>
      <c r="R360"/>
      <c r="S360"/>
      <c r="T360"/>
      <c r="U360"/>
      <c r="V360"/>
      <c r="W360"/>
      <c r="X360"/>
      <c r="Y360"/>
      <c r="Z360"/>
      <c r="AA360"/>
      <c r="AB360"/>
      <c r="AC360"/>
      <c r="AD360"/>
      <c r="AE360"/>
      <c r="AF360"/>
    </row>
    <row r="361" spans="1:32" ht="20.45" customHeight="1" x14ac:dyDescent="0.2">
      <c r="A361" s="1421" t="s">
        <v>1228</v>
      </c>
      <c r="B361" s="1417" t="s">
        <v>9000</v>
      </c>
      <c r="C361" s="1422" t="s">
        <v>2818</v>
      </c>
      <c r="D361"/>
      <c r="E361"/>
      <c r="F361"/>
      <c r="G361"/>
      <c r="H361"/>
      <c r="I361"/>
      <c r="J361"/>
      <c r="K361"/>
      <c r="L361"/>
      <c r="M361"/>
      <c r="N361"/>
      <c r="O361"/>
      <c r="P361"/>
      <c r="Q361"/>
      <c r="R361"/>
      <c r="S361"/>
      <c r="T361"/>
      <c r="U361"/>
      <c r="V361"/>
      <c r="W361"/>
      <c r="X361"/>
      <c r="Y361"/>
      <c r="Z361"/>
      <c r="AA361"/>
      <c r="AB361"/>
      <c r="AC361"/>
      <c r="AD361"/>
      <c r="AE361"/>
      <c r="AF361"/>
    </row>
    <row r="362" spans="1:32" ht="20.45" customHeight="1" x14ac:dyDescent="0.2">
      <c r="A362" s="1421" t="s">
        <v>1228</v>
      </c>
      <c r="B362" s="1417" t="s">
        <v>8999</v>
      </c>
      <c r="C362" s="1422" t="s">
        <v>5619</v>
      </c>
      <c r="D362"/>
      <c r="E362"/>
      <c r="F362"/>
      <c r="G362"/>
      <c r="H362"/>
      <c r="I362"/>
      <c r="J362"/>
      <c r="K362"/>
      <c r="L362"/>
      <c r="M362"/>
      <c r="N362"/>
      <c r="O362"/>
      <c r="P362"/>
      <c r="Q362"/>
      <c r="R362"/>
      <c r="S362"/>
      <c r="T362"/>
      <c r="U362"/>
      <c r="V362"/>
      <c r="W362"/>
      <c r="X362"/>
      <c r="Y362"/>
      <c r="Z362"/>
      <c r="AA362"/>
      <c r="AB362"/>
      <c r="AC362"/>
      <c r="AD362"/>
      <c r="AE362"/>
      <c r="AF362"/>
    </row>
    <row r="363" spans="1:32" ht="20.45" customHeight="1" x14ac:dyDescent="0.2">
      <c r="A363" s="1421" t="s">
        <v>1228</v>
      </c>
      <c r="B363" s="1417" t="s">
        <v>8998</v>
      </c>
      <c r="C363" s="1422" t="s">
        <v>15</v>
      </c>
      <c r="D363"/>
      <c r="E363"/>
      <c r="F363"/>
      <c r="G363"/>
      <c r="H363"/>
      <c r="I363"/>
      <c r="J363"/>
      <c r="K363"/>
      <c r="L363"/>
      <c r="M363"/>
      <c r="N363"/>
      <c r="O363"/>
      <c r="P363"/>
      <c r="Q363"/>
      <c r="R363"/>
      <c r="S363"/>
      <c r="T363"/>
      <c r="U363"/>
      <c r="V363"/>
      <c r="W363"/>
      <c r="X363"/>
      <c r="Y363"/>
      <c r="Z363"/>
      <c r="AA363"/>
      <c r="AB363"/>
      <c r="AC363"/>
      <c r="AD363"/>
      <c r="AE363"/>
      <c r="AF363"/>
    </row>
    <row r="364" spans="1:32" ht="20.45" customHeight="1" x14ac:dyDescent="0.2">
      <c r="A364" s="1419" t="s">
        <v>1237</v>
      </c>
      <c r="B364" s="1417">
        <v>18</v>
      </c>
      <c r="C364" s="1420" t="s">
        <v>2529</v>
      </c>
      <c r="D364"/>
      <c r="E364"/>
      <c r="F364"/>
      <c r="G364"/>
      <c r="H364"/>
      <c r="I364"/>
      <c r="J364"/>
      <c r="K364"/>
      <c r="L364"/>
      <c r="M364"/>
      <c r="N364"/>
      <c r="O364"/>
      <c r="P364"/>
      <c r="Q364"/>
      <c r="R364"/>
      <c r="S364"/>
      <c r="T364"/>
      <c r="U364"/>
      <c r="V364"/>
      <c r="W364"/>
      <c r="X364"/>
      <c r="Y364"/>
      <c r="Z364"/>
      <c r="AA364"/>
      <c r="AB364"/>
      <c r="AC364"/>
      <c r="AD364"/>
      <c r="AE364"/>
      <c r="AF364"/>
    </row>
    <row r="365" spans="1:32" ht="20.45" customHeight="1" x14ac:dyDescent="0.2">
      <c r="A365" s="1419" t="s">
        <v>39</v>
      </c>
      <c r="B365" s="1800" t="s">
        <v>8408</v>
      </c>
      <c r="C365" s="1427" t="s">
        <v>9695</v>
      </c>
      <c r="D365"/>
      <c r="E365"/>
      <c r="F365"/>
      <c r="G365"/>
      <c r="H365"/>
      <c r="I365"/>
      <c r="J365"/>
      <c r="K365"/>
      <c r="L365"/>
      <c r="M365"/>
      <c r="N365"/>
      <c r="O365"/>
      <c r="P365"/>
      <c r="Q365"/>
      <c r="R365"/>
      <c r="S365"/>
      <c r="T365"/>
      <c r="U365"/>
      <c r="V365"/>
      <c r="W365"/>
      <c r="X365"/>
      <c r="Y365"/>
      <c r="Z365"/>
      <c r="AA365"/>
      <c r="AB365"/>
      <c r="AC365"/>
      <c r="AD365"/>
      <c r="AE365"/>
      <c r="AF365"/>
    </row>
    <row r="366" spans="1:32" ht="20.45" customHeight="1" x14ac:dyDescent="0.2">
      <c r="A366" s="1421" t="s">
        <v>1228</v>
      </c>
      <c r="B366" s="1417" t="s">
        <v>8409</v>
      </c>
      <c r="C366" s="1422" t="s">
        <v>2748</v>
      </c>
      <c r="D366"/>
      <c r="E366"/>
      <c r="F366"/>
      <c r="G366"/>
      <c r="H366"/>
      <c r="I366"/>
      <c r="J366"/>
      <c r="K366"/>
      <c r="L366"/>
      <c r="M366"/>
      <c r="N366"/>
      <c r="O366"/>
      <c r="P366"/>
      <c r="Q366"/>
      <c r="R366"/>
      <c r="S366"/>
      <c r="T366"/>
      <c r="U366"/>
      <c r="V366"/>
      <c r="W366"/>
      <c r="X366"/>
      <c r="Y366"/>
      <c r="Z366"/>
      <c r="AA366"/>
      <c r="AB366"/>
      <c r="AC366"/>
      <c r="AD366"/>
      <c r="AE366"/>
      <c r="AF366"/>
    </row>
    <row r="367" spans="1:32" ht="20.45" customHeight="1" x14ac:dyDescent="0.2">
      <c r="A367" s="1421" t="s">
        <v>1228</v>
      </c>
      <c r="B367" s="1417" t="s">
        <v>8411</v>
      </c>
      <c r="C367" s="1422" t="s">
        <v>5622</v>
      </c>
      <c r="D367"/>
      <c r="E367"/>
      <c r="F367"/>
      <c r="G367"/>
      <c r="H367"/>
      <c r="I367"/>
      <c r="J367"/>
      <c r="K367"/>
      <c r="L367"/>
      <c r="M367"/>
      <c r="N367"/>
      <c r="O367"/>
      <c r="P367"/>
      <c r="Q367"/>
      <c r="R367"/>
      <c r="S367"/>
      <c r="T367"/>
      <c r="U367"/>
      <c r="V367"/>
      <c r="W367"/>
      <c r="X367"/>
      <c r="Y367"/>
      <c r="Z367"/>
      <c r="AA367"/>
      <c r="AB367"/>
      <c r="AC367"/>
      <c r="AD367"/>
      <c r="AE367"/>
      <c r="AF367"/>
    </row>
    <row r="368" spans="1:32" ht="20.45" customHeight="1" x14ac:dyDescent="0.2">
      <c r="A368" s="1421" t="s">
        <v>1228</v>
      </c>
      <c r="B368" s="1417" t="s">
        <v>8417</v>
      </c>
      <c r="C368" s="1422" t="s">
        <v>2749</v>
      </c>
      <c r="D368"/>
      <c r="E368"/>
      <c r="F368"/>
      <c r="G368"/>
      <c r="H368"/>
      <c r="I368"/>
      <c r="J368"/>
      <c r="K368"/>
      <c r="L368"/>
      <c r="M368"/>
      <c r="N368"/>
      <c r="O368"/>
      <c r="P368"/>
      <c r="Q368"/>
      <c r="R368"/>
      <c r="S368"/>
      <c r="T368"/>
      <c r="U368"/>
      <c r="V368"/>
      <c r="W368"/>
      <c r="X368"/>
      <c r="Y368"/>
      <c r="Z368"/>
      <c r="AA368"/>
      <c r="AB368"/>
      <c r="AC368"/>
      <c r="AD368"/>
      <c r="AE368"/>
      <c r="AF368"/>
    </row>
    <row r="369" spans="1:32" ht="20.45" customHeight="1" x14ac:dyDescent="0.2">
      <c r="A369" s="1421" t="s">
        <v>1228</v>
      </c>
      <c r="B369" s="1417" t="s">
        <v>8997</v>
      </c>
      <c r="C369" s="1422" t="s">
        <v>5623</v>
      </c>
      <c r="D369"/>
      <c r="E369"/>
      <c r="F369"/>
      <c r="G369"/>
      <c r="H369"/>
      <c r="I369"/>
      <c r="J369"/>
      <c r="K369"/>
      <c r="L369"/>
      <c r="M369"/>
      <c r="N369"/>
      <c r="O369"/>
      <c r="P369"/>
      <c r="Q369"/>
      <c r="R369"/>
      <c r="S369"/>
      <c r="T369"/>
      <c r="U369"/>
      <c r="V369"/>
      <c r="W369"/>
      <c r="X369"/>
      <c r="Y369"/>
      <c r="Z369"/>
      <c r="AA369"/>
      <c r="AB369"/>
      <c r="AC369"/>
      <c r="AD369"/>
      <c r="AE369"/>
      <c r="AF369"/>
    </row>
    <row r="370" spans="1:32" ht="20.45" customHeight="1" x14ac:dyDescent="0.2">
      <c r="A370" s="1421" t="s">
        <v>1228</v>
      </c>
      <c r="B370" s="1417" t="s">
        <v>8996</v>
      </c>
      <c r="C370" s="1422" t="s">
        <v>15</v>
      </c>
      <c r="D370"/>
      <c r="E370"/>
      <c r="F370"/>
      <c r="G370"/>
      <c r="H370"/>
      <c r="I370"/>
      <c r="J370"/>
      <c r="K370"/>
      <c r="L370"/>
      <c r="M370"/>
      <c r="N370"/>
      <c r="O370"/>
      <c r="P370"/>
      <c r="Q370"/>
      <c r="R370"/>
      <c r="S370"/>
      <c r="T370"/>
      <c r="U370"/>
      <c r="V370"/>
      <c r="W370"/>
      <c r="X370"/>
      <c r="Y370"/>
      <c r="Z370"/>
      <c r="AA370"/>
      <c r="AB370"/>
      <c r="AC370"/>
      <c r="AD370"/>
      <c r="AE370"/>
      <c r="AF370"/>
    </row>
    <row r="371" spans="1:32" ht="20.45" customHeight="1" x14ac:dyDescent="0.2">
      <c r="A371" s="1419" t="s">
        <v>39</v>
      </c>
      <c r="B371" s="1800" t="s">
        <v>8419</v>
      </c>
      <c r="C371" s="1427" t="s">
        <v>5624</v>
      </c>
      <c r="D371"/>
      <c r="E371"/>
      <c r="F371"/>
      <c r="G371"/>
      <c r="H371"/>
      <c r="I371"/>
      <c r="J371"/>
      <c r="K371"/>
      <c r="L371"/>
      <c r="M371"/>
      <c r="N371"/>
      <c r="O371"/>
      <c r="P371"/>
      <c r="Q371"/>
      <c r="R371"/>
      <c r="S371"/>
      <c r="T371"/>
      <c r="U371"/>
      <c r="V371"/>
      <c r="W371"/>
      <c r="X371"/>
      <c r="Y371"/>
      <c r="Z371"/>
      <c r="AA371"/>
      <c r="AB371"/>
      <c r="AC371"/>
      <c r="AD371"/>
      <c r="AE371"/>
      <c r="AF371"/>
    </row>
    <row r="372" spans="1:32" ht="20.45" customHeight="1" x14ac:dyDescent="0.2">
      <c r="A372" s="1421" t="s">
        <v>1228</v>
      </c>
      <c r="B372" s="1417" t="s">
        <v>8420</v>
      </c>
      <c r="C372" s="1422" t="s">
        <v>2748</v>
      </c>
      <c r="D372"/>
      <c r="E372"/>
      <c r="F372"/>
      <c r="G372"/>
      <c r="H372"/>
      <c r="I372"/>
      <c r="J372"/>
      <c r="K372"/>
      <c r="L372"/>
      <c r="M372"/>
      <c r="N372"/>
      <c r="O372"/>
      <c r="P372"/>
      <c r="Q372"/>
      <c r="R372"/>
      <c r="S372"/>
      <c r="T372"/>
      <c r="U372"/>
      <c r="V372"/>
      <c r="W372"/>
      <c r="X372"/>
      <c r="Y372"/>
      <c r="Z372"/>
      <c r="AA372"/>
      <c r="AB372"/>
      <c r="AC372"/>
      <c r="AD372"/>
      <c r="AE372"/>
      <c r="AF372"/>
    </row>
    <row r="373" spans="1:32" ht="20.45" customHeight="1" x14ac:dyDescent="0.2">
      <c r="A373" s="1421" t="s">
        <v>1228</v>
      </c>
      <c r="B373" s="1417" t="s">
        <v>8422</v>
      </c>
      <c r="C373" s="1422" t="s">
        <v>5622</v>
      </c>
      <c r="D373"/>
      <c r="E373"/>
      <c r="F373"/>
      <c r="G373"/>
      <c r="H373"/>
      <c r="I373"/>
      <c r="J373"/>
      <c r="K373"/>
      <c r="L373"/>
      <c r="M373"/>
      <c r="N373"/>
      <c r="O373"/>
      <c r="P373"/>
      <c r="Q373"/>
      <c r="R373"/>
      <c r="S373"/>
      <c r="T373"/>
      <c r="U373"/>
      <c r="V373"/>
      <c r="W373"/>
      <c r="X373"/>
      <c r="Y373"/>
      <c r="Z373"/>
      <c r="AA373"/>
      <c r="AB373"/>
      <c r="AC373"/>
      <c r="AD373"/>
      <c r="AE373"/>
      <c r="AF373"/>
    </row>
    <row r="374" spans="1:32" ht="20.45" customHeight="1" x14ac:dyDescent="0.2">
      <c r="A374" s="1421" t="s">
        <v>1228</v>
      </c>
      <c r="B374" s="1417" t="s">
        <v>8425</v>
      </c>
      <c r="C374" s="1422" t="s">
        <v>2749</v>
      </c>
      <c r="D374"/>
      <c r="E374"/>
      <c r="F374"/>
      <c r="G374"/>
      <c r="H374"/>
      <c r="I374"/>
      <c r="J374"/>
      <c r="K374"/>
      <c r="L374"/>
      <c r="M374"/>
      <c r="N374"/>
      <c r="O374"/>
      <c r="P374"/>
      <c r="Q374"/>
      <c r="R374"/>
      <c r="S374"/>
      <c r="T374"/>
      <c r="U374"/>
      <c r="V374"/>
      <c r="W374"/>
      <c r="X374"/>
      <c r="Y374"/>
      <c r="Z374"/>
      <c r="AA374"/>
      <c r="AB374"/>
      <c r="AC374"/>
      <c r="AD374"/>
      <c r="AE374"/>
      <c r="AF374"/>
    </row>
    <row r="375" spans="1:32" ht="20.45" customHeight="1" x14ac:dyDescent="0.2">
      <c r="A375" s="1421" t="s">
        <v>1228</v>
      </c>
      <c r="B375" s="1417" t="s">
        <v>8427</v>
      </c>
      <c r="C375" s="1422" t="s">
        <v>5623</v>
      </c>
      <c r="D375"/>
      <c r="E375"/>
      <c r="F375"/>
      <c r="G375"/>
      <c r="H375"/>
      <c r="I375"/>
      <c r="J375"/>
      <c r="K375"/>
      <c r="L375"/>
      <c r="M375"/>
      <c r="N375"/>
      <c r="O375"/>
      <c r="P375"/>
      <c r="Q375"/>
      <c r="R375"/>
      <c r="S375"/>
      <c r="T375"/>
      <c r="U375"/>
      <c r="V375"/>
      <c r="W375"/>
      <c r="X375"/>
      <c r="Y375"/>
      <c r="Z375"/>
      <c r="AA375"/>
      <c r="AB375"/>
      <c r="AC375"/>
      <c r="AD375"/>
      <c r="AE375"/>
      <c r="AF375"/>
    </row>
    <row r="376" spans="1:32" ht="20.45" customHeight="1" x14ac:dyDescent="0.2">
      <c r="A376" s="1421" t="s">
        <v>1228</v>
      </c>
      <c r="B376" s="1417" t="s">
        <v>8995</v>
      </c>
      <c r="C376" s="1422" t="s">
        <v>15</v>
      </c>
      <c r="D376"/>
      <c r="E376"/>
      <c r="F376"/>
      <c r="G376"/>
      <c r="H376"/>
      <c r="I376"/>
      <c r="J376"/>
      <c r="K376"/>
      <c r="L376"/>
      <c r="M376"/>
      <c r="N376"/>
      <c r="O376"/>
      <c r="P376"/>
      <c r="Q376"/>
      <c r="R376"/>
      <c r="S376"/>
      <c r="T376"/>
      <c r="U376"/>
      <c r="V376"/>
      <c r="W376"/>
      <c r="X376"/>
      <c r="Y376"/>
      <c r="Z376"/>
      <c r="AA376"/>
      <c r="AB376"/>
      <c r="AC376"/>
      <c r="AD376"/>
      <c r="AE376"/>
      <c r="AF376"/>
    </row>
    <row r="377" spans="1:32" ht="20.45" customHeight="1" x14ac:dyDescent="0.2">
      <c r="A377" s="1419" t="s">
        <v>39</v>
      </c>
      <c r="B377" s="1800" t="s">
        <v>8429</v>
      </c>
      <c r="C377" s="1427" t="s">
        <v>5625</v>
      </c>
      <c r="D377"/>
      <c r="E377"/>
      <c r="F377"/>
      <c r="G377"/>
      <c r="H377"/>
      <c r="I377"/>
      <c r="J377"/>
      <c r="K377"/>
      <c r="L377"/>
      <c r="M377"/>
      <c r="N377"/>
      <c r="O377"/>
      <c r="P377"/>
      <c r="Q377"/>
      <c r="R377"/>
      <c r="S377"/>
      <c r="T377"/>
      <c r="U377"/>
      <c r="V377"/>
      <c r="W377"/>
      <c r="X377"/>
      <c r="Y377"/>
      <c r="Z377"/>
      <c r="AA377"/>
      <c r="AB377"/>
      <c r="AC377"/>
      <c r="AD377"/>
      <c r="AE377"/>
      <c r="AF377"/>
    </row>
    <row r="378" spans="1:32" ht="20.45" customHeight="1" x14ac:dyDescent="0.2">
      <c r="A378" s="1421" t="s">
        <v>1228</v>
      </c>
      <c r="B378" s="1417" t="s">
        <v>8430</v>
      </c>
      <c r="C378" s="1422" t="s">
        <v>2748</v>
      </c>
      <c r="D378"/>
      <c r="E378"/>
      <c r="F378"/>
      <c r="G378"/>
      <c r="H378"/>
      <c r="I378"/>
      <c r="J378"/>
      <c r="K378"/>
      <c r="L378"/>
      <c r="M378"/>
      <c r="N378"/>
      <c r="O378"/>
      <c r="P378"/>
      <c r="Q378"/>
      <c r="R378"/>
      <c r="S378"/>
      <c r="T378"/>
      <c r="U378"/>
      <c r="V378"/>
      <c r="W378"/>
      <c r="X378"/>
      <c r="Y378"/>
      <c r="Z378"/>
      <c r="AA378"/>
      <c r="AB378"/>
      <c r="AC378"/>
      <c r="AD378"/>
      <c r="AE378"/>
      <c r="AF378"/>
    </row>
    <row r="379" spans="1:32" ht="20.45" customHeight="1" x14ac:dyDescent="0.2">
      <c r="A379" s="1421" t="s">
        <v>1228</v>
      </c>
      <c r="B379" s="1417" t="s">
        <v>8432</v>
      </c>
      <c r="C379" s="1422" t="s">
        <v>5622</v>
      </c>
      <c r="D379"/>
      <c r="E379"/>
      <c r="F379"/>
      <c r="G379"/>
      <c r="H379"/>
      <c r="I379"/>
      <c r="J379"/>
      <c r="K379"/>
      <c r="L379"/>
      <c r="M379"/>
      <c r="N379"/>
      <c r="O379"/>
      <c r="P379"/>
      <c r="Q379"/>
      <c r="R379"/>
      <c r="S379"/>
      <c r="T379"/>
      <c r="U379"/>
      <c r="V379"/>
      <c r="W379"/>
      <c r="X379"/>
      <c r="Y379"/>
      <c r="Z379"/>
      <c r="AA379"/>
      <c r="AB379"/>
      <c r="AC379"/>
      <c r="AD379"/>
      <c r="AE379"/>
      <c r="AF379"/>
    </row>
    <row r="380" spans="1:32" ht="20.45" customHeight="1" x14ac:dyDescent="0.2">
      <c r="A380" s="1421" t="s">
        <v>1228</v>
      </c>
      <c r="B380" s="1417" t="s">
        <v>8434</v>
      </c>
      <c r="C380" s="1422" t="s">
        <v>2749</v>
      </c>
      <c r="D380"/>
      <c r="E380"/>
      <c r="F380"/>
      <c r="G380"/>
      <c r="H380"/>
      <c r="I380"/>
      <c r="J380"/>
      <c r="K380"/>
      <c r="L380"/>
      <c r="M380"/>
      <c r="N380"/>
      <c r="O380"/>
      <c r="P380"/>
      <c r="Q380"/>
      <c r="R380"/>
      <c r="S380"/>
      <c r="T380"/>
      <c r="U380"/>
      <c r="V380"/>
      <c r="W380"/>
      <c r="X380"/>
      <c r="Y380"/>
      <c r="Z380"/>
      <c r="AA380"/>
      <c r="AB380"/>
      <c r="AC380"/>
      <c r="AD380"/>
      <c r="AE380"/>
      <c r="AF380"/>
    </row>
    <row r="381" spans="1:32" ht="20.45" customHeight="1" x14ac:dyDescent="0.2">
      <c r="A381" s="1421" t="s">
        <v>1228</v>
      </c>
      <c r="B381" s="1417" t="s">
        <v>8436</v>
      </c>
      <c r="C381" s="1422" t="s">
        <v>5623</v>
      </c>
      <c r="D381"/>
      <c r="E381"/>
      <c r="F381"/>
      <c r="G381"/>
      <c r="H381"/>
      <c r="I381"/>
      <c r="J381"/>
      <c r="K381"/>
      <c r="L381"/>
      <c r="M381"/>
      <c r="N381"/>
      <c r="O381"/>
      <c r="P381"/>
      <c r="Q381"/>
      <c r="R381"/>
      <c r="S381"/>
      <c r="T381"/>
      <c r="U381"/>
      <c r="V381"/>
      <c r="W381"/>
      <c r="X381"/>
      <c r="Y381"/>
      <c r="Z381"/>
      <c r="AA381"/>
      <c r="AB381"/>
      <c r="AC381"/>
      <c r="AD381"/>
      <c r="AE381"/>
      <c r="AF381"/>
    </row>
    <row r="382" spans="1:32" ht="20.45" customHeight="1" x14ac:dyDescent="0.2">
      <c r="A382" s="1421" t="s">
        <v>1228</v>
      </c>
      <c r="B382" s="1417" t="s">
        <v>8994</v>
      </c>
      <c r="C382" s="1422" t="s">
        <v>15</v>
      </c>
      <c r="D382"/>
      <c r="E382"/>
      <c r="F382"/>
      <c r="G382"/>
      <c r="H382"/>
      <c r="I382"/>
      <c r="J382"/>
      <c r="K382"/>
      <c r="L382"/>
      <c r="M382"/>
      <c r="N382"/>
      <c r="O382"/>
      <c r="P382"/>
      <c r="Q382"/>
      <c r="R382"/>
      <c r="S382"/>
      <c r="T382"/>
      <c r="U382"/>
      <c r="V382"/>
      <c r="W382"/>
      <c r="X382"/>
      <c r="Y382"/>
      <c r="Z382"/>
      <c r="AA382"/>
      <c r="AB382"/>
      <c r="AC382"/>
      <c r="AD382"/>
      <c r="AE382"/>
      <c r="AF382"/>
    </row>
    <row r="383" spans="1:32" ht="20.45" customHeight="1" x14ac:dyDescent="0.2">
      <c r="A383" s="1419" t="s">
        <v>1237</v>
      </c>
      <c r="B383" s="1417">
        <v>19</v>
      </c>
      <c r="C383" s="1420" t="s">
        <v>9615</v>
      </c>
      <c r="D383"/>
      <c r="E383"/>
      <c r="F383"/>
      <c r="G383"/>
      <c r="H383"/>
      <c r="I383"/>
      <c r="J383"/>
      <c r="K383"/>
      <c r="L383"/>
      <c r="M383"/>
      <c r="N383"/>
      <c r="O383"/>
      <c r="P383"/>
      <c r="Q383"/>
      <c r="R383"/>
      <c r="S383"/>
      <c r="T383"/>
      <c r="U383"/>
      <c r="V383"/>
      <c r="W383"/>
      <c r="X383"/>
      <c r="Y383"/>
      <c r="Z383"/>
      <c r="AA383"/>
      <c r="AB383"/>
      <c r="AC383"/>
      <c r="AD383"/>
      <c r="AE383"/>
      <c r="AF383"/>
    </row>
    <row r="384" spans="1:32" ht="20.45" customHeight="1" x14ac:dyDescent="0.2">
      <c r="A384" s="1419" t="s">
        <v>39</v>
      </c>
      <c r="B384" s="1800" t="s">
        <v>8736</v>
      </c>
      <c r="C384" s="1426" t="s">
        <v>9696</v>
      </c>
      <c r="D384"/>
      <c r="E384"/>
      <c r="F384"/>
      <c r="G384"/>
      <c r="H384"/>
      <c r="I384"/>
      <c r="J384"/>
      <c r="K384"/>
      <c r="L384"/>
      <c r="M384"/>
      <c r="N384"/>
      <c r="O384"/>
      <c r="P384"/>
      <c r="Q384"/>
      <c r="R384"/>
      <c r="S384"/>
      <c r="T384"/>
      <c r="U384"/>
      <c r="V384"/>
      <c r="W384"/>
      <c r="X384"/>
      <c r="Y384"/>
      <c r="Z384"/>
      <c r="AA384"/>
      <c r="AB384"/>
      <c r="AC384"/>
      <c r="AD384"/>
      <c r="AE384"/>
      <c r="AF384"/>
    </row>
    <row r="385" spans="1:32" ht="20.45" customHeight="1" x14ac:dyDescent="0.2">
      <c r="A385" s="1421" t="s">
        <v>1228</v>
      </c>
      <c r="B385" s="1417" t="s">
        <v>8737</v>
      </c>
      <c r="C385" s="1422" t="s">
        <v>28</v>
      </c>
      <c r="D385"/>
      <c r="E385"/>
      <c r="F385"/>
      <c r="G385"/>
      <c r="H385"/>
      <c r="I385"/>
      <c r="J385"/>
      <c r="K385"/>
      <c r="L385"/>
      <c r="M385"/>
      <c r="N385"/>
      <c r="O385"/>
      <c r="P385"/>
      <c r="Q385"/>
      <c r="R385"/>
      <c r="S385"/>
      <c r="T385"/>
      <c r="U385"/>
      <c r="V385"/>
      <c r="W385"/>
      <c r="X385"/>
      <c r="Y385"/>
      <c r="Z385"/>
      <c r="AA385"/>
      <c r="AB385"/>
      <c r="AC385"/>
      <c r="AD385"/>
      <c r="AE385"/>
      <c r="AF385"/>
    </row>
    <row r="386" spans="1:32" ht="20.45" customHeight="1" x14ac:dyDescent="0.2">
      <c r="A386" s="1421" t="s">
        <v>1228</v>
      </c>
      <c r="B386" s="1417" t="s">
        <v>8739</v>
      </c>
      <c r="C386" s="1422" t="s">
        <v>29</v>
      </c>
      <c r="D386"/>
      <c r="E386"/>
      <c r="F386"/>
      <c r="G386"/>
      <c r="H386"/>
      <c r="I386"/>
      <c r="J386"/>
      <c r="K386"/>
      <c r="L386"/>
      <c r="M386"/>
      <c r="N386"/>
      <c r="O386"/>
      <c r="P386"/>
      <c r="Q386"/>
      <c r="R386"/>
      <c r="S386"/>
      <c r="T386"/>
      <c r="U386"/>
      <c r="V386"/>
      <c r="W386"/>
      <c r="X386"/>
      <c r="Y386"/>
      <c r="Z386"/>
      <c r="AA386"/>
      <c r="AB386"/>
      <c r="AC386"/>
      <c r="AD386"/>
      <c r="AE386"/>
      <c r="AF386"/>
    </row>
    <row r="387" spans="1:32" ht="20.45" customHeight="1" x14ac:dyDescent="0.2">
      <c r="A387" s="1421" t="s">
        <v>1228</v>
      </c>
      <c r="B387" s="1417" t="s">
        <v>8741</v>
      </c>
      <c r="C387" s="1422" t="s">
        <v>2819</v>
      </c>
      <c r="D387"/>
      <c r="E387"/>
      <c r="F387"/>
      <c r="G387"/>
      <c r="H387"/>
      <c r="I387"/>
      <c r="J387"/>
      <c r="K387"/>
      <c r="L387"/>
      <c r="M387"/>
      <c r="N387"/>
      <c r="O387"/>
      <c r="P387"/>
      <c r="Q387"/>
      <c r="R387"/>
      <c r="S387"/>
      <c r="T387"/>
      <c r="U387"/>
      <c r="V387"/>
      <c r="W387"/>
      <c r="X387"/>
      <c r="Y387"/>
      <c r="Z387"/>
      <c r="AA387"/>
      <c r="AB387"/>
      <c r="AC387"/>
      <c r="AD387"/>
      <c r="AE387"/>
      <c r="AF387"/>
    </row>
    <row r="388" spans="1:32" ht="20.45" customHeight="1" x14ac:dyDescent="0.2">
      <c r="A388" s="1421" t="s">
        <v>1228</v>
      </c>
      <c r="B388" s="1417" t="s">
        <v>8743</v>
      </c>
      <c r="C388" s="1422" t="s">
        <v>799</v>
      </c>
      <c r="D388"/>
      <c r="E388"/>
      <c r="F388"/>
      <c r="G388"/>
      <c r="H388"/>
      <c r="I388"/>
      <c r="J388"/>
      <c r="K388"/>
      <c r="L388"/>
      <c r="M388"/>
      <c r="N388"/>
      <c r="O388"/>
      <c r="P388"/>
      <c r="Q388"/>
      <c r="R388"/>
      <c r="S388"/>
      <c r="T388"/>
      <c r="U388"/>
      <c r="V388"/>
      <c r="W388"/>
      <c r="X388"/>
      <c r="Y388"/>
      <c r="Z388"/>
      <c r="AA388"/>
      <c r="AB388"/>
      <c r="AC388"/>
      <c r="AD388"/>
      <c r="AE388"/>
      <c r="AF388"/>
    </row>
    <row r="389" spans="1:32" ht="20.45" customHeight="1" x14ac:dyDescent="0.2">
      <c r="A389" s="1421" t="s">
        <v>1228</v>
      </c>
      <c r="B389" s="1417" t="s">
        <v>8993</v>
      </c>
      <c r="C389" s="1424" t="s">
        <v>15</v>
      </c>
      <c r="D389"/>
      <c r="E389"/>
      <c r="F389"/>
      <c r="G389"/>
      <c r="H389"/>
      <c r="I389"/>
      <c r="J389"/>
      <c r="K389"/>
      <c r="L389"/>
      <c r="M389"/>
      <c r="N389"/>
      <c r="O389"/>
      <c r="P389"/>
      <c r="Q389"/>
      <c r="R389"/>
      <c r="S389"/>
      <c r="T389"/>
      <c r="U389"/>
      <c r="V389"/>
      <c r="W389"/>
      <c r="X389"/>
      <c r="Y389"/>
      <c r="Z389"/>
      <c r="AA389"/>
      <c r="AB389"/>
      <c r="AC389"/>
      <c r="AD389"/>
      <c r="AE389"/>
      <c r="AF389"/>
    </row>
    <row r="390" spans="1:32" ht="20.45" customHeight="1" x14ac:dyDescent="0.2">
      <c r="A390" s="1419" t="s">
        <v>39</v>
      </c>
      <c r="B390" s="1800" t="s">
        <v>8745</v>
      </c>
      <c r="C390" s="1426" t="s">
        <v>5626</v>
      </c>
      <c r="D390"/>
      <c r="E390"/>
      <c r="F390"/>
      <c r="G390"/>
      <c r="H390"/>
      <c r="I390"/>
      <c r="J390"/>
      <c r="K390"/>
      <c r="L390"/>
      <c r="M390"/>
      <c r="N390"/>
      <c r="O390"/>
      <c r="P390"/>
      <c r="Q390"/>
      <c r="R390"/>
      <c r="S390"/>
      <c r="T390"/>
      <c r="U390"/>
      <c r="V390"/>
      <c r="W390"/>
      <c r="X390"/>
      <c r="Y390"/>
      <c r="Z390"/>
      <c r="AA390"/>
      <c r="AB390"/>
      <c r="AC390"/>
      <c r="AD390"/>
      <c r="AE390"/>
      <c r="AF390"/>
    </row>
    <row r="391" spans="1:32" ht="20.45" customHeight="1" x14ac:dyDescent="0.2">
      <c r="A391" s="1421" t="s">
        <v>1228</v>
      </c>
      <c r="B391" s="1417" t="s">
        <v>8746</v>
      </c>
      <c r="C391" s="1422" t="s">
        <v>28</v>
      </c>
      <c r="D391"/>
      <c r="E391"/>
      <c r="F391"/>
      <c r="G391"/>
      <c r="H391"/>
      <c r="I391"/>
      <c r="J391"/>
      <c r="K391"/>
      <c r="L391"/>
      <c r="M391"/>
      <c r="N391"/>
      <c r="O391"/>
      <c r="P391"/>
      <c r="Q391"/>
      <c r="R391"/>
      <c r="S391"/>
      <c r="T391"/>
      <c r="U391"/>
      <c r="V391"/>
      <c r="W391"/>
      <c r="X391"/>
      <c r="Y391"/>
      <c r="Z391"/>
      <c r="AA391"/>
      <c r="AB391"/>
      <c r="AC391"/>
      <c r="AD391"/>
      <c r="AE391"/>
      <c r="AF391"/>
    </row>
    <row r="392" spans="1:32" ht="20.45" customHeight="1" x14ac:dyDescent="0.2">
      <c r="A392" s="1421" t="s">
        <v>1228</v>
      </c>
      <c r="B392" s="1417" t="s">
        <v>8748</v>
      </c>
      <c r="C392" s="1422" t="s">
        <v>29</v>
      </c>
      <c r="D392"/>
      <c r="E392"/>
      <c r="F392"/>
      <c r="G392"/>
      <c r="H392"/>
      <c r="I392"/>
      <c r="J392"/>
      <c r="K392"/>
      <c r="L392"/>
      <c r="M392"/>
      <c r="N392"/>
      <c r="O392"/>
      <c r="P392"/>
      <c r="Q392"/>
      <c r="R392"/>
      <c r="S392"/>
      <c r="T392"/>
      <c r="U392"/>
      <c r="V392"/>
      <c r="W392"/>
      <c r="X392"/>
      <c r="Y392"/>
      <c r="Z392"/>
      <c r="AA392"/>
      <c r="AB392"/>
      <c r="AC392"/>
      <c r="AD392"/>
      <c r="AE392"/>
      <c r="AF392"/>
    </row>
    <row r="393" spans="1:32" ht="20.45" customHeight="1" x14ac:dyDescent="0.2">
      <c r="A393" s="1421" t="s">
        <v>1228</v>
      </c>
      <c r="B393" s="1417" t="s">
        <v>8992</v>
      </c>
      <c r="C393" s="1422" t="s">
        <v>2819</v>
      </c>
      <c r="D393"/>
      <c r="E393"/>
      <c r="F393"/>
      <c r="G393"/>
      <c r="H393"/>
      <c r="I393"/>
      <c r="J393"/>
      <c r="K393"/>
      <c r="L393"/>
      <c r="M393"/>
      <c r="N393"/>
      <c r="O393"/>
      <c r="P393"/>
      <c r="Q393"/>
      <c r="R393"/>
      <c r="S393"/>
      <c r="T393"/>
      <c r="U393"/>
      <c r="V393"/>
      <c r="W393"/>
      <c r="X393"/>
      <c r="Y393"/>
      <c r="Z393"/>
      <c r="AA393"/>
      <c r="AB393"/>
      <c r="AC393"/>
      <c r="AD393"/>
      <c r="AE393"/>
      <c r="AF393"/>
    </row>
    <row r="394" spans="1:32" ht="20.45" customHeight="1" x14ac:dyDescent="0.2">
      <c r="A394" s="1421" t="s">
        <v>1228</v>
      </c>
      <c r="B394" s="1417" t="s">
        <v>8991</v>
      </c>
      <c r="C394" s="1422" t="s">
        <v>799</v>
      </c>
      <c r="D394"/>
      <c r="E394"/>
      <c r="F394"/>
      <c r="G394"/>
      <c r="H394"/>
      <c r="I394"/>
      <c r="J394"/>
      <c r="K394"/>
      <c r="L394"/>
      <c r="M394"/>
      <c r="N394"/>
      <c r="O394"/>
      <c r="P394"/>
      <c r="Q394"/>
      <c r="R394"/>
      <c r="S394"/>
      <c r="T394"/>
      <c r="U394"/>
      <c r="V394"/>
      <c r="W394"/>
      <c r="X394"/>
      <c r="Y394"/>
      <c r="Z394"/>
      <c r="AA394"/>
      <c r="AB394"/>
      <c r="AC394"/>
      <c r="AD394"/>
      <c r="AE394"/>
      <c r="AF394"/>
    </row>
    <row r="395" spans="1:32" ht="20.45" customHeight="1" x14ac:dyDescent="0.2">
      <c r="A395" s="1421" t="s">
        <v>1228</v>
      </c>
      <c r="B395" s="1417" t="s">
        <v>8990</v>
      </c>
      <c r="C395" s="1424" t="s">
        <v>15</v>
      </c>
      <c r="D395"/>
      <c r="E395"/>
      <c r="F395"/>
      <c r="G395"/>
      <c r="H395"/>
      <c r="I395"/>
      <c r="J395"/>
      <c r="K395"/>
      <c r="L395"/>
      <c r="M395"/>
      <c r="N395"/>
      <c r="O395"/>
      <c r="P395"/>
      <c r="Q395"/>
      <c r="R395"/>
      <c r="S395"/>
      <c r="T395"/>
      <c r="U395"/>
      <c r="V395"/>
      <c r="W395"/>
      <c r="X395"/>
      <c r="Y395"/>
      <c r="Z395"/>
      <c r="AA395"/>
      <c r="AB395"/>
      <c r="AC395"/>
      <c r="AD395"/>
      <c r="AE395"/>
      <c r="AF395"/>
    </row>
    <row r="396" spans="1:32" ht="20.45" customHeight="1" x14ac:dyDescent="0.2">
      <c r="A396" s="1419" t="s">
        <v>39</v>
      </c>
      <c r="B396" s="1800" t="s">
        <v>8750</v>
      </c>
      <c r="C396" s="1426" t="s">
        <v>5627</v>
      </c>
      <c r="D396"/>
      <c r="E396"/>
      <c r="F396"/>
      <c r="G396"/>
      <c r="H396"/>
      <c r="I396"/>
      <c r="J396"/>
      <c r="K396"/>
      <c r="L396"/>
      <c r="M396"/>
      <c r="N396"/>
      <c r="O396"/>
      <c r="P396"/>
      <c r="Q396"/>
      <c r="R396"/>
      <c r="S396"/>
      <c r="T396"/>
      <c r="U396"/>
      <c r="V396"/>
      <c r="W396"/>
      <c r="X396"/>
      <c r="Y396"/>
      <c r="Z396"/>
      <c r="AA396"/>
      <c r="AB396"/>
      <c r="AC396"/>
      <c r="AD396"/>
      <c r="AE396"/>
      <c r="AF396"/>
    </row>
    <row r="397" spans="1:32" ht="20.45" customHeight="1" x14ac:dyDescent="0.2">
      <c r="A397" s="1421" t="s">
        <v>1228</v>
      </c>
      <c r="B397" s="1417" t="s">
        <v>8751</v>
      </c>
      <c r="C397" s="1422" t="s">
        <v>28</v>
      </c>
      <c r="D397"/>
      <c r="E397"/>
      <c r="F397"/>
      <c r="G397"/>
      <c r="H397"/>
      <c r="I397"/>
      <c r="J397"/>
      <c r="K397"/>
      <c r="L397"/>
      <c r="M397"/>
      <c r="N397"/>
      <c r="O397"/>
      <c r="P397"/>
      <c r="Q397"/>
      <c r="R397"/>
      <c r="S397"/>
      <c r="T397"/>
      <c r="U397"/>
      <c r="V397"/>
      <c r="W397"/>
      <c r="X397"/>
      <c r="Y397"/>
      <c r="Z397"/>
      <c r="AA397"/>
      <c r="AB397"/>
      <c r="AC397"/>
      <c r="AD397"/>
      <c r="AE397"/>
      <c r="AF397"/>
    </row>
    <row r="398" spans="1:32" ht="20.45" customHeight="1" x14ac:dyDescent="0.2">
      <c r="A398" s="1421" t="s">
        <v>1228</v>
      </c>
      <c r="B398" s="1417" t="s">
        <v>8753</v>
      </c>
      <c r="C398" s="1422" t="s">
        <v>29</v>
      </c>
      <c r="D398"/>
      <c r="E398"/>
      <c r="F398"/>
      <c r="G398"/>
      <c r="H398"/>
      <c r="I398"/>
      <c r="J398"/>
      <c r="K398"/>
      <c r="L398"/>
      <c r="M398"/>
      <c r="N398"/>
      <c r="O398"/>
      <c r="P398"/>
      <c r="Q398"/>
      <c r="R398"/>
      <c r="S398"/>
      <c r="T398"/>
      <c r="U398"/>
      <c r="V398"/>
      <c r="W398"/>
      <c r="X398"/>
      <c r="Y398"/>
      <c r="Z398"/>
      <c r="AA398"/>
      <c r="AB398"/>
      <c r="AC398"/>
      <c r="AD398"/>
      <c r="AE398"/>
      <c r="AF398"/>
    </row>
    <row r="399" spans="1:32" ht="20.45" customHeight="1" x14ac:dyDescent="0.2">
      <c r="A399" s="1421" t="s">
        <v>1228</v>
      </c>
      <c r="B399" s="1417" t="s">
        <v>8989</v>
      </c>
      <c r="C399" s="1422" t="s">
        <v>2819</v>
      </c>
      <c r="D399"/>
      <c r="E399"/>
      <c r="F399"/>
      <c r="G399"/>
      <c r="H399"/>
      <c r="I399"/>
      <c r="J399"/>
      <c r="K399"/>
      <c r="L399"/>
      <c r="M399"/>
      <c r="N399"/>
      <c r="O399"/>
      <c r="P399"/>
      <c r="Q399"/>
      <c r="R399"/>
      <c r="S399"/>
      <c r="T399"/>
      <c r="U399"/>
      <c r="V399"/>
      <c r="W399"/>
      <c r="X399"/>
      <c r="Y399"/>
      <c r="Z399"/>
      <c r="AA399"/>
      <c r="AB399"/>
      <c r="AC399"/>
      <c r="AD399"/>
      <c r="AE399"/>
      <c r="AF399"/>
    </row>
    <row r="400" spans="1:32" ht="20.45" customHeight="1" x14ac:dyDescent="0.2">
      <c r="A400" s="1421" t="s">
        <v>1228</v>
      </c>
      <c r="B400" s="1417" t="s">
        <v>8988</v>
      </c>
      <c r="C400" s="1422" t="s">
        <v>799</v>
      </c>
      <c r="D400"/>
      <c r="E400"/>
      <c r="F400"/>
      <c r="G400"/>
      <c r="H400"/>
      <c r="I400"/>
      <c r="J400"/>
      <c r="K400"/>
      <c r="L400"/>
      <c r="M400"/>
      <c r="N400"/>
      <c r="O400"/>
      <c r="P400"/>
      <c r="Q400"/>
      <c r="R400"/>
      <c r="S400"/>
      <c r="T400"/>
      <c r="U400"/>
      <c r="V400"/>
      <c r="W400"/>
      <c r="X400"/>
      <c r="Y400"/>
      <c r="Z400"/>
      <c r="AA400"/>
      <c r="AB400"/>
      <c r="AC400"/>
      <c r="AD400"/>
      <c r="AE400"/>
      <c r="AF400"/>
    </row>
    <row r="401" spans="1:32" ht="20.45" customHeight="1" x14ac:dyDescent="0.2">
      <c r="A401" s="1421" t="s">
        <v>1228</v>
      </c>
      <c r="B401" s="1417" t="s">
        <v>8987</v>
      </c>
      <c r="C401" s="1424" t="s">
        <v>15</v>
      </c>
      <c r="D401"/>
      <c r="E401"/>
      <c r="F401"/>
      <c r="G401"/>
      <c r="H401"/>
      <c r="I401"/>
      <c r="J401"/>
      <c r="K401"/>
      <c r="L401"/>
      <c r="M401"/>
      <c r="N401"/>
      <c r="O401"/>
      <c r="P401"/>
      <c r="Q401"/>
      <c r="R401"/>
      <c r="S401"/>
      <c r="T401"/>
      <c r="U401"/>
      <c r="V401"/>
      <c r="W401"/>
      <c r="X401"/>
      <c r="Y401"/>
      <c r="Z401"/>
      <c r="AA401"/>
      <c r="AB401"/>
      <c r="AC401"/>
      <c r="AD401"/>
      <c r="AE401"/>
      <c r="AF401"/>
    </row>
    <row r="402" spans="1:32" ht="20.45" customHeight="1" x14ac:dyDescent="0.2">
      <c r="A402" s="1419" t="s">
        <v>1237</v>
      </c>
      <c r="B402" s="1417">
        <v>20</v>
      </c>
      <c r="C402" s="1420" t="s">
        <v>5776</v>
      </c>
      <c r="D402"/>
      <c r="E402"/>
      <c r="F402"/>
      <c r="G402"/>
      <c r="H402"/>
      <c r="I402"/>
      <c r="J402"/>
      <c r="K402"/>
      <c r="L402"/>
      <c r="M402"/>
      <c r="N402"/>
      <c r="O402"/>
      <c r="P402"/>
      <c r="Q402"/>
      <c r="R402"/>
      <c r="S402"/>
      <c r="T402"/>
      <c r="U402"/>
      <c r="V402"/>
      <c r="W402"/>
      <c r="X402"/>
      <c r="Y402"/>
      <c r="Z402"/>
      <c r="AA402"/>
      <c r="AB402"/>
      <c r="AC402"/>
      <c r="AD402"/>
      <c r="AE402"/>
      <c r="AF402"/>
    </row>
    <row r="403" spans="1:32" ht="20.45" customHeight="1" x14ac:dyDescent="0.2">
      <c r="A403" s="1419" t="s">
        <v>39</v>
      </c>
      <c r="B403" s="1800" t="s">
        <v>8827</v>
      </c>
      <c r="C403" s="1426" t="s">
        <v>9697</v>
      </c>
      <c r="D403"/>
      <c r="E403"/>
      <c r="F403"/>
      <c r="G403"/>
      <c r="H403"/>
      <c r="I403"/>
      <c r="J403"/>
      <c r="K403"/>
      <c r="L403"/>
      <c r="M403"/>
      <c r="N403"/>
      <c r="O403"/>
      <c r="P403"/>
      <c r="Q403"/>
      <c r="R403"/>
      <c r="S403"/>
      <c r="T403"/>
      <c r="U403"/>
      <c r="V403"/>
      <c r="W403"/>
      <c r="X403"/>
      <c r="Y403"/>
      <c r="Z403"/>
      <c r="AA403"/>
      <c r="AB403"/>
      <c r="AC403"/>
      <c r="AD403"/>
      <c r="AE403"/>
      <c r="AF403"/>
    </row>
    <row r="404" spans="1:32" ht="20.45" customHeight="1" x14ac:dyDescent="0.2">
      <c r="A404" s="1421" t="s">
        <v>1228</v>
      </c>
      <c r="B404" s="1417" t="s">
        <v>8828</v>
      </c>
      <c r="C404" s="1422" t="s">
        <v>2746</v>
      </c>
      <c r="D404"/>
      <c r="E404"/>
      <c r="F404"/>
      <c r="G404"/>
      <c r="H404"/>
      <c r="I404"/>
      <c r="J404"/>
      <c r="K404"/>
      <c r="L404"/>
      <c r="M404"/>
      <c r="N404"/>
      <c r="O404"/>
      <c r="P404"/>
      <c r="Q404"/>
      <c r="R404"/>
      <c r="S404"/>
      <c r="T404"/>
      <c r="U404"/>
      <c r="V404"/>
      <c r="W404"/>
      <c r="X404"/>
      <c r="Y404"/>
      <c r="Z404"/>
      <c r="AA404"/>
      <c r="AB404"/>
      <c r="AC404"/>
      <c r="AD404"/>
      <c r="AE404"/>
      <c r="AF404"/>
    </row>
    <row r="405" spans="1:32" ht="20.45" customHeight="1" x14ac:dyDescent="0.2">
      <c r="A405" s="1421" t="s">
        <v>1228</v>
      </c>
      <c r="B405" s="1417" t="s">
        <v>8986</v>
      </c>
      <c r="C405" s="1422" t="s">
        <v>5628</v>
      </c>
      <c r="D405"/>
      <c r="E405"/>
      <c r="F405"/>
      <c r="G405"/>
      <c r="H405"/>
      <c r="I405"/>
      <c r="J405"/>
      <c r="K405"/>
      <c r="L405"/>
      <c r="M405"/>
      <c r="N405"/>
      <c r="O405"/>
      <c r="P405"/>
      <c r="Q405"/>
      <c r="R405"/>
      <c r="S405"/>
      <c r="T405"/>
      <c r="U405"/>
      <c r="V405"/>
      <c r="W405"/>
      <c r="X405"/>
      <c r="Y405"/>
      <c r="Z405"/>
      <c r="AA405"/>
      <c r="AB405"/>
      <c r="AC405"/>
      <c r="AD405"/>
      <c r="AE405"/>
      <c r="AF405"/>
    </row>
    <row r="406" spans="1:32" ht="20.45" customHeight="1" x14ac:dyDescent="0.2">
      <c r="A406" s="1421" t="s">
        <v>1228</v>
      </c>
      <c r="B406" s="1417" t="s">
        <v>8985</v>
      </c>
      <c r="C406" s="1422" t="s">
        <v>2820</v>
      </c>
      <c r="D406"/>
      <c r="E406"/>
      <c r="F406"/>
      <c r="G406"/>
      <c r="H406"/>
      <c r="I406"/>
      <c r="J406"/>
      <c r="K406"/>
      <c r="L406"/>
      <c r="M406"/>
      <c r="N406"/>
      <c r="O406"/>
      <c r="P406"/>
      <c r="Q406"/>
      <c r="R406"/>
      <c r="S406"/>
      <c r="T406"/>
      <c r="U406"/>
      <c r="V406"/>
      <c r="W406"/>
      <c r="X406"/>
      <c r="Y406"/>
      <c r="Z406"/>
      <c r="AA406"/>
      <c r="AB406"/>
      <c r="AC406"/>
      <c r="AD406"/>
      <c r="AE406"/>
      <c r="AF406"/>
    </row>
    <row r="407" spans="1:32" ht="20.45" customHeight="1" x14ac:dyDescent="0.2">
      <c r="A407" s="1421" t="s">
        <v>1228</v>
      </c>
      <c r="B407" s="1417" t="s">
        <v>8984</v>
      </c>
      <c r="C407" s="1422" t="s">
        <v>1297</v>
      </c>
      <c r="D407"/>
      <c r="E407"/>
      <c r="F407"/>
      <c r="G407"/>
      <c r="H407"/>
      <c r="I407"/>
      <c r="J407"/>
      <c r="K407"/>
      <c r="L407"/>
      <c r="M407"/>
      <c r="N407"/>
      <c r="O407"/>
      <c r="P407"/>
      <c r="Q407"/>
      <c r="R407"/>
      <c r="S407"/>
      <c r="T407"/>
      <c r="U407"/>
      <c r="V407"/>
      <c r="W407"/>
      <c r="X407"/>
      <c r="Y407"/>
      <c r="Z407"/>
      <c r="AA407"/>
      <c r="AB407"/>
      <c r="AC407"/>
      <c r="AD407"/>
      <c r="AE407"/>
      <c r="AF407"/>
    </row>
    <row r="408" spans="1:32" ht="20.45" customHeight="1" x14ac:dyDescent="0.2">
      <c r="A408" s="1421" t="s">
        <v>1228</v>
      </c>
      <c r="B408" s="1417" t="s">
        <v>9616</v>
      </c>
      <c r="C408" s="1422" t="s">
        <v>15</v>
      </c>
      <c r="D408"/>
      <c r="E408"/>
      <c r="F408"/>
      <c r="G408"/>
      <c r="H408"/>
      <c r="I408"/>
      <c r="J408"/>
      <c r="K408"/>
      <c r="L408"/>
      <c r="M408"/>
      <c r="N408"/>
      <c r="O408"/>
      <c r="P408"/>
      <c r="Q408"/>
      <c r="R408"/>
      <c r="S408"/>
      <c r="T408"/>
      <c r="U408"/>
      <c r="V408"/>
      <c r="W408"/>
      <c r="X408"/>
      <c r="Y408"/>
      <c r="Z408"/>
      <c r="AA408"/>
      <c r="AB408"/>
      <c r="AC408"/>
      <c r="AD408"/>
      <c r="AE408"/>
      <c r="AF408"/>
    </row>
    <row r="409" spans="1:32" ht="20.45" customHeight="1" x14ac:dyDescent="0.2">
      <c r="A409" s="1419" t="s">
        <v>39</v>
      </c>
      <c r="B409" s="1800" t="s">
        <v>9672</v>
      </c>
      <c r="C409" s="1426" t="s">
        <v>5629</v>
      </c>
      <c r="D409"/>
      <c r="E409"/>
      <c r="F409"/>
      <c r="G409"/>
      <c r="H409"/>
      <c r="I409"/>
      <c r="J409"/>
      <c r="K409"/>
      <c r="L409"/>
      <c r="M409"/>
      <c r="N409"/>
      <c r="O409"/>
      <c r="P409"/>
      <c r="Q409"/>
      <c r="R409"/>
      <c r="S409"/>
      <c r="T409"/>
      <c r="U409"/>
      <c r="V409"/>
      <c r="W409"/>
      <c r="X409"/>
      <c r="Y409"/>
      <c r="Z409"/>
      <c r="AA409"/>
      <c r="AB409"/>
      <c r="AC409"/>
      <c r="AD409"/>
      <c r="AE409"/>
      <c r="AF409"/>
    </row>
    <row r="410" spans="1:32" ht="20.45" customHeight="1" x14ac:dyDescent="0.2">
      <c r="A410" s="1421" t="s">
        <v>1228</v>
      </c>
      <c r="B410" s="1417" t="s">
        <v>8983</v>
      </c>
      <c r="C410" s="1422" t="s">
        <v>2746</v>
      </c>
      <c r="D410"/>
      <c r="E410"/>
      <c r="F410"/>
      <c r="G410"/>
      <c r="H410"/>
      <c r="I410"/>
      <c r="J410"/>
      <c r="K410"/>
      <c r="L410"/>
      <c r="M410"/>
      <c r="N410"/>
      <c r="O410"/>
      <c r="P410"/>
      <c r="Q410"/>
      <c r="R410"/>
      <c r="S410"/>
      <c r="T410"/>
      <c r="U410"/>
      <c r="V410"/>
      <c r="W410"/>
      <c r="X410"/>
      <c r="Y410"/>
      <c r="Z410"/>
      <c r="AA410"/>
      <c r="AB410"/>
      <c r="AC410"/>
      <c r="AD410"/>
      <c r="AE410"/>
      <c r="AF410"/>
    </row>
    <row r="411" spans="1:32" ht="20.45" customHeight="1" x14ac:dyDescent="0.2">
      <c r="A411" s="1421" t="s">
        <v>1228</v>
      </c>
      <c r="B411" s="1417" t="s">
        <v>8982</v>
      </c>
      <c r="C411" s="1422" t="s">
        <v>5628</v>
      </c>
      <c r="D411"/>
      <c r="E411"/>
      <c r="F411"/>
      <c r="G411"/>
      <c r="H411"/>
      <c r="I411"/>
      <c r="J411"/>
      <c r="K411"/>
      <c r="L411"/>
      <c r="M411"/>
      <c r="N411"/>
      <c r="O411"/>
      <c r="P411"/>
      <c r="Q411"/>
      <c r="R411"/>
      <c r="S411"/>
      <c r="T411"/>
      <c r="U411"/>
      <c r="V411"/>
      <c r="W411"/>
      <c r="X411"/>
      <c r="Y411"/>
      <c r="Z411"/>
      <c r="AA411"/>
      <c r="AB411"/>
      <c r="AC411"/>
      <c r="AD411"/>
      <c r="AE411"/>
      <c r="AF411"/>
    </row>
    <row r="412" spans="1:32" ht="20.45" customHeight="1" x14ac:dyDescent="0.2">
      <c r="A412" s="1421" t="s">
        <v>1228</v>
      </c>
      <c r="B412" s="1417" t="s">
        <v>8981</v>
      </c>
      <c r="C412" s="1422" t="s">
        <v>2820</v>
      </c>
      <c r="D412"/>
      <c r="E412"/>
      <c r="F412"/>
      <c r="G412"/>
      <c r="H412"/>
      <c r="I412"/>
      <c r="J412"/>
      <c r="K412"/>
      <c r="L412"/>
      <c r="M412"/>
      <c r="N412"/>
      <c r="O412"/>
      <c r="P412"/>
      <c r="Q412"/>
      <c r="R412"/>
      <c r="S412"/>
      <c r="T412"/>
      <c r="U412"/>
      <c r="V412"/>
      <c r="W412"/>
      <c r="X412"/>
      <c r="Y412"/>
      <c r="Z412"/>
      <c r="AA412"/>
      <c r="AB412"/>
      <c r="AC412"/>
      <c r="AD412"/>
      <c r="AE412"/>
      <c r="AF412"/>
    </row>
    <row r="413" spans="1:32" ht="20.45" customHeight="1" x14ac:dyDescent="0.2">
      <c r="A413" s="1421" t="s">
        <v>1228</v>
      </c>
      <c r="B413" s="1417" t="s">
        <v>8980</v>
      </c>
      <c r="C413" s="1422" t="s">
        <v>1297</v>
      </c>
      <c r="D413"/>
      <c r="E413"/>
      <c r="F413"/>
      <c r="G413"/>
      <c r="H413"/>
      <c r="I413"/>
      <c r="J413"/>
      <c r="K413"/>
      <c r="L413"/>
      <c r="M413"/>
      <c r="N413"/>
      <c r="O413"/>
      <c r="P413"/>
      <c r="Q413"/>
      <c r="R413"/>
      <c r="S413"/>
      <c r="T413"/>
      <c r="U413"/>
      <c r="V413"/>
      <c r="W413"/>
      <c r="X413"/>
      <c r="Y413"/>
      <c r="Z413"/>
      <c r="AA413"/>
      <c r="AB413"/>
      <c r="AC413"/>
      <c r="AD413"/>
      <c r="AE413"/>
      <c r="AF413"/>
    </row>
    <row r="414" spans="1:32" ht="20.45" customHeight="1" x14ac:dyDescent="0.2">
      <c r="A414" s="1421" t="s">
        <v>1228</v>
      </c>
      <c r="B414" s="1417" t="s">
        <v>9617</v>
      </c>
      <c r="C414" s="1422" t="s">
        <v>15</v>
      </c>
      <c r="D414"/>
      <c r="E414"/>
      <c r="F414"/>
      <c r="G414"/>
      <c r="H414"/>
      <c r="I414"/>
      <c r="J414"/>
      <c r="K414"/>
      <c r="L414"/>
      <c r="M414"/>
      <c r="N414"/>
      <c r="O414"/>
      <c r="P414"/>
      <c r="Q414"/>
      <c r="R414"/>
      <c r="S414"/>
      <c r="T414"/>
      <c r="U414"/>
      <c r="V414"/>
      <c r="W414"/>
      <c r="X414"/>
      <c r="Y414"/>
      <c r="Z414"/>
      <c r="AA414"/>
      <c r="AB414"/>
      <c r="AC414"/>
      <c r="AD414"/>
      <c r="AE414"/>
      <c r="AF414"/>
    </row>
    <row r="415" spans="1:32" ht="20.45" customHeight="1" x14ac:dyDescent="0.2">
      <c r="A415" s="1419" t="s">
        <v>39</v>
      </c>
      <c r="B415" s="1800" t="s">
        <v>9673</v>
      </c>
      <c r="C415" s="1426" t="s">
        <v>5630</v>
      </c>
      <c r="D415"/>
      <c r="E415"/>
      <c r="F415"/>
      <c r="G415"/>
      <c r="H415"/>
      <c r="I415"/>
      <c r="J415"/>
      <c r="K415"/>
      <c r="L415"/>
      <c r="M415"/>
      <c r="N415"/>
      <c r="O415"/>
      <c r="P415"/>
      <c r="Q415"/>
      <c r="R415"/>
      <c r="S415"/>
      <c r="T415"/>
      <c r="U415"/>
      <c r="V415"/>
      <c r="W415"/>
      <c r="X415"/>
      <c r="Y415"/>
      <c r="Z415"/>
      <c r="AA415"/>
      <c r="AB415"/>
      <c r="AC415"/>
      <c r="AD415"/>
      <c r="AE415"/>
      <c r="AF415"/>
    </row>
    <row r="416" spans="1:32" ht="20.45" customHeight="1" x14ac:dyDescent="0.2">
      <c r="A416" s="1421" t="s">
        <v>1228</v>
      </c>
      <c r="B416" s="1417" t="s">
        <v>8979</v>
      </c>
      <c r="C416" s="1422" t="s">
        <v>2746</v>
      </c>
      <c r="D416"/>
      <c r="E416"/>
      <c r="F416"/>
      <c r="G416"/>
      <c r="H416"/>
      <c r="I416"/>
      <c r="J416"/>
      <c r="K416"/>
      <c r="L416"/>
      <c r="M416"/>
      <c r="N416"/>
      <c r="O416"/>
      <c r="P416"/>
      <c r="Q416"/>
      <c r="R416"/>
      <c r="S416"/>
      <c r="T416"/>
      <c r="U416"/>
      <c r="V416"/>
      <c r="W416"/>
      <c r="X416"/>
      <c r="Y416"/>
      <c r="Z416"/>
      <c r="AA416"/>
      <c r="AB416"/>
      <c r="AC416"/>
      <c r="AD416"/>
      <c r="AE416"/>
      <c r="AF416"/>
    </row>
    <row r="417" spans="1:32" ht="20.45" customHeight="1" x14ac:dyDescent="0.2">
      <c r="A417" s="1421" t="s">
        <v>1228</v>
      </c>
      <c r="B417" s="1417" t="s">
        <v>8978</v>
      </c>
      <c r="C417" s="1422" t="s">
        <v>5628</v>
      </c>
      <c r="D417"/>
      <c r="E417"/>
      <c r="F417"/>
      <c r="G417"/>
      <c r="H417"/>
      <c r="I417"/>
      <c r="J417"/>
      <c r="K417"/>
      <c r="L417"/>
      <c r="M417"/>
      <c r="N417"/>
      <c r="O417"/>
      <c r="P417"/>
      <c r="Q417"/>
      <c r="R417"/>
      <c r="S417"/>
      <c r="T417"/>
      <c r="U417"/>
      <c r="V417"/>
      <c r="W417"/>
      <c r="X417"/>
      <c r="Y417"/>
      <c r="Z417"/>
      <c r="AA417"/>
      <c r="AB417"/>
      <c r="AC417"/>
      <c r="AD417"/>
      <c r="AE417"/>
      <c r="AF417"/>
    </row>
    <row r="418" spans="1:32" ht="20.45" customHeight="1" x14ac:dyDescent="0.2">
      <c r="A418" s="1421" t="s">
        <v>1228</v>
      </c>
      <c r="B418" s="1417" t="s">
        <v>8977</v>
      </c>
      <c r="C418" s="1422" t="s">
        <v>2820</v>
      </c>
      <c r="D418"/>
      <c r="E418"/>
      <c r="F418"/>
      <c r="G418"/>
      <c r="H418"/>
      <c r="I418"/>
      <c r="J418"/>
      <c r="K418"/>
      <c r="L418"/>
      <c r="M418"/>
      <c r="N418"/>
      <c r="O418"/>
      <c r="P418"/>
      <c r="Q418"/>
      <c r="R418"/>
      <c r="S418"/>
      <c r="T418"/>
      <c r="U418"/>
      <c r="V418"/>
      <c r="W418"/>
      <c r="X418"/>
      <c r="Y418"/>
      <c r="Z418"/>
      <c r="AA418"/>
      <c r="AB418"/>
      <c r="AC418"/>
      <c r="AD418"/>
      <c r="AE418"/>
      <c r="AF418"/>
    </row>
    <row r="419" spans="1:32" ht="20.45" customHeight="1" x14ac:dyDescent="0.2">
      <c r="A419" s="1421" t="s">
        <v>1228</v>
      </c>
      <c r="B419" s="1417" t="s">
        <v>8976</v>
      </c>
      <c r="C419" s="1422" t="s">
        <v>1297</v>
      </c>
      <c r="D419"/>
      <c r="E419"/>
      <c r="F419"/>
      <c r="G419"/>
      <c r="H419"/>
      <c r="I419"/>
      <c r="J419"/>
      <c r="K419"/>
      <c r="L419"/>
      <c r="M419"/>
      <c r="N419"/>
      <c r="O419"/>
      <c r="P419"/>
      <c r="Q419"/>
      <c r="R419"/>
      <c r="S419"/>
      <c r="T419"/>
      <c r="U419"/>
      <c r="V419"/>
      <c r="W419"/>
      <c r="X419"/>
      <c r="Y419"/>
      <c r="Z419"/>
      <c r="AA419"/>
      <c r="AB419"/>
      <c r="AC419"/>
      <c r="AD419"/>
      <c r="AE419"/>
      <c r="AF419"/>
    </row>
    <row r="420" spans="1:32" ht="20.45" customHeight="1" x14ac:dyDescent="0.2">
      <c r="A420" s="1421" t="s">
        <v>1228</v>
      </c>
      <c r="B420" s="1417" t="s">
        <v>9618</v>
      </c>
      <c r="C420" s="1422" t="s">
        <v>15</v>
      </c>
      <c r="D420"/>
      <c r="E420"/>
      <c r="F420"/>
      <c r="G420"/>
      <c r="H420"/>
      <c r="I420"/>
      <c r="J420"/>
      <c r="K420"/>
      <c r="L420"/>
      <c r="M420"/>
      <c r="N420"/>
      <c r="O420"/>
      <c r="P420"/>
      <c r="Q420"/>
      <c r="R420"/>
      <c r="S420"/>
      <c r="T420"/>
      <c r="U420"/>
      <c r="V420"/>
      <c r="W420"/>
      <c r="X420"/>
      <c r="Y420"/>
      <c r="Z420"/>
      <c r="AA420"/>
      <c r="AB420"/>
      <c r="AC420"/>
      <c r="AD420"/>
      <c r="AE420"/>
      <c r="AF420"/>
    </row>
    <row r="421" spans="1:32" ht="20.45" customHeight="1" x14ac:dyDescent="0.2">
      <c r="A421" s="1419" t="s">
        <v>1237</v>
      </c>
      <c r="B421" s="1417">
        <v>21</v>
      </c>
      <c r="C421" s="1420" t="s">
        <v>5774</v>
      </c>
      <c r="D421"/>
      <c r="E421"/>
      <c r="F421"/>
      <c r="G421"/>
      <c r="H421"/>
      <c r="I421"/>
      <c r="J421"/>
      <c r="K421"/>
      <c r="L421"/>
      <c r="M421"/>
      <c r="N421"/>
      <c r="O421"/>
      <c r="P421"/>
      <c r="Q421"/>
      <c r="R421"/>
      <c r="S421"/>
      <c r="T421"/>
      <c r="U421"/>
      <c r="V421"/>
      <c r="W421"/>
      <c r="X421"/>
      <c r="Y421"/>
      <c r="Z421"/>
      <c r="AA421"/>
      <c r="AB421"/>
      <c r="AC421"/>
      <c r="AD421"/>
      <c r="AE421"/>
      <c r="AF421"/>
    </row>
    <row r="422" spans="1:32" ht="20.45" customHeight="1" x14ac:dyDescent="0.2">
      <c r="A422" s="1419" t="s">
        <v>39</v>
      </c>
      <c r="B422" s="1800" t="s">
        <v>8831</v>
      </c>
      <c r="C422" s="1426" t="s">
        <v>9698</v>
      </c>
      <c r="D422"/>
      <c r="E422"/>
      <c r="F422"/>
      <c r="G422"/>
      <c r="H422"/>
      <c r="I422"/>
      <c r="J422"/>
      <c r="K422"/>
      <c r="L422"/>
      <c r="M422"/>
      <c r="N422"/>
      <c r="O422"/>
      <c r="P422"/>
      <c r="Q422"/>
      <c r="R422"/>
      <c r="S422"/>
      <c r="T422"/>
      <c r="U422"/>
      <c r="V422"/>
      <c r="W422"/>
      <c r="X422"/>
      <c r="Y422"/>
      <c r="Z422"/>
      <c r="AA422"/>
      <c r="AB422"/>
      <c r="AC422"/>
      <c r="AD422"/>
      <c r="AE422"/>
      <c r="AF422"/>
    </row>
    <row r="423" spans="1:32" ht="20.45" customHeight="1" x14ac:dyDescent="0.2">
      <c r="A423" s="1421" t="s">
        <v>1228</v>
      </c>
      <c r="B423" s="1417" t="s">
        <v>8832</v>
      </c>
      <c r="C423" s="1422" t="s">
        <v>2747</v>
      </c>
      <c r="D423"/>
      <c r="E423"/>
      <c r="F423"/>
      <c r="G423"/>
      <c r="H423"/>
      <c r="I423"/>
      <c r="J423"/>
      <c r="K423"/>
      <c r="L423"/>
      <c r="M423"/>
      <c r="N423"/>
      <c r="O423"/>
      <c r="P423"/>
      <c r="Q423"/>
      <c r="R423"/>
      <c r="S423"/>
      <c r="T423"/>
      <c r="U423"/>
      <c r="V423"/>
      <c r="W423"/>
      <c r="X423"/>
      <c r="Y423"/>
      <c r="Z423"/>
      <c r="AA423"/>
      <c r="AB423"/>
      <c r="AC423"/>
      <c r="AD423"/>
      <c r="AE423"/>
      <c r="AF423"/>
    </row>
    <row r="424" spans="1:32" ht="20.45" customHeight="1" x14ac:dyDescent="0.2">
      <c r="A424" s="1421" t="s">
        <v>1228</v>
      </c>
      <c r="B424" s="1417" t="s">
        <v>8836</v>
      </c>
      <c r="C424" s="1422" t="s">
        <v>30</v>
      </c>
      <c r="D424"/>
      <c r="E424"/>
      <c r="F424"/>
      <c r="G424"/>
      <c r="H424"/>
      <c r="I424"/>
      <c r="J424"/>
      <c r="K424"/>
      <c r="L424"/>
      <c r="M424"/>
      <c r="N424"/>
      <c r="O424"/>
      <c r="P424"/>
      <c r="Q424"/>
      <c r="R424"/>
      <c r="S424"/>
      <c r="T424"/>
      <c r="U424"/>
      <c r="V424"/>
      <c r="W424"/>
      <c r="X424"/>
      <c r="Y424"/>
      <c r="Z424"/>
      <c r="AA424"/>
      <c r="AB424"/>
      <c r="AC424"/>
      <c r="AD424"/>
      <c r="AE424"/>
      <c r="AF424"/>
    </row>
    <row r="425" spans="1:32" ht="20.45" customHeight="1" x14ac:dyDescent="0.2">
      <c r="A425" s="1419" t="s">
        <v>39</v>
      </c>
      <c r="B425" s="1800" t="s">
        <v>8862</v>
      </c>
      <c r="C425" s="1426" t="s">
        <v>5631</v>
      </c>
      <c r="D425"/>
      <c r="E425"/>
      <c r="F425"/>
      <c r="G425"/>
      <c r="H425"/>
      <c r="I425"/>
      <c r="J425"/>
      <c r="K425"/>
      <c r="L425"/>
      <c r="M425"/>
      <c r="N425"/>
      <c r="O425"/>
      <c r="P425"/>
      <c r="Q425"/>
      <c r="R425"/>
      <c r="S425"/>
      <c r="T425"/>
      <c r="U425"/>
      <c r="V425"/>
      <c r="W425"/>
      <c r="X425"/>
      <c r="Y425"/>
      <c r="Z425"/>
      <c r="AA425"/>
      <c r="AB425"/>
      <c r="AC425"/>
      <c r="AD425"/>
      <c r="AE425"/>
      <c r="AF425"/>
    </row>
    <row r="426" spans="1:32" ht="20.45" customHeight="1" x14ac:dyDescent="0.2">
      <c r="A426" s="1421" t="s">
        <v>1228</v>
      </c>
      <c r="B426" s="1417" t="s">
        <v>8863</v>
      </c>
      <c r="C426" s="1422" t="s">
        <v>2747</v>
      </c>
      <c r="D426"/>
      <c r="E426"/>
      <c r="F426"/>
      <c r="G426"/>
      <c r="H426"/>
      <c r="I426"/>
      <c r="J426"/>
      <c r="K426"/>
      <c r="L426"/>
      <c r="M426"/>
      <c r="N426"/>
      <c r="O426"/>
      <c r="P426"/>
      <c r="Q426"/>
      <c r="R426"/>
      <c r="S426"/>
      <c r="T426"/>
      <c r="U426"/>
      <c r="V426"/>
      <c r="W426"/>
      <c r="X426"/>
      <c r="Y426"/>
      <c r="Z426"/>
      <c r="AA426"/>
      <c r="AB426"/>
      <c r="AC426"/>
      <c r="AD426"/>
      <c r="AE426"/>
      <c r="AF426"/>
    </row>
    <row r="427" spans="1:32" ht="20.45" customHeight="1" x14ac:dyDescent="0.2">
      <c r="A427" s="1421" t="s">
        <v>1228</v>
      </c>
      <c r="B427" s="1417" t="s">
        <v>8867</v>
      </c>
      <c r="C427" s="1422" t="s">
        <v>30</v>
      </c>
      <c r="D427"/>
      <c r="E427"/>
      <c r="F427"/>
      <c r="G427"/>
      <c r="H427"/>
      <c r="I427"/>
      <c r="J427"/>
      <c r="K427"/>
      <c r="L427"/>
      <c r="M427"/>
      <c r="N427"/>
      <c r="O427"/>
      <c r="P427"/>
      <c r="Q427"/>
      <c r="R427"/>
      <c r="S427"/>
      <c r="T427"/>
      <c r="U427"/>
      <c r="V427"/>
      <c r="W427"/>
      <c r="X427"/>
      <c r="Y427"/>
      <c r="Z427"/>
      <c r="AA427"/>
      <c r="AB427"/>
      <c r="AC427"/>
      <c r="AD427"/>
      <c r="AE427"/>
      <c r="AF427"/>
    </row>
    <row r="428" spans="1:32" ht="20.45" customHeight="1" x14ac:dyDescent="0.2">
      <c r="A428" s="1419" t="s">
        <v>39</v>
      </c>
      <c r="B428" s="1800" t="s">
        <v>8881</v>
      </c>
      <c r="C428" s="1426" t="s">
        <v>5632</v>
      </c>
      <c r="D428"/>
      <c r="E428"/>
      <c r="F428"/>
      <c r="G428"/>
      <c r="H428"/>
      <c r="I428"/>
      <c r="J428"/>
      <c r="K428"/>
      <c r="L428"/>
      <c r="M428"/>
      <c r="N428"/>
      <c r="O428"/>
      <c r="P428"/>
      <c r="Q428"/>
      <c r="R428"/>
      <c r="S428"/>
      <c r="T428"/>
      <c r="U428"/>
      <c r="V428"/>
      <c r="W428"/>
      <c r="X428"/>
      <c r="Y428"/>
      <c r="Z428"/>
      <c r="AA428"/>
      <c r="AB428"/>
      <c r="AC428"/>
      <c r="AD428"/>
      <c r="AE428"/>
      <c r="AF428"/>
    </row>
    <row r="429" spans="1:32" ht="20.45" customHeight="1" x14ac:dyDescent="0.2">
      <c r="A429" s="1421" t="s">
        <v>1228</v>
      </c>
      <c r="B429" s="1417" t="s">
        <v>8882</v>
      </c>
      <c r="C429" s="1422" t="s">
        <v>2747</v>
      </c>
      <c r="D429"/>
      <c r="E429"/>
      <c r="F429"/>
      <c r="G429"/>
      <c r="H429"/>
      <c r="I429"/>
      <c r="J429"/>
      <c r="K429"/>
      <c r="L429"/>
      <c r="M429"/>
      <c r="N429"/>
      <c r="O429"/>
      <c r="P429"/>
      <c r="Q429"/>
      <c r="R429"/>
      <c r="S429"/>
      <c r="T429"/>
      <c r="U429"/>
      <c r="V429"/>
      <c r="W429"/>
      <c r="X429"/>
      <c r="Y429"/>
      <c r="Z429"/>
      <c r="AA429"/>
      <c r="AB429"/>
      <c r="AC429"/>
      <c r="AD429"/>
      <c r="AE429"/>
      <c r="AF429"/>
    </row>
    <row r="430" spans="1:32" ht="20.45" customHeight="1" x14ac:dyDescent="0.2">
      <c r="A430" s="1421" t="s">
        <v>1228</v>
      </c>
      <c r="B430" s="1417" t="s">
        <v>8886</v>
      </c>
      <c r="C430" s="1422" t="s">
        <v>30</v>
      </c>
      <c r="D430"/>
      <c r="E430"/>
      <c r="F430"/>
      <c r="G430"/>
      <c r="H430"/>
      <c r="I430"/>
      <c r="J430"/>
      <c r="K430"/>
      <c r="L430"/>
      <c r="M430"/>
      <c r="N430"/>
      <c r="O430"/>
      <c r="P430"/>
      <c r="Q430"/>
      <c r="R430"/>
      <c r="S430"/>
      <c r="T430"/>
      <c r="U430"/>
      <c r="V430"/>
      <c r="W430"/>
      <c r="X430"/>
      <c r="Y430"/>
      <c r="Z430"/>
      <c r="AA430"/>
      <c r="AB430"/>
      <c r="AC430"/>
      <c r="AD430"/>
      <c r="AE430"/>
      <c r="AF430"/>
    </row>
    <row r="431" spans="1:32" ht="20.45" customHeight="1" x14ac:dyDescent="0.2">
      <c r="A431" s="1419" t="s">
        <v>1237</v>
      </c>
      <c r="B431" s="1417">
        <v>22</v>
      </c>
      <c r="C431" s="1420" t="s">
        <v>53</v>
      </c>
      <c r="D431"/>
      <c r="E431"/>
      <c r="F431"/>
      <c r="G431"/>
      <c r="H431"/>
      <c r="I431"/>
      <c r="J431"/>
      <c r="K431"/>
      <c r="L431"/>
      <c r="M431"/>
      <c r="N431"/>
      <c r="O431"/>
      <c r="P431"/>
      <c r="Q431"/>
      <c r="R431"/>
      <c r="S431"/>
      <c r="T431"/>
      <c r="U431"/>
      <c r="V431"/>
      <c r="W431"/>
      <c r="X431"/>
      <c r="Y431"/>
      <c r="Z431"/>
      <c r="AA431"/>
      <c r="AB431"/>
      <c r="AC431"/>
      <c r="AD431"/>
      <c r="AE431"/>
      <c r="AF431"/>
    </row>
    <row r="432" spans="1:32" ht="20.45" customHeight="1" x14ac:dyDescent="0.2">
      <c r="A432" s="1419" t="s">
        <v>39</v>
      </c>
      <c r="B432" s="1800" t="s">
        <v>8928</v>
      </c>
      <c r="C432" s="1427" t="s">
        <v>9699</v>
      </c>
      <c r="D432"/>
      <c r="E432"/>
      <c r="F432"/>
      <c r="G432"/>
      <c r="H432"/>
      <c r="I432"/>
      <c r="J432"/>
      <c r="K432"/>
      <c r="L432"/>
      <c r="M432"/>
      <c r="N432"/>
      <c r="O432"/>
      <c r="P432"/>
      <c r="Q432"/>
      <c r="R432"/>
      <c r="S432"/>
      <c r="T432"/>
      <c r="U432"/>
      <c r="V432"/>
      <c r="W432"/>
      <c r="X432"/>
      <c r="Y432"/>
      <c r="Z432"/>
      <c r="AA432"/>
      <c r="AB432"/>
      <c r="AC432"/>
      <c r="AD432"/>
      <c r="AE432"/>
      <c r="AF432"/>
    </row>
    <row r="433" spans="1:32" ht="20.45" customHeight="1" x14ac:dyDescent="0.2">
      <c r="A433" s="1421" t="s">
        <v>1228</v>
      </c>
      <c r="B433" s="1417" t="s">
        <v>8929</v>
      </c>
      <c r="C433" s="1422" t="s">
        <v>32</v>
      </c>
      <c r="D433"/>
      <c r="E433"/>
      <c r="F433"/>
      <c r="G433"/>
      <c r="H433"/>
      <c r="I433"/>
      <c r="J433"/>
      <c r="K433"/>
      <c r="L433"/>
      <c r="M433"/>
      <c r="N433"/>
      <c r="O433"/>
      <c r="P433"/>
      <c r="Q433"/>
      <c r="R433"/>
      <c r="S433"/>
      <c r="T433"/>
      <c r="U433"/>
      <c r="V433"/>
      <c r="W433"/>
      <c r="X433"/>
      <c r="Y433"/>
      <c r="Z433"/>
      <c r="AA433"/>
      <c r="AB433"/>
      <c r="AC433"/>
      <c r="AD433"/>
      <c r="AE433"/>
      <c r="AF433"/>
    </row>
    <row r="434" spans="1:32" ht="20.45" customHeight="1" x14ac:dyDescent="0.2">
      <c r="A434" s="1421" t="s">
        <v>1228</v>
      </c>
      <c r="B434" s="1417" t="s">
        <v>8932</v>
      </c>
      <c r="C434" s="1422" t="s">
        <v>2821</v>
      </c>
      <c r="D434"/>
      <c r="E434"/>
      <c r="F434"/>
      <c r="G434"/>
      <c r="H434"/>
      <c r="I434"/>
      <c r="J434"/>
      <c r="K434"/>
      <c r="L434"/>
      <c r="M434"/>
      <c r="N434"/>
      <c r="O434"/>
      <c r="P434"/>
      <c r="Q434"/>
      <c r="R434"/>
      <c r="S434"/>
      <c r="T434"/>
      <c r="U434"/>
      <c r="V434"/>
      <c r="W434"/>
      <c r="X434"/>
      <c r="Y434"/>
      <c r="Z434"/>
      <c r="AA434"/>
      <c r="AB434"/>
      <c r="AC434"/>
      <c r="AD434"/>
      <c r="AE434"/>
      <c r="AF434"/>
    </row>
    <row r="435" spans="1:32" ht="20.45" customHeight="1" x14ac:dyDescent="0.2">
      <c r="A435" s="1421" t="s">
        <v>1228</v>
      </c>
      <c r="B435" s="1417" t="s">
        <v>8934</v>
      </c>
      <c r="C435" s="1422" t="s">
        <v>2822</v>
      </c>
      <c r="D435"/>
      <c r="E435"/>
      <c r="F435"/>
      <c r="G435"/>
      <c r="H435"/>
      <c r="I435"/>
      <c r="J435"/>
      <c r="K435"/>
      <c r="L435"/>
      <c r="M435"/>
      <c r="N435"/>
      <c r="O435"/>
      <c r="P435"/>
      <c r="Q435"/>
      <c r="R435"/>
      <c r="S435"/>
      <c r="T435"/>
      <c r="U435"/>
      <c r="V435"/>
      <c r="W435"/>
      <c r="X435"/>
      <c r="Y435"/>
      <c r="Z435"/>
      <c r="AA435"/>
      <c r="AB435"/>
      <c r="AC435"/>
      <c r="AD435"/>
      <c r="AE435"/>
      <c r="AF435"/>
    </row>
    <row r="436" spans="1:32" ht="20.45" customHeight="1" x14ac:dyDescent="0.2">
      <c r="A436" s="1421" t="s">
        <v>1228</v>
      </c>
      <c r="B436" s="1417" t="s">
        <v>8974</v>
      </c>
      <c r="C436" s="1422" t="s">
        <v>15</v>
      </c>
      <c r="D436"/>
      <c r="E436"/>
      <c r="F436"/>
      <c r="G436"/>
      <c r="H436"/>
      <c r="I436"/>
      <c r="J436"/>
      <c r="K436"/>
      <c r="L436"/>
      <c r="M436"/>
      <c r="N436"/>
      <c r="O436"/>
      <c r="P436"/>
      <c r="Q436"/>
      <c r="R436"/>
      <c r="S436"/>
      <c r="T436"/>
      <c r="U436"/>
      <c r="V436"/>
      <c r="W436"/>
      <c r="X436"/>
      <c r="Y436"/>
      <c r="Z436"/>
      <c r="AA436"/>
      <c r="AB436"/>
      <c r="AC436"/>
      <c r="AD436"/>
      <c r="AE436"/>
      <c r="AF436"/>
    </row>
    <row r="437" spans="1:32" ht="20.45" customHeight="1" x14ac:dyDescent="0.2">
      <c r="A437" s="1419" t="s">
        <v>39</v>
      </c>
      <c r="B437" s="1800" t="s">
        <v>8936</v>
      </c>
      <c r="C437" s="1427" t="s">
        <v>5633</v>
      </c>
      <c r="D437"/>
      <c r="E437"/>
      <c r="F437"/>
      <c r="G437"/>
      <c r="H437"/>
      <c r="I437"/>
      <c r="J437"/>
      <c r="K437"/>
      <c r="L437"/>
      <c r="M437"/>
      <c r="N437"/>
      <c r="O437"/>
      <c r="P437"/>
      <c r="Q437"/>
      <c r="R437"/>
      <c r="S437"/>
      <c r="T437"/>
      <c r="U437"/>
      <c r="V437"/>
      <c r="W437"/>
      <c r="X437"/>
      <c r="Y437"/>
      <c r="Z437"/>
      <c r="AA437"/>
      <c r="AB437"/>
      <c r="AC437"/>
      <c r="AD437"/>
      <c r="AE437"/>
      <c r="AF437"/>
    </row>
    <row r="438" spans="1:32" ht="20.45" customHeight="1" x14ac:dyDescent="0.2">
      <c r="A438" s="1421" t="s">
        <v>1228</v>
      </c>
      <c r="B438" s="1417" t="s">
        <v>8937</v>
      </c>
      <c r="C438" s="1422" t="s">
        <v>32</v>
      </c>
      <c r="D438"/>
      <c r="E438"/>
      <c r="F438"/>
      <c r="G438"/>
      <c r="H438"/>
      <c r="I438"/>
      <c r="J438"/>
      <c r="K438"/>
      <c r="L438"/>
      <c r="M438"/>
      <c r="N438"/>
      <c r="O438"/>
      <c r="P438"/>
      <c r="Q438"/>
      <c r="R438"/>
      <c r="S438"/>
      <c r="T438"/>
      <c r="U438"/>
      <c r="V438"/>
      <c r="W438"/>
      <c r="X438"/>
      <c r="Y438"/>
      <c r="Z438"/>
      <c r="AA438"/>
      <c r="AB438"/>
      <c r="AC438"/>
      <c r="AD438"/>
      <c r="AE438"/>
      <c r="AF438"/>
    </row>
    <row r="439" spans="1:32" ht="20.45" customHeight="1" x14ac:dyDescent="0.2">
      <c r="A439" s="1421" t="s">
        <v>1228</v>
      </c>
      <c r="B439" s="1417" t="s">
        <v>8939</v>
      </c>
      <c r="C439" s="1422" t="s">
        <v>2821</v>
      </c>
      <c r="D439"/>
      <c r="E439"/>
      <c r="F439"/>
      <c r="G439"/>
      <c r="H439"/>
      <c r="I439"/>
      <c r="J439"/>
      <c r="K439"/>
      <c r="L439"/>
      <c r="M439"/>
      <c r="N439"/>
      <c r="O439"/>
      <c r="P439"/>
      <c r="Q439"/>
      <c r="R439"/>
      <c r="S439"/>
      <c r="T439"/>
      <c r="U439"/>
      <c r="V439"/>
      <c r="W439"/>
      <c r="X439"/>
      <c r="Y439"/>
      <c r="Z439"/>
      <c r="AA439"/>
      <c r="AB439"/>
      <c r="AC439"/>
      <c r="AD439"/>
      <c r="AE439"/>
      <c r="AF439"/>
    </row>
    <row r="440" spans="1:32" ht="20.45" customHeight="1" x14ac:dyDescent="0.2">
      <c r="A440" s="1421" t="s">
        <v>1228</v>
      </c>
      <c r="B440" s="1417" t="s">
        <v>8941</v>
      </c>
      <c r="C440" s="1422" t="s">
        <v>2822</v>
      </c>
      <c r="D440"/>
      <c r="E440"/>
      <c r="F440"/>
      <c r="G440"/>
      <c r="H440"/>
      <c r="I440"/>
      <c r="J440"/>
      <c r="K440"/>
      <c r="L440"/>
      <c r="M440"/>
      <c r="N440"/>
      <c r="O440"/>
      <c r="P440"/>
      <c r="Q440"/>
      <c r="R440"/>
      <c r="S440"/>
      <c r="T440"/>
      <c r="U440"/>
      <c r="V440"/>
      <c r="W440"/>
      <c r="X440"/>
      <c r="Y440"/>
      <c r="Z440"/>
      <c r="AA440"/>
      <c r="AB440"/>
      <c r="AC440"/>
      <c r="AD440"/>
      <c r="AE440"/>
      <c r="AF440"/>
    </row>
    <row r="441" spans="1:32" ht="20.45" customHeight="1" x14ac:dyDescent="0.2">
      <c r="A441" s="1421" t="s">
        <v>1228</v>
      </c>
      <c r="B441" s="1417" t="s">
        <v>8943</v>
      </c>
      <c r="C441" s="1422" t="s">
        <v>15</v>
      </c>
      <c r="D441"/>
      <c r="E441"/>
      <c r="F441"/>
      <c r="G441"/>
      <c r="H441"/>
      <c r="I441"/>
      <c r="J441"/>
      <c r="K441"/>
      <c r="L441"/>
      <c r="M441"/>
      <c r="N441"/>
      <c r="O441"/>
      <c r="P441"/>
      <c r="Q441"/>
      <c r="R441"/>
      <c r="S441"/>
      <c r="T441"/>
      <c r="U441"/>
      <c r="V441"/>
      <c r="W441"/>
      <c r="X441"/>
      <c r="Y441"/>
      <c r="Z441"/>
      <c r="AA441"/>
      <c r="AB441"/>
      <c r="AC441"/>
      <c r="AD441"/>
      <c r="AE441"/>
      <c r="AF441"/>
    </row>
    <row r="442" spans="1:32" ht="20.45" customHeight="1" x14ac:dyDescent="0.2">
      <c r="A442" s="1419" t="s">
        <v>39</v>
      </c>
      <c r="B442" s="1800" t="s">
        <v>9674</v>
      </c>
      <c r="C442" s="1427" t="s">
        <v>5634</v>
      </c>
      <c r="D442"/>
      <c r="E442"/>
      <c r="F442"/>
      <c r="G442"/>
      <c r="H442"/>
      <c r="I442"/>
      <c r="J442"/>
      <c r="K442"/>
      <c r="L442"/>
      <c r="M442"/>
      <c r="N442"/>
      <c r="O442"/>
      <c r="P442"/>
      <c r="Q442"/>
      <c r="R442"/>
      <c r="S442"/>
      <c r="T442"/>
      <c r="U442"/>
      <c r="V442"/>
      <c r="W442"/>
      <c r="X442"/>
      <c r="Y442"/>
      <c r="Z442"/>
      <c r="AA442"/>
      <c r="AB442"/>
      <c r="AC442"/>
      <c r="AD442"/>
      <c r="AE442"/>
      <c r="AF442"/>
    </row>
    <row r="443" spans="1:32" ht="20.45" customHeight="1" x14ac:dyDescent="0.2">
      <c r="A443" s="1421" t="s">
        <v>1228</v>
      </c>
      <c r="B443" s="1417" t="s">
        <v>8972</v>
      </c>
      <c r="C443" s="1422" t="s">
        <v>32</v>
      </c>
      <c r="D443"/>
      <c r="E443"/>
      <c r="F443"/>
      <c r="G443"/>
      <c r="H443"/>
      <c r="I443"/>
      <c r="J443"/>
      <c r="K443"/>
      <c r="L443"/>
      <c r="M443"/>
      <c r="N443"/>
      <c r="O443"/>
      <c r="P443"/>
      <c r="Q443"/>
      <c r="R443"/>
      <c r="S443"/>
      <c r="T443"/>
      <c r="U443"/>
      <c r="V443"/>
      <c r="W443"/>
      <c r="X443"/>
      <c r="Y443"/>
      <c r="Z443"/>
      <c r="AA443"/>
      <c r="AB443"/>
      <c r="AC443"/>
      <c r="AD443"/>
      <c r="AE443"/>
      <c r="AF443"/>
    </row>
    <row r="444" spans="1:32" ht="20.45" customHeight="1" x14ac:dyDescent="0.2">
      <c r="A444" s="1421" t="s">
        <v>1228</v>
      </c>
      <c r="B444" s="1417" t="s">
        <v>8971</v>
      </c>
      <c r="C444" s="1422" t="s">
        <v>2821</v>
      </c>
      <c r="D444"/>
      <c r="E444"/>
      <c r="F444"/>
      <c r="G444"/>
      <c r="H444"/>
      <c r="I444"/>
      <c r="J444"/>
      <c r="K444"/>
      <c r="L444"/>
      <c r="M444"/>
      <c r="N444"/>
      <c r="O444"/>
      <c r="P444"/>
      <c r="Q444"/>
      <c r="R444"/>
      <c r="S444"/>
      <c r="T444"/>
      <c r="U444"/>
      <c r="V444"/>
      <c r="W444"/>
      <c r="X444"/>
      <c r="Y444"/>
      <c r="Z444"/>
      <c r="AA444"/>
      <c r="AB444"/>
      <c r="AC444"/>
      <c r="AD444"/>
      <c r="AE444"/>
      <c r="AF444"/>
    </row>
    <row r="445" spans="1:32" ht="20.45" customHeight="1" x14ac:dyDescent="0.2">
      <c r="A445" s="1421" t="s">
        <v>1228</v>
      </c>
      <c r="B445" s="1417" t="s">
        <v>8970</v>
      </c>
      <c r="C445" s="1422" t="s">
        <v>2822</v>
      </c>
      <c r="D445"/>
      <c r="E445"/>
      <c r="F445"/>
      <c r="G445"/>
      <c r="H445"/>
      <c r="I445"/>
      <c r="J445"/>
      <c r="K445"/>
      <c r="L445"/>
      <c r="M445"/>
      <c r="N445"/>
      <c r="O445"/>
      <c r="P445"/>
      <c r="Q445"/>
      <c r="R445"/>
      <c r="S445"/>
      <c r="T445"/>
      <c r="U445"/>
      <c r="V445"/>
      <c r="W445"/>
      <c r="X445"/>
      <c r="Y445"/>
      <c r="Z445"/>
      <c r="AA445"/>
      <c r="AB445"/>
      <c r="AC445"/>
      <c r="AD445"/>
      <c r="AE445"/>
      <c r="AF445"/>
    </row>
    <row r="446" spans="1:32" ht="20.45" customHeight="1" x14ac:dyDescent="0.2">
      <c r="A446" s="1421" t="s">
        <v>1228</v>
      </c>
      <c r="B446" s="1417" t="s">
        <v>8969</v>
      </c>
      <c r="C446" s="1422" t="s">
        <v>15</v>
      </c>
      <c r="D446"/>
      <c r="E446"/>
      <c r="F446"/>
      <c r="G446"/>
      <c r="H446"/>
      <c r="I446"/>
      <c r="J446"/>
      <c r="K446"/>
      <c r="L446"/>
      <c r="M446"/>
      <c r="N446"/>
      <c r="O446"/>
      <c r="P446"/>
      <c r="Q446"/>
      <c r="R446"/>
      <c r="S446"/>
      <c r="T446"/>
      <c r="U446"/>
      <c r="V446"/>
      <c r="W446"/>
      <c r="X446"/>
      <c r="Y446"/>
      <c r="Z446"/>
      <c r="AA446"/>
      <c r="AB446"/>
      <c r="AC446"/>
      <c r="AD446"/>
      <c r="AE446"/>
      <c r="AF446"/>
    </row>
    <row r="447" spans="1:32" ht="20.45" customHeight="1" x14ac:dyDescent="0.2">
      <c r="A447" s="1419" t="s">
        <v>1237</v>
      </c>
      <c r="B447" s="1417">
        <v>23</v>
      </c>
      <c r="C447" s="1420" t="s">
        <v>33</v>
      </c>
      <c r="D447"/>
      <c r="E447"/>
      <c r="F447"/>
      <c r="G447"/>
      <c r="H447"/>
      <c r="I447"/>
      <c r="J447"/>
      <c r="K447"/>
      <c r="L447"/>
      <c r="M447"/>
      <c r="N447"/>
      <c r="O447"/>
      <c r="P447"/>
      <c r="Q447"/>
      <c r="R447"/>
      <c r="S447"/>
      <c r="T447"/>
      <c r="U447"/>
      <c r="V447"/>
      <c r="W447"/>
      <c r="X447"/>
      <c r="Y447"/>
      <c r="Z447"/>
      <c r="AA447"/>
      <c r="AB447"/>
      <c r="AC447"/>
      <c r="AD447"/>
      <c r="AE447"/>
      <c r="AF447"/>
    </row>
    <row r="448" spans="1:32" ht="20.45" customHeight="1" x14ac:dyDescent="0.2">
      <c r="A448" s="1419" t="s">
        <v>39</v>
      </c>
      <c r="B448" s="1800" t="s">
        <v>8951</v>
      </c>
      <c r="C448" s="1427" t="s">
        <v>33</v>
      </c>
      <c r="D448"/>
      <c r="E448"/>
      <c r="F448"/>
      <c r="G448"/>
      <c r="H448"/>
      <c r="I448"/>
      <c r="J448"/>
      <c r="K448"/>
      <c r="L448"/>
      <c r="M448"/>
      <c r="N448"/>
      <c r="O448"/>
      <c r="P448"/>
      <c r="Q448"/>
      <c r="R448"/>
      <c r="S448"/>
      <c r="T448"/>
      <c r="U448"/>
      <c r="V448"/>
      <c r="W448"/>
      <c r="X448"/>
      <c r="Y448"/>
      <c r="Z448"/>
      <c r="AA448"/>
      <c r="AB448"/>
      <c r="AC448"/>
      <c r="AD448"/>
      <c r="AE448"/>
      <c r="AF448"/>
    </row>
    <row r="449" spans="1:32" ht="20.45" customHeight="1" x14ac:dyDescent="0.2">
      <c r="A449" s="1421" t="s">
        <v>1228</v>
      </c>
      <c r="B449" s="1417" t="s">
        <v>8952</v>
      </c>
      <c r="C449" s="1422" t="s">
        <v>5635</v>
      </c>
      <c r="D449"/>
      <c r="E449"/>
      <c r="F449"/>
      <c r="G449"/>
      <c r="H449"/>
      <c r="I449"/>
      <c r="J449"/>
      <c r="K449"/>
      <c r="L449"/>
      <c r="M449"/>
      <c r="N449"/>
      <c r="O449"/>
      <c r="P449"/>
      <c r="Q449"/>
      <c r="R449"/>
      <c r="S449"/>
      <c r="T449"/>
      <c r="U449"/>
      <c r="V449"/>
      <c r="W449"/>
      <c r="X449"/>
      <c r="Y449"/>
      <c r="Z449"/>
      <c r="AA449"/>
      <c r="AB449"/>
      <c r="AC449"/>
      <c r="AD449"/>
      <c r="AE449"/>
      <c r="AF449"/>
    </row>
    <row r="450" spans="1:32" ht="20.45" customHeight="1" x14ac:dyDescent="0.2">
      <c r="A450" s="1421" t="s">
        <v>1228</v>
      </c>
      <c r="B450" s="1417" t="s">
        <v>8968</v>
      </c>
      <c r="C450" s="1422" t="s">
        <v>5636</v>
      </c>
      <c r="D450"/>
      <c r="E450"/>
      <c r="F450"/>
      <c r="G450"/>
      <c r="H450"/>
      <c r="I450"/>
      <c r="J450"/>
      <c r="K450"/>
      <c r="L450"/>
      <c r="M450"/>
      <c r="N450"/>
      <c r="O450"/>
      <c r="P450"/>
      <c r="Q450"/>
      <c r="R450"/>
      <c r="S450"/>
      <c r="T450"/>
      <c r="U450"/>
      <c r="V450"/>
      <c r="W450"/>
      <c r="X450"/>
      <c r="Y450"/>
      <c r="Z450"/>
      <c r="AA450"/>
      <c r="AB450"/>
      <c r="AC450"/>
      <c r="AD450"/>
      <c r="AE450"/>
      <c r="AF450"/>
    </row>
    <row r="451" spans="1:32" ht="20.45" customHeight="1" x14ac:dyDescent="0.2">
      <c r="A451" s="1421" t="s">
        <v>1228</v>
      </c>
      <c r="B451" s="1417" t="s">
        <v>8967</v>
      </c>
      <c r="C451" s="1422" t="s">
        <v>2823</v>
      </c>
      <c r="D451"/>
      <c r="E451"/>
      <c r="F451"/>
      <c r="G451"/>
      <c r="H451"/>
      <c r="I451"/>
      <c r="J451"/>
      <c r="K451"/>
      <c r="L451"/>
      <c r="M451"/>
      <c r="N451"/>
      <c r="O451"/>
      <c r="P451"/>
      <c r="Q451"/>
      <c r="R451"/>
      <c r="S451"/>
      <c r="T451"/>
      <c r="U451"/>
      <c r="V451"/>
      <c r="W451"/>
      <c r="X451"/>
      <c r="Y451"/>
      <c r="Z451"/>
      <c r="AA451"/>
      <c r="AB451"/>
      <c r="AC451"/>
      <c r="AD451"/>
      <c r="AE451"/>
      <c r="AF451"/>
    </row>
    <row r="452" spans="1:32" ht="20.45" customHeight="1" x14ac:dyDescent="0.2">
      <c r="A452" s="1421" t="s">
        <v>1228</v>
      </c>
      <c r="B452" s="1417" t="s">
        <v>8966</v>
      </c>
      <c r="C452" s="1422" t="s">
        <v>5637</v>
      </c>
      <c r="D452"/>
      <c r="E452"/>
      <c r="F452"/>
      <c r="G452"/>
      <c r="H452"/>
      <c r="I452"/>
      <c r="J452"/>
      <c r="K452"/>
      <c r="L452"/>
      <c r="M452"/>
      <c r="N452"/>
      <c r="O452"/>
      <c r="P452"/>
      <c r="Q452"/>
      <c r="R452"/>
      <c r="S452"/>
      <c r="T452"/>
      <c r="U452"/>
      <c r="V452"/>
      <c r="W452"/>
      <c r="X452"/>
      <c r="Y452"/>
      <c r="Z452"/>
      <c r="AA452"/>
      <c r="AB452"/>
      <c r="AC452"/>
      <c r="AD452"/>
      <c r="AE452"/>
      <c r="AF452"/>
    </row>
    <row r="453" spans="1:32" ht="20.45" customHeight="1" x14ac:dyDescent="0.2">
      <c r="A453" s="1421" t="s">
        <v>1228</v>
      </c>
      <c r="B453" s="1417" t="s">
        <v>9619</v>
      </c>
      <c r="C453" s="1422" t="s">
        <v>15</v>
      </c>
      <c r="D453"/>
      <c r="E453"/>
      <c r="F453"/>
      <c r="G453"/>
      <c r="H453"/>
      <c r="I453"/>
      <c r="J453"/>
      <c r="K453"/>
      <c r="L453"/>
      <c r="M453"/>
      <c r="N453"/>
      <c r="O453"/>
      <c r="P453"/>
      <c r="Q453"/>
      <c r="R453"/>
      <c r="S453"/>
      <c r="T453"/>
      <c r="U453"/>
      <c r="V453"/>
      <c r="W453"/>
      <c r="X453"/>
      <c r="Y453"/>
      <c r="Z453"/>
      <c r="AA453"/>
      <c r="AB453"/>
      <c r="AC453"/>
      <c r="AD453"/>
      <c r="AE453"/>
      <c r="AF453"/>
    </row>
    <row r="454" spans="1:32" ht="20.45" customHeight="1" x14ac:dyDescent="0.2">
      <c r="A454" s="1419" t="s">
        <v>1237</v>
      </c>
      <c r="B454" s="1417">
        <v>24</v>
      </c>
      <c r="C454" s="1420" t="s">
        <v>2530</v>
      </c>
      <c r="D454"/>
      <c r="E454"/>
      <c r="F454"/>
      <c r="G454"/>
      <c r="H454"/>
      <c r="I454"/>
      <c r="J454"/>
      <c r="K454"/>
      <c r="L454"/>
      <c r="M454"/>
      <c r="N454"/>
      <c r="O454"/>
      <c r="P454"/>
      <c r="Q454"/>
      <c r="R454"/>
      <c r="S454"/>
      <c r="T454"/>
      <c r="U454"/>
      <c r="V454"/>
      <c r="W454"/>
      <c r="X454"/>
      <c r="Y454"/>
      <c r="Z454"/>
      <c r="AA454"/>
      <c r="AB454"/>
      <c r="AC454"/>
      <c r="AD454"/>
      <c r="AE454"/>
      <c r="AF454"/>
    </row>
    <row r="455" spans="1:32" ht="20.45" customHeight="1" x14ac:dyDescent="0.2">
      <c r="A455" s="1419" t="s">
        <v>39</v>
      </c>
      <c r="B455" s="1800" t="s">
        <v>9675</v>
      </c>
      <c r="C455" s="1427" t="s">
        <v>9700</v>
      </c>
      <c r="D455"/>
      <c r="E455"/>
      <c r="F455"/>
      <c r="G455"/>
      <c r="H455"/>
      <c r="I455"/>
      <c r="J455"/>
      <c r="K455"/>
      <c r="L455"/>
      <c r="M455"/>
      <c r="N455"/>
      <c r="O455"/>
      <c r="P455"/>
      <c r="Q455"/>
      <c r="R455"/>
      <c r="S455"/>
      <c r="T455"/>
      <c r="U455"/>
      <c r="V455"/>
      <c r="W455"/>
      <c r="X455"/>
      <c r="Y455"/>
      <c r="Z455"/>
      <c r="AA455"/>
      <c r="AB455"/>
      <c r="AC455"/>
      <c r="AD455"/>
      <c r="AE455"/>
      <c r="AF455"/>
    </row>
    <row r="456" spans="1:32" ht="20.45" customHeight="1" x14ac:dyDescent="0.2">
      <c r="A456" s="1421" t="s">
        <v>1228</v>
      </c>
      <c r="B456" s="1417" t="s">
        <v>8961</v>
      </c>
      <c r="C456" s="1422" t="s">
        <v>2824</v>
      </c>
      <c r="D456"/>
      <c r="E456"/>
      <c r="F456"/>
      <c r="G456"/>
      <c r="H456"/>
      <c r="I456"/>
      <c r="J456"/>
      <c r="K456"/>
      <c r="L456"/>
      <c r="M456"/>
      <c r="N456"/>
      <c r="O456"/>
      <c r="P456"/>
      <c r="Q456"/>
      <c r="R456"/>
      <c r="S456"/>
      <c r="T456"/>
      <c r="U456"/>
      <c r="V456"/>
      <c r="W456"/>
      <c r="X456"/>
      <c r="Y456"/>
      <c r="Z456"/>
      <c r="AA456"/>
      <c r="AB456"/>
      <c r="AC456"/>
      <c r="AD456"/>
      <c r="AE456"/>
      <c r="AF456"/>
    </row>
    <row r="457" spans="1:32" ht="20.45" customHeight="1" x14ac:dyDescent="0.2">
      <c r="A457" s="1421" t="s">
        <v>1228</v>
      </c>
      <c r="B457" s="1417" t="s">
        <v>9620</v>
      </c>
      <c r="C457" s="1422" t="s">
        <v>2750</v>
      </c>
      <c r="D457"/>
      <c r="E457"/>
      <c r="F457"/>
      <c r="G457"/>
      <c r="H457"/>
      <c r="I457"/>
      <c r="J457"/>
      <c r="K457"/>
      <c r="L457"/>
      <c r="M457"/>
      <c r="N457"/>
      <c r="O457"/>
      <c r="P457"/>
      <c r="Q457"/>
      <c r="R457"/>
      <c r="S457"/>
      <c r="T457"/>
      <c r="U457"/>
      <c r="V457"/>
      <c r="W457"/>
      <c r="X457"/>
      <c r="Y457"/>
      <c r="Z457"/>
      <c r="AA457"/>
      <c r="AB457"/>
      <c r="AC457"/>
      <c r="AD457"/>
      <c r="AE457"/>
      <c r="AF457"/>
    </row>
    <row r="458" spans="1:32" ht="20.45" customHeight="1" x14ac:dyDescent="0.2">
      <c r="A458" s="1421" t="s">
        <v>1228</v>
      </c>
      <c r="B458" s="1417" t="s">
        <v>9621</v>
      </c>
      <c r="C458" s="1422" t="s">
        <v>2825</v>
      </c>
      <c r="D458"/>
      <c r="E458"/>
      <c r="F458"/>
      <c r="G458"/>
      <c r="H458"/>
      <c r="I458"/>
      <c r="J458"/>
      <c r="K458"/>
      <c r="L458"/>
      <c r="M458"/>
      <c r="N458"/>
      <c r="O458"/>
      <c r="P458"/>
      <c r="Q458"/>
      <c r="R458"/>
      <c r="S458"/>
      <c r="T458"/>
      <c r="U458"/>
      <c r="V458"/>
      <c r="W458"/>
      <c r="X458"/>
      <c r="Y458"/>
      <c r="Z458"/>
      <c r="AA458"/>
      <c r="AB458"/>
      <c r="AC458"/>
      <c r="AD458"/>
      <c r="AE458"/>
      <c r="AF458"/>
    </row>
    <row r="459" spans="1:32" ht="20.45" customHeight="1" x14ac:dyDescent="0.2">
      <c r="A459" s="1421" t="s">
        <v>1228</v>
      </c>
      <c r="B459" s="1417" t="s">
        <v>9622</v>
      </c>
      <c r="C459" s="1422" t="s">
        <v>5638</v>
      </c>
      <c r="D459"/>
      <c r="E459"/>
      <c r="F459"/>
      <c r="G459"/>
      <c r="H459"/>
      <c r="I459"/>
      <c r="J459"/>
      <c r="K459"/>
      <c r="L459"/>
      <c r="M459"/>
      <c r="N459"/>
      <c r="O459"/>
      <c r="P459"/>
      <c r="Q459"/>
      <c r="R459"/>
      <c r="S459"/>
      <c r="T459"/>
      <c r="U459"/>
      <c r="V459"/>
      <c r="W459"/>
      <c r="X459"/>
      <c r="Y459"/>
      <c r="Z459"/>
      <c r="AA459"/>
      <c r="AB459"/>
      <c r="AC459"/>
      <c r="AD459"/>
      <c r="AE459"/>
      <c r="AF459"/>
    </row>
    <row r="460" spans="1:32" ht="20.45" customHeight="1" x14ac:dyDescent="0.2">
      <c r="A460" s="1421" t="s">
        <v>1228</v>
      </c>
      <c r="B460" s="1417" t="s">
        <v>9623</v>
      </c>
      <c r="C460" s="1422" t="s">
        <v>15</v>
      </c>
      <c r="D460"/>
      <c r="E460"/>
      <c r="F460"/>
      <c r="G460"/>
      <c r="H460"/>
      <c r="I460"/>
      <c r="J460"/>
      <c r="K460"/>
      <c r="L460"/>
      <c r="M460"/>
      <c r="N460"/>
      <c r="O460"/>
      <c r="P460"/>
      <c r="Q460"/>
      <c r="R460"/>
      <c r="S460"/>
      <c r="T460"/>
      <c r="U460"/>
      <c r="V460"/>
      <c r="W460"/>
      <c r="X460"/>
      <c r="Y460"/>
      <c r="Z460"/>
      <c r="AA460"/>
      <c r="AB460"/>
      <c r="AC460"/>
      <c r="AD460"/>
      <c r="AE460"/>
      <c r="AF460"/>
    </row>
    <row r="461" spans="1:32" ht="20.45" customHeight="1" x14ac:dyDescent="0.2">
      <c r="A461" s="1419" t="s">
        <v>39</v>
      </c>
      <c r="B461" s="1800" t="s">
        <v>9676</v>
      </c>
      <c r="C461" s="1427" t="s">
        <v>5639</v>
      </c>
      <c r="D461"/>
      <c r="E461"/>
      <c r="F461"/>
      <c r="G461"/>
      <c r="H461"/>
      <c r="I461"/>
      <c r="J461"/>
      <c r="K461"/>
      <c r="L461"/>
      <c r="M461"/>
      <c r="N461"/>
      <c r="O461"/>
      <c r="P461"/>
      <c r="Q461"/>
      <c r="R461"/>
      <c r="S461"/>
      <c r="T461"/>
      <c r="U461"/>
      <c r="V461"/>
      <c r="W461"/>
      <c r="X461"/>
      <c r="Y461"/>
      <c r="Z461"/>
      <c r="AA461"/>
      <c r="AB461"/>
      <c r="AC461"/>
      <c r="AD461"/>
      <c r="AE461"/>
      <c r="AF461"/>
    </row>
    <row r="462" spans="1:32" ht="20.45" customHeight="1" x14ac:dyDescent="0.2">
      <c r="A462" s="1421" t="s">
        <v>1228</v>
      </c>
      <c r="B462" s="1417" t="s">
        <v>9624</v>
      </c>
      <c r="C462" s="1422" t="s">
        <v>2824</v>
      </c>
      <c r="D462"/>
      <c r="E462"/>
      <c r="F462"/>
      <c r="G462"/>
      <c r="H462"/>
      <c r="I462"/>
      <c r="J462"/>
      <c r="K462"/>
      <c r="L462"/>
      <c r="M462"/>
      <c r="N462"/>
      <c r="O462"/>
      <c r="P462"/>
      <c r="Q462"/>
      <c r="R462"/>
      <c r="S462"/>
      <c r="T462"/>
      <c r="U462"/>
      <c r="V462"/>
      <c r="W462"/>
      <c r="X462"/>
      <c r="Y462"/>
      <c r="Z462"/>
      <c r="AA462"/>
      <c r="AB462"/>
      <c r="AC462"/>
      <c r="AD462"/>
      <c r="AE462"/>
      <c r="AF462"/>
    </row>
    <row r="463" spans="1:32" ht="20.45" customHeight="1" x14ac:dyDescent="0.2">
      <c r="A463" s="1421" t="s">
        <v>1228</v>
      </c>
      <c r="B463" s="1417" t="s">
        <v>9625</v>
      </c>
      <c r="C463" s="1422" t="s">
        <v>2750</v>
      </c>
      <c r="D463"/>
      <c r="E463"/>
      <c r="F463"/>
      <c r="G463"/>
      <c r="H463"/>
      <c r="I463"/>
      <c r="J463"/>
      <c r="K463"/>
      <c r="L463"/>
      <c r="M463"/>
      <c r="N463"/>
      <c r="O463"/>
      <c r="P463"/>
      <c r="Q463"/>
      <c r="R463"/>
      <c r="S463"/>
      <c r="T463"/>
      <c r="U463"/>
      <c r="V463"/>
      <c r="W463"/>
      <c r="X463"/>
      <c r="Y463"/>
      <c r="Z463"/>
      <c r="AA463"/>
      <c r="AB463"/>
      <c r="AC463"/>
      <c r="AD463"/>
      <c r="AE463"/>
      <c r="AF463"/>
    </row>
    <row r="464" spans="1:32" ht="20.45" customHeight="1" x14ac:dyDescent="0.2">
      <c r="A464" s="1421" t="s">
        <v>1228</v>
      </c>
      <c r="B464" s="1417" t="s">
        <v>9626</v>
      </c>
      <c r="C464" s="1422" t="s">
        <v>2825</v>
      </c>
      <c r="D464"/>
      <c r="E464"/>
      <c r="F464"/>
      <c r="G464"/>
      <c r="H464"/>
      <c r="I464"/>
      <c r="J464"/>
      <c r="K464"/>
      <c r="L464"/>
      <c r="M464"/>
      <c r="N464"/>
      <c r="O464"/>
      <c r="P464"/>
      <c r="Q464"/>
      <c r="R464"/>
      <c r="S464"/>
      <c r="T464"/>
      <c r="U464"/>
      <c r="V464"/>
      <c r="W464"/>
      <c r="X464"/>
      <c r="Y464"/>
      <c r="Z464"/>
      <c r="AA464"/>
      <c r="AB464"/>
      <c r="AC464"/>
      <c r="AD464"/>
      <c r="AE464"/>
      <c r="AF464"/>
    </row>
    <row r="465" spans="1:32" ht="20.45" customHeight="1" x14ac:dyDescent="0.2">
      <c r="A465" s="1421" t="s">
        <v>1228</v>
      </c>
      <c r="B465" s="1417" t="s">
        <v>9627</v>
      </c>
      <c r="C465" s="1422" t="s">
        <v>5638</v>
      </c>
      <c r="D465"/>
      <c r="E465"/>
      <c r="F465"/>
      <c r="G465"/>
      <c r="H465"/>
      <c r="I465"/>
      <c r="J465"/>
      <c r="K465"/>
      <c r="L465"/>
      <c r="M465"/>
      <c r="N465"/>
      <c r="O465"/>
      <c r="P465"/>
      <c r="Q465"/>
      <c r="R465"/>
      <c r="S465"/>
      <c r="T465"/>
      <c r="U465"/>
      <c r="V465"/>
      <c r="W465"/>
      <c r="X465"/>
      <c r="Y465"/>
      <c r="Z465"/>
      <c r="AA465"/>
      <c r="AB465"/>
      <c r="AC465"/>
      <c r="AD465"/>
      <c r="AE465"/>
      <c r="AF465"/>
    </row>
    <row r="466" spans="1:32" ht="20.45" customHeight="1" x14ac:dyDescent="0.2">
      <c r="A466" s="1421" t="s">
        <v>1228</v>
      </c>
      <c r="B466" s="1417" t="s">
        <v>9628</v>
      </c>
      <c r="C466" s="1422" t="s">
        <v>15</v>
      </c>
      <c r="D466"/>
      <c r="E466"/>
      <c r="F466"/>
      <c r="G466"/>
      <c r="H466"/>
      <c r="I466"/>
      <c r="J466"/>
      <c r="K466"/>
      <c r="L466"/>
      <c r="M466"/>
      <c r="N466"/>
      <c r="O466"/>
      <c r="P466"/>
      <c r="Q466"/>
      <c r="R466"/>
      <c r="S466"/>
      <c r="T466"/>
      <c r="U466"/>
      <c r="V466"/>
      <c r="W466"/>
      <c r="X466"/>
      <c r="Y466"/>
      <c r="Z466"/>
      <c r="AA466"/>
      <c r="AB466"/>
      <c r="AC466"/>
      <c r="AD466"/>
      <c r="AE466"/>
      <c r="AF466"/>
    </row>
    <row r="467" spans="1:32" ht="20.45" customHeight="1" x14ac:dyDescent="0.2">
      <c r="A467" s="1419" t="s">
        <v>39</v>
      </c>
      <c r="B467" s="1800" t="s">
        <v>9677</v>
      </c>
      <c r="C467" s="1427" t="s">
        <v>5640</v>
      </c>
      <c r="D467"/>
      <c r="E467"/>
      <c r="F467"/>
      <c r="G467"/>
      <c r="H467"/>
      <c r="I467"/>
      <c r="J467"/>
      <c r="K467"/>
      <c r="L467"/>
      <c r="M467"/>
      <c r="N467"/>
      <c r="O467"/>
      <c r="P467"/>
      <c r="Q467"/>
      <c r="R467"/>
      <c r="S467"/>
      <c r="T467"/>
      <c r="U467"/>
      <c r="V467"/>
      <c r="W467"/>
      <c r="X467"/>
      <c r="Y467"/>
      <c r="Z467"/>
      <c r="AA467"/>
      <c r="AB467"/>
      <c r="AC467"/>
      <c r="AD467"/>
      <c r="AE467"/>
      <c r="AF467"/>
    </row>
    <row r="468" spans="1:32" ht="20.45" customHeight="1" x14ac:dyDescent="0.2">
      <c r="A468" s="1421" t="s">
        <v>1228</v>
      </c>
      <c r="B468" s="1417" t="s">
        <v>9629</v>
      </c>
      <c r="C468" s="1422" t="s">
        <v>2824</v>
      </c>
      <c r="D468"/>
      <c r="E468"/>
      <c r="F468"/>
      <c r="G468"/>
      <c r="H468"/>
      <c r="I468"/>
      <c r="J468"/>
      <c r="K468"/>
      <c r="L468"/>
      <c r="M468"/>
      <c r="N468"/>
      <c r="O468"/>
      <c r="P468"/>
      <c r="Q468"/>
      <c r="R468"/>
      <c r="S468"/>
      <c r="T468"/>
      <c r="U468"/>
      <c r="V468"/>
      <c r="W468"/>
      <c r="X468"/>
      <c r="Y468"/>
      <c r="Z468"/>
      <c r="AA468"/>
      <c r="AB468"/>
      <c r="AC468"/>
      <c r="AD468"/>
      <c r="AE468"/>
      <c r="AF468"/>
    </row>
    <row r="469" spans="1:32" ht="20.45" customHeight="1" x14ac:dyDescent="0.2">
      <c r="A469" s="1421" t="s">
        <v>1228</v>
      </c>
      <c r="B469" s="1417" t="s">
        <v>9630</v>
      </c>
      <c r="C469" s="1422" t="s">
        <v>2750</v>
      </c>
      <c r="D469"/>
      <c r="E469"/>
      <c r="F469"/>
      <c r="G469"/>
      <c r="H469"/>
      <c r="I469"/>
      <c r="J469"/>
      <c r="K469"/>
      <c r="L469"/>
      <c r="M469"/>
      <c r="N469"/>
      <c r="O469"/>
      <c r="P469"/>
      <c r="Q469"/>
      <c r="R469"/>
      <c r="S469"/>
      <c r="T469"/>
      <c r="U469"/>
      <c r="V469"/>
      <c r="W469"/>
      <c r="X469"/>
      <c r="Y469"/>
      <c r="Z469"/>
      <c r="AA469"/>
      <c r="AB469"/>
      <c r="AC469"/>
      <c r="AD469"/>
      <c r="AE469"/>
      <c r="AF469"/>
    </row>
    <row r="470" spans="1:32" ht="20.45" customHeight="1" x14ac:dyDescent="0.2">
      <c r="A470" s="1421" t="s">
        <v>1228</v>
      </c>
      <c r="B470" s="1417" t="s">
        <v>9631</v>
      </c>
      <c r="C470" s="1422" t="s">
        <v>2825</v>
      </c>
      <c r="D470"/>
      <c r="E470"/>
      <c r="F470"/>
      <c r="G470"/>
      <c r="H470"/>
      <c r="I470"/>
      <c r="J470"/>
      <c r="K470"/>
      <c r="L470"/>
      <c r="M470"/>
      <c r="N470"/>
      <c r="O470"/>
      <c r="P470"/>
      <c r="Q470"/>
      <c r="R470"/>
      <c r="S470"/>
      <c r="T470"/>
      <c r="U470"/>
      <c r="V470"/>
      <c r="W470"/>
      <c r="X470"/>
      <c r="Y470"/>
      <c r="Z470"/>
      <c r="AA470"/>
      <c r="AB470"/>
      <c r="AC470"/>
      <c r="AD470"/>
      <c r="AE470"/>
      <c r="AF470"/>
    </row>
    <row r="471" spans="1:32" ht="20.45" customHeight="1" x14ac:dyDescent="0.2">
      <c r="A471" s="1421" t="s">
        <v>1228</v>
      </c>
      <c r="B471" s="1417" t="s">
        <v>9632</v>
      </c>
      <c r="C471" s="1422" t="s">
        <v>5638</v>
      </c>
      <c r="D471"/>
      <c r="E471"/>
      <c r="F471"/>
      <c r="G471"/>
      <c r="H471"/>
      <c r="I471"/>
      <c r="J471"/>
      <c r="K471"/>
      <c r="L471"/>
      <c r="M471"/>
      <c r="N471"/>
      <c r="O471"/>
      <c r="P471"/>
      <c r="Q471"/>
      <c r="R471"/>
      <c r="S471"/>
      <c r="T471"/>
      <c r="U471"/>
      <c r="V471"/>
      <c r="W471"/>
      <c r="X471"/>
      <c r="Y471"/>
      <c r="Z471"/>
      <c r="AA471"/>
      <c r="AB471"/>
      <c r="AC471"/>
      <c r="AD471"/>
      <c r="AE471"/>
      <c r="AF471"/>
    </row>
    <row r="472" spans="1:32" ht="20.45" customHeight="1" x14ac:dyDescent="0.2">
      <c r="A472" s="1421" t="s">
        <v>1228</v>
      </c>
      <c r="B472" s="1417" t="s">
        <v>9633</v>
      </c>
      <c r="C472" s="1422" t="s">
        <v>15</v>
      </c>
      <c r="D472"/>
      <c r="E472"/>
      <c r="F472"/>
      <c r="G472"/>
      <c r="H472"/>
      <c r="I472"/>
      <c r="J472"/>
      <c r="K472"/>
      <c r="L472"/>
      <c r="M472"/>
      <c r="N472"/>
      <c r="O472"/>
      <c r="P472"/>
      <c r="Q472"/>
      <c r="R472"/>
      <c r="S472"/>
      <c r="T472"/>
      <c r="U472"/>
      <c r="V472"/>
      <c r="W472"/>
      <c r="X472"/>
      <c r="Y472"/>
      <c r="Z472"/>
      <c r="AA472"/>
      <c r="AB472"/>
      <c r="AC472"/>
      <c r="AD472"/>
      <c r="AE472"/>
      <c r="AF472"/>
    </row>
    <row r="473" spans="1:32" ht="20.45" customHeight="1" x14ac:dyDescent="0.2">
      <c r="A473" s="1419" t="s">
        <v>1237</v>
      </c>
      <c r="B473" s="1417">
        <v>25</v>
      </c>
      <c r="C473" s="1420" t="s">
        <v>31</v>
      </c>
      <c r="D473"/>
      <c r="E473"/>
      <c r="F473"/>
      <c r="G473"/>
      <c r="H473"/>
      <c r="I473"/>
      <c r="J473"/>
      <c r="K473"/>
      <c r="L473"/>
      <c r="M473"/>
      <c r="N473"/>
      <c r="O473"/>
      <c r="P473"/>
      <c r="Q473"/>
      <c r="R473"/>
      <c r="S473"/>
      <c r="T473"/>
      <c r="U473"/>
      <c r="V473"/>
      <c r="W473"/>
      <c r="X473"/>
      <c r="Y473"/>
      <c r="Z473"/>
      <c r="AA473"/>
      <c r="AB473"/>
      <c r="AC473"/>
      <c r="AD473"/>
      <c r="AE473"/>
      <c r="AF473"/>
    </row>
    <row r="474" spans="1:32" ht="20.45" customHeight="1" x14ac:dyDescent="0.2">
      <c r="A474" s="1419" t="s">
        <v>39</v>
      </c>
      <c r="B474" s="1800" t="s">
        <v>9678</v>
      </c>
      <c r="C474" s="1427" t="s">
        <v>34</v>
      </c>
      <c r="D474"/>
      <c r="E474"/>
      <c r="F474"/>
      <c r="G474"/>
      <c r="H474"/>
      <c r="I474"/>
      <c r="J474"/>
      <c r="K474"/>
      <c r="L474"/>
      <c r="M474"/>
      <c r="N474"/>
      <c r="O474"/>
      <c r="P474"/>
      <c r="Q474"/>
      <c r="R474"/>
      <c r="S474"/>
      <c r="T474"/>
      <c r="U474"/>
      <c r="V474"/>
      <c r="W474"/>
      <c r="X474"/>
      <c r="Y474"/>
      <c r="Z474"/>
      <c r="AA474"/>
      <c r="AB474"/>
      <c r="AC474"/>
      <c r="AD474"/>
      <c r="AE474"/>
      <c r="AF474"/>
    </row>
    <row r="475" spans="1:32" ht="20.45" customHeight="1" x14ac:dyDescent="0.2">
      <c r="A475" s="1421" t="s">
        <v>1228</v>
      </c>
      <c r="B475" s="1417" t="s">
        <v>9634</v>
      </c>
      <c r="C475" s="1422" t="s">
        <v>2531</v>
      </c>
      <c r="D475"/>
      <c r="E475"/>
      <c r="F475"/>
      <c r="G475"/>
      <c r="H475"/>
      <c r="I475"/>
      <c r="J475"/>
      <c r="K475"/>
      <c r="L475"/>
      <c r="M475"/>
      <c r="N475"/>
      <c r="O475"/>
      <c r="P475"/>
      <c r="Q475"/>
      <c r="R475"/>
      <c r="S475"/>
      <c r="T475"/>
      <c r="U475"/>
      <c r="V475"/>
      <c r="W475"/>
      <c r="X475"/>
      <c r="Y475"/>
      <c r="Z475"/>
      <c r="AA475"/>
      <c r="AB475"/>
      <c r="AC475"/>
      <c r="AD475"/>
      <c r="AE475"/>
      <c r="AF475"/>
    </row>
    <row r="476" spans="1:32" ht="20.45" customHeight="1" x14ac:dyDescent="0.2">
      <c r="A476" s="1421" t="s">
        <v>1228</v>
      </c>
      <c r="B476" s="1417" t="s">
        <v>9635</v>
      </c>
      <c r="C476" s="1422" t="s">
        <v>5641</v>
      </c>
      <c r="D476"/>
      <c r="E476"/>
      <c r="F476"/>
      <c r="G476"/>
      <c r="H476"/>
      <c r="I476"/>
      <c r="J476"/>
      <c r="K476"/>
      <c r="L476"/>
      <c r="M476"/>
      <c r="N476"/>
      <c r="O476"/>
      <c r="P476"/>
      <c r="Q476"/>
      <c r="R476"/>
      <c r="S476"/>
      <c r="T476"/>
      <c r="U476"/>
      <c r="V476"/>
      <c r="W476"/>
      <c r="X476"/>
      <c r="Y476"/>
      <c r="Z476"/>
      <c r="AA476"/>
      <c r="AB476"/>
      <c r="AC476"/>
      <c r="AD476"/>
      <c r="AE476"/>
      <c r="AF476"/>
    </row>
    <row r="477" spans="1:32" ht="20.45" customHeight="1" x14ac:dyDescent="0.2">
      <c r="A477" s="1421" t="s">
        <v>1228</v>
      </c>
      <c r="B477" s="1417" t="s">
        <v>9636</v>
      </c>
      <c r="C477" s="1422" t="s">
        <v>2532</v>
      </c>
      <c r="D477"/>
      <c r="E477"/>
      <c r="F477"/>
      <c r="G477"/>
      <c r="H477"/>
      <c r="I477"/>
      <c r="J477"/>
      <c r="K477"/>
      <c r="L477"/>
      <c r="M477"/>
      <c r="N477"/>
      <c r="O477"/>
      <c r="P477"/>
      <c r="Q477"/>
      <c r="R477"/>
      <c r="S477"/>
      <c r="T477"/>
      <c r="U477"/>
      <c r="V477"/>
      <c r="W477"/>
      <c r="X477"/>
      <c r="Y477"/>
      <c r="Z477"/>
      <c r="AA477"/>
      <c r="AB477"/>
      <c r="AC477"/>
      <c r="AD477"/>
      <c r="AE477"/>
      <c r="AF477"/>
    </row>
    <row r="478" spans="1:32" ht="20.45" customHeight="1" x14ac:dyDescent="0.2">
      <c r="A478" s="1421" t="s">
        <v>1228</v>
      </c>
      <c r="B478" s="1417" t="s">
        <v>9637</v>
      </c>
      <c r="C478" s="1422" t="s">
        <v>2533</v>
      </c>
      <c r="D478"/>
      <c r="E478"/>
      <c r="F478"/>
      <c r="G478"/>
      <c r="H478"/>
      <c r="I478"/>
      <c r="J478"/>
      <c r="K478"/>
      <c r="L478"/>
      <c r="M478"/>
      <c r="N478"/>
      <c r="O478"/>
      <c r="P478"/>
      <c r="Q478"/>
      <c r="R478"/>
      <c r="S478"/>
      <c r="T478"/>
      <c r="U478"/>
      <c r="V478"/>
      <c r="W478"/>
      <c r="X478"/>
      <c r="Y478"/>
      <c r="Z478"/>
      <c r="AA478"/>
      <c r="AB478"/>
      <c r="AC478"/>
      <c r="AD478"/>
      <c r="AE478"/>
      <c r="AF478"/>
    </row>
    <row r="479" spans="1:32" ht="20.45" customHeight="1" x14ac:dyDescent="0.2">
      <c r="A479" s="1419" t="s">
        <v>39</v>
      </c>
      <c r="B479" s="1800" t="s">
        <v>9679</v>
      </c>
      <c r="C479" s="1427" t="s">
        <v>31</v>
      </c>
      <c r="D479"/>
      <c r="E479"/>
      <c r="F479"/>
      <c r="G479"/>
      <c r="H479"/>
      <c r="I479"/>
      <c r="J479"/>
      <c r="K479"/>
      <c r="L479"/>
      <c r="M479"/>
      <c r="N479"/>
      <c r="O479"/>
      <c r="P479"/>
      <c r="Q479"/>
      <c r="R479"/>
      <c r="S479"/>
      <c r="T479"/>
      <c r="U479"/>
      <c r="V479"/>
      <c r="W479"/>
      <c r="X479"/>
      <c r="Y479"/>
      <c r="Z479"/>
      <c r="AA479"/>
      <c r="AB479"/>
      <c r="AC479"/>
      <c r="AD479"/>
      <c r="AE479"/>
      <c r="AF479"/>
    </row>
    <row r="480" spans="1:32" ht="20.45" customHeight="1" x14ac:dyDescent="0.2">
      <c r="A480" s="1421" t="s">
        <v>1228</v>
      </c>
      <c r="B480" s="1417" t="s">
        <v>9638</v>
      </c>
      <c r="C480" s="1422" t="s">
        <v>5642</v>
      </c>
      <c r="D480"/>
      <c r="E480"/>
      <c r="F480"/>
      <c r="G480"/>
      <c r="H480"/>
      <c r="I480"/>
      <c r="J480"/>
      <c r="K480"/>
      <c r="L480"/>
      <c r="M480"/>
      <c r="N480"/>
      <c r="O480"/>
      <c r="P480"/>
      <c r="Q480"/>
      <c r="R480"/>
      <c r="S480"/>
      <c r="T480"/>
      <c r="U480"/>
      <c r="V480"/>
      <c r="W480"/>
      <c r="X480"/>
      <c r="Y480"/>
      <c r="Z480"/>
      <c r="AA480"/>
      <c r="AB480"/>
      <c r="AC480"/>
      <c r="AD480"/>
      <c r="AE480"/>
      <c r="AF480"/>
    </row>
    <row r="481" spans="1:32" ht="20.45" customHeight="1" x14ac:dyDescent="0.2">
      <c r="A481" s="1421" t="s">
        <v>1228</v>
      </c>
      <c r="B481" s="1417" t="s">
        <v>9639</v>
      </c>
      <c r="C481" s="1422" t="s">
        <v>38</v>
      </c>
      <c r="D481"/>
      <c r="E481"/>
      <c r="F481"/>
      <c r="G481"/>
      <c r="H481"/>
      <c r="I481"/>
      <c r="J481"/>
      <c r="K481"/>
      <c r="L481"/>
      <c r="M481"/>
      <c r="N481"/>
      <c r="O481"/>
      <c r="P481"/>
      <c r="Q481"/>
      <c r="R481"/>
      <c r="S481"/>
      <c r="T481"/>
      <c r="U481"/>
      <c r="V481"/>
      <c r="W481"/>
      <c r="X481"/>
      <c r="Y481"/>
      <c r="Z481"/>
      <c r="AA481"/>
      <c r="AB481"/>
      <c r="AC481"/>
      <c r="AD481"/>
      <c r="AE481"/>
      <c r="AF481"/>
    </row>
    <row r="482" spans="1:32" ht="20.45" customHeight="1" x14ac:dyDescent="0.2">
      <c r="A482" s="1421" t="s">
        <v>1228</v>
      </c>
      <c r="B482" s="1417" t="s">
        <v>9640</v>
      </c>
      <c r="C482" s="1422" t="s">
        <v>1274</v>
      </c>
      <c r="D482"/>
      <c r="E482"/>
      <c r="F482"/>
      <c r="G482"/>
      <c r="H482"/>
      <c r="I482"/>
      <c r="J482"/>
      <c r="K482"/>
      <c r="L482"/>
      <c r="M482"/>
      <c r="N482"/>
      <c r="O482"/>
      <c r="P482"/>
      <c r="Q482"/>
      <c r="R482"/>
      <c r="S482"/>
      <c r="T482"/>
      <c r="U482"/>
      <c r="V482"/>
      <c r="W482"/>
      <c r="X482"/>
      <c r="Y482"/>
      <c r="Z482"/>
      <c r="AA482"/>
      <c r="AB482"/>
      <c r="AC482"/>
      <c r="AD482"/>
      <c r="AE482"/>
      <c r="AF482"/>
    </row>
    <row r="483" spans="1:32" ht="20.45" customHeight="1" x14ac:dyDescent="0.2">
      <c r="A483" s="1421" t="s">
        <v>1228</v>
      </c>
      <c r="B483" s="1417" t="s">
        <v>9641</v>
      </c>
      <c r="C483" s="1422" t="s">
        <v>1276</v>
      </c>
      <c r="D483"/>
      <c r="E483"/>
      <c r="F483"/>
      <c r="G483"/>
      <c r="H483"/>
      <c r="I483"/>
      <c r="J483"/>
      <c r="K483"/>
      <c r="L483"/>
      <c r="M483"/>
      <c r="N483"/>
      <c r="O483"/>
      <c r="P483"/>
      <c r="Q483"/>
      <c r="R483"/>
      <c r="S483"/>
      <c r="T483"/>
      <c r="U483"/>
      <c r="V483"/>
      <c r="W483"/>
      <c r="X483"/>
      <c r="Y483"/>
      <c r="Z483"/>
      <c r="AA483"/>
      <c r="AB483"/>
      <c r="AC483"/>
      <c r="AD483"/>
      <c r="AE483"/>
      <c r="AF483"/>
    </row>
    <row r="484" spans="1:32" ht="20.45" customHeight="1" x14ac:dyDescent="0.2">
      <c r="A484" s="1419" t="s">
        <v>1237</v>
      </c>
      <c r="B484" s="1417">
        <v>26</v>
      </c>
      <c r="C484" s="1420" t="s">
        <v>5643</v>
      </c>
      <c r="D484"/>
      <c r="E484"/>
      <c r="F484"/>
      <c r="G484"/>
      <c r="H484"/>
      <c r="I484"/>
      <c r="J484"/>
      <c r="K484"/>
      <c r="L484"/>
      <c r="M484"/>
      <c r="N484"/>
      <c r="O484"/>
      <c r="P484"/>
      <c r="Q484"/>
      <c r="R484"/>
      <c r="S484"/>
      <c r="T484"/>
      <c r="U484"/>
      <c r="V484"/>
      <c r="W484"/>
      <c r="X484"/>
      <c r="Y484"/>
      <c r="Z484"/>
      <c r="AA484"/>
      <c r="AB484"/>
      <c r="AC484"/>
      <c r="AD484"/>
      <c r="AE484"/>
      <c r="AF484"/>
    </row>
    <row r="485" spans="1:32" ht="20.45" customHeight="1" x14ac:dyDescent="0.2">
      <c r="A485" s="1419" t="s">
        <v>39</v>
      </c>
      <c r="B485" s="1800" t="s">
        <v>9680</v>
      </c>
      <c r="C485" s="1420" t="s">
        <v>5643</v>
      </c>
      <c r="D485"/>
      <c r="E485"/>
      <c r="F485"/>
      <c r="G485"/>
      <c r="H485"/>
      <c r="I485"/>
      <c r="J485"/>
      <c r="K485"/>
      <c r="L485"/>
      <c r="M485"/>
      <c r="N485"/>
      <c r="O485"/>
      <c r="P485"/>
      <c r="Q485"/>
      <c r="R485"/>
      <c r="S485"/>
      <c r="T485"/>
      <c r="U485"/>
      <c r="V485"/>
      <c r="W485"/>
      <c r="X485"/>
      <c r="Y485"/>
      <c r="Z485"/>
      <c r="AA485"/>
      <c r="AB485"/>
      <c r="AC485"/>
      <c r="AD485"/>
      <c r="AE485"/>
      <c r="AF485"/>
    </row>
    <row r="486" spans="1:32" ht="20.45" customHeight="1" thickBot="1" x14ac:dyDescent="0.25">
      <c r="A486" s="1428" t="s">
        <v>1228</v>
      </c>
      <c r="B486" s="1429" t="s">
        <v>9642</v>
      </c>
      <c r="C486" s="1430" t="s">
        <v>2534</v>
      </c>
      <c r="D486"/>
      <c r="E486"/>
      <c r="F486"/>
      <c r="G486"/>
      <c r="H486"/>
      <c r="I486"/>
      <c r="J486"/>
      <c r="K486"/>
      <c r="L486"/>
      <c r="M486"/>
      <c r="N486"/>
      <c r="O486"/>
      <c r="P486"/>
      <c r="Q486"/>
      <c r="R486"/>
      <c r="S486"/>
      <c r="T486"/>
      <c r="U486"/>
      <c r="V486"/>
      <c r="W486"/>
      <c r="X486"/>
      <c r="Y486"/>
      <c r="Z486"/>
      <c r="AA486"/>
      <c r="AB486"/>
      <c r="AC486"/>
      <c r="AD486"/>
      <c r="AE486"/>
      <c r="AF486"/>
    </row>
    <row r="487" spans="1:32" ht="12.75" x14ac:dyDescent="0.2">
      <c r="A487"/>
      <c r="B487"/>
      <c r="C487"/>
      <c r="D487"/>
      <c r="E487"/>
      <c r="F487"/>
      <c r="G487"/>
      <c r="H487"/>
      <c r="I487"/>
      <c r="J487"/>
      <c r="K487"/>
      <c r="L487"/>
      <c r="M487"/>
      <c r="N487"/>
      <c r="O487"/>
      <c r="P487"/>
      <c r="Q487"/>
      <c r="R487"/>
      <c r="S487"/>
      <c r="T487"/>
      <c r="U487"/>
      <c r="V487"/>
      <c r="W487"/>
      <c r="X487"/>
      <c r="Y487"/>
      <c r="Z487"/>
      <c r="AA487"/>
      <c r="AB487"/>
      <c r="AC487"/>
      <c r="AD487"/>
      <c r="AE487"/>
      <c r="AF487"/>
    </row>
    <row r="488" spans="1:32" ht="12.75" x14ac:dyDescent="0.2">
      <c r="A488"/>
      <c r="B488"/>
      <c r="C488"/>
      <c r="D488"/>
      <c r="E488"/>
      <c r="F488"/>
      <c r="G488"/>
      <c r="H488"/>
      <c r="I488"/>
      <c r="J488"/>
      <c r="K488"/>
      <c r="L488"/>
      <c r="M488"/>
      <c r="N488"/>
      <c r="O488"/>
      <c r="P488"/>
      <c r="Q488"/>
      <c r="R488"/>
      <c r="S488"/>
      <c r="T488"/>
      <c r="U488"/>
      <c r="V488"/>
      <c r="W488"/>
      <c r="X488"/>
      <c r="Y488"/>
      <c r="Z488"/>
      <c r="AA488"/>
      <c r="AB488"/>
      <c r="AC488"/>
      <c r="AD488"/>
      <c r="AE488"/>
      <c r="AF488"/>
    </row>
    <row r="489" spans="1:32" ht="12.75" x14ac:dyDescent="0.2">
      <c r="A489"/>
      <c r="B489"/>
      <c r="C489"/>
      <c r="D489"/>
      <c r="E489"/>
      <c r="F489"/>
      <c r="G489"/>
      <c r="H489"/>
      <c r="I489"/>
      <c r="J489"/>
      <c r="K489"/>
      <c r="L489"/>
      <c r="M489"/>
      <c r="N489"/>
      <c r="O489"/>
      <c r="P489"/>
      <c r="Q489"/>
      <c r="R489"/>
      <c r="S489"/>
      <c r="T489"/>
      <c r="U489"/>
      <c r="V489"/>
      <c r="W489"/>
      <c r="X489"/>
      <c r="Y489"/>
      <c r="Z489"/>
      <c r="AA489"/>
      <c r="AB489"/>
      <c r="AC489"/>
      <c r="AD489"/>
      <c r="AE489"/>
      <c r="AF489"/>
    </row>
    <row r="490" spans="1:32" ht="12.75" x14ac:dyDescent="0.2">
      <c r="A490"/>
      <c r="B490"/>
      <c r="C490"/>
      <c r="D490"/>
      <c r="E490"/>
      <c r="F490"/>
      <c r="G490"/>
      <c r="H490"/>
      <c r="I490"/>
      <c r="J490"/>
      <c r="K490"/>
      <c r="L490"/>
      <c r="M490"/>
      <c r="N490"/>
      <c r="O490"/>
      <c r="P490"/>
      <c r="Q490"/>
      <c r="R490"/>
      <c r="S490"/>
      <c r="T490"/>
      <c r="U490"/>
      <c r="V490"/>
      <c r="W490"/>
      <c r="X490"/>
      <c r="Y490"/>
      <c r="Z490"/>
      <c r="AA490"/>
      <c r="AB490"/>
      <c r="AC490"/>
      <c r="AD490"/>
      <c r="AE490"/>
      <c r="AF490"/>
    </row>
    <row r="491" spans="1:32" ht="12.75" x14ac:dyDescent="0.2">
      <c r="A491"/>
      <c r="B491"/>
      <c r="C491"/>
      <c r="D491"/>
      <c r="E491"/>
      <c r="F491"/>
      <c r="G491"/>
      <c r="H491"/>
      <c r="I491"/>
      <c r="J491"/>
      <c r="K491"/>
      <c r="L491"/>
      <c r="M491"/>
      <c r="N491"/>
      <c r="O491"/>
      <c r="P491"/>
      <c r="Q491"/>
      <c r="R491"/>
      <c r="S491"/>
      <c r="T491"/>
      <c r="U491"/>
      <c r="V491"/>
      <c r="W491"/>
      <c r="X491"/>
      <c r="Y491"/>
      <c r="Z491"/>
      <c r="AA491"/>
      <c r="AB491"/>
      <c r="AC491"/>
      <c r="AD491"/>
      <c r="AE491"/>
      <c r="AF491"/>
    </row>
    <row r="492" spans="1:32" ht="12.75" x14ac:dyDescent="0.2">
      <c r="A492"/>
      <c r="B492"/>
      <c r="C492"/>
      <c r="D492"/>
      <c r="E492"/>
      <c r="F492"/>
      <c r="G492"/>
      <c r="H492"/>
      <c r="I492"/>
      <c r="J492"/>
      <c r="K492"/>
      <c r="L492"/>
      <c r="M492"/>
      <c r="N492"/>
      <c r="O492"/>
      <c r="P492"/>
      <c r="Q492"/>
      <c r="R492"/>
      <c r="S492"/>
      <c r="T492"/>
      <c r="U492"/>
      <c r="V492"/>
      <c r="W492"/>
      <c r="X492"/>
      <c r="Y492"/>
      <c r="Z492"/>
      <c r="AA492"/>
      <c r="AB492"/>
      <c r="AC492"/>
      <c r="AD492"/>
      <c r="AE492"/>
      <c r="AF492"/>
    </row>
    <row r="493" spans="1:32" ht="12.75" x14ac:dyDescent="0.2">
      <c r="A493"/>
      <c r="B493"/>
      <c r="C493"/>
      <c r="D493"/>
      <c r="E493"/>
      <c r="F493"/>
      <c r="G493"/>
      <c r="H493"/>
      <c r="I493"/>
      <c r="J493"/>
      <c r="K493"/>
      <c r="L493"/>
      <c r="M493"/>
      <c r="N493"/>
      <c r="O493"/>
      <c r="P493"/>
      <c r="Q493"/>
      <c r="R493"/>
      <c r="S493"/>
      <c r="T493"/>
      <c r="U493"/>
      <c r="V493"/>
      <c r="W493"/>
      <c r="X493"/>
      <c r="Y493"/>
      <c r="Z493"/>
      <c r="AA493"/>
      <c r="AB493"/>
      <c r="AC493"/>
      <c r="AD493"/>
      <c r="AE493"/>
      <c r="AF493"/>
    </row>
    <row r="494" spans="1:32" ht="12.75" x14ac:dyDescent="0.2">
      <c r="A494"/>
      <c r="B494"/>
      <c r="C494"/>
      <c r="D494"/>
      <c r="E494"/>
      <c r="F494"/>
      <c r="G494"/>
      <c r="H494"/>
      <c r="I494"/>
      <c r="J494"/>
      <c r="K494"/>
      <c r="L494"/>
      <c r="M494"/>
      <c r="N494"/>
      <c r="O494"/>
      <c r="P494"/>
      <c r="Q494"/>
      <c r="R494"/>
      <c r="S494"/>
      <c r="T494"/>
      <c r="U494"/>
      <c r="V494"/>
      <c r="W494"/>
      <c r="X494"/>
      <c r="Y494"/>
      <c r="Z494"/>
      <c r="AA494"/>
      <c r="AB494"/>
      <c r="AC494"/>
      <c r="AD494"/>
      <c r="AE494"/>
      <c r="AF494"/>
    </row>
    <row r="495" spans="1:32" ht="12.75" x14ac:dyDescent="0.2">
      <c r="A495"/>
      <c r="B495"/>
      <c r="C495"/>
      <c r="D495"/>
      <c r="E495"/>
      <c r="F495"/>
      <c r="G495"/>
      <c r="H495"/>
      <c r="I495"/>
      <c r="J495"/>
      <c r="K495"/>
      <c r="L495"/>
      <c r="M495"/>
      <c r="N495"/>
      <c r="O495"/>
      <c r="P495"/>
      <c r="Q495"/>
      <c r="R495"/>
      <c r="S495"/>
      <c r="T495"/>
      <c r="U495"/>
      <c r="V495"/>
      <c r="W495"/>
      <c r="X495"/>
      <c r="Y495"/>
      <c r="Z495"/>
      <c r="AA495"/>
      <c r="AB495"/>
      <c r="AC495"/>
      <c r="AD495"/>
      <c r="AE495"/>
      <c r="AF495"/>
    </row>
    <row r="496" spans="1:32" ht="12.75" x14ac:dyDescent="0.2">
      <c r="A496"/>
      <c r="B496"/>
      <c r="C496"/>
      <c r="D496"/>
      <c r="E496"/>
      <c r="F496"/>
      <c r="G496"/>
      <c r="H496"/>
      <c r="I496"/>
      <c r="J496"/>
      <c r="K496"/>
      <c r="L496"/>
      <c r="M496"/>
      <c r="N496"/>
      <c r="O496"/>
      <c r="P496"/>
      <c r="Q496"/>
      <c r="R496"/>
      <c r="S496"/>
      <c r="T496"/>
      <c r="U496"/>
      <c r="V496"/>
      <c r="W496"/>
      <c r="X496"/>
      <c r="Y496"/>
      <c r="Z496"/>
      <c r="AA496"/>
      <c r="AB496"/>
      <c r="AC496"/>
      <c r="AD496"/>
      <c r="AE496"/>
      <c r="AF496"/>
    </row>
  </sheetData>
  <mergeCells count="2">
    <mergeCell ref="A1:C2"/>
    <mergeCell ref="A3:C3"/>
  </mergeCells>
  <conditionalFormatting sqref="A5:C302 A303:B303 A304:C486">
    <cfRule type="expression" dxfId="9530" priority="1">
      <formula>$A5="Serviço"</formula>
    </cfRule>
    <cfRule type="expression" dxfId="9529" priority="2">
      <formula>$A5="Célula Construtiva"</formula>
    </cfRule>
    <cfRule type="expression" dxfId="9528" priority="3">
      <formula>$A5="Unidade Construtiva"</formula>
    </cfRule>
    <cfRule type="expression" dxfId="9527" priority="4">
      <formula>$A5="Etapa"</formula>
    </cfRule>
  </conditionalFormatting>
  <conditionalFormatting sqref="C303">
    <cfRule type="expression" dxfId="9526" priority="121175">
      <formula>$A302="Serviço"</formula>
    </cfRule>
    <cfRule type="expression" dxfId="9525" priority="121176">
      <formula>$A302="Célula Construtiva"</formula>
    </cfRule>
    <cfRule type="expression" dxfId="9524" priority="121177">
      <formula>$A302="Unidade Construtiva"</formula>
    </cfRule>
    <cfRule type="expression" dxfId="9523" priority="121178">
      <formula>$A302="Etapa"</formula>
    </cfRule>
  </conditionalFormatting>
  <dataValidations disablePrompts="1" count="1">
    <dataValidation type="list" allowBlank="1" showInputMessage="1" showErrorMessage="1" sqref="A5:A486" xr:uid="{E430D825-85EB-45E3-9D9D-EDA27A30D147}">
      <formula1>"UNIDADE CONSTRUTIVA,CÉLULA CONSTRUTIVA,ETAPA,Subetapa,Serviço"</formula1>
    </dataValidation>
  </dataValidations>
  <pageMargins left="0.511811024" right="0.511811024" top="0.78740157499999996" bottom="0.78740157499999996" header="0.31496062000000002" footer="0.31496062000000002"/>
  <pageSetup paperSize="9" scale="51" fitToHeight="0" orientation="portrait"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9">
    <tabColor rgb="FFFFFF00"/>
    <outlinePr summaryBelow="0"/>
  </sheetPr>
  <dimension ref="A1:AL5040"/>
  <sheetViews>
    <sheetView showGridLines="0" zoomScale="115" zoomScaleNormal="115" workbookViewId="0">
      <pane ySplit="1" topLeftCell="A2233" activePane="bottomLeft" state="frozen"/>
      <selection activeCell="D3300" sqref="D3300"/>
      <selection pane="bottomLeft" activeCell="D2246" sqref="D2246"/>
    </sheetView>
  </sheetViews>
  <sheetFormatPr defaultColWidth="12.5703125" defaultRowHeight="15" customHeight="1" outlineLevelRow="3" x14ac:dyDescent="0.2"/>
  <cols>
    <col min="1" max="1" width="4.28515625" style="1064" customWidth="1"/>
    <col min="2" max="2" width="7.140625" style="1064" customWidth="1"/>
    <col min="3" max="3" width="31.85546875" style="1064" customWidth="1"/>
    <col min="4" max="4" width="64.7109375" style="1064" customWidth="1"/>
    <col min="5" max="5" width="9.140625" style="1064" bestFit="1" customWidth="1"/>
    <col min="6" max="6" width="10.140625" style="1064" customWidth="1"/>
    <col min="7" max="8" width="7.140625" style="1066" customWidth="1"/>
    <col min="9" max="11" width="17.140625" style="1064" customWidth="1"/>
    <col min="12" max="25" width="8.5703125" style="1064" customWidth="1"/>
    <col min="26" max="38" width="12.5703125" style="1064"/>
  </cols>
  <sheetData>
    <row r="1" spans="1:38" x14ac:dyDescent="0.25">
      <c r="A1" s="1059" t="s">
        <v>58</v>
      </c>
      <c r="B1" s="1059" t="s">
        <v>59</v>
      </c>
      <c r="C1" s="1060" t="s">
        <v>60</v>
      </c>
      <c r="D1" s="1060" t="s">
        <v>60</v>
      </c>
      <c r="E1" s="1060" t="s">
        <v>61</v>
      </c>
      <c r="F1" s="1061" t="s">
        <v>62</v>
      </c>
      <c r="G1" s="1062" t="s">
        <v>63</v>
      </c>
      <c r="H1" s="1062" t="s">
        <v>64</v>
      </c>
      <c r="I1" s="1063" t="s">
        <v>62</v>
      </c>
      <c r="J1" s="1063" t="s">
        <v>1649</v>
      </c>
      <c r="K1" s="1063" t="s">
        <v>2180</v>
      </c>
      <c r="L1"/>
      <c r="M1"/>
      <c r="N1"/>
      <c r="O1"/>
      <c r="P1"/>
      <c r="Q1"/>
      <c r="R1"/>
      <c r="S1"/>
      <c r="T1"/>
      <c r="U1"/>
      <c r="V1"/>
      <c r="W1"/>
      <c r="X1"/>
      <c r="Y1"/>
      <c r="Z1"/>
      <c r="AA1"/>
      <c r="AB1"/>
      <c r="AC1"/>
      <c r="AD1"/>
      <c r="AE1"/>
      <c r="AF1"/>
      <c r="AG1"/>
      <c r="AH1"/>
      <c r="AI1"/>
      <c r="AJ1"/>
      <c r="AK1"/>
      <c r="AL1"/>
    </row>
    <row r="2" spans="1:38" ht="12.75" x14ac:dyDescent="0.2">
      <c r="A2" s="7">
        <v>1</v>
      </c>
      <c r="B2" s="7" t="s">
        <v>66</v>
      </c>
      <c r="C2" s="7" t="s">
        <v>60</v>
      </c>
      <c r="D2" s="7" t="s">
        <v>2182</v>
      </c>
      <c r="E2" s="8"/>
      <c r="F2" s="7"/>
      <c r="G2" s="91" t="str">
        <f t="array" ref="G2">IF(B2="insumo",_xlfn.XLOOKUP($D2,Insumos!$B$1:$B$996,Insumos!$D$1:$D$996),"")</f>
        <v/>
      </c>
      <c r="H2" s="91">
        <v>0</v>
      </c>
      <c r="I2" s="9">
        <v>0</v>
      </c>
      <c r="J2" s="9">
        <v>0</v>
      </c>
      <c r="K2" s="9"/>
      <c r="L2"/>
      <c r="M2"/>
      <c r="N2"/>
      <c r="O2"/>
      <c r="P2"/>
      <c r="Q2"/>
      <c r="R2"/>
      <c r="S2"/>
      <c r="T2"/>
      <c r="U2"/>
      <c r="V2"/>
      <c r="W2"/>
      <c r="X2"/>
      <c r="Y2"/>
      <c r="Z2"/>
      <c r="AA2"/>
      <c r="AB2"/>
      <c r="AC2"/>
      <c r="AD2"/>
      <c r="AE2"/>
      <c r="AF2"/>
      <c r="AG2"/>
      <c r="AH2"/>
      <c r="AI2"/>
      <c r="AJ2"/>
      <c r="AK2"/>
      <c r="AL2"/>
    </row>
    <row r="3" spans="1:38" ht="15.75" customHeight="1" outlineLevel="1" x14ac:dyDescent="0.2">
      <c r="A3" s="1090">
        <v>1</v>
      </c>
      <c r="B3" s="1090" t="s">
        <v>1228</v>
      </c>
      <c r="C3" s="1090" t="s">
        <v>60</v>
      </c>
      <c r="D3" s="1090" t="s">
        <v>67</v>
      </c>
      <c r="E3" s="1091"/>
      <c r="F3" s="1091"/>
      <c r="G3" s="1091"/>
      <c r="H3" s="1091">
        <v>0</v>
      </c>
      <c r="I3" s="1092">
        <v>0</v>
      </c>
      <c r="J3" s="1092">
        <v>0</v>
      </c>
      <c r="K3" s="1092"/>
      <c r="L3"/>
      <c r="M3"/>
      <c r="N3"/>
      <c r="O3"/>
      <c r="P3"/>
      <c r="Q3"/>
      <c r="R3"/>
      <c r="S3"/>
      <c r="T3"/>
      <c r="U3"/>
      <c r="V3"/>
      <c r="W3"/>
      <c r="X3"/>
      <c r="Y3"/>
      <c r="Z3"/>
      <c r="AA3"/>
      <c r="AB3"/>
      <c r="AC3"/>
      <c r="AD3"/>
      <c r="AE3"/>
      <c r="AF3"/>
      <c r="AG3"/>
      <c r="AH3"/>
      <c r="AI3"/>
      <c r="AJ3"/>
      <c r="AK3"/>
      <c r="AL3"/>
    </row>
    <row r="4" spans="1:38" ht="12.75" outlineLevel="2" x14ac:dyDescent="0.2">
      <c r="A4" s="1067">
        <v>1</v>
      </c>
      <c r="B4" s="1067" t="s">
        <v>68</v>
      </c>
      <c r="C4" s="1067" t="s">
        <v>69</v>
      </c>
      <c r="D4" s="1067" t="s">
        <v>69</v>
      </c>
      <c r="E4" s="1068" t="s">
        <v>70</v>
      </c>
      <c r="F4" s="1067"/>
      <c r="G4" s="1069" t="str">
        <f t="array" ref="G4">IF(B4="insumo",_xlfn.XLOOKUP($D4,Insumos!$B$1:$B$996,Insumos!$D$1:$D$996),"")</f>
        <v/>
      </c>
      <c r="H4" s="1069">
        <v>118.1045</v>
      </c>
      <c r="I4" s="1070">
        <v>0</v>
      </c>
      <c r="J4" s="1070">
        <v>0</v>
      </c>
      <c r="K4" s="1070"/>
      <c r="L4"/>
      <c r="M4"/>
      <c r="N4"/>
      <c r="O4"/>
      <c r="P4"/>
      <c r="Q4"/>
      <c r="R4"/>
      <c r="S4"/>
      <c r="T4"/>
      <c r="U4"/>
      <c r="V4"/>
      <c r="W4"/>
      <c r="X4"/>
      <c r="Y4"/>
      <c r="Z4"/>
      <c r="AA4"/>
      <c r="AB4"/>
      <c r="AC4"/>
      <c r="AD4"/>
      <c r="AE4"/>
      <c r="AF4"/>
      <c r="AG4"/>
      <c r="AH4"/>
      <c r="AI4"/>
      <c r="AJ4"/>
      <c r="AK4"/>
      <c r="AL4"/>
    </row>
    <row r="5" spans="1:38" ht="12.75" outlineLevel="3" x14ac:dyDescent="0.2">
      <c r="A5" s="10">
        <v>3</v>
      </c>
      <c r="B5" s="10" t="s">
        <v>71</v>
      </c>
      <c r="C5" s="10" t="s">
        <v>69</v>
      </c>
      <c r="D5" s="10" t="s">
        <v>72</v>
      </c>
      <c r="E5" s="11" t="str">
        <f t="array" ref="E5">_xlfn.XLOOKUP(D5,Insumos!B:B,Insumos!C:$C)</f>
        <v>M2</v>
      </c>
      <c r="F5" s="14">
        <v>1</v>
      </c>
      <c r="G5" s="92">
        <f t="array" ref="G5">IF(B5="insumo",_xlfn.XLOOKUP($D5,Insumos!$B$1:$B$996,Insumos!$D$1:$D$996),"")</f>
        <v>1.25</v>
      </c>
      <c r="H5" s="92">
        <v>1.25</v>
      </c>
      <c r="I5" s="13">
        <v>0</v>
      </c>
      <c r="J5" s="13">
        <v>0</v>
      </c>
      <c r="K5" s="13"/>
      <c r="L5"/>
      <c r="M5"/>
      <c r="N5"/>
      <c r="O5"/>
      <c r="P5"/>
      <c r="Q5"/>
      <c r="R5"/>
      <c r="S5"/>
      <c r="T5"/>
      <c r="U5"/>
      <c r="V5"/>
      <c r="W5"/>
      <c r="X5"/>
      <c r="Y5"/>
      <c r="Z5"/>
      <c r="AA5"/>
      <c r="AB5"/>
      <c r="AC5"/>
      <c r="AD5"/>
      <c r="AE5"/>
      <c r="AF5"/>
      <c r="AG5"/>
      <c r="AH5"/>
      <c r="AI5"/>
      <c r="AJ5"/>
      <c r="AK5"/>
      <c r="AL5"/>
    </row>
    <row r="6" spans="1:38" ht="12.75" outlineLevel="3" x14ac:dyDescent="0.2">
      <c r="A6" s="10">
        <v>3</v>
      </c>
      <c r="B6" s="10" t="s">
        <v>71</v>
      </c>
      <c r="C6" s="10" t="s">
        <v>69</v>
      </c>
      <c r="D6" s="10" t="s">
        <v>73</v>
      </c>
      <c r="E6" s="11" t="str">
        <f t="array" ref="E6">_xlfn.XLOOKUP(D6,Insumos!B:B,Insumos!C:$C)</f>
        <v>M2</v>
      </c>
      <c r="F6" s="14">
        <v>1</v>
      </c>
      <c r="G6" s="92">
        <f t="array" ref="G6">IF(B6="insumo",_xlfn.XLOOKUP($D6,Insumos!$B$1:$B$996,Insumos!$D$1:$D$996),"")</f>
        <v>31</v>
      </c>
      <c r="H6" s="92">
        <v>31</v>
      </c>
      <c r="I6" s="13">
        <v>0</v>
      </c>
      <c r="J6" s="13">
        <v>0</v>
      </c>
      <c r="K6" s="13"/>
      <c r="L6"/>
      <c r="M6"/>
      <c r="N6"/>
      <c r="O6"/>
      <c r="P6"/>
      <c r="Q6"/>
      <c r="R6"/>
      <c r="S6"/>
      <c r="T6"/>
      <c r="U6"/>
      <c r="V6"/>
      <c r="W6"/>
      <c r="X6"/>
      <c r="Y6"/>
      <c r="Z6"/>
      <c r="AA6"/>
      <c r="AB6"/>
      <c r="AC6"/>
      <c r="AD6"/>
      <c r="AE6"/>
      <c r="AF6"/>
      <c r="AG6"/>
      <c r="AH6"/>
      <c r="AI6"/>
      <c r="AJ6"/>
      <c r="AK6"/>
      <c r="AL6"/>
    </row>
    <row r="7" spans="1:38" ht="12.75" outlineLevel="3" x14ac:dyDescent="0.2">
      <c r="A7" s="10">
        <v>9</v>
      </c>
      <c r="B7" s="10" t="s">
        <v>71</v>
      </c>
      <c r="C7" s="10" t="s">
        <v>69</v>
      </c>
      <c r="D7" s="10" t="s">
        <v>74</v>
      </c>
      <c r="E7" s="11" t="str">
        <f t="array" ref="E7">_xlfn.XLOOKUP(D7,Insumos!B:B,Insumos!C:$C)</f>
        <v>M3</v>
      </c>
      <c r="F7" s="14">
        <v>7.3999999999999996E-2</v>
      </c>
      <c r="G7" s="92">
        <f t="array" ref="G7">IF(B7="insumo",_xlfn.XLOOKUP($D7,Insumos!$B$1:$B$996,Insumos!$D$1:$D$996),"")</f>
        <v>490</v>
      </c>
      <c r="H7" s="92">
        <v>36.26</v>
      </c>
      <c r="I7" s="13">
        <v>0</v>
      </c>
      <c r="J7" s="13">
        <v>0</v>
      </c>
      <c r="K7" s="13"/>
      <c r="L7"/>
      <c r="M7"/>
      <c r="N7"/>
      <c r="O7"/>
      <c r="P7"/>
      <c r="Q7"/>
      <c r="R7"/>
      <c r="S7"/>
      <c r="T7"/>
      <c r="U7"/>
      <c r="V7"/>
      <c r="W7"/>
      <c r="X7"/>
      <c r="Y7"/>
      <c r="Z7"/>
      <c r="AA7"/>
      <c r="AB7"/>
      <c r="AC7"/>
      <c r="AD7"/>
      <c r="AE7"/>
      <c r="AF7"/>
      <c r="AG7"/>
      <c r="AH7"/>
      <c r="AI7"/>
      <c r="AJ7"/>
      <c r="AK7"/>
      <c r="AL7"/>
    </row>
    <row r="8" spans="1:38" ht="12.75" outlineLevel="3" x14ac:dyDescent="0.2">
      <c r="A8" s="10">
        <v>3</v>
      </c>
      <c r="B8" s="10" t="s">
        <v>71</v>
      </c>
      <c r="C8" s="10" t="s">
        <v>69</v>
      </c>
      <c r="D8" s="10" t="s">
        <v>75</v>
      </c>
      <c r="E8" s="11" t="str">
        <f t="array" ref="E8">_xlfn.XLOOKUP(D8,Insumos!B:B,Insumos!C:$C)</f>
        <v>KG</v>
      </c>
      <c r="F8" s="14">
        <v>0.15</v>
      </c>
      <c r="G8" s="92">
        <f t="array" ref="G8">IF(B8="insumo",_xlfn.XLOOKUP($D8,Insumos!$B$1:$B$996,Insumos!$D$1:$D$996),"")</f>
        <v>10.029999999999999</v>
      </c>
      <c r="H8" s="92">
        <v>1.5044999999999999</v>
      </c>
      <c r="I8" s="13">
        <v>0</v>
      </c>
      <c r="J8" s="13">
        <v>0</v>
      </c>
      <c r="K8" s="13"/>
      <c r="L8"/>
      <c r="M8"/>
      <c r="N8"/>
      <c r="O8"/>
      <c r="P8"/>
      <c r="Q8"/>
      <c r="R8"/>
      <c r="S8"/>
      <c r="T8"/>
      <c r="U8"/>
      <c r="V8"/>
      <c r="W8"/>
      <c r="X8"/>
      <c r="Y8"/>
      <c r="Z8"/>
      <c r="AA8"/>
      <c r="AB8"/>
      <c r="AC8"/>
      <c r="AD8"/>
      <c r="AE8"/>
      <c r="AF8"/>
      <c r="AG8"/>
      <c r="AH8"/>
      <c r="AI8"/>
      <c r="AJ8"/>
      <c r="AK8"/>
      <c r="AL8"/>
    </row>
    <row r="9" spans="1:38" ht="12.75" outlineLevel="3" x14ac:dyDescent="0.2">
      <c r="A9" s="10">
        <v>3</v>
      </c>
      <c r="B9" s="10" t="s">
        <v>71</v>
      </c>
      <c r="C9" s="10" t="s">
        <v>69</v>
      </c>
      <c r="D9" s="10" t="s">
        <v>76</v>
      </c>
      <c r="E9" s="11" t="str">
        <f t="array" ref="E9">_xlfn.XLOOKUP(D9,Insumos!B:B,Insumos!C:$C)</f>
        <v>UN</v>
      </c>
      <c r="F9" s="14">
        <v>9</v>
      </c>
      <c r="G9" s="92">
        <f t="array" ref="G9">IF(B9="insumo",_xlfn.XLOOKUP($D9,Insumos!$B$1:$B$996,Insumos!$D$1:$D$996),"")</f>
        <v>2.95</v>
      </c>
      <c r="H9" s="92">
        <v>26.55</v>
      </c>
      <c r="I9" s="13">
        <v>0</v>
      </c>
      <c r="J9" s="13">
        <v>0</v>
      </c>
      <c r="K9" s="13"/>
      <c r="L9"/>
      <c r="M9"/>
      <c r="N9"/>
      <c r="O9"/>
      <c r="P9"/>
      <c r="Q9"/>
      <c r="R9"/>
      <c r="S9"/>
      <c r="T9"/>
      <c r="U9"/>
      <c r="V9"/>
      <c r="W9"/>
      <c r="X9"/>
      <c r="Y9"/>
      <c r="Z9"/>
      <c r="AA9"/>
      <c r="AB9"/>
      <c r="AC9"/>
      <c r="AD9"/>
      <c r="AE9"/>
      <c r="AF9"/>
      <c r="AG9"/>
      <c r="AH9"/>
      <c r="AI9"/>
      <c r="AJ9"/>
      <c r="AK9"/>
      <c r="AL9"/>
    </row>
    <row r="10" spans="1:38" ht="12.75" outlineLevel="3" x14ac:dyDescent="0.2">
      <c r="A10" s="10">
        <v>3</v>
      </c>
      <c r="B10" s="10" t="s">
        <v>71</v>
      </c>
      <c r="C10" s="10" t="s">
        <v>69</v>
      </c>
      <c r="D10" s="10" t="s">
        <v>77</v>
      </c>
      <c r="E10" s="11" t="str">
        <f t="array" ref="E10">_xlfn.XLOOKUP(D10,Insumos!B:B,Insumos!C:$C)</f>
        <v>KG</v>
      </c>
      <c r="F10" s="14">
        <v>24</v>
      </c>
      <c r="G10" s="92">
        <f t="array" ref="G10">IF(B10="insumo",_xlfn.XLOOKUP($D10,Insumos!$B$1:$B$996,Insumos!$D$1:$D$996),"")</f>
        <v>0.46</v>
      </c>
      <c r="H10" s="92">
        <v>11.04</v>
      </c>
      <c r="I10" s="13">
        <v>0</v>
      </c>
      <c r="J10" s="13">
        <v>0</v>
      </c>
      <c r="K10" s="13"/>
      <c r="L10"/>
      <c r="M10"/>
      <c r="N10"/>
      <c r="O10"/>
      <c r="P10"/>
      <c r="Q10"/>
      <c r="R10"/>
      <c r="S10"/>
      <c r="T10"/>
      <c r="U10"/>
      <c r="V10"/>
      <c r="W10"/>
      <c r="X10"/>
      <c r="Y10"/>
      <c r="Z10"/>
      <c r="AA10"/>
      <c r="AB10"/>
      <c r="AC10"/>
      <c r="AD10"/>
      <c r="AE10"/>
      <c r="AF10"/>
      <c r="AG10"/>
      <c r="AH10"/>
      <c r="AI10"/>
      <c r="AJ10"/>
      <c r="AK10"/>
      <c r="AL10"/>
    </row>
    <row r="11" spans="1:38" ht="12.75" outlineLevel="3" x14ac:dyDescent="0.2">
      <c r="A11" s="10">
        <v>3</v>
      </c>
      <c r="B11" s="10" t="s">
        <v>71</v>
      </c>
      <c r="C11" s="10" t="s">
        <v>69</v>
      </c>
      <c r="D11" s="10" t="s">
        <v>78</v>
      </c>
      <c r="E11" s="11" t="str">
        <f t="array" ref="E11">_xlfn.XLOOKUP(D11,Insumos!B:B,Insumos!C:$C)</f>
        <v>M2</v>
      </c>
      <c r="F11" s="14">
        <v>1</v>
      </c>
      <c r="G11" s="92">
        <f t="array" ref="G11">IF(B11="insumo",_xlfn.XLOOKUP($D11,Insumos!$B$1:$B$996,Insumos!$D$1:$D$996),"")</f>
        <v>10.5</v>
      </c>
      <c r="H11" s="92">
        <v>10.5</v>
      </c>
      <c r="I11" s="13">
        <v>0</v>
      </c>
      <c r="J11" s="13">
        <v>0</v>
      </c>
      <c r="K11" s="13"/>
      <c r="L11"/>
      <c r="M11"/>
      <c r="N11"/>
      <c r="O11"/>
      <c r="P11"/>
      <c r="Q11"/>
      <c r="R11"/>
      <c r="S11"/>
      <c r="T11"/>
      <c r="U11"/>
      <c r="V11"/>
      <c r="W11"/>
      <c r="X11"/>
      <c r="Y11"/>
      <c r="Z11"/>
      <c r="AA11"/>
      <c r="AB11"/>
      <c r="AC11"/>
      <c r="AD11"/>
      <c r="AE11"/>
      <c r="AF11"/>
      <c r="AG11"/>
      <c r="AH11"/>
      <c r="AI11"/>
      <c r="AJ11"/>
      <c r="AK11"/>
      <c r="AL11"/>
    </row>
    <row r="12" spans="1:38" ht="12.75" outlineLevel="2" x14ac:dyDescent="0.2">
      <c r="A12" s="1067">
        <v>1</v>
      </c>
      <c r="B12" s="1067" t="s">
        <v>68</v>
      </c>
      <c r="C12" s="1067" t="s">
        <v>79</v>
      </c>
      <c r="D12" s="1067" t="s">
        <v>79</v>
      </c>
      <c r="E12" s="1068" t="s">
        <v>70</v>
      </c>
      <c r="F12" s="1067"/>
      <c r="G12" s="1069" t="str">
        <f t="array" ref="G12">IF(B12="insumo",_xlfn.XLOOKUP($D12,Insumos!$B$1:$B$996,Insumos!$D$1:$D$996),"")</f>
        <v/>
      </c>
      <c r="H12" s="1069">
        <v>118.1045</v>
      </c>
      <c r="I12" s="1070">
        <v>0</v>
      </c>
      <c r="J12" s="1070">
        <v>0</v>
      </c>
      <c r="K12" s="1070"/>
      <c r="L12"/>
      <c r="M12"/>
      <c r="N12"/>
      <c r="O12"/>
      <c r="P12"/>
      <c r="Q12"/>
      <c r="R12"/>
      <c r="S12"/>
      <c r="T12"/>
      <c r="U12"/>
      <c r="V12"/>
      <c r="W12"/>
      <c r="X12"/>
      <c r="Y12"/>
      <c r="Z12"/>
      <c r="AA12"/>
      <c r="AB12"/>
      <c r="AC12"/>
      <c r="AD12"/>
      <c r="AE12"/>
      <c r="AF12"/>
      <c r="AG12"/>
      <c r="AH12"/>
      <c r="AI12"/>
      <c r="AJ12"/>
      <c r="AK12"/>
      <c r="AL12"/>
    </row>
    <row r="13" spans="1:38" ht="12.75" outlineLevel="3" x14ac:dyDescent="0.2">
      <c r="A13" s="10">
        <v>3</v>
      </c>
      <c r="B13" s="10" t="s">
        <v>71</v>
      </c>
      <c r="C13" s="10" t="s">
        <v>79</v>
      </c>
      <c r="D13" s="10" t="s">
        <v>72</v>
      </c>
      <c r="E13" s="11" t="str">
        <f t="array" ref="E13">_xlfn.XLOOKUP(D13,Insumos!B:B,Insumos!C:$C)</f>
        <v>M2</v>
      </c>
      <c r="F13" s="14">
        <v>1</v>
      </c>
      <c r="G13" s="92">
        <f t="array" ref="G13">IF(B13="insumo",_xlfn.XLOOKUP($D13,Insumos!$B$1:$B$996,Insumos!$D$1:$D$996),"")</f>
        <v>1.25</v>
      </c>
      <c r="H13" s="92">
        <v>1.25</v>
      </c>
      <c r="I13" s="13">
        <v>0</v>
      </c>
      <c r="J13" s="13">
        <v>0</v>
      </c>
      <c r="K13" s="13"/>
      <c r="L13"/>
      <c r="M13"/>
      <c r="N13"/>
      <c r="O13"/>
      <c r="P13"/>
      <c r="Q13"/>
      <c r="R13"/>
      <c r="S13"/>
      <c r="T13"/>
      <c r="U13"/>
      <c r="V13"/>
      <c r="W13"/>
      <c r="X13"/>
      <c r="Y13"/>
      <c r="Z13"/>
      <c r="AA13"/>
      <c r="AB13"/>
      <c r="AC13"/>
      <c r="AD13"/>
      <c r="AE13"/>
      <c r="AF13"/>
      <c r="AG13"/>
      <c r="AH13"/>
      <c r="AI13"/>
      <c r="AJ13"/>
      <c r="AK13"/>
      <c r="AL13"/>
    </row>
    <row r="14" spans="1:38" ht="12.75" outlineLevel="3" x14ac:dyDescent="0.2">
      <c r="A14" s="10">
        <v>3</v>
      </c>
      <c r="B14" s="10" t="s">
        <v>71</v>
      </c>
      <c r="C14" s="10" t="s">
        <v>79</v>
      </c>
      <c r="D14" s="10" t="s">
        <v>73</v>
      </c>
      <c r="E14" s="11" t="str">
        <f t="array" ref="E14">_xlfn.XLOOKUP(D14,Insumos!B:B,Insumos!C:$C)</f>
        <v>M2</v>
      </c>
      <c r="F14" s="14">
        <v>1</v>
      </c>
      <c r="G14" s="92">
        <f t="array" ref="G14">IF(B14="insumo",_xlfn.XLOOKUP($D14,Insumos!$B$1:$B$996,Insumos!$D$1:$D$996),"")</f>
        <v>31</v>
      </c>
      <c r="H14" s="92">
        <v>31</v>
      </c>
      <c r="I14" s="13">
        <v>0</v>
      </c>
      <c r="J14" s="13">
        <v>0</v>
      </c>
      <c r="K14" s="13"/>
      <c r="L14"/>
      <c r="M14"/>
      <c r="N14"/>
      <c r="O14"/>
      <c r="P14"/>
      <c r="Q14"/>
      <c r="R14"/>
      <c r="S14"/>
      <c r="T14"/>
      <c r="U14"/>
      <c r="V14"/>
      <c r="W14"/>
      <c r="X14"/>
      <c r="Y14"/>
      <c r="Z14"/>
      <c r="AA14"/>
      <c r="AB14"/>
      <c r="AC14"/>
      <c r="AD14"/>
      <c r="AE14"/>
      <c r="AF14"/>
      <c r="AG14"/>
      <c r="AH14"/>
      <c r="AI14"/>
      <c r="AJ14"/>
      <c r="AK14"/>
      <c r="AL14"/>
    </row>
    <row r="15" spans="1:38" ht="12.75" outlineLevel="3" x14ac:dyDescent="0.2">
      <c r="A15" s="10">
        <v>9</v>
      </c>
      <c r="B15" s="10" t="s">
        <v>71</v>
      </c>
      <c r="C15" s="10" t="s">
        <v>79</v>
      </c>
      <c r="D15" s="10" t="s">
        <v>74</v>
      </c>
      <c r="E15" s="11" t="str">
        <f t="array" ref="E15">_xlfn.XLOOKUP(D15,Insumos!B:B,Insumos!C:$C)</f>
        <v>M3</v>
      </c>
      <c r="F15" s="14">
        <v>7.3999999999999996E-2</v>
      </c>
      <c r="G15" s="92">
        <f t="array" ref="G15">IF(B15="insumo",_xlfn.XLOOKUP($D15,Insumos!$B$1:$B$996,Insumos!$D$1:$D$996),"")</f>
        <v>490</v>
      </c>
      <c r="H15" s="92">
        <v>36.26</v>
      </c>
      <c r="I15" s="13">
        <v>0</v>
      </c>
      <c r="J15" s="13">
        <v>0</v>
      </c>
      <c r="K15" s="13"/>
      <c r="L15"/>
      <c r="M15"/>
      <c r="N15"/>
      <c r="O15"/>
      <c r="P15"/>
      <c r="Q15"/>
      <c r="R15"/>
      <c r="S15"/>
      <c r="T15"/>
      <c r="U15"/>
      <c r="V15"/>
      <c r="W15"/>
      <c r="X15"/>
      <c r="Y15"/>
      <c r="Z15"/>
      <c r="AA15"/>
      <c r="AB15"/>
      <c r="AC15"/>
      <c r="AD15"/>
      <c r="AE15"/>
      <c r="AF15"/>
      <c r="AG15"/>
      <c r="AH15"/>
      <c r="AI15"/>
      <c r="AJ15"/>
      <c r="AK15"/>
      <c r="AL15"/>
    </row>
    <row r="16" spans="1:38" ht="12.75" outlineLevel="3" x14ac:dyDescent="0.2">
      <c r="A16" s="10">
        <v>3</v>
      </c>
      <c r="B16" s="10" t="s">
        <v>71</v>
      </c>
      <c r="C16" s="10" t="s">
        <v>79</v>
      </c>
      <c r="D16" s="10" t="s">
        <v>75</v>
      </c>
      <c r="E16" s="11" t="str">
        <f t="array" ref="E16">_xlfn.XLOOKUP(D16,Insumos!B:B,Insumos!C:$C)</f>
        <v>KG</v>
      </c>
      <c r="F16" s="14">
        <v>0.15</v>
      </c>
      <c r="G16" s="92">
        <f t="array" ref="G16">IF(B16="insumo",_xlfn.XLOOKUP($D16,Insumos!$B$1:$B$996,Insumos!$D$1:$D$996),"")</f>
        <v>10.029999999999999</v>
      </c>
      <c r="H16" s="92">
        <v>1.5044999999999999</v>
      </c>
      <c r="I16" s="13">
        <v>0</v>
      </c>
      <c r="J16" s="13">
        <v>0</v>
      </c>
      <c r="K16" s="13"/>
      <c r="L16"/>
      <c r="M16"/>
      <c r="N16"/>
      <c r="O16"/>
      <c r="P16"/>
      <c r="Q16"/>
      <c r="R16"/>
      <c r="S16"/>
      <c r="T16"/>
      <c r="U16"/>
      <c r="V16"/>
      <c r="W16"/>
      <c r="X16"/>
      <c r="Y16"/>
      <c r="Z16"/>
      <c r="AA16"/>
      <c r="AB16"/>
      <c r="AC16"/>
      <c r="AD16"/>
      <c r="AE16"/>
      <c r="AF16"/>
      <c r="AG16"/>
      <c r="AH16"/>
      <c r="AI16"/>
      <c r="AJ16"/>
      <c r="AK16"/>
      <c r="AL16"/>
    </row>
    <row r="17" spans="1:38" ht="12.75" outlineLevel="3" x14ac:dyDescent="0.2">
      <c r="A17" s="10">
        <v>3</v>
      </c>
      <c r="B17" s="10" t="s">
        <v>71</v>
      </c>
      <c r="C17" s="10" t="s">
        <v>79</v>
      </c>
      <c r="D17" s="10" t="s">
        <v>76</v>
      </c>
      <c r="E17" s="11" t="str">
        <f t="array" ref="E17">_xlfn.XLOOKUP(D17,Insumos!B:B,Insumos!C:$C)</f>
        <v>UN</v>
      </c>
      <c r="F17" s="14">
        <v>9</v>
      </c>
      <c r="G17" s="92">
        <f t="array" ref="G17">IF(B17="insumo",_xlfn.XLOOKUP($D17,Insumos!$B$1:$B$996,Insumos!$D$1:$D$996),"")</f>
        <v>2.95</v>
      </c>
      <c r="H17" s="92">
        <v>26.55</v>
      </c>
      <c r="I17" s="13">
        <v>0</v>
      </c>
      <c r="J17" s="13">
        <v>0</v>
      </c>
      <c r="K17" s="13"/>
      <c r="L17"/>
      <c r="M17"/>
      <c r="N17"/>
      <c r="O17"/>
      <c r="P17"/>
      <c r="Q17"/>
      <c r="R17"/>
      <c r="S17"/>
      <c r="T17"/>
      <c r="U17"/>
      <c r="V17"/>
      <c r="W17"/>
      <c r="X17"/>
      <c r="Y17"/>
      <c r="Z17"/>
      <c r="AA17"/>
      <c r="AB17"/>
      <c r="AC17"/>
      <c r="AD17"/>
      <c r="AE17"/>
      <c r="AF17"/>
      <c r="AG17"/>
      <c r="AH17"/>
      <c r="AI17"/>
      <c r="AJ17"/>
      <c r="AK17"/>
      <c r="AL17"/>
    </row>
    <row r="18" spans="1:38" ht="12.75" outlineLevel="3" x14ac:dyDescent="0.2">
      <c r="A18" s="10">
        <v>3</v>
      </c>
      <c r="B18" s="10" t="s">
        <v>71</v>
      </c>
      <c r="C18" s="10" t="s">
        <v>79</v>
      </c>
      <c r="D18" s="10" t="s">
        <v>77</v>
      </c>
      <c r="E18" s="11" t="str">
        <f t="array" ref="E18">_xlfn.XLOOKUP(D18,Insumos!B:B,Insumos!C:$C)</f>
        <v>KG</v>
      </c>
      <c r="F18" s="14">
        <v>24</v>
      </c>
      <c r="G18" s="92">
        <f t="array" ref="G18">IF(B18="insumo",_xlfn.XLOOKUP($D18,Insumos!$B$1:$B$996,Insumos!$D$1:$D$996),"")</f>
        <v>0.46</v>
      </c>
      <c r="H18" s="92">
        <v>11.04</v>
      </c>
      <c r="I18" s="13">
        <v>0</v>
      </c>
      <c r="J18" s="13">
        <v>0</v>
      </c>
      <c r="K18" s="13"/>
      <c r="L18"/>
      <c r="M18"/>
      <c r="N18"/>
      <c r="O18"/>
      <c r="P18"/>
      <c r="Q18"/>
      <c r="R18"/>
      <c r="S18"/>
      <c r="T18"/>
      <c r="U18"/>
      <c r="V18"/>
      <c r="W18"/>
      <c r="X18"/>
      <c r="Y18"/>
      <c r="Z18"/>
      <c r="AA18"/>
      <c r="AB18"/>
      <c r="AC18"/>
      <c r="AD18"/>
      <c r="AE18"/>
      <c r="AF18"/>
      <c r="AG18"/>
      <c r="AH18"/>
      <c r="AI18"/>
      <c r="AJ18"/>
      <c r="AK18"/>
      <c r="AL18"/>
    </row>
    <row r="19" spans="1:38" ht="12.75" outlineLevel="3" x14ac:dyDescent="0.2">
      <c r="A19" s="10">
        <v>3</v>
      </c>
      <c r="B19" s="10" t="s">
        <v>71</v>
      </c>
      <c r="C19" s="10" t="s">
        <v>79</v>
      </c>
      <c r="D19" s="10" t="s">
        <v>78</v>
      </c>
      <c r="E19" s="11" t="str">
        <f t="array" ref="E19">_xlfn.XLOOKUP(D19,Insumos!B:B,Insumos!C:$C)</f>
        <v>M2</v>
      </c>
      <c r="F19" s="14">
        <v>1</v>
      </c>
      <c r="G19" s="92">
        <f t="array" ref="G19">IF(B19="insumo",_xlfn.XLOOKUP($D19,Insumos!$B$1:$B$996,Insumos!$D$1:$D$996),"")</f>
        <v>10.5</v>
      </c>
      <c r="H19" s="92">
        <v>10.5</v>
      </c>
      <c r="I19" s="13">
        <v>0</v>
      </c>
      <c r="J19" s="13">
        <v>0</v>
      </c>
      <c r="K19" s="13"/>
      <c r="L19"/>
      <c r="M19"/>
      <c r="N19"/>
      <c r="O19"/>
      <c r="P19"/>
      <c r="Q19"/>
      <c r="R19"/>
      <c r="S19"/>
      <c r="T19"/>
      <c r="U19"/>
      <c r="V19"/>
      <c r="W19"/>
      <c r="X19"/>
      <c r="Y19"/>
      <c r="Z19"/>
      <c r="AA19"/>
      <c r="AB19"/>
      <c r="AC19"/>
      <c r="AD19"/>
      <c r="AE19"/>
      <c r="AF19"/>
      <c r="AG19"/>
      <c r="AH19"/>
      <c r="AI19"/>
      <c r="AJ19"/>
      <c r="AK19"/>
      <c r="AL19"/>
    </row>
    <row r="20" spans="1:38" ht="12.75" outlineLevel="2" x14ac:dyDescent="0.2">
      <c r="A20" s="1067">
        <v>1</v>
      </c>
      <c r="B20" s="1067" t="s">
        <v>68</v>
      </c>
      <c r="C20" s="1067" t="s">
        <v>80</v>
      </c>
      <c r="D20" s="1067" t="s">
        <v>80</v>
      </c>
      <c r="E20" s="1068" t="s">
        <v>70</v>
      </c>
      <c r="F20" s="1067"/>
      <c r="G20" s="1069" t="str">
        <f t="array" ref="G20">IF(B20="insumo",_xlfn.XLOOKUP($D20,Insumos!$B$1:$B$996,Insumos!$D$1:$D$996),"")</f>
        <v/>
      </c>
      <c r="H20" s="1069">
        <v>118.1045</v>
      </c>
      <c r="I20" s="1070">
        <v>0</v>
      </c>
      <c r="J20" s="1070">
        <v>0</v>
      </c>
      <c r="K20" s="1070"/>
      <c r="L20"/>
      <c r="M20"/>
      <c r="N20"/>
      <c r="O20"/>
      <c r="P20"/>
      <c r="Q20"/>
      <c r="R20"/>
      <c r="S20"/>
      <c r="T20"/>
      <c r="U20"/>
      <c r="V20"/>
      <c r="W20"/>
      <c r="X20"/>
      <c r="Y20"/>
      <c r="Z20"/>
      <c r="AA20"/>
      <c r="AB20"/>
      <c r="AC20"/>
      <c r="AD20"/>
      <c r="AE20"/>
      <c r="AF20"/>
      <c r="AG20"/>
      <c r="AH20"/>
      <c r="AI20"/>
      <c r="AJ20"/>
      <c r="AK20"/>
      <c r="AL20"/>
    </row>
    <row r="21" spans="1:38" ht="12.75" outlineLevel="3" x14ac:dyDescent="0.2">
      <c r="A21" s="10">
        <v>3</v>
      </c>
      <c r="B21" s="10" t="s">
        <v>71</v>
      </c>
      <c r="C21" s="10" t="s">
        <v>80</v>
      </c>
      <c r="D21" s="10" t="s">
        <v>72</v>
      </c>
      <c r="E21" s="11" t="str">
        <f t="array" ref="E21">_xlfn.XLOOKUP(D21,Insumos!B:B,Insumos!C:$C)</f>
        <v>M2</v>
      </c>
      <c r="F21" s="14">
        <v>1</v>
      </c>
      <c r="G21" s="92">
        <f t="array" ref="G21">IF(B21="insumo",_xlfn.XLOOKUP($D21,Insumos!$B$1:$B$996,Insumos!$D$1:$D$996),"")</f>
        <v>1.25</v>
      </c>
      <c r="H21" s="92">
        <v>1.25</v>
      </c>
      <c r="I21" s="13">
        <v>0</v>
      </c>
      <c r="J21" s="13">
        <v>0</v>
      </c>
      <c r="K21" s="13"/>
      <c r="L21"/>
      <c r="M21"/>
      <c r="N21"/>
      <c r="O21"/>
      <c r="P21"/>
      <c r="Q21"/>
      <c r="R21"/>
      <c r="S21"/>
      <c r="T21"/>
      <c r="U21"/>
      <c r="V21"/>
      <c r="W21"/>
      <c r="X21"/>
      <c r="Y21"/>
      <c r="Z21"/>
      <c r="AA21"/>
      <c r="AB21"/>
      <c r="AC21"/>
      <c r="AD21"/>
      <c r="AE21"/>
      <c r="AF21"/>
      <c r="AG21"/>
      <c r="AH21"/>
      <c r="AI21"/>
      <c r="AJ21"/>
      <c r="AK21"/>
      <c r="AL21"/>
    </row>
    <row r="22" spans="1:38" ht="15.75" customHeight="1" outlineLevel="3" x14ac:dyDescent="0.2">
      <c r="A22" s="10">
        <v>3</v>
      </c>
      <c r="B22" s="10" t="s">
        <v>71</v>
      </c>
      <c r="C22" s="10" t="s">
        <v>80</v>
      </c>
      <c r="D22" s="10" t="s">
        <v>73</v>
      </c>
      <c r="E22" s="11" t="str">
        <f t="array" ref="E22">_xlfn.XLOOKUP(D22,Insumos!B:B,Insumos!C:$C)</f>
        <v>M2</v>
      </c>
      <c r="F22" s="14">
        <v>1</v>
      </c>
      <c r="G22" s="92">
        <f t="array" ref="G22">IF(B22="insumo",_xlfn.XLOOKUP($D22,Insumos!$B$1:$B$996,Insumos!$D$1:$D$996),"")</f>
        <v>31</v>
      </c>
      <c r="H22" s="92">
        <v>31</v>
      </c>
      <c r="I22" s="13">
        <v>0</v>
      </c>
      <c r="J22" s="13">
        <v>0</v>
      </c>
      <c r="K22" s="13"/>
      <c r="L22"/>
      <c r="M22"/>
      <c r="N22"/>
      <c r="O22"/>
      <c r="P22"/>
      <c r="Q22"/>
      <c r="R22"/>
      <c r="S22"/>
      <c r="T22"/>
      <c r="U22"/>
      <c r="V22"/>
      <c r="W22"/>
      <c r="X22"/>
      <c r="Y22"/>
      <c r="Z22"/>
      <c r="AA22"/>
      <c r="AB22"/>
      <c r="AC22"/>
      <c r="AD22"/>
      <c r="AE22"/>
      <c r="AF22"/>
      <c r="AG22"/>
      <c r="AH22"/>
      <c r="AI22"/>
      <c r="AJ22"/>
      <c r="AK22"/>
      <c r="AL22"/>
    </row>
    <row r="23" spans="1:38" ht="15.75" customHeight="1" outlineLevel="3" x14ac:dyDescent="0.2">
      <c r="A23" s="10">
        <v>9</v>
      </c>
      <c r="B23" s="10" t="s">
        <v>71</v>
      </c>
      <c r="C23" s="10" t="s">
        <v>80</v>
      </c>
      <c r="D23" s="10" t="s">
        <v>74</v>
      </c>
      <c r="E23" s="11" t="str">
        <f t="array" ref="E23">_xlfn.XLOOKUP(D23,Insumos!B:B,Insumos!C:$C)</f>
        <v>M3</v>
      </c>
      <c r="F23" s="14">
        <v>7.3999999999999996E-2</v>
      </c>
      <c r="G23" s="92">
        <f t="array" ref="G23">IF(B23="insumo",_xlfn.XLOOKUP($D23,Insumos!$B$1:$B$996,Insumos!$D$1:$D$996),"")</f>
        <v>490</v>
      </c>
      <c r="H23" s="92">
        <v>36.26</v>
      </c>
      <c r="I23" s="13">
        <v>0</v>
      </c>
      <c r="J23" s="13">
        <v>0</v>
      </c>
      <c r="K23" s="13"/>
      <c r="L23"/>
      <c r="M23"/>
      <c r="N23"/>
      <c r="O23"/>
      <c r="P23"/>
      <c r="Q23"/>
      <c r="R23"/>
      <c r="S23"/>
      <c r="T23"/>
      <c r="U23"/>
      <c r="V23"/>
      <c r="W23"/>
      <c r="X23"/>
      <c r="Y23"/>
      <c r="Z23"/>
      <c r="AA23"/>
      <c r="AB23"/>
      <c r="AC23"/>
      <c r="AD23"/>
      <c r="AE23"/>
      <c r="AF23"/>
      <c r="AG23"/>
      <c r="AH23"/>
      <c r="AI23"/>
      <c r="AJ23"/>
      <c r="AK23"/>
      <c r="AL23"/>
    </row>
    <row r="24" spans="1:38" ht="15.75" customHeight="1" outlineLevel="3" x14ac:dyDescent="0.2">
      <c r="A24" s="10">
        <v>3</v>
      </c>
      <c r="B24" s="10" t="s">
        <v>71</v>
      </c>
      <c r="C24" s="10" t="s">
        <v>80</v>
      </c>
      <c r="D24" s="10" t="s">
        <v>75</v>
      </c>
      <c r="E24" s="11" t="str">
        <f t="array" ref="E24">_xlfn.XLOOKUP(D24,Insumos!B:B,Insumos!C:$C)</f>
        <v>KG</v>
      </c>
      <c r="F24" s="14">
        <v>0.15</v>
      </c>
      <c r="G24" s="92">
        <f t="array" ref="G24">IF(B24="insumo",_xlfn.XLOOKUP($D24,Insumos!$B$1:$B$996,Insumos!$D$1:$D$996),"")</f>
        <v>10.029999999999999</v>
      </c>
      <c r="H24" s="92">
        <v>1.5044999999999999</v>
      </c>
      <c r="I24" s="13">
        <v>0</v>
      </c>
      <c r="J24" s="13">
        <v>0</v>
      </c>
      <c r="K24" s="13"/>
      <c r="L24"/>
      <c r="M24"/>
      <c r="N24"/>
      <c r="O24"/>
      <c r="P24"/>
      <c r="Q24"/>
      <c r="R24"/>
      <c r="S24"/>
      <c r="T24"/>
      <c r="U24"/>
      <c r="V24"/>
      <c r="W24"/>
      <c r="X24"/>
      <c r="Y24"/>
      <c r="Z24"/>
      <c r="AA24"/>
      <c r="AB24"/>
      <c r="AC24"/>
      <c r="AD24"/>
      <c r="AE24"/>
      <c r="AF24"/>
      <c r="AG24"/>
      <c r="AH24"/>
      <c r="AI24"/>
      <c r="AJ24"/>
      <c r="AK24"/>
      <c r="AL24"/>
    </row>
    <row r="25" spans="1:38" ht="15.75" customHeight="1" outlineLevel="3" x14ac:dyDescent="0.2">
      <c r="A25" s="10">
        <v>3</v>
      </c>
      <c r="B25" s="10" t="s">
        <v>71</v>
      </c>
      <c r="C25" s="10" t="s">
        <v>80</v>
      </c>
      <c r="D25" s="10" t="s">
        <v>76</v>
      </c>
      <c r="E25" s="11" t="str">
        <f t="array" ref="E25">_xlfn.XLOOKUP(D25,Insumos!B:B,Insumos!C:$C)</f>
        <v>UN</v>
      </c>
      <c r="F25" s="14">
        <v>9</v>
      </c>
      <c r="G25" s="92">
        <f t="array" ref="G25">IF(B25="insumo",_xlfn.XLOOKUP($D25,Insumos!$B$1:$B$996,Insumos!$D$1:$D$996),"")</f>
        <v>2.95</v>
      </c>
      <c r="H25" s="92">
        <v>26.55</v>
      </c>
      <c r="I25" s="13">
        <v>0</v>
      </c>
      <c r="J25" s="13">
        <v>0</v>
      </c>
      <c r="K25" s="13"/>
      <c r="L25"/>
      <c r="M25"/>
      <c r="N25"/>
      <c r="O25"/>
      <c r="P25"/>
      <c r="Q25"/>
      <c r="R25"/>
      <c r="S25"/>
      <c r="T25"/>
      <c r="U25"/>
      <c r="V25"/>
      <c r="W25"/>
      <c r="X25"/>
      <c r="Y25"/>
      <c r="Z25"/>
      <c r="AA25"/>
      <c r="AB25"/>
      <c r="AC25"/>
      <c r="AD25"/>
      <c r="AE25"/>
      <c r="AF25"/>
      <c r="AG25"/>
      <c r="AH25"/>
      <c r="AI25"/>
      <c r="AJ25"/>
      <c r="AK25"/>
      <c r="AL25"/>
    </row>
    <row r="26" spans="1:38" ht="15.75" customHeight="1" outlineLevel="3" x14ac:dyDescent="0.2">
      <c r="A26" s="10">
        <v>3</v>
      </c>
      <c r="B26" s="10" t="s">
        <v>71</v>
      </c>
      <c r="C26" s="10" t="s">
        <v>80</v>
      </c>
      <c r="D26" s="10" t="s">
        <v>77</v>
      </c>
      <c r="E26" s="11" t="str">
        <f t="array" ref="E26">_xlfn.XLOOKUP(D26,Insumos!B:B,Insumos!C:$C)</f>
        <v>KG</v>
      </c>
      <c r="F26" s="14">
        <v>24</v>
      </c>
      <c r="G26" s="92">
        <f t="array" ref="G26">IF(B26="insumo",_xlfn.XLOOKUP($D26,Insumos!$B$1:$B$996,Insumos!$D$1:$D$996),"")</f>
        <v>0.46</v>
      </c>
      <c r="H26" s="92">
        <v>11.04</v>
      </c>
      <c r="I26" s="13">
        <v>0</v>
      </c>
      <c r="J26" s="13">
        <v>0</v>
      </c>
      <c r="K26" s="13"/>
      <c r="L26"/>
      <c r="M26"/>
      <c r="N26"/>
      <c r="O26"/>
      <c r="P26"/>
      <c r="Q26"/>
      <c r="R26"/>
      <c r="S26"/>
      <c r="T26"/>
      <c r="U26"/>
      <c r="V26"/>
      <c r="W26"/>
      <c r="X26"/>
      <c r="Y26"/>
      <c r="Z26"/>
      <c r="AA26"/>
      <c r="AB26"/>
      <c r="AC26"/>
      <c r="AD26"/>
      <c r="AE26"/>
      <c r="AF26"/>
      <c r="AG26"/>
      <c r="AH26"/>
      <c r="AI26"/>
      <c r="AJ26"/>
      <c r="AK26"/>
      <c r="AL26"/>
    </row>
    <row r="27" spans="1:38" ht="15.75" customHeight="1" outlineLevel="3" x14ac:dyDescent="0.2">
      <c r="A27" s="10">
        <v>3</v>
      </c>
      <c r="B27" s="10" t="s">
        <v>71</v>
      </c>
      <c r="C27" s="10" t="s">
        <v>80</v>
      </c>
      <c r="D27" s="10" t="s">
        <v>78</v>
      </c>
      <c r="E27" s="11" t="str">
        <f t="array" ref="E27">_xlfn.XLOOKUP(D27,Insumos!B:B,Insumos!C:$C)</f>
        <v>M2</v>
      </c>
      <c r="F27" s="14">
        <v>1</v>
      </c>
      <c r="G27" s="92">
        <f t="array" ref="G27">IF(B27="insumo",_xlfn.XLOOKUP($D27,Insumos!$B$1:$B$996,Insumos!$D$1:$D$996),"")</f>
        <v>10.5</v>
      </c>
      <c r="H27" s="92">
        <v>10.5</v>
      </c>
      <c r="I27" s="13">
        <v>0</v>
      </c>
      <c r="J27" s="13">
        <v>0</v>
      </c>
      <c r="K27" s="13"/>
      <c r="L27"/>
      <c r="M27"/>
      <c r="N27"/>
      <c r="O27"/>
      <c r="P27"/>
      <c r="Q27"/>
      <c r="R27"/>
      <c r="S27"/>
      <c r="T27"/>
      <c r="U27"/>
      <c r="V27"/>
      <c r="W27"/>
      <c r="X27"/>
      <c r="Y27"/>
      <c r="Z27"/>
      <c r="AA27"/>
      <c r="AB27"/>
      <c r="AC27"/>
      <c r="AD27"/>
      <c r="AE27"/>
      <c r="AF27"/>
      <c r="AG27"/>
      <c r="AH27"/>
      <c r="AI27"/>
      <c r="AJ27"/>
      <c r="AK27"/>
      <c r="AL27"/>
    </row>
    <row r="28" spans="1:38" ht="15.75" customHeight="1" outlineLevel="2" x14ac:dyDescent="0.2">
      <c r="A28" s="1067">
        <v>1</v>
      </c>
      <c r="B28" s="1067" t="s">
        <v>68</v>
      </c>
      <c r="C28" s="1067" t="s">
        <v>81</v>
      </c>
      <c r="D28" s="1067" t="s">
        <v>81</v>
      </c>
      <c r="E28" s="1068" t="s">
        <v>70</v>
      </c>
      <c r="F28" s="1067"/>
      <c r="G28" s="1069" t="str">
        <f t="array" ref="G28">IF(B28="insumo",_xlfn.XLOOKUP($D28,Insumos!$B$1:$B$996,Insumos!$D$1:$D$996),"")</f>
        <v/>
      </c>
      <c r="H28" s="1069">
        <v>382.10489000000001</v>
      </c>
      <c r="I28" s="1070">
        <v>0</v>
      </c>
      <c r="J28" s="1070">
        <v>0</v>
      </c>
      <c r="K28" s="1070"/>
      <c r="L28"/>
      <c r="M28"/>
      <c r="N28"/>
      <c r="O28"/>
      <c r="P28"/>
      <c r="Q28"/>
      <c r="R28"/>
      <c r="S28"/>
      <c r="T28"/>
      <c r="U28"/>
      <c r="V28"/>
      <c r="W28"/>
      <c r="X28"/>
      <c r="Y28"/>
      <c r="Z28"/>
      <c r="AA28"/>
      <c r="AB28"/>
      <c r="AC28"/>
      <c r="AD28"/>
      <c r="AE28"/>
      <c r="AF28"/>
      <c r="AG28"/>
      <c r="AH28"/>
      <c r="AI28"/>
      <c r="AJ28"/>
      <c r="AK28"/>
      <c r="AL28"/>
    </row>
    <row r="29" spans="1:38" ht="15.75" customHeight="1" outlineLevel="3" x14ac:dyDescent="0.2">
      <c r="A29" s="10">
        <v>11</v>
      </c>
      <c r="B29" s="10" t="s">
        <v>71</v>
      </c>
      <c r="C29" s="10" t="s">
        <v>81</v>
      </c>
      <c r="D29" s="10" t="s">
        <v>82</v>
      </c>
      <c r="E29" s="11" t="str">
        <f t="array" ref="E29">_xlfn.XLOOKUP(D29,Insumos!B:B,Insumos!C:$C)</f>
        <v>M2</v>
      </c>
      <c r="F29" s="14">
        <v>0.59099999999999997</v>
      </c>
      <c r="G29" s="92">
        <f t="array" ref="G29">IF(B29="insumo",_xlfn.XLOOKUP($D29,Insumos!$B$1:$B$996,Insumos!$D$1:$D$996),"")</f>
        <v>46.5</v>
      </c>
      <c r="H29" s="92">
        <v>27.4815</v>
      </c>
      <c r="I29" s="13">
        <v>0</v>
      </c>
      <c r="J29" s="13">
        <v>0</v>
      </c>
      <c r="K29" s="13"/>
      <c r="L29"/>
      <c r="M29"/>
      <c r="N29"/>
      <c r="O29"/>
      <c r="P29"/>
      <c r="Q29"/>
      <c r="R29"/>
      <c r="S29"/>
      <c r="T29"/>
      <c r="U29"/>
      <c r="V29"/>
      <c r="W29"/>
      <c r="X29"/>
      <c r="Y29"/>
      <c r="Z29"/>
      <c r="AA29"/>
      <c r="AB29"/>
      <c r="AC29"/>
      <c r="AD29"/>
      <c r="AE29"/>
      <c r="AF29"/>
      <c r="AG29"/>
      <c r="AH29"/>
      <c r="AI29"/>
      <c r="AJ29"/>
      <c r="AK29"/>
      <c r="AL29"/>
    </row>
    <row r="30" spans="1:38" ht="15.75" customHeight="1" outlineLevel="3" x14ac:dyDescent="0.2">
      <c r="A30" s="10">
        <v>10</v>
      </c>
      <c r="B30" s="10" t="s">
        <v>71</v>
      </c>
      <c r="C30" s="10" t="s">
        <v>81</v>
      </c>
      <c r="D30" s="10" t="s">
        <v>83</v>
      </c>
      <c r="E30" s="11" t="str">
        <f t="array" ref="E30">_xlfn.XLOOKUP(D30,Insumos!B:B,Insumos!C:$C)</f>
        <v>UN</v>
      </c>
      <c r="F30" s="14">
        <v>0.40400000000000003</v>
      </c>
      <c r="G30" s="92">
        <f t="array" ref="G30">IF(B30="insumo",_xlfn.XLOOKUP($D30,Insumos!$B$1:$B$996,Insumos!$D$1:$D$996),"")</f>
        <v>58.46</v>
      </c>
      <c r="H30" s="92">
        <v>23.617840000000001</v>
      </c>
      <c r="I30" s="13">
        <v>0</v>
      </c>
      <c r="J30" s="13">
        <v>0</v>
      </c>
      <c r="K30" s="13"/>
      <c r="L30"/>
      <c r="M30"/>
      <c r="N30"/>
      <c r="O30"/>
      <c r="P30"/>
      <c r="Q30"/>
      <c r="R30"/>
      <c r="S30"/>
      <c r="T30"/>
      <c r="U30"/>
      <c r="V30"/>
      <c r="W30"/>
      <c r="X30"/>
      <c r="Y30"/>
      <c r="Z30"/>
      <c r="AA30"/>
      <c r="AB30"/>
      <c r="AC30"/>
      <c r="AD30"/>
      <c r="AE30"/>
      <c r="AF30"/>
      <c r="AG30"/>
      <c r="AH30"/>
      <c r="AI30"/>
      <c r="AJ30"/>
      <c r="AK30"/>
      <c r="AL30"/>
    </row>
    <row r="31" spans="1:38" ht="15.75" customHeight="1" outlineLevel="3" x14ac:dyDescent="0.2">
      <c r="A31" s="10">
        <v>25</v>
      </c>
      <c r="B31" s="10" t="s">
        <v>71</v>
      </c>
      <c r="C31" s="10" t="s">
        <v>81</v>
      </c>
      <c r="D31" s="10" t="s">
        <v>84</v>
      </c>
      <c r="E31" s="11" t="str">
        <f t="array" ref="E31">_xlfn.XLOOKUP(D31,Insumos!B:B,Insumos!C:$C)</f>
        <v>M</v>
      </c>
      <c r="F31" s="14">
        <v>4.3899999999999997</v>
      </c>
      <c r="G31" s="92">
        <f t="array" ref="G31">IF(B31="insumo",_xlfn.XLOOKUP($D31,Insumos!$B$1:$B$996,Insumos!$D$1:$D$996),"")</f>
        <v>7</v>
      </c>
      <c r="H31" s="92">
        <v>30.73</v>
      </c>
      <c r="I31" s="13">
        <v>0</v>
      </c>
      <c r="J31" s="13">
        <v>0</v>
      </c>
      <c r="K31" s="13"/>
      <c r="L31"/>
      <c r="M31"/>
      <c r="N31"/>
      <c r="O31"/>
      <c r="P31"/>
      <c r="Q31"/>
      <c r="R31"/>
      <c r="S31"/>
      <c r="T31"/>
      <c r="U31"/>
      <c r="V31"/>
      <c r="W31"/>
      <c r="X31"/>
      <c r="Y31"/>
      <c r="Z31"/>
      <c r="AA31"/>
      <c r="AB31"/>
      <c r="AC31"/>
      <c r="AD31"/>
      <c r="AE31"/>
      <c r="AF31"/>
      <c r="AG31"/>
      <c r="AH31"/>
      <c r="AI31"/>
      <c r="AJ31"/>
      <c r="AK31"/>
      <c r="AL31"/>
    </row>
    <row r="32" spans="1:38" ht="15.75" customHeight="1" outlineLevel="3" x14ac:dyDescent="0.2">
      <c r="A32" s="10">
        <v>11</v>
      </c>
      <c r="B32" s="10" t="s">
        <v>71</v>
      </c>
      <c r="C32" s="10" t="s">
        <v>81</v>
      </c>
      <c r="D32" s="10" t="s">
        <v>85</v>
      </c>
      <c r="E32" s="11" t="str">
        <f t="array" ref="E32">_xlfn.XLOOKUP(D32,Insumos!B:B,Insumos!C:$C)</f>
        <v>M2</v>
      </c>
      <c r="F32" s="14">
        <v>0.15</v>
      </c>
      <c r="G32" s="92">
        <f t="array" ref="G32">IF(B32="insumo",_xlfn.XLOOKUP($D32,Insumos!$B$1:$B$996,Insumos!$D$1:$D$996),"")</f>
        <v>46.5</v>
      </c>
      <c r="H32" s="92">
        <v>6.9749999999999996</v>
      </c>
      <c r="I32" s="13">
        <v>0</v>
      </c>
      <c r="J32" s="13">
        <v>0</v>
      </c>
      <c r="K32" s="13"/>
      <c r="L32"/>
      <c r="M32"/>
      <c r="N32"/>
      <c r="O32"/>
      <c r="P32"/>
      <c r="Q32"/>
      <c r="R32"/>
      <c r="S32"/>
      <c r="T32"/>
      <c r="U32"/>
      <c r="V32"/>
      <c r="W32"/>
      <c r="X32"/>
      <c r="Y32"/>
      <c r="Z32"/>
      <c r="AA32"/>
      <c r="AB32"/>
      <c r="AC32"/>
      <c r="AD32"/>
      <c r="AE32"/>
      <c r="AF32"/>
      <c r="AG32"/>
      <c r="AH32"/>
      <c r="AI32"/>
      <c r="AJ32"/>
      <c r="AK32"/>
      <c r="AL32"/>
    </row>
    <row r="33" spans="1:38" ht="15.75" customHeight="1" outlineLevel="3" x14ac:dyDescent="0.2">
      <c r="A33" s="10">
        <v>10</v>
      </c>
      <c r="B33" s="10" t="s">
        <v>71</v>
      </c>
      <c r="C33" s="10" t="s">
        <v>81</v>
      </c>
      <c r="D33" s="10" t="s">
        <v>86</v>
      </c>
      <c r="E33" s="11" t="str">
        <f t="array" ref="E33">_xlfn.XLOOKUP(D33,Insumos!B:B,Insumos!C:$C)</f>
        <v>M</v>
      </c>
      <c r="F33" s="14">
        <v>1</v>
      </c>
      <c r="G33" s="92">
        <f t="array" ref="G33">IF(B33="insumo",_xlfn.XLOOKUP($D33,Insumos!$B$1:$B$996,Insumos!$D$1:$D$996),"")</f>
        <v>7.3900000000000006</v>
      </c>
      <c r="H33" s="92">
        <v>7.39</v>
      </c>
      <c r="I33" s="13">
        <v>0</v>
      </c>
      <c r="J33" s="13">
        <v>0</v>
      </c>
      <c r="K33" s="13"/>
      <c r="L33"/>
      <c r="M33"/>
      <c r="N33"/>
      <c r="O33"/>
      <c r="P33"/>
      <c r="Q33"/>
      <c r="R33"/>
      <c r="S33"/>
      <c r="T33"/>
      <c r="U33"/>
      <c r="V33"/>
      <c r="W33"/>
      <c r="X33"/>
      <c r="Y33"/>
      <c r="Z33"/>
      <c r="AA33"/>
      <c r="AB33"/>
      <c r="AC33"/>
      <c r="AD33"/>
      <c r="AE33"/>
      <c r="AF33"/>
      <c r="AG33"/>
      <c r="AH33"/>
      <c r="AI33"/>
      <c r="AJ33"/>
      <c r="AK33"/>
      <c r="AL33"/>
    </row>
    <row r="34" spans="1:38" ht="15.75" customHeight="1" outlineLevel="3" x14ac:dyDescent="0.2">
      <c r="A34" s="10">
        <v>40</v>
      </c>
      <c r="B34" s="10" t="s">
        <v>71</v>
      </c>
      <c r="C34" s="10" t="s">
        <v>81</v>
      </c>
      <c r="D34" s="10" t="s">
        <v>87</v>
      </c>
      <c r="E34" s="11" t="str">
        <f t="array" ref="E34">_xlfn.XLOOKUP(D34,Insumos!B:B,Insumos!C:$C)</f>
        <v>KG</v>
      </c>
      <c r="F34" s="14">
        <v>1</v>
      </c>
      <c r="G34" s="92">
        <f t="array" ref="G34">IF(B34="insumo",_xlfn.XLOOKUP($D34,Insumos!$B$1:$B$996,Insumos!$D$1:$D$996),"")</f>
        <v>18.13</v>
      </c>
      <c r="H34" s="92">
        <v>18.13</v>
      </c>
      <c r="I34" s="13">
        <v>0</v>
      </c>
      <c r="J34" s="13">
        <v>0</v>
      </c>
      <c r="K34" s="13"/>
      <c r="L34"/>
      <c r="M34"/>
      <c r="N34"/>
      <c r="O34"/>
      <c r="P34"/>
      <c r="Q34"/>
      <c r="R34"/>
      <c r="S34"/>
      <c r="T34"/>
      <c r="U34"/>
      <c r="V34"/>
      <c r="W34"/>
      <c r="X34"/>
      <c r="Y34"/>
      <c r="Z34"/>
      <c r="AA34"/>
      <c r="AB34"/>
      <c r="AC34"/>
      <c r="AD34"/>
      <c r="AE34"/>
      <c r="AF34"/>
      <c r="AG34"/>
      <c r="AH34"/>
      <c r="AI34"/>
      <c r="AJ34"/>
      <c r="AK34"/>
      <c r="AL34"/>
    </row>
    <row r="35" spans="1:38" ht="15.75" customHeight="1" outlineLevel="3" x14ac:dyDescent="0.2">
      <c r="A35" s="10">
        <v>10</v>
      </c>
      <c r="B35" s="10" t="s">
        <v>71</v>
      </c>
      <c r="C35" s="10" t="s">
        <v>81</v>
      </c>
      <c r="D35" s="10" t="s">
        <v>88</v>
      </c>
      <c r="E35" s="11" t="str">
        <f t="array" ref="E35">_xlfn.XLOOKUP(D35,Insumos!B:B,Insumos!C:$C)</f>
        <v>UN</v>
      </c>
      <c r="F35" s="14">
        <v>1.4999999999999999E-2</v>
      </c>
      <c r="G35" s="92">
        <f t="array" ref="G35">IF(B35="insumo",_xlfn.XLOOKUP($D35,Insumos!$B$1:$B$996,Insumos!$D$1:$D$996),"")</f>
        <v>185.37</v>
      </c>
      <c r="H35" s="92">
        <v>2.7805499999999999</v>
      </c>
      <c r="I35" s="13">
        <v>0</v>
      </c>
      <c r="J35" s="13">
        <v>0</v>
      </c>
      <c r="K35" s="13"/>
      <c r="L35"/>
      <c r="M35"/>
      <c r="N35"/>
      <c r="O35"/>
      <c r="P35"/>
      <c r="Q35"/>
      <c r="R35"/>
      <c r="S35"/>
      <c r="T35"/>
      <c r="U35"/>
      <c r="V35"/>
      <c r="W35"/>
      <c r="X35"/>
      <c r="Y35"/>
      <c r="Z35"/>
      <c r="AA35"/>
      <c r="AB35"/>
      <c r="AC35"/>
      <c r="AD35"/>
      <c r="AE35"/>
      <c r="AF35"/>
      <c r="AG35"/>
      <c r="AH35"/>
      <c r="AI35"/>
      <c r="AJ35"/>
      <c r="AK35"/>
      <c r="AL35"/>
    </row>
    <row r="36" spans="1:38" ht="15.75" customHeight="1" outlineLevel="3" x14ac:dyDescent="0.2">
      <c r="A36" s="10">
        <v>10</v>
      </c>
      <c r="B36" s="10" t="s">
        <v>71</v>
      </c>
      <c r="C36" s="10" t="s">
        <v>81</v>
      </c>
      <c r="D36" s="10" t="s">
        <v>89</v>
      </c>
      <c r="E36" s="11" t="str">
        <f t="array" ref="E36">_xlfn.XLOOKUP(D36,Insumos!B:B,Insumos!C:$C)</f>
        <v>VB</v>
      </c>
      <c r="F36" s="14">
        <v>1</v>
      </c>
      <c r="G36" s="92">
        <f t="array" ref="G36">IF(B36="insumo",_xlfn.XLOOKUP($D36,Insumos!$B$1:$B$996,Insumos!$D$1:$D$996),"")</f>
        <v>215</v>
      </c>
      <c r="H36" s="92">
        <v>215</v>
      </c>
      <c r="I36" s="13">
        <v>0</v>
      </c>
      <c r="J36" s="13">
        <v>0</v>
      </c>
      <c r="K36" s="13"/>
      <c r="L36"/>
      <c r="M36"/>
      <c r="N36"/>
      <c r="O36"/>
      <c r="P36"/>
      <c r="Q36"/>
      <c r="R36"/>
      <c r="S36"/>
      <c r="T36"/>
      <c r="U36"/>
      <c r="V36"/>
      <c r="W36"/>
      <c r="X36"/>
      <c r="Y36"/>
      <c r="Z36"/>
      <c r="AA36"/>
      <c r="AB36"/>
      <c r="AC36"/>
      <c r="AD36"/>
      <c r="AE36"/>
      <c r="AF36"/>
      <c r="AG36"/>
      <c r="AH36"/>
      <c r="AI36"/>
      <c r="AJ36"/>
      <c r="AK36"/>
      <c r="AL36"/>
    </row>
    <row r="37" spans="1:38" ht="15.75" customHeight="1" outlineLevel="3" x14ac:dyDescent="0.2">
      <c r="A37" s="10">
        <v>10</v>
      </c>
      <c r="B37" s="10" t="s">
        <v>71</v>
      </c>
      <c r="C37" s="10" t="s">
        <v>81</v>
      </c>
      <c r="D37" s="10" t="s">
        <v>90</v>
      </c>
      <c r="E37" s="11" t="str">
        <f t="array" ref="E37">_xlfn.XLOOKUP(D37,Insumos!B:B,Insumos!C:$C)</f>
        <v>M2</v>
      </c>
      <c r="F37" s="14">
        <v>1</v>
      </c>
      <c r="G37" s="92">
        <f t="array" ref="G37">IF(B37="insumo",_xlfn.XLOOKUP($D37,Insumos!$B$1:$B$996,Insumos!$D$1:$D$996),"")</f>
        <v>50</v>
      </c>
      <c r="H37" s="92">
        <v>50</v>
      </c>
      <c r="I37" s="13">
        <v>0</v>
      </c>
      <c r="J37" s="13">
        <v>0</v>
      </c>
      <c r="K37" s="13"/>
      <c r="L37"/>
      <c r="M37"/>
      <c r="N37"/>
      <c r="O37"/>
      <c r="P37"/>
      <c r="Q37"/>
      <c r="R37"/>
      <c r="S37"/>
      <c r="T37"/>
      <c r="U37"/>
      <c r="V37"/>
      <c r="W37"/>
      <c r="X37"/>
      <c r="Y37"/>
      <c r="Z37"/>
      <c r="AA37"/>
      <c r="AB37"/>
      <c r="AC37"/>
      <c r="AD37"/>
      <c r="AE37"/>
      <c r="AF37"/>
      <c r="AG37"/>
      <c r="AH37"/>
      <c r="AI37"/>
      <c r="AJ37"/>
      <c r="AK37"/>
      <c r="AL37"/>
    </row>
    <row r="38" spans="1:38" ht="15.75" customHeight="1" outlineLevel="2" x14ac:dyDescent="0.2">
      <c r="A38" s="1067">
        <v>1</v>
      </c>
      <c r="B38" s="1067" t="s">
        <v>68</v>
      </c>
      <c r="C38" s="1067" t="s">
        <v>91</v>
      </c>
      <c r="D38" s="1067" t="s">
        <v>91</v>
      </c>
      <c r="E38" s="1068" t="s">
        <v>70</v>
      </c>
      <c r="F38" s="1067"/>
      <c r="G38" s="1069" t="str">
        <f t="array" ref="G38">IF(B38="insumo",_xlfn.XLOOKUP($D38,Insumos!$B$1:$B$996,Insumos!$D$1:$D$996),"")</f>
        <v/>
      </c>
      <c r="H38" s="1069">
        <v>382.10489000000001</v>
      </c>
      <c r="I38" s="1070">
        <v>0</v>
      </c>
      <c r="J38" s="1070">
        <v>0</v>
      </c>
      <c r="K38" s="1070"/>
      <c r="L38"/>
      <c r="M38"/>
      <c r="N38"/>
      <c r="O38"/>
      <c r="P38"/>
      <c r="Q38"/>
      <c r="R38"/>
      <c r="S38"/>
      <c r="T38"/>
      <c r="U38"/>
      <c r="V38"/>
      <c r="W38"/>
      <c r="X38"/>
      <c r="Y38"/>
      <c r="Z38"/>
      <c r="AA38"/>
      <c r="AB38"/>
      <c r="AC38"/>
      <c r="AD38"/>
      <c r="AE38"/>
      <c r="AF38"/>
      <c r="AG38"/>
      <c r="AH38"/>
      <c r="AI38"/>
      <c r="AJ38"/>
      <c r="AK38"/>
      <c r="AL38"/>
    </row>
    <row r="39" spans="1:38" ht="15.75" customHeight="1" outlineLevel="3" x14ac:dyDescent="0.2">
      <c r="A39" s="10">
        <v>11</v>
      </c>
      <c r="B39" s="10" t="s">
        <v>71</v>
      </c>
      <c r="C39" s="10" t="s">
        <v>91</v>
      </c>
      <c r="D39" s="10" t="s">
        <v>82</v>
      </c>
      <c r="E39" s="11" t="str">
        <f t="array" ref="E39">_xlfn.XLOOKUP(D39,Insumos!B:B,Insumos!C:$C)</f>
        <v>M2</v>
      </c>
      <c r="F39" s="14">
        <v>0.59099999999999997</v>
      </c>
      <c r="G39" s="92">
        <f t="array" ref="G39">IF(B39="insumo",_xlfn.XLOOKUP($D39,Insumos!$B$1:$B$996,Insumos!$D$1:$D$996),"")</f>
        <v>46.5</v>
      </c>
      <c r="H39" s="92">
        <v>27.4815</v>
      </c>
      <c r="I39" s="13">
        <v>0</v>
      </c>
      <c r="J39" s="13">
        <v>0</v>
      </c>
      <c r="K39" s="13"/>
      <c r="L39"/>
      <c r="M39"/>
      <c r="N39"/>
      <c r="O39"/>
      <c r="P39"/>
      <c r="Q39"/>
      <c r="R39"/>
      <c r="S39"/>
      <c r="T39"/>
      <c r="U39"/>
      <c r="V39"/>
      <c r="W39"/>
      <c r="X39"/>
      <c r="Y39"/>
      <c r="Z39"/>
      <c r="AA39"/>
      <c r="AB39"/>
      <c r="AC39"/>
      <c r="AD39"/>
      <c r="AE39"/>
      <c r="AF39"/>
      <c r="AG39"/>
      <c r="AH39"/>
      <c r="AI39"/>
      <c r="AJ39"/>
      <c r="AK39"/>
      <c r="AL39"/>
    </row>
    <row r="40" spans="1:38" ht="15.75" customHeight="1" outlineLevel="3" x14ac:dyDescent="0.2">
      <c r="A40" s="10">
        <v>10</v>
      </c>
      <c r="B40" s="10" t="s">
        <v>71</v>
      </c>
      <c r="C40" s="10" t="s">
        <v>91</v>
      </c>
      <c r="D40" s="10" t="s">
        <v>83</v>
      </c>
      <c r="E40" s="11" t="str">
        <f t="array" ref="E40">_xlfn.XLOOKUP(D40,Insumos!B:B,Insumos!C:$C)</f>
        <v>UN</v>
      </c>
      <c r="F40" s="14">
        <v>0.40400000000000003</v>
      </c>
      <c r="G40" s="92">
        <f t="array" ref="G40">IF(B40="insumo",_xlfn.XLOOKUP($D40,Insumos!$B$1:$B$996,Insumos!$D$1:$D$996),"")</f>
        <v>58.46</v>
      </c>
      <c r="H40" s="92">
        <v>23.617840000000001</v>
      </c>
      <c r="I40" s="13">
        <v>0</v>
      </c>
      <c r="J40" s="13">
        <v>0</v>
      </c>
      <c r="K40" s="13"/>
      <c r="L40"/>
      <c r="M40"/>
      <c r="N40"/>
      <c r="O40"/>
      <c r="P40"/>
      <c r="Q40"/>
      <c r="R40"/>
      <c r="S40"/>
      <c r="T40"/>
      <c r="U40"/>
      <c r="V40"/>
      <c r="W40"/>
      <c r="X40"/>
      <c r="Y40"/>
      <c r="Z40"/>
      <c r="AA40"/>
      <c r="AB40"/>
      <c r="AC40"/>
      <c r="AD40"/>
      <c r="AE40"/>
      <c r="AF40"/>
      <c r="AG40"/>
      <c r="AH40"/>
      <c r="AI40"/>
      <c r="AJ40"/>
      <c r="AK40"/>
      <c r="AL40"/>
    </row>
    <row r="41" spans="1:38" ht="15.75" customHeight="1" outlineLevel="3" x14ac:dyDescent="0.2">
      <c r="A41" s="10">
        <v>25</v>
      </c>
      <c r="B41" s="10" t="s">
        <v>71</v>
      </c>
      <c r="C41" s="10" t="s">
        <v>91</v>
      </c>
      <c r="D41" s="10" t="s">
        <v>84</v>
      </c>
      <c r="E41" s="11" t="str">
        <f t="array" ref="E41">_xlfn.XLOOKUP(D41,Insumos!B:B,Insumos!C:$C)</f>
        <v>M</v>
      </c>
      <c r="F41" s="14">
        <v>4.3899999999999997</v>
      </c>
      <c r="G41" s="92">
        <f t="array" ref="G41">IF(B41="insumo",_xlfn.XLOOKUP($D41,Insumos!$B$1:$B$996,Insumos!$D$1:$D$996),"")</f>
        <v>7</v>
      </c>
      <c r="H41" s="92">
        <v>30.73</v>
      </c>
      <c r="I41" s="13">
        <v>0</v>
      </c>
      <c r="J41" s="13">
        <v>0</v>
      </c>
      <c r="K41" s="13"/>
      <c r="L41"/>
      <c r="M41"/>
      <c r="N41"/>
      <c r="O41"/>
      <c r="P41"/>
      <c r="Q41"/>
      <c r="R41"/>
      <c r="S41"/>
      <c r="T41"/>
      <c r="U41"/>
      <c r="V41"/>
      <c r="W41"/>
      <c r="X41"/>
      <c r="Y41"/>
      <c r="Z41"/>
      <c r="AA41"/>
      <c r="AB41"/>
      <c r="AC41"/>
      <c r="AD41"/>
      <c r="AE41"/>
      <c r="AF41"/>
      <c r="AG41"/>
      <c r="AH41"/>
      <c r="AI41"/>
      <c r="AJ41"/>
      <c r="AK41"/>
      <c r="AL41"/>
    </row>
    <row r="42" spans="1:38" ht="15.75" customHeight="1" outlineLevel="3" x14ac:dyDescent="0.2">
      <c r="A42" s="10">
        <v>11</v>
      </c>
      <c r="B42" s="10" t="s">
        <v>71</v>
      </c>
      <c r="C42" s="10" t="s">
        <v>91</v>
      </c>
      <c r="D42" s="10" t="s">
        <v>85</v>
      </c>
      <c r="E42" s="11" t="str">
        <f t="array" ref="E42">_xlfn.XLOOKUP(D42,Insumos!B:B,Insumos!C:$C)</f>
        <v>M2</v>
      </c>
      <c r="F42" s="14">
        <v>0.15</v>
      </c>
      <c r="G42" s="92">
        <f t="array" ref="G42">IF(B42="insumo",_xlfn.XLOOKUP($D42,Insumos!$B$1:$B$996,Insumos!$D$1:$D$996),"")</f>
        <v>46.5</v>
      </c>
      <c r="H42" s="92">
        <v>6.9749999999999996</v>
      </c>
      <c r="I42" s="13">
        <v>0</v>
      </c>
      <c r="J42" s="13">
        <v>0</v>
      </c>
      <c r="K42" s="13"/>
      <c r="L42"/>
      <c r="M42"/>
      <c r="N42"/>
      <c r="O42"/>
      <c r="P42"/>
      <c r="Q42"/>
      <c r="R42"/>
      <c r="S42"/>
      <c r="T42"/>
      <c r="U42"/>
      <c r="V42"/>
      <c r="W42"/>
      <c r="X42"/>
      <c r="Y42"/>
      <c r="Z42"/>
      <c r="AA42"/>
      <c r="AB42"/>
      <c r="AC42"/>
      <c r="AD42"/>
      <c r="AE42"/>
      <c r="AF42"/>
      <c r="AG42"/>
      <c r="AH42"/>
      <c r="AI42"/>
      <c r="AJ42"/>
      <c r="AK42"/>
      <c r="AL42"/>
    </row>
    <row r="43" spans="1:38" ht="15.75" customHeight="1" outlineLevel="3" x14ac:dyDescent="0.2">
      <c r="A43" s="10">
        <v>10</v>
      </c>
      <c r="B43" s="10" t="s">
        <v>71</v>
      </c>
      <c r="C43" s="10" t="s">
        <v>91</v>
      </c>
      <c r="D43" s="10" t="s">
        <v>86</v>
      </c>
      <c r="E43" s="11" t="str">
        <f t="array" ref="E43">_xlfn.XLOOKUP(D43,Insumos!B:B,Insumos!C:$C)</f>
        <v>M</v>
      </c>
      <c r="F43" s="14">
        <v>1</v>
      </c>
      <c r="G43" s="92">
        <f t="array" ref="G43">IF(B43="insumo",_xlfn.XLOOKUP($D43,Insumos!$B$1:$B$996,Insumos!$D$1:$D$996),"")</f>
        <v>7.3900000000000006</v>
      </c>
      <c r="H43" s="92">
        <v>7.39</v>
      </c>
      <c r="I43" s="13">
        <v>0</v>
      </c>
      <c r="J43" s="13">
        <v>0</v>
      </c>
      <c r="K43" s="13"/>
      <c r="L43"/>
      <c r="M43"/>
      <c r="N43"/>
      <c r="O43"/>
      <c r="P43"/>
      <c r="Q43"/>
      <c r="R43"/>
      <c r="S43"/>
      <c r="T43"/>
      <c r="U43"/>
      <c r="V43"/>
      <c r="W43"/>
      <c r="X43"/>
      <c r="Y43"/>
      <c r="Z43"/>
      <c r="AA43"/>
      <c r="AB43"/>
      <c r="AC43"/>
      <c r="AD43"/>
      <c r="AE43"/>
      <c r="AF43"/>
      <c r="AG43"/>
      <c r="AH43"/>
      <c r="AI43"/>
      <c r="AJ43"/>
      <c r="AK43"/>
      <c r="AL43"/>
    </row>
    <row r="44" spans="1:38" ht="15.75" customHeight="1" outlineLevel="3" x14ac:dyDescent="0.2">
      <c r="A44" s="10">
        <v>40</v>
      </c>
      <c r="B44" s="10" t="s">
        <v>71</v>
      </c>
      <c r="C44" s="10" t="s">
        <v>91</v>
      </c>
      <c r="D44" s="10" t="s">
        <v>87</v>
      </c>
      <c r="E44" s="11" t="str">
        <f t="array" ref="E44">_xlfn.XLOOKUP(D44,Insumos!B:B,Insumos!C:$C)</f>
        <v>KG</v>
      </c>
      <c r="F44" s="14">
        <v>1</v>
      </c>
      <c r="G44" s="92">
        <f t="array" ref="G44">IF(B44="insumo",_xlfn.XLOOKUP($D44,Insumos!$B$1:$B$996,Insumos!$D$1:$D$996),"")</f>
        <v>18.13</v>
      </c>
      <c r="H44" s="92">
        <v>18.13</v>
      </c>
      <c r="I44" s="13">
        <v>0</v>
      </c>
      <c r="J44" s="13">
        <v>0</v>
      </c>
      <c r="K44" s="13"/>
      <c r="L44"/>
      <c r="M44"/>
      <c r="N44"/>
      <c r="O44"/>
      <c r="P44"/>
      <c r="Q44"/>
      <c r="R44"/>
      <c r="S44"/>
      <c r="T44"/>
      <c r="U44"/>
      <c r="V44"/>
      <c r="W44"/>
      <c r="X44"/>
      <c r="Y44"/>
      <c r="Z44"/>
      <c r="AA44"/>
      <c r="AB44"/>
      <c r="AC44"/>
      <c r="AD44"/>
      <c r="AE44"/>
      <c r="AF44"/>
      <c r="AG44"/>
      <c r="AH44"/>
      <c r="AI44"/>
      <c r="AJ44"/>
      <c r="AK44"/>
      <c r="AL44"/>
    </row>
    <row r="45" spans="1:38" ht="15.75" customHeight="1" outlineLevel="3" x14ac:dyDescent="0.2">
      <c r="A45" s="10">
        <v>10</v>
      </c>
      <c r="B45" s="10" t="s">
        <v>71</v>
      </c>
      <c r="C45" s="10" t="s">
        <v>91</v>
      </c>
      <c r="D45" s="10" t="s">
        <v>88</v>
      </c>
      <c r="E45" s="11" t="str">
        <f t="array" ref="E45">_xlfn.XLOOKUP(D45,Insumos!B:B,Insumos!C:$C)</f>
        <v>UN</v>
      </c>
      <c r="F45" s="14">
        <v>1.4999999999999999E-2</v>
      </c>
      <c r="G45" s="92">
        <f t="array" ref="G45">IF(B45="insumo",_xlfn.XLOOKUP($D45,Insumos!$B$1:$B$996,Insumos!$D$1:$D$996),"")</f>
        <v>185.37</v>
      </c>
      <c r="H45" s="92">
        <v>2.7805499999999999</v>
      </c>
      <c r="I45" s="13">
        <v>0</v>
      </c>
      <c r="J45" s="13">
        <v>0</v>
      </c>
      <c r="K45" s="13"/>
      <c r="L45"/>
      <c r="M45"/>
      <c r="N45"/>
      <c r="O45"/>
      <c r="P45"/>
      <c r="Q45"/>
      <c r="R45"/>
      <c r="S45"/>
      <c r="T45"/>
      <c r="U45"/>
      <c r="V45"/>
      <c r="W45"/>
      <c r="X45"/>
      <c r="Y45"/>
      <c r="Z45"/>
      <c r="AA45"/>
      <c r="AB45"/>
      <c r="AC45"/>
      <c r="AD45"/>
      <c r="AE45"/>
      <c r="AF45"/>
      <c r="AG45"/>
      <c r="AH45"/>
      <c r="AI45"/>
      <c r="AJ45"/>
      <c r="AK45"/>
      <c r="AL45"/>
    </row>
    <row r="46" spans="1:38" ht="15.75" customHeight="1" outlineLevel="3" x14ac:dyDescent="0.2">
      <c r="A46" s="10">
        <v>10</v>
      </c>
      <c r="B46" s="10" t="s">
        <v>71</v>
      </c>
      <c r="C46" s="10" t="s">
        <v>91</v>
      </c>
      <c r="D46" s="10" t="s">
        <v>89</v>
      </c>
      <c r="E46" s="11" t="str">
        <f t="array" ref="E46">_xlfn.XLOOKUP(D46,Insumos!B:B,Insumos!C:$C)</f>
        <v>VB</v>
      </c>
      <c r="F46" s="14">
        <v>1</v>
      </c>
      <c r="G46" s="92">
        <f t="array" ref="G46">IF(B46="insumo",_xlfn.XLOOKUP($D46,Insumos!$B$1:$B$996,Insumos!$D$1:$D$996),"")</f>
        <v>215</v>
      </c>
      <c r="H46" s="92">
        <v>215</v>
      </c>
      <c r="I46" s="13">
        <v>0</v>
      </c>
      <c r="J46" s="13">
        <v>0</v>
      </c>
      <c r="K46" s="13"/>
      <c r="L46"/>
      <c r="M46"/>
      <c r="N46"/>
      <c r="O46"/>
      <c r="P46"/>
      <c r="Q46"/>
      <c r="R46"/>
      <c r="S46"/>
      <c r="T46"/>
      <c r="U46"/>
      <c r="V46"/>
      <c r="W46"/>
      <c r="X46"/>
      <c r="Y46"/>
      <c r="Z46"/>
      <c r="AA46"/>
      <c r="AB46"/>
      <c r="AC46"/>
      <c r="AD46"/>
      <c r="AE46"/>
      <c r="AF46"/>
      <c r="AG46"/>
      <c r="AH46"/>
      <c r="AI46"/>
      <c r="AJ46"/>
      <c r="AK46"/>
      <c r="AL46"/>
    </row>
    <row r="47" spans="1:38" ht="15.75" customHeight="1" outlineLevel="3" x14ac:dyDescent="0.2">
      <c r="A47" s="10">
        <v>10</v>
      </c>
      <c r="B47" s="10" t="s">
        <v>71</v>
      </c>
      <c r="C47" s="10" t="s">
        <v>91</v>
      </c>
      <c r="D47" s="10" t="s">
        <v>90</v>
      </c>
      <c r="E47" s="11" t="str">
        <f t="array" ref="E47">_xlfn.XLOOKUP(D47,Insumos!B:B,Insumos!C:$C)</f>
        <v>M2</v>
      </c>
      <c r="F47" s="14">
        <v>1</v>
      </c>
      <c r="G47" s="92">
        <f t="array" ref="G47">IF(B47="insumo",_xlfn.XLOOKUP($D47,Insumos!$B$1:$B$996,Insumos!$D$1:$D$996),"")</f>
        <v>50</v>
      </c>
      <c r="H47" s="92">
        <v>50</v>
      </c>
      <c r="I47" s="13">
        <v>0</v>
      </c>
      <c r="J47" s="13">
        <v>0</v>
      </c>
      <c r="K47" s="13"/>
      <c r="L47"/>
      <c r="M47"/>
      <c r="N47"/>
      <c r="O47"/>
      <c r="P47"/>
      <c r="Q47"/>
      <c r="R47"/>
      <c r="S47"/>
      <c r="T47"/>
      <c r="U47"/>
      <c r="V47"/>
      <c r="W47"/>
      <c r="X47"/>
      <c r="Y47"/>
      <c r="Z47"/>
      <c r="AA47"/>
      <c r="AB47"/>
      <c r="AC47"/>
      <c r="AD47"/>
      <c r="AE47"/>
      <c r="AF47"/>
      <c r="AG47"/>
      <c r="AH47"/>
      <c r="AI47"/>
      <c r="AJ47"/>
      <c r="AK47"/>
      <c r="AL47"/>
    </row>
    <row r="48" spans="1:38" ht="15.75" customHeight="1" outlineLevel="2" x14ac:dyDescent="0.2">
      <c r="A48" s="1067">
        <v>1</v>
      </c>
      <c r="B48" s="1067" t="s">
        <v>68</v>
      </c>
      <c r="C48" s="1067" t="s">
        <v>92</v>
      </c>
      <c r="D48" s="1067" t="s">
        <v>92</v>
      </c>
      <c r="E48" s="1068" t="s">
        <v>70</v>
      </c>
      <c r="F48" s="1067"/>
      <c r="G48" s="1069" t="str">
        <f t="array" ref="G48">IF(B48="insumo",_xlfn.XLOOKUP($D48,Insumos!$B$1:$B$996,Insumos!$D$1:$D$996),"")</f>
        <v/>
      </c>
      <c r="H48" s="1069">
        <v>382.10489000000001</v>
      </c>
      <c r="I48" s="1070">
        <v>0</v>
      </c>
      <c r="J48" s="1070">
        <v>0</v>
      </c>
      <c r="K48" s="1070"/>
      <c r="L48"/>
      <c r="M48"/>
      <c r="N48"/>
      <c r="O48"/>
      <c r="P48"/>
      <c r="Q48"/>
      <c r="R48"/>
      <c r="S48"/>
      <c r="T48"/>
      <c r="U48"/>
      <c r="V48"/>
      <c r="W48"/>
      <c r="X48"/>
      <c r="Y48"/>
      <c r="Z48"/>
      <c r="AA48"/>
      <c r="AB48"/>
      <c r="AC48"/>
      <c r="AD48"/>
      <c r="AE48"/>
      <c r="AF48"/>
      <c r="AG48"/>
      <c r="AH48"/>
      <c r="AI48"/>
      <c r="AJ48"/>
      <c r="AK48"/>
      <c r="AL48"/>
    </row>
    <row r="49" spans="1:38" ht="15.75" customHeight="1" outlineLevel="3" x14ac:dyDescent="0.2">
      <c r="A49" s="10">
        <v>11</v>
      </c>
      <c r="B49" s="10" t="s">
        <v>71</v>
      </c>
      <c r="C49" s="10" t="s">
        <v>92</v>
      </c>
      <c r="D49" s="10" t="s">
        <v>82</v>
      </c>
      <c r="E49" s="11" t="str">
        <f t="array" ref="E49">_xlfn.XLOOKUP(D49,Insumos!B:B,Insumos!C:$C)</f>
        <v>M2</v>
      </c>
      <c r="F49" s="14">
        <v>0.59099999999999997</v>
      </c>
      <c r="G49" s="92">
        <f t="array" ref="G49">IF(B49="insumo",_xlfn.XLOOKUP($D49,Insumos!$B$1:$B$996,Insumos!$D$1:$D$996),"")</f>
        <v>46.5</v>
      </c>
      <c r="H49" s="92">
        <v>27.4815</v>
      </c>
      <c r="I49" s="13">
        <v>0</v>
      </c>
      <c r="J49" s="13">
        <v>0</v>
      </c>
      <c r="K49" s="13"/>
      <c r="L49"/>
      <c r="M49"/>
      <c r="N49"/>
      <c r="O49"/>
      <c r="P49"/>
      <c r="Q49"/>
      <c r="R49"/>
      <c r="S49"/>
      <c r="T49"/>
      <c r="U49"/>
      <c r="V49"/>
      <c r="W49"/>
      <c r="X49"/>
      <c r="Y49"/>
      <c r="Z49"/>
      <c r="AA49"/>
      <c r="AB49"/>
      <c r="AC49"/>
      <c r="AD49"/>
      <c r="AE49"/>
      <c r="AF49"/>
      <c r="AG49"/>
      <c r="AH49"/>
      <c r="AI49"/>
      <c r="AJ49"/>
      <c r="AK49"/>
      <c r="AL49"/>
    </row>
    <row r="50" spans="1:38" ht="15.75" customHeight="1" outlineLevel="3" x14ac:dyDescent="0.2">
      <c r="A50" s="10">
        <v>10</v>
      </c>
      <c r="B50" s="10" t="s">
        <v>71</v>
      </c>
      <c r="C50" s="10" t="s">
        <v>92</v>
      </c>
      <c r="D50" s="10" t="s">
        <v>83</v>
      </c>
      <c r="E50" s="11" t="str">
        <f t="array" ref="E50">_xlfn.XLOOKUP(D50,Insumos!B:B,Insumos!C:$C)</f>
        <v>UN</v>
      </c>
      <c r="F50" s="14">
        <v>0.40400000000000003</v>
      </c>
      <c r="G50" s="92">
        <f t="array" ref="G50">IF(B50="insumo",_xlfn.XLOOKUP($D50,Insumos!$B$1:$B$996,Insumos!$D$1:$D$996),"")</f>
        <v>58.46</v>
      </c>
      <c r="H50" s="92">
        <v>23.617840000000001</v>
      </c>
      <c r="I50" s="13">
        <v>0</v>
      </c>
      <c r="J50" s="13">
        <v>0</v>
      </c>
      <c r="K50" s="13"/>
      <c r="L50"/>
      <c r="M50"/>
      <c r="N50"/>
      <c r="O50"/>
      <c r="P50"/>
      <c r="Q50"/>
      <c r="R50"/>
      <c r="S50"/>
      <c r="T50"/>
      <c r="U50"/>
      <c r="V50"/>
      <c r="W50"/>
      <c r="X50"/>
      <c r="Y50"/>
      <c r="Z50"/>
      <c r="AA50"/>
      <c r="AB50"/>
      <c r="AC50"/>
      <c r="AD50"/>
      <c r="AE50"/>
      <c r="AF50"/>
      <c r="AG50"/>
      <c r="AH50"/>
      <c r="AI50"/>
      <c r="AJ50"/>
      <c r="AK50"/>
      <c r="AL50"/>
    </row>
    <row r="51" spans="1:38" ht="15.75" customHeight="1" outlineLevel="3" x14ac:dyDescent="0.2">
      <c r="A51" s="10">
        <v>25</v>
      </c>
      <c r="B51" s="10" t="s">
        <v>71</v>
      </c>
      <c r="C51" s="10" t="s">
        <v>92</v>
      </c>
      <c r="D51" s="10" t="s">
        <v>84</v>
      </c>
      <c r="E51" s="11" t="str">
        <f t="array" ref="E51">_xlfn.XLOOKUP(D51,Insumos!B:B,Insumos!C:$C)</f>
        <v>M</v>
      </c>
      <c r="F51" s="14">
        <v>4.3899999999999997</v>
      </c>
      <c r="G51" s="92">
        <f t="array" ref="G51">IF(B51="insumo",_xlfn.XLOOKUP($D51,Insumos!$B$1:$B$996,Insumos!$D$1:$D$996),"")</f>
        <v>7</v>
      </c>
      <c r="H51" s="92">
        <v>30.73</v>
      </c>
      <c r="I51" s="13">
        <v>0</v>
      </c>
      <c r="J51" s="13">
        <v>0</v>
      </c>
      <c r="K51" s="13"/>
      <c r="L51"/>
      <c r="M51"/>
      <c r="N51"/>
      <c r="O51"/>
      <c r="P51"/>
      <c r="Q51"/>
      <c r="R51"/>
      <c r="S51"/>
      <c r="T51"/>
      <c r="U51"/>
      <c r="V51"/>
      <c r="W51"/>
      <c r="X51"/>
      <c r="Y51"/>
      <c r="Z51"/>
      <c r="AA51"/>
      <c r="AB51"/>
      <c r="AC51"/>
      <c r="AD51"/>
      <c r="AE51"/>
      <c r="AF51"/>
      <c r="AG51"/>
      <c r="AH51"/>
      <c r="AI51"/>
      <c r="AJ51"/>
      <c r="AK51"/>
      <c r="AL51"/>
    </row>
    <row r="52" spans="1:38" ht="15.75" customHeight="1" outlineLevel="3" x14ac:dyDescent="0.2">
      <c r="A52" s="10">
        <v>11</v>
      </c>
      <c r="B52" s="10" t="s">
        <v>71</v>
      </c>
      <c r="C52" s="10" t="s">
        <v>92</v>
      </c>
      <c r="D52" s="10" t="s">
        <v>85</v>
      </c>
      <c r="E52" s="11" t="str">
        <f t="array" ref="E52">_xlfn.XLOOKUP(D52,Insumos!B:B,Insumos!C:$C)</f>
        <v>M2</v>
      </c>
      <c r="F52" s="14">
        <v>0.15</v>
      </c>
      <c r="G52" s="92">
        <f t="array" ref="G52">IF(B52="insumo",_xlfn.XLOOKUP($D52,Insumos!$B$1:$B$996,Insumos!$D$1:$D$996),"")</f>
        <v>46.5</v>
      </c>
      <c r="H52" s="92">
        <v>6.9749999999999996</v>
      </c>
      <c r="I52" s="13">
        <v>0</v>
      </c>
      <c r="J52" s="13">
        <v>0</v>
      </c>
      <c r="K52" s="13"/>
      <c r="L52"/>
      <c r="M52"/>
      <c r="N52"/>
      <c r="O52"/>
      <c r="P52"/>
      <c r="Q52"/>
      <c r="R52"/>
      <c r="S52"/>
      <c r="T52"/>
      <c r="U52"/>
      <c r="V52"/>
      <c r="W52"/>
      <c r="X52"/>
      <c r="Y52"/>
      <c r="Z52"/>
      <c r="AA52"/>
      <c r="AB52"/>
      <c r="AC52"/>
      <c r="AD52"/>
      <c r="AE52"/>
      <c r="AF52"/>
      <c r="AG52"/>
      <c r="AH52"/>
      <c r="AI52"/>
      <c r="AJ52"/>
      <c r="AK52"/>
      <c r="AL52"/>
    </row>
    <row r="53" spans="1:38" ht="15.75" customHeight="1" outlineLevel="3" x14ac:dyDescent="0.2">
      <c r="A53" s="10">
        <v>10</v>
      </c>
      <c r="B53" s="10" t="s">
        <v>71</v>
      </c>
      <c r="C53" s="10" t="s">
        <v>92</v>
      </c>
      <c r="D53" s="10" t="s">
        <v>86</v>
      </c>
      <c r="E53" s="11" t="str">
        <f t="array" ref="E53">_xlfn.XLOOKUP(D53,Insumos!B:B,Insumos!C:$C)</f>
        <v>M</v>
      </c>
      <c r="F53" s="14">
        <v>1</v>
      </c>
      <c r="G53" s="92">
        <f t="array" ref="G53">IF(B53="insumo",_xlfn.XLOOKUP($D53,Insumos!$B$1:$B$996,Insumos!$D$1:$D$996),"")</f>
        <v>7.3900000000000006</v>
      </c>
      <c r="H53" s="92">
        <v>7.39</v>
      </c>
      <c r="I53" s="13">
        <v>0</v>
      </c>
      <c r="J53" s="13">
        <v>0</v>
      </c>
      <c r="K53" s="13"/>
      <c r="L53"/>
      <c r="M53"/>
      <c r="N53"/>
      <c r="O53"/>
      <c r="P53"/>
      <c r="Q53"/>
      <c r="R53"/>
      <c r="S53"/>
      <c r="T53"/>
      <c r="U53"/>
      <c r="V53"/>
      <c r="W53"/>
      <c r="X53"/>
      <c r="Y53"/>
      <c r="Z53"/>
      <c r="AA53"/>
      <c r="AB53"/>
      <c r="AC53"/>
      <c r="AD53"/>
      <c r="AE53"/>
      <c r="AF53"/>
      <c r="AG53"/>
      <c r="AH53"/>
      <c r="AI53"/>
      <c r="AJ53"/>
      <c r="AK53"/>
      <c r="AL53"/>
    </row>
    <row r="54" spans="1:38" ht="15.75" customHeight="1" outlineLevel="3" x14ac:dyDescent="0.2">
      <c r="A54" s="10">
        <v>40</v>
      </c>
      <c r="B54" s="10" t="s">
        <v>71</v>
      </c>
      <c r="C54" s="10" t="s">
        <v>92</v>
      </c>
      <c r="D54" s="10" t="s">
        <v>87</v>
      </c>
      <c r="E54" s="11" t="str">
        <f t="array" ref="E54">_xlfn.XLOOKUP(D54,Insumos!B:B,Insumos!C:$C)</f>
        <v>KG</v>
      </c>
      <c r="F54" s="14">
        <v>1</v>
      </c>
      <c r="G54" s="92">
        <f t="array" ref="G54">IF(B54="insumo",_xlfn.XLOOKUP($D54,Insumos!$B$1:$B$996,Insumos!$D$1:$D$996),"")</f>
        <v>18.13</v>
      </c>
      <c r="H54" s="92">
        <v>18.13</v>
      </c>
      <c r="I54" s="13">
        <v>0</v>
      </c>
      <c r="J54" s="13">
        <v>0</v>
      </c>
      <c r="K54" s="13"/>
      <c r="L54"/>
      <c r="M54"/>
      <c r="N54"/>
      <c r="O54"/>
      <c r="P54"/>
      <c r="Q54"/>
      <c r="R54"/>
      <c r="S54"/>
      <c r="T54"/>
      <c r="U54"/>
      <c r="V54"/>
      <c r="W54"/>
      <c r="X54"/>
      <c r="Y54"/>
      <c r="Z54"/>
      <c r="AA54"/>
      <c r="AB54"/>
      <c r="AC54"/>
      <c r="AD54"/>
      <c r="AE54"/>
      <c r="AF54"/>
      <c r="AG54"/>
      <c r="AH54"/>
      <c r="AI54"/>
      <c r="AJ54"/>
      <c r="AK54"/>
      <c r="AL54"/>
    </row>
    <row r="55" spans="1:38" ht="15.75" customHeight="1" outlineLevel="3" x14ac:dyDescent="0.2">
      <c r="A55" s="10">
        <v>10</v>
      </c>
      <c r="B55" s="10" t="s">
        <v>71</v>
      </c>
      <c r="C55" s="10" t="s">
        <v>92</v>
      </c>
      <c r="D55" s="10" t="s">
        <v>88</v>
      </c>
      <c r="E55" s="11" t="str">
        <f t="array" ref="E55">_xlfn.XLOOKUP(D55,Insumos!B:B,Insumos!C:$C)</f>
        <v>UN</v>
      </c>
      <c r="F55" s="14">
        <v>1.4999999999999999E-2</v>
      </c>
      <c r="G55" s="92">
        <f t="array" ref="G55">IF(B55="insumo",_xlfn.XLOOKUP($D55,Insumos!$B$1:$B$996,Insumos!$D$1:$D$996),"")</f>
        <v>185.37</v>
      </c>
      <c r="H55" s="92">
        <v>2.7805499999999999</v>
      </c>
      <c r="I55" s="13">
        <v>0</v>
      </c>
      <c r="J55" s="13">
        <v>0</v>
      </c>
      <c r="K55" s="13"/>
      <c r="L55"/>
      <c r="M55"/>
      <c r="N55"/>
      <c r="O55"/>
      <c r="P55"/>
      <c r="Q55"/>
      <c r="R55"/>
      <c r="S55"/>
      <c r="T55"/>
      <c r="U55"/>
      <c r="V55"/>
      <c r="W55"/>
      <c r="X55"/>
      <c r="Y55"/>
      <c r="Z55"/>
      <c r="AA55"/>
      <c r="AB55"/>
      <c r="AC55"/>
      <c r="AD55"/>
      <c r="AE55"/>
      <c r="AF55"/>
      <c r="AG55"/>
      <c r="AH55"/>
      <c r="AI55"/>
      <c r="AJ55"/>
      <c r="AK55"/>
      <c r="AL55"/>
    </row>
    <row r="56" spans="1:38" ht="15.75" customHeight="1" outlineLevel="3" x14ac:dyDescent="0.2">
      <c r="A56" s="10">
        <v>10</v>
      </c>
      <c r="B56" s="10" t="s">
        <v>71</v>
      </c>
      <c r="C56" s="10" t="s">
        <v>92</v>
      </c>
      <c r="D56" s="10" t="s">
        <v>89</v>
      </c>
      <c r="E56" s="11" t="str">
        <f t="array" ref="E56">_xlfn.XLOOKUP(D56,Insumos!B:B,Insumos!C:$C)</f>
        <v>VB</v>
      </c>
      <c r="F56" s="14">
        <v>1</v>
      </c>
      <c r="G56" s="92">
        <f t="array" ref="G56">IF(B56="insumo",_xlfn.XLOOKUP($D56,Insumos!$B$1:$B$996,Insumos!$D$1:$D$996),"")</f>
        <v>215</v>
      </c>
      <c r="H56" s="92">
        <v>215</v>
      </c>
      <c r="I56" s="13">
        <v>0</v>
      </c>
      <c r="J56" s="13">
        <v>0</v>
      </c>
      <c r="K56" s="13"/>
      <c r="L56"/>
      <c r="M56"/>
      <c r="N56"/>
      <c r="O56"/>
      <c r="P56"/>
      <c r="Q56"/>
      <c r="R56"/>
      <c r="S56"/>
      <c r="T56"/>
      <c r="U56"/>
      <c r="V56"/>
      <c r="W56"/>
      <c r="X56"/>
      <c r="Y56"/>
      <c r="Z56"/>
      <c r="AA56"/>
      <c r="AB56"/>
      <c r="AC56"/>
      <c r="AD56"/>
      <c r="AE56"/>
      <c r="AF56"/>
      <c r="AG56"/>
      <c r="AH56"/>
      <c r="AI56"/>
      <c r="AJ56"/>
      <c r="AK56"/>
      <c r="AL56"/>
    </row>
    <row r="57" spans="1:38" ht="15.75" customHeight="1" outlineLevel="3" x14ac:dyDescent="0.2">
      <c r="A57" s="10">
        <v>10</v>
      </c>
      <c r="B57" s="10" t="s">
        <v>71</v>
      </c>
      <c r="C57" s="10" t="s">
        <v>92</v>
      </c>
      <c r="D57" s="10" t="s">
        <v>90</v>
      </c>
      <c r="E57" s="11" t="str">
        <f t="array" ref="E57">_xlfn.XLOOKUP(D57,Insumos!B:B,Insumos!C:$C)</f>
        <v>M2</v>
      </c>
      <c r="F57" s="14">
        <v>1</v>
      </c>
      <c r="G57" s="92">
        <f t="array" ref="G57">IF(B57="insumo",_xlfn.XLOOKUP($D57,Insumos!$B$1:$B$996,Insumos!$D$1:$D$996),"")</f>
        <v>50</v>
      </c>
      <c r="H57" s="92">
        <v>50</v>
      </c>
      <c r="I57" s="13">
        <v>0</v>
      </c>
      <c r="J57" s="13">
        <v>0</v>
      </c>
      <c r="K57" s="13"/>
      <c r="L57"/>
      <c r="M57"/>
      <c r="N57"/>
      <c r="O57"/>
      <c r="P57"/>
      <c r="Q57"/>
      <c r="R57"/>
      <c r="S57"/>
      <c r="T57"/>
      <c r="U57"/>
      <c r="V57"/>
      <c r="W57"/>
      <c r="X57"/>
      <c r="Y57"/>
      <c r="Z57"/>
      <c r="AA57"/>
      <c r="AB57"/>
      <c r="AC57"/>
      <c r="AD57"/>
      <c r="AE57"/>
      <c r="AF57"/>
      <c r="AG57"/>
      <c r="AH57"/>
      <c r="AI57"/>
      <c r="AJ57"/>
      <c r="AK57"/>
      <c r="AL57"/>
    </row>
    <row r="58" spans="1:38" ht="15.75" customHeight="1" outlineLevel="2" x14ac:dyDescent="0.2">
      <c r="A58" s="1067">
        <v>1</v>
      </c>
      <c r="B58" s="1067" t="s">
        <v>68</v>
      </c>
      <c r="C58" s="1067" t="s">
        <v>93</v>
      </c>
      <c r="D58" s="1067" t="s">
        <v>93</v>
      </c>
      <c r="E58" s="1068" t="s">
        <v>70</v>
      </c>
      <c r="F58" s="1067"/>
      <c r="G58" s="1069" t="str">
        <f t="array" ref="G58">IF(B58="insumo",_xlfn.XLOOKUP($D58,Insumos!$B$1:$B$996,Insumos!$D$1:$D$996),"")</f>
        <v/>
      </c>
      <c r="H58" s="1069">
        <v>382.10489000000001</v>
      </c>
      <c r="I58" s="1070">
        <v>0</v>
      </c>
      <c r="J58" s="1070">
        <v>0</v>
      </c>
      <c r="K58" s="1070"/>
      <c r="L58"/>
      <c r="M58"/>
      <c r="N58"/>
      <c r="O58"/>
      <c r="P58"/>
      <c r="Q58"/>
      <c r="R58"/>
      <c r="S58"/>
      <c r="T58"/>
      <c r="U58"/>
      <c r="V58"/>
      <c r="W58"/>
      <c r="X58"/>
      <c r="Y58"/>
      <c r="Z58"/>
      <c r="AA58"/>
      <c r="AB58"/>
      <c r="AC58"/>
      <c r="AD58"/>
      <c r="AE58"/>
      <c r="AF58"/>
      <c r="AG58"/>
      <c r="AH58"/>
      <c r="AI58"/>
      <c r="AJ58"/>
      <c r="AK58"/>
      <c r="AL58"/>
    </row>
    <row r="59" spans="1:38" ht="15.75" customHeight="1" outlineLevel="3" x14ac:dyDescent="0.2">
      <c r="A59" s="10">
        <v>11</v>
      </c>
      <c r="B59" s="10" t="s">
        <v>71</v>
      </c>
      <c r="C59" s="10" t="s">
        <v>93</v>
      </c>
      <c r="D59" s="10" t="s">
        <v>82</v>
      </c>
      <c r="E59" s="11" t="str">
        <f t="array" ref="E59">_xlfn.XLOOKUP(D59,Insumos!B:B,Insumos!C:$C)</f>
        <v>M2</v>
      </c>
      <c r="F59" s="14">
        <v>0.59099999999999997</v>
      </c>
      <c r="G59" s="92">
        <f t="array" ref="G59">IF(B59="insumo",_xlfn.XLOOKUP($D59,Insumos!$B$1:$B$996,Insumos!$D$1:$D$996),"")</f>
        <v>46.5</v>
      </c>
      <c r="H59" s="92">
        <v>27.4815</v>
      </c>
      <c r="I59" s="13">
        <v>0</v>
      </c>
      <c r="J59" s="13">
        <v>0</v>
      </c>
      <c r="K59" s="13"/>
      <c r="L59"/>
      <c r="M59"/>
      <c r="N59"/>
      <c r="O59"/>
      <c r="P59"/>
      <c r="Q59"/>
      <c r="R59"/>
      <c r="S59"/>
      <c r="T59"/>
      <c r="U59"/>
      <c r="V59"/>
      <c r="W59"/>
      <c r="X59"/>
      <c r="Y59"/>
      <c r="Z59"/>
      <c r="AA59"/>
      <c r="AB59"/>
      <c r="AC59"/>
      <c r="AD59"/>
      <c r="AE59"/>
      <c r="AF59"/>
      <c r="AG59"/>
      <c r="AH59"/>
      <c r="AI59"/>
      <c r="AJ59"/>
      <c r="AK59"/>
      <c r="AL59"/>
    </row>
    <row r="60" spans="1:38" ht="15.75" customHeight="1" outlineLevel="3" x14ac:dyDescent="0.2">
      <c r="A60" s="10">
        <v>10</v>
      </c>
      <c r="B60" s="10" t="s">
        <v>71</v>
      </c>
      <c r="C60" s="10" t="s">
        <v>93</v>
      </c>
      <c r="D60" s="10" t="s">
        <v>83</v>
      </c>
      <c r="E60" s="11" t="str">
        <f t="array" ref="E60">_xlfn.XLOOKUP(D60,Insumos!B:B,Insumos!C:$C)</f>
        <v>UN</v>
      </c>
      <c r="F60" s="14">
        <v>0.40400000000000003</v>
      </c>
      <c r="G60" s="92">
        <f t="array" ref="G60">IF(B60="insumo",_xlfn.XLOOKUP($D60,Insumos!$B$1:$B$996,Insumos!$D$1:$D$996),"")</f>
        <v>58.46</v>
      </c>
      <c r="H60" s="92">
        <v>23.617840000000001</v>
      </c>
      <c r="I60" s="13">
        <v>0</v>
      </c>
      <c r="J60" s="13">
        <v>0</v>
      </c>
      <c r="K60" s="13"/>
      <c r="L60"/>
      <c r="M60"/>
      <c r="N60"/>
      <c r="O60"/>
      <c r="P60"/>
      <c r="Q60"/>
      <c r="R60"/>
      <c r="S60"/>
      <c r="T60"/>
      <c r="U60"/>
      <c r="V60"/>
      <c r="W60"/>
      <c r="X60"/>
      <c r="Y60"/>
      <c r="Z60"/>
      <c r="AA60"/>
      <c r="AB60"/>
      <c r="AC60"/>
      <c r="AD60"/>
      <c r="AE60"/>
      <c r="AF60"/>
      <c r="AG60"/>
      <c r="AH60"/>
      <c r="AI60"/>
      <c r="AJ60"/>
      <c r="AK60"/>
      <c r="AL60"/>
    </row>
    <row r="61" spans="1:38" ht="15.75" customHeight="1" outlineLevel="3" x14ac:dyDescent="0.2">
      <c r="A61" s="10">
        <v>25</v>
      </c>
      <c r="B61" s="10" t="s">
        <v>71</v>
      </c>
      <c r="C61" s="10" t="s">
        <v>93</v>
      </c>
      <c r="D61" s="10" t="s">
        <v>84</v>
      </c>
      <c r="E61" s="11" t="str">
        <f t="array" ref="E61">_xlfn.XLOOKUP(D61,Insumos!B:B,Insumos!C:$C)</f>
        <v>M</v>
      </c>
      <c r="F61" s="14">
        <v>4.3899999999999997</v>
      </c>
      <c r="G61" s="92">
        <f t="array" ref="G61">IF(B61="insumo",_xlfn.XLOOKUP($D61,Insumos!$B$1:$B$996,Insumos!$D$1:$D$996),"")</f>
        <v>7</v>
      </c>
      <c r="H61" s="92">
        <v>30.73</v>
      </c>
      <c r="I61" s="13">
        <v>0</v>
      </c>
      <c r="J61" s="13">
        <v>0</v>
      </c>
      <c r="K61" s="13"/>
      <c r="L61"/>
      <c r="M61"/>
      <c r="N61"/>
      <c r="O61"/>
      <c r="P61"/>
      <c r="Q61"/>
      <c r="R61"/>
      <c r="S61"/>
      <c r="T61"/>
      <c r="U61"/>
      <c r="V61"/>
      <c r="W61"/>
      <c r="X61"/>
      <c r="Y61"/>
      <c r="Z61"/>
      <c r="AA61"/>
      <c r="AB61"/>
      <c r="AC61"/>
      <c r="AD61"/>
      <c r="AE61"/>
      <c r="AF61"/>
      <c r="AG61"/>
      <c r="AH61"/>
      <c r="AI61"/>
      <c r="AJ61"/>
      <c r="AK61"/>
      <c r="AL61"/>
    </row>
    <row r="62" spans="1:38" ht="15.75" customHeight="1" outlineLevel="3" x14ac:dyDescent="0.2">
      <c r="A62" s="10">
        <v>11</v>
      </c>
      <c r="B62" s="10" t="s">
        <v>71</v>
      </c>
      <c r="C62" s="10" t="s">
        <v>93</v>
      </c>
      <c r="D62" s="10" t="s">
        <v>85</v>
      </c>
      <c r="E62" s="11" t="str">
        <f t="array" ref="E62">_xlfn.XLOOKUP(D62,Insumos!B:B,Insumos!C:$C)</f>
        <v>M2</v>
      </c>
      <c r="F62" s="14">
        <v>0.15</v>
      </c>
      <c r="G62" s="92">
        <f t="array" ref="G62">IF(B62="insumo",_xlfn.XLOOKUP($D62,Insumos!$B$1:$B$996,Insumos!$D$1:$D$996),"")</f>
        <v>46.5</v>
      </c>
      <c r="H62" s="92">
        <v>6.9749999999999996</v>
      </c>
      <c r="I62" s="13">
        <v>0</v>
      </c>
      <c r="J62" s="13">
        <v>0</v>
      </c>
      <c r="K62" s="13"/>
      <c r="L62"/>
      <c r="M62"/>
      <c r="N62"/>
      <c r="O62"/>
      <c r="P62"/>
      <c r="Q62"/>
      <c r="R62"/>
      <c r="S62"/>
      <c r="T62"/>
      <c r="U62"/>
      <c r="V62"/>
      <c r="W62"/>
      <c r="X62"/>
      <c r="Y62"/>
      <c r="Z62"/>
      <c r="AA62"/>
      <c r="AB62"/>
      <c r="AC62"/>
      <c r="AD62"/>
      <c r="AE62"/>
      <c r="AF62"/>
      <c r="AG62"/>
      <c r="AH62"/>
      <c r="AI62"/>
      <c r="AJ62"/>
      <c r="AK62"/>
      <c r="AL62"/>
    </row>
    <row r="63" spans="1:38" ht="15.75" customHeight="1" outlineLevel="3" x14ac:dyDescent="0.2">
      <c r="A63" s="10">
        <v>10</v>
      </c>
      <c r="B63" s="10" t="s">
        <v>71</v>
      </c>
      <c r="C63" s="10" t="s">
        <v>93</v>
      </c>
      <c r="D63" s="10" t="s">
        <v>86</v>
      </c>
      <c r="E63" s="11" t="str">
        <f t="array" ref="E63">_xlfn.XLOOKUP(D63,Insumos!B:B,Insumos!C:$C)</f>
        <v>M</v>
      </c>
      <c r="F63" s="14">
        <v>1</v>
      </c>
      <c r="G63" s="92">
        <f t="array" ref="G63">IF(B63="insumo",_xlfn.XLOOKUP($D63,Insumos!$B$1:$B$996,Insumos!$D$1:$D$996),"")</f>
        <v>7.3900000000000006</v>
      </c>
      <c r="H63" s="92">
        <v>7.39</v>
      </c>
      <c r="I63" s="13">
        <v>0</v>
      </c>
      <c r="J63" s="13">
        <v>0</v>
      </c>
      <c r="K63" s="13"/>
      <c r="L63"/>
      <c r="M63"/>
      <c r="N63"/>
      <c r="O63"/>
      <c r="P63"/>
      <c r="Q63"/>
      <c r="R63"/>
      <c r="S63"/>
      <c r="T63"/>
      <c r="U63"/>
      <c r="V63"/>
      <c r="W63"/>
      <c r="X63"/>
      <c r="Y63"/>
      <c r="Z63"/>
      <c r="AA63"/>
      <c r="AB63"/>
      <c r="AC63"/>
      <c r="AD63"/>
      <c r="AE63"/>
      <c r="AF63"/>
      <c r="AG63"/>
      <c r="AH63"/>
      <c r="AI63"/>
      <c r="AJ63"/>
      <c r="AK63"/>
      <c r="AL63"/>
    </row>
    <row r="64" spans="1:38" ht="15.75" customHeight="1" outlineLevel="3" x14ac:dyDescent="0.2">
      <c r="A64" s="10">
        <v>40</v>
      </c>
      <c r="B64" s="10" t="s">
        <v>71</v>
      </c>
      <c r="C64" s="10" t="s">
        <v>93</v>
      </c>
      <c r="D64" s="10" t="s">
        <v>87</v>
      </c>
      <c r="E64" s="11" t="str">
        <f t="array" ref="E64">_xlfn.XLOOKUP(D64,Insumos!B:B,Insumos!C:$C)</f>
        <v>KG</v>
      </c>
      <c r="F64" s="14">
        <v>1</v>
      </c>
      <c r="G64" s="92">
        <f t="array" ref="G64">IF(B64="insumo",_xlfn.XLOOKUP($D64,Insumos!$B$1:$B$996,Insumos!$D$1:$D$996),"")</f>
        <v>18.13</v>
      </c>
      <c r="H64" s="92">
        <v>18.13</v>
      </c>
      <c r="I64" s="13">
        <v>0</v>
      </c>
      <c r="J64" s="13">
        <v>0</v>
      </c>
      <c r="K64" s="13"/>
      <c r="L64"/>
      <c r="M64"/>
      <c r="N64"/>
      <c r="O64"/>
      <c r="P64"/>
      <c r="Q64"/>
      <c r="R64"/>
      <c r="S64"/>
      <c r="T64"/>
      <c r="U64"/>
      <c r="V64"/>
      <c r="W64"/>
      <c r="X64"/>
      <c r="Y64"/>
      <c r="Z64"/>
      <c r="AA64"/>
      <c r="AB64"/>
      <c r="AC64"/>
      <c r="AD64"/>
      <c r="AE64"/>
      <c r="AF64"/>
      <c r="AG64"/>
      <c r="AH64"/>
      <c r="AI64"/>
      <c r="AJ64"/>
      <c r="AK64"/>
      <c r="AL64"/>
    </row>
    <row r="65" spans="1:38" ht="15.75" customHeight="1" outlineLevel="3" x14ac:dyDescent="0.2">
      <c r="A65" s="10">
        <v>10</v>
      </c>
      <c r="B65" s="10" t="s">
        <v>71</v>
      </c>
      <c r="C65" s="10" t="s">
        <v>93</v>
      </c>
      <c r="D65" s="10" t="s">
        <v>88</v>
      </c>
      <c r="E65" s="11" t="str">
        <f t="array" ref="E65">_xlfn.XLOOKUP(D65,Insumos!B:B,Insumos!C:$C)</f>
        <v>UN</v>
      </c>
      <c r="F65" s="14">
        <v>1.4999999999999999E-2</v>
      </c>
      <c r="G65" s="92">
        <f t="array" ref="G65">IF(B65="insumo",_xlfn.XLOOKUP($D65,Insumos!$B$1:$B$996,Insumos!$D$1:$D$996),"")</f>
        <v>185.37</v>
      </c>
      <c r="H65" s="92">
        <v>2.7805499999999999</v>
      </c>
      <c r="I65" s="13">
        <v>0</v>
      </c>
      <c r="J65" s="13">
        <v>0</v>
      </c>
      <c r="K65" s="13"/>
      <c r="L65"/>
      <c r="M65"/>
      <c r="N65"/>
      <c r="O65"/>
      <c r="P65"/>
      <c r="Q65"/>
      <c r="R65"/>
      <c r="S65"/>
      <c r="T65"/>
      <c r="U65"/>
      <c r="V65"/>
      <c r="W65"/>
      <c r="X65"/>
      <c r="Y65"/>
      <c r="Z65"/>
      <c r="AA65"/>
      <c r="AB65"/>
      <c r="AC65"/>
      <c r="AD65"/>
      <c r="AE65"/>
      <c r="AF65"/>
      <c r="AG65"/>
      <c r="AH65"/>
      <c r="AI65"/>
      <c r="AJ65"/>
      <c r="AK65"/>
      <c r="AL65"/>
    </row>
    <row r="66" spans="1:38" ht="15.75" customHeight="1" outlineLevel="3" x14ac:dyDescent="0.2">
      <c r="A66" s="10">
        <v>10</v>
      </c>
      <c r="B66" s="10" t="s">
        <v>71</v>
      </c>
      <c r="C66" s="10" t="s">
        <v>93</v>
      </c>
      <c r="D66" s="10" t="s">
        <v>89</v>
      </c>
      <c r="E66" s="11" t="str">
        <f t="array" ref="E66">_xlfn.XLOOKUP(D66,Insumos!B:B,Insumos!C:$C)</f>
        <v>VB</v>
      </c>
      <c r="F66" s="14">
        <v>1</v>
      </c>
      <c r="G66" s="92">
        <f t="array" ref="G66">IF(B66="insumo",_xlfn.XLOOKUP($D66,Insumos!$B$1:$B$996,Insumos!$D$1:$D$996),"")</f>
        <v>215</v>
      </c>
      <c r="H66" s="92">
        <v>215</v>
      </c>
      <c r="I66" s="13">
        <v>0</v>
      </c>
      <c r="J66" s="13">
        <v>0</v>
      </c>
      <c r="K66" s="13"/>
      <c r="L66"/>
      <c r="M66"/>
      <c r="N66"/>
      <c r="O66"/>
      <c r="P66"/>
      <c r="Q66"/>
      <c r="R66"/>
      <c r="S66"/>
      <c r="T66"/>
      <c r="U66"/>
      <c r="V66"/>
      <c r="W66"/>
      <c r="X66"/>
      <c r="Y66"/>
      <c r="Z66"/>
      <c r="AA66"/>
      <c r="AB66"/>
      <c r="AC66"/>
      <c r="AD66"/>
      <c r="AE66"/>
      <c r="AF66"/>
      <c r="AG66"/>
      <c r="AH66"/>
      <c r="AI66"/>
      <c r="AJ66"/>
      <c r="AK66"/>
      <c r="AL66"/>
    </row>
    <row r="67" spans="1:38" ht="15.75" customHeight="1" outlineLevel="3" x14ac:dyDescent="0.2">
      <c r="A67" s="10">
        <v>10</v>
      </c>
      <c r="B67" s="10" t="s">
        <v>71</v>
      </c>
      <c r="C67" s="10" t="s">
        <v>93</v>
      </c>
      <c r="D67" s="10" t="s">
        <v>90</v>
      </c>
      <c r="E67" s="11" t="str">
        <f t="array" ref="E67">_xlfn.XLOOKUP(D67,Insumos!B:B,Insumos!C:$C)</f>
        <v>M2</v>
      </c>
      <c r="F67" s="14">
        <v>1</v>
      </c>
      <c r="G67" s="92">
        <f t="array" ref="G67">IF(B67="insumo",_xlfn.XLOOKUP($D67,Insumos!$B$1:$B$996,Insumos!$D$1:$D$996),"")</f>
        <v>50</v>
      </c>
      <c r="H67" s="92">
        <v>50</v>
      </c>
      <c r="I67" s="13">
        <v>0</v>
      </c>
      <c r="J67" s="13">
        <v>0</v>
      </c>
      <c r="K67" s="13"/>
      <c r="L67"/>
      <c r="M67"/>
      <c r="N67"/>
      <c r="O67"/>
      <c r="P67"/>
      <c r="Q67"/>
      <c r="R67"/>
      <c r="S67"/>
      <c r="T67"/>
      <c r="U67"/>
      <c r="V67"/>
      <c r="W67"/>
      <c r="X67"/>
      <c r="Y67"/>
      <c r="Z67"/>
      <c r="AA67"/>
      <c r="AB67"/>
      <c r="AC67"/>
      <c r="AD67"/>
      <c r="AE67"/>
      <c r="AF67"/>
      <c r="AG67"/>
      <c r="AH67"/>
      <c r="AI67"/>
      <c r="AJ67"/>
      <c r="AK67"/>
      <c r="AL67"/>
    </row>
    <row r="68" spans="1:38" ht="15.75" customHeight="1" outlineLevel="2" x14ac:dyDescent="0.2">
      <c r="A68" s="1067">
        <v>1</v>
      </c>
      <c r="B68" s="1067" t="s">
        <v>68</v>
      </c>
      <c r="C68" s="1067" t="s">
        <v>94</v>
      </c>
      <c r="D68" s="1067" t="s">
        <v>94</v>
      </c>
      <c r="E68" s="1068" t="s">
        <v>70</v>
      </c>
      <c r="F68" s="1067"/>
      <c r="G68" s="1069" t="str">
        <f t="array" ref="G68">IF(B68="insumo",_xlfn.XLOOKUP($D68,Insumos!$B$1:$B$996,Insumos!$D$1:$D$996),"")</f>
        <v/>
      </c>
      <c r="H68" s="1069">
        <v>382.10489000000001</v>
      </c>
      <c r="I68" s="1070">
        <v>0</v>
      </c>
      <c r="J68" s="1070">
        <v>0</v>
      </c>
      <c r="K68" s="1070"/>
      <c r="L68"/>
      <c r="M68"/>
      <c r="N68"/>
      <c r="O68"/>
      <c r="P68"/>
      <c r="Q68"/>
      <c r="R68"/>
      <c r="S68"/>
      <c r="T68"/>
      <c r="U68"/>
      <c r="V68"/>
      <c r="W68"/>
      <c r="X68"/>
      <c r="Y68"/>
      <c r="Z68"/>
      <c r="AA68"/>
      <c r="AB68"/>
      <c r="AC68"/>
      <c r="AD68"/>
      <c r="AE68"/>
      <c r="AF68"/>
      <c r="AG68"/>
      <c r="AH68"/>
      <c r="AI68"/>
      <c r="AJ68"/>
      <c r="AK68"/>
      <c r="AL68"/>
    </row>
    <row r="69" spans="1:38" ht="15.75" customHeight="1" outlineLevel="3" x14ac:dyDescent="0.2">
      <c r="A69" s="10">
        <v>11</v>
      </c>
      <c r="B69" s="10" t="s">
        <v>71</v>
      </c>
      <c r="C69" s="10" t="s">
        <v>94</v>
      </c>
      <c r="D69" s="10" t="s">
        <v>82</v>
      </c>
      <c r="E69" s="11" t="str">
        <f t="array" ref="E69">_xlfn.XLOOKUP(D69,Insumos!B:B,Insumos!C:$C)</f>
        <v>M2</v>
      </c>
      <c r="F69" s="14">
        <v>0.59099999999999997</v>
      </c>
      <c r="G69" s="92">
        <f t="array" ref="G69">IF(B69="insumo",_xlfn.XLOOKUP($D69,Insumos!$B$1:$B$996,Insumos!$D$1:$D$996),"")</f>
        <v>46.5</v>
      </c>
      <c r="H69" s="92">
        <v>27.4815</v>
      </c>
      <c r="I69" s="13">
        <v>0</v>
      </c>
      <c r="J69" s="13">
        <v>0</v>
      </c>
      <c r="K69" s="13"/>
      <c r="L69"/>
      <c r="M69"/>
      <c r="N69"/>
      <c r="O69"/>
      <c r="P69"/>
      <c r="Q69"/>
      <c r="R69"/>
      <c r="S69"/>
      <c r="T69"/>
      <c r="U69"/>
      <c r="V69"/>
      <c r="W69"/>
      <c r="X69"/>
      <c r="Y69"/>
      <c r="Z69"/>
      <c r="AA69"/>
      <c r="AB69"/>
      <c r="AC69"/>
      <c r="AD69"/>
      <c r="AE69"/>
      <c r="AF69"/>
      <c r="AG69"/>
      <c r="AH69"/>
      <c r="AI69"/>
      <c r="AJ69"/>
      <c r="AK69"/>
      <c r="AL69"/>
    </row>
    <row r="70" spans="1:38" ht="15.75" customHeight="1" outlineLevel="3" x14ac:dyDescent="0.2">
      <c r="A70" s="10">
        <v>10</v>
      </c>
      <c r="B70" s="10" t="s">
        <v>71</v>
      </c>
      <c r="C70" s="10" t="s">
        <v>94</v>
      </c>
      <c r="D70" s="10" t="s">
        <v>83</v>
      </c>
      <c r="E70" s="11" t="str">
        <f t="array" ref="E70">_xlfn.XLOOKUP(D70,Insumos!B:B,Insumos!C:$C)</f>
        <v>UN</v>
      </c>
      <c r="F70" s="14">
        <v>0.40400000000000003</v>
      </c>
      <c r="G70" s="92">
        <f t="array" ref="G70">IF(B70="insumo",_xlfn.XLOOKUP($D70,Insumos!$B$1:$B$996,Insumos!$D$1:$D$996),"")</f>
        <v>58.46</v>
      </c>
      <c r="H70" s="92">
        <v>23.617840000000001</v>
      </c>
      <c r="I70" s="13">
        <v>0</v>
      </c>
      <c r="J70" s="13">
        <v>0</v>
      </c>
      <c r="K70" s="13"/>
      <c r="L70"/>
      <c r="M70"/>
      <c r="N70"/>
      <c r="O70"/>
      <c r="P70"/>
      <c r="Q70"/>
      <c r="R70"/>
      <c r="S70"/>
      <c r="T70"/>
      <c r="U70"/>
      <c r="V70"/>
      <c r="W70"/>
      <c r="X70"/>
      <c r="Y70"/>
      <c r="Z70"/>
      <c r="AA70"/>
      <c r="AB70"/>
      <c r="AC70"/>
      <c r="AD70"/>
      <c r="AE70"/>
      <c r="AF70"/>
      <c r="AG70"/>
      <c r="AH70"/>
      <c r="AI70"/>
      <c r="AJ70"/>
      <c r="AK70"/>
      <c r="AL70"/>
    </row>
    <row r="71" spans="1:38" ht="15.75" customHeight="1" outlineLevel="3" x14ac:dyDescent="0.2">
      <c r="A71" s="10">
        <v>25</v>
      </c>
      <c r="B71" s="10" t="s">
        <v>71</v>
      </c>
      <c r="C71" s="10" t="s">
        <v>94</v>
      </c>
      <c r="D71" s="10" t="s">
        <v>84</v>
      </c>
      <c r="E71" s="11" t="str">
        <f t="array" ref="E71">_xlfn.XLOOKUP(D71,Insumos!B:B,Insumos!C:$C)</f>
        <v>M</v>
      </c>
      <c r="F71" s="14">
        <v>4.3899999999999997</v>
      </c>
      <c r="G71" s="92">
        <f t="array" ref="G71">IF(B71="insumo",_xlfn.XLOOKUP($D71,Insumos!$B$1:$B$996,Insumos!$D$1:$D$996),"")</f>
        <v>7</v>
      </c>
      <c r="H71" s="92">
        <v>30.73</v>
      </c>
      <c r="I71" s="13">
        <v>0</v>
      </c>
      <c r="J71" s="13">
        <v>0</v>
      </c>
      <c r="K71" s="13"/>
      <c r="L71"/>
      <c r="M71"/>
      <c r="N71"/>
      <c r="O71"/>
      <c r="P71"/>
      <c r="Q71"/>
      <c r="R71"/>
      <c r="S71"/>
      <c r="T71"/>
      <c r="U71"/>
      <c r="V71"/>
      <c r="W71"/>
      <c r="X71"/>
      <c r="Y71"/>
      <c r="Z71"/>
      <c r="AA71"/>
      <c r="AB71"/>
      <c r="AC71"/>
      <c r="AD71"/>
      <c r="AE71"/>
      <c r="AF71"/>
      <c r="AG71"/>
      <c r="AH71"/>
      <c r="AI71"/>
      <c r="AJ71"/>
      <c r="AK71"/>
      <c r="AL71"/>
    </row>
    <row r="72" spans="1:38" ht="15.75" customHeight="1" outlineLevel="3" x14ac:dyDescent="0.2">
      <c r="A72" s="10">
        <v>11</v>
      </c>
      <c r="B72" s="10" t="s">
        <v>71</v>
      </c>
      <c r="C72" s="10" t="s">
        <v>94</v>
      </c>
      <c r="D72" s="10" t="s">
        <v>85</v>
      </c>
      <c r="E72" s="11" t="str">
        <f t="array" ref="E72">_xlfn.XLOOKUP(D72,Insumos!B:B,Insumos!C:$C)</f>
        <v>M2</v>
      </c>
      <c r="F72" s="14">
        <v>0.15</v>
      </c>
      <c r="G72" s="92">
        <f t="array" ref="G72">IF(B72="insumo",_xlfn.XLOOKUP($D72,Insumos!$B$1:$B$996,Insumos!$D$1:$D$996),"")</f>
        <v>46.5</v>
      </c>
      <c r="H72" s="92">
        <v>6.9749999999999996</v>
      </c>
      <c r="I72" s="13">
        <v>0</v>
      </c>
      <c r="J72" s="13">
        <v>0</v>
      </c>
      <c r="K72" s="13"/>
      <c r="L72"/>
      <c r="M72"/>
      <c r="N72"/>
      <c r="O72"/>
      <c r="P72"/>
      <c r="Q72"/>
      <c r="R72"/>
      <c r="S72"/>
      <c r="T72"/>
      <c r="U72"/>
      <c r="V72"/>
      <c r="W72"/>
      <c r="X72"/>
      <c r="Y72"/>
      <c r="Z72"/>
      <c r="AA72"/>
      <c r="AB72"/>
      <c r="AC72"/>
      <c r="AD72"/>
      <c r="AE72"/>
      <c r="AF72"/>
      <c r="AG72"/>
      <c r="AH72"/>
      <c r="AI72"/>
      <c r="AJ72"/>
      <c r="AK72"/>
      <c r="AL72"/>
    </row>
    <row r="73" spans="1:38" ht="15.75" customHeight="1" outlineLevel="3" x14ac:dyDescent="0.2">
      <c r="A73" s="10">
        <v>10</v>
      </c>
      <c r="B73" s="10" t="s">
        <v>71</v>
      </c>
      <c r="C73" s="10" t="s">
        <v>94</v>
      </c>
      <c r="D73" s="10" t="s">
        <v>86</v>
      </c>
      <c r="E73" s="11" t="str">
        <f t="array" ref="E73">_xlfn.XLOOKUP(D73,Insumos!B:B,Insumos!C:$C)</f>
        <v>M</v>
      </c>
      <c r="F73" s="14">
        <v>1</v>
      </c>
      <c r="G73" s="92">
        <f t="array" ref="G73">IF(B73="insumo",_xlfn.XLOOKUP($D73,Insumos!$B$1:$B$996,Insumos!$D$1:$D$996),"")</f>
        <v>7.3900000000000006</v>
      </c>
      <c r="H73" s="92">
        <v>7.39</v>
      </c>
      <c r="I73" s="13">
        <v>0</v>
      </c>
      <c r="J73" s="13">
        <v>0</v>
      </c>
      <c r="K73" s="13"/>
      <c r="L73"/>
      <c r="M73"/>
      <c r="N73"/>
      <c r="O73"/>
      <c r="P73"/>
      <c r="Q73"/>
      <c r="R73"/>
      <c r="S73"/>
      <c r="T73"/>
      <c r="U73"/>
      <c r="V73"/>
      <c r="W73"/>
      <c r="X73"/>
      <c r="Y73"/>
      <c r="Z73"/>
      <c r="AA73"/>
      <c r="AB73"/>
      <c r="AC73"/>
      <c r="AD73"/>
      <c r="AE73"/>
      <c r="AF73"/>
      <c r="AG73"/>
      <c r="AH73"/>
      <c r="AI73"/>
      <c r="AJ73"/>
      <c r="AK73"/>
      <c r="AL73"/>
    </row>
    <row r="74" spans="1:38" ht="15.75" customHeight="1" outlineLevel="3" x14ac:dyDescent="0.2">
      <c r="A74" s="10">
        <v>40</v>
      </c>
      <c r="B74" s="10" t="s">
        <v>71</v>
      </c>
      <c r="C74" s="10" t="s">
        <v>94</v>
      </c>
      <c r="D74" s="10" t="s">
        <v>87</v>
      </c>
      <c r="E74" s="11" t="str">
        <f t="array" ref="E74">_xlfn.XLOOKUP(D74,Insumos!B:B,Insumos!C:$C)</f>
        <v>KG</v>
      </c>
      <c r="F74" s="14">
        <v>1</v>
      </c>
      <c r="G74" s="92">
        <f t="array" ref="G74">IF(B74="insumo",_xlfn.XLOOKUP($D74,Insumos!$B$1:$B$996,Insumos!$D$1:$D$996),"")</f>
        <v>18.13</v>
      </c>
      <c r="H74" s="92">
        <v>18.13</v>
      </c>
      <c r="I74" s="13">
        <v>0</v>
      </c>
      <c r="J74" s="13">
        <v>0</v>
      </c>
      <c r="K74" s="13"/>
      <c r="L74"/>
      <c r="M74"/>
      <c r="N74"/>
      <c r="O74"/>
      <c r="P74"/>
      <c r="Q74"/>
      <c r="R74"/>
      <c r="S74"/>
      <c r="T74"/>
      <c r="U74"/>
      <c r="V74"/>
      <c r="W74"/>
      <c r="X74"/>
      <c r="Y74"/>
      <c r="Z74"/>
      <c r="AA74"/>
      <c r="AB74"/>
      <c r="AC74"/>
      <c r="AD74"/>
      <c r="AE74"/>
      <c r="AF74"/>
      <c r="AG74"/>
      <c r="AH74"/>
      <c r="AI74"/>
      <c r="AJ74"/>
      <c r="AK74"/>
      <c r="AL74"/>
    </row>
    <row r="75" spans="1:38" ht="15.75" customHeight="1" outlineLevel="3" x14ac:dyDescent="0.2">
      <c r="A75" s="10">
        <v>10</v>
      </c>
      <c r="B75" s="10" t="s">
        <v>71</v>
      </c>
      <c r="C75" s="10" t="s">
        <v>94</v>
      </c>
      <c r="D75" s="10" t="s">
        <v>88</v>
      </c>
      <c r="E75" s="11" t="str">
        <f t="array" ref="E75">_xlfn.XLOOKUP(D75,Insumos!B:B,Insumos!C:$C)</f>
        <v>UN</v>
      </c>
      <c r="F75" s="14">
        <v>1.4999999999999999E-2</v>
      </c>
      <c r="G75" s="92">
        <f t="array" ref="G75">IF(B75="insumo",_xlfn.XLOOKUP($D75,Insumos!$B$1:$B$996,Insumos!$D$1:$D$996),"")</f>
        <v>185.37</v>
      </c>
      <c r="H75" s="92">
        <v>2.7805499999999999</v>
      </c>
      <c r="I75" s="13">
        <v>0</v>
      </c>
      <c r="J75" s="13">
        <v>0</v>
      </c>
      <c r="K75" s="13"/>
      <c r="L75"/>
      <c r="M75"/>
      <c r="N75"/>
      <c r="O75"/>
      <c r="P75"/>
      <c r="Q75"/>
      <c r="R75"/>
      <c r="S75"/>
      <c r="T75"/>
      <c r="U75"/>
      <c r="V75"/>
      <c r="W75"/>
      <c r="X75"/>
      <c r="Y75"/>
      <c r="Z75"/>
      <c r="AA75"/>
      <c r="AB75"/>
      <c r="AC75"/>
      <c r="AD75"/>
      <c r="AE75"/>
      <c r="AF75"/>
      <c r="AG75"/>
      <c r="AH75"/>
      <c r="AI75"/>
      <c r="AJ75"/>
      <c r="AK75"/>
      <c r="AL75"/>
    </row>
    <row r="76" spans="1:38" ht="15.75" customHeight="1" outlineLevel="3" x14ac:dyDescent="0.2">
      <c r="A76" s="10">
        <v>10</v>
      </c>
      <c r="B76" s="10" t="s">
        <v>71</v>
      </c>
      <c r="C76" s="10" t="s">
        <v>94</v>
      </c>
      <c r="D76" s="10" t="s">
        <v>89</v>
      </c>
      <c r="E76" s="11" t="str">
        <f t="array" ref="E76">_xlfn.XLOOKUP(D76,Insumos!B:B,Insumos!C:$C)</f>
        <v>VB</v>
      </c>
      <c r="F76" s="14">
        <v>1</v>
      </c>
      <c r="G76" s="92">
        <f t="array" ref="G76">IF(B76="insumo",_xlfn.XLOOKUP($D76,Insumos!$B$1:$B$996,Insumos!$D$1:$D$996),"")</f>
        <v>215</v>
      </c>
      <c r="H76" s="92">
        <v>215</v>
      </c>
      <c r="I76" s="13">
        <v>0</v>
      </c>
      <c r="J76" s="13">
        <v>0</v>
      </c>
      <c r="K76" s="13"/>
      <c r="L76"/>
      <c r="M76"/>
      <c r="N76"/>
      <c r="O76"/>
      <c r="P76"/>
      <c r="Q76"/>
      <c r="R76"/>
      <c r="S76"/>
      <c r="T76"/>
      <c r="U76"/>
      <c r="V76"/>
      <c r="W76"/>
      <c r="X76"/>
      <c r="Y76"/>
      <c r="Z76"/>
      <c r="AA76"/>
      <c r="AB76"/>
      <c r="AC76"/>
      <c r="AD76"/>
      <c r="AE76"/>
      <c r="AF76"/>
      <c r="AG76"/>
      <c r="AH76"/>
      <c r="AI76"/>
      <c r="AJ76"/>
      <c r="AK76"/>
      <c r="AL76"/>
    </row>
    <row r="77" spans="1:38" ht="15.75" customHeight="1" outlineLevel="3" x14ac:dyDescent="0.2">
      <c r="A77" s="10">
        <v>10</v>
      </c>
      <c r="B77" s="10" t="s">
        <v>71</v>
      </c>
      <c r="C77" s="10" t="s">
        <v>94</v>
      </c>
      <c r="D77" s="10" t="s">
        <v>90</v>
      </c>
      <c r="E77" s="11" t="str">
        <f t="array" ref="E77">_xlfn.XLOOKUP(D77,Insumos!B:B,Insumos!C:$C)</f>
        <v>M2</v>
      </c>
      <c r="F77" s="14">
        <v>1</v>
      </c>
      <c r="G77" s="92">
        <f t="array" ref="G77">IF(B77="insumo",_xlfn.XLOOKUP($D77,Insumos!$B$1:$B$996,Insumos!$D$1:$D$996),"")</f>
        <v>50</v>
      </c>
      <c r="H77" s="92">
        <v>50</v>
      </c>
      <c r="I77" s="13">
        <v>0</v>
      </c>
      <c r="J77" s="13">
        <v>0</v>
      </c>
      <c r="K77" s="13"/>
      <c r="L77"/>
      <c r="M77"/>
      <c r="N77"/>
      <c r="O77"/>
      <c r="P77"/>
      <c r="Q77"/>
      <c r="R77"/>
      <c r="S77"/>
      <c r="T77"/>
      <c r="U77"/>
      <c r="V77"/>
      <c r="W77"/>
      <c r="X77"/>
      <c r="Y77"/>
      <c r="Z77"/>
      <c r="AA77"/>
      <c r="AB77"/>
      <c r="AC77"/>
      <c r="AD77"/>
      <c r="AE77"/>
      <c r="AF77"/>
      <c r="AG77"/>
      <c r="AH77"/>
      <c r="AI77"/>
      <c r="AJ77"/>
      <c r="AK77"/>
      <c r="AL77"/>
    </row>
    <row r="78" spans="1:38" ht="15.75" customHeight="1" outlineLevel="2" x14ac:dyDescent="0.2">
      <c r="A78" s="1067">
        <v>1</v>
      </c>
      <c r="B78" s="1067" t="s">
        <v>68</v>
      </c>
      <c r="C78" s="1067" t="s">
        <v>95</v>
      </c>
      <c r="D78" s="1067" t="s">
        <v>95</v>
      </c>
      <c r="E78" s="1068" t="s">
        <v>70</v>
      </c>
      <c r="F78" s="1067"/>
      <c r="G78" s="1069" t="str">
        <f t="array" ref="G78">IF(B78="insumo",_xlfn.XLOOKUP($D78,Insumos!$B$1:$B$996,Insumos!$D$1:$D$996),"")</f>
        <v/>
      </c>
      <c r="H78" s="1069">
        <v>382.10489000000001</v>
      </c>
      <c r="I78" s="1070">
        <v>0</v>
      </c>
      <c r="J78" s="1070">
        <v>0</v>
      </c>
      <c r="K78" s="1070"/>
      <c r="L78"/>
      <c r="M78"/>
      <c r="N78"/>
      <c r="O78"/>
      <c r="P78"/>
      <c r="Q78"/>
      <c r="R78"/>
      <c r="S78"/>
      <c r="T78"/>
      <c r="U78"/>
      <c r="V78"/>
      <c r="W78"/>
      <c r="X78"/>
      <c r="Y78"/>
      <c r="Z78"/>
      <c r="AA78"/>
      <c r="AB78"/>
      <c r="AC78"/>
      <c r="AD78"/>
      <c r="AE78"/>
      <c r="AF78"/>
      <c r="AG78"/>
      <c r="AH78"/>
      <c r="AI78"/>
      <c r="AJ78"/>
      <c r="AK78"/>
      <c r="AL78"/>
    </row>
    <row r="79" spans="1:38" ht="15.75" customHeight="1" outlineLevel="3" x14ac:dyDescent="0.2">
      <c r="A79" s="10">
        <v>11</v>
      </c>
      <c r="B79" s="10" t="s">
        <v>71</v>
      </c>
      <c r="C79" s="10" t="s">
        <v>95</v>
      </c>
      <c r="D79" s="10" t="s">
        <v>82</v>
      </c>
      <c r="E79" s="11" t="str">
        <f t="array" ref="E79">_xlfn.XLOOKUP(D79,Insumos!B:B,Insumos!C:$C)</f>
        <v>M2</v>
      </c>
      <c r="F79" s="14">
        <v>0.59099999999999997</v>
      </c>
      <c r="G79" s="92">
        <f t="array" ref="G79">IF(B79="insumo",_xlfn.XLOOKUP($D79,Insumos!$B$1:$B$996,Insumos!$D$1:$D$996),"")</f>
        <v>46.5</v>
      </c>
      <c r="H79" s="92">
        <v>27.4815</v>
      </c>
      <c r="I79" s="13">
        <v>0</v>
      </c>
      <c r="J79" s="13">
        <v>0</v>
      </c>
      <c r="K79" s="13"/>
      <c r="L79"/>
      <c r="M79"/>
      <c r="N79"/>
      <c r="O79"/>
      <c r="P79"/>
      <c r="Q79"/>
      <c r="R79"/>
      <c r="S79"/>
      <c r="T79"/>
      <c r="U79"/>
      <c r="V79"/>
      <c r="W79"/>
      <c r="X79"/>
      <c r="Y79"/>
      <c r="Z79"/>
      <c r="AA79"/>
      <c r="AB79"/>
      <c r="AC79"/>
      <c r="AD79"/>
      <c r="AE79"/>
      <c r="AF79"/>
      <c r="AG79"/>
      <c r="AH79"/>
      <c r="AI79"/>
      <c r="AJ79"/>
      <c r="AK79"/>
      <c r="AL79"/>
    </row>
    <row r="80" spans="1:38" ht="15.75" customHeight="1" outlineLevel="3" x14ac:dyDescent="0.2">
      <c r="A80" s="10">
        <v>10</v>
      </c>
      <c r="B80" s="10" t="s">
        <v>71</v>
      </c>
      <c r="C80" s="10" t="s">
        <v>95</v>
      </c>
      <c r="D80" s="10" t="s">
        <v>83</v>
      </c>
      <c r="E80" s="11" t="str">
        <f t="array" ref="E80">_xlfn.XLOOKUP(D80,Insumos!B:B,Insumos!C:$C)</f>
        <v>UN</v>
      </c>
      <c r="F80" s="14">
        <v>0.40400000000000003</v>
      </c>
      <c r="G80" s="92">
        <f t="array" ref="G80">IF(B80="insumo",_xlfn.XLOOKUP($D80,Insumos!$B$1:$B$996,Insumos!$D$1:$D$996),"")</f>
        <v>58.46</v>
      </c>
      <c r="H80" s="92">
        <v>23.617840000000001</v>
      </c>
      <c r="I80" s="13">
        <v>0</v>
      </c>
      <c r="J80" s="13">
        <v>0</v>
      </c>
      <c r="K80" s="13"/>
      <c r="L80"/>
      <c r="M80"/>
      <c r="N80"/>
      <c r="O80"/>
      <c r="P80"/>
      <c r="Q80"/>
      <c r="R80"/>
      <c r="S80"/>
      <c r="T80"/>
      <c r="U80"/>
      <c r="V80"/>
      <c r="W80"/>
      <c r="X80"/>
      <c r="Y80"/>
      <c r="Z80"/>
      <c r="AA80"/>
      <c r="AB80"/>
      <c r="AC80"/>
      <c r="AD80"/>
      <c r="AE80"/>
      <c r="AF80"/>
      <c r="AG80"/>
      <c r="AH80"/>
      <c r="AI80"/>
      <c r="AJ80"/>
      <c r="AK80"/>
      <c r="AL80"/>
    </row>
    <row r="81" spans="1:38" ht="15.75" customHeight="1" outlineLevel="3" x14ac:dyDescent="0.2">
      <c r="A81" s="10">
        <v>25</v>
      </c>
      <c r="B81" s="10" t="s">
        <v>71</v>
      </c>
      <c r="C81" s="10" t="s">
        <v>95</v>
      </c>
      <c r="D81" s="10" t="s">
        <v>84</v>
      </c>
      <c r="E81" s="11" t="str">
        <f t="array" ref="E81">_xlfn.XLOOKUP(D81,Insumos!B:B,Insumos!C:$C)</f>
        <v>M</v>
      </c>
      <c r="F81" s="14">
        <v>4.3899999999999997</v>
      </c>
      <c r="G81" s="92">
        <f t="array" ref="G81">IF(B81="insumo",_xlfn.XLOOKUP($D81,Insumos!$B$1:$B$996,Insumos!$D$1:$D$996),"")</f>
        <v>7</v>
      </c>
      <c r="H81" s="92">
        <v>30.73</v>
      </c>
      <c r="I81" s="13">
        <v>0</v>
      </c>
      <c r="J81" s="13">
        <v>0</v>
      </c>
      <c r="K81" s="13"/>
      <c r="L81"/>
      <c r="M81"/>
      <c r="N81"/>
      <c r="O81"/>
      <c r="P81"/>
      <c r="Q81"/>
      <c r="R81"/>
      <c r="S81"/>
      <c r="T81"/>
      <c r="U81"/>
      <c r="V81"/>
      <c r="W81"/>
      <c r="X81"/>
      <c r="Y81"/>
      <c r="Z81"/>
      <c r="AA81"/>
      <c r="AB81"/>
      <c r="AC81"/>
      <c r="AD81"/>
      <c r="AE81"/>
      <c r="AF81"/>
      <c r="AG81"/>
      <c r="AH81"/>
      <c r="AI81"/>
      <c r="AJ81"/>
      <c r="AK81"/>
      <c r="AL81"/>
    </row>
    <row r="82" spans="1:38" ht="15.75" customHeight="1" outlineLevel="3" x14ac:dyDescent="0.2">
      <c r="A82" s="10">
        <v>11</v>
      </c>
      <c r="B82" s="10" t="s">
        <v>71</v>
      </c>
      <c r="C82" s="10" t="s">
        <v>95</v>
      </c>
      <c r="D82" s="10" t="s">
        <v>85</v>
      </c>
      <c r="E82" s="11" t="str">
        <f t="array" ref="E82">_xlfn.XLOOKUP(D82,Insumos!B:B,Insumos!C:$C)</f>
        <v>M2</v>
      </c>
      <c r="F82" s="14">
        <v>0.15</v>
      </c>
      <c r="G82" s="92">
        <f t="array" ref="G82">IF(B82="insumo",_xlfn.XLOOKUP($D82,Insumos!$B$1:$B$996,Insumos!$D$1:$D$996),"")</f>
        <v>46.5</v>
      </c>
      <c r="H82" s="92">
        <v>6.9749999999999996</v>
      </c>
      <c r="I82" s="13">
        <v>0</v>
      </c>
      <c r="J82" s="13">
        <v>0</v>
      </c>
      <c r="K82" s="13"/>
      <c r="L82"/>
      <c r="M82"/>
      <c r="N82"/>
      <c r="O82"/>
      <c r="P82"/>
      <c r="Q82"/>
      <c r="R82"/>
      <c r="S82"/>
      <c r="T82"/>
      <c r="U82"/>
      <c r="V82"/>
      <c r="W82"/>
      <c r="X82"/>
      <c r="Y82"/>
      <c r="Z82"/>
      <c r="AA82"/>
      <c r="AB82"/>
      <c r="AC82"/>
      <c r="AD82"/>
      <c r="AE82"/>
      <c r="AF82"/>
      <c r="AG82"/>
      <c r="AH82"/>
      <c r="AI82"/>
      <c r="AJ82"/>
      <c r="AK82"/>
      <c r="AL82"/>
    </row>
    <row r="83" spans="1:38" ht="15.75" customHeight="1" outlineLevel="3" x14ac:dyDescent="0.2">
      <c r="A83" s="10">
        <v>10</v>
      </c>
      <c r="B83" s="10" t="s">
        <v>71</v>
      </c>
      <c r="C83" s="10" t="s">
        <v>95</v>
      </c>
      <c r="D83" s="10" t="s">
        <v>86</v>
      </c>
      <c r="E83" s="11" t="str">
        <f t="array" ref="E83">_xlfn.XLOOKUP(D83,Insumos!B:B,Insumos!C:$C)</f>
        <v>M</v>
      </c>
      <c r="F83" s="14">
        <v>1</v>
      </c>
      <c r="G83" s="92">
        <f t="array" ref="G83">IF(B83="insumo",_xlfn.XLOOKUP($D83,Insumos!$B$1:$B$996,Insumos!$D$1:$D$996),"")</f>
        <v>7.3900000000000006</v>
      </c>
      <c r="H83" s="92">
        <v>7.39</v>
      </c>
      <c r="I83" s="13">
        <v>0</v>
      </c>
      <c r="J83" s="13">
        <v>0</v>
      </c>
      <c r="K83" s="13"/>
      <c r="L83"/>
      <c r="M83"/>
      <c r="N83"/>
      <c r="O83"/>
      <c r="P83"/>
      <c r="Q83"/>
      <c r="R83"/>
      <c r="S83"/>
      <c r="T83"/>
      <c r="U83"/>
      <c r="V83"/>
      <c r="W83"/>
      <c r="X83"/>
      <c r="Y83"/>
      <c r="Z83"/>
      <c r="AA83"/>
      <c r="AB83"/>
      <c r="AC83"/>
      <c r="AD83"/>
      <c r="AE83"/>
      <c r="AF83"/>
      <c r="AG83"/>
      <c r="AH83"/>
      <c r="AI83"/>
      <c r="AJ83"/>
      <c r="AK83"/>
      <c r="AL83"/>
    </row>
    <row r="84" spans="1:38" ht="15.75" customHeight="1" outlineLevel="3" x14ac:dyDescent="0.2">
      <c r="A84" s="10">
        <v>40</v>
      </c>
      <c r="B84" s="10" t="s">
        <v>71</v>
      </c>
      <c r="C84" s="10" t="s">
        <v>95</v>
      </c>
      <c r="D84" s="10" t="s">
        <v>87</v>
      </c>
      <c r="E84" s="11" t="str">
        <f t="array" ref="E84">_xlfn.XLOOKUP(D84,Insumos!B:B,Insumos!C:$C)</f>
        <v>KG</v>
      </c>
      <c r="F84" s="14">
        <v>1</v>
      </c>
      <c r="G84" s="92">
        <f t="array" ref="G84">IF(B84="insumo",_xlfn.XLOOKUP($D84,Insumos!$B$1:$B$996,Insumos!$D$1:$D$996),"")</f>
        <v>18.13</v>
      </c>
      <c r="H84" s="92">
        <v>18.13</v>
      </c>
      <c r="I84" s="13">
        <v>0</v>
      </c>
      <c r="J84" s="13">
        <v>0</v>
      </c>
      <c r="K84" s="13"/>
      <c r="L84"/>
      <c r="M84"/>
      <c r="N84"/>
      <c r="O84"/>
      <c r="P84"/>
      <c r="Q84"/>
      <c r="R84"/>
      <c r="S84"/>
      <c r="T84"/>
      <c r="U84"/>
      <c r="V84"/>
      <c r="W84"/>
      <c r="X84"/>
      <c r="Y84"/>
      <c r="Z84"/>
      <c r="AA84"/>
      <c r="AB84"/>
      <c r="AC84"/>
      <c r="AD84"/>
      <c r="AE84"/>
      <c r="AF84"/>
      <c r="AG84"/>
      <c r="AH84"/>
      <c r="AI84"/>
      <c r="AJ84"/>
      <c r="AK84"/>
      <c r="AL84"/>
    </row>
    <row r="85" spans="1:38" ht="15.75" customHeight="1" outlineLevel="3" x14ac:dyDescent="0.2">
      <c r="A85" s="10">
        <v>10</v>
      </c>
      <c r="B85" s="10" t="s">
        <v>71</v>
      </c>
      <c r="C85" s="10" t="s">
        <v>95</v>
      </c>
      <c r="D85" s="10" t="s">
        <v>88</v>
      </c>
      <c r="E85" s="11" t="str">
        <f t="array" ref="E85">_xlfn.XLOOKUP(D85,Insumos!B:B,Insumos!C:$C)</f>
        <v>UN</v>
      </c>
      <c r="F85" s="14">
        <v>1.4999999999999999E-2</v>
      </c>
      <c r="G85" s="92">
        <f t="array" ref="G85">IF(B85="insumo",_xlfn.XLOOKUP($D85,Insumos!$B$1:$B$996,Insumos!$D$1:$D$996),"")</f>
        <v>185.37</v>
      </c>
      <c r="H85" s="92">
        <v>2.7805499999999999</v>
      </c>
      <c r="I85" s="13">
        <v>0</v>
      </c>
      <c r="J85" s="13">
        <v>0</v>
      </c>
      <c r="K85" s="13"/>
      <c r="L85"/>
      <c r="M85"/>
      <c r="N85"/>
      <c r="O85"/>
      <c r="P85"/>
      <c r="Q85"/>
      <c r="R85"/>
      <c r="S85"/>
      <c r="T85"/>
      <c r="U85"/>
      <c r="V85"/>
      <c r="W85"/>
      <c r="X85"/>
      <c r="Y85"/>
      <c r="Z85"/>
      <c r="AA85"/>
      <c r="AB85"/>
      <c r="AC85"/>
      <c r="AD85"/>
      <c r="AE85"/>
      <c r="AF85"/>
      <c r="AG85"/>
      <c r="AH85"/>
      <c r="AI85"/>
      <c r="AJ85"/>
      <c r="AK85"/>
      <c r="AL85"/>
    </row>
    <row r="86" spans="1:38" ht="15.75" customHeight="1" outlineLevel="3" x14ac:dyDescent="0.2">
      <c r="A86" s="10">
        <v>10</v>
      </c>
      <c r="B86" s="10" t="s">
        <v>71</v>
      </c>
      <c r="C86" s="10" t="s">
        <v>95</v>
      </c>
      <c r="D86" s="10" t="s">
        <v>89</v>
      </c>
      <c r="E86" s="11" t="str">
        <f t="array" ref="E86">_xlfn.XLOOKUP(D86,Insumos!B:B,Insumos!C:$C)</f>
        <v>VB</v>
      </c>
      <c r="F86" s="14">
        <v>1</v>
      </c>
      <c r="G86" s="92">
        <f t="array" ref="G86">IF(B86="insumo",_xlfn.XLOOKUP($D86,Insumos!$B$1:$B$996,Insumos!$D$1:$D$996),"")</f>
        <v>215</v>
      </c>
      <c r="H86" s="92">
        <v>215</v>
      </c>
      <c r="I86" s="13">
        <v>0</v>
      </c>
      <c r="J86" s="13">
        <v>0</v>
      </c>
      <c r="K86" s="13"/>
      <c r="L86"/>
      <c r="M86"/>
      <c r="N86"/>
      <c r="O86"/>
      <c r="P86"/>
      <c r="Q86"/>
      <c r="R86"/>
      <c r="S86"/>
      <c r="T86"/>
      <c r="U86"/>
      <c r="V86"/>
      <c r="W86"/>
      <c r="X86"/>
      <c r="Y86"/>
      <c r="Z86"/>
      <c r="AA86"/>
      <c r="AB86"/>
      <c r="AC86"/>
      <c r="AD86"/>
      <c r="AE86"/>
      <c r="AF86"/>
      <c r="AG86"/>
      <c r="AH86"/>
      <c r="AI86"/>
      <c r="AJ86"/>
      <c r="AK86"/>
      <c r="AL86"/>
    </row>
    <row r="87" spans="1:38" ht="15.75" customHeight="1" outlineLevel="3" x14ac:dyDescent="0.2">
      <c r="A87" s="10">
        <v>10</v>
      </c>
      <c r="B87" s="10" t="s">
        <v>71</v>
      </c>
      <c r="C87" s="10" t="s">
        <v>95</v>
      </c>
      <c r="D87" s="10" t="s">
        <v>90</v>
      </c>
      <c r="E87" s="11" t="str">
        <f t="array" ref="E87">_xlfn.XLOOKUP(D87,Insumos!B:B,Insumos!C:$C)</f>
        <v>M2</v>
      </c>
      <c r="F87" s="14">
        <v>1</v>
      </c>
      <c r="G87" s="92">
        <f t="array" ref="G87">IF(B87="insumo",_xlfn.XLOOKUP($D87,Insumos!$B$1:$B$996,Insumos!$D$1:$D$996),"")</f>
        <v>50</v>
      </c>
      <c r="H87" s="92">
        <v>50</v>
      </c>
      <c r="I87" s="13">
        <v>0</v>
      </c>
      <c r="J87" s="13">
        <v>0</v>
      </c>
      <c r="K87" s="13"/>
      <c r="L87"/>
      <c r="M87"/>
      <c r="N87"/>
      <c r="O87"/>
      <c r="P87"/>
      <c r="Q87"/>
      <c r="R87"/>
      <c r="S87"/>
      <c r="T87"/>
      <c r="U87"/>
      <c r="V87"/>
      <c r="W87"/>
      <c r="X87"/>
      <c r="Y87"/>
      <c r="Z87"/>
      <c r="AA87"/>
      <c r="AB87"/>
      <c r="AC87"/>
      <c r="AD87"/>
      <c r="AE87"/>
      <c r="AF87"/>
      <c r="AG87"/>
      <c r="AH87"/>
      <c r="AI87"/>
      <c r="AJ87"/>
      <c r="AK87"/>
      <c r="AL87"/>
    </row>
    <row r="88" spans="1:38" ht="15.75" customHeight="1" outlineLevel="2" x14ac:dyDescent="0.2">
      <c r="A88" s="1067">
        <v>1</v>
      </c>
      <c r="B88" s="1067" t="s">
        <v>68</v>
      </c>
      <c r="C88" s="1067" t="s">
        <v>96</v>
      </c>
      <c r="D88" s="1067" t="s">
        <v>96</v>
      </c>
      <c r="E88" s="1068" t="s">
        <v>70</v>
      </c>
      <c r="F88" s="1067"/>
      <c r="G88" s="1069" t="str">
        <f t="array" ref="G88">IF(B88="insumo",_xlfn.XLOOKUP($D88,Insumos!$B$1:$B$996,Insumos!$D$1:$D$996),"")</f>
        <v/>
      </c>
      <c r="H88" s="1069">
        <v>382.10489000000001</v>
      </c>
      <c r="I88" s="1070">
        <v>0</v>
      </c>
      <c r="J88" s="1070">
        <v>0</v>
      </c>
      <c r="K88" s="1070"/>
      <c r="L88"/>
      <c r="M88"/>
      <c r="N88"/>
      <c r="O88"/>
      <c r="P88"/>
      <c r="Q88"/>
      <c r="R88"/>
      <c r="S88"/>
      <c r="T88"/>
      <c r="U88"/>
      <c r="V88"/>
      <c r="W88"/>
      <c r="X88"/>
      <c r="Y88"/>
      <c r="Z88"/>
      <c r="AA88"/>
      <c r="AB88"/>
      <c r="AC88"/>
      <c r="AD88"/>
      <c r="AE88"/>
      <c r="AF88"/>
      <c r="AG88"/>
      <c r="AH88"/>
      <c r="AI88"/>
      <c r="AJ88"/>
      <c r="AK88"/>
      <c r="AL88"/>
    </row>
    <row r="89" spans="1:38" ht="15.75" customHeight="1" outlineLevel="3" x14ac:dyDescent="0.2">
      <c r="A89" s="10">
        <v>11</v>
      </c>
      <c r="B89" s="10" t="s">
        <v>71</v>
      </c>
      <c r="C89" s="10" t="s">
        <v>96</v>
      </c>
      <c r="D89" s="10" t="s">
        <v>82</v>
      </c>
      <c r="E89" s="11" t="str">
        <f t="array" ref="E89">_xlfn.XLOOKUP(D89,Insumos!B:B,Insumos!C:$C)</f>
        <v>M2</v>
      </c>
      <c r="F89" s="14">
        <v>0.59099999999999997</v>
      </c>
      <c r="G89" s="92">
        <f t="array" ref="G89">IF(B89="insumo",_xlfn.XLOOKUP($D89,Insumos!$B$1:$B$996,Insumos!$D$1:$D$996),"")</f>
        <v>46.5</v>
      </c>
      <c r="H89" s="92">
        <v>27.4815</v>
      </c>
      <c r="I89" s="13">
        <v>0</v>
      </c>
      <c r="J89" s="13">
        <v>0</v>
      </c>
      <c r="K89" s="13"/>
      <c r="L89"/>
      <c r="M89"/>
      <c r="N89"/>
      <c r="O89"/>
      <c r="P89"/>
      <c r="Q89"/>
      <c r="R89"/>
      <c r="S89"/>
      <c r="T89"/>
      <c r="U89"/>
      <c r="V89"/>
      <c r="W89"/>
      <c r="X89"/>
      <c r="Y89"/>
      <c r="Z89"/>
      <c r="AA89"/>
      <c r="AB89"/>
      <c r="AC89"/>
      <c r="AD89"/>
      <c r="AE89"/>
      <c r="AF89"/>
      <c r="AG89"/>
      <c r="AH89"/>
      <c r="AI89"/>
      <c r="AJ89"/>
      <c r="AK89"/>
      <c r="AL89"/>
    </row>
    <row r="90" spans="1:38" ht="15.75" customHeight="1" outlineLevel="3" x14ac:dyDescent="0.2">
      <c r="A90" s="10">
        <v>10</v>
      </c>
      <c r="B90" s="10" t="s">
        <v>71</v>
      </c>
      <c r="C90" s="10" t="s">
        <v>96</v>
      </c>
      <c r="D90" s="10" t="s">
        <v>83</v>
      </c>
      <c r="E90" s="11" t="str">
        <f t="array" ref="E90">_xlfn.XLOOKUP(D90,Insumos!B:B,Insumos!C:$C)</f>
        <v>UN</v>
      </c>
      <c r="F90" s="14">
        <v>0.40400000000000003</v>
      </c>
      <c r="G90" s="92">
        <f t="array" ref="G90">IF(B90="insumo",_xlfn.XLOOKUP($D90,Insumos!$B$1:$B$996,Insumos!$D$1:$D$996),"")</f>
        <v>58.46</v>
      </c>
      <c r="H90" s="92">
        <v>23.617840000000001</v>
      </c>
      <c r="I90" s="13">
        <v>0</v>
      </c>
      <c r="J90" s="13">
        <v>0</v>
      </c>
      <c r="K90" s="13"/>
      <c r="L90"/>
      <c r="M90"/>
      <c r="N90"/>
      <c r="O90"/>
      <c r="P90"/>
      <c r="Q90"/>
      <c r="R90"/>
      <c r="S90"/>
      <c r="T90"/>
      <c r="U90"/>
      <c r="V90"/>
      <c r="W90"/>
      <c r="X90"/>
      <c r="Y90"/>
      <c r="Z90"/>
      <c r="AA90"/>
      <c r="AB90"/>
      <c r="AC90"/>
      <c r="AD90"/>
      <c r="AE90"/>
      <c r="AF90"/>
      <c r="AG90"/>
      <c r="AH90"/>
      <c r="AI90"/>
      <c r="AJ90"/>
      <c r="AK90"/>
      <c r="AL90"/>
    </row>
    <row r="91" spans="1:38" ht="15.75" customHeight="1" outlineLevel="3" x14ac:dyDescent="0.2">
      <c r="A91" s="10">
        <v>25</v>
      </c>
      <c r="B91" s="10" t="s">
        <v>71</v>
      </c>
      <c r="C91" s="10" t="s">
        <v>96</v>
      </c>
      <c r="D91" s="10" t="s">
        <v>84</v>
      </c>
      <c r="E91" s="11" t="str">
        <f t="array" ref="E91">_xlfn.XLOOKUP(D91,Insumos!B:B,Insumos!C:$C)</f>
        <v>M</v>
      </c>
      <c r="F91" s="14">
        <v>4.3899999999999997</v>
      </c>
      <c r="G91" s="92">
        <f t="array" ref="G91">IF(B91="insumo",_xlfn.XLOOKUP($D91,Insumos!$B$1:$B$996,Insumos!$D$1:$D$996),"")</f>
        <v>7</v>
      </c>
      <c r="H91" s="92">
        <v>30.73</v>
      </c>
      <c r="I91" s="13">
        <v>0</v>
      </c>
      <c r="J91" s="13">
        <v>0</v>
      </c>
      <c r="K91" s="13"/>
      <c r="L91"/>
      <c r="M91"/>
      <c r="N91"/>
      <c r="O91"/>
      <c r="P91"/>
      <c r="Q91"/>
      <c r="R91"/>
      <c r="S91"/>
      <c r="T91"/>
      <c r="U91"/>
      <c r="V91"/>
      <c r="W91"/>
      <c r="X91"/>
      <c r="Y91"/>
      <c r="Z91"/>
      <c r="AA91"/>
      <c r="AB91"/>
      <c r="AC91"/>
      <c r="AD91"/>
      <c r="AE91"/>
      <c r="AF91"/>
      <c r="AG91"/>
      <c r="AH91"/>
      <c r="AI91"/>
      <c r="AJ91"/>
      <c r="AK91"/>
      <c r="AL91"/>
    </row>
    <row r="92" spans="1:38" ht="15.75" customHeight="1" outlineLevel="3" x14ac:dyDescent="0.2">
      <c r="A92" s="10">
        <v>11</v>
      </c>
      <c r="B92" s="10" t="s">
        <v>71</v>
      </c>
      <c r="C92" s="10" t="s">
        <v>96</v>
      </c>
      <c r="D92" s="10" t="s">
        <v>85</v>
      </c>
      <c r="E92" s="11" t="str">
        <f t="array" ref="E92">_xlfn.XLOOKUP(D92,Insumos!B:B,Insumos!C:$C)</f>
        <v>M2</v>
      </c>
      <c r="F92" s="14">
        <v>0.15</v>
      </c>
      <c r="G92" s="92">
        <f t="array" ref="G92">IF(B92="insumo",_xlfn.XLOOKUP($D92,Insumos!$B$1:$B$996,Insumos!$D$1:$D$996),"")</f>
        <v>46.5</v>
      </c>
      <c r="H92" s="92">
        <v>6.9749999999999996</v>
      </c>
      <c r="I92" s="13">
        <v>0</v>
      </c>
      <c r="J92" s="13">
        <v>0</v>
      </c>
      <c r="K92" s="13"/>
      <c r="L92"/>
      <c r="M92"/>
      <c r="N92"/>
      <c r="O92"/>
      <c r="P92"/>
      <c r="Q92"/>
      <c r="R92"/>
      <c r="S92"/>
      <c r="T92"/>
      <c r="U92"/>
      <c r="V92"/>
      <c r="W92"/>
      <c r="X92"/>
      <c r="Y92"/>
      <c r="Z92"/>
      <c r="AA92"/>
      <c r="AB92"/>
      <c r="AC92"/>
      <c r="AD92"/>
      <c r="AE92"/>
      <c r="AF92"/>
      <c r="AG92"/>
      <c r="AH92"/>
      <c r="AI92"/>
      <c r="AJ92"/>
      <c r="AK92"/>
      <c r="AL92"/>
    </row>
    <row r="93" spans="1:38" ht="15.75" customHeight="1" outlineLevel="3" x14ac:dyDescent="0.2">
      <c r="A93" s="10">
        <v>10</v>
      </c>
      <c r="B93" s="10" t="s">
        <v>71</v>
      </c>
      <c r="C93" s="10" t="s">
        <v>96</v>
      </c>
      <c r="D93" s="10" t="s">
        <v>86</v>
      </c>
      <c r="E93" s="11" t="str">
        <f t="array" ref="E93">_xlfn.XLOOKUP(D93,Insumos!B:B,Insumos!C:$C)</f>
        <v>M</v>
      </c>
      <c r="F93" s="14">
        <v>1</v>
      </c>
      <c r="G93" s="92">
        <f t="array" ref="G93">IF(B93="insumo",_xlfn.XLOOKUP($D93,Insumos!$B$1:$B$996,Insumos!$D$1:$D$996),"")</f>
        <v>7.3900000000000006</v>
      </c>
      <c r="H93" s="92">
        <v>7.39</v>
      </c>
      <c r="I93" s="13">
        <v>0</v>
      </c>
      <c r="J93" s="13">
        <v>0</v>
      </c>
      <c r="K93" s="13"/>
      <c r="L93"/>
      <c r="M93"/>
      <c r="N93"/>
      <c r="O93"/>
      <c r="P93"/>
      <c r="Q93"/>
      <c r="R93"/>
      <c r="S93"/>
      <c r="T93"/>
      <c r="U93"/>
      <c r="V93"/>
      <c r="W93"/>
      <c r="X93"/>
      <c r="Y93"/>
      <c r="Z93"/>
      <c r="AA93"/>
      <c r="AB93"/>
      <c r="AC93"/>
      <c r="AD93"/>
      <c r="AE93"/>
      <c r="AF93"/>
      <c r="AG93"/>
      <c r="AH93"/>
      <c r="AI93"/>
      <c r="AJ93"/>
      <c r="AK93"/>
      <c r="AL93"/>
    </row>
    <row r="94" spans="1:38" ht="15.75" customHeight="1" outlineLevel="3" x14ac:dyDescent="0.2">
      <c r="A94" s="10">
        <v>40</v>
      </c>
      <c r="B94" s="10" t="s">
        <v>71</v>
      </c>
      <c r="C94" s="10" t="s">
        <v>96</v>
      </c>
      <c r="D94" s="10" t="s">
        <v>87</v>
      </c>
      <c r="E94" s="11" t="str">
        <f t="array" ref="E94">_xlfn.XLOOKUP(D94,Insumos!B:B,Insumos!C:$C)</f>
        <v>KG</v>
      </c>
      <c r="F94" s="14">
        <v>1</v>
      </c>
      <c r="G94" s="92">
        <f t="array" ref="G94">IF(B94="insumo",_xlfn.XLOOKUP($D94,Insumos!$B$1:$B$996,Insumos!$D$1:$D$996),"")</f>
        <v>18.13</v>
      </c>
      <c r="H94" s="92">
        <v>18.13</v>
      </c>
      <c r="I94" s="13">
        <v>0</v>
      </c>
      <c r="J94" s="13">
        <v>0</v>
      </c>
      <c r="K94" s="13"/>
      <c r="L94"/>
      <c r="M94"/>
      <c r="N94"/>
      <c r="O94"/>
      <c r="P94"/>
      <c r="Q94"/>
      <c r="R94"/>
      <c r="S94"/>
      <c r="T94"/>
      <c r="U94"/>
      <c r="V94"/>
      <c r="W94"/>
      <c r="X94"/>
      <c r="Y94"/>
      <c r="Z94"/>
      <c r="AA94"/>
      <c r="AB94"/>
      <c r="AC94"/>
      <c r="AD94"/>
      <c r="AE94"/>
      <c r="AF94"/>
      <c r="AG94"/>
      <c r="AH94"/>
      <c r="AI94"/>
      <c r="AJ94"/>
      <c r="AK94"/>
      <c r="AL94"/>
    </row>
    <row r="95" spans="1:38" ht="15.75" customHeight="1" outlineLevel="3" x14ac:dyDescent="0.2">
      <c r="A95" s="10">
        <v>10</v>
      </c>
      <c r="B95" s="10" t="s">
        <v>71</v>
      </c>
      <c r="C95" s="10" t="s">
        <v>96</v>
      </c>
      <c r="D95" s="10" t="s">
        <v>88</v>
      </c>
      <c r="E95" s="11" t="str">
        <f t="array" ref="E95">_xlfn.XLOOKUP(D95,Insumos!B:B,Insumos!C:$C)</f>
        <v>UN</v>
      </c>
      <c r="F95" s="14">
        <v>1.4999999999999999E-2</v>
      </c>
      <c r="G95" s="92">
        <f t="array" ref="G95">IF(B95="insumo",_xlfn.XLOOKUP($D95,Insumos!$B$1:$B$996,Insumos!$D$1:$D$996),"")</f>
        <v>185.37</v>
      </c>
      <c r="H95" s="92">
        <v>2.7805499999999999</v>
      </c>
      <c r="I95" s="13">
        <v>0</v>
      </c>
      <c r="J95" s="13">
        <v>0</v>
      </c>
      <c r="K95" s="13"/>
      <c r="L95"/>
      <c r="M95"/>
      <c r="N95"/>
      <c r="O95"/>
      <c r="P95"/>
      <c r="Q95"/>
      <c r="R95"/>
      <c r="S95"/>
      <c r="T95"/>
      <c r="U95"/>
      <c r="V95"/>
      <c r="W95"/>
      <c r="X95"/>
      <c r="Y95"/>
      <c r="Z95"/>
      <c r="AA95"/>
      <c r="AB95"/>
      <c r="AC95"/>
      <c r="AD95"/>
      <c r="AE95"/>
      <c r="AF95"/>
      <c r="AG95"/>
      <c r="AH95"/>
      <c r="AI95"/>
      <c r="AJ95"/>
      <c r="AK95"/>
      <c r="AL95"/>
    </row>
    <row r="96" spans="1:38" ht="15.75" customHeight="1" outlineLevel="3" x14ac:dyDescent="0.2">
      <c r="A96" s="10">
        <v>10</v>
      </c>
      <c r="B96" s="10" t="s">
        <v>71</v>
      </c>
      <c r="C96" s="10" t="s">
        <v>96</v>
      </c>
      <c r="D96" s="10" t="s">
        <v>89</v>
      </c>
      <c r="E96" s="11" t="str">
        <f t="array" ref="E96">_xlfn.XLOOKUP(D96,Insumos!B:B,Insumos!C:$C)</f>
        <v>VB</v>
      </c>
      <c r="F96" s="14">
        <v>1</v>
      </c>
      <c r="G96" s="92">
        <f t="array" ref="G96">IF(B96="insumo",_xlfn.XLOOKUP($D96,Insumos!$B$1:$B$996,Insumos!$D$1:$D$996),"")</f>
        <v>215</v>
      </c>
      <c r="H96" s="92">
        <v>215</v>
      </c>
      <c r="I96" s="13">
        <v>0</v>
      </c>
      <c r="J96" s="13">
        <v>0</v>
      </c>
      <c r="K96" s="13"/>
      <c r="L96"/>
      <c r="M96"/>
      <c r="N96"/>
      <c r="O96"/>
      <c r="P96"/>
      <c r="Q96"/>
      <c r="R96"/>
      <c r="S96"/>
      <c r="T96"/>
      <c r="U96"/>
      <c r="V96"/>
      <c r="W96"/>
      <c r="X96"/>
      <c r="Y96"/>
      <c r="Z96"/>
      <c r="AA96"/>
      <c r="AB96"/>
      <c r="AC96"/>
      <c r="AD96"/>
      <c r="AE96"/>
      <c r="AF96"/>
      <c r="AG96"/>
      <c r="AH96"/>
      <c r="AI96"/>
      <c r="AJ96"/>
      <c r="AK96"/>
      <c r="AL96"/>
    </row>
    <row r="97" spans="1:38" ht="15.75" customHeight="1" outlineLevel="3" x14ac:dyDescent="0.2">
      <c r="A97" s="10">
        <v>10</v>
      </c>
      <c r="B97" s="10" t="s">
        <v>71</v>
      </c>
      <c r="C97" s="10" t="s">
        <v>96</v>
      </c>
      <c r="D97" s="10" t="s">
        <v>90</v>
      </c>
      <c r="E97" s="11" t="str">
        <f t="array" ref="E97">_xlfn.XLOOKUP(D97,Insumos!B:B,Insumos!C:$C)</f>
        <v>M2</v>
      </c>
      <c r="F97" s="14">
        <v>1</v>
      </c>
      <c r="G97" s="92">
        <f t="array" ref="G97">IF(B97="insumo",_xlfn.XLOOKUP($D97,Insumos!$B$1:$B$996,Insumos!$D$1:$D$996),"")</f>
        <v>50</v>
      </c>
      <c r="H97" s="92">
        <v>50</v>
      </c>
      <c r="I97" s="13">
        <v>0</v>
      </c>
      <c r="J97" s="13">
        <v>0</v>
      </c>
      <c r="K97" s="13"/>
      <c r="L97"/>
      <c r="M97"/>
      <c r="N97"/>
      <c r="O97"/>
      <c r="P97"/>
      <c r="Q97"/>
      <c r="R97"/>
      <c r="S97"/>
      <c r="T97"/>
      <c r="U97"/>
      <c r="V97"/>
      <c r="W97"/>
      <c r="X97"/>
      <c r="Y97"/>
      <c r="Z97"/>
      <c r="AA97"/>
      <c r="AB97"/>
      <c r="AC97"/>
      <c r="AD97"/>
      <c r="AE97"/>
      <c r="AF97"/>
      <c r="AG97"/>
      <c r="AH97"/>
      <c r="AI97"/>
      <c r="AJ97"/>
      <c r="AK97"/>
      <c r="AL97"/>
    </row>
    <row r="98" spans="1:38" ht="15.75" customHeight="1" outlineLevel="2" x14ac:dyDescent="0.2">
      <c r="A98" s="1067">
        <v>1</v>
      </c>
      <c r="B98" s="1067" t="s">
        <v>68</v>
      </c>
      <c r="C98" s="1067" t="s">
        <v>97</v>
      </c>
      <c r="D98" s="1067" t="s">
        <v>97</v>
      </c>
      <c r="E98" s="1068" t="s">
        <v>70</v>
      </c>
      <c r="F98" s="1067"/>
      <c r="G98" s="1069" t="str">
        <f t="array" ref="G98">IF(B98="insumo",_xlfn.XLOOKUP($D98,Insumos!$B$1:$B$996,Insumos!$D$1:$D$996),"")</f>
        <v/>
      </c>
      <c r="H98" s="1069">
        <v>382.10489000000001</v>
      </c>
      <c r="I98" s="1070">
        <v>0</v>
      </c>
      <c r="J98" s="1070">
        <v>0</v>
      </c>
      <c r="K98" s="1070"/>
      <c r="L98"/>
      <c r="M98"/>
      <c r="N98"/>
      <c r="O98"/>
      <c r="P98"/>
      <c r="Q98"/>
      <c r="R98"/>
      <c r="S98"/>
      <c r="T98"/>
      <c r="U98"/>
      <c r="V98"/>
      <c r="W98"/>
      <c r="X98"/>
      <c r="Y98"/>
      <c r="Z98"/>
      <c r="AA98"/>
      <c r="AB98"/>
      <c r="AC98"/>
      <c r="AD98"/>
      <c r="AE98"/>
      <c r="AF98"/>
      <c r="AG98"/>
      <c r="AH98"/>
      <c r="AI98"/>
      <c r="AJ98"/>
      <c r="AK98"/>
      <c r="AL98"/>
    </row>
    <row r="99" spans="1:38" ht="15.75" customHeight="1" outlineLevel="3" x14ac:dyDescent="0.2">
      <c r="A99" s="10">
        <v>11</v>
      </c>
      <c r="B99" s="10" t="s">
        <v>71</v>
      </c>
      <c r="C99" s="10" t="s">
        <v>97</v>
      </c>
      <c r="D99" s="10" t="s">
        <v>82</v>
      </c>
      <c r="E99" s="11" t="str">
        <f t="array" ref="E99">_xlfn.XLOOKUP(D99,Insumos!B:B,Insumos!C:$C)</f>
        <v>M2</v>
      </c>
      <c r="F99" s="14">
        <v>0.59099999999999997</v>
      </c>
      <c r="G99" s="92">
        <f t="array" ref="G99">IF(B99="insumo",_xlfn.XLOOKUP($D99,Insumos!$B$1:$B$996,Insumos!$D$1:$D$996),"")</f>
        <v>46.5</v>
      </c>
      <c r="H99" s="92">
        <v>27.4815</v>
      </c>
      <c r="I99" s="13">
        <v>0</v>
      </c>
      <c r="J99" s="13">
        <v>0</v>
      </c>
      <c r="K99" s="13"/>
      <c r="L99"/>
      <c r="M99"/>
      <c r="N99"/>
      <c r="O99"/>
      <c r="P99"/>
      <c r="Q99"/>
      <c r="R99"/>
      <c r="S99"/>
      <c r="T99"/>
      <c r="U99"/>
      <c r="V99"/>
      <c r="W99"/>
      <c r="X99"/>
      <c r="Y99"/>
      <c r="Z99"/>
      <c r="AA99"/>
      <c r="AB99"/>
      <c r="AC99"/>
      <c r="AD99"/>
      <c r="AE99"/>
      <c r="AF99"/>
      <c r="AG99"/>
      <c r="AH99"/>
      <c r="AI99"/>
      <c r="AJ99"/>
      <c r="AK99"/>
      <c r="AL99"/>
    </row>
    <row r="100" spans="1:38" ht="15.75" customHeight="1" outlineLevel="3" x14ac:dyDescent="0.2">
      <c r="A100" s="10">
        <v>10</v>
      </c>
      <c r="B100" s="10" t="s">
        <v>71</v>
      </c>
      <c r="C100" s="10" t="s">
        <v>97</v>
      </c>
      <c r="D100" s="10" t="s">
        <v>83</v>
      </c>
      <c r="E100" s="11" t="str">
        <f t="array" ref="E100">_xlfn.XLOOKUP(D100,Insumos!B:B,Insumos!C:$C)</f>
        <v>UN</v>
      </c>
      <c r="F100" s="14">
        <v>0.40400000000000003</v>
      </c>
      <c r="G100" s="92">
        <f t="array" ref="G100">IF(B100="insumo",_xlfn.XLOOKUP($D100,Insumos!$B$1:$B$996,Insumos!$D$1:$D$996),"")</f>
        <v>58.46</v>
      </c>
      <c r="H100" s="92">
        <v>23.617840000000001</v>
      </c>
      <c r="I100" s="13">
        <v>0</v>
      </c>
      <c r="J100" s="13">
        <v>0</v>
      </c>
      <c r="K100" s="13"/>
      <c r="L100"/>
      <c r="M100"/>
      <c r="N100"/>
      <c r="O100"/>
      <c r="P100"/>
      <c r="Q100"/>
      <c r="R100"/>
      <c r="S100"/>
      <c r="T100"/>
      <c r="U100"/>
      <c r="V100"/>
      <c r="W100"/>
      <c r="X100"/>
      <c r="Y100"/>
      <c r="Z100"/>
      <c r="AA100"/>
      <c r="AB100"/>
      <c r="AC100"/>
      <c r="AD100"/>
      <c r="AE100"/>
      <c r="AF100"/>
      <c r="AG100"/>
      <c r="AH100"/>
      <c r="AI100"/>
      <c r="AJ100"/>
      <c r="AK100"/>
      <c r="AL100"/>
    </row>
    <row r="101" spans="1:38" ht="15.75" customHeight="1" outlineLevel="3" x14ac:dyDescent="0.2">
      <c r="A101" s="10">
        <v>25</v>
      </c>
      <c r="B101" s="10" t="s">
        <v>71</v>
      </c>
      <c r="C101" s="10" t="s">
        <v>97</v>
      </c>
      <c r="D101" s="10" t="s">
        <v>84</v>
      </c>
      <c r="E101" s="11" t="str">
        <f t="array" ref="E101">_xlfn.XLOOKUP(D101,Insumos!B:B,Insumos!C:$C)</f>
        <v>M</v>
      </c>
      <c r="F101" s="14">
        <v>4.3899999999999997</v>
      </c>
      <c r="G101" s="92">
        <f t="array" ref="G101">IF(B101="insumo",_xlfn.XLOOKUP($D101,Insumos!$B$1:$B$996,Insumos!$D$1:$D$996),"")</f>
        <v>7</v>
      </c>
      <c r="H101" s="92">
        <v>30.73</v>
      </c>
      <c r="I101" s="13">
        <v>0</v>
      </c>
      <c r="J101" s="13">
        <v>0</v>
      </c>
      <c r="K101" s="13"/>
      <c r="L101"/>
      <c r="M101"/>
      <c r="N101"/>
      <c r="O101"/>
      <c r="P101"/>
      <c r="Q101"/>
      <c r="R101"/>
      <c r="S101"/>
      <c r="T101"/>
      <c r="U101"/>
      <c r="V101"/>
      <c r="W101"/>
      <c r="X101"/>
      <c r="Y101"/>
      <c r="Z101"/>
      <c r="AA101"/>
      <c r="AB101"/>
      <c r="AC101"/>
      <c r="AD101"/>
      <c r="AE101"/>
      <c r="AF101"/>
      <c r="AG101"/>
      <c r="AH101"/>
      <c r="AI101"/>
      <c r="AJ101"/>
      <c r="AK101"/>
      <c r="AL101"/>
    </row>
    <row r="102" spans="1:38" ht="15.75" customHeight="1" outlineLevel="3" x14ac:dyDescent="0.2">
      <c r="A102" s="10">
        <v>11</v>
      </c>
      <c r="B102" s="10" t="s">
        <v>71</v>
      </c>
      <c r="C102" s="10" t="s">
        <v>97</v>
      </c>
      <c r="D102" s="10" t="s">
        <v>85</v>
      </c>
      <c r="E102" s="11" t="str">
        <f t="array" ref="E102">_xlfn.XLOOKUP(D102,Insumos!B:B,Insumos!C:$C)</f>
        <v>M2</v>
      </c>
      <c r="F102" s="14">
        <v>0.15</v>
      </c>
      <c r="G102" s="92">
        <f t="array" ref="G102">IF(B102="insumo",_xlfn.XLOOKUP($D102,Insumos!$B$1:$B$996,Insumos!$D$1:$D$996),"")</f>
        <v>46.5</v>
      </c>
      <c r="H102" s="92">
        <v>6.9749999999999996</v>
      </c>
      <c r="I102" s="13">
        <v>0</v>
      </c>
      <c r="J102" s="13">
        <v>0</v>
      </c>
      <c r="K102" s="13"/>
      <c r="L102"/>
      <c r="M102"/>
      <c r="N102"/>
      <c r="O102"/>
      <c r="P102"/>
      <c r="Q102"/>
      <c r="R102"/>
      <c r="S102"/>
      <c r="T102"/>
      <c r="U102"/>
      <c r="V102"/>
      <c r="W102"/>
      <c r="X102"/>
      <c r="Y102"/>
      <c r="Z102"/>
      <c r="AA102"/>
      <c r="AB102"/>
      <c r="AC102"/>
      <c r="AD102"/>
      <c r="AE102"/>
      <c r="AF102"/>
      <c r="AG102"/>
      <c r="AH102"/>
      <c r="AI102"/>
      <c r="AJ102"/>
      <c r="AK102"/>
      <c r="AL102"/>
    </row>
    <row r="103" spans="1:38" ht="15.75" customHeight="1" outlineLevel="3" x14ac:dyDescent="0.2">
      <c r="A103" s="10">
        <v>10</v>
      </c>
      <c r="B103" s="10" t="s">
        <v>71</v>
      </c>
      <c r="C103" s="10" t="s">
        <v>97</v>
      </c>
      <c r="D103" s="10" t="s">
        <v>86</v>
      </c>
      <c r="E103" s="11" t="str">
        <f t="array" ref="E103">_xlfn.XLOOKUP(D103,Insumos!B:B,Insumos!C:$C)</f>
        <v>M</v>
      </c>
      <c r="F103" s="14">
        <v>1</v>
      </c>
      <c r="G103" s="92">
        <f t="array" ref="G103">IF(B103="insumo",_xlfn.XLOOKUP($D103,Insumos!$B$1:$B$996,Insumos!$D$1:$D$996),"")</f>
        <v>7.3900000000000006</v>
      </c>
      <c r="H103" s="92">
        <v>7.39</v>
      </c>
      <c r="I103" s="13">
        <v>0</v>
      </c>
      <c r="J103" s="13">
        <v>0</v>
      </c>
      <c r="K103" s="13"/>
      <c r="L103"/>
      <c r="M103"/>
      <c r="N103"/>
      <c r="O103"/>
      <c r="P103"/>
      <c r="Q103"/>
      <c r="R103"/>
      <c r="S103"/>
      <c r="T103"/>
      <c r="U103"/>
      <c r="V103"/>
      <c r="W103"/>
      <c r="X103"/>
      <c r="Y103"/>
      <c r="Z103"/>
      <c r="AA103"/>
      <c r="AB103"/>
      <c r="AC103"/>
      <c r="AD103"/>
      <c r="AE103"/>
      <c r="AF103"/>
      <c r="AG103"/>
      <c r="AH103"/>
      <c r="AI103"/>
      <c r="AJ103"/>
      <c r="AK103"/>
      <c r="AL103"/>
    </row>
    <row r="104" spans="1:38" ht="15.75" customHeight="1" outlineLevel="3" x14ac:dyDescent="0.2">
      <c r="A104" s="10">
        <v>40</v>
      </c>
      <c r="B104" s="10" t="s">
        <v>71</v>
      </c>
      <c r="C104" s="10" t="s">
        <v>97</v>
      </c>
      <c r="D104" s="10" t="s">
        <v>87</v>
      </c>
      <c r="E104" s="11" t="str">
        <f t="array" ref="E104">_xlfn.XLOOKUP(D104,Insumos!B:B,Insumos!C:$C)</f>
        <v>KG</v>
      </c>
      <c r="F104" s="14">
        <v>1</v>
      </c>
      <c r="G104" s="92">
        <f t="array" ref="G104">IF(B104="insumo",_xlfn.XLOOKUP($D104,Insumos!$B$1:$B$996,Insumos!$D$1:$D$996),"")</f>
        <v>18.13</v>
      </c>
      <c r="H104" s="92">
        <v>18.13</v>
      </c>
      <c r="I104" s="13">
        <v>0</v>
      </c>
      <c r="J104" s="13">
        <v>0</v>
      </c>
      <c r="K104" s="13"/>
      <c r="L104"/>
      <c r="M104"/>
      <c r="N104"/>
      <c r="O104"/>
      <c r="P104"/>
      <c r="Q104"/>
      <c r="R104"/>
      <c r="S104"/>
      <c r="T104"/>
      <c r="U104"/>
      <c r="V104"/>
      <c r="W104"/>
      <c r="X104"/>
      <c r="Y104"/>
      <c r="Z104"/>
      <c r="AA104"/>
      <c r="AB104"/>
      <c r="AC104"/>
      <c r="AD104"/>
      <c r="AE104"/>
      <c r="AF104"/>
      <c r="AG104"/>
      <c r="AH104"/>
      <c r="AI104"/>
      <c r="AJ104"/>
      <c r="AK104"/>
      <c r="AL104"/>
    </row>
    <row r="105" spans="1:38" ht="15.75" customHeight="1" outlineLevel="3" x14ac:dyDescent="0.2">
      <c r="A105" s="10">
        <v>10</v>
      </c>
      <c r="B105" s="10" t="s">
        <v>71</v>
      </c>
      <c r="C105" s="10" t="s">
        <v>97</v>
      </c>
      <c r="D105" s="10" t="s">
        <v>88</v>
      </c>
      <c r="E105" s="11" t="str">
        <f t="array" ref="E105">_xlfn.XLOOKUP(D105,Insumos!B:B,Insumos!C:$C)</f>
        <v>UN</v>
      </c>
      <c r="F105" s="14">
        <v>1.4999999999999999E-2</v>
      </c>
      <c r="G105" s="92">
        <f t="array" ref="G105">IF(B105="insumo",_xlfn.XLOOKUP($D105,Insumos!$B$1:$B$996,Insumos!$D$1:$D$996),"")</f>
        <v>185.37</v>
      </c>
      <c r="H105" s="92">
        <v>2.7805499999999999</v>
      </c>
      <c r="I105" s="13">
        <v>0</v>
      </c>
      <c r="J105" s="13">
        <v>0</v>
      </c>
      <c r="K105" s="13"/>
      <c r="L105"/>
      <c r="M105"/>
      <c r="N105"/>
      <c r="O105"/>
      <c r="P105"/>
      <c r="Q105"/>
      <c r="R105"/>
      <c r="S105"/>
      <c r="T105"/>
      <c r="U105"/>
      <c r="V105"/>
      <c r="W105"/>
      <c r="X105"/>
      <c r="Y105"/>
      <c r="Z105"/>
      <c r="AA105"/>
      <c r="AB105"/>
      <c r="AC105"/>
      <c r="AD105"/>
      <c r="AE105"/>
      <c r="AF105"/>
      <c r="AG105"/>
      <c r="AH105"/>
      <c r="AI105"/>
      <c r="AJ105"/>
      <c r="AK105"/>
      <c r="AL105"/>
    </row>
    <row r="106" spans="1:38" ht="15.75" customHeight="1" outlineLevel="3" x14ac:dyDescent="0.2">
      <c r="A106" s="10">
        <v>10</v>
      </c>
      <c r="B106" s="10" t="s">
        <v>71</v>
      </c>
      <c r="C106" s="10" t="s">
        <v>97</v>
      </c>
      <c r="D106" s="10" t="s">
        <v>89</v>
      </c>
      <c r="E106" s="11" t="str">
        <f t="array" ref="E106">_xlfn.XLOOKUP(D106,Insumos!B:B,Insumos!C:$C)</f>
        <v>VB</v>
      </c>
      <c r="F106" s="14">
        <v>1</v>
      </c>
      <c r="G106" s="92">
        <f t="array" ref="G106">IF(B106="insumo",_xlfn.XLOOKUP($D106,Insumos!$B$1:$B$996,Insumos!$D$1:$D$996),"")</f>
        <v>215</v>
      </c>
      <c r="H106" s="92">
        <v>215</v>
      </c>
      <c r="I106" s="13">
        <v>0</v>
      </c>
      <c r="J106" s="13">
        <v>0</v>
      </c>
      <c r="K106" s="13"/>
      <c r="L106"/>
      <c r="M106"/>
      <c r="N106"/>
      <c r="O106"/>
      <c r="P106"/>
      <c r="Q106"/>
      <c r="R106"/>
      <c r="S106"/>
      <c r="T106"/>
      <c r="U106"/>
      <c r="V106"/>
      <c r="W106"/>
      <c r="X106"/>
      <c r="Y106"/>
      <c r="Z106"/>
      <c r="AA106"/>
      <c r="AB106"/>
      <c r="AC106"/>
      <c r="AD106"/>
      <c r="AE106"/>
      <c r="AF106"/>
      <c r="AG106"/>
      <c r="AH106"/>
      <c r="AI106"/>
      <c r="AJ106"/>
      <c r="AK106"/>
      <c r="AL106"/>
    </row>
    <row r="107" spans="1:38" ht="15.75" customHeight="1" outlineLevel="3" x14ac:dyDescent="0.2">
      <c r="A107" s="10">
        <v>10</v>
      </c>
      <c r="B107" s="10" t="s">
        <v>71</v>
      </c>
      <c r="C107" s="10" t="s">
        <v>97</v>
      </c>
      <c r="D107" s="10" t="s">
        <v>90</v>
      </c>
      <c r="E107" s="11" t="str">
        <f t="array" ref="E107">_xlfn.XLOOKUP(D107,Insumos!B:B,Insumos!C:$C)</f>
        <v>M2</v>
      </c>
      <c r="F107" s="14">
        <v>1</v>
      </c>
      <c r="G107" s="92">
        <f t="array" ref="G107">IF(B107="insumo",_xlfn.XLOOKUP($D107,Insumos!$B$1:$B$996,Insumos!$D$1:$D$996),"")</f>
        <v>50</v>
      </c>
      <c r="H107" s="92">
        <v>50</v>
      </c>
      <c r="I107" s="13">
        <v>0</v>
      </c>
      <c r="J107" s="13">
        <v>0</v>
      </c>
      <c r="K107" s="13"/>
      <c r="L107"/>
      <c r="M107"/>
      <c r="N107"/>
      <c r="O107"/>
      <c r="P107"/>
      <c r="Q107"/>
      <c r="R107"/>
      <c r="S107"/>
      <c r="T107"/>
      <c r="U107"/>
      <c r="V107"/>
      <c r="W107"/>
      <c r="X107"/>
      <c r="Y107"/>
      <c r="Z107"/>
      <c r="AA107"/>
      <c r="AB107"/>
      <c r="AC107"/>
      <c r="AD107"/>
      <c r="AE107"/>
      <c r="AF107"/>
      <c r="AG107"/>
      <c r="AH107"/>
      <c r="AI107"/>
      <c r="AJ107"/>
      <c r="AK107"/>
      <c r="AL107"/>
    </row>
    <row r="108" spans="1:38" ht="15.75" customHeight="1" outlineLevel="2" x14ac:dyDescent="0.2">
      <c r="A108" s="1067">
        <v>1</v>
      </c>
      <c r="B108" s="1067" t="s">
        <v>68</v>
      </c>
      <c r="C108" s="1067" t="s">
        <v>98</v>
      </c>
      <c r="D108" s="1067" t="s">
        <v>98</v>
      </c>
      <c r="E108" s="1068" t="s">
        <v>70</v>
      </c>
      <c r="F108" s="1067"/>
      <c r="G108" s="1069" t="str">
        <f t="array" ref="G108">IF(B108="insumo",_xlfn.XLOOKUP($D108,Insumos!$B$1:$B$996,Insumos!$D$1:$D$996),"")</f>
        <v/>
      </c>
      <c r="H108" s="1069">
        <v>454.54489999999998</v>
      </c>
      <c r="I108" s="1070">
        <v>0</v>
      </c>
      <c r="J108" s="1070">
        <v>0</v>
      </c>
      <c r="K108" s="1070"/>
      <c r="L108"/>
      <c r="M108"/>
      <c r="N108"/>
      <c r="O108"/>
      <c r="P108"/>
      <c r="Q108"/>
      <c r="R108"/>
      <c r="S108"/>
      <c r="T108"/>
      <c r="U108"/>
      <c r="V108"/>
      <c r="W108"/>
      <c r="X108"/>
      <c r="Y108"/>
      <c r="Z108"/>
      <c r="AA108"/>
      <c r="AB108"/>
      <c r="AC108"/>
      <c r="AD108"/>
      <c r="AE108"/>
      <c r="AF108"/>
      <c r="AG108"/>
      <c r="AH108"/>
      <c r="AI108"/>
      <c r="AJ108"/>
      <c r="AK108"/>
      <c r="AL108"/>
    </row>
    <row r="109" spans="1:38" ht="15.75" customHeight="1" outlineLevel="3" x14ac:dyDescent="0.2">
      <c r="A109" s="10">
        <v>11</v>
      </c>
      <c r="B109" s="10" t="s">
        <v>71</v>
      </c>
      <c r="C109" s="10" t="s">
        <v>98</v>
      </c>
      <c r="D109" s="10" t="s">
        <v>82</v>
      </c>
      <c r="E109" s="11" t="str">
        <f t="array" ref="E109">_xlfn.XLOOKUP(D109,Insumos!B:B,Insumos!C:$C)</f>
        <v>M2</v>
      </c>
      <c r="F109" s="14">
        <v>0.59099999999999997</v>
      </c>
      <c r="G109" s="92">
        <f t="array" ref="G109">IF(B109="insumo",_xlfn.XLOOKUP($D109,Insumos!$B$1:$B$996,Insumos!$D$1:$D$996),"")</f>
        <v>46.5</v>
      </c>
      <c r="H109" s="92">
        <v>27.4815</v>
      </c>
      <c r="I109" s="13">
        <v>0</v>
      </c>
      <c r="J109" s="13">
        <v>0</v>
      </c>
      <c r="K109" s="13"/>
      <c r="L109"/>
      <c r="M109"/>
      <c r="N109"/>
      <c r="O109"/>
      <c r="P109"/>
      <c r="Q109"/>
      <c r="R109"/>
      <c r="S109"/>
      <c r="T109"/>
      <c r="U109"/>
      <c r="V109"/>
      <c r="W109"/>
      <c r="X109"/>
      <c r="Y109"/>
      <c r="Z109"/>
      <c r="AA109"/>
      <c r="AB109"/>
      <c r="AC109"/>
      <c r="AD109"/>
      <c r="AE109"/>
      <c r="AF109"/>
      <c r="AG109"/>
      <c r="AH109"/>
      <c r="AI109"/>
      <c r="AJ109"/>
      <c r="AK109"/>
      <c r="AL109"/>
    </row>
    <row r="110" spans="1:38" ht="15.75" customHeight="1" outlineLevel="3" x14ac:dyDescent="0.2">
      <c r="A110" s="10">
        <v>10</v>
      </c>
      <c r="B110" s="10" t="s">
        <v>71</v>
      </c>
      <c r="C110" s="10" t="s">
        <v>98</v>
      </c>
      <c r="D110" s="10" t="s">
        <v>83</v>
      </c>
      <c r="E110" s="11" t="str">
        <f t="array" ref="E110">_xlfn.XLOOKUP(D110,Insumos!B:B,Insumos!C:$C)</f>
        <v>UN</v>
      </c>
      <c r="F110" s="14">
        <v>0.40400000000000003</v>
      </c>
      <c r="G110" s="92">
        <f t="array" ref="G110">IF(B110="insumo",_xlfn.XLOOKUP($D110,Insumos!$B$1:$B$996,Insumos!$D$1:$D$996),"")</f>
        <v>58.46</v>
      </c>
      <c r="H110" s="92">
        <v>23.617840000000001</v>
      </c>
      <c r="I110" s="13">
        <v>0</v>
      </c>
      <c r="J110" s="13">
        <v>0</v>
      </c>
      <c r="K110" s="13"/>
      <c r="L110"/>
      <c r="M110"/>
      <c r="N110"/>
      <c r="O110"/>
      <c r="P110"/>
      <c r="Q110"/>
      <c r="R110"/>
      <c r="S110"/>
      <c r="T110"/>
      <c r="U110"/>
      <c r="V110"/>
      <c r="W110"/>
      <c r="X110"/>
      <c r="Y110"/>
      <c r="Z110"/>
      <c r="AA110"/>
      <c r="AB110"/>
      <c r="AC110"/>
      <c r="AD110"/>
      <c r="AE110"/>
      <c r="AF110"/>
      <c r="AG110"/>
      <c r="AH110"/>
      <c r="AI110"/>
      <c r="AJ110"/>
      <c r="AK110"/>
      <c r="AL110"/>
    </row>
    <row r="111" spans="1:38" ht="15.75" customHeight="1" outlineLevel="3" x14ac:dyDescent="0.2">
      <c r="A111" s="10">
        <v>25</v>
      </c>
      <c r="B111" s="10" t="s">
        <v>71</v>
      </c>
      <c r="C111" s="10" t="s">
        <v>98</v>
      </c>
      <c r="D111" s="10" t="s">
        <v>84</v>
      </c>
      <c r="E111" s="11" t="str">
        <f t="array" ref="E111">_xlfn.XLOOKUP(D111,Insumos!B:B,Insumos!C:$C)</f>
        <v>M</v>
      </c>
      <c r="F111" s="14">
        <v>4.3899999999999997</v>
      </c>
      <c r="G111" s="92">
        <f t="array" ref="G111">IF(B111="insumo",_xlfn.XLOOKUP($D111,Insumos!$B$1:$B$996,Insumos!$D$1:$D$996),"")</f>
        <v>7</v>
      </c>
      <c r="H111" s="92">
        <v>30.73</v>
      </c>
      <c r="I111" s="13">
        <v>0</v>
      </c>
      <c r="J111" s="13">
        <v>0</v>
      </c>
      <c r="K111" s="13"/>
      <c r="L111"/>
      <c r="M111"/>
      <c r="N111"/>
      <c r="O111"/>
      <c r="P111"/>
      <c r="Q111"/>
      <c r="R111"/>
      <c r="S111"/>
      <c r="T111"/>
      <c r="U111"/>
      <c r="V111"/>
      <c r="W111"/>
      <c r="X111"/>
      <c r="Y111"/>
      <c r="Z111"/>
      <c r="AA111"/>
      <c r="AB111"/>
      <c r="AC111"/>
      <c r="AD111"/>
      <c r="AE111"/>
      <c r="AF111"/>
      <c r="AG111"/>
      <c r="AH111"/>
      <c r="AI111"/>
      <c r="AJ111"/>
      <c r="AK111"/>
      <c r="AL111"/>
    </row>
    <row r="112" spans="1:38" ht="15.75" customHeight="1" outlineLevel="3" x14ac:dyDescent="0.2">
      <c r="A112" s="10">
        <v>11</v>
      </c>
      <c r="B112" s="10" t="s">
        <v>71</v>
      </c>
      <c r="C112" s="10" t="s">
        <v>98</v>
      </c>
      <c r="D112" s="10" t="s">
        <v>85</v>
      </c>
      <c r="E112" s="11" t="str">
        <f t="array" ref="E112">_xlfn.XLOOKUP(D112,Insumos!B:B,Insumos!C:$C)</f>
        <v>M2</v>
      </c>
      <c r="F112" s="14">
        <v>0.15</v>
      </c>
      <c r="G112" s="92">
        <f t="array" ref="G112">IF(B112="insumo",_xlfn.XLOOKUP($D112,Insumos!$B$1:$B$996,Insumos!$D$1:$D$996),"")</f>
        <v>46.5</v>
      </c>
      <c r="H112" s="92">
        <v>6.9749999999999996</v>
      </c>
      <c r="I112" s="13">
        <v>0</v>
      </c>
      <c r="J112" s="13">
        <v>0</v>
      </c>
      <c r="K112" s="13"/>
      <c r="L112"/>
      <c r="M112"/>
      <c r="N112"/>
      <c r="O112"/>
      <c r="P112"/>
      <c r="Q112"/>
      <c r="R112"/>
      <c r="S112"/>
      <c r="T112"/>
      <c r="U112"/>
      <c r="V112"/>
      <c r="W112"/>
      <c r="X112"/>
      <c r="Y112"/>
      <c r="Z112"/>
      <c r="AA112"/>
      <c r="AB112"/>
      <c r="AC112"/>
      <c r="AD112"/>
      <c r="AE112"/>
      <c r="AF112"/>
      <c r="AG112"/>
      <c r="AH112"/>
      <c r="AI112"/>
      <c r="AJ112"/>
      <c r="AK112"/>
      <c r="AL112"/>
    </row>
    <row r="113" spans="1:38" ht="15.75" customHeight="1" outlineLevel="3" x14ac:dyDescent="0.2">
      <c r="A113" s="10">
        <v>10</v>
      </c>
      <c r="B113" s="10" t="s">
        <v>71</v>
      </c>
      <c r="C113" s="10" t="s">
        <v>98</v>
      </c>
      <c r="D113" s="10" t="s">
        <v>86</v>
      </c>
      <c r="E113" s="11" t="str">
        <f t="array" ref="E113">_xlfn.XLOOKUP(D113,Insumos!B:B,Insumos!C:$C)</f>
        <v>M</v>
      </c>
      <c r="F113" s="14">
        <v>1</v>
      </c>
      <c r="G113" s="92">
        <f t="array" ref="G113">IF(B113="insumo",_xlfn.XLOOKUP($D113,Insumos!$B$1:$B$996,Insumos!$D$1:$D$996),"")</f>
        <v>7.3900000000000006</v>
      </c>
      <c r="H113" s="92">
        <v>7.39</v>
      </c>
      <c r="I113" s="13">
        <v>0</v>
      </c>
      <c r="J113" s="13">
        <v>0</v>
      </c>
      <c r="K113" s="13"/>
      <c r="L113"/>
      <c r="M113"/>
      <c r="N113"/>
      <c r="O113"/>
      <c r="P113"/>
      <c r="Q113"/>
      <c r="R113"/>
      <c r="S113"/>
      <c r="T113"/>
      <c r="U113"/>
      <c r="V113"/>
      <c r="W113"/>
      <c r="X113"/>
      <c r="Y113"/>
      <c r="Z113"/>
      <c r="AA113"/>
      <c r="AB113"/>
      <c r="AC113"/>
      <c r="AD113"/>
      <c r="AE113"/>
      <c r="AF113"/>
      <c r="AG113"/>
      <c r="AH113"/>
      <c r="AI113"/>
      <c r="AJ113"/>
      <c r="AK113"/>
      <c r="AL113"/>
    </row>
    <row r="114" spans="1:38" ht="15.75" customHeight="1" outlineLevel="3" x14ac:dyDescent="0.2">
      <c r="A114" s="10">
        <v>40</v>
      </c>
      <c r="B114" s="10" t="s">
        <v>71</v>
      </c>
      <c r="C114" s="10" t="s">
        <v>98</v>
      </c>
      <c r="D114" s="10" t="s">
        <v>87</v>
      </c>
      <c r="E114" s="11" t="str">
        <f t="array" ref="E114">_xlfn.XLOOKUP(D114,Insumos!B:B,Insumos!C:$C)</f>
        <v>KG</v>
      </c>
      <c r="F114" s="14">
        <v>1</v>
      </c>
      <c r="G114" s="92">
        <f t="array" ref="G114">IF(B114="insumo",_xlfn.XLOOKUP($D114,Insumos!$B$1:$B$996,Insumos!$D$1:$D$996),"")</f>
        <v>18.13</v>
      </c>
      <c r="H114" s="92">
        <v>18.13</v>
      </c>
      <c r="I114" s="13">
        <v>0</v>
      </c>
      <c r="J114" s="13">
        <v>0</v>
      </c>
      <c r="K114" s="13"/>
      <c r="L114"/>
      <c r="M114"/>
      <c r="N114"/>
      <c r="O114"/>
      <c r="P114"/>
      <c r="Q114"/>
      <c r="R114"/>
      <c r="S114"/>
      <c r="T114"/>
      <c r="U114"/>
      <c r="V114"/>
      <c r="W114"/>
      <c r="X114"/>
      <c r="Y114"/>
      <c r="Z114"/>
      <c r="AA114"/>
      <c r="AB114"/>
      <c r="AC114"/>
      <c r="AD114"/>
      <c r="AE114"/>
      <c r="AF114"/>
      <c r="AG114"/>
      <c r="AH114"/>
      <c r="AI114"/>
      <c r="AJ114"/>
      <c r="AK114"/>
      <c r="AL114"/>
    </row>
    <row r="115" spans="1:38" ht="15.75" customHeight="1" outlineLevel="3" x14ac:dyDescent="0.2">
      <c r="A115" s="10">
        <v>9</v>
      </c>
      <c r="B115" s="10" t="s">
        <v>71</v>
      </c>
      <c r="C115" s="10" t="s">
        <v>98</v>
      </c>
      <c r="D115" s="10" t="s">
        <v>74</v>
      </c>
      <c r="E115" s="11" t="str">
        <f t="array" ref="E115">_xlfn.XLOOKUP(D115,Insumos!B:B,Insumos!C:$C)</f>
        <v>M3</v>
      </c>
      <c r="F115" s="14">
        <v>7.3999999999999996E-2</v>
      </c>
      <c r="G115" s="92">
        <f t="array" ref="G115">IF(B115="insumo",_xlfn.XLOOKUP($D115,Insumos!$B$1:$B$996,Insumos!$D$1:$D$996),"")</f>
        <v>490</v>
      </c>
      <c r="H115" s="92">
        <v>36.26</v>
      </c>
      <c r="I115" s="13">
        <v>0</v>
      </c>
      <c r="J115" s="13">
        <v>0</v>
      </c>
      <c r="K115" s="13"/>
      <c r="L115"/>
      <c r="M115"/>
      <c r="N115"/>
      <c r="O115"/>
      <c r="P115"/>
      <c r="Q115"/>
      <c r="R115"/>
      <c r="S115"/>
      <c r="T115"/>
      <c r="U115"/>
      <c r="V115"/>
      <c r="W115"/>
      <c r="X115"/>
      <c r="Y115"/>
      <c r="Z115"/>
      <c r="AA115"/>
      <c r="AB115"/>
      <c r="AC115"/>
      <c r="AD115"/>
      <c r="AE115"/>
      <c r="AF115"/>
      <c r="AG115"/>
      <c r="AH115"/>
      <c r="AI115"/>
      <c r="AJ115"/>
      <c r="AK115"/>
      <c r="AL115"/>
    </row>
    <row r="116" spans="1:38" ht="15.75" customHeight="1" outlineLevel="3" x14ac:dyDescent="0.2">
      <c r="A116" s="10">
        <v>2</v>
      </c>
      <c r="B116" s="10" t="s">
        <v>71</v>
      </c>
      <c r="C116" s="10" t="s">
        <v>98</v>
      </c>
      <c r="D116" s="10" t="s">
        <v>99</v>
      </c>
      <c r="E116" s="11" t="str">
        <f t="array" ref="E116">_xlfn.XLOOKUP(D116,Insumos!B:B,Insumos!C:$C)</f>
        <v>KG</v>
      </c>
      <c r="F116" s="14">
        <v>1.3339999999999999</v>
      </c>
      <c r="G116" s="92">
        <f t="array" ref="G116">IF(B116="insumo",_xlfn.XLOOKUP($D116,Insumos!$B$1:$B$996,Insumos!$D$1:$D$996),"")</f>
        <v>6.1</v>
      </c>
      <c r="H116" s="92">
        <v>8.1373999999999995</v>
      </c>
      <c r="I116" s="13">
        <v>0</v>
      </c>
      <c r="J116" s="13">
        <v>0</v>
      </c>
      <c r="K116" s="13"/>
      <c r="L116"/>
      <c r="M116"/>
      <c r="N116"/>
      <c r="O116"/>
      <c r="P116"/>
      <c r="Q116"/>
      <c r="R116"/>
      <c r="S116"/>
      <c r="T116"/>
      <c r="U116"/>
      <c r="V116"/>
      <c r="W116"/>
      <c r="X116"/>
      <c r="Y116"/>
      <c r="Z116"/>
      <c r="AA116"/>
      <c r="AB116"/>
      <c r="AC116"/>
      <c r="AD116"/>
      <c r="AE116"/>
      <c r="AF116"/>
      <c r="AG116"/>
      <c r="AH116"/>
      <c r="AI116"/>
      <c r="AJ116"/>
      <c r="AK116"/>
      <c r="AL116"/>
    </row>
    <row r="117" spans="1:38" ht="15.75" customHeight="1" outlineLevel="3" x14ac:dyDescent="0.2">
      <c r="A117" s="10">
        <v>2</v>
      </c>
      <c r="B117" s="10" t="s">
        <v>71</v>
      </c>
      <c r="C117" s="10" t="s">
        <v>98</v>
      </c>
      <c r="D117" s="10" t="s">
        <v>100</v>
      </c>
      <c r="E117" s="11" t="str">
        <f t="array" ref="E117">_xlfn.XLOOKUP(D117,Insumos!B:B,Insumos!C:$C)</f>
        <v>M2</v>
      </c>
      <c r="F117" s="14">
        <v>1.19</v>
      </c>
      <c r="G117" s="92">
        <f t="array" ref="G117">IF(B117="insumo",_xlfn.XLOOKUP($D117,Insumos!$B$1:$B$996,Insumos!$D$1:$D$996),"")</f>
        <v>21.31</v>
      </c>
      <c r="H117" s="92">
        <v>25.358899999999998</v>
      </c>
      <c r="I117" s="13">
        <v>0</v>
      </c>
      <c r="J117" s="13">
        <v>0</v>
      </c>
      <c r="K117" s="13"/>
      <c r="L117"/>
      <c r="M117"/>
      <c r="N117"/>
      <c r="O117"/>
      <c r="P117"/>
      <c r="Q117"/>
      <c r="R117"/>
      <c r="S117"/>
      <c r="T117"/>
      <c r="U117"/>
      <c r="V117"/>
      <c r="W117"/>
      <c r="X117"/>
      <c r="Y117"/>
      <c r="Z117"/>
      <c r="AA117"/>
      <c r="AB117"/>
      <c r="AC117"/>
      <c r="AD117"/>
      <c r="AE117"/>
      <c r="AF117"/>
      <c r="AG117"/>
      <c r="AH117"/>
      <c r="AI117"/>
      <c r="AJ117"/>
      <c r="AK117"/>
      <c r="AL117"/>
    </row>
    <row r="118" spans="1:38" ht="15.75" customHeight="1" outlineLevel="3" x14ac:dyDescent="0.2">
      <c r="A118" s="10">
        <v>2</v>
      </c>
      <c r="B118" s="10" t="s">
        <v>71</v>
      </c>
      <c r="C118" s="10" t="s">
        <v>98</v>
      </c>
      <c r="D118" s="10" t="s">
        <v>101</v>
      </c>
      <c r="E118" s="11" t="str">
        <f t="array" ref="E118">_xlfn.XLOOKUP(D118,Insumos!B:B,Insumos!C:$C)</f>
        <v>L</v>
      </c>
      <c r="F118" s="14">
        <v>0.18</v>
      </c>
      <c r="G118" s="92">
        <f t="array" ref="G118">IF(B118="insumo",_xlfn.XLOOKUP($D118,Insumos!$B$1:$B$996,Insumos!$D$1:$D$996),"")</f>
        <v>8.5</v>
      </c>
      <c r="H118" s="92">
        <v>1.53</v>
      </c>
      <c r="I118" s="13">
        <v>0</v>
      </c>
      <c r="J118" s="13">
        <v>0</v>
      </c>
      <c r="K118" s="13"/>
      <c r="L118"/>
      <c r="M118"/>
      <c r="N118"/>
      <c r="O118"/>
      <c r="P118"/>
      <c r="Q118"/>
      <c r="R118"/>
      <c r="S118"/>
      <c r="T118"/>
      <c r="U118"/>
      <c r="V118"/>
      <c r="W118"/>
      <c r="X118"/>
      <c r="Y118"/>
      <c r="Z118"/>
      <c r="AA118"/>
      <c r="AB118"/>
      <c r="AC118"/>
      <c r="AD118"/>
      <c r="AE118"/>
      <c r="AF118"/>
      <c r="AG118"/>
      <c r="AH118"/>
      <c r="AI118"/>
      <c r="AJ118"/>
      <c r="AK118"/>
      <c r="AL118"/>
    </row>
    <row r="119" spans="1:38" ht="15.75" customHeight="1" outlineLevel="3" x14ac:dyDescent="0.2">
      <c r="A119" s="10">
        <v>2</v>
      </c>
      <c r="B119" s="10" t="s">
        <v>71</v>
      </c>
      <c r="C119" s="10" t="s">
        <v>98</v>
      </c>
      <c r="D119" s="10" t="s">
        <v>102</v>
      </c>
      <c r="E119" s="11" t="str">
        <f t="array" ref="E119">_xlfn.XLOOKUP(D119,Insumos!B:B,Insumos!C:$C)</f>
        <v>KG</v>
      </c>
      <c r="F119" s="14">
        <v>0.06</v>
      </c>
      <c r="G119" s="92">
        <f t="array" ref="G119">IF(B119="insumo",_xlfn.XLOOKUP($D119,Insumos!$B$1:$B$996,Insumos!$D$1:$D$996),"")</f>
        <v>10</v>
      </c>
      <c r="H119" s="92">
        <v>0.6</v>
      </c>
      <c r="I119" s="13">
        <v>0</v>
      </c>
      <c r="J119" s="13">
        <v>0</v>
      </c>
      <c r="K119" s="13"/>
      <c r="L119"/>
      <c r="M119"/>
      <c r="N119"/>
      <c r="O119"/>
      <c r="P119"/>
      <c r="Q119"/>
      <c r="R119"/>
      <c r="S119"/>
      <c r="T119"/>
      <c r="U119"/>
      <c r="V119"/>
      <c r="W119"/>
      <c r="X119"/>
      <c r="Y119"/>
      <c r="Z119"/>
      <c r="AA119"/>
      <c r="AB119"/>
      <c r="AC119"/>
      <c r="AD119"/>
      <c r="AE119"/>
      <c r="AF119"/>
      <c r="AG119"/>
      <c r="AH119"/>
      <c r="AI119"/>
      <c r="AJ119"/>
      <c r="AK119"/>
      <c r="AL119"/>
    </row>
    <row r="120" spans="1:38" ht="15.75" customHeight="1" outlineLevel="3" x14ac:dyDescent="0.2">
      <c r="A120" s="10">
        <v>2</v>
      </c>
      <c r="B120" s="10" t="s">
        <v>71</v>
      </c>
      <c r="C120" s="10" t="s">
        <v>98</v>
      </c>
      <c r="D120" s="10" t="s">
        <v>103</v>
      </c>
      <c r="E120" s="11" t="str">
        <f t="array" ref="E120">_xlfn.XLOOKUP(D120,Insumos!B:B,Insumos!C:$C)</f>
        <v>L</v>
      </c>
      <c r="F120" s="14">
        <v>0.03</v>
      </c>
      <c r="G120" s="92">
        <f t="array" ref="G120">IF(B120="insumo",_xlfn.XLOOKUP($D120,Insumos!$B$1:$B$996,Insumos!$D$1:$D$996),"")</f>
        <v>16</v>
      </c>
      <c r="H120" s="92">
        <v>0.48</v>
      </c>
      <c r="I120" s="13">
        <v>0</v>
      </c>
      <c r="J120" s="13">
        <v>0</v>
      </c>
      <c r="K120" s="13"/>
      <c r="L120"/>
      <c r="M120"/>
      <c r="N120"/>
      <c r="O120"/>
      <c r="P120"/>
      <c r="Q120"/>
      <c r="R120"/>
      <c r="S120"/>
      <c r="T120"/>
      <c r="U120"/>
      <c r="V120"/>
      <c r="W120"/>
      <c r="X120"/>
      <c r="Y120"/>
      <c r="Z120"/>
      <c r="AA120"/>
      <c r="AB120"/>
      <c r="AC120"/>
      <c r="AD120"/>
      <c r="AE120"/>
      <c r="AF120"/>
      <c r="AG120"/>
      <c r="AH120"/>
      <c r="AI120"/>
      <c r="AJ120"/>
      <c r="AK120"/>
      <c r="AL120"/>
    </row>
    <row r="121" spans="1:38" ht="15.75" customHeight="1" outlineLevel="3" x14ac:dyDescent="0.2">
      <c r="A121" s="10">
        <v>36</v>
      </c>
      <c r="B121" s="10" t="s">
        <v>71</v>
      </c>
      <c r="C121" s="10" t="s">
        <v>98</v>
      </c>
      <c r="D121" s="10" t="s">
        <v>104</v>
      </c>
      <c r="E121" s="11" t="str">
        <f t="array" ref="E121">_xlfn.XLOOKUP(D121,Insumos!B:B,Insumos!C:$C)</f>
        <v>UN</v>
      </c>
      <c r="F121" s="14">
        <v>3.9E-2</v>
      </c>
      <c r="G121" s="92">
        <f t="array" ref="G121">IF(B121="insumo",_xlfn.XLOOKUP($D121,Insumos!$B$1:$B$996,Insumos!$D$1:$D$996),"")</f>
        <v>1.89</v>
      </c>
      <c r="H121" s="92">
        <v>7.3709999999999998E-2</v>
      </c>
      <c r="I121" s="13">
        <v>0</v>
      </c>
      <c r="J121" s="13">
        <v>0</v>
      </c>
      <c r="K121" s="13"/>
      <c r="L121"/>
      <c r="M121"/>
      <c r="N121"/>
      <c r="O121"/>
      <c r="P121"/>
      <c r="Q121"/>
      <c r="R121"/>
      <c r="S121"/>
      <c r="T121"/>
      <c r="U121"/>
      <c r="V121"/>
      <c r="W121"/>
      <c r="X121"/>
      <c r="Y121"/>
      <c r="Z121"/>
      <c r="AA121"/>
      <c r="AB121"/>
      <c r="AC121"/>
      <c r="AD121"/>
      <c r="AE121"/>
      <c r="AF121"/>
      <c r="AG121"/>
      <c r="AH121"/>
      <c r="AI121"/>
      <c r="AJ121"/>
      <c r="AK121"/>
      <c r="AL121"/>
    </row>
    <row r="122" spans="1:38" ht="15.75" customHeight="1" outlineLevel="3" x14ac:dyDescent="0.2">
      <c r="A122" s="10">
        <v>10</v>
      </c>
      <c r="B122" s="10" t="s">
        <v>71</v>
      </c>
      <c r="C122" s="10" t="s">
        <v>98</v>
      </c>
      <c r="D122" s="10" t="s">
        <v>88</v>
      </c>
      <c r="E122" s="11" t="str">
        <f t="array" ref="E122">_xlfn.XLOOKUP(D122,Insumos!B:B,Insumos!C:$C)</f>
        <v>UN</v>
      </c>
      <c r="F122" s="14">
        <v>1.4999999999999999E-2</v>
      </c>
      <c r="G122" s="92">
        <f t="array" ref="G122">IF(B122="insumo",_xlfn.XLOOKUP($D122,Insumos!$B$1:$B$996,Insumos!$D$1:$D$996),"")</f>
        <v>185.37</v>
      </c>
      <c r="H122" s="92">
        <v>2.7805499999999999</v>
      </c>
      <c r="I122" s="13">
        <v>0</v>
      </c>
      <c r="J122" s="13">
        <v>0</v>
      </c>
      <c r="K122" s="13"/>
      <c r="L122"/>
      <c r="M122"/>
      <c r="N122"/>
      <c r="O122"/>
      <c r="P122"/>
      <c r="Q122"/>
      <c r="R122"/>
      <c r="S122"/>
      <c r="T122"/>
      <c r="U122"/>
      <c r="V122"/>
      <c r="W122"/>
      <c r="X122"/>
      <c r="Y122"/>
      <c r="Z122"/>
      <c r="AA122"/>
      <c r="AB122"/>
      <c r="AC122"/>
      <c r="AD122"/>
      <c r="AE122"/>
      <c r="AF122"/>
      <c r="AG122"/>
      <c r="AH122"/>
      <c r="AI122"/>
      <c r="AJ122"/>
      <c r="AK122"/>
      <c r="AL122"/>
    </row>
    <row r="123" spans="1:38" ht="15.75" customHeight="1" outlineLevel="3" x14ac:dyDescent="0.2">
      <c r="A123" s="10">
        <v>10</v>
      </c>
      <c r="B123" s="10" t="s">
        <v>71</v>
      </c>
      <c r="C123" s="10" t="s">
        <v>98</v>
      </c>
      <c r="D123" s="10" t="s">
        <v>89</v>
      </c>
      <c r="E123" s="11" t="str">
        <f t="array" ref="E123">_xlfn.XLOOKUP(D123,Insumos!B:B,Insumos!C:$C)</f>
        <v>VB</v>
      </c>
      <c r="F123" s="14">
        <v>1</v>
      </c>
      <c r="G123" s="92">
        <f t="array" ref="G123">IF(B123="insumo",_xlfn.XLOOKUP($D123,Insumos!$B$1:$B$996,Insumos!$D$1:$D$996),"")</f>
        <v>215</v>
      </c>
      <c r="H123" s="92">
        <v>215</v>
      </c>
      <c r="I123" s="13">
        <v>0</v>
      </c>
      <c r="J123" s="13">
        <v>0</v>
      </c>
      <c r="K123" s="13"/>
      <c r="L123"/>
      <c r="M123"/>
      <c r="N123"/>
      <c r="O123"/>
      <c r="P123"/>
      <c r="Q123"/>
      <c r="R123"/>
      <c r="S123"/>
      <c r="T123"/>
      <c r="U123"/>
      <c r="V123"/>
      <c r="W123"/>
      <c r="X123"/>
      <c r="Y123"/>
      <c r="Z123"/>
      <c r="AA123"/>
      <c r="AB123"/>
      <c r="AC123"/>
      <c r="AD123"/>
      <c r="AE123"/>
      <c r="AF123"/>
      <c r="AG123"/>
      <c r="AH123"/>
      <c r="AI123"/>
      <c r="AJ123"/>
      <c r="AK123"/>
      <c r="AL123"/>
    </row>
    <row r="124" spans="1:38" ht="15.75" customHeight="1" outlineLevel="3" x14ac:dyDescent="0.2">
      <c r="A124" s="10">
        <v>10</v>
      </c>
      <c r="B124" s="10" t="s">
        <v>71</v>
      </c>
      <c r="C124" s="10" t="s">
        <v>98</v>
      </c>
      <c r="D124" s="10" t="s">
        <v>90</v>
      </c>
      <c r="E124" s="11" t="str">
        <f t="array" ref="E124">_xlfn.XLOOKUP(D124,Insumos!B:B,Insumos!C:$C)</f>
        <v>M2</v>
      </c>
      <c r="F124" s="14">
        <v>1</v>
      </c>
      <c r="G124" s="92">
        <f t="array" ref="G124">IF(B124="insumo",_xlfn.XLOOKUP($D124,Insumos!$B$1:$B$996,Insumos!$D$1:$D$996),"")</f>
        <v>50</v>
      </c>
      <c r="H124" s="92">
        <v>50</v>
      </c>
      <c r="I124" s="13">
        <v>0</v>
      </c>
      <c r="J124" s="13">
        <v>0</v>
      </c>
      <c r="K124" s="13"/>
      <c r="L124"/>
      <c r="M124"/>
      <c r="N124"/>
      <c r="O124"/>
      <c r="P124"/>
      <c r="Q124"/>
      <c r="R124"/>
      <c r="S124"/>
      <c r="T124"/>
      <c r="U124"/>
      <c r="V124"/>
      <c r="W124"/>
      <c r="X124"/>
      <c r="Y124"/>
      <c r="Z124"/>
      <c r="AA124"/>
      <c r="AB124"/>
      <c r="AC124"/>
      <c r="AD124"/>
      <c r="AE124"/>
      <c r="AF124"/>
      <c r="AG124"/>
      <c r="AH124"/>
      <c r="AI124"/>
      <c r="AJ124"/>
      <c r="AK124"/>
      <c r="AL124"/>
    </row>
    <row r="125" spans="1:38" ht="15.75" customHeight="1" outlineLevel="2" x14ac:dyDescent="0.2">
      <c r="A125" s="1067">
        <v>1</v>
      </c>
      <c r="B125" s="1067" t="s">
        <v>68</v>
      </c>
      <c r="C125" s="1067" t="s">
        <v>105</v>
      </c>
      <c r="D125" s="1067" t="s">
        <v>105</v>
      </c>
      <c r="E125" s="1068" t="s">
        <v>70</v>
      </c>
      <c r="F125" s="1067"/>
      <c r="G125" s="1069" t="str">
        <f t="array" ref="G125">IF(B125="insumo",_xlfn.XLOOKUP($D125,Insumos!$B$1:$B$996,Insumos!$D$1:$D$996),"")</f>
        <v/>
      </c>
      <c r="H125" s="1069">
        <v>454.54489999999998</v>
      </c>
      <c r="I125" s="1070">
        <v>0</v>
      </c>
      <c r="J125" s="1070">
        <v>0</v>
      </c>
      <c r="K125" s="1070"/>
      <c r="L125"/>
      <c r="M125"/>
      <c r="N125"/>
      <c r="O125"/>
      <c r="P125"/>
      <c r="Q125"/>
      <c r="R125"/>
      <c r="S125"/>
      <c r="T125"/>
      <c r="U125"/>
      <c r="V125"/>
      <c r="W125"/>
      <c r="X125"/>
      <c r="Y125"/>
      <c r="Z125"/>
      <c r="AA125"/>
      <c r="AB125"/>
      <c r="AC125"/>
      <c r="AD125"/>
      <c r="AE125"/>
      <c r="AF125"/>
      <c r="AG125"/>
      <c r="AH125"/>
      <c r="AI125"/>
      <c r="AJ125"/>
      <c r="AK125"/>
      <c r="AL125"/>
    </row>
    <row r="126" spans="1:38" ht="15.75" customHeight="1" outlineLevel="3" x14ac:dyDescent="0.2">
      <c r="A126" s="10">
        <v>11</v>
      </c>
      <c r="B126" s="10" t="s">
        <v>71</v>
      </c>
      <c r="C126" s="10" t="s">
        <v>105</v>
      </c>
      <c r="D126" s="10" t="s">
        <v>82</v>
      </c>
      <c r="E126" s="11" t="str">
        <f t="array" ref="E126">_xlfn.XLOOKUP(D126,Insumos!B:B,Insumos!C:$C)</f>
        <v>M2</v>
      </c>
      <c r="F126" s="14">
        <v>0.59099999999999997</v>
      </c>
      <c r="G126" s="92">
        <f t="array" ref="G126">IF(B126="insumo",_xlfn.XLOOKUP($D126,Insumos!$B$1:$B$996,Insumos!$D$1:$D$996),"")</f>
        <v>46.5</v>
      </c>
      <c r="H126" s="92">
        <v>27.4815</v>
      </c>
      <c r="I126" s="13">
        <v>0</v>
      </c>
      <c r="J126" s="13">
        <v>0</v>
      </c>
      <c r="K126" s="13"/>
      <c r="L126"/>
      <c r="M126"/>
      <c r="N126"/>
      <c r="O126"/>
      <c r="P126"/>
      <c r="Q126"/>
      <c r="R126"/>
      <c r="S126"/>
      <c r="T126"/>
      <c r="U126"/>
      <c r="V126"/>
      <c r="W126"/>
      <c r="X126"/>
      <c r="Y126"/>
      <c r="Z126"/>
      <c r="AA126"/>
      <c r="AB126"/>
      <c r="AC126"/>
      <c r="AD126"/>
      <c r="AE126"/>
      <c r="AF126"/>
      <c r="AG126"/>
      <c r="AH126"/>
      <c r="AI126"/>
      <c r="AJ126"/>
      <c r="AK126"/>
      <c r="AL126"/>
    </row>
    <row r="127" spans="1:38" ht="15.75" customHeight="1" outlineLevel="3" x14ac:dyDescent="0.2">
      <c r="A127" s="10">
        <v>10</v>
      </c>
      <c r="B127" s="10" t="s">
        <v>71</v>
      </c>
      <c r="C127" s="10" t="s">
        <v>105</v>
      </c>
      <c r="D127" s="10" t="s">
        <v>83</v>
      </c>
      <c r="E127" s="11" t="str">
        <f t="array" ref="E127">_xlfn.XLOOKUP(D127,Insumos!B:B,Insumos!C:$C)</f>
        <v>UN</v>
      </c>
      <c r="F127" s="14">
        <v>0.40400000000000003</v>
      </c>
      <c r="G127" s="92">
        <f t="array" ref="G127">IF(B127="insumo",_xlfn.XLOOKUP($D127,Insumos!$B$1:$B$996,Insumos!$D$1:$D$996),"")</f>
        <v>58.46</v>
      </c>
      <c r="H127" s="92">
        <v>23.617840000000001</v>
      </c>
      <c r="I127" s="13">
        <v>0</v>
      </c>
      <c r="J127" s="13">
        <v>0</v>
      </c>
      <c r="K127" s="13"/>
      <c r="L127"/>
      <c r="M127"/>
      <c r="N127"/>
      <c r="O127"/>
      <c r="P127"/>
      <c r="Q127"/>
      <c r="R127"/>
      <c r="S127"/>
      <c r="T127"/>
      <c r="U127"/>
      <c r="V127"/>
      <c r="W127"/>
      <c r="X127"/>
      <c r="Y127"/>
      <c r="Z127"/>
      <c r="AA127"/>
      <c r="AB127"/>
      <c r="AC127"/>
      <c r="AD127"/>
      <c r="AE127"/>
      <c r="AF127"/>
      <c r="AG127"/>
      <c r="AH127"/>
      <c r="AI127"/>
      <c r="AJ127"/>
      <c r="AK127"/>
      <c r="AL127"/>
    </row>
    <row r="128" spans="1:38" ht="15.75" customHeight="1" outlineLevel="3" x14ac:dyDescent="0.2">
      <c r="A128" s="10">
        <v>25</v>
      </c>
      <c r="B128" s="10" t="s">
        <v>71</v>
      </c>
      <c r="C128" s="10" t="s">
        <v>105</v>
      </c>
      <c r="D128" s="10" t="s">
        <v>84</v>
      </c>
      <c r="E128" s="11" t="str">
        <f t="array" ref="E128">_xlfn.XLOOKUP(D128,Insumos!B:B,Insumos!C:$C)</f>
        <v>M</v>
      </c>
      <c r="F128" s="14">
        <v>4.3899999999999997</v>
      </c>
      <c r="G128" s="92">
        <f t="array" ref="G128">IF(B128="insumo",_xlfn.XLOOKUP($D128,Insumos!$B$1:$B$996,Insumos!$D$1:$D$996),"")</f>
        <v>7</v>
      </c>
      <c r="H128" s="92">
        <v>30.73</v>
      </c>
      <c r="I128" s="13">
        <v>0</v>
      </c>
      <c r="J128" s="13">
        <v>0</v>
      </c>
      <c r="K128" s="13"/>
      <c r="L128"/>
      <c r="M128"/>
      <c r="N128"/>
      <c r="O128"/>
      <c r="P128"/>
      <c r="Q128"/>
      <c r="R128"/>
      <c r="S128"/>
      <c r="T128"/>
      <c r="U128"/>
      <c r="V128"/>
      <c r="W128"/>
      <c r="X128"/>
      <c r="Y128"/>
      <c r="Z128"/>
      <c r="AA128"/>
      <c r="AB128"/>
      <c r="AC128"/>
      <c r="AD128"/>
      <c r="AE128"/>
      <c r="AF128"/>
      <c r="AG128"/>
      <c r="AH128"/>
      <c r="AI128"/>
      <c r="AJ128"/>
      <c r="AK128"/>
      <c r="AL128"/>
    </row>
    <row r="129" spans="1:38" ht="15.75" customHeight="1" outlineLevel="3" x14ac:dyDescent="0.2">
      <c r="A129" s="10">
        <v>11</v>
      </c>
      <c r="B129" s="10" t="s">
        <v>71</v>
      </c>
      <c r="C129" s="10" t="s">
        <v>105</v>
      </c>
      <c r="D129" s="10" t="s">
        <v>85</v>
      </c>
      <c r="E129" s="11" t="str">
        <f t="array" ref="E129">_xlfn.XLOOKUP(D129,Insumos!B:B,Insumos!C:$C)</f>
        <v>M2</v>
      </c>
      <c r="F129" s="14">
        <v>0.15</v>
      </c>
      <c r="G129" s="92">
        <f t="array" ref="G129">IF(B129="insumo",_xlfn.XLOOKUP($D129,Insumos!$B$1:$B$996,Insumos!$D$1:$D$996),"")</f>
        <v>46.5</v>
      </c>
      <c r="H129" s="92">
        <v>6.9749999999999996</v>
      </c>
      <c r="I129" s="13">
        <v>0</v>
      </c>
      <c r="J129" s="13">
        <v>0</v>
      </c>
      <c r="K129" s="13"/>
      <c r="L129"/>
      <c r="M129"/>
      <c r="N129"/>
      <c r="O129"/>
      <c r="P129"/>
      <c r="Q129"/>
      <c r="R129"/>
      <c r="S129"/>
      <c r="T129"/>
      <c r="U129"/>
      <c r="V129"/>
      <c r="W129"/>
      <c r="X129"/>
      <c r="Y129"/>
      <c r="Z129"/>
      <c r="AA129"/>
      <c r="AB129"/>
      <c r="AC129"/>
      <c r="AD129"/>
      <c r="AE129"/>
      <c r="AF129"/>
      <c r="AG129"/>
      <c r="AH129"/>
      <c r="AI129"/>
      <c r="AJ129"/>
      <c r="AK129"/>
      <c r="AL129"/>
    </row>
    <row r="130" spans="1:38" ht="15.75" customHeight="1" outlineLevel="3" x14ac:dyDescent="0.2">
      <c r="A130" s="10">
        <v>10</v>
      </c>
      <c r="B130" s="10" t="s">
        <v>71</v>
      </c>
      <c r="C130" s="10" t="s">
        <v>105</v>
      </c>
      <c r="D130" s="10" t="s">
        <v>86</v>
      </c>
      <c r="E130" s="11" t="str">
        <f t="array" ref="E130">_xlfn.XLOOKUP(D130,Insumos!B:B,Insumos!C:$C)</f>
        <v>M</v>
      </c>
      <c r="F130" s="14">
        <v>1</v>
      </c>
      <c r="G130" s="92">
        <f t="array" ref="G130">IF(B130="insumo",_xlfn.XLOOKUP($D130,Insumos!$B$1:$B$996,Insumos!$D$1:$D$996),"")</f>
        <v>7.3900000000000006</v>
      </c>
      <c r="H130" s="92">
        <v>7.39</v>
      </c>
      <c r="I130" s="13">
        <v>0</v>
      </c>
      <c r="J130" s="13">
        <v>0</v>
      </c>
      <c r="K130" s="13"/>
      <c r="L130"/>
      <c r="M130"/>
      <c r="N130"/>
      <c r="O130"/>
      <c r="P130"/>
      <c r="Q130"/>
      <c r="R130"/>
      <c r="S130"/>
      <c r="T130"/>
      <c r="U130"/>
      <c r="V130"/>
      <c r="W130"/>
      <c r="X130"/>
      <c r="Y130"/>
      <c r="Z130"/>
      <c r="AA130"/>
      <c r="AB130"/>
      <c r="AC130"/>
      <c r="AD130"/>
      <c r="AE130"/>
      <c r="AF130"/>
      <c r="AG130"/>
      <c r="AH130"/>
      <c r="AI130"/>
      <c r="AJ130"/>
      <c r="AK130"/>
      <c r="AL130"/>
    </row>
    <row r="131" spans="1:38" ht="15.75" customHeight="1" outlineLevel="3" x14ac:dyDescent="0.2">
      <c r="A131" s="10">
        <v>40</v>
      </c>
      <c r="B131" s="10" t="s">
        <v>71</v>
      </c>
      <c r="C131" s="10" t="s">
        <v>105</v>
      </c>
      <c r="D131" s="10" t="s">
        <v>87</v>
      </c>
      <c r="E131" s="11" t="str">
        <f t="array" ref="E131">_xlfn.XLOOKUP(D131,Insumos!B:B,Insumos!C:$C)</f>
        <v>KG</v>
      </c>
      <c r="F131" s="14">
        <v>1</v>
      </c>
      <c r="G131" s="92">
        <f t="array" ref="G131">IF(B131="insumo",_xlfn.XLOOKUP($D131,Insumos!$B$1:$B$996,Insumos!$D$1:$D$996),"")</f>
        <v>18.13</v>
      </c>
      <c r="H131" s="92">
        <v>18.13</v>
      </c>
      <c r="I131" s="13">
        <v>0</v>
      </c>
      <c r="J131" s="13">
        <v>0</v>
      </c>
      <c r="K131" s="13"/>
      <c r="L131"/>
      <c r="M131"/>
      <c r="N131"/>
      <c r="O131"/>
      <c r="P131"/>
      <c r="Q131"/>
      <c r="R131"/>
      <c r="S131"/>
      <c r="T131"/>
      <c r="U131"/>
      <c r="V131"/>
      <c r="W131"/>
      <c r="X131"/>
      <c r="Y131"/>
      <c r="Z131"/>
      <c r="AA131"/>
      <c r="AB131"/>
      <c r="AC131"/>
      <c r="AD131"/>
      <c r="AE131"/>
      <c r="AF131"/>
      <c r="AG131"/>
      <c r="AH131"/>
      <c r="AI131"/>
      <c r="AJ131"/>
      <c r="AK131"/>
      <c r="AL131"/>
    </row>
    <row r="132" spans="1:38" ht="15.75" customHeight="1" outlineLevel="3" x14ac:dyDescent="0.2">
      <c r="A132" s="10">
        <v>9</v>
      </c>
      <c r="B132" s="10" t="s">
        <v>71</v>
      </c>
      <c r="C132" s="10" t="s">
        <v>105</v>
      </c>
      <c r="D132" s="10" t="s">
        <v>74</v>
      </c>
      <c r="E132" s="11" t="str">
        <f t="array" ref="E132">_xlfn.XLOOKUP(D132,Insumos!B:B,Insumos!C:$C)</f>
        <v>M3</v>
      </c>
      <c r="F132" s="14">
        <v>7.3999999999999996E-2</v>
      </c>
      <c r="G132" s="92">
        <f t="array" ref="G132">IF(B132="insumo",_xlfn.XLOOKUP($D132,Insumos!$B$1:$B$996,Insumos!$D$1:$D$996),"")</f>
        <v>490</v>
      </c>
      <c r="H132" s="92">
        <v>36.26</v>
      </c>
      <c r="I132" s="13">
        <v>0</v>
      </c>
      <c r="J132" s="13">
        <v>0</v>
      </c>
      <c r="K132" s="13"/>
      <c r="L132"/>
      <c r="M132"/>
      <c r="N132"/>
      <c r="O132"/>
      <c r="P132"/>
      <c r="Q132"/>
      <c r="R132"/>
      <c r="S132"/>
      <c r="T132"/>
      <c r="U132"/>
      <c r="V132"/>
      <c r="W132"/>
      <c r="X132"/>
      <c r="Y132"/>
      <c r="Z132"/>
      <c r="AA132"/>
      <c r="AB132"/>
      <c r="AC132"/>
      <c r="AD132"/>
      <c r="AE132"/>
      <c r="AF132"/>
      <c r="AG132"/>
      <c r="AH132"/>
      <c r="AI132"/>
      <c r="AJ132"/>
      <c r="AK132"/>
      <c r="AL132"/>
    </row>
    <row r="133" spans="1:38" ht="15.75" customHeight="1" outlineLevel="3" x14ac:dyDescent="0.2">
      <c r="A133" s="10">
        <v>2</v>
      </c>
      <c r="B133" s="10" t="s">
        <v>71</v>
      </c>
      <c r="C133" s="10" t="s">
        <v>105</v>
      </c>
      <c r="D133" s="10" t="s">
        <v>99</v>
      </c>
      <c r="E133" s="11" t="str">
        <f t="array" ref="E133">_xlfn.XLOOKUP(D133,Insumos!B:B,Insumos!C:$C)</f>
        <v>KG</v>
      </c>
      <c r="F133" s="14">
        <v>1.3339999999999999</v>
      </c>
      <c r="G133" s="92">
        <f t="array" ref="G133">IF(B133="insumo",_xlfn.XLOOKUP($D133,Insumos!$B$1:$B$996,Insumos!$D$1:$D$996),"")</f>
        <v>6.1</v>
      </c>
      <c r="H133" s="92">
        <v>8.1373999999999995</v>
      </c>
      <c r="I133" s="13">
        <v>0</v>
      </c>
      <c r="J133" s="13">
        <v>0</v>
      </c>
      <c r="K133" s="13"/>
      <c r="L133"/>
      <c r="M133"/>
      <c r="N133"/>
      <c r="O133"/>
      <c r="P133"/>
      <c r="Q133"/>
      <c r="R133"/>
      <c r="S133"/>
      <c r="T133"/>
      <c r="U133"/>
      <c r="V133"/>
      <c r="W133"/>
      <c r="X133"/>
      <c r="Y133"/>
      <c r="Z133"/>
      <c r="AA133"/>
      <c r="AB133"/>
      <c r="AC133"/>
      <c r="AD133"/>
      <c r="AE133"/>
      <c r="AF133"/>
      <c r="AG133"/>
      <c r="AH133"/>
      <c r="AI133"/>
      <c r="AJ133"/>
      <c r="AK133"/>
      <c r="AL133"/>
    </row>
    <row r="134" spans="1:38" ht="15.75" customHeight="1" outlineLevel="3" x14ac:dyDescent="0.2">
      <c r="A134" s="10">
        <v>2</v>
      </c>
      <c r="B134" s="10" t="s">
        <v>71</v>
      </c>
      <c r="C134" s="10" t="s">
        <v>105</v>
      </c>
      <c r="D134" s="10" t="s">
        <v>100</v>
      </c>
      <c r="E134" s="11" t="str">
        <f t="array" ref="E134">_xlfn.XLOOKUP(D134,Insumos!B:B,Insumos!C:$C)</f>
        <v>M2</v>
      </c>
      <c r="F134" s="14">
        <v>1.19</v>
      </c>
      <c r="G134" s="92">
        <f t="array" ref="G134">IF(B134="insumo",_xlfn.XLOOKUP($D134,Insumos!$B$1:$B$996,Insumos!$D$1:$D$996),"")</f>
        <v>21.31</v>
      </c>
      <c r="H134" s="92">
        <v>25.358899999999998</v>
      </c>
      <c r="I134" s="13">
        <v>0</v>
      </c>
      <c r="J134" s="13">
        <v>0</v>
      </c>
      <c r="K134" s="13"/>
      <c r="L134"/>
      <c r="M134"/>
      <c r="N134"/>
      <c r="O134"/>
      <c r="P134"/>
      <c r="Q134"/>
      <c r="R134"/>
      <c r="S134"/>
      <c r="T134"/>
      <c r="U134"/>
      <c r="V134"/>
      <c r="W134"/>
      <c r="X134"/>
      <c r="Y134"/>
      <c r="Z134"/>
      <c r="AA134"/>
      <c r="AB134"/>
      <c r="AC134"/>
      <c r="AD134"/>
      <c r="AE134"/>
      <c r="AF134"/>
      <c r="AG134"/>
      <c r="AH134"/>
      <c r="AI134"/>
      <c r="AJ134"/>
      <c r="AK134"/>
      <c r="AL134"/>
    </row>
    <row r="135" spans="1:38" ht="15.75" customHeight="1" outlineLevel="3" x14ac:dyDescent="0.2">
      <c r="A135" s="10">
        <v>2</v>
      </c>
      <c r="B135" s="10" t="s">
        <v>71</v>
      </c>
      <c r="C135" s="10" t="s">
        <v>105</v>
      </c>
      <c r="D135" s="10" t="s">
        <v>101</v>
      </c>
      <c r="E135" s="11" t="str">
        <f t="array" ref="E135">_xlfn.XLOOKUP(D135,Insumos!B:B,Insumos!C:$C)</f>
        <v>L</v>
      </c>
      <c r="F135" s="14">
        <v>0.18</v>
      </c>
      <c r="G135" s="92">
        <f t="array" ref="G135">IF(B135="insumo",_xlfn.XLOOKUP($D135,Insumos!$B$1:$B$996,Insumos!$D$1:$D$996),"")</f>
        <v>8.5</v>
      </c>
      <c r="H135" s="92">
        <v>1.53</v>
      </c>
      <c r="I135" s="13">
        <v>0</v>
      </c>
      <c r="J135" s="13">
        <v>0</v>
      </c>
      <c r="K135" s="13"/>
      <c r="L135"/>
      <c r="M135"/>
      <c r="N135"/>
      <c r="O135"/>
      <c r="P135"/>
      <c r="Q135"/>
      <c r="R135"/>
      <c r="S135"/>
      <c r="T135"/>
      <c r="U135"/>
      <c r="V135"/>
      <c r="W135"/>
      <c r="X135"/>
      <c r="Y135"/>
      <c r="Z135"/>
      <c r="AA135"/>
      <c r="AB135"/>
      <c r="AC135"/>
      <c r="AD135"/>
      <c r="AE135"/>
      <c r="AF135"/>
      <c r="AG135"/>
      <c r="AH135"/>
      <c r="AI135"/>
      <c r="AJ135"/>
      <c r="AK135"/>
      <c r="AL135"/>
    </row>
    <row r="136" spans="1:38" ht="15.75" customHeight="1" outlineLevel="3" x14ac:dyDescent="0.2">
      <c r="A136" s="10">
        <v>2</v>
      </c>
      <c r="B136" s="10" t="s">
        <v>71</v>
      </c>
      <c r="C136" s="10" t="s">
        <v>105</v>
      </c>
      <c r="D136" s="10" t="s">
        <v>102</v>
      </c>
      <c r="E136" s="11" t="str">
        <f t="array" ref="E136">_xlfn.XLOOKUP(D136,Insumos!B:B,Insumos!C:$C)</f>
        <v>KG</v>
      </c>
      <c r="F136" s="14">
        <v>0.06</v>
      </c>
      <c r="G136" s="92">
        <f t="array" ref="G136">IF(B136="insumo",_xlfn.XLOOKUP($D136,Insumos!$B$1:$B$996,Insumos!$D$1:$D$996),"")</f>
        <v>10</v>
      </c>
      <c r="H136" s="92">
        <v>0.6</v>
      </c>
      <c r="I136" s="13">
        <v>0</v>
      </c>
      <c r="J136" s="13">
        <v>0</v>
      </c>
      <c r="K136" s="13"/>
      <c r="L136"/>
      <c r="M136"/>
      <c r="N136"/>
      <c r="O136"/>
      <c r="P136"/>
      <c r="Q136"/>
      <c r="R136"/>
      <c r="S136"/>
      <c r="T136"/>
      <c r="U136"/>
      <c r="V136"/>
      <c r="W136"/>
      <c r="X136"/>
      <c r="Y136"/>
      <c r="Z136"/>
      <c r="AA136"/>
      <c r="AB136"/>
      <c r="AC136"/>
      <c r="AD136"/>
      <c r="AE136"/>
      <c r="AF136"/>
      <c r="AG136"/>
      <c r="AH136"/>
      <c r="AI136"/>
      <c r="AJ136"/>
      <c r="AK136"/>
      <c r="AL136"/>
    </row>
    <row r="137" spans="1:38" ht="15.75" customHeight="1" outlineLevel="3" x14ac:dyDescent="0.2">
      <c r="A137" s="10">
        <v>2</v>
      </c>
      <c r="B137" s="10" t="s">
        <v>71</v>
      </c>
      <c r="C137" s="10" t="s">
        <v>105</v>
      </c>
      <c r="D137" s="10" t="s">
        <v>103</v>
      </c>
      <c r="E137" s="11" t="str">
        <f t="array" ref="E137">_xlfn.XLOOKUP(D137,Insumos!B:B,Insumos!C:$C)</f>
        <v>L</v>
      </c>
      <c r="F137" s="14">
        <v>0.03</v>
      </c>
      <c r="G137" s="92">
        <f t="array" ref="G137">IF(B137="insumo",_xlfn.XLOOKUP($D137,Insumos!$B$1:$B$996,Insumos!$D$1:$D$996),"")</f>
        <v>16</v>
      </c>
      <c r="H137" s="92">
        <v>0.48</v>
      </c>
      <c r="I137" s="13">
        <v>0</v>
      </c>
      <c r="J137" s="13">
        <v>0</v>
      </c>
      <c r="K137" s="13"/>
      <c r="L137"/>
      <c r="M137"/>
      <c r="N137"/>
      <c r="O137"/>
      <c r="P137"/>
      <c r="Q137"/>
      <c r="R137"/>
      <c r="S137"/>
      <c r="T137"/>
      <c r="U137"/>
      <c r="V137"/>
      <c r="W137"/>
      <c r="X137"/>
      <c r="Y137"/>
      <c r="Z137"/>
      <c r="AA137"/>
      <c r="AB137"/>
      <c r="AC137"/>
      <c r="AD137"/>
      <c r="AE137"/>
      <c r="AF137"/>
      <c r="AG137"/>
      <c r="AH137"/>
      <c r="AI137"/>
      <c r="AJ137"/>
      <c r="AK137"/>
      <c r="AL137"/>
    </row>
    <row r="138" spans="1:38" ht="15.75" customHeight="1" outlineLevel="3" x14ac:dyDescent="0.2">
      <c r="A138" s="10">
        <v>36</v>
      </c>
      <c r="B138" s="10" t="s">
        <v>71</v>
      </c>
      <c r="C138" s="10" t="s">
        <v>105</v>
      </c>
      <c r="D138" s="10" t="s">
        <v>104</v>
      </c>
      <c r="E138" s="11" t="str">
        <f t="array" ref="E138">_xlfn.XLOOKUP(D138,Insumos!B:B,Insumos!C:$C)</f>
        <v>UN</v>
      </c>
      <c r="F138" s="14">
        <v>3.9E-2</v>
      </c>
      <c r="G138" s="92">
        <f t="array" ref="G138">IF(B138="insumo",_xlfn.XLOOKUP($D138,Insumos!$B$1:$B$996,Insumos!$D$1:$D$996),"")</f>
        <v>1.89</v>
      </c>
      <c r="H138" s="92">
        <v>7.3709999999999998E-2</v>
      </c>
      <c r="I138" s="13">
        <v>0</v>
      </c>
      <c r="J138" s="13">
        <v>0</v>
      </c>
      <c r="K138" s="13"/>
      <c r="L138"/>
      <c r="M138"/>
      <c r="N138"/>
      <c r="O138"/>
      <c r="P138"/>
      <c r="Q138"/>
      <c r="R138"/>
      <c r="S138"/>
      <c r="T138"/>
      <c r="U138"/>
      <c r="V138"/>
      <c r="W138"/>
      <c r="X138"/>
      <c r="Y138"/>
      <c r="Z138"/>
      <c r="AA138"/>
      <c r="AB138"/>
      <c r="AC138"/>
      <c r="AD138"/>
      <c r="AE138"/>
      <c r="AF138"/>
      <c r="AG138"/>
      <c r="AH138"/>
      <c r="AI138"/>
      <c r="AJ138"/>
      <c r="AK138"/>
      <c r="AL138"/>
    </row>
    <row r="139" spans="1:38" ht="15.75" customHeight="1" outlineLevel="3" x14ac:dyDescent="0.2">
      <c r="A139" s="10">
        <v>10</v>
      </c>
      <c r="B139" s="10" t="s">
        <v>71</v>
      </c>
      <c r="C139" s="10" t="s">
        <v>105</v>
      </c>
      <c r="D139" s="10" t="s">
        <v>88</v>
      </c>
      <c r="E139" s="11" t="str">
        <f t="array" ref="E139">_xlfn.XLOOKUP(D139,Insumos!B:B,Insumos!C:$C)</f>
        <v>UN</v>
      </c>
      <c r="F139" s="14">
        <v>1.4999999999999999E-2</v>
      </c>
      <c r="G139" s="92">
        <f t="array" ref="G139">IF(B139="insumo",_xlfn.XLOOKUP($D139,Insumos!$B$1:$B$996,Insumos!$D$1:$D$996),"")</f>
        <v>185.37</v>
      </c>
      <c r="H139" s="92">
        <v>2.7805499999999999</v>
      </c>
      <c r="I139" s="13">
        <v>0</v>
      </c>
      <c r="J139" s="13">
        <v>0</v>
      </c>
      <c r="K139" s="13"/>
      <c r="L139"/>
      <c r="M139"/>
      <c r="N139"/>
      <c r="O139"/>
      <c r="P139"/>
      <c r="Q139"/>
      <c r="R139"/>
      <c r="S139"/>
      <c r="T139"/>
      <c r="U139"/>
      <c r="V139"/>
      <c r="W139"/>
      <c r="X139"/>
      <c r="Y139"/>
      <c r="Z139"/>
      <c r="AA139"/>
      <c r="AB139"/>
      <c r="AC139"/>
      <c r="AD139"/>
      <c r="AE139"/>
      <c r="AF139"/>
      <c r="AG139"/>
      <c r="AH139"/>
      <c r="AI139"/>
      <c r="AJ139"/>
      <c r="AK139"/>
      <c r="AL139"/>
    </row>
    <row r="140" spans="1:38" ht="15.75" customHeight="1" outlineLevel="3" x14ac:dyDescent="0.2">
      <c r="A140" s="10">
        <v>10</v>
      </c>
      <c r="B140" s="10" t="s">
        <v>71</v>
      </c>
      <c r="C140" s="10" t="s">
        <v>105</v>
      </c>
      <c r="D140" s="10" t="s">
        <v>89</v>
      </c>
      <c r="E140" s="11" t="str">
        <f t="array" ref="E140">_xlfn.XLOOKUP(D140,Insumos!B:B,Insumos!C:$C)</f>
        <v>VB</v>
      </c>
      <c r="F140" s="14">
        <v>1</v>
      </c>
      <c r="G140" s="92">
        <f t="array" ref="G140">IF(B140="insumo",_xlfn.XLOOKUP($D140,Insumos!$B$1:$B$996,Insumos!$D$1:$D$996),"")</f>
        <v>215</v>
      </c>
      <c r="H140" s="92">
        <v>215</v>
      </c>
      <c r="I140" s="13">
        <v>0</v>
      </c>
      <c r="J140" s="13">
        <v>0</v>
      </c>
      <c r="K140" s="13"/>
      <c r="L140"/>
      <c r="M140"/>
      <c r="N140"/>
      <c r="O140"/>
      <c r="P140"/>
      <c r="Q140"/>
      <c r="R140"/>
      <c r="S140"/>
      <c r="T140"/>
      <c r="U140"/>
      <c r="V140"/>
      <c r="W140"/>
      <c r="X140"/>
      <c r="Y140"/>
      <c r="Z140"/>
      <c r="AA140"/>
      <c r="AB140"/>
      <c r="AC140"/>
      <c r="AD140"/>
      <c r="AE140"/>
      <c r="AF140"/>
      <c r="AG140"/>
      <c r="AH140"/>
      <c r="AI140"/>
      <c r="AJ140"/>
      <c r="AK140"/>
      <c r="AL140"/>
    </row>
    <row r="141" spans="1:38" ht="15.75" customHeight="1" outlineLevel="3" x14ac:dyDescent="0.2">
      <c r="A141" s="10">
        <v>10</v>
      </c>
      <c r="B141" s="10" t="s">
        <v>71</v>
      </c>
      <c r="C141" s="10" t="s">
        <v>105</v>
      </c>
      <c r="D141" s="10" t="s">
        <v>90</v>
      </c>
      <c r="E141" s="11" t="str">
        <f t="array" ref="E141">_xlfn.XLOOKUP(D141,Insumos!B:B,Insumos!C:$C)</f>
        <v>M2</v>
      </c>
      <c r="F141" s="14">
        <v>1</v>
      </c>
      <c r="G141" s="92">
        <f t="array" ref="G141">IF(B141="insumo",_xlfn.XLOOKUP($D141,Insumos!$B$1:$B$996,Insumos!$D$1:$D$996),"")</f>
        <v>50</v>
      </c>
      <c r="H141" s="92">
        <v>50</v>
      </c>
      <c r="I141" s="13">
        <v>0</v>
      </c>
      <c r="J141" s="13">
        <v>0</v>
      </c>
      <c r="K141" s="13"/>
      <c r="L141"/>
      <c r="M141"/>
      <c r="N141"/>
      <c r="O141"/>
      <c r="P141"/>
      <c r="Q141"/>
      <c r="R141"/>
      <c r="S141"/>
      <c r="T141"/>
      <c r="U141"/>
      <c r="V141"/>
      <c r="W141"/>
      <c r="X141"/>
      <c r="Y141"/>
      <c r="Z141"/>
      <c r="AA141"/>
      <c r="AB141"/>
      <c r="AC141"/>
      <c r="AD141"/>
      <c r="AE141"/>
      <c r="AF141"/>
      <c r="AG141"/>
      <c r="AH141"/>
      <c r="AI141"/>
      <c r="AJ141"/>
      <c r="AK141"/>
      <c r="AL141"/>
    </row>
    <row r="142" spans="1:38" ht="15.75" customHeight="1" outlineLevel="2" x14ac:dyDescent="0.2">
      <c r="A142" s="1067">
        <v>1</v>
      </c>
      <c r="B142" s="1067" t="s">
        <v>68</v>
      </c>
      <c r="C142" s="1067" t="s">
        <v>106</v>
      </c>
      <c r="D142" s="1067" t="s">
        <v>106</v>
      </c>
      <c r="E142" s="1068" t="s">
        <v>70</v>
      </c>
      <c r="F142" s="1067"/>
      <c r="G142" s="1069" t="str">
        <f t="array" ref="G142">IF(B142="insumo",_xlfn.XLOOKUP($D142,Insumos!$B$1:$B$996,Insumos!$D$1:$D$996),"")</f>
        <v/>
      </c>
      <c r="H142" s="1069">
        <v>7891.02</v>
      </c>
      <c r="I142" s="1070">
        <v>0</v>
      </c>
      <c r="J142" s="1070">
        <v>0</v>
      </c>
      <c r="K142" s="1070"/>
      <c r="L142"/>
      <c r="M142"/>
      <c r="N142"/>
      <c r="O142"/>
      <c r="P142"/>
      <c r="Q142"/>
      <c r="R142"/>
      <c r="S142"/>
      <c r="T142"/>
      <c r="U142"/>
      <c r="V142"/>
      <c r="W142"/>
      <c r="X142"/>
      <c r="Y142"/>
      <c r="Z142"/>
      <c r="AA142"/>
      <c r="AB142"/>
      <c r="AC142"/>
      <c r="AD142"/>
      <c r="AE142"/>
      <c r="AF142"/>
      <c r="AG142"/>
      <c r="AH142"/>
      <c r="AI142"/>
      <c r="AJ142"/>
      <c r="AK142"/>
      <c r="AL142"/>
    </row>
    <row r="143" spans="1:38" ht="15.75" customHeight="1" outlineLevel="3" x14ac:dyDescent="0.2">
      <c r="A143" s="10">
        <v>1</v>
      </c>
      <c r="B143" s="10" t="s">
        <v>71</v>
      </c>
      <c r="C143" s="10" t="s">
        <v>106</v>
      </c>
      <c r="D143" s="10" t="s">
        <v>107</v>
      </c>
      <c r="E143" s="11" t="str">
        <f t="array" ref="E143">_xlfn.XLOOKUP(D143,Insumos!B:B,Insumos!C:$C)</f>
        <v>UN</v>
      </c>
      <c r="F143" s="14">
        <v>3</v>
      </c>
      <c r="G143" s="92">
        <f t="array" ref="G143">IF(B143="insumo",_xlfn.XLOOKUP($D143,Insumos!$B$1:$B$996,Insumos!$D$1:$D$996),"")</f>
        <v>1052.1099999999999</v>
      </c>
      <c r="H143" s="92">
        <v>3156.33</v>
      </c>
      <c r="I143" s="13">
        <v>0</v>
      </c>
      <c r="J143" s="13">
        <v>0</v>
      </c>
      <c r="K143" s="13"/>
      <c r="L143"/>
      <c r="M143"/>
      <c r="N143"/>
      <c r="O143"/>
      <c r="P143"/>
      <c r="Q143"/>
      <c r="R143"/>
      <c r="S143"/>
      <c r="T143"/>
      <c r="U143"/>
      <c r="V143"/>
      <c r="W143"/>
      <c r="X143"/>
      <c r="Y143"/>
      <c r="Z143"/>
      <c r="AA143"/>
      <c r="AB143"/>
      <c r="AC143"/>
      <c r="AD143"/>
      <c r="AE143"/>
      <c r="AF143"/>
      <c r="AG143"/>
      <c r="AH143"/>
      <c r="AI143"/>
      <c r="AJ143"/>
      <c r="AK143"/>
      <c r="AL143"/>
    </row>
    <row r="144" spans="1:38" ht="15.75" customHeight="1" outlineLevel="3" x14ac:dyDescent="0.2">
      <c r="A144" s="10">
        <v>1</v>
      </c>
      <c r="B144" s="10" t="s">
        <v>71</v>
      </c>
      <c r="C144" s="10" t="s">
        <v>106</v>
      </c>
      <c r="D144" s="10" t="s">
        <v>108</v>
      </c>
      <c r="E144" s="11" t="str">
        <f t="array" ref="E144">_xlfn.XLOOKUP(D144,Insumos!B:B,Insumos!C:$C)</f>
        <v>UN</v>
      </c>
      <c r="F144" s="14">
        <v>3</v>
      </c>
      <c r="G144" s="92">
        <f t="array" ref="G144">IF(B144="insumo",_xlfn.XLOOKUP($D144,Insumos!$B$1:$B$996,Insumos!$D$1:$D$996),"")</f>
        <v>536.53</v>
      </c>
      <c r="H144" s="92">
        <v>1609.59</v>
      </c>
      <c r="I144" s="13">
        <v>0</v>
      </c>
      <c r="J144" s="13">
        <v>0</v>
      </c>
      <c r="K144" s="13"/>
      <c r="L144"/>
      <c r="M144"/>
      <c r="N144"/>
      <c r="O144"/>
      <c r="P144"/>
      <c r="Q144"/>
      <c r="R144"/>
      <c r="S144"/>
      <c r="T144"/>
      <c r="U144"/>
      <c r="V144"/>
      <c r="W144"/>
      <c r="X144"/>
      <c r="Y144"/>
      <c r="Z144"/>
      <c r="AA144"/>
      <c r="AB144"/>
      <c r="AC144"/>
      <c r="AD144"/>
      <c r="AE144"/>
      <c r="AF144"/>
      <c r="AG144"/>
      <c r="AH144"/>
      <c r="AI144"/>
      <c r="AJ144"/>
      <c r="AK144"/>
      <c r="AL144"/>
    </row>
    <row r="145" spans="1:38" ht="15.75" customHeight="1" outlineLevel="3" x14ac:dyDescent="0.2">
      <c r="A145" s="10">
        <v>1</v>
      </c>
      <c r="B145" s="10" t="s">
        <v>71</v>
      </c>
      <c r="C145" s="10" t="s">
        <v>106</v>
      </c>
      <c r="D145" s="10" t="s">
        <v>109</v>
      </c>
      <c r="E145" s="11" t="str">
        <f t="array" ref="E145">_xlfn.XLOOKUP(D145,Insumos!B:B,Insumos!C:$C)</f>
        <v>UN</v>
      </c>
      <c r="F145" s="14">
        <v>6</v>
      </c>
      <c r="G145" s="92">
        <f t="array" ref="G145">IF(B145="insumo",_xlfn.XLOOKUP($D145,Insumos!$B$1:$B$996,Insumos!$D$1:$D$996),"")</f>
        <v>520.85</v>
      </c>
      <c r="H145" s="92">
        <v>3125.1</v>
      </c>
      <c r="I145" s="13">
        <v>0</v>
      </c>
      <c r="J145" s="13">
        <v>0</v>
      </c>
      <c r="K145" s="13"/>
      <c r="L145"/>
      <c r="M145"/>
      <c r="N145"/>
      <c r="O145"/>
      <c r="P145"/>
      <c r="Q145"/>
      <c r="R145"/>
      <c r="S145"/>
      <c r="T145"/>
      <c r="U145"/>
      <c r="V145"/>
      <c r="W145"/>
      <c r="X145"/>
      <c r="Y145"/>
      <c r="Z145"/>
      <c r="AA145"/>
      <c r="AB145"/>
      <c r="AC145"/>
      <c r="AD145"/>
      <c r="AE145"/>
      <c r="AF145"/>
      <c r="AG145"/>
      <c r="AH145"/>
      <c r="AI145"/>
      <c r="AJ145"/>
      <c r="AK145"/>
      <c r="AL145"/>
    </row>
    <row r="146" spans="1:38" ht="15.75" customHeight="1" outlineLevel="2" x14ac:dyDescent="0.2">
      <c r="A146" s="1067">
        <v>1</v>
      </c>
      <c r="B146" s="1067" t="s">
        <v>68</v>
      </c>
      <c r="C146" s="1067" t="s">
        <v>110</v>
      </c>
      <c r="D146" s="1067" t="s">
        <v>110</v>
      </c>
      <c r="E146" s="1068" t="s">
        <v>70</v>
      </c>
      <c r="F146" s="1067"/>
      <c r="G146" s="1069" t="str">
        <f t="array" ref="G146">IF(B146="insumo",_xlfn.XLOOKUP($D146,Insumos!$B$1:$B$996,Insumos!$D$1:$D$996),"")</f>
        <v/>
      </c>
      <c r="H146" s="1069">
        <v>25.2262633333333</v>
      </c>
      <c r="I146" s="1070">
        <v>1040</v>
      </c>
      <c r="J146" s="1070">
        <v>26235.313866666598</v>
      </c>
      <c r="K146" s="1070"/>
      <c r="L146"/>
      <c r="M146"/>
      <c r="N146"/>
      <c r="O146"/>
      <c r="P146"/>
      <c r="Q146"/>
      <c r="R146"/>
      <c r="S146"/>
      <c r="T146"/>
      <c r="U146"/>
      <c r="V146"/>
      <c r="W146"/>
      <c r="X146"/>
      <c r="Y146"/>
      <c r="Z146"/>
      <c r="AA146"/>
      <c r="AB146"/>
      <c r="AC146"/>
      <c r="AD146"/>
      <c r="AE146"/>
      <c r="AF146"/>
      <c r="AG146"/>
      <c r="AH146"/>
      <c r="AI146"/>
      <c r="AJ146"/>
      <c r="AK146"/>
      <c r="AL146"/>
    </row>
    <row r="147" spans="1:38" ht="15.75" customHeight="1" outlineLevel="3" x14ac:dyDescent="0.2">
      <c r="A147" s="10">
        <v>3</v>
      </c>
      <c r="B147" s="10" t="s">
        <v>71</v>
      </c>
      <c r="C147" s="10" t="s">
        <v>110</v>
      </c>
      <c r="D147" s="10" t="s">
        <v>111</v>
      </c>
      <c r="E147" s="11" t="str">
        <f t="array" ref="E147">_xlfn.XLOOKUP(D147,Insumos!B:B,Insumos!C:$C)</f>
        <v>L</v>
      </c>
      <c r="F147" s="14">
        <v>2.5600000000000001E-2</v>
      </c>
      <c r="G147" s="92">
        <f t="array" ref="G147">IF(B147="insumo",_xlfn.XLOOKUP($D147,Insumos!$B$1:$B$996,Insumos!$D$1:$D$996),"")</f>
        <v>33.333333333333336</v>
      </c>
      <c r="H147" s="92">
        <v>0.85333333333333306</v>
      </c>
      <c r="I147" s="13">
        <v>1040</v>
      </c>
      <c r="J147" s="13">
        <v>887.46666666666601</v>
      </c>
      <c r="K147" s="13"/>
      <c r="L147"/>
      <c r="M147"/>
      <c r="N147"/>
      <c r="O147"/>
      <c r="P147"/>
      <c r="Q147"/>
      <c r="R147"/>
      <c r="S147"/>
      <c r="T147"/>
      <c r="U147"/>
      <c r="V147"/>
      <c r="W147"/>
      <c r="X147"/>
      <c r="Y147"/>
      <c r="Z147"/>
      <c r="AA147"/>
      <c r="AB147"/>
      <c r="AC147"/>
      <c r="AD147"/>
      <c r="AE147"/>
      <c r="AF147"/>
      <c r="AG147"/>
      <c r="AH147"/>
      <c r="AI147"/>
      <c r="AJ147"/>
      <c r="AK147"/>
      <c r="AL147"/>
    </row>
    <row r="148" spans="1:38" ht="15.75" customHeight="1" outlineLevel="3" x14ac:dyDescent="0.2">
      <c r="A148" s="10">
        <v>11</v>
      </c>
      <c r="B148" s="10" t="s">
        <v>71</v>
      </c>
      <c r="C148" s="10" t="s">
        <v>110</v>
      </c>
      <c r="D148" s="10" t="s">
        <v>82</v>
      </c>
      <c r="E148" s="11" t="str">
        <f t="array" ref="E148">_xlfn.XLOOKUP(D148,Insumos!B:B,Insumos!C:$C)</f>
        <v>M2</v>
      </c>
      <c r="F148" s="14">
        <v>0.11199999999999999</v>
      </c>
      <c r="G148" s="92">
        <f t="array" ref="G148">IF(B148="insumo",_xlfn.XLOOKUP($D148,Insumos!$B$1:$B$996,Insumos!$D$1:$D$996),"")</f>
        <v>46.5</v>
      </c>
      <c r="H148" s="92">
        <v>5.2080000000000002</v>
      </c>
      <c r="I148" s="13">
        <v>1040</v>
      </c>
      <c r="J148" s="13">
        <v>5416.32</v>
      </c>
      <c r="K148" s="13"/>
      <c r="L148"/>
      <c r="M148"/>
      <c r="N148"/>
      <c r="O148"/>
      <c r="P148"/>
      <c r="Q148"/>
      <c r="R148"/>
      <c r="S148"/>
      <c r="T148"/>
      <c r="U148"/>
      <c r="V148"/>
      <c r="W148"/>
      <c r="X148"/>
      <c r="Y148"/>
      <c r="Z148"/>
      <c r="AA148"/>
      <c r="AB148"/>
      <c r="AC148"/>
      <c r="AD148"/>
      <c r="AE148"/>
      <c r="AF148"/>
      <c r="AG148"/>
      <c r="AH148"/>
      <c r="AI148"/>
      <c r="AJ148"/>
      <c r="AK148"/>
      <c r="AL148"/>
    </row>
    <row r="149" spans="1:38" ht="15.75" customHeight="1" outlineLevel="3" x14ac:dyDescent="0.2">
      <c r="A149" s="10">
        <v>40</v>
      </c>
      <c r="B149" s="10" t="s">
        <v>71</v>
      </c>
      <c r="C149" s="10" t="s">
        <v>110</v>
      </c>
      <c r="D149" s="10" t="s">
        <v>87</v>
      </c>
      <c r="E149" s="11" t="str">
        <f t="array" ref="E149">_xlfn.XLOOKUP(D149,Insumos!B:B,Insumos!C:$C)</f>
        <v>KG</v>
      </c>
      <c r="F149" s="14">
        <v>0.111</v>
      </c>
      <c r="G149" s="92">
        <f t="array" ref="G149">IF(B149="insumo",_xlfn.XLOOKUP($D149,Insumos!$B$1:$B$996,Insumos!$D$1:$D$996),"")</f>
        <v>18.13</v>
      </c>
      <c r="H149" s="92">
        <v>2.0124300000000002</v>
      </c>
      <c r="I149" s="13">
        <v>1040</v>
      </c>
      <c r="J149" s="13">
        <v>2092.9272000000001</v>
      </c>
      <c r="K149" s="13"/>
      <c r="L149"/>
      <c r="M149"/>
      <c r="N149"/>
      <c r="O149"/>
      <c r="P149"/>
      <c r="Q149"/>
      <c r="R149"/>
      <c r="S149"/>
      <c r="T149"/>
      <c r="U149"/>
      <c r="V149"/>
      <c r="W149"/>
      <c r="X149"/>
      <c r="Y149"/>
      <c r="Z149"/>
      <c r="AA149"/>
      <c r="AB149"/>
      <c r="AC149"/>
      <c r="AD149"/>
      <c r="AE149"/>
      <c r="AF149"/>
      <c r="AG149"/>
      <c r="AH149"/>
      <c r="AI149"/>
      <c r="AJ149"/>
      <c r="AK149"/>
      <c r="AL149"/>
    </row>
    <row r="150" spans="1:38" ht="15.75" customHeight="1" outlineLevel="3" x14ac:dyDescent="0.2">
      <c r="A150" s="10">
        <v>11</v>
      </c>
      <c r="B150" s="10" t="s">
        <v>71</v>
      </c>
      <c r="C150" s="10" t="s">
        <v>110</v>
      </c>
      <c r="D150" s="10" t="s">
        <v>85</v>
      </c>
      <c r="E150" s="11" t="str">
        <f t="array" ref="E150">_xlfn.XLOOKUP(D150,Insumos!B:B,Insumos!C:$C)</f>
        <v>M2</v>
      </c>
      <c r="F150" s="14">
        <v>0.15</v>
      </c>
      <c r="G150" s="92">
        <f t="array" ref="G150">IF(B150="insumo",_xlfn.XLOOKUP($D150,Insumos!$B$1:$B$996,Insumos!$D$1:$D$996),"")</f>
        <v>46.5</v>
      </c>
      <c r="H150" s="92">
        <v>6.9749999999999996</v>
      </c>
      <c r="I150" s="13">
        <v>1040</v>
      </c>
      <c r="J150" s="13">
        <v>7254</v>
      </c>
      <c r="K150" s="13"/>
      <c r="L150"/>
      <c r="M150"/>
      <c r="N150"/>
      <c r="O150"/>
      <c r="P150"/>
      <c r="Q150"/>
      <c r="R150"/>
      <c r="S150"/>
      <c r="T150"/>
      <c r="U150"/>
      <c r="V150"/>
      <c r="W150"/>
      <c r="X150"/>
      <c r="Y150"/>
      <c r="Z150"/>
      <c r="AA150"/>
      <c r="AB150"/>
      <c r="AC150"/>
      <c r="AD150"/>
      <c r="AE150"/>
      <c r="AF150"/>
      <c r="AG150"/>
      <c r="AH150"/>
      <c r="AI150"/>
      <c r="AJ150"/>
      <c r="AK150"/>
      <c r="AL150"/>
    </row>
    <row r="151" spans="1:38" ht="15.75" customHeight="1" outlineLevel="3" x14ac:dyDescent="0.2">
      <c r="A151" s="10">
        <v>1</v>
      </c>
      <c r="B151" s="10" t="s">
        <v>71</v>
      </c>
      <c r="C151" s="10" t="s">
        <v>110</v>
      </c>
      <c r="D151" s="10" t="s">
        <v>112</v>
      </c>
      <c r="E151" s="11" t="str">
        <f t="array" ref="E151">_xlfn.XLOOKUP(D151,Insumos!B:B,Insumos!C:$C)</f>
        <v>M</v>
      </c>
      <c r="F151" s="14">
        <v>0.34499999999999997</v>
      </c>
      <c r="G151" s="92">
        <f t="array" ref="G151">IF(B151="insumo",_xlfn.XLOOKUP($D151,Insumos!$B$1:$B$996,Insumos!$D$1:$D$996),"")</f>
        <v>29.5</v>
      </c>
      <c r="H151" s="92">
        <v>10.1775</v>
      </c>
      <c r="I151" s="13">
        <v>1040</v>
      </c>
      <c r="J151" s="13">
        <v>10584.6</v>
      </c>
      <c r="K151" s="13"/>
      <c r="L151"/>
      <c r="M151"/>
      <c r="N151"/>
      <c r="O151"/>
      <c r="P151"/>
      <c r="Q151"/>
      <c r="R151"/>
      <c r="S151"/>
      <c r="T151"/>
      <c r="U151"/>
      <c r="V151"/>
      <c r="W151"/>
      <c r="X151"/>
      <c r="Y151"/>
      <c r="Z151"/>
      <c r="AA151"/>
      <c r="AB151"/>
      <c r="AC151"/>
      <c r="AD151"/>
      <c r="AE151"/>
      <c r="AF151"/>
      <c r="AG151"/>
      <c r="AH151"/>
      <c r="AI151"/>
      <c r="AJ151"/>
      <c r="AK151"/>
      <c r="AL151"/>
    </row>
    <row r="152" spans="1:38" ht="15.75" customHeight="1" outlineLevel="1" x14ac:dyDescent="0.2">
      <c r="A152" s="1090">
        <v>1</v>
      </c>
      <c r="B152" s="1090" t="s">
        <v>1228</v>
      </c>
      <c r="C152" s="1090" t="s">
        <v>110</v>
      </c>
      <c r="D152" s="1090" t="s">
        <v>114</v>
      </c>
      <c r="E152" s="1091"/>
      <c r="F152" s="1091"/>
      <c r="G152" s="1091"/>
      <c r="H152" s="1091">
        <v>0</v>
      </c>
      <c r="I152" s="1092">
        <v>0</v>
      </c>
      <c r="J152" s="1092">
        <v>0</v>
      </c>
      <c r="K152" s="1092"/>
      <c r="L152"/>
      <c r="M152"/>
      <c r="N152"/>
      <c r="O152"/>
      <c r="P152"/>
      <c r="Q152"/>
      <c r="R152"/>
      <c r="S152"/>
      <c r="T152"/>
      <c r="U152"/>
      <c r="V152"/>
      <c r="W152"/>
      <c r="X152"/>
      <c r="Y152"/>
      <c r="Z152"/>
      <c r="AA152"/>
      <c r="AB152"/>
      <c r="AC152"/>
      <c r="AD152"/>
      <c r="AE152"/>
      <c r="AF152"/>
      <c r="AG152"/>
      <c r="AH152"/>
      <c r="AI152"/>
      <c r="AJ152"/>
      <c r="AK152"/>
      <c r="AL152"/>
    </row>
    <row r="153" spans="1:38" ht="15.75" customHeight="1" outlineLevel="2" x14ac:dyDescent="0.2">
      <c r="A153" s="1067">
        <v>1</v>
      </c>
      <c r="B153" s="1067" t="s">
        <v>68</v>
      </c>
      <c r="C153" s="1067" t="s">
        <v>115</v>
      </c>
      <c r="D153" s="1067" t="s">
        <v>115</v>
      </c>
      <c r="E153" s="1068" t="s">
        <v>113</v>
      </c>
      <c r="F153" s="1067"/>
      <c r="G153" s="1069" t="str">
        <f t="array" ref="G153">IF(B153="insumo",_xlfn.XLOOKUP($D153,Insumos!$B$1:$B$996,Insumos!$D$1:$D$996),"")</f>
        <v/>
      </c>
      <c r="H153" s="1069">
        <v>243.95614637281901</v>
      </c>
      <c r="I153" s="1070">
        <v>0</v>
      </c>
      <c r="J153" s="1070">
        <v>0</v>
      </c>
      <c r="K153" s="1070"/>
      <c r="L153"/>
      <c r="M153"/>
      <c r="N153"/>
      <c r="O153"/>
      <c r="P153"/>
      <c r="Q153"/>
      <c r="R153"/>
      <c r="S153"/>
      <c r="T153"/>
      <c r="U153"/>
      <c r="V153"/>
      <c r="W153"/>
      <c r="X153"/>
      <c r="Y153"/>
      <c r="Z153"/>
      <c r="AA153"/>
      <c r="AB153"/>
      <c r="AC153"/>
      <c r="AD153"/>
      <c r="AE153"/>
      <c r="AF153"/>
      <c r="AG153"/>
      <c r="AH153"/>
      <c r="AI153"/>
      <c r="AJ153"/>
      <c r="AK153"/>
      <c r="AL153"/>
    </row>
    <row r="154" spans="1:38" ht="15.75" customHeight="1" outlineLevel="3" x14ac:dyDescent="0.2">
      <c r="A154" s="10">
        <v>2</v>
      </c>
      <c r="B154" s="10" t="s">
        <v>71</v>
      </c>
      <c r="C154" s="10" t="s">
        <v>115</v>
      </c>
      <c r="D154" s="10" t="s">
        <v>116</v>
      </c>
      <c r="E154" s="11" t="str">
        <f t="array" ref="E154">_xlfn.XLOOKUP(D154,Insumos!B:B,Insumos!C:$C)</f>
        <v>KG</v>
      </c>
      <c r="F154" s="14">
        <v>0.17</v>
      </c>
      <c r="G154" s="92">
        <f t="array" ref="G154">IF(B154="insumo",_xlfn.XLOOKUP($D154,Insumos!$B$1:$B$996,Insumos!$D$1:$D$996),"")</f>
        <v>13.08</v>
      </c>
      <c r="H154" s="92">
        <v>2.2235999999999998</v>
      </c>
      <c r="I154" s="13">
        <v>0</v>
      </c>
      <c r="J154" s="13">
        <v>0</v>
      </c>
      <c r="K154" s="13"/>
      <c r="L154"/>
      <c r="M154"/>
      <c r="N154"/>
      <c r="O154"/>
      <c r="P154"/>
      <c r="Q154"/>
      <c r="R154"/>
      <c r="S154"/>
      <c r="T154"/>
      <c r="U154"/>
      <c r="V154"/>
      <c r="W154"/>
      <c r="X154"/>
      <c r="Y154"/>
      <c r="Z154"/>
      <c r="AA154"/>
      <c r="AB154"/>
      <c r="AC154"/>
      <c r="AD154"/>
      <c r="AE154"/>
      <c r="AF154"/>
      <c r="AG154"/>
      <c r="AH154"/>
      <c r="AI154"/>
      <c r="AJ154"/>
      <c r="AK154"/>
      <c r="AL154"/>
    </row>
    <row r="155" spans="1:38" ht="15.75" customHeight="1" outlineLevel="3" x14ac:dyDescent="0.2">
      <c r="A155" s="10">
        <v>2</v>
      </c>
      <c r="B155" s="10" t="s">
        <v>71</v>
      </c>
      <c r="C155" s="10" t="s">
        <v>115</v>
      </c>
      <c r="D155" s="10" t="s">
        <v>117</v>
      </c>
      <c r="E155" s="11" t="str">
        <f t="array" ref="E155">_xlfn.XLOOKUP(D155,Insumos!B:B,Insumos!C:$C)</f>
        <v>M2</v>
      </c>
      <c r="F155" s="14">
        <v>2.54</v>
      </c>
      <c r="G155" s="92">
        <f t="array" ref="G155">IF(B155="insumo",_xlfn.XLOOKUP($D155,Insumos!$B$1:$B$996,Insumos!$D$1:$D$996),"")</f>
        <v>46.120293847566572</v>
      </c>
      <c r="H155" s="92">
        <v>117.145546372819</v>
      </c>
      <c r="I155" s="13">
        <v>0</v>
      </c>
      <c r="J155" s="13">
        <v>0</v>
      </c>
      <c r="K155" s="13"/>
      <c r="L155"/>
      <c r="M155"/>
      <c r="N155"/>
      <c r="O155"/>
      <c r="P155"/>
      <c r="Q155"/>
      <c r="R155"/>
      <c r="S155"/>
      <c r="T155"/>
      <c r="U155"/>
      <c r="V155"/>
      <c r="W155"/>
      <c r="X155"/>
      <c r="Y155"/>
      <c r="Z155"/>
      <c r="AA155"/>
      <c r="AB155"/>
      <c r="AC155"/>
      <c r="AD155"/>
      <c r="AE155"/>
      <c r="AF155"/>
      <c r="AG155"/>
      <c r="AH155"/>
      <c r="AI155"/>
      <c r="AJ155"/>
      <c r="AK155"/>
      <c r="AL155"/>
    </row>
    <row r="156" spans="1:38" ht="15.75" customHeight="1" outlineLevel="3" x14ac:dyDescent="0.2">
      <c r="A156" s="10">
        <v>2</v>
      </c>
      <c r="B156" s="10" t="s">
        <v>71</v>
      </c>
      <c r="C156" s="10" t="s">
        <v>115</v>
      </c>
      <c r="D156" s="10" t="s">
        <v>118</v>
      </c>
      <c r="E156" s="11" t="str">
        <f t="array" ref="E156">_xlfn.XLOOKUP(D156,Insumos!B:B,Insumos!C:$C)</f>
        <v>UN</v>
      </c>
      <c r="F156" s="14">
        <v>3.39</v>
      </c>
      <c r="G156" s="92">
        <f t="array" ref="G156">IF(B156="insumo",_xlfn.XLOOKUP($D156,Insumos!$B$1:$B$996,Insumos!$D$1:$D$996),"")</f>
        <v>5.3</v>
      </c>
      <c r="H156" s="92">
        <v>17.966999999999999</v>
      </c>
      <c r="I156" s="13">
        <v>0</v>
      </c>
      <c r="J156" s="13">
        <v>0</v>
      </c>
      <c r="K156" s="13"/>
      <c r="L156"/>
      <c r="M156"/>
      <c r="N156"/>
      <c r="O156"/>
      <c r="P156"/>
      <c r="Q156"/>
      <c r="R156"/>
      <c r="S156"/>
      <c r="T156"/>
      <c r="U156"/>
      <c r="V156"/>
      <c r="W156"/>
      <c r="X156"/>
      <c r="Y156"/>
      <c r="Z156"/>
      <c r="AA156"/>
      <c r="AB156"/>
      <c r="AC156"/>
      <c r="AD156"/>
      <c r="AE156"/>
      <c r="AF156"/>
      <c r="AG156"/>
      <c r="AH156"/>
      <c r="AI156"/>
      <c r="AJ156"/>
      <c r="AK156"/>
      <c r="AL156"/>
    </row>
    <row r="157" spans="1:38" ht="15.75" customHeight="1" outlineLevel="3" x14ac:dyDescent="0.2">
      <c r="A157" s="10">
        <v>2</v>
      </c>
      <c r="B157" s="10" t="s">
        <v>71</v>
      </c>
      <c r="C157" s="10" t="s">
        <v>115</v>
      </c>
      <c r="D157" s="10" t="s">
        <v>119</v>
      </c>
      <c r="E157" s="11" t="str">
        <f t="array" ref="E157">_xlfn.XLOOKUP(D157,Insumos!B:B,Insumos!C:$C)</f>
        <v>UN</v>
      </c>
      <c r="F157" s="14">
        <v>1.1299999999999999</v>
      </c>
      <c r="G157" s="92">
        <f t="array" ref="G157">IF(B157="insumo",_xlfn.XLOOKUP($D157,Insumos!$B$1:$B$996,Insumos!$D$1:$D$996),"")</f>
        <v>45</v>
      </c>
      <c r="H157" s="92">
        <v>50.85</v>
      </c>
      <c r="I157" s="13">
        <v>0</v>
      </c>
      <c r="J157" s="13">
        <v>0</v>
      </c>
      <c r="K157" s="13"/>
      <c r="L157"/>
      <c r="M157"/>
      <c r="N157"/>
      <c r="O157"/>
      <c r="P157"/>
      <c r="Q157"/>
      <c r="R157"/>
      <c r="S157"/>
      <c r="T157"/>
      <c r="U157"/>
      <c r="V157"/>
      <c r="W157"/>
      <c r="X157"/>
      <c r="Y157"/>
      <c r="Z157"/>
      <c r="AA157"/>
      <c r="AB157"/>
      <c r="AC157"/>
      <c r="AD157"/>
      <c r="AE157"/>
      <c r="AF157"/>
      <c r="AG157"/>
      <c r="AH157"/>
      <c r="AI157"/>
      <c r="AJ157"/>
      <c r="AK157"/>
      <c r="AL157"/>
    </row>
    <row r="158" spans="1:38" ht="15.75" customHeight="1" outlineLevel="3" x14ac:dyDescent="0.2">
      <c r="A158" s="10">
        <v>7</v>
      </c>
      <c r="B158" s="10" t="s">
        <v>71</v>
      </c>
      <c r="C158" s="10" t="s">
        <v>115</v>
      </c>
      <c r="D158" s="10" t="s">
        <v>120</v>
      </c>
      <c r="E158" s="11" t="str">
        <f t="array" ref="E158">_xlfn.XLOOKUP(D158,Insumos!B:B,Insumos!C:$C)</f>
        <v>M3</v>
      </c>
      <c r="F158" s="14">
        <v>5.0700000000000002E-2</v>
      </c>
      <c r="G158" s="92">
        <f t="array" ref="G158">IF(B158="insumo",_xlfn.XLOOKUP($D158,Insumos!$B$1:$B$996,Insumos!$D$1:$D$996),"")</f>
        <v>1100</v>
      </c>
      <c r="H158" s="92">
        <v>55.77</v>
      </c>
      <c r="I158" s="13">
        <v>0</v>
      </c>
      <c r="J158" s="13">
        <v>0</v>
      </c>
      <c r="K158" s="13"/>
      <c r="L158"/>
      <c r="M158"/>
      <c r="N158"/>
      <c r="O158"/>
      <c r="P158"/>
      <c r="Q158"/>
      <c r="R158"/>
      <c r="S158"/>
      <c r="T158"/>
      <c r="U158"/>
      <c r="V158"/>
      <c r="W158"/>
      <c r="X158"/>
      <c r="Y158"/>
      <c r="Z158"/>
      <c r="AA158"/>
      <c r="AB158"/>
      <c r="AC158"/>
      <c r="AD158"/>
      <c r="AE158"/>
      <c r="AF158"/>
      <c r="AG158"/>
      <c r="AH158"/>
      <c r="AI158"/>
      <c r="AJ158"/>
      <c r="AK158"/>
      <c r="AL158"/>
    </row>
    <row r="159" spans="1:38" ht="15.75" customHeight="1" outlineLevel="2" x14ac:dyDescent="0.2">
      <c r="A159" s="1067">
        <v>1</v>
      </c>
      <c r="B159" s="1067" t="s">
        <v>68</v>
      </c>
      <c r="C159" s="1067" t="s">
        <v>121</v>
      </c>
      <c r="D159" s="1067" t="s">
        <v>121</v>
      </c>
      <c r="E159" s="1068" t="s">
        <v>113</v>
      </c>
      <c r="F159" s="1067"/>
      <c r="G159" s="1069" t="str">
        <f t="array" ref="G159">IF(B159="insumo",_xlfn.XLOOKUP($D159,Insumos!$B$1:$B$996,Insumos!$D$1:$D$996),"")</f>
        <v/>
      </c>
      <c r="H159" s="1069">
        <v>230.09614637281899</v>
      </c>
      <c r="I159" s="1070">
        <v>0</v>
      </c>
      <c r="J159" s="1070">
        <v>0</v>
      </c>
      <c r="K159" s="1070"/>
      <c r="L159"/>
      <c r="M159"/>
      <c r="N159"/>
      <c r="O159"/>
      <c r="P159"/>
      <c r="Q159"/>
      <c r="R159"/>
      <c r="S159"/>
      <c r="T159"/>
      <c r="U159"/>
      <c r="V159"/>
      <c r="W159"/>
      <c r="X159"/>
      <c r="Y159"/>
      <c r="Z159"/>
      <c r="AA159"/>
      <c r="AB159"/>
      <c r="AC159"/>
      <c r="AD159"/>
      <c r="AE159"/>
      <c r="AF159"/>
      <c r="AG159"/>
      <c r="AH159"/>
      <c r="AI159"/>
      <c r="AJ159"/>
      <c r="AK159"/>
      <c r="AL159"/>
    </row>
    <row r="160" spans="1:38" ht="15.75" customHeight="1" outlineLevel="3" x14ac:dyDescent="0.2">
      <c r="A160" s="10">
        <v>2</v>
      </c>
      <c r="B160" s="10" t="s">
        <v>71</v>
      </c>
      <c r="C160" s="10" t="s">
        <v>121</v>
      </c>
      <c r="D160" s="10" t="s">
        <v>116</v>
      </c>
      <c r="E160" s="11" t="str">
        <f t="array" ref="E160">_xlfn.XLOOKUP(D160,Insumos!B:B,Insumos!C:$C)</f>
        <v>KG</v>
      </c>
      <c r="F160" s="14">
        <v>0.17</v>
      </c>
      <c r="G160" s="92">
        <f t="array" ref="G160">IF(B160="insumo",_xlfn.XLOOKUP($D160,Insumos!$B$1:$B$996,Insumos!$D$1:$D$996),"")</f>
        <v>13.08</v>
      </c>
      <c r="H160" s="92">
        <v>2.2235999999999998</v>
      </c>
      <c r="I160" s="13">
        <v>0</v>
      </c>
      <c r="J160" s="13">
        <v>0</v>
      </c>
      <c r="K160" s="13"/>
      <c r="L160"/>
      <c r="M160"/>
      <c r="N160"/>
      <c r="O160"/>
      <c r="P160"/>
      <c r="Q160"/>
      <c r="R160"/>
      <c r="S160"/>
      <c r="T160"/>
      <c r="U160"/>
      <c r="V160"/>
      <c r="W160"/>
      <c r="X160"/>
      <c r="Y160"/>
      <c r="Z160"/>
      <c r="AA160"/>
      <c r="AB160"/>
      <c r="AC160"/>
      <c r="AD160"/>
      <c r="AE160"/>
      <c r="AF160"/>
      <c r="AG160"/>
      <c r="AH160"/>
      <c r="AI160"/>
      <c r="AJ160"/>
      <c r="AK160"/>
      <c r="AL160"/>
    </row>
    <row r="161" spans="1:38" ht="15.75" customHeight="1" outlineLevel="3" x14ac:dyDescent="0.2">
      <c r="A161" s="10">
        <v>2</v>
      </c>
      <c r="B161" s="10" t="s">
        <v>71</v>
      </c>
      <c r="C161" s="10" t="s">
        <v>121</v>
      </c>
      <c r="D161" s="10" t="s">
        <v>117</v>
      </c>
      <c r="E161" s="11" t="str">
        <f t="array" ref="E161">_xlfn.XLOOKUP(D161,Insumos!B:B,Insumos!C:$C)</f>
        <v>M2</v>
      </c>
      <c r="F161" s="14">
        <v>2.54</v>
      </c>
      <c r="G161" s="92">
        <f t="array" ref="G161">IF(B161="insumo",_xlfn.XLOOKUP($D161,Insumos!$B$1:$B$996,Insumos!$D$1:$D$996),"")</f>
        <v>46.120293847566572</v>
      </c>
      <c r="H161" s="92">
        <v>117.145546372819</v>
      </c>
      <c r="I161" s="13">
        <v>0</v>
      </c>
      <c r="J161" s="13">
        <v>0</v>
      </c>
      <c r="K161" s="13"/>
      <c r="L161"/>
      <c r="M161"/>
      <c r="N161"/>
      <c r="O161"/>
      <c r="P161"/>
      <c r="Q161"/>
      <c r="R161"/>
      <c r="S161"/>
      <c r="T161"/>
      <c r="U161"/>
      <c r="V161"/>
      <c r="W161"/>
      <c r="X161"/>
      <c r="Y161"/>
      <c r="Z161"/>
      <c r="AA161"/>
      <c r="AB161"/>
      <c r="AC161"/>
      <c r="AD161"/>
      <c r="AE161"/>
      <c r="AF161"/>
      <c r="AG161"/>
      <c r="AH161"/>
      <c r="AI161"/>
      <c r="AJ161"/>
      <c r="AK161"/>
      <c r="AL161"/>
    </row>
    <row r="162" spans="1:38" ht="15.75" customHeight="1" outlineLevel="3" x14ac:dyDescent="0.2">
      <c r="A162" s="10">
        <v>2</v>
      </c>
      <c r="B162" s="10" t="s">
        <v>71</v>
      </c>
      <c r="C162" s="10" t="s">
        <v>121</v>
      </c>
      <c r="D162" s="10" t="s">
        <v>118</v>
      </c>
      <c r="E162" s="11" t="str">
        <f t="array" ref="E162">_xlfn.XLOOKUP(D162,Insumos!B:B,Insumos!C:$C)</f>
        <v>UN</v>
      </c>
      <c r="F162" s="14">
        <v>3.39</v>
      </c>
      <c r="G162" s="92">
        <f t="array" ref="G162">IF(B162="insumo",_xlfn.XLOOKUP($D162,Insumos!$B$1:$B$996,Insumos!$D$1:$D$996),"")</f>
        <v>5.3</v>
      </c>
      <c r="H162" s="92">
        <v>17.966999999999999</v>
      </c>
      <c r="I162" s="13">
        <v>0</v>
      </c>
      <c r="J162" s="13">
        <v>0</v>
      </c>
      <c r="K162" s="13"/>
      <c r="L162"/>
      <c r="M162"/>
      <c r="N162"/>
      <c r="O162"/>
      <c r="P162"/>
      <c r="Q162"/>
      <c r="R162"/>
      <c r="S162"/>
      <c r="T162"/>
      <c r="U162"/>
      <c r="V162"/>
      <c r="W162"/>
      <c r="X162"/>
      <c r="Y162"/>
      <c r="Z162"/>
      <c r="AA162"/>
      <c r="AB162"/>
      <c r="AC162"/>
      <c r="AD162"/>
      <c r="AE162"/>
      <c r="AF162"/>
      <c r="AG162"/>
      <c r="AH162"/>
      <c r="AI162"/>
      <c r="AJ162"/>
      <c r="AK162"/>
      <c r="AL162"/>
    </row>
    <row r="163" spans="1:38" ht="15.75" customHeight="1" outlineLevel="3" x14ac:dyDescent="0.2">
      <c r="A163" s="10">
        <v>2</v>
      </c>
      <c r="B163" s="10" t="s">
        <v>71</v>
      </c>
      <c r="C163" s="10" t="s">
        <v>121</v>
      </c>
      <c r="D163" s="10" t="s">
        <v>119</v>
      </c>
      <c r="E163" s="11" t="str">
        <f t="array" ref="E163">_xlfn.XLOOKUP(D163,Insumos!B:B,Insumos!C:$C)</f>
        <v>UN</v>
      </c>
      <c r="F163" s="14">
        <v>1.1299999999999999</v>
      </c>
      <c r="G163" s="92">
        <f t="array" ref="G163">IF(B163="insumo",_xlfn.XLOOKUP($D163,Insumos!$B$1:$B$996,Insumos!$D$1:$D$996),"")</f>
        <v>45</v>
      </c>
      <c r="H163" s="92">
        <v>50.85</v>
      </c>
      <c r="I163" s="13">
        <v>0</v>
      </c>
      <c r="J163" s="13">
        <v>0</v>
      </c>
      <c r="K163" s="13"/>
      <c r="L163"/>
      <c r="M163"/>
      <c r="N163"/>
      <c r="O163"/>
      <c r="P163"/>
      <c r="Q163"/>
      <c r="R163"/>
      <c r="S163"/>
      <c r="T163"/>
      <c r="U163"/>
      <c r="V163"/>
      <c r="W163"/>
      <c r="X163"/>
      <c r="Y163"/>
      <c r="Z163"/>
      <c r="AA163"/>
      <c r="AB163"/>
      <c r="AC163"/>
      <c r="AD163"/>
      <c r="AE163"/>
      <c r="AF163"/>
      <c r="AG163"/>
      <c r="AH163"/>
      <c r="AI163"/>
      <c r="AJ163"/>
      <c r="AK163"/>
      <c r="AL163"/>
    </row>
    <row r="164" spans="1:38" ht="15.75" customHeight="1" outlineLevel="3" x14ac:dyDescent="0.2">
      <c r="A164" s="10">
        <v>7</v>
      </c>
      <c r="B164" s="10" t="s">
        <v>71</v>
      </c>
      <c r="C164" s="10" t="s">
        <v>121</v>
      </c>
      <c r="D164" s="10" t="s">
        <v>120</v>
      </c>
      <c r="E164" s="11" t="str">
        <f t="array" ref="E164">_xlfn.XLOOKUP(D164,Insumos!B:B,Insumos!C:$C)</f>
        <v>M3</v>
      </c>
      <c r="F164" s="14">
        <v>3.8100000000000002E-2</v>
      </c>
      <c r="G164" s="92">
        <f t="array" ref="G164">IF(B164="insumo",_xlfn.XLOOKUP($D164,Insumos!$B$1:$B$996,Insumos!$D$1:$D$996),"")</f>
        <v>1100</v>
      </c>
      <c r="H164" s="92">
        <v>41.91</v>
      </c>
      <c r="I164" s="13">
        <v>0</v>
      </c>
      <c r="J164" s="13">
        <v>0</v>
      </c>
      <c r="K164" s="13"/>
      <c r="L164"/>
      <c r="M164"/>
      <c r="N164"/>
      <c r="O164"/>
      <c r="P164"/>
      <c r="Q164"/>
      <c r="R164"/>
      <c r="S164"/>
      <c r="T164"/>
      <c r="U164"/>
      <c r="V164"/>
      <c r="W164"/>
      <c r="X164"/>
      <c r="Y164"/>
      <c r="Z164"/>
      <c r="AA164"/>
      <c r="AB164"/>
      <c r="AC164"/>
      <c r="AD164"/>
      <c r="AE164"/>
      <c r="AF164"/>
      <c r="AG164"/>
      <c r="AH164"/>
      <c r="AI164"/>
      <c r="AJ164"/>
      <c r="AK164"/>
      <c r="AL164"/>
    </row>
    <row r="165" spans="1:38" ht="15.75" customHeight="1" outlineLevel="2" x14ac:dyDescent="0.2">
      <c r="A165" s="1067">
        <v>1</v>
      </c>
      <c r="B165" s="1067" t="s">
        <v>68</v>
      </c>
      <c r="C165" s="1067" t="s">
        <v>2031</v>
      </c>
      <c r="D165" s="1067" t="s">
        <v>2031</v>
      </c>
      <c r="E165" s="1068" t="s">
        <v>70</v>
      </c>
      <c r="F165" s="1067"/>
      <c r="G165" s="1069" t="str">
        <f t="array" ref="G165">IF(B165="insumo",_xlfn.XLOOKUP($D165,Insumos!$B$1:$B$996,Insumos!$D$1:$D$996),"")</f>
        <v/>
      </c>
      <c r="H165" s="1069">
        <v>38.622647000000001</v>
      </c>
      <c r="I165" s="1070">
        <v>0</v>
      </c>
      <c r="J165" s="1070">
        <v>0</v>
      </c>
      <c r="K165" s="1070"/>
      <c r="L165"/>
      <c r="M165"/>
      <c r="N165"/>
      <c r="O165"/>
      <c r="P165"/>
      <c r="Q165"/>
      <c r="R165"/>
      <c r="S165"/>
      <c r="T165"/>
      <c r="U165"/>
      <c r="V165"/>
      <c r="W165"/>
      <c r="X165"/>
      <c r="Y165"/>
      <c r="Z165"/>
      <c r="AA165"/>
      <c r="AB165"/>
      <c r="AC165"/>
      <c r="AD165"/>
      <c r="AE165"/>
      <c r="AF165"/>
      <c r="AG165"/>
      <c r="AH165"/>
      <c r="AI165"/>
      <c r="AJ165"/>
      <c r="AK165"/>
      <c r="AL165"/>
    </row>
    <row r="166" spans="1:38" ht="15.75" customHeight="1" outlineLevel="3" x14ac:dyDescent="0.2">
      <c r="A166" s="10">
        <v>40</v>
      </c>
      <c r="B166" s="10" t="s">
        <v>71</v>
      </c>
      <c r="C166" s="10" t="s">
        <v>2031</v>
      </c>
      <c r="D166" s="10" t="s">
        <v>87</v>
      </c>
      <c r="E166" s="11" t="str">
        <f t="array" ref="E166">_xlfn.XLOOKUP(D166,Insumos!B:B,Insumos!C:$C)</f>
        <v>KG</v>
      </c>
      <c r="F166" s="14">
        <v>3.8899999999999997E-2</v>
      </c>
      <c r="G166" s="92">
        <f t="array" ref="G166">IF(B166="insumo",_xlfn.XLOOKUP($D166,Insumos!$B$1:$B$996,Insumos!$D$1:$D$996),"")</f>
        <v>18.13</v>
      </c>
      <c r="H166" s="92">
        <v>0.70525700000000002</v>
      </c>
      <c r="I166" s="13">
        <v>0</v>
      </c>
      <c r="J166" s="13">
        <v>0</v>
      </c>
      <c r="K166" s="13"/>
      <c r="L166"/>
      <c r="M166"/>
      <c r="N166"/>
      <c r="O166"/>
      <c r="P166"/>
      <c r="Q166"/>
      <c r="R166"/>
      <c r="S166"/>
      <c r="T166"/>
      <c r="U166"/>
      <c r="V166"/>
      <c r="W166"/>
      <c r="X166"/>
      <c r="Y166"/>
      <c r="Z166"/>
      <c r="AA166"/>
      <c r="AB166"/>
      <c r="AC166"/>
      <c r="AD166"/>
      <c r="AE166"/>
      <c r="AF166"/>
      <c r="AG166"/>
      <c r="AH166"/>
      <c r="AI166"/>
      <c r="AJ166"/>
      <c r="AK166"/>
      <c r="AL166"/>
    </row>
    <row r="167" spans="1:38" ht="15.75" customHeight="1" outlineLevel="3" x14ac:dyDescent="0.2">
      <c r="A167" s="10">
        <v>4</v>
      </c>
      <c r="B167" s="10" t="s">
        <v>71</v>
      </c>
      <c r="C167" s="10" t="s">
        <v>2031</v>
      </c>
      <c r="D167" s="10" t="s">
        <v>123</v>
      </c>
      <c r="E167" s="11" t="str">
        <f t="array" ref="E167">_xlfn.XLOOKUP(D167,Insumos!B:B,Insumos!C:$C)</f>
        <v>M</v>
      </c>
      <c r="F167" s="14">
        <v>1.4179999999999999</v>
      </c>
      <c r="G167" s="92">
        <f t="array" ref="G167">IF(B167="insumo",_xlfn.XLOOKUP($D167,Insumos!$B$1:$B$996,Insumos!$D$1:$D$996),"")</f>
        <v>21.23</v>
      </c>
      <c r="H167" s="92">
        <v>30.104140000000001</v>
      </c>
      <c r="I167" s="13">
        <v>0</v>
      </c>
      <c r="J167" s="13">
        <v>0</v>
      </c>
      <c r="K167" s="13"/>
      <c r="L167"/>
      <c r="M167"/>
      <c r="N167"/>
      <c r="O167"/>
      <c r="P167"/>
      <c r="Q167"/>
      <c r="R167"/>
      <c r="S167"/>
      <c r="T167"/>
      <c r="U167"/>
      <c r="V167"/>
      <c r="W167"/>
      <c r="X167"/>
      <c r="Y167"/>
      <c r="Z167"/>
      <c r="AA167"/>
      <c r="AB167"/>
      <c r="AC167"/>
      <c r="AD167"/>
      <c r="AE167"/>
      <c r="AF167"/>
      <c r="AG167"/>
      <c r="AH167"/>
      <c r="AI167"/>
      <c r="AJ167"/>
      <c r="AK167"/>
      <c r="AL167"/>
    </row>
    <row r="168" spans="1:38" ht="15.75" customHeight="1" outlineLevel="3" x14ac:dyDescent="0.2">
      <c r="A168" s="10">
        <v>3</v>
      </c>
      <c r="B168" s="10" t="s">
        <v>71</v>
      </c>
      <c r="C168" s="10" t="s">
        <v>2031</v>
      </c>
      <c r="D168" s="10" t="s">
        <v>124</v>
      </c>
      <c r="E168" s="11" t="str">
        <f t="array" ref="E168">_xlfn.XLOOKUP(D168,Insumos!B:B,Insumos!C:$C)</f>
        <v>M</v>
      </c>
      <c r="F168" s="14">
        <v>0.52500000000000002</v>
      </c>
      <c r="G168" s="92">
        <f t="array" ref="G168">IF(B168="insumo",_xlfn.XLOOKUP($D168,Insumos!$B$1:$B$996,Insumos!$D$1:$D$996),"")</f>
        <v>2.73</v>
      </c>
      <c r="H168" s="92">
        <v>1.4332499999999999</v>
      </c>
      <c r="I168" s="13">
        <v>0</v>
      </c>
      <c r="J168" s="13">
        <v>0</v>
      </c>
      <c r="K168" s="13"/>
      <c r="L168"/>
      <c r="M168"/>
      <c r="N168"/>
      <c r="O168"/>
      <c r="P168"/>
      <c r="Q168"/>
      <c r="R168"/>
      <c r="S168"/>
      <c r="T168"/>
      <c r="U168"/>
      <c r="V168"/>
      <c r="W168"/>
      <c r="X168"/>
      <c r="Y168"/>
      <c r="Z168"/>
      <c r="AA168"/>
      <c r="AB168"/>
      <c r="AC168"/>
      <c r="AD168"/>
      <c r="AE168"/>
      <c r="AF168"/>
      <c r="AG168"/>
      <c r="AH168"/>
      <c r="AI168"/>
      <c r="AJ168"/>
      <c r="AK168"/>
      <c r="AL168"/>
    </row>
    <row r="169" spans="1:38" ht="15.75" customHeight="1" outlineLevel="3" x14ac:dyDescent="0.2">
      <c r="A169" s="10">
        <v>7</v>
      </c>
      <c r="B169" s="10" t="s">
        <v>71</v>
      </c>
      <c r="C169" s="10" t="s">
        <v>2031</v>
      </c>
      <c r="D169" s="10" t="s">
        <v>120</v>
      </c>
      <c r="E169" s="11" t="str">
        <f t="array" ref="E169">_xlfn.XLOOKUP(D169,Insumos!B:B,Insumos!C:$C)</f>
        <v>M3</v>
      </c>
      <c r="F169" s="14">
        <v>5.7999999999999996E-3</v>
      </c>
      <c r="G169" s="92">
        <f t="array" ref="G169">IF(B169="insumo",_xlfn.XLOOKUP($D169,Insumos!$B$1:$B$996,Insumos!$D$1:$D$996),"")</f>
        <v>1100</v>
      </c>
      <c r="H169" s="92">
        <v>6.38</v>
      </c>
      <c r="I169" s="13">
        <v>0</v>
      </c>
      <c r="J169" s="13">
        <v>0</v>
      </c>
      <c r="K169" s="13"/>
      <c r="L169"/>
      <c r="M169"/>
      <c r="N169"/>
      <c r="O169"/>
      <c r="P169"/>
      <c r="Q169"/>
      <c r="R169"/>
      <c r="S169"/>
      <c r="T169"/>
      <c r="U169"/>
      <c r="V169"/>
      <c r="W169"/>
      <c r="X169"/>
      <c r="Y169"/>
      <c r="Z169"/>
      <c r="AA169"/>
      <c r="AB169"/>
      <c r="AC169"/>
      <c r="AD169"/>
      <c r="AE169"/>
      <c r="AF169"/>
      <c r="AG169"/>
      <c r="AH169"/>
      <c r="AI169"/>
      <c r="AJ169"/>
      <c r="AK169"/>
      <c r="AL169"/>
    </row>
    <row r="170" spans="1:38" ht="15.75" customHeight="1" outlineLevel="2" x14ac:dyDescent="0.2">
      <c r="A170" s="1067">
        <v>1</v>
      </c>
      <c r="B170" s="1067" t="s">
        <v>68</v>
      </c>
      <c r="C170" s="1067" t="s">
        <v>2171</v>
      </c>
      <c r="D170" s="1067" t="s">
        <v>2171</v>
      </c>
      <c r="E170" s="1068" t="s">
        <v>113</v>
      </c>
      <c r="F170" s="1067"/>
      <c r="G170" s="1069" t="str">
        <f t="array" ref="G170">IF(B170="insumo",_xlfn.XLOOKUP($D170,Insumos!$B$1:$B$996,Insumos!$D$1:$D$996),"")</f>
        <v/>
      </c>
      <c r="H170" s="1069">
        <v>42.431057000000003</v>
      </c>
      <c r="I170" s="1070">
        <v>0</v>
      </c>
      <c r="J170" s="1070">
        <v>0</v>
      </c>
      <c r="K170" s="1070"/>
      <c r="L170"/>
      <c r="M170"/>
      <c r="N170"/>
      <c r="O170"/>
      <c r="P170"/>
      <c r="Q170"/>
      <c r="R170"/>
      <c r="S170"/>
      <c r="T170"/>
      <c r="U170"/>
      <c r="V170"/>
      <c r="W170"/>
      <c r="X170"/>
      <c r="Y170"/>
      <c r="Z170"/>
      <c r="AA170"/>
      <c r="AB170"/>
      <c r="AC170"/>
      <c r="AD170"/>
      <c r="AE170"/>
      <c r="AF170"/>
      <c r="AG170"/>
      <c r="AH170"/>
      <c r="AI170"/>
      <c r="AJ170"/>
      <c r="AK170"/>
      <c r="AL170"/>
    </row>
    <row r="171" spans="1:38" ht="15.75" customHeight="1" outlineLevel="3" x14ac:dyDescent="0.2">
      <c r="A171" s="10">
        <v>40</v>
      </c>
      <c r="B171" s="10" t="s">
        <v>71</v>
      </c>
      <c r="C171" s="10" t="s">
        <v>2171</v>
      </c>
      <c r="D171" s="10" t="s">
        <v>87</v>
      </c>
      <c r="E171" s="11" t="str">
        <f t="array" ref="E171">_xlfn.XLOOKUP(D171,Insumos!B:B,Insumos!C:$C)</f>
        <v>KG</v>
      </c>
      <c r="F171" s="14">
        <v>3.8899999999999997E-2</v>
      </c>
      <c r="G171" s="92">
        <f t="array" ref="G171">IF(B171="insumo",_xlfn.XLOOKUP($D171,Insumos!$B$1:$B$996,Insumos!$D$1:$D$996),"")</f>
        <v>18.13</v>
      </c>
      <c r="H171" s="92">
        <v>0.70525700000000002</v>
      </c>
      <c r="I171" s="13">
        <v>0</v>
      </c>
      <c r="J171" s="13">
        <v>0</v>
      </c>
      <c r="K171" s="13"/>
      <c r="L171"/>
      <c r="M171"/>
      <c r="N171"/>
      <c r="O171"/>
      <c r="P171"/>
      <c r="Q171"/>
      <c r="R171"/>
      <c r="S171"/>
      <c r="T171"/>
      <c r="U171"/>
      <c r="V171"/>
      <c r="W171"/>
      <c r="X171"/>
      <c r="Y171"/>
      <c r="Z171"/>
      <c r="AA171"/>
      <c r="AB171"/>
      <c r="AC171"/>
      <c r="AD171"/>
      <c r="AE171"/>
      <c r="AF171"/>
      <c r="AG171"/>
      <c r="AH171"/>
      <c r="AI171"/>
      <c r="AJ171"/>
      <c r="AK171"/>
      <c r="AL171"/>
    </row>
    <row r="172" spans="1:38" ht="15.75" customHeight="1" outlineLevel="3" x14ac:dyDescent="0.2">
      <c r="A172" s="10">
        <v>4</v>
      </c>
      <c r="B172" s="10" t="s">
        <v>71</v>
      </c>
      <c r="C172" s="10" t="s">
        <v>2171</v>
      </c>
      <c r="D172" s="10" t="s">
        <v>123</v>
      </c>
      <c r="E172" s="11" t="str">
        <f t="array" ref="E172">_xlfn.XLOOKUP(D172,Insumos!B:B,Insumos!C:$C)</f>
        <v>M</v>
      </c>
      <c r="F172" s="14">
        <v>1.41</v>
      </c>
      <c r="G172" s="92">
        <f t="array" ref="G172">IF(B172="insumo",_xlfn.XLOOKUP($D172,Insumos!$B$1:$B$996,Insumos!$D$1:$D$996),"")</f>
        <v>21.23</v>
      </c>
      <c r="H172" s="92">
        <v>29.9343</v>
      </c>
      <c r="I172" s="13">
        <v>0</v>
      </c>
      <c r="J172" s="13">
        <v>0</v>
      </c>
      <c r="K172" s="13"/>
      <c r="L172"/>
      <c r="M172"/>
      <c r="N172"/>
      <c r="O172"/>
      <c r="P172"/>
      <c r="Q172"/>
      <c r="R172"/>
      <c r="S172"/>
      <c r="T172"/>
      <c r="U172"/>
      <c r="V172"/>
      <c r="W172"/>
      <c r="X172"/>
      <c r="Y172"/>
      <c r="Z172"/>
      <c r="AA172"/>
      <c r="AB172"/>
      <c r="AC172"/>
      <c r="AD172"/>
      <c r="AE172"/>
      <c r="AF172"/>
      <c r="AG172"/>
      <c r="AH172"/>
      <c r="AI172"/>
      <c r="AJ172"/>
      <c r="AK172"/>
      <c r="AL172"/>
    </row>
    <row r="173" spans="1:38" ht="15.75" customHeight="1" outlineLevel="3" x14ac:dyDescent="0.2">
      <c r="A173" s="10">
        <v>2</v>
      </c>
      <c r="B173" s="10" t="s">
        <v>71</v>
      </c>
      <c r="C173" s="10" t="s">
        <v>2171</v>
      </c>
      <c r="D173" s="10" t="s">
        <v>126</v>
      </c>
      <c r="E173" s="11" t="str">
        <f t="array" ref="E173">_xlfn.XLOOKUP(D173,Insumos!B:B,Insumos!C:$C)</f>
        <v>UN</v>
      </c>
      <c r="F173" s="14">
        <v>0.1</v>
      </c>
      <c r="G173" s="92">
        <f t="array" ref="G173">IF(B173="insumo",_xlfn.XLOOKUP($D173,Insumos!$B$1:$B$996,Insumos!$D$1:$D$996),"")</f>
        <v>32.9</v>
      </c>
      <c r="H173" s="92">
        <v>3.29</v>
      </c>
      <c r="I173" s="13">
        <v>0</v>
      </c>
      <c r="J173" s="13">
        <v>0</v>
      </c>
      <c r="K173" s="13"/>
      <c r="L173"/>
      <c r="M173"/>
      <c r="N173"/>
      <c r="O173"/>
      <c r="P173"/>
      <c r="Q173"/>
      <c r="R173"/>
      <c r="S173"/>
      <c r="T173"/>
      <c r="U173"/>
      <c r="V173"/>
      <c r="W173"/>
      <c r="X173"/>
      <c r="Y173"/>
      <c r="Z173"/>
      <c r="AA173"/>
      <c r="AB173"/>
      <c r="AC173"/>
      <c r="AD173"/>
      <c r="AE173"/>
      <c r="AF173"/>
      <c r="AG173"/>
      <c r="AH173"/>
      <c r="AI173"/>
      <c r="AJ173"/>
      <c r="AK173"/>
      <c r="AL173"/>
    </row>
    <row r="174" spans="1:38" ht="15.75" customHeight="1" outlineLevel="3" x14ac:dyDescent="0.2">
      <c r="A174" s="10">
        <v>3</v>
      </c>
      <c r="B174" s="10" t="s">
        <v>71</v>
      </c>
      <c r="C174" s="10" t="s">
        <v>2171</v>
      </c>
      <c r="D174" s="10" t="s">
        <v>124</v>
      </c>
      <c r="E174" s="11" t="str">
        <f t="array" ref="E174">_xlfn.XLOOKUP(D174,Insumos!B:B,Insumos!C:$C)</f>
        <v>M</v>
      </c>
      <c r="F174" s="14">
        <v>0.55000000000000004</v>
      </c>
      <c r="G174" s="92">
        <f t="array" ref="G174">IF(B174="insumo",_xlfn.XLOOKUP($D174,Insumos!$B$1:$B$996,Insumos!$D$1:$D$996),"")</f>
        <v>2.73</v>
      </c>
      <c r="H174" s="92">
        <v>1.5015000000000001</v>
      </c>
      <c r="I174" s="13">
        <v>0</v>
      </c>
      <c r="J174" s="13">
        <v>0</v>
      </c>
      <c r="K174" s="13"/>
      <c r="L174"/>
      <c r="M174"/>
      <c r="N174"/>
      <c r="O174"/>
      <c r="P174"/>
      <c r="Q174"/>
      <c r="R174"/>
      <c r="S174"/>
      <c r="T174"/>
      <c r="U174"/>
      <c r="V174"/>
      <c r="W174"/>
      <c r="X174"/>
      <c r="Y174"/>
      <c r="Z174"/>
      <c r="AA174"/>
      <c r="AB174"/>
      <c r="AC174"/>
      <c r="AD174"/>
      <c r="AE174"/>
      <c r="AF174"/>
      <c r="AG174"/>
      <c r="AH174"/>
      <c r="AI174"/>
      <c r="AJ174"/>
      <c r="AK174"/>
      <c r="AL174"/>
    </row>
    <row r="175" spans="1:38" ht="15.75" customHeight="1" outlineLevel="3" x14ac:dyDescent="0.2">
      <c r="A175" s="10">
        <v>1</v>
      </c>
      <c r="B175" s="10" t="s">
        <v>71</v>
      </c>
      <c r="C175" s="10" t="s">
        <v>2171</v>
      </c>
      <c r="D175" s="10" t="s">
        <v>2179</v>
      </c>
      <c r="E175" s="11" t="str">
        <f t="array" ref="E175">_xlfn.XLOOKUP(D175,Insumos!B:B,Insumos!C:$C)</f>
        <v>m</v>
      </c>
      <c r="F175" s="14">
        <v>0.35</v>
      </c>
      <c r="G175" s="92">
        <f t="array" ref="G175">IF(B175="insumo",_xlfn.XLOOKUP($D175,Insumos!$B$1:$B$996,Insumos!$D$1:$D$996),"")</f>
        <v>20</v>
      </c>
      <c r="H175" s="92">
        <v>7</v>
      </c>
      <c r="I175" s="13">
        <v>0</v>
      </c>
      <c r="J175" s="13">
        <v>0</v>
      </c>
      <c r="K175" s="13"/>
      <c r="L175"/>
      <c r="M175"/>
      <c r="N175"/>
      <c r="O175"/>
      <c r="P175"/>
      <c r="Q175"/>
      <c r="R175"/>
      <c r="S175"/>
      <c r="T175"/>
      <c r="U175"/>
      <c r="V175"/>
      <c r="W175"/>
      <c r="X175"/>
      <c r="Y175"/>
      <c r="Z175"/>
      <c r="AA175"/>
      <c r="AB175"/>
      <c r="AC175"/>
      <c r="AD175"/>
      <c r="AE175"/>
      <c r="AF175"/>
      <c r="AG175"/>
      <c r="AH175"/>
      <c r="AI175"/>
      <c r="AJ175"/>
      <c r="AK175"/>
      <c r="AL175"/>
    </row>
    <row r="176" spans="1:38" ht="15.75" customHeight="1" outlineLevel="2" x14ac:dyDescent="0.2">
      <c r="A176" s="1067">
        <v>1</v>
      </c>
      <c r="B176" s="1067" t="s">
        <v>68</v>
      </c>
      <c r="C176" s="1067" t="s">
        <v>2032</v>
      </c>
      <c r="D176" s="1067" t="s">
        <v>2032</v>
      </c>
      <c r="E176" s="1068" t="s">
        <v>113</v>
      </c>
      <c r="F176" s="1067"/>
      <c r="G176" s="1069" t="str">
        <f t="array" ref="G176">IF(B176="insumo",_xlfn.XLOOKUP($D176,Insumos!$B$1:$B$996,Insumos!$D$1:$D$996),"")</f>
        <v/>
      </c>
      <c r="H176" s="1069">
        <v>41.811056999999998</v>
      </c>
      <c r="I176" s="1070">
        <v>0</v>
      </c>
      <c r="J176" s="1070">
        <v>0</v>
      </c>
      <c r="K176" s="1070"/>
      <c r="L176"/>
      <c r="M176"/>
      <c r="N176"/>
      <c r="O176"/>
      <c r="P176"/>
      <c r="Q176"/>
      <c r="R176"/>
      <c r="S176"/>
      <c r="T176"/>
      <c r="U176"/>
      <c r="V176"/>
      <c r="W176"/>
      <c r="X176"/>
      <c r="Y176"/>
      <c r="Z176"/>
      <c r="AA176"/>
      <c r="AB176"/>
      <c r="AC176"/>
      <c r="AD176"/>
      <c r="AE176"/>
      <c r="AF176"/>
      <c r="AG176"/>
      <c r="AH176"/>
      <c r="AI176"/>
      <c r="AJ176"/>
      <c r="AK176"/>
      <c r="AL176"/>
    </row>
    <row r="177" spans="1:38" ht="15.75" customHeight="1" outlineLevel="3" x14ac:dyDescent="0.2">
      <c r="A177" s="10">
        <v>40</v>
      </c>
      <c r="B177" s="10" t="s">
        <v>71</v>
      </c>
      <c r="C177" s="10" t="s">
        <v>2032</v>
      </c>
      <c r="D177" s="10" t="s">
        <v>87</v>
      </c>
      <c r="E177" s="11" t="str">
        <f t="array" ref="E177">_xlfn.XLOOKUP(D177,Insumos!B:B,Insumos!C:$C)</f>
        <v>KG</v>
      </c>
      <c r="F177" s="14">
        <v>3.8899999999999997E-2</v>
      </c>
      <c r="G177" s="92">
        <f t="array" ref="G177">IF(B177="insumo",_xlfn.XLOOKUP($D177,Insumos!$B$1:$B$996,Insumos!$D$1:$D$996),"")</f>
        <v>18.13</v>
      </c>
      <c r="H177" s="92">
        <v>0.70525700000000002</v>
      </c>
      <c r="I177" s="13">
        <v>0</v>
      </c>
      <c r="J177" s="13">
        <v>0</v>
      </c>
      <c r="K177" s="13"/>
      <c r="L177"/>
      <c r="M177"/>
      <c r="N177"/>
      <c r="O177"/>
      <c r="P177"/>
      <c r="Q177"/>
      <c r="R177"/>
      <c r="S177"/>
      <c r="T177"/>
      <c r="U177"/>
      <c r="V177"/>
      <c r="W177"/>
      <c r="X177"/>
      <c r="Y177"/>
      <c r="Z177"/>
      <c r="AA177"/>
      <c r="AB177"/>
      <c r="AC177"/>
      <c r="AD177"/>
      <c r="AE177"/>
      <c r="AF177"/>
      <c r="AG177"/>
      <c r="AH177"/>
      <c r="AI177"/>
      <c r="AJ177"/>
      <c r="AK177"/>
      <c r="AL177"/>
    </row>
    <row r="178" spans="1:38" ht="15.75" customHeight="1" outlineLevel="3" x14ac:dyDescent="0.2">
      <c r="A178" s="10">
        <v>4</v>
      </c>
      <c r="B178" s="10" t="s">
        <v>71</v>
      </c>
      <c r="C178" s="10" t="s">
        <v>2032</v>
      </c>
      <c r="D178" s="10" t="s">
        <v>123</v>
      </c>
      <c r="E178" s="11" t="str">
        <f t="array" ref="E178">_xlfn.XLOOKUP(D178,Insumos!B:B,Insumos!C:$C)</f>
        <v>M</v>
      </c>
      <c r="F178" s="14">
        <v>1.41</v>
      </c>
      <c r="G178" s="92">
        <f t="array" ref="G178">IF(B178="insumo",_xlfn.XLOOKUP($D178,Insumos!$B$1:$B$996,Insumos!$D$1:$D$996),"")</f>
        <v>21.23</v>
      </c>
      <c r="H178" s="92">
        <v>29.9343</v>
      </c>
      <c r="I178" s="13">
        <v>0</v>
      </c>
      <c r="J178" s="13">
        <v>0</v>
      </c>
      <c r="K178" s="13"/>
      <c r="L178"/>
      <c r="M178"/>
      <c r="N178"/>
      <c r="O178"/>
      <c r="P178"/>
      <c r="Q178"/>
      <c r="R178"/>
      <c r="S178"/>
      <c r="T178"/>
      <c r="U178"/>
      <c r="V178"/>
      <c r="W178"/>
      <c r="X178"/>
      <c r="Y178"/>
      <c r="Z178"/>
      <c r="AA178"/>
      <c r="AB178"/>
      <c r="AC178"/>
      <c r="AD178"/>
      <c r="AE178"/>
      <c r="AF178"/>
      <c r="AG178"/>
      <c r="AH178"/>
      <c r="AI178"/>
      <c r="AJ178"/>
      <c r="AK178"/>
      <c r="AL178"/>
    </row>
    <row r="179" spans="1:38" ht="15.75" customHeight="1" outlineLevel="3" x14ac:dyDescent="0.2">
      <c r="A179" s="10">
        <v>2</v>
      </c>
      <c r="B179" s="10" t="s">
        <v>71</v>
      </c>
      <c r="C179" s="10" t="s">
        <v>2032</v>
      </c>
      <c r="D179" s="10" t="s">
        <v>126</v>
      </c>
      <c r="E179" s="11" t="str">
        <f t="array" ref="E179">_xlfn.XLOOKUP(D179,Insumos!B:B,Insumos!C:$C)</f>
        <v>UN</v>
      </c>
      <c r="F179" s="14">
        <v>0.1</v>
      </c>
      <c r="G179" s="92">
        <f t="array" ref="G179">IF(B179="insumo",_xlfn.XLOOKUP($D179,Insumos!$B$1:$B$996,Insumos!$D$1:$D$996),"")</f>
        <v>32.9</v>
      </c>
      <c r="H179" s="92">
        <v>3.29</v>
      </c>
      <c r="I179" s="13">
        <v>0</v>
      </c>
      <c r="J179" s="13">
        <v>0</v>
      </c>
      <c r="K179" s="13"/>
      <c r="L179"/>
      <c r="M179"/>
      <c r="N179"/>
      <c r="O179"/>
      <c r="P179"/>
      <c r="Q179"/>
      <c r="R179"/>
      <c r="S179"/>
      <c r="T179"/>
      <c r="U179"/>
      <c r="V179"/>
      <c r="W179"/>
      <c r="X179"/>
      <c r="Y179"/>
      <c r="Z179"/>
      <c r="AA179"/>
      <c r="AB179"/>
      <c r="AC179"/>
      <c r="AD179"/>
      <c r="AE179"/>
      <c r="AF179"/>
      <c r="AG179"/>
      <c r="AH179"/>
      <c r="AI179"/>
      <c r="AJ179"/>
      <c r="AK179"/>
      <c r="AL179"/>
    </row>
    <row r="180" spans="1:38" ht="15.75" customHeight="1" outlineLevel="3" x14ac:dyDescent="0.2">
      <c r="A180" s="10">
        <v>3</v>
      </c>
      <c r="B180" s="10" t="s">
        <v>71</v>
      </c>
      <c r="C180" s="10" t="s">
        <v>2032</v>
      </c>
      <c r="D180" s="10" t="s">
        <v>124</v>
      </c>
      <c r="E180" s="11" t="str">
        <f t="array" ref="E180">_xlfn.XLOOKUP(D180,Insumos!B:B,Insumos!C:$C)</f>
        <v>M</v>
      </c>
      <c r="F180" s="14">
        <v>0.55000000000000004</v>
      </c>
      <c r="G180" s="92">
        <f t="array" ref="G180">IF(B180="insumo",_xlfn.XLOOKUP($D180,Insumos!$B$1:$B$996,Insumos!$D$1:$D$996),"")</f>
        <v>2.73</v>
      </c>
      <c r="H180" s="92">
        <v>1.5015000000000001</v>
      </c>
      <c r="I180" s="13">
        <v>0</v>
      </c>
      <c r="J180" s="13">
        <v>0</v>
      </c>
      <c r="K180" s="13"/>
      <c r="L180"/>
      <c r="M180"/>
      <c r="N180"/>
      <c r="O180"/>
      <c r="P180"/>
      <c r="Q180"/>
      <c r="R180"/>
      <c r="S180"/>
      <c r="T180"/>
      <c r="U180"/>
      <c r="V180"/>
      <c r="W180"/>
      <c r="X180"/>
      <c r="Y180"/>
      <c r="Z180"/>
      <c r="AA180"/>
      <c r="AB180"/>
      <c r="AC180"/>
      <c r="AD180"/>
      <c r="AE180"/>
      <c r="AF180"/>
      <c r="AG180"/>
      <c r="AH180"/>
      <c r="AI180"/>
      <c r="AJ180"/>
      <c r="AK180"/>
      <c r="AL180"/>
    </row>
    <row r="181" spans="1:38" ht="15.75" customHeight="1" outlineLevel="3" x14ac:dyDescent="0.2">
      <c r="A181" s="10">
        <v>7</v>
      </c>
      <c r="B181" s="10" t="s">
        <v>71</v>
      </c>
      <c r="C181" s="10" t="s">
        <v>2032</v>
      </c>
      <c r="D181" s="10" t="s">
        <v>120</v>
      </c>
      <c r="E181" s="11" t="str">
        <f t="array" ref="E181">_xlfn.XLOOKUP(D181,Insumos!B:B,Insumos!C:$C)</f>
        <v>M3</v>
      </c>
      <c r="F181" s="14">
        <v>5.7999999999999996E-3</v>
      </c>
      <c r="G181" s="92">
        <f t="array" ref="G181">IF(B181="insumo",_xlfn.XLOOKUP($D181,Insumos!$B$1:$B$996,Insumos!$D$1:$D$996),"")</f>
        <v>1100</v>
      </c>
      <c r="H181" s="92">
        <v>6.38</v>
      </c>
      <c r="I181" s="13">
        <v>0</v>
      </c>
      <c r="J181" s="13">
        <v>0</v>
      </c>
      <c r="K181" s="13"/>
      <c r="L181"/>
      <c r="M181"/>
      <c r="N181"/>
      <c r="O181"/>
      <c r="P181"/>
      <c r="Q181"/>
      <c r="R181"/>
      <c r="S181"/>
      <c r="T181"/>
      <c r="U181"/>
      <c r="V181"/>
      <c r="W181"/>
      <c r="X181"/>
      <c r="Y181"/>
      <c r="Z181"/>
      <c r="AA181"/>
      <c r="AB181"/>
      <c r="AC181"/>
      <c r="AD181"/>
      <c r="AE181"/>
      <c r="AF181"/>
      <c r="AG181"/>
      <c r="AH181"/>
      <c r="AI181"/>
      <c r="AJ181"/>
      <c r="AK181"/>
      <c r="AL181"/>
    </row>
    <row r="182" spans="1:38" ht="15.75" customHeight="1" outlineLevel="2" x14ac:dyDescent="0.2">
      <c r="A182" s="1067">
        <v>1</v>
      </c>
      <c r="B182" s="1067" t="s">
        <v>68</v>
      </c>
      <c r="C182" s="1067" t="s">
        <v>127</v>
      </c>
      <c r="D182" s="1067" t="s">
        <v>127</v>
      </c>
      <c r="E182" s="1068" t="s">
        <v>70</v>
      </c>
      <c r="F182" s="1067"/>
      <c r="G182" s="1069" t="str">
        <f t="array" ref="G182">IF(B182="insumo",_xlfn.XLOOKUP($D182,Insumos!$B$1:$B$996,Insumos!$D$1:$D$996),"")</f>
        <v/>
      </c>
      <c r="H182" s="1069">
        <v>8.5113000000000003</v>
      </c>
      <c r="I182" s="1070">
        <v>0</v>
      </c>
      <c r="J182" s="1070">
        <v>0</v>
      </c>
      <c r="K182" s="1070"/>
      <c r="L182"/>
      <c r="M182"/>
      <c r="N182"/>
      <c r="O182"/>
      <c r="P182"/>
      <c r="Q182"/>
      <c r="R182"/>
      <c r="S182"/>
      <c r="T182"/>
      <c r="U182"/>
      <c r="V182"/>
      <c r="W182"/>
      <c r="X182"/>
      <c r="Y182"/>
      <c r="Z182"/>
      <c r="AA182"/>
      <c r="AB182"/>
      <c r="AC182"/>
      <c r="AD182"/>
      <c r="AE182"/>
      <c r="AF182"/>
      <c r="AG182"/>
      <c r="AH182"/>
      <c r="AI182"/>
      <c r="AJ182"/>
      <c r="AK182"/>
      <c r="AL182"/>
    </row>
    <row r="183" spans="1:38" ht="15.75" customHeight="1" outlineLevel="3" x14ac:dyDescent="0.2">
      <c r="A183" s="10">
        <v>40</v>
      </c>
      <c r="B183" s="10" t="s">
        <v>71</v>
      </c>
      <c r="C183" s="10" t="s">
        <v>127</v>
      </c>
      <c r="D183" s="10" t="s">
        <v>87</v>
      </c>
      <c r="E183" s="11" t="str">
        <f t="array" ref="E183">_xlfn.XLOOKUP(D183,Insumos!B:B,Insumos!C:$C)</f>
        <v>KG</v>
      </c>
      <c r="F183" s="14">
        <v>0.01</v>
      </c>
      <c r="G183" s="92">
        <f t="array" ref="G183">IF(B183="insumo",_xlfn.XLOOKUP($D183,Insumos!$B$1:$B$996,Insumos!$D$1:$D$996),"")</f>
        <v>18.13</v>
      </c>
      <c r="H183" s="92">
        <v>0.18129999999999999</v>
      </c>
      <c r="I183" s="13">
        <v>0</v>
      </c>
      <c r="J183" s="13">
        <v>0</v>
      </c>
      <c r="K183" s="13"/>
      <c r="L183"/>
      <c r="M183"/>
      <c r="N183"/>
      <c r="O183"/>
      <c r="P183"/>
      <c r="Q183"/>
      <c r="R183"/>
      <c r="S183"/>
      <c r="T183"/>
      <c r="U183"/>
      <c r="V183"/>
      <c r="W183"/>
      <c r="X183"/>
      <c r="Y183"/>
      <c r="Z183"/>
      <c r="AA183"/>
      <c r="AB183"/>
      <c r="AC183"/>
      <c r="AD183"/>
      <c r="AE183"/>
      <c r="AF183"/>
      <c r="AG183"/>
      <c r="AH183"/>
      <c r="AI183"/>
      <c r="AJ183"/>
      <c r="AK183"/>
      <c r="AL183"/>
    </row>
    <row r="184" spans="1:38" ht="15.75" customHeight="1" outlineLevel="3" x14ac:dyDescent="0.2">
      <c r="A184" s="10">
        <v>1</v>
      </c>
      <c r="B184" s="10" t="s">
        <v>71</v>
      </c>
      <c r="C184" s="10" t="s">
        <v>127</v>
      </c>
      <c r="D184" s="10" t="s">
        <v>128</v>
      </c>
      <c r="E184" s="11" t="str">
        <f t="array" ref="E184">_xlfn.XLOOKUP(D184,Insumos!B:B,Insumos!C:$C)</f>
        <v>M2</v>
      </c>
      <c r="F184" s="14">
        <v>1.05</v>
      </c>
      <c r="G184" s="92">
        <f t="array" ref="G184">IF(B184="insumo",_xlfn.XLOOKUP($D184,Insumos!$B$1:$B$996,Insumos!$D$1:$D$996),"")</f>
        <v>3.5</v>
      </c>
      <c r="H184" s="92">
        <v>3.6749999999999998</v>
      </c>
      <c r="I184" s="13">
        <v>0</v>
      </c>
      <c r="J184" s="13">
        <v>0</v>
      </c>
      <c r="K184" s="13"/>
      <c r="L184"/>
      <c r="M184"/>
      <c r="N184"/>
      <c r="O184"/>
      <c r="P184"/>
      <c r="Q184"/>
      <c r="R184"/>
      <c r="S184"/>
      <c r="T184"/>
      <c r="U184"/>
      <c r="V184"/>
      <c r="W184"/>
      <c r="X184"/>
      <c r="Y184"/>
      <c r="Z184"/>
      <c r="AA184"/>
      <c r="AB184"/>
      <c r="AC184"/>
      <c r="AD184"/>
      <c r="AE184"/>
      <c r="AF184"/>
      <c r="AG184"/>
      <c r="AH184"/>
      <c r="AI184"/>
      <c r="AJ184"/>
      <c r="AK184"/>
      <c r="AL184"/>
    </row>
    <row r="185" spans="1:38" ht="15.75" customHeight="1" outlineLevel="3" x14ac:dyDescent="0.2">
      <c r="A185" s="10">
        <v>7</v>
      </c>
      <c r="B185" s="10" t="s">
        <v>71</v>
      </c>
      <c r="C185" s="10" t="s">
        <v>127</v>
      </c>
      <c r="D185" s="10" t="s">
        <v>120</v>
      </c>
      <c r="E185" s="11" t="str">
        <f t="array" ref="E185">_xlfn.XLOOKUP(D185,Insumos!B:B,Insumos!C:$C)</f>
        <v>M3</v>
      </c>
      <c r="F185" s="14">
        <v>1.9E-3</v>
      </c>
      <c r="G185" s="92">
        <f t="array" ref="G185">IF(B185="insumo",_xlfn.XLOOKUP($D185,Insumos!$B$1:$B$996,Insumos!$D$1:$D$996),"")</f>
        <v>1100</v>
      </c>
      <c r="H185" s="92">
        <v>2.09</v>
      </c>
      <c r="I185" s="13">
        <v>0</v>
      </c>
      <c r="J185" s="13">
        <v>0</v>
      </c>
      <c r="K185" s="13"/>
      <c r="L185"/>
      <c r="M185"/>
      <c r="N185"/>
      <c r="O185"/>
      <c r="P185"/>
      <c r="Q185"/>
      <c r="R185"/>
      <c r="S185"/>
      <c r="T185"/>
      <c r="U185"/>
      <c r="V185"/>
      <c r="W185"/>
      <c r="X185"/>
      <c r="Y185"/>
      <c r="Z185"/>
      <c r="AA185"/>
      <c r="AB185"/>
      <c r="AC185"/>
      <c r="AD185"/>
      <c r="AE185"/>
      <c r="AF185"/>
      <c r="AG185"/>
      <c r="AH185"/>
      <c r="AI185"/>
      <c r="AJ185"/>
      <c r="AK185"/>
      <c r="AL185"/>
    </row>
    <row r="186" spans="1:38" ht="15.75" customHeight="1" outlineLevel="3" x14ac:dyDescent="0.2">
      <c r="A186" s="10">
        <v>19</v>
      </c>
      <c r="B186" s="10" t="s">
        <v>71</v>
      </c>
      <c r="C186" s="10" t="s">
        <v>127</v>
      </c>
      <c r="D186" s="10" t="s">
        <v>129</v>
      </c>
      <c r="E186" s="11" t="str">
        <f t="array" ref="E186">_xlfn.XLOOKUP(D186,Insumos!B:B,Insumos!C:$C)</f>
        <v>M3</v>
      </c>
      <c r="F186" s="14">
        <v>1.9E-3</v>
      </c>
      <c r="G186" s="92">
        <f t="array" ref="G186">IF(B186="insumo",_xlfn.XLOOKUP($D186,Insumos!$B$1:$B$996,Insumos!$D$1:$D$996),"")</f>
        <v>1350</v>
      </c>
      <c r="H186" s="92">
        <v>2.5649999999999999</v>
      </c>
      <c r="I186" s="13">
        <v>0</v>
      </c>
      <c r="J186" s="13">
        <v>0</v>
      </c>
      <c r="K186" s="13"/>
      <c r="L186"/>
      <c r="M186"/>
      <c r="N186"/>
      <c r="O186"/>
      <c r="P186"/>
      <c r="Q186"/>
      <c r="R186"/>
      <c r="S186"/>
      <c r="T186"/>
      <c r="U186"/>
      <c r="V186"/>
      <c r="W186"/>
      <c r="X186"/>
      <c r="Y186"/>
      <c r="Z186"/>
      <c r="AA186"/>
      <c r="AB186"/>
      <c r="AC186"/>
      <c r="AD186"/>
      <c r="AE186"/>
      <c r="AF186"/>
      <c r="AG186"/>
      <c r="AH186"/>
      <c r="AI186"/>
      <c r="AJ186"/>
      <c r="AK186"/>
      <c r="AL186"/>
    </row>
    <row r="187" spans="1:38" ht="15.75" customHeight="1" outlineLevel="2" x14ac:dyDescent="0.2">
      <c r="A187" s="1067">
        <v>1</v>
      </c>
      <c r="B187" s="1067" t="s">
        <v>68</v>
      </c>
      <c r="C187" s="1067" t="s">
        <v>2033</v>
      </c>
      <c r="D187" s="1067" t="s">
        <v>2033</v>
      </c>
      <c r="E187" s="1068" t="s">
        <v>70</v>
      </c>
      <c r="F187" s="1067"/>
      <c r="G187" s="1069" t="str">
        <f t="array" ref="G187">IF(B187="insumo",_xlfn.XLOOKUP($D187,Insumos!$B$1:$B$996,Insumos!$D$1:$D$996),"")</f>
        <v/>
      </c>
      <c r="H187" s="1069">
        <v>49.519651000000003</v>
      </c>
      <c r="I187" s="1070">
        <v>0</v>
      </c>
      <c r="J187" s="1070">
        <v>0</v>
      </c>
      <c r="K187" s="1070"/>
      <c r="L187"/>
      <c r="M187"/>
      <c r="N187"/>
      <c r="O187"/>
      <c r="P187"/>
      <c r="Q187"/>
      <c r="R187"/>
      <c r="S187"/>
      <c r="T187"/>
      <c r="U187"/>
      <c r="V187"/>
      <c r="W187"/>
      <c r="X187"/>
      <c r="Y187"/>
      <c r="Z187"/>
      <c r="AA187"/>
      <c r="AB187"/>
      <c r="AC187"/>
      <c r="AD187"/>
      <c r="AE187"/>
      <c r="AF187"/>
      <c r="AG187"/>
      <c r="AH187"/>
      <c r="AI187"/>
      <c r="AJ187"/>
      <c r="AK187"/>
      <c r="AL187"/>
    </row>
    <row r="188" spans="1:38" ht="15.75" customHeight="1" outlineLevel="3" x14ac:dyDescent="0.2">
      <c r="A188" s="10">
        <v>40</v>
      </c>
      <c r="B188" s="10" t="s">
        <v>71</v>
      </c>
      <c r="C188" s="10" t="s">
        <v>2033</v>
      </c>
      <c r="D188" s="10" t="s">
        <v>87</v>
      </c>
      <c r="E188" s="11" t="str">
        <f t="array" ref="E188">_xlfn.XLOOKUP(D188,Insumos!B:B,Insumos!C:$C)</f>
        <v>KG</v>
      </c>
      <c r="F188" s="14">
        <v>6.6699999999999995E-2</v>
      </c>
      <c r="G188" s="92">
        <f t="array" ref="G188">IF(B188="insumo",_xlfn.XLOOKUP($D188,Insumos!$B$1:$B$996,Insumos!$D$1:$D$996),"")</f>
        <v>18.13</v>
      </c>
      <c r="H188" s="92">
        <v>1.209271</v>
      </c>
      <c r="I188" s="13">
        <v>0</v>
      </c>
      <c r="J188" s="13">
        <v>0</v>
      </c>
      <c r="K188" s="13"/>
      <c r="L188"/>
      <c r="M188"/>
      <c r="N188"/>
      <c r="O188"/>
      <c r="P188"/>
      <c r="Q188"/>
      <c r="R188"/>
      <c r="S188"/>
      <c r="T188"/>
      <c r="U188"/>
      <c r="V188"/>
      <c r="W188"/>
      <c r="X188"/>
      <c r="Y188"/>
      <c r="Z188"/>
      <c r="AA188"/>
      <c r="AB188"/>
      <c r="AC188"/>
      <c r="AD188"/>
      <c r="AE188"/>
      <c r="AF188"/>
      <c r="AG188"/>
      <c r="AH188"/>
      <c r="AI188"/>
      <c r="AJ188"/>
      <c r="AK188"/>
      <c r="AL188"/>
    </row>
    <row r="189" spans="1:38" ht="15.75" customHeight="1" outlineLevel="3" x14ac:dyDescent="0.2">
      <c r="A189" s="10">
        <v>3</v>
      </c>
      <c r="B189" s="10" t="s">
        <v>71</v>
      </c>
      <c r="C189" s="10" t="s">
        <v>2033</v>
      </c>
      <c r="D189" s="10" t="s">
        <v>131</v>
      </c>
      <c r="E189" s="11" t="str">
        <f t="array" ref="E189">_xlfn.XLOOKUP(D189,Insumos!B:B,Insumos!C:$C)</f>
        <v>M2</v>
      </c>
      <c r="F189" s="14">
        <v>1.071</v>
      </c>
      <c r="G189" s="92">
        <f t="array" ref="G189">IF(B189="insumo",_xlfn.XLOOKUP($D189,Insumos!$B$1:$B$996,Insumos!$D$1:$D$996),"")</f>
        <v>35.78</v>
      </c>
      <c r="H189" s="92">
        <v>38.32038</v>
      </c>
      <c r="I189" s="13">
        <v>0</v>
      </c>
      <c r="J189" s="13">
        <v>0</v>
      </c>
      <c r="K189" s="13"/>
      <c r="L189"/>
      <c r="M189"/>
      <c r="N189"/>
      <c r="O189"/>
      <c r="P189"/>
      <c r="Q189"/>
      <c r="R189"/>
      <c r="S189"/>
      <c r="T189"/>
      <c r="U189"/>
      <c r="V189"/>
      <c r="W189"/>
      <c r="X189"/>
      <c r="Y189"/>
      <c r="Z189"/>
      <c r="AA189"/>
      <c r="AB189"/>
      <c r="AC189"/>
      <c r="AD189"/>
      <c r="AE189"/>
      <c r="AF189"/>
      <c r="AG189"/>
      <c r="AH189"/>
      <c r="AI189"/>
      <c r="AJ189"/>
      <c r="AK189"/>
      <c r="AL189"/>
    </row>
    <row r="190" spans="1:38" ht="15.75" customHeight="1" outlineLevel="3" x14ac:dyDescent="0.2">
      <c r="A190" s="10">
        <v>19</v>
      </c>
      <c r="B190" s="10" t="s">
        <v>71</v>
      </c>
      <c r="C190" s="10" t="s">
        <v>2033</v>
      </c>
      <c r="D190" s="10" t="s">
        <v>129</v>
      </c>
      <c r="E190" s="11" t="str">
        <f t="array" ref="E190">_xlfn.XLOOKUP(D190,Insumos!B:B,Insumos!C:$C)</f>
        <v>M3</v>
      </c>
      <c r="F190" s="14">
        <v>7.4000000000000003E-3</v>
      </c>
      <c r="G190" s="92">
        <f t="array" ref="G190">IF(B190="insumo",_xlfn.XLOOKUP($D190,Insumos!$B$1:$B$996,Insumos!$D$1:$D$996),"")</f>
        <v>1350</v>
      </c>
      <c r="H190" s="92">
        <v>9.99</v>
      </c>
      <c r="I190" s="13">
        <v>0</v>
      </c>
      <c r="J190" s="13">
        <v>0</v>
      </c>
      <c r="K190" s="13"/>
      <c r="L190"/>
      <c r="M190"/>
      <c r="N190"/>
      <c r="O190"/>
      <c r="P190"/>
      <c r="Q190"/>
      <c r="R190"/>
      <c r="S190"/>
      <c r="T190"/>
      <c r="U190"/>
      <c r="V190"/>
      <c r="W190"/>
      <c r="X190"/>
      <c r="Y190"/>
      <c r="Z190"/>
      <c r="AA190"/>
      <c r="AB190"/>
      <c r="AC190"/>
      <c r="AD190"/>
      <c r="AE190"/>
      <c r="AF190"/>
      <c r="AG190"/>
      <c r="AH190"/>
      <c r="AI190"/>
      <c r="AJ190"/>
      <c r="AK190"/>
      <c r="AL190"/>
    </row>
    <row r="191" spans="1:38" ht="15.75" customHeight="1" outlineLevel="2" x14ac:dyDescent="0.2">
      <c r="A191" s="1067">
        <v>1</v>
      </c>
      <c r="B191" s="1067" t="s">
        <v>68</v>
      </c>
      <c r="C191" s="1067" t="s">
        <v>2172</v>
      </c>
      <c r="D191" s="1067" t="s">
        <v>2172</v>
      </c>
      <c r="E191" s="1068" t="s">
        <v>70</v>
      </c>
      <c r="F191" s="1067"/>
      <c r="G191" s="1069" t="str">
        <f t="array" ref="G191">IF(B191="insumo",_xlfn.XLOOKUP($D191,Insumos!$B$1:$B$996,Insumos!$D$1:$D$996),"")</f>
        <v/>
      </c>
      <c r="H191" s="1069">
        <v>49.519651000000003</v>
      </c>
      <c r="I191" s="1070">
        <v>0</v>
      </c>
      <c r="J191" s="1070">
        <v>0</v>
      </c>
      <c r="K191" s="1070"/>
      <c r="L191"/>
      <c r="M191"/>
      <c r="N191"/>
      <c r="O191"/>
      <c r="P191"/>
      <c r="Q191"/>
      <c r="R191"/>
      <c r="S191"/>
      <c r="T191"/>
      <c r="U191"/>
      <c r="V191"/>
      <c r="W191"/>
      <c r="X191"/>
      <c r="Y191"/>
      <c r="Z191"/>
      <c r="AA191"/>
      <c r="AB191"/>
      <c r="AC191"/>
      <c r="AD191"/>
      <c r="AE191"/>
      <c r="AF191"/>
      <c r="AG191"/>
      <c r="AH191"/>
      <c r="AI191"/>
      <c r="AJ191"/>
      <c r="AK191"/>
      <c r="AL191"/>
    </row>
    <row r="192" spans="1:38" ht="15.75" customHeight="1" outlineLevel="3" x14ac:dyDescent="0.2">
      <c r="A192" s="10">
        <v>40</v>
      </c>
      <c r="B192" s="10" t="s">
        <v>71</v>
      </c>
      <c r="C192" s="10" t="s">
        <v>2172</v>
      </c>
      <c r="D192" s="10" t="s">
        <v>87</v>
      </c>
      <c r="E192" s="11" t="str">
        <f t="array" ref="E192">_xlfn.XLOOKUP(D192,Insumos!B:B,Insumos!C:$C)</f>
        <v>KG</v>
      </c>
      <c r="F192" s="14">
        <v>6.6699999999999995E-2</v>
      </c>
      <c r="G192" s="92">
        <f t="array" ref="G192">IF(B192="insumo",_xlfn.XLOOKUP($D192,Insumos!$B$1:$B$996,Insumos!$D$1:$D$996),"")</f>
        <v>18.13</v>
      </c>
      <c r="H192" s="92">
        <v>1.209271</v>
      </c>
      <c r="I192" s="13">
        <v>0</v>
      </c>
      <c r="J192" s="13">
        <v>0</v>
      </c>
      <c r="K192" s="13"/>
      <c r="L192"/>
      <c r="M192"/>
      <c r="N192"/>
      <c r="O192"/>
      <c r="P192"/>
      <c r="Q192"/>
      <c r="R192"/>
      <c r="S192"/>
      <c r="T192"/>
      <c r="U192"/>
      <c r="V192"/>
      <c r="W192"/>
      <c r="X192"/>
      <c r="Y192"/>
      <c r="Z192"/>
      <c r="AA192"/>
      <c r="AB192"/>
      <c r="AC192"/>
      <c r="AD192"/>
      <c r="AE192"/>
      <c r="AF192"/>
      <c r="AG192"/>
      <c r="AH192"/>
      <c r="AI192"/>
      <c r="AJ192"/>
      <c r="AK192"/>
      <c r="AL192"/>
    </row>
    <row r="193" spans="1:38" ht="15.75" customHeight="1" outlineLevel="3" x14ac:dyDescent="0.2">
      <c r="A193" s="10">
        <v>3</v>
      </c>
      <c r="B193" s="10" t="s">
        <v>71</v>
      </c>
      <c r="C193" s="10" t="s">
        <v>2172</v>
      </c>
      <c r="D193" s="10" t="s">
        <v>131</v>
      </c>
      <c r="E193" s="11" t="str">
        <f t="array" ref="E193">_xlfn.XLOOKUP(D193,Insumos!B:B,Insumos!C:$C)</f>
        <v>M2</v>
      </c>
      <c r="F193" s="14">
        <v>1.071</v>
      </c>
      <c r="G193" s="92">
        <f t="array" ref="G193">IF(B193="insumo",_xlfn.XLOOKUP($D193,Insumos!$B$1:$B$996,Insumos!$D$1:$D$996),"")</f>
        <v>35.78</v>
      </c>
      <c r="H193" s="92">
        <v>38.32038</v>
      </c>
      <c r="I193" s="13">
        <v>0</v>
      </c>
      <c r="J193" s="13">
        <v>0</v>
      </c>
      <c r="K193" s="13"/>
      <c r="L193"/>
      <c r="M193"/>
      <c r="N193"/>
      <c r="O193"/>
      <c r="P193"/>
      <c r="Q193"/>
      <c r="R193"/>
      <c r="S193"/>
      <c r="T193"/>
      <c r="U193"/>
      <c r="V193"/>
      <c r="W193"/>
      <c r="X193"/>
      <c r="Y193"/>
      <c r="Z193"/>
      <c r="AA193"/>
      <c r="AB193"/>
      <c r="AC193"/>
      <c r="AD193"/>
      <c r="AE193"/>
      <c r="AF193"/>
      <c r="AG193"/>
      <c r="AH193"/>
      <c r="AI193"/>
      <c r="AJ193"/>
      <c r="AK193"/>
      <c r="AL193"/>
    </row>
    <row r="194" spans="1:38" ht="15.75" customHeight="1" outlineLevel="3" x14ac:dyDescent="0.2">
      <c r="A194" s="10">
        <v>19</v>
      </c>
      <c r="B194" s="10" t="s">
        <v>71</v>
      </c>
      <c r="C194" s="10" t="s">
        <v>2172</v>
      </c>
      <c r="D194" s="10" t="s">
        <v>129</v>
      </c>
      <c r="E194" s="11" t="str">
        <f t="array" ref="E194">_xlfn.XLOOKUP(D194,Insumos!B:B,Insumos!C:$C)</f>
        <v>M3</v>
      </c>
      <c r="F194" s="14">
        <v>7.4000000000000003E-3</v>
      </c>
      <c r="G194" s="92">
        <f t="array" ref="G194">IF(B194="insumo",_xlfn.XLOOKUP($D194,Insumos!$B$1:$B$996,Insumos!$D$1:$D$996),"")</f>
        <v>1350</v>
      </c>
      <c r="H194" s="92">
        <v>9.99</v>
      </c>
      <c r="I194" s="13">
        <v>0</v>
      </c>
      <c r="J194" s="13">
        <v>0</v>
      </c>
      <c r="K194" s="13"/>
      <c r="L194"/>
      <c r="M194"/>
      <c r="N194"/>
      <c r="O194"/>
      <c r="P194"/>
      <c r="Q194"/>
      <c r="R194"/>
      <c r="S194"/>
      <c r="T194"/>
      <c r="U194"/>
      <c r="V194"/>
      <c r="W194"/>
      <c r="X194"/>
      <c r="Y194"/>
      <c r="Z194"/>
      <c r="AA194"/>
      <c r="AB194"/>
      <c r="AC194"/>
      <c r="AD194"/>
      <c r="AE194"/>
      <c r="AF194"/>
      <c r="AG194"/>
      <c r="AH194"/>
      <c r="AI194"/>
      <c r="AJ194"/>
      <c r="AK194"/>
      <c r="AL194"/>
    </row>
    <row r="195" spans="1:38" ht="15.75" customHeight="1" outlineLevel="2" x14ac:dyDescent="0.2">
      <c r="A195" s="1067">
        <v>1</v>
      </c>
      <c r="B195" s="1067" t="s">
        <v>68</v>
      </c>
      <c r="C195" s="1067" t="s">
        <v>2173</v>
      </c>
      <c r="D195" s="1067" t="s">
        <v>2173</v>
      </c>
      <c r="E195" s="1068" t="s">
        <v>70</v>
      </c>
      <c r="F195" s="1067"/>
      <c r="G195" s="1069" t="str">
        <f t="array" ref="G195">IF(B195="insumo",_xlfn.XLOOKUP($D195,Insumos!$B$1:$B$996,Insumos!$D$1:$D$996),"")</f>
        <v/>
      </c>
      <c r="H195" s="1069">
        <v>49.519651000000003</v>
      </c>
      <c r="I195" s="1070">
        <v>0</v>
      </c>
      <c r="J195" s="1070">
        <v>0</v>
      </c>
      <c r="K195" s="1070"/>
      <c r="L195"/>
      <c r="M195"/>
      <c r="N195"/>
      <c r="O195"/>
      <c r="P195"/>
      <c r="Q195"/>
      <c r="R195"/>
      <c r="S195"/>
      <c r="T195"/>
      <c r="U195"/>
      <c r="V195"/>
      <c r="W195"/>
      <c r="X195"/>
      <c r="Y195"/>
      <c r="Z195"/>
      <c r="AA195"/>
      <c r="AB195"/>
      <c r="AC195"/>
      <c r="AD195"/>
      <c r="AE195"/>
      <c r="AF195"/>
      <c r="AG195"/>
      <c r="AH195"/>
      <c r="AI195"/>
      <c r="AJ195"/>
      <c r="AK195"/>
      <c r="AL195"/>
    </row>
    <row r="196" spans="1:38" ht="15.75" customHeight="1" outlineLevel="3" x14ac:dyDescent="0.2">
      <c r="A196" s="10">
        <v>40</v>
      </c>
      <c r="B196" s="10" t="s">
        <v>71</v>
      </c>
      <c r="C196" s="10" t="s">
        <v>2173</v>
      </c>
      <c r="D196" s="10" t="s">
        <v>87</v>
      </c>
      <c r="E196" s="11" t="str">
        <f t="array" ref="E196">_xlfn.XLOOKUP(D196,Insumos!B:B,Insumos!C:$C)</f>
        <v>KG</v>
      </c>
      <c r="F196" s="14">
        <v>6.6699999999999995E-2</v>
      </c>
      <c r="G196" s="92">
        <f t="array" ref="G196">IF(B196="insumo",_xlfn.XLOOKUP($D196,Insumos!$B$1:$B$996,Insumos!$D$1:$D$996),"")</f>
        <v>18.13</v>
      </c>
      <c r="H196" s="92">
        <v>1.209271</v>
      </c>
      <c r="I196" s="13">
        <v>0</v>
      </c>
      <c r="J196" s="13">
        <v>0</v>
      </c>
      <c r="K196" s="13"/>
      <c r="L196"/>
      <c r="M196"/>
      <c r="N196"/>
      <c r="O196"/>
      <c r="P196"/>
      <c r="Q196"/>
      <c r="R196"/>
      <c r="S196"/>
      <c r="T196"/>
      <c r="U196"/>
      <c r="V196"/>
      <c r="W196"/>
      <c r="X196"/>
      <c r="Y196"/>
      <c r="Z196"/>
      <c r="AA196"/>
      <c r="AB196"/>
      <c r="AC196"/>
      <c r="AD196"/>
      <c r="AE196"/>
      <c r="AF196"/>
      <c r="AG196"/>
      <c r="AH196"/>
      <c r="AI196"/>
      <c r="AJ196"/>
      <c r="AK196"/>
      <c r="AL196"/>
    </row>
    <row r="197" spans="1:38" ht="15.75" customHeight="1" outlineLevel="3" x14ac:dyDescent="0.2">
      <c r="A197" s="10">
        <v>3</v>
      </c>
      <c r="B197" s="10" t="s">
        <v>71</v>
      </c>
      <c r="C197" s="10" t="s">
        <v>2173</v>
      </c>
      <c r="D197" s="10" t="s">
        <v>131</v>
      </c>
      <c r="E197" s="11" t="str">
        <f t="array" ref="E197">_xlfn.XLOOKUP(D197,Insumos!B:B,Insumos!C:$C)</f>
        <v>M2</v>
      </c>
      <c r="F197" s="14">
        <v>1.071</v>
      </c>
      <c r="G197" s="92">
        <f t="array" ref="G197">IF(B197="insumo",_xlfn.XLOOKUP($D197,Insumos!$B$1:$B$996,Insumos!$D$1:$D$996),"")</f>
        <v>35.78</v>
      </c>
      <c r="H197" s="92">
        <v>38.32038</v>
      </c>
      <c r="I197" s="13">
        <v>0</v>
      </c>
      <c r="J197" s="13">
        <v>0</v>
      </c>
      <c r="K197" s="13"/>
      <c r="L197"/>
      <c r="M197"/>
      <c r="N197"/>
      <c r="O197"/>
      <c r="P197"/>
      <c r="Q197"/>
      <c r="R197"/>
      <c r="S197"/>
      <c r="T197"/>
      <c r="U197"/>
      <c r="V197"/>
      <c r="W197"/>
      <c r="X197"/>
      <c r="Y197"/>
      <c r="Z197"/>
      <c r="AA197"/>
      <c r="AB197"/>
      <c r="AC197"/>
      <c r="AD197"/>
      <c r="AE197"/>
      <c r="AF197"/>
      <c r="AG197"/>
      <c r="AH197"/>
      <c r="AI197"/>
      <c r="AJ197"/>
      <c r="AK197"/>
      <c r="AL197"/>
    </row>
    <row r="198" spans="1:38" ht="15.75" customHeight="1" outlineLevel="3" x14ac:dyDescent="0.2">
      <c r="A198" s="10">
        <v>19</v>
      </c>
      <c r="B198" s="10" t="s">
        <v>71</v>
      </c>
      <c r="C198" s="10" t="s">
        <v>2173</v>
      </c>
      <c r="D198" s="10" t="s">
        <v>129</v>
      </c>
      <c r="E198" s="11" t="str">
        <f t="array" ref="E198">_xlfn.XLOOKUP(D198,Insumos!B:B,Insumos!C:$C)</f>
        <v>M3</v>
      </c>
      <c r="F198" s="14">
        <v>7.4000000000000003E-3</v>
      </c>
      <c r="G198" s="92">
        <f t="array" ref="G198">IF(B198="insumo",_xlfn.XLOOKUP($D198,Insumos!$B$1:$B$996,Insumos!$D$1:$D$996),"")</f>
        <v>1350</v>
      </c>
      <c r="H198" s="92">
        <v>9.99</v>
      </c>
      <c r="I198" s="13">
        <v>0</v>
      </c>
      <c r="J198" s="13">
        <v>0</v>
      </c>
      <c r="K198" s="13"/>
      <c r="L198"/>
      <c r="M198"/>
      <c r="N198"/>
      <c r="O198"/>
      <c r="P198"/>
      <c r="Q198"/>
      <c r="R198"/>
      <c r="S198"/>
      <c r="T198"/>
      <c r="U198"/>
      <c r="V198"/>
      <c r="W198"/>
      <c r="X198"/>
      <c r="Y198"/>
      <c r="Z198"/>
      <c r="AA198"/>
      <c r="AB198"/>
      <c r="AC198"/>
      <c r="AD198"/>
      <c r="AE198"/>
      <c r="AF198"/>
      <c r="AG198"/>
      <c r="AH198"/>
      <c r="AI198"/>
      <c r="AJ198"/>
      <c r="AK198"/>
      <c r="AL198"/>
    </row>
    <row r="199" spans="1:38" ht="15.75" customHeight="1" outlineLevel="2" x14ac:dyDescent="0.2">
      <c r="A199" s="1067">
        <v>1</v>
      </c>
      <c r="B199" s="1067" t="s">
        <v>68</v>
      </c>
      <c r="C199" s="1067" t="s">
        <v>132</v>
      </c>
      <c r="D199" s="1067" t="s">
        <v>132</v>
      </c>
      <c r="E199" s="1068" t="s">
        <v>70</v>
      </c>
      <c r="F199" s="1067"/>
      <c r="G199" s="1069" t="str">
        <f t="array" ref="G199">IF(B199="insumo",_xlfn.XLOOKUP($D199,Insumos!$B$1:$B$996,Insumos!$D$1:$D$996),"")</f>
        <v/>
      </c>
      <c r="H199" s="1069">
        <v>880</v>
      </c>
      <c r="I199" s="1070">
        <v>0</v>
      </c>
      <c r="J199" s="1070">
        <v>0</v>
      </c>
      <c r="K199" s="1070"/>
      <c r="L199"/>
      <c r="M199"/>
      <c r="N199"/>
      <c r="O199"/>
      <c r="P199"/>
      <c r="Q199"/>
      <c r="R199"/>
      <c r="S199"/>
      <c r="T199"/>
      <c r="U199"/>
      <c r="V199"/>
      <c r="W199"/>
      <c r="X199"/>
      <c r="Y199"/>
      <c r="Z199"/>
      <c r="AA199"/>
      <c r="AB199"/>
      <c r="AC199"/>
      <c r="AD199"/>
      <c r="AE199"/>
      <c r="AF199"/>
      <c r="AG199"/>
      <c r="AH199"/>
      <c r="AI199"/>
      <c r="AJ199"/>
      <c r="AK199"/>
      <c r="AL199"/>
    </row>
    <row r="200" spans="1:38" ht="15.75" customHeight="1" outlineLevel="3" x14ac:dyDescent="0.2">
      <c r="A200" s="10">
        <v>1</v>
      </c>
      <c r="B200" s="10" t="s">
        <v>71</v>
      </c>
      <c r="C200" s="10" t="s">
        <v>132</v>
      </c>
      <c r="D200" s="10" t="s">
        <v>133</v>
      </c>
      <c r="E200" s="11" t="str">
        <f t="array" ref="E200">_xlfn.XLOOKUP(D200,Insumos!B:B,Insumos!C:$C)</f>
        <v>m2</v>
      </c>
      <c r="F200" s="14">
        <v>1</v>
      </c>
      <c r="G200" s="92">
        <f t="array" ref="G200">IF(B200="insumo",_xlfn.XLOOKUP($D200,Insumos!$B$1:$B$996,Insumos!$D$1:$D$996),"")</f>
        <v>880</v>
      </c>
      <c r="H200" s="92">
        <v>880</v>
      </c>
      <c r="I200" s="13">
        <v>0</v>
      </c>
      <c r="J200" s="13">
        <v>0</v>
      </c>
      <c r="K200" s="13"/>
      <c r="L200"/>
      <c r="M200"/>
      <c r="N200"/>
      <c r="O200"/>
      <c r="P200"/>
      <c r="Q200"/>
      <c r="R200"/>
      <c r="S200"/>
      <c r="T200"/>
      <c r="U200"/>
      <c r="V200"/>
      <c r="W200"/>
      <c r="X200"/>
      <c r="Y200"/>
      <c r="Z200"/>
      <c r="AA200"/>
      <c r="AB200"/>
      <c r="AC200"/>
      <c r="AD200"/>
      <c r="AE200"/>
      <c r="AF200"/>
      <c r="AG200"/>
      <c r="AH200"/>
      <c r="AI200"/>
      <c r="AJ200"/>
      <c r="AK200"/>
      <c r="AL200"/>
    </row>
    <row r="201" spans="1:38" ht="15.75" customHeight="1" outlineLevel="2" x14ac:dyDescent="0.2">
      <c r="A201" s="1067">
        <v>1</v>
      </c>
      <c r="B201" s="1067" t="s">
        <v>68</v>
      </c>
      <c r="C201" s="1067" t="s">
        <v>2069</v>
      </c>
      <c r="D201" s="1067" t="s">
        <v>2069</v>
      </c>
      <c r="E201" s="1068" t="s">
        <v>70</v>
      </c>
      <c r="F201" s="1067"/>
      <c r="G201" s="1069" t="str">
        <f t="array" ref="G201">IF(B201="insumo",_xlfn.XLOOKUP($D201,Insumos!$B$1:$B$996,Insumos!$D$1:$D$996),"")</f>
        <v/>
      </c>
      <c r="H201" s="1069">
        <v>164.07660000000001</v>
      </c>
      <c r="I201" s="1070">
        <v>0</v>
      </c>
      <c r="J201" s="1070">
        <v>0</v>
      </c>
      <c r="K201" s="1070"/>
      <c r="L201"/>
      <c r="M201"/>
      <c r="N201"/>
      <c r="O201"/>
      <c r="P201"/>
      <c r="Q201"/>
      <c r="R201"/>
      <c r="S201"/>
      <c r="T201"/>
      <c r="U201"/>
      <c r="V201"/>
      <c r="W201"/>
      <c r="X201"/>
      <c r="Y201"/>
      <c r="Z201"/>
      <c r="AA201"/>
      <c r="AB201"/>
      <c r="AC201"/>
      <c r="AD201"/>
      <c r="AE201"/>
      <c r="AF201"/>
      <c r="AG201"/>
      <c r="AH201"/>
      <c r="AI201"/>
      <c r="AJ201"/>
      <c r="AK201"/>
      <c r="AL201"/>
    </row>
    <row r="202" spans="1:38" ht="15.75" customHeight="1" outlineLevel="3" x14ac:dyDescent="0.2">
      <c r="A202" s="10">
        <v>6</v>
      </c>
      <c r="B202" s="10" t="s">
        <v>71</v>
      </c>
      <c r="C202" s="10" t="s">
        <v>2069</v>
      </c>
      <c r="D202" s="10" t="s">
        <v>135</v>
      </c>
      <c r="E202" s="11" t="str">
        <f t="array" ref="E202">_xlfn.XLOOKUP(D202,Insumos!B:B,Insumos!C:$C)</f>
        <v>KG</v>
      </c>
      <c r="F202" s="14">
        <v>6.8000000000000005E-2</v>
      </c>
      <c r="G202" s="92">
        <f t="array" ref="G202">IF(B202="insumo",_xlfn.XLOOKUP($D202,Insumos!$B$1:$B$996,Insumos!$D$1:$D$996),"")</f>
        <v>15.65</v>
      </c>
      <c r="H202" s="92">
        <v>1.0642</v>
      </c>
      <c r="I202" s="13">
        <v>0</v>
      </c>
      <c r="J202" s="13">
        <v>0</v>
      </c>
      <c r="K202" s="13"/>
      <c r="L202"/>
      <c r="M202"/>
      <c r="N202"/>
      <c r="O202"/>
      <c r="P202"/>
      <c r="Q202"/>
      <c r="R202"/>
      <c r="S202"/>
      <c r="T202"/>
      <c r="U202"/>
      <c r="V202"/>
      <c r="W202"/>
      <c r="X202"/>
      <c r="Y202"/>
      <c r="Z202"/>
      <c r="AA202"/>
      <c r="AB202"/>
      <c r="AC202"/>
      <c r="AD202"/>
      <c r="AE202"/>
      <c r="AF202"/>
      <c r="AG202"/>
      <c r="AH202"/>
      <c r="AI202"/>
      <c r="AJ202"/>
      <c r="AK202"/>
      <c r="AL202"/>
    </row>
    <row r="203" spans="1:38" ht="15.75" customHeight="1" outlineLevel="3" x14ac:dyDescent="0.2">
      <c r="A203" s="10">
        <v>7</v>
      </c>
      <c r="B203" s="10" t="s">
        <v>71</v>
      </c>
      <c r="C203" s="10" t="s">
        <v>2069</v>
      </c>
      <c r="D203" s="10" t="s">
        <v>120</v>
      </c>
      <c r="E203" s="11" t="str">
        <f t="array" ref="E203">_xlfn.XLOOKUP(D203,Insumos!B:B,Insumos!C:$C)</f>
        <v>M3</v>
      </c>
      <c r="F203" s="14">
        <v>7.7999999999999996E-3</v>
      </c>
      <c r="G203" s="92">
        <f t="array" ref="G203">IF(B203="insumo",_xlfn.XLOOKUP($D203,Insumos!$B$1:$B$996,Insumos!$D$1:$D$996),"")</f>
        <v>1100</v>
      </c>
      <c r="H203" s="92">
        <v>8.58</v>
      </c>
      <c r="I203" s="13">
        <v>0</v>
      </c>
      <c r="J203" s="13">
        <v>0</v>
      </c>
      <c r="K203" s="13"/>
      <c r="L203"/>
      <c r="M203"/>
      <c r="N203"/>
      <c r="O203"/>
      <c r="P203"/>
      <c r="Q203"/>
      <c r="R203"/>
      <c r="S203"/>
      <c r="T203"/>
      <c r="U203"/>
      <c r="V203"/>
      <c r="W203"/>
      <c r="X203"/>
      <c r="Y203"/>
      <c r="Z203"/>
      <c r="AA203"/>
      <c r="AB203"/>
      <c r="AC203"/>
      <c r="AD203"/>
      <c r="AE203"/>
      <c r="AF203"/>
      <c r="AG203"/>
      <c r="AH203"/>
      <c r="AI203"/>
      <c r="AJ203"/>
      <c r="AK203"/>
      <c r="AL203"/>
    </row>
    <row r="204" spans="1:38" ht="15.75" customHeight="1" outlineLevel="3" x14ac:dyDescent="0.2">
      <c r="A204" s="10">
        <v>4</v>
      </c>
      <c r="B204" s="10" t="s">
        <v>71</v>
      </c>
      <c r="C204" s="10" t="s">
        <v>2069</v>
      </c>
      <c r="D204" s="10" t="s">
        <v>123</v>
      </c>
      <c r="E204" s="11" t="str">
        <f t="array" ref="E204">_xlfn.XLOOKUP(D204,Insumos!B:B,Insumos!C:$C)</f>
        <v>M</v>
      </c>
      <c r="F204" s="14">
        <v>2</v>
      </c>
      <c r="G204" s="92">
        <f t="array" ref="G204">IF(B204="insumo",_xlfn.XLOOKUP($D204,Insumos!$B$1:$B$996,Insumos!$D$1:$D$996),"")</f>
        <v>21.23</v>
      </c>
      <c r="H204" s="92">
        <v>42.46</v>
      </c>
      <c r="I204" s="13">
        <v>0</v>
      </c>
      <c r="J204" s="13">
        <v>0</v>
      </c>
      <c r="K204" s="13"/>
      <c r="L204"/>
      <c r="M204"/>
      <c r="N204"/>
      <c r="O204"/>
      <c r="P204"/>
      <c r="Q204"/>
      <c r="R204"/>
      <c r="S204"/>
      <c r="T204"/>
      <c r="U204"/>
      <c r="V204"/>
      <c r="W204"/>
      <c r="X204"/>
      <c r="Y204"/>
      <c r="Z204"/>
      <c r="AA204"/>
      <c r="AB204"/>
      <c r="AC204"/>
      <c r="AD204"/>
      <c r="AE204"/>
      <c r="AF204"/>
      <c r="AG204"/>
      <c r="AH204"/>
      <c r="AI204"/>
      <c r="AJ204"/>
      <c r="AK204"/>
      <c r="AL204"/>
    </row>
    <row r="205" spans="1:38" ht="15.75" customHeight="1" outlineLevel="3" x14ac:dyDescent="0.2">
      <c r="A205" s="10">
        <v>1</v>
      </c>
      <c r="B205" s="10" t="s">
        <v>71</v>
      </c>
      <c r="C205" s="10" t="s">
        <v>2069</v>
      </c>
      <c r="D205" s="10" t="s">
        <v>136</v>
      </c>
      <c r="E205" s="11" t="str">
        <f t="array" ref="E205">_xlfn.XLOOKUP(D205,Insumos!B:B,Insumos!C:$C)</f>
        <v>M2</v>
      </c>
      <c r="F205" s="14">
        <v>1.1499999999999999</v>
      </c>
      <c r="G205" s="92">
        <f t="array" ref="G205">IF(B205="insumo",_xlfn.XLOOKUP($D205,Insumos!$B$1:$B$996,Insumos!$D$1:$D$996),"")</f>
        <v>97</v>
      </c>
      <c r="H205" s="92">
        <v>111.55</v>
      </c>
      <c r="I205" s="13">
        <v>0</v>
      </c>
      <c r="J205" s="13">
        <v>0</v>
      </c>
      <c r="K205" s="13"/>
      <c r="L205"/>
      <c r="M205"/>
      <c r="N205"/>
      <c r="O205"/>
      <c r="P205"/>
      <c r="Q205"/>
      <c r="R205"/>
      <c r="S205"/>
      <c r="T205"/>
      <c r="U205"/>
      <c r="V205"/>
      <c r="W205"/>
      <c r="X205"/>
      <c r="Y205"/>
      <c r="Z205"/>
      <c r="AA205"/>
      <c r="AB205"/>
      <c r="AC205"/>
      <c r="AD205"/>
      <c r="AE205"/>
      <c r="AF205"/>
      <c r="AG205"/>
      <c r="AH205"/>
      <c r="AI205"/>
      <c r="AJ205"/>
      <c r="AK205"/>
      <c r="AL205"/>
    </row>
    <row r="206" spans="1:38" ht="15.75" customHeight="1" outlineLevel="3" x14ac:dyDescent="0.2">
      <c r="A206" s="10">
        <v>1</v>
      </c>
      <c r="B206" s="10" t="s">
        <v>71</v>
      </c>
      <c r="C206" s="10" t="s">
        <v>2069</v>
      </c>
      <c r="D206" s="10" t="s">
        <v>137</v>
      </c>
      <c r="E206" s="11" t="str">
        <f t="array" ref="E206">_xlfn.XLOOKUP(D206,Insumos!B:B,Insumos!C:$C)</f>
        <v>M3</v>
      </c>
      <c r="F206" s="14">
        <v>1.1999999999999999E-3</v>
      </c>
      <c r="G206" s="92">
        <f t="array" ref="G206">IF(B206="insumo",_xlfn.XLOOKUP($D206,Insumos!$B$1:$B$996,Insumos!$D$1:$D$996),"")</f>
        <v>352</v>
      </c>
      <c r="H206" s="92">
        <v>0.4224</v>
      </c>
      <c r="I206" s="13">
        <v>0</v>
      </c>
      <c r="J206" s="13">
        <v>0</v>
      </c>
      <c r="K206" s="13"/>
      <c r="L206"/>
      <c r="M206"/>
      <c r="N206"/>
      <c r="O206"/>
      <c r="P206"/>
      <c r="Q206"/>
      <c r="R206"/>
      <c r="S206"/>
      <c r="T206"/>
      <c r="U206"/>
      <c r="V206"/>
      <c r="W206"/>
      <c r="X206"/>
      <c r="Y206"/>
      <c r="Z206"/>
      <c r="AA206"/>
      <c r="AB206"/>
      <c r="AC206"/>
      <c r="AD206"/>
      <c r="AE206"/>
      <c r="AF206"/>
      <c r="AG206"/>
      <c r="AH206"/>
      <c r="AI206"/>
      <c r="AJ206"/>
      <c r="AK206"/>
      <c r="AL206"/>
    </row>
    <row r="207" spans="1:38" ht="15.75" customHeight="1" outlineLevel="2" x14ac:dyDescent="0.2">
      <c r="A207" s="1067">
        <v>1</v>
      </c>
      <c r="B207" s="1067" t="s">
        <v>68</v>
      </c>
      <c r="C207" s="1067" t="s">
        <v>2034</v>
      </c>
      <c r="D207" s="1067" t="s">
        <v>2034</v>
      </c>
      <c r="E207" s="1068" t="s">
        <v>113</v>
      </c>
      <c r="F207" s="1067"/>
      <c r="G207" s="1069" t="str">
        <f t="array" ref="G207">IF(B207="insumo",_xlfn.XLOOKUP($D207,Insumos!$B$1:$B$996,Insumos!$D$1:$D$996),"")</f>
        <v/>
      </c>
      <c r="H207" s="1069">
        <v>87.213999999999999</v>
      </c>
      <c r="I207" s="1070">
        <v>0</v>
      </c>
      <c r="J207" s="1070">
        <v>0</v>
      </c>
      <c r="K207" s="1070"/>
      <c r="L207"/>
      <c r="M207"/>
      <c r="N207"/>
      <c r="O207"/>
      <c r="P207"/>
      <c r="Q207"/>
      <c r="R207"/>
      <c r="S207"/>
      <c r="T207"/>
      <c r="U207"/>
      <c r="V207"/>
      <c r="W207"/>
      <c r="X207"/>
      <c r="Y207"/>
      <c r="Z207"/>
      <c r="AA207"/>
      <c r="AB207"/>
      <c r="AC207"/>
      <c r="AD207"/>
      <c r="AE207"/>
      <c r="AF207"/>
      <c r="AG207"/>
      <c r="AH207"/>
      <c r="AI207"/>
      <c r="AJ207"/>
      <c r="AK207"/>
      <c r="AL207"/>
    </row>
    <row r="208" spans="1:38" ht="15.75" customHeight="1" outlineLevel="3" x14ac:dyDescent="0.2">
      <c r="A208" s="10">
        <v>1</v>
      </c>
      <c r="B208" s="10" t="s">
        <v>71</v>
      </c>
      <c r="C208" s="10" t="s">
        <v>2034</v>
      </c>
      <c r="D208" s="10" t="s">
        <v>139</v>
      </c>
      <c r="E208" s="11" t="str">
        <f t="array" ref="E208">_xlfn.XLOOKUP(D208,Insumos!B:B,Insumos!C:$C)</f>
        <v>M</v>
      </c>
      <c r="F208" s="14">
        <v>1</v>
      </c>
      <c r="G208" s="92">
        <f t="array" ref="G208">IF(B208="insumo",_xlfn.XLOOKUP($D208,Insumos!$B$1:$B$996,Insumos!$D$1:$D$996),"")</f>
        <v>5.2</v>
      </c>
      <c r="H208" s="92">
        <v>5.2</v>
      </c>
      <c r="I208" s="13">
        <v>0</v>
      </c>
      <c r="J208" s="13">
        <v>0</v>
      </c>
      <c r="K208" s="13"/>
      <c r="L208"/>
      <c r="M208"/>
      <c r="N208"/>
      <c r="O208"/>
      <c r="P208"/>
      <c r="Q208"/>
      <c r="R208"/>
      <c r="S208"/>
      <c r="T208"/>
      <c r="U208"/>
      <c r="V208"/>
      <c r="W208"/>
      <c r="X208"/>
      <c r="Y208"/>
      <c r="Z208"/>
      <c r="AA208"/>
      <c r="AB208"/>
      <c r="AC208"/>
      <c r="AD208"/>
      <c r="AE208"/>
      <c r="AF208"/>
      <c r="AG208"/>
      <c r="AH208"/>
      <c r="AI208"/>
      <c r="AJ208"/>
      <c r="AK208"/>
      <c r="AL208"/>
    </row>
    <row r="209" spans="1:38" ht="15.75" customHeight="1" outlineLevel="3" x14ac:dyDescent="0.2">
      <c r="A209" s="10">
        <v>1</v>
      </c>
      <c r="B209" s="10" t="s">
        <v>71</v>
      </c>
      <c r="C209" s="10" t="s">
        <v>2034</v>
      </c>
      <c r="D209" s="10" t="s">
        <v>140</v>
      </c>
      <c r="E209" s="11" t="str">
        <f t="array" ref="E209">_xlfn.XLOOKUP(D209,Insumos!B:B,Insumos!C:$C)</f>
        <v>UN</v>
      </c>
      <c r="F209" s="14">
        <v>0.92</v>
      </c>
      <c r="G209" s="92">
        <f t="array" ref="G209">IF(B209="insumo",_xlfn.XLOOKUP($D209,Insumos!$B$1:$B$996,Insumos!$D$1:$D$996),"")</f>
        <v>1.7</v>
      </c>
      <c r="H209" s="92">
        <v>1.5640000000000001</v>
      </c>
      <c r="I209" s="13">
        <v>0</v>
      </c>
      <c r="J209" s="13">
        <v>0</v>
      </c>
      <c r="K209" s="13"/>
      <c r="L209"/>
      <c r="M209"/>
      <c r="N209"/>
      <c r="O209"/>
      <c r="P209"/>
      <c r="Q209"/>
      <c r="R209"/>
      <c r="S209"/>
      <c r="T209"/>
      <c r="U209"/>
      <c r="V209"/>
      <c r="W209"/>
      <c r="X209"/>
      <c r="Y209"/>
      <c r="Z209"/>
      <c r="AA209"/>
      <c r="AB209"/>
      <c r="AC209"/>
      <c r="AD209"/>
      <c r="AE209"/>
      <c r="AF209"/>
      <c r="AG209"/>
      <c r="AH209"/>
      <c r="AI209"/>
      <c r="AJ209"/>
      <c r="AK209"/>
      <c r="AL209"/>
    </row>
    <row r="210" spans="1:38" ht="15.75" customHeight="1" outlineLevel="3" x14ac:dyDescent="0.2">
      <c r="A210" s="10">
        <v>1</v>
      </c>
      <c r="B210" s="10" t="s">
        <v>71</v>
      </c>
      <c r="C210" s="10" t="s">
        <v>2034</v>
      </c>
      <c r="D210" s="10" t="s">
        <v>141</v>
      </c>
      <c r="E210" s="11" t="str">
        <f t="array" ref="E210">_xlfn.XLOOKUP(D210,Insumos!B:B,Insumos!C:$C)</f>
        <v>UN</v>
      </c>
      <c r="F210" s="14">
        <v>1.609</v>
      </c>
      <c r="G210" s="92">
        <f t="array" ref="G210">IF(B210="insumo",_xlfn.XLOOKUP($D210,Insumos!$B$1:$B$996,Insumos!$D$1:$D$996),"")</f>
        <v>50</v>
      </c>
      <c r="H210" s="92">
        <v>80.45</v>
      </c>
      <c r="I210" s="13">
        <v>0</v>
      </c>
      <c r="J210" s="13">
        <v>0</v>
      </c>
      <c r="K210" s="13"/>
      <c r="L210"/>
      <c r="M210"/>
      <c r="N210"/>
      <c r="O210"/>
      <c r="P210"/>
      <c r="Q210"/>
      <c r="R210"/>
      <c r="S210"/>
      <c r="T210"/>
      <c r="U210"/>
      <c r="V210"/>
      <c r="W210"/>
      <c r="X210"/>
      <c r="Y210"/>
      <c r="Z210"/>
      <c r="AA210"/>
      <c r="AB210"/>
      <c r="AC210"/>
      <c r="AD210"/>
      <c r="AE210"/>
      <c r="AF210"/>
      <c r="AG210"/>
      <c r="AH210"/>
      <c r="AI210"/>
      <c r="AJ210"/>
      <c r="AK210"/>
      <c r="AL210"/>
    </row>
    <row r="211" spans="1:38" ht="15.75" customHeight="1" outlineLevel="2" x14ac:dyDescent="0.2">
      <c r="A211" s="1067">
        <v>1</v>
      </c>
      <c r="B211" s="1067" t="s">
        <v>68</v>
      </c>
      <c r="C211" s="1067" t="s">
        <v>2035</v>
      </c>
      <c r="D211" s="1067" t="s">
        <v>2035</v>
      </c>
      <c r="E211" s="1068" t="s">
        <v>113</v>
      </c>
      <c r="F211" s="1067"/>
      <c r="G211" s="1069" t="str">
        <f t="array" ref="G211">IF(B211="insumo",_xlfn.XLOOKUP($D211,Insumos!$B$1:$B$996,Insumos!$D$1:$D$996),"")</f>
        <v/>
      </c>
      <c r="H211" s="1069">
        <v>110</v>
      </c>
      <c r="I211" s="1070">
        <v>0</v>
      </c>
      <c r="J211" s="1070">
        <v>0</v>
      </c>
      <c r="K211" s="1070"/>
      <c r="L211"/>
      <c r="M211"/>
      <c r="N211"/>
      <c r="O211"/>
      <c r="P211"/>
      <c r="Q211"/>
      <c r="R211"/>
      <c r="S211"/>
      <c r="T211"/>
      <c r="U211"/>
      <c r="V211"/>
      <c r="W211"/>
      <c r="X211"/>
      <c r="Y211"/>
      <c r="Z211"/>
      <c r="AA211"/>
      <c r="AB211"/>
      <c r="AC211"/>
      <c r="AD211"/>
      <c r="AE211"/>
      <c r="AF211"/>
      <c r="AG211"/>
      <c r="AH211"/>
      <c r="AI211"/>
      <c r="AJ211"/>
      <c r="AK211"/>
      <c r="AL211"/>
    </row>
    <row r="212" spans="1:38" ht="15.75" customHeight="1" outlineLevel="3" x14ac:dyDescent="0.2">
      <c r="A212" s="10">
        <v>1</v>
      </c>
      <c r="B212" s="10" t="s">
        <v>71</v>
      </c>
      <c r="C212" s="10" t="s">
        <v>2035</v>
      </c>
      <c r="D212" s="10" t="s">
        <v>143</v>
      </c>
      <c r="E212" s="11" t="str">
        <f t="array" ref="E212">_xlfn.XLOOKUP(D212,Insumos!B:B,Insumos!C:$C)</f>
        <v>m</v>
      </c>
      <c r="F212" s="14">
        <v>1</v>
      </c>
      <c r="G212" s="92">
        <f t="array" ref="G212">IF(B212="insumo",_xlfn.XLOOKUP($D212,Insumos!$B$1:$B$996,Insumos!$D$1:$D$996),"")</f>
        <v>110</v>
      </c>
      <c r="H212" s="92">
        <v>110</v>
      </c>
      <c r="I212" s="13">
        <v>0</v>
      </c>
      <c r="J212" s="13">
        <v>0</v>
      </c>
      <c r="K212" s="13"/>
      <c r="L212"/>
      <c r="M212"/>
      <c r="N212"/>
      <c r="O212"/>
      <c r="P212"/>
      <c r="Q212"/>
      <c r="R212"/>
      <c r="S212"/>
      <c r="T212"/>
      <c r="U212"/>
      <c r="V212"/>
      <c r="W212"/>
      <c r="X212"/>
      <c r="Y212"/>
      <c r="Z212"/>
      <c r="AA212"/>
      <c r="AB212"/>
      <c r="AC212"/>
      <c r="AD212"/>
      <c r="AE212"/>
      <c r="AF212"/>
      <c r="AG212"/>
      <c r="AH212"/>
      <c r="AI212"/>
      <c r="AJ212"/>
      <c r="AK212"/>
      <c r="AL212"/>
    </row>
    <row r="213" spans="1:38" ht="15.75" customHeight="1" x14ac:dyDescent="0.2">
      <c r="A213" s="7">
        <v>1</v>
      </c>
      <c r="B213" s="7" t="s">
        <v>66</v>
      </c>
      <c r="C213" s="7" t="s">
        <v>2035</v>
      </c>
      <c r="D213" s="7" t="s">
        <v>41</v>
      </c>
      <c r="E213" s="8"/>
      <c r="F213" s="9"/>
      <c r="G213" s="91" t="str">
        <f t="array" ref="G213">IF(B213="insumo",_xlfn.XLOOKUP($D213,Insumos!$B$1:$B$996,Insumos!$D$1:$D$996),"")</f>
        <v/>
      </c>
      <c r="H213" s="91">
        <v>0</v>
      </c>
      <c r="I213" s="9">
        <v>0</v>
      </c>
      <c r="J213" s="9">
        <v>0</v>
      </c>
      <c r="K213" s="9"/>
      <c r="L213"/>
      <c r="M213"/>
      <c r="N213"/>
      <c r="O213"/>
      <c r="P213"/>
      <c r="Q213"/>
      <c r="R213"/>
      <c r="S213"/>
      <c r="T213"/>
      <c r="U213"/>
      <c r="V213"/>
      <c r="W213"/>
      <c r="X213"/>
      <c r="Y213"/>
      <c r="Z213"/>
      <c r="AA213"/>
      <c r="AB213"/>
      <c r="AC213"/>
      <c r="AD213"/>
      <c r="AE213"/>
      <c r="AF213"/>
      <c r="AG213"/>
      <c r="AH213"/>
      <c r="AI213"/>
      <c r="AJ213"/>
      <c r="AK213"/>
      <c r="AL213"/>
    </row>
    <row r="214" spans="1:38" ht="15.75" customHeight="1" outlineLevel="1" x14ac:dyDescent="0.2">
      <c r="A214" s="1090">
        <v>1</v>
      </c>
      <c r="B214" s="1090" t="s">
        <v>1228</v>
      </c>
      <c r="C214" s="1090" t="s">
        <v>2035</v>
      </c>
      <c r="D214" s="1090" t="s">
        <v>2183</v>
      </c>
      <c r="E214" s="1091"/>
      <c r="F214" s="1091"/>
      <c r="G214" s="1091"/>
      <c r="H214" s="1091">
        <v>0</v>
      </c>
      <c r="I214" s="1092">
        <v>0</v>
      </c>
      <c r="J214" s="1092">
        <v>0</v>
      </c>
      <c r="K214" s="1092"/>
      <c r="L214"/>
      <c r="M214"/>
      <c r="N214"/>
      <c r="O214"/>
      <c r="P214"/>
      <c r="Q214"/>
      <c r="R214"/>
      <c r="S214"/>
      <c r="T214"/>
      <c r="U214"/>
      <c r="V214"/>
      <c r="W214"/>
      <c r="X214"/>
      <c r="Y214"/>
      <c r="Z214"/>
      <c r="AA214"/>
      <c r="AB214"/>
      <c r="AC214"/>
      <c r="AD214"/>
      <c r="AE214"/>
      <c r="AF214"/>
      <c r="AG214"/>
      <c r="AH214"/>
      <c r="AI214"/>
      <c r="AJ214"/>
      <c r="AK214"/>
      <c r="AL214"/>
    </row>
    <row r="215" spans="1:38" ht="15.75" customHeight="1" outlineLevel="2" x14ac:dyDescent="0.2">
      <c r="A215" s="1067">
        <v>1</v>
      </c>
      <c r="B215" s="1067" t="s">
        <v>68</v>
      </c>
      <c r="C215" s="1067" t="s">
        <v>1311</v>
      </c>
      <c r="D215" s="1067" t="s">
        <v>1311</v>
      </c>
      <c r="E215" s="1068" t="s">
        <v>70</v>
      </c>
      <c r="F215" s="1067"/>
      <c r="G215" s="1069" t="str">
        <f t="array" ref="G215">IF(B215="insumo",_xlfn.XLOOKUP($D215,Insumos!$B$1:$B$996,Insumos!$D$1:$D$996),"")</f>
        <v/>
      </c>
      <c r="H215" s="1069">
        <v>1.64</v>
      </c>
      <c r="I215" s="1070">
        <v>0</v>
      </c>
      <c r="J215" s="1070">
        <v>0</v>
      </c>
      <c r="K215" s="1070"/>
      <c r="L215"/>
      <c r="M215"/>
      <c r="N215"/>
      <c r="O215"/>
      <c r="P215"/>
      <c r="Q215"/>
      <c r="R215"/>
      <c r="S215"/>
      <c r="T215"/>
      <c r="U215"/>
      <c r="V215"/>
      <c r="W215"/>
      <c r="X215"/>
      <c r="Y215"/>
      <c r="Z215"/>
      <c r="AA215"/>
      <c r="AB215"/>
      <c r="AC215"/>
      <c r="AD215"/>
      <c r="AE215"/>
      <c r="AF215"/>
      <c r="AG215"/>
      <c r="AH215"/>
      <c r="AI215"/>
      <c r="AJ215"/>
      <c r="AK215"/>
      <c r="AL215"/>
    </row>
    <row r="216" spans="1:38" ht="15.75" customHeight="1" outlineLevel="3" x14ac:dyDescent="0.2">
      <c r="A216" s="10">
        <v>1</v>
      </c>
      <c r="B216" s="10" t="s">
        <v>71</v>
      </c>
      <c r="C216" s="10" t="s">
        <v>1311</v>
      </c>
      <c r="D216" s="10" t="s">
        <v>1312</v>
      </c>
      <c r="E216" s="11" t="str">
        <f t="array" ref="E216">_xlfn.XLOOKUP(D216,Insumos!B:B,Insumos!C:$C)</f>
        <v>m2</v>
      </c>
      <c r="F216" s="14">
        <v>1</v>
      </c>
      <c r="G216" s="92">
        <f t="array" ref="G216">IF(B216="insumo",_xlfn.XLOOKUP($D216,Insumos!$B$1:$B$996,Insumos!$D$1:$D$996),"")</f>
        <v>1.64</v>
      </c>
      <c r="H216" s="92">
        <v>1.64</v>
      </c>
      <c r="I216" s="13">
        <v>0</v>
      </c>
      <c r="J216" s="13">
        <v>0</v>
      </c>
      <c r="K216" s="13"/>
      <c r="L216"/>
      <c r="M216"/>
      <c r="N216"/>
      <c r="O216"/>
      <c r="P216"/>
      <c r="Q216"/>
      <c r="R216"/>
      <c r="S216"/>
      <c r="T216"/>
      <c r="U216"/>
      <c r="V216"/>
      <c r="W216"/>
      <c r="X216"/>
      <c r="Y216"/>
      <c r="Z216"/>
      <c r="AA216"/>
      <c r="AB216"/>
      <c r="AC216"/>
      <c r="AD216"/>
      <c r="AE216"/>
      <c r="AF216"/>
      <c r="AG216"/>
      <c r="AH216"/>
      <c r="AI216"/>
      <c r="AJ216"/>
      <c r="AK216"/>
      <c r="AL216"/>
    </row>
    <row r="217" spans="1:38" ht="15.75" customHeight="1" outlineLevel="2" x14ac:dyDescent="0.2">
      <c r="A217" s="1067">
        <v>1</v>
      </c>
      <c r="B217" s="1067" t="s">
        <v>68</v>
      </c>
      <c r="C217" s="1067" t="s">
        <v>144</v>
      </c>
      <c r="D217" s="1067" t="s">
        <v>144</v>
      </c>
      <c r="E217" s="1068" t="s">
        <v>145</v>
      </c>
      <c r="F217" s="1067"/>
      <c r="G217" s="1069" t="str">
        <f t="array" ref="G217">IF(B217="insumo",_xlfn.XLOOKUP($D217,Insumos!$B$1:$B$996,Insumos!$D$1:$D$996),"")</f>
        <v/>
      </c>
      <c r="H217" s="1069">
        <v>29600</v>
      </c>
      <c r="I217" s="1070">
        <v>1</v>
      </c>
      <c r="J217" s="1070">
        <v>29600</v>
      </c>
      <c r="K217" s="1070"/>
      <c r="L217"/>
      <c r="M217"/>
      <c r="N217"/>
      <c r="O217"/>
      <c r="P217"/>
      <c r="Q217"/>
      <c r="R217"/>
      <c r="S217"/>
      <c r="T217"/>
      <c r="U217"/>
      <c r="V217"/>
      <c r="W217"/>
      <c r="X217"/>
      <c r="Y217"/>
      <c r="Z217"/>
      <c r="AA217"/>
      <c r="AB217"/>
      <c r="AC217"/>
      <c r="AD217"/>
      <c r="AE217"/>
      <c r="AF217"/>
      <c r="AG217"/>
      <c r="AH217"/>
      <c r="AI217"/>
      <c r="AJ217"/>
      <c r="AK217"/>
      <c r="AL217"/>
    </row>
    <row r="218" spans="1:38" ht="15.75" customHeight="1" outlineLevel="3" x14ac:dyDescent="0.2">
      <c r="A218" s="10">
        <v>1</v>
      </c>
      <c r="B218" s="10" t="s">
        <v>71</v>
      </c>
      <c r="C218" s="10" t="s">
        <v>144</v>
      </c>
      <c r="D218" s="10" t="s">
        <v>146</v>
      </c>
      <c r="E218" s="11" t="str">
        <f t="array" ref="E218">_xlfn.XLOOKUP(D218,Insumos!B:B,Insumos!C:$C)</f>
        <v>MÊS</v>
      </c>
      <c r="F218" s="14">
        <f>ROUNDUP(0.00347*CAPA!$C$8,)</f>
        <v>4</v>
      </c>
      <c r="G218" s="92">
        <f t="array" ref="G218">IF(B218="insumo",_xlfn.XLOOKUP($D218,Insumos!$B$1:$B$996,Insumos!$D$1:$D$996),"")</f>
        <v>6500</v>
      </c>
      <c r="H218" s="92">
        <v>26000</v>
      </c>
      <c r="I218" s="13">
        <v>1</v>
      </c>
      <c r="J218" s="13">
        <v>26000</v>
      </c>
      <c r="K218" s="13"/>
      <c r="L218"/>
      <c r="M218"/>
      <c r="N218"/>
      <c r="O218"/>
      <c r="P218"/>
      <c r="Q218"/>
      <c r="R218"/>
      <c r="S218"/>
      <c r="T218"/>
      <c r="U218"/>
      <c r="V218"/>
      <c r="W218"/>
      <c r="X218"/>
      <c r="Y218"/>
      <c r="Z218"/>
      <c r="AA218"/>
      <c r="AB218"/>
      <c r="AC218"/>
      <c r="AD218"/>
      <c r="AE218"/>
      <c r="AF218"/>
      <c r="AG218"/>
      <c r="AH218"/>
      <c r="AI218"/>
      <c r="AJ218"/>
      <c r="AK218"/>
      <c r="AL218"/>
    </row>
    <row r="219" spans="1:38" ht="15.75" customHeight="1" outlineLevel="3" x14ac:dyDescent="0.2">
      <c r="A219" s="10">
        <v>1</v>
      </c>
      <c r="B219" s="10" t="s">
        <v>71</v>
      </c>
      <c r="C219" s="10" t="s">
        <v>144</v>
      </c>
      <c r="D219" s="10" t="s">
        <v>147</v>
      </c>
      <c r="E219" s="11" t="str">
        <f t="array" ref="E219">_xlfn.XLOOKUP(D219,Insumos!B:B,Insumos!C:$C)</f>
        <v>MÊS</v>
      </c>
      <c r="F219" s="14">
        <f>ROUNDUP(0.00347*CAPA!$C$8,)</f>
        <v>4</v>
      </c>
      <c r="G219" s="92">
        <f t="array" ref="G219">IF(B219="insumo",_xlfn.XLOOKUP($D219,Insumos!$B$1:$B$996,Insumos!$D$1:$D$996),"")</f>
        <v>900</v>
      </c>
      <c r="H219" s="92">
        <v>3600</v>
      </c>
      <c r="I219" s="13">
        <v>1</v>
      </c>
      <c r="J219" s="13">
        <v>3600</v>
      </c>
      <c r="K219" s="13"/>
      <c r="L219"/>
      <c r="M219"/>
      <c r="N219"/>
      <c r="O219"/>
      <c r="P219"/>
      <c r="Q219"/>
      <c r="R219"/>
      <c r="S219"/>
      <c r="T219"/>
      <c r="U219"/>
      <c r="V219"/>
      <c r="W219"/>
      <c r="X219"/>
      <c r="Y219"/>
      <c r="Z219"/>
      <c r="AA219"/>
      <c r="AB219"/>
      <c r="AC219"/>
      <c r="AD219"/>
      <c r="AE219"/>
      <c r="AF219"/>
      <c r="AG219"/>
      <c r="AH219"/>
      <c r="AI219"/>
      <c r="AJ219"/>
      <c r="AK219"/>
      <c r="AL219"/>
    </row>
    <row r="220" spans="1:38" ht="15.75" customHeight="1" outlineLevel="2" x14ac:dyDescent="0.2">
      <c r="A220" s="1067">
        <v>1</v>
      </c>
      <c r="B220" s="1067" t="s">
        <v>68</v>
      </c>
      <c r="C220" s="1067" t="s">
        <v>148</v>
      </c>
      <c r="D220" s="1067" t="s">
        <v>148</v>
      </c>
      <c r="E220" s="1068" t="s">
        <v>149</v>
      </c>
      <c r="F220" s="1067"/>
      <c r="G220" s="1069" t="str">
        <f t="array" ref="G220">IF(B220="insumo",_xlfn.XLOOKUP($D220,Insumos!$B$1:$B$996,Insumos!$D$1:$D$996),"")</f>
        <v/>
      </c>
      <c r="H220" s="1069">
        <v>1200</v>
      </c>
      <c r="I220" s="1070">
        <v>0</v>
      </c>
      <c r="J220" s="1070">
        <v>0</v>
      </c>
      <c r="K220" s="1070"/>
      <c r="L220"/>
      <c r="M220"/>
      <c r="N220"/>
      <c r="O220"/>
      <c r="P220"/>
      <c r="Q220"/>
      <c r="R220"/>
      <c r="S220"/>
      <c r="T220"/>
      <c r="U220"/>
      <c r="V220"/>
      <c r="W220"/>
      <c r="X220"/>
      <c r="Y220"/>
      <c r="Z220"/>
      <c r="AA220"/>
      <c r="AB220"/>
      <c r="AC220"/>
      <c r="AD220"/>
      <c r="AE220"/>
      <c r="AF220"/>
      <c r="AG220"/>
      <c r="AH220"/>
      <c r="AI220"/>
      <c r="AJ220"/>
      <c r="AK220"/>
      <c r="AL220"/>
    </row>
    <row r="221" spans="1:38" ht="15.75" customHeight="1" outlineLevel="3" x14ac:dyDescent="0.2">
      <c r="A221" s="10">
        <v>1</v>
      </c>
      <c r="B221" s="10" t="s">
        <v>71</v>
      </c>
      <c r="C221" s="10" t="s">
        <v>148</v>
      </c>
      <c r="D221" s="10" t="s">
        <v>150</v>
      </c>
      <c r="E221" s="11" t="str">
        <f t="array" ref="E221">_xlfn.XLOOKUP(D221,Insumos!B:B,Insumos!C:$C)</f>
        <v>VB</v>
      </c>
      <c r="F221" s="14">
        <v>1</v>
      </c>
      <c r="G221" s="92">
        <f t="array" ref="G221">IF(B221="insumo",_xlfn.XLOOKUP($D221,Insumos!$B$1:$B$996,Insumos!$D$1:$D$996),"")</f>
        <v>1200</v>
      </c>
      <c r="H221" s="92">
        <v>1200</v>
      </c>
      <c r="I221" s="13">
        <v>0</v>
      </c>
      <c r="J221" s="13">
        <v>0</v>
      </c>
      <c r="K221" s="13"/>
      <c r="L221"/>
      <c r="M221"/>
      <c r="N221"/>
      <c r="O221"/>
      <c r="P221"/>
      <c r="Q221"/>
      <c r="R221"/>
      <c r="S221"/>
      <c r="T221"/>
      <c r="U221"/>
      <c r="V221"/>
      <c r="W221"/>
      <c r="X221"/>
      <c r="Y221"/>
      <c r="Z221"/>
      <c r="AA221"/>
      <c r="AB221"/>
      <c r="AC221"/>
      <c r="AD221"/>
      <c r="AE221"/>
      <c r="AF221"/>
      <c r="AG221"/>
      <c r="AH221"/>
      <c r="AI221"/>
      <c r="AJ221"/>
      <c r="AK221"/>
      <c r="AL221"/>
    </row>
    <row r="222" spans="1:38" ht="15.75" customHeight="1" outlineLevel="2" x14ac:dyDescent="0.2">
      <c r="A222" s="1067">
        <v>1</v>
      </c>
      <c r="B222" s="1067" t="s">
        <v>68</v>
      </c>
      <c r="C222" s="1067" t="s">
        <v>151</v>
      </c>
      <c r="D222" s="1067" t="s">
        <v>151</v>
      </c>
      <c r="E222" s="1068" t="s">
        <v>152</v>
      </c>
      <c r="F222" s="1067"/>
      <c r="G222" s="1069" t="str">
        <f t="array" ref="G222">IF(B222="insumo",_xlfn.XLOOKUP($D222,Insumos!$B$1:$B$996,Insumos!$D$1:$D$996),"")</f>
        <v/>
      </c>
      <c r="H222" s="1069">
        <v>320</v>
      </c>
      <c r="I222" s="1070">
        <v>0</v>
      </c>
      <c r="J222" s="1070">
        <v>0</v>
      </c>
      <c r="K222" s="1070"/>
      <c r="L222"/>
      <c r="M222"/>
      <c r="N222"/>
      <c r="O222"/>
      <c r="P222"/>
      <c r="Q222"/>
      <c r="R222"/>
      <c r="S222"/>
      <c r="T222"/>
      <c r="U222"/>
      <c r="V222"/>
      <c r="W222"/>
      <c r="X222"/>
      <c r="Y222"/>
      <c r="Z222"/>
      <c r="AA222"/>
      <c r="AB222"/>
      <c r="AC222"/>
      <c r="AD222"/>
      <c r="AE222"/>
      <c r="AF222"/>
      <c r="AG222"/>
      <c r="AH222"/>
      <c r="AI222"/>
      <c r="AJ222"/>
      <c r="AK222"/>
      <c r="AL222"/>
    </row>
    <row r="223" spans="1:38" ht="15.75" customHeight="1" outlineLevel="3" x14ac:dyDescent="0.2">
      <c r="A223" s="10">
        <v>1</v>
      </c>
      <c r="B223" s="10" t="s">
        <v>71</v>
      </c>
      <c r="C223" s="10" t="s">
        <v>151</v>
      </c>
      <c r="D223" s="10" t="s">
        <v>151</v>
      </c>
      <c r="E223" s="11" t="str">
        <f t="array" ref="E223">_xlfn.XLOOKUP(D223,Insumos!B:B,Insumos!C:$C)</f>
        <v>M3</v>
      </c>
      <c r="F223" s="14">
        <v>1</v>
      </c>
      <c r="G223" s="92">
        <f t="array" ref="G223">IF(B223="insumo",_xlfn.XLOOKUP($D223,Insumos!$B$1:$B$996,Insumos!$D$1:$D$996),"")</f>
        <v>320</v>
      </c>
      <c r="H223" s="92">
        <v>320</v>
      </c>
      <c r="I223" s="13">
        <v>0</v>
      </c>
      <c r="J223" s="13">
        <v>0</v>
      </c>
      <c r="K223" s="13"/>
      <c r="L223"/>
      <c r="M223"/>
      <c r="N223"/>
      <c r="O223"/>
      <c r="P223"/>
      <c r="Q223"/>
      <c r="R223"/>
      <c r="S223"/>
      <c r="T223"/>
      <c r="U223"/>
      <c r="V223"/>
      <c r="W223"/>
      <c r="X223"/>
      <c r="Y223"/>
      <c r="Z223"/>
      <c r="AA223"/>
      <c r="AB223"/>
      <c r="AC223"/>
      <c r="AD223"/>
      <c r="AE223"/>
      <c r="AF223"/>
      <c r="AG223"/>
      <c r="AH223"/>
      <c r="AI223"/>
      <c r="AJ223"/>
      <c r="AK223"/>
      <c r="AL223"/>
    </row>
    <row r="224" spans="1:38" ht="15.75" customHeight="1" outlineLevel="2" x14ac:dyDescent="0.2">
      <c r="A224" s="1067">
        <v>1</v>
      </c>
      <c r="B224" s="1067" t="s">
        <v>68</v>
      </c>
      <c r="C224" s="1067" t="s">
        <v>164</v>
      </c>
      <c r="D224" s="1067" t="s">
        <v>164</v>
      </c>
      <c r="E224" s="1068" t="s">
        <v>152</v>
      </c>
      <c r="F224" s="1067"/>
      <c r="G224" s="1069" t="str">
        <f t="array" ref="G224">IF(B224="insumo",_xlfn.XLOOKUP($D224,Insumos!$B$1:$B$996,Insumos!$D$1:$D$996),"")</f>
        <v/>
      </c>
      <c r="H224" s="1069">
        <v>2.7132000000000001</v>
      </c>
      <c r="I224" s="1070">
        <v>0</v>
      </c>
      <c r="J224" s="1070">
        <v>0</v>
      </c>
      <c r="K224" s="1070"/>
      <c r="L224"/>
      <c r="M224"/>
      <c r="N224"/>
      <c r="O224"/>
      <c r="P224"/>
      <c r="Q224"/>
      <c r="R224"/>
      <c r="S224"/>
      <c r="T224"/>
      <c r="U224"/>
      <c r="V224"/>
      <c r="W224"/>
      <c r="X224"/>
      <c r="Y224"/>
      <c r="Z224"/>
      <c r="AA224"/>
      <c r="AB224"/>
      <c r="AC224"/>
      <c r="AD224"/>
      <c r="AE224"/>
      <c r="AF224"/>
      <c r="AG224"/>
      <c r="AH224"/>
      <c r="AI224"/>
      <c r="AJ224"/>
      <c r="AK224"/>
      <c r="AL224"/>
    </row>
    <row r="225" spans="1:38" ht="15.75" customHeight="1" outlineLevel="3" x14ac:dyDescent="0.2">
      <c r="A225" s="10">
        <v>1</v>
      </c>
      <c r="B225" s="10" t="s">
        <v>71</v>
      </c>
      <c r="C225" s="10" t="s">
        <v>164</v>
      </c>
      <c r="D225" s="10" t="s">
        <v>165</v>
      </c>
      <c r="E225" s="11" t="str">
        <f t="array" ref="E225">_xlfn.XLOOKUP(D225,Insumos!B:B,Insumos!C:$C)</f>
        <v>M3</v>
      </c>
      <c r="F225" s="14">
        <v>1</v>
      </c>
      <c r="G225" s="92">
        <f t="array" ref="G225">IF(B225="insumo",_xlfn.XLOOKUP($D225,Insumos!$B$1:$B$996,Insumos!$D$1:$D$996),"")</f>
        <v>2.7132000000000001</v>
      </c>
      <c r="H225" s="92">
        <v>2.7132000000000001</v>
      </c>
      <c r="I225" s="13">
        <v>0</v>
      </c>
      <c r="J225" s="13">
        <v>0</v>
      </c>
      <c r="K225" s="13"/>
      <c r="L225"/>
      <c r="M225"/>
      <c r="N225"/>
      <c r="O225"/>
      <c r="P225"/>
      <c r="Q225"/>
      <c r="R225"/>
      <c r="S225"/>
      <c r="T225"/>
      <c r="U225"/>
      <c r="V225"/>
      <c r="W225"/>
      <c r="X225"/>
      <c r="Y225"/>
      <c r="Z225"/>
      <c r="AA225"/>
      <c r="AB225"/>
      <c r="AC225"/>
      <c r="AD225"/>
      <c r="AE225"/>
      <c r="AF225"/>
      <c r="AG225"/>
      <c r="AH225"/>
      <c r="AI225"/>
      <c r="AJ225"/>
      <c r="AK225"/>
      <c r="AL225"/>
    </row>
    <row r="226" spans="1:38" ht="15.75" customHeight="1" outlineLevel="2" x14ac:dyDescent="0.2">
      <c r="A226" s="1067">
        <v>1</v>
      </c>
      <c r="B226" s="1067" t="s">
        <v>68</v>
      </c>
      <c r="C226" s="1067" t="s">
        <v>166</v>
      </c>
      <c r="D226" s="1067" t="s">
        <v>166</v>
      </c>
      <c r="E226" s="1068" t="s">
        <v>152</v>
      </c>
      <c r="F226" s="1067"/>
      <c r="G226" s="1069" t="str">
        <f t="array" ref="G226">IF(B226="insumo",_xlfn.XLOOKUP($D226,Insumos!$B$1:$B$996,Insumos!$D$1:$D$996),"")</f>
        <v/>
      </c>
      <c r="H226" s="1069">
        <v>4.4981999999999998</v>
      </c>
      <c r="I226" s="1070">
        <v>0</v>
      </c>
      <c r="J226" s="1070">
        <v>0</v>
      </c>
      <c r="K226" s="1070"/>
      <c r="L226"/>
      <c r="M226"/>
      <c r="N226"/>
      <c r="O226"/>
      <c r="P226"/>
      <c r="Q226"/>
      <c r="R226"/>
      <c r="S226"/>
      <c r="T226"/>
      <c r="U226"/>
      <c r="V226"/>
      <c r="W226"/>
      <c r="X226"/>
      <c r="Y226"/>
      <c r="Z226"/>
      <c r="AA226"/>
      <c r="AB226"/>
      <c r="AC226"/>
      <c r="AD226"/>
      <c r="AE226"/>
      <c r="AF226"/>
      <c r="AG226"/>
      <c r="AH226"/>
      <c r="AI226"/>
      <c r="AJ226"/>
      <c r="AK226"/>
      <c r="AL226"/>
    </row>
    <row r="227" spans="1:38" ht="15.75" customHeight="1" outlineLevel="3" x14ac:dyDescent="0.2">
      <c r="A227" s="10">
        <v>1</v>
      </c>
      <c r="B227" s="10" t="s">
        <v>71</v>
      </c>
      <c r="C227" s="10" t="s">
        <v>166</v>
      </c>
      <c r="D227" s="10" t="s">
        <v>167</v>
      </c>
      <c r="E227" s="11" t="str">
        <f t="array" ref="E227">_xlfn.XLOOKUP(D227,Insumos!B:B,Insumos!C:$C)</f>
        <v>M3</v>
      </c>
      <c r="F227" s="14">
        <v>1</v>
      </c>
      <c r="G227" s="92">
        <f t="array" ref="G227">IF(B227="insumo",_xlfn.XLOOKUP($D227,Insumos!$B$1:$B$996,Insumos!$D$1:$D$996),"")</f>
        <v>4.4982000000000006</v>
      </c>
      <c r="H227" s="92">
        <v>4.4981999999999998</v>
      </c>
      <c r="I227" s="13">
        <v>0</v>
      </c>
      <c r="J227" s="13">
        <v>0</v>
      </c>
      <c r="K227" s="13"/>
      <c r="L227"/>
      <c r="M227"/>
      <c r="N227"/>
      <c r="O227"/>
      <c r="P227"/>
      <c r="Q227"/>
      <c r="R227"/>
      <c r="S227"/>
      <c r="T227"/>
      <c r="U227"/>
      <c r="V227"/>
      <c r="W227"/>
      <c r="X227"/>
      <c r="Y227"/>
      <c r="Z227"/>
      <c r="AA227"/>
      <c r="AB227"/>
      <c r="AC227"/>
      <c r="AD227"/>
      <c r="AE227"/>
      <c r="AF227"/>
      <c r="AG227"/>
      <c r="AH227"/>
      <c r="AI227"/>
      <c r="AJ227"/>
      <c r="AK227"/>
      <c r="AL227"/>
    </row>
    <row r="228" spans="1:38" ht="15.75" customHeight="1" outlineLevel="2" x14ac:dyDescent="0.2">
      <c r="A228" s="1067">
        <v>1</v>
      </c>
      <c r="B228" s="1067" t="s">
        <v>68</v>
      </c>
      <c r="C228" s="1067" t="s">
        <v>168</v>
      </c>
      <c r="D228" s="1067" t="s">
        <v>168</v>
      </c>
      <c r="E228" s="1068" t="s">
        <v>152</v>
      </c>
      <c r="F228" s="1067"/>
      <c r="G228" s="1069" t="str">
        <f t="array" ref="G228">IF(B228="insumo",_xlfn.XLOOKUP($D228,Insumos!$B$1:$B$996,Insumos!$D$1:$D$996),"")</f>
        <v/>
      </c>
      <c r="H228" s="1069">
        <v>9.2718000000000007</v>
      </c>
      <c r="I228" s="1070">
        <v>0</v>
      </c>
      <c r="J228" s="1070">
        <v>0</v>
      </c>
      <c r="K228" s="1070"/>
      <c r="L228"/>
      <c r="M228"/>
      <c r="N228"/>
      <c r="O228"/>
      <c r="P228"/>
      <c r="Q228"/>
      <c r="R228"/>
      <c r="S228"/>
      <c r="T228"/>
      <c r="U228"/>
      <c r="V228"/>
      <c r="W228"/>
      <c r="X228"/>
      <c r="Y228"/>
      <c r="Z228"/>
      <c r="AA228"/>
      <c r="AB228"/>
      <c r="AC228"/>
      <c r="AD228"/>
      <c r="AE228"/>
      <c r="AF228"/>
      <c r="AG228"/>
      <c r="AH228"/>
      <c r="AI228"/>
      <c r="AJ228"/>
      <c r="AK228"/>
      <c r="AL228"/>
    </row>
    <row r="229" spans="1:38" ht="15.75" customHeight="1" outlineLevel="3" x14ac:dyDescent="0.2">
      <c r="A229" s="10">
        <v>1</v>
      </c>
      <c r="B229" s="10" t="s">
        <v>71</v>
      </c>
      <c r="C229" s="10" t="s">
        <v>168</v>
      </c>
      <c r="D229" s="10" t="s">
        <v>169</v>
      </c>
      <c r="E229" s="11" t="str">
        <f t="array" ref="E229">_xlfn.XLOOKUP(D229,Insumos!B:B,Insumos!C:$C)</f>
        <v>M3</v>
      </c>
      <c r="F229" s="14">
        <v>1</v>
      </c>
      <c r="G229" s="92">
        <f t="array" ref="G229">IF(B229="insumo",_xlfn.XLOOKUP($D229,Insumos!$B$1:$B$996,Insumos!$D$1:$D$996),"")</f>
        <v>9.2718000000000007</v>
      </c>
      <c r="H229" s="92">
        <v>9.2718000000000007</v>
      </c>
      <c r="I229" s="13">
        <v>0</v>
      </c>
      <c r="J229" s="13">
        <v>0</v>
      </c>
      <c r="K229" s="13"/>
      <c r="L229"/>
      <c r="M229"/>
      <c r="N229"/>
      <c r="O229"/>
      <c r="P229"/>
      <c r="Q229"/>
      <c r="R229"/>
      <c r="S229"/>
      <c r="T229"/>
      <c r="U229"/>
      <c r="V229"/>
      <c r="W229"/>
      <c r="X229"/>
      <c r="Y229"/>
      <c r="Z229"/>
      <c r="AA229"/>
      <c r="AB229"/>
      <c r="AC229"/>
      <c r="AD229"/>
      <c r="AE229"/>
      <c r="AF229"/>
      <c r="AG229"/>
      <c r="AH229"/>
      <c r="AI229"/>
      <c r="AJ229"/>
      <c r="AK229"/>
      <c r="AL229"/>
    </row>
    <row r="230" spans="1:38" ht="15.75" customHeight="1" outlineLevel="2" x14ac:dyDescent="0.2">
      <c r="A230" s="1067">
        <v>1</v>
      </c>
      <c r="B230" s="1067" t="s">
        <v>68</v>
      </c>
      <c r="C230" s="1067" t="s">
        <v>170</v>
      </c>
      <c r="D230" s="1067" t="s">
        <v>170</v>
      </c>
      <c r="E230" s="1068" t="s">
        <v>152</v>
      </c>
      <c r="F230" s="1067"/>
      <c r="G230" s="1069" t="str">
        <f t="array" ref="G230">IF(B230="insumo",_xlfn.XLOOKUP($D230,Insumos!$B$1:$B$996,Insumos!$D$1:$D$996),"")</f>
        <v/>
      </c>
      <c r="H230" s="1069">
        <v>2.9215</v>
      </c>
      <c r="I230" s="1070">
        <v>0</v>
      </c>
      <c r="J230" s="1070">
        <v>0</v>
      </c>
      <c r="K230" s="1070"/>
      <c r="L230"/>
      <c r="M230"/>
      <c r="N230"/>
      <c r="O230"/>
      <c r="P230"/>
      <c r="Q230"/>
      <c r="R230"/>
      <c r="S230"/>
      <c r="T230"/>
      <c r="U230"/>
      <c r="V230"/>
      <c r="W230"/>
      <c r="X230"/>
      <c r="Y230"/>
      <c r="Z230"/>
      <c r="AA230"/>
      <c r="AB230"/>
      <c r="AC230"/>
      <c r="AD230"/>
      <c r="AE230"/>
      <c r="AF230"/>
      <c r="AG230"/>
      <c r="AH230"/>
      <c r="AI230"/>
      <c r="AJ230"/>
      <c r="AK230"/>
      <c r="AL230"/>
    </row>
    <row r="231" spans="1:38" ht="15.75" customHeight="1" outlineLevel="3" x14ac:dyDescent="0.2">
      <c r="A231" s="10">
        <v>1</v>
      </c>
      <c r="B231" s="10" t="s">
        <v>71</v>
      </c>
      <c r="C231" s="10" t="s">
        <v>170</v>
      </c>
      <c r="D231" s="10" t="s">
        <v>171</v>
      </c>
      <c r="E231" s="11" t="str">
        <f t="array" ref="E231">_xlfn.XLOOKUP(D231,Insumos!B:B,Insumos!C:$C)</f>
        <v>MÊS</v>
      </c>
      <c r="F231" s="14">
        <v>1.1000000000000001E-5</v>
      </c>
      <c r="G231" s="92">
        <f t="array" ref="G231">IF(B231="insumo",_xlfn.XLOOKUP($D231,Insumos!$B$1:$B$996,Insumos!$D$1:$D$996),"")</f>
        <v>33660</v>
      </c>
      <c r="H231" s="92">
        <v>0.37025999999999998</v>
      </c>
      <c r="I231" s="13">
        <v>0</v>
      </c>
      <c r="J231" s="13">
        <v>0</v>
      </c>
      <c r="K231" s="13"/>
      <c r="L231"/>
      <c r="M231"/>
      <c r="N231"/>
      <c r="O231"/>
      <c r="P231"/>
      <c r="Q231"/>
      <c r="R231"/>
      <c r="S231"/>
      <c r="T231"/>
      <c r="U231"/>
      <c r="V231"/>
      <c r="W231"/>
      <c r="X231"/>
      <c r="Y231"/>
      <c r="Z231"/>
      <c r="AA231"/>
      <c r="AB231"/>
      <c r="AC231"/>
      <c r="AD231"/>
      <c r="AE231"/>
      <c r="AF231"/>
      <c r="AG231"/>
      <c r="AH231"/>
      <c r="AI231"/>
      <c r="AJ231"/>
      <c r="AK231"/>
      <c r="AL231"/>
    </row>
    <row r="232" spans="1:38" ht="15.75" customHeight="1" outlineLevel="3" x14ac:dyDescent="0.2">
      <c r="A232" s="10">
        <v>1</v>
      </c>
      <c r="B232" s="10" t="s">
        <v>71</v>
      </c>
      <c r="C232" s="10" t="s">
        <v>170</v>
      </c>
      <c r="D232" s="10" t="s">
        <v>172</v>
      </c>
      <c r="E232" s="11" t="str">
        <f t="array" ref="E232">_xlfn.XLOOKUP(D232,Insumos!B:B,Insumos!C:$C)</f>
        <v>MÊS</v>
      </c>
      <c r="F232" s="14">
        <v>1.2E-5</v>
      </c>
      <c r="G232" s="92">
        <f t="array" ref="G232">IF(B232="insumo",_xlfn.XLOOKUP($D232,Insumos!$B$1:$B$996,Insumos!$D$1:$D$996),"")</f>
        <v>32270</v>
      </c>
      <c r="H232" s="92">
        <v>0.38723999999999997</v>
      </c>
      <c r="I232" s="13">
        <v>0</v>
      </c>
      <c r="J232" s="13">
        <v>0</v>
      </c>
      <c r="K232" s="13"/>
      <c r="L232"/>
      <c r="M232"/>
      <c r="N232"/>
      <c r="O232"/>
      <c r="P232"/>
      <c r="Q232"/>
      <c r="R232"/>
      <c r="S232"/>
      <c r="T232"/>
      <c r="U232"/>
      <c r="V232"/>
      <c r="W232"/>
      <c r="X232"/>
      <c r="Y232"/>
      <c r="Z232"/>
      <c r="AA232"/>
      <c r="AB232"/>
      <c r="AC232"/>
      <c r="AD232"/>
      <c r="AE232"/>
      <c r="AF232"/>
      <c r="AG232"/>
      <c r="AH232"/>
      <c r="AI232"/>
      <c r="AJ232"/>
      <c r="AK232"/>
      <c r="AL232"/>
    </row>
    <row r="233" spans="1:38" ht="15.75" customHeight="1" outlineLevel="3" x14ac:dyDescent="0.2">
      <c r="A233" s="10">
        <v>1</v>
      </c>
      <c r="B233" s="10" t="s">
        <v>71</v>
      </c>
      <c r="C233" s="10" t="s">
        <v>170</v>
      </c>
      <c r="D233" s="10" t="s">
        <v>173</v>
      </c>
      <c r="E233" s="11" t="str">
        <f t="array" ref="E233">_xlfn.XLOOKUP(D233,Insumos!B:B,Insumos!C:$C)</f>
        <v>MÊS</v>
      </c>
      <c r="F233" s="14">
        <v>2.4000000000000001E-5</v>
      </c>
      <c r="G233" s="92">
        <f t="array" ref="G233">IF(B233="insumo",_xlfn.XLOOKUP($D233,Insumos!$B$1:$B$996,Insumos!$D$1:$D$996),"")</f>
        <v>15000</v>
      </c>
      <c r="H233" s="92">
        <v>0.36</v>
      </c>
      <c r="I233" s="13">
        <v>0</v>
      </c>
      <c r="J233" s="13">
        <v>0</v>
      </c>
      <c r="K233" s="13"/>
      <c r="L233"/>
      <c r="M233"/>
      <c r="N233"/>
      <c r="O233"/>
      <c r="P233"/>
      <c r="Q233"/>
      <c r="R233"/>
      <c r="S233"/>
      <c r="T233"/>
      <c r="U233"/>
      <c r="V233"/>
      <c r="W233"/>
      <c r="X233"/>
      <c r="Y233"/>
      <c r="Z233"/>
      <c r="AA233"/>
      <c r="AB233"/>
      <c r="AC233"/>
      <c r="AD233"/>
      <c r="AE233"/>
      <c r="AF233"/>
      <c r="AG233"/>
      <c r="AH233"/>
      <c r="AI233"/>
      <c r="AJ233"/>
      <c r="AK233"/>
      <c r="AL233"/>
    </row>
    <row r="234" spans="1:38" ht="15.75" customHeight="1" outlineLevel="3" x14ac:dyDescent="0.2">
      <c r="A234" s="10">
        <v>1</v>
      </c>
      <c r="B234" s="10" t="s">
        <v>71</v>
      </c>
      <c r="C234" s="10" t="s">
        <v>170</v>
      </c>
      <c r="D234" s="10" t="s">
        <v>174</v>
      </c>
      <c r="E234" s="11" t="str">
        <f t="array" ref="E234">_xlfn.XLOOKUP(D234,Insumos!B:B,Insumos!C:$C)</f>
        <v>MÊS</v>
      </c>
      <c r="F234" s="14">
        <v>5.1999999999999997E-5</v>
      </c>
      <c r="G234" s="92">
        <f t="array" ref="G234">IF(B234="insumo",_xlfn.XLOOKUP($D234,Insumos!$B$1:$B$996,Insumos!$D$1:$D$996),"")</f>
        <v>7000</v>
      </c>
      <c r="H234" s="92">
        <v>0.36399999999999999</v>
      </c>
      <c r="I234" s="13">
        <v>0</v>
      </c>
      <c r="J234" s="13">
        <v>0</v>
      </c>
      <c r="K234" s="13"/>
      <c r="L234"/>
      <c r="M234"/>
      <c r="N234"/>
      <c r="O234"/>
      <c r="P234"/>
      <c r="Q234"/>
      <c r="R234"/>
      <c r="S234"/>
      <c r="T234"/>
      <c r="U234"/>
      <c r="V234"/>
      <c r="W234"/>
      <c r="X234"/>
      <c r="Y234"/>
      <c r="Z234"/>
      <c r="AA234"/>
      <c r="AB234"/>
      <c r="AC234"/>
      <c r="AD234"/>
      <c r="AE234"/>
      <c r="AF234"/>
      <c r="AG234"/>
      <c r="AH234"/>
      <c r="AI234"/>
      <c r="AJ234"/>
      <c r="AK234"/>
      <c r="AL234"/>
    </row>
    <row r="235" spans="1:38" ht="15.75" customHeight="1" outlineLevel="3" x14ac:dyDescent="0.2">
      <c r="A235" s="10">
        <v>1</v>
      </c>
      <c r="B235" s="10" t="s">
        <v>71</v>
      </c>
      <c r="C235" s="10" t="s">
        <v>170</v>
      </c>
      <c r="D235" s="10" t="s">
        <v>175</v>
      </c>
      <c r="E235" s="11" t="str">
        <f t="array" ref="E235">_xlfn.XLOOKUP(D235,Insumos!B:B,Insumos!C:$C)</f>
        <v>MÊS</v>
      </c>
      <c r="F235" s="14">
        <v>3.6000000000000002E-4</v>
      </c>
      <c r="G235" s="92">
        <f t="array" ref="G235">IF(B235="insumo",_xlfn.XLOOKUP($D235,Insumos!$B$1:$B$996,Insumos!$D$1:$D$996),"")</f>
        <v>4000</v>
      </c>
      <c r="H235" s="92">
        <v>1.44</v>
      </c>
      <c r="I235" s="13">
        <v>0</v>
      </c>
      <c r="J235" s="13">
        <v>0</v>
      </c>
      <c r="K235" s="13"/>
      <c r="L235"/>
      <c r="M235"/>
      <c r="N235"/>
      <c r="O235"/>
      <c r="P235"/>
      <c r="Q235"/>
      <c r="R235"/>
      <c r="S235"/>
      <c r="T235"/>
      <c r="U235"/>
      <c r="V235"/>
      <c r="W235"/>
      <c r="X235"/>
      <c r="Y235"/>
      <c r="Z235"/>
      <c r="AA235"/>
      <c r="AB235"/>
      <c r="AC235"/>
      <c r="AD235"/>
      <c r="AE235"/>
      <c r="AF235"/>
      <c r="AG235"/>
      <c r="AH235"/>
      <c r="AI235"/>
      <c r="AJ235"/>
      <c r="AK235"/>
      <c r="AL235"/>
    </row>
    <row r="236" spans="1:38" ht="15.75" customHeight="1" outlineLevel="2" x14ac:dyDescent="0.2">
      <c r="A236" s="1067">
        <v>1</v>
      </c>
      <c r="B236" s="1067" t="s">
        <v>68</v>
      </c>
      <c r="C236" s="1067" t="s">
        <v>178</v>
      </c>
      <c r="D236" s="1067" t="s">
        <v>178</v>
      </c>
      <c r="E236" s="1068" t="s">
        <v>152</v>
      </c>
      <c r="F236" s="1067"/>
      <c r="G236" s="1069" t="str">
        <f t="array" ref="G236">IF(B236="insumo",_xlfn.XLOOKUP($D236,Insumos!$B$1:$B$996,Insumos!$D$1:$D$996),"")</f>
        <v/>
      </c>
      <c r="H236" s="1069">
        <v>45.45</v>
      </c>
      <c r="I236" s="1070">
        <v>0</v>
      </c>
      <c r="J236" s="1070">
        <v>0</v>
      </c>
      <c r="K236" s="1070"/>
      <c r="L236"/>
      <c r="M236"/>
      <c r="N236"/>
      <c r="O236"/>
      <c r="P236"/>
      <c r="Q236"/>
      <c r="R236"/>
      <c r="S236"/>
      <c r="T236"/>
      <c r="U236"/>
      <c r="V236"/>
      <c r="W236"/>
      <c r="X236"/>
      <c r="Y236"/>
      <c r="Z236"/>
      <c r="AA236"/>
      <c r="AB236"/>
      <c r="AC236"/>
      <c r="AD236"/>
      <c r="AE236"/>
      <c r="AF236"/>
      <c r="AG236"/>
      <c r="AH236"/>
      <c r="AI236"/>
      <c r="AJ236"/>
      <c r="AK236"/>
      <c r="AL236"/>
    </row>
    <row r="237" spans="1:38" ht="15.75" customHeight="1" outlineLevel="3" x14ac:dyDescent="0.2">
      <c r="A237" s="10">
        <v>2</v>
      </c>
      <c r="B237" s="10" t="s">
        <v>71</v>
      </c>
      <c r="C237" s="10" t="s">
        <v>178</v>
      </c>
      <c r="D237" s="10" t="s">
        <v>176</v>
      </c>
      <c r="E237" s="11" t="str">
        <f t="array" ref="E237">_xlfn.XLOOKUP(D237,Insumos!B:B,Insumos!C:$C)</f>
        <v>M3</v>
      </c>
      <c r="F237" s="14">
        <v>1</v>
      </c>
      <c r="G237" s="92">
        <f t="array" ref="G237">IF(B237="insumo",_xlfn.XLOOKUP($D237,Insumos!$B$1:$B$996,Insumos!$D$1:$D$996),"")</f>
        <v>45.45</v>
      </c>
      <c r="H237" s="92">
        <v>45.45</v>
      </c>
      <c r="I237" s="13">
        <v>0</v>
      </c>
      <c r="J237" s="13">
        <v>0</v>
      </c>
      <c r="K237" s="13"/>
      <c r="L237"/>
      <c r="M237"/>
      <c r="N237"/>
      <c r="O237"/>
      <c r="P237"/>
      <c r="Q237"/>
      <c r="R237"/>
      <c r="S237"/>
      <c r="T237"/>
      <c r="U237"/>
      <c r="V237"/>
      <c r="W237"/>
      <c r="X237"/>
      <c r="Y237"/>
      <c r="Z237"/>
      <c r="AA237"/>
      <c r="AB237"/>
      <c r="AC237"/>
      <c r="AD237"/>
      <c r="AE237"/>
      <c r="AF237"/>
      <c r="AG237"/>
      <c r="AH237"/>
      <c r="AI237"/>
      <c r="AJ237"/>
      <c r="AK237"/>
      <c r="AL237"/>
    </row>
    <row r="238" spans="1:38" ht="15.75" customHeight="1" outlineLevel="1" x14ac:dyDescent="0.2">
      <c r="A238" s="1090">
        <v>1</v>
      </c>
      <c r="B238" s="1090" t="s">
        <v>1228</v>
      </c>
      <c r="C238" s="1090" t="s">
        <v>178</v>
      </c>
      <c r="D238" s="1090" t="s">
        <v>2184</v>
      </c>
      <c r="E238" s="1091"/>
      <c r="F238" s="1091"/>
      <c r="G238" s="1091"/>
      <c r="H238" s="1091">
        <v>0</v>
      </c>
      <c r="I238" s="1092">
        <v>0</v>
      </c>
      <c r="J238" s="1092">
        <v>0</v>
      </c>
      <c r="K238" s="1092"/>
      <c r="L238"/>
      <c r="M238"/>
      <c r="N238"/>
      <c r="O238"/>
      <c r="P238"/>
      <c r="Q238"/>
      <c r="R238"/>
      <c r="S238"/>
      <c r="T238"/>
      <c r="U238"/>
      <c r="V238"/>
      <c r="W238"/>
      <c r="X238"/>
      <c r="Y238"/>
      <c r="Z238"/>
      <c r="AA238"/>
      <c r="AB238"/>
      <c r="AC238"/>
      <c r="AD238"/>
      <c r="AE238"/>
      <c r="AF238"/>
      <c r="AG238"/>
      <c r="AH238"/>
      <c r="AI238"/>
      <c r="AJ238"/>
      <c r="AK238"/>
      <c r="AL238"/>
    </row>
    <row r="239" spans="1:38" ht="15.75" customHeight="1" outlineLevel="2" x14ac:dyDescent="0.2">
      <c r="A239" s="1067">
        <v>1</v>
      </c>
      <c r="B239" s="1067" t="s">
        <v>68</v>
      </c>
      <c r="C239" s="1067" t="s">
        <v>3439</v>
      </c>
      <c r="D239" s="1067" t="s">
        <v>3439</v>
      </c>
      <c r="E239" s="1068" t="s">
        <v>152</v>
      </c>
      <c r="F239" s="1067"/>
      <c r="G239" s="1069" t="str">
        <f t="array" ref="G239">IF(B239="insumo",_xlfn.XLOOKUP($D239,Insumos!$B$1:$B$996,Insumos!$D$1:$D$996),"")</f>
        <v/>
      </c>
      <c r="H239" s="1069">
        <v>36.36</v>
      </c>
      <c r="I239" s="1070">
        <v>0</v>
      </c>
      <c r="J239" s="1070">
        <v>0</v>
      </c>
      <c r="K239" s="1070"/>
      <c r="L239"/>
      <c r="M239"/>
      <c r="N239"/>
      <c r="O239"/>
      <c r="P239"/>
      <c r="Q239"/>
      <c r="R239"/>
      <c r="S239"/>
      <c r="T239"/>
      <c r="U239"/>
      <c r="V239"/>
      <c r="W239"/>
      <c r="X239"/>
      <c r="Y239"/>
      <c r="Z239"/>
      <c r="AA239"/>
      <c r="AB239"/>
      <c r="AC239"/>
      <c r="AD239"/>
      <c r="AE239"/>
      <c r="AF239"/>
      <c r="AG239"/>
      <c r="AH239"/>
      <c r="AI239"/>
      <c r="AJ239"/>
      <c r="AK239"/>
      <c r="AL239"/>
    </row>
    <row r="240" spans="1:38" ht="15.75" customHeight="1" outlineLevel="3" x14ac:dyDescent="0.2">
      <c r="A240" s="10">
        <v>2</v>
      </c>
      <c r="B240" s="10" t="s">
        <v>71</v>
      </c>
      <c r="C240" s="10" t="s">
        <v>3439</v>
      </c>
      <c r="D240" s="10" t="s">
        <v>153</v>
      </c>
      <c r="E240" s="11" t="str">
        <f t="array" ref="E240">_xlfn.XLOOKUP(D240,Insumos!B:B,Insumos!C:$C)</f>
        <v>M3</v>
      </c>
      <c r="F240" s="14">
        <v>1</v>
      </c>
      <c r="G240" s="92">
        <f t="array" ref="G240">IF(B240="insumo",_xlfn.XLOOKUP($D240,Insumos!$B$1:$B$996,Insumos!$D$1:$D$996),"")</f>
        <v>36.36</v>
      </c>
      <c r="H240" s="92">
        <v>36.36</v>
      </c>
      <c r="I240" s="13">
        <v>0</v>
      </c>
      <c r="J240" s="13">
        <v>0</v>
      </c>
      <c r="K240" s="13"/>
      <c r="L240"/>
      <c r="M240"/>
      <c r="N240"/>
      <c r="O240"/>
      <c r="P240"/>
      <c r="Q240"/>
      <c r="R240"/>
      <c r="S240"/>
      <c r="T240"/>
      <c r="U240"/>
      <c r="V240"/>
      <c r="W240"/>
      <c r="X240"/>
      <c r="Y240"/>
      <c r="Z240"/>
      <c r="AA240"/>
      <c r="AB240"/>
      <c r="AC240"/>
      <c r="AD240"/>
      <c r="AE240"/>
      <c r="AF240"/>
      <c r="AG240"/>
      <c r="AH240"/>
      <c r="AI240"/>
      <c r="AJ240"/>
      <c r="AK240"/>
      <c r="AL240"/>
    </row>
    <row r="241" spans="1:38" ht="15.75" customHeight="1" outlineLevel="2" x14ac:dyDescent="0.2">
      <c r="A241" s="1067">
        <v>1</v>
      </c>
      <c r="B241" s="1067" t="s">
        <v>68</v>
      </c>
      <c r="C241" s="1067" t="s">
        <v>154</v>
      </c>
      <c r="D241" s="1067" t="s">
        <v>154</v>
      </c>
      <c r="E241" s="1068" t="s">
        <v>152</v>
      </c>
      <c r="F241" s="1067"/>
      <c r="G241" s="1069" t="str">
        <f t="array" ref="G241">IF(B241="insumo",_xlfn.XLOOKUP($D241,Insumos!$B$1:$B$996,Insumos!$D$1:$D$996),"")</f>
        <v/>
      </c>
      <c r="H241" s="1069">
        <v>36.36</v>
      </c>
      <c r="I241" s="1070">
        <v>0</v>
      </c>
      <c r="J241" s="1070">
        <v>0</v>
      </c>
      <c r="K241" s="1070"/>
      <c r="L241"/>
      <c r="M241"/>
      <c r="N241"/>
      <c r="O241"/>
      <c r="P241"/>
      <c r="Q241"/>
      <c r="R241"/>
      <c r="S241"/>
      <c r="T241"/>
      <c r="U241"/>
      <c r="V241"/>
      <c r="W241"/>
      <c r="X241"/>
      <c r="Y241"/>
      <c r="Z241"/>
      <c r="AA241"/>
      <c r="AB241"/>
      <c r="AC241"/>
      <c r="AD241"/>
      <c r="AE241"/>
      <c r="AF241"/>
      <c r="AG241"/>
      <c r="AH241"/>
      <c r="AI241"/>
      <c r="AJ241"/>
      <c r="AK241"/>
      <c r="AL241"/>
    </row>
    <row r="242" spans="1:38" ht="15.75" customHeight="1" outlineLevel="3" x14ac:dyDescent="0.2">
      <c r="A242" s="10">
        <v>2</v>
      </c>
      <c r="B242" s="10" t="s">
        <v>71</v>
      </c>
      <c r="C242" s="10" t="s">
        <v>154</v>
      </c>
      <c r="D242" s="10" t="s">
        <v>153</v>
      </c>
      <c r="E242" s="11" t="str">
        <f t="array" ref="E242">_xlfn.XLOOKUP(D242,Insumos!B:B,Insumos!C:$C)</f>
        <v>M3</v>
      </c>
      <c r="F242" s="14">
        <v>1</v>
      </c>
      <c r="G242" s="92">
        <f t="array" ref="G242">IF(B242="insumo",_xlfn.XLOOKUP($D242,Insumos!$B$1:$B$996,Insumos!$D$1:$D$996),"")</f>
        <v>36.36</v>
      </c>
      <c r="H242" s="92">
        <v>36.36</v>
      </c>
      <c r="I242" s="13">
        <v>0</v>
      </c>
      <c r="J242" s="13">
        <v>0</v>
      </c>
      <c r="K242" s="13"/>
      <c r="L242"/>
      <c r="M242"/>
      <c r="N242"/>
      <c r="O242"/>
      <c r="P242"/>
      <c r="Q242"/>
      <c r="R242"/>
      <c r="S242"/>
      <c r="T242"/>
      <c r="U242"/>
      <c r="V242"/>
      <c r="W242"/>
      <c r="X242"/>
      <c r="Y242"/>
      <c r="Z242"/>
      <c r="AA242"/>
      <c r="AB242"/>
      <c r="AC242"/>
      <c r="AD242"/>
      <c r="AE242"/>
      <c r="AF242"/>
      <c r="AG242"/>
      <c r="AH242"/>
      <c r="AI242"/>
      <c r="AJ242"/>
      <c r="AK242"/>
      <c r="AL242"/>
    </row>
    <row r="243" spans="1:38" ht="15.75" customHeight="1" outlineLevel="2" x14ac:dyDescent="0.2">
      <c r="A243" s="1067">
        <v>1</v>
      </c>
      <c r="B243" s="1067" t="s">
        <v>68</v>
      </c>
      <c r="C243" s="1067" t="s">
        <v>155</v>
      </c>
      <c r="D243" s="1067" t="s">
        <v>155</v>
      </c>
      <c r="E243" s="1068" t="s">
        <v>152</v>
      </c>
      <c r="F243" s="1067"/>
      <c r="G243" s="1069" t="str">
        <f t="array" ref="G243">IF(B243="insumo",_xlfn.XLOOKUP($D243,Insumos!$B$1:$B$996,Insumos!$D$1:$D$996),"")</f>
        <v/>
      </c>
      <c r="H243" s="1069">
        <v>14.55</v>
      </c>
      <c r="I243" s="1070">
        <v>0</v>
      </c>
      <c r="J243" s="1070">
        <v>0</v>
      </c>
      <c r="K243" s="1070"/>
      <c r="L243"/>
      <c r="M243"/>
      <c r="N243"/>
      <c r="O243"/>
      <c r="P243"/>
      <c r="Q243"/>
      <c r="R243"/>
      <c r="S243"/>
      <c r="T243"/>
      <c r="U243"/>
      <c r="V243"/>
      <c r="W243"/>
      <c r="X243"/>
      <c r="Y243"/>
      <c r="Z243"/>
      <c r="AA243"/>
      <c r="AB243"/>
      <c r="AC243"/>
      <c r="AD243"/>
      <c r="AE243"/>
      <c r="AF243"/>
      <c r="AG243"/>
      <c r="AH243"/>
      <c r="AI243"/>
      <c r="AJ243"/>
      <c r="AK243"/>
      <c r="AL243"/>
    </row>
    <row r="244" spans="1:38" ht="15.75" customHeight="1" outlineLevel="3" x14ac:dyDescent="0.2">
      <c r="A244" s="10">
        <v>1</v>
      </c>
      <c r="B244" s="10" t="s">
        <v>71</v>
      </c>
      <c r="C244" s="10" t="s">
        <v>155</v>
      </c>
      <c r="D244" s="10" t="s">
        <v>156</v>
      </c>
      <c r="E244" s="11" t="str">
        <f t="array" ref="E244">_xlfn.XLOOKUP(D244,Insumos!B:B,Insumos!C:$C)</f>
        <v>M3</v>
      </c>
      <c r="F244" s="14">
        <v>1</v>
      </c>
      <c r="G244" s="92">
        <f t="array" ref="G244">IF(B244="insumo",_xlfn.XLOOKUP($D244,Insumos!$B$1:$B$996,Insumos!$D$1:$D$996),"")</f>
        <v>14.55</v>
      </c>
      <c r="H244" s="92">
        <v>14.55</v>
      </c>
      <c r="I244" s="13">
        <v>0</v>
      </c>
      <c r="J244" s="13">
        <v>0</v>
      </c>
      <c r="K244" s="13"/>
      <c r="L244"/>
      <c r="M244"/>
      <c r="N244"/>
      <c r="O244"/>
      <c r="P244"/>
      <c r="Q244"/>
      <c r="R244"/>
      <c r="S244"/>
      <c r="T244"/>
      <c r="U244"/>
      <c r="V244"/>
      <c r="W244"/>
      <c r="X244"/>
      <c r="Y244"/>
      <c r="Z244"/>
      <c r="AA244"/>
      <c r="AB244"/>
      <c r="AC244"/>
      <c r="AD244"/>
      <c r="AE244"/>
      <c r="AF244"/>
      <c r="AG244"/>
      <c r="AH244"/>
      <c r="AI244"/>
      <c r="AJ244"/>
      <c r="AK244"/>
      <c r="AL244"/>
    </row>
    <row r="245" spans="1:38" ht="15.75" customHeight="1" outlineLevel="2" x14ac:dyDescent="0.2">
      <c r="A245" s="1067">
        <v>1</v>
      </c>
      <c r="B245" s="1067" t="s">
        <v>68</v>
      </c>
      <c r="C245" s="1067" t="s">
        <v>157</v>
      </c>
      <c r="D245" s="1067" t="s">
        <v>157</v>
      </c>
      <c r="E245" s="1068" t="s">
        <v>152</v>
      </c>
      <c r="F245" s="1067"/>
      <c r="G245" s="1069" t="str">
        <f t="array" ref="G245">IF(B245="insumo",_xlfn.XLOOKUP($D245,Insumos!$B$1:$B$996,Insumos!$D$1:$D$996),"")</f>
        <v/>
      </c>
      <c r="H245" s="1069">
        <v>495.24700000000001</v>
      </c>
      <c r="I245" s="1070">
        <v>0</v>
      </c>
      <c r="J245" s="1070">
        <v>0</v>
      </c>
      <c r="K245" s="1070"/>
      <c r="L245"/>
      <c r="M245"/>
      <c r="N245"/>
      <c r="O245"/>
      <c r="P245"/>
      <c r="Q245"/>
      <c r="R245"/>
      <c r="S245"/>
      <c r="T245"/>
      <c r="U245"/>
      <c r="V245"/>
      <c r="W245"/>
      <c r="X245"/>
      <c r="Y245"/>
      <c r="Z245"/>
      <c r="AA245"/>
      <c r="AB245"/>
      <c r="AC245"/>
      <c r="AD245"/>
      <c r="AE245"/>
      <c r="AF245"/>
      <c r="AG245"/>
      <c r="AH245"/>
      <c r="AI245"/>
      <c r="AJ245"/>
      <c r="AK245"/>
      <c r="AL245"/>
    </row>
    <row r="246" spans="1:38" ht="15.75" customHeight="1" outlineLevel="3" x14ac:dyDescent="0.2">
      <c r="A246" s="10">
        <v>3</v>
      </c>
      <c r="B246" s="10" t="s">
        <v>71</v>
      </c>
      <c r="C246" s="10" t="s">
        <v>157</v>
      </c>
      <c r="D246" s="10" t="s">
        <v>158</v>
      </c>
      <c r="E246" s="11" t="str">
        <f t="array" ref="E246">_xlfn.XLOOKUP(D246,Insumos!B:B,Insumos!C:$C)</f>
        <v>M3</v>
      </c>
      <c r="F246" s="14">
        <v>1.05</v>
      </c>
      <c r="G246" s="92">
        <f t="array" ref="G246">IF(B246="insumo",_xlfn.XLOOKUP($D246,Insumos!$B$1:$B$996,Insumos!$D$1:$D$996),"")</f>
        <v>430.94</v>
      </c>
      <c r="H246" s="92">
        <v>452.48700000000002</v>
      </c>
      <c r="I246" s="13">
        <v>0</v>
      </c>
      <c r="J246" s="13">
        <v>0</v>
      </c>
      <c r="K246" s="13"/>
      <c r="L246"/>
      <c r="M246"/>
      <c r="N246"/>
      <c r="O246"/>
      <c r="P246"/>
      <c r="Q246"/>
      <c r="R246"/>
      <c r="S246"/>
      <c r="T246"/>
      <c r="U246"/>
      <c r="V246"/>
      <c r="W246"/>
      <c r="X246"/>
      <c r="Y246"/>
      <c r="Z246"/>
      <c r="AA246"/>
      <c r="AB246"/>
      <c r="AC246"/>
      <c r="AD246"/>
      <c r="AE246"/>
      <c r="AF246"/>
      <c r="AG246"/>
      <c r="AH246"/>
      <c r="AI246"/>
      <c r="AJ246"/>
      <c r="AK246"/>
      <c r="AL246"/>
    </row>
    <row r="247" spans="1:38" ht="15.75" customHeight="1" outlineLevel="3" x14ac:dyDescent="0.2">
      <c r="A247" s="10">
        <v>25</v>
      </c>
      <c r="B247" s="10" t="s">
        <v>71</v>
      </c>
      <c r="C247" s="10" t="s">
        <v>157</v>
      </c>
      <c r="D247" s="10" t="s">
        <v>159</v>
      </c>
      <c r="E247" s="11" t="str">
        <f t="array" ref="E247">_xlfn.XLOOKUP(D247,Insumos!B:B,Insumos!C:$C)</f>
        <v>M3</v>
      </c>
      <c r="F247" s="14">
        <v>1.05</v>
      </c>
      <c r="G247" s="92">
        <f t="array" ref="G247">IF(B247="insumo",_xlfn.XLOOKUP($D247,Insumos!$B$1:$B$996,Insumos!$D$1:$D$996),"")</f>
        <v>40</v>
      </c>
      <c r="H247" s="92">
        <v>42</v>
      </c>
      <c r="I247" s="13">
        <v>0</v>
      </c>
      <c r="J247" s="13">
        <v>0</v>
      </c>
      <c r="K247" s="13"/>
      <c r="L247"/>
      <c r="M247"/>
      <c r="N247"/>
      <c r="O247"/>
      <c r="P247"/>
      <c r="Q247"/>
      <c r="R247"/>
      <c r="S247"/>
      <c r="T247"/>
      <c r="U247"/>
      <c r="V247"/>
      <c r="W247"/>
      <c r="X247"/>
      <c r="Y247"/>
      <c r="Z247"/>
      <c r="AA247"/>
      <c r="AB247"/>
      <c r="AC247"/>
      <c r="AD247"/>
      <c r="AE247"/>
      <c r="AF247"/>
      <c r="AG247"/>
      <c r="AH247"/>
      <c r="AI247"/>
      <c r="AJ247"/>
      <c r="AK247"/>
      <c r="AL247"/>
    </row>
    <row r="248" spans="1:38" ht="15.75" customHeight="1" outlineLevel="3" x14ac:dyDescent="0.2">
      <c r="A248" s="10">
        <v>62</v>
      </c>
      <c r="B248" s="10" t="s">
        <v>71</v>
      </c>
      <c r="C248" s="10" t="s">
        <v>157</v>
      </c>
      <c r="D248" s="10" t="s">
        <v>160</v>
      </c>
      <c r="E248" s="11" t="str">
        <f t="array" ref="E248">_xlfn.XLOOKUP(D248,Insumos!B:B,Insumos!C:$C)</f>
        <v>KG</v>
      </c>
      <c r="F248" s="14">
        <v>1</v>
      </c>
      <c r="G248" s="92">
        <f t="array" ref="G248">IF(B248="insumo",_xlfn.XLOOKUP($D248,Insumos!$B$1:$B$996,Insumos!$D$1:$D$996),"")</f>
        <v>0.76</v>
      </c>
      <c r="H248" s="92">
        <v>0.76</v>
      </c>
      <c r="I248" s="13">
        <v>0</v>
      </c>
      <c r="J248" s="13">
        <v>0</v>
      </c>
      <c r="K248" s="13"/>
      <c r="L248"/>
      <c r="M248"/>
      <c r="N248"/>
      <c r="O248"/>
      <c r="P248"/>
      <c r="Q248"/>
      <c r="R248"/>
      <c r="S248"/>
      <c r="T248"/>
      <c r="U248"/>
      <c r="V248"/>
      <c r="W248"/>
      <c r="X248"/>
      <c r="Y248"/>
      <c r="Z248"/>
      <c r="AA248"/>
      <c r="AB248"/>
      <c r="AC248"/>
      <c r="AD248"/>
      <c r="AE248"/>
      <c r="AF248"/>
      <c r="AG248"/>
      <c r="AH248"/>
      <c r="AI248"/>
      <c r="AJ248"/>
      <c r="AK248"/>
      <c r="AL248"/>
    </row>
    <row r="249" spans="1:38" ht="15.75" customHeight="1" outlineLevel="2" x14ac:dyDescent="0.2">
      <c r="A249" s="1067">
        <v>1</v>
      </c>
      <c r="B249" s="1067" t="s">
        <v>68</v>
      </c>
      <c r="C249" s="1067" t="s">
        <v>3458</v>
      </c>
      <c r="D249" s="1067" t="s">
        <v>3458</v>
      </c>
      <c r="E249" s="1068" t="s">
        <v>152</v>
      </c>
      <c r="F249" s="1067"/>
      <c r="G249" s="1069" t="str">
        <f t="array" ref="G249">IF(B249="insumo",_xlfn.XLOOKUP($D249,Insumos!$B$1:$B$996,Insumos!$D$1:$D$996),"")</f>
        <v/>
      </c>
      <c r="H249" s="1069">
        <v>495.24700000000001</v>
      </c>
      <c r="I249" s="1070">
        <v>39.228999999999999</v>
      </c>
      <c r="J249" s="1070">
        <v>19428.044562999999</v>
      </c>
      <c r="K249" s="1070"/>
      <c r="L249"/>
      <c r="M249"/>
      <c r="N249"/>
      <c r="O249"/>
      <c r="P249"/>
      <c r="Q249"/>
      <c r="R249"/>
      <c r="S249"/>
      <c r="T249"/>
      <c r="U249"/>
      <c r="V249"/>
      <c r="W249"/>
      <c r="X249"/>
      <c r="Y249"/>
      <c r="Z249"/>
      <c r="AA249"/>
      <c r="AB249"/>
      <c r="AC249"/>
      <c r="AD249"/>
      <c r="AE249"/>
      <c r="AF249"/>
      <c r="AG249"/>
      <c r="AH249"/>
      <c r="AI249"/>
      <c r="AJ249"/>
      <c r="AK249"/>
      <c r="AL249"/>
    </row>
    <row r="250" spans="1:38" ht="15.75" customHeight="1" outlineLevel="3" x14ac:dyDescent="0.2">
      <c r="A250" s="10">
        <v>3</v>
      </c>
      <c r="B250" s="10" t="s">
        <v>71</v>
      </c>
      <c r="C250" s="10" t="s">
        <v>3458</v>
      </c>
      <c r="D250" s="10" t="s">
        <v>158</v>
      </c>
      <c r="E250" s="11" t="str">
        <f t="array" ref="E250">_xlfn.XLOOKUP(D250,Insumos!B:B,Insumos!C:$C)</f>
        <v>M3</v>
      </c>
      <c r="F250" s="14">
        <v>1.05</v>
      </c>
      <c r="G250" s="92">
        <f t="array" ref="G250">IF(B250="insumo",_xlfn.XLOOKUP($D250,Insumos!$B$1:$B$996,Insumos!$D$1:$D$996),"")</f>
        <v>430.94</v>
      </c>
      <c r="H250" s="92">
        <v>452.48700000000002</v>
      </c>
      <c r="I250" s="13">
        <v>39.228999999999999</v>
      </c>
      <c r="J250" s="13">
        <v>17750.612523</v>
      </c>
      <c r="K250" s="13"/>
      <c r="L250"/>
      <c r="M250"/>
      <c r="N250"/>
      <c r="O250"/>
      <c r="P250"/>
      <c r="Q250"/>
      <c r="R250"/>
      <c r="S250"/>
      <c r="T250"/>
      <c r="U250"/>
      <c r="V250"/>
      <c r="W250"/>
      <c r="X250"/>
      <c r="Y250"/>
      <c r="Z250"/>
      <c r="AA250"/>
      <c r="AB250"/>
      <c r="AC250"/>
      <c r="AD250"/>
      <c r="AE250"/>
      <c r="AF250"/>
      <c r="AG250"/>
      <c r="AH250"/>
      <c r="AI250"/>
      <c r="AJ250"/>
      <c r="AK250"/>
      <c r="AL250"/>
    </row>
    <row r="251" spans="1:38" ht="15.75" customHeight="1" outlineLevel="3" x14ac:dyDescent="0.2">
      <c r="A251" s="10">
        <v>25</v>
      </c>
      <c r="B251" s="10" t="s">
        <v>71</v>
      </c>
      <c r="C251" s="10" t="s">
        <v>3458</v>
      </c>
      <c r="D251" s="10" t="s">
        <v>159</v>
      </c>
      <c r="E251" s="11" t="str">
        <f t="array" ref="E251">_xlfn.XLOOKUP(D251,Insumos!B:B,Insumos!C:$C)</f>
        <v>M3</v>
      </c>
      <c r="F251" s="14">
        <v>1.05</v>
      </c>
      <c r="G251" s="92">
        <f t="array" ref="G251">IF(B251="insumo",_xlfn.XLOOKUP($D251,Insumos!$B$1:$B$996,Insumos!$D$1:$D$996),"")</f>
        <v>40</v>
      </c>
      <c r="H251" s="92">
        <v>42</v>
      </c>
      <c r="I251" s="13">
        <v>39.228999999999999</v>
      </c>
      <c r="J251" s="13">
        <v>1647.6179999999999</v>
      </c>
      <c r="K251" s="13"/>
      <c r="L251"/>
      <c r="M251"/>
      <c r="N251"/>
      <c r="O251"/>
      <c r="P251"/>
      <c r="Q251"/>
      <c r="R251"/>
      <c r="S251"/>
      <c r="T251"/>
      <c r="U251"/>
      <c r="V251"/>
      <c r="W251"/>
      <c r="X251"/>
      <c r="Y251"/>
      <c r="Z251"/>
      <c r="AA251"/>
      <c r="AB251"/>
      <c r="AC251"/>
      <c r="AD251"/>
      <c r="AE251"/>
      <c r="AF251"/>
      <c r="AG251"/>
      <c r="AH251"/>
      <c r="AI251"/>
      <c r="AJ251"/>
      <c r="AK251"/>
      <c r="AL251"/>
    </row>
    <row r="252" spans="1:38" ht="15.75" customHeight="1" outlineLevel="3" x14ac:dyDescent="0.2">
      <c r="A252" s="10">
        <v>62</v>
      </c>
      <c r="B252" s="10" t="s">
        <v>71</v>
      </c>
      <c r="C252" s="10" t="s">
        <v>3458</v>
      </c>
      <c r="D252" s="10" t="s">
        <v>160</v>
      </c>
      <c r="E252" s="11" t="str">
        <f t="array" ref="E252">_xlfn.XLOOKUP(D252,Insumos!B:B,Insumos!C:$C)</f>
        <v>KG</v>
      </c>
      <c r="F252" s="14">
        <v>1</v>
      </c>
      <c r="G252" s="92">
        <f t="array" ref="G252">IF(B252="insumo",_xlfn.XLOOKUP($D252,Insumos!$B$1:$B$996,Insumos!$D$1:$D$996),"")</f>
        <v>0.76</v>
      </c>
      <c r="H252" s="92">
        <v>0.76</v>
      </c>
      <c r="I252" s="13">
        <v>39.228999999999999</v>
      </c>
      <c r="J252" s="13">
        <v>29.814039999999999</v>
      </c>
      <c r="K252" s="13"/>
      <c r="L252"/>
      <c r="M252"/>
      <c r="N252"/>
      <c r="O252"/>
      <c r="P252"/>
      <c r="Q252"/>
      <c r="R252"/>
      <c r="S252"/>
      <c r="T252"/>
      <c r="U252"/>
      <c r="V252"/>
      <c r="W252"/>
      <c r="X252"/>
      <c r="Y252"/>
      <c r="Z252"/>
      <c r="AA252"/>
      <c r="AB252"/>
      <c r="AC252"/>
      <c r="AD252"/>
      <c r="AE252"/>
      <c r="AF252"/>
      <c r="AG252"/>
      <c r="AH252"/>
      <c r="AI252"/>
      <c r="AJ252"/>
      <c r="AK252"/>
      <c r="AL252"/>
    </row>
    <row r="253" spans="1:38" ht="15.75" customHeight="1" outlineLevel="2" x14ac:dyDescent="0.2">
      <c r="A253" s="1067">
        <v>1</v>
      </c>
      <c r="B253" s="1067" t="s">
        <v>68</v>
      </c>
      <c r="C253" s="1067" t="s">
        <v>161</v>
      </c>
      <c r="D253" s="1067" t="s">
        <v>161</v>
      </c>
      <c r="E253" s="1068" t="s">
        <v>152</v>
      </c>
      <c r="F253" s="1067"/>
      <c r="G253" s="1069" t="str">
        <f t="array" ref="G253">IF(B253="insumo",_xlfn.XLOOKUP($D253,Insumos!$B$1:$B$996,Insumos!$D$1:$D$996),"")</f>
        <v/>
      </c>
      <c r="H253" s="1069">
        <v>208.65600000000001</v>
      </c>
      <c r="I253" s="1070">
        <v>0</v>
      </c>
      <c r="J253" s="1070">
        <v>0</v>
      </c>
      <c r="K253" s="1070"/>
      <c r="L253"/>
      <c r="M253"/>
      <c r="N253"/>
      <c r="O253"/>
      <c r="P253"/>
      <c r="Q253"/>
      <c r="R253"/>
      <c r="S253"/>
      <c r="T253"/>
      <c r="U253"/>
      <c r="V253"/>
      <c r="W253"/>
      <c r="X253"/>
      <c r="Y253"/>
      <c r="Z253"/>
      <c r="AA253"/>
      <c r="AB253"/>
      <c r="AC253"/>
      <c r="AD253"/>
      <c r="AE253"/>
      <c r="AF253"/>
      <c r="AG253"/>
      <c r="AH253"/>
      <c r="AI253"/>
      <c r="AJ253"/>
      <c r="AK253"/>
      <c r="AL253"/>
    </row>
    <row r="254" spans="1:38" ht="15.75" customHeight="1" outlineLevel="3" x14ac:dyDescent="0.2">
      <c r="A254" s="10">
        <v>2</v>
      </c>
      <c r="B254" s="10" t="s">
        <v>71</v>
      </c>
      <c r="C254" s="10" t="s">
        <v>161</v>
      </c>
      <c r="D254" s="10" t="s">
        <v>162</v>
      </c>
      <c r="E254" s="11" t="str">
        <f t="array" ref="E254">_xlfn.XLOOKUP(D254,Insumos!B:B,Insumos!C:$C)</f>
        <v>M3</v>
      </c>
      <c r="F254" s="14">
        <v>1.38</v>
      </c>
      <c r="G254" s="92">
        <f t="array" ref="G254">IF(B254="insumo",_xlfn.XLOOKUP($D254,Insumos!$B$1:$B$996,Insumos!$D$1:$D$996),"")</f>
        <v>151.20000000000002</v>
      </c>
      <c r="H254" s="92">
        <v>208.65600000000001</v>
      </c>
      <c r="I254" s="13">
        <v>0</v>
      </c>
      <c r="J254" s="13">
        <v>0</v>
      </c>
      <c r="K254" s="13"/>
      <c r="L254"/>
      <c r="M254"/>
      <c r="N254"/>
      <c r="O254"/>
      <c r="P254"/>
      <c r="Q254"/>
      <c r="R254"/>
      <c r="S254"/>
      <c r="T254"/>
      <c r="U254"/>
      <c r="V254"/>
      <c r="W254"/>
      <c r="X254"/>
      <c r="Y254"/>
      <c r="Z254"/>
      <c r="AA254"/>
      <c r="AB254"/>
      <c r="AC254"/>
      <c r="AD254"/>
      <c r="AE254"/>
      <c r="AF254"/>
      <c r="AG254"/>
      <c r="AH254"/>
      <c r="AI254"/>
      <c r="AJ254"/>
      <c r="AK254"/>
      <c r="AL254"/>
    </row>
    <row r="255" spans="1:38" ht="15.75" customHeight="1" outlineLevel="2" x14ac:dyDescent="0.2">
      <c r="A255" s="1067">
        <v>1</v>
      </c>
      <c r="B255" s="1067" t="s">
        <v>68</v>
      </c>
      <c r="C255" s="1067" t="s">
        <v>163</v>
      </c>
      <c r="D255" s="1067" t="s">
        <v>163</v>
      </c>
      <c r="E255" s="1068" t="s">
        <v>152</v>
      </c>
      <c r="F255" s="1067"/>
      <c r="G255" s="1069" t="str">
        <f t="array" ref="G255">IF(B255="insumo",_xlfn.XLOOKUP($D255,Insumos!$B$1:$B$996,Insumos!$D$1:$D$996),"")</f>
        <v/>
      </c>
      <c r="H255" s="1069">
        <v>208.65600000000001</v>
      </c>
      <c r="I255" s="1070">
        <v>0</v>
      </c>
      <c r="J255" s="1070">
        <v>0</v>
      </c>
      <c r="K255" s="1070"/>
      <c r="L255"/>
      <c r="M255"/>
      <c r="N255"/>
      <c r="O255"/>
      <c r="P255"/>
      <c r="Q255"/>
      <c r="R255"/>
      <c r="S255"/>
      <c r="T255"/>
      <c r="U255"/>
      <c r="V255"/>
      <c r="W255"/>
      <c r="X255"/>
      <c r="Y255"/>
      <c r="Z255"/>
      <c r="AA255"/>
      <c r="AB255"/>
      <c r="AC255"/>
      <c r="AD255"/>
      <c r="AE255"/>
      <c r="AF255"/>
      <c r="AG255"/>
      <c r="AH255"/>
      <c r="AI255"/>
      <c r="AJ255"/>
      <c r="AK255"/>
      <c r="AL255"/>
    </row>
    <row r="256" spans="1:38" ht="15.75" customHeight="1" outlineLevel="3" x14ac:dyDescent="0.2">
      <c r="A256" s="10">
        <v>2</v>
      </c>
      <c r="B256" s="10" t="s">
        <v>71</v>
      </c>
      <c r="C256" s="10" t="s">
        <v>163</v>
      </c>
      <c r="D256" s="10" t="s">
        <v>162</v>
      </c>
      <c r="E256" s="11" t="str">
        <f t="array" ref="E256">_xlfn.XLOOKUP(D256,Insumos!B:B,Insumos!C:$C)</f>
        <v>M3</v>
      </c>
      <c r="F256" s="14">
        <v>1.38</v>
      </c>
      <c r="G256" s="92">
        <f t="array" ref="G256">IF(B256="insumo",_xlfn.XLOOKUP($D256,Insumos!$B$1:$B$996,Insumos!$D$1:$D$996),"")</f>
        <v>151.20000000000002</v>
      </c>
      <c r="H256" s="92">
        <v>208.65600000000001</v>
      </c>
      <c r="I256" s="13">
        <v>0</v>
      </c>
      <c r="J256" s="13">
        <v>0</v>
      </c>
      <c r="K256" s="13"/>
      <c r="L256"/>
      <c r="M256"/>
      <c r="N256"/>
      <c r="O256"/>
      <c r="P256"/>
      <c r="Q256"/>
      <c r="R256"/>
      <c r="S256"/>
      <c r="T256"/>
      <c r="U256"/>
      <c r="V256"/>
      <c r="W256"/>
      <c r="X256"/>
      <c r="Y256"/>
      <c r="Z256"/>
      <c r="AA256"/>
      <c r="AB256"/>
      <c r="AC256"/>
      <c r="AD256"/>
      <c r="AE256"/>
      <c r="AF256"/>
      <c r="AG256"/>
      <c r="AH256"/>
      <c r="AI256"/>
      <c r="AJ256"/>
      <c r="AK256"/>
      <c r="AL256"/>
    </row>
    <row r="257" spans="1:38" ht="15.75" customHeight="1" outlineLevel="2" x14ac:dyDescent="0.2">
      <c r="A257" s="1067">
        <v>1</v>
      </c>
      <c r="B257" s="1067" t="s">
        <v>68</v>
      </c>
      <c r="C257" s="1067" t="s">
        <v>176</v>
      </c>
      <c r="D257" s="1067" t="s">
        <v>176</v>
      </c>
      <c r="E257" s="1068" t="s">
        <v>152</v>
      </c>
      <c r="F257" s="1067"/>
      <c r="G257" s="1069" t="str">
        <f t="array" ref="G257">IF(B257="insumo",_xlfn.XLOOKUP($D257,Insumos!$B$1:$B$996,Insumos!$D$1:$D$996),"")</f>
        <v/>
      </c>
      <c r="H257" s="1069">
        <v>45.45</v>
      </c>
      <c r="I257" s="1070">
        <v>0</v>
      </c>
      <c r="J257" s="1070">
        <v>0</v>
      </c>
      <c r="K257" s="1070"/>
      <c r="L257"/>
      <c r="M257"/>
      <c r="N257"/>
      <c r="O257"/>
      <c r="P257"/>
      <c r="Q257"/>
      <c r="R257"/>
      <c r="S257"/>
      <c r="T257"/>
      <c r="U257"/>
      <c r="V257"/>
      <c r="W257"/>
      <c r="X257"/>
      <c r="Y257"/>
      <c r="Z257"/>
      <c r="AA257"/>
      <c r="AB257"/>
      <c r="AC257"/>
      <c r="AD257"/>
      <c r="AE257"/>
      <c r="AF257"/>
      <c r="AG257"/>
      <c r="AH257"/>
      <c r="AI257"/>
      <c r="AJ257"/>
      <c r="AK257"/>
      <c r="AL257"/>
    </row>
    <row r="258" spans="1:38" ht="15.75" customHeight="1" outlineLevel="3" x14ac:dyDescent="0.2">
      <c r="A258" s="10">
        <v>2</v>
      </c>
      <c r="B258" s="10" t="s">
        <v>71</v>
      </c>
      <c r="C258" s="10" t="s">
        <v>176</v>
      </c>
      <c r="D258" s="10" t="s">
        <v>176</v>
      </c>
      <c r="E258" s="11" t="str">
        <f t="array" ref="E258">_xlfn.XLOOKUP(D258,Insumos!B:B,Insumos!C:$C)</f>
        <v>M3</v>
      </c>
      <c r="F258" s="14">
        <v>1</v>
      </c>
      <c r="G258" s="92">
        <f t="array" ref="G258">IF(B258="insumo",_xlfn.XLOOKUP($D258,Insumos!$B$1:$B$996,Insumos!$D$1:$D$996),"")</f>
        <v>45.45</v>
      </c>
      <c r="H258" s="92">
        <v>45.45</v>
      </c>
      <c r="I258" s="13">
        <v>0</v>
      </c>
      <c r="J258" s="13">
        <v>0</v>
      </c>
      <c r="K258" s="13"/>
      <c r="L258"/>
      <c r="M258"/>
      <c r="N258"/>
      <c r="O258"/>
      <c r="P258"/>
      <c r="Q258"/>
      <c r="R258"/>
      <c r="S258"/>
      <c r="T258"/>
      <c r="U258"/>
      <c r="V258"/>
      <c r="W258"/>
      <c r="X258"/>
      <c r="Y258"/>
      <c r="Z258"/>
      <c r="AA258"/>
      <c r="AB258"/>
      <c r="AC258"/>
      <c r="AD258"/>
      <c r="AE258"/>
      <c r="AF258"/>
      <c r="AG258"/>
      <c r="AH258"/>
      <c r="AI258"/>
      <c r="AJ258"/>
      <c r="AK258"/>
      <c r="AL258"/>
    </row>
    <row r="259" spans="1:38" ht="15.75" customHeight="1" outlineLevel="2" x14ac:dyDescent="0.2">
      <c r="A259" s="1067">
        <v>1</v>
      </c>
      <c r="B259" s="1067" t="s">
        <v>68</v>
      </c>
      <c r="C259" s="1067" t="s">
        <v>177</v>
      </c>
      <c r="D259" s="1067" t="s">
        <v>177</v>
      </c>
      <c r="E259" s="1068" t="s">
        <v>152</v>
      </c>
      <c r="F259" s="1067"/>
      <c r="G259" s="1069" t="str">
        <f t="array" ref="G259">IF(B259="insumo",_xlfn.XLOOKUP($D259,Insumos!$B$1:$B$996,Insumos!$D$1:$D$996),"")</f>
        <v/>
      </c>
      <c r="H259" s="1069">
        <v>68.180000000000007</v>
      </c>
      <c r="I259" s="1070">
        <v>0</v>
      </c>
      <c r="J259" s="1070">
        <v>0</v>
      </c>
      <c r="K259" s="1070"/>
      <c r="L259"/>
      <c r="M259"/>
      <c r="N259"/>
      <c r="O259"/>
      <c r="P259"/>
      <c r="Q259"/>
      <c r="R259"/>
      <c r="S259"/>
      <c r="T259"/>
      <c r="U259"/>
      <c r="V259"/>
      <c r="W259"/>
      <c r="X259"/>
      <c r="Y259"/>
      <c r="Z259"/>
      <c r="AA259"/>
      <c r="AB259"/>
      <c r="AC259"/>
      <c r="AD259"/>
      <c r="AE259"/>
      <c r="AF259"/>
      <c r="AG259"/>
      <c r="AH259"/>
      <c r="AI259"/>
      <c r="AJ259"/>
      <c r="AK259"/>
      <c r="AL259"/>
    </row>
    <row r="260" spans="1:38" ht="15.75" customHeight="1" outlineLevel="3" x14ac:dyDescent="0.2">
      <c r="A260" s="10">
        <v>1</v>
      </c>
      <c r="B260" s="10" t="s">
        <v>71</v>
      </c>
      <c r="C260" s="10" t="s">
        <v>177</v>
      </c>
      <c r="D260" s="10" t="s">
        <v>177</v>
      </c>
      <c r="E260" s="11" t="str">
        <f t="array" ref="E260">_xlfn.XLOOKUP(D260,Insumos!B:B,Insumos!C:$C)</f>
        <v>M3</v>
      </c>
      <c r="F260" s="14">
        <v>1</v>
      </c>
      <c r="G260" s="92">
        <f t="array" ref="G260">IF(B260="insumo",_xlfn.XLOOKUP($D260,Insumos!$B$1:$B$996,Insumos!$D$1:$D$996),"")</f>
        <v>68.180000000000007</v>
      </c>
      <c r="H260" s="92">
        <v>68.180000000000007</v>
      </c>
      <c r="I260" s="13">
        <v>0</v>
      </c>
      <c r="J260" s="13">
        <v>0</v>
      </c>
      <c r="K260" s="13"/>
      <c r="L260"/>
      <c r="M260"/>
      <c r="N260"/>
      <c r="O260"/>
      <c r="P260"/>
      <c r="Q260"/>
      <c r="R260"/>
      <c r="S260"/>
      <c r="T260"/>
      <c r="U260"/>
      <c r="V260"/>
      <c r="W260"/>
      <c r="X260"/>
      <c r="Y260"/>
      <c r="Z260"/>
      <c r="AA260"/>
      <c r="AB260"/>
      <c r="AC260"/>
      <c r="AD260"/>
      <c r="AE260"/>
      <c r="AF260"/>
      <c r="AG260"/>
      <c r="AH260"/>
      <c r="AI260"/>
      <c r="AJ260"/>
      <c r="AK260"/>
      <c r="AL260"/>
    </row>
    <row r="261" spans="1:38" ht="15.75" customHeight="1" x14ac:dyDescent="0.2">
      <c r="A261" s="7">
        <v>1</v>
      </c>
      <c r="B261" s="7" t="s">
        <v>66</v>
      </c>
      <c r="C261" s="7" t="s">
        <v>177</v>
      </c>
      <c r="D261" s="7" t="s">
        <v>11</v>
      </c>
      <c r="E261" s="8"/>
      <c r="F261" s="9"/>
      <c r="G261" s="91" t="str">
        <f t="array" ref="G261">IF(B261="insumo",_xlfn.XLOOKUP($D261,Insumos!$B$1:$B$996,Insumos!$D$1:$D$996),"")</f>
        <v/>
      </c>
      <c r="H261" s="91">
        <v>0</v>
      </c>
      <c r="I261" s="9">
        <v>0</v>
      </c>
      <c r="J261" s="9">
        <v>0</v>
      </c>
      <c r="K261" s="9"/>
      <c r="L261"/>
      <c r="M261"/>
      <c r="N261"/>
      <c r="O261"/>
      <c r="P261"/>
      <c r="Q261"/>
      <c r="R261"/>
      <c r="S261"/>
      <c r="T261"/>
      <c r="U261"/>
      <c r="V261"/>
      <c r="W261"/>
      <c r="X261"/>
      <c r="Y261"/>
      <c r="Z261"/>
      <c r="AA261"/>
      <c r="AB261"/>
      <c r="AC261"/>
      <c r="AD261"/>
      <c r="AE261"/>
      <c r="AF261"/>
      <c r="AG261"/>
      <c r="AH261"/>
      <c r="AI261"/>
      <c r="AJ261"/>
      <c r="AK261"/>
      <c r="AL261"/>
    </row>
    <row r="262" spans="1:38" ht="15.75" customHeight="1" outlineLevel="1" x14ac:dyDescent="0.2">
      <c r="A262" s="1090">
        <v>2</v>
      </c>
      <c r="B262" s="1090" t="s">
        <v>1228</v>
      </c>
      <c r="C262" s="1090" t="s">
        <v>177</v>
      </c>
      <c r="D262" s="1090" t="s">
        <v>1741</v>
      </c>
      <c r="E262" s="1091"/>
      <c r="F262" s="1091"/>
      <c r="G262" s="1091"/>
      <c r="H262" s="1091">
        <v>0</v>
      </c>
      <c r="I262" s="1092">
        <v>0</v>
      </c>
      <c r="J262" s="1092">
        <v>0</v>
      </c>
      <c r="K262" s="1092"/>
      <c r="L262"/>
      <c r="M262"/>
      <c r="N262"/>
      <c r="O262"/>
      <c r="P262"/>
      <c r="Q262"/>
      <c r="R262"/>
      <c r="S262"/>
      <c r="T262"/>
      <c r="U262"/>
      <c r="V262"/>
      <c r="W262"/>
      <c r="X262"/>
      <c r="Y262"/>
      <c r="Z262"/>
      <c r="AA262"/>
      <c r="AB262"/>
      <c r="AC262"/>
      <c r="AD262"/>
      <c r="AE262"/>
      <c r="AF262"/>
      <c r="AG262"/>
      <c r="AH262"/>
      <c r="AI262"/>
      <c r="AJ262"/>
      <c r="AK262"/>
      <c r="AL262"/>
    </row>
    <row r="263" spans="1:38" ht="15.75" customHeight="1" outlineLevel="2" x14ac:dyDescent="0.2">
      <c r="A263" s="1067">
        <v>1</v>
      </c>
      <c r="B263" s="1067" t="s">
        <v>68</v>
      </c>
      <c r="C263" s="1067" t="s">
        <v>179</v>
      </c>
      <c r="D263" s="1067" t="s">
        <v>179</v>
      </c>
      <c r="E263" s="1068" t="s">
        <v>113</v>
      </c>
      <c r="F263" s="1067"/>
      <c r="G263" s="1069" t="str">
        <f t="array" ref="G263">IF(B263="insumo",_xlfn.XLOOKUP($D263,Insumos!$B$1:$B$996,Insumos!$D$1:$D$996),"")</f>
        <v/>
      </c>
      <c r="H263" s="1069">
        <v>60</v>
      </c>
      <c r="I263" s="1070">
        <v>0</v>
      </c>
      <c r="J263" s="1070">
        <v>0</v>
      </c>
      <c r="K263" s="1070"/>
      <c r="L263"/>
      <c r="M263"/>
      <c r="N263"/>
      <c r="O263"/>
      <c r="P263"/>
      <c r="Q263"/>
      <c r="R263"/>
      <c r="S263"/>
      <c r="T263"/>
      <c r="U263"/>
      <c r="V263"/>
      <c r="W263"/>
      <c r="X263"/>
      <c r="Y263"/>
      <c r="Z263"/>
      <c r="AA263"/>
      <c r="AB263"/>
      <c r="AC263"/>
      <c r="AD263"/>
      <c r="AE263"/>
      <c r="AF263"/>
      <c r="AG263"/>
      <c r="AH263"/>
      <c r="AI263"/>
      <c r="AJ263"/>
      <c r="AK263"/>
      <c r="AL263"/>
    </row>
    <row r="264" spans="1:38" ht="15.75" customHeight="1" outlineLevel="3" x14ac:dyDescent="0.2">
      <c r="A264" s="10">
        <v>1</v>
      </c>
      <c r="B264" s="10" t="s">
        <v>71</v>
      </c>
      <c r="C264" s="10" t="s">
        <v>179</v>
      </c>
      <c r="D264" s="10" t="s">
        <v>179</v>
      </c>
      <c r="E264" s="11" t="str">
        <f t="array" ref="E264">_xlfn.XLOOKUP(D264,Insumos!B:B,Insumos!C:$C)</f>
        <v>M</v>
      </c>
      <c r="F264" s="14">
        <v>1</v>
      </c>
      <c r="G264" s="92">
        <f t="array" ref="G264">IF(B264="insumo",_xlfn.XLOOKUP($D264,Insumos!$B$1:$B$996,Insumos!$D$1:$D$996),"")</f>
        <v>60</v>
      </c>
      <c r="H264" s="92">
        <v>60</v>
      </c>
      <c r="I264" s="13">
        <v>0</v>
      </c>
      <c r="J264" s="13">
        <v>0</v>
      </c>
      <c r="K264" s="13"/>
      <c r="L264"/>
      <c r="M264"/>
      <c r="N264"/>
      <c r="O264"/>
      <c r="P264"/>
      <c r="Q264"/>
      <c r="R264"/>
      <c r="S264"/>
      <c r="T264"/>
      <c r="U264"/>
      <c r="V264"/>
      <c r="W264"/>
      <c r="X264"/>
      <c r="Y264"/>
      <c r="Z264"/>
      <c r="AA264"/>
      <c r="AB264"/>
      <c r="AC264"/>
      <c r="AD264"/>
      <c r="AE264"/>
      <c r="AF264"/>
      <c r="AG264"/>
      <c r="AH264"/>
      <c r="AI264"/>
      <c r="AJ264"/>
      <c r="AK264"/>
      <c r="AL264"/>
    </row>
    <row r="265" spans="1:38" ht="15.75" customHeight="1" outlineLevel="2" x14ac:dyDescent="0.2">
      <c r="A265" s="1067">
        <v>1</v>
      </c>
      <c r="B265" s="1067" t="s">
        <v>68</v>
      </c>
      <c r="C265" s="1067" t="s">
        <v>180</v>
      </c>
      <c r="D265" s="1067" t="s">
        <v>180</v>
      </c>
      <c r="E265" s="1068" t="s">
        <v>113</v>
      </c>
      <c r="F265" s="1067"/>
      <c r="G265" s="1069" t="str">
        <f t="array" ref="G265">IF(B265="insumo",_xlfn.XLOOKUP($D265,Insumos!$B$1:$B$996,Insumos!$D$1:$D$996),"")</f>
        <v/>
      </c>
      <c r="H265" s="1069">
        <v>75</v>
      </c>
      <c r="I265" s="1070">
        <v>0</v>
      </c>
      <c r="J265" s="1070">
        <v>0</v>
      </c>
      <c r="K265" s="1070"/>
      <c r="L265"/>
      <c r="M265"/>
      <c r="N265"/>
      <c r="O265"/>
      <c r="P265"/>
      <c r="Q265"/>
      <c r="R265"/>
      <c r="S265"/>
      <c r="T265"/>
      <c r="U265"/>
      <c r="V265"/>
      <c r="W265"/>
      <c r="X265"/>
      <c r="Y265"/>
      <c r="Z265"/>
      <c r="AA265"/>
      <c r="AB265"/>
      <c r="AC265"/>
      <c r="AD265"/>
      <c r="AE265"/>
      <c r="AF265"/>
      <c r="AG265"/>
      <c r="AH265"/>
      <c r="AI265"/>
      <c r="AJ265"/>
      <c r="AK265"/>
      <c r="AL265"/>
    </row>
    <row r="266" spans="1:38" ht="15.75" customHeight="1" outlineLevel="3" x14ac:dyDescent="0.2">
      <c r="A266" s="10">
        <v>1</v>
      </c>
      <c r="B266" s="10" t="s">
        <v>71</v>
      </c>
      <c r="C266" s="10" t="s">
        <v>180</v>
      </c>
      <c r="D266" s="10" t="s">
        <v>180</v>
      </c>
      <c r="E266" s="11" t="str">
        <f t="array" ref="E266">_xlfn.XLOOKUP(D266,Insumos!B:B,Insumos!C:$C)</f>
        <v>M</v>
      </c>
      <c r="F266" s="14">
        <v>1</v>
      </c>
      <c r="G266" s="92">
        <f t="array" ref="G266">IF(B266="insumo",_xlfn.XLOOKUP($D266,Insumos!$B$1:$B$996,Insumos!$D$1:$D$996),"")</f>
        <v>75</v>
      </c>
      <c r="H266" s="92">
        <v>75</v>
      </c>
      <c r="I266" s="13">
        <v>0</v>
      </c>
      <c r="J266" s="13">
        <v>0</v>
      </c>
      <c r="K266" s="13"/>
      <c r="L266"/>
      <c r="M266"/>
      <c r="N266"/>
      <c r="O266"/>
      <c r="P266"/>
      <c r="Q266"/>
      <c r="R266"/>
      <c r="S266"/>
      <c r="T266"/>
      <c r="U266"/>
      <c r="V266"/>
      <c r="W266"/>
      <c r="X266"/>
      <c r="Y266"/>
      <c r="Z266"/>
      <c r="AA266"/>
      <c r="AB266"/>
      <c r="AC266"/>
      <c r="AD266"/>
      <c r="AE266"/>
      <c r="AF266"/>
      <c r="AG266"/>
      <c r="AH266"/>
      <c r="AI266"/>
      <c r="AJ266"/>
      <c r="AK266"/>
      <c r="AL266"/>
    </row>
    <row r="267" spans="1:38" ht="15.75" customHeight="1" outlineLevel="2" x14ac:dyDescent="0.2">
      <c r="A267" s="1067">
        <v>1</v>
      </c>
      <c r="B267" s="1067" t="s">
        <v>68</v>
      </c>
      <c r="C267" s="1067" t="s">
        <v>181</v>
      </c>
      <c r="D267" s="1067" t="s">
        <v>181</v>
      </c>
      <c r="E267" s="1068" t="s">
        <v>113</v>
      </c>
      <c r="F267" s="1067"/>
      <c r="G267" s="1069" t="str">
        <f t="array" ref="G267">IF(B267="insumo",_xlfn.XLOOKUP($D267,Insumos!$B$1:$B$996,Insumos!$D$1:$D$996),"")</f>
        <v/>
      </c>
      <c r="H267" s="1069">
        <v>150</v>
      </c>
      <c r="I267" s="1070">
        <v>0</v>
      </c>
      <c r="J267" s="1070">
        <v>0</v>
      </c>
      <c r="K267" s="1070"/>
      <c r="L267"/>
      <c r="M267"/>
      <c r="N267"/>
      <c r="O267"/>
      <c r="P267"/>
      <c r="Q267"/>
      <c r="R267"/>
      <c r="S267"/>
      <c r="T267"/>
      <c r="U267"/>
      <c r="V267"/>
      <c r="W267"/>
      <c r="X267"/>
      <c r="Y267"/>
      <c r="Z267"/>
      <c r="AA267"/>
      <c r="AB267"/>
      <c r="AC267"/>
      <c r="AD267"/>
      <c r="AE267"/>
      <c r="AF267"/>
      <c r="AG267"/>
      <c r="AH267"/>
      <c r="AI267"/>
      <c r="AJ267"/>
      <c r="AK267"/>
      <c r="AL267"/>
    </row>
    <row r="268" spans="1:38" ht="15.75" customHeight="1" outlineLevel="3" x14ac:dyDescent="0.2">
      <c r="A268" s="10">
        <v>1</v>
      </c>
      <c r="B268" s="10" t="s">
        <v>71</v>
      </c>
      <c r="C268" s="10" t="s">
        <v>181</v>
      </c>
      <c r="D268" s="10" t="s">
        <v>182</v>
      </c>
      <c r="E268" s="11" t="str">
        <f t="array" ref="E268">_xlfn.XLOOKUP(D268,Insumos!B:B,Insumos!C:$C)</f>
        <v>M</v>
      </c>
      <c r="F268" s="14">
        <v>1</v>
      </c>
      <c r="G268" s="92">
        <f t="array" ref="G268">IF(B268="insumo",_xlfn.XLOOKUP($D268,Insumos!$B$1:$B$996,Insumos!$D$1:$D$996),"")</f>
        <v>150</v>
      </c>
      <c r="H268" s="92">
        <v>150</v>
      </c>
      <c r="I268" s="13">
        <v>0</v>
      </c>
      <c r="J268" s="13">
        <v>0</v>
      </c>
      <c r="K268" s="13"/>
      <c r="L268"/>
      <c r="M268"/>
      <c r="N268"/>
      <c r="O268"/>
      <c r="P268"/>
      <c r="Q268"/>
      <c r="R268"/>
      <c r="S268"/>
      <c r="T268"/>
      <c r="U268"/>
      <c r="V268"/>
      <c r="W268"/>
      <c r="X268"/>
      <c r="Y268"/>
      <c r="Z268"/>
      <c r="AA268"/>
      <c r="AB268"/>
      <c r="AC268"/>
      <c r="AD268"/>
      <c r="AE268"/>
      <c r="AF268"/>
      <c r="AG268"/>
      <c r="AH268"/>
      <c r="AI268"/>
      <c r="AJ268"/>
      <c r="AK268"/>
      <c r="AL268"/>
    </row>
    <row r="269" spans="1:38" ht="15.75" customHeight="1" outlineLevel="2" x14ac:dyDescent="0.2">
      <c r="A269" s="1067">
        <v>1</v>
      </c>
      <c r="B269" s="1067" t="s">
        <v>68</v>
      </c>
      <c r="C269" s="1067" t="s">
        <v>183</v>
      </c>
      <c r="D269" s="1067" t="s">
        <v>183</v>
      </c>
      <c r="E269" s="1068" t="s">
        <v>113</v>
      </c>
      <c r="F269" s="1067"/>
      <c r="G269" s="1069" t="str">
        <f t="array" ref="G269">IF(B269="insumo",_xlfn.XLOOKUP($D269,Insumos!$B$1:$B$996,Insumos!$D$1:$D$996),"")</f>
        <v/>
      </c>
      <c r="H269" s="1069">
        <v>137.486331768187</v>
      </c>
      <c r="I269" s="1070">
        <v>6732</v>
      </c>
      <c r="J269" s="1070">
        <v>925557.98546343495</v>
      </c>
      <c r="K269" s="1070"/>
      <c r="L269"/>
      <c r="M269"/>
      <c r="N269"/>
      <c r="O269"/>
      <c r="P269"/>
      <c r="Q269"/>
      <c r="R269"/>
      <c r="S269"/>
      <c r="T269"/>
      <c r="U269"/>
      <c r="V269"/>
      <c r="W269"/>
      <c r="X269"/>
      <c r="Y269"/>
      <c r="Z269"/>
      <c r="AA269"/>
      <c r="AB269"/>
      <c r="AC269"/>
      <c r="AD269"/>
      <c r="AE269"/>
      <c r="AF269"/>
      <c r="AG269"/>
      <c r="AH269"/>
      <c r="AI269"/>
      <c r="AJ269"/>
      <c r="AK269"/>
      <c r="AL269"/>
    </row>
    <row r="270" spans="1:38" ht="15.75" customHeight="1" outlineLevel="3" x14ac:dyDescent="0.2">
      <c r="A270" s="10">
        <v>1</v>
      </c>
      <c r="B270" s="10" t="s">
        <v>71</v>
      </c>
      <c r="C270" s="10" t="s">
        <v>183</v>
      </c>
      <c r="D270" s="10" t="s">
        <v>184</v>
      </c>
      <c r="E270" s="11" t="str">
        <f t="array" ref="E270">_xlfn.XLOOKUP(D270,Insumos!B:B,Insumos!C:$C)</f>
        <v>M</v>
      </c>
      <c r="F270" s="14">
        <v>1</v>
      </c>
      <c r="G270" s="92">
        <f t="array" ref="G270">IF(B270="insumo",_xlfn.XLOOKUP($D270,Insumos!$B$1:$B$996,Insumos!$D$1:$D$996),"")</f>
        <v>137.48633176818674</v>
      </c>
      <c r="H270" s="92">
        <v>137.486331768187</v>
      </c>
      <c r="I270" s="13">
        <v>6732</v>
      </c>
      <c r="J270" s="13">
        <v>925557.98546343495</v>
      </c>
      <c r="K270" s="13"/>
      <c r="L270"/>
      <c r="M270"/>
      <c r="N270"/>
      <c r="O270"/>
      <c r="P270"/>
      <c r="Q270"/>
      <c r="R270"/>
      <c r="S270"/>
      <c r="T270"/>
      <c r="U270"/>
      <c r="V270"/>
      <c r="W270"/>
      <c r="X270"/>
      <c r="Y270"/>
      <c r="Z270"/>
      <c r="AA270"/>
      <c r="AB270"/>
      <c r="AC270"/>
      <c r="AD270"/>
      <c r="AE270"/>
      <c r="AF270"/>
      <c r="AG270"/>
      <c r="AH270"/>
      <c r="AI270"/>
      <c r="AJ270"/>
      <c r="AK270"/>
      <c r="AL270"/>
    </row>
    <row r="271" spans="1:38" ht="12.75" outlineLevel="2" x14ac:dyDescent="0.2">
      <c r="A271" s="1071">
        <v>1</v>
      </c>
      <c r="B271" s="1071" t="s">
        <v>68</v>
      </c>
      <c r="C271" s="1071" t="s">
        <v>1752</v>
      </c>
      <c r="D271" s="1071" t="s">
        <v>1752</v>
      </c>
      <c r="E271" s="1072" t="s">
        <v>113</v>
      </c>
      <c r="F271" s="1071"/>
      <c r="G271" s="1073" t="str">
        <f t="array" ref="G271">IF(B271="insumo",_xlfn.XLOOKUP($D271,Insumos!$B$1:$B$996,Insumos!$D$1:$D$996),"")</f>
        <v/>
      </c>
      <c r="H271" s="1073">
        <v>150</v>
      </c>
      <c r="I271" s="1074">
        <v>0</v>
      </c>
      <c r="J271" s="1074">
        <v>0</v>
      </c>
      <c r="K271" s="1074"/>
      <c r="L271"/>
      <c r="M271"/>
      <c r="N271"/>
      <c r="O271"/>
      <c r="P271"/>
      <c r="Q271"/>
      <c r="R271"/>
      <c r="S271"/>
      <c r="T271"/>
      <c r="U271"/>
      <c r="V271"/>
      <c r="W271"/>
      <c r="X271"/>
      <c r="Y271"/>
      <c r="Z271"/>
      <c r="AA271"/>
      <c r="AB271"/>
      <c r="AC271"/>
      <c r="AD271"/>
      <c r="AE271"/>
      <c r="AF271"/>
      <c r="AG271"/>
      <c r="AH271"/>
      <c r="AI271"/>
      <c r="AJ271"/>
      <c r="AK271"/>
      <c r="AL271"/>
    </row>
    <row r="272" spans="1:38" ht="15.75" customHeight="1" outlineLevel="3" x14ac:dyDescent="0.2">
      <c r="A272" s="10">
        <v>1</v>
      </c>
      <c r="B272" s="10" t="s">
        <v>71</v>
      </c>
      <c r="C272" s="10" t="s">
        <v>1752</v>
      </c>
      <c r="D272" s="10" t="s">
        <v>1752</v>
      </c>
      <c r="E272" s="11" t="str">
        <f t="array" ref="E272">_xlfn.XLOOKUP(D272,Insumos!B:B,Insumos!C:$C)</f>
        <v>M</v>
      </c>
      <c r="F272" s="14">
        <v>1</v>
      </c>
      <c r="G272" s="92">
        <f t="array" ref="G272">IF(B272="insumo",_xlfn.XLOOKUP($D272,Insumos!$B$1:$B$996,Insumos!$D$1:$D$996),"")</f>
        <v>150</v>
      </c>
      <c r="H272" s="92">
        <v>150</v>
      </c>
      <c r="I272" s="13">
        <v>0</v>
      </c>
      <c r="J272" s="13">
        <v>0</v>
      </c>
      <c r="K272" s="13"/>
      <c r="L272"/>
      <c r="M272"/>
      <c r="N272"/>
      <c r="O272"/>
      <c r="P272"/>
      <c r="Q272"/>
      <c r="R272"/>
      <c r="S272"/>
      <c r="T272"/>
      <c r="U272"/>
      <c r="V272"/>
      <c r="W272"/>
      <c r="X272"/>
      <c r="Y272"/>
      <c r="Z272"/>
      <c r="AA272"/>
      <c r="AB272"/>
      <c r="AC272"/>
      <c r="AD272"/>
      <c r="AE272"/>
      <c r="AF272"/>
      <c r="AG272"/>
      <c r="AH272"/>
      <c r="AI272"/>
      <c r="AJ272"/>
      <c r="AK272"/>
      <c r="AL272"/>
    </row>
    <row r="273" spans="1:38" ht="12.75" outlineLevel="2" x14ac:dyDescent="0.2">
      <c r="A273" s="1071">
        <v>1</v>
      </c>
      <c r="B273" s="1071" t="s">
        <v>68</v>
      </c>
      <c r="C273" s="1071" t="s">
        <v>1753</v>
      </c>
      <c r="D273" s="1071" t="s">
        <v>1753</v>
      </c>
      <c r="E273" s="1072" t="s">
        <v>113</v>
      </c>
      <c r="F273" s="1071"/>
      <c r="G273" s="1073" t="str">
        <f t="array" ref="G273">IF(B273="insumo",_xlfn.XLOOKUP($D273,Insumos!$B$1:$B$996,Insumos!$D$1:$D$996),"")</f>
        <v/>
      </c>
      <c r="H273" s="1073">
        <v>180</v>
      </c>
      <c r="I273" s="1074">
        <v>0</v>
      </c>
      <c r="J273" s="1074">
        <v>0</v>
      </c>
      <c r="K273" s="1074"/>
      <c r="L273"/>
      <c r="M273"/>
      <c r="N273"/>
      <c r="O273"/>
      <c r="P273"/>
      <c r="Q273"/>
      <c r="R273"/>
      <c r="S273"/>
      <c r="T273"/>
      <c r="U273"/>
      <c r="V273"/>
      <c r="W273"/>
      <c r="X273"/>
      <c r="Y273"/>
      <c r="Z273"/>
      <c r="AA273"/>
      <c r="AB273"/>
      <c r="AC273"/>
      <c r="AD273"/>
      <c r="AE273"/>
      <c r="AF273"/>
      <c r="AG273"/>
      <c r="AH273"/>
      <c r="AI273"/>
      <c r="AJ273"/>
      <c r="AK273"/>
      <c r="AL273"/>
    </row>
    <row r="274" spans="1:38" ht="15.75" customHeight="1" outlineLevel="3" x14ac:dyDescent="0.2">
      <c r="A274" s="10">
        <v>1</v>
      </c>
      <c r="B274" s="10" t="s">
        <v>71</v>
      </c>
      <c r="C274" s="10" t="s">
        <v>1753</v>
      </c>
      <c r="D274" s="10" t="s">
        <v>1753</v>
      </c>
      <c r="E274" s="11" t="str">
        <f t="array" ref="E274">_xlfn.XLOOKUP(D274,Insumos!B:B,Insumos!C:$C)</f>
        <v>M</v>
      </c>
      <c r="F274" s="14">
        <v>1</v>
      </c>
      <c r="G274" s="92">
        <f t="array" ref="G274">IF(B274="insumo",_xlfn.XLOOKUP($D274,Insumos!$B$1:$B$996,Insumos!$D$1:$D$996),"")</f>
        <v>180</v>
      </c>
      <c r="H274" s="92">
        <v>180</v>
      </c>
      <c r="I274" s="13">
        <v>0</v>
      </c>
      <c r="J274" s="13">
        <v>0</v>
      </c>
      <c r="K274" s="13"/>
      <c r="L274"/>
      <c r="M274"/>
      <c r="N274"/>
      <c r="O274"/>
      <c r="P274"/>
      <c r="Q274"/>
      <c r="R274"/>
      <c r="S274"/>
      <c r="T274"/>
      <c r="U274"/>
      <c r="V274"/>
      <c r="W274"/>
      <c r="X274"/>
      <c r="Y274"/>
      <c r="Z274"/>
      <c r="AA274"/>
      <c r="AB274"/>
      <c r="AC274"/>
      <c r="AD274"/>
      <c r="AE274"/>
      <c r="AF274"/>
      <c r="AG274"/>
      <c r="AH274"/>
      <c r="AI274"/>
      <c r="AJ274"/>
      <c r="AK274"/>
      <c r="AL274"/>
    </row>
    <row r="275" spans="1:38" ht="15.75" customHeight="1" outlineLevel="2" x14ac:dyDescent="0.2">
      <c r="A275" s="1067">
        <v>1</v>
      </c>
      <c r="B275" s="1067" t="s">
        <v>68</v>
      </c>
      <c r="C275" s="1067" t="s">
        <v>185</v>
      </c>
      <c r="D275" s="1067" t="s">
        <v>185</v>
      </c>
      <c r="E275" s="1068" t="s">
        <v>113</v>
      </c>
      <c r="F275" s="1067"/>
      <c r="G275" s="1069" t="str">
        <f t="array" ref="G275">IF(B275="insumo",_xlfn.XLOOKUP($D275,Insumos!$B$1:$B$996,Insumos!$D$1:$D$996),"")</f>
        <v/>
      </c>
      <c r="H275" s="1069">
        <v>120</v>
      </c>
      <c r="I275" s="1070">
        <v>0</v>
      </c>
      <c r="J275" s="1070">
        <v>0</v>
      </c>
      <c r="K275" s="1070"/>
      <c r="L275"/>
      <c r="M275"/>
      <c r="N275"/>
      <c r="O275"/>
      <c r="P275"/>
      <c r="Q275"/>
      <c r="R275"/>
      <c r="S275"/>
      <c r="T275"/>
      <c r="U275"/>
      <c r="V275"/>
      <c r="W275"/>
      <c r="X275"/>
      <c r="Y275"/>
      <c r="Z275"/>
      <c r="AA275"/>
      <c r="AB275"/>
      <c r="AC275"/>
      <c r="AD275"/>
      <c r="AE275"/>
      <c r="AF275"/>
      <c r="AG275"/>
      <c r="AH275"/>
      <c r="AI275"/>
      <c r="AJ275"/>
      <c r="AK275"/>
      <c r="AL275"/>
    </row>
    <row r="276" spans="1:38" ht="15.75" customHeight="1" outlineLevel="3" x14ac:dyDescent="0.2">
      <c r="A276" s="10">
        <v>1</v>
      </c>
      <c r="B276" s="10" t="s">
        <v>71</v>
      </c>
      <c r="C276" s="10" t="s">
        <v>185</v>
      </c>
      <c r="D276" s="10" t="s">
        <v>185</v>
      </c>
      <c r="E276" s="11" t="str">
        <f t="array" ref="E276">_xlfn.XLOOKUP(D276,Insumos!B:B,Insumos!C:$C)</f>
        <v>M</v>
      </c>
      <c r="F276" s="14">
        <v>1</v>
      </c>
      <c r="G276" s="92">
        <f t="array" ref="G276">IF(B276="insumo",_xlfn.XLOOKUP($D276,Insumos!$B$1:$B$996,Insumos!$D$1:$D$996),"")</f>
        <v>120</v>
      </c>
      <c r="H276" s="92">
        <v>120</v>
      </c>
      <c r="I276" s="13">
        <v>0</v>
      </c>
      <c r="J276" s="13">
        <v>0</v>
      </c>
      <c r="K276" s="13"/>
      <c r="L276"/>
      <c r="M276"/>
      <c r="N276"/>
      <c r="O276"/>
      <c r="P276"/>
      <c r="Q276"/>
      <c r="R276"/>
      <c r="S276"/>
      <c r="T276"/>
      <c r="U276"/>
      <c r="V276"/>
      <c r="W276"/>
      <c r="X276"/>
      <c r="Y276"/>
      <c r="Z276"/>
      <c r="AA276"/>
      <c r="AB276"/>
      <c r="AC276"/>
      <c r="AD276"/>
      <c r="AE276"/>
      <c r="AF276"/>
      <c r="AG276"/>
      <c r="AH276"/>
      <c r="AI276"/>
      <c r="AJ276"/>
      <c r="AK276"/>
      <c r="AL276"/>
    </row>
    <row r="277" spans="1:38" ht="15.75" customHeight="1" outlineLevel="2" x14ac:dyDescent="0.2">
      <c r="A277" s="1067">
        <v>1</v>
      </c>
      <c r="B277" s="1067" t="s">
        <v>68</v>
      </c>
      <c r="C277" s="1067" t="s">
        <v>186</v>
      </c>
      <c r="D277" s="1067" t="s">
        <v>186</v>
      </c>
      <c r="E277" s="1068" t="s">
        <v>113</v>
      </c>
      <c r="F277" s="1067"/>
      <c r="G277" s="1069" t="str">
        <f t="array" ref="G277">IF(B277="insumo",_xlfn.XLOOKUP($D277,Insumos!$B$1:$B$996,Insumos!$D$1:$D$996),"")</f>
        <v/>
      </c>
      <c r="H277" s="1069">
        <v>135</v>
      </c>
      <c r="I277" s="1070">
        <v>0</v>
      </c>
      <c r="J277" s="1070">
        <v>0</v>
      </c>
      <c r="K277" s="1070"/>
      <c r="L277"/>
      <c r="M277"/>
      <c r="N277"/>
      <c r="O277"/>
      <c r="P277"/>
      <c r="Q277"/>
      <c r="R277"/>
      <c r="S277"/>
      <c r="T277"/>
      <c r="U277"/>
      <c r="V277"/>
      <c r="W277"/>
      <c r="X277"/>
      <c r="Y277"/>
      <c r="Z277"/>
      <c r="AA277"/>
      <c r="AB277"/>
      <c r="AC277"/>
      <c r="AD277"/>
      <c r="AE277"/>
      <c r="AF277"/>
      <c r="AG277"/>
      <c r="AH277"/>
      <c r="AI277"/>
      <c r="AJ277"/>
      <c r="AK277"/>
      <c r="AL277"/>
    </row>
    <row r="278" spans="1:38" ht="15.75" customHeight="1" outlineLevel="3" x14ac:dyDescent="0.2">
      <c r="A278" s="10">
        <v>1</v>
      </c>
      <c r="B278" s="10" t="s">
        <v>71</v>
      </c>
      <c r="C278" s="10" t="s">
        <v>186</v>
      </c>
      <c r="D278" s="10" t="s">
        <v>186</v>
      </c>
      <c r="E278" s="11" t="str">
        <f t="array" ref="E278">_xlfn.XLOOKUP(D278,Insumos!B:B,Insumos!C:$C)</f>
        <v>M</v>
      </c>
      <c r="F278" s="14">
        <v>1</v>
      </c>
      <c r="G278" s="92">
        <f t="array" ref="G278">IF(B278="insumo",_xlfn.XLOOKUP($D278,Insumos!$B$1:$B$996,Insumos!$D$1:$D$996),"")</f>
        <v>135</v>
      </c>
      <c r="H278" s="92">
        <v>135</v>
      </c>
      <c r="I278" s="13">
        <v>0</v>
      </c>
      <c r="J278" s="13">
        <v>0</v>
      </c>
      <c r="K278" s="13"/>
      <c r="L278"/>
      <c r="M278"/>
      <c r="N278"/>
      <c r="O278"/>
      <c r="P278"/>
      <c r="Q278"/>
      <c r="R278"/>
      <c r="S278"/>
      <c r="T278"/>
      <c r="U278"/>
      <c r="V278"/>
      <c r="W278"/>
      <c r="X278"/>
      <c r="Y278"/>
      <c r="Z278"/>
      <c r="AA278"/>
      <c r="AB278"/>
      <c r="AC278"/>
      <c r="AD278"/>
      <c r="AE278"/>
      <c r="AF278"/>
      <c r="AG278"/>
      <c r="AH278"/>
      <c r="AI278"/>
      <c r="AJ278"/>
      <c r="AK278"/>
      <c r="AL278"/>
    </row>
    <row r="279" spans="1:38" ht="15.75" customHeight="1" outlineLevel="2" x14ac:dyDescent="0.2">
      <c r="A279" s="1067">
        <v>1</v>
      </c>
      <c r="B279" s="1067" t="s">
        <v>68</v>
      </c>
      <c r="C279" s="1067" t="s">
        <v>187</v>
      </c>
      <c r="D279" s="1067" t="s">
        <v>187</v>
      </c>
      <c r="E279" s="1068" t="s">
        <v>113</v>
      </c>
      <c r="F279" s="1067"/>
      <c r="G279" s="1069" t="str">
        <f t="array" ref="G279">IF(B279="insumo",_xlfn.XLOOKUP($D279,Insumos!$B$1:$B$996,Insumos!$D$1:$D$996),"")</f>
        <v/>
      </c>
      <c r="H279" s="1069">
        <v>150</v>
      </c>
      <c r="I279" s="1070">
        <v>0</v>
      </c>
      <c r="J279" s="1070">
        <v>0</v>
      </c>
      <c r="K279" s="1070"/>
      <c r="L279"/>
      <c r="M279"/>
      <c r="N279"/>
      <c r="O279"/>
      <c r="P279"/>
      <c r="Q279"/>
      <c r="R279"/>
      <c r="S279"/>
      <c r="T279"/>
      <c r="U279"/>
      <c r="V279"/>
      <c r="W279"/>
      <c r="X279"/>
      <c r="Y279"/>
      <c r="Z279"/>
      <c r="AA279"/>
      <c r="AB279"/>
      <c r="AC279"/>
      <c r="AD279"/>
      <c r="AE279"/>
      <c r="AF279"/>
      <c r="AG279"/>
      <c r="AH279"/>
      <c r="AI279"/>
      <c r="AJ279"/>
      <c r="AK279"/>
      <c r="AL279"/>
    </row>
    <row r="280" spans="1:38" ht="15.75" customHeight="1" outlineLevel="3" x14ac:dyDescent="0.2">
      <c r="A280" s="10">
        <v>1</v>
      </c>
      <c r="B280" s="10" t="s">
        <v>71</v>
      </c>
      <c r="C280" s="10" t="s">
        <v>187</v>
      </c>
      <c r="D280" s="10" t="s">
        <v>187</v>
      </c>
      <c r="E280" s="11" t="str">
        <f t="array" ref="E280">_xlfn.XLOOKUP(D280,Insumos!B:B,Insumos!C:$C)</f>
        <v>M</v>
      </c>
      <c r="F280" s="14">
        <v>1</v>
      </c>
      <c r="G280" s="92">
        <f t="array" ref="G280">IF(B280="insumo",_xlfn.XLOOKUP($D280,Insumos!$B$1:$B$996,Insumos!$D$1:$D$996),"")</f>
        <v>150</v>
      </c>
      <c r="H280" s="92">
        <v>150</v>
      </c>
      <c r="I280" s="13">
        <v>0</v>
      </c>
      <c r="J280" s="13">
        <v>0</v>
      </c>
      <c r="K280" s="13"/>
      <c r="L280"/>
      <c r="M280"/>
      <c r="N280"/>
      <c r="O280"/>
      <c r="P280"/>
      <c r="Q280"/>
      <c r="R280"/>
      <c r="S280"/>
      <c r="T280"/>
      <c r="U280"/>
      <c r="V280"/>
      <c r="W280"/>
      <c r="X280"/>
      <c r="Y280"/>
      <c r="Z280"/>
      <c r="AA280"/>
      <c r="AB280"/>
      <c r="AC280"/>
      <c r="AD280"/>
      <c r="AE280"/>
      <c r="AF280"/>
      <c r="AG280"/>
      <c r="AH280"/>
      <c r="AI280"/>
      <c r="AJ280"/>
      <c r="AK280"/>
      <c r="AL280"/>
    </row>
    <row r="281" spans="1:38" ht="15.75" customHeight="1" outlineLevel="2" x14ac:dyDescent="0.2">
      <c r="A281" s="1067">
        <v>1</v>
      </c>
      <c r="B281" s="1067" t="s">
        <v>68</v>
      </c>
      <c r="C281" s="1067" t="s">
        <v>188</v>
      </c>
      <c r="D281" s="1067" t="s">
        <v>188</v>
      </c>
      <c r="E281" s="1068" t="s">
        <v>113</v>
      </c>
      <c r="F281" s="1067"/>
      <c r="G281" s="1069" t="str">
        <f t="array" ref="G281">IF(B281="insumo",_xlfn.XLOOKUP($D281,Insumos!$B$1:$B$996,Insumos!$D$1:$D$996),"")</f>
        <v/>
      </c>
      <c r="H281" s="1069">
        <v>166.666666666667</v>
      </c>
      <c r="I281" s="1070">
        <v>0</v>
      </c>
      <c r="J281" s="1070">
        <v>0</v>
      </c>
      <c r="K281" s="1070"/>
      <c r="L281"/>
      <c r="M281"/>
      <c r="N281"/>
      <c r="O281"/>
      <c r="P281"/>
      <c r="Q281"/>
      <c r="R281"/>
      <c r="S281"/>
      <c r="T281"/>
      <c r="U281"/>
      <c r="V281"/>
      <c r="W281"/>
      <c r="X281"/>
      <c r="Y281"/>
      <c r="Z281"/>
      <c r="AA281"/>
      <c r="AB281"/>
      <c r="AC281"/>
      <c r="AD281"/>
      <c r="AE281"/>
      <c r="AF281"/>
      <c r="AG281"/>
      <c r="AH281"/>
      <c r="AI281"/>
      <c r="AJ281"/>
      <c r="AK281"/>
      <c r="AL281"/>
    </row>
    <row r="282" spans="1:38" ht="15.75" customHeight="1" outlineLevel="3" x14ac:dyDescent="0.2">
      <c r="A282" s="10">
        <v>1</v>
      </c>
      <c r="B282" s="10" t="s">
        <v>71</v>
      </c>
      <c r="C282" s="10" t="s">
        <v>188</v>
      </c>
      <c r="D282" s="10" t="s">
        <v>188</v>
      </c>
      <c r="E282" s="11" t="str">
        <f t="array" ref="E282">_xlfn.XLOOKUP(D282,Insumos!B:B,Insumos!C:$C)</f>
        <v>M</v>
      </c>
      <c r="F282" s="14">
        <v>1</v>
      </c>
      <c r="G282" s="92">
        <f t="array" ref="G282">IF(B282="insumo",_xlfn.XLOOKUP($D282,Insumos!$B$1:$B$996,Insumos!$D$1:$D$996),"")</f>
        <v>166.66666666666669</v>
      </c>
      <c r="H282" s="92">
        <v>166.666666666667</v>
      </c>
      <c r="I282" s="13">
        <v>0</v>
      </c>
      <c r="J282" s="13">
        <v>0</v>
      </c>
      <c r="K282" s="13"/>
      <c r="L282"/>
      <c r="M282"/>
      <c r="N282"/>
      <c r="O282"/>
      <c r="P282"/>
      <c r="Q282"/>
      <c r="R282"/>
      <c r="S282"/>
      <c r="T282"/>
      <c r="U282"/>
      <c r="V282"/>
      <c r="W282"/>
      <c r="X282"/>
      <c r="Y282"/>
      <c r="Z282"/>
      <c r="AA282"/>
      <c r="AB282"/>
      <c r="AC282"/>
      <c r="AD282"/>
      <c r="AE282"/>
      <c r="AF282"/>
      <c r="AG282"/>
      <c r="AH282"/>
      <c r="AI282"/>
      <c r="AJ282"/>
      <c r="AK282"/>
      <c r="AL282"/>
    </row>
    <row r="283" spans="1:38" ht="15.75" customHeight="1" outlineLevel="2" x14ac:dyDescent="0.2">
      <c r="A283" s="1067">
        <v>1</v>
      </c>
      <c r="B283" s="1067" t="s">
        <v>68</v>
      </c>
      <c r="C283" s="1067" t="s">
        <v>189</v>
      </c>
      <c r="D283" s="1067" t="s">
        <v>189</v>
      </c>
      <c r="E283" s="1068" t="s">
        <v>113</v>
      </c>
      <c r="F283" s="1067"/>
      <c r="G283" s="1069" t="str">
        <f t="array" ref="G283">IF(B283="insumo",_xlfn.XLOOKUP($D283,Insumos!$B$1:$B$996,Insumos!$D$1:$D$996),"")</f>
        <v/>
      </c>
      <c r="H283" s="1069">
        <v>33</v>
      </c>
      <c r="I283" s="1070">
        <v>0</v>
      </c>
      <c r="J283" s="1070">
        <v>0</v>
      </c>
      <c r="K283" s="1070"/>
      <c r="L283"/>
      <c r="M283"/>
      <c r="N283"/>
      <c r="O283"/>
      <c r="P283"/>
      <c r="Q283"/>
      <c r="R283"/>
      <c r="S283"/>
      <c r="T283"/>
      <c r="U283"/>
      <c r="V283"/>
      <c r="W283"/>
      <c r="X283"/>
      <c r="Y283"/>
      <c r="Z283"/>
      <c r="AA283"/>
      <c r="AB283"/>
      <c r="AC283"/>
      <c r="AD283"/>
      <c r="AE283"/>
      <c r="AF283"/>
      <c r="AG283"/>
      <c r="AH283"/>
      <c r="AI283"/>
      <c r="AJ283"/>
      <c r="AK283"/>
      <c r="AL283"/>
    </row>
    <row r="284" spans="1:38" ht="15.75" customHeight="1" outlineLevel="3" x14ac:dyDescent="0.2">
      <c r="A284" s="10">
        <v>1</v>
      </c>
      <c r="B284" s="10" t="s">
        <v>71</v>
      </c>
      <c r="C284" s="10" t="s">
        <v>189</v>
      </c>
      <c r="D284" s="10" t="s">
        <v>190</v>
      </c>
      <c r="E284" s="11" t="str">
        <f t="array" ref="E284">_xlfn.XLOOKUP(D284,Insumos!B:B,Insumos!C:$C)</f>
        <v>M</v>
      </c>
      <c r="F284" s="14">
        <v>1</v>
      </c>
      <c r="G284" s="92">
        <f t="array" ref="G284">IF(B284="insumo",_xlfn.XLOOKUP($D284,Insumos!$B$1:$B$996,Insumos!$D$1:$D$996),"")</f>
        <v>33</v>
      </c>
      <c r="H284" s="92">
        <v>33</v>
      </c>
      <c r="I284" s="13">
        <v>0</v>
      </c>
      <c r="J284" s="13">
        <v>0</v>
      </c>
      <c r="K284" s="13"/>
      <c r="L284"/>
      <c r="M284"/>
      <c r="N284"/>
      <c r="O284"/>
      <c r="P284"/>
      <c r="Q284"/>
      <c r="R284"/>
      <c r="S284"/>
      <c r="T284"/>
      <c r="U284"/>
      <c r="V284"/>
      <c r="W284"/>
      <c r="X284"/>
      <c r="Y284"/>
      <c r="Z284"/>
      <c r="AA284"/>
      <c r="AB284"/>
      <c r="AC284"/>
      <c r="AD284"/>
      <c r="AE284"/>
      <c r="AF284"/>
      <c r="AG284"/>
      <c r="AH284"/>
      <c r="AI284"/>
      <c r="AJ284"/>
      <c r="AK284"/>
      <c r="AL284"/>
    </row>
    <row r="285" spans="1:38" ht="15.75" customHeight="1" outlineLevel="2" x14ac:dyDescent="0.2">
      <c r="A285" s="1067">
        <v>1</v>
      </c>
      <c r="B285" s="1067" t="s">
        <v>68</v>
      </c>
      <c r="C285" s="1067" t="s">
        <v>191</v>
      </c>
      <c r="D285" s="1067" t="s">
        <v>191</v>
      </c>
      <c r="E285" s="1068" t="s">
        <v>113</v>
      </c>
      <c r="F285" s="1067"/>
      <c r="G285" s="1069" t="str">
        <f t="array" ref="G285">IF(B285="insumo",_xlfn.XLOOKUP($D285,Insumos!$B$1:$B$996,Insumos!$D$1:$D$996),"")</f>
        <v/>
      </c>
      <c r="H285" s="1069">
        <v>39</v>
      </c>
      <c r="I285" s="1070">
        <v>0</v>
      </c>
      <c r="J285" s="1070">
        <v>0</v>
      </c>
      <c r="K285" s="1070"/>
      <c r="L285"/>
      <c r="M285"/>
      <c r="N285"/>
      <c r="O285"/>
      <c r="P285"/>
      <c r="Q285"/>
      <c r="R285"/>
      <c r="S285"/>
      <c r="T285"/>
      <c r="U285"/>
      <c r="V285"/>
      <c r="W285"/>
      <c r="X285"/>
      <c r="Y285"/>
      <c r="Z285"/>
      <c r="AA285"/>
      <c r="AB285"/>
      <c r="AC285"/>
      <c r="AD285"/>
      <c r="AE285"/>
      <c r="AF285"/>
      <c r="AG285"/>
      <c r="AH285"/>
      <c r="AI285"/>
      <c r="AJ285"/>
      <c r="AK285"/>
      <c r="AL285"/>
    </row>
    <row r="286" spans="1:38" ht="15.75" customHeight="1" outlineLevel="3" x14ac:dyDescent="0.2">
      <c r="A286" s="10">
        <v>2</v>
      </c>
      <c r="B286" s="10" t="s">
        <v>71</v>
      </c>
      <c r="C286" s="10" t="s">
        <v>191</v>
      </c>
      <c r="D286" s="10" t="s">
        <v>192</v>
      </c>
      <c r="E286" s="11" t="str">
        <f t="array" ref="E286">_xlfn.XLOOKUP(D286,Insumos!B:B,Insumos!C:$C)</f>
        <v>M</v>
      </c>
      <c r="F286" s="14">
        <v>1</v>
      </c>
      <c r="G286" s="92">
        <f t="array" ref="G286">IF(B286="insumo",_xlfn.XLOOKUP($D286,Insumos!$B$1:$B$996,Insumos!$D$1:$D$996),"")</f>
        <v>39</v>
      </c>
      <c r="H286" s="92">
        <v>39</v>
      </c>
      <c r="I286" s="13">
        <v>0</v>
      </c>
      <c r="J286" s="13">
        <v>0</v>
      </c>
      <c r="K286" s="13"/>
      <c r="L286"/>
      <c r="M286"/>
      <c r="N286"/>
      <c r="O286"/>
      <c r="P286"/>
      <c r="Q286"/>
      <c r="R286"/>
      <c r="S286"/>
      <c r="T286"/>
      <c r="U286"/>
      <c r="V286"/>
      <c r="W286"/>
      <c r="X286"/>
      <c r="Y286"/>
      <c r="Z286"/>
      <c r="AA286"/>
      <c r="AB286"/>
      <c r="AC286"/>
      <c r="AD286"/>
      <c r="AE286"/>
      <c r="AF286"/>
      <c r="AG286"/>
      <c r="AH286"/>
      <c r="AI286"/>
      <c r="AJ286"/>
      <c r="AK286"/>
      <c r="AL286"/>
    </row>
    <row r="287" spans="1:38" ht="12.75" outlineLevel="2" x14ac:dyDescent="0.2">
      <c r="A287" s="1071">
        <v>1</v>
      </c>
      <c r="B287" s="1071" t="s">
        <v>68</v>
      </c>
      <c r="C287" s="1071" t="s">
        <v>1742</v>
      </c>
      <c r="D287" s="1071" t="s">
        <v>1742</v>
      </c>
      <c r="E287" s="1072" t="s">
        <v>113</v>
      </c>
      <c r="F287" s="1071"/>
      <c r="G287" s="1073" t="str">
        <f t="array" ref="G287">IF(B287="insumo",_xlfn.XLOOKUP($D287,Insumos!$B$1:$B$996,Insumos!$D$1:$D$996),"")</f>
        <v/>
      </c>
      <c r="H287" s="1073">
        <v>52.8</v>
      </c>
      <c r="I287" s="1074">
        <v>0</v>
      </c>
      <c r="J287" s="1074">
        <v>0</v>
      </c>
      <c r="K287" s="1074"/>
      <c r="L287"/>
      <c r="M287"/>
      <c r="N287"/>
      <c r="O287"/>
      <c r="P287"/>
      <c r="Q287"/>
      <c r="R287"/>
      <c r="S287"/>
      <c r="T287"/>
      <c r="U287"/>
      <c r="V287"/>
      <c r="W287"/>
      <c r="X287"/>
      <c r="Y287"/>
      <c r="Z287"/>
      <c r="AA287"/>
      <c r="AB287"/>
      <c r="AC287"/>
      <c r="AD287"/>
      <c r="AE287"/>
      <c r="AF287"/>
      <c r="AG287"/>
      <c r="AH287"/>
      <c r="AI287"/>
      <c r="AJ287"/>
      <c r="AK287"/>
      <c r="AL287"/>
    </row>
    <row r="288" spans="1:38" ht="12.75" outlineLevel="3" x14ac:dyDescent="0.2">
      <c r="A288" s="82">
        <v>2</v>
      </c>
      <c r="B288" s="82" t="s">
        <v>71</v>
      </c>
      <c r="C288" s="82" t="s">
        <v>1742</v>
      </c>
      <c r="D288" s="82" t="s">
        <v>1743</v>
      </c>
      <c r="E288" s="11" t="str">
        <f t="array" ref="E288">_xlfn.XLOOKUP(D288,Insumos!B:B,Insumos!C:$C)</f>
        <v>M</v>
      </c>
      <c r="F288" s="86">
        <v>1</v>
      </c>
      <c r="G288" s="92">
        <f t="array" ref="G288">IF(B288="insumo",_xlfn.XLOOKUP($D288,Insumos!$B$1:$B$996,Insumos!$D$1:$D$996),"")</f>
        <v>52.800000000000004</v>
      </c>
      <c r="H288" s="92">
        <v>52.8</v>
      </c>
      <c r="I288" s="84">
        <v>0</v>
      </c>
      <c r="J288" s="84">
        <v>0</v>
      </c>
      <c r="K288" s="84"/>
      <c r="L288"/>
      <c r="M288"/>
      <c r="N288"/>
      <c r="O288"/>
      <c r="P288"/>
      <c r="Q288"/>
      <c r="R288"/>
      <c r="S288"/>
      <c r="T288"/>
      <c r="U288"/>
      <c r="V288"/>
      <c r="W288"/>
      <c r="X288"/>
      <c r="Y288"/>
      <c r="Z288"/>
      <c r="AA288"/>
      <c r="AB288"/>
      <c r="AC288"/>
      <c r="AD288"/>
      <c r="AE288"/>
      <c r="AF288"/>
      <c r="AG288"/>
      <c r="AH288"/>
      <c r="AI288"/>
      <c r="AJ288"/>
      <c r="AK288"/>
      <c r="AL288"/>
    </row>
    <row r="289" spans="1:38" ht="12.75" outlineLevel="2" x14ac:dyDescent="0.2">
      <c r="A289" s="1071">
        <v>1</v>
      </c>
      <c r="B289" s="1071" t="s">
        <v>68</v>
      </c>
      <c r="C289" s="1071" t="s">
        <v>1744</v>
      </c>
      <c r="D289" s="1071" t="s">
        <v>1744</v>
      </c>
      <c r="E289" s="1072" t="s">
        <v>113</v>
      </c>
      <c r="F289" s="1071"/>
      <c r="G289" s="1073" t="str">
        <f t="array" ref="G289">IF(B289="insumo",_xlfn.XLOOKUP($D289,Insumos!$B$1:$B$996,Insumos!$D$1:$D$996),"")</f>
        <v/>
      </c>
      <c r="H289" s="1073">
        <v>66</v>
      </c>
      <c r="I289" s="1074">
        <v>0</v>
      </c>
      <c r="J289" s="1074">
        <v>0</v>
      </c>
      <c r="K289" s="1074"/>
      <c r="L289"/>
      <c r="M289"/>
      <c r="N289"/>
      <c r="O289"/>
      <c r="P289"/>
      <c r="Q289"/>
      <c r="R289"/>
      <c r="S289"/>
      <c r="T289"/>
      <c r="U289"/>
      <c r="V289"/>
      <c r="W289"/>
      <c r="X289"/>
      <c r="Y289"/>
      <c r="Z289"/>
      <c r="AA289"/>
      <c r="AB289"/>
      <c r="AC289"/>
      <c r="AD289"/>
      <c r="AE289"/>
      <c r="AF289"/>
      <c r="AG289"/>
      <c r="AH289"/>
      <c r="AI289"/>
      <c r="AJ289"/>
      <c r="AK289"/>
      <c r="AL289"/>
    </row>
    <row r="290" spans="1:38" ht="15.75" customHeight="1" outlineLevel="3" x14ac:dyDescent="0.2">
      <c r="A290" s="10">
        <v>1</v>
      </c>
      <c r="B290" s="10" t="s">
        <v>71</v>
      </c>
      <c r="C290" s="10" t="s">
        <v>1744</v>
      </c>
      <c r="D290" s="10" t="s">
        <v>1745</v>
      </c>
      <c r="E290" s="11" t="str">
        <f t="array" ref="E290">_xlfn.XLOOKUP(D290,Insumos!B:B,Insumos!C:$C)</f>
        <v>M</v>
      </c>
      <c r="F290" s="14">
        <v>1</v>
      </c>
      <c r="G290" s="92">
        <f t="array" ref="G290">IF(B290="insumo",_xlfn.XLOOKUP($D290,Insumos!$B$1:$B$996,Insumos!$D$1:$D$996),"")</f>
        <v>66</v>
      </c>
      <c r="H290" s="92">
        <v>66</v>
      </c>
      <c r="I290" s="13">
        <v>0</v>
      </c>
      <c r="J290" s="13">
        <v>0</v>
      </c>
      <c r="K290" s="13"/>
      <c r="L290"/>
      <c r="M290"/>
      <c r="N290"/>
      <c r="O290"/>
      <c r="P290"/>
      <c r="Q290"/>
      <c r="R290"/>
      <c r="S290"/>
      <c r="T290"/>
      <c r="U290"/>
      <c r="V290"/>
      <c r="W290"/>
      <c r="X290"/>
      <c r="Y290"/>
      <c r="Z290"/>
      <c r="AA290"/>
      <c r="AB290"/>
      <c r="AC290"/>
      <c r="AD290"/>
      <c r="AE290"/>
      <c r="AF290"/>
      <c r="AG290"/>
      <c r="AH290"/>
      <c r="AI290"/>
      <c r="AJ290"/>
      <c r="AK290"/>
      <c r="AL290"/>
    </row>
    <row r="291" spans="1:38" ht="12.75" outlineLevel="2" x14ac:dyDescent="0.2">
      <c r="A291" s="1071">
        <v>1</v>
      </c>
      <c r="B291" s="1071" t="s">
        <v>68</v>
      </c>
      <c r="C291" s="1071" t="s">
        <v>1746</v>
      </c>
      <c r="D291" s="1071" t="s">
        <v>1746</v>
      </c>
      <c r="E291" s="1072" t="s">
        <v>113</v>
      </c>
      <c r="F291" s="1071"/>
      <c r="G291" s="1073" t="str">
        <f t="array" ref="G291">IF(B291="insumo",_xlfn.XLOOKUP($D291,Insumos!$B$1:$B$996,Insumos!$D$1:$D$996),"")</f>
        <v/>
      </c>
      <c r="H291" s="1073">
        <v>79.2</v>
      </c>
      <c r="I291" s="1074">
        <v>0</v>
      </c>
      <c r="J291" s="1074">
        <v>0</v>
      </c>
      <c r="K291" s="1074"/>
      <c r="L291"/>
      <c r="M291"/>
      <c r="N291"/>
      <c r="O291"/>
      <c r="P291"/>
      <c r="Q291"/>
      <c r="R291"/>
      <c r="S291"/>
      <c r="T291"/>
      <c r="U291"/>
      <c r="V291"/>
      <c r="W291"/>
      <c r="X291"/>
      <c r="Y291"/>
      <c r="Z291"/>
      <c r="AA291"/>
      <c r="AB291"/>
      <c r="AC291"/>
      <c r="AD291"/>
      <c r="AE291"/>
      <c r="AF291"/>
      <c r="AG291"/>
      <c r="AH291"/>
      <c r="AI291"/>
      <c r="AJ291"/>
      <c r="AK291"/>
      <c r="AL291"/>
    </row>
    <row r="292" spans="1:38" ht="15.75" customHeight="1" outlineLevel="3" x14ac:dyDescent="0.2">
      <c r="A292" s="10">
        <v>1</v>
      </c>
      <c r="B292" s="10" t="s">
        <v>71</v>
      </c>
      <c r="C292" s="10" t="s">
        <v>1746</v>
      </c>
      <c r="D292" s="10" t="s">
        <v>1747</v>
      </c>
      <c r="E292" s="11" t="str">
        <f t="array" ref="E292">_xlfn.XLOOKUP(D292,Insumos!B:B,Insumos!C:$C)</f>
        <v>M</v>
      </c>
      <c r="F292" s="14">
        <v>1</v>
      </c>
      <c r="G292" s="92">
        <f t="array" ref="G292">IF(B292="insumo",_xlfn.XLOOKUP($D292,Insumos!$B$1:$B$996,Insumos!$D$1:$D$996),"")</f>
        <v>79.2</v>
      </c>
      <c r="H292" s="92">
        <v>79.2</v>
      </c>
      <c r="I292" s="13">
        <v>0</v>
      </c>
      <c r="J292" s="13">
        <v>0</v>
      </c>
      <c r="K292" s="13"/>
      <c r="L292"/>
      <c r="M292"/>
      <c r="N292"/>
      <c r="O292"/>
      <c r="P292"/>
      <c r="Q292"/>
      <c r="R292"/>
      <c r="S292"/>
      <c r="T292"/>
      <c r="U292"/>
      <c r="V292"/>
      <c r="W292"/>
      <c r="X292"/>
      <c r="Y292"/>
      <c r="Z292"/>
      <c r="AA292"/>
      <c r="AB292"/>
      <c r="AC292"/>
      <c r="AD292"/>
      <c r="AE292"/>
      <c r="AF292"/>
      <c r="AG292"/>
      <c r="AH292"/>
      <c r="AI292"/>
      <c r="AJ292"/>
      <c r="AK292"/>
      <c r="AL292"/>
    </row>
    <row r="293" spans="1:38" ht="12.75" outlineLevel="2" x14ac:dyDescent="0.2">
      <c r="A293" s="1071">
        <v>1</v>
      </c>
      <c r="B293" s="1071" t="s">
        <v>68</v>
      </c>
      <c r="C293" s="1071" t="s">
        <v>1748</v>
      </c>
      <c r="D293" s="1071" t="s">
        <v>1748</v>
      </c>
      <c r="E293" s="1072" t="s">
        <v>113</v>
      </c>
      <c r="F293" s="1071"/>
      <c r="G293" s="1073" t="str">
        <f t="array" ref="G293">IF(B293="insumo",_xlfn.XLOOKUP($D293,Insumos!$B$1:$B$996,Insumos!$D$1:$D$996),"")</f>
        <v/>
      </c>
      <c r="H293" s="1073">
        <v>92.4</v>
      </c>
      <c r="I293" s="1074">
        <v>0</v>
      </c>
      <c r="J293" s="1074">
        <v>0</v>
      </c>
      <c r="K293" s="1074"/>
      <c r="L293"/>
      <c r="M293"/>
      <c r="N293"/>
      <c r="O293"/>
      <c r="P293"/>
      <c r="Q293"/>
      <c r="R293"/>
      <c r="S293"/>
      <c r="T293"/>
      <c r="U293"/>
      <c r="V293"/>
      <c r="W293"/>
      <c r="X293"/>
      <c r="Y293"/>
      <c r="Z293"/>
      <c r="AA293"/>
      <c r="AB293"/>
      <c r="AC293"/>
      <c r="AD293"/>
      <c r="AE293"/>
      <c r="AF293"/>
      <c r="AG293"/>
      <c r="AH293"/>
      <c r="AI293"/>
      <c r="AJ293"/>
      <c r="AK293"/>
      <c r="AL293"/>
    </row>
    <row r="294" spans="1:38" ht="15.75" customHeight="1" outlineLevel="3" x14ac:dyDescent="0.2">
      <c r="A294" s="10">
        <v>1</v>
      </c>
      <c r="B294" s="10" t="s">
        <v>71</v>
      </c>
      <c r="C294" s="10" t="s">
        <v>1748</v>
      </c>
      <c r="D294" s="10" t="s">
        <v>1749</v>
      </c>
      <c r="E294" s="11" t="str">
        <f t="array" ref="E294">_xlfn.XLOOKUP(D294,Insumos!B:B,Insumos!C:$C)</f>
        <v>M</v>
      </c>
      <c r="F294" s="14">
        <v>1</v>
      </c>
      <c r="G294" s="92">
        <f t="array" ref="G294">IF(B294="insumo",_xlfn.XLOOKUP($D294,Insumos!$B$1:$B$996,Insumos!$D$1:$D$996),"")</f>
        <v>92.4</v>
      </c>
      <c r="H294" s="92">
        <v>92.4</v>
      </c>
      <c r="I294" s="13">
        <v>0</v>
      </c>
      <c r="J294" s="13">
        <v>0</v>
      </c>
      <c r="K294" s="13"/>
      <c r="L294"/>
      <c r="M294"/>
      <c r="N294"/>
      <c r="O294"/>
      <c r="P294"/>
      <c r="Q294"/>
      <c r="R294"/>
      <c r="S294"/>
      <c r="T294"/>
      <c r="U294"/>
      <c r="V294"/>
      <c r="W294"/>
      <c r="X294"/>
      <c r="Y294"/>
      <c r="Z294"/>
      <c r="AA294"/>
      <c r="AB294"/>
      <c r="AC294"/>
      <c r="AD294"/>
      <c r="AE294"/>
      <c r="AF294"/>
      <c r="AG294"/>
      <c r="AH294"/>
      <c r="AI294"/>
      <c r="AJ294"/>
      <c r="AK294"/>
      <c r="AL294"/>
    </row>
    <row r="295" spans="1:38" ht="12.75" outlineLevel="2" x14ac:dyDescent="0.2">
      <c r="A295" s="1071">
        <v>1</v>
      </c>
      <c r="B295" s="1071" t="s">
        <v>68</v>
      </c>
      <c r="C295" s="1071" t="s">
        <v>1750</v>
      </c>
      <c r="D295" s="1071" t="s">
        <v>1750</v>
      </c>
      <c r="E295" s="1072" t="s">
        <v>113</v>
      </c>
      <c r="F295" s="1071"/>
      <c r="G295" s="1073" t="str">
        <f t="array" ref="G295">IF(B295="insumo",_xlfn.XLOOKUP($D295,Insumos!$B$1:$B$996,Insumos!$D$1:$D$996),"")</f>
        <v/>
      </c>
      <c r="H295" s="1073">
        <v>105.6</v>
      </c>
      <c r="I295" s="1074">
        <v>0</v>
      </c>
      <c r="J295" s="1074">
        <v>0</v>
      </c>
      <c r="K295" s="1074"/>
      <c r="L295"/>
      <c r="M295"/>
      <c r="N295"/>
      <c r="O295"/>
      <c r="P295"/>
      <c r="Q295"/>
      <c r="R295"/>
      <c r="S295"/>
      <c r="T295"/>
      <c r="U295"/>
      <c r="V295"/>
      <c r="W295"/>
      <c r="X295"/>
      <c r="Y295"/>
      <c r="Z295"/>
      <c r="AA295"/>
      <c r="AB295"/>
      <c r="AC295"/>
      <c r="AD295"/>
      <c r="AE295"/>
      <c r="AF295"/>
      <c r="AG295"/>
      <c r="AH295"/>
      <c r="AI295"/>
      <c r="AJ295"/>
      <c r="AK295"/>
      <c r="AL295"/>
    </row>
    <row r="296" spans="1:38" ht="15.75" customHeight="1" outlineLevel="3" x14ac:dyDescent="0.2">
      <c r="A296" s="10">
        <v>1</v>
      </c>
      <c r="B296" s="10" t="s">
        <v>71</v>
      </c>
      <c r="C296" s="10" t="s">
        <v>1750</v>
      </c>
      <c r="D296" s="10" t="s">
        <v>1751</v>
      </c>
      <c r="E296" s="11" t="str">
        <f t="array" ref="E296">_xlfn.XLOOKUP(D296,Insumos!B:B,Insumos!C:$C)</f>
        <v>M</v>
      </c>
      <c r="F296" s="14">
        <v>1</v>
      </c>
      <c r="G296" s="92">
        <f t="array" ref="G296">IF(B296="insumo",_xlfn.XLOOKUP($D296,Insumos!$B$1:$B$996,Insumos!$D$1:$D$996),"")</f>
        <v>105.60000000000001</v>
      </c>
      <c r="H296" s="92">
        <v>105.6</v>
      </c>
      <c r="I296" s="13">
        <v>0</v>
      </c>
      <c r="J296" s="13">
        <v>0</v>
      </c>
      <c r="K296" s="13"/>
      <c r="L296"/>
      <c r="M296"/>
      <c r="N296"/>
      <c r="O296"/>
      <c r="P296"/>
      <c r="Q296"/>
      <c r="R296"/>
      <c r="S296"/>
      <c r="T296"/>
      <c r="U296"/>
      <c r="V296"/>
      <c r="W296"/>
      <c r="X296"/>
      <c r="Y296"/>
      <c r="Z296"/>
      <c r="AA296"/>
      <c r="AB296"/>
      <c r="AC296"/>
      <c r="AD296"/>
      <c r="AE296"/>
      <c r="AF296"/>
      <c r="AG296"/>
      <c r="AH296"/>
      <c r="AI296"/>
      <c r="AJ296"/>
      <c r="AK296"/>
      <c r="AL296"/>
    </row>
    <row r="297" spans="1:38" ht="12.75" outlineLevel="2" x14ac:dyDescent="0.2">
      <c r="A297" s="1071">
        <v>1</v>
      </c>
      <c r="B297" s="1071" t="s">
        <v>68</v>
      </c>
      <c r="C297" s="1071" t="s">
        <v>1754</v>
      </c>
      <c r="D297" s="1071" t="s">
        <v>1754</v>
      </c>
      <c r="E297" s="1072" t="s">
        <v>194</v>
      </c>
      <c r="F297" s="1071"/>
      <c r="G297" s="1073" t="str">
        <f t="array" ref="G297">IF(B297="insumo",_xlfn.XLOOKUP($D297,Insumos!$B$1:$B$996,Insumos!$D$1:$D$996),"")</f>
        <v/>
      </c>
      <c r="H297" s="1073">
        <v>24442.014536566599</v>
      </c>
      <c r="I297" s="1074">
        <v>1</v>
      </c>
      <c r="J297" s="1074">
        <v>24442.014536566599</v>
      </c>
      <c r="K297" s="1074"/>
      <c r="L297"/>
      <c r="M297"/>
      <c r="N297"/>
      <c r="O297"/>
      <c r="P297"/>
      <c r="Q297"/>
      <c r="R297"/>
      <c r="S297"/>
      <c r="T297"/>
      <c r="U297"/>
      <c r="V297"/>
      <c r="W297"/>
      <c r="X297"/>
      <c r="Y297"/>
      <c r="Z297"/>
      <c r="AA297"/>
      <c r="AB297"/>
      <c r="AC297"/>
      <c r="AD297"/>
      <c r="AE297"/>
      <c r="AF297"/>
      <c r="AG297"/>
      <c r="AH297"/>
      <c r="AI297"/>
      <c r="AJ297"/>
      <c r="AK297"/>
      <c r="AL297"/>
    </row>
    <row r="298" spans="1:38" ht="15.75" customHeight="1" outlineLevel="3" x14ac:dyDescent="0.2">
      <c r="A298" s="10">
        <v>1</v>
      </c>
      <c r="B298" s="10" t="s">
        <v>71</v>
      </c>
      <c r="C298" s="10" t="s">
        <v>1754</v>
      </c>
      <c r="D298" s="10" t="s">
        <v>1754</v>
      </c>
      <c r="E298" s="11" t="str">
        <f t="array" ref="E298">_xlfn.XLOOKUP(D298,Insumos!B:B,Insumos!C:$C)</f>
        <v>VB</v>
      </c>
      <c r="F298" s="14">
        <v>1</v>
      </c>
      <c r="G298" s="92">
        <f t="array" ref="G298">IF(B298="insumo",_xlfn.XLOOKUP($D298,Insumos!$B$1:$B$996,Insumos!$D$1:$D$996),"")</f>
        <v>24442.014536566567</v>
      </c>
      <c r="H298" s="92">
        <v>24442.014536566599</v>
      </c>
      <c r="I298" s="13">
        <v>1</v>
      </c>
      <c r="J298" s="13">
        <v>24442.014536566599</v>
      </c>
      <c r="K298" s="13"/>
      <c r="L298"/>
      <c r="M298"/>
      <c r="N298"/>
      <c r="O298"/>
      <c r="P298"/>
      <c r="Q298"/>
      <c r="R298"/>
      <c r="S298"/>
      <c r="T298"/>
      <c r="U298"/>
      <c r="V298"/>
      <c r="W298"/>
      <c r="X298"/>
      <c r="Y298"/>
      <c r="Z298"/>
      <c r="AA298"/>
      <c r="AB298"/>
      <c r="AC298"/>
      <c r="AD298"/>
      <c r="AE298"/>
      <c r="AF298"/>
      <c r="AG298"/>
      <c r="AH298"/>
      <c r="AI298"/>
      <c r="AJ298"/>
      <c r="AK298"/>
      <c r="AL298"/>
    </row>
    <row r="299" spans="1:38" ht="15.75" customHeight="1" outlineLevel="2" x14ac:dyDescent="0.2">
      <c r="A299" s="1067">
        <v>1</v>
      </c>
      <c r="B299" s="1067" t="s">
        <v>68</v>
      </c>
      <c r="C299" s="1067" t="s">
        <v>193</v>
      </c>
      <c r="D299" s="1067" t="s">
        <v>193</v>
      </c>
      <c r="E299" s="1068" t="s">
        <v>194</v>
      </c>
      <c r="F299" s="1067"/>
      <c r="G299" s="1069" t="str">
        <f t="array" ref="G299">IF(B299="insumo",_xlfn.XLOOKUP($D299,Insumos!$B$1:$B$996,Insumos!$D$1:$D$996),"")</f>
        <v/>
      </c>
      <c r="H299" s="1069">
        <v>18500</v>
      </c>
      <c r="I299" s="1070">
        <v>0</v>
      </c>
      <c r="J299" s="1070">
        <v>0</v>
      </c>
      <c r="K299" s="1070"/>
      <c r="L299"/>
      <c r="M299"/>
      <c r="N299"/>
      <c r="O299"/>
      <c r="P299"/>
      <c r="Q299"/>
      <c r="R299"/>
      <c r="S299"/>
      <c r="T299"/>
      <c r="U299"/>
      <c r="V299"/>
      <c r="W299"/>
      <c r="X299"/>
      <c r="Y299"/>
      <c r="Z299"/>
      <c r="AA299"/>
      <c r="AB299"/>
      <c r="AC299"/>
      <c r="AD299"/>
      <c r="AE299"/>
      <c r="AF299"/>
      <c r="AG299"/>
      <c r="AH299"/>
      <c r="AI299"/>
      <c r="AJ299"/>
      <c r="AK299"/>
      <c r="AL299"/>
    </row>
    <row r="300" spans="1:38" ht="15.75" customHeight="1" outlineLevel="3" x14ac:dyDescent="0.2">
      <c r="A300" s="10">
        <v>1</v>
      </c>
      <c r="B300" s="10" t="s">
        <v>71</v>
      </c>
      <c r="C300" s="10" t="s">
        <v>193</v>
      </c>
      <c r="D300" s="10" t="s">
        <v>193</v>
      </c>
      <c r="E300" s="11" t="str">
        <f t="array" ref="E300">_xlfn.XLOOKUP(D300,Insumos!B:B,Insumos!C:$C)</f>
        <v>VB</v>
      </c>
      <c r="F300" s="14">
        <v>1</v>
      </c>
      <c r="G300" s="92">
        <f t="array" ref="G300">IF(B300="insumo",_xlfn.XLOOKUP($D300,Insumos!$B$1:$B$996,Insumos!$D$1:$D$996),"")</f>
        <v>18500</v>
      </c>
      <c r="H300" s="92">
        <v>18500</v>
      </c>
      <c r="I300" s="13">
        <v>0</v>
      </c>
      <c r="J300" s="13">
        <v>0</v>
      </c>
      <c r="K300" s="13"/>
      <c r="L300"/>
      <c r="M300"/>
      <c r="N300"/>
      <c r="O300"/>
      <c r="P300"/>
      <c r="Q300"/>
      <c r="R300"/>
      <c r="S300"/>
      <c r="T300"/>
      <c r="U300"/>
      <c r="V300"/>
      <c r="W300"/>
      <c r="X300"/>
      <c r="Y300"/>
      <c r="Z300"/>
      <c r="AA300"/>
      <c r="AB300"/>
      <c r="AC300"/>
      <c r="AD300"/>
      <c r="AE300"/>
      <c r="AF300"/>
      <c r="AG300"/>
      <c r="AH300"/>
      <c r="AI300"/>
      <c r="AJ300"/>
      <c r="AK300"/>
      <c r="AL300"/>
    </row>
    <row r="301" spans="1:38" ht="15.75" customHeight="1" outlineLevel="2" x14ac:dyDescent="0.2">
      <c r="A301" s="1067">
        <v>1</v>
      </c>
      <c r="B301" s="1067" t="s">
        <v>68</v>
      </c>
      <c r="C301" s="1067" t="s">
        <v>195</v>
      </c>
      <c r="D301" s="1067" t="s">
        <v>195</v>
      </c>
      <c r="E301" s="1068" t="s">
        <v>194</v>
      </c>
      <c r="F301" s="1067"/>
      <c r="G301" s="1069" t="str">
        <f t="array" ref="G301">IF(B301="insumo",_xlfn.XLOOKUP($D301,Insumos!$B$1:$B$996,Insumos!$D$1:$D$996),"")</f>
        <v/>
      </c>
      <c r="H301" s="1069">
        <v>26000</v>
      </c>
      <c r="I301" s="1070">
        <v>0</v>
      </c>
      <c r="J301" s="1070">
        <v>0</v>
      </c>
      <c r="K301" s="1070"/>
      <c r="L301"/>
      <c r="M301"/>
      <c r="N301"/>
      <c r="O301"/>
      <c r="P301"/>
      <c r="Q301"/>
      <c r="R301"/>
      <c r="S301"/>
      <c r="T301"/>
      <c r="U301"/>
      <c r="V301"/>
      <c r="W301"/>
      <c r="X301"/>
      <c r="Y301"/>
      <c r="Z301"/>
      <c r="AA301"/>
      <c r="AB301"/>
      <c r="AC301"/>
      <c r="AD301"/>
      <c r="AE301"/>
      <c r="AF301"/>
      <c r="AG301"/>
      <c r="AH301"/>
      <c r="AI301"/>
      <c r="AJ301"/>
      <c r="AK301"/>
      <c r="AL301"/>
    </row>
    <row r="302" spans="1:38" ht="15.75" customHeight="1" outlineLevel="3" x14ac:dyDescent="0.2">
      <c r="A302" s="10">
        <v>1</v>
      </c>
      <c r="B302" s="10" t="s">
        <v>71</v>
      </c>
      <c r="C302" s="10" t="s">
        <v>195</v>
      </c>
      <c r="D302" s="10" t="s">
        <v>195</v>
      </c>
      <c r="E302" s="11" t="str">
        <f t="array" ref="E302">_xlfn.XLOOKUP(D302,Insumos!B:B,Insumos!C:$C)</f>
        <v>VB</v>
      </c>
      <c r="F302" s="14">
        <v>1</v>
      </c>
      <c r="G302" s="92">
        <f t="array" ref="G302">IF(B302="insumo",_xlfn.XLOOKUP($D302,Insumos!$B$1:$B$996,Insumos!$D$1:$D$996),"")</f>
        <v>26000</v>
      </c>
      <c r="H302" s="92">
        <v>26000</v>
      </c>
      <c r="I302" s="13">
        <v>0</v>
      </c>
      <c r="J302" s="13">
        <v>0</v>
      </c>
      <c r="K302" s="13"/>
      <c r="L302"/>
      <c r="M302"/>
      <c r="N302"/>
      <c r="O302"/>
      <c r="P302"/>
      <c r="Q302"/>
      <c r="R302"/>
      <c r="S302"/>
      <c r="T302"/>
      <c r="U302"/>
      <c r="V302"/>
      <c r="W302"/>
      <c r="X302"/>
      <c r="Y302"/>
      <c r="Z302"/>
      <c r="AA302"/>
      <c r="AB302"/>
      <c r="AC302"/>
      <c r="AD302"/>
      <c r="AE302"/>
      <c r="AF302"/>
      <c r="AG302"/>
      <c r="AH302"/>
      <c r="AI302"/>
      <c r="AJ302"/>
      <c r="AK302"/>
      <c r="AL302"/>
    </row>
    <row r="303" spans="1:38" ht="15.75" customHeight="1" outlineLevel="1" x14ac:dyDescent="0.2">
      <c r="A303" s="1090">
        <v>4</v>
      </c>
      <c r="B303" s="1090" t="s">
        <v>1228</v>
      </c>
      <c r="C303" s="1090" t="s">
        <v>195</v>
      </c>
      <c r="D303" s="1090" t="s">
        <v>1739</v>
      </c>
      <c r="E303" s="1091"/>
      <c r="F303" s="1092"/>
      <c r="G303" s="1091"/>
      <c r="H303" s="1091">
        <v>0</v>
      </c>
      <c r="I303" s="1092">
        <v>0</v>
      </c>
      <c r="J303" s="1092">
        <v>0</v>
      </c>
      <c r="K303" s="1092"/>
      <c r="L303"/>
      <c r="M303"/>
      <c r="N303"/>
      <c r="O303"/>
      <c r="P303"/>
      <c r="Q303"/>
      <c r="R303"/>
      <c r="S303"/>
      <c r="T303"/>
      <c r="U303"/>
      <c r="V303"/>
      <c r="W303"/>
      <c r="X303"/>
      <c r="Y303"/>
      <c r="Z303"/>
      <c r="AA303"/>
      <c r="AB303"/>
      <c r="AC303"/>
      <c r="AD303"/>
      <c r="AE303"/>
      <c r="AF303"/>
      <c r="AG303"/>
      <c r="AH303"/>
      <c r="AI303"/>
      <c r="AJ303"/>
      <c r="AK303"/>
      <c r="AL303"/>
    </row>
    <row r="304" spans="1:38" ht="15.75" customHeight="1" outlineLevel="2" x14ac:dyDescent="0.2">
      <c r="A304" s="1067">
        <v>1</v>
      </c>
      <c r="B304" s="1067" t="s">
        <v>68</v>
      </c>
      <c r="C304" s="1067" t="s">
        <v>196</v>
      </c>
      <c r="D304" s="1067" t="s">
        <v>196</v>
      </c>
      <c r="E304" s="1068" t="s">
        <v>197</v>
      </c>
      <c r="F304" s="1067"/>
      <c r="G304" s="1069" t="str">
        <f t="array" ref="G304">IF(B304="insumo",_xlfn.XLOOKUP($D304,Insumos!$B$1:$B$996,Insumos!$D$1:$D$996),"")</f>
        <v/>
      </c>
      <c r="H304" s="1069">
        <v>302.92200000000003</v>
      </c>
      <c r="I304" s="1070">
        <v>0</v>
      </c>
      <c r="J304" s="1070">
        <v>0</v>
      </c>
      <c r="K304" s="1070"/>
      <c r="L304"/>
      <c r="M304"/>
      <c r="N304"/>
      <c r="O304"/>
      <c r="P304"/>
      <c r="Q304"/>
      <c r="R304"/>
      <c r="S304"/>
      <c r="T304"/>
      <c r="U304"/>
      <c r="V304"/>
      <c r="W304"/>
      <c r="X304"/>
      <c r="Y304"/>
      <c r="Z304"/>
      <c r="AA304"/>
      <c r="AB304"/>
      <c r="AC304"/>
      <c r="AD304"/>
      <c r="AE304"/>
      <c r="AF304"/>
      <c r="AG304"/>
      <c r="AH304"/>
      <c r="AI304"/>
      <c r="AJ304"/>
      <c r="AK304"/>
      <c r="AL304"/>
    </row>
    <row r="305" spans="1:38" ht="15.75" customHeight="1" outlineLevel="3" x14ac:dyDescent="0.2">
      <c r="A305" s="10">
        <v>1</v>
      </c>
      <c r="B305" s="10" t="s">
        <v>71</v>
      </c>
      <c r="C305" s="10" t="s">
        <v>196</v>
      </c>
      <c r="D305" s="10" t="s">
        <v>198</v>
      </c>
      <c r="E305" s="11" t="str">
        <f t="array" ref="E305">_xlfn.XLOOKUP(D305,Insumos!B:B,Insumos!C:$C)</f>
        <v>KG</v>
      </c>
      <c r="F305" s="14">
        <v>1</v>
      </c>
      <c r="G305" s="92">
        <f t="array" ref="G305">IF(B305="insumo",_xlfn.XLOOKUP($D305,Insumos!$B$1:$B$996,Insumos!$D$1:$D$996),"")</f>
        <v>302.92200000000003</v>
      </c>
      <c r="H305" s="92">
        <v>302.92200000000003</v>
      </c>
      <c r="I305" s="13">
        <v>0</v>
      </c>
      <c r="J305" s="13">
        <v>0</v>
      </c>
      <c r="K305" s="13"/>
      <c r="L305"/>
      <c r="M305"/>
      <c r="N305"/>
      <c r="O305"/>
      <c r="P305"/>
      <c r="Q305"/>
      <c r="R305"/>
      <c r="S305"/>
      <c r="T305"/>
      <c r="U305"/>
      <c r="V305"/>
      <c r="W305"/>
      <c r="X305"/>
      <c r="Y305"/>
      <c r="Z305"/>
      <c r="AA305"/>
      <c r="AB305"/>
      <c r="AC305"/>
      <c r="AD305"/>
      <c r="AE305"/>
      <c r="AF305"/>
      <c r="AG305"/>
      <c r="AH305"/>
      <c r="AI305"/>
      <c r="AJ305"/>
      <c r="AK305"/>
      <c r="AL305"/>
    </row>
    <row r="306" spans="1:38" ht="15.75" customHeight="1" outlineLevel="2" x14ac:dyDescent="0.2">
      <c r="A306" s="1067">
        <v>1</v>
      </c>
      <c r="B306" s="1067" t="s">
        <v>68</v>
      </c>
      <c r="C306" s="1067" t="s">
        <v>199</v>
      </c>
      <c r="D306" s="1067" t="s">
        <v>199</v>
      </c>
      <c r="E306" s="1068" t="s">
        <v>197</v>
      </c>
      <c r="F306" s="1067"/>
      <c r="G306" s="1069" t="str">
        <f t="array" ref="G306">IF(B306="insumo",_xlfn.XLOOKUP($D306,Insumos!$B$1:$B$996,Insumos!$D$1:$D$996),"")</f>
        <v/>
      </c>
      <c r="H306" s="1069">
        <v>466.33699999999999</v>
      </c>
      <c r="I306" s="1070">
        <v>0</v>
      </c>
      <c r="J306" s="1070">
        <v>0</v>
      </c>
      <c r="K306" s="1070"/>
      <c r="L306"/>
      <c r="M306"/>
      <c r="N306"/>
      <c r="O306"/>
      <c r="P306"/>
      <c r="Q306"/>
      <c r="R306"/>
      <c r="S306"/>
      <c r="T306"/>
      <c r="U306"/>
      <c r="V306"/>
      <c r="W306"/>
      <c r="X306"/>
      <c r="Y306"/>
      <c r="Z306"/>
      <c r="AA306"/>
      <c r="AB306"/>
      <c r="AC306"/>
      <c r="AD306"/>
      <c r="AE306"/>
      <c r="AF306"/>
      <c r="AG306"/>
      <c r="AH306"/>
      <c r="AI306"/>
      <c r="AJ306"/>
      <c r="AK306"/>
      <c r="AL306"/>
    </row>
    <row r="307" spans="1:38" ht="15.75" customHeight="1" outlineLevel="3" x14ac:dyDescent="0.2">
      <c r="A307" s="10">
        <v>1</v>
      </c>
      <c r="B307" s="10" t="s">
        <v>71</v>
      </c>
      <c r="C307" s="10" t="s">
        <v>199</v>
      </c>
      <c r="D307" s="10" t="s">
        <v>200</v>
      </c>
      <c r="E307" s="11" t="str">
        <f t="array" ref="E307">_xlfn.XLOOKUP(D307,Insumos!B:B,Insumos!C:$C)</f>
        <v>KG</v>
      </c>
      <c r="F307" s="14">
        <v>1</v>
      </c>
      <c r="G307" s="92">
        <f t="array" ref="G307">IF(B307="insumo",_xlfn.XLOOKUP($D307,Insumos!$B$1:$B$996,Insumos!$D$1:$D$996),"")</f>
        <v>466.33699999999999</v>
      </c>
      <c r="H307" s="92">
        <v>466.33699999999999</v>
      </c>
      <c r="I307" s="13">
        <v>0</v>
      </c>
      <c r="J307" s="13">
        <v>0</v>
      </c>
      <c r="K307" s="13"/>
      <c r="L307"/>
      <c r="M307"/>
      <c r="N307"/>
      <c r="O307"/>
      <c r="P307"/>
      <c r="Q307"/>
      <c r="R307"/>
      <c r="S307"/>
      <c r="T307"/>
      <c r="U307"/>
      <c r="V307"/>
      <c r="W307"/>
      <c r="X307"/>
      <c r="Y307"/>
      <c r="Z307"/>
      <c r="AA307"/>
      <c r="AB307"/>
      <c r="AC307"/>
      <c r="AD307"/>
      <c r="AE307"/>
      <c r="AF307"/>
      <c r="AG307"/>
      <c r="AH307"/>
      <c r="AI307"/>
      <c r="AJ307"/>
      <c r="AK307"/>
      <c r="AL307"/>
    </row>
    <row r="308" spans="1:38" ht="15.75" customHeight="1" outlineLevel="2" x14ac:dyDescent="0.2">
      <c r="A308" s="1067">
        <v>1</v>
      </c>
      <c r="B308" s="1067" t="s">
        <v>68</v>
      </c>
      <c r="C308" s="1067" t="s">
        <v>201</v>
      </c>
      <c r="D308" s="1067" t="s">
        <v>201</v>
      </c>
      <c r="E308" s="1068" t="s">
        <v>197</v>
      </c>
      <c r="F308" s="1067"/>
      <c r="G308" s="1069" t="str">
        <f t="array" ref="G308">IF(B308="insumo",_xlfn.XLOOKUP($D308,Insumos!$B$1:$B$996,Insumos!$D$1:$D$996),"")</f>
        <v/>
      </c>
      <c r="H308" s="1069">
        <v>937.63900000000001</v>
      </c>
      <c r="I308" s="1070">
        <v>0</v>
      </c>
      <c r="J308" s="1070">
        <v>0</v>
      </c>
      <c r="K308" s="1070"/>
      <c r="L308"/>
      <c r="M308"/>
      <c r="N308"/>
      <c r="O308"/>
      <c r="P308"/>
      <c r="Q308"/>
      <c r="R308"/>
      <c r="S308"/>
      <c r="T308"/>
      <c r="U308"/>
      <c r="V308"/>
      <c r="W308"/>
      <c r="X308"/>
      <c r="Y308"/>
      <c r="Z308"/>
      <c r="AA308"/>
      <c r="AB308"/>
      <c r="AC308"/>
      <c r="AD308"/>
      <c r="AE308"/>
      <c r="AF308"/>
      <c r="AG308"/>
      <c r="AH308"/>
      <c r="AI308"/>
      <c r="AJ308"/>
      <c r="AK308"/>
      <c r="AL308"/>
    </row>
    <row r="309" spans="1:38" ht="15.75" customHeight="1" outlineLevel="3" x14ac:dyDescent="0.2">
      <c r="A309" s="10">
        <v>1</v>
      </c>
      <c r="B309" s="10" t="s">
        <v>71</v>
      </c>
      <c r="C309" s="10" t="s">
        <v>201</v>
      </c>
      <c r="D309" s="10" t="s">
        <v>202</v>
      </c>
      <c r="E309" s="11" t="str">
        <f t="array" ref="E309">_xlfn.XLOOKUP(D309,Insumos!B:B,Insumos!C:$C)</f>
        <v>KG</v>
      </c>
      <c r="F309" s="14">
        <v>1</v>
      </c>
      <c r="G309" s="92">
        <f t="array" ref="G309">IF(B309="insumo",_xlfn.XLOOKUP($D309,Insumos!$B$1:$B$996,Insumos!$D$1:$D$996),"")</f>
        <v>937.63900000000001</v>
      </c>
      <c r="H309" s="92">
        <v>937.63900000000001</v>
      </c>
      <c r="I309" s="13">
        <v>0</v>
      </c>
      <c r="J309" s="13">
        <v>0</v>
      </c>
      <c r="K309" s="13"/>
      <c r="L309"/>
      <c r="M309"/>
      <c r="N309"/>
      <c r="O309"/>
      <c r="P309"/>
      <c r="Q309"/>
      <c r="R309"/>
      <c r="S309"/>
      <c r="T309"/>
      <c r="U309"/>
      <c r="V309"/>
      <c r="W309"/>
      <c r="X309"/>
      <c r="Y309"/>
      <c r="Z309"/>
      <c r="AA309"/>
      <c r="AB309"/>
      <c r="AC309"/>
      <c r="AD309"/>
      <c r="AE309"/>
      <c r="AF309"/>
      <c r="AG309"/>
      <c r="AH309"/>
      <c r="AI309"/>
      <c r="AJ309"/>
      <c r="AK309"/>
      <c r="AL309"/>
    </row>
    <row r="310" spans="1:38" ht="15.75" customHeight="1" outlineLevel="2" x14ac:dyDescent="0.2">
      <c r="A310" s="1067">
        <v>1</v>
      </c>
      <c r="B310" s="1067" t="s">
        <v>68</v>
      </c>
      <c r="C310" s="1067" t="s">
        <v>203</v>
      </c>
      <c r="D310" s="1067" t="s">
        <v>203</v>
      </c>
      <c r="E310" s="1068" t="s">
        <v>197</v>
      </c>
      <c r="F310" s="1067"/>
      <c r="G310" s="1069" t="str">
        <f t="array" ref="G310">IF(B310="insumo",_xlfn.XLOOKUP($D310,Insumos!$B$1:$B$996,Insumos!$D$1:$D$996),"")</f>
        <v/>
      </c>
      <c r="H310" s="1069">
        <v>1609.6659999999999</v>
      </c>
      <c r="I310" s="1070">
        <v>0</v>
      </c>
      <c r="J310" s="1070">
        <v>0</v>
      </c>
      <c r="K310" s="1070"/>
      <c r="L310"/>
      <c r="M310"/>
      <c r="N310"/>
      <c r="O310"/>
      <c r="P310"/>
      <c r="Q310"/>
      <c r="R310"/>
      <c r="S310"/>
      <c r="T310"/>
      <c r="U310"/>
      <c r="V310"/>
      <c r="W310"/>
      <c r="X310"/>
      <c r="Y310"/>
      <c r="Z310"/>
      <c r="AA310"/>
      <c r="AB310"/>
      <c r="AC310"/>
      <c r="AD310"/>
      <c r="AE310"/>
      <c r="AF310"/>
      <c r="AG310"/>
      <c r="AH310"/>
      <c r="AI310"/>
      <c r="AJ310"/>
      <c r="AK310"/>
      <c r="AL310"/>
    </row>
    <row r="311" spans="1:38" ht="15.75" customHeight="1" outlineLevel="3" x14ac:dyDescent="0.2">
      <c r="A311" s="10">
        <v>1</v>
      </c>
      <c r="B311" s="10" t="s">
        <v>71</v>
      </c>
      <c r="C311" s="10" t="s">
        <v>203</v>
      </c>
      <c r="D311" s="10" t="s">
        <v>204</v>
      </c>
      <c r="E311" s="11" t="str">
        <f t="array" ref="E311">_xlfn.XLOOKUP(D311,Insumos!B:B,Insumos!C:$C)</f>
        <v>KG</v>
      </c>
      <c r="F311" s="14">
        <v>1</v>
      </c>
      <c r="G311" s="92">
        <f t="array" ref="G311">IF(B311="insumo",_xlfn.XLOOKUP($D311,Insumos!$B$1:$B$996,Insumos!$D$1:$D$996),"")</f>
        <v>1609.6659999999999</v>
      </c>
      <c r="H311" s="92">
        <v>1609.6659999999999</v>
      </c>
      <c r="I311" s="13">
        <v>0</v>
      </c>
      <c r="J311" s="13">
        <v>0</v>
      </c>
      <c r="K311" s="13"/>
      <c r="L311"/>
      <c r="M311"/>
      <c r="N311"/>
      <c r="O311"/>
      <c r="P311"/>
      <c r="Q311"/>
      <c r="R311"/>
      <c r="S311"/>
      <c r="T311"/>
      <c r="U311"/>
      <c r="V311"/>
      <c r="W311"/>
      <c r="X311"/>
      <c r="Y311"/>
      <c r="Z311"/>
      <c r="AA311"/>
      <c r="AB311"/>
      <c r="AC311"/>
      <c r="AD311"/>
      <c r="AE311"/>
      <c r="AF311"/>
      <c r="AG311"/>
      <c r="AH311"/>
      <c r="AI311"/>
      <c r="AJ311"/>
      <c r="AK311"/>
      <c r="AL311"/>
    </row>
    <row r="312" spans="1:38" ht="15.75" customHeight="1" outlineLevel="2" x14ac:dyDescent="0.2">
      <c r="A312" s="1067">
        <v>1</v>
      </c>
      <c r="B312" s="1067" t="s">
        <v>68</v>
      </c>
      <c r="C312" s="1067" t="s">
        <v>5355</v>
      </c>
      <c r="D312" s="1067" t="s">
        <v>5355</v>
      </c>
      <c r="E312" s="1068" t="s">
        <v>206</v>
      </c>
      <c r="F312" s="1067"/>
      <c r="G312" s="1069" t="str">
        <f t="array" ref="G312">IF(B312="insumo",_xlfn.XLOOKUP($D312,Insumos!$B$1:$B$996,Insumos!$D$1:$D$996),"")</f>
        <v/>
      </c>
      <c r="H312" s="1069">
        <v>8.9641450000000003</v>
      </c>
      <c r="I312" s="1070">
        <v>3495</v>
      </c>
      <c r="J312" s="1070">
        <v>31329.686774999998</v>
      </c>
      <c r="K312" s="1070"/>
      <c r="L312"/>
      <c r="M312"/>
      <c r="N312"/>
      <c r="O312"/>
      <c r="P312"/>
      <c r="Q312"/>
      <c r="R312"/>
      <c r="S312"/>
      <c r="T312"/>
      <c r="U312"/>
      <c r="V312"/>
      <c r="W312"/>
      <c r="X312"/>
      <c r="Y312"/>
      <c r="Z312"/>
      <c r="AA312"/>
      <c r="AB312"/>
      <c r="AC312"/>
      <c r="AD312"/>
      <c r="AE312"/>
      <c r="AF312"/>
      <c r="AG312"/>
      <c r="AH312"/>
      <c r="AI312"/>
      <c r="AJ312"/>
      <c r="AK312"/>
      <c r="AL312"/>
    </row>
    <row r="313" spans="1:38" ht="15.75" customHeight="1" outlineLevel="3" x14ac:dyDescent="0.2">
      <c r="A313" s="10">
        <v>4</v>
      </c>
      <c r="B313" s="10" t="s">
        <v>71</v>
      </c>
      <c r="C313" s="10" t="s">
        <v>5355</v>
      </c>
      <c r="D313" s="10" t="s">
        <v>3493</v>
      </c>
      <c r="E313" s="11" t="str">
        <f t="array" ref="E313">_xlfn.XLOOKUP(D313,Insumos!B:B,Insumos!C:$C)</f>
        <v>UN</v>
      </c>
      <c r="F313" s="14">
        <v>1</v>
      </c>
      <c r="G313" s="92">
        <f t="array" ref="G313">IF(B313="insumo",_xlfn.XLOOKUP($D313,Insumos!$B$1:$B$996,Insumos!$D$1:$D$996),"")</f>
        <v>8.67</v>
      </c>
      <c r="H313" s="92">
        <v>8.67</v>
      </c>
      <c r="I313" s="13">
        <v>3495</v>
      </c>
      <c r="J313" s="13">
        <v>30301.65</v>
      </c>
      <c r="K313" s="13"/>
      <c r="L313"/>
      <c r="M313"/>
      <c r="N313"/>
      <c r="O313"/>
      <c r="P313"/>
      <c r="Q313"/>
      <c r="R313"/>
      <c r="S313"/>
      <c r="T313"/>
      <c r="U313"/>
      <c r="V313"/>
      <c r="W313"/>
      <c r="X313"/>
      <c r="Y313"/>
      <c r="Z313"/>
      <c r="AA313"/>
      <c r="AB313"/>
      <c r="AC313"/>
      <c r="AD313"/>
      <c r="AE313"/>
      <c r="AF313"/>
      <c r="AG313"/>
      <c r="AH313"/>
      <c r="AI313"/>
      <c r="AJ313"/>
      <c r="AK313"/>
      <c r="AL313"/>
    </row>
    <row r="314" spans="1:38" ht="15.75" customHeight="1" outlineLevel="3" x14ac:dyDescent="0.2">
      <c r="A314" s="10">
        <v>41</v>
      </c>
      <c r="B314" s="10" t="s">
        <v>71</v>
      </c>
      <c r="C314" s="10" t="s">
        <v>5355</v>
      </c>
      <c r="D314" s="10" t="s">
        <v>208</v>
      </c>
      <c r="E314" s="11" t="str">
        <f t="array" ref="E314">_xlfn.XLOOKUP(D314,Insumos!B:B,Insumos!C:$C)</f>
        <v>KG</v>
      </c>
      <c r="F314" s="14">
        <v>2.0500000000000001E-2</v>
      </c>
      <c r="G314" s="92">
        <f t="array" ref="G314">IF(B314="insumo",_xlfn.XLOOKUP($D314,Insumos!$B$1:$B$996,Insumos!$D$1:$D$996),"")</f>
        <v>13.69</v>
      </c>
      <c r="H314" s="92">
        <v>0.28064499999999998</v>
      </c>
      <c r="I314" s="13">
        <v>3495</v>
      </c>
      <c r="J314" s="13">
        <v>980.85427500000003</v>
      </c>
      <c r="K314" s="13"/>
      <c r="L314"/>
      <c r="M314"/>
      <c r="N314"/>
      <c r="O314"/>
      <c r="P314"/>
      <c r="Q314"/>
      <c r="R314"/>
      <c r="S314"/>
      <c r="T314"/>
      <c r="U314"/>
      <c r="V314"/>
      <c r="W314"/>
      <c r="X314"/>
      <c r="Y314"/>
      <c r="Z314"/>
      <c r="AA314"/>
      <c r="AB314"/>
      <c r="AC314"/>
      <c r="AD314"/>
      <c r="AE314"/>
      <c r="AF314"/>
      <c r="AG314"/>
      <c r="AH314"/>
      <c r="AI314"/>
      <c r="AJ314"/>
      <c r="AK314"/>
      <c r="AL314"/>
    </row>
    <row r="315" spans="1:38" ht="15.75" customHeight="1" outlineLevel="3" x14ac:dyDescent="0.2">
      <c r="A315" s="10">
        <v>62</v>
      </c>
      <c r="B315" s="10" t="s">
        <v>71</v>
      </c>
      <c r="C315" s="10" t="s">
        <v>5355</v>
      </c>
      <c r="D315" s="10" t="s">
        <v>209</v>
      </c>
      <c r="E315" s="11" t="str">
        <f t="array" ref="E315">_xlfn.XLOOKUP(D315,Insumos!B:B,Insumos!C:$C)</f>
        <v>UN</v>
      </c>
      <c r="F315" s="14">
        <v>0.05</v>
      </c>
      <c r="G315" s="92">
        <f t="array" ref="G315">IF(B315="insumo",_xlfn.XLOOKUP($D315,Insumos!$B$1:$B$996,Insumos!$D$1:$D$996),"")</f>
        <v>0.27</v>
      </c>
      <c r="H315" s="92">
        <v>1.35E-2</v>
      </c>
      <c r="I315" s="13">
        <v>3495</v>
      </c>
      <c r="J315" s="13">
        <v>47.182499999999997</v>
      </c>
      <c r="K315" s="13"/>
      <c r="L315"/>
      <c r="M315"/>
      <c r="N315"/>
      <c r="O315"/>
      <c r="P315"/>
      <c r="Q315"/>
      <c r="R315"/>
      <c r="S315"/>
      <c r="T315"/>
      <c r="U315"/>
      <c r="V315"/>
      <c r="W315"/>
      <c r="X315"/>
      <c r="Y315"/>
      <c r="Z315"/>
      <c r="AA315"/>
      <c r="AB315"/>
      <c r="AC315"/>
      <c r="AD315"/>
      <c r="AE315"/>
      <c r="AF315"/>
      <c r="AG315"/>
      <c r="AH315"/>
      <c r="AI315"/>
      <c r="AJ315"/>
      <c r="AK315"/>
      <c r="AL315"/>
    </row>
    <row r="316" spans="1:38" ht="15.75" customHeight="1" outlineLevel="2" x14ac:dyDescent="0.2">
      <c r="A316" s="1067">
        <v>1</v>
      </c>
      <c r="B316" s="1067" t="s">
        <v>68</v>
      </c>
      <c r="C316" s="1067" t="s">
        <v>5356</v>
      </c>
      <c r="D316" s="1067" t="s">
        <v>5356</v>
      </c>
      <c r="E316" s="1068" t="s">
        <v>206</v>
      </c>
      <c r="F316" s="1067"/>
      <c r="G316" s="1069" t="str">
        <f t="array" ref="G316">IF(B316="insumo",_xlfn.XLOOKUP($D316,Insumos!$B$1:$B$996,Insumos!$D$1:$D$996),"")</f>
        <v/>
      </c>
      <c r="H316" s="1069">
        <v>8.4841449999999998</v>
      </c>
      <c r="I316" s="1070">
        <v>31530</v>
      </c>
      <c r="J316" s="1070">
        <v>267505.09185000003</v>
      </c>
      <c r="K316" s="1070"/>
      <c r="L316"/>
      <c r="M316"/>
      <c r="N316"/>
      <c r="O316"/>
      <c r="P316"/>
      <c r="Q316"/>
      <c r="R316"/>
      <c r="S316"/>
      <c r="T316"/>
      <c r="U316"/>
      <c r="V316"/>
      <c r="W316"/>
      <c r="X316"/>
      <c r="Y316"/>
      <c r="Z316"/>
      <c r="AA316"/>
      <c r="AB316"/>
      <c r="AC316"/>
      <c r="AD316"/>
      <c r="AE316"/>
      <c r="AF316"/>
      <c r="AG316"/>
      <c r="AH316"/>
      <c r="AI316"/>
      <c r="AJ316"/>
      <c r="AK316"/>
      <c r="AL316"/>
    </row>
    <row r="317" spans="1:38" ht="15.75" customHeight="1" outlineLevel="3" x14ac:dyDescent="0.2">
      <c r="A317" s="10">
        <v>4</v>
      </c>
      <c r="B317" s="10" t="s">
        <v>71</v>
      </c>
      <c r="C317" s="10" t="s">
        <v>5356</v>
      </c>
      <c r="D317" s="10" t="s">
        <v>5352</v>
      </c>
      <c r="E317" s="11" t="str">
        <f t="array" ref="E317">_xlfn.XLOOKUP(D317,Insumos!B:B,Insumos!C:$C)</f>
        <v>UN</v>
      </c>
      <c r="F317" s="14">
        <v>1</v>
      </c>
      <c r="G317" s="92">
        <f t="array" ref="G317">IF(B317="insumo",_xlfn.XLOOKUP($D317,Insumos!$B$1:$B$996,Insumos!$D$1:$D$996),"")</f>
        <v>8.19</v>
      </c>
      <c r="H317" s="92">
        <v>8.19</v>
      </c>
      <c r="I317" s="13">
        <v>31530</v>
      </c>
      <c r="J317" s="13">
        <v>258230.7</v>
      </c>
      <c r="K317" s="13"/>
      <c r="L317"/>
      <c r="M317"/>
      <c r="N317"/>
      <c r="O317"/>
      <c r="P317"/>
      <c r="Q317"/>
      <c r="R317"/>
      <c r="S317"/>
      <c r="T317"/>
      <c r="U317"/>
      <c r="V317"/>
      <c r="W317"/>
      <c r="X317"/>
      <c r="Y317"/>
      <c r="Z317"/>
      <c r="AA317"/>
      <c r="AB317"/>
      <c r="AC317"/>
      <c r="AD317"/>
      <c r="AE317"/>
      <c r="AF317"/>
      <c r="AG317"/>
      <c r="AH317"/>
      <c r="AI317"/>
      <c r="AJ317"/>
      <c r="AK317"/>
      <c r="AL317"/>
    </row>
    <row r="318" spans="1:38" ht="15.75" customHeight="1" outlineLevel="3" x14ac:dyDescent="0.2">
      <c r="A318" s="10">
        <v>41</v>
      </c>
      <c r="B318" s="10" t="s">
        <v>71</v>
      </c>
      <c r="C318" s="10" t="s">
        <v>5356</v>
      </c>
      <c r="D318" s="10" t="s">
        <v>208</v>
      </c>
      <c r="E318" s="11" t="str">
        <f t="array" ref="E318">_xlfn.XLOOKUP(D318,Insumos!B:B,Insumos!C:$C)</f>
        <v>KG</v>
      </c>
      <c r="F318" s="14">
        <v>2.0500000000000001E-2</v>
      </c>
      <c r="G318" s="92">
        <f t="array" ref="G318">IF(B318="insumo",_xlfn.XLOOKUP($D318,Insumos!$B$1:$B$996,Insumos!$D$1:$D$996),"")</f>
        <v>13.69</v>
      </c>
      <c r="H318" s="92">
        <v>0.28064499999999998</v>
      </c>
      <c r="I318" s="13">
        <v>31530</v>
      </c>
      <c r="J318" s="13">
        <v>8848.7368499999993</v>
      </c>
      <c r="K318" s="13"/>
      <c r="L318"/>
      <c r="M318"/>
      <c r="N318"/>
      <c r="O318"/>
      <c r="P318"/>
      <c r="Q318"/>
      <c r="R318"/>
      <c r="S318"/>
      <c r="T318"/>
      <c r="U318"/>
      <c r="V318"/>
      <c r="W318"/>
      <c r="X318"/>
      <c r="Y318"/>
      <c r="Z318"/>
      <c r="AA318"/>
      <c r="AB318"/>
      <c r="AC318"/>
      <c r="AD318"/>
      <c r="AE318"/>
      <c r="AF318"/>
      <c r="AG318"/>
      <c r="AH318"/>
      <c r="AI318"/>
      <c r="AJ318"/>
      <c r="AK318"/>
      <c r="AL318"/>
    </row>
    <row r="319" spans="1:38" ht="15.75" customHeight="1" outlineLevel="3" x14ac:dyDescent="0.2">
      <c r="A319" s="10">
        <v>62</v>
      </c>
      <c r="B319" s="10" t="s">
        <v>71</v>
      </c>
      <c r="C319" s="10" t="s">
        <v>5356</v>
      </c>
      <c r="D319" s="10" t="s">
        <v>209</v>
      </c>
      <c r="E319" s="11" t="str">
        <f t="array" ref="E319">_xlfn.XLOOKUP(D319,Insumos!B:B,Insumos!C:$C)</f>
        <v>UN</v>
      </c>
      <c r="F319" s="14">
        <v>0.05</v>
      </c>
      <c r="G319" s="92">
        <f t="array" ref="G319">IF(B319="insumo",_xlfn.XLOOKUP($D319,Insumos!$B$1:$B$996,Insumos!$D$1:$D$996),"")</f>
        <v>0.27</v>
      </c>
      <c r="H319" s="92">
        <v>1.35E-2</v>
      </c>
      <c r="I319" s="13">
        <v>31530</v>
      </c>
      <c r="J319" s="13">
        <v>425.65499999999997</v>
      </c>
      <c r="K319" s="13"/>
      <c r="L319"/>
      <c r="M319"/>
      <c r="N319"/>
      <c r="O319"/>
      <c r="P319"/>
      <c r="Q319"/>
      <c r="R319"/>
      <c r="S319"/>
      <c r="T319"/>
      <c r="U319"/>
      <c r="V319"/>
      <c r="W319"/>
      <c r="X319"/>
      <c r="Y319"/>
      <c r="Z319"/>
      <c r="AA319"/>
      <c r="AB319"/>
      <c r="AC319"/>
      <c r="AD319"/>
      <c r="AE319"/>
      <c r="AF319"/>
      <c r="AG319"/>
      <c r="AH319"/>
      <c r="AI319"/>
      <c r="AJ319"/>
      <c r="AK319"/>
      <c r="AL319"/>
    </row>
    <row r="320" spans="1:38" ht="15.75" customHeight="1" outlineLevel="2" x14ac:dyDescent="0.2">
      <c r="A320" s="1067">
        <v>1</v>
      </c>
      <c r="B320" s="1067" t="s">
        <v>68</v>
      </c>
      <c r="C320" s="1067" t="s">
        <v>205</v>
      </c>
      <c r="D320" s="1067" t="s">
        <v>205</v>
      </c>
      <c r="E320" s="1068" t="s">
        <v>206</v>
      </c>
      <c r="F320" s="1067"/>
      <c r="G320" s="1069" t="str">
        <f t="array" ref="G320">IF(B320="insumo",_xlfn.XLOOKUP($D320,Insumos!$B$1:$B$996,Insumos!$D$1:$D$996),"")</f>
        <v/>
      </c>
      <c r="H320" s="1069">
        <v>6.0795673937957</v>
      </c>
      <c r="I320" s="1070">
        <v>0</v>
      </c>
      <c r="J320" s="1070">
        <v>0</v>
      </c>
      <c r="K320" s="1070"/>
      <c r="L320"/>
      <c r="M320"/>
      <c r="N320"/>
      <c r="O320"/>
      <c r="P320"/>
      <c r="Q320"/>
      <c r="R320"/>
      <c r="S320"/>
      <c r="T320"/>
      <c r="U320"/>
      <c r="V320"/>
      <c r="W320"/>
      <c r="X320"/>
      <c r="Y320"/>
      <c r="Z320"/>
      <c r="AA320"/>
      <c r="AB320"/>
      <c r="AC320"/>
      <c r="AD320"/>
      <c r="AE320"/>
      <c r="AF320"/>
      <c r="AG320"/>
      <c r="AH320"/>
      <c r="AI320"/>
      <c r="AJ320"/>
      <c r="AK320"/>
      <c r="AL320"/>
    </row>
    <row r="321" spans="1:38" ht="15.75" customHeight="1" outlineLevel="3" x14ac:dyDescent="0.2">
      <c r="A321" s="10">
        <v>4</v>
      </c>
      <c r="B321" s="10" t="s">
        <v>71</v>
      </c>
      <c r="C321" s="10" t="s">
        <v>205</v>
      </c>
      <c r="D321" s="10" t="s">
        <v>207</v>
      </c>
      <c r="E321" s="11" t="str">
        <f t="array" ref="E321">_xlfn.XLOOKUP(D321,Insumos!B:B,Insumos!C:$C)</f>
        <v>KG</v>
      </c>
      <c r="F321" s="14">
        <v>1.1000000000000001</v>
      </c>
      <c r="G321" s="92">
        <f t="array" ref="G321">IF(B321="insumo",_xlfn.XLOOKUP($D321,Insumos!$B$1:$B$996,Insumos!$D$1:$D$996),"")</f>
        <v>5.2594749034506343</v>
      </c>
      <c r="H321" s="92">
        <v>5.7854223937956997</v>
      </c>
      <c r="I321" s="13">
        <v>0</v>
      </c>
      <c r="J321" s="13">
        <v>0</v>
      </c>
      <c r="K321" s="13"/>
      <c r="L321"/>
      <c r="M321"/>
      <c r="N321"/>
      <c r="O321"/>
      <c r="P321"/>
      <c r="Q321"/>
      <c r="R321"/>
      <c r="S321"/>
      <c r="T321"/>
      <c r="U321"/>
      <c r="V321"/>
      <c r="W321"/>
      <c r="X321"/>
      <c r="Y321"/>
      <c r="Z321"/>
      <c r="AA321"/>
      <c r="AB321"/>
      <c r="AC321"/>
      <c r="AD321"/>
      <c r="AE321"/>
      <c r="AF321"/>
      <c r="AG321"/>
      <c r="AH321"/>
      <c r="AI321"/>
      <c r="AJ321"/>
      <c r="AK321"/>
      <c r="AL321"/>
    </row>
    <row r="322" spans="1:38" ht="15.75" customHeight="1" outlineLevel="3" x14ac:dyDescent="0.2">
      <c r="A322" s="10">
        <v>41</v>
      </c>
      <c r="B322" s="10" t="s">
        <v>71</v>
      </c>
      <c r="C322" s="10" t="s">
        <v>205</v>
      </c>
      <c r="D322" s="10" t="s">
        <v>208</v>
      </c>
      <c r="E322" s="11" t="str">
        <f t="array" ref="E322">_xlfn.XLOOKUP(D322,Insumos!B:B,Insumos!C:$C)</f>
        <v>KG</v>
      </c>
      <c r="F322" s="14">
        <v>2.0500000000000001E-2</v>
      </c>
      <c r="G322" s="92">
        <f t="array" ref="G322">IF(B322="insumo",_xlfn.XLOOKUP($D322,Insumos!$B$1:$B$996,Insumos!$D$1:$D$996),"")</f>
        <v>13.69</v>
      </c>
      <c r="H322" s="92">
        <v>0.28064499999999998</v>
      </c>
      <c r="I322" s="13">
        <v>0</v>
      </c>
      <c r="J322" s="13">
        <v>0</v>
      </c>
      <c r="K322" s="13"/>
      <c r="L322"/>
      <c r="M322"/>
      <c r="N322"/>
      <c r="O322"/>
      <c r="P322"/>
      <c r="Q322"/>
      <c r="R322"/>
      <c r="S322"/>
      <c r="T322"/>
      <c r="U322"/>
      <c r="V322"/>
      <c r="W322"/>
      <c r="X322"/>
      <c r="Y322"/>
      <c r="Z322"/>
      <c r="AA322"/>
      <c r="AB322"/>
      <c r="AC322"/>
      <c r="AD322"/>
      <c r="AE322"/>
      <c r="AF322"/>
      <c r="AG322"/>
      <c r="AH322"/>
      <c r="AI322"/>
      <c r="AJ322"/>
      <c r="AK322"/>
      <c r="AL322"/>
    </row>
    <row r="323" spans="1:38" ht="15.75" customHeight="1" outlineLevel="3" x14ac:dyDescent="0.2">
      <c r="A323" s="10">
        <v>62</v>
      </c>
      <c r="B323" s="10" t="s">
        <v>71</v>
      </c>
      <c r="C323" s="10" t="s">
        <v>205</v>
      </c>
      <c r="D323" s="10" t="s">
        <v>209</v>
      </c>
      <c r="E323" s="11" t="str">
        <f t="array" ref="E323">_xlfn.XLOOKUP(D323,Insumos!B:B,Insumos!C:$C)</f>
        <v>UN</v>
      </c>
      <c r="F323" s="14">
        <v>0.05</v>
      </c>
      <c r="G323" s="92">
        <f t="array" ref="G323">IF(B323="insumo",_xlfn.XLOOKUP($D323,Insumos!$B$1:$B$996,Insumos!$D$1:$D$996),"")</f>
        <v>0.27</v>
      </c>
      <c r="H323" s="92">
        <v>1.35E-2</v>
      </c>
      <c r="I323" s="13">
        <v>0</v>
      </c>
      <c r="J323" s="13">
        <v>0</v>
      </c>
      <c r="K323" s="13"/>
      <c r="L323"/>
      <c r="M323"/>
      <c r="N323"/>
      <c r="O323"/>
      <c r="P323"/>
      <c r="Q323"/>
      <c r="R323"/>
      <c r="S323"/>
      <c r="T323"/>
      <c r="U323"/>
      <c r="V323"/>
      <c r="W323"/>
      <c r="X323"/>
      <c r="Y323"/>
      <c r="Z323"/>
      <c r="AA323"/>
      <c r="AB323"/>
      <c r="AC323"/>
      <c r="AD323"/>
      <c r="AE323"/>
      <c r="AF323"/>
      <c r="AG323"/>
      <c r="AH323"/>
      <c r="AI323"/>
      <c r="AJ323"/>
      <c r="AK323"/>
      <c r="AL323"/>
    </row>
    <row r="324" spans="1:38" ht="15.75" customHeight="1" outlineLevel="2" x14ac:dyDescent="0.2">
      <c r="A324" s="1067">
        <v>1</v>
      </c>
      <c r="B324" s="1067" t="s">
        <v>68</v>
      </c>
      <c r="C324" s="1067" t="s">
        <v>210</v>
      </c>
      <c r="D324" s="1067" t="s">
        <v>210</v>
      </c>
      <c r="E324" s="1068" t="s">
        <v>206</v>
      </c>
      <c r="F324" s="1067"/>
      <c r="G324" s="1069" t="str">
        <f t="array" ref="G324">IF(B324="insumo",_xlfn.XLOOKUP($D324,Insumos!$B$1:$B$996,Insumos!$D$1:$D$996),"")</f>
        <v/>
      </c>
      <c r="H324" s="1069">
        <v>5.7114876589046197</v>
      </c>
      <c r="I324" s="1070">
        <v>0</v>
      </c>
      <c r="J324" s="1070">
        <v>0</v>
      </c>
      <c r="K324" s="1070"/>
      <c r="L324"/>
      <c r="M324"/>
      <c r="N324"/>
      <c r="O324"/>
      <c r="P324"/>
      <c r="Q324"/>
      <c r="R324"/>
      <c r="S324"/>
      <c r="T324"/>
      <c r="U324"/>
      <c r="V324"/>
      <c r="W324"/>
      <c r="X324"/>
      <c r="Y324"/>
      <c r="Z324"/>
      <c r="AA324"/>
      <c r="AB324"/>
      <c r="AC324"/>
      <c r="AD324"/>
      <c r="AE324"/>
      <c r="AF324"/>
      <c r="AG324"/>
      <c r="AH324"/>
      <c r="AI324"/>
      <c r="AJ324"/>
      <c r="AK324"/>
      <c r="AL324"/>
    </row>
    <row r="325" spans="1:38" ht="15.75" customHeight="1" outlineLevel="3" x14ac:dyDescent="0.2">
      <c r="A325" s="10">
        <v>5</v>
      </c>
      <c r="B325" s="10" t="s">
        <v>71</v>
      </c>
      <c r="C325" s="10" t="s">
        <v>210</v>
      </c>
      <c r="D325" s="10" t="s">
        <v>211</v>
      </c>
      <c r="E325" s="11" t="str">
        <f t="array" ref="E325">_xlfn.XLOOKUP(D325,Insumos!B:B,Insumos!C:$C)</f>
        <v>KG</v>
      </c>
      <c r="F325" s="14">
        <v>1.1000000000000001</v>
      </c>
      <c r="G325" s="92">
        <f t="array" ref="G325">IF(B325="insumo",_xlfn.XLOOKUP($D325,Insumos!$B$1:$B$996,Insumos!$D$1:$D$996),"")</f>
        <v>4.9248569626405612</v>
      </c>
      <c r="H325" s="92">
        <v>5.4173426589046203</v>
      </c>
      <c r="I325" s="13">
        <v>0</v>
      </c>
      <c r="J325" s="13">
        <v>0</v>
      </c>
      <c r="K325" s="13"/>
      <c r="L325"/>
      <c r="M325"/>
      <c r="N325"/>
      <c r="O325"/>
      <c r="P325"/>
      <c r="Q325"/>
      <c r="R325"/>
      <c r="S325"/>
      <c r="T325"/>
      <c r="U325"/>
      <c r="V325"/>
      <c r="W325"/>
      <c r="X325"/>
      <c r="Y325"/>
      <c r="Z325"/>
      <c r="AA325"/>
      <c r="AB325"/>
      <c r="AC325"/>
      <c r="AD325"/>
      <c r="AE325"/>
      <c r="AF325"/>
      <c r="AG325"/>
      <c r="AH325"/>
      <c r="AI325"/>
      <c r="AJ325"/>
      <c r="AK325"/>
      <c r="AL325"/>
    </row>
    <row r="326" spans="1:38" ht="15.75" customHeight="1" outlineLevel="3" x14ac:dyDescent="0.2">
      <c r="A326" s="10">
        <v>41</v>
      </c>
      <c r="B326" s="10" t="s">
        <v>71</v>
      </c>
      <c r="C326" s="10" t="s">
        <v>210</v>
      </c>
      <c r="D326" s="10" t="s">
        <v>208</v>
      </c>
      <c r="E326" s="11" t="str">
        <f t="array" ref="E326">_xlfn.XLOOKUP(D326,Insumos!B:B,Insumos!C:$C)</f>
        <v>KG</v>
      </c>
      <c r="F326" s="14">
        <v>2.0500000000000001E-2</v>
      </c>
      <c r="G326" s="92">
        <f t="array" ref="G326">IF(B326="insumo",_xlfn.XLOOKUP($D326,Insumos!$B$1:$B$996,Insumos!$D$1:$D$996),"")</f>
        <v>13.69</v>
      </c>
      <c r="H326" s="92">
        <v>0.28064499999999998</v>
      </c>
      <c r="I326" s="13">
        <v>0</v>
      </c>
      <c r="J326" s="13">
        <v>0</v>
      </c>
      <c r="K326" s="13"/>
      <c r="L326"/>
      <c r="M326"/>
      <c r="N326"/>
      <c r="O326"/>
      <c r="P326"/>
      <c r="Q326"/>
      <c r="R326"/>
      <c r="S326"/>
      <c r="T326"/>
      <c r="U326"/>
      <c r="V326"/>
      <c r="W326"/>
      <c r="X326"/>
      <c r="Y326"/>
      <c r="Z326"/>
      <c r="AA326"/>
      <c r="AB326"/>
      <c r="AC326"/>
      <c r="AD326"/>
      <c r="AE326"/>
      <c r="AF326"/>
      <c r="AG326"/>
      <c r="AH326"/>
      <c r="AI326"/>
      <c r="AJ326"/>
      <c r="AK326"/>
      <c r="AL326"/>
    </row>
    <row r="327" spans="1:38" ht="15.75" customHeight="1" outlineLevel="3" x14ac:dyDescent="0.2">
      <c r="A327" s="10">
        <v>62</v>
      </c>
      <c r="B327" s="10" t="s">
        <v>71</v>
      </c>
      <c r="C327" s="10" t="s">
        <v>210</v>
      </c>
      <c r="D327" s="10" t="s">
        <v>209</v>
      </c>
      <c r="E327" s="11" t="str">
        <f t="array" ref="E327">_xlfn.XLOOKUP(D327,Insumos!B:B,Insumos!C:$C)</f>
        <v>UN</v>
      </c>
      <c r="F327" s="14">
        <v>0.05</v>
      </c>
      <c r="G327" s="92">
        <f t="array" ref="G327">IF(B327="insumo",_xlfn.XLOOKUP($D327,Insumos!$B$1:$B$996,Insumos!$D$1:$D$996),"")</f>
        <v>0.27</v>
      </c>
      <c r="H327" s="92">
        <v>1.35E-2</v>
      </c>
      <c r="I327" s="13">
        <v>0</v>
      </c>
      <c r="J327" s="13">
        <v>0</v>
      </c>
      <c r="K327" s="13"/>
      <c r="L327"/>
      <c r="M327"/>
      <c r="N327"/>
      <c r="O327"/>
      <c r="P327"/>
      <c r="Q327"/>
      <c r="R327"/>
      <c r="S327"/>
      <c r="T327"/>
      <c r="U327"/>
      <c r="V327"/>
      <c r="W327"/>
      <c r="X327"/>
      <c r="Y327"/>
      <c r="Z327"/>
      <c r="AA327"/>
      <c r="AB327"/>
      <c r="AC327"/>
      <c r="AD327"/>
      <c r="AE327"/>
      <c r="AF327"/>
      <c r="AG327"/>
      <c r="AH327"/>
      <c r="AI327"/>
      <c r="AJ327"/>
      <c r="AK327"/>
      <c r="AL327"/>
    </row>
    <row r="328" spans="1:38" ht="15.75" customHeight="1" outlineLevel="2" x14ac:dyDescent="0.2">
      <c r="A328" s="1067">
        <v>1</v>
      </c>
      <c r="B328" s="1067" t="s">
        <v>68</v>
      </c>
      <c r="C328" s="1067" t="s">
        <v>212</v>
      </c>
      <c r="D328" s="1067" t="s">
        <v>212</v>
      </c>
      <c r="E328" s="1068" t="s">
        <v>206</v>
      </c>
      <c r="F328" s="1067"/>
      <c r="G328" s="1069" t="str">
        <f t="array" ref="G328">IF(B328="insumo",_xlfn.XLOOKUP($D328,Insumos!$B$1:$B$996,Insumos!$D$1:$D$996),"")</f>
        <v/>
      </c>
      <c r="H328" s="1069">
        <v>5.5748977193202496</v>
      </c>
      <c r="I328" s="1070">
        <v>0</v>
      </c>
      <c r="J328" s="1070">
        <v>0</v>
      </c>
      <c r="K328" s="1070"/>
      <c r="L328"/>
      <c r="M328"/>
      <c r="N328"/>
      <c r="O328"/>
      <c r="P328"/>
      <c r="Q328"/>
      <c r="R328"/>
      <c r="S328"/>
      <c r="T328"/>
      <c r="U328"/>
      <c r="V328"/>
      <c r="W328"/>
      <c r="X328"/>
      <c r="Y328"/>
      <c r="Z328"/>
      <c r="AA328"/>
      <c r="AB328"/>
      <c r="AC328"/>
      <c r="AD328"/>
      <c r="AE328"/>
      <c r="AF328"/>
      <c r="AG328"/>
      <c r="AH328"/>
      <c r="AI328"/>
      <c r="AJ328"/>
      <c r="AK328"/>
      <c r="AL328"/>
    </row>
    <row r="329" spans="1:38" ht="15.75" customHeight="1" outlineLevel="3" x14ac:dyDescent="0.2">
      <c r="A329" s="10">
        <v>4</v>
      </c>
      <c r="B329" s="10" t="s">
        <v>71</v>
      </c>
      <c r="C329" s="10" t="s">
        <v>212</v>
      </c>
      <c r="D329" s="10" t="s">
        <v>213</v>
      </c>
      <c r="E329" s="11" t="str">
        <f t="array" ref="E329">_xlfn.XLOOKUP(D329,Insumos!B:B,Insumos!C:$C)</f>
        <v>KG</v>
      </c>
      <c r="F329" s="14">
        <v>1.1000000000000001</v>
      </c>
      <c r="G329" s="92">
        <f t="array" ref="G329">IF(B329="insumo",_xlfn.XLOOKUP($D329,Insumos!$B$1:$B$996,Insumos!$D$1:$D$996),"")</f>
        <v>4.80068429029114</v>
      </c>
      <c r="H329" s="92">
        <v>5.2807527193202501</v>
      </c>
      <c r="I329" s="13">
        <v>0</v>
      </c>
      <c r="J329" s="13">
        <v>0</v>
      </c>
      <c r="K329" s="13"/>
      <c r="L329"/>
      <c r="M329"/>
      <c r="N329"/>
      <c r="O329"/>
      <c r="P329"/>
      <c r="Q329"/>
      <c r="R329"/>
      <c r="S329"/>
      <c r="T329"/>
      <c r="U329"/>
      <c r="V329"/>
      <c r="W329"/>
      <c r="X329"/>
      <c r="Y329"/>
      <c r="Z329"/>
      <c r="AA329"/>
      <c r="AB329"/>
      <c r="AC329"/>
      <c r="AD329"/>
      <c r="AE329"/>
      <c r="AF329"/>
      <c r="AG329"/>
      <c r="AH329"/>
      <c r="AI329"/>
      <c r="AJ329"/>
      <c r="AK329"/>
      <c r="AL329"/>
    </row>
    <row r="330" spans="1:38" ht="15.75" customHeight="1" outlineLevel="3" x14ac:dyDescent="0.2">
      <c r="A330" s="10">
        <v>41</v>
      </c>
      <c r="B330" s="10" t="s">
        <v>71</v>
      </c>
      <c r="C330" s="10" t="s">
        <v>212</v>
      </c>
      <c r="D330" s="10" t="s">
        <v>208</v>
      </c>
      <c r="E330" s="11" t="str">
        <f t="array" ref="E330">_xlfn.XLOOKUP(D330,Insumos!B:B,Insumos!C:$C)</f>
        <v>KG</v>
      </c>
      <c r="F330" s="14">
        <v>2.0500000000000001E-2</v>
      </c>
      <c r="G330" s="92">
        <f t="array" ref="G330">IF(B330="insumo",_xlfn.XLOOKUP($D330,Insumos!$B$1:$B$996,Insumos!$D$1:$D$996),"")</f>
        <v>13.69</v>
      </c>
      <c r="H330" s="92">
        <v>0.28064499999999998</v>
      </c>
      <c r="I330" s="13">
        <v>0</v>
      </c>
      <c r="J330" s="13">
        <v>0</v>
      </c>
      <c r="K330" s="13"/>
      <c r="L330"/>
      <c r="M330"/>
      <c r="N330"/>
      <c r="O330"/>
      <c r="P330"/>
      <c r="Q330"/>
      <c r="R330"/>
      <c r="S330"/>
      <c r="T330"/>
      <c r="U330"/>
      <c r="V330"/>
      <c r="W330"/>
      <c r="X330"/>
      <c r="Y330"/>
      <c r="Z330"/>
      <c r="AA330"/>
      <c r="AB330"/>
      <c r="AC330"/>
      <c r="AD330"/>
      <c r="AE330"/>
      <c r="AF330"/>
      <c r="AG330"/>
      <c r="AH330"/>
      <c r="AI330"/>
      <c r="AJ330"/>
      <c r="AK330"/>
      <c r="AL330"/>
    </row>
    <row r="331" spans="1:38" ht="15.75" customHeight="1" outlineLevel="3" x14ac:dyDescent="0.2">
      <c r="A331" s="10">
        <v>62</v>
      </c>
      <c r="B331" s="10" t="s">
        <v>71</v>
      </c>
      <c r="C331" s="10" t="s">
        <v>212</v>
      </c>
      <c r="D331" s="10" t="s">
        <v>209</v>
      </c>
      <c r="E331" s="11" t="str">
        <f t="array" ref="E331">_xlfn.XLOOKUP(D331,Insumos!B:B,Insumos!C:$C)</f>
        <v>UN</v>
      </c>
      <c r="F331" s="14">
        <v>0.05</v>
      </c>
      <c r="G331" s="92">
        <f t="array" ref="G331">IF(B331="insumo",_xlfn.XLOOKUP($D331,Insumos!$B$1:$B$996,Insumos!$D$1:$D$996),"")</f>
        <v>0.27</v>
      </c>
      <c r="H331" s="92">
        <v>1.35E-2</v>
      </c>
      <c r="I331" s="13">
        <v>0</v>
      </c>
      <c r="J331" s="13">
        <v>0</v>
      </c>
      <c r="K331" s="13"/>
      <c r="L331"/>
      <c r="M331"/>
      <c r="N331"/>
      <c r="O331"/>
      <c r="P331"/>
      <c r="Q331"/>
      <c r="R331"/>
      <c r="S331"/>
      <c r="T331"/>
      <c r="U331"/>
      <c r="V331"/>
      <c r="W331"/>
      <c r="X331"/>
      <c r="Y331"/>
      <c r="Z331"/>
      <c r="AA331"/>
      <c r="AB331"/>
      <c r="AC331"/>
      <c r="AD331"/>
      <c r="AE331"/>
      <c r="AF331"/>
      <c r="AG331"/>
      <c r="AH331"/>
      <c r="AI331"/>
      <c r="AJ331"/>
      <c r="AK331"/>
      <c r="AL331"/>
    </row>
    <row r="332" spans="1:38" ht="15.75" customHeight="1" outlineLevel="2" x14ac:dyDescent="0.2">
      <c r="A332" s="1067">
        <v>1</v>
      </c>
      <c r="B332" s="1067" t="s">
        <v>68</v>
      </c>
      <c r="C332" s="1067" t="s">
        <v>214</v>
      </c>
      <c r="D332" s="1067" t="s">
        <v>214</v>
      </c>
      <c r="E332" s="1068" t="s">
        <v>206</v>
      </c>
      <c r="F332" s="1067"/>
      <c r="G332" s="1069" t="str">
        <f t="array" ref="G332">IF(B332="insumo",_xlfn.XLOOKUP($D332,Insumos!$B$1:$B$996,Insumos!$D$1:$D$996),"")</f>
        <v/>
      </c>
      <c r="H332" s="1069">
        <v>5.7287614493981804</v>
      </c>
      <c r="I332" s="1070">
        <v>0</v>
      </c>
      <c r="J332" s="1070">
        <v>0</v>
      </c>
      <c r="K332" s="1070"/>
      <c r="L332"/>
      <c r="M332"/>
      <c r="N332"/>
      <c r="O332"/>
      <c r="P332"/>
      <c r="Q332"/>
      <c r="R332"/>
      <c r="S332"/>
      <c r="T332"/>
      <c r="U332"/>
      <c r="V332"/>
      <c r="W332"/>
      <c r="X332"/>
      <c r="Y332"/>
      <c r="Z332"/>
      <c r="AA332"/>
      <c r="AB332"/>
      <c r="AC332"/>
      <c r="AD332"/>
      <c r="AE332"/>
      <c r="AF332"/>
      <c r="AG332"/>
      <c r="AH332"/>
      <c r="AI332"/>
      <c r="AJ332"/>
      <c r="AK332"/>
      <c r="AL332"/>
    </row>
    <row r="333" spans="1:38" ht="15.75" customHeight="1" outlineLevel="3" x14ac:dyDescent="0.2">
      <c r="A333" s="10">
        <v>4</v>
      </c>
      <c r="B333" s="10" t="s">
        <v>71</v>
      </c>
      <c r="C333" s="10" t="s">
        <v>214</v>
      </c>
      <c r="D333" s="10" t="s">
        <v>215</v>
      </c>
      <c r="E333" s="11" t="str">
        <f t="array" ref="E333">_xlfn.XLOOKUP(D333,Insumos!B:B,Insumos!C:$C)</f>
        <v>KG</v>
      </c>
      <c r="F333" s="14">
        <v>1.1000000000000001</v>
      </c>
      <c r="G333" s="92">
        <f t="array" ref="G333">IF(B333="insumo",_xlfn.XLOOKUP($D333,Insumos!$B$1:$B$996,Insumos!$D$1:$D$996),"")</f>
        <v>4.9405604085438029</v>
      </c>
      <c r="H333" s="92">
        <v>5.4346164493981801</v>
      </c>
      <c r="I333" s="13">
        <v>0</v>
      </c>
      <c r="J333" s="13">
        <v>0</v>
      </c>
      <c r="K333" s="13"/>
      <c r="L333"/>
      <c r="M333"/>
      <c r="N333"/>
      <c r="O333"/>
      <c r="P333"/>
      <c r="Q333"/>
      <c r="R333"/>
      <c r="S333"/>
      <c r="T333"/>
      <c r="U333"/>
      <c r="V333"/>
      <c r="W333"/>
      <c r="X333"/>
      <c r="Y333"/>
      <c r="Z333"/>
      <c r="AA333"/>
      <c r="AB333"/>
      <c r="AC333"/>
      <c r="AD333"/>
      <c r="AE333"/>
      <c r="AF333"/>
      <c r="AG333"/>
      <c r="AH333"/>
      <c r="AI333"/>
      <c r="AJ333"/>
      <c r="AK333"/>
      <c r="AL333"/>
    </row>
    <row r="334" spans="1:38" ht="15.75" customHeight="1" outlineLevel="3" x14ac:dyDescent="0.2">
      <c r="A334" s="10">
        <v>41</v>
      </c>
      <c r="B334" s="10" t="s">
        <v>71</v>
      </c>
      <c r="C334" s="10" t="s">
        <v>214</v>
      </c>
      <c r="D334" s="10" t="s">
        <v>208</v>
      </c>
      <c r="E334" s="11" t="str">
        <f t="array" ref="E334">_xlfn.XLOOKUP(D334,Insumos!B:B,Insumos!C:$C)</f>
        <v>KG</v>
      </c>
      <c r="F334" s="14">
        <v>2.0500000000000001E-2</v>
      </c>
      <c r="G334" s="92">
        <f t="array" ref="G334">IF(B334="insumo",_xlfn.XLOOKUP($D334,Insumos!$B$1:$B$996,Insumos!$D$1:$D$996),"")</f>
        <v>13.69</v>
      </c>
      <c r="H334" s="92">
        <v>0.28064499999999998</v>
      </c>
      <c r="I334" s="13">
        <v>0</v>
      </c>
      <c r="J334" s="13">
        <v>0</v>
      </c>
      <c r="K334" s="13"/>
      <c r="L334"/>
      <c r="M334"/>
      <c r="N334"/>
      <c r="O334"/>
      <c r="P334"/>
      <c r="Q334"/>
      <c r="R334"/>
      <c r="S334"/>
      <c r="T334"/>
      <c r="U334"/>
      <c r="V334"/>
      <c r="W334"/>
      <c r="X334"/>
      <c r="Y334"/>
      <c r="Z334"/>
      <c r="AA334"/>
      <c r="AB334"/>
      <c r="AC334"/>
      <c r="AD334"/>
      <c r="AE334"/>
      <c r="AF334"/>
      <c r="AG334"/>
      <c r="AH334"/>
      <c r="AI334"/>
      <c r="AJ334"/>
      <c r="AK334"/>
      <c r="AL334"/>
    </row>
    <row r="335" spans="1:38" ht="15.75" customHeight="1" outlineLevel="3" x14ac:dyDescent="0.2">
      <c r="A335" s="10">
        <v>62</v>
      </c>
      <c r="B335" s="10" t="s">
        <v>71</v>
      </c>
      <c r="C335" s="10" t="s">
        <v>214</v>
      </c>
      <c r="D335" s="10" t="s">
        <v>209</v>
      </c>
      <c r="E335" s="11" t="str">
        <f t="array" ref="E335">_xlfn.XLOOKUP(D335,Insumos!B:B,Insumos!C:$C)</f>
        <v>UN</v>
      </c>
      <c r="F335" s="14">
        <v>0.05</v>
      </c>
      <c r="G335" s="92">
        <f t="array" ref="G335">IF(B335="insumo",_xlfn.XLOOKUP($D335,Insumos!$B$1:$B$996,Insumos!$D$1:$D$996),"")</f>
        <v>0.27</v>
      </c>
      <c r="H335" s="92">
        <v>1.35E-2</v>
      </c>
      <c r="I335" s="13">
        <v>0</v>
      </c>
      <c r="J335" s="13">
        <v>0</v>
      </c>
      <c r="K335" s="13"/>
      <c r="L335"/>
      <c r="M335"/>
      <c r="N335"/>
      <c r="O335"/>
      <c r="P335"/>
      <c r="Q335"/>
      <c r="R335"/>
      <c r="S335"/>
      <c r="T335"/>
      <c r="U335"/>
      <c r="V335"/>
      <c r="W335"/>
      <c r="X335"/>
      <c r="Y335"/>
      <c r="Z335"/>
      <c r="AA335"/>
      <c r="AB335"/>
      <c r="AC335"/>
      <c r="AD335"/>
      <c r="AE335"/>
      <c r="AF335"/>
      <c r="AG335"/>
      <c r="AH335"/>
      <c r="AI335"/>
      <c r="AJ335"/>
      <c r="AK335"/>
      <c r="AL335"/>
    </row>
    <row r="336" spans="1:38" ht="15.75" customHeight="1" outlineLevel="2" x14ac:dyDescent="0.2">
      <c r="A336" s="1067">
        <v>1</v>
      </c>
      <c r="B336" s="1067" t="s">
        <v>68</v>
      </c>
      <c r="C336" s="1067" t="s">
        <v>216</v>
      </c>
      <c r="D336" s="1067" t="s">
        <v>216</v>
      </c>
      <c r="E336" s="1068" t="s">
        <v>206</v>
      </c>
      <c r="F336" s="1067"/>
      <c r="G336" s="1069" t="str">
        <f t="array" ref="G336">IF(B336="insumo",_xlfn.XLOOKUP($D336,Insumos!$B$1:$B$996,Insumos!$D$1:$D$996),"")</f>
        <v/>
      </c>
      <c r="H336" s="1069">
        <v>5.8320238742016697</v>
      </c>
      <c r="I336" s="1070">
        <v>0</v>
      </c>
      <c r="J336" s="1070">
        <v>0</v>
      </c>
      <c r="K336" s="1070"/>
      <c r="L336"/>
      <c r="M336"/>
      <c r="N336"/>
      <c r="O336"/>
      <c r="P336"/>
      <c r="Q336"/>
      <c r="R336"/>
      <c r="S336"/>
      <c r="T336"/>
      <c r="U336"/>
      <c r="V336"/>
      <c r="W336"/>
      <c r="X336"/>
      <c r="Y336"/>
      <c r="Z336"/>
      <c r="AA336"/>
      <c r="AB336"/>
      <c r="AC336"/>
      <c r="AD336"/>
      <c r="AE336"/>
      <c r="AF336"/>
      <c r="AG336"/>
      <c r="AH336"/>
      <c r="AI336"/>
      <c r="AJ336"/>
      <c r="AK336"/>
      <c r="AL336"/>
    </row>
    <row r="337" spans="1:38" ht="15.75" customHeight="1" outlineLevel="3" x14ac:dyDescent="0.2">
      <c r="A337" s="10">
        <v>4</v>
      </c>
      <c r="B337" s="10" t="s">
        <v>71</v>
      </c>
      <c r="C337" s="10" t="s">
        <v>216</v>
      </c>
      <c r="D337" s="10" t="s">
        <v>217</v>
      </c>
      <c r="E337" s="11" t="str">
        <f t="array" ref="E337">_xlfn.XLOOKUP(D337,Insumos!B:B,Insumos!C:$C)</f>
        <v>KG</v>
      </c>
      <c r="F337" s="14">
        <v>1.1000000000000001</v>
      </c>
      <c r="G337" s="92">
        <f t="array" ref="G337">IF(B337="insumo",_xlfn.XLOOKUP($D337,Insumos!$B$1:$B$996,Insumos!$D$1:$D$996),"")</f>
        <v>5.0344353401833359</v>
      </c>
      <c r="H337" s="92">
        <v>5.5378788742016702</v>
      </c>
      <c r="I337" s="13">
        <v>0</v>
      </c>
      <c r="J337" s="13">
        <v>0</v>
      </c>
      <c r="K337" s="13"/>
      <c r="L337"/>
      <c r="M337"/>
      <c r="N337"/>
      <c r="O337"/>
      <c r="P337"/>
      <c r="Q337"/>
      <c r="R337"/>
      <c r="S337"/>
      <c r="T337"/>
      <c r="U337"/>
      <c r="V337"/>
      <c r="W337"/>
      <c r="X337"/>
      <c r="Y337"/>
      <c r="Z337"/>
      <c r="AA337"/>
      <c r="AB337"/>
      <c r="AC337"/>
      <c r="AD337"/>
      <c r="AE337"/>
      <c r="AF337"/>
      <c r="AG337"/>
      <c r="AH337"/>
      <c r="AI337"/>
      <c r="AJ337"/>
      <c r="AK337"/>
      <c r="AL337"/>
    </row>
    <row r="338" spans="1:38" ht="15.75" customHeight="1" outlineLevel="3" x14ac:dyDescent="0.2">
      <c r="A338" s="10">
        <v>41</v>
      </c>
      <c r="B338" s="10" t="s">
        <v>71</v>
      </c>
      <c r="C338" s="10" t="s">
        <v>216</v>
      </c>
      <c r="D338" s="10" t="s">
        <v>208</v>
      </c>
      <c r="E338" s="11" t="str">
        <f t="array" ref="E338">_xlfn.XLOOKUP(D338,Insumos!B:B,Insumos!C:$C)</f>
        <v>KG</v>
      </c>
      <c r="F338" s="14">
        <v>2.0500000000000001E-2</v>
      </c>
      <c r="G338" s="92">
        <f t="array" ref="G338">IF(B338="insumo",_xlfn.XLOOKUP($D338,Insumos!$B$1:$B$996,Insumos!$D$1:$D$996),"")</f>
        <v>13.69</v>
      </c>
      <c r="H338" s="92">
        <v>0.28064499999999998</v>
      </c>
      <c r="I338" s="13">
        <v>0</v>
      </c>
      <c r="J338" s="13">
        <v>0</v>
      </c>
      <c r="K338" s="13"/>
      <c r="L338"/>
      <c r="M338"/>
      <c r="N338"/>
      <c r="O338"/>
      <c r="P338"/>
      <c r="Q338"/>
      <c r="R338"/>
      <c r="S338"/>
      <c r="T338"/>
      <c r="U338"/>
      <c r="V338"/>
      <c r="W338"/>
      <c r="X338"/>
      <c r="Y338"/>
      <c r="Z338"/>
      <c r="AA338"/>
      <c r="AB338"/>
      <c r="AC338"/>
      <c r="AD338"/>
      <c r="AE338"/>
      <c r="AF338"/>
      <c r="AG338"/>
      <c r="AH338"/>
      <c r="AI338"/>
      <c r="AJ338"/>
      <c r="AK338"/>
      <c r="AL338"/>
    </row>
    <row r="339" spans="1:38" ht="15.75" customHeight="1" outlineLevel="3" x14ac:dyDescent="0.2">
      <c r="A339" s="10">
        <v>62</v>
      </c>
      <c r="B339" s="10" t="s">
        <v>71</v>
      </c>
      <c r="C339" s="10" t="s">
        <v>216</v>
      </c>
      <c r="D339" s="10" t="s">
        <v>209</v>
      </c>
      <c r="E339" s="11" t="str">
        <f t="array" ref="E339">_xlfn.XLOOKUP(D339,Insumos!B:B,Insumos!C:$C)</f>
        <v>UN</v>
      </c>
      <c r="F339" s="14">
        <v>0.05</v>
      </c>
      <c r="G339" s="92">
        <f t="array" ref="G339">IF(B339="insumo",_xlfn.XLOOKUP($D339,Insumos!$B$1:$B$996,Insumos!$D$1:$D$996),"")</f>
        <v>0.27</v>
      </c>
      <c r="H339" s="92">
        <v>1.35E-2</v>
      </c>
      <c r="I339" s="13">
        <v>0</v>
      </c>
      <c r="J339" s="13">
        <v>0</v>
      </c>
      <c r="K339" s="13"/>
      <c r="L339"/>
      <c r="M339"/>
      <c r="N339"/>
      <c r="O339"/>
      <c r="P339"/>
      <c r="Q339"/>
      <c r="R339"/>
      <c r="S339"/>
      <c r="T339"/>
      <c r="U339"/>
      <c r="V339"/>
      <c r="W339"/>
      <c r="X339"/>
      <c r="Y339"/>
      <c r="Z339"/>
      <c r="AA339"/>
      <c r="AB339"/>
      <c r="AC339"/>
      <c r="AD339"/>
      <c r="AE339"/>
      <c r="AF339"/>
      <c r="AG339"/>
      <c r="AH339"/>
      <c r="AI339"/>
      <c r="AJ339"/>
      <c r="AK339"/>
      <c r="AL339"/>
    </row>
    <row r="340" spans="1:38" ht="15.75" customHeight="1" outlineLevel="2" x14ac:dyDescent="0.2">
      <c r="A340" s="1067">
        <v>1</v>
      </c>
      <c r="B340" s="1067" t="s">
        <v>68</v>
      </c>
      <c r="C340" s="1067" t="s">
        <v>218</v>
      </c>
      <c r="D340" s="1067" t="s">
        <v>218</v>
      </c>
      <c r="E340" s="1068" t="s">
        <v>206</v>
      </c>
      <c r="F340" s="1067"/>
      <c r="G340" s="1069" t="str">
        <f t="array" ref="G340">IF(B340="insumo",_xlfn.XLOOKUP($D340,Insumos!$B$1:$B$996,Insumos!$D$1:$D$996),"")</f>
        <v/>
      </c>
      <c r="H340" s="1069">
        <v>7.0532266249184001</v>
      </c>
      <c r="I340" s="1070">
        <v>0</v>
      </c>
      <c r="J340" s="1070">
        <v>0</v>
      </c>
      <c r="K340" s="1070"/>
      <c r="L340"/>
      <c r="M340"/>
      <c r="N340"/>
      <c r="O340"/>
      <c r="P340"/>
      <c r="Q340"/>
      <c r="R340"/>
      <c r="S340"/>
      <c r="T340"/>
      <c r="U340"/>
      <c r="V340"/>
      <c r="W340"/>
      <c r="X340"/>
      <c r="Y340"/>
      <c r="Z340"/>
      <c r="AA340"/>
      <c r="AB340"/>
      <c r="AC340"/>
      <c r="AD340"/>
      <c r="AE340"/>
      <c r="AF340"/>
      <c r="AG340"/>
      <c r="AH340"/>
      <c r="AI340"/>
      <c r="AJ340"/>
      <c r="AK340"/>
      <c r="AL340"/>
    </row>
    <row r="341" spans="1:38" ht="15.75" customHeight="1" outlineLevel="3" x14ac:dyDescent="0.2">
      <c r="A341" s="10">
        <v>5</v>
      </c>
      <c r="B341" s="10" t="s">
        <v>71</v>
      </c>
      <c r="C341" s="10" t="s">
        <v>218</v>
      </c>
      <c r="D341" s="10" t="s">
        <v>219</v>
      </c>
      <c r="E341" s="11" t="str">
        <f t="array" ref="E341">_xlfn.XLOOKUP(D341,Insumos!B:B,Insumos!C:$C)</f>
        <v>KG</v>
      </c>
      <c r="F341" s="14">
        <v>1.1000000000000001</v>
      </c>
      <c r="G341" s="92">
        <f t="array" ref="G341">IF(B341="insumo",_xlfn.XLOOKUP($D341,Insumos!$B$1:$B$996,Insumos!$D$1:$D$996),"")</f>
        <v>6.1446196590167288</v>
      </c>
      <c r="H341" s="92">
        <v>6.7590816249183998</v>
      </c>
      <c r="I341" s="13">
        <v>0</v>
      </c>
      <c r="J341" s="13">
        <v>0</v>
      </c>
      <c r="K341" s="13"/>
      <c r="L341"/>
      <c r="M341"/>
      <c r="N341"/>
      <c r="O341"/>
      <c r="P341"/>
      <c r="Q341"/>
      <c r="R341"/>
      <c r="S341"/>
      <c r="T341"/>
      <c r="U341"/>
      <c r="V341"/>
      <c r="W341"/>
      <c r="X341"/>
      <c r="Y341"/>
      <c r="Z341"/>
      <c r="AA341"/>
      <c r="AB341"/>
      <c r="AC341"/>
      <c r="AD341"/>
      <c r="AE341"/>
      <c r="AF341"/>
      <c r="AG341"/>
      <c r="AH341"/>
      <c r="AI341"/>
      <c r="AJ341"/>
      <c r="AK341"/>
      <c r="AL341"/>
    </row>
    <row r="342" spans="1:38" ht="15.75" customHeight="1" outlineLevel="3" x14ac:dyDescent="0.2">
      <c r="A342" s="10">
        <v>41</v>
      </c>
      <c r="B342" s="10" t="s">
        <v>71</v>
      </c>
      <c r="C342" s="10" t="s">
        <v>218</v>
      </c>
      <c r="D342" s="10" t="s">
        <v>208</v>
      </c>
      <c r="E342" s="11" t="str">
        <f t="array" ref="E342">_xlfn.XLOOKUP(D342,Insumos!B:B,Insumos!C:$C)</f>
        <v>KG</v>
      </c>
      <c r="F342" s="14">
        <v>2.0500000000000001E-2</v>
      </c>
      <c r="G342" s="92">
        <f t="array" ref="G342">IF(B342="insumo",_xlfn.XLOOKUP($D342,Insumos!$B$1:$B$996,Insumos!$D$1:$D$996),"")</f>
        <v>13.69</v>
      </c>
      <c r="H342" s="92">
        <v>0.28064499999999998</v>
      </c>
      <c r="I342" s="13">
        <v>0</v>
      </c>
      <c r="J342" s="13">
        <v>0</v>
      </c>
      <c r="K342" s="13"/>
      <c r="L342"/>
      <c r="M342"/>
      <c r="N342"/>
      <c r="O342"/>
      <c r="P342"/>
      <c r="Q342"/>
      <c r="R342"/>
      <c r="S342"/>
      <c r="T342"/>
      <c r="U342"/>
      <c r="V342"/>
      <c r="W342"/>
      <c r="X342"/>
      <c r="Y342"/>
      <c r="Z342"/>
      <c r="AA342"/>
      <c r="AB342"/>
      <c r="AC342"/>
      <c r="AD342"/>
      <c r="AE342"/>
      <c r="AF342"/>
      <c r="AG342"/>
      <c r="AH342"/>
      <c r="AI342"/>
      <c r="AJ342"/>
      <c r="AK342"/>
      <c r="AL342"/>
    </row>
    <row r="343" spans="1:38" ht="15.75" customHeight="1" outlineLevel="3" x14ac:dyDescent="0.2">
      <c r="A343" s="10">
        <v>62</v>
      </c>
      <c r="B343" s="10" t="s">
        <v>71</v>
      </c>
      <c r="C343" s="10" t="s">
        <v>218</v>
      </c>
      <c r="D343" s="10" t="s">
        <v>209</v>
      </c>
      <c r="E343" s="11" t="str">
        <f t="array" ref="E343">_xlfn.XLOOKUP(D343,Insumos!B:B,Insumos!C:$C)</f>
        <v>UN</v>
      </c>
      <c r="F343" s="14">
        <v>0.05</v>
      </c>
      <c r="G343" s="92">
        <f t="array" ref="G343">IF(B343="insumo",_xlfn.XLOOKUP($D343,Insumos!$B$1:$B$996,Insumos!$D$1:$D$996),"")</f>
        <v>0.27</v>
      </c>
      <c r="H343" s="92">
        <v>1.35E-2</v>
      </c>
      <c r="I343" s="13">
        <v>0</v>
      </c>
      <c r="J343" s="13">
        <v>0</v>
      </c>
      <c r="K343" s="13"/>
      <c r="L343"/>
      <c r="M343"/>
      <c r="N343"/>
      <c r="O343"/>
      <c r="P343"/>
      <c r="Q343"/>
      <c r="R343"/>
      <c r="S343"/>
      <c r="T343"/>
      <c r="U343"/>
      <c r="V343"/>
      <c r="W343"/>
      <c r="X343"/>
      <c r="Y343"/>
      <c r="Z343"/>
      <c r="AA343"/>
      <c r="AB343"/>
      <c r="AC343"/>
      <c r="AD343"/>
      <c r="AE343"/>
      <c r="AF343"/>
      <c r="AG343"/>
      <c r="AH343"/>
      <c r="AI343"/>
      <c r="AJ343"/>
      <c r="AK343"/>
      <c r="AL343"/>
    </row>
    <row r="344" spans="1:38" ht="15.75" customHeight="1" outlineLevel="1" x14ac:dyDescent="0.2">
      <c r="A344" s="1090">
        <v>5</v>
      </c>
      <c r="B344" s="1090" t="s">
        <v>1228</v>
      </c>
      <c r="C344" s="1090" t="s">
        <v>218</v>
      </c>
      <c r="D344" s="1090" t="s">
        <v>1380</v>
      </c>
      <c r="E344" s="1091"/>
      <c r="F344" s="1092"/>
      <c r="G344" s="1091"/>
      <c r="H344" s="1091">
        <v>0</v>
      </c>
      <c r="I344" s="1092">
        <v>0</v>
      </c>
      <c r="J344" s="1092">
        <v>0</v>
      </c>
      <c r="K344" s="1092"/>
      <c r="L344"/>
      <c r="M344"/>
      <c r="N344"/>
      <c r="O344"/>
      <c r="P344"/>
      <c r="Q344"/>
      <c r="R344"/>
      <c r="S344"/>
      <c r="T344"/>
      <c r="U344"/>
      <c r="V344"/>
      <c r="W344"/>
      <c r="X344"/>
      <c r="Y344"/>
      <c r="Z344"/>
      <c r="AA344"/>
      <c r="AB344"/>
      <c r="AC344"/>
      <c r="AD344"/>
      <c r="AE344"/>
      <c r="AF344"/>
      <c r="AG344"/>
      <c r="AH344"/>
      <c r="AI344"/>
      <c r="AJ344"/>
      <c r="AK344"/>
      <c r="AL344"/>
    </row>
    <row r="345" spans="1:38" ht="15.75" customHeight="1" outlineLevel="2" x14ac:dyDescent="0.2">
      <c r="A345" s="1067">
        <v>1</v>
      </c>
      <c r="B345" s="1067" t="s">
        <v>68</v>
      </c>
      <c r="C345" s="1067" t="s">
        <v>220</v>
      </c>
      <c r="D345" s="1067" t="s">
        <v>220</v>
      </c>
      <c r="E345" s="1068" t="s">
        <v>152</v>
      </c>
      <c r="F345" s="1067"/>
      <c r="G345" s="1069" t="str">
        <f t="array" ref="G345">IF(B345="insumo",_xlfn.XLOOKUP($D345,Insumos!$B$1:$B$996,Insumos!$D$1:$D$996),"")</f>
        <v/>
      </c>
      <c r="H345" s="1069">
        <v>693.66</v>
      </c>
      <c r="I345" s="1070">
        <v>0</v>
      </c>
      <c r="J345" s="1070">
        <v>0</v>
      </c>
      <c r="K345" s="1070"/>
      <c r="L345"/>
      <c r="M345"/>
      <c r="N345"/>
      <c r="O345"/>
      <c r="P345"/>
      <c r="Q345"/>
      <c r="R345"/>
      <c r="S345"/>
      <c r="T345"/>
      <c r="U345"/>
      <c r="V345"/>
      <c r="W345"/>
      <c r="X345"/>
      <c r="Y345"/>
      <c r="Z345"/>
      <c r="AA345"/>
      <c r="AB345"/>
      <c r="AC345"/>
      <c r="AD345"/>
      <c r="AE345"/>
      <c r="AF345"/>
      <c r="AG345"/>
      <c r="AH345"/>
      <c r="AI345"/>
      <c r="AJ345"/>
      <c r="AK345"/>
      <c r="AL345"/>
    </row>
    <row r="346" spans="1:38" ht="15.75" customHeight="1" outlineLevel="3" x14ac:dyDescent="0.2">
      <c r="A346" s="10">
        <v>3</v>
      </c>
      <c r="B346" s="10" t="s">
        <v>71</v>
      </c>
      <c r="C346" s="10" t="s">
        <v>220</v>
      </c>
      <c r="D346" s="10" t="s">
        <v>221</v>
      </c>
      <c r="E346" s="11" t="str">
        <f t="array" ref="E346">_xlfn.XLOOKUP(D346,Insumos!B:B,Insumos!C:$C)</f>
        <v>M3</v>
      </c>
      <c r="F346" s="14">
        <v>1.3</v>
      </c>
      <c r="G346" s="92">
        <f t="array" ref="G346">IF(B346="insumo",_xlfn.XLOOKUP($D346,Insumos!$B$1:$B$996,Insumos!$D$1:$D$996),"")</f>
        <v>492.99999999999994</v>
      </c>
      <c r="H346" s="92">
        <v>640.9</v>
      </c>
      <c r="I346" s="13">
        <v>0</v>
      </c>
      <c r="J346" s="13">
        <v>0</v>
      </c>
      <c r="K346" s="13"/>
      <c r="L346"/>
      <c r="M346"/>
      <c r="N346"/>
      <c r="O346"/>
      <c r="P346"/>
      <c r="Q346"/>
      <c r="R346"/>
      <c r="S346"/>
      <c r="T346"/>
      <c r="U346"/>
      <c r="V346"/>
      <c r="W346"/>
      <c r="X346"/>
      <c r="Y346"/>
      <c r="Z346"/>
      <c r="AA346"/>
      <c r="AB346"/>
      <c r="AC346"/>
      <c r="AD346"/>
      <c r="AE346"/>
      <c r="AF346"/>
      <c r="AG346"/>
      <c r="AH346"/>
      <c r="AI346"/>
      <c r="AJ346"/>
      <c r="AK346"/>
      <c r="AL346"/>
    </row>
    <row r="347" spans="1:38" ht="15.75" customHeight="1" outlineLevel="3" x14ac:dyDescent="0.2">
      <c r="A347" s="10">
        <v>25</v>
      </c>
      <c r="B347" s="10" t="s">
        <v>71</v>
      </c>
      <c r="C347" s="10" t="s">
        <v>220</v>
      </c>
      <c r="D347" s="10" t="s">
        <v>159</v>
      </c>
      <c r="E347" s="11" t="str">
        <f t="array" ref="E347">_xlfn.XLOOKUP(D347,Insumos!B:B,Insumos!C:$C)</f>
        <v>M3</v>
      </c>
      <c r="F347" s="14">
        <v>1.3</v>
      </c>
      <c r="G347" s="92">
        <f t="array" ref="G347">IF(B347="insumo",_xlfn.XLOOKUP($D347,Insumos!$B$1:$B$996,Insumos!$D$1:$D$996),"")</f>
        <v>40</v>
      </c>
      <c r="H347" s="92">
        <v>52</v>
      </c>
      <c r="I347" s="13">
        <v>0</v>
      </c>
      <c r="J347" s="13">
        <v>0</v>
      </c>
      <c r="K347" s="13"/>
      <c r="L347"/>
      <c r="M347"/>
      <c r="N347"/>
      <c r="O347"/>
      <c r="P347"/>
      <c r="Q347"/>
      <c r="R347"/>
      <c r="S347"/>
      <c r="T347"/>
      <c r="U347"/>
      <c r="V347"/>
      <c r="W347"/>
      <c r="X347"/>
      <c r="Y347"/>
      <c r="Z347"/>
      <c r="AA347"/>
      <c r="AB347"/>
      <c r="AC347"/>
      <c r="AD347"/>
      <c r="AE347"/>
      <c r="AF347"/>
      <c r="AG347"/>
      <c r="AH347"/>
      <c r="AI347"/>
      <c r="AJ347"/>
      <c r="AK347"/>
      <c r="AL347"/>
    </row>
    <row r="348" spans="1:38" ht="15.75" customHeight="1" outlineLevel="3" x14ac:dyDescent="0.2">
      <c r="A348" s="10">
        <v>62</v>
      </c>
      <c r="B348" s="10" t="s">
        <v>71</v>
      </c>
      <c r="C348" s="10" t="s">
        <v>220</v>
      </c>
      <c r="D348" s="10" t="s">
        <v>160</v>
      </c>
      <c r="E348" s="11" t="str">
        <f t="array" ref="E348">_xlfn.XLOOKUP(D348,Insumos!B:B,Insumos!C:$C)</f>
        <v>KG</v>
      </c>
      <c r="F348" s="14">
        <v>1</v>
      </c>
      <c r="G348" s="92">
        <f t="array" ref="G348">IF(B348="insumo",_xlfn.XLOOKUP($D348,Insumos!$B$1:$B$996,Insumos!$D$1:$D$996),"")</f>
        <v>0.76</v>
      </c>
      <c r="H348" s="92">
        <v>0.76</v>
      </c>
      <c r="I348" s="13">
        <v>0</v>
      </c>
      <c r="J348" s="13">
        <v>0</v>
      </c>
      <c r="K348" s="13"/>
      <c r="L348"/>
      <c r="M348"/>
      <c r="N348"/>
      <c r="O348"/>
      <c r="P348"/>
      <c r="Q348"/>
      <c r="R348"/>
      <c r="S348"/>
      <c r="T348"/>
      <c r="U348"/>
      <c r="V348"/>
      <c r="W348"/>
      <c r="X348"/>
      <c r="Y348"/>
      <c r="Z348"/>
      <c r="AA348"/>
      <c r="AB348"/>
      <c r="AC348"/>
      <c r="AD348"/>
      <c r="AE348"/>
      <c r="AF348"/>
      <c r="AG348"/>
      <c r="AH348"/>
      <c r="AI348"/>
      <c r="AJ348"/>
      <c r="AK348"/>
      <c r="AL348"/>
    </row>
    <row r="349" spans="1:38" ht="15.75" customHeight="1" outlineLevel="2" x14ac:dyDescent="0.2">
      <c r="A349" s="1067">
        <v>1</v>
      </c>
      <c r="B349" s="1067" t="s">
        <v>68</v>
      </c>
      <c r="C349" s="1067" t="s">
        <v>222</v>
      </c>
      <c r="D349" s="1067" t="s">
        <v>222</v>
      </c>
      <c r="E349" s="1068" t="s">
        <v>152</v>
      </c>
      <c r="F349" s="1067"/>
      <c r="G349" s="1069" t="str">
        <f t="array" ref="G349">IF(B349="insumo",_xlfn.XLOOKUP($D349,Insumos!$B$1:$B$996,Insumos!$D$1:$D$996),"")</f>
        <v/>
      </c>
      <c r="H349" s="1069">
        <v>725.70500000000004</v>
      </c>
      <c r="I349" s="1070">
        <v>0</v>
      </c>
      <c r="J349" s="1070">
        <v>0</v>
      </c>
      <c r="K349" s="1070"/>
      <c r="L349"/>
      <c r="M349"/>
      <c r="N349"/>
      <c r="O349"/>
      <c r="P349"/>
      <c r="Q349"/>
      <c r="R349"/>
      <c r="S349"/>
      <c r="T349"/>
      <c r="U349"/>
      <c r="V349"/>
      <c r="W349"/>
      <c r="X349"/>
      <c r="Y349"/>
      <c r="Z349"/>
      <c r="AA349"/>
      <c r="AB349"/>
      <c r="AC349"/>
      <c r="AD349"/>
      <c r="AE349"/>
      <c r="AF349"/>
      <c r="AG349"/>
      <c r="AH349"/>
      <c r="AI349"/>
      <c r="AJ349"/>
      <c r="AK349"/>
      <c r="AL349"/>
    </row>
    <row r="350" spans="1:38" ht="15.75" customHeight="1" outlineLevel="3" x14ac:dyDescent="0.2">
      <c r="A350" s="10">
        <v>1</v>
      </c>
      <c r="B350" s="10" t="s">
        <v>71</v>
      </c>
      <c r="C350" s="10" t="s">
        <v>222</v>
      </c>
      <c r="D350" s="10" t="s">
        <v>223</v>
      </c>
      <c r="E350" s="11" t="str">
        <f t="array" ref="E350">_xlfn.XLOOKUP(D350,Insumos!B:B,Insumos!C:$C)</f>
        <v>M3</v>
      </c>
      <c r="F350" s="14">
        <v>1.3</v>
      </c>
      <c r="G350" s="92">
        <f t="array" ref="G350">IF(B350="insumo",_xlfn.XLOOKUP($D350,Insumos!$B$1:$B$996,Insumos!$D$1:$D$996),"")</f>
        <v>517.65</v>
      </c>
      <c r="H350" s="92">
        <v>672.94500000000005</v>
      </c>
      <c r="I350" s="13">
        <v>0</v>
      </c>
      <c r="J350" s="13">
        <v>0</v>
      </c>
      <c r="K350" s="13"/>
      <c r="L350"/>
      <c r="M350"/>
      <c r="N350"/>
      <c r="O350"/>
      <c r="P350"/>
      <c r="Q350"/>
      <c r="R350"/>
      <c r="S350"/>
      <c r="T350"/>
      <c r="U350"/>
      <c r="V350"/>
      <c r="W350"/>
      <c r="X350"/>
      <c r="Y350"/>
      <c r="Z350"/>
      <c r="AA350"/>
      <c r="AB350"/>
      <c r="AC350"/>
      <c r="AD350"/>
      <c r="AE350"/>
      <c r="AF350"/>
      <c r="AG350"/>
      <c r="AH350"/>
      <c r="AI350"/>
      <c r="AJ350"/>
      <c r="AK350"/>
      <c r="AL350"/>
    </row>
    <row r="351" spans="1:38" ht="15.75" customHeight="1" outlineLevel="3" x14ac:dyDescent="0.2">
      <c r="A351" s="10">
        <v>25</v>
      </c>
      <c r="B351" s="10" t="s">
        <v>71</v>
      </c>
      <c r="C351" s="10" t="s">
        <v>222</v>
      </c>
      <c r="D351" s="10" t="s">
        <v>159</v>
      </c>
      <c r="E351" s="11" t="str">
        <f t="array" ref="E351">_xlfn.XLOOKUP(D351,Insumos!B:B,Insumos!C:$C)</f>
        <v>M3</v>
      </c>
      <c r="F351" s="14">
        <v>1.3</v>
      </c>
      <c r="G351" s="92">
        <f t="array" ref="G351">IF(B351="insumo",_xlfn.XLOOKUP($D351,Insumos!$B$1:$B$996,Insumos!$D$1:$D$996),"")</f>
        <v>40</v>
      </c>
      <c r="H351" s="92">
        <v>52</v>
      </c>
      <c r="I351" s="13">
        <v>0</v>
      </c>
      <c r="J351" s="13">
        <v>0</v>
      </c>
      <c r="K351" s="13"/>
      <c r="L351"/>
      <c r="M351"/>
      <c r="N351"/>
      <c r="O351"/>
      <c r="P351"/>
      <c r="Q351"/>
      <c r="R351"/>
      <c r="S351"/>
      <c r="T351"/>
      <c r="U351"/>
      <c r="V351"/>
      <c r="W351"/>
      <c r="X351"/>
      <c r="Y351"/>
      <c r="Z351"/>
      <c r="AA351"/>
      <c r="AB351"/>
      <c r="AC351"/>
      <c r="AD351"/>
      <c r="AE351"/>
      <c r="AF351"/>
      <c r="AG351"/>
      <c r="AH351"/>
      <c r="AI351"/>
      <c r="AJ351"/>
      <c r="AK351"/>
      <c r="AL351"/>
    </row>
    <row r="352" spans="1:38" ht="15.75" customHeight="1" outlineLevel="3" x14ac:dyDescent="0.2">
      <c r="A352" s="10">
        <v>62</v>
      </c>
      <c r="B352" s="10" t="s">
        <v>71</v>
      </c>
      <c r="C352" s="10" t="s">
        <v>222</v>
      </c>
      <c r="D352" s="10" t="s">
        <v>160</v>
      </c>
      <c r="E352" s="11" t="str">
        <f t="array" ref="E352">_xlfn.XLOOKUP(D352,Insumos!B:B,Insumos!C:$C)</f>
        <v>KG</v>
      </c>
      <c r="F352" s="14">
        <v>1</v>
      </c>
      <c r="G352" s="92">
        <f t="array" ref="G352">IF(B352="insumo",_xlfn.XLOOKUP($D352,Insumos!$B$1:$B$996,Insumos!$D$1:$D$996),"")</f>
        <v>0.76</v>
      </c>
      <c r="H352" s="92">
        <v>0.76</v>
      </c>
      <c r="I352" s="13">
        <v>0</v>
      </c>
      <c r="J352" s="13">
        <v>0</v>
      </c>
      <c r="K352" s="13"/>
      <c r="L352"/>
      <c r="M352"/>
      <c r="N352"/>
      <c r="O352"/>
      <c r="P352"/>
      <c r="Q352"/>
      <c r="R352"/>
      <c r="S352"/>
      <c r="T352"/>
      <c r="U352"/>
      <c r="V352"/>
      <c r="W352"/>
      <c r="X352"/>
      <c r="Y352"/>
      <c r="Z352"/>
      <c r="AA352"/>
      <c r="AB352"/>
      <c r="AC352"/>
      <c r="AD352"/>
      <c r="AE352"/>
      <c r="AF352"/>
      <c r="AG352"/>
      <c r="AH352"/>
      <c r="AI352"/>
      <c r="AJ352"/>
      <c r="AK352"/>
      <c r="AL352"/>
    </row>
    <row r="353" spans="1:38" ht="15.75" customHeight="1" outlineLevel="2" x14ac:dyDescent="0.2">
      <c r="A353" s="1067">
        <v>1</v>
      </c>
      <c r="B353" s="1067" t="s">
        <v>68</v>
      </c>
      <c r="C353" s="1067" t="s">
        <v>224</v>
      </c>
      <c r="D353" s="1067" t="s">
        <v>224</v>
      </c>
      <c r="E353" s="1068" t="s">
        <v>152</v>
      </c>
      <c r="F353" s="1067"/>
      <c r="G353" s="1069" t="str">
        <f t="array" ref="G353">IF(B353="insumo",_xlfn.XLOOKUP($D353,Insumos!$B$1:$B$996,Insumos!$D$1:$D$996),"")</f>
        <v/>
      </c>
      <c r="H353" s="1069">
        <v>787.26</v>
      </c>
      <c r="I353" s="1070">
        <v>0</v>
      </c>
      <c r="J353" s="1070">
        <v>0</v>
      </c>
      <c r="K353" s="1070"/>
      <c r="L353"/>
      <c r="M353"/>
      <c r="N353"/>
      <c r="O353"/>
      <c r="P353"/>
      <c r="Q353"/>
      <c r="R353"/>
      <c r="S353"/>
      <c r="T353"/>
      <c r="U353"/>
      <c r="V353"/>
      <c r="W353"/>
      <c r="X353"/>
      <c r="Y353"/>
      <c r="Z353"/>
      <c r="AA353"/>
      <c r="AB353"/>
      <c r="AC353"/>
      <c r="AD353"/>
      <c r="AE353"/>
      <c r="AF353"/>
      <c r="AG353"/>
      <c r="AH353"/>
      <c r="AI353"/>
      <c r="AJ353"/>
      <c r="AK353"/>
      <c r="AL353"/>
    </row>
    <row r="354" spans="1:38" ht="15.75" customHeight="1" outlineLevel="3" x14ac:dyDescent="0.2">
      <c r="A354" s="10">
        <v>1</v>
      </c>
      <c r="B354" s="10" t="s">
        <v>71</v>
      </c>
      <c r="C354" s="10" t="s">
        <v>224</v>
      </c>
      <c r="D354" s="10" t="s">
        <v>225</v>
      </c>
      <c r="E354" s="11" t="str">
        <f t="array" ref="E354">_xlfn.XLOOKUP(D354,Insumos!B:B,Insumos!C:$C)</f>
        <v>M3</v>
      </c>
      <c r="F354" s="14">
        <v>1.3</v>
      </c>
      <c r="G354" s="92">
        <f t="array" ref="G354">IF(B354="insumo",_xlfn.XLOOKUP($D354,Insumos!$B$1:$B$996,Insumos!$D$1:$D$996),"")</f>
        <v>565</v>
      </c>
      <c r="H354" s="92">
        <v>734.5</v>
      </c>
      <c r="I354" s="13">
        <v>0</v>
      </c>
      <c r="J354" s="13">
        <v>0</v>
      </c>
      <c r="K354" s="13"/>
      <c r="L354"/>
      <c r="M354"/>
      <c r="N354"/>
      <c r="O354"/>
      <c r="P354"/>
      <c r="Q354"/>
      <c r="R354"/>
      <c r="S354"/>
      <c r="T354"/>
      <c r="U354"/>
      <c r="V354"/>
      <c r="W354"/>
      <c r="X354"/>
      <c r="Y354"/>
      <c r="Z354"/>
      <c r="AA354"/>
      <c r="AB354"/>
      <c r="AC354"/>
      <c r="AD354"/>
      <c r="AE354"/>
      <c r="AF354"/>
      <c r="AG354"/>
      <c r="AH354"/>
      <c r="AI354"/>
      <c r="AJ354"/>
      <c r="AK354"/>
      <c r="AL354"/>
    </row>
    <row r="355" spans="1:38" ht="15.75" customHeight="1" outlineLevel="3" x14ac:dyDescent="0.2">
      <c r="A355" s="10">
        <v>25</v>
      </c>
      <c r="B355" s="10" t="s">
        <v>71</v>
      </c>
      <c r="C355" s="10" t="s">
        <v>224</v>
      </c>
      <c r="D355" s="10" t="s">
        <v>159</v>
      </c>
      <c r="E355" s="11" t="str">
        <f t="array" ref="E355">_xlfn.XLOOKUP(D355,Insumos!B:B,Insumos!C:$C)</f>
        <v>M3</v>
      </c>
      <c r="F355" s="14">
        <v>1.3</v>
      </c>
      <c r="G355" s="92">
        <f t="array" ref="G355">IF(B355="insumo",_xlfn.XLOOKUP($D355,Insumos!$B$1:$B$996,Insumos!$D$1:$D$996),"")</f>
        <v>40</v>
      </c>
      <c r="H355" s="92">
        <v>52</v>
      </c>
      <c r="I355" s="13">
        <v>0</v>
      </c>
      <c r="J355" s="13">
        <v>0</v>
      </c>
      <c r="K355" s="13"/>
      <c r="L355"/>
      <c r="M355"/>
      <c r="N355"/>
      <c r="O355"/>
      <c r="P355"/>
      <c r="Q355"/>
      <c r="R355"/>
      <c r="S355"/>
      <c r="T355"/>
      <c r="U355"/>
      <c r="V355"/>
      <c r="W355"/>
      <c r="X355"/>
      <c r="Y355"/>
      <c r="Z355"/>
      <c r="AA355"/>
      <c r="AB355"/>
      <c r="AC355"/>
      <c r="AD355"/>
      <c r="AE355"/>
      <c r="AF355"/>
      <c r="AG355"/>
      <c r="AH355"/>
      <c r="AI355"/>
      <c r="AJ355"/>
      <c r="AK355"/>
      <c r="AL355"/>
    </row>
    <row r="356" spans="1:38" ht="15.75" customHeight="1" outlineLevel="3" x14ac:dyDescent="0.2">
      <c r="A356" s="10">
        <v>62</v>
      </c>
      <c r="B356" s="10" t="s">
        <v>71</v>
      </c>
      <c r="C356" s="10" t="s">
        <v>224</v>
      </c>
      <c r="D356" s="10" t="s">
        <v>160</v>
      </c>
      <c r="E356" s="11" t="str">
        <f t="array" ref="E356">_xlfn.XLOOKUP(D356,Insumos!B:B,Insumos!C:$C)</f>
        <v>KG</v>
      </c>
      <c r="F356" s="14">
        <v>1</v>
      </c>
      <c r="G356" s="92">
        <f t="array" ref="G356">IF(B356="insumo",_xlfn.XLOOKUP($D356,Insumos!$B$1:$B$996,Insumos!$D$1:$D$996),"")</f>
        <v>0.76</v>
      </c>
      <c r="H356" s="92">
        <v>0.76</v>
      </c>
      <c r="I356" s="13">
        <v>0</v>
      </c>
      <c r="J356" s="13">
        <v>0</v>
      </c>
      <c r="K356" s="13"/>
      <c r="L356"/>
      <c r="M356"/>
      <c r="N356"/>
      <c r="O356"/>
      <c r="P356"/>
      <c r="Q356"/>
      <c r="R356"/>
      <c r="S356"/>
      <c r="T356"/>
      <c r="U356"/>
      <c r="V356"/>
      <c r="W356"/>
      <c r="X356"/>
      <c r="Y356"/>
      <c r="Z356"/>
      <c r="AA356"/>
      <c r="AB356"/>
      <c r="AC356"/>
      <c r="AD356"/>
      <c r="AE356"/>
      <c r="AF356"/>
      <c r="AG356"/>
      <c r="AH356"/>
      <c r="AI356"/>
      <c r="AJ356"/>
      <c r="AK356"/>
      <c r="AL356"/>
    </row>
    <row r="357" spans="1:38" ht="15.75" customHeight="1" outlineLevel="2" x14ac:dyDescent="0.2">
      <c r="A357" s="1067">
        <v>1</v>
      </c>
      <c r="B357" s="1067" t="s">
        <v>68</v>
      </c>
      <c r="C357" s="1067" t="s">
        <v>226</v>
      </c>
      <c r="D357" s="1067" t="s">
        <v>226</v>
      </c>
      <c r="E357" s="1068" t="s">
        <v>152</v>
      </c>
      <c r="F357" s="1067"/>
      <c r="G357" s="1069" t="str">
        <f t="array" ref="G357">IF(B357="insumo",_xlfn.XLOOKUP($D357,Insumos!$B$1:$B$996,Insumos!$D$1:$D$996),"")</f>
        <v/>
      </c>
      <c r="H357" s="1069">
        <v>741.76</v>
      </c>
      <c r="I357" s="1070">
        <v>0</v>
      </c>
      <c r="J357" s="1070">
        <v>0</v>
      </c>
      <c r="K357" s="1070"/>
      <c r="L357"/>
      <c r="M357"/>
      <c r="N357"/>
      <c r="O357"/>
      <c r="P357"/>
      <c r="Q357"/>
      <c r="R357"/>
      <c r="S357"/>
      <c r="T357"/>
      <c r="U357"/>
      <c r="V357"/>
      <c r="W357"/>
      <c r="X357"/>
      <c r="Y357"/>
      <c r="Z357"/>
      <c r="AA357"/>
      <c r="AB357"/>
      <c r="AC357"/>
      <c r="AD357"/>
      <c r="AE357"/>
      <c r="AF357"/>
      <c r="AG357"/>
      <c r="AH357"/>
      <c r="AI357"/>
      <c r="AJ357"/>
      <c r="AK357"/>
      <c r="AL357"/>
    </row>
    <row r="358" spans="1:38" ht="15.75" customHeight="1" outlineLevel="3" x14ac:dyDescent="0.2">
      <c r="A358" s="10">
        <v>1</v>
      </c>
      <c r="B358" s="10" t="s">
        <v>71</v>
      </c>
      <c r="C358" s="10" t="s">
        <v>226</v>
      </c>
      <c r="D358" s="10" t="s">
        <v>227</v>
      </c>
      <c r="E358" s="11" t="str">
        <f t="array" ref="E358">_xlfn.XLOOKUP(D358,Insumos!B:B,Insumos!C:$C)</f>
        <v>M3</v>
      </c>
      <c r="F358" s="14">
        <v>1.3</v>
      </c>
      <c r="G358" s="92">
        <f t="array" ref="G358">IF(B358="insumo",_xlfn.XLOOKUP($D358,Insumos!$B$1:$B$996,Insumos!$D$1:$D$996),"")</f>
        <v>530</v>
      </c>
      <c r="H358" s="92">
        <v>689</v>
      </c>
      <c r="I358" s="13">
        <v>0</v>
      </c>
      <c r="J358" s="13">
        <v>0</v>
      </c>
      <c r="K358" s="13"/>
      <c r="L358"/>
      <c r="M358"/>
      <c r="N358"/>
      <c r="O358"/>
      <c r="P358"/>
      <c r="Q358"/>
      <c r="R358"/>
      <c r="S358"/>
      <c r="T358"/>
      <c r="U358"/>
      <c r="V358"/>
      <c r="W358"/>
      <c r="X358"/>
      <c r="Y358"/>
      <c r="Z358"/>
      <c r="AA358"/>
      <c r="AB358"/>
      <c r="AC358"/>
      <c r="AD358"/>
      <c r="AE358"/>
      <c r="AF358"/>
      <c r="AG358"/>
      <c r="AH358"/>
      <c r="AI358"/>
      <c r="AJ358"/>
      <c r="AK358"/>
      <c r="AL358"/>
    </row>
    <row r="359" spans="1:38" ht="15.75" customHeight="1" outlineLevel="3" x14ac:dyDescent="0.2">
      <c r="A359" s="10">
        <v>25</v>
      </c>
      <c r="B359" s="10" t="s">
        <v>71</v>
      </c>
      <c r="C359" s="10" t="s">
        <v>226</v>
      </c>
      <c r="D359" s="10" t="s">
        <v>159</v>
      </c>
      <c r="E359" s="11" t="str">
        <f t="array" ref="E359">_xlfn.XLOOKUP(D359,Insumos!B:B,Insumos!C:$C)</f>
        <v>M3</v>
      </c>
      <c r="F359" s="14">
        <v>1.3</v>
      </c>
      <c r="G359" s="92">
        <f t="array" ref="G359">IF(B359="insumo",_xlfn.XLOOKUP($D359,Insumos!$B$1:$B$996,Insumos!$D$1:$D$996),"")</f>
        <v>40</v>
      </c>
      <c r="H359" s="92">
        <v>52</v>
      </c>
      <c r="I359" s="13">
        <v>0</v>
      </c>
      <c r="J359" s="13">
        <v>0</v>
      </c>
      <c r="K359" s="13"/>
      <c r="L359"/>
      <c r="M359"/>
      <c r="N359"/>
      <c r="O359"/>
      <c r="P359"/>
      <c r="Q359"/>
      <c r="R359"/>
      <c r="S359"/>
      <c r="T359"/>
      <c r="U359"/>
      <c r="V359"/>
      <c r="W359"/>
      <c r="X359"/>
      <c r="Y359"/>
      <c r="Z359"/>
      <c r="AA359"/>
      <c r="AB359"/>
      <c r="AC359"/>
      <c r="AD359"/>
      <c r="AE359"/>
      <c r="AF359"/>
      <c r="AG359"/>
      <c r="AH359"/>
      <c r="AI359"/>
      <c r="AJ359"/>
      <c r="AK359"/>
      <c r="AL359"/>
    </row>
    <row r="360" spans="1:38" ht="15.75" customHeight="1" outlineLevel="3" x14ac:dyDescent="0.2">
      <c r="A360" s="10">
        <v>62</v>
      </c>
      <c r="B360" s="10" t="s">
        <v>71</v>
      </c>
      <c r="C360" s="10" t="s">
        <v>226</v>
      </c>
      <c r="D360" s="10" t="s">
        <v>160</v>
      </c>
      <c r="E360" s="11" t="str">
        <f t="array" ref="E360">_xlfn.XLOOKUP(D360,Insumos!B:B,Insumos!C:$C)</f>
        <v>KG</v>
      </c>
      <c r="F360" s="14">
        <v>1</v>
      </c>
      <c r="G360" s="92">
        <f t="array" ref="G360">IF(B360="insumo",_xlfn.XLOOKUP($D360,Insumos!$B$1:$B$996,Insumos!$D$1:$D$996),"")</f>
        <v>0.76</v>
      </c>
      <c r="H360" s="92">
        <v>0.76</v>
      </c>
      <c r="I360" s="13">
        <v>0</v>
      </c>
      <c r="J360" s="13">
        <v>0</v>
      </c>
      <c r="K360" s="13"/>
      <c r="L360"/>
      <c r="M360"/>
      <c r="N360"/>
      <c r="O360"/>
      <c r="P360"/>
      <c r="Q360"/>
      <c r="R360"/>
      <c r="S360"/>
      <c r="T360"/>
      <c r="U360"/>
      <c r="V360"/>
      <c r="W360"/>
      <c r="X360"/>
      <c r="Y360"/>
      <c r="Z360"/>
      <c r="AA360"/>
      <c r="AB360"/>
      <c r="AC360"/>
      <c r="AD360"/>
      <c r="AE360"/>
      <c r="AF360"/>
      <c r="AG360"/>
      <c r="AH360"/>
      <c r="AI360"/>
      <c r="AJ360"/>
      <c r="AK360"/>
      <c r="AL360"/>
    </row>
    <row r="361" spans="1:38" ht="15.75" customHeight="1" outlineLevel="2" x14ac:dyDescent="0.2">
      <c r="A361" s="1067">
        <v>1</v>
      </c>
      <c r="B361" s="1067" t="s">
        <v>68</v>
      </c>
      <c r="C361" s="1067" t="s">
        <v>3452</v>
      </c>
      <c r="D361" s="1067" t="s">
        <v>3452</v>
      </c>
      <c r="E361" s="1068" t="s">
        <v>152</v>
      </c>
      <c r="F361" s="1067"/>
      <c r="G361" s="1069" t="str">
        <f t="array" ref="G361">IF(B361="insumo",_xlfn.XLOOKUP($D361,Insumos!$B$1:$B$996,Insumos!$D$1:$D$996),"")</f>
        <v/>
      </c>
      <c r="H361" s="1069">
        <v>941.83</v>
      </c>
      <c r="I361" s="1070">
        <v>1903.42815695698</v>
      </c>
      <c r="J361" s="1070">
        <v>1792705.74106679</v>
      </c>
      <c r="K361" s="1070"/>
      <c r="L361"/>
      <c r="M361"/>
      <c r="N361"/>
      <c r="O361"/>
      <c r="P361"/>
      <c r="Q361"/>
      <c r="R361"/>
      <c r="S361"/>
      <c r="T361"/>
      <c r="U361"/>
      <c r="V361"/>
      <c r="W361"/>
      <c r="X361"/>
      <c r="Y361"/>
      <c r="Z361"/>
      <c r="AA361"/>
      <c r="AB361"/>
      <c r="AC361"/>
      <c r="AD361"/>
      <c r="AE361"/>
      <c r="AF361"/>
      <c r="AG361"/>
      <c r="AH361"/>
      <c r="AI361"/>
      <c r="AJ361"/>
      <c r="AK361"/>
      <c r="AL361"/>
    </row>
    <row r="362" spans="1:38" ht="15.75" customHeight="1" outlineLevel="3" x14ac:dyDescent="0.2">
      <c r="A362" s="10">
        <v>1</v>
      </c>
      <c r="B362" s="10" t="s">
        <v>71</v>
      </c>
      <c r="C362" s="10" t="s">
        <v>3452</v>
      </c>
      <c r="D362" s="10" t="s">
        <v>1591</v>
      </c>
      <c r="E362" s="11" t="str">
        <f t="array" ref="E362">_xlfn.XLOOKUP(D362,Insumos!B:B,Insumos!C:$C)</f>
        <v>M3</v>
      </c>
      <c r="F362" s="14">
        <v>1.3</v>
      </c>
      <c r="G362" s="92">
        <f>IF(B362="insumo",_xlfn.XLOOKUP($D362,Insumos!$B$1:$B$996,Insumos!$D$1:$D$996),"")</f>
        <v>683.9</v>
      </c>
      <c r="H362" s="92">
        <v>889.07</v>
      </c>
      <c r="I362" s="13">
        <v>1903.42815695698</v>
      </c>
      <c r="J362" s="13">
        <v>1692280.8715057401</v>
      </c>
      <c r="K362" s="13"/>
      <c r="L362"/>
      <c r="M362"/>
      <c r="N362"/>
      <c r="O362"/>
      <c r="P362"/>
      <c r="Q362"/>
      <c r="R362"/>
      <c r="S362"/>
      <c r="T362"/>
      <c r="U362"/>
      <c r="V362"/>
      <c r="W362"/>
      <c r="X362"/>
      <c r="Y362"/>
      <c r="Z362"/>
      <c r="AA362"/>
      <c r="AB362"/>
      <c r="AC362"/>
      <c r="AD362"/>
      <c r="AE362"/>
      <c r="AF362"/>
      <c r="AG362"/>
      <c r="AH362"/>
      <c r="AI362"/>
      <c r="AJ362"/>
      <c r="AK362"/>
      <c r="AL362"/>
    </row>
    <row r="363" spans="1:38" ht="15.75" customHeight="1" outlineLevel="3" x14ac:dyDescent="0.2">
      <c r="A363" s="10">
        <v>25</v>
      </c>
      <c r="B363" s="10" t="s">
        <v>71</v>
      </c>
      <c r="C363" s="10" t="s">
        <v>3452</v>
      </c>
      <c r="D363" s="10" t="s">
        <v>159</v>
      </c>
      <c r="E363" s="11" t="str">
        <f t="array" ref="E363">_xlfn.XLOOKUP(D363,Insumos!B:B,Insumos!C:$C)</f>
        <v>M3</v>
      </c>
      <c r="F363" s="14">
        <v>1.3</v>
      </c>
      <c r="G363" s="92">
        <f t="array" ref="G363">IF(B363="insumo",_xlfn.XLOOKUP($D363,Insumos!$B$1:$B$996,Insumos!$D$1:$D$996),"")</f>
        <v>40</v>
      </c>
      <c r="H363" s="92">
        <v>52</v>
      </c>
      <c r="I363" s="13">
        <v>1903.42815695698</v>
      </c>
      <c r="J363" s="13">
        <v>98978.264161763</v>
      </c>
      <c r="K363" s="13"/>
      <c r="L363"/>
      <c r="M363"/>
      <c r="N363"/>
      <c r="O363"/>
      <c r="P363"/>
      <c r="Q363"/>
      <c r="R363"/>
      <c r="S363"/>
      <c r="T363"/>
      <c r="U363"/>
      <c r="V363"/>
      <c r="W363"/>
      <c r="X363"/>
      <c r="Y363"/>
      <c r="Z363"/>
      <c r="AA363"/>
      <c r="AB363"/>
      <c r="AC363"/>
      <c r="AD363"/>
      <c r="AE363"/>
      <c r="AF363"/>
      <c r="AG363"/>
      <c r="AH363"/>
      <c r="AI363"/>
      <c r="AJ363"/>
      <c r="AK363"/>
      <c r="AL363"/>
    </row>
    <row r="364" spans="1:38" ht="15.75" customHeight="1" outlineLevel="3" x14ac:dyDescent="0.2">
      <c r="A364" s="10">
        <v>62</v>
      </c>
      <c r="B364" s="10" t="s">
        <v>71</v>
      </c>
      <c r="C364" s="10" t="s">
        <v>3452</v>
      </c>
      <c r="D364" s="10" t="s">
        <v>160</v>
      </c>
      <c r="E364" s="11" t="str">
        <f t="array" ref="E364">_xlfn.XLOOKUP(D364,Insumos!B:B,Insumos!C:$C)</f>
        <v>KG</v>
      </c>
      <c r="F364" s="14">
        <v>1</v>
      </c>
      <c r="G364" s="92">
        <f t="array" ref="G364">IF(B364="insumo",_xlfn.XLOOKUP($D364,Insumos!$B$1:$B$996,Insumos!$D$1:$D$996),"")</f>
        <v>0.76</v>
      </c>
      <c r="H364" s="92">
        <v>0.76</v>
      </c>
      <c r="I364" s="13">
        <v>1903.42815695698</v>
      </c>
      <c r="J364" s="13">
        <v>1446.6053992873001</v>
      </c>
      <c r="K364" s="13"/>
      <c r="L364"/>
      <c r="M364"/>
      <c r="N364"/>
      <c r="O364"/>
      <c r="P364"/>
      <c r="Q364"/>
      <c r="R364"/>
      <c r="S364"/>
      <c r="T364"/>
      <c r="U364"/>
      <c r="V364"/>
      <c r="W364"/>
      <c r="X364"/>
      <c r="Y364"/>
      <c r="Z364"/>
      <c r="AA364"/>
      <c r="AB364"/>
      <c r="AC364"/>
      <c r="AD364"/>
      <c r="AE364"/>
      <c r="AF364"/>
      <c r="AG364"/>
      <c r="AH364"/>
      <c r="AI364"/>
      <c r="AJ364"/>
      <c r="AK364"/>
      <c r="AL364"/>
    </row>
    <row r="365" spans="1:38" ht="15.75" customHeight="1" outlineLevel="1" x14ac:dyDescent="0.2">
      <c r="A365" s="1090">
        <v>6</v>
      </c>
      <c r="B365" s="1090" t="s">
        <v>1228</v>
      </c>
      <c r="C365" s="1090" t="s">
        <v>3452</v>
      </c>
      <c r="D365" s="1090" t="s">
        <v>1441</v>
      </c>
      <c r="E365" s="1091"/>
      <c r="F365" s="1092"/>
      <c r="G365" s="1091"/>
      <c r="H365" s="1091">
        <v>0</v>
      </c>
      <c r="I365" s="1092">
        <v>0</v>
      </c>
      <c r="J365" s="1092">
        <v>0</v>
      </c>
      <c r="K365" s="1092"/>
      <c r="L365"/>
      <c r="M365"/>
      <c r="N365"/>
      <c r="O365"/>
      <c r="P365"/>
      <c r="Q365"/>
      <c r="R365"/>
      <c r="S365"/>
      <c r="T365"/>
      <c r="U365"/>
      <c r="V365"/>
      <c r="W365"/>
      <c r="X365"/>
      <c r="Y365"/>
      <c r="Z365"/>
      <c r="AA365"/>
      <c r="AB365"/>
      <c r="AC365"/>
      <c r="AD365"/>
      <c r="AE365"/>
      <c r="AF365"/>
      <c r="AG365"/>
      <c r="AH365"/>
      <c r="AI365"/>
      <c r="AJ365"/>
      <c r="AK365"/>
      <c r="AL365"/>
    </row>
    <row r="366" spans="1:38" ht="15.75" customHeight="1" outlineLevel="2" x14ac:dyDescent="0.2">
      <c r="A366" s="1067">
        <v>1</v>
      </c>
      <c r="B366" s="1067" t="s">
        <v>68</v>
      </c>
      <c r="C366" s="1067" t="s">
        <v>228</v>
      </c>
      <c r="D366" s="1067" t="s">
        <v>228</v>
      </c>
      <c r="E366" s="1068" t="s">
        <v>197</v>
      </c>
      <c r="F366" s="1067"/>
      <c r="G366" s="1069" t="str">
        <f t="array" ref="G366">IF(B366="insumo",_xlfn.XLOOKUP($D366,Insumos!$B$1:$B$996,Insumos!$D$1:$D$996),"")</f>
        <v/>
      </c>
      <c r="H366" s="1069">
        <v>300</v>
      </c>
      <c r="I366" s="1070">
        <v>0</v>
      </c>
      <c r="J366" s="1070">
        <v>0</v>
      </c>
      <c r="K366" s="1070"/>
      <c r="L366"/>
      <c r="M366"/>
      <c r="N366"/>
      <c r="O366"/>
      <c r="P366"/>
      <c r="Q366"/>
      <c r="R366"/>
      <c r="S366"/>
      <c r="T366"/>
      <c r="U366"/>
      <c r="V366"/>
      <c r="W366"/>
      <c r="X366"/>
      <c r="Y366"/>
      <c r="Z366"/>
      <c r="AA366"/>
      <c r="AB366"/>
      <c r="AC366"/>
      <c r="AD366"/>
      <c r="AE366"/>
      <c r="AF366"/>
      <c r="AG366"/>
      <c r="AH366"/>
      <c r="AI366"/>
      <c r="AJ366"/>
      <c r="AK366"/>
      <c r="AL366"/>
    </row>
    <row r="367" spans="1:38" ht="15.75" customHeight="1" outlineLevel="3" x14ac:dyDescent="0.2">
      <c r="A367" s="10">
        <v>1</v>
      </c>
      <c r="B367" s="10" t="s">
        <v>71</v>
      </c>
      <c r="C367" s="10" t="s">
        <v>228</v>
      </c>
      <c r="D367" s="10" t="s">
        <v>229</v>
      </c>
      <c r="E367" s="11" t="str">
        <f t="array" ref="E367">_xlfn.XLOOKUP(D367,Insumos!B:B,Insumos!C:$C)</f>
        <v>UN</v>
      </c>
      <c r="F367" s="14">
        <v>1</v>
      </c>
      <c r="G367" s="92">
        <f t="array" ref="G367">IF(B367="insumo",_xlfn.XLOOKUP($D367,Insumos!$B$1:$B$996,Insumos!$D$1:$D$996),"")</f>
        <v>300</v>
      </c>
      <c r="H367" s="92">
        <v>300</v>
      </c>
      <c r="I367" s="13">
        <v>0</v>
      </c>
      <c r="J367" s="13">
        <v>0</v>
      </c>
      <c r="K367" s="13"/>
      <c r="L367"/>
      <c r="M367"/>
      <c r="N367"/>
      <c r="O367"/>
      <c r="P367"/>
      <c r="Q367"/>
      <c r="R367"/>
      <c r="S367"/>
      <c r="T367"/>
      <c r="U367"/>
      <c r="V367"/>
      <c r="W367"/>
      <c r="X367"/>
      <c r="Y367"/>
      <c r="Z367"/>
      <c r="AA367"/>
      <c r="AB367"/>
      <c r="AC367"/>
      <c r="AD367"/>
      <c r="AE367"/>
      <c r="AF367"/>
      <c r="AG367"/>
      <c r="AH367"/>
      <c r="AI367"/>
      <c r="AJ367"/>
      <c r="AK367"/>
      <c r="AL367"/>
    </row>
    <row r="368" spans="1:38" ht="15.75" customHeight="1" x14ac:dyDescent="0.2">
      <c r="A368" s="7">
        <v>1</v>
      </c>
      <c r="B368" s="7" t="s">
        <v>66</v>
      </c>
      <c r="C368" s="7" t="s">
        <v>228</v>
      </c>
      <c r="D368" s="7" t="s">
        <v>230</v>
      </c>
      <c r="E368" s="8"/>
      <c r="F368" s="9"/>
      <c r="G368" s="91" t="str">
        <f t="array" ref="G368">IF(B368="insumo",_xlfn.XLOOKUP($D368,Insumos!$B$1:$B$996,Insumos!$D$1:$D$996),"")</f>
        <v/>
      </c>
      <c r="H368" s="91">
        <v>0</v>
      </c>
      <c r="I368" s="9">
        <v>0</v>
      </c>
      <c r="J368" s="9">
        <v>0</v>
      </c>
      <c r="K368" s="9"/>
      <c r="L368"/>
      <c r="M368"/>
      <c r="N368"/>
      <c r="O368"/>
      <c r="P368"/>
      <c r="Q368"/>
      <c r="R368"/>
      <c r="S368"/>
      <c r="T368"/>
      <c r="U368"/>
      <c r="V368"/>
      <c r="W368"/>
      <c r="X368"/>
      <c r="Y368"/>
      <c r="Z368"/>
      <c r="AA368"/>
      <c r="AB368"/>
      <c r="AC368"/>
      <c r="AD368"/>
      <c r="AE368"/>
      <c r="AF368"/>
      <c r="AG368"/>
      <c r="AH368"/>
      <c r="AI368"/>
      <c r="AJ368"/>
      <c r="AK368"/>
      <c r="AL368"/>
    </row>
    <row r="369" spans="1:38" ht="15.75" customHeight="1" outlineLevel="1" x14ac:dyDescent="0.2">
      <c r="A369" s="1090">
        <v>3</v>
      </c>
      <c r="B369" s="1090" t="s">
        <v>1228</v>
      </c>
      <c r="C369" s="1090" t="s">
        <v>228</v>
      </c>
      <c r="D369" s="1090" t="s">
        <v>1738</v>
      </c>
      <c r="E369" s="1091"/>
      <c r="F369" s="1092"/>
      <c r="G369" s="1091"/>
      <c r="H369" s="1091">
        <v>0</v>
      </c>
      <c r="I369" s="1092">
        <v>0</v>
      </c>
      <c r="J369" s="1092">
        <v>0</v>
      </c>
      <c r="K369" s="1092"/>
      <c r="L369"/>
      <c r="M369"/>
      <c r="N369"/>
      <c r="O369"/>
      <c r="P369"/>
      <c r="Q369"/>
      <c r="R369"/>
      <c r="S369"/>
      <c r="T369"/>
      <c r="U369"/>
      <c r="V369"/>
      <c r="W369"/>
      <c r="X369"/>
      <c r="Y369"/>
      <c r="Z369"/>
      <c r="AA369"/>
      <c r="AB369"/>
      <c r="AC369"/>
      <c r="AD369"/>
      <c r="AE369"/>
      <c r="AF369"/>
      <c r="AG369"/>
      <c r="AH369"/>
      <c r="AI369"/>
      <c r="AJ369"/>
      <c r="AK369"/>
      <c r="AL369"/>
    </row>
    <row r="370" spans="1:38" ht="15.75" customHeight="1" outlineLevel="2" x14ac:dyDescent="0.2">
      <c r="A370" s="1067">
        <v>1</v>
      </c>
      <c r="B370" s="1067" t="s">
        <v>68</v>
      </c>
      <c r="C370" s="1067" t="s">
        <v>231</v>
      </c>
      <c r="D370" s="1067" t="s">
        <v>231</v>
      </c>
      <c r="E370" s="1068" t="s">
        <v>70</v>
      </c>
      <c r="F370" s="1067"/>
      <c r="G370" s="1069" t="str">
        <f t="array" ref="G370">IF(B370="insumo",_xlfn.XLOOKUP($D370,Insumos!$B$1:$B$996,Insumos!$D$1:$D$996),"")</f>
        <v/>
      </c>
      <c r="H370" s="1069">
        <v>59.956228571428603</v>
      </c>
      <c r="I370" s="1070">
        <v>581.69560000000001</v>
      </c>
      <c r="J370" s="1070">
        <v>34876.274352594301</v>
      </c>
      <c r="K370" s="1070"/>
      <c r="L370"/>
      <c r="M370"/>
      <c r="N370"/>
      <c r="O370"/>
      <c r="P370"/>
      <c r="Q370"/>
      <c r="R370"/>
      <c r="S370"/>
      <c r="T370"/>
      <c r="U370"/>
      <c r="V370"/>
      <c r="W370"/>
      <c r="X370"/>
      <c r="Y370"/>
      <c r="Z370"/>
      <c r="AA370"/>
      <c r="AB370"/>
      <c r="AC370"/>
      <c r="AD370"/>
      <c r="AE370"/>
      <c r="AF370"/>
      <c r="AG370"/>
      <c r="AH370"/>
      <c r="AI370"/>
      <c r="AJ370"/>
      <c r="AK370"/>
      <c r="AL370"/>
    </row>
    <row r="371" spans="1:38" ht="15.75" customHeight="1" outlineLevel="3" x14ac:dyDescent="0.2">
      <c r="A371" s="10">
        <v>3</v>
      </c>
      <c r="B371" s="10" t="s">
        <v>71</v>
      </c>
      <c r="C371" s="10" t="s">
        <v>231</v>
      </c>
      <c r="D371" s="10" t="s">
        <v>232</v>
      </c>
      <c r="E371" s="11" t="str">
        <f t="array" ref="E371">_xlfn.XLOOKUP(D371,Insumos!B:B,Insumos!C:$C)</f>
        <v>KG</v>
      </c>
      <c r="F371" s="14">
        <v>1.0999999999999999E-2</v>
      </c>
      <c r="G371" s="92">
        <f t="array" ref="G371">IF(B371="insumo",_xlfn.XLOOKUP($D371,Insumos!$B$1:$B$996,Insumos!$D$1:$D$996),"")</f>
        <v>18.8</v>
      </c>
      <c r="H371" s="92">
        <v>0.20680000000000001</v>
      </c>
      <c r="I371" s="13">
        <v>581.69560000000001</v>
      </c>
      <c r="J371" s="13">
        <v>120.29465008</v>
      </c>
      <c r="K371" s="13"/>
      <c r="L371"/>
      <c r="M371"/>
      <c r="N371"/>
      <c r="O371"/>
      <c r="P371"/>
      <c r="Q371"/>
      <c r="R371"/>
      <c r="S371"/>
      <c r="T371"/>
      <c r="U371"/>
      <c r="V371"/>
      <c r="W371"/>
      <c r="X371"/>
      <c r="Y371"/>
      <c r="Z371"/>
      <c r="AA371"/>
      <c r="AB371"/>
      <c r="AC371"/>
      <c r="AD371"/>
      <c r="AE371"/>
      <c r="AF371"/>
      <c r="AG371"/>
      <c r="AH371"/>
      <c r="AI371"/>
      <c r="AJ371"/>
      <c r="AK371"/>
      <c r="AL371"/>
    </row>
    <row r="372" spans="1:38" ht="15.75" customHeight="1" outlineLevel="3" x14ac:dyDescent="0.2">
      <c r="A372" s="10">
        <v>40</v>
      </c>
      <c r="B372" s="10" t="s">
        <v>71</v>
      </c>
      <c r="C372" s="10" t="s">
        <v>231</v>
      </c>
      <c r="D372" s="10" t="s">
        <v>87</v>
      </c>
      <c r="E372" s="11" t="str">
        <f t="array" ref="E372">_xlfn.XLOOKUP(D372,Insumos!B:B,Insumos!C:$C)</f>
        <v>KG</v>
      </c>
      <c r="F372" s="14">
        <v>9.5000000000000001E-2</v>
      </c>
      <c r="G372" s="92">
        <f t="array" ref="G372">IF(B372="insumo",_xlfn.XLOOKUP($D372,Insumos!$B$1:$B$996,Insumos!$D$1:$D$996),"")</f>
        <v>18.13</v>
      </c>
      <c r="H372" s="92">
        <v>1.72235</v>
      </c>
      <c r="I372" s="13">
        <v>581.69560000000001</v>
      </c>
      <c r="J372" s="13">
        <v>1001.88341666</v>
      </c>
      <c r="K372" s="13"/>
      <c r="L372"/>
      <c r="M372"/>
      <c r="N372"/>
      <c r="O372"/>
      <c r="P372"/>
      <c r="Q372"/>
      <c r="R372"/>
      <c r="S372"/>
      <c r="T372"/>
      <c r="U372"/>
      <c r="V372"/>
      <c r="W372"/>
      <c r="X372"/>
      <c r="Y372"/>
      <c r="Z372"/>
      <c r="AA372"/>
      <c r="AB372"/>
      <c r="AC372"/>
      <c r="AD372"/>
      <c r="AE372"/>
      <c r="AF372"/>
      <c r="AG372"/>
      <c r="AH372"/>
      <c r="AI372"/>
      <c r="AJ372"/>
      <c r="AK372"/>
      <c r="AL372"/>
    </row>
    <row r="373" spans="1:38" ht="15.75" customHeight="1" outlineLevel="3" x14ac:dyDescent="0.2">
      <c r="A373" s="10">
        <v>10</v>
      </c>
      <c r="B373" s="10" t="s">
        <v>71</v>
      </c>
      <c r="C373" s="10" t="s">
        <v>231</v>
      </c>
      <c r="D373" s="10" t="s">
        <v>233</v>
      </c>
      <c r="E373" s="11" t="str">
        <f t="array" ref="E373">_xlfn.XLOOKUP(D373,Insumos!B:B,Insumos!C:$C)</f>
        <v>L</v>
      </c>
      <c r="F373" s="14">
        <v>1.7000000000000001E-2</v>
      </c>
      <c r="G373" s="92">
        <f t="array" ref="G373">IF(B373="insumo",_xlfn.XLOOKUP($D373,Insumos!$B$1:$B$996,Insumos!$D$1:$D$996),"")</f>
        <v>15.55</v>
      </c>
      <c r="H373" s="92">
        <v>0.26434999999999997</v>
      </c>
      <c r="I373" s="13">
        <v>581.69560000000001</v>
      </c>
      <c r="J373" s="13">
        <v>153.77123186</v>
      </c>
      <c r="K373" s="13"/>
      <c r="L373"/>
      <c r="M373"/>
      <c r="N373"/>
      <c r="O373"/>
      <c r="P373"/>
      <c r="Q373"/>
      <c r="R373"/>
      <c r="S373"/>
      <c r="T373"/>
      <c r="U373"/>
      <c r="V373"/>
      <c r="W373"/>
      <c r="X373"/>
      <c r="Y373"/>
      <c r="Z373"/>
      <c r="AA373"/>
      <c r="AB373"/>
      <c r="AC373"/>
      <c r="AD373"/>
      <c r="AE373"/>
      <c r="AF373"/>
      <c r="AG373"/>
      <c r="AH373"/>
      <c r="AI373"/>
      <c r="AJ373"/>
      <c r="AK373"/>
      <c r="AL373"/>
    </row>
    <row r="374" spans="1:38" ht="15.75" customHeight="1" outlineLevel="3" x14ac:dyDescent="0.2">
      <c r="A374" s="10">
        <v>25</v>
      </c>
      <c r="B374" s="10" t="s">
        <v>71</v>
      </c>
      <c r="C374" s="10" t="s">
        <v>231</v>
      </c>
      <c r="D374" s="10" t="s">
        <v>84</v>
      </c>
      <c r="E374" s="11" t="str">
        <f t="array" ref="E374">_xlfn.XLOOKUP(D374,Insumos!B:B,Insumos!C:$C)</f>
        <v>M</v>
      </c>
      <c r="F374" s="14">
        <v>0.73714285714285721</v>
      </c>
      <c r="G374" s="92">
        <f t="array" ref="G374">IF(B374="insumo",_xlfn.XLOOKUP($D374,Insumos!$B$1:$B$996,Insumos!$D$1:$D$996),"")</f>
        <v>7</v>
      </c>
      <c r="H374" s="92">
        <v>5.16</v>
      </c>
      <c r="I374" s="13">
        <v>581.69560000000001</v>
      </c>
      <c r="J374" s="13">
        <v>3001.5492960000001</v>
      </c>
      <c r="K374" s="13"/>
      <c r="L374"/>
      <c r="M374"/>
      <c r="N374"/>
      <c r="O374"/>
      <c r="P374"/>
      <c r="Q374"/>
      <c r="R374"/>
      <c r="S374"/>
      <c r="T374"/>
      <c r="U374"/>
      <c r="V374"/>
      <c r="W374"/>
      <c r="X374"/>
      <c r="Y374"/>
      <c r="Z374"/>
      <c r="AA374"/>
      <c r="AB374"/>
      <c r="AC374"/>
      <c r="AD374"/>
      <c r="AE374"/>
      <c r="AF374"/>
      <c r="AG374"/>
      <c r="AH374"/>
      <c r="AI374"/>
      <c r="AJ374"/>
      <c r="AK374"/>
      <c r="AL374"/>
    </row>
    <row r="375" spans="1:38" ht="15.75" customHeight="1" outlineLevel="3" x14ac:dyDescent="0.2">
      <c r="A375" s="10">
        <v>19</v>
      </c>
      <c r="B375" s="10" t="s">
        <v>71</v>
      </c>
      <c r="C375" s="10" t="s">
        <v>231</v>
      </c>
      <c r="D375" s="10" t="s">
        <v>129</v>
      </c>
      <c r="E375" s="11" t="str">
        <f t="array" ref="E375">_xlfn.XLOOKUP(D375,Insumos!B:B,Insumos!C:$C)</f>
        <v>M3</v>
      </c>
      <c r="F375" s="14">
        <v>2.638095238095238E-3</v>
      </c>
      <c r="G375" s="92">
        <f t="array" ref="G375">IF(B375="insumo",_xlfn.XLOOKUP($D375,Insumos!$B$1:$B$996,Insumos!$D$1:$D$996),"")</f>
        <v>1350</v>
      </c>
      <c r="H375" s="92">
        <v>3.5614285714285701</v>
      </c>
      <c r="I375" s="13">
        <v>581.69560000000001</v>
      </c>
      <c r="J375" s="13">
        <v>2071.6673297142902</v>
      </c>
      <c r="K375" s="13"/>
      <c r="L375"/>
      <c r="M375"/>
      <c r="N375"/>
      <c r="O375"/>
      <c r="P375"/>
      <c r="Q375"/>
      <c r="R375"/>
      <c r="S375"/>
      <c r="T375"/>
      <c r="U375"/>
      <c r="V375"/>
      <c r="W375"/>
      <c r="X375"/>
      <c r="Y375"/>
      <c r="Z375"/>
      <c r="AA375"/>
      <c r="AB375"/>
      <c r="AC375"/>
      <c r="AD375"/>
      <c r="AE375"/>
      <c r="AF375"/>
      <c r="AG375"/>
      <c r="AH375"/>
      <c r="AI375"/>
      <c r="AJ375"/>
      <c r="AK375"/>
      <c r="AL375"/>
    </row>
    <row r="376" spans="1:38" ht="15.75" customHeight="1" outlineLevel="3" x14ac:dyDescent="0.2">
      <c r="A376" s="10">
        <v>6</v>
      </c>
      <c r="B376" s="10" t="s">
        <v>71</v>
      </c>
      <c r="C376" s="10" t="s">
        <v>231</v>
      </c>
      <c r="D376" s="10" t="s">
        <v>234</v>
      </c>
      <c r="E376" s="11" t="str">
        <f t="array" ref="E376">_xlfn.XLOOKUP(D376,Insumos!B:B,Insumos!C:$C)</f>
        <v>M</v>
      </c>
      <c r="F376" s="14">
        <v>1.155</v>
      </c>
      <c r="G376" s="92">
        <f t="array" ref="G376">IF(B376="insumo",_xlfn.XLOOKUP($D376,Insumos!$B$1:$B$996,Insumos!$D$1:$D$996),"")</f>
        <v>42.46</v>
      </c>
      <c r="H376" s="92">
        <v>49.0413</v>
      </c>
      <c r="I376" s="13">
        <v>581.69560000000001</v>
      </c>
      <c r="J376" s="13">
        <v>28527.10842828</v>
      </c>
      <c r="K376" s="13"/>
      <c r="L376"/>
      <c r="M376"/>
      <c r="N376"/>
      <c r="O376"/>
      <c r="P376"/>
      <c r="Q376"/>
      <c r="R376"/>
      <c r="S376"/>
      <c r="T376"/>
      <c r="U376"/>
      <c r="V376"/>
      <c r="W376"/>
      <c r="X376"/>
      <c r="Y376"/>
      <c r="Z376"/>
      <c r="AA376"/>
      <c r="AB376"/>
      <c r="AC376"/>
      <c r="AD376"/>
      <c r="AE376"/>
      <c r="AF376"/>
      <c r="AG376"/>
      <c r="AH376"/>
      <c r="AI376"/>
      <c r="AJ376"/>
      <c r="AK376"/>
      <c r="AL376"/>
    </row>
    <row r="377" spans="1:38" ht="15.75" customHeight="1" outlineLevel="2" x14ac:dyDescent="0.2">
      <c r="A377" s="1067">
        <v>1</v>
      </c>
      <c r="B377" s="1067" t="s">
        <v>68</v>
      </c>
      <c r="C377" s="1067" t="s">
        <v>235</v>
      </c>
      <c r="D377" s="1067" t="s">
        <v>235</v>
      </c>
      <c r="E377" s="1068" t="s">
        <v>70</v>
      </c>
      <c r="F377" s="1067"/>
      <c r="G377" s="1069" t="str">
        <f t="array" ref="G377">IF(B377="insumo",_xlfn.XLOOKUP($D377,Insumos!$B$1:$B$996,Insumos!$D$1:$D$996),"")</f>
        <v/>
      </c>
      <c r="H377" s="1069">
        <v>59.956228571428603</v>
      </c>
      <c r="I377" s="1070">
        <v>0</v>
      </c>
      <c r="J377" s="1070">
        <v>0</v>
      </c>
      <c r="K377" s="1070"/>
      <c r="L377"/>
      <c r="M377"/>
      <c r="N377"/>
      <c r="O377"/>
      <c r="P377"/>
      <c r="Q377"/>
      <c r="R377"/>
      <c r="S377"/>
      <c r="T377"/>
      <c r="U377"/>
      <c r="V377"/>
      <c r="W377"/>
      <c r="X377"/>
      <c r="Y377"/>
      <c r="Z377"/>
      <c r="AA377"/>
      <c r="AB377"/>
      <c r="AC377"/>
      <c r="AD377"/>
      <c r="AE377"/>
      <c r="AF377"/>
      <c r="AG377"/>
      <c r="AH377"/>
      <c r="AI377"/>
      <c r="AJ377"/>
      <c r="AK377"/>
      <c r="AL377"/>
    </row>
    <row r="378" spans="1:38" ht="15.75" customHeight="1" outlineLevel="3" x14ac:dyDescent="0.2">
      <c r="A378" s="10">
        <v>3</v>
      </c>
      <c r="B378" s="10" t="s">
        <v>71</v>
      </c>
      <c r="C378" s="10" t="s">
        <v>235</v>
      </c>
      <c r="D378" s="10" t="s">
        <v>232</v>
      </c>
      <c r="E378" s="11" t="str">
        <f t="array" ref="E378">_xlfn.XLOOKUP(D378,Insumos!B:B,Insumos!C:$C)</f>
        <v>KG</v>
      </c>
      <c r="F378" s="14">
        <v>1.0999999999999999E-2</v>
      </c>
      <c r="G378" s="92">
        <f t="array" ref="G378">IF(B378="insumo",_xlfn.XLOOKUP($D378,Insumos!$B$1:$B$996,Insumos!$D$1:$D$996),"")</f>
        <v>18.8</v>
      </c>
      <c r="H378" s="92">
        <v>0.20680000000000001</v>
      </c>
      <c r="I378" s="13">
        <v>0</v>
      </c>
      <c r="J378" s="13">
        <v>0</v>
      </c>
      <c r="K378" s="13"/>
      <c r="L378"/>
      <c r="M378"/>
      <c r="N378"/>
      <c r="O378"/>
      <c r="P378"/>
      <c r="Q378"/>
      <c r="R378"/>
      <c r="S378"/>
      <c r="T378"/>
      <c r="U378"/>
      <c r="V378"/>
      <c r="W378"/>
      <c r="X378"/>
      <c r="Y378"/>
      <c r="Z378"/>
      <c r="AA378"/>
      <c r="AB378"/>
      <c r="AC378"/>
      <c r="AD378"/>
      <c r="AE378"/>
      <c r="AF378"/>
      <c r="AG378"/>
      <c r="AH378"/>
      <c r="AI378"/>
      <c r="AJ378"/>
      <c r="AK378"/>
      <c r="AL378"/>
    </row>
    <row r="379" spans="1:38" ht="15.75" customHeight="1" outlineLevel="3" x14ac:dyDescent="0.2">
      <c r="A379" s="10">
        <v>40</v>
      </c>
      <c r="B379" s="10" t="s">
        <v>71</v>
      </c>
      <c r="C379" s="10" t="s">
        <v>235</v>
      </c>
      <c r="D379" s="10" t="s">
        <v>87</v>
      </c>
      <c r="E379" s="11" t="str">
        <f t="array" ref="E379">_xlfn.XLOOKUP(D379,Insumos!B:B,Insumos!C:$C)</f>
        <v>KG</v>
      </c>
      <c r="F379" s="14">
        <v>9.5000000000000001E-2</v>
      </c>
      <c r="G379" s="92">
        <f t="array" ref="G379">IF(B379="insumo",_xlfn.XLOOKUP($D379,Insumos!$B$1:$B$996,Insumos!$D$1:$D$996),"")</f>
        <v>18.13</v>
      </c>
      <c r="H379" s="92">
        <v>1.72235</v>
      </c>
      <c r="I379" s="13">
        <v>0</v>
      </c>
      <c r="J379" s="13">
        <v>0</v>
      </c>
      <c r="K379" s="13"/>
      <c r="L379"/>
      <c r="M379"/>
      <c r="N379"/>
      <c r="O379"/>
      <c r="P379"/>
      <c r="Q379"/>
      <c r="R379"/>
      <c r="S379"/>
      <c r="T379"/>
      <c r="U379"/>
      <c r="V379"/>
      <c r="W379"/>
      <c r="X379"/>
      <c r="Y379"/>
      <c r="Z379"/>
      <c r="AA379"/>
      <c r="AB379"/>
      <c r="AC379"/>
      <c r="AD379"/>
      <c r="AE379"/>
      <c r="AF379"/>
      <c r="AG379"/>
      <c r="AH379"/>
      <c r="AI379"/>
      <c r="AJ379"/>
      <c r="AK379"/>
      <c r="AL379"/>
    </row>
    <row r="380" spans="1:38" ht="15.75" customHeight="1" outlineLevel="3" x14ac:dyDescent="0.2">
      <c r="A380" s="10">
        <v>10</v>
      </c>
      <c r="B380" s="10" t="s">
        <v>71</v>
      </c>
      <c r="C380" s="10" t="s">
        <v>235</v>
      </c>
      <c r="D380" s="10" t="s">
        <v>233</v>
      </c>
      <c r="E380" s="11" t="str">
        <f t="array" ref="E380">_xlfn.XLOOKUP(D380,Insumos!B:B,Insumos!C:$C)</f>
        <v>L</v>
      </c>
      <c r="F380" s="14">
        <v>1.7000000000000001E-2</v>
      </c>
      <c r="G380" s="92">
        <f t="array" ref="G380">IF(B380="insumo",_xlfn.XLOOKUP($D380,Insumos!$B$1:$B$996,Insumos!$D$1:$D$996),"")</f>
        <v>15.55</v>
      </c>
      <c r="H380" s="92">
        <v>0.26434999999999997</v>
      </c>
      <c r="I380" s="13">
        <v>0</v>
      </c>
      <c r="J380" s="13">
        <v>0</v>
      </c>
      <c r="K380" s="13"/>
      <c r="L380"/>
      <c r="M380"/>
      <c r="N380"/>
      <c r="O380"/>
      <c r="P380"/>
      <c r="Q380"/>
      <c r="R380"/>
      <c r="S380"/>
      <c r="T380"/>
      <c r="U380"/>
      <c r="V380"/>
      <c r="W380"/>
      <c r="X380"/>
      <c r="Y380"/>
      <c r="Z380"/>
      <c r="AA380"/>
      <c r="AB380"/>
      <c r="AC380"/>
      <c r="AD380"/>
      <c r="AE380"/>
      <c r="AF380"/>
      <c r="AG380"/>
      <c r="AH380"/>
      <c r="AI380"/>
      <c r="AJ380"/>
      <c r="AK380"/>
      <c r="AL380"/>
    </row>
    <row r="381" spans="1:38" ht="15.75" customHeight="1" outlineLevel="3" x14ac:dyDescent="0.2">
      <c r="A381" s="10">
        <v>25</v>
      </c>
      <c r="B381" s="10" t="s">
        <v>71</v>
      </c>
      <c r="C381" s="10" t="s">
        <v>235</v>
      </c>
      <c r="D381" s="10" t="s">
        <v>84</v>
      </c>
      <c r="E381" s="11" t="str">
        <f t="array" ref="E381">_xlfn.XLOOKUP(D381,Insumos!B:B,Insumos!C:$C)</f>
        <v>M</v>
      </c>
      <c r="F381" s="14">
        <v>0.73714285714285721</v>
      </c>
      <c r="G381" s="92">
        <f t="array" ref="G381">IF(B381="insumo",_xlfn.XLOOKUP($D381,Insumos!$B$1:$B$996,Insumos!$D$1:$D$996),"")</f>
        <v>7</v>
      </c>
      <c r="H381" s="92">
        <v>5.16</v>
      </c>
      <c r="I381" s="13">
        <v>0</v>
      </c>
      <c r="J381" s="13">
        <v>0</v>
      </c>
      <c r="K381" s="13"/>
      <c r="L381"/>
      <c r="M381"/>
      <c r="N381"/>
      <c r="O381"/>
      <c r="P381"/>
      <c r="Q381"/>
      <c r="R381"/>
      <c r="S381"/>
      <c r="T381"/>
      <c r="U381"/>
      <c r="V381"/>
      <c r="W381"/>
      <c r="X381"/>
      <c r="Y381"/>
      <c r="Z381"/>
      <c r="AA381"/>
      <c r="AB381"/>
      <c r="AC381"/>
      <c r="AD381"/>
      <c r="AE381"/>
      <c r="AF381"/>
      <c r="AG381"/>
      <c r="AH381"/>
      <c r="AI381"/>
      <c r="AJ381"/>
      <c r="AK381"/>
      <c r="AL381"/>
    </row>
    <row r="382" spans="1:38" ht="15.75" customHeight="1" outlineLevel="3" x14ac:dyDescent="0.2">
      <c r="A382" s="10">
        <v>19</v>
      </c>
      <c r="B382" s="10" t="s">
        <v>71</v>
      </c>
      <c r="C382" s="10" t="s">
        <v>235</v>
      </c>
      <c r="D382" s="10" t="s">
        <v>129</v>
      </c>
      <c r="E382" s="11" t="str">
        <f t="array" ref="E382">_xlfn.XLOOKUP(D382,Insumos!B:B,Insumos!C:$C)</f>
        <v>M3</v>
      </c>
      <c r="F382" s="14">
        <v>2.638095238095238E-3</v>
      </c>
      <c r="G382" s="92">
        <f t="array" ref="G382">IF(B382="insumo",_xlfn.XLOOKUP($D382,Insumos!$B$1:$B$996,Insumos!$D$1:$D$996),"")</f>
        <v>1350</v>
      </c>
      <c r="H382" s="92">
        <v>3.5614285714285701</v>
      </c>
      <c r="I382" s="13">
        <v>0</v>
      </c>
      <c r="J382" s="13">
        <v>0</v>
      </c>
      <c r="K382" s="13"/>
      <c r="L382"/>
      <c r="M382"/>
      <c r="N382"/>
      <c r="O382"/>
      <c r="P382"/>
      <c r="Q382"/>
      <c r="R382"/>
      <c r="S382"/>
      <c r="T382"/>
      <c r="U382"/>
      <c r="V382"/>
      <c r="W382"/>
      <c r="X382"/>
      <c r="Y382"/>
      <c r="Z382"/>
      <c r="AA382"/>
      <c r="AB382"/>
      <c r="AC382"/>
      <c r="AD382"/>
      <c r="AE382"/>
      <c r="AF382"/>
      <c r="AG382"/>
      <c r="AH382"/>
      <c r="AI382"/>
      <c r="AJ382"/>
      <c r="AK382"/>
      <c r="AL382"/>
    </row>
    <row r="383" spans="1:38" ht="15.75" customHeight="1" outlineLevel="3" x14ac:dyDescent="0.2">
      <c r="A383" s="10">
        <v>6</v>
      </c>
      <c r="B383" s="10" t="s">
        <v>71</v>
      </c>
      <c r="C383" s="10" t="s">
        <v>235</v>
      </c>
      <c r="D383" s="10" t="s">
        <v>234</v>
      </c>
      <c r="E383" s="11" t="str">
        <f t="array" ref="E383">_xlfn.XLOOKUP(D383,Insumos!B:B,Insumos!C:$C)</f>
        <v>M</v>
      </c>
      <c r="F383" s="14">
        <v>1.155</v>
      </c>
      <c r="G383" s="92">
        <f t="array" ref="G383">IF(B383="insumo",_xlfn.XLOOKUP($D383,Insumos!$B$1:$B$996,Insumos!$D$1:$D$996),"")</f>
        <v>42.46</v>
      </c>
      <c r="H383" s="92">
        <v>49.0413</v>
      </c>
      <c r="I383" s="13">
        <v>0</v>
      </c>
      <c r="J383" s="13">
        <v>0</v>
      </c>
      <c r="K383" s="13"/>
      <c r="L383"/>
      <c r="M383"/>
      <c r="N383"/>
      <c r="O383"/>
      <c r="P383"/>
      <c r="Q383"/>
      <c r="R383"/>
      <c r="S383"/>
      <c r="T383"/>
      <c r="U383"/>
      <c r="V383"/>
      <c r="W383"/>
      <c r="X383"/>
      <c r="Y383"/>
      <c r="Z383"/>
      <c r="AA383"/>
      <c r="AB383"/>
      <c r="AC383"/>
      <c r="AD383"/>
      <c r="AE383"/>
      <c r="AF383"/>
      <c r="AG383"/>
      <c r="AH383"/>
      <c r="AI383"/>
      <c r="AJ383"/>
      <c r="AK383"/>
      <c r="AL383"/>
    </row>
    <row r="384" spans="1:38" ht="15.75" customHeight="1" outlineLevel="1" x14ac:dyDescent="0.2">
      <c r="A384" s="1090">
        <v>4</v>
      </c>
      <c r="B384" s="1090" t="s">
        <v>1228</v>
      </c>
      <c r="C384" s="1090" t="s">
        <v>235</v>
      </c>
      <c r="D384" s="1090" t="s">
        <v>1739</v>
      </c>
      <c r="E384" s="1091"/>
      <c r="F384" s="1092"/>
      <c r="G384" s="1091"/>
      <c r="H384" s="1091">
        <v>0</v>
      </c>
      <c r="I384" s="1092">
        <v>0</v>
      </c>
      <c r="J384" s="1092">
        <v>0</v>
      </c>
      <c r="K384" s="1092"/>
      <c r="L384"/>
      <c r="M384"/>
      <c r="N384"/>
      <c r="O384"/>
      <c r="P384"/>
      <c r="Q384"/>
      <c r="R384"/>
      <c r="S384"/>
      <c r="T384"/>
      <c r="U384"/>
      <c r="V384"/>
      <c r="W384"/>
      <c r="X384"/>
      <c r="Y384"/>
      <c r="Z384"/>
      <c r="AA384"/>
      <c r="AB384"/>
      <c r="AC384"/>
      <c r="AD384"/>
      <c r="AE384"/>
      <c r="AF384"/>
      <c r="AG384"/>
      <c r="AH384"/>
      <c r="AI384"/>
      <c r="AJ384"/>
      <c r="AK384"/>
      <c r="AL384"/>
    </row>
    <row r="385" spans="1:38" ht="15.75" customHeight="1" outlineLevel="2" x14ac:dyDescent="0.2">
      <c r="A385" s="1067">
        <v>1</v>
      </c>
      <c r="B385" s="1067" t="s">
        <v>68</v>
      </c>
      <c r="C385" s="1067" t="s">
        <v>1310</v>
      </c>
      <c r="D385" s="1067" t="s">
        <v>1310</v>
      </c>
      <c r="E385" s="1068" t="s">
        <v>206</v>
      </c>
      <c r="F385" s="1067"/>
      <c r="G385" s="1069" t="str">
        <f t="array" ref="G385">IF(B385="insumo",_xlfn.XLOOKUP($D385,Insumos!$B$1:$B$996,Insumos!$D$1:$D$996),"")</f>
        <v/>
      </c>
      <c r="H385" s="1069">
        <v>7.0532266249184001</v>
      </c>
      <c r="I385" s="1070">
        <v>0</v>
      </c>
      <c r="J385" s="1070">
        <v>0</v>
      </c>
      <c r="K385" s="1070"/>
      <c r="L385"/>
      <c r="M385"/>
      <c r="N385"/>
      <c r="O385"/>
      <c r="P385"/>
      <c r="Q385"/>
      <c r="R385"/>
      <c r="S385"/>
      <c r="T385"/>
      <c r="U385"/>
      <c r="V385"/>
      <c r="W385"/>
      <c r="X385"/>
      <c r="Y385"/>
      <c r="Z385"/>
      <c r="AA385"/>
      <c r="AB385"/>
      <c r="AC385"/>
      <c r="AD385"/>
      <c r="AE385"/>
      <c r="AF385"/>
      <c r="AG385"/>
      <c r="AH385"/>
      <c r="AI385"/>
      <c r="AJ385"/>
      <c r="AK385"/>
      <c r="AL385"/>
    </row>
    <row r="386" spans="1:38" ht="15.75" customHeight="1" outlineLevel="3" x14ac:dyDescent="0.2">
      <c r="A386" s="10">
        <v>5</v>
      </c>
      <c r="B386" s="10" t="s">
        <v>71</v>
      </c>
      <c r="C386" s="10" t="s">
        <v>1310</v>
      </c>
      <c r="D386" s="10" t="s">
        <v>219</v>
      </c>
      <c r="E386" s="11" t="str">
        <f t="array" ref="E386">_xlfn.XLOOKUP(D386,Insumos!B:B,Insumos!C:$C)</f>
        <v>KG</v>
      </c>
      <c r="F386" s="14">
        <v>1.1000000000000001</v>
      </c>
      <c r="G386" s="92">
        <f t="array" ref="G386">IF(B386="insumo",_xlfn.XLOOKUP($D386,Insumos!$B$1:$B$996,Insumos!$D$1:$D$996),"")</f>
        <v>6.1446196590167288</v>
      </c>
      <c r="H386" s="92">
        <v>6.7590816249183998</v>
      </c>
      <c r="I386" s="13">
        <v>0</v>
      </c>
      <c r="J386" s="13">
        <v>0</v>
      </c>
      <c r="K386" s="13"/>
      <c r="L386"/>
      <c r="M386"/>
      <c r="N386"/>
      <c r="O386"/>
      <c r="P386"/>
      <c r="Q386"/>
      <c r="R386"/>
      <c r="S386"/>
      <c r="T386"/>
      <c r="U386"/>
      <c r="V386"/>
      <c r="W386"/>
      <c r="X386"/>
      <c r="Y386"/>
      <c r="Z386"/>
      <c r="AA386"/>
      <c r="AB386"/>
      <c r="AC386"/>
      <c r="AD386"/>
      <c r="AE386"/>
      <c r="AF386"/>
      <c r="AG386"/>
      <c r="AH386"/>
      <c r="AI386"/>
      <c r="AJ386"/>
      <c r="AK386"/>
      <c r="AL386"/>
    </row>
    <row r="387" spans="1:38" ht="15.75" customHeight="1" outlineLevel="3" x14ac:dyDescent="0.2">
      <c r="A387" s="10">
        <v>41</v>
      </c>
      <c r="B387" s="10" t="s">
        <v>71</v>
      </c>
      <c r="C387" s="10" t="s">
        <v>1310</v>
      </c>
      <c r="D387" s="10" t="s">
        <v>208</v>
      </c>
      <c r="E387" s="11" t="str">
        <f t="array" ref="E387">_xlfn.XLOOKUP(D387,Insumos!B:B,Insumos!C:$C)</f>
        <v>KG</v>
      </c>
      <c r="F387" s="14">
        <v>2.0500000000000001E-2</v>
      </c>
      <c r="G387" s="92">
        <f t="array" ref="G387">IF(B387="insumo",_xlfn.XLOOKUP($D387,Insumos!$B$1:$B$996,Insumos!$D$1:$D$996),"")</f>
        <v>13.69</v>
      </c>
      <c r="H387" s="92">
        <v>0.28064499999999998</v>
      </c>
      <c r="I387" s="13">
        <v>0</v>
      </c>
      <c r="J387" s="13">
        <v>0</v>
      </c>
      <c r="K387" s="13"/>
      <c r="L387"/>
      <c r="M387"/>
      <c r="N387"/>
      <c r="O387"/>
      <c r="P387"/>
      <c r="Q387"/>
      <c r="R387"/>
      <c r="S387"/>
      <c r="T387"/>
      <c r="U387"/>
      <c r="V387"/>
      <c r="W387"/>
      <c r="X387"/>
      <c r="Y387"/>
      <c r="Z387"/>
      <c r="AA387"/>
      <c r="AB387"/>
      <c r="AC387"/>
      <c r="AD387"/>
      <c r="AE387"/>
      <c r="AF387"/>
      <c r="AG387"/>
      <c r="AH387"/>
      <c r="AI387"/>
      <c r="AJ387"/>
      <c r="AK387"/>
      <c r="AL387"/>
    </row>
    <row r="388" spans="1:38" ht="15.75" customHeight="1" outlineLevel="3" x14ac:dyDescent="0.2">
      <c r="A388" s="10">
        <v>62</v>
      </c>
      <c r="B388" s="10" t="s">
        <v>71</v>
      </c>
      <c r="C388" s="10" t="s">
        <v>1310</v>
      </c>
      <c r="D388" s="10" t="s">
        <v>209</v>
      </c>
      <c r="E388" s="11" t="str">
        <f t="array" ref="E388">_xlfn.XLOOKUP(D388,Insumos!B:B,Insumos!C:$C)</f>
        <v>UN</v>
      </c>
      <c r="F388" s="14">
        <v>0.05</v>
      </c>
      <c r="G388" s="92">
        <f t="array" ref="G388">IF(B388="insumo",_xlfn.XLOOKUP($D388,Insumos!$B$1:$B$996,Insumos!$D$1:$D$996),"")</f>
        <v>0.27</v>
      </c>
      <c r="H388" s="92">
        <v>1.35E-2</v>
      </c>
      <c r="I388" s="13">
        <v>0</v>
      </c>
      <c r="J388" s="13">
        <v>0</v>
      </c>
      <c r="K388" s="13"/>
      <c r="L388"/>
      <c r="M388"/>
      <c r="N388"/>
      <c r="O388"/>
      <c r="P388"/>
      <c r="Q388"/>
      <c r="R388"/>
      <c r="S388"/>
      <c r="T388"/>
      <c r="U388"/>
      <c r="V388"/>
      <c r="W388"/>
      <c r="X388"/>
      <c r="Y388"/>
      <c r="Z388"/>
      <c r="AA388"/>
      <c r="AB388"/>
      <c r="AC388"/>
      <c r="AD388"/>
      <c r="AE388"/>
      <c r="AF388"/>
      <c r="AG388"/>
      <c r="AH388"/>
      <c r="AI388"/>
      <c r="AJ388"/>
      <c r="AK388"/>
      <c r="AL388"/>
    </row>
    <row r="389" spans="1:38" ht="15.75" customHeight="1" outlineLevel="2" x14ac:dyDescent="0.2">
      <c r="A389" s="1067">
        <v>1</v>
      </c>
      <c r="B389" s="1067" t="s">
        <v>68</v>
      </c>
      <c r="C389" s="1067" t="s">
        <v>236</v>
      </c>
      <c r="D389" s="1067" t="s">
        <v>236</v>
      </c>
      <c r="E389" s="1068" t="s">
        <v>206</v>
      </c>
      <c r="F389" s="1067"/>
      <c r="G389" s="1069" t="str">
        <f t="array" ref="G389">IF(B389="insumo",_xlfn.XLOOKUP($D389,Insumos!$B$1:$B$996,Insumos!$D$1:$D$996),"")</f>
        <v/>
      </c>
      <c r="H389" s="1069">
        <v>6.0795673937957</v>
      </c>
      <c r="I389" s="1070">
        <v>0</v>
      </c>
      <c r="J389" s="1070">
        <v>0</v>
      </c>
      <c r="K389" s="1070"/>
      <c r="L389"/>
      <c r="M389"/>
      <c r="N389"/>
      <c r="O389"/>
      <c r="P389"/>
      <c r="Q389"/>
      <c r="R389"/>
      <c r="S389"/>
      <c r="T389"/>
      <c r="U389"/>
      <c r="V389"/>
      <c r="W389"/>
      <c r="X389"/>
      <c r="Y389"/>
      <c r="Z389"/>
      <c r="AA389"/>
      <c r="AB389"/>
      <c r="AC389"/>
      <c r="AD389"/>
      <c r="AE389"/>
      <c r="AF389"/>
      <c r="AG389"/>
      <c r="AH389"/>
      <c r="AI389"/>
      <c r="AJ389"/>
      <c r="AK389"/>
      <c r="AL389"/>
    </row>
    <row r="390" spans="1:38" ht="15.75" customHeight="1" outlineLevel="3" x14ac:dyDescent="0.2">
      <c r="A390" s="10">
        <v>4</v>
      </c>
      <c r="B390" s="10" t="s">
        <v>71</v>
      </c>
      <c r="C390" s="10" t="s">
        <v>236</v>
      </c>
      <c r="D390" s="10" t="s">
        <v>207</v>
      </c>
      <c r="E390" s="11" t="str">
        <f t="array" ref="E390">_xlfn.XLOOKUP(D390,Insumos!B:B,Insumos!C:$C)</f>
        <v>KG</v>
      </c>
      <c r="F390" s="14">
        <v>1.1000000000000001</v>
      </c>
      <c r="G390" s="92">
        <f t="array" ref="G390">IF(B390="insumo",_xlfn.XLOOKUP($D390,Insumos!$B$1:$B$996,Insumos!$D$1:$D$996),"")</f>
        <v>5.2594749034506343</v>
      </c>
      <c r="H390" s="92">
        <v>5.7854223937956997</v>
      </c>
      <c r="I390" s="13">
        <v>0</v>
      </c>
      <c r="J390" s="13">
        <v>0</v>
      </c>
      <c r="K390" s="13"/>
      <c r="L390"/>
      <c r="M390"/>
      <c r="N390"/>
      <c r="O390"/>
      <c r="P390"/>
      <c r="Q390"/>
      <c r="R390"/>
      <c r="S390"/>
      <c r="T390"/>
      <c r="U390"/>
      <c r="V390"/>
      <c r="W390"/>
      <c r="X390"/>
      <c r="Y390"/>
      <c r="Z390"/>
      <c r="AA390"/>
      <c r="AB390"/>
      <c r="AC390"/>
      <c r="AD390"/>
      <c r="AE390"/>
      <c r="AF390"/>
      <c r="AG390"/>
      <c r="AH390"/>
      <c r="AI390"/>
      <c r="AJ390"/>
      <c r="AK390"/>
      <c r="AL390"/>
    </row>
    <row r="391" spans="1:38" ht="15.75" customHeight="1" outlineLevel="3" x14ac:dyDescent="0.2">
      <c r="A391" s="10">
        <v>41</v>
      </c>
      <c r="B391" s="10" t="s">
        <v>71</v>
      </c>
      <c r="C391" s="10" t="s">
        <v>236</v>
      </c>
      <c r="D391" s="10" t="s">
        <v>208</v>
      </c>
      <c r="E391" s="11" t="str">
        <f t="array" ref="E391">_xlfn.XLOOKUP(D391,Insumos!B:B,Insumos!C:$C)</f>
        <v>KG</v>
      </c>
      <c r="F391" s="14">
        <v>2.0500000000000001E-2</v>
      </c>
      <c r="G391" s="92">
        <f t="array" ref="G391">IF(B391="insumo",_xlfn.XLOOKUP($D391,Insumos!$B$1:$B$996,Insumos!$D$1:$D$996),"")</f>
        <v>13.69</v>
      </c>
      <c r="H391" s="92">
        <v>0.28064499999999998</v>
      </c>
      <c r="I391" s="13">
        <v>0</v>
      </c>
      <c r="J391" s="13">
        <v>0</v>
      </c>
      <c r="K391" s="13"/>
      <c r="L391"/>
      <c r="M391"/>
      <c r="N391"/>
      <c r="O391"/>
      <c r="P391"/>
      <c r="Q391"/>
      <c r="R391"/>
      <c r="S391"/>
      <c r="T391"/>
      <c r="U391"/>
      <c r="V391"/>
      <c r="W391"/>
      <c r="X391"/>
      <c r="Y391"/>
      <c r="Z391"/>
      <c r="AA391"/>
      <c r="AB391"/>
      <c r="AC391"/>
      <c r="AD391"/>
      <c r="AE391"/>
      <c r="AF391"/>
      <c r="AG391"/>
      <c r="AH391"/>
      <c r="AI391"/>
      <c r="AJ391"/>
      <c r="AK391"/>
      <c r="AL391"/>
    </row>
    <row r="392" spans="1:38" ht="15.75" customHeight="1" outlineLevel="3" x14ac:dyDescent="0.2">
      <c r="A392" s="10">
        <v>62</v>
      </c>
      <c r="B392" s="10" t="s">
        <v>71</v>
      </c>
      <c r="C392" s="10" t="s">
        <v>236</v>
      </c>
      <c r="D392" s="10" t="s">
        <v>209</v>
      </c>
      <c r="E392" s="11" t="str">
        <f t="array" ref="E392">_xlfn.XLOOKUP(D392,Insumos!B:B,Insumos!C:$C)</f>
        <v>UN</v>
      </c>
      <c r="F392" s="14">
        <v>0.05</v>
      </c>
      <c r="G392" s="92">
        <f t="array" ref="G392">IF(B392="insumo",_xlfn.XLOOKUP($D392,Insumos!$B$1:$B$996,Insumos!$D$1:$D$996),"")</f>
        <v>0.27</v>
      </c>
      <c r="H392" s="92">
        <v>1.35E-2</v>
      </c>
      <c r="I392" s="13">
        <v>0</v>
      </c>
      <c r="J392" s="13">
        <v>0</v>
      </c>
      <c r="K392" s="13"/>
      <c r="L392"/>
      <c r="M392"/>
      <c r="N392"/>
      <c r="O392"/>
      <c r="P392"/>
      <c r="Q392"/>
      <c r="R392"/>
      <c r="S392"/>
      <c r="T392"/>
      <c r="U392"/>
      <c r="V392"/>
      <c r="W392"/>
      <c r="X392"/>
      <c r="Y392"/>
      <c r="Z392"/>
      <c r="AA392"/>
      <c r="AB392"/>
      <c r="AC392"/>
      <c r="AD392"/>
      <c r="AE392"/>
      <c r="AF392"/>
      <c r="AG392"/>
      <c r="AH392"/>
      <c r="AI392"/>
      <c r="AJ392"/>
      <c r="AK392"/>
      <c r="AL392"/>
    </row>
    <row r="393" spans="1:38" ht="15.75" customHeight="1" outlineLevel="2" x14ac:dyDescent="0.2">
      <c r="A393" s="1067">
        <v>1</v>
      </c>
      <c r="B393" s="1067" t="s">
        <v>68</v>
      </c>
      <c r="C393" s="1067" t="s">
        <v>237</v>
      </c>
      <c r="D393" s="1067" t="s">
        <v>237</v>
      </c>
      <c r="E393" s="1068" t="s">
        <v>206</v>
      </c>
      <c r="F393" s="1067"/>
      <c r="G393" s="1069" t="str">
        <f t="array" ref="G393">IF(B393="insumo",_xlfn.XLOOKUP($D393,Insumos!$B$1:$B$996,Insumos!$D$1:$D$996),"")</f>
        <v/>
      </c>
      <c r="H393" s="1069">
        <v>5.7114876589046197</v>
      </c>
      <c r="I393" s="1070">
        <v>0</v>
      </c>
      <c r="J393" s="1070">
        <v>0</v>
      </c>
      <c r="K393" s="1070"/>
      <c r="L393"/>
      <c r="M393"/>
      <c r="N393"/>
      <c r="O393"/>
      <c r="P393"/>
      <c r="Q393"/>
      <c r="R393"/>
      <c r="S393"/>
      <c r="T393"/>
      <c r="U393"/>
      <c r="V393"/>
      <c r="W393"/>
      <c r="X393"/>
      <c r="Y393"/>
      <c r="Z393"/>
      <c r="AA393"/>
      <c r="AB393"/>
      <c r="AC393"/>
      <c r="AD393"/>
      <c r="AE393"/>
      <c r="AF393"/>
      <c r="AG393"/>
      <c r="AH393"/>
      <c r="AI393"/>
      <c r="AJ393"/>
      <c r="AK393"/>
      <c r="AL393"/>
    </row>
    <row r="394" spans="1:38" ht="15.75" customHeight="1" outlineLevel="3" x14ac:dyDescent="0.2">
      <c r="A394" s="10">
        <v>5</v>
      </c>
      <c r="B394" s="10" t="s">
        <v>71</v>
      </c>
      <c r="C394" s="10" t="s">
        <v>237</v>
      </c>
      <c r="D394" s="10" t="s">
        <v>211</v>
      </c>
      <c r="E394" s="11" t="str">
        <f t="array" ref="E394">_xlfn.XLOOKUP(D394,Insumos!B:B,Insumos!C:$C)</f>
        <v>KG</v>
      </c>
      <c r="F394" s="14">
        <v>1.1000000000000001</v>
      </c>
      <c r="G394" s="92">
        <f t="array" ref="G394">IF(B394="insumo",_xlfn.XLOOKUP($D394,Insumos!$B$1:$B$996,Insumos!$D$1:$D$996),"")</f>
        <v>4.9248569626405612</v>
      </c>
      <c r="H394" s="92">
        <v>5.4173426589046203</v>
      </c>
      <c r="I394" s="13">
        <v>0</v>
      </c>
      <c r="J394" s="13">
        <v>0</v>
      </c>
      <c r="K394" s="13"/>
      <c r="L394"/>
      <c r="M394"/>
      <c r="N394"/>
      <c r="O394"/>
      <c r="P394"/>
      <c r="Q394"/>
      <c r="R394"/>
      <c r="S394"/>
      <c r="T394"/>
      <c r="U394"/>
      <c r="V394"/>
      <c r="W394"/>
      <c r="X394"/>
      <c r="Y394"/>
      <c r="Z394"/>
      <c r="AA394"/>
      <c r="AB394"/>
      <c r="AC394"/>
      <c r="AD394"/>
      <c r="AE394"/>
      <c r="AF394"/>
      <c r="AG394"/>
      <c r="AH394"/>
      <c r="AI394"/>
      <c r="AJ394"/>
      <c r="AK394"/>
      <c r="AL394"/>
    </row>
    <row r="395" spans="1:38" ht="15.75" customHeight="1" outlineLevel="3" x14ac:dyDescent="0.2">
      <c r="A395" s="10">
        <v>41</v>
      </c>
      <c r="B395" s="10" t="s">
        <v>71</v>
      </c>
      <c r="C395" s="10" t="s">
        <v>237</v>
      </c>
      <c r="D395" s="10" t="s">
        <v>208</v>
      </c>
      <c r="E395" s="11" t="str">
        <f t="array" ref="E395">_xlfn.XLOOKUP(D395,Insumos!B:B,Insumos!C:$C)</f>
        <v>KG</v>
      </c>
      <c r="F395" s="14">
        <v>2.0500000000000001E-2</v>
      </c>
      <c r="G395" s="92">
        <f t="array" ref="G395">IF(B395="insumo",_xlfn.XLOOKUP($D395,Insumos!$B$1:$B$996,Insumos!$D$1:$D$996),"")</f>
        <v>13.69</v>
      </c>
      <c r="H395" s="92">
        <v>0.28064499999999998</v>
      </c>
      <c r="I395" s="13">
        <v>0</v>
      </c>
      <c r="J395" s="13">
        <v>0</v>
      </c>
      <c r="K395" s="13"/>
      <c r="L395"/>
      <c r="M395"/>
      <c r="N395"/>
      <c r="O395"/>
      <c r="P395"/>
      <c r="Q395"/>
      <c r="R395"/>
      <c r="S395"/>
      <c r="T395"/>
      <c r="U395"/>
      <c r="V395"/>
      <c r="W395"/>
      <c r="X395"/>
      <c r="Y395"/>
      <c r="Z395"/>
      <c r="AA395"/>
      <c r="AB395"/>
      <c r="AC395"/>
      <c r="AD395"/>
      <c r="AE395"/>
      <c r="AF395"/>
      <c r="AG395"/>
      <c r="AH395"/>
      <c r="AI395"/>
      <c r="AJ395"/>
      <c r="AK395"/>
      <c r="AL395"/>
    </row>
    <row r="396" spans="1:38" ht="15.75" customHeight="1" outlineLevel="3" x14ac:dyDescent="0.2">
      <c r="A396" s="10">
        <v>62</v>
      </c>
      <c r="B396" s="10" t="s">
        <v>71</v>
      </c>
      <c r="C396" s="10" t="s">
        <v>237</v>
      </c>
      <c r="D396" s="10" t="s">
        <v>209</v>
      </c>
      <c r="E396" s="11" t="str">
        <f t="array" ref="E396">_xlfn.XLOOKUP(D396,Insumos!B:B,Insumos!C:$C)</f>
        <v>UN</v>
      </c>
      <c r="F396" s="14">
        <v>0.05</v>
      </c>
      <c r="G396" s="92">
        <f t="array" ref="G396">IF(B396="insumo",_xlfn.XLOOKUP($D396,Insumos!$B$1:$B$996,Insumos!$D$1:$D$996),"")</f>
        <v>0.27</v>
      </c>
      <c r="H396" s="92">
        <v>1.35E-2</v>
      </c>
      <c r="I396" s="13">
        <v>0</v>
      </c>
      <c r="J396" s="13">
        <v>0</v>
      </c>
      <c r="K396" s="13"/>
      <c r="L396"/>
      <c r="M396"/>
      <c r="N396"/>
      <c r="O396"/>
      <c r="P396"/>
      <c r="Q396"/>
      <c r="R396"/>
      <c r="S396"/>
      <c r="T396"/>
      <c r="U396"/>
      <c r="V396"/>
      <c r="W396"/>
      <c r="X396"/>
      <c r="Y396"/>
      <c r="Z396"/>
      <c r="AA396"/>
      <c r="AB396"/>
      <c r="AC396"/>
      <c r="AD396"/>
      <c r="AE396"/>
      <c r="AF396"/>
      <c r="AG396"/>
      <c r="AH396"/>
      <c r="AI396"/>
      <c r="AJ396"/>
      <c r="AK396"/>
      <c r="AL396"/>
    </row>
    <row r="397" spans="1:38" ht="15.75" customHeight="1" outlineLevel="2" x14ac:dyDescent="0.2">
      <c r="A397" s="1067">
        <v>1</v>
      </c>
      <c r="B397" s="1067" t="s">
        <v>68</v>
      </c>
      <c r="C397" s="1067" t="s">
        <v>238</v>
      </c>
      <c r="D397" s="1067" t="s">
        <v>238</v>
      </c>
      <c r="E397" s="1068" t="s">
        <v>206</v>
      </c>
      <c r="F397" s="1067"/>
      <c r="G397" s="1069" t="str">
        <f t="array" ref="G397">IF(B397="insumo",_xlfn.XLOOKUP($D397,Insumos!$B$1:$B$996,Insumos!$D$1:$D$996),"")</f>
        <v/>
      </c>
      <c r="H397" s="1069">
        <v>5.5748977193202496</v>
      </c>
      <c r="I397" s="1070">
        <v>0</v>
      </c>
      <c r="J397" s="1070">
        <v>0</v>
      </c>
      <c r="K397" s="1070"/>
      <c r="L397"/>
      <c r="M397"/>
      <c r="N397"/>
      <c r="O397"/>
      <c r="P397"/>
      <c r="Q397"/>
      <c r="R397"/>
      <c r="S397"/>
      <c r="T397"/>
      <c r="U397"/>
      <c r="V397"/>
      <c r="W397"/>
      <c r="X397"/>
      <c r="Y397"/>
      <c r="Z397"/>
      <c r="AA397"/>
      <c r="AB397"/>
      <c r="AC397"/>
      <c r="AD397"/>
      <c r="AE397"/>
      <c r="AF397"/>
      <c r="AG397"/>
      <c r="AH397"/>
      <c r="AI397"/>
      <c r="AJ397"/>
      <c r="AK397"/>
      <c r="AL397"/>
    </row>
    <row r="398" spans="1:38" ht="15.75" customHeight="1" outlineLevel="3" x14ac:dyDescent="0.2">
      <c r="A398" s="10">
        <v>4</v>
      </c>
      <c r="B398" s="10" t="s">
        <v>71</v>
      </c>
      <c r="C398" s="10" t="s">
        <v>238</v>
      </c>
      <c r="D398" s="10" t="s">
        <v>213</v>
      </c>
      <c r="E398" s="11" t="str">
        <f t="array" ref="E398">_xlfn.XLOOKUP(D398,Insumos!B:B,Insumos!C:$C)</f>
        <v>KG</v>
      </c>
      <c r="F398" s="14">
        <v>1.1000000000000001</v>
      </c>
      <c r="G398" s="92">
        <f t="array" ref="G398">IF(B398="insumo",_xlfn.XLOOKUP($D398,Insumos!$B$1:$B$996,Insumos!$D$1:$D$996),"")</f>
        <v>4.80068429029114</v>
      </c>
      <c r="H398" s="92">
        <v>5.2807527193202501</v>
      </c>
      <c r="I398" s="13">
        <v>0</v>
      </c>
      <c r="J398" s="13">
        <v>0</v>
      </c>
      <c r="K398" s="13"/>
      <c r="L398"/>
      <c r="M398"/>
      <c r="N398"/>
      <c r="O398"/>
      <c r="P398"/>
      <c r="Q398"/>
      <c r="R398"/>
      <c r="S398"/>
      <c r="T398"/>
      <c r="U398"/>
      <c r="V398"/>
      <c r="W398"/>
      <c r="X398"/>
      <c r="Y398"/>
      <c r="Z398"/>
      <c r="AA398"/>
      <c r="AB398"/>
      <c r="AC398"/>
      <c r="AD398"/>
      <c r="AE398"/>
      <c r="AF398"/>
      <c r="AG398"/>
      <c r="AH398"/>
      <c r="AI398"/>
      <c r="AJ398"/>
      <c r="AK398"/>
      <c r="AL398"/>
    </row>
    <row r="399" spans="1:38" ht="15.75" customHeight="1" outlineLevel="3" x14ac:dyDescent="0.2">
      <c r="A399" s="10">
        <v>41</v>
      </c>
      <c r="B399" s="10" t="s">
        <v>71</v>
      </c>
      <c r="C399" s="10" t="s">
        <v>238</v>
      </c>
      <c r="D399" s="10" t="s">
        <v>208</v>
      </c>
      <c r="E399" s="11" t="str">
        <f t="array" ref="E399">_xlfn.XLOOKUP(D399,Insumos!B:B,Insumos!C:$C)</f>
        <v>KG</v>
      </c>
      <c r="F399" s="14">
        <v>2.0500000000000001E-2</v>
      </c>
      <c r="G399" s="92">
        <f t="array" ref="G399">IF(B399="insumo",_xlfn.XLOOKUP($D399,Insumos!$B$1:$B$996,Insumos!$D$1:$D$996),"")</f>
        <v>13.69</v>
      </c>
      <c r="H399" s="92">
        <v>0.28064499999999998</v>
      </c>
      <c r="I399" s="13">
        <v>0</v>
      </c>
      <c r="J399" s="13">
        <v>0</v>
      </c>
      <c r="K399" s="13"/>
      <c r="L399"/>
      <c r="M399"/>
      <c r="N399"/>
      <c r="O399"/>
      <c r="P399"/>
      <c r="Q399"/>
      <c r="R399"/>
      <c r="S399"/>
      <c r="T399"/>
      <c r="U399"/>
      <c r="V399"/>
      <c r="W399"/>
      <c r="X399"/>
      <c r="Y399"/>
      <c r="Z399"/>
      <c r="AA399"/>
      <c r="AB399"/>
      <c r="AC399"/>
      <c r="AD399"/>
      <c r="AE399"/>
      <c r="AF399"/>
      <c r="AG399"/>
      <c r="AH399"/>
      <c r="AI399"/>
      <c r="AJ399"/>
      <c r="AK399"/>
      <c r="AL399"/>
    </row>
    <row r="400" spans="1:38" ht="15.75" customHeight="1" outlineLevel="3" x14ac:dyDescent="0.2">
      <c r="A400" s="10">
        <v>62</v>
      </c>
      <c r="B400" s="10" t="s">
        <v>71</v>
      </c>
      <c r="C400" s="10" t="s">
        <v>238</v>
      </c>
      <c r="D400" s="10" t="s">
        <v>209</v>
      </c>
      <c r="E400" s="11" t="str">
        <f t="array" ref="E400">_xlfn.XLOOKUP(D400,Insumos!B:B,Insumos!C:$C)</f>
        <v>UN</v>
      </c>
      <c r="F400" s="14">
        <v>0.05</v>
      </c>
      <c r="G400" s="92">
        <f t="array" ref="G400">IF(B400="insumo",_xlfn.XLOOKUP($D400,Insumos!$B$1:$B$996,Insumos!$D$1:$D$996),"")</f>
        <v>0.27</v>
      </c>
      <c r="H400" s="92">
        <v>1.35E-2</v>
      </c>
      <c r="I400" s="13">
        <v>0</v>
      </c>
      <c r="J400" s="13">
        <v>0</v>
      </c>
      <c r="K400" s="13"/>
      <c r="L400"/>
      <c r="M400"/>
      <c r="N400"/>
      <c r="O400"/>
      <c r="P400"/>
      <c r="Q400"/>
      <c r="R400"/>
      <c r="S400"/>
      <c r="T400"/>
      <c r="U400"/>
      <c r="V400"/>
      <c r="W400"/>
      <c r="X400"/>
      <c r="Y400"/>
      <c r="Z400"/>
      <c r="AA400"/>
      <c r="AB400"/>
      <c r="AC400"/>
      <c r="AD400"/>
      <c r="AE400"/>
      <c r="AF400"/>
      <c r="AG400"/>
      <c r="AH400"/>
      <c r="AI400"/>
      <c r="AJ400"/>
      <c r="AK400"/>
      <c r="AL400"/>
    </row>
    <row r="401" spans="1:38" ht="15.75" customHeight="1" outlineLevel="2" x14ac:dyDescent="0.2">
      <c r="A401" s="1067">
        <v>1</v>
      </c>
      <c r="B401" s="1067" t="s">
        <v>68</v>
      </c>
      <c r="C401" s="1067" t="s">
        <v>239</v>
      </c>
      <c r="D401" s="1067" t="s">
        <v>239</v>
      </c>
      <c r="E401" s="1068" t="s">
        <v>206</v>
      </c>
      <c r="F401" s="1067"/>
      <c r="G401" s="1069" t="str">
        <f t="array" ref="G401">IF(B401="insumo",_xlfn.XLOOKUP($D401,Insumos!$B$1:$B$996,Insumos!$D$1:$D$996),"")</f>
        <v/>
      </c>
      <c r="H401" s="1069">
        <v>5.8525390844687299</v>
      </c>
      <c r="I401" s="1070">
        <v>0</v>
      </c>
      <c r="J401" s="1070">
        <v>0</v>
      </c>
      <c r="K401" s="1070"/>
      <c r="L401"/>
      <c r="M401"/>
      <c r="N401"/>
      <c r="O401"/>
      <c r="P401"/>
      <c r="Q401"/>
      <c r="R401"/>
      <c r="S401"/>
      <c r="T401"/>
      <c r="U401"/>
      <c r="V401"/>
      <c r="W401"/>
      <c r="X401"/>
      <c r="Y401"/>
      <c r="Z401"/>
      <c r="AA401"/>
      <c r="AB401"/>
      <c r="AC401"/>
      <c r="AD401"/>
      <c r="AE401"/>
      <c r="AF401"/>
      <c r="AG401"/>
      <c r="AH401"/>
      <c r="AI401"/>
      <c r="AJ401"/>
      <c r="AK401"/>
      <c r="AL401"/>
    </row>
    <row r="402" spans="1:38" ht="15.75" customHeight="1" outlineLevel="3" x14ac:dyDescent="0.2">
      <c r="A402" s="10">
        <v>3</v>
      </c>
      <c r="B402" s="10" t="s">
        <v>71</v>
      </c>
      <c r="C402" s="10" t="s">
        <v>239</v>
      </c>
      <c r="D402" s="10" t="s">
        <v>240</v>
      </c>
      <c r="E402" s="11" t="str">
        <f t="array" ref="E402">_xlfn.XLOOKUP(D402,Insumos!B:B,Insumos!C:$C)</f>
        <v>KG</v>
      </c>
      <c r="F402" s="14">
        <v>1.1000000000000001</v>
      </c>
      <c r="G402" s="92">
        <f t="array" ref="G402">IF(B402="insumo",_xlfn.XLOOKUP($D402,Insumos!$B$1:$B$996,Insumos!$D$1:$D$996),"")</f>
        <v>5.0530855313352099</v>
      </c>
      <c r="H402" s="92">
        <v>5.5583940844687296</v>
      </c>
      <c r="I402" s="13">
        <v>0</v>
      </c>
      <c r="J402" s="13">
        <v>0</v>
      </c>
      <c r="K402" s="13"/>
      <c r="L402"/>
      <c r="M402"/>
      <c r="N402"/>
      <c r="O402"/>
      <c r="P402"/>
      <c r="Q402"/>
      <c r="R402"/>
      <c r="S402"/>
      <c r="T402"/>
      <c r="U402"/>
      <c r="V402"/>
      <c r="W402"/>
      <c r="X402"/>
      <c r="Y402"/>
      <c r="Z402"/>
      <c r="AA402"/>
      <c r="AB402"/>
      <c r="AC402"/>
      <c r="AD402"/>
      <c r="AE402"/>
      <c r="AF402"/>
      <c r="AG402"/>
      <c r="AH402"/>
      <c r="AI402"/>
      <c r="AJ402"/>
      <c r="AK402"/>
      <c r="AL402"/>
    </row>
    <row r="403" spans="1:38" ht="15.75" customHeight="1" outlineLevel="3" x14ac:dyDescent="0.2">
      <c r="A403" s="10">
        <v>41</v>
      </c>
      <c r="B403" s="10" t="s">
        <v>71</v>
      </c>
      <c r="C403" s="10" t="s">
        <v>239</v>
      </c>
      <c r="D403" s="10" t="s">
        <v>208</v>
      </c>
      <c r="E403" s="11" t="str">
        <f t="array" ref="E403">_xlfn.XLOOKUP(D403,Insumos!B:B,Insumos!C:$C)</f>
        <v>KG</v>
      </c>
      <c r="F403" s="14">
        <v>2.0500000000000001E-2</v>
      </c>
      <c r="G403" s="92">
        <f t="array" ref="G403">IF(B403="insumo",_xlfn.XLOOKUP($D403,Insumos!$B$1:$B$996,Insumos!$D$1:$D$996),"")</f>
        <v>13.69</v>
      </c>
      <c r="H403" s="92">
        <v>0.28064499999999998</v>
      </c>
      <c r="I403" s="13">
        <v>0</v>
      </c>
      <c r="J403" s="13">
        <v>0</v>
      </c>
      <c r="K403" s="13"/>
      <c r="L403"/>
      <c r="M403"/>
      <c r="N403"/>
      <c r="O403"/>
      <c r="P403"/>
      <c r="Q403"/>
      <c r="R403"/>
      <c r="S403"/>
      <c r="T403"/>
      <c r="U403"/>
      <c r="V403"/>
      <c r="W403"/>
      <c r="X403"/>
      <c r="Y403"/>
      <c r="Z403"/>
      <c r="AA403"/>
      <c r="AB403"/>
      <c r="AC403"/>
      <c r="AD403"/>
      <c r="AE403"/>
      <c r="AF403"/>
      <c r="AG403"/>
      <c r="AH403"/>
      <c r="AI403"/>
      <c r="AJ403"/>
      <c r="AK403"/>
      <c r="AL403"/>
    </row>
    <row r="404" spans="1:38" ht="15.75" customHeight="1" outlineLevel="3" x14ac:dyDescent="0.2">
      <c r="A404" s="10">
        <v>62</v>
      </c>
      <c r="B404" s="10" t="s">
        <v>71</v>
      </c>
      <c r="C404" s="10" t="s">
        <v>239</v>
      </c>
      <c r="D404" s="10" t="s">
        <v>209</v>
      </c>
      <c r="E404" s="11" t="str">
        <f t="array" ref="E404">_xlfn.XLOOKUP(D404,Insumos!B:B,Insumos!C:$C)</f>
        <v>UN</v>
      </c>
      <c r="F404" s="14">
        <v>0.05</v>
      </c>
      <c r="G404" s="92">
        <f t="array" ref="G404">IF(B404="insumo",_xlfn.XLOOKUP($D404,Insumos!$B$1:$B$996,Insumos!$D$1:$D$996),"")</f>
        <v>0.27</v>
      </c>
      <c r="H404" s="92">
        <v>1.35E-2</v>
      </c>
      <c r="I404" s="13">
        <v>0</v>
      </c>
      <c r="J404" s="13">
        <v>0</v>
      </c>
      <c r="K404" s="13"/>
      <c r="L404"/>
      <c r="M404"/>
      <c r="N404"/>
      <c r="O404"/>
      <c r="P404"/>
      <c r="Q404"/>
      <c r="R404"/>
      <c r="S404"/>
      <c r="T404"/>
      <c r="U404"/>
      <c r="V404"/>
      <c r="W404"/>
      <c r="X404"/>
      <c r="Y404"/>
      <c r="Z404"/>
      <c r="AA404"/>
      <c r="AB404"/>
      <c r="AC404"/>
      <c r="AD404"/>
      <c r="AE404"/>
      <c r="AF404"/>
      <c r="AG404"/>
      <c r="AH404"/>
      <c r="AI404"/>
      <c r="AJ404"/>
      <c r="AK404"/>
      <c r="AL404"/>
    </row>
    <row r="405" spans="1:38" ht="15.75" customHeight="1" outlineLevel="2" x14ac:dyDescent="0.2">
      <c r="A405" s="1067">
        <v>1</v>
      </c>
      <c r="B405" s="1067" t="s">
        <v>68</v>
      </c>
      <c r="C405" s="1067" t="s">
        <v>241</v>
      </c>
      <c r="D405" s="1067" t="s">
        <v>241</v>
      </c>
      <c r="E405" s="1068" t="s">
        <v>206</v>
      </c>
      <c r="F405" s="1067"/>
      <c r="G405" s="1069" t="str">
        <f t="array" ref="G405">IF(B405="insumo",_xlfn.XLOOKUP($D405,Insumos!$B$1:$B$996,Insumos!$D$1:$D$996),"")</f>
        <v/>
      </c>
      <c r="H405" s="1069">
        <v>5.7287614493981804</v>
      </c>
      <c r="I405" s="1070">
        <v>0</v>
      </c>
      <c r="J405" s="1070">
        <v>0</v>
      </c>
      <c r="K405" s="1070"/>
      <c r="L405"/>
      <c r="M405"/>
      <c r="N405"/>
      <c r="O405"/>
      <c r="P405"/>
      <c r="Q405"/>
      <c r="R405"/>
      <c r="S405"/>
      <c r="T405"/>
      <c r="U405"/>
      <c r="V405"/>
      <c r="W405"/>
      <c r="X405"/>
      <c r="Y405"/>
      <c r="Z405"/>
      <c r="AA405"/>
      <c r="AB405"/>
      <c r="AC405"/>
      <c r="AD405"/>
      <c r="AE405"/>
      <c r="AF405"/>
      <c r="AG405"/>
      <c r="AH405"/>
      <c r="AI405"/>
      <c r="AJ405"/>
      <c r="AK405"/>
      <c r="AL405"/>
    </row>
    <row r="406" spans="1:38" ht="15.75" customHeight="1" outlineLevel="3" x14ac:dyDescent="0.2">
      <c r="A406" s="10">
        <v>4</v>
      </c>
      <c r="B406" s="10" t="s">
        <v>71</v>
      </c>
      <c r="C406" s="10" t="s">
        <v>241</v>
      </c>
      <c r="D406" s="10" t="s">
        <v>215</v>
      </c>
      <c r="E406" s="11" t="str">
        <f t="array" ref="E406">_xlfn.XLOOKUP(D406,Insumos!B:B,Insumos!C:$C)</f>
        <v>KG</v>
      </c>
      <c r="F406" s="14">
        <v>1.1000000000000001</v>
      </c>
      <c r="G406" s="92">
        <f t="array" ref="G406">IF(B406="insumo",_xlfn.XLOOKUP($D406,Insumos!$B$1:$B$996,Insumos!$D$1:$D$996),"")</f>
        <v>4.9405604085438029</v>
      </c>
      <c r="H406" s="92">
        <v>5.4346164493981801</v>
      </c>
      <c r="I406" s="13">
        <v>0</v>
      </c>
      <c r="J406" s="13">
        <v>0</v>
      </c>
      <c r="K406" s="13"/>
      <c r="L406"/>
      <c r="M406"/>
      <c r="N406"/>
      <c r="O406"/>
      <c r="P406"/>
      <c r="Q406"/>
      <c r="R406"/>
      <c r="S406"/>
      <c r="T406"/>
      <c r="U406"/>
      <c r="V406"/>
      <c r="W406"/>
      <c r="X406"/>
      <c r="Y406"/>
      <c r="Z406"/>
      <c r="AA406"/>
      <c r="AB406"/>
      <c r="AC406"/>
      <c r="AD406"/>
      <c r="AE406"/>
      <c r="AF406"/>
      <c r="AG406"/>
      <c r="AH406"/>
      <c r="AI406"/>
      <c r="AJ406"/>
      <c r="AK406"/>
      <c r="AL406"/>
    </row>
    <row r="407" spans="1:38" ht="15.75" customHeight="1" outlineLevel="3" x14ac:dyDescent="0.2">
      <c r="A407" s="10">
        <v>41</v>
      </c>
      <c r="B407" s="10" t="s">
        <v>71</v>
      </c>
      <c r="C407" s="10" t="s">
        <v>241</v>
      </c>
      <c r="D407" s="10" t="s">
        <v>208</v>
      </c>
      <c r="E407" s="11" t="str">
        <f t="array" ref="E407">_xlfn.XLOOKUP(D407,Insumos!B:B,Insumos!C:$C)</f>
        <v>KG</v>
      </c>
      <c r="F407" s="14">
        <v>2.0500000000000001E-2</v>
      </c>
      <c r="G407" s="92">
        <f t="array" ref="G407">IF(B407="insumo",_xlfn.XLOOKUP($D407,Insumos!$B$1:$B$996,Insumos!$D$1:$D$996),"")</f>
        <v>13.69</v>
      </c>
      <c r="H407" s="92">
        <v>0.28064499999999998</v>
      </c>
      <c r="I407" s="13">
        <v>0</v>
      </c>
      <c r="J407" s="13">
        <v>0</v>
      </c>
      <c r="K407" s="13"/>
      <c r="L407"/>
      <c r="M407"/>
      <c r="N407"/>
      <c r="O407"/>
      <c r="P407"/>
      <c r="Q407"/>
      <c r="R407"/>
      <c r="S407"/>
      <c r="T407"/>
      <c r="U407"/>
      <c r="V407"/>
      <c r="W407"/>
      <c r="X407"/>
      <c r="Y407"/>
      <c r="Z407"/>
      <c r="AA407"/>
      <c r="AB407"/>
      <c r="AC407"/>
      <c r="AD407"/>
      <c r="AE407"/>
      <c r="AF407"/>
      <c r="AG407"/>
      <c r="AH407"/>
      <c r="AI407"/>
      <c r="AJ407"/>
      <c r="AK407"/>
      <c r="AL407"/>
    </row>
    <row r="408" spans="1:38" ht="15.75" customHeight="1" outlineLevel="3" x14ac:dyDescent="0.2">
      <c r="A408" s="10">
        <v>62</v>
      </c>
      <c r="B408" s="10" t="s">
        <v>71</v>
      </c>
      <c r="C408" s="10" t="s">
        <v>241</v>
      </c>
      <c r="D408" s="10" t="s">
        <v>209</v>
      </c>
      <c r="E408" s="11" t="str">
        <f t="array" ref="E408">_xlfn.XLOOKUP(D408,Insumos!B:B,Insumos!C:$C)</f>
        <v>UN</v>
      </c>
      <c r="F408" s="14">
        <v>0.05</v>
      </c>
      <c r="G408" s="92">
        <f t="array" ref="G408">IF(B408="insumo",_xlfn.XLOOKUP($D408,Insumos!$B$1:$B$996,Insumos!$D$1:$D$996),"")</f>
        <v>0.27</v>
      </c>
      <c r="H408" s="92">
        <v>1.35E-2</v>
      </c>
      <c r="I408" s="13">
        <v>0</v>
      </c>
      <c r="J408" s="13">
        <v>0</v>
      </c>
      <c r="K408" s="13"/>
      <c r="L408"/>
      <c r="M408"/>
      <c r="N408"/>
      <c r="O408"/>
      <c r="P408"/>
      <c r="Q408"/>
      <c r="R408"/>
      <c r="S408"/>
      <c r="T408"/>
      <c r="U408"/>
      <c r="V408"/>
      <c r="W408"/>
      <c r="X408"/>
      <c r="Y408"/>
      <c r="Z408"/>
      <c r="AA408"/>
      <c r="AB408"/>
      <c r="AC408"/>
      <c r="AD408"/>
      <c r="AE408"/>
      <c r="AF408"/>
      <c r="AG408"/>
      <c r="AH408"/>
      <c r="AI408"/>
      <c r="AJ408"/>
      <c r="AK408"/>
      <c r="AL408"/>
    </row>
    <row r="409" spans="1:38" ht="15.75" customHeight="1" outlineLevel="2" x14ac:dyDescent="0.2">
      <c r="A409" s="1067">
        <v>1</v>
      </c>
      <c r="B409" s="1067" t="s">
        <v>68</v>
      </c>
      <c r="C409" s="1067" t="s">
        <v>242</v>
      </c>
      <c r="D409" s="1067" t="s">
        <v>242</v>
      </c>
      <c r="E409" s="1068" t="s">
        <v>206</v>
      </c>
      <c r="F409" s="1067"/>
      <c r="G409" s="1069" t="str">
        <f t="array" ref="G409">IF(B409="insumo",_xlfn.XLOOKUP($D409,Insumos!$B$1:$B$996,Insumos!$D$1:$D$996),"")</f>
        <v/>
      </c>
      <c r="H409" s="1069">
        <v>5.8320238742016697</v>
      </c>
      <c r="I409" s="1070">
        <v>0</v>
      </c>
      <c r="J409" s="1070">
        <v>0</v>
      </c>
      <c r="K409" s="1070"/>
      <c r="L409"/>
      <c r="M409"/>
      <c r="N409"/>
      <c r="O409"/>
      <c r="P409"/>
      <c r="Q409"/>
      <c r="R409"/>
      <c r="S409"/>
      <c r="T409"/>
      <c r="U409"/>
      <c r="V409"/>
      <c r="W409"/>
      <c r="X409"/>
      <c r="Y409"/>
      <c r="Z409"/>
      <c r="AA409"/>
      <c r="AB409"/>
      <c r="AC409"/>
      <c r="AD409"/>
      <c r="AE409"/>
      <c r="AF409"/>
      <c r="AG409"/>
      <c r="AH409"/>
      <c r="AI409"/>
      <c r="AJ409"/>
      <c r="AK409"/>
      <c r="AL409"/>
    </row>
    <row r="410" spans="1:38" ht="15.75" customHeight="1" outlineLevel="3" x14ac:dyDescent="0.2">
      <c r="A410" s="10">
        <v>4</v>
      </c>
      <c r="B410" s="10" t="s">
        <v>71</v>
      </c>
      <c r="C410" s="10" t="s">
        <v>242</v>
      </c>
      <c r="D410" s="10" t="s">
        <v>217</v>
      </c>
      <c r="E410" s="11" t="str">
        <f t="array" ref="E410">_xlfn.XLOOKUP(D410,Insumos!B:B,Insumos!C:$C)</f>
        <v>KG</v>
      </c>
      <c r="F410" s="14">
        <v>1.1000000000000001</v>
      </c>
      <c r="G410" s="92">
        <f t="array" ref="G410">IF(B410="insumo",_xlfn.XLOOKUP($D410,Insumos!$B$1:$B$996,Insumos!$D$1:$D$996),"")</f>
        <v>5.0344353401833359</v>
      </c>
      <c r="H410" s="92">
        <v>5.5378788742016702</v>
      </c>
      <c r="I410" s="13">
        <v>0</v>
      </c>
      <c r="J410" s="13">
        <v>0</v>
      </c>
      <c r="K410" s="13"/>
      <c r="L410"/>
      <c r="M410"/>
      <c r="N410"/>
      <c r="O410"/>
      <c r="P410"/>
      <c r="Q410"/>
      <c r="R410"/>
      <c r="S410"/>
      <c r="T410"/>
      <c r="U410"/>
      <c r="V410"/>
      <c r="W410"/>
      <c r="X410"/>
      <c r="Y410"/>
      <c r="Z410"/>
      <c r="AA410"/>
      <c r="AB410"/>
      <c r="AC410"/>
      <c r="AD410"/>
      <c r="AE410"/>
      <c r="AF410"/>
      <c r="AG410"/>
      <c r="AH410"/>
      <c r="AI410"/>
      <c r="AJ410"/>
      <c r="AK410"/>
      <c r="AL410"/>
    </row>
    <row r="411" spans="1:38" ht="15.75" customHeight="1" outlineLevel="3" x14ac:dyDescent="0.2">
      <c r="A411" s="10">
        <v>41</v>
      </c>
      <c r="B411" s="10" t="s">
        <v>71</v>
      </c>
      <c r="C411" s="10" t="s">
        <v>242</v>
      </c>
      <c r="D411" s="10" t="s">
        <v>208</v>
      </c>
      <c r="E411" s="11" t="str">
        <f t="array" ref="E411">_xlfn.XLOOKUP(D411,Insumos!B:B,Insumos!C:$C)</f>
        <v>KG</v>
      </c>
      <c r="F411" s="14">
        <v>2.0500000000000001E-2</v>
      </c>
      <c r="G411" s="92">
        <f t="array" ref="G411">IF(B411="insumo",_xlfn.XLOOKUP($D411,Insumos!$B$1:$B$996,Insumos!$D$1:$D$996),"")</f>
        <v>13.69</v>
      </c>
      <c r="H411" s="92">
        <v>0.28064499999999998</v>
      </c>
      <c r="I411" s="13">
        <v>0</v>
      </c>
      <c r="J411" s="13">
        <v>0</v>
      </c>
      <c r="K411" s="13"/>
      <c r="L411"/>
      <c r="M411"/>
      <c r="N411"/>
      <c r="O411"/>
      <c r="P411"/>
      <c r="Q411"/>
      <c r="R411"/>
      <c r="S411"/>
      <c r="T411"/>
      <c r="U411"/>
      <c r="V411"/>
      <c r="W411"/>
      <c r="X411"/>
      <c r="Y411"/>
      <c r="Z411"/>
      <c r="AA411"/>
      <c r="AB411"/>
      <c r="AC411"/>
      <c r="AD411"/>
      <c r="AE411"/>
      <c r="AF411"/>
      <c r="AG411"/>
      <c r="AH411"/>
      <c r="AI411"/>
      <c r="AJ411"/>
      <c r="AK411"/>
      <c r="AL411"/>
    </row>
    <row r="412" spans="1:38" ht="15.75" customHeight="1" outlineLevel="3" x14ac:dyDescent="0.2">
      <c r="A412" s="10">
        <v>62</v>
      </c>
      <c r="B412" s="10" t="s">
        <v>71</v>
      </c>
      <c r="C412" s="10" t="s">
        <v>242</v>
      </c>
      <c r="D412" s="10" t="s">
        <v>209</v>
      </c>
      <c r="E412" s="11" t="str">
        <f t="array" ref="E412">_xlfn.XLOOKUP(D412,Insumos!B:B,Insumos!C:$C)</f>
        <v>UN</v>
      </c>
      <c r="F412" s="14">
        <v>0.05</v>
      </c>
      <c r="G412" s="92">
        <f t="array" ref="G412">IF(B412="insumo",_xlfn.XLOOKUP($D412,Insumos!$B$1:$B$996,Insumos!$D$1:$D$996),"")</f>
        <v>0.27</v>
      </c>
      <c r="H412" s="92">
        <v>1.35E-2</v>
      </c>
      <c r="I412" s="13">
        <v>0</v>
      </c>
      <c r="J412" s="13">
        <v>0</v>
      </c>
      <c r="K412" s="13"/>
      <c r="L412"/>
      <c r="M412"/>
      <c r="N412"/>
      <c r="O412"/>
      <c r="P412"/>
      <c r="Q412"/>
      <c r="R412"/>
      <c r="S412"/>
      <c r="T412"/>
      <c r="U412"/>
      <c r="V412"/>
      <c r="W412"/>
      <c r="X412"/>
      <c r="Y412"/>
      <c r="Z412"/>
      <c r="AA412"/>
      <c r="AB412"/>
      <c r="AC412"/>
      <c r="AD412"/>
      <c r="AE412"/>
      <c r="AF412"/>
      <c r="AG412"/>
      <c r="AH412"/>
      <c r="AI412"/>
      <c r="AJ412"/>
      <c r="AK412"/>
      <c r="AL412"/>
    </row>
    <row r="413" spans="1:38" ht="15.75" customHeight="1" outlineLevel="2" x14ac:dyDescent="0.2">
      <c r="A413" s="1067">
        <v>1</v>
      </c>
      <c r="B413" s="1067" t="s">
        <v>68</v>
      </c>
      <c r="C413" s="1067" t="s">
        <v>243</v>
      </c>
      <c r="D413" s="1067" t="s">
        <v>243</v>
      </c>
      <c r="E413" s="1068" t="s">
        <v>206</v>
      </c>
      <c r="F413" s="1067"/>
      <c r="G413" s="1069" t="str">
        <f t="array" ref="G413">IF(B413="insumo",_xlfn.XLOOKUP($D413,Insumos!$B$1:$B$996,Insumos!$D$1:$D$996),"")</f>
        <v/>
      </c>
      <c r="H413" s="1069">
        <v>5.9710978475884398</v>
      </c>
      <c r="I413" s="1070">
        <v>0</v>
      </c>
      <c r="J413" s="1070">
        <v>0</v>
      </c>
      <c r="K413" s="1070"/>
      <c r="L413"/>
      <c r="M413"/>
      <c r="N413"/>
      <c r="O413"/>
      <c r="P413"/>
      <c r="Q413"/>
      <c r="R413"/>
      <c r="S413"/>
      <c r="T413"/>
      <c r="U413"/>
      <c r="V413"/>
      <c r="W413"/>
      <c r="X413"/>
      <c r="Y413"/>
      <c r="Z413"/>
      <c r="AA413"/>
      <c r="AB413"/>
      <c r="AC413"/>
      <c r="AD413"/>
      <c r="AE413"/>
      <c r="AF413"/>
      <c r="AG413"/>
      <c r="AH413"/>
      <c r="AI413"/>
      <c r="AJ413"/>
      <c r="AK413"/>
      <c r="AL413"/>
    </row>
    <row r="414" spans="1:38" ht="15.75" customHeight="1" outlineLevel="3" x14ac:dyDescent="0.2">
      <c r="A414" s="10">
        <v>3</v>
      </c>
      <c r="B414" s="10" t="s">
        <v>71</v>
      </c>
      <c r="C414" s="10" t="s">
        <v>243</v>
      </c>
      <c r="D414" s="10" t="s">
        <v>244</v>
      </c>
      <c r="E414" s="11" t="str">
        <f t="array" ref="E414">_xlfn.XLOOKUP(D414,Insumos!B:B,Insumos!C:$C)</f>
        <v>KG</v>
      </c>
      <c r="F414" s="14">
        <v>1.1000000000000001</v>
      </c>
      <c r="G414" s="92">
        <f t="array" ref="G414">IF(B414="insumo",_xlfn.XLOOKUP($D414,Insumos!$B$1:$B$996,Insumos!$D$1:$D$996),"")</f>
        <v>5.1608662250804</v>
      </c>
      <c r="H414" s="92">
        <v>5.6769528475884403</v>
      </c>
      <c r="I414" s="13">
        <v>0</v>
      </c>
      <c r="J414" s="13">
        <v>0</v>
      </c>
      <c r="K414" s="13"/>
      <c r="L414"/>
      <c r="M414"/>
      <c r="N414"/>
      <c r="O414"/>
      <c r="P414"/>
      <c r="Q414"/>
      <c r="R414"/>
      <c r="S414"/>
      <c r="T414"/>
      <c r="U414"/>
      <c r="V414"/>
      <c r="W414"/>
      <c r="X414"/>
      <c r="Y414"/>
      <c r="Z414"/>
      <c r="AA414"/>
      <c r="AB414"/>
      <c r="AC414"/>
      <c r="AD414"/>
      <c r="AE414"/>
      <c r="AF414"/>
      <c r="AG414"/>
      <c r="AH414"/>
      <c r="AI414"/>
      <c r="AJ414"/>
      <c r="AK414"/>
      <c r="AL414"/>
    </row>
    <row r="415" spans="1:38" ht="15.75" customHeight="1" outlineLevel="3" x14ac:dyDescent="0.2">
      <c r="A415" s="10">
        <v>41</v>
      </c>
      <c r="B415" s="10" t="s">
        <v>71</v>
      </c>
      <c r="C415" s="10" t="s">
        <v>243</v>
      </c>
      <c r="D415" s="10" t="s">
        <v>208</v>
      </c>
      <c r="E415" s="11" t="str">
        <f t="array" ref="E415">_xlfn.XLOOKUP(D415,Insumos!B:B,Insumos!C:$C)</f>
        <v>KG</v>
      </c>
      <c r="F415" s="14">
        <v>2.0500000000000001E-2</v>
      </c>
      <c r="G415" s="92">
        <f t="array" ref="G415">IF(B415="insumo",_xlfn.XLOOKUP($D415,Insumos!$B$1:$B$996,Insumos!$D$1:$D$996),"")</f>
        <v>13.69</v>
      </c>
      <c r="H415" s="92">
        <v>0.28064499999999998</v>
      </c>
      <c r="I415" s="13">
        <v>0</v>
      </c>
      <c r="J415" s="13">
        <v>0</v>
      </c>
      <c r="K415" s="13"/>
      <c r="L415"/>
      <c r="M415"/>
      <c r="N415"/>
      <c r="O415"/>
      <c r="P415"/>
      <c r="Q415"/>
      <c r="R415"/>
      <c r="S415"/>
      <c r="T415"/>
      <c r="U415"/>
      <c r="V415"/>
      <c r="W415"/>
      <c r="X415"/>
      <c r="Y415"/>
      <c r="Z415"/>
      <c r="AA415"/>
      <c r="AB415"/>
      <c r="AC415"/>
      <c r="AD415"/>
      <c r="AE415"/>
      <c r="AF415"/>
      <c r="AG415"/>
      <c r="AH415"/>
      <c r="AI415"/>
      <c r="AJ415"/>
      <c r="AK415"/>
      <c r="AL415"/>
    </row>
    <row r="416" spans="1:38" ht="15.75" customHeight="1" outlineLevel="3" x14ac:dyDescent="0.2">
      <c r="A416" s="10">
        <v>62</v>
      </c>
      <c r="B416" s="10" t="s">
        <v>71</v>
      </c>
      <c r="C416" s="10" t="s">
        <v>243</v>
      </c>
      <c r="D416" s="10" t="s">
        <v>209</v>
      </c>
      <c r="E416" s="11" t="str">
        <f t="array" ref="E416">_xlfn.XLOOKUP(D416,Insumos!B:B,Insumos!C:$C)</f>
        <v>UN</v>
      </c>
      <c r="F416" s="14">
        <v>0.05</v>
      </c>
      <c r="G416" s="92">
        <f t="array" ref="G416">IF(B416="insumo",_xlfn.XLOOKUP($D416,Insumos!$B$1:$B$996,Insumos!$D$1:$D$996),"")</f>
        <v>0.27</v>
      </c>
      <c r="H416" s="92">
        <v>1.35E-2</v>
      </c>
      <c r="I416" s="13">
        <v>0</v>
      </c>
      <c r="J416" s="13">
        <v>0</v>
      </c>
      <c r="K416" s="13"/>
      <c r="L416"/>
      <c r="M416"/>
      <c r="N416"/>
      <c r="O416"/>
      <c r="P416"/>
      <c r="Q416"/>
      <c r="R416"/>
      <c r="S416"/>
      <c r="T416"/>
      <c r="U416"/>
      <c r="V416"/>
      <c r="W416"/>
      <c r="X416"/>
      <c r="Y416"/>
      <c r="Z416"/>
      <c r="AA416"/>
      <c r="AB416"/>
      <c r="AC416"/>
      <c r="AD416"/>
      <c r="AE416"/>
      <c r="AF416"/>
      <c r="AG416"/>
      <c r="AH416"/>
      <c r="AI416"/>
      <c r="AJ416"/>
      <c r="AK416"/>
      <c r="AL416"/>
    </row>
    <row r="417" spans="1:38" ht="15.75" customHeight="1" outlineLevel="2" x14ac:dyDescent="0.2">
      <c r="A417" s="1067">
        <v>1</v>
      </c>
      <c r="B417" s="1067" t="s">
        <v>68</v>
      </c>
      <c r="C417" s="1067" t="s">
        <v>245</v>
      </c>
      <c r="D417" s="1067" t="s">
        <v>245</v>
      </c>
      <c r="E417" s="1068" t="s">
        <v>206</v>
      </c>
      <c r="F417" s="1067"/>
      <c r="G417" s="1069" t="str">
        <f t="array" ref="G417">IF(B417="insumo",_xlfn.XLOOKUP($D417,Insumos!$B$1:$B$996,Insumos!$D$1:$D$996),"")</f>
        <v/>
      </c>
      <c r="H417" s="1069">
        <v>7.0532266249184001</v>
      </c>
      <c r="I417" s="1070">
        <v>0</v>
      </c>
      <c r="J417" s="1070">
        <v>0</v>
      </c>
      <c r="K417" s="1070"/>
      <c r="L417"/>
      <c r="M417"/>
      <c r="N417"/>
      <c r="O417"/>
      <c r="P417"/>
      <c r="Q417"/>
      <c r="R417"/>
      <c r="S417"/>
      <c r="T417"/>
      <c r="U417"/>
      <c r="V417"/>
      <c r="W417"/>
      <c r="X417"/>
      <c r="Y417"/>
      <c r="Z417"/>
      <c r="AA417"/>
      <c r="AB417"/>
      <c r="AC417"/>
      <c r="AD417"/>
      <c r="AE417"/>
      <c r="AF417"/>
      <c r="AG417"/>
      <c r="AH417"/>
      <c r="AI417"/>
      <c r="AJ417"/>
      <c r="AK417"/>
      <c r="AL417"/>
    </row>
    <row r="418" spans="1:38" ht="15.75" customHeight="1" outlineLevel="3" x14ac:dyDescent="0.2">
      <c r="A418" s="10">
        <v>5</v>
      </c>
      <c r="B418" s="10" t="s">
        <v>71</v>
      </c>
      <c r="C418" s="10" t="s">
        <v>245</v>
      </c>
      <c r="D418" s="10" t="s">
        <v>219</v>
      </c>
      <c r="E418" s="11" t="str">
        <f t="array" ref="E418">_xlfn.XLOOKUP(D418,Insumos!B:B,Insumos!C:$C)</f>
        <v>KG</v>
      </c>
      <c r="F418" s="14">
        <v>1.1000000000000001</v>
      </c>
      <c r="G418" s="92">
        <f t="array" ref="G418">IF(B418="insumo",_xlfn.XLOOKUP($D418,Insumos!$B$1:$B$996,Insumos!$D$1:$D$996),"")</f>
        <v>6.1446196590167288</v>
      </c>
      <c r="H418" s="92">
        <v>6.7590816249183998</v>
      </c>
      <c r="I418" s="13">
        <v>0</v>
      </c>
      <c r="J418" s="13">
        <v>0</v>
      </c>
      <c r="K418" s="13"/>
      <c r="L418"/>
      <c r="M418"/>
      <c r="N418"/>
      <c r="O418"/>
      <c r="P418"/>
      <c r="Q418"/>
      <c r="R418"/>
      <c r="S418"/>
      <c r="T418"/>
      <c r="U418"/>
      <c r="V418"/>
      <c r="W418"/>
      <c r="X418"/>
      <c r="Y418"/>
      <c r="Z418"/>
      <c r="AA418"/>
      <c r="AB418"/>
      <c r="AC418"/>
      <c r="AD418"/>
      <c r="AE418"/>
      <c r="AF418"/>
      <c r="AG418"/>
      <c r="AH418"/>
      <c r="AI418"/>
      <c r="AJ418"/>
      <c r="AK418"/>
      <c r="AL418"/>
    </row>
    <row r="419" spans="1:38" ht="15.75" customHeight="1" outlineLevel="3" x14ac:dyDescent="0.2">
      <c r="A419" s="10">
        <v>41</v>
      </c>
      <c r="B419" s="10" t="s">
        <v>71</v>
      </c>
      <c r="C419" s="10" t="s">
        <v>245</v>
      </c>
      <c r="D419" s="10" t="s">
        <v>208</v>
      </c>
      <c r="E419" s="11" t="str">
        <f t="array" ref="E419">_xlfn.XLOOKUP(D419,Insumos!B:B,Insumos!C:$C)</f>
        <v>KG</v>
      </c>
      <c r="F419" s="14">
        <v>2.0500000000000001E-2</v>
      </c>
      <c r="G419" s="92">
        <f t="array" ref="G419">IF(B419="insumo",_xlfn.XLOOKUP($D419,Insumos!$B$1:$B$996,Insumos!$D$1:$D$996),"")</f>
        <v>13.69</v>
      </c>
      <c r="H419" s="92">
        <v>0.28064499999999998</v>
      </c>
      <c r="I419" s="13">
        <v>0</v>
      </c>
      <c r="J419" s="13">
        <v>0</v>
      </c>
      <c r="K419" s="13"/>
      <c r="L419"/>
      <c r="M419"/>
      <c r="N419"/>
      <c r="O419"/>
      <c r="P419"/>
      <c r="Q419"/>
      <c r="R419"/>
      <c r="S419"/>
      <c r="T419"/>
      <c r="U419"/>
      <c r="V419"/>
      <c r="W419"/>
      <c r="X419"/>
      <c r="Y419"/>
      <c r="Z419"/>
      <c r="AA419"/>
      <c r="AB419"/>
      <c r="AC419"/>
      <c r="AD419"/>
      <c r="AE419"/>
      <c r="AF419"/>
      <c r="AG419"/>
      <c r="AH419"/>
      <c r="AI419"/>
      <c r="AJ419"/>
      <c r="AK419"/>
      <c r="AL419"/>
    </row>
    <row r="420" spans="1:38" ht="15.75" customHeight="1" outlineLevel="3" x14ac:dyDescent="0.2">
      <c r="A420" s="10">
        <v>62</v>
      </c>
      <c r="B420" s="10" t="s">
        <v>71</v>
      </c>
      <c r="C420" s="10" t="s">
        <v>245</v>
      </c>
      <c r="D420" s="10" t="s">
        <v>209</v>
      </c>
      <c r="E420" s="11" t="str">
        <f t="array" ref="E420">_xlfn.XLOOKUP(D420,Insumos!B:B,Insumos!C:$C)</f>
        <v>UN</v>
      </c>
      <c r="F420" s="14">
        <v>0.05</v>
      </c>
      <c r="G420" s="92">
        <f t="array" ref="G420">IF(B420="insumo",_xlfn.XLOOKUP($D420,Insumos!$B$1:$B$996,Insumos!$D$1:$D$996),"")</f>
        <v>0.27</v>
      </c>
      <c r="H420" s="92">
        <v>1.35E-2</v>
      </c>
      <c r="I420" s="13">
        <v>0</v>
      </c>
      <c r="J420" s="13">
        <v>0</v>
      </c>
      <c r="K420" s="13"/>
      <c r="L420"/>
      <c r="M420"/>
      <c r="N420"/>
      <c r="O420"/>
      <c r="P420"/>
      <c r="Q420"/>
      <c r="R420"/>
      <c r="S420"/>
      <c r="T420"/>
      <c r="U420"/>
      <c r="V420"/>
      <c r="W420"/>
      <c r="X420"/>
      <c r="Y420"/>
      <c r="Z420"/>
      <c r="AA420"/>
      <c r="AB420"/>
      <c r="AC420"/>
      <c r="AD420"/>
      <c r="AE420"/>
      <c r="AF420"/>
      <c r="AG420"/>
      <c r="AH420"/>
      <c r="AI420"/>
      <c r="AJ420"/>
      <c r="AK420"/>
      <c r="AL420"/>
    </row>
    <row r="421" spans="1:38" ht="15.75" customHeight="1" outlineLevel="2" x14ac:dyDescent="0.2">
      <c r="A421" s="1067">
        <v>1</v>
      </c>
      <c r="B421" s="1067" t="s">
        <v>68</v>
      </c>
      <c r="C421" s="1067" t="s">
        <v>246</v>
      </c>
      <c r="D421" s="1067" t="s">
        <v>246</v>
      </c>
      <c r="E421" s="1068" t="s">
        <v>206</v>
      </c>
      <c r="F421" s="1067"/>
      <c r="G421" s="1069" t="str">
        <f t="array" ref="G421">IF(B421="insumo",_xlfn.XLOOKUP($D421,Insumos!$B$1:$B$996,Insumos!$D$1:$D$996),"")</f>
        <v/>
      </c>
      <c r="H421" s="1069">
        <v>7.136145</v>
      </c>
      <c r="I421" s="1070">
        <v>0</v>
      </c>
      <c r="J421" s="1070">
        <v>0</v>
      </c>
      <c r="K421" s="1070"/>
      <c r="L421"/>
      <c r="M421"/>
      <c r="N421"/>
      <c r="O421"/>
      <c r="P421"/>
      <c r="Q421"/>
      <c r="R421"/>
      <c r="S421"/>
      <c r="T421"/>
      <c r="U421"/>
      <c r="V421"/>
      <c r="W421"/>
      <c r="X421"/>
      <c r="Y421"/>
      <c r="Z421"/>
      <c r="AA421"/>
      <c r="AB421"/>
      <c r="AC421"/>
      <c r="AD421"/>
      <c r="AE421"/>
      <c r="AF421"/>
      <c r="AG421"/>
      <c r="AH421"/>
      <c r="AI421"/>
      <c r="AJ421"/>
      <c r="AK421"/>
      <c r="AL421"/>
    </row>
    <row r="422" spans="1:38" ht="15.75" customHeight="1" outlineLevel="3" x14ac:dyDescent="0.2">
      <c r="A422" s="10">
        <v>2</v>
      </c>
      <c r="B422" s="10" t="s">
        <v>71</v>
      </c>
      <c r="C422" s="10" t="s">
        <v>246</v>
      </c>
      <c r="D422" s="10" t="s">
        <v>247</v>
      </c>
      <c r="E422" s="11" t="str">
        <f t="array" ref="E422">_xlfn.XLOOKUP(D422,Insumos!B:B,Insumos!C:$C)</f>
        <v>KG</v>
      </c>
      <c r="F422" s="14">
        <v>1.1000000000000001</v>
      </c>
      <c r="G422" s="92">
        <f t="array" ref="G422">IF(B422="insumo",_xlfn.XLOOKUP($D422,Insumos!$B$1:$B$996,Insumos!$D$1:$D$996),"")</f>
        <v>6.22</v>
      </c>
      <c r="H422" s="92">
        <v>6.8419999999999996</v>
      </c>
      <c r="I422" s="13">
        <v>0</v>
      </c>
      <c r="J422" s="13">
        <v>0</v>
      </c>
      <c r="K422" s="13"/>
      <c r="L422"/>
      <c r="M422"/>
      <c r="N422"/>
      <c r="O422"/>
      <c r="P422"/>
      <c r="Q422"/>
      <c r="R422"/>
      <c r="S422"/>
      <c r="T422"/>
      <c r="U422"/>
      <c r="V422"/>
      <c r="W422"/>
      <c r="X422"/>
      <c r="Y422"/>
      <c r="Z422"/>
      <c r="AA422"/>
      <c r="AB422"/>
      <c r="AC422"/>
      <c r="AD422"/>
      <c r="AE422"/>
      <c r="AF422"/>
      <c r="AG422"/>
      <c r="AH422"/>
      <c r="AI422"/>
      <c r="AJ422"/>
      <c r="AK422"/>
      <c r="AL422"/>
    </row>
    <row r="423" spans="1:38" ht="15.75" customHeight="1" outlineLevel="3" x14ac:dyDescent="0.2">
      <c r="A423" s="10">
        <v>41</v>
      </c>
      <c r="B423" s="10" t="s">
        <v>71</v>
      </c>
      <c r="C423" s="10" t="s">
        <v>246</v>
      </c>
      <c r="D423" s="10" t="s">
        <v>208</v>
      </c>
      <c r="E423" s="11" t="str">
        <f t="array" ref="E423">_xlfn.XLOOKUP(D423,Insumos!B:B,Insumos!C:$C)</f>
        <v>KG</v>
      </c>
      <c r="F423" s="14">
        <v>2.0500000000000001E-2</v>
      </c>
      <c r="G423" s="92">
        <f t="array" ref="G423">IF(B423="insumo",_xlfn.XLOOKUP($D423,Insumos!$B$1:$B$996,Insumos!$D$1:$D$996),"")</f>
        <v>13.69</v>
      </c>
      <c r="H423" s="92">
        <v>0.28064499999999998</v>
      </c>
      <c r="I423" s="13">
        <v>0</v>
      </c>
      <c r="J423" s="13">
        <v>0</v>
      </c>
      <c r="K423" s="13"/>
      <c r="L423"/>
      <c r="M423"/>
      <c r="N423"/>
      <c r="O423"/>
      <c r="P423"/>
      <c r="Q423"/>
      <c r="R423"/>
      <c r="S423"/>
      <c r="T423"/>
      <c r="U423"/>
      <c r="V423"/>
      <c r="W423"/>
      <c r="X423"/>
      <c r="Y423"/>
      <c r="Z423"/>
      <c r="AA423"/>
      <c r="AB423"/>
      <c r="AC423"/>
      <c r="AD423"/>
      <c r="AE423"/>
      <c r="AF423"/>
      <c r="AG423"/>
      <c r="AH423"/>
      <c r="AI423"/>
      <c r="AJ423"/>
      <c r="AK423"/>
      <c r="AL423"/>
    </row>
    <row r="424" spans="1:38" ht="15.75" customHeight="1" outlineLevel="3" x14ac:dyDescent="0.2">
      <c r="A424" s="10">
        <v>62</v>
      </c>
      <c r="B424" s="10" t="s">
        <v>71</v>
      </c>
      <c r="C424" s="10" t="s">
        <v>246</v>
      </c>
      <c r="D424" s="10" t="s">
        <v>209</v>
      </c>
      <c r="E424" s="11" t="str">
        <f t="array" ref="E424">_xlfn.XLOOKUP(D424,Insumos!B:B,Insumos!C:$C)</f>
        <v>UN</v>
      </c>
      <c r="F424" s="14">
        <v>0.05</v>
      </c>
      <c r="G424" s="92">
        <f t="array" ref="G424">IF(B424="insumo",_xlfn.XLOOKUP($D424,Insumos!$B$1:$B$996,Insumos!$D$1:$D$996),"")</f>
        <v>0.27</v>
      </c>
      <c r="H424" s="92">
        <v>1.35E-2</v>
      </c>
      <c r="I424" s="13">
        <v>0</v>
      </c>
      <c r="J424" s="13">
        <v>0</v>
      </c>
      <c r="K424" s="13"/>
      <c r="L424"/>
      <c r="M424"/>
      <c r="N424"/>
      <c r="O424"/>
      <c r="P424"/>
      <c r="Q424"/>
      <c r="R424"/>
      <c r="S424"/>
      <c r="T424"/>
      <c r="U424"/>
      <c r="V424"/>
      <c r="W424"/>
      <c r="X424"/>
      <c r="Y424"/>
      <c r="Z424"/>
      <c r="AA424"/>
      <c r="AB424"/>
      <c r="AC424"/>
      <c r="AD424"/>
      <c r="AE424"/>
      <c r="AF424"/>
      <c r="AG424"/>
      <c r="AH424"/>
      <c r="AI424"/>
      <c r="AJ424"/>
      <c r="AK424"/>
      <c r="AL424"/>
    </row>
    <row r="425" spans="1:38" ht="15.75" customHeight="1" outlineLevel="2" x14ac:dyDescent="0.2">
      <c r="A425" s="1067">
        <v>1</v>
      </c>
      <c r="B425" s="1067" t="s">
        <v>68</v>
      </c>
      <c r="C425" s="1067" t="s">
        <v>5363</v>
      </c>
      <c r="D425" s="1067" t="s">
        <v>5363</v>
      </c>
      <c r="E425" s="1068" t="s">
        <v>206</v>
      </c>
      <c r="F425" s="1067"/>
      <c r="G425" s="1069" t="str">
        <f t="array" ref="G425">IF(B425="insumo",_xlfn.XLOOKUP($D425,Insumos!$B$1:$B$996,Insumos!$D$1:$D$996),"")</f>
        <v/>
      </c>
      <c r="H425" s="1069">
        <v>8.9641450000000003</v>
      </c>
      <c r="I425" s="1070">
        <v>52</v>
      </c>
      <c r="J425" s="1070">
        <v>466.13553999999999</v>
      </c>
      <c r="K425" s="1070"/>
      <c r="L425"/>
      <c r="M425"/>
      <c r="N425"/>
      <c r="O425"/>
      <c r="P425"/>
      <c r="Q425"/>
      <c r="R425"/>
      <c r="S425"/>
      <c r="T425"/>
      <c r="U425"/>
      <c r="V425"/>
      <c r="W425"/>
      <c r="X425"/>
      <c r="Y425"/>
      <c r="Z425"/>
      <c r="AA425"/>
      <c r="AB425"/>
      <c r="AC425"/>
      <c r="AD425"/>
      <c r="AE425"/>
      <c r="AF425"/>
      <c r="AG425"/>
      <c r="AH425"/>
      <c r="AI425"/>
      <c r="AJ425"/>
      <c r="AK425"/>
      <c r="AL425"/>
    </row>
    <row r="426" spans="1:38" ht="15.75" customHeight="1" outlineLevel="3" x14ac:dyDescent="0.2">
      <c r="A426" s="10">
        <v>2</v>
      </c>
      <c r="B426" s="10" t="s">
        <v>71</v>
      </c>
      <c r="C426" s="10" t="s">
        <v>5363</v>
      </c>
      <c r="D426" s="10" t="s">
        <v>5361</v>
      </c>
      <c r="E426" s="11" t="str">
        <f t="array" ref="E426">_xlfn.XLOOKUP(D426,Insumos!B:B,Insumos!C:$C)</f>
        <v>UN</v>
      </c>
      <c r="F426" s="14">
        <v>1</v>
      </c>
      <c r="G426" s="92">
        <f t="array" ref="G426">IF(B426="insumo",_xlfn.XLOOKUP($D426,Insumos!$B$1:$B$996,Insumos!$D$1:$D$996),"")</f>
        <v>8.67</v>
      </c>
      <c r="H426" s="92">
        <v>8.67</v>
      </c>
      <c r="I426" s="13">
        <v>52</v>
      </c>
      <c r="J426" s="13">
        <v>450.84</v>
      </c>
      <c r="K426" s="13"/>
      <c r="L426"/>
      <c r="M426"/>
      <c r="N426"/>
      <c r="O426"/>
      <c r="P426"/>
      <c r="Q426"/>
      <c r="R426"/>
      <c r="S426"/>
      <c r="T426"/>
      <c r="U426"/>
      <c r="V426"/>
      <c r="W426"/>
      <c r="X426"/>
      <c r="Y426"/>
      <c r="Z426"/>
      <c r="AA426"/>
      <c r="AB426"/>
      <c r="AC426"/>
      <c r="AD426"/>
      <c r="AE426"/>
      <c r="AF426"/>
      <c r="AG426"/>
      <c r="AH426"/>
      <c r="AI426"/>
      <c r="AJ426"/>
      <c r="AK426"/>
      <c r="AL426"/>
    </row>
    <row r="427" spans="1:38" ht="15.75" customHeight="1" outlineLevel="3" x14ac:dyDescent="0.2">
      <c r="A427" s="10">
        <v>41</v>
      </c>
      <c r="B427" s="10" t="s">
        <v>71</v>
      </c>
      <c r="C427" s="10" t="s">
        <v>5363</v>
      </c>
      <c r="D427" s="10" t="s">
        <v>208</v>
      </c>
      <c r="E427" s="11" t="str">
        <f t="array" ref="E427">_xlfn.XLOOKUP(D427,Insumos!B:B,Insumos!C:$C)</f>
        <v>KG</v>
      </c>
      <c r="F427" s="14">
        <v>2.0500000000000001E-2</v>
      </c>
      <c r="G427" s="92">
        <f t="array" ref="G427">IF(B427="insumo",_xlfn.XLOOKUP($D427,Insumos!$B$1:$B$996,Insumos!$D$1:$D$996),"")</f>
        <v>13.69</v>
      </c>
      <c r="H427" s="92">
        <v>0.28064499999999998</v>
      </c>
      <c r="I427" s="13">
        <v>52</v>
      </c>
      <c r="J427" s="13">
        <v>14.593540000000001</v>
      </c>
      <c r="K427" s="13"/>
      <c r="L427"/>
      <c r="M427"/>
      <c r="N427"/>
      <c r="O427"/>
      <c r="P427"/>
      <c r="Q427"/>
      <c r="R427"/>
      <c r="S427"/>
      <c r="T427"/>
      <c r="U427"/>
      <c r="V427"/>
      <c r="W427"/>
      <c r="X427"/>
      <c r="Y427"/>
      <c r="Z427"/>
      <c r="AA427"/>
      <c r="AB427"/>
      <c r="AC427"/>
      <c r="AD427"/>
      <c r="AE427"/>
      <c r="AF427"/>
      <c r="AG427"/>
      <c r="AH427"/>
      <c r="AI427"/>
      <c r="AJ427"/>
      <c r="AK427"/>
      <c r="AL427"/>
    </row>
    <row r="428" spans="1:38" ht="15.75" customHeight="1" outlineLevel="3" x14ac:dyDescent="0.2">
      <c r="A428" s="10">
        <v>62</v>
      </c>
      <c r="B428" s="10" t="s">
        <v>71</v>
      </c>
      <c r="C428" s="10" t="s">
        <v>5363</v>
      </c>
      <c r="D428" s="10" t="s">
        <v>209</v>
      </c>
      <c r="E428" s="11" t="str">
        <f t="array" ref="E428">_xlfn.XLOOKUP(D428,Insumos!B:B,Insumos!C:$C)</f>
        <v>UN</v>
      </c>
      <c r="F428" s="14">
        <v>0.05</v>
      </c>
      <c r="G428" s="92">
        <f t="array" ref="G428">IF(B428="insumo",_xlfn.XLOOKUP($D428,Insumos!$B$1:$B$996,Insumos!$D$1:$D$996),"")</f>
        <v>0.27</v>
      </c>
      <c r="H428" s="92">
        <v>1.35E-2</v>
      </c>
      <c r="I428" s="13">
        <v>52</v>
      </c>
      <c r="J428" s="13">
        <v>0.70199999999999996</v>
      </c>
      <c r="K428" s="13"/>
      <c r="L428"/>
      <c r="M428"/>
      <c r="N428"/>
      <c r="O428"/>
      <c r="P428"/>
      <c r="Q428"/>
      <c r="R428"/>
      <c r="S428"/>
      <c r="T428"/>
      <c r="U428"/>
      <c r="V428"/>
      <c r="W428"/>
      <c r="X428"/>
      <c r="Y428"/>
      <c r="Z428"/>
      <c r="AA428"/>
      <c r="AB428"/>
      <c r="AC428"/>
      <c r="AD428"/>
      <c r="AE428"/>
      <c r="AF428"/>
      <c r="AG428"/>
      <c r="AH428"/>
      <c r="AI428"/>
      <c r="AJ428"/>
      <c r="AK428"/>
      <c r="AL428"/>
    </row>
    <row r="429" spans="1:38" ht="15.75" customHeight="1" outlineLevel="2" x14ac:dyDescent="0.2">
      <c r="A429" s="1067">
        <v>1</v>
      </c>
      <c r="B429" s="1067" t="s">
        <v>68</v>
      </c>
      <c r="C429" s="1067" t="s">
        <v>5364</v>
      </c>
      <c r="D429" s="1067" t="s">
        <v>5364</v>
      </c>
      <c r="E429" s="1068" t="s">
        <v>206</v>
      </c>
      <c r="F429" s="1067"/>
      <c r="G429" s="1069" t="str">
        <f t="array" ref="G429">IF(B429="insumo",_xlfn.XLOOKUP($D429,Insumos!$B$1:$B$996,Insumos!$D$1:$D$996),"")</f>
        <v/>
      </c>
      <c r="H429" s="1069">
        <v>8.9641450000000003</v>
      </c>
      <c r="I429" s="1070">
        <v>130.272727272727</v>
      </c>
      <c r="J429" s="1070">
        <v>1167.78361681818</v>
      </c>
      <c r="K429" s="1070"/>
      <c r="L429"/>
      <c r="M429"/>
      <c r="N429"/>
      <c r="O429"/>
      <c r="P429"/>
      <c r="Q429"/>
      <c r="R429"/>
      <c r="S429"/>
      <c r="T429"/>
      <c r="U429"/>
      <c r="V429"/>
      <c r="W429"/>
      <c r="X429"/>
      <c r="Y429"/>
      <c r="Z429"/>
      <c r="AA429"/>
      <c r="AB429"/>
      <c r="AC429"/>
      <c r="AD429"/>
      <c r="AE429"/>
      <c r="AF429"/>
      <c r="AG429"/>
      <c r="AH429"/>
      <c r="AI429"/>
      <c r="AJ429"/>
      <c r="AK429"/>
      <c r="AL429"/>
    </row>
    <row r="430" spans="1:38" ht="15.75" customHeight="1" outlineLevel="3" x14ac:dyDescent="0.2">
      <c r="A430" s="10">
        <v>4</v>
      </c>
      <c r="B430" s="10" t="s">
        <v>71</v>
      </c>
      <c r="C430" s="10" t="s">
        <v>5364</v>
      </c>
      <c r="D430" s="10" t="s">
        <v>3493</v>
      </c>
      <c r="E430" s="11" t="str">
        <f t="array" ref="E430">_xlfn.XLOOKUP(D430,Insumos!B:B,Insumos!C:$C)</f>
        <v>UN</v>
      </c>
      <c r="F430" s="14">
        <v>1</v>
      </c>
      <c r="G430" s="92">
        <f t="array" ref="G430">IF(B430="insumo",_xlfn.XLOOKUP($D430,Insumos!$B$1:$B$996,Insumos!$D$1:$D$996),"")</f>
        <v>8.67</v>
      </c>
      <c r="H430" s="92">
        <v>8.67</v>
      </c>
      <c r="I430" s="13">
        <v>130.272727272727</v>
      </c>
      <c r="J430" s="13">
        <v>1129.46454545454</v>
      </c>
      <c r="K430" s="13"/>
      <c r="L430"/>
      <c r="M430"/>
      <c r="N430"/>
      <c r="O430"/>
      <c r="P430"/>
      <c r="Q430"/>
      <c r="R430"/>
      <c r="S430"/>
      <c r="T430"/>
      <c r="U430"/>
      <c r="V430"/>
      <c r="W430"/>
      <c r="X430"/>
      <c r="Y430"/>
      <c r="Z430"/>
      <c r="AA430"/>
      <c r="AB430"/>
      <c r="AC430"/>
      <c r="AD430"/>
      <c r="AE430"/>
      <c r="AF430"/>
      <c r="AG430"/>
      <c r="AH430"/>
      <c r="AI430"/>
      <c r="AJ430"/>
      <c r="AK430"/>
      <c r="AL430"/>
    </row>
    <row r="431" spans="1:38" ht="15.75" customHeight="1" outlineLevel="3" x14ac:dyDescent="0.2">
      <c r="A431" s="10">
        <v>41</v>
      </c>
      <c r="B431" s="10" t="s">
        <v>71</v>
      </c>
      <c r="C431" s="10" t="s">
        <v>5364</v>
      </c>
      <c r="D431" s="10" t="s">
        <v>208</v>
      </c>
      <c r="E431" s="11" t="str">
        <f t="array" ref="E431">_xlfn.XLOOKUP(D431,Insumos!B:B,Insumos!C:$C)</f>
        <v>KG</v>
      </c>
      <c r="F431" s="14">
        <v>2.0500000000000001E-2</v>
      </c>
      <c r="G431" s="92">
        <f t="array" ref="G431">IF(B431="insumo",_xlfn.XLOOKUP($D431,Insumos!$B$1:$B$996,Insumos!$D$1:$D$996),"")</f>
        <v>13.69</v>
      </c>
      <c r="H431" s="92">
        <v>0.28064499999999998</v>
      </c>
      <c r="I431" s="13">
        <v>130.272727272727</v>
      </c>
      <c r="J431" s="13">
        <v>36.560389545454498</v>
      </c>
      <c r="K431" s="13"/>
      <c r="L431"/>
      <c r="M431"/>
      <c r="N431"/>
      <c r="O431"/>
      <c r="P431"/>
      <c r="Q431"/>
      <c r="R431"/>
      <c r="S431"/>
      <c r="T431"/>
      <c r="U431"/>
      <c r="V431"/>
      <c r="W431"/>
      <c r="X431"/>
      <c r="Y431"/>
      <c r="Z431"/>
      <c r="AA431"/>
      <c r="AB431"/>
      <c r="AC431"/>
      <c r="AD431"/>
      <c r="AE431"/>
      <c r="AF431"/>
      <c r="AG431"/>
      <c r="AH431"/>
      <c r="AI431"/>
      <c r="AJ431"/>
      <c r="AK431"/>
      <c r="AL431"/>
    </row>
    <row r="432" spans="1:38" ht="15.75" customHeight="1" outlineLevel="3" x14ac:dyDescent="0.2">
      <c r="A432" s="10">
        <v>62</v>
      </c>
      <c r="B432" s="10" t="s">
        <v>71</v>
      </c>
      <c r="C432" s="10" t="s">
        <v>5364</v>
      </c>
      <c r="D432" s="10" t="s">
        <v>209</v>
      </c>
      <c r="E432" s="11" t="str">
        <f t="array" ref="E432">_xlfn.XLOOKUP(D432,Insumos!B:B,Insumos!C:$C)</f>
        <v>UN</v>
      </c>
      <c r="F432" s="14">
        <v>0.05</v>
      </c>
      <c r="G432" s="92">
        <f t="array" ref="G432">IF(B432="insumo",_xlfn.XLOOKUP($D432,Insumos!$B$1:$B$996,Insumos!$D$1:$D$996),"")</f>
        <v>0.27</v>
      </c>
      <c r="H432" s="92">
        <v>1.35E-2</v>
      </c>
      <c r="I432" s="13">
        <v>130.272727272727</v>
      </c>
      <c r="J432" s="13">
        <v>1.75868181818181</v>
      </c>
      <c r="K432" s="13"/>
      <c r="L432"/>
      <c r="M432"/>
      <c r="N432"/>
      <c r="O432"/>
      <c r="P432"/>
      <c r="Q432"/>
      <c r="R432"/>
      <c r="S432"/>
      <c r="T432"/>
      <c r="U432"/>
      <c r="V432"/>
      <c r="W432"/>
      <c r="X432"/>
      <c r="Y432"/>
      <c r="Z432"/>
      <c r="AA432"/>
      <c r="AB432"/>
      <c r="AC432"/>
      <c r="AD432"/>
      <c r="AE432"/>
      <c r="AF432"/>
      <c r="AG432"/>
      <c r="AH432"/>
      <c r="AI432"/>
      <c r="AJ432"/>
      <c r="AK432"/>
      <c r="AL432"/>
    </row>
    <row r="433" spans="1:38" ht="15.75" customHeight="1" outlineLevel="2" x14ac:dyDescent="0.2">
      <c r="A433" s="1067">
        <v>1</v>
      </c>
      <c r="B433" s="1067" t="s">
        <v>68</v>
      </c>
      <c r="C433" s="1067" t="s">
        <v>5365</v>
      </c>
      <c r="D433" s="1067" t="s">
        <v>5365</v>
      </c>
      <c r="E433" s="1068" t="s">
        <v>206</v>
      </c>
      <c r="F433" s="1067"/>
      <c r="G433" s="1069" t="str">
        <f t="array" ref="G433">IF(B433="insumo",_xlfn.XLOOKUP($D433,Insumos!$B$1:$B$996,Insumos!$D$1:$D$996),"")</f>
        <v/>
      </c>
      <c r="H433" s="1069">
        <v>8.9641450000000003</v>
      </c>
      <c r="I433" s="1070">
        <v>982.63636363636397</v>
      </c>
      <c r="J433" s="1070">
        <v>8808.4948459090901</v>
      </c>
      <c r="K433" s="1070"/>
      <c r="L433"/>
      <c r="M433"/>
      <c r="N433"/>
      <c r="O433"/>
      <c r="P433"/>
      <c r="Q433"/>
      <c r="R433"/>
      <c r="S433"/>
      <c r="T433"/>
      <c r="U433"/>
      <c r="V433"/>
      <c r="W433"/>
      <c r="X433"/>
      <c r="Y433"/>
      <c r="Z433"/>
      <c r="AA433"/>
      <c r="AB433"/>
      <c r="AC433"/>
      <c r="AD433"/>
      <c r="AE433"/>
      <c r="AF433"/>
      <c r="AG433"/>
      <c r="AH433"/>
      <c r="AI433"/>
      <c r="AJ433"/>
      <c r="AK433"/>
      <c r="AL433"/>
    </row>
    <row r="434" spans="1:38" ht="15.75" customHeight="1" outlineLevel="3" x14ac:dyDescent="0.2">
      <c r="A434" s="10">
        <v>3</v>
      </c>
      <c r="B434" s="10" t="s">
        <v>71</v>
      </c>
      <c r="C434" s="10" t="s">
        <v>5365</v>
      </c>
      <c r="D434" s="10" t="s">
        <v>3494</v>
      </c>
      <c r="E434" s="11" t="str">
        <f t="array" ref="E434">_xlfn.XLOOKUP(D434,Insumos!B:B,Insumos!C:$C)</f>
        <v>UN</v>
      </c>
      <c r="F434" s="14">
        <v>1</v>
      </c>
      <c r="G434" s="92">
        <f t="array" ref="G434">IF(B434="insumo",_xlfn.XLOOKUP($D434,Insumos!$B$1:$B$996,Insumos!$D$1:$D$996),"")</f>
        <v>8.67</v>
      </c>
      <c r="H434" s="92">
        <v>8.67</v>
      </c>
      <c r="I434" s="13">
        <v>982.63636363636397</v>
      </c>
      <c r="J434" s="13">
        <v>8519.4572727272807</v>
      </c>
      <c r="K434" s="13"/>
      <c r="L434"/>
      <c r="M434"/>
      <c r="N434"/>
      <c r="O434"/>
      <c r="P434"/>
      <c r="Q434"/>
      <c r="R434"/>
      <c r="S434"/>
      <c r="T434"/>
      <c r="U434"/>
      <c r="V434"/>
      <c r="W434"/>
      <c r="X434"/>
      <c r="Y434"/>
      <c r="Z434"/>
      <c r="AA434"/>
      <c r="AB434"/>
      <c r="AC434"/>
      <c r="AD434"/>
      <c r="AE434"/>
      <c r="AF434"/>
      <c r="AG434"/>
      <c r="AH434"/>
      <c r="AI434"/>
      <c r="AJ434"/>
      <c r="AK434"/>
      <c r="AL434"/>
    </row>
    <row r="435" spans="1:38" ht="15.75" customHeight="1" outlineLevel="3" x14ac:dyDescent="0.2">
      <c r="A435" s="10">
        <v>41</v>
      </c>
      <c r="B435" s="10" t="s">
        <v>71</v>
      </c>
      <c r="C435" s="10" t="s">
        <v>5365</v>
      </c>
      <c r="D435" s="10" t="s">
        <v>208</v>
      </c>
      <c r="E435" s="11" t="str">
        <f t="array" ref="E435">_xlfn.XLOOKUP(D435,Insumos!B:B,Insumos!C:$C)</f>
        <v>KG</v>
      </c>
      <c r="F435" s="14">
        <v>2.0500000000000001E-2</v>
      </c>
      <c r="G435" s="92">
        <f t="array" ref="G435">IF(B435="insumo",_xlfn.XLOOKUP($D435,Insumos!$B$1:$B$996,Insumos!$D$1:$D$996),"")</f>
        <v>13.69</v>
      </c>
      <c r="H435" s="92">
        <v>0.28064499999999998</v>
      </c>
      <c r="I435" s="13">
        <v>982.63636363636397</v>
      </c>
      <c r="J435" s="13">
        <v>275.77198227272697</v>
      </c>
      <c r="K435" s="13"/>
      <c r="L435"/>
      <c r="M435"/>
      <c r="N435"/>
      <c r="O435"/>
      <c r="P435"/>
      <c r="Q435"/>
      <c r="R435"/>
      <c r="S435"/>
      <c r="T435"/>
      <c r="U435"/>
      <c r="V435"/>
      <c r="W435"/>
      <c r="X435"/>
      <c r="Y435"/>
      <c r="Z435"/>
      <c r="AA435"/>
      <c r="AB435"/>
      <c r="AC435"/>
      <c r="AD435"/>
      <c r="AE435"/>
      <c r="AF435"/>
      <c r="AG435"/>
      <c r="AH435"/>
      <c r="AI435"/>
      <c r="AJ435"/>
      <c r="AK435"/>
      <c r="AL435"/>
    </row>
    <row r="436" spans="1:38" ht="15.75" customHeight="1" outlineLevel="3" x14ac:dyDescent="0.2">
      <c r="A436" s="10">
        <v>62</v>
      </c>
      <c r="B436" s="10" t="s">
        <v>71</v>
      </c>
      <c r="C436" s="10" t="s">
        <v>5365</v>
      </c>
      <c r="D436" s="10" t="s">
        <v>209</v>
      </c>
      <c r="E436" s="11" t="str">
        <f t="array" ref="E436">_xlfn.XLOOKUP(D436,Insumos!B:B,Insumos!C:$C)</f>
        <v>UN</v>
      </c>
      <c r="F436" s="14">
        <v>0.05</v>
      </c>
      <c r="G436" s="92">
        <f t="array" ref="G436">IF(B436="insumo",_xlfn.XLOOKUP($D436,Insumos!$B$1:$B$996,Insumos!$D$1:$D$996),"")</f>
        <v>0.27</v>
      </c>
      <c r="H436" s="92">
        <v>1.35E-2</v>
      </c>
      <c r="I436" s="13">
        <v>982.63636363636397</v>
      </c>
      <c r="J436" s="13">
        <v>13.2655909090909</v>
      </c>
      <c r="K436" s="13"/>
      <c r="L436"/>
      <c r="M436"/>
      <c r="N436"/>
      <c r="O436"/>
      <c r="P436"/>
      <c r="Q436"/>
      <c r="R436"/>
      <c r="S436"/>
      <c r="T436"/>
      <c r="U436"/>
      <c r="V436"/>
      <c r="W436"/>
      <c r="X436"/>
      <c r="Y436"/>
      <c r="Z436"/>
      <c r="AA436"/>
      <c r="AB436"/>
      <c r="AC436"/>
      <c r="AD436"/>
      <c r="AE436"/>
      <c r="AF436"/>
      <c r="AG436"/>
      <c r="AH436"/>
      <c r="AI436"/>
      <c r="AJ436"/>
      <c r="AK436"/>
      <c r="AL436"/>
    </row>
    <row r="437" spans="1:38" ht="15.75" customHeight="1" outlineLevel="2" x14ac:dyDescent="0.2">
      <c r="A437" s="1067">
        <v>1</v>
      </c>
      <c r="B437" s="1067" t="s">
        <v>68</v>
      </c>
      <c r="C437" s="1067" t="s">
        <v>5366</v>
      </c>
      <c r="D437" s="1067" t="s">
        <v>5366</v>
      </c>
      <c r="E437" s="1068" t="s">
        <v>206</v>
      </c>
      <c r="F437" s="1067"/>
      <c r="G437" s="1069" t="str">
        <f t="array" ref="G437">IF(B437="insumo",_xlfn.XLOOKUP($D437,Insumos!$B$1:$B$996,Insumos!$D$1:$D$996),"")</f>
        <v/>
      </c>
      <c r="H437" s="1069">
        <v>8.9641450000000003</v>
      </c>
      <c r="I437" s="1070">
        <v>7011.6363636363603</v>
      </c>
      <c r="J437" s="1070">
        <v>62853.325050909101</v>
      </c>
      <c r="K437" s="1070"/>
      <c r="L437"/>
      <c r="M437"/>
      <c r="N437"/>
      <c r="O437"/>
      <c r="P437"/>
      <c r="Q437"/>
      <c r="R437"/>
      <c r="S437"/>
      <c r="T437"/>
      <c r="U437"/>
      <c r="V437"/>
      <c r="W437"/>
      <c r="X437"/>
      <c r="Y437"/>
      <c r="Z437"/>
      <c r="AA437"/>
      <c r="AB437"/>
      <c r="AC437"/>
      <c r="AD437"/>
      <c r="AE437"/>
      <c r="AF437"/>
      <c r="AG437"/>
      <c r="AH437"/>
      <c r="AI437"/>
      <c r="AJ437"/>
      <c r="AK437"/>
      <c r="AL437"/>
    </row>
    <row r="438" spans="1:38" ht="15.75" customHeight="1" outlineLevel="3" x14ac:dyDescent="0.2">
      <c r="A438" s="10">
        <v>2</v>
      </c>
      <c r="B438" s="10" t="s">
        <v>71</v>
      </c>
      <c r="C438" s="10" t="s">
        <v>5366</v>
      </c>
      <c r="D438" s="10" t="s">
        <v>5362</v>
      </c>
      <c r="E438" s="11" t="str">
        <f t="array" ref="E438">_xlfn.XLOOKUP(D438,Insumos!B:B,Insumos!C:$C)</f>
        <v>UN</v>
      </c>
      <c r="F438" s="14">
        <v>1</v>
      </c>
      <c r="G438" s="92">
        <f t="array" ref="G438">IF(B438="insumo",_xlfn.XLOOKUP($D438,Insumos!$B$1:$B$996,Insumos!$D$1:$D$996),"")</f>
        <v>8.67</v>
      </c>
      <c r="H438" s="92">
        <v>8.67</v>
      </c>
      <c r="I438" s="13">
        <v>7011.6363636363603</v>
      </c>
      <c r="J438" s="13">
        <v>60790.887272727203</v>
      </c>
      <c r="K438" s="13"/>
      <c r="L438"/>
      <c r="M438"/>
      <c r="N438"/>
      <c r="O438"/>
      <c r="P438"/>
      <c r="Q438"/>
      <c r="R438"/>
      <c r="S438"/>
      <c r="T438"/>
      <c r="U438"/>
      <c r="V438"/>
      <c r="W438"/>
      <c r="X438"/>
      <c r="Y438"/>
      <c r="Z438"/>
      <c r="AA438"/>
      <c r="AB438"/>
      <c r="AC438"/>
      <c r="AD438"/>
      <c r="AE438"/>
      <c r="AF438"/>
      <c r="AG438"/>
      <c r="AH438"/>
      <c r="AI438"/>
      <c r="AJ438"/>
      <c r="AK438"/>
      <c r="AL438"/>
    </row>
    <row r="439" spans="1:38" ht="15.75" customHeight="1" outlineLevel="3" x14ac:dyDescent="0.2">
      <c r="A439" s="10">
        <v>41</v>
      </c>
      <c r="B439" s="10" t="s">
        <v>71</v>
      </c>
      <c r="C439" s="10" t="s">
        <v>5366</v>
      </c>
      <c r="D439" s="10" t="s">
        <v>208</v>
      </c>
      <c r="E439" s="11" t="str">
        <f t="array" ref="E439">_xlfn.XLOOKUP(D439,Insumos!B:B,Insumos!C:$C)</f>
        <v>KG</v>
      </c>
      <c r="F439" s="14">
        <v>2.0500000000000001E-2</v>
      </c>
      <c r="G439" s="92">
        <f t="array" ref="G439">IF(B439="insumo",_xlfn.XLOOKUP($D439,Insumos!$B$1:$B$996,Insumos!$D$1:$D$996),"")</f>
        <v>13.69</v>
      </c>
      <c r="H439" s="92">
        <v>0.28064499999999998</v>
      </c>
      <c r="I439" s="13">
        <v>7011.6363636363603</v>
      </c>
      <c r="J439" s="13">
        <v>1967.7806872727299</v>
      </c>
      <c r="K439" s="13"/>
      <c r="L439"/>
      <c r="M439"/>
      <c r="N439"/>
      <c r="O439"/>
      <c r="P439"/>
      <c r="Q439"/>
      <c r="R439"/>
      <c r="S439"/>
      <c r="T439"/>
      <c r="U439"/>
      <c r="V439"/>
      <c r="W439"/>
      <c r="X439"/>
      <c r="Y439"/>
      <c r="Z439"/>
      <c r="AA439"/>
      <c r="AB439"/>
      <c r="AC439"/>
      <c r="AD439"/>
      <c r="AE439"/>
      <c r="AF439"/>
      <c r="AG439"/>
      <c r="AH439"/>
      <c r="AI439"/>
      <c r="AJ439"/>
      <c r="AK439"/>
      <c r="AL439"/>
    </row>
    <row r="440" spans="1:38" ht="15.75" customHeight="1" outlineLevel="3" x14ac:dyDescent="0.2">
      <c r="A440" s="10">
        <v>62</v>
      </c>
      <c r="B440" s="10" t="s">
        <v>71</v>
      </c>
      <c r="C440" s="10" t="s">
        <v>5366</v>
      </c>
      <c r="D440" s="10" t="s">
        <v>209</v>
      </c>
      <c r="E440" s="11" t="str">
        <f t="array" ref="E440">_xlfn.XLOOKUP(D440,Insumos!B:B,Insumos!C:$C)</f>
        <v>UN</v>
      </c>
      <c r="F440" s="14">
        <v>0.05</v>
      </c>
      <c r="G440" s="92">
        <f t="array" ref="G440">IF(B440="insumo",_xlfn.XLOOKUP($D440,Insumos!$B$1:$B$996,Insumos!$D$1:$D$996),"")</f>
        <v>0.27</v>
      </c>
      <c r="H440" s="92">
        <v>1.35E-2</v>
      </c>
      <c r="I440" s="13">
        <v>7011.6363636363603</v>
      </c>
      <c r="J440" s="13">
        <v>94.657090909090897</v>
      </c>
      <c r="K440" s="13"/>
      <c r="L440"/>
      <c r="M440"/>
      <c r="N440"/>
      <c r="O440"/>
      <c r="P440"/>
      <c r="Q440"/>
      <c r="R440"/>
      <c r="S440"/>
      <c r="T440"/>
      <c r="U440"/>
      <c r="V440"/>
      <c r="W440"/>
      <c r="X440"/>
      <c r="Y440"/>
      <c r="Z440"/>
      <c r="AA440"/>
      <c r="AB440"/>
      <c r="AC440"/>
      <c r="AD440"/>
      <c r="AE440"/>
      <c r="AF440"/>
      <c r="AG440"/>
      <c r="AH440"/>
      <c r="AI440"/>
      <c r="AJ440"/>
      <c r="AK440"/>
      <c r="AL440"/>
    </row>
    <row r="441" spans="1:38" ht="15.75" customHeight="1" outlineLevel="2" x14ac:dyDescent="0.2">
      <c r="A441" s="1067">
        <v>1</v>
      </c>
      <c r="B441" s="1067" t="s">
        <v>68</v>
      </c>
      <c r="C441" s="1067" t="s">
        <v>5357</v>
      </c>
      <c r="D441" s="1067" t="s">
        <v>5357</v>
      </c>
      <c r="E441" s="1068" t="s">
        <v>206</v>
      </c>
      <c r="F441" s="1067"/>
      <c r="G441" s="1069" t="str">
        <f t="array" ref="G441">IF(B441="insumo",_xlfn.XLOOKUP($D441,Insumos!$B$1:$B$996,Insumos!$D$1:$D$996),"")</f>
        <v/>
      </c>
      <c r="H441" s="1069">
        <v>8.4841449999999998</v>
      </c>
      <c r="I441" s="1070">
        <v>6536</v>
      </c>
      <c r="J441" s="1070">
        <v>55452.371720000003</v>
      </c>
      <c r="K441" s="1070"/>
      <c r="L441"/>
      <c r="M441"/>
      <c r="N441"/>
      <c r="O441"/>
      <c r="P441"/>
      <c r="Q441"/>
      <c r="R441"/>
      <c r="S441"/>
      <c r="T441"/>
      <c r="U441"/>
      <c r="V441"/>
      <c r="W441"/>
      <c r="X441"/>
      <c r="Y441"/>
      <c r="Z441"/>
      <c r="AA441"/>
      <c r="AB441"/>
      <c r="AC441"/>
      <c r="AD441"/>
      <c r="AE441"/>
      <c r="AF441"/>
      <c r="AG441"/>
      <c r="AH441"/>
      <c r="AI441"/>
      <c r="AJ441"/>
      <c r="AK441"/>
      <c r="AL441"/>
    </row>
    <row r="442" spans="1:38" ht="15.75" customHeight="1" outlineLevel="3" x14ac:dyDescent="0.2">
      <c r="A442" s="10">
        <v>3</v>
      </c>
      <c r="B442" s="10" t="s">
        <v>71</v>
      </c>
      <c r="C442" s="10" t="s">
        <v>5357</v>
      </c>
      <c r="D442" s="10" t="s">
        <v>3495</v>
      </c>
      <c r="E442" s="11" t="str">
        <f t="array" ref="E442">_xlfn.XLOOKUP(D442,Insumos!B:B,Insumos!C:$C)</f>
        <v>UN</v>
      </c>
      <c r="F442" s="14">
        <v>1</v>
      </c>
      <c r="G442" s="92">
        <f t="array" ref="G442">IF(B442="insumo",_xlfn.XLOOKUP($D442,Insumos!$B$1:$B$996,Insumos!$D$1:$D$996),"")</f>
        <v>8.19</v>
      </c>
      <c r="H442" s="92">
        <v>8.19</v>
      </c>
      <c r="I442" s="13">
        <v>6536</v>
      </c>
      <c r="J442" s="13">
        <v>53529.84</v>
      </c>
      <c r="K442" s="13"/>
      <c r="L442"/>
      <c r="M442"/>
      <c r="N442"/>
      <c r="O442"/>
      <c r="P442"/>
      <c r="Q442"/>
      <c r="R442"/>
      <c r="S442"/>
      <c r="T442"/>
      <c r="U442"/>
      <c r="V442"/>
      <c r="W442"/>
      <c r="X442"/>
      <c r="Y442"/>
      <c r="Z442"/>
      <c r="AA442"/>
      <c r="AB442"/>
      <c r="AC442"/>
      <c r="AD442"/>
      <c r="AE442"/>
      <c r="AF442"/>
      <c r="AG442"/>
      <c r="AH442"/>
      <c r="AI442"/>
      <c r="AJ442"/>
      <c r="AK442"/>
      <c r="AL442"/>
    </row>
    <row r="443" spans="1:38" ht="15.75" customHeight="1" outlineLevel="3" x14ac:dyDescent="0.2">
      <c r="A443" s="10">
        <v>41</v>
      </c>
      <c r="B443" s="10" t="s">
        <v>71</v>
      </c>
      <c r="C443" s="10" t="s">
        <v>5357</v>
      </c>
      <c r="D443" s="10" t="s">
        <v>208</v>
      </c>
      <c r="E443" s="11" t="str">
        <f t="array" ref="E443">_xlfn.XLOOKUP(D443,Insumos!B:B,Insumos!C:$C)</f>
        <v>KG</v>
      </c>
      <c r="F443" s="14">
        <v>2.0500000000000001E-2</v>
      </c>
      <c r="G443" s="92">
        <f t="array" ref="G443">IF(B443="insumo",_xlfn.XLOOKUP($D443,Insumos!$B$1:$B$996,Insumos!$D$1:$D$996),"")</f>
        <v>13.69</v>
      </c>
      <c r="H443" s="92">
        <v>0.28064499999999998</v>
      </c>
      <c r="I443" s="13">
        <v>6536</v>
      </c>
      <c r="J443" s="13">
        <v>1834.2957200000001</v>
      </c>
      <c r="K443" s="13"/>
      <c r="L443"/>
      <c r="M443"/>
      <c r="N443"/>
      <c r="O443"/>
      <c r="P443"/>
      <c r="Q443"/>
      <c r="R443"/>
      <c r="S443"/>
      <c r="T443"/>
      <c r="U443"/>
      <c r="V443"/>
      <c r="W443"/>
      <c r="X443"/>
      <c r="Y443"/>
      <c r="Z443"/>
      <c r="AA443"/>
      <c r="AB443"/>
      <c r="AC443"/>
      <c r="AD443"/>
      <c r="AE443"/>
      <c r="AF443"/>
      <c r="AG443"/>
      <c r="AH443"/>
      <c r="AI443"/>
      <c r="AJ443"/>
      <c r="AK443"/>
      <c r="AL443"/>
    </row>
    <row r="444" spans="1:38" ht="15.75" customHeight="1" outlineLevel="3" x14ac:dyDescent="0.2">
      <c r="A444" s="10">
        <v>62</v>
      </c>
      <c r="B444" s="10" t="s">
        <v>71</v>
      </c>
      <c r="C444" s="10" t="s">
        <v>5357</v>
      </c>
      <c r="D444" s="10" t="s">
        <v>209</v>
      </c>
      <c r="E444" s="11" t="str">
        <f t="array" ref="E444">_xlfn.XLOOKUP(D444,Insumos!B:B,Insumos!C:$C)</f>
        <v>UN</v>
      </c>
      <c r="F444" s="14">
        <v>0.05</v>
      </c>
      <c r="G444" s="92">
        <f t="array" ref="G444">IF(B444="insumo",_xlfn.XLOOKUP($D444,Insumos!$B$1:$B$996,Insumos!$D$1:$D$996),"")</f>
        <v>0.27</v>
      </c>
      <c r="H444" s="92">
        <v>1.35E-2</v>
      </c>
      <c r="I444" s="13">
        <v>6536</v>
      </c>
      <c r="J444" s="13">
        <v>88.236000000000004</v>
      </c>
      <c r="K444" s="13"/>
      <c r="L444"/>
      <c r="M444"/>
      <c r="N444"/>
      <c r="O444"/>
      <c r="P444"/>
      <c r="Q444"/>
      <c r="R444"/>
      <c r="S444"/>
      <c r="T444"/>
      <c r="U444"/>
      <c r="V444"/>
      <c r="W444"/>
      <c r="X444"/>
      <c r="Y444"/>
      <c r="Z444"/>
      <c r="AA444"/>
      <c r="AB444"/>
      <c r="AC444"/>
      <c r="AD444"/>
      <c r="AE444"/>
      <c r="AF444"/>
      <c r="AG444"/>
      <c r="AH444"/>
      <c r="AI444"/>
      <c r="AJ444"/>
      <c r="AK444"/>
      <c r="AL444"/>
    </row>
    <row r="445" spans="1:38" ht="15.75" customHeight="1" outlineLevel="2" x14ac:dyDescent="0.2">
      <c r="A445" s="1067">
        <v>1</v>
      </c>
      <c r="B445" s="1067" t="s">
        <v>68</v>
      </c>
      <c r="C445" s="1067" t="s">
        <v>5358</v>
      </c>
      <c r="D445" s="1067" t="s">
        <v>5358</v>
      </c>
      <c r="E445" s="1068" t="s">
        <v>206</v>
      </c>
      <c r="F445" s="1067"/>
      <c r="G445" s="1069" t="str">
        <f t="array" ref="G445">IF(B445="insumo",_xlfn.XLOOKUP($D445,Insumos!$B$1:$B$996,Insumos!$D$1:$D$996),"")</f>
        <v/>
      </c>
      <c r="H445" s="1069">
        <v>8.4841449999999998</v>
      </c>
      <c r="I445" s="1070">
        <v>8601.5454545454504</v>
      </c>
      <c r="J445" s="1070">
        <v>72976.758860454502</v>
      </c>
      <c r="K445" s="1070"/>
      <c r="L445"/>
      <c r="M445"/>
      <c r="N445"/>
      <c r="O445"/>
      <c r="P445"/>
      <c r="Q445"/>
      <c r="R445"/>
      <c r="S445"/>
      <c r="T445"/>
      <c r="U445"/>
      <c r="V445"/>
      <c r="W445"/>
      <c r="X445"/>
      <c r="Y445"/>
      <c r="Z445"/>
      <c r="AA445"/>
      <c r="AB445"/>
      <c r="AC445"/>
      <c r="AD445"/>
      <c r="AE445"/>
      <c r="AF445"/>
      <c r="AG445"/>
      <c r="AH445"/>
      <c r="AI445"/>
      <c r="AJ445"/>
      <c r="AK445"/>
      <c r="AL445"/>
    </row>
    <row r="446" spans="1:38" ht="15.75" customHeight="1" outlineLevel="3" x14ac:dyDescent="0.2">
      <c r="A446" s="10">
        <v>3</v>
      </c>
      <c r="B446" s="10" t="s">
        <v>71</v>
      </c>
      <c r="C446" s="10" t="s">
        <v>5358</v>
      </c>
      <c r="D446" s="10" t="s">
        <v>5350</v>
      </c>
      <c r="E446" s="11" t="str">
        <f t="array" ref="E446">_xlfn.XLOOKUP(D446,Insumos!B:B,Insumos!C:$C)</f>
        <v>UN</v>
      </c>
      <c r="F446" s="14">
        <v>1</v>
      </c>
      <c r="G446" s="92">
        <f t="array" ref="G446">IF(B446="insumo",_xlfn.XLOOKUP($D446,Insumos!$B$1:$B$996,Insumos!$D$1:$D$996),"")</f>
        <v>8.19</v>
      </c>
      <c r="H446" s="92">
        <v>8.19</v>
      </c>
      <c r="I446" s="13">
        <v>8601.5454545454504</v>
      </c>
      <c r="J446" s="13">
        <v>70446.6572727272</v>
      </c>
      <c r="K446" s="13"/>
      <c r="L446"/>
      <c r="M446"/>
      <c r="N446"/>
      <c r="O446"/>
      <c r="P446"/>
      <c r="Q446"/>
      <c r="R446"/>
      <c r="S446"/>
      <c r="T446"/>
      <c r="U446"/>
      <c r="V446"/>
      <c r="W446"/>
      <c r="X446"/>
      <c r="Y446"/>
      <c r="Z446"/>
      <c r="AA446"/>
      <c r="AB446"/>
      <c r="AC446"/>
      <c r="AD446"/>
      <c r="AE446"/>
      <c r="AF446"/>
      <c r="AG446"/>
      <c r="AH446"/>
      <c r="AI446"/>
      <c r="AJ446"/>
      <c r="AK446"/>
      <c r="AL446"/>
    </row>
    <row r="447" spans="1:38" ht="15.75" customHeight="1" outlineLevel="3" x14ac:dyDescent="0.2">
      <c r="A447" s="10">
        <v>41</v>
      </c>
      <c r="B447" s="10" t="s">
        <v>71</v>
      </c>
      <c r="C447" s="10" t="s">
        <v>5358</v>
      </c>
      <c r="D447" s="10" t="s">
        <v>208</v>
      </c>
      <c r="E447" s="11" t="str">
        <f t="array" ref="E447">_xlfn.XLOOKUP(D447,Insumos!B:B,Insumos!C:$C)</f>
        <v>KG</v>
      </c>
      <c r="F447" s="14">
        <v>2.0500000000000001E-2</v>
      </c>
      <c r="G447" s="92">
        <f t="array" ref="G447">IF(B447="insumo",_xlfn.XLOOKUP($D447,Insumos!$B$1:$B$996,Insumos!$D$1:$D$996),"")</f>
        <v>13.69</v>
      </c>
      <c r="H447" s="92">
        <v>0.28064499999999998</v>
      </c>
      <c r="I447" s="13">
        <v>8601.5454545454504</v>
      </c>
      <c r="J447" s="13">
        <v>2413.9807240909099</v>
      </c>
      <c r="K447" s="13"/>
      <c r="L447"/>
      <c r="M447"/>
      <c r="N447"/>
      <c r="O447"/>
      <c r="P447"/>
      <c r="Q447"/>
      <c r="R447"/>
      <c r="S447"/>
      <c r="T447"/>
      <c r="U447"/>
      <c r="V447"/>
      <c r="W447"/>
      <c r="X447"/>
      <c r="Y447"/>
      <c r="Z447"/>
      <c r="AA447"/>
      <c r="AB447"/>
      <c r="AC447"/>
      <c r="AD447"/>
      <c r="AE447"/>
      <c r="AF447"/>
      <c r="AG447"/>
      <c r="AH447"/>
      <c r="AI447"/>
      <c r="AJ447"/>
      <c r="AK447"/>
      <c r="AL447"/>
    </row>
    <row r="448" spans="1:38" ht="15.75" customHeight="1" outlineLevel="3" x14ac:dyDescent="0.2">
      <c r="A448" s="10">
        <v>62</v>
      </c>
      <c r="B448" s="10" t="s">
        <v>71</v>
      </c>
      <c r="C448" s="10" t="s">
        <v>5358</v>
      </c>
      <c r="D448" s="10" t="s">
        <v>209</v>
      </c>
      <c r="E448" s="11" t="str">
        <f t="array" ref="E448">_xlfn.XLOOKUP(D448,Insumos!B:B,Insumos!C:$C)</f>
        <v>UN</v>
      </c>
      <c r="F448" s="14">
        <v>0.05</v>
      </c>
      <c r="G448" s="92">
        <f t="array" ref="G448">IF(B448="insumo",_xlfn.XLOOKUP($D448,Insumos!$B$1:$B$996,Insumos!$D$1:$D$996),"")</f>
        <v>0.27</v>
      </c>
      <c r="H448" s="92">
        <v>1.35E-2</v>
      </c>
      <c r="I448" s="13">
        <v>8601.5454545454504</v>
      </c>
      <c r="J448" s="13">
        <v>116.12086363636401</v>
      </c>
      <c r="K448" s="13"/>
      <c r="L448"/>
      <c r="M448"/>
      <c r="N448"/>
      <c r="O448"/>
      <c r="P448"/>
      <c r="Q448"/>
      <c r="R448"/>
      <c r="S448"/>
      <c r="T448"/>
      <c r="U448"/>
      <c r="V448"/>
      <c r="W448"/>
      <c r="X448"/>
      <c r="Y448"/>
      <c r="Z448"/>
      <c r="AA448"/>
      <c r="AB448"/>
      <c r="AC448"/>
      <c r="AD448"/>
      <c r="AE448"/>
      <c r="AF448"/>
      <c r="AG448"/>
      <c r="AH448"/>
      <c r="AI448"/>
      <c r="AJ448"/>
      <c r="AK448"/>
      <c r="AL448"/>
    </row>
    <row r="449" spans="1:38" ht="15.75" customHeight="1" outlineLevel="2" x14ac:dyDescent="0.2">
      <c r="A449" s="1067">
        <v>1</v>
      </c>
      <c r="B449" s="1067" t="s">
        <v>68</v>
      </c>
      <c r="C449" s="1067" t="s">
        <v>5359</v>
      </c>
      <c r="D449" s="1067" t="s">
        <v>5359</v>
      </c>
      <c r="E449" s="1068" t="s">
        <v>206</v>
      </c>
      <c r="F449" s="1067"/>
      <c r="G449" s="1069" t="str">
        <f t="array" ref="G449">IF(B449="insumo",_xlfn.XLOOKUP($D449,Insumos!$B$1:$B$996,Insumos!$D$1:$D$996),"")</f>
        <v/>
      </c>
      <c r="H449" s="1069">
        <v>8.4841449999999998</v>
      </c>
      <c r="I449" s="1070">
        <v>2220.1818181818198</v>
      </c>
      <c r="J449" s="1070">
        <v>18836.3444718182</v>
      </c>
      <c r="K449" s="1070"/>
      <c r="L449"/>
      <c r="M449"/>
      <c r="N449"/>
      <c r="O449"/>
      <c r="P449"/>
      <c r="Q449"/>
      <c r="R449"/>
      <c r="S449"/>
      <c r="T449"/>
      <c r="U449"/>
      <c r="V449"/>
      <c r="W449"/>
      <c r="X449"/>
      <c r="Y449"/>
      <c r="Z449"/>
      <c r="AA449"/>
      <c r="AB449"/>
      <c r="AC449"/>
      <c r="AD449"/>
      <c r="AE449"/>
      <c r="AF449"/>
      <c r="AG449"/>
      <c r="AH449"/>
      <c r="AI449"/>
      <c r="AJ449"/>
      <c r="AK449"/>
      <c r="AL449"/>
    </row>
    <row r="450" spans="1:38" ht="15.75" customHeight="1" outlineLevel="3" x14ac:dyDescent="0.2">
      <c r="A450" s="10">
        <v>4</v>
      </c>
      <c r="B450" s="10" t="s">
        <v>71</v>
      </c>
      <c r="C450" s="10" t="s">
        <v>5359</v>
      </c>
      <c r="D450" s="10" t="s">
        <v>5352</v>
      </c>
      <c r="E450" s="11" t="str">
        <f t="array" ref="E450">_xlfn.XLOOKUP(D450,Insumos!B:B,Insumos!C:$C)</f>
        <v>UN</v>
      </c>
      <c r="F450" s="14">
        <v>1</v>
      </c>
      <c r="G450" s="92">
        <f t="array" ref="G450">IF(B450="insumo",_xlfn.XLOOKUP($D450,Insumos!$B$1:$B$996,Insumos!$D$1:$D$996),"")</f>
        <v>8.19</v>
      </c>
      <c r="H450" s="92">
        <v>8.19</v>
      </c>
      <c r="I450" s="13">
        <v>2220.1818181818198</v>
      </c>
      <c r="J450" s="13">
        <v>18183.2890909091</v>
      </c>
      <c r="K450" s="13"/>
      <c r="L450"/>
      <c r="M450"/>
      <c r="N450"/>
      <c r="O450"/>
      <c r="P450"/>
      <c r="Q450"/>
      <c r="R450"/>
      <c r="S450"/>
      <c r="T450"/>
      <c r="U450"/>
      <c r="V450"/>
      <c r="W450"/>
      <c r="X450"/>
      <c r="Y450"/>
      <c r="Z450"/>
      <c r="AA450"/>
      <c r="AB450"/>
      <c r="AC450"/>
      <c r="AD450"/>
      <c r="AE450"/>
      <c r="AF450"/>
      <c r="AG450"/>
      <c r="AH450"/>
      <c r="AI450"/>
      <c r="AJ450"/>
      <c r="AK450"/>
      <c r="AL450"/>
    </row>
    <row r="451" spans="1:38" ht="15.75" customHeight="1" outlineLevel="3" x14ac:dyDescent="0.2">
      <c r="A451" s="10">
        <v>41</v>
      </c>
      <c r="B451" s="10" t="s">
        <v>71</v>
      </c>
      <c r="C451" s="10" t="s">
        <v>5359</v>
      </c>
      <c r="D451" s="10" t="s">
        <v>208</v>
      </c>
      <c r="E451" s="11" t="str">
        <f t="array" ref="E451">_xlfn.XLOOKUP(D451,Insumos!B:B,Insumos!C:$C)</f>
        <v>KG</v>
      </c>
      <c r="F451" s="14">
        <v>2.0500000000000001E-2</v>
      </c>
      <c r="G451" s="92">
        <f t="array" ref="G451">IF(B451="insumo",_xlfn.XLOOKUP($D451,Insumos!$B$1:$B$996,Insumos!$D$1:$D$996),"")</f>
        <v>13.69</v>
      </c>
      <c r="H451" s="92">
        <v>0.28064499999999998</v>
      </c>
      <c r="I451" s="13">
        <v>2220.1818181818198</v>
      </c>
      <c r="J451" s="13">
        <v>623.08292636363694</v>
      </c>
      <c r="K451" s="13"/>
      <c r="L451"/>
      <c r="M451"/>
      <c r="N451"/>
      <c r="O451"/>
      <c r="P451"/>
      <c r="Q451"/>
      <c r="R451"/>
      <c r="S451"/>
      <c r="T451"/>
      <c r="U451"/>
      <c r="V451"/>
      <c r="W451"/>
      <c r="X451"/>
      <c r="Y451"/>
      <c r="Z451"/>
      <c r="AA451"/>
      <c r="AB451"/>
      <c r="AC451"/>
      <c r="AD451"/>
      <c r="AE451"/>
      <c r="AF451"/>
      <c r="AG451"/>
      <c r="AH451"/>
      <c r="AI451"/>
      <c r="AJ451"/>
      <c r="AK451"/>
      <c r="AL451"/>
    </row>
    <row r="452" spans="1:38" ht="15.75" customHeight="1" outlineLevel="3" x14ac:dyDescent="0.2">
      <c r="A452" s="10">
        <v>62</v>
      </c>
      <c r="B452" s="10" t="s">
        <v>71</v>
      </c>
      <c r="C452" s="10" t="s">
        <v>5359</v>
      </c>
      <c r="D452" s="10" t="s">
        <v>209</v>
      </c>
      <c r="E452" s="11" t="str">
        <f t="array" ref="E452">_xlfn.XLOOKUP(D452,Insumos!B:B,Insumos!C:$C)</f>
        <v>UN</v>
      </c>
      <c r="F452" s="14">
        <v>0.05</v>
      </c>
      <c r="G452" s="92">
        <f t="array" ref="G452">IF(B452="insumo",_xlfn.XLOOKUP($D452,Insumos!$B$1:$B$996,Insumos!$D$1:$D$996),"")</f>
        <v>0.27</v>
      </c>
      <c r="H452" s="92">
        <v>1.35E-2</v>
      </c>
      <c r="I452" s="13">
        <v>2220.1818181818198</v>
      </c>
      <c r="J452" s="13">
        <v>29.9724545454546</v>
      </c>
      <c r="K452" s="13"/>
      <c r="L452"/>
      <c r="M452"/>
      <c r="N452"/>
      <c r="O452"/>
      <c r="P452"/>
      <c r="Q452"/>
      <c r="R452"/>
      <c r="S452"/>
      <c r="T452"/>
      <c r="U452"/>
      <c r="V452"/>
      <c r="W452"/>
      <c r="X452"/>
      <c r="Y452"/>
      <c r="Z452"/>
      <c r="AA452"/>
      <c r="AB452"/>
      <c r="AC452"/>
      <c r="AD452"/>
      <c r="AE452"/>
      <c r="AF452"/>
      <c r="AG452"/>
      <c r="AH452"/>
      <c r="AI452"/>
      <c r="AJ452"/>
      <c r="AK452"/>
      <c r="AL452"/>
    </row>
    <row r="453" spans="1:38" ht="15.75" customHeight="1" outlineLevel="2" x14ac:dyDescent="0.2">
      <c r="A453" s="1067">
        <v>1</v>
      </c>
      <c r="B453" s="1067" t="s">
        <v>68</v>
      </c>
      <c r="C453" s="1067" t="s">
        <v>5360</v>
      </c>
      <c r="D453" s="1067" t="s">
        <v>5360</v>
      </c>
      <c r="E453" s="1068" t="s">
        <v>206</v>
      </c>
      <c r="F453" s="1067"/>
      <c r="G453" s="1069" t="str">
        <f t="array" ref="G453">IF(B453="insumo",_xlfn.XLOOKUP($D453,Insumos!$B$1:$B$996,Insumos!$D$1:$D$996),"")</f>
        <v/>
      </c>
      <c r="H453" s="1069">
        <v>8.4841449999999998</v>
      </c>
      <c r="I453" s="1070">
        <v>65337.272727272699</v>
      </c>
      <c r="J453" s="1070">
        <v>554330.89572272694</v>
      </c>
      <c r="K453" s="1070"/>
      <c r="L453"/>
      <c r="M453"/>
      <c r="N453"/>
      <c r="O453"/>
      <c r="P453"/>
      <c r="Q453"/>
      <c r="R453"/>
      <c r="S453"/>
      <c r="T453"/>
      <c r="U453"/>
      <c r="V453"/>
      <c r="W453"/>
      <c r="X453"/>
      <c r="Y453"/>
      <c r="Z453"/>
      <c r="AA453"/>
      <c r="AB453"/>
      <c r="AC453"/>
      <c r="AD453"/>
      <c r="AE453"/>
      <c r="AF453"/>
      <c r="AG453"/>
      <c r="AH453"/>
      <c r="AI453"/>
      <c r="AJ453"/>
      <c r="AK453"/>
      <c r="AL453"/>
    </row>
    <row r="454" spans="1:38" ht="15.75" customHeight="1" outlineLevel="3" x14ac:dyDescent="0.2">
      <c r="A454" s="10">
        <v>3</v>
      </c>
      <c r="B454" s="10" t="s">
        <v>71</v>
      </c>
      <c r="C454" s="10" t="s">
        <v>5360</v>
      </c>
      <c r="D454" s="10" t="s">
        <v>3496</v>
      </c>
      <c r="E454" s="11" t="str">
        <f t="array" ref="E454">_xlfn.XLOOKUP(D454,Insumos!B:B,Insumos!C:$C)</f>
        <v>UN</v>
      </c>
      <c r="F454" s="14">
        <v>1</v>
      </c>
      <c r="G454" s="92">
        <f t="array" ref="G454">IF(B454="insumo",_xlfn.XLOOKUP($D454,Insumos!$B$1:$B$996,Insumos!$D$1:$D$996),"")</f>
        <v>8.19</v>
      </c>
      <c r="H454" s="92">
        <v>8.19</v>
      </c>
      <c r="I454" s="13">
        <v>65337.272727272699</v>
      </c>
      <c r="J454" s="13">
        <v>535112.26363636297</v>
      </c>
      <c r="K454" s="13"/>
      <c r="L454"/>
      <c r="M454"/>
      <c r="N454"/>
      <c r="O454"/>
      <c r="P454"/>
      <c r="Q454"/>
      <c r="R454"/>
      <c r="S454"/>
      <c r="T454"/>
      <c r="U454"/>
      <c r="V454"/>
      <c r="W454"/>
      <c r="X454"/>
      <c r="Y454"/>
      <c r="Z454"/>
      <c r="AA454"/>
      <c r="AB454"/>
      <c r="AC454"/>
      <c r="AD454"/>
      <c r="AE454"/>
      <c r="AF454"/>
      <c r="AG454"/>
      <c r="AH454"/>
      <c r="AI454"/>
      <c r="AJ454"/>
      <c r="AK454"/>
      <c r="AL454"/>
    </row>
    <row r="455" spans="1:38" ht="15.75" customHeight="1" outlineLevel="3" x14ac:dyDescent="0.2">
      <c r="A455" s="10">
        <v>41</v>
      </c>
      <c r="B455" s="10" t="s">
        <v>71</v>
      </c>
      <c r="C455" s="10" t="s">
        <v>5360</v>
      </c>
      <c r="D455" s="10" t="s">
        <v>208</v>
      </c>
      <c r="E455" s="11" t="str">
        <f t="array" ref="E455">_xlfn.XLOOKUP(D455,Insumos!B:B,Insumos!C:$C)</f>
        <v>KG</v>
      </c>
      <c r="F455" s="14">
        <v>2.0500000000000001E-2</v>
      </c>
      <c r="G455" s="92">
        <f t="array" ref="G455">IF(B455="insumo",_xlfn.XLOOKUP($D455,Insumos!$B$1:$B$996,Insumos!$D$1:$D$996),"")</f>
        <v>13.69</v>
      </c>
      <c r="H455" s="92">
        <v>0.28064499999999998</v>
      </c>
      <c r="I455" s="13">
        <v>65337.272727272699</v>
      </c>
      <c r="J455" s="13">
        <v>18336.5789045454</v>
      </c>
      <c r="K455" s="13"/>
      <c r="L455"/>
      <c r="M455"/>
      <c r="N455"/>
      <c r="O455"/>
      <c r="P455"/>
      <c r="Q455"/>
      <c r="R455"/>
      <c r="S455"/>
      <c r="T455"/>
      <c r="U455"/>
      <c r="V455"/>
      <c r="W455"/>
      <c r="X455"/>
      <c r="Y455"/>
      <c r="Z455"/>
      <c r="AA455"/>
      <c r="AB455"/>
      <c r="AC455"/>
      <c r="AD455"/>
      <c r="AE455"/>
      <c r="AF455"/>
      <c r="AG455"/>
      <c r="AH455"/>
      <c r="AI455"/>
      <c r="AJ455"/>
      <c r="AK455"/>
      <c r="AL455"/>
    </row>
    <row r="456" spans="1:38" ht="15.75" customHeight="1" outlineLevel="3" x14ac:dyDescent="0.2">
      <c r="A456" s="10">
        <v>62</v>
      </c>
      <c r="B456" s="10" t="s">
        <v>71</v>
      </c>
      <c r="C456" s="10" t="s">
        <v>5360</v>
      </c>
      <c r="D456" s="10" t="s">
        <v>209</v>
      </c>
      <c r="E456" s="11" t="str">
        <f t="array" ref="E456">_xlfn.XLOOKUP(D456,Insumos!B:B,Insumos!C:$C)</f>
        <v>UN</v>
      </c>
      <c r="F456" s="14">
        <v>0.05</v>
      </c>
      <c r="G456" s="92">
        <f t="array" ref="G456">IF(B456="insumo",_xlfn.XLOOKUP($D456,Insumos!$B$1:$B$996,Insumos!$D$1:$D$996),"")</f>
        <v>0.27</v>
      </c>
      <c r="H456" s="92">
        <v>1.35E-2</v>
      </c>
      <c r="I456" s="13">
        <v>65337.272727272699</v>
      </c>
      <c r="J456" s="13">
        <v>882.05318181818097</v>
      </c>
      <c r="K456" s="13"/>
      <c r="L456"/>
      <c r="M456"/>
      <c r="N456"/>
      <c r="O456"/>
      <c r="P456"/>
      <c r="Q456"/>
      <c r="R456"/>
      <c r="S456"/>
      <c r="T456"/>
      <c r="U456"/>
      <c r="V456"/>
      <c r="W456"/>
      <c r="X456"/>
      <c r="Y456"/>
      <c r="Z456"/>
      <c r="AA456"/>
      <c r="AB456"/>
      <c r="AC456"/>
      <c r="AD456"/>
      <c r="AE456"/>
      <c r="AF456"/>
      <c r="AG456"/>
      <c r="AH456"/>
      <c r="AI456"/>
      <c r="AJ456"/>
      <c r="AK456"/>
      <c r="AL456"/>
    </row>
    <row r="457" spans="1:38" ht="15.75" customHeight="1" outlineLevel="2" x14ac:dyDescent="0.2">
      <c r="A457" s="1067">
        <v>1</v>
      </c>
      <c r="B457" s="1067" t="s">
        <v>68</v>
      </c>
      <c r="C457" s="1067" t="s">
        <v>5367</v>
      </c>
      <c r="D457" s="1067" t="s">
        <v>5367</v>
      </c>
      <c r="E457" s="1068" t="s">
        <v>206</v>
      </c>
      <c r="F457" s="1067"/>
      <c r="G457" s="1069" t="str">
        <f t="array" ref="G457">IF(B457="insumo",_xlfn.XLOOKUP($D457,Insumos!$B$1:$B$996,Insumos!$D$1:$D$996),"")</f>
        <v/>
      </c>
      <c r="H457" s="1069">
        <v>9.0705059454436991</v>
      </c>
      <c r="I457" s="1070">
        <v>27316</v>
      </c>
      <c r="J457" s="1070">
        <v>247769.94040574</v>
      </c>
      <c r="K457" s="1070"/>
      <c r="L457"/>
      <c r="M457"/>
      <c r="N457"/>
      <c r="O457"/>
      <c r="P457"/>
      <c r="Q457"/>
      <c r="R457"/>
      <c r="S457"/>
      <c r="T457"/>
      <c r="U457"/>
      <c r="V457"/>
      <c r="W457"/>
      <c r="X457"/>
      <c r="Y457"/>
      <c r="Z457"/>
      <c r="AA457"/>
      <c r="AB457"/>
      <c r="AC457"/>
      <c r="AD457"/>
      <c r="AE457"/>
      <c r="AF457"/>
      <c r="AG457"/>
      <c r="AH457"/>
      <c r="AI457"/>
      <c r="AJ457"/>
      <c r="AK457"/>
      <c r="AL457"/>
    </row>
    <row r="458" spans="1:38" ht="15.75" customHeight="1" outlineLevel="3" x14ac:dyDescent="0.2">
      <c r="A458" s="10">
        <v>2</v>
      </c>
      <c r="B458" s="10" t="s">
        <v>71</v>
      </c>
      <c r="C458" s="10" t="s">
        <v>5367</v>
      </c>
      <c r="D458" s="10" t="s">
        <v>5368</v>
      </c>
      <c r="E458" s="11" t="str">
        <f t="array" ref="E458">_xlfn.XLOOKUP(D458,Insumos!B:B,Insumos!C:$C)</f>
        <v>UN</v>
      </c>
      <c r="F458" s="14">
        <v>1</v>
      </c>
      <c r="G458" s="92">
        <f t="array" ref="G458">IF(B458="insumo",_xlfn.XLOOKUP($D458,Insumos!$B$1:$B$996,Insumos!$D$1:$D$996),"")</f>
        <v>8.7763609454436988</v>
      </c>
      <c r="H458" s="92">
        <v>8.7763609454437006</v>
      </c>
      <c r="I458" s="13">
        <v>27316</v>
      </c>
      <c r="J458" s="13">
        <v>239735.07558574001</v>
      </c>
      <c r="K458" s="13"/>
      <c r="L458"/>
      <c r="M458"/>
      <c r="N458"/>
      <c r="O458"/>
      <c r="P458"/>
      <c r="Q458"/>
      <c r="R458"/>
      <c r="S458"/>
      <c r="T458"/>
      <c r="U458"/>
      <c r="V458"/>
      <c r="W458"/>
      <c r="X458"/>
      <c r="Y458"/>
      <c r="Z458"/>
      <c r="AA458"/>
      <c r="AB458"/>
      <c r="AC458"/>
      <c r="AD458"/>
      <c r="AE458"/>
      <c r="AF458"/>
      <c r="AG458"/>
      <c r="AH458"/>
      <c r="AI458"/>
      <c r="AJ458"/>
      <c r="AK458"/>
      <c r="AL458"/>
    </row>
    <row r="459" spans="1:38" ht="15.75" customHeight="1" outlineLevel="3" x14ac:dyDescent="0.2">
      <c r="A459" s="10">
        <v>41</v>
      </c>
      <c r="B459" s="10" t="s">
        <v>71</v>
      </c>
      <c r="C459" s="10" t="s">
        <v>5367</v>
      </c>
      <c r="D459" s="10" t="s">
        <v>208</v>
      </c>
      <c r="E459" s="11" t="str">
        <f t="array" ref="E459">_xlfn.XLOOKUP(D459,Insumos!B:B,Insumos!C:$C)</f>
        <v>KG</v>
      </c>
      <c r="F459" s="14">
        <v>2.0500000000000001E-2</v>
      </c>
      <c r="G459" s="92">
        <f t="array" ref="G459">IF(B459="insumo",_xlfn.XLOOKUP($D459,Insumos!$B$1:$B$996,Insumos!$D$1:$D$996),"")</f>
        <v>13.69</v>
      </c>
      <c r="H459" s="92">
        <v>0.28064499999999998</v>
      </c>
      <c r="I459" s="13">
        <v>27316</v>
      </c>
      <c r="J459" s="13">
        <v>7666.0988200000002</v>
      </c>
      <c r="K459" s="13"/>
      <c r="L459"/>
      <c r="M459"/>
      <c r="N459"/>
      <c r="O459"/>
      <c r="P459"/>
      <c r="Q459"/>
      <c r="R459"/>
      <c r="S459"/>
      <c r="T459"/>
      <c r="U459"/>
      <c r="V459"/>
      <c r="W459"/>
      <c r="X459"/>
      <c r="Y459"/>
      <c r="Z459"/>
      <c r="AA459"/>
      <c r="AB459"/>
      <c r="AC459"/>
      <c r="AD459"/>
      <c r="AE459"/>
      <c r="AF459"/>
      <c r="AG459"/>
      <c r="AH459"/>
      <c r="AI459"/>
      <c r="AJ459"/>
      <c r="AK459"/>
      <c r="AL459"/>
    </row>
    <row r="460" spans="1:38" ht="15.75" customHeight="1" outlineLevel="3" x14ac:dyDescent="0.2">
      <c r="A460" s="10">
        <v>62</v>
      </c>
      <c r="B460" s="10" t="s">
        <v>71</v>
      </c>
      <c r="C460" s="10" t="s">
        <v>5367</v>
      </c>
      <c r="D460" s="10" t="s">
        <v>209</v>
      </c>
      <c r="E460" s="11" t="str">
        <f t="array" ref="E460">_xlfn.XLOOKUP(D460,Insumos!B:B,Insumos!C:$C)</f>
        <v>UN</v>
      </c>
      <c r="F460" s="14">
        <v>0.05</v>
      </c>
      <c r="G460" s="92">
        <f t="array" ref="G460">IF(B460="insumo",_xlfn.XLOOKUP($D460,Insumos!$B$1:$B$996,Insumos!$D$1:$D$996),"")</f>
        <v>0.27</v>
      </c>
      <c r="H460" s="92">
        <v>1.35E-2</v>
      </c>
      <c r="I460" s="13">
        <v>27316</v>
      </c>
      <c r="J460" s="13">
        <v>368.76600000000002</v>
      </c>
      <c r="K460" s="13"/>
      <c r="L460"/>
      <c r="M460"/>
      <c r="N460"/>
      <c r="O460"/>
      <c r="P460"/>
      <c r="Q460"/>
      <c r="R460"/>
      <c r="S460"/>
      <c r="T460"/>
      <c r="U460"/>
      <c r="V460"/>
      <c r="W460"/>
      <c r="X460"/>
      <c r="Y460"/>
      <c r="Z460"/>
      <c r="AA460"/>
      <c r="AB460"/>
      <c r="AC460"/>
      <c r="AD460"/>
      <c r="AE460"/>
      <c r="AF460"/>
      <c r="AG460"/>
      <c r="AH460"/>
      <c r="AI460"/>
      <c r="AJ460"/>
      <c r="AK460"/>
      <c r="AL460"/>
    </row>
    <row r="461" spans="1:38" ht="12.75" outlineLevel="2" x14ac:dyDescent="0.2">
      <c r="A461" s="1071">
        <v>1</v>
      </c>
      <c r="B461" s="1071" t="s">
        <v>68</v>
      </c>
      <c r="C461" s="1071" t="s">
        <v>1755</v>
      </c>
      <c r="D461" s="1071" t="s">
        <v>1755</v>
      </c>
      <c r="E461" s="1072" t="s">
        <v>113</v>
      </c>
      <c r="F461" s="1071"/>
      <c r="G461" s="1073" t="str">
        <f t="array" ref="G461">IF(B461="insumo",_xlfn.XLOOKUP($D461,Insumos!$B$1:$B$996,Insumos!$D$1:$D$996),"")</f>
        <v/>
      </c>
      <c r="H461" s="1073">
        <v>3.64</v>
      </c>
      <c r="I461" s="1074">
        <v>0</v>
      </c>
      <c r="J461" s="1074">
        <v>0</v>
      </c>
      <c r="K461" s="1074"/>
      <c r="L461"/>
      <c r="M461"/>
      <c r="N461"/>
      <c r="O461"/>
      <c r="P461"/>
      <c r="Q461"/>
      <c r="R461"/>
      <c r="S461"/>
      <c r="T461"/>
      <c r="U461"/>
      <c r="V461"/>
      <c r="W461"/>
      <c r="X461"/>
      <c r="Y461"/>
      <c r="Z461"/>
      <c r="AA461"/>
      <c r="AB461"/>
      <c r="AC461"/>
      <c r="AD461"/>
      <c r="AE461"/>
      <c r="AF461"/>
      <c r="AG461"/>
      <c r="AH461"/>
      <c r="AI461"/>
      <c r="AJ461"/>
      <c r="AK461"/>
      <c r="AL461"/>
    </row>
    <row r="462" spans="1:38" ht="12.75" outlineLevel="3" x14ac:dyDescent="0.2">
      <c r="A462" s="82">
        <v>1</v>
      </c>
      <c r="B462" s="82" t="s">
        <v>71</v>
      </c>
      <c r="C462" s="82" t="s">
        <v>1755</v>
      </c>
      <c r="D462" s="82" t="s">
        <v>1756</v>
      </c>
      <c r="E462" s="11" t="str">
        <f t="array" ref="E462">_xlfn.XLOOKUP(D462,Insumos!B:B,Insumos!C:$C)</f>
        <v>M</v>
      </c>
      <c r="F462" s="86">
        <v>1.1000000000000001</v>
      </c>
      <c r="G462" s="92">
        <f t="array" ref="G462">IF(B462="insumo",_xlfn.XLOOKUP($D462,Insumos!$B$1:$B$996,Insumos!$D$1:$D$996),"")</f>
        <v>0.8</v>
      </c>
      <c r="H462" s="92">
        <v>0.88</v>
      </c>
      <c r="I462" s="84">
        <v>0</v>
      </c>
      <c r="J462" s="84">
        <v>0</v>
      </c>
      <c r="K462" s="84"/>
      <c r="L462"/>
      <c r="M462"/>
      <c r="N462"/>
      <c r="O462"/>
      <c r="P462"/>
      <c r="Q462"/>
      <c r="R462"/>
      <c r="S462"/>
      <c r="T462"/>
      <c r="U462"/>
      <c r="V462"/>
      <c r="W462"/>
      <c r="X462"/>
      <c r="Y462"/>
      <c r="Z462"/>
      <c r="AA462"/>
      <c r="AB462"/>
      <c r="AC462"/>
      <c r="AD462"/>
      <c r="AE462"/>
      <c r="AF462"/>
      <c r="AG462"/>
      <c r="AH462"/>
      <c r="AI462"/>
      <c r="AJ462"/>
      <c r="AK462"/>
      <c r="AL462"/>
    </row>
    <row r="463" spans="1:38" ht="12.75" outlineLevel="3" x14ac:dyDescent="0.2">
      <c r="A463" s="82">
        <v>10</v>
      </c>
      <c r="B463" s="82" t="s">
        <v>71</v>
      </c>
      <c r="C463" s="82" t="s">
        <v>1755</v>
      </c>
      <c r="D463" s="82" t="s">
        <v>852</v>
      </c>
      <c r="E463" s="11" t="str">
        <f t="array" ref="E463">_xlfn.XLOOKUP(D463,Insumos!B:B,Insumos!C:$C)</f>
        <v>UN</v>
      </c>
      <c r="F463" s="86">
        <f>(1*0.004*0.01)/(0.01*0.01*3)</f>
        <v>0.13333333333333333</v>
      </c>
      <c r="G463" s="92">
        <f t="array" ref="G463">IF(B463="insumo",_xlfn.XLOOKUP($D463,Insumos!$B$1:$B$996,Insumos!$D$1:$D$996),"")</f>
        <v>20.7</v>
      </c>
      <c r="H463" s="92">
        <v>2.76</v>
      </c>
      <c r="I463" s="86">
        <v>0</v>
      </c>
      <c r="J463" s="86">
        <v>0</v>
      </c>
      <c r="K463" s="86"/>
      <c r="L463"/>
      <c r="M463"/>
      <c r="N463"/>
      <c r="O463"/>
      <c r="P463"/>
      <c r="Q463"/>
      <c r="R463"/>
      <c r="S463"/>
      <c r="T463"/>
      <c r="U463"/>
      <c r="V463"/>
      <c r="W463"/>
      <c r="X463"/>
      <c r="Y463"/>
      <c r="Z463"/>
      <c r="AA463"/>
      <c r="AB463"/>
      <c r="AC463"/>
      <c r="AD463"/>
      <c r="AE463"/>
      <c r="AF463"/>
      <c r="AG463"/>
      <c r="AH463"/>
      <c r="AI463"/>
      <c r="AJ463"/>
      <c r="AK463"/>
      <c r="AL463"/>
    </row>
    <row r="464" spans="1:38" ht="15.75" customHeight="1" outlineLevel="1" x14ac:dyDescent="0.2">
      <c r="A464" s="1090">
        <v>5</v>
      </c>
      <c r="B464" s="1090" t="s">
        <v>1228</v>
      </c>
      <c r="C464" s="1090" t="s">
        <v>1755</v>
      </c>
      <c r="D464" s="1090" t="s">
        <v>1380</v>
      </c>
      <c r="E464" s="1091"/>
      <c r="F464" s="1092"/>
      <c r="G464" s="1091"/>
      <c r="H464" s="1091">
        <v>0</v>
      </c>
      <c r="I464" s="1092">
        <v>0</v>
      </c>
      <c r="J464" s="1092">
        <v>0</v>
      </c>
      <c r="K464" s="1092"/>
      <c r="L464"/>
      <c r="M464"/>
      <c r="N464"/>
      <c r="O464"/>
      <c r="P464"/>
      <c r="Q464"/>
      <c r="R464"/>
      <c r="S464"/>
      <c r="T464"/>
      <c r="U464"/>
      <c r="V464"/>
      <c r="W464"/>
      <c r="X464"/>
      <c r="Y464"/>
      <c r="Z464"/>
      <c r="AA464"/>
      <c r="AB464"/>
      <c r="AC464"/>
      <c r="AD464"/>
      <c r="AE464"/>
      <c r="AF464"/>
      <c r="AG464"/>
      <c r="AH464"/>
      <c r="AI464"/>
      <c r="AJ464"/>
      <c r="AK464"/>
      <c r="AL464"/>
    </row>
    <row r="465" spans="1:38" ht="15.75" customHeight="1" outlineLevel="2" x14ac:dyDescent="0.2">
      <c r="A465" s="1067">
        <v>1</v>
      </c>
      <c r="B465" s="1067" t="s">
        <v>68</v>
      </c>
      <c r="C465" s="1067" t="s">
        <v>248</v>
      </c>
      <c r="D465" s="1067" t="s">
        <v>248</v>
      </c>
      <c r="E465" s="1068" t="s">
        <v>152</v>
      </c>
      <c r="F465" s="1067"/>
      <c r="G465" s="1069" t="str">
        <f t="array" ref="G465">IF(B465="insumo",_xlfn.XLOOKUP($D465,Insumos!$B$1:$B$996,Insumos!$D$1:$D$996),"")</f>
        <v/>
      </c>
      <c r="H465" s="1069">
        <v>578.26</v>
      </c>
      <c r="I465" s="1070">
        <v>0</v>
      </c>
      <c r="J465" s="1070">
        <v>0</v>
      </c>
      <c r="K465" s="1070"/>
      <c r="L465"/>
      <c r="M465"/>
      <c r="N465"/>
      <c r="O465"/>
      <c r="P465"/>
      <c r="Q465"/>
      <c r="R465"/>
      <c r="S465"/>
      <c r="T465"/>
      <c r="U465"/>
      <c r="V465"/>
      <c r="W465"/>
      <c r="X465"/>
      <c r="Y465"/>
      <c r="Z465"/>
      <c r="AA465"/>
      <c r="AB465"/>
      <c r="AC465"/>
      <c r="AD465"/>
      <c r="AE465"/>
      <c r="AF465"/>
      <c r="AG465"/>
      <c r="AH465"/>
      <c r="AI465"/>
      <c r="AJ465"/>
      <c r="AK465"/>
      <c r="AL465"/>
    </row>
    <row r="466" spans="1:38" ht="15.75" customHeight="1" outlineLevel="3" x14ac:dyDescent="0.2">
      <c r="A466" s="10">
        <v>4</v>
      </c>
      <c r="B466" s="10" t="s">
        <v>71</v>
      </c>
      <c r="C466" s="10" t="s">
        <v>248</v>
      </c>
      <c r="D466" s="10" t="s">
        <v>249</v>
      </c>
      <c r="E466" s="11" t="str">
        <f t="array" ref="E466">_xlfn.XLOOKUP(D466,Insumos!B:B,Insumos!C:$C)</f>
        <v>M3</v>
      </c>
      <c r="F466" s="14">
        <v>1.05</v>
      </c>
      <c r="G466" s="92">
        <f t="array" ref="G466">IF(B466="insumo",_xlfn.XLOOKUP($D466,Insumos!$B$1:$B$996,Insumos!$D$1:$D$996),"")</f>
        <v>510</v>
      </c>
      <c r="H466" s="92">
        <v>535.5</v>
      </c>
      <c r="I466" s="13">
        <v>0</v>
      </c>
      <c r="J466" s="13">
        <v>0</v>
      </c>
      <c r="K466" s="13"/>
      <c r="L466"/>
      <c r="M466"/>
      <c r="N466"/>
      <c r="O466"/>
      <c r="P466"/>
      <c r="Q466"/>
      <c r="R466"/>
      <c r="S466"/>
      <c r="T466"/>
      <c r="U466"/>
      <c r="V466"/>
      <c r="W466"/>
      <c r="X466"/>
      <c r="Y466"/>
      <c r="Z466"/>
      <c r="AA466"/>
      <c r="AB466"/>
      <c r="AC466"/>
      <c r="AD466"/>
      <c r="AE466"/>
      <c r="AF466"/>
      <c r="AG466"/>
      <c r="AH466"/>
      <c r="AI466"/>
      <c r="AJ466"/>
      <c r="AK466"/>
      <c r="AL466"/>
    </row>
    <row r="467" spans="1:38" ht="15.75" customHeight="1" outlineLevel="3" x14ac:dyDescent="0.2">
      <c r="A467" s="10">
        <v>25</v>
      </c>
      <c r="B467" s="10" t="s">
        <v>71</v>
      </c>
      <c r="C467" s="10" t="s">
        <v>248</v>
      </c>
      <c r="D467" s="10" t="s">
        <v>159</v>
      </c>
      <c r="E467" s="11" t="str">
        <f t="array" ref="E467">_xlfn.XLOOKUP(D467,Insumos!B:B,Insumos!C:$C)</f>
        <v>M3</v>
      </c>
      <c r="F467" s="14">
        <v>1.05</v>
      </c>
      <c r="G467" s="92">
        <f t="array" ref="G467">IF(B467="insumo",_xlfn.XLOOKUP($D467,Insumos!$B$1:$B$996,Insumos!$D$1:$D$996),"")</f>
        <v>40</v>
      </c>
      <c r="H467" s="92">
        <v>42</v>
      </c>
      <c r="I467" s="13">
        <v>0</v>
      </c>
      <c r="J467" s="13">
        <v>0</v>
      </c>
      <c r="K467" s="13"/>
      <c r="L467"/>
      <c r="M467"/>
      <c r="N467"/>
      <c r="O467"/>
      <c r="P467"/>
      <c r="Q467"/>
      <c r="R467"/>
      <c r="S467"/>
      <c r="T467"/>
      <c r="U467"/>
      <c r="V467"/>
      <c r="W467"/>
      <c r="X467"/>
      <c r="Y467"/>
      <c r="Z467"/>
      <c r="AA467"/>
      <c r="AB467"/>
      <c r="AC467"/>
      <c r="AD467"/>
      <c r="AE467"/>
      <c r="AF467"/>
      <c r="AG467"/>
      <c r="AH467"/>
      <c r="AI467"/>
      <c r="AJ467"/>
      <c r="AK467"/>
      <c r="AL467"/>
    </row>
    <row r="468" spans="1:38" ht="15.75" customHeight="1" outlineLevel="3" x14ac:dyDescent="0.2">
      <c r="A468" s="10">
        <v>62</v>
      </c>
      <c r="B468" s="10" t="s">
        <v>71</v>
      </c>
      <c r="C468" s="10" t="s">
        <v>248</v>
      </c>
      <c r="D468" s="10" t="s">
        <v>160</v>
      </c>
      <c r="E468" s="11" t="str">
        <f t="array" ref="E468">_xlfn.XLOOKUP(D468,Insumos!B:B,Insumos!C:$C)</f>
        <v>KG</v>
      </c>
      <c r="F468" s="14">
        <v>1</v>
      </c>
      <c r="G468" s="92">
        <f t="array" ref="G468">IF(B468="insumo",_xlfn.XLOOKUP($D468,Insumos!$B$1:$B$996,Insumos!$D$1:$D$996),"")</f>
        <v>0.76</v>
      </c>
      <c r="H468" s="92">
        <v>0.76</v>
      </c>
      <c r="I468" s="13">
        <v>0</v>
      </c>
      <c r="J468" s="13">
        <v>0</v>
      </c>
      <c r="K468" s="13"/>
      <c r="L468"/>
      <c r="M468"/>
      <c r="N468"/>
      <c r="O468"/>
      <c r="P468"/>
      <c r="Q468"/>
      <c r="R468"/>
      <c r="S468"/>
      <c r="T468"/>
      <c r="U468"/>
      <c r="V468"/>
      <c r="W468"/>
      <c r="X468"/>
      <c r="Y468"/>
      <c r="Z468"/>
      <c r="AA468"/>
      <c r="AB468"/>
      <c r="AC468"/>
      <c r="AD468"/>
      <c r="AE468"/>
      <c r="AF468"/>
      <c r="AG468"/>
      <c r="AH468"/>
      <c r="AI468"/>
      <c r="AJ468"/>
      <c r="AK468"/>
      <c r="AL468"/>
    </row>
    <row r="469" spans="1:38" ht="15.75" customHeight="1" outlineLevel="2" x14ac:dyDescent="0.2">
      <c r="A469" s="1067">
        <v>1</v>
      </c>
      <c r="B469" s="1067" t="s">
        <v>68</v>
      </c>
      <c r="C469" s="1067" t="s">
        <v>250</v>
      </c>
      <c r="D469" s="1067" t="s">
        <v>250</v>
      </c>
      <c r="E469" s="1068" t="s">
        <v>152</v>
      </c>
      <c r="F469" s="1067"/>
      <c r="G469" s="1069" t="str">
        <f t="array" ref="G469">IF(B469="insumo",_xlfn.XLOOKUP($D469,Insumos!$B$1:$B$996,Insumos!$D$1:$D$996),"")</f>
        <v/>
      </c>
      <c r="H469" s="1069">
        <v>677.72649999999999</v>
      </c>
      <c r="I469" s="1070">
        <v>0</v>
      </c>
      <c r="J469" s="1070">
        <v>0</v>
      </c>
      <c r="K469" s="1070"/>
      <c r="L469"/>
      <c r="M469"/>
      <c r="N469"/>
      <c r="O469"/>
      <c r="P469"/>
      <c r="Q469"/>
      <c r="R469"/>
      <c r="S469"/>
      <c r="T469"/>
      <c r="U469"/>
      <c r="V469"/>
      <c r="W469"/>
      <c r="X469"/>
      <c r="Y469"/>
      <c r="Z469"/>
      <c r="AA469"/>
      <c r="AB469"/>
      <c r="AC469"/>
      <c r="AD469"/>
      <c r="AE469"/>
      <c r="AF469"/>
      <c r="AG469"/>
      <c r="AH469"/>
      <c r="AI469"/>
      <c r="AJ469"/>
      <c r="AK469"/>
      <c r="AL469"/>
    </row>
    <row r="470" spans="1:38" ht="15.75" customHeight="1" outlineLevel="3" x14ac:dyDescent="0.2">
      <c r="A470" s="10">
        <v>6</v>
      </c>
      <c r="B470" s="10" t="s">
        <v>71</v>
      </c>
      <c r="C470" s="10" t="s">
        <v>250</v>
      </c>
      <c r="D470" s="10" t="s">
        <v>251</v>
      </c>
      <c r="E470" s="11" t="str">
        <f t="array" ref="E470">_xlfn.XLOOKUP(D470,Insumos!B:B,Insumos!C:$C)</f>
        <v>M3</v>
      </c>
      <c r="F470" s="14">
        <v>1.05</v>
      </c>
      <c r="G470" s="92">
        <f t="array" ref="G470">IF(B470="insumo",_xlfn.XLOOKUP($D470,Insumos!$B$1:$B$996,Insumos!$D$1:$D$996),"")</f>
        <v>604.73</v>
      </c>
      <c r="H470" s="92">
        <v>634.9665</v>
      </c>
      <c r="I470" s="13">
        <v>0</v>
      </c>
      <c r="J470" s="13">
        <v>0</v>
      </c>
      <c r="K470" s="13"/>
      <c r="L470"/>
      <c r="M470"/>
      <c r="N470"/>
      <c r="O470"/>
      <c r="P470"/>
      <c r="Q470"/>
      <c r="R470"/>
      <c r="S470"/>
      <c r="T470"/>
      <c r="U470"/>
      <c r="V470"/>
      <c r="W470"/>
      <c r="X470"/>
      <c r="Y470"/>
      <c r="Z470"/>
      <c r="AA470"/>
      <c r="AB470"/>
      <c r="AC470"/>
      <c r="AD470"/>
      <c r="AE470"/>
      <c r="AF470"/>
      <c r="AG470"/>
      <c r="AH470"/>
      <c r="AI470"/>
      <c r="AJ470"/>
      <c r="AK470"/>
      <c r="AL470"/>
    </row>
    <row r="471" spans="1:38" ht="15.75" customHeight="1" outlineLevel="3" x14ac:dyDescent="0.2">
      <c r="A471" s="10">
        <v>25</v>
      </c>
      <c r="B471" s="10" t="s">
        <v>71</v>
      </c>
      <c r="C471" s="10" t="s">
        <v>250</v>
      </c>
      <c r="D471" s="10" t="s">
        <v>159</v>
      </c>
      <c r="E471" s="11" t="str">
        <f t="array" ref="E471">_xlfn.XLOOKUP(D471,Insumos!B:B,Insumos!C:$C)</f>
        <v>M3</v>
      </c>
      <c r="F471" s="14">
        <v>1.05</v>
      </c>
      <c r="G471" s="92">
        <f t="array" ref="G471">IF(B471="insumo",_xlfn.XLOOKUP($D471,Insumos!$B$1:$B$996,Insumos!$D$1:$D$996),"")</f>
        <v>40</v>
      </c>
      <c r="H471" s="92">
        <v>42</v>
      </c>
      <c r="I471" s="13">
        <v>0</v>
      </c>
      <c r="J471" s="13">
        <v>0</v>
      </c>
      <c r="K471" s="13"/>
      <c r="L471"/>
      <c r="M471"/>
      <c r="N471"/>
      <c r="O471"/>
      <c r="P471"/>
      <c r="Q471"/>
      <c r="R471"/>
      <c r="S471"/>
      <c r="T471"/>
      <c r="U471"/>
      <c r="V471"/>
      <c r="W471"/>
      <c r="X471"/>
      <c r="Y471"/>
      <c r="Z471"/>
      <c r="AA471"/>
      <c r="AB471"/>
      <c r="AC471"/>
      <c r="AD471"/>
      <c r="AE471"/>
      <c r="AF471"/>
      <c r="AG471"/>
      <c r="AH471"/>
      <c r="AI471"/>
      <c r="AJ471"/>
      <c r="AK471"/>
      <c r="AL471"/>
    </row>
    <row r="472" spans="1:38" ht="15.75" customHeight="1" outlineLevel="3" x14ac:dyDescent="0.2">
      <c r="A472" s="10">
        <v>62</v>
      </c>
      <c r="B472" s="10" t="s">
        <v>71</v>
      </c>
      <c r="C472" s="10" t="s">
        <v>250</v>
      </c>
      <c r="D472" s="10" t="s">
        <v>160</v>
      </c>
      <c r="E472" s="11" t="str">
        <f t="array" ref="E472">_xlfn.XLOOKUP(D472,Insumos!B:B,Insumos!C:$C)</f>
        <v>KG</v>
      </c>
      <c r="F472" s="14">
        <v>1</v>
      </c>
      <c r="G472" s="92">
        <f t="array" ref="G472">IF(B472="insumo",_xlfn.XLOOKUP($D472,Insumos!$B$1:$B$996,Insumos!$D$1:$D$996),"")</f>
        <v>0.76</v>
      </c>
      <c r="H472" s="92">
        <v>0.76</v>
      </c>
      <c r="I472" s="13">
        <v>0</v>
      </c>
      <c r="J472" s="13">
        <v>0</v>
      </c>
      <c r="K472" s="13"/>
      <c r="L472"/>
      <c r="M472"/>
      <c r="N472"/>
      <c r="O472"/>
      <c r="P472"/>
      <c r="Q472"/>
      <c r="R472"/>
      <c r="S472"/>
      <c r="T472"/>
      <c r="U472"/>
      <c r="V472"/>
      <c r="W472"/>
      <c r="X472"/>
      <c r="Y472"/>
      <c r="Z472"/>
      <c r="AA472"/>
      <c r="AB472"/>
      <c r="AC472"/>
      <c r="AD472"/>
      <c r="AE472"/>
      <c r="AF472"/>
      <c r="AG472"/>
      <c r="AH472"/>
      <c r="AI472"/>
      <c r="AJ472"/>
      <c r="AK472"/>
      <c r="AL472"/>
    </row>
    <row r="473" spans="1:38" ht="12.75" outlineLevel="2" x14ac:dyDescent="0.2">
      <c r="A473" s="1071">
        <v>1</v>
      </c>
      <c r="B473" s="1071" t="s">
        <v>68</v>
      </c>
      <c r="C473" s="1071" t="s">
        <v>1757</v>
      </c>
      <c r="D473" s="1071" t="s">
        <v>1757</v>
      </c>
      <c r="E473" s="1072" t="s">
        <v>152</v>
      </c>
      <c r="F473" s="1071"/>
      <c r="G473" s="1073" t="str">
        <f t="array" ref="G473">IF(B473="insumo",_xlfn.XLOOKUP($D473,Insumos!$B$1:$B$996,Insumos!$D$1:$D$996),"")</f>
        <v/>
      </c>
      <c r="H473" s="1073">
        <v>631.30600000000004</v>
      </c>
      <c r="I473" s="1074">
        <v>0</v>
      </c>
      <c r="J473" s="1074">
        <v>0</v>
      </c>
      <c r="K473" s="1074"/>
      <c r="L473"/>
      <c r="M473"/>
      <c r="N473"/>
      <c r="O473"/>
      <c r="P473"/>
      <c r="Q473"/>
      <c r="R473"/>
      <c r="S473"/>
      <c r="T473"/>
      <c r="U473"/>
      <c r="V473"/>
      <c r="W473"/>
      <c r="X473"/>
      <c r="Y473"/>
      <c r="Z473"/>
      <c r="AA473"/>
      <c r="AB473"/>
      <c r="AC473"/>
      <c r="AD473"/>
      <c r="AE473"/>
      <c r="AF473"/>
      <c r="AG473"/>
      <c r="AH473"/>
      <c r="AI473"/>
      <c r="AJ473"/>
      <c r="AK473"/>
      <c r="AL473"/>
    </row>
    <row r="474" spans="1:38" ht="12.75" outlineLevel="3" x14ac:dyDescent="0.2">
      <c r="A474" s="82">
        <v>2</v>
      </c>
      <c r="B474" s="82" t="s">
        <v>71</v>
      </c>
      <c r="C474" s="82" t="s">
        <v>1757</v>
      </c>
      <c r="D474" s="82" t="s">
        <v>303</v>
      </c>
      <c r="E474" s="11" t="str">
        <f t="array" ref="E474">_xlfn.XLOOKUP(D474,Insumos!B:B,Insumos!C:$C)</f>
        <v>M3</v>
      </c>
      <c r="F474" s="86">
        <v>1.05</v>
      </c>
      <c r="G474" s="92">
        <f t="array" ref="G474">IF(B474="insumo",_xlfn.XLOOKUP($D474,Insumos!$B$1:$B$996,Insumos!$D$1:$D$996),"")</f>
        <v>560.52</v>
      </c>
      <c r="H474" s="92">
        <v>588.54600000000005</v>
      </c>
      <c r="I474" s="84">
        <v>0</v>
      </c>
      <c r="J474" s="84">
        <v>0</v>
      </c>
      <c r="K474" s="84"/>
      <c r="L474"/>
      <c r="M474"/>
      <c r="N474"/>
      <c r="O474"/>
      <c r="P474"/>
      <c r="Q474"/>
      <c r="R474"/>
      <c r="S474"/>
      <c r="T474"/>
      <c r="U474"/>
      <c r="V474"/>
      <c r="W474"/>
      <c r="X474"/>
      <c r="Y474"/>
      <c r="Z474"/>
      <c r="AA474"/>
      <c r="AB474"/>
      <c r="AC474"/>
      <c r="AD474"/>
      <c r="AE474"/>
      <c r="AF474"/>
      <c r="AG474"/>
      <c r="AH474"/>
      <c r="AI474"/>
      <c r="AJ474"/>
      <c r="AK474"/>
      <c r="AL474"/>
    </row>
    <row r="475" spans="1:38" ht="12.75" outlineLevel="3" x14ac:dyDescent="0.2">
      <c r="A475" s="82">
        <v>25</v>
      </c>
      <c r="B475" s="82" t="s">
        <v>71</v>
      </c>
      <c r="C475" s="82" t="s">
        <v>1757</v>
      </c>
      <c r="D475" s="82" t="s">
        <v>159</v>
      </c>
      <c r="E475" s="11" t="str">
        <f t="array" ref="E475">_xlfn.XLOOKUP(D475,Insumos!B:B,Insumos!C:$C)</f>
        <v>M3</v>
      </c>
      <c r="F475" s="86">
        <v>1.05</v>
      </c>
      <c r="G475" s="92">
        <f t="array" ref="G475">IF(B475="insumo",_xlfn.XLOOKUP($D475,Insumos!$B$1:$B$996,Insumos!$D$1:$D$996),"")</f>
        <v>40</v>
      </c>
      <c r="H475" s="92">
        <v>42</v>
      </c>
      <c r="I475" s="84">
        <v>0</v>
      </c>
      <c r="J475" s="84">
        <v>0</v>
      </c>
      <c r="K475" s="84"/>
      <c r="L475"/>
      <c r="M475"/>
      <c r="N475"/>
      <c r="O475"/>
      <c r="P475"/>
      <c r="Q475"/>
      <c r="R475"/>
      <c r="S475"/>
      <c r="T475"/>
      <c r="U475"/>
      <c r="V475"/>
      <c r="W475"/>
      <c r="X475"/>
      <c r="Y475"/>
      <c r="Z475"/>
      <c r="AA475"/>
      <c r="AB475"/>
      <c r="AC475"/>
      <c r="AD475"/>
      <c r="AE475"/>
      <c r="AF475"/>
      <c r="AG475"/>
      <c r="AH475"/>
      <c r="AI475"/>
      <c r="AJ475"/>
      <c r="AK475"/>
      <c r="AL475"/>
    </row>
    <row r="476" spans="1:38" ht="12.75" outlineLevel="3" x14ac:dyDescent="0.2">
      <c r="A476" s="82">
        <v>62</v>
      </c>
      <c r="B476" s="82" t="s">
        <v>71</v>
      </c>
      <c r="C476" s="82" t="s">
        <v>1757</v>
      </c>
      <c r="D476" s="82" t="s">
        <v>160</v>
      </c>
      <c r="E476" s="11" t="str">
        <f t="array" ref="E476">_xlfn.XLOOKUP(D476,Insumos!B:B,Insumos!C:$C)</f>
        <v>KG</v>
      </c>
      <c r="F476" s="86">
        <v>1</v>
      </c>
      <c r="G476" s="92">
        <f t="array" ref="G476">IF(B476="insumo",_xlfn.XLOOKUP($D476,Insumos!$B$1:$B$996,Insumos!$D$1:$D$996),"")</f>
        <v>0.76</v>
      </c>
      <c r="H476" s="92">
        <v>0.76</v>
      </c>
      <c r="I476" s="84">
        <v>0</v>
      </c>
      <c r="J476" s="84">
        <v>0</v>
      </c>
      <c r="K476" s="84"/>
      <c r="L476"/>
      <c r="M476"/>
      <c r="N476"/>
      <c r="O476"/>
      <c r="P476"/>
      <c r="Q476"/>
      <c r="R476"/>
      <c r="S476"/>
      <c r="T476"/>
      <c r="U476"/>
      <c r="V476"/>
      <c r="W476"/>
      <c r="X476"/>
      <c r="Y476"/>
      <c r="Z476"/>
      <c r="AA476"/>
      <c r="AB476"/>
      <c r="AC476"/>
      <c r="AD476"/>
      <c r="AE476"/>
      <c r="AF476"/>
      <c r="AG476"/>
      <c r="AH476"/>
      <c r="AI476"/>
      <c r="AJ476"/>
      <c r="AK476"/>
      <c r="AL476"/>
    </row>
    <row r="477" spans="1:38" ht="15.75" customHeight="1" outlineLevel="2" x14ac:dyDescent="0.2">
      <c r="A477" s="1067">
        <v>1</v>
      </c>
      <c r="B477" s="1067" t="s">
        <v>68</v>
      </c>
      <c r="C477" s="1067" t="s">
        <v>252</v>
      </c>
      <c r="D477" s="1067" t="s">
        <v>252</v>
      </c>
      <c r="E477" s="1068" t="s">
        <v>152</v>
      </c>
      <c r="F477" s="1067"/>
      <c r="G477" s="1069" t="str">
        <f t="array" ref="G477">IF(B477="insumo",_xlfn.XLOOKUP($D477,Insumos!$B$1:$B$996,Insumos!$D$1:$D$996),"")</f>
        <v/>
      </c>
      <c r="H477" s="1069">
        <v>620.40700000000004</v>
      </c>
      <c r="I477" s="1070">
        <v>0</v>
      </c>
      <c r="J477" s="1070">
        <v>0</v>
      </c>
      <c r="K477" s="1070"/>
      <c r="L477"/>
      <c r="M477"/>
      <c r="N477"/>
      <c r="O477"/>
      <c r="P477"/>
      <c r="Q477"/>
      <c r="R477"/>
      <c r="S477"/>
      <c r="T477"/>
      <c r="U477"/>
      <c r="V477"/>
      <c r="W477"/>
      <c r="X477"/>
      <c r="Y477"/>
      <c r="Z477"/>
      <c r="AA477"/>
      <c r="AB477"/>
      <c r="AC477"/>
      <c r="AD477"/>
      <c r="AE477"/>
      <c r="AF477"/>
      <c r="AG477"/>
      <c r="AH477"/>
      <c r="AI477"/>
      <c r="AJ477"/>
      <c r="AK477"/>
      <c r="AL477"/>
    </row>
    <row r="478" spans="1:38" ht="15.75" customHeight="1" outlineLevel="3" x14ac:dyDescent="0.2">
      <c r="A478" s="10">
        <v>2</v>
      </c>
      <c r="B478" s="10" t="s">
        <v>71</v>
      </c>
      <c r="C478" s="10" t="s">
        <v>252</v>
      </c>
      <c r="D478" s="10" t="s">
        <v>253</v>
      </c>
      <c r="E478" s="11" t="str">
        <f t="array" ref="E478">_xlfn.XLOOKUP(D478,Insumos!B:B,Insumos!C:$C)</f>
        <v>M3</v>
      </c>
      <c r="F478" s="14">
        <v>1.05</v>
      </c>
      <c r="G478" s="92">
        <f t="array" ref="G478">IF(B478="insumo",_xlfn.XLOOKUP($D478,Insumos!$B$1:$B$996,Insumos!$D$1:$D$996),"")</f>
        <v>550.14</v>
      </c>
      <c r="H478" s="92">
        <v>577.64700000000005</v>
      </c>
      <c r="I478" s="13">
        <v>0</v>
      </c>
      <c r="J478" s="13">
        <v>0</v>
      </c>
      <c r="K478" s="13"/>
      <c r="L478"/>
      <c r="M478"/>
      <c r="N478"/>
      <c r="O478"/>
      <c r="P478"/>
      <c r="Q478"/>
      <c r="R478"/>
      <c r="S478"/>
      <c r="T478"/>
      <c r="U478"/>
      <c r="V478"/>
      <c r="W478"/>
      <c r="X478"/>
      <c r="Y478"/>
      <c r="Z478"/>
      <c r="AA478"/>
      <c r="AB478"/>
      <c r="AC478"/>
      <c r="AD478"/>
      <c r="AE478"/>
      <c r="AF478"/>
      <c r="AG478"/>
      <c r="AH478"/>
      <c r="AI478"/>
      <c r="AJ478"/>
      <c r="AK478"/>
      <c r="AL478"/>
    </row>
    <row r="479" spans="1:38" ht="15.75" customHeight="1" outlineLevel="3" x14ac:dyDescent="0.2">
      <c r="A479" s="10">
        <v>25</v>
      </c>
      <c r="B479" s="10" t="s">
        <v>71</v>
      </c>
      <c r="C479" s="10" t="s">
        <v>252</v>
      </c>
      <c r="D479" s="10" t="s">
        <v>159</v>
      </c>
      <c r="E479" s="11" t="str">
        <f t="array" ref="E479">_xlfn.XLOOKUP(D479,Insumos!B:B,Insumos!C:$C)</f>
        <v>M3</v>
      </c>
      <c r="F479" s="14">
        <v>1.05</v>
      </c>
      <c r="G479" s="92">
        <f t="array" ref="G479">IF(B479="insumo",_xlfn.XLOOKUP($D479,Insumos!$B$1:$B$996,Insumos!$D$1:$D$996),"")</f>
        <v>40</v>
      </c>
      <c r="H479" s="92">
        <v>42</v>
      </c>
      <c r="I479" s="13">
        <v>0</v>
      </c>
      <c r="J479" s="13">
        <v>0</v>
      </c>
      <c r="K479" s="13"/>
      <c r="L479"/>
      <c r="M479"/>
      <c r="N479"/>
      <c r="O479"/>
      <c r="P479"/>
      <c r="Q479"/>
      <c r="R479"/>
      <c r="S479"/>
      <c r="T479"/>
      <c r="U479"/>
      <c r="V479"/>
      <c r="W479"/>
      <c r="X479"/>
      <c r="Y479"/>
      <c r="Z479"/>
      <c r="AA479"/>
      <c r="AB479"/>
      <c r="AC479"/>
      <c r="AD479"/>
      <c r="AE479"/>
      <c r="AF479"/>
      <c r="AG479"/>
      <c r="AH479"/>
      <c r="AI479"/>
      <c r="AJ479"/>
      <c r="AK479"/>
      <c r="AL479"/>
    </row>
    <row r="480" spans="1:38" ht="15.75" customHeight="1" outlineLevel="3" x14ac:dyDescent="0.2">
      <c r="A480" s="10">
        <v>62</v>
      </c>
      <c r="B480" s="10" t="s">
        <v>71</v>
      </c>
      <c r="C480" s="10" t="s">
        <v>252</v>
      </c>
      <c r="D480" s="10" t="s">
        <v>160</v>
      </c>
      <c r="E480" s="11" t="str">
        <f t="array" ref="E480">_xlfn.XLOOKUP(D480,Insumos!B:B,Insumos!C:$C)</f>
        <v>KG</v>
      </c>
      <c r="F480" s="14">
        <v>1</v>
      </c>
      <c r="G480" s="92">
        <f t="array" ref="G480">IF(B480="insumo",_xlfn.XLOOKUP($D480,Insumos!$B$1:$B$996,Insumos!$D$1:$D$996),"")</f>
        <v>0.76</v>
      </c>
      <c r="H480" s="92">
        <v>0.76</v>
      </c>
      <c r="I480" s="13">
        <v>0</v>
      </c>
      <c r="J480" s="13">
        <v>0</v>
      </c>
      <c r="K480" s="13"/>
      <c r="L480"/>
      <c r="M480"/>
      <c r="N480"/>
      <c r="O480"/>
      <c r="P480"/>
      <c r="Q480"/>
      <c r="R480"/>
      <c r="S480"/>
      <c r="T480"/>
      <c r="U480"/>
      <c r="V480"/>
      <c r="W480"/>
      <c r="X480"/>
      <c r="Y480"/>
      <c r="Z480"/>
      <c r="AA480"/>
      <c r="AB480"/>
      <c r="AC480"/>
      <c r="AD480"/>
      <c r="AE480"/>
      <c r="AF480"/>
      <c r="AG480"/>
      <c r="AH480"/>
      <c r="AI480"/>
      <c r="AJ480"/>
      <c r="AK480"/>
      <c r="AL480"/>
    </row>
    <row r="481" spans="1:38" ht="15.75" customHeight="1" outlineLevel="2" x14ac:dyDescent="0.2">
      <c r="A481" s="1067">
        <v>1</v>
      </c>
      <c r="B481" s="1067" t="s">
        <v>68</v>
      </c>
      <c r="C481" s="1067" t="s">
        <v>254</v>
      </c>
      <c r="D481" s="1067" t="s">
        <v>254</v>
      </c>
      <c r="E481" s="1068" t="s">
        <v>152</v>
      </c>
      <c r="F481" s="1067"/>
      <c r="G481" s="1069" t="str">
        <f t="array" ref="G481">IF(B481="insumo",_xlfn.XLOOKUP($D481,Insumos!$B$1:$B$996,Insumos!$D$1:$D$996),"")</f>
        <v/>
      </c>
      <c r="H481" s="1069">
        <v>680.10599999999999</v>
      </c>
      <c r="I481" s="1070">
        <v>738.737662</v>
      </c>
      <c r="J481" s="1070">
        <v>502419.91635217197</v>
      </c>
      <c r="K481" s="1070"/>
      <c r="L481"/>
      <c r="M481"/>
      <c r="N481"/>
      <c r="O481"/>
      <c r="P481"/>
      <c r="Q481"/>
      <c r="R481"/>
      <c r="S481"/>
      <c r="T481"/>
      <c r="U481"/>
      <c r="V481"/>
      <c r="W481"/>
      <c r="X481"/>
      <c r="Y481"/>
      <c r="Z481"/>
      <c r="AA481"/>
      <c r="AB481"/>
      <c r="AC481"/>
      <c r="AD481"/>
      <c r="AE481"/>
      <c r="AF481"/>
      <c r="AG481"/>
      <c r="AH481"/>
      <c r="AI481"/>
      <c r="AJ481"/>
      <c r="AK481"/>
      <c r="AL481"/>
    </row>
    <row r="482" spans="1:38" ht="15.75" customHeight="1" outlineLevel="3" x14ac:dyDescent="0.2">
      <c r="A482" s="10">
        <v>2</v>
      </c>
      <c r="B482" s="10" t="s">
        <v>71</v>
      </c>
      <c r="C482" s="10" t="s">
        <v>254</v>
      </c>
      <c r="D482" s="10" t="s">
        <v>255</v>
      </c>
      <c r="E482" s="11" t="str">
        <f t="array" ref="E482">_xlfn.XLOOKUP(D482,Insumos!B:B,Insumos!C:$C)</f>
        <v>M3</v>
      </c>
      <c r="F482" s="14">
        <v>1.05</v>
      </c>
      <c r="G482" s="92">
        <f t="array" ref="G482">IF(B482="insumo",_xlfn.XLOOKUP($D482,Insumos!$B$1:$B$996,Insumos!$D$1:$D$996),"")</f>
        <v>607.72</v>
      </c>
      <c r="H482" s="92">
        <v>638.10599999999999</v>
      </c>
      <c r="I482" s="13">
        <v>738.737662</v>
      </c>
      <c r="J482" s="13">
        <v>471392.93454817199</v>
      </c>
      <c r="K482" s="13"/>
      <c r="L482"/>
      <c r="M482"/>
      <c r="N482"/>
      <c r="O482"/>
      <c r="P482"/>
      <c r="Q482"/>
      <c r="R482"/>
      <c r="S482"/>
      <c r="T482"/>
      <c r="U482"/>
      <c r="V482"/>
      <c r="W482"/>
      <c r="X482"/>
      <c r="Y482"/>
      <c r="Z482"/>
      <c r="AA482"/>
      <c r="AB482"/>
      <c r="AC482"/>
      <c r="AD482"/>
      <c r="AE482"/>
      <c r="AF482"/>
      <c r="AG482"/>
      <c r="AH482"/>
      <c r="AI482"/>
      <c r="AJ482"/>
      <c r="AK482"/>
      <c r="AL482"/>
    </row>
    <row r="483" spans="1:38" ht="15.75" customHeight="1" outlineLevel="3" x14ac:dyDescent="0.2">
      <c r="A483" s="10">
        <v>25</v>
      </c>
      <c r="B483" s="10" t="s">
        <v>71</v>
      </c>
      <c r="C483" s="10" t="s">
        <v>254</v>
      </c>
      <c r="D483" s="10" t="s">
        <v>159</v>
      </c>
      <c r="E483" s="11" t="str">
        <f t="array" ref="E483">_xlfn.XLOOKUP(D483,Insumos!B:B,Insumos!C:$C)</f>
        <v>M3</v>
      </c>
      <c r="F483" s="14">
        <v>1.05</v>
      </c>
      <c r="G483" s="92">
        <f t="array" ref="G483">IF(B483="insumo",_xlfn.XLOOKUP($D483,Insumos!$B$1:$B$996,Insumos!$D$1:$D$996),"")</f>
        <v>40</v>
      </c>
      <c r="H483" s="92">
        <v>42</v>
      </c>
      <c r="I483" s="13">
        <v>738.737662</v>
      </c>
      <c r="J483" s="13">
        <v>31026.981803999999</v>
      </c>
      <c r="K483" s="13"/>
      <c r="L483"/>
      <c r="M483"/>
      <c r="N483"/>
      <c r="O483"/>
      <c r="P483"/>
      <c r="Q483"/>
      <c r="R483"/>
      <c r="S483"/>
      <c r="T483"/>
      <c r="U483"/>
      <c r="V483"/>
      <c r="W483"/>
      <c r="X483"/>
      <c r="Y483"/>
      <c r="Z483"/>
      <c r="AA483"/>
      <c r="AB483"/>
      <c r="AC483"/>
      <c r="AD483"/>
      <c r="AE483"/>
      <c r="AF483"/>
      <c r="AG483"/>
      <c r="AH483"/>
      <c r="AI483"/>
      <c r="AJ483"/>
      <c r="AK483"/>
      <c r="AL483"/>
    </row>
    <row r="484" spans="1:38" ht="15.75" customHeight="1" outlineLevel="3" x14ac:dyDescent="0.2">
      <c r="A484" s="10">
        <v>62</v>
      </c>
      <c r="B484" s="10" t="s">
        <v>71</v>
      </c>
      <c r="C484" s="10" t="s">
        <v>254</v>
      </c>
      <c r="D484" s="10" t="s">
        <v>160</v>
      </c>
      <c r="E484" s="11" t="str">
        <f t="array" ref="E484">_xlfn.XLOOKUP(D484,Insumos!B:B,Insumos!C:$C)</f>
        <v>KG</v>
      </c>
      <c r="F484" s="14">
        <v>0</v>
      </c>
      <c r="G484" s="92">
        <f t="array" ref="G484">IF(B484="insumo",_xlfn.XLOOKUP($D484,Insumos!$B$1:$B$996,Insumos!$D$1:$D$996),"")</f>
        <v>0.76</v>
      </c>
      <c r="H484" s="92">
        <v>0</v>
      </c>
      <c r="I484" s="13">
        <v>738.737662</v>
      </c>
      <c r="J484" s="13">
        <v>0</v>
      </c>
      <c r="K484" s="13"/>
      <c r="L484"/>
      <c r="M484"/>
      <c r="N484"/>
      <c r="O484"/>
      <c r="P484"/>
      <c r="Q484"/>
      <c r="R484"/>
      <c r="S484"/>
      <c r="T484"/>
      <c r="U484"/>
      <c r="V484"/>
      <c r="W484"/>
      <c r="X484"/>
      <c r="Y484"/>
      <c r="Z484"/>
      <c r="AA484"/>
      <c r="AB484"/>
      <c r="AC484"/>
      <c r="AD484"/>
      <c r="AE484"/>
      <c r="AF484"/>
      <c r="AG484"/>
      <c r="AH484"/>
      <c r="AI484"/>
      <c r="AJ484"/>
      <c r="AK484"/>
      <c r="AL484"/>
    </row>
    <row r="485" spans="1:38" ht="15.75" customHeight="1" outlineLevel="2" x14ac:dyDescent="0.2">
      <c r="A485" s="1067">
        <v>1</v>
      </c>
      <c r="B485" s="1067" t="s">
        <v>68</v>
      </c>
      <c r="C485" s="1067" t="s">
        <v>256</v>
      </c>
      <c r="D485" s="1067" t="s">
        <v>256</v>
      </c>
      <c r="E485" s="1068" t="s">
        <v>152</v>
      </c>
      <c r="F485" s="1067"/>
      <c r="G485" s="1069" t="str">
        <f t="array" ref="G485">IF(B485="insumo",_xlfn.XLOOKUP($D485,Insumos!$B$1:$B$996,Insumos!$D$1:$D$996),"")</f>
        <v/>
      </c>
      <c r="H485" s="1069">
        <v>656.29200000000003</v>
      </c>
      <c r="I485" s="1070">
        <v>0</v>
      </c>
      <c r="J485" s="1070">
        <v>0</v>
      </c>
      <c r="K485" s="1070"/>
      <c r="L485"/>
      <c r="M485"/>
      <c r="N485"/>
      <c r="O485"/>
      <c r="P485"/>
      <c r="Q485"/>
      <c r="R485"/>
      <c r="S485"/>
      <c r="T485"/>
      <c r="U485"/>
      <c r="V485"/>
      <c r="W485"/>
      <c r="X485"/>
      <c r="Y485"/>
      <c r="Z485"/>
      <c r="AA485"/>
      <c r="AB485"/>
      <c r="AC485"/>
      <c r="AD485"/>
      <c r="AE485"/>
      <c r="AF485"/>
      <c r="AG485"/>
      <c r="AH485"/>
      <c r="AI485"/>
      <c r="AJ485"/>
      <c r="AK485"/>
      <c r="AL485"/>
    </row>
    <row r="486" spans="1:38" ht="15.75" customHeight="1" outlineLevel="3" x14ac:dyDescent="0.2">
      <c r="A486" s="10">
        <v>1</v>
      </c>
      <c r="B486" s="10" t="s">
        <v>71</v>
      </c>
      <c r="C486" s="10" t="s">
        <v>256</v>
      </c>
      <c r="D486" s="10" t="s">
        <v>257</v>
      </c>
      <c r="E486" s="11" t="str">
        <f t="array" ref="E486">_xlfn.XLOOKUP(D486,Insumos!B:B,Insumos!C:$C)</f>
        <v>M3</v>
      </c>
      <c r="F486" s="14">
        <v>1.05</v>
      </c>
      <c r="G486" s="92">
        <f t="array" ref="G486">IF(B486="insumo",_xlfn.XLOOKUP($D486,Insumos!$B$1:$B$996,Insumos!$D$1:$D$996),"")</f>
        <v>585.04</v>
      </c>
      <c r="H486" s="92">
        <v>614.29200000000003</v>
      </c>
      <c r="I486" s="13">
        <v>0</v>
      </c>
      <c r="J486" s="13">
        <v>0</v>
      </c>
      <c r="K486" s="13"/>
      <c r="L486"/>
      <c r="M486"/>
      <c r="N486"/>
      <c r="O486"/>
      <c r="P486"/>
      <c r="Q486"/>
      <c r="R486"/>
      <c r="S486"/>
      <c r="T486"/>
      <c r="U486"/>
      <c r="V486"/>
      <c r="W486"/>
      <c r="X486"/>
      <c r="Y486"/>
      <c r="Z486"/>
      <c r="AA486"/>
      <c r="AB486"/>
      <c r="AC486"/>
      <c r="AD486"/>
      <c r="AE486"/>
      <c r="AF486"/>
      <c r="AG486"/>
      <c r="AH486"/>
      <c r="AI486"/>
      <c r="AJ486"/>
      <c r="AK486"/>
      <c r="AL486"/>
    </row>
    <row r="487" spans="1:38" ht="15.75" customHeight="1" outlineLevel="3" x14ac:dyDescent="0.2">
      <c r="A487" s="10">
        <v>25</v>
      </c>
      <c r="B487" s="10" t="s">
        <v>71</v>
      </c>
      <c r="C487" s="10" t="s">
        <v>256</v>
      </c>
      <c r="D487" s="10" t="s">
        <v>159</v>
      </c>
      <c r="E487" s="11" t="str">
        <f t="array" ref="E487">_xlfn.XLOOKUP(D487,Insumos!B:B,Insumos!C:$C)</f>
        <v>M3</v>
      </c>
      <c r="F487" s="14">
        <v>1.05</v>
      </c>
      <c r="G487" s="92">
        <f t="array" ref="G487">IF(B487="insumo",_xlfn.XLOOKUP($D487,Insumos!$B$1:$B$996,Insumos!$D$1:$D$996),"")</f>
        <v>40</v>
      </c>
      <c r="H487" s="92">
        <v>42</v>
      </c>
      <c r="I487" s="13">
        <v>0</v>
      </c>
      <c r="J487" s="13">
        <v>0</v>
      </c>
      <c r="K487" s="13"/>
      <c r="L487"/>
      <c r="M487"/>
      <c r="N487"/>
      <c r="O487"/>
      <c r="P487"/>
      <c r="Q487"/>
      <c r="R487"/>
      <c r="S487"/>
      <c r="T487"/>
      <c r="U487"/>
      <c r="V487"/>
      <c r="W487"/>
      <c r="X487"/>
      <c r="Y487"/>
      <c r="Z487"/>
      <c r="AA487"/>
      <c r="AB487"/>
      <c r="AC487"/>
      <c r="AD487"/>
      <c r="AE487"/>
      <c r="AF487"/>
      <c r="AG487"/>
      <c r="AH487"/>
      <c r="AI487"/>
      <c r="AJ487"/>
      <c r="AK487"/>
      <c r="AL487"/>
    </row>
    <row r="488" spans="1:38" ht="15.75" customHeight="1" outlineLevel="3" x14ac:dyDescent="0.2">
      <c r="A488" s="10">
        <v>62</v>
      </c>
      <c r="B488" s="10" t="s">
        <v>71</v>
      </c>
      <c r="C488" s="10" t="s">
        <v>256</v>
      </c>
      <c r="D488" s="10" t="s">
        <v>160</v>
      </c>
      <c r="E488" s="11" t="str">
        <f t="array" ref="E488">_xlfn.XLOOKUP(D488,Insumos!B:B,Insumos!C:$C)</f>
        <v>KG</v>
      </c>
      <c r="F488" s="14">
        <v>0</v>
      </c>
      <c r="G488" s="92">
        <f t="array" ref="G488">IF(B488="insumo",_xlfn.XLOOKUP($D488,Insumos!$B$1:$B$996,Insumos!$D$1:$D$996),"")</f>
        <v>0.76</v>
      </c>
      <c r="H488" s="92">
        <v>0</v>
      </c>
      <c r="I488" s="13">
        <v>0</v>
      </c>
      <c r="J488" s="13">
        <v>0</v>
      </c>
      <c r="K488" s="13"/>
      <c r="L488"/>
      <c r="M488"/>
      <c r="N488"/>
      <c r="O488"/>
      <c r="P488"/>
      <c r="Q488"/>
      <c r="R488"/>
      <c r="S488"/>
      <c r="T488"/>
      <c r="U488"/>
      <c r="V488"/>
      <c r="W488"/>
      <c r="X488"/>
      <c r="Y488"/>
      <c r="Z488"/>
      <c r="AA488"/>
      <c r="AB488"/>
      <c r="AC488"/>
      <c r="AD488"/>
      <c r="AE488"/>
      <c r="AF488"/>
      <c r="AG488"/>
      <c r="AH488"/>
      <c r="AI488"/>
      <c r="AJ488"/>
      <c r="AK488"/>
      <c r="AL488"/>
    </row>
    <row r="489" spans="1:38" ht="15.75" customHeight="1" outlineLevel="2" x14ac:dyDescent="0.2">
      <c r="A489" s="1067">
        <v>1</v>
      </c>
      <c r="B489" s="1067" t="s">
        <v>68</v>
      </c>
      <c r="C489" s="1067" t="s">
        <v>3445</v>
      </c>
      <c r="D489" s="1067" t="s">
        <v>3445</v>
      </c>
      <c r="E489" s="1068" t="s">
        <v>152</v>
      </c>
      <c r="F489" s="1067"/>
      <c r="G489" s="1069" t="str">
        <f t="array" ref="G489">IF(B489="insumo",_xlfn.XLOOKUP($D489,Insumos!$B$1:$B$876,Insumos!$D$1:$D$876),"")</f>
        <v/>
      </c>
      <c r="H489" s="1069">
        <v>837.60599999999999</v>
      </c>
      <c r="I489" s="1070">
        <v>210</v>
      </c>
      <c r="J489" s="1070">
        <v>175897.26</v>
      </c>
      <c r="K489" s="1070"/>
      <c r="L489"/>
      <c r="M489"/>
      <c r="N489"/>
      <c r="O489"/>
      <c r="P489"/>
      <c r="Q489"/>
      <c r="R489"/>
      <c r="S489"/>
      <c r="T489"/>
      <c r="U489"/>
      <c r="V489"/>
      <c r="W489"/>
      <c r="X489"/>
      <c r="Y489"/>
      <c r="Z489"/>
      <c r="AA489"/>
      <c r="AB489"/>
      <c r="AC489"/>
      <c r="AD489"/>
      <c r="AE489"/>
      <c r="AF489"/>
      <c r="AG489"/>
      <c r="AH489"/>
      <c r="AI489"/>
      <c r="AJ489"/>
      <c r="AK489"/>
      <c r="AL489"/>
    </row>
    <row r="490" spans="1:38" ht="15.75" customHeight="1" outlineLevel="3" x14ac:dyDescent="0.2">
      <c r="A490" s="10">
        <v>1</v>
      </c>
      <c r="B490" s="10" t="s">
        <v>71</v>
      </c>
      <c r="C490" s="10" t="s">
        <v>3445</v>
      </c>
      <c r="D490" s="10" t="s">
        <v>3498</v>
      </c>
      <c r="E490" s="11" t="str">
        <f t="array" ref="E490">_xlfn.XLOOKUP(D490,Insumos!B:B,Insumos!C:$C)</f>
        <v>M3</v>
      </c>
      <c r="F490" s="14">
        <v>1.05</v>
      </c>
      <c r="G490" s="92">
        <f t="array" ref="G490">IF(B490="insumo",_xlfn.XLOOKUP($D490,Insumos!$B$1:$B$996,Insumos!$D$1:$D$996),"")</f>
        <v>757.72</v>
      </c>
      <c r="H490" s="92">
        <v>795.60599999999999</v>
      </c>
      <c r="I490" s="13">
        <v>210</v>
      </c>
      <c r="J490" s="13">
        <v>167077.26</v>
      </c>
      <c r="K490" s="13"/>
      <c r="L490"/>
      <c r="M490"/>
      <c r="N490"/>
      <c r="O490"/>
      <c r="P490"/>
      <c r="Q490"/>
      <c r="R490"/>
      <c r="S490"/>
      <c r="T490"/>
      <c r="U490"/>
      <c r="V490"/>
      <c r="W490"/>
      <c r="X490"/>
      <c r="Y490"/>
      <c r="Z490"/>
      <c r="AA490"/>
      <c r="AB490"/>
      <c r="AC490"/>
      <c r="AD490"/>
      <c r="AE490"/>
      <c r="AF490"/>
      <c r="AG490"/>
      <c r="AH490"/>
      <c r="AI490"/>
      <c r="AJ490"/>
      <c r="AK490"/>
      <c r="AL490"/>
    </row>
    <row r="491" spans="1:38" ht="15.75" customHeight="1" outlineLevel="3" x14ac:dyDescent="0.2">
      <c r="A491" s="10">
        <v>25</v>
      </c>
      <c r="B491" s="10" t="s">
        <v>71</v>
      </c>
      <c r="C491" s="10" t="s">
        <v>3445</v>
      </c>
      <c r="D491" s="10" t="s">
        <v>159</v>
      </c>
      <c r="E491" s="11" t="str">
        <f t="array" ref="E491">_xlfn.XLOOKUP(D491,Insumos!B:B,Insumos!C:$C)</f>
        <v>M3</v>
      </c>
      <c r="F491" s="14">
        <v>1.05</v>
      </c>
      <c r="G491" s="92">
        <f t="array" ref="G491">IF(B491="insumo",_xlfn.XLOOKUP($D491,Insumos!$B$1:$B$996,Insumos!$D$1:$D$996),"")</f>
        <v>40</v>
      </c>
      <c r="H491" s="92">
        <v>42</v>
      </c>
      <c r="I491" s="13">
        <v>210</v>
      </c>
      <c r="J491" s="13">
        <v>8820</v>
      </c>
      <c r="K491" s="13"/>
      <c r="L491"/>
      <c r="M491"/>
      <c r="N491"/>
      <c r="O491"/>
      <c r="P491"/>
      <c r="Q491"/>
      <c r="R491"/>
      <c r="S491"/>
      <c r="T491"/>
      <c r="U491"/>
      <c r="V491"/>
      <c r="W491"/>
      <c r="X491"/>
      <c r="Y491"/>
      <c r="Z491"/>
      <c r="AA491"/>
      <c r="AB491"/>
      <c r="AC491"/>
      <c r="AD491"/>
      <c r="AE491"/>
      <c r="AF491"/>
      <c r="AG491"/>
      <c r="AH491"/>
      <c r="AI491"/>
      <c r="AJ491"/>
      <c r="AK491"/>
      <c r="AL491"/>
    </row>
    <row r="492" spans="1:38" ht="15.75" customHeight="1" outlineLevel="3" x14ac:dyDescent="0.2">
      <c r="A492" s="10">
        <v>62</v>
      </c>
      <c r="B492" s="10" t="s">
        <v>71</v>
      </c>
      <c r="C492" s="10" t="s">
        <v>3445</v>
      </c>
      <c r="D492" s="10" t="s">
        <v>160</v>
      </c>
      <c r="E492" s="11" t="str">
        <f t="array" ref="E492">_xlfn.XLOOKUP(D492,Insumos!B:B,Insumos!C:$C)</f>
        <v>KG</v>
      </c>
      <c r="F492" s="14">
        <v>0</v>
      </c>
      <c r="G492" s="92">
        <f t="array" ref="G492">IF(B492="insumo",_xlfn.XLOOKUP($D492,Insumos!$B$1:$B$996,Insumos!$D$1:$D$996),"")</f>
        <v>0.76</v>
      </c>
      <c r="H492" s="92">
        <v>0</v>
      </c>
      <c r="I492" s="13">
        <v>210</v>
      </c>
      <c r="J492" s="13">
        <v>0</v>
      </c>
      <c r="K492" s="13"/>
      <c r="L492"/>
      <c r="M492"/>
      <c r="N492"/>
      <c r="O492"/>
      <c r="P492"/>
      <c r="Q492"/>
      <c r="R492"/>
      <c r="S492"/>
      <c r="T492"/>
      <c r="U492"/>
      <c r="V492"/>
      <c r="W492"/>
      <c r="X492"/>
      <c r="Y492"/>
      <c r="Z492"/>
      <c r="AA492"/>
      <c r="AB492"/>
      <c r="AC492"/>
      <c r="AD492"/>
      <c r="AE492"/>
      <c r="AF492"/>
      <c r="AG492"/>
      <c r="AH492"/>
      <c r="AI492"/>
      <c r="AJ492"/>
      <c r="AK492"/>
      <c r="AL492"/>
    </row>
    <row r="493" spans="1:38" ht="15.75" customHeight="1" outlineLevel="1" x14ac:dyDescent="0.2">
      <c r="A493" s="1090">
        <v>6</v>
      </c>
      <c r="B493" s="1090" t="s">
        <v>1228</v>
      </c>
      <c r="C493" s="1090" t="s">
        <v>3445</v>
      </c>
      <c r="D493" s="1090" t="s">
        <v>1441</v>
      </c>
      <c r="E493" s="1091"/>
      <c r="F493" s="1092"/>
      <c r="G493" s="1091"/>
      <c r="H493" s="1091">
        <v>0</v>
      </c>
      <c r="I493" s="1092">
        <v>0</v>
      </c>
      <c r="J493" s="1092">
        <v>0</v>
      </c>
      <c r="K493" s="1092"/>
      <c r="L493"/>
      <c r="M493"/>
      <c r="N493"/>
      <c r="O493"/>
      <c r="P493"/>
      <c r="Q493"/>
      <c r="R493"/>
      <c r="S493"/>
      <c r="T493"/>
      <c r="U493"/>
      <c r="V493"/>
      <c r="W493"/>
      <c r="X493"/>
      <c r="Y493"/>
      <c r="Z493"/>
      <c r="AA493"/>
      <c r="AB493"/>
      <c r="AC493"/>
      <c r="AD493"/>
      <c r="AE493"/>
      <c r="AF493"/>
      <c r="AG493"/>
      <c r="AH493"/>
      <c r="AI493"/>
      <c r="AJ493"/>
      <c r="AK493"/>
      <c r="AL493"/>
    </row>
    <row r="494" spans="1:38" ht="15.75" customHeight="1" outlineLevel="2" x14ac:dyDescent="0.2">
      <c r="A494" s="1067">
        <v>1</v>
      </c>
      <c r="B494" s="1067" t="s">
        <v>68</v>
      </c>
      <c r="C494" s="1067" t="s">
        <v>258</v>
      </c>
      <c r="D494" s="1067" t="s">
        <v>258</v>
      </c>
      <c r="E494" s="1068" t="s">
        <v>70</v>
      </c>
      <c r="F494" s="1067"/>
      <c r="G494" s="1069" t="str">
        <f t="array" ref="G494">IF(B494="insumo",_xlfn.XLOOKUP($D494,Insumos!$B$1:$B$996,Insumos!$D$1:$D$996),"")</f>
        <v/>
      </c>
      <c r="H494" s="1069">
        <v>435</v>
      </c>
      <c r="I494" s="1070">
        <v>0</v>
      </c>
      <c r="J494" s="1070">
        <v>0</v>
      </c>
      <c r="K494" s="1070"/>
      <c r="L494"/>
      <c r="M494"/>
      <c r="N494"/>
      <c r="O494"/>
      <c r="P494"/>
      <c r="Q494"/>
      <c r="R494"/>
      <c r="S494"/>
      <c r="T494"/>
      <c r="U494"/>
      <c r="V494"/>
      <c r="W494"/>
      <c r="X494"/>
      <c r="Y494"/>
      <c r="Z494"/>
      <c r="AA494"/>
      <c r="AB494"/>
      <c r="AC494"/>
      <c r="AD494"/>
      <c r="AE494"/>
      <c r="AF494"/>
      <c r="AG494"/>
      <c r="AH494"/>
      <c r="AI494"/>
      <c r="AJ494"/>
      <c r="AK494"/>
      <c r="AL494"/>
    </row>
    <row r="495" spans="1:38" ht="15.75" customHeight="1" outlineLevel="3" x14ac:dyDescent="0.2">
      <c r="A495" s="10">
        <v>1</v>
      </c>
      <c r="B495" s="10" t="s">
        <v>71</v>
      </c>
      <c r="C495" s="10" t="s">
        <v>258</v>
      </c>
      <c r="D495" s="10" t="s">
        <v>258</v>
      </c>
      <c r="E495" s="11" t="str">
        <f t="array" ref="E495">_xlfn.XLOOKUP(D495,Insumos!B:B,Insumos!C:$C)</f>
        <v>M2</v>
      </c>
      <c r="F495" s="14">
        <v>1</v>
      </c>
      <c r="G495" s="92">
        <f t="array" ref="G495">IF(B495="insumo",_xlfn.XLOOKUP($D495,Insumos!$B$1:$B$996,Insumos!$D$1:$D$996),"")</f>
        <v>435</v>
      </c>
      <c r="H495" s="92">
        <v>435</v>
      </c>
      <c r="I495" s="13">
        <v>0</v>
      </c>
      <c r="J495" s="13">
        <v>0</v>
      </c>
      <c r="K495" s="13"/>
      <c r="L495"/>
      <c r="M495"/>
      <c r="N495"/>
      <c r="O495"/>
      <c r="P495"/>
      <c r="Q495"/>
      <c r="R495"/>
      <c r="S495"/>
      <c r="T495"/>
      <c r="U495"/>
      <c r="V495"/>
      <c r="W495"/>
      <c r="X495"/>
      <c r="Y495"/>
      <c r="Z495"/>
      <c r="AA495"/>
      <c r="AB495"/>
      <c r="AC495"/>
      <c r="AD495"/>
      <c r="AE495"/>
      <c r="AF495"/>
      <c r="AG495"/>
      <c r="AH495"/>
      <c r="AI495"/>
      <c r="AJ495"/>
      <c r="AK495"/>
      <c r="AL495"/>
    </row>
    <row r="496" spans="1:38" ht="15.75" customHeight="1" x14ac:dyDescent="0.2">
      <c r="A496" s="7">
        <v>1</v>
      </c>
      <c r="B496" s="7" t="s">
        <v>66</v>
      </c>
      <c r="C496" s="7" t="s">
        <v>258</v>
      </c>
      <c r="D496" s="7" t="s">
        <v>259</v>
      </c>
      <c r="E496" s="8"/>
      <c r="F496" s="9"/>
      <c r="G496" s="91" t="str">
        <f t="array" ref="G496">IF(B496="insumo",_xlfn.XLOOKUP($D496,Insumos!$B$1:$B$996,Insumos!$D$1:$D$996),"")</f>
        <v/>
      </c>
      <c r="H496" s="91">
        <v>0</v>
      </c>
      <c r="I496" s="9">
        <v>0</v>
      </c>
      <c r="J496" s="9">
        <v>0</v>
      </c>
      <c r="K496" s="9"/>
      <c r="L496"/>
      <c r="M496"/>
      <c r="N496"/>
      <c r="O496"/>
      <c r="P496"/>
      <c r="Q496"/>
      <c r="R496"/>
      <c r="S496"/>
      <c r="T496"/>
      <c r="U496"/>
      <c r="V496"/>
      <c r="W496"/>
      <c r="X496"/>
      <c r="Y496"/>
      <c r="Z496"/>
      <c r="AA496"/>
      <c r="AB496"/>
      <c r="AC496"/>
      <c r="AD496"/>
      <c r="AE496"/>
      <c r="AF496"/>
      <c r="AG496"/>
      <c r="AH496"/>
      <c r="AI496"/>
      <c r="AJ496"/>
      <c r="AK496"/>
      <c r="AL496"/>
    </row>
    <row r="497" spans="1:38" ht="15.75" customHeight="1" outlineLevel="1" x14ac:dyDescent="0.2">
      <c r="A497" s="1090">
        <v>2</v>
      </c>
      <c r="B497" s="1090" t="s">
        <v>1228</v>
      </c>
      <c r="C497" s="1090" t="s">
        <v>258</v>
      </c>
      <c r="D497" s="1090" t="s">
        <v>1741</v>
      </c>
      <c r="E497" s="1091"/>
      <c r="F497" s="1092"/>
      <c r="G497" s="1091"/>
      <c r="H497" s="1091">
        <v>0</v>
      </c>
      <c r="I497" s="1092">
        <v>0</v>
      </c>
      <c r="J497" s="1092">
        <v>0</v>
      </c>
      <c r="K497" s="1092"/>
      <c r="L497"/>
      <c r="M497"/>
      <c r="N497"/>
      <c r="O497"/>
      <c r="P497"/>
      <c r="Q497"/>
      <c r="R497"/>
      <c r="S497"/>
      <c r="T497"/>
      <c r="U497"/>
      <c r="V497"/>
      <c r="W497"/>
      <c r="X497"/>
      <c r="Y497"/>
      <c r="Z497"/>
      <c r="AA497"/>
      <c r="AB497"/>
      <c r="AC497"/>
      <c r="AD497"/>
      <c r="AE497"/>
      <c r="AF497"/>
      <c r="AG497"/>
      <c r="AH497"/>
      <c r="AI497"/>
      <c r="AJ497"/>
      <c r="AK497"/>
      <c r="AL497"/>
    </row>
    <row r="498" spans="1:38" ht="15.75" customHeight="1" outlineLevel="2" x14ac:dyDescent="0.2">
      <c r="A498" s="1067">
        <v>1</v>
      </c>
      <c r="B498" s="1067" t="s">
        <v>68</v>
      </c>
      <c r="C498" s="1067" t="s">
        <v>260</v>
      </c>
      <c r="D498" s="1067" t="s">
        <v>260</v>
      </c>
      <c r="E498" s="1068" t="s">
        <v>113</v>
      </c>
      <c r="F498" s="1067"/>
      <c r="G498" s="1069" t="str">
        <f t="array" ref="G498">IF(B498="insumo",_xlfn.XLOOKUP($D498,Insumos!$B$1:$B$996,Insumos!$D$1:$D$996),"")</f>
        <v/>
      </c>
      <c r="H498" s="1069">
        <v>39</v>
      </c>
      <c r="I498" s="1070">
        <v>0</v>
      </c>
      <c r="J498" s="1070">
        <v>0</v>
      </c>
      <c r="K498" s="1070"/>
      <c r="L498"/>
      <c r="M498"/>
      <c r="N498"/>
      <c r="O498"/>
      <c r="P498"/>
      <c r="Q498"/>
      <c r="R498"/>
      <c r="S498"/>
      <c r="T498"/>
      <c r="U498"/>
      <c r="V498"/>
      <c r="W498"/>
      <c r="X498"/>
      <c r="Y498"/>
      <c r="Z498"/>
      <c r="AA498"/>
      <c r="AB498"/>
      <c r="AC498"/>
      <c r="AD498"/>
      <c r="AE498"/>
      <c r="AF498"/>
      <c r="AG498"/>
      <c r="AH498"/>
      <c r="AI498"/>
      <c r="AJ498"/>
      <c r="AK498"/>
      <c r="AL498"/>
    </row>
    <row r="499" spans="1:38" ht="15.75" customHeight="1" outlineLevel="3" x14ac:dyDescent="0.2">
      <c r="A499" s="10">
        <v>2</v>
      </c>
      <c r="B499" s="10" t="s">
        <v>71</v>
      </c>
      <c r="C499" s="10" t="s">
        <v>260</v>
      </c>
      <c r="D499" s="10" t="s">
        <v>192</v>
      </c>
      <c r="E499" s="11" t="str">
        <f t="array" ref="E499">_xlfn.XLOOKUP(D499,Insumos!B:B,Insumos!C:$C)</f>
        <v>M</v>
      </c>
      <c r="F499" s="14">
        <v>1</v>
      </c>
      <c r="G499" s="92">
        <f t="array" ref="G499">IF(B499="insumo",_xlfn.XLOOKUP($D499,Insumos!$B$1:$B$996,Insumos!$D$1:$D$996),"")</f>
        <v>39</v>
      </c>
      <c r="H499" s="92">
        <v>39</v>
      </c>
      <c r="I499" s="13">
        <v>0</v>
      </c>
      <c r="J499" s="13">
        <v>0</v>
      </c>
      <c r="K499" s="13"/>
      <c r="L499"/>
      <c r="M499"/>
      <c r="N499"/>
      <c r="O499"/>
      <c r="P499"/>
      <c r="Q499"/>
      <c r="R499"/>
      <c r="S499"/>
      <c r="T499"/>
      <c r="U499"/>
      <c r="V499"/>
      <c r="W499"/>
      <c r="X499"/>
      <c r="Y499"/>
      <c r="Z499"/>
      <c r="AA499"/>
      <c r="AB499"/>
      <c r="AC499"/>
      <c r="AD499"/>
      <c r="AE499"/>
      <c r="AF499"/>
      <c r="AG499"/>
      <c r="AH499"/>
      <c r="AI499"/>
      <c r="AJ499"/>
      <c r="AK499"/>
      <c r="AL499"/>
    </row>
    <row r="500" spans="1:38" ht="12.75" outlineLevel="2" x14ac:dyDescent="0.2">
      <c r="A500" s="1071">
        <v>1</v>
      </c>
      <c r="B500" s="1071" t="s">
        <v>68</v>
      </c>
      <c r="C500" s="1071" t="s">
        <v>1758</v>
      </c>
      <c r="D500" s="1071" t="s">
        <v>1758</v>
      </c>
      <c r="E500" s="1072" t="s">
        <v>113</v>
      </c>
      <c r="F500" s="1071"/>
      <c r="G500" s="1073" t="str">
        <f t="array" ref="G500">IF(B500="insumo",_xlfn.XLOOKUP($D500,Insumos!$B$1:$B$996,Insumos!$D$1:$D$996),"")</f>
        <v/>
      </c>
      <c r="H500" s="1073">
        <v>52.8</v>
      </c>
      <c r="I500" s="1074">
        <v>0</v>
      </c>
      <c r="J500" s="1074">
        <v>0</v>
      </c>
      <c r="K500" s="1074"/>
      <c r="L500"/>
      <c r="M500"/>
      <c r="N500"/>
      <c r="O500"/>
      <c r="P500"/>
      <c r="Q500"/>
      <c r="R500"/>
      <c r="S500"/>
      <c r="T500"/>
      <c r="U500"/>
      <c r="V500"/>
      <c r="W500"/>
      <c r="X500"/>
      <c r="Y500"/>
      <c r="Z500"/>
      <c r="AA500"/>
      <c r="AB500"/>
      <c r="AC500"/>
      <c r="AD500"/>
      <c r="AE500"/>
      <c r="AF500"/>
      <c r="AG500"/>
      <c r="AH500"/>
      <c r="AI500"/>
      <c r="AJ500"/>
      <c r="AK500"/>
      <c r="AL500"/>
    </row>
    <row r="501" spans="1:38" ht="12.75" outlineLevel="3" x14ac:dyDescent="0.2">
      <c r="A501" s="82">
        <v>2</v>
      </c>
      <c r="B501" s="82" t="s">
        <v>71</v>
      </c>
      <c r="C501" s="82" t="s">
        <v>1758</v>
      </c>
      <c r="D501" s="82" t="s">
        <v>1743</v>
      </c>
      <c r="E501" s="11" t="str">
        <f t="array" ref="E501">_xlfn.XLOOKUP(D501,Insumos!B:B,Insumos!C:$C)</f>
        <v>M</v>
      </c>
      <c r="F501" s="86">
        <v>1</v>
      </c>
      <c r="G501" s="92">
        <f t="array" ref="G501">IF(B501="insumo",_xlfn.XLOOKUP($D501,Insumos!$B$1:$B$996,Insumos!$D$1:$D$996),"")</f>
        <v>52.800000000000004</v>
      </c>
      <c r="H501" s="92">
        <v>52.8</v>
      </c>
      <c r="I501" s="84">
        <v>0</v>
      </c>
      <c r="J501" s="84">
        <v>0</v>
      </c>
      <c r="K501" s="84"/>
      <c r="L501"/>
      <c r="M501"/>
      <c r="N501"/>
      <c r="O501"/>
      <c r="P501"/>
      <c r="Q501"/>
      <c r="R501"/>
      <c r="S501"/>
      <c r="T501"/>
      <c r="U501"/>
      <c r="V501"/>
      <c r="W501"/>
      <c r="X501"/>
      <c r="Y501"/>
      <c r="Z501"/>
      <c r="AA501"/>
      <c r="AB501"/>
      <c r="AC501"/>
      <c r="AD501"/>
      <c r="AE501"/>
      <c r="AF501"/>
      <c r="AG501"/>
      <c r="AH501"/>
      <c r="AI501"/>
      <c r="AJ501"/>
      <c r="AK501"/>
      <c r="AL501"/>
    </row>
    <row r="502" spans="1:38" ht="15.75" customHeight="1" outlineLevel="1" x14ac:dyDescent="0.2">
      <c r="A502" s="1090">
        <v>3</v>
      </c>
      <c r="B502" s="1090" t="s">
        <v>1228</v>
      </c>
      <c r="C502" s="1090" t="s">
        <v>1758</v>
      </c>
      <c r="D502" s="1090" t="s">
        <v>1738</v>
      </c>
      <c r="E502" s="1091"/>
      <c r="F502" s="1092"/>
      <c r="G502" s="1091"/>
      <c r="H502" s="1091">
        <v>0</v>
      </c>
      <c r="I502" s="1092">
        <v>0</v>
      </c>
      <c r="J502" s="1092">
        <v>0</v>
      </c>
      <c r="K502" s="1092"/>
      <c r="L502"/>
      <c r="M502"/>
      <c r="N502"/>
      <c r="O502"/>
      <c r="P502"/>
      <c r="Q502"/>
      <c r="R502"/>
      <c r="S502"/>
      <c r="T502"/>
      <c r="U502"/>
      <c r="V502"/>
      <c r="W502"/>
      <c r="X502"/>
      <c r="Y502"/>
      <c r="Z502"/>
      <c r="AA502"/>
      <c r="AB502"/>
      <c r="AC502"/>
      <c r="AD502"/>
      <c r="AE502"/>
      <c r="AF502"/>
      <c r="AG502"/>
      <c r="AH502"/>
      <c r="AI502"/>
      <c r="AJ502"/>
      <c r="AK502"/>
      <c r="AL502"/>
    </row>
    <row r="503" spans="1:38" ht="15.75" customHeight="1" outlineLevel="2" x14ac:dyDescent="0.2">
      <c r="A503" s="1067">
        <v>1</v>
      </c>
      <c r="B503" s="1067" t="s">
        <v>68</v>
      </c>
      <c r="C503" s="1067" t="s">
        <v>262</v>
      </c>
      <c r="D503" s="1067" t="s">
        <v>262</v>
      </c>
      <c r="E503" s="1068" t="s">
        <v>70</v>
      </c>
      <c r="F503" s="1067"/>
      <c r="G503" s="1069" t="str">
        <f t="array" ref="G503">IF(B503="insumo",_xlfn.XLOOKUP($D503,Insumos!$B$1:$B$996,Insumos!$D$1:$D$996),"")</f>
        <v/>
      </c>
      <c r="H503" s="1069">
        <v>59.956228571428603</v>
      </c>
      <c r="I503" s="1070">
        <v>0</v>
      </c>
      <c r="J503" s="1070">
        <v>0</v>
      </c>
      <c r="K503" s="1070"/>
      <c r="L503"/>
      <c r="M503"/>
      <c r="N503"/>
      <c r="O503"/>
      <c r="P503"/>
      <c r="Q503"/>
      <c r="R503"/>
      <c r="S503"/>
      <c r="T503"/>
      <c r="U503"/>
      <c r="V503"/>
      <c r="W503"/>
      <c r="X503"/>
      <c r="Y503"/>
      <c r="Z503"/>
      <c r="AA503"/>
      <c r="AB503"/>
      <c r="AC503"/>
      <c r="AD503"/>
      <c r="AE503"/>
      <c r="AF503"/>
      <c r="AG503"/>
      <c r="AH503"/>
      <c r="AI503"/>
      <c r="AJ503"/>
      <c r="AK503"/>
      <c r="AL503"/>
    </row>
    <row r="504" spans="1:38" ht="15.75" customHeight="1" outlineLevel="3" x14ac:dyDescent="0.2">
      <c r="A504" s="10">
        <v>3</v>
      </c>
      <c r="B504" s="10" t="s">
        <v>71</v>
      </c>
      <c r="C504" s="10" t="s">
        <v>262</v>
      </c>
      <c r="D504" s="10" t="s">
        <v>232</v>
      </c>
      <c r="E504" s="11" t="str">
        <f t="array" ref="E504">_xlfn.XLOOKUP(D504,Insumos!B:B,Insumos!C:$C)</f>
        <v>KG</v>
      </c>
      <c r="F504" s="14">
        <v>1.0999999999999999E-2</v>
      </c>
      <c r="G504" s="92">
        <f t="array" ref="G504">IF(B504="insumo",_xlfn.XLOOKUP($D504,Insumos!$B$1:$B$996,Insumos!$D$1:$D$996),"")</f>
        <v>18.8</v>
      </c>
      <c r="H504" s="92">
        <v>0.20680000000000001</v>
      </c>
      <c r="I504" s="13">
        <v>0</v>
      </c>
      <c r="J504" s="13">
        <v>0</v>
      </c>
      <c r="K504" s="13"/>
      <c r="L504"/>
      <c r="M504"/>
      <c r="N504"/>
      <c r="O504"/>
      <c r="P504"/>
      <c r="Q504"/>
      <c r="R504"/>
      <c r="S504"/>
      <c r="T504"/>
      <c r="U504"/>
      <c r="V504"/>
      <c r="W504"/>
      <c r="X504"/>
      <c r="Y504"/>
      <c r="Z504"/>
      <c r="AA504"/>
      <c r="AB504"/>
      <c r="AC504"/>
      <c r="AD504"/>
      <c r="AE504"/>
      <c r="AF504"/>
      <c r="AG504"/>
      <c r="AH504"/>
      <c r="AI504"/>
      <c r="AJ504"/>
      <c r="AK504"/>
      <c r="AL504"/>
    </row>
    <row r="505" spans="1:38" ht="15.75" customHeight="1" outlineLevel="3" x14ac:dyDescent="0.2">
      <c r="A505" s="10">
        <v>40</v>
      </c>
      <c r="B505" s="10" t="s">
        <v>71</v>
      </c>
      <c r="C505" s="10" t="s">
        <v>262</v>
      </c>
      <c r="D505" s="10" t="s">
        <v>87</v>
      </c>
      <c r="E505" s="11" t="str">
        <f t="array" ref="E505">_xlfn.XLOOKUP(D505,Insumos!B:B,Insumos!C:$C)</f>
        <v>KG</v>
      </c>
      <c r="F505" s="14">
        <v>9.5000000000000001E-2</v>
      </c>
      <c r="G505" s="92">
        <f t="array" ref="G505">IF(B505="insumo",_xlfn.XLOOKUP($D505,Insumos!$B$1:$B$996,Insumos!$D$1:$D$996),"")</f>
        <v>18.13</v>
      </c>
      <c r="H505" s="92">
        <v>1.72235</v>
      </c>
      <c r="I505" s="13">
        <v>0</v>
      </c>
      <c r="J505" s="13">
        <v>0</v>
      </c>
      <c r="K505" s="13"/>
      <c r="L505"/>
      <c r="M505"/>
      <c r="N505"/>
      <c r="O505"/>
      <c r="P505"/>
      <c r="Q505"/>
      <c r="R505"/>
      <c r="S505"/>
      <c r="T505"/>
      <c r="U505"/>
      <c r="V505"/>
      <c r="W505"/>
      <c r="X505"/>
      <c r="Y505"/>
      <c r="Z505"/>
      <c r="AA505"/>
      <c r="AB505"/>
      <c r="AC505"/>
      <c r="AD505"/>
      <c r="AE505"/>
      <c r="AF505"/>
      <c r="AG505"/>
      <c r="AH505"/>
      <c r="AI505"/>
      <c r="AJ505"/>
      <c r="AK505"/>
      <c r="AL505"/>
    </row>
    <row r="506" spans="1:38" ht="15.75" customHeight="1" outlineLevel="3" x14ac:dyDescent="0.2">
      <c r="A506" s="10">
        <v>10</v>
      </c>
      <c r="B506" s="10" t="s">
        <v>71</v>
      </c>
      <c r="C506" s="10" t="s">
        <v>262</v>
      </c>
      <c r="D506" s="10" t="s">
        <v>233</v>
      </c>
      <c r="E506" s="11" t="str">
        <f t="array" ref="E506">_xlfn.XLOOKUP(D506,Insumos!B:B,Insumos!C:$C)</f>
        <v>L</v>
      </c>
      <c r="F506" s="14">
        <v>1.7000000000000001E-2</v>
      </c>
      <c r="G506" s="92">
        <f t="array" ref="G506">IF(B506="insumo",_xlfn.XLOOKUP($D506,Insumos!$B$1:$B$996,Insumos!$D$1:$D$996),"")</f>
        <v>15.55</v>
      </c>
      <c r="H506" s="92">
        <v>0.26434999999999997</v>
      </c>
      <c r="I506" s="13">
        <v>0</v>
      </c>
      <c r="J506" s="13">
        <v>0</v>
      </c>
      <c r="K506" s="13"/>
      <c r="L506"/>
      <c r="M506"/>
      <c r="N506"/>
      <c r="O506"/>
      <c r="P506"/>
      <c r="Q506"/>
      <c r="R506"/>
      <c r="S506"/>
      <c r="T506"/>
      <c r="U506"/>
      <c r="V506"/>
      <c r="W506"/>
      <c r="X506"/>
      <c r="Y506"/>
      <c r="Z506"/>
      <c r="AA506"/>
      <c r="AB506"/>
      <c r="AC506"/>
      <c r="AD506"/>
      <c r="AE506"/>
      <c r="AF506"/>
      <c r="AG506"/>
      <c r="AH506"/>
      <c r="AI506"/>
      <c r="AJ506"/>
      <c r="AK506"/>
      <c r="AL506"/>
    </row>
    <row r="507" spans="1:38" ht="15.75" customHeight="1" outlineLevel="3" x14ac:dyDescent="0.2">
      <c r="A507" s="10">
        <v>25</v>
      </c>
      <c r="B507" s="10" t="s">
        <v>71</v>
      </c>
      <c r="C507" s="10" t="s">
        <v>262</v>
      </c>
      <c r="D507" s="10" t="s">
        <v>84</v>
      </c>
      <c r="E507" s="11" t="str">
        <f t="array" ref="E507">_xlfn.XLOOKUP(D507,Insumos!B:B,Insumos!C:$C)</f>
        <v>M</v>
      </c>
      <c r="F507" s="14">
        <v>0.73714285714285721</v>
      </c>
      <c r="G507" s="92">
        <f t="array" ref="G507">IF(B507="insumo",_xlfn.XLOOKUP($D507,Insumos!$B$1:$B$996,Insumos!$D$1:$D$996),"")</f>
        <v>7</v>
      </c>
      <c r="H507" s="92">
        <v>5.16</v>
      </c>
      <c r="I507" s="13">
        <v>0</v>
      </c>
      <c r="J507" s="13">
        <v>0</v>
      </c>
      <c r="K507" s="13"/>
      <c r="L507"/>
      <c r="M507"/>
      <c r="N507"/>
      <c r="O507"/>
      <c r="P507"/>
      <c r="Q507"/>
      <c r="R507"/>
      <c r="S507"/>
      <c r="T507"/>
      <c r="U507"/>
      <c r="V507"/>
      <c r="W507"/>
      <c r="X507"/>
      <c r="Y507"/>
      <c r="Z507"/>
      <c r="AA507"/>
      <c r="AB507"/>
      <c r="AC507"/>
      <c r="AD507"/>
      <c r="AE507"/>
      <c r="AF507"/>
      <c r="AG507"/>
      <c r="AH507"/>
      <c r="AI507"/>
      <c r="AJ507"/>
      <c r="AK507"/>
      <c r="AL507"/>
    </row>
    <row r="508" spans="1:38" ht="15.75" customHeight="1" outlineLevel="3" x14ac:dyDescent="0.2">
      <c r="A508" s="10">
        <v>19</v>
      </c>
      <c r="B508" s="10" t="s">
        <v>71</v>
      </c>
      <c r="C508" s="10" t="s">
        <v>262</v>
      </c>
      <c r="D508" s="10" t="s">
        <v>129</v>
      </c>
      <c r="E508" s="11" t="str">
        <f t="array" ref="E508">_xlfn.XLOOKUP(D508,Insumos!B:B,Insumos!C:$C)</f>
        <v>M3</v>
      </c>
      <c r="F508" s="14">
        <v>2.638095238095238E-3</v>
      </c>
      <c r="G508" s="92">
        <f t="array" ref="G508">IF(B508="insumo",_xlfn.XLOOKUP($D508,Insumos!$B$1:$B$996,Insumos!$D$1:$D$996),"")</f>
        <v>1350</v>
      </c>
      <c r="H508" s="92">
        <v>3.5614285714285701</v>
      </c>
      <c r="I508" s="13">
        <v>0</v>
      </c>
      <c r="J508" s="13">
        <v>0</v>
      </c>
      <c r="K508" s="13"/>
      <c r="L508"/>
      <c r="M508"/>
      <c r="N508"/>
      <c r="O508"/>
      <c r="P508"/>
      <c r="Q508"/>
      <c r="R508"/>
      <c r="S508"/>
      <c r="T508"/>
      <c r="U508"/>
      <c r="V508"/>
      <c r="W508"/>
      <c r="X508"/>
      <c r="Y508"/>
      <c r="Z508"/>
      <c r="AA508"/>
      <c r="AB508"/>
      <c r="AC508"/>
      <c r="AD508"/>
      <c r="AE508"/>
      <c r="AF508"/>
      <c r="AG508"/>
      <c r="AH508"/>
      <c r="AI508"/>
      <c r="AJ508"/>
      <c r="AK508"/>
      <c r="AL508"/>
    </row>
    <row r="509" spans="1:38" ht="15.75" customHeight="1" outlineLevel="3" x14ac:dyDescent="0.2">
      <c r="A509" s="10">
        <v>6</v>
      </c>
      <c r="B509" s="10" t="s">
        <v>71</v>
      </c>
      <c r="C509" s="10" t="s">
        <v>262</v>
      </c>
      <c r="D509" s="10" t="s">
        <v>234</v>
      </c>
      <c r="E509" s="11" t="str">
        <f t="array" ref="E509">_xlfn.XLOOKUP(D509,Insumos!B:B,Insumos!C:$C)</f>
        <v>M</v>
      </c>
      <c r="F509" s="14">
        <v>1.155</v>
      </c>
      <c r="G509" s="92">
        <f t="array" ref="G509">IF(B509="insumo",_xlfn.XLOOKUP($D509,Insumos!$B$1:$B$996,Insumos!$D$1:$D$996),"")</f>
        <v>42.46</v>
      </c>
      <c r="H509" s="92">
        <v>49.0413</v>
      </c>
      <c r="I509" s="13">
        <v>0</v>
      </c>
      <c r="J509" s="13">
        <v>0</v>
      </c>
      <c r="K509" s="13"/>
      <c r="L509"/>
      <c r="M509"/>
      <c r="N509"/>
      <c r="O509"/>
      <c r="P509"/>
      <c r="Q509"/>
      <c r="R509"/>
      <c r="S509"/>
      <c r="T509"/>
      <c r="U509"/>
      <c r="V509"/>
      <c r="W509"/>
      <c r="X509"/>
      <c r="Y509"/>
      <c r="Z509"/>
      <c r="AA509"/>
      <c r="AB509"/>
      <c r="AC509"/>
      <c r="AD509"/>
      <c r="AE509"/>
      <c r="AF509"/>
      <c r="AG509"/>
      <c r="AH509"/>
      <c r="AI509"/>
      <c r="AJ509"/>
      <c r="AK509"/>
      <c r="AL509"/>
    </row>
    <row r="510" spans="1:38" ht="15.75" customHeight="1" outlineLevel="1" x14ac:dyDescent="0.2">
      <c r="A510" s="1090">
        <v>4</v>
      </c>
      <c r="B510" s="1090" t="s">
        <v>1228</v>
      </c>
      <c r="C510" s="1090" t="s">
        <v>262</v>
      </c>
      <c r="D510" s="1090" t="s">
        <v>1739</v>
      </c>
      <c r="E510" s="1091"/>
      <c r="F510" s="1092"/>
      <c r="G510" s="1091"/>
      <c r="H510" s="1091">
        <v>0</v>
      </c>
      <c r="I510" s="1092">
        <v>0</v>
      </c>
      <c r="J510" s="1092">
        <v>0</v>
      </c>
      <c r="K510" s="1092"/>
      <c r="L510"/>
      <c r="M510"/>
      <c r="N510"/>
      <c r="O510"/>
      <c r="P510"/>
      <c r="Q510"/>
      <c r="R510"/>
      <c r="S510"/>
      <c r="T510"/>
      <c r="U510"/>
      <c r="V510"/>
      <c r="W510"/>
      <c r="X510"/>
      <c r="Y510"/>
      <c r="Z510"/>
      <c r="AA510"/>
      <c r="AB510"/>
      <c r="AC510"/>
      <c r="AD510"/>
      <c r="AE510"/>
      <c r="AF510"/>
      <c r="AG510"/>
      <c r="AH510"/>
      <c r="AI510"/>
      <c r="AJ510"/>
      <c r="AK510"/>
      <c r="AL510"/>
    </row>
    <row r="511" spans="1:38" ht="15.75" customHeight="1" outlineLevel="2" x14ac:dyDescent="0.2">
      <c r="A511" s="1067">
        <v>1</v>
      </c>
      <c r="B511" s="1067" t="s">
        <v>68</v>
      </c>
      <c r="C511" s="1067" t="s">
        <v>3446</v>
      </c>
      <c r="D511" s="1067" t="s">
        <v>3446</v>
      </c>
      <c r="E511" s="1068" t="s">
        <v>70</v>
      </c>
      <c r="F511" s="1067"/>
      <c r="G511" s="1069" t="str">
        <f t="array" ref="G511">IF(B511="insumo",_xlfn.XLOOKUP($D511,Insumos!$B$1:$B$996,Insumos!$D$1:$D$996),"")</f>
        <v/>
      </c>
      <c r="H511" s="1069">
        <v>470.28409090909099</v>
      </c>
      <c r="I511" s="1070">
        <v>492.8</v>
      </c>
      <c r="J511" s="1070">
        <v>231756</v>
      </c>
      <c r="K511" s="1070"/>
      <c r="L511"/>
      <c r="M511"/>
      <c r="N511"/>
      <c r="O511"/>
      <c r="P511"/>
      <c r="Q511"/>
      <c r="R511"/>
      <c r="S511"/>
      <c r="T511"/>
      <c r="U511"/>
      <c r="V511"/>
      <c r="W511"/>
      <c r="X511"/>
      <c r="Y511"/>
      <c r="Z511"/>
      <c r="AA511"/>
      <c r="AB511"/>
      <c r="AC511"/>
      <c r="AD511"/>
      <c r="AE511"/>
      <c r="AF511"/>
      <c r="AG511"/>
      <c r="AH511"/>
      <c r="AI511"/>
      <c r="AJ511"/>
      <c r="AK511"/>
      <c r="AL511"/>
    </row>
    <row r="512" spans="1:38" ht="15.75" customHeight="1" outlineLevel="3" x14ac:dyDescent="0.2">
      <c r="A512" s="10">
        <v>1</v>
      </c>
      <c r="B512" s="10" t="s">
        <v>71</v>
      </c>
      <c r="C512" s="10" t="s">
        <v>3446</v>
      </c>
      <c r="D512" s="10" t="s">
        <v>3500</v>
      </c>
      <c r="E512" s="11" t="s">
        <v>70</v>
      </c>
      <c r="F512" s="14">
        <v>1</v>
      </c>
      <c r="G512" s="92">
        <f t="array" ref="G512">IF(B512="insumo",_xlfn.XLOOKUP($D512,Insumos!$B$1:$B$996,Insumos!$D$1:$D$996),"")</f>
        <v>470.28409090909088</v>
      </c>
      <c r="H512" s="92">
        <v>470.28409090909099</v>
      </c>
      <c r="I512" s="13">
        <v>492.8</v>
      </c>
      <c r="J512" s="13">
        <v>231756</v>
      </c>
      <c r="K512" s="13"/>
      <c r="L512"/>
      <c r="M512"/>
      <c r="N512"/>
      <c r="O512"/>
      <c r="P512"/>
      <c r="Q512"/>
      <c r="R512"/>
      <c r="S512"/>
      <c r="T512"/>
      <c r="U512"/>
      <c r="V512"/>
      <c r="W512"/>
      <c r="X512"/>
      <c r="Y512"/>
      <c r="Z512"/>
      <c r="AA512"/>
      <c r="AB512"/>
      <c r="AC512"/>
      <c r="AD512"/>
      <c r="AE512"/>
      <c r="AF512"/>
      <c r="AG512"/>
      <c r="AH512"/>
      <c r="AI512"/>
      <c r="AJ512"/>
      <c r="AK512"/>
      <c r="AL512"/>
    </row>
    <row r="513" spans="1:38" ht="15.75" customHeight="1" outlineLevel="2" x14ac:dyDescent="0.2">
      <c r="A513" s="1067">
        <v>1</v>
      </c>
      <c r="B513" s="1067" t="s">
        <v>68</v>
      </c>
      <c r="C513" s="1067" t="s">
        <v>3448</v>
      </c>
      <c r="D513" s="1067" t="s">
        <v>3448</v>
      </c>
      <c r="E513" s="1068" t="s">
        <v>70</v>
      </c>
      <c r="F513" s="1067"/>
      <c r="G513" s="1069" t="str">
        <f t="array" ref="G513">IF(B513="insumo",_xlfn.XLOOKUP($D513,Insumos!$B$1:$B$996,Insumos!$D$1:$D$996),"")</f>
        <v/>
      </c>
      <c r="H513" s="1069">
        <v>12000</v>
      </c>
      <c r="I513" s="1070">
        <v>1</v>
      </c>
      <c r="J513" s="1070">
        <v>12000</v>
      </c>
      <c r="K513" s="1070"/>
      <c r="L513"/>
      <c r="M513"/>
      <c r="N513"/>
      <c r="O513"/>
      <c r="P513"/>
      <c r="Q513"/>
      <c r="R513"/>
      <c r="S513"/>
      <c r="T513"/>
      <c r="U513"/>
      <c r="V513"/>
      <c r="W513"/>
      <c r="X513"/>
      <c r="Y513"/>
      <c r="Z513"/>
      <c r="AA513"/>
      <c r="AB513"/>
      <c r="AC513"/>
      <c r="AD513"/>
      <c r="AE513"/>
      <c r="AF513"/>
      <c r="AG513"/>
      <c r="AH513"/>
      <c r="AI513"/>
      <c r="AJ513"/>
      <c r="AK513"/>
      <c r="AL513"/>
    </row>
    <row r="514" spans="1:38" ht="15.75" customHeight="1" outlineLevel="3" x14ac:dyDescent="0.2">
      <c r="A514" s="10">
        <v>1</v>
      </c>
      <c r="B514" s="10" t="s">
        <v>71</v>
      </c>
      <c r="C514" s="10" t="s">
        <v>3448</v>
      </c>
      <c r="D514" s="10" t="s">
        <v>3448</v>
      </c>
      <c r="E514" s="11" t="s">
        <v>70</v>
      </c>
      <c r="F514" s="14">
        <v>1</v>
      </c>
      <c r="G514" s="92">
        <f>IF(B514="insumo",_xlfn.XLOOKUP($D514,Insumos!$B$1:$B$996,Insumos!$D$1:$D$996),"")</f>
        <v>12000</v>
      </c>
      <c r="H514" s="92">
        <v>12000</v>
      </c>
      <c r="I514" s="13">
        <v>1</v>
      </c>
      <c r="J514" s="13">
        <v>12000</v>
      </c>
      <c r="K514" s="13"/>
      <c r="L514"/>
      <c r="M514"/>
      <c r="N514"/>
      <c r="O514"/>
      <c r="P514"/>
      <c r="Q514"/>
      <c r="R514"/>
      <c r="S514"/>
      <c r="T514"/>
      <c r="U514"/>
      <c r="V514"/>
      <c r="W514"/>
      <c r="X514"/>
      <c r="Y514"/>
      <c r="Z514"/>
      <c r="AA514"/>
      <c r="AB514"/>
      <c r="AC514"/>
      <c r="AD514"/>
      <c r="AE514"/>
      <c r="AF514"/>
      <c r="AG514"/>
      <c r="AH514"/>
      <c r="AI514"/>
      <c r="AJ514"/>
      <c r="AK514"/>
      <c r="AL514"/>
    </row>
    <row r="515" spans="1:38" ht="15.75" customHeight="1" outlineLevel="2" x14ac:dyDescent="0.2">
      <c r="A515" s="1067">
        <v>1</v>
      </c>
      <c r="B515" s="1067" t="s">
        <v>68</v>
      </c>
      <c r="C515" s="1067" t="s">
        <v>263</v>
      </c>
      <c r="D515" s="1067" t="s">
        <v>263</v>
      </c>
      <c r="E515" s="1068" t="s">
        <v>206</v>
      </c>
      <c r="F515" s="1067"/>
      <c r="G515" s="1069" t="str">
        <f t="array" ref="G515">IF(B515="insumo",_xlfn.XLOOKUP($D515,Insumos!$B$1:$B$996,Insumos!$D$1:$D$996),"")</f>
        <v/>
      </c>
      <c r="H515" s="1069">
        <v>6.0795673937957</v>
      </c>
      <c r="I515" s="1070">
        <v>670.32</v>
      </c>
      <c r="J515" s="1070">
        <v>4075.2556154091299</v>
      </c>
      <c r="K515" s="1070"/>
      <c r="L515"/>
      <c r="M515"/>
      <c r="N515"/>
      <c r="O515"/>
      <c r="P515"/>
      <c r="Q515"/>
      <c r="R515"/>
      <c r="S515"/>
      <c r="T515"/>
      <c r="U515"/>
      <c r="V515"/>
      <c r="W515"/>
      <c r="X515"/>
      <c r="Y515"/>
      <c r="Z515"/>
      <c r="AA515"/>
      <c r="AB515"/>
      <c r="AC515"/>
      <c r="AD515"/>
      <c r="AE515"/>
      <c r="AF515"/>
      <c r="AG515"/>
      <c r="AH515"/>
      <c r="AI515"/>
      <c r="AJ515"/>
      <c r="AK515"/>
      <c r="AL515"/>
    </row>
    <row r="516" spans="1:38" ht="15.75" customHeight="1" outlineLevel="3" x14ac:dyDescent="0.2">
      <c r="A516" s="10">
        <v>4</v>
      </c>
      <c r="B516" s="10" t="s">
        <v>71</v>
      </c>
      <c r="C516" s="10" t="s">
        <v>263</v>
      </c>
      <c r="D516" s="10" t="s">
        <v>207</v>
      </c>
      <c r="E516" s="11" t="str">
        <f t="array" ref="E516">_xlfn.XLOOKUP(D516,Insumos!B:B,Insumos!C:$C)</f>
        <v>KG</v>
      </c>
      <c r="F516" s="14">
        <v>1.1000000000000001</v>
      </c>
      <c r="G516" s="92">
        <f t="array" ref="G516">IF(B516="insumo",_xlfn.XLOOKUP($D516,Insumos!$B$1:$B$996,Insumos!$D$1:$D$996),"")</f>
        <v>5.2594749034506343</v>
      </c>
      <c r="H516" s="92">
        <v>5.7854223937956997</v>
      </c>
      <c r="I516" s="13">
        <v>670.32</v>
      </c>
      <c r="J516" s="13">
        <v>3878.08433900913</v>
      </c>
      <c r="K516" s="13"/>
      <c r="L516"/>
      <c r="M516"/>
      <c r="N516"/>
      <c r="O516"/>
      <c r="P516"/>
      <c r="Q516"/>
      <c r="R516"/>
      <c r="S516"/>
      <c r="T516"/>
      <c r="U516"/>
      <c r="V516"/>
      <c r="W516"/>
      <c r="X516"/>
      <c r="Y516"/>
      <c r="Z516"/>
      <c r="AA516"/>
      <c r="AB516"/>
      <c r="AC516"/>
      <c r="AD516"/>
      <c r="AE516"/>
      <c r="AF516"/>
      <c r="AG516"/>
      <c r="AH516"/>
      <c r="AI516"/>
      <c r="AJ516"/>
      <c r="AK516"/>
      <c r="AL516"/>
    </row>
    <row r="517" spans="1:38" ht="15.75" customHeight="1" outlineLevel="3" x14ac:dyDescent="0.2">
      <c r="A517" s="10">
        <v>41</v>
      </c>
      <c r="B517" s="10" t="s">
        <v>71</v>
      </c>
      <c r="C517" s="10" t="s">
        <v>263</v>
      </c>
      <c r="D517" s="10" t="s">
        <v>208</v>
      </c>
      <c r="E517" s="11" t="str">
        <f t="array" ref="E517">_xlfn.XLOOKUP(D517,Insumos!B:B,Insumos!C:$C)</f>
        <v>KG</v>
      </c>
      <c r="F517" s="14">
        <v>2.0500000000000001E-2</v>
      </c>
      <c r="G517" s="92">
        <f t="array" ref="G517">IF(B517="insumo",_xlfn.XLOOKUP($D517,Insumos!$B$1:$B$996,Insumos!$D$1:$D$996),"")</f>
        <v>13.69</v>
      </c>
      <c r="H517" s="92">
        <v>0.28064499999999998</v>
      </c>
      <c r="I517" s="13">
        <v>670.32</v>
      </c>
      <c r="J517" s="13">
        <v>188.12195639999999</v>
      </c>
      <c r="K517" s="13"/>
      <c r="L517"/>
      <c r="M517"/>
      <c r="N517"/>
      <c r="O517"/>
      <c r="P517"/>
      <c r="Q517"/>
      <c r="R517"/>
      <c r="S517"/>
      <c r="T517"/>
      <c r="U517"/>
      <c r="V517"/>
      <c r="W517"/>
      <c r="X517"/>
      <c r="Y517"/>
      <c r="Z517"/>
      <c r="AA517"/>
      <c r="AB517"/>
      <c r="AC517"/>
      <c r="AD517"/>
      <c r="AE517"/>
      <c r="AF517"/>
      <c r="AG517"/>
      <c r="AH517"/>
      <c r="AI517"/>
      <c r="AJ517"/>
      <c r="AK517"/>
      <c r="AL517"/>
    </row>
    <row r="518" spans="1:38" ht="15.75" customHeight="1" outlineLevel="3" x14ac:dyDescent="0.2">
      <c r="A518" s="10">
        <v>62</v>
      </c>
      <c r="B518" s="10" t="s">
        <v>71</v>
      </c>
      <c r="C518" s="10" t="s">
        <v>263</v>
      </c>
      <c r="D518" s="10" t="s">
        <v>209</v>
      </c>
      <c r="E518" s="11" t="str">
        <f t="array" ref="E518">_xlfn.XLOOKUP(D518,Insumos!B:B,Insumos!C:$C)</f>
        <v>UN</v>
      </c>
      <c r="F518" s="14">
        <v>0.05</v>
      </c>
      <c r="G518" s="92">
        <f t="array" ref="G518">IF(B518="insumo",_xlfn.XLOOKUP($D518,Insumos!$B$1:$B$996,Insumos!$D$1:$D$996),"")</f>
        <v>0.27</v>
      </c>
      <c r="H518" s="92">
        <v>1.35E-2</v>
      </c>
      <c r="I518" s="13">
        <v>670.32</v>
      </c>
      <c r="J518" s="13">
        <v>9.0493199999999998</v>
      </c>
      <c r="K518" s="13"/>
      <c r="L518"/>
      <c r="M518"/>
      <c r="N518"/>
      <c r="O518"/>
      <c r="P518"/>
      <c r="Q518"/>
      <c r="R518"/>
      <c r="S518"/>
      <c r="T518"/>
      <c r="U518"/>
      <c r="V518"/>
      <c r="W518"/>
      <c r="X518"/>
      <c r="Y518"/>
      <c r="Z518"/>
      <c r="AA518"/>
      <c r="AB518"/>
      <c r="AC518"/>
      <c r="AD518"/>
      <c r="AE518"/>
      <c r="AF518"/>
      <c r="AG518"/>
      <c r="AH518"/>
      <c r="AI518"/>
      <c r="AJ518"/>
      <c r="AK518"/>
      <c r="AL518"/>
    </row>
    <row r="519" spans="1:38" ht="15.75" customHeight="1" outlineLevel="2" x14ac:dyDescent="0.2">
      <c r="A519" s="1067">
        <v>1</v>
      </c>
      <c r="B519" s="1067" t="s">
        <v>68</v>
      </c>
      <c r="C519" s="1067" t="s">
        <v>264</v>
      </c>
      <c r="D519" s="1067" t="s">
        <v>264</v>
      </c>
      <c r="E519" s="1068" t="s">
        <v>206</v>
      </c>
      <c r="F519" s="1067"/>
      <c r="G519" s="1069" t="str">
        <f t="array" ref="G519">IF(B519="insumo",_xlfn.XLOOKUP($D519,Insumos!$B$1:$B$996,Insumos!$D$1:$D$996),"")</f>
        <v/>
      </c>
      <c r="H519" s="1069">
        <v>5.7114876589046197</v>
      </c>
      <c r="I519" s="1070">
        <v>0</v>
      </c>
      <c r="J519" s="1070">
        <v>0</v>
      </c>
      <c r="K519" s="1070"/>
      <c r="L519"/>
      <c r="M519"/>
      <c r="N519"/>
      <c r="O519"/>
      <c r="P519"/>
      <c r="Q519"/>
      <c r="R519"/>
      <c r="S519"/>
      <c r="T519"/>
      <c r="U519"/>
      <c r="V519"/>
      <c r="W519"/>
      <c r="X519"/>
      <c r="Y519"/>
      <c r="Z519"/>
      <c r="AA519"/>
      <c r="AB519"/>
      <c r="AC519"/>
      <c r="AD519"/>
      <c r="AE519"/>
      <c r="AF519"/>
      <c r="AG519"/>
      <c r="AH519"/>
      <c r="AI519"/>
      <c r="AJ519"/>
      <c r="AK519"/>
      <c r="AL519"/>
    </row>
    <row r="520" spans="1:38" ht="15.75" customHeight="1" outlineLevel="3" x14ac:dyDescent="0.2">
      <c r="A520" s="10">
        <v>5</v>
      </c>
      <c r="B520" s="10" t="s">
        <v>71</v>
      </c>
      <c r="C520" s="10" t="s">
        <v>264</v>
      </c>
      <c r="D520" s="10" t="s">
        <v>211</v>
      </c>
      <c r="E520" s="11" t="str">
        <f t="array" ref="E520">_xlfn.XLOOKUP(D520,Insumos!B:B,Insumos!C:$C)</f>
        <v>KG</v>
      </c>
      <c r="F520" s="14">
        <v>1.1000000000000001</v>
      </c>
      <c r="G520" s="92">
        <f t="array" ref="G520">IF(B520="insumo",_xlfn.XLOOKUP($D520,Insumos!$B$1:$B$996,Insumos!$D$1:$D$996),"")</f>
        <v>4.9248569626405612</v>
      </c>
      <c r="H520" s="92">
        <v>5.4173426589046203</v>
      </c>
      <c r="I520" s="13">
        <v>0</v>
      </c>
      <c r="J520" s="13">
        <v>0</v>
      </c>
      <c r="K520" s="13"/>
      <c r="L520"/>
      <c r="M520"/>
      <c r="N520"/>
      <c r="O520"/>
      <c r="P520"/>
      <c r="Q520"/>
      <c r="R520"/>
      <c r="S520"/>
      <c r="T520"/>
      <c r="U520"/>
      <c r="V520"/>
      <c r="W520"/>
      <c r="X520"/>
      <c r="Y520"/>
      <c r="Z520"/>
      <c r="AA520"/>
      <c r="AB520"/>
      <c r="AC520"/>
      <c r="AD520"/>
      <c r="AE520"/>
      <c r="AF520"/>
      <c r="AG520"/>
      <c r="AH520"/>
      <c r="AI520"/>
      <c r="AJ520"/>
      <c r="AK520"/>
      <c r="AL520"/>
    </row>
    <row r="521" spans="1:38" ht="15.75" customHeight="1" outlineLevel="3" x14ac:dyDescent="0.2">
      <c r="A521" s="10">
        <v>41</v>
      </c>
      <c r="B521" s="10" t="s">
        <v>71</v>
      </c>
      <c r="C521" s="10" t="s">
        <v>264</v>
      </c>
      <c r="D521" s="10" t="s">
        <v>208</v>
      </c>
      <c r="E521" s="11" t="str">
        <f t="array" ref="E521">_xlfn.XLOOKUP(D521,Insumos!B:B,Insumos!C:$C)</f>
        <v>KG</v>
      </c>
      <c r="F521" s="14">
        <v>2.0500000000000001E-2</v>
      </c>
      <c r="G521" s="92">
        <f t="array" ref="G521">IF(B521="insumo",_xlfn.XLOOKUP($D521,Insumos!$B$1:$B$996,Insumos!$D$1:$D$996),"")</f>
        <v>13.69</v>
      </c>
      <c r="H521" s="92">
        <v>0.28064499999999998</v>
      </c>
      <c r="I521" s="13">
        <v>0</v>
      </c>
      <c r="J521" s="13">
        <v>0</v>
      </c>
      <c r="K521" s="13"/>
      <c r="L521"/>
      <c r="M521"/>
      <c r="N521"/>
      <c r="O521"/>
      <c r="P521"/>
      <c r="Q521"/>
      <c r="R521"/>
      <c r="S521"/>
      <c r="T521"/>
      <c r="U521"/>
      <c r="V521"/>
      <c r="W521"/>
      <c r="X521"/>
      <c r="Y521"/>
      <c r="Z521"/>
      <c r="AA521"/>
      <c r="AB521"/>
      <c r="AC521"/>
      <c r="AD521"/>
      <c r="AE521"/>
      <c r="AF521"/>
      <c r="AG521"/>
      <c r="AH521"/>
      <c r="AI521"/>
      <c r="AJ521"/>
      <c r="AK521"/>
      <c r="AL521"/>
    </row>
    <row r="522" spans="1:38" ht="15.75" customHeight="1" outlineLevel="3" x14ac:dyDescent="0.2">
      <c r="A522" s="10">
        <v>62</v>
      </c>
      <c r="B522" s="10" t="s">
        <v>71</v>
      </c>
      <c r="C522" s="10" t="s">
        <v>264</v>
      </c>
      <c r="D522" s="10" t="s">
        <v>209</v>
      </c>
      <c r="E522" s="11" t="str">
        <f t="array" ref="E522">_xlfn.XLOOKUP(D522,Insumos!B:B,Insumos!C:$C)</f>
        <v>UN</v>
      </c>
      <c r="F522" s="14">
        <v>0.05</v>
      </c>
      <c r="G522" s="92">
        <f t="array" ref="G522">IF(B522="insumo",_xlfn.XLOOKUP($D522,Insumos!$B$1:$B$996,Insumos!$D$1:$D$996),"")</f>
        <v>0.27</v>
      </c>
      <c r="H522" s="92">
        <v>1.35E-2</v>
      </c>
      <c r="I522" s="13">
        <v>0</v>
      </c>
      <c r="J522" s="13">
        <v>0</v>
      </c>
      <c r="K522" s="13"/>
      <c r="L522"/>
      <c r="M522"/>
      <c r="N522"/>
      <c r="O522"/>
      <c r="P522"/>
      <c r="Q522"/>
      <c r="R522"/>
      <c r="S522"/>
      <c r="T522"/>
      <c r="U522"/>
      <c r="V522"/>
      <c r="W522"/>
      <c r="X522"/>
      <c r="Y522"/>
      <c r="Z522"/>
      <c r="AA522"/>
      <c r="AB522"/>
      <c r="AC522"/>
      <c r="AD522"/>
      <c r="AE522"/>
      <c r="AF522"/>
      <c r="AG522"/>
      <c r="AH522"/>
      <c r="AI522"/>
      <c r="AJ522"/>
      <c r="AK522"/>
      <c r="AL522"/>
    </row>
    <row r="523" spans="1:38" ht="15.75" customHeight="1" outlineLevel="2" x14ac:dyDescent="0.2">
      <c r="A523" s="1067">
        <v>1</v>
      </c>
      <c r="B523" s="1067" t="s">
        <v>68</v>
      </c>
      <c r="C523" s="1067" t="s">
        <v>265</v>
      </c>
      <c r="D523" s="1067" t="s">
        <v>265</v>
      </c>
      <c r="E523" s="1068" t="s">
        <v>206</v>
      </c>
      <c r="F523" s="1067"/>
      <c r="G523" s="1069" t="str">
        <f t="array" ref="G523">IF(B523="insumo",_xlfn.XLOOKUP($D523,Insumos!$B$1:$B$996,Insumos!$D$1:$D$996),"")</f>
        <v/>
      </c>
      <c r="H523" s="1069">
        <v>5.5748977193202496</v>
      </c>
      <c r="I523" s="1070">
        <v>0</v>
      </c>
      <c r="J523" s="1070">
        <v>0</v>
      </c>
      <c r="K523" s="1070"/>
      <c r="L523"/>
      <c r="M523"/>
      <c r="N523"/>
      <c r="O523"/>
      <c r="P523"/>
      <c r="Q523"/>
      <c r="R523"/>
      <c r="S523"/>
      <c r="T523"/>
      <c r="U523"/>
      <c r="V523"/>
      <c r="W523"/>
      <c r="X523"/>
      <c r="Y523"/>
      <c r="Z523"/>
      <c r="AA523"/>
      <c r="AB523"/>
      <c r="AC523"/>
      <c r="AD523"/>
      <c r="AE523"/>
      <c r="AF523"/>
      <c r="AG523"/>
      <c r="AH523"/>
      <c r="AI523"/>
      <c r="AJ523"/>
      <c r="AK523"/>
      <c r="AL523"/>
    </row>
    <row r="524" spans="1:38" ht="15.75" customHeight="1" outlineLevel="3" x14ac:dyDescent="0.2">
      <c r="A524" s="10">
        <v>4</v>
      </c>
      <c r="B524" s="10" t="s">
        <v>71</v>
      </c>
      <c r="C524" s="10" t="s">
        <v>265</v>
      </c>
      <c r="D524" s="10" t="s">
        <v>213</v>
      </c>
      <c r="E524" s="11" t="str">
        <f t="array" ref="E524">_xlfn.XLOOKUP(D524,Insumos!B:B,Insumos!C:$C)</f>
        <v>KG</v>
      </c>
      <c r="F524" s="14">
        <v>1.1000000000000001</v>
      </c>
      <c r="G524" s="92">
        <f t="array" ref="G524">IF(B524="insumo",_xlfn.XLOOKUP($D524,Insumos!$B$1:$B$996,Insumos!$D$1:$D$996),"")</f>
        <v>4.80068429029114</v>
      </c>
      <c r="H524" s="92">
        <v>5.2807527193202501</v>
      </c>
      <c r="I524" s="13">
        <v>0</v>
      </c>
      <c r="J524" s="13">
        <v>0</v>
      </c>
      <c r="K524" s="13"/>
      <c r="L524"/>
      <c r="M524"/>
      <c r="N524"/>
      <c r="O524"/>
      <c r="P524"/>
      <c r="Q524"/>
      <c r="R524"/>
      <c r="S524"/>
      <c r="T524"/>
      <c r="U524"/>
      <c r="V524"/>
      <c r="W524"/>
      <c r="X524"/>
      <c r="Y524"/>
      <c r="Z524"/>
      <c r="AA524"/>
      <c r="AB524"/>
      <c r="AC524"/>
      <c r="AD524"/>
      <c r="AE524"/>
      <c r="AF524"/>
      <c r="AG524"/>
      <c r="AH524"/>
      <c r="AI524"/>
      <c r="AJ524"/>
      <c r="AK524"/>
      <c r="AL524"/>
    </row>
    <row r="525" spans="1:38" ht="15.75" customHeight="1" outlineLevel="3" x14ac:dyDescent="0.2">
      <c r="A525" s="10">
        <v>41</v>
      </c>
      <c r="B525" s="10" t="s">
        <v>71</v>
      </c>
      <c r="C525" s="10" t="s">
        <v>265</v>
      </c>
      <c r="D525" s="10" t="s">
        <v>208</v>
      </c>
      <c r="E525" s="11" t="str">
        <f t="array" ref="E525">_xlfn.XLOOKUP(D525,Insumos!B:B,Insumos!C:$C)</f>
        <v>KG</v>
      </c>
      <c r="F525" s="14">
        <v>2.0500000000000001E-2</v>
      </c>
      <c r="G525" s="92">
        <f t="array" ref="G525">IF(B525="insumo",_xlfn.XLOOKUP($D525,Insumos!$B$1:$B$996,Insumos!$D$1:$D$996),"")</f>
        <v>13.69</v>
      </c>
      <c r="H525" s="92">
        <v>0.28064499999999998</v>
      </c>
      <c r="I525" s="13">
        <v>0</v>
      </c>
      <c r="J525" s="13">
        <v>0</v>
      </c>
      <c r="K525" s="13"/>
      <c r="L525"/>
      <c r="M525"/>
      <c r="N525"/>
      <c r="O525"/>
      <c r="P525"/>
      <c r="Q525"/>
      <c r="R525"/>
      <c r="S525"/>
      <c r="T525"/>
      <c r="U525"/>
      <c r="V525"/>
      <c r="W525"/>
      <c r="X525"/>
      <c r="Y525"/>
      <c r="Z525"/>
      <c r="AA525"/>
      <c r="AB525"/>
      <c r="AC525"/>
      <c r="AD525"/>
      <c r="AE525"/>
      <c r="AF525"/>
      <c r="AG525"/>
      <c r="AH525"/>
      <c r="AI525"/>
      <c r="AJ525"/>
      <c r="AK525"/>
      <c r="AL525"/>
    </row>
    <row r="526" spans="1:38" ht="15.75" customHeight="1" outlineLevel="3" x14ac:dyDescent="0.2">
      <c r="A526" s="10">
        <v>62</v>
      </c>
      <c r="B526" s="10" t="s">
        <v>71</v>
      </c>
      <c r="C526" s="10" t="s">
        <v>265</v>
      </c>
      <c r="D526" s="10" t="s">
        <v>209</v>
      </c>
      <c r="E526" s="11" t="str">
        <f t="array" ref="E526">_xlfn.XLOOKUP(D526,Insumos!B:B,Insumos!C:$C)</f>
        <v>UN</v>
      </c>
      <c r="F526" s="14">
        <v>0.05</v>
      </c>
      <c r="G526" s="92">
        <f t="array" ref="G526">IF(B526="insumo",_xlfn.XLOOKUP($D526,Insumos!$B$1:$B$996,Insumos!$D$1:$D$996),"")</f>
        <v>0.27</v>
      </c>
      <c r="H526" s="92">
        <v>1.35E-2</v>
      </c>
      <c r="I526" s="13">
        <v>0</v>
      </c>
      <c r="J526" s="13">
        <v>0</v>
      </c>
      <c r="K526" s="13"/>
      <c r="L526"/>
      <c r="M526"/>
      <c r="N526"/>
      <c r="O526"/>
      <c r="P526"/>
      <c r="Q526"/>
      <c r="R526"/>
      <c r="S526"/>
      <c r="T526"/>
      <c r="U526"/>
      <c r="V526"/>
      <c r="W526"/>
      <c r="X526"/>
      <c r="Y526"/>
      <c r="Z526"/>
      <c r="AA526"/>
      <c r="AB526"/>
      <c r="AC526"/>
      <c r="AD526"/>
      <c r="AE526"/>
      <c r="AF526"/>
      <c r="AG526"/>
      <c r="AH526"/>
      <c r="AI526"/>
      <c r="AJ526"/>
      <c r="AK526"/>
      <c r="AL526"/>
    </row>
    <row r="527" spans="1:38" ht="15.75" customHeight="1" outlineLevel="2" x14ac:dyDescent="0.2">
      <c r="A527" s="1067">
        <v>1</v>
      </c>
      <c r="B527" s="1067" t="s">
        <v>68</v>
      </c>
      <c r="C527" s="1067" t="s">
        <v>266</v>
      </c>
      <c r="D527" s="1067" t="s">
        <v>266</v>
      </c>
      <c r="E527" s="1068" t="s">
        <v>206</v>
      </c>
      <c r="F527" s="1067"/>
      <c r="G527" s="1069" t="str">
        <f t="array" ref="G527">IF(B527="insumo",_xlfn.XLOOKUP($D527,Insumos!$B$1:$B$996,Insumos!$D$1:$D$996),"")</f>
        <v/>
      </c>
      <c r="H527" s="1069">
        <v>5.8525390844687299</v>
      </c>
      <c r="I527" s="1070">
        <v>41.601599999999998</v>
      </c>
      <c r="J527" s="1070">
        <v>243.47498997643399</v>
      </c>
      <c r="K527" s="1070"/>
      <c r="L527"/>
      <c r="M527"/>
      <c r="N527"/>
      <c r="O527"/>
      <c r="P527"/>
      <c r="Q527"/>
      <c r="R527"/>
      <c r="S527"/>
      <c r="T527"/>
      <c r="U527"/>
      <c r="V527"/>
      <c r="W527"/>
      <c r="X527"/>
      <c r="Y527"/>
      <c r="Z527"/>
      <c r="AA527"/>
      <c r="AB527"/>
      <c r="AC527"/>
      <c r="AD527"/>
      <c r="AE527"/>
      <c r="AF527"/>
      <c r="AG527"/>
      <c r="AH527"/>
      <c r="AI527"/>
      <c r="AJ527"/>
      <c r="AK527"/>
      <c r="AL527"/>
    </row>
    <row r="528" spans="1:38" ht="15.75" customHeight="1" outlineLevel="3" x14ac:dyDescent="0.2">
      <c r="A528" s="10">
        <v>3</v>
      </c>
      <c r="B528" s="10" t="s">
        <v>71</v>
      </c>
      <c r="C528" s="10" t="s">
        <v>266</v>
      </c>
      <c r="D528" s="10" t="s">
        <v>240</v>
      </c>
      <c r="E528" s="11" t="str">
        <f t="array" ref="E528">_xlfn.XLOOKUP(D528,Insumos!B:B,Insumos!C:$C)</f>
        <v>KG</v>
      </c>
      <c r="F528" s="14">
        <v>1.1000000000000001</v>
      </c>
      <c r="G528" s="92">
        <f t="array" ref="G528">IF(B528="insumo",_xlfn.XLOOKUP($D528,Insumos!$B$1:$B$996,Insumos!$D$1:$D$996),"")</f>
        <v>5.0530855313352099</v>
      </c>
      <c r="H528" s="92">
        <v>5.5583940844687296</v>
      </c>
      <c r="I528" s="13">
        <v>41.601599999999998</v>
      </c>
      <c r="J528" s="13">
        <v>231.23808734443401</v>
      </c>
      <c r="K528" s="13"/>
      <c r="L528"/>
      <c r="M528"/>
      <c r="N528"/>
      <c r="O528"/>
      <c r="P528"/>
      <c r="Q528"/>
      <c r="R528"/>
      <c r="S528"/>
      <c r="T528"/>
      <c r="U528"/>
      <c r="V528"/>
      <c r="W528"/>
      <c r="X528"/>
      <c r="Y528"/>
      <c r="Z528"/>
      <c r="AA528"/>
      <c r="AB528"/>
      <c r="AC528"/>
      <c r="AD528"/>
      <c r="AE528"/>
      <c r="AF528"/>
      <c r="AG528"/>
      <c r="AH528"/>
      <c r="AI528"/>
      <c r="AJ528"/>
      <c r="AK528"/>
      <c r="AL528"/>
    </row>
    <row r="529" spans="1:38" ht="15.75" customHeight="1" outlineLevel="3" x14ac:dyDescent="0.2">
      <c r="A529" s="10">
        <v>41</v>
      </c>
      <c r="B529" s="10" t="s">
        <v>71</v>
      </c>
      <c r="C529" s="10" t="s">
        <v>266</v>
      </c>
      <c r="D529" s="10" t="s">
        <v>208</v>
      </c>
      <c r="E529" s="11" t="str">
        <f t="array" ref="E529">_xlfn.XLOOKUP(D529,Insumos!B:B,Insumos!C:$C)</f>
        <v>KG</v>
      </c>
      <c r="F529" s="14">
        <v>2.0500000000000001E-2</v>
      </c>
      <c r="G529" s="92">
        <f t="array" ref="G529">IF(B529="insumo",_xlfn.XLOOKUP($D529,Insumos!$B$1:$B$996,Insumos!$D$1:$D$996),"")</f>
        <v>13.69</v>
      </c>
      <c r="H529" s="92">
        <v>0.28064499999999998</v>
      </c>
      <c r="I529" s="13">
        <v>41.601599999999998</v>
      </c>
      <c r="J529" s="13">
        <v>11.675281031999999</v>
      </c>
      <c r="K529" s="13"/>
      <c r="L529"/>
      <c r="M529"/>
      <c r="N529"/>
      <c r="O529"/>
      <c r="P529"/>
      <c r="Q529"/>
      <c r="R529"/>
      <c r="S529"/>
      <c r="T529"/>
      <c r="U529"/>
      <c r="V529"/>
      <c r="W529"/>
      <c r="X529"/>
      <c r="Y529"/>
      <c r="Z529"/>
      <c r="AA529"/>
      <c r="AB529"/>
      <c r="AC529"/>
      <c r="AD529"/>
      <c r="AE529"/>
      <c r="AF529"/>
      <c r="AG529"/>
      <c r="AH529"/>
      <c r="AI529"/>
      <c r="AJ529"/>
      <c r="AK529"/>
      <c r="AL529"/>
    </row>
    <row r="530" spans="1:38" ht="15.75" customHeight="1" outlineLevel="3" x14ac:dyDescent="0.2">
      <c r="A530" s="10">
        <v>62</v>
      </c>
      <c r="B530" s="10" t="s">
        <v>71</v>
      </c>
      <c r="C530" s="10" t="s">
        <v>266</v>
      </c>
      <c r="D530" s="10" t="s">
        <v>209</v>
      </c>
      <c r="E530" s="11" t="str">
        <f t="array" ref="E530">_xlfn.XLOOKUP(D530,Insumos!B:B,Insumos!C:$C)</f>
        <v>UN</v>
      </c>
      <c r="F530" s="14">
        <v>0.05</v>
      </c>
      <c r="G530" s="92">
        <f t="array" ref="G530">IF(B530="insumo",_xlfn.XLOOKUP($D530,Insumos!$B$1:$B$996,Insumos!$D$1:$D$996),"")</f>
        <v>0.27</v>
      </c>
      <c r="H530" s="92">
        <v>1.35E-2</v>
      </c>
      <c r="I530" s="13">
        <v>41.601599999999998</v>
      </c>
      <c r="J530" s="13">
        <v>0.56162160000000005</v>
      </c>
      <c r="K530" s="13"/>
      <c r="L530"/>
      <c r="M530"/>
      <c r="N530"/>
      <c r="O530"/>
      <c r="P530"/>
      <c r="Q530"/>
      <c r="R530"/>
      <c r="S530"/>
      <c r="T530"/>
      <c r="U530"/>
      <c r="V530"/>
      <c r="W530"/>
      <c r="X530"/>
      <c r="Y530"/>
      <c r="Z530"/>
      <c r="AA530"/>
      <c r="AB530"/>
      <c r="AC530"/>
      <c r="AD530"/>
      <c r="AE530"/>
      <c r="AF530"/>
      <c r="AG530"/>
      <c r="AH530"/>
      <c r="AI530"/>
      <c r="AJ530"/>
      <c r="AK530"/>
      <c r="AL530"/>
    </row>
    <row r="531" spans="1:38" ht="15.75" customHeight="1" outlineLevel="2" x14ac:dyDescent="0.2">
      <c r="A531" s="1067">
        <v>1</v>
      </c>
      <c r="B531" s="1067" t="s">
        <v>68</v>
      </c>
      <c r="C531" s="1067" t="s">
        <v>267</v>
      </c>
      <c r="D531" s="1067" t="s">
        <v>267</v>
      </c>
      <c r="E531" s="1068" t="s">
        <v>206</v>
      </c>
      <c r="F531" s="1067"/>
      <c r="G531" s="1069" t="str">
        <f t="array" ref="G531">IF(B531="insumo",_xlfn.XLOOKUP($D531,Insumos!$B$1:$B$996,Insumos!$D$1:$D$996),"")</f>
        <v/>
      </c>
      <c r="H531" s="1069">
        <v>5.7287614493981804</v>
      </c>
      <c r="I531" s="1070">
        <v>0</v>
      </c>
      <c r="J531" s="1070">
        <v>0</v>
      </c>
      <c r="K531" s="1070"/>
      <c r="L531"/>
      <c r="M531"/>
      <c r="N531"/>
      <c r="O531"/>
      <c r="P531"/>
      <c r="Q531"/>
      <c r="R531"/>
      <c r="S531"/>
      <c r="T531"/>
      <c r="U531"/>
      <c r="V531"/>
      <c r="W531"/>
      <c r="X531"/>
      <c r="Y531"/>
      <c r="Z531"/>
      <c r="AA531"/>
      <c r="AB531"/>
      <c r="AC531"/>
      <c r="AD531"/>
      <c r="AE531"/>
      <c r="AF531"/>
      <c r="AG531"/>
      <c r="AH531"/>
      <c r="AI531"/>
      <c r="AJ531"/>
      <c r="AK531"/>
      <c r="AL531"/>
    </row>
    <row r="532" spans="1:38" ht="15.75" customHeight="1" outlineLevel="3" x14ac:dyDescent="0.2">
      <c r="A532" s="10">
        <v>4</v>
      </c>
      <c r="B532" s="10" t="s">
        <v>71</v>
      </c>
      <c r="C532" s="10" t="s">
        <v>267</v>
      </c>
      <c r="D532" s="10" t="s">
        <v>215</v>
      </c>
      <c r="E532" s="11" t="str">
        <f t="array" ref="E532">_xlfn.XLOOKUP(D532,Insumos!B:B,Insumos!C:$C)</f>
        <v>KG</v>
      </c>
      <c r="F532" s="14">
        <v>1.1000000000000001</v>
      </c>
      <c r="G532" s="92">
        <f t="array" ref="G532">IF(B532="insumo",_xlfn.XLOOKUP($D532,Insumos!$B$1:$B$996,Insumos!$D$1:$D$996),"")</f>
        <v>4.9405604085438029</v>
      </c>
      <c r="H532" s="92">
        <v>5.4346164493981801</v>
      </c>
      <c r="I532" s="13">
        <v>0</v>
      </c>
      <c r="J532" s="13">
        <v>0</v>
      </c>
      <c r="K532" s="13"/>
      <c r="L532"/>
      <c r="M532"/>
      <c r="N532"/>
      <c r="O532"/>
      <c r="P532"/>
      <c r="Q532"/>
      <c r="R532"/>
      <c r="S532"/>
      <c r="T532"/>
      <c r="U532"/>
      <c r="V532"/>
      <c r="W532"/>
      <c r="X532"/>
      <c r="Y532"/>
      <c r="Z532"/>
      <c r="AA532"/>
      <c r="AB532"/>
      <c r="AC532"/>
      <c r="AD532"/>
      <c r="AE532"/>
      <c r="AF532"/>
      <c r="AG532"/>
      <c r="AH532"/>
      <c r="AI532"/>
      <c r="AJ532"/>
      <c r="AK532"/>
      <c r="AL532"/>
    </row>
    <row r="533" spans="1:38" ht="15.75" customHeight="1" outlineLevel="3" x14ac:dyDescent="0.2">
      <c r="A533" s="10">
        <v>41</v>
      </c>
      <c r="B533" s="10" t="s">
        <v>71</v>
      </c>
      <c r="C533" s="10" t="s">
        <v>267</v>
      </c>
      <c r="D533" s="10" t="s">
        <v>208</v>
      </c>
      <c r="E533" s="11" t="str">
        <f t="array" ref="E533">_xlfn.XLOOKUP(D533,Insumos!B:B,Insumos!C:$C)</f>
        <v>KG</v>
      </c>
      <c r="F533" s="14">
        <v>2.0500000000000001E-2</v>
      </c>
      <c r="G533" s="92">
        <f t="array" ref="G533">IF(B533="insumo",_xlfn.XLOOKUP($D533,Insumos!$B$1:$B$996,Insumos!$D$1:$D$996),"")</f>
        <v>13.69</v>
      </c>
      <c r="H533" s="92">
        <v>0.28064499999999998</v>
      </c>
      <c r="I533" s="13">
        <v>0</v>
      </c>
      <c r="J533" s="13">
        <v>0</v>
      </c>
      <c r="K533" s="13"/>
      <c r="L533"/>
      <c r="M533"/>
      <c r="N533"/>
      <c r="O533"/>
      <c r="P533"/>
      <c r="Q533"/>
      <c r="R533"/>
      <c r="S533"/>
      <c r="T533"/>
      <c r="U533"/>
      <c r="V533"/>
      <c r="W533"/>
      <c r="X533"/>
      <c r="Y533"/>
      <c r="Z533"/>
      <c r="AA533"/>
      <c r="AB533"/>
      <c r="AC533"/>
      <c r="AD533"/>
      <c r="AE533"/>
      <c r="AF533"/>
      <c r="AG533"/>
      <c r="AH533"/>
      <c r="AI533"/>
      <c r="AJ533"/>
      <c r="AK533"/>
      <c r="AL533"/>
    </row>
    <row r="534" spans="1:38" ht="15.75" customHeight="1" outlineLevel="3" x14ac:dyDescent="0.2">
      <c r="A534" s="10">
        <v>62</v>
      </c>
      <c r="B534" s="10" t="s">
        <v>71</v>
      </c>
      <c r="C534" s="10" t="s">
        <v>267</v>
      </c>
      <c r="D534" s="10" t="s">
        <v>209</v>
      </c>
      <c r="E534" s="11" t="str">
        <f t="array" ref="E534">_xlfn.XLOOKUP(D534,Insumos!B:B,Insumos!C:$C)</f>
        <v>UN</v>
      </c>
      <c r="F534" s="14">
        <v>0.05</v>
      </c>
      <c r="G534" s="92">
        <f t="array" ref="G534">IF(B534="insumo",_xlfn.XLOOKUP($D534,Insumos!$B$1:$B$996,Insumos!$D$1:$D$996),"")</f>
        <v>0.27</v>
      </c>
      <c r="H534" s="92">
        <v>1.35E-2</v>
      </c>
      <c r="I534" s="13">
        <v>0</v>
      </c>
      <c r="J534" s="13">
        <v>0</v>
      </c>
      <c r="K534" s="13"/>
      <c r="L534"/>
      <c r="M534"/>
      <c r="N534"/>
      <c r="O534"/>
      <c r="P534"/>
      <c r="Q534"/>
      <c r="R534"/>
      <c r="S534"/>
      <c r="T534"/>
      <c r="U534"/>
      <c r="V534"/>
      <c r="W534"/>
      <c r="X534"/>
      <c r="Y534"/>
      <c r="Z534"/>
      <c r="AA534"/>
      <c r="AB534"/>
      <c r="AC534"/>
      <c r="AD534"/>
      <c r="AE534"/>
      <c r="AF534"/>
      <c r="AG534"/>
      <c r="AH534"/>
      <c r="AI534"/>
      <c r="AJ534"/>
      <c r="AK534"/>
      <c r="AL534"/>
    </row>
    <row r="535" spans="1:38" ht="15.75" customHeight="1" outlineLevel="2" x14ac:dyDescent="0.2">
      <c r="A535" s="1067">
        <v>1</v>
      </c>
      <c r="B535" s="1067" t="s">
        <v>68</v>
      </c>
      <c r="C535" s="1067" t="s">
        <v>268</v>
      </c>
      <c r="D535" s="1067" t="s">
        <v>268</v>
      </c>
      <c r="E535" s="1068" t="s">
        <v>206</v>
      </c>
      <c r="F535" s="1067"/>
      <c r="G535" s="1069" t="str">
        <f t="array" ref="G535">IF(B535="insumo",_xlfn.XLOOKUP($D535,Insumos!$B$1:$B$996,Insumos!$D$1:$D$996),"")</f>
        <v/>
      </c>
      <c r="H535" s="1069">
        <v>5.8320238742016697</v>
      </c>
      <c r="I535" s="1070">
        <v>0</v>
      </c>
      <c r="J535" s="1070">
        <v>0</v>
      </c>
      <c r="K535" s="1070"/>
      <c r="L535"/>
      <c r="M535"/>
      <c r="N535"/>
      <c r="O535"/>
      <c r="P535"/>
      <c r="Q535"/>
      <c r="R535"/>
      <c r="S535"/>
      <c r="T535"/>
      <c r="U535"/>
      <c r="V535"/>
      <c r="W535"/>
      <c r="X535"/>
      <c r="Y535"/>
      <c r="Z535"/>
      <c r="AA535"/>
      <c r="AB535"/>
      <c r="AC535"/>
      <c r="AD535"/>
      <c r="AE535"/>
      <c r="AF535"/>
      <c r="AG535"/>
      <c r="AH535"/>
      <c r="AI535"/>
      <c r="AJ535"/>
      <c r="AK535"/>
      <c r="AL535"/>
    </row>
    <row r="536" spans="1:38" ht="15.75" customHeight="1" outlineLevel="3" x14ac:dyDescent="0.2">
      <c r="A536" s="10">
        <v>4</v>
      </c>
      <c r="B536" s="10" t="s">
        <v>71</v>
      </c>
      <c r="C536" s="10" t="s">
        <v>268</v>
      </c>
      <c r="D536" s="10" t="s">
        <v>217</v>
      </c>
      <c r="E536" s="11" t="str">
        <f t="array" ref="E536">_xlfn.XLOOKUP(D536,Insumos!B:B,Insumos!C:$C)</f>
        <v>KG</v>
      </c>
      <c r="F536" s="14">
        <v>1.1000000000000001</v>
      </c>
      <c r="G536" s="92">
        <f t="array" ref="G536">IF(B536="insumo",_xlfn.XLOOKUP($D536,Insumos!$B$1:$B$996,Insumos!$D$1:$D$996),"")</f>
        <v>5.0344353401833359</v>
      </c>
      <c r="H536" s="92">
        <v>5.5378788742016702</v>
      </c>
      <c r="I536" s="13">
        <v>0</v>
      </c>
      <c r="J536" s="13">
        <v>0</v>
      </c>
      <c r="K536" s="13"/>
      <c r="L536"/>
      <c r="M536"/>
      <c r="N536"/>
      <c r="O536"/>
      <c r="P536"/>
      <c r="Q536"/>
      <c r="R536"/>
      <c r="S536"/>
      <c r="T536"/>
      <c r="U536"/>
      <c r="V536"/>
      <c r="W536"/>
      <c r="X536"/>
      <c r="Y536"/>
      <c r="Z536"/>
      <c r="AA536"/>
      <c r="AB536"/>
      <c r="AC536"/>
      <c r="AD536"/>
      <c r="AE536"/>
      <c r="AF536"/>
      <c r="AG536"/>
      <c r="AH536"/>
      <c r="AI536"/>
      <c r="AJ536"/>
      <c r="AK536"/>
      <c r="AL536"/>
    </row>
    <row r="537" spans="1:38" ht="15.75" customHeight="1" outlineLevel="3" x14ac:dyDescent="0.2">
      <c r="A537" s="10">
        <v>41</v>
      </c>
      <c r="B537" s="10" t="s">
        <v>71</v>
      </c>
      <c r="C537" s="10" t="s">
        <v>268</v>
      </c>
      <c r="D537" s="10" t="s">
        <v>208</v>
      </c>
      <c r="E537" s="11" t="str">
        <f t="array" ref="E537">_xlfn.XLOOKUP(D537,Insumos!B:B,Insumos!C:$C)</f>
        <v>KG</v>
      </c>
      <c r="F537" s="14">
        <v>2.0500000000000001E-2</v>
      </c>
      <c r="G537" s="92">
        <f t="array" ref="G537">IF(B537="insumo",_xlfn.XLOOKUP($D537,Insumos!$B$1:$B$996,Insumos!$D$1:$D$996),"")</f>
        <v>13.69</v>
      </c>
      <c r="H537" s="92">
        <v>0.28064499999999998</v>
      </c>
      <c r="I537" s="13">
        <v>0</v>
      </c>
      <c r="J537" s="13">
        <v>0</v>
      </c>
      <c r="K537" s="13"/>
      <c r="L537"/>
      <c r="M537"/>
      <c r="N537"/>
      <c r="O537"/>
      <c r="P537"/>
      <c r="Q537"/>
      <c r="R537"/>
      <c r="S537"/>
      <c r="T537"/>
      <c r="U537"/>
      <c r="V537"/>
      <c r="W537"/>
      <c r="X537"/>
      <c r="Y537"/>
      <c r="Z537"/>
      <c r="AA537"/>
      <c r="AB537"/>
      <c r="AC537"/>
      <c r="AD537"/>
      <c r="AE537"/>
      <c r="AF537"/>
      <c r="AG537"/>
      <c r="AH537"/>
      <c r="AI537"/>
      <c r="AJ537"/>
      <c r="AK537"/>
      <c r="AL537"/>
    </row>
    <row r="538" spans="1:38" ht="15.75" customHeight="1" outlineLevel="3" x14ac:dyDescent="0.2">
      <c r="A538" s="10">
        <v>62</v>
      </c>
      <c r="B538" s="10" t="s">
        <v>71</v>
      </c>
      <c r="C538" s="10" t="s">
        <v>268</v>
      </c>
      <c r="D538" s="10" t="s">
        <v>209</v>
      </c>
      <c r="E538" s="11" t="str">
        <f t="array" ref="E538">_xlfn.XLOOKUP(D538,Insumos!B:B,Insumos!C:$C)</f>
        <v>UN</v>
      </c>
      <c r="F538" s="14">
        <v>0.05</v>
      </c>
      <c r="G538" s="92">
        <f t="array" ref="G538">IF(B538="insumo",_xlfn.XLOOKUP($D538,Insumos!$B$1:$B$996,Insumos!$D$1:$D$996),"")</f>
        <v>0.27</v>
      </c>
      <c r="H538" s="92">
        <v>1.35E-2</v>
      </c>
      <c r="I538" s="13">
        <v>0</v>
      </c>
      <c r="J538" s="13">
        <v>0</v>
      </c>
      <c r="K538" s="13"/>
      <c r="L538"/>
      <c r="M538"/>
      <c r="N538"/>
      <c r="O538"/>
      <c r="P538"/>
      <c r="Q538"/>
      <c r="R538"/>
      <c r="S538"/>
      <c r="T538"/>
      <c r="U538"/>
      <c r="V538"/>
      <c r="W538"/>
      <c r="X538"/>
      <c r="Y538"/>
      <c r="Z538"/>
      <c r="AA538"/>
      <c r="AB538"/>
      <c r="AC538"/>
      <c r="AD538"/>
      <c r="AE538"/>
      <c r="AF538"/>
      <c r="AG538"/>
      <c r="AH538"/>
      <c r="AI538"/>
      <c r="AJ538"/>
      <c r="AK538"/>
      <c r="AL538"/>
    </row>
    <row r="539" spans="1:38" ht="15.75" customHeight="1" outlineLevel="2" x14ac:dyDescent="0.2">
      <c r="A539" s="1067">
        <v>1</v>
      </c>
      <c r="B539" s="1067" t="s">
        <v>68</v>
      </c>
      <c r="C539" s="1067" t="s">
        <v>269</v>
      </c>
      <c r="D539" s="1067" t="s">
        <v>269</v>
      </c>
      <c r="E539" s="1068" t="s">
        <v>206</v>
      </c>
      <c r="F539" s="1067"/>
      <c r="G539" s="1069" t="str">
        <f t="array" ref="G539">IF(B539="insumo",_xlfn.XLOOKUP($D539,Insumos!$B$1:$B$996,Insumos!$D$1:$D$996),"")</f>
        <v/>
      </c>
      <c r="H539" s="1069">
        <v>5.9710978475884398</v>
      </c>
      <c r="I539" s="1070">
        <v>0</v>
      </c>
      <c r="J539" s="1070">
        <v>0</v>
      </c>
      <c r="K539" s="1070"/>
      <c r="L539"/>
      <c r="M539"/>
      <c r="N539"/>
      <c r="O539"/>
      <c r="P539"/>
      <c r="Q539"/>
      <c r="R539"/>
      <c r="S539"/>
      <c r="T539"/>
      <c r="U539"/>
      <c r="V539"/>
      <c r="W539"/>
      <c r="X539"/>
      <c r="Y539"/>
      <c r="Z539"/>
      <c r="AA539"/>
      <c r="AB539"/>
      <c r="AC539"/>
      <c r="AD539"/>
      <c r="AE539"/>
      <c r="AF539"/>
      <c r="AG539"/>
      <c r="AH539"/>
      <c r="AI539"/>
      <c r="AJ539"/>
      <c r="AK539"/>
      <c r="AL539"/>
    </row>
    <row r="540" spans="1:38" ht="15.75" customHeight="1" outlineLevel="3" x14ac:dyDescent="0.2">
      <c r="A540" s="10">
        <v>3</v>
      </c>
      <c r="B540" s="10" t="s">
        <v>71</v>
      </c>
      <c r="C540" s="10" t="s">
        <v>269</v>
      </c>
      <c r="D540" s="10" t="s">
        <v>244</v>
      </c>
      <c r="E540" s="11" t="str">
        <f t="array" ref="E540">_xlfn.XLOOKUP(D540,Insumos!B:B,Insumos!C:$C)</f>
        <v>KG</v>
      </c>
      <c r="F540" s="14">
        <v>1.1000000000000001</v>
      </c>
      <c r="G540" s="92">
        <f t="array" ref="G540">IF(B540="insumo",_xlfn.XLOOKUP($D540,Insumos!$B$1:$B$996,Insumos!$D$1:$D$996),"")</f>
        <v>5.1608662250804</v>
      </c>
      <c r="H540" s="92">
        <v>5.6769528475884403</v>
      </c>
      <c r="I540" s="13">
        <v>0</v>
      </c>
      <c r="J540" s="13">
        <v>0</v>
      </c>
      <c r="K540" s="13"/>
      <c r="L540"/>
      <c r="M540"/>
      <c r="N540"/>
      <c r="O540"/>
      <c r="P540"/>
      <c r="Q540"/>
      <c r="R540"/>
      <c r="S540"/>
      <c r="T540"/>
      <c r="U540"/>
      <c r="V540"/>
      <c r="W540"/>
      <c r="X540"/>
      <c r="Y540"/>
      <c r="Z540"/>
      <c r="AA540"/>
      <c r="AB540"/>
      <c r="AC540"/>
      <c r="AD540"/>
      <c r="AE540"/>
      <c r="AF540"/>
      <c r="AG540"/>
      <c r="AH540"/>
      <c r="AI540"/>
      <c r="AJ540"/>
      <c r="AK540"/>
      <c r="AL540"/>
    </row>
    <row r="541" spans="1:38" ht="15.75" customHeight="1" outlineLevel="3" x14ac:dyDescent="0.2">
      <c r="A541" s="10">
        <v>41</v>
      </c>
      <c r="B541" s="10" t="s">
        <v>71</v>
      </c>
      <c r="C541" s="10" t="s">
        <v>269</v>
      </c>
      <c r="D541" s="10" t="s">
        <v>208</v>
      </c>
      <c r="E541" s="11" t="str">
        <f t="array" ref="E541">_xlfn.XLOOKUP(D541,Insumos!B:B,Insumos!C:$C)</f>
        <v>KG</v>
      </c>
      <c r="F541" s="14">
        <v>2.0500000000000001E-2</v>
      </c>
      <c r="G541" s="92">
        <f t="array" ref="G541">IF(B541="insumo",_xlfn.XLOOKUP($D541,Insumos!$B$1:$B$996,Insumos!$D$1:$D$996),"")</f>
        <v>13.69</v>
      </c>
      <c r="H541" s="92">
        <v>0.28064499999999998</v>
      </c>
      <c r="I541" s="13">
        <v>0</v>
      </c>
      <c r="J541" s="13">
        <v>0</v>
      </c>
      <c r="K541" s="13"/>
      <c r="L541"/>
      <c r="M541"/>
      <c r="N541"/>
      <c r="O541"/>
      <c r="P541"/>
      <c r="Q541"/>
      <c r="R541"/>
      <c r="S541"/>
      <c r="T541"/>
      <c r="U541"/>
      <c r="V541"/>
      <c r="W541"/>
      <c r="X541"/>
      <c r="Y541"/>
      <c r="Z541"/>
      <c r="AA541"/>
      <c r="AB541"/>
      <c r="AC541"/>
      <c r="AD541"/>
      <c r="AE541"/>
      <c r="AF541"/>
      <c r="AG541"/>
      <c r="AH541"/>
      <c r="AI541"/>
      <c r="AJ541"/>
      <c r="AK541"/>
      <c r="AL541"/>
    </row>
    <row r="542" spans="1:38" ht="15.75" customHeight="1" outlineLevel="3" x14ac:dyDescent="0.2">
      <c r="A542" s="10">
        <v>62</v>
      </c>
      <c r="B542" s="10" t="s">
        <v>71</v>
      </c>
      <c r="C542" s="10" t="s">
        <v>269</v>
      </c>
      <c r="D542" s="10" t="s">
        <v>209</v>
      </c>
      <c r="E542" s="11" t="str">
        <f t="array" ref="E542">_xlfn.XLOOKUP(D542,Insumos!B:B,Insumos!C:$C)</f>
        <v>UN</v>
      </c>
      <c r="F542" s="14">
        <v>0.05</v>
      </c>
      <c r="G542" s="92">
        <f t="array" ref="G542">IF(B542="insumo",_xlfn.XLOOKUP($D542,Insumos!$B$1:$B$996,Insumos!$D$1:$D$996),"")</f>
        <v>0.27</v>
      </c>
      <c r="H542" s="92">
        <v>1.35E-2</v>
      </c>
      <c r="I542" s="13">
        <v>0</v>
      </c>
      <c r="J542" s="13">
        <v>0</v>
      </c>
      <c r="K542" s="13"/>
      <c r="L542"/>
      <c r="M542"/>
      <c r="N542"/>
      <c r="O542"/>
      <c r="P542"/>
      <c r="Q542"/>
      <c r="R542"/>
      <c r="S542"/>
      <c r="T542"/>
      <c r="U542"/>
      <c r="V542"/>
      <c r="W542"/>
      <c r="X542"/>
      <c r="Y542"/>
      <c r="Z542"/>
      <c r="AA542"/>
      <c r="AB542"/>
      <c r="AC542"/>
      <c r="AD542"/>
      <c r="AE542"/>
      <c r="AF542"/>
      <c r="AG542"/>
      <c r="AH542"/>
      <c r="AI542"/>
      <c r="AJ542"/>
      <c r="AK542"/>
      <c r="AL542"/>
    </row>
    <row r="543" spans="1:38" ht="15.75" customHeight="1" outlineLevel="2" x14ac:dyDescent="0.2">
      <c r="A543" s="1067">
        <v>1</v>
      </c>
      <c r="B543" s="1067" t="s">
        <v>68</v>
      </c>
      <c r="C543" s="1067" t="s">
        <v>270</v>
      </c>
      <c r="D543" s="1067" t="s">
        <v>270</v>
      </c>
      <c r="E543" s="1068" t="s">
        <v>206</v>
      </c>
      <c r="F543" s="1067"/>
      <c r="G543" s="1069" t="str">
        <f t="array" ref="G543">IF(B543="insumo",_xlfn.XLOOKUP($D543,Insumos!$B$1:$B$996,Insumos!$D$1:$D$996),"")</f>
        <v/>
      </c>
      <c r="H543" s="1069">
        <v>7.0532266249184001</v>
      </c>
      <c r="I543" s="1070">
        <v>0</v>
      </c>
      <c r="J543" s="1070">
        <v>0</v>
      </c>
      <c r="K543" s="1070"/>
      <c r="L543"/>
      <c r="M543"/>
      <c r="N543"/>
      <c r="O543"/>
      <c r="P543"/>
      <c r="Q543"/>
      <c r="R543"/>
      <c r="S543"/>
      <c r="T543"/>
      <c r="U543"/>
      <c r="V543"/>
      <c r="W543"/>
      <c r="X543"/>
      <c r="Y543"/>
      <c r="Z543"/>
      <c r="AA543"/>
      <c r="AB543"/>
      <c r="AC543"/>
      <c r="AD543"/>
      <c r="AE543"/>
      <c r="AF543"/>
      <c r="AG543"/>
      <c r="AH543"/>
      <c r="AI543"/>
      <c r="AJ543"/>
      <c r="AK543"/>
      <c r="AL543"/>
    </row>
    <row r="544" spans="1:38" ht="15.75" customHeight="1" outlineLevel="3" x14ac:dyDescent="0.2">
      <c r="A544" s="10">
        <v>5</v>
      </c>
      <c r="B544" s="10" t="s">
        <v>71</v>
      </c>
      <c r="C544" s="10" t="s">
        <v>270</v>
      </c>
      <c r="D544" s="10" t="s">
        <v>219</v>
      </c>
      <c r="E544" s="11" t="str">
        <f t="array" ref="E544">_xlfn.XLOOKUP(D544,Insumos!B:B,Insumos!C:$C)</f>
        <v>KG</v>
      </c>
      <c r="F544" s="14">
        <v>1.1000000000000001</v>
      </c>
      <c r="G544" s="92">
        <f t="array" ref="G544">IF(B544="insumo",_xlfn.XLOOKUP($D544,Insumos!$B$1:$B$996,Insumos!$D$1:$D$996),"")</f>
        <v>6.1446196590167288</v>
      </c>
      <c r="H544" s="92">
        <v>6.7590816249183998</v>
      </c>
      <c r="I544" s="13">
        <v>0</v>
      </c>
      <c r="J544" s="13">
        <v>0</v>
      </c>
      <c r="K544" s="13"/>
      <c r="L544"/>
      <c r="M544"/>
      <c r="N544"/>
      <c r="O544"/>
      <c r="P544"/>
      <c r="Q544"/>
      <c r="R544"/>
      <c r="S544"/>
      <c r="T544"/>
      <c r="U544"/>
      <c r="V544"/>
      <c r="W544"/>
      <c r="X544"/>
      <c r="Y544"/>
      <c r="Z544"/>
      <c r="AA544"/>
      <c r="AB544"/>
      <c r="AC544"/>
      <c r="AD544"/>
      <c r="AE544"/>
      <c r="AF544"/>
      <c r="AG544"/>
      <c r="AH544"/>
      <c r="AI544"/>
      <c r="AJ544"/>
      <c r="AK544"/>
      <c r="AL544"/>
    </row>
    <row r="545" spans="1:38" ht="15.75" customHeight="1" outlineLevel="3" x14ac:dyDescent="0.2">
      <c r="A545" s="10">
        <v>41</v>
      </c>
      <c r="B545" s="10" t="s">
        <v>71</v>
      </c>
      <c r="C545" s="10" t="s">
        <v>270</v>
      </c>
      <c r="D545" s="10" t="s">
        <v>208</v>
      </c>
      <c r="E545" s="11" t="str">
        <f t="array" ref="E545">_xlfn.XLOOKUP(D545,Insumos!B:B,Insumos!C:$C)</f>
        <v>KG</v>
      </c>
      <c r="F545" s="14">
        <v>2.0500000000000001E-2</v>
      </c>
      <c r="G545" s="92">
        <f t="array" ref="G545">IF(B545="insumo",_xlfn.XLOOKUP($D545,Insumos!$B$1:$B$996,Insumos!$D$1:$D$996),"")</f>
        <v>13.69</v>
      </c>
      <c r="H545" s="92">
        <v>0.28064499999999998</v>
      </c>
      <c r="I545" s="13">
        <v>0</v>
      </c>
      <c r="J545" s="13">
        <v>0</v>
      </c>
      <c r="K545" s="13"/>
      <c r="L545"/>
      <c r="M545"/>
      <c r="N545"/>
      <c r="O545"/>
      <c r="P545"/>
      <c r="Q545"/>
      <c r="R545"/>
      <c r="S545"/>
      <c r="T545"/>
      <c r="U545"/>
      <c r="V545"/>
      <c r="W545"/>
      <c r="X545"/>
      <c r="Y545"/>
      <c r="Z545"/>
      <c r="AA545"/>
      <c r="AB545"/>
      <c r="AC545"/>
      <c r="AD545"/>
      <c r="AE545"/>
      <c r="AF545"/>
      <c r="AG545"/>
      <c r="AH545"/>
      <c r="AI545"/>
      <c r="AJ545"/>
      <c r="AK545"/>
      <c r="AL545"/>
    </row>
    <row r="546" spans="1:38" ht="15.75" customHeight="1" outlineLevel="3" x14ac:dyDescent="0.2">
      <c r="A546" s="10">
        <v>62</v>
      </c>
      <c r="B546" s="10" t="s">
        <v>71</v>
      </c>
      <c r="C546" s="10" t="s">
        <v>270</v>
      </c>
      <c r="D546" s="10" t="s">
        <v>209</v>
      </c>
      <c r="E546" s="11" t="str">
        <f t="array" ref="E546">_xlfn.XLOOKUP(D546,Insumos!B:B,Insumos!C:$C)</f>
        <v>UN</v>
      </c>
      <c r="F546" s="14">
        <v>0.05</v>
      </c>
      <c r="G546" s="92">
        <f t="array" ref="G546">IF(B546="insumo",_xlfn.XLOOKUP($D546,Insumos!$B$1:$B$996,Insumos!$D$1:$D$996),"")</f>
        <v>0.27</v>
      </c>
      <c r="H546" s="92">
        <v>1.35E-2</v>
      </c>
      <c r="I546" s="13">
        <v>0</v>
      </c>
      <c r="J546" s="13">
        <v>0</v>
      </c>
      <c r="K546" s="13"/>
      <c r="L546"/>
      <c r="M546"/>
      <c r="N546"/>
      <c r="O546"/>
      <c r="P546"/>
      <c r="Q546"/>
      <c r="R546"/>
      <c r="S546"/>
      <c r="T546"/>
      <c r="U546"/>
      <c r="V546"/>
      <c r="W546"/>
      <c r="X546"/>
      <c r="Y546"/>
      <c r="Z546"/>
      <c r="AA546"/>
      <c r="AB546"/>
      <c r="AC546"/>
      <c r="AD546"/>
      <c r="AE546"/>
      <c r="AF546"/>
      <c r="AG546"/>
      <c r="AH546"/>
      <c r="AI546"/>
      <c r="AJ546"/>
      <c r="AK546"/>
      <c r="AL546"/>
    </row>
    <row r="547" spans="1:38" ht="15.75" customHeight="1" outlineLevel="2" x14ac:dyDescent="0.2">
      <c r="A547" s="1067">
        <v>1</v>
      </c>
      <c r="B547" s="1067" t="s">
        <v>68</v>
      </c>
      <c r="C547" s="1067" t="s">
        <v>3441</v>
      </c>
      <c r="D547" s="1067" t="s">
        <v>3441</v>
      </c>
      <c r="E547" s="1068" t="s">
        <v>206</v>
      </c>
      <c r="F547" s="1067"/>
      <c r="G547" s="1069" t="str">
        <f t="array" ref="G547">IF(B547="insumo",_xlfn.XLOOKUP($D547,Insumos!$B$1:$B$880,Insumos!$D$1:$D$880),"")</f>
        <v/>
      </c>
      <c r="H547" s="1069">
        <v>8.9641450000000003</v>
      </c>
      <c r="I547" s="1070">
        <v>2282</v>
      </c>
      <c r="J547" s="1070">
        <v>20456.178889999999</v>
      </c>
      <c r="K547" s="1070"/>
      <c r="L547"/>
      <c r="M547"/>
      <c r="N547"/>
      <c r="O547"/>
      <c r="P547"/>
      <c r="Q547"/>
      <c r="R547"/>
      <c r="S547"/>
      <c r="T547"/>
      <c r="U547"/>
      <c r="V547"/>
      <c r="W547"/>
      <c r="X547"/>
      <c r="Y547"/>
      <c r="Z547"/>
      <c r="AA547"/>
      <c r="AB547"/>
      <c r="AC547"/>
      <c r="AD547"/>
      <c r="AE547"/>
      <c r="AF547"/>
      <c r="AG547"/>
      <c r="AH547"/>
      <c r="AI547"/>
      <c r="AJ547"/>
      <c r="AK547"/>
      <c r="AL547"/>
    </row>
    <row r="548" spans="1:38" ht="15.75" customHeight="1" outlineLevel="3" x14ac:dyDescent="0.2">
      <c r="A548" s="10">
        <v>4</v>
      </c>
      <c r="B548" s="10" t="s">
        <v>71</v>
      </c>
      <c r="C548" s="10" t="s">
        <v>3441</v>
      </c>
      <c r="D548" s="10" t="s">
        <v>3493</v>
      </c>
      <c r="E548" s="11" t="str">
        <f t="array" ref="E548">_xlfn.XLOOKUP(D548,Insumos!B:B,Insumos!C:$C)</f>
        <v>UN</v>
      </c>
      <c r="F548" s="14">
        <v>1</v>
      </c>
      <c r="G548" s="92">
        <f t="array" ref="G548">IF(B548="insumo",_xlfn.XLOOKUP($D548,Insumos!$B$1:$B$880,Insumos!$D$1:$D$880),"")</f>
        <v>8.67</v>
      </c>
      <c r="H548" s="92">
        <v>8.67</v>
      </c>
      <c r="I548" s="13">
        <v>2282</v>
      </c>
      <c r="J548" s="13">
        <v>19784.939999999999</v>
      </c>
      <c r="K548" s="13"/>
      <c r="L548"/>
      <c r="M548"/>
      <c r="N548"/>
      <c r="O548"/>
      <c r="P548"/>
      <c r="Q548"/>
      <c r="R548"/>
      <c r="S548"/>
      <c r="T548"/>
      <c r="U548"/>
      <c r="V548"/>
      <c r="W548"/>
      <c r="X548"/>
      <c r="Y548"/>
      <c r="Z548"/>
      <c r="AA548"/>
      <c r="AB548"/>
      <c r="AC548"/>
      <c r="AD548"/>
      <c r="AE548"/>
      <c r="AF548"/>
      <c r="AG548"/>
      <c r="AH548"/>
      <c r="AI548"/>
      <c r="AJ548"/>
      <c r="AK548"/>
      <c r="AL548"/>
    </row>
    <row r="549" spans="1:38" ht="15.75" customHeight="1" outlineLevel="3" x14ac:dyDescent="0.2">
      <c r="A549" s="10">
        <v>41</v>
      </c>
      <c r="B549" s="10" t="s">
        <v>71</v>
      </c>
      <c r="C549" s="10" t="s">
        <v>3441</v>
      </c>
      <c r="D549" s="10" t="s">
        <v>208</v>
      </c>
      <c r="E549" s="11" t="str">
        <f t="array" ref="E549">_xlfn.XLOOKUP(D549,Insumos!B:B,Insumos!C:$C)</f>
        <v>KG</v>
      </c>
      <c r="F549" s="14">
        <v>2.0500000000000001E-2</v>
      </c>
      <c r="G549" s="92">
        <f t="array" ref="G549">IF(B549="insumo",_xlfn.XLOOKUP($D549,Insumos!$B$1:$B$880,Insumos!$D$1:$D$880),"")</f>
        <v>13.69</v>
      </c>
      <c r="H549" s="92">
        <v>0.28064499999999998</v>
      </c>
      <c r="I549" s="13">
        <v>2282</v>
      </c>
      <c r="J549" s="13">
        <v>640.43188999999995</v>
      </c>
      <c r="K549" s="13"/>
      <c r="L549"/>
      <c r="M549"/>
      <c r="N549"/>
      <c r="O549"/>
      <c r="P549"/>
      <c r="Q549"/>
      <c r="R549"/>
      <c r="S549"/>
      <c r="T549"/>
      <c r="U549"/>
      <c r="V549"/>
      <c r="W549"/>
      <c r="X549"/>
      <c r="Y549"/>
      <c r="Z549"/>
      <c r="AA549"/>
      <c r="AB549"/>
      <c r="AC549"/>
      <c r="AD549"/>
      <c r="AE549"/>
      <c r="AF549"/>
      <c r="AG549"/>
      <c r="AH549"/>
      <c r="AI549"/>
      <c r="AJ549"/>
      <c r="AK549"/>
      <c r="AL549"/>
    </row>
    <row r="550" spans="1:38" ht="15.75" customHeight="1" outlineLevel="3" x14ac:dyDescent="0.2">
      <c r="A550" s="10">
        <v>62</v>
      </c>
      <c r="B550" s="10" t="s">
        <v>71</v>
      </c>
      <c r="C550" s="10" t="s">
        <v>3441</v>
      </c>
      <c r="D550" s="10" t="s">
        <v>209</v>
      </c>
      <c r="E550" s="11" t="str">
        <f t="array" ref="E550">_xlfn.XLOOKUP(D550,Insumos!B:B,Insumos!C:$C)</f>
        <v>UN</v>
      </c>
      <c r="F550" s="14">
        <v>0.05</v>
      </c>
      <c r="G550" s="92">
        <f t="array" ref="G550">IF(B550="insumo",_xlfn.XLOOKUP($D550,Insumos!$B$1:$B$880,Insumos!$D$1:$D$880),"")</f>
        <v>0.27</v>
      </c>
      <c r="H550" s="92">
        <v>1.35E-2</v>
      </c>
      <c r="I550" s="13">
        <v>2282</v>
      </c>
      <c r="J550" s="13">
        <v>30.806999999999999</v>
      </c>
      <c r="K550" s="13"/>
      <c r="L550"/>
      <c r="M550"/>
      <c r="N550"/>
      <c r="O550"/>
      <c r="P550"/>
      <c r="Q550"/>
      <c r="R550"/>
      <c r="S550"/>
      <c r="T550"/>
      <c r="U550"/>
      <c r="V550"/>
      <c r="W550"/>
      <c r="X550"/>
      <c r="Y550"/>
      <c r="Z550"/>
      <c r="AA550"/>
      <c r="AB550"/>
      <c r="AC550"/>
      <c r="AD550"/>
      <c r="AE550"/>
      <c r="AF550"/>
      <c r="AG550"/>
      <c r="AH550"/>
      <c r="AI550"/>
      <c r="AJ550"/>
      <c r="AK550"/>
      <c r="AL550"/>
    </row>
    <row r="551" spans="1:38" ht="15.75" customHeight="1" outlineLevel="2" x14ac:dyDescent="0.2">
      <c r="A551" s="1067">
        <v>1</v>
      </c>
      <c r="B551" s="1067" t="s">
        <v>68</v>
      </c>
      <c r="C551" s="1067" t="s">
        <v>3442</v>
      </c>
      <c r="D551" s="1067" t="s">
        <v>3442</v>
      </c>
      <c r="E551" s="1068" t="s">
        <v>206</v>
      </c>
      <c r="F551" s="1067"/>
      <c r="G551" s="1069" t="str">
        <f t="array" ref="G551">IF(B551="insumo",_xlfn.XLOOKUP($D551,Insumos!$B$1:$B$880,Insumos!$D$1:$D$880),"")</f>
        <v/>
      </c>
      <c r="H551" s="1069">
        <v>8.9641450000000003</v>
      </c>
      <c r="I551" s="1070">
        <v>990.36363636363603</v>
      </c>
      <c r="J551" s="1070">
        <v>8877.7632390909093</v>
      </c>
      <c r="K551" s="1070"/>
      <c r="L551"/>
      <c r="M551"/>
      <c r="N551"/>
      <c r="O551"/>
      <c r="P551"/>
      <c r="Q551"/>
      <c r="R551"/>
      <c r="S551"/>
      <c r="T551"/>
      <c r="U551"/>
      <c r="V551"/>
      <c r="W551"/>
      <c r="X551"/>
      <c r="Y551"/>
      <c r="Z551"/>
      <c r="AA551"/>
      <c r="AB551"/>
      <c r="AC551"/>
      <c r="AD551"/>
      <c r="AE551"/>
      <c r="AF551"/>
      <c r="AG551"/>
      <c r="AH551"/>
      <c r="AI551"/>
      <c r="AJ551"/>
      <c r="AK551"/>
      <c r="AL551"/>
    </row>
    <row r="552" spans="1:38" ht="15.75" customHeight="1" outlineLevel="3" x14ac:dyDescent="0.2">
      <c r="A552" s="10">
        <v>3</v>
      </c>
      <c r="B552" s="10" t="s">
        <v>71</v>
      </c>
      <c r="C552" s="10" t="s">
        <v>3442</v>
      </c>
      <c r="D552" s="10" t="s">
        <v>3494</v>
      </c>
      <c r="E552" s="11" t="str">
        <f t="array" ref="E552">_xlfn.XLOOKUP(D552,Insumos!B:B,Insumos!C:$C)</f>
        <v>UN</v>
      </c>
      <c r="F552" s="14">
        <v>1</v>
      </c>
      <c r="G552" s="92">
        <f t="array" ref="G552">IF(B552="insumo",_xlfn.XLOOKUP($D552,Insumos!$B$1:$B$880,Insumos!$D$1:$D$880),"")</f>
        <v>8.67</v>
      </c>
      <c r="H552" s="92">
        <v>8.67</v>
      </c>
      <c r="I552" s="13">
        <v>990.36363636363603</v>
      </c>
      <c r="J552" s="13">
        <v>8586.4527272727191</v>
      </c>
      <c r="K552" s="13"/>
      <c r="L552"/>
      <c r="M552"/>
      <c r="N552"/>
      <c r="O552"/>
      <c r="P552"/>
      <c r="Q552"/>
      <c r="R552"/>
      <c r="S552"/>
      <c r="T552"/>
      <c r="U552"/>
      <c r="V552"/>
      <c r="W552"/>
      <c r="X552"/>
      <c r="Y552"/>
      <c r="Z552"/>
      <c r="AA552"/>
      <c r="AB552"/>
      <c r="AC552"/>
      <c r="AD552"/>
      <c r="AE552"/>
      <c r="AF552"/>
      <c r="AG552"/>
      <c r="AH552"/>
      <c r="AI552"/>
      <c r="AJ552"/>
      <c r="AK552"/>
      <c r="AL552"/>
    </row>
    <row r="553" spans="1:38" ht="15.75" customHeight="1" outlineLevel="3" x14ac:dyDescent="0.2">
      <c r="A553" s="10">
        <v>41</v>
      </c>
      <c r="B553" s="10" t="s">
        <v>71</v>
      </c>
      <c r="C553" s="10" t="s">
        <v>3442</v>
      </c>
      <c r="D553" s="10" t="s">
        <v>208</v>
      </c>
      <c r="E553" s="11" t="str">
        <f t="array" ref="E553">_xlfn.XLOOKUP(D553,Insumos!B:B,Insumos!C:$C)</f>
        <v>KG</v>
      </c>
      <c r="F553" s="14">
        <v>2.0500000000000001E-2</v>
      </c>
      <c r="G553" s="92">
        <f t="array" ref="G553">IF(B553="insumo",_xlfn.XLOOKUP($D553,Insumos!$B$1:$B$880,Insumos!$D$1:$D$880),"")</f>
        <v>13.69</v>
      </c>
      <c r="H553" s="92">
        <v>0.28064499999999998</v>
      </c>
      <c r="I553" s="13">
        <v>990.36363636363603</v>
      </c>
      <c r="J553" s="13">
        <v>277.94060272727302</v>
      </c>
      <c r="K553" s="13"/>
      <c r="L553"/>
      <c r="M553"/>
      <c r="N553"/>
      <c r="O553"/>
      <c r="P553"/>
      <c r="Q553"/>
      <c r="R553"/>
      <c r="S553"/>
      <c r="T553"/>
      <c r="U553"/>
      <c r="V553"/>
      <c r="W553"/>
      <c r="X553"/>
      <c r="Y553"/>
      <c r="Z553"/>
      <c r="AA553"/>
      <c r="AB553"/>
      <c r="AC553"/>
      <c r="AD553"/>
      <c r="AE553"/>
      <c r="AF553"/>
      <c r="AG553"/>
      <c r="AH553"/>
      <c r="AI553"/>
      <c r="AJ553"/>
      <c r="AK553"/>
      <c r="AL553"/>
    </row>
    <row r="554" spans="1:38" ht="15.75" customHeight="1" outlineLevel="3" x14ac:dyDescent="0.2">
      <c r="A554" s="10">
        <v>62</v>
      </c>
      <c r="B554" s="10" t="s">
        <v>71</v>
      </c>
      <c r="C554" s="10" t="s">
        <v>3442</v>
      </c>
      <c r="D554" s="10" t="s">
        <v>209</v>
      </c>
      <c r="E554" s="11" t="str">
        <f t="array" ref="E554">_xlfn.XLOOKUP(D554,Insumos!B:B,Insumos!C:$C)</f>
        <v>UN</v>
      </c>
      <c r="F554" s="14">
        <v>0.05</v>
      </c>
      <c r="G554" s="92">
        <f t="array" ref="G554">IF(B554="insumo",_xlfn.XLOOKUP($D554,Insumos!$B$1:$B$880,Insumos!$D$1:$D$880),"")</f>
        <v>0.27</v>
      </c>
      <c r="H554" s="92">
        <v>1.35E-2</v>
      </c>
      <c r="I554" s="13">
        <v>990.36363636363603</v>
      </c>
      <c r="J554" s="13">
        <v>13.369909090909101</v>
      </c>
      <c r="K554" s="13"/>
      <c r="L554"/>
      <c r="M554"/>
      <c r="N554"/>
      <c r="O554"/>
      <c r="P554"/>
      <c r="Q554"/>
      <c r="R554"/>
      <c r="S554"/>
      <c r="T554"/>
      <c r="U554"/>
      <c r="V554"/>
      <c r="W554"/>
      <c r="X554"/>
      <c r="Y554"/>
      <c r="Z554"/>
      <c r="AA554"/>
      <c r="AB554"/>
      <c r="AC554"/>
      <c r="AD554"/>
      <c r="AE554"/>
      <c r="AF554"/>
      <c r="AG554"/>
      <c r="AH554"/>
      <c r="AI554"/>
      <c r="AJ554"/>
      <c r="AK554"/>
      <c r="AL554"/>
    </row>
    <row r="555" spans="1:38" ht="15.75" customHeight="1" outlineLevel="2" x14ac:dyDescent="0.2">
      <c r="A555" s="1067">
        <v>1</v>
      </c>
      <c r="B555" s="1067" t="s">
        <v>68</v>
      </c>
      <c r="C555" s="1067" t="s">
        <v>3443</v>
      </c>
      <c r="D555" s="1067" t="s">
        <v>3443</v>
      </c>
      <c r="E555" s="1068" t="s">
        <v>206</v>
      </c>
      <c r="F555" s="1067"/>
      <c r="G555" s="1069" t="str">
        <f t="array" ref="G555">IF(B555="insumo",_xlfn.XLOOKUP($D555,Insumos!$B$1:$B$880,Insumos!$D$1:$D$880),"")</f>
        <v/>
      </c>
      <c r="H555" s="1069">
        <v>8.4841449999999998</v>
      </c>
      <c r="I555" s="1070">
        <v>3929.3636363636401</v>
      </c>
      <c r="J555" s="1070">
        <v>33337.290848636403</v>
      </c>
      <c r="K555" s="1070"/>
      <c r="L555"/>
      <c r="M555"/>
      <c r="N555"/>
      <c r="O555"/>
      <c r="P555"/>
      <c r="Q555"/>
      <c r="R555"/>
      <c r="S555"/>
      <c r="T555"/>
      <c r="U555"/>
      <c r="V555"/>
      <c r="W555"/>
      <c r="X555"/>
      <c r="Y555"/>
      <c r="Z555"/>
      <c r="AA555"/>
      <c r="AB555"/>
      <c r="AC555"/>
      <c r="AD555"/>
      <c r="AE555"/>
      <c r="AF555"/>
      <c r="AG555"/>
      <c r="AH555"/>
      <c r="AI555"/>
      <c r="AJ555"/>
      <c r="AK555"/>
      <c r="AL555"/>
    </row>
    <row r="556" spans="1:38" ht="15.75" customHeight="1" outlineLevel="3" x14ac:dyDescent="0.2">
      <c r="A556" s="10">
        <v>3</v>
      </c>
      <c r="B556" s="10" t="s">
        <v>71</v>
      </c>
      <c r="C556" s="10" t="s">
        <v>3443</v>
      </c>
      <c r="D556" s="10" t="s">
        <v>3495</v>
      </c>
      <c r="E556" s="11" t="str">
        <f t="array" ref="E556">_xlfn.XLOOKUP(D556,Insumos!B:B,Insumos!C:$C)</f>
        <v>UN</v>
      </c>
      <c r="F556" s="14">
        <v>1</v>
      </c>
      <c r="G556" s="92">
        <f t="array" ref="G556">IF(B556="insumo",_xlfn.XLOOKUP($D556,Insumos!$B$1:$B$880,Insumos!$D$1:$D$880),"")</f>
        <v>8.19</v>
      </c>
      <c r="H556" s="92">
        <v>8.19</v>
      </c>
      <c r="I556" s="13">
        <v>3929.3636363636401</v>
      </c>
      <c r="J556" s="13">
        <v>32181.4881818182</v>
      </c>
      <c r="K556" s="13"/>
      <c r="L556"/>
      <c r="M556"/>
      <c r="N556"/>
      <c r="O556"/>
      <c r="P556"/>
      <c r="Q556"/>
      <c r="R556"/>
      <c r="S556"/>
      <c r="T556"/>
      <c r="U556"/>
      <c r="V556"/>
      <c r="W556"/>
      <c r="X556"/>
      <c r="Y556"/>
      <c r="Z556"/>
      <c r="AA556"/>
      <c r="AB556"/>
      <c r="AC556"/>
      <c r="AD556"/>
      <c r="AE556"/>
      <c r="AF556"/>
      <c r="AG556"/>
      <c r="AH556"/>
      <c r="AI556"/>
      <c r="AJ556"/>
      <c r="AK556"/>
      <c r="AL556"/>
    </row>
    <row r="557" spans="1:38" ht="15.75" customHeight="1" outlineLevel="3" x14ac:dyDescent="0.2">
      <c r="A557" s="10">
        <v>41</v>
      </c>
      <c r="B557" s="10" t="s">
        <v>71</v>
      </c>
      <c r="C557" s="10" t="s">
        <v>3443</v>
      </c>
      <c r="D557" s="10" t="s">
        <v>208</v>
      </c>
      <c r="E557" s="11" t="str">
        <f t="array" ref="E557">_xlfn.XLOOKUP(D557,Insumos!B:B,Insumos!C:$C)</f>
        <v>KG</v>
      </c>
      <c r="F557" s="14">
        <v>2.0500000000000001E-2</v>
      </c>
      <c r="G557" s="92">
        <f t="array" ref="G557">IF(B557="insumo",_xlfn.XLOOKUP($D557,Insumos!$B$1:$B$880,Insumos!$D$1:$D$880),"")</f>
        <v>13.69</v>
      </c>
      <c r="H557" s="92">
        <v>0.28064499999999998</v>
      </c>
      <c r="I557" s="13">
        <v>3929.3636363636401</v>
      </c>
      <c r="J557" s="13">
        <v>1102.7562577272699</v>
      </c>
      <c r="K557" s="13"/>
      <c r="L557"/>
      <c r="M557"/>
      <c r="N557"/>
      <c r="O557"/>
      <c r="P557"/>
      <c r="Q557"/>
      <c r="R557"/>
      <c r="S557"/>
      <c r="T557"/>
      <c r="U557"/>
      <c r="V557"/>
      <c r="W557"/>
      <c r="X557"/>
      <c r="Y557"/>
      <c r="Z557"/>
      <c r="AA557"/>
      <c r="AB557"/>
      <c r="AC557"/>
      <c r="AD557"/>
      <c r="AE557"/>
      <c r="AF557"/>
      <c r="AG557"/>
      <c r="AH557"/>
      <c r="AI557"/>
      <c r="AJ557"/>
      <c r="AK557"/>
      <c r="AL557"/>
    </row>
    <row r="558" spans="1:38" ht="15.75" customHeight="1" outlineLevel="3" x14ac:dyDescent="0.2">
      <c r="A558" s="10">
        <v>62</v>
      </c>
      <c r="B558" s="10" t="s">
        <v>71</v>
      </c>
      <c r="C558" s="10" t="s">
        <v>3443</v>
      </c>
      <c r="D558" s="10" t="s">
        <v>209</v>
      </c>
      <c r="E558" s="11" t="str">
        <f t="array" ref="E558">_xlfn.XLOOKUP(D558,Insumos!B:B,Insumos!C:$C)</f>
        <v>UN</v>
      </c>
      <c r="F558" s="14">
        <v>0.05</v>
      </c>
      <c r="G558" s="92">
        <f t="array" ref="G558">IF(B558="insumo",_xlfn.XLOOKUP($D558,Insumos!$B$1:$B$880,Insumos!$D$1:$D$880),"")</f>
        <v>0.27</v>
      </c>
      <c r="H558" s="92">
        <v>1.35E-2</v>
      </c>
      <c r="I558" s="13">
        <v>3929.3636363636401</v>
      </c>
      <c r="J558" s="13">
        <v>53.046409090909101</v>
      </c>
      <c r="K558" s="13"/>
      <c r="L558"/>
      <c r="M558"/>
      <c r="N558"/>
      <c r="O558"/>
      <c r="P558"/>
      <c r="Q558"/>
      <c r="R558"/>
      <c r="S558"/>
      <c r="T558"/>
      <c r="U558"/>
      <c r="V558"/>
      <c r="W558"/>
      <c r="X558"/>
      <c r="Y558"/>
      <c r="Z558"/>
      <c r="AA558"/>
      <c r="AB558"/>
      <c r="AC558"/>
      <c r="AD558"/>
      <c r="AE558"/>
      <c r="AF558"/>
      <c r="AG558"/>
      <c r="AH558"/>
      <c r="AI558"/>
      <c r="AJ558"/>
      <c r="AK558"/>
      <c r="AL558"/>
    </row>
    <row r="559" spans="1:38" ht="15.75" customHeight="1" outlineLevel="2" x14ac:dyDescent="0.2">
      <c r="A559" s="1067">
        <v>1</v>
      </c>
      <c r="B559" s="1067" t="s">
        <v>68</v>
      </c>
      <c r="C559" s="1067" t="s">
        <v>5349</v>
      </c>
      <c r="D559" s="1067" t="s">
        <v>5349</v>
      </c>
      <c r="E559" s="1068" t="s">
        <v>206</v>
      </c>
      <c r="F559" s="1067"/>
      <c r="G559" s="1069" t="str">
        <f t="array" ref="G559">IF(B559="insumo",_xlfn.XLOOKUP($D559,Insumos!$B$1:$B$880,Insumos!$D$1:$D$880),"")</f>
        <v/>
      </c>
      <c r="H559" s="1069">
        <v>8.4841449999999998</v>
      </c>
      <c r="I559" s="1070">
        <v>1277.27272727273</v>
      </c>
      <c r="J559" s="1070">
        <v>10836.5670227273</v>
      </c>
      <c r="K559" s="1070"/>
      <c r="L559"/>
      <c r="M559"/>
      <c r="N559"/>
      <c r="O559"/>
      <c r="P559"/>
      <c r="Q559"/>
      <c r="R559"/>
      <c r="S559"/>
      <c r="T559"/>
      <c r="U559"/>
      <c r="V559"/>
      <c r="W559"/>
      <c r="X559"/>
      <c r="Y559"/>
      <c r="Z559"/>
      <c r="AA559"/>
      <c r="AB559"/>
      <c r="AC559"/>
      <c r="AD559"/>
      <c r="AE559"/>
      <c r="AF559"/>
      <c r="AG559"/>
      <c r="AH559"/>
      <c r="AI559"/>
      <c r="AJ559"/>
      <c r="AK559"/>
      <c r="AL559"/>
    </row>
    <row r="560" spans="1:38" ht="15.75" customHeight="1" outlineLevel="3" x14ac:dyDescent="0.2">
      <c r="A560" s="10">
        <v>3</v>
      </c>
      <c r="B560" s="10" t="s">
        <v>71</v>
      </c>
      <c r="C560" s="10" t="s">
        <v>5349</v>
      </c>
      <c r="D560" s="10" t="s">
        <v>5350</v>
      </c>
      <c r="E560" s="11" t="str">
        <f t="array" ref="E560">_xlfn.XLOOKUP(D560,Insumos!B:B,Insumos!C:$C)</f>
        <v>UN</v>
      </c>
      <c r="F560" s="14">
        <v>1</v>
      </c>
      <c r="G560" s="92">
        <f t="array" ref="G560">IF(B560="insumo",_xlfn.XLOOKUP($D560,Insumos!$B$1:$B$880,Insumos!$D$1:$D$880),"")</f>
        <v>8.19</v>
      </c>
      <c r="H560" s="92">
        <v>8.19</v>
      </c>
      <c r="I560" s="13">
        <v>1277.27272727273</v>
      </c>
      <c r="J560" s="13">
        <v>10460.8636363637</v>
      </c>
      <c r="K560" s="13"/>
      <c r="L560"/>
      <c r="M560"/>
      <c r="N560"/>
      <c r="O560"/>
      <c r="P560"/>
      <c r="Q560"/>
      <c r="R560"/>
      <c r="S560"/>
      <c r="T560"/>
      <c r="U560"/>
      <c r="V560"/>
      <c r="W560"/>
      <c r="X560"/>
      <c r="Y560"/>
      <c r="Z560"/>
      <c r="AA560"/>
      <c r="AB560"/>
      <c r="AC560"/>
      <c r="AD560"/>
      <c r="AE560"/>
      <c r="AF560"/>
      <c r="AG560"/>
      <c r="AH560"/>
      <c r="AI560"/>
      <c r="AJ560"/>
      <c r="AK560"/>
      <c r="AL560"/>
    </row>
    <row r="561" spans="1:38" ht="15.75" customHeight="1" outlineLevel="3" x14ac:dyDescent="0.2">
      <c r="A561" s="10">
        <v>41</v>
      </c>
      <c r="B561" s="10" t="s">
        <v>71</v>
      </c>
      <c r="C561" s="10" t="s">
        <v>5349</v>
      </c>
      <c r="D561" s="10" t="s">
        <v>208</v>
      </c>
      <c r="E561" s="11" t="str">
        <f t="array" ref="E561">_xlfn.XLOOKUP(D561,Insumos!B:B,Insumos!C:$C)</f>
        <v>KG</v>
      </c>
      <c r="F561" s="14">
        <v>2.0500000000000001E-2</v>
      </c>
      <c r="G561" s="92">
        <f t="array" ref="G561">IF(B561="insumo",_xlfn.XLOOKUP($D561,Insumos!$B$1:$B$880,Insumos!$D$1:$D$880),"")</f>
        <v>13.69</v>
      </c>
      <c r="H561" s="92">
        <v>0.28064499999999998</v>
      </c>
      <c r="I561" s="13">
        <v>1277.27272727273</v>
      </c>
      <c r="J561" s="13">
        <v>358.46020454545499</v>
      </c>
      <c r="K561" s="13"/>
      <c r="L561"/>
      <c r="M561"/>
      <c r="N561"/>
      <c r="O561"/>
      <c r="P561"/>
      <c r="Q561"/>
      <c r="R561"/>
      <c r="S561"/>
      <c r="T561"/>
      <c r="U561"/>
      <c r="V561"/>
      <c r="W561"/>
      <c r="X561"/>
      <c r="Y561"/>
      <c r="Z561"/>
      <c r="AA561"/>
      <c r="AB561"/>
      <c r="AC561"/>
      <c r="AD561"/>
      <c r="AE561"/>
      <c r="AF561"/>
      <c r="AG561"/>
      <c r="AH561"/>
      <c r="AI561"/>
      <c r="AJ561"/>
      <c r="AK561"/>
      <c r="AL561"/>
    </row>
    <row r="562" spans="1:38" ht="15.75" customHeight="1" outlineLevel="3" x14ac:dyDescent="0.2">
      <c r="A562" s="10">
        <v>62</v>
      </c>
      <c r="B562" s="10" t="s">
        <v>71</v>
      </c>
      <c r="C562" s="10" t="s">
        <v>5349</v>
      </c>
      <c r="D562" s="10" t="s">
        <v>209</v>
      </c>
      <c r="E562" s="11" t="str">
        <f t="array" ref="E562">_xlfn.XLOOKUP(D562,Insumos!B:B,Insumos!C:$C)</f>
        <v>UN</v>
      </c>
      <c r="F562" s="14">
        <v>0.05</v>
      </c>
      <c r="G562" s="92">
        <f t="array" ref="G562">IF(B562="insumo",_xlfn.XLOOKUP($D562,Insumos!$B$1:$B$880,Insumos!$D$1:$D$880),"")</f>
        <v>0.27</v>
      </c>
      <c r="H562" s="92">
        <v>1.35E-2</v>
      </c>
      <c r="I562" s="13">
        <v>1277.27272727273</v>
      </c>
      <c r="J562" s="13">
        <v>17.243181818181899</v>
      </c>
      <c r="K562" s="13"/>
      <c r="L562"/>
      <c r="M562"/>
      <c r="N562"/>
      <c r="O562"/>
      <c r="P562"/>
      <c r="Q562"/>
      <c r="R562"/>
      <c r="S562"/>
      <c r="T562"/>
      <c r="U562"/>
      <c r="V562"/>
      <c r="W562"/>
      <c r="X562"/>
      <c r="Y562"/>
      <c r="Z562"/>
      <c r="AA562"/>
      <c r="AB562"/>
      <c r="AC562"/>
      <c r="AD562"/>
      <c r="AE562"/>
      <c r="AF562"/>
      <c r="AG562"/>
      <c r="AH562"/>
      <c r="AI562"/>
      <c r="AJ562"/>
      <c r="AK562"/>
      <c r="AL562"/>
    </row>
    <row r="563" spans="1:38" ht="15.75" customHeight="1" outlineLevel="2" x14ac:dyDescent="0.2">
      <c r="A563" s="1067">
        <v>1</v>
      </c>
      <c r="B563" s="1067" t="s">
        <v>68</v>
      </c>
      <c r="C563" s="1067" t="s">
        <v>5351</v>
      </c>
      <c r="D563" s="1067" t="s">
        <v>5351</v>
      </c>
      <c r="E563" s="1068" t="s">
        <v>206</v>
      </c>
      <c r="F563" s="1067"/>
      <c r="G563" s="1069" t="str">
        <f t="array" ref="G563">IF(B563="insumo",_xlfn.XLOOKUP($D563,Insumos!$B$1:$B$880,Insumos!$D$1:$D$880),"")</f>
        <v/>
      </c>
      <c r="H563" s="1069">
        <v>8.4841449999999998</v>
      </c>
      <c r="I563" s="1070">
        <v>430.09090909090901</v>
      </c>
      <c r="J563" s="1070">
        <v>3648.9536359090898</v>
      </c>
      <c r="K563" s="1070"/>
      <c r="L563"/>
      <c r="M563"/>
      <c r="N563"/>
      <c r="O563"/>
      <c r="P563"/>
      <c r="Q563"/>
      <c r="R563"/>
      <c r="S563"/>
      <c r="T563"/>
      <c r="U563"/>
      <c r="V563"/>
      <c r="W563"/>
      <c r="X563"/>
      <c r="Y563"/>
      <c r="Z563"/>
      <c r="AA563"/>
      <c r="AB563"/>
      <c r="AC563"/>
      <c r="AD563"/>
      <c r="AE563"/>
      <c r="AF563"/>
      <c r="AG563"/>
      <c r="AH563"/>
      <c r="AI563"/>
      <c r="AJ563"/>
      <c r="AK563"/>
      <c r="AL563"/>
    </row>
    <row r="564" spans="1:38" ht="15.75" customHeight="1" outlineLevel="3" x14ac:dyDescent="0.2">
      <c r="A564" s="10">
        <v>4</v>
      </c>
      <c r="B564" s="10" t="s">
        <v>71</v>
      </c>
      <c r="C564" s="10" t="s">
        <v>5351</v>
      </c>
      <c r="D564" s="10" t="s">
        <v>5352</v>
      </c>
      <c r="E564" s="11" t="str">
        <f t="array" ref="E564">_xlfn.XLOOKUP(D564,Insumos!B:B,Insumos!C:$C)</f>
        <v>UN</v>
      </c>
      <c r="F564" s="14">
        <v>1</v>
      </c>
      <c r="G564" s="92">
        <f t="array" ref="G564">IF(B564="insumo",_xlfn.XLOOKUP($D564,Insumos!$B$1:$B$880,Insumos!$D$1:$D$880),"")</f>
        <v>8.19</v>
      </c>
      <c r="H564" s="92">
        <v>8.19</v>
      </c>
      <c r="I564" s="13">
        <v>430.09090909090901</v>
      </c>
      <c r="J564" s="13">
        <v>3522.4445454545398</v>
      </c>
      <c r="K564" s="13"/>
      <c r="L564"/>
      <c r="M564"/>
      <c r="N564"/>
      <c r="O564"/>
      <c r="P564"/>
      <c r="Q564"/>
      <c r="R564"/>
      <c r="S564"/>
      <c r="T564"/>
      <c r="U564"/>
      <c r="V564"/>
      <c r="W564"/>
      <c r="X564"/>
      <c r="Y564"/>
      <c r="Z564"/>
      <c r="AA564"/>
      <c r="AB564"/>
      <c r="AC564"/>
      <c r="AD564"/>
      <c r="AE564"/>
      <c r="AF564"/>
      <c r="AG564"/>
      <c r="AH564"/>
      <c r="AI564"/>
      <c r="AJ564"/>
      <c r="AK564"/>
      <c r="AL564"/>
    </row>
    <row r="565" spans="1:38" ht="15.75" customHeight="1" outlineLevel="3" x14ac:dyDescent="0.2">
      <c r="A565" s="10">
        <v>41</v>
      </c>
      <c r="B565" s="10" t="s">
        <v>71</v>
      </c>
      <c r="C565" s="10" t="s">
        <v>5351</v>
      </c>
      <c r="D565" s="10" t="s">
        <v>208</v>
      </c>
      <c r="E565" s="11" t="str">
        <f t="array" ref="E565">_xlfn.XLOOKUP(D565,Insumos!B:B,Insumos!C:$C)</f>
        <v>KG</v>
      </c>
      <c r="F565" s="14">
        <v>2.0500000000000001E-2</v>
      </c>
      <c r="G565" s="92">
        <f t="array" ref="G565">IF(B565="insumo",_xlfn.XLOOKUP($D565,Insumos!$B$1:$B$880,Insumos!$D$1:$D$880),"")</f>
        <v>13.69</v>
      </c>
      <c r="H565" s="92">
        <v>0.28064499999999998</v>
      </c>
      <c r="I565" s="13">
        <v>430.09090909090901</v>
      </c>
      <c r="J565" s="13">
        <v>120.702863181818</v>
      </c>
      <c r="K565" s="13"/>
      <c r="L565"/>
      <c r="M565"/>
      <c r="N565"/>
      <c r="O565"/>
      <c r="P565"/>
      <c r="Q565"/>
      <c r="R565"/>
      <c r="S565"/>
      <c r="T565"/>
      <c r="U565"/>
      <c r="V565"/>
      <c r="W565"/>
      <c r="X565"/>
      <c r="Y565"/>
      <c r="Z565"/>
      <c r="AA565"/>
      <c r="AB565"/>
      <c r="AC565"/>
      <c r="AD565"/>
      <c r="AE565"/>
      <c r="AF565"/>
      <c r="AG565"/>
      <c r="AH565"/>
      <c r="AI565"/>
      <c r="AJ565"/>
      <c r="AK565"/>
      <c r="AL565"/>
    </row>
    <row r="566" spans="1:38" ht="15.75" customHeight="1" outlineLevel="3" x14ac:dyDescent="0.2">
      <c r="A566" s="10">
        <v>62</v>
      </c>
      <c r="B566" s="10" t="s">
        <v>71</v>
      </c>
      <c r="C566" s="10" t="s">
        <v>5351</v>
      </c>
      <c r="D566" s="10" t="s">
        <v>209</v>
      </c>
      <c r="E566" s="11" t="str">
        <f t="array" ref="E566">_xlfn.XLOOKUP(D566,Insumos!B:B,Insumos!C:$C)</f>
        <v>UN</v>
      </c>
      <c r="F566" s="14">
        <v>0.05</v>
      </c>
      <c r="G566" s="92">
        <f t="array" ref="G566">IF(B566="insumo",_xlfn.XLOOKUP($D566,Insumos!$B$1:$B$880,Insumos!$D$1:$D$880),"")</f>
        <v>0.27</v>
      </c>
      <c r="H566" s="92">
        <v>1.35E-2</v>
      </c>
      <c r="I566" s="13">
        <v>430.09090909090901</v>
      </c>
      <c r="J566" s="13">
        <v>5.8062272727272699</v>
      </c>
      <c r="K566" s="13"/>
      <c r="L566"/>
      <c r="M566"/>
      <c r="N566"/>
      <c r="O566"/>
      <c r="P566"/>
      <c r="Q566"/>
      <c r="R566"/>
      <c r="S566"/>
      <c r="T566"/>
      <c r="U566"/>
      <c r="V566"/>
      <c r="W566"/>
      <c r="X566"/>
      <c r="Y566"/>
      <c r="Z566"/>
      <c r="AA566"/>
      <c r="AB566"/>
      <c r="AC566"/>
      <c r="AD566"/>
      <c r="AE566"/>
      <c r="AF566"/>
      <c r="AG566"/>
      <c r="AH566"/>
      <c r="AI566"/>
      <c r="AJ566"/>
      <c r="AK566"/>
      <c r="AL566"/>
    </row>
    <row r="567" spans="1:38" ht="15.75" customHeight="1" outlineLevel="2" x14ac:dyDescent="0.2">
      <c r="A567" s="1067">
        <v>1</v>
      </c>
      <c r="B567" s="1067" t="s">
        <v>68</v>
      </c>
      <c r="C567" s="1067" t="s">
        <v>3444</v>
      </c>
      <c r="D567" s="1067" t="s">
        <v>3444</v>
      </c>
      <c r="E567" s="1068" t="s">
        <v>206</v>
      </c>
      <c r="F567" s="1067"/>
      <c r="G567" s="1069" t="str">
        <f t="array" ref="G567">IF(B567="insumo",_xlfn.XLOOKUP($D567,Insumos!$B$1:$B$880,Insumos!$D$1:$D$880),"")</f>
        <v/>
      </c>
      <c r="H567" s="1069">
        <v>8.4841449999999998</v>
      </c>
      <c r="I567" s="1070">
        <v>12007</v>
      </c>
      <c r="J567" s="1070">
        <v>101869.129015</v>
      </c>
      <c r="K567" s="1070"/>
      <c r="L567"/>
      <c r="M567"/>
      <c r="N567"/>
      <c r="O567"/>
      <c r="P567"/>
      <c r="Q567"/>
      <c r="R567"/>
      <c r="S567"/>
      <c r="T567"/>
      <c r="U567"/>
      <c r="V567"/>
      <c r="W567"/>
      <c r="X567"/>
      <c r="Y567"/>
      <c r="Z567"/>
      <c r="AA567"/>
      <c r="AB567"/>
      <c r="AC567"/>
      <c r="AD567"/>
      <c r="AE567"/>
      <c r="AF567"/>
      <c r="AG567"/>
      <c r="AH567"/>
      <c r="AI567"/>
      <c r="AJ567"/>
      <c r="AK567"/>
      <c r="AL567"/>
    </row>
    <row r="568" spans="1:38" ht="15.75" customHeight="1" outlineLevel="3" x14ac:dyDescent="0.2">
      <c r="A568" s="10">
        <v>3</v>
      </c>
      <c r="B568" s="10" t="s">
        <v>71</v>
      </c>
      <c r="C568" s="10" t="s">
        <v>3444</v>
      </c>
      <c r="D568" s="10" t="s">
        <v>3496</v>
      </c>
      <c r="E568" s="11" t="str">
        <f t="array" ref="E568">_xlfn.XLOOKUP(D568,Insumos!B:B,Insumos!C:$C)</f>
        <v>UN</v>
      </c>
      <c r="F568" s="14">
        <v>1</v>
      </c>
      <c r="G568" s="92">
        <f t="array" ref="G568">IF(B568="insumo",_xlfn.XLOOKUP($D568,Insumos!$B$1:$B$880,Insumos!$D$1:$D$880),"")</f>
        <v>8.19</v>
      </c>
      <c r="H568" s="92">
        <v>8.19</v>
      </c>
      <c r="I568" s="13">
        <v>12007</v>
      </c>
      <c r="J568" s="13">
        <v>98337.33</v>
      </c>
      <c r="K568" s="13"/>
      <c r="L568"/>
      <c r="M568"/>
      <c r="N568"/>
      <c r="O568"/>
      <c r="P568"/>
      <c r="Q568"/>
      <c r="R568"/>
      <c r="S568"/>
      <c r="T568"/>
      <c r="U568"/>
      <c r="V568"/>
      <c r="W568"/>
      <c r="X568"/>
      <c r="Y568"/>
      <c r="Z568"/>
      <c r="AA568"/>
      <c r="AB568"/>
      <c r="AC568"/>
      <c r="AD568"/>
      <c r="AE568"/>
      <c r="AF568"/>
      <c r="AG568"/>
      <c r="AH568"/>
      <c r="AI568"/>
      <c r="AJ568"/>
      <c r="AK568"/>
      <c r="AL568"/>
    </row>
    <row r="569" spans="1:38" ht="15.75" customHeight="1" outlineLevel="3" x14ac:dyDescent="0.2">
      <c r="A569" s="10">
        <v>41</v>
      </c>
      <c r="B569" s="10" t="s">
        <v>71</v>
      </c>
      <c r="C569" s="10" t="s">
        <v>3444</v>
      </c>
      <c r="D569" s="10" t="s">
        <v>208</v>
      </c>
      <c r="E569" s="11" t="str">
        <f t="array" ref="E569">_xlfn.XLOOKUP(D569,Insumos!B:B,Insumos!C:$C)</f>
        <v>KG</v>
      </c>
      <c r="F569" s="14">
        <v>2.0500000000000001E-2</v>
      </c>
      <c r="G569" s="92">
        <f t="array" ref="G569">IF(B569="insumo",_xlfn.XLOOKUP($D569,Insumos!$B$1:$B$880,Insumos!$D$1:$D$880),"")</f>
        <v>13.69</v>
      </c>
      <c r="H569" s="92">
        <v>0.28064499999999998</v>
      </c>
      <c r="I569" s="13">
        <v>12007</v>
      </c>
      <c r="J569" s="13">
        <v>3369.7045149999999</v>
      </c>
      <c r="K569" s="13"/>
      <c r="L569"/>
      <c r="M569"/>
      <c r="N569"/>
      <c r="O569"/>
      <c r="P569"/>
      <c r="Q569"/>
      <c r="R569"/>
      <c r="S569"/>
      <c r="T569"/>
      <c r="U569"/>
      <c r="V569"/>
      <c r="W569"/>
      <c r="X569"/>
      <c r="Y569"/>
      <c r="Z569"/>
      <c r="AA569"/>
      <c r="AB569"/>
      <c r="AC569"/>
      <c r="AD569"/>
      <c r="AE569"/>
      <c r="AF569"/>
      <c r="AG569"/>
      <c r="AH569"/>
      <c r="AI569"/>
      <c r="AJ569"/>
      <c r="AK569"/>
      <c r="AL569"/>
    </row>
    <row r="570" spans="1:38" ht="15.75" customHeight="1" outlineLevel="3" x14ac:dyDescent="0.2">
      <c r="A570" s="10">
        <v>62</v>
      </c>
      <c r="B570" s="10" t="s">
        <v>71</v>
      </c>
      <c r="C570" s="10" t="s">
        <v>3444</v>
      </c>
      <c r="D570" s="10" t="s">
        <v>209</v>
      </c>
      <c r="E570" s="11" t="str">
        <f t="array" ref="E570">_xlfn.XLOOKUP(D570,Insumos!B:B,Insumos!C:$C)</f>
        <v>UN</v>
      </c>
      <c r="F570" s="14">
        <v>0.05</v>
      </c>
      <c r="G570" s="92">
        <f t="array" ref="G570">IF(B570="insumo",_xlfn.XLOOKUP($D570,Insumos!$B$1:$B$880,Insumos!$D$1:$D$880),"")</f>
        <v>0.27</v>
      </c>
      <c r="H570" s="92">
        <v>1.35E-2</v>
      </c>
      <c r="I570" s="13">
        <v>12007</v>
      </c>
      <c r="J570" s="13">
        <v>162.09450000000001</v>
      </c>
      <c r="K570" s="13"/>
      <c r="L570"/>
      <c r="M570"/>
      <c r="N570"/>
      <c r="O570"/>
      <c r="P570"/>
      <c r="Q570"/>
      <c r="R570"/>
      <c r="S570"/>
      <c r="T570"/>
      <c r="U570"/>
      <c r="V570"/>
      <c r="W570"/>
      <c r="X570"/>
      <c r="Y570"/>
      <c r="Z570"/>
      <c r="AA570"/>
      <c r="AB570"/>
      <c r="AC570"/>
      <c r="AD570"/>
      <c r="AE570"/>
      <c r="AF570"/>
      <c r="AG570"/>
      <c r="AH570"/>
      <c r="AI570"/>
      <c r="AJ570"/>
      <c r="AK570"/>
      <c r="AL570"/>
    </row>
    <row r="571" spans="1:38" ht="15.75" customHeight="1" outlineLevel="1" x14ac:dyDescent="0.2">
      <c r="A571" s="1090">
        <v>5</v>
      </c>
      <c r="B571" s="1090" t="s">
        <v>1228</v>
      </c>
      <c r="C571" s="1090" t="s">
        <v>3444</v>
      </c>
      <c r="D571" s="1090" t="s">
        <v>1380</v>
      </c>
      <c r="E571" s="1091"/>
      <c r="F571" s="1092"/>
      <c r="G571" s="1091"/>
      <c r="H571" s="1091">
        <v>0</v>
      </c>
      <c r="I571" s="1092">
        <v>0</v>
      </c>
      <c r="J571" s="1092">
        <v>0</v>
      </c>
      <c r="K571" s="1092"/>
      <c r="L571"/>
      <c r="M571"/>
      <c r="N571"/>
      <c r="O571"/>
      <c r="P571"/>
      <c r="Q571"/>
      <c r="R571"/>
      <c r="S571"/>
      <c r="T571"/>
      <c r="U571"/>
      <c r="V571"/>
      <c r="W571"/>
      <c r="X571"/>
      <c r="Y571"/>
      <c r="Z571"/>
      <c r="AA571"/>
      <c r="AB571"/>
      <c r="AC571"/>
      <c r="AD571"/>
      <c r="AE571"/>
      <c r="AF571"/>
      <c r="AG571"/>
      <c r="AH571"/>
      <c r="AI571"/>
      <c r="AJ571"/>
      <c r="AK571"/>
      <c r="AL571"/>
    </row>
    <row r="572" spans="1:38" ht="15.75" customHeight="1" outlineLevel="2" x14ac:dyDescent="0.2">
      <c r="A572" s="1067">
        <v>1</v>
      </c>
      <c r="B572" s="1067" t="s">
        <v>68</v>
      </c>
      <c r="C572" s="1067" t="s">
        <v>261</v>
      </c>
      <c r="D572" s="1067" t="s">
        <v>261</v>
      </c>
      <c r="E572" s="1068" t="s">
        <v>152</v>
      </c>
      <c r="F572" s="1067"/>
      <c r="G572" s="1069" t="str">
        <f t="array" ref="G572">IF(B572="insumo",_xlfn.XLOOKUP($D572,Insumos!$B$1:$B$996,Insumos!$D$1:$D$996),"")</f>
        <v/>
      </c>
      <c r="H572" s="1069">
        <v>693.66</v>
      </c>
      <c r="I572" s="1070">
        <v>0</v>
      </c>
      <c r="J572" s="1070">
        <v>0</v>
      </c>
      <c r="K572" s="1070"/>
      <c r="L572"/>
      <c r="M572"/>
      <c r="N572"/>
      <c r="O572"/>
      <c r="P572"/>
      <c r="Q572"/>
      <c r="R572"/>
      <c r="S572"/>
      <c r="T572"/>
      <c r="U572"/>
      <c r="V572"/>
      <c r="W572"/>
      <c r="X572"/>
      <c r="Y572"/>
      <c r="Z572"/>
      <c r="AA572"/>
      <c r="AB572"/>
      <c r="AC572"/>
      <c r="AD572"/>
      <c r="AE572"/>
      <c r="AF572"/>
      <c r="AG572"/>
      <c r="AH572"/>
      <c r="AI572"/>
      <c r="AJ572"/>
      <c r="AK572"/>
      <c r="AL572"/>
    </row>
    <row r="573" spans="1:38" ht="15.75" customHeight="1" outlineLevel="3" x14ac:dyDescent="0.2">
      <c r="A573" s="10">
        <v>3</v>
      </c>
      <c r="B573" s="10" t="s">
        <v>71</v>
      </c>
      <c r="C573" s="10" t="s">
        <v>261</v>
      </c>
      <c r="D573" s="10" t="s">
        <v>221</v>
      </c>
      <c r="E573" s="11" t="str">
        <f t="array" ref="E573">_xlfn.XLOOKUP(D573,Insumos!B:B,Insumos!C:$C)</f>
        <v>M3</v>
      </c>
      <c r="F573" s="14">
        <v>1.3</v>
      </c>
      <c r="G573" s="92">
        <f t="array" ref="G573">IF(B573="insumo",_xlfn.XLOOKUP($D573,Insumos!$B$1:$B$996,Insumos!$D$1:$D$996),"")</f>
        <v>492.99999999999994</v>
      </c>
      <c r="H573" s="92">
        <v>640.9</v>
      </c>
      <c r="I573" s="13">
        <v>0</v>
      </c>
      <c r="J573" s="13">
        <v>0</v>
      </c>
      <c r="K573" s="13"/>
      <c r="L573"/>
      <c r="M573"/>
      <c r="N573"/>
      <c r="O573"/>
      <c r="P573"/>
      <c r="Q573"/>
      <c r="R573"/>
      <c r="S573"/>
      <c r="T573"/>
      <c r="U573"/>
      <c r="V573"/>
      <c r="W573"/>
      <c r="X573"/>
      <c r="Y573"/>
      <c r="Z573"/>
      <c r="AA573"/>
      <c r="AB573"/>
      <c r="AC573"/>
      <c r="AD573"/>
      <c r="AE573"/>
      <c r="AF573"/>
      <c r="AG573"/>
      <c r="AH573"/>
      <c r="AI573"/>
      <c r="AJ573"/>
      <c r="AK573"/>
      <c r="AL573"/>
    </row>
    <row r="574" spans="1:38" ht="15.75" customHeight="1" outlineLevel="3" x14ac:dyDescent="0.2">
      <c r="A574" s="10">
        <v>25</v>
      </c>
      <c r="B574" s="10" t="s">
        <v>71</v>
      </c>
      <c r="C574" s="10" t="s">
        <v>261</v>
      </c>
      <c r="D574" s="10" t="s">
        <v>159</v>
      </c>
      <c r="E574" s="11" t="str">
        <f t="array" ref="E574">_xlfn.XLOOKUP(D574,Insumos!B:B,Insumos!C:$C)</f>
        <v>M3</v>
      </c>
      <c r="F574" s="14">
        <v>1.3</v>
      </c>
      <c r="G574" s="92">
        <f t="array" ref="G574">IF(B574="insumo",_xlfn.XLOOKUP($D574,Insumos!$B$1:$B$996,Insumos!$D$1:$D$996),"")</f>
        <v>40</v>
      </c>
      <c r="H574" s="92">
        <v>52</v>
      </c>
      <c r="I574" s="13">
        <v>0</v>
      </c>
      <c r="J574" s="13">
        <v>0</v>
      </c>
      <c r="K574" s="13"/>
      <c r="L574"/>
      <c r="M574"/>
      <c r="N574"/>
      <c r="O574"/>
      <c r="P574"/>
      <c r="Q574"/>
      <c r="R574"/>
      <c r="S574"/>
      <c r="T574"/>
      <c r="U574"/>
      <c r="V574"/>
      <c r="W574"/>
      <c r="X574"/>
      <c r="Y574"/>
      <c r="Z574"/>
      <c r="AA574"/>
      <c r="AB574"/>
      <c r="AC574"/>
      <c r="AD574"/>
      <c r="AE574"/>
      <c r="AF574"/>
      <c r="AG574"/>
      <c r="AH574"/>
      <c r="AI574"/>
      <c r="AJ574"/>
      <c r="AK574"/>
      <c r="AL574"/>
    </row>
    <row r="575" spans="1:38" ht="15.75" customHeight="1" outlineLevel="3" x14ac:dyDescent="0.2">
      <c r="A575" s="10">
        <v>62</v>
      </c>
      <c r="B575" s="10" t="s">
        <v>71</v>
      </c>
      <c r="C575" s="10" t="s">
        <v>261</v>
      </c>
      <c r="D575" s="10" t="s">
        <v>160</v>
      </c>
      <c r="E575" s="11" t="str">
        <f t="array" ref="E575">_xlfn.XLOOKUP(D575,Insumos!B:B,Insumos!C:$C)</f>
        <v>KG</v>
      </c>
      <c r="F575" s="14">
        <v>1</v>
      </c>
      <c r="G575" s="92">
        <f t="array" ref="G575">IF(B575="insumo",_xlfn.XLOOKUP($D575,Insumos!$B$1:$B$996,Insumos!$D$1:$D$996),"")</f>
        <v>0.76</v>
      </c>
      <c r="H575" s="92">
        <v>0.76</v>
      </c>
      <c r="I575" s="13">
        <v>0</v>
      </c>
      <c r="J575" s="13">
        <v>0</v>
      </c>
      <c r="K575" s="13"/>
      <c r="L575"/>
      <c r="M575"/>
      <c r="N575"/>
      <c r="O575"/>
      <c r="P575"/>
      <c r="Q575"/>
      <c r="R575"/>
      <c r="S575"/>
      <c r="T575"/>
      <c r="U575"/>
      <c r="V575"/>
      <c r="W575"/>
      <c r="X575"/>
      <c r="Y575"/>
      <c r="Z575"/>
      <c r="AA575"/>
      <c r="AB575"/>
      <c r="AC575"/>
      <c r="AD575"/>
      <c r="AE575"/>
      <c r="AF575"/>
      <c r="AG575"/>
      <c r="AH575"/>
      <c r="AI575"/>
      <c r="AJ575"/>
      <c r="AK575"/>
      <c r="AL575"/>
    </row>
    <row r="576" spans="1:38" ht="15.75" customHeight="1" outlineLevel="2" x14ac:dyDescent="0.2">
      <c r="A576" s="1067">
        <v>1</v>
      </c>
      <c r="B576" s="1067" t="s">
        <v>68</v>
      </c>
      <c r="C576" s="1067" t="s">
        <v>271</v>
      </c>
      <c r="D576" s="1067" t="s">
        <v>271</v>
      </c>
      <c r="E576" s="1068" t="s">
        <v>152</v>
      </c>
      <c r="F576" s="1067"/>
      <c r="G576" s="1069" t="str">
        <f t="array" ref="G576">IF(B576="insumo",_xlfn.XLOOKUP($D576,Insumos!$B$1:$B$996,Insumos!$D$1:$D$996),"")</f>
        <v/>
      </c>
      <c r="H576" s="1069">
        <v>634.36</v>
      </c>
      <c r="I576" s="1070">
        <v>0</v>
      </c>
      <c r="J576" s="1070">
        <v>0</v>
      </c>
      <c r="K576" s="1070"/>
      <c r="L576"/>
      <c r="M576"/>
      <c r="N576"/>
      <c r="O576"/>
      <c r="P576"/>
      <c r="Q576"/>
      <c r="R576"/>
      <c r="S576"/>
      <c r="T576"/>
      <c r="U576"/>
      <c r="V576"/>
      <c r="W576"/>
      <c r="X576"/>
      <c r="Y576"/>
      <c r="Z576"/>
      <c r="AA576"/>
      <c r="AB576"/>
      <c r="AC576"/>
      <c r="AD576"/>
      <c r="AE576"/>
      <c r="AF576"/>
      <c r="AG576"/>
      <c r="AH576"/>
      <c r="AI576"/>
      <c r="AJ576"/>
      <c r="AK576"/>
      <c r="AL576"/>
    </row>
    <row r="577" spans="1:38" ht="15.75" customHeight="1" outlineLevel="3" x14ac:dyDescent="0.2">
      <c r="A577" s="10">
        <v>3</v>
      </c>
      <c r="B577" s="10" t="s">
        <v>71</v>
      </c>
      <c r="C577" s="10" t="s">
        <v>271</v>
      </c>
      <c r="D577" s="10" t="s">
        <v>221</v>
      </c>
      <c r="E577" s="11" t="str">
        <f t="array" ref="E577">_xlfn.XLOOKUP(D577,Insumos!B:B,Insumos!C:$C)</f>
        <v>M3</v>
      </c>
      <c r="F577" s="14">
        <v>1.2</v>
      </c>
      <c r="G577" s="92">
        <f t="array" ref="G577">IF(B577="insumo",_xlfn.XLOOKUP($D577,Insumos!$B$1:$B$996,Insumos!$D$1:$D$996),"")</f>
        <v>492.99999999999994</v>
      </c>
      <c r="H577" s="92">
        <v>591.6</v>
      </c>
      <c r="I577" s="13">
        <v>0</v>
      </c>
      <c r="J577" s="13">
        <v>0</v>
      </c>
      <c r="K577" s="13"/>
      <c r="L577"/>
      <c r="M577"/>
      <c r="N577"/>
      <c r="O577"/>
      <c r="P577"/>
      <c r="Q577"/>
      <c r="R577"/>
      <c r="S577"/>
      <c r="T577"/>
      <c r="U577"/>
      <c r="V577"/>
      <c r="W577"/>
      <c r="X577"/>
      <c r="Y577"/>
      <c r="Z577"/>
      <c r="AA577"/>
      <c r="AB577"/>
      <c r="AC577"/>
      <c r="AD577"/>
      <c r="AE577"/>
      <c r="AF577"/>
      <c r="AG577"/>
      <c r="AH577"/>
      <c r="AI577"/>
      <c r="AJ577"/>
      <c r="AK577"/>
      <c r="AL577"/>
    </row>
    <row r="578" spans="1:38" ht="15.75" customHeight="1" outlineLevel="3" x14ac:dyDescent="0.2">
      <c r="A578" s="10">
        <v>25</v>
      </c>
      <c r="B578" s="10" t="s">
        <v>71</v>
      </c>
      <c r="C578" s="10" t="s">
        <v>271</v>
      </c>
      <c r="D578" s="10" t="s">
        <v>159</v>
      </c>
      <c r="E578" s="11" t="str">
        <f t="array" ref="E578">_xlfn.XLOOKUP(D578,Insumos!B:B,Insumos!C:$C)</f>
        <v>M3</v>
      </c>
      <c r="F578" s="14">
        <v>1.05</v>
      </c>
      <c r="G578" s="92">
        <f t="array" ref="G578">IF(B578="insumo",_xlfn.XLOOKUP($D578,Insumos!$B$1:$B$996,Insumos!$D$1:$D$996),"")</f>
        <v>40</v>
      </c>
      <c r="H578" s="92">
        <v>42</v>
      </c>
      <c r="I578" s="13">
        <v>0</v>
      </c>
      <c r="J578" s="13">
        <v>0</v>
      </c>
      <c r="K578" s="13"/>
      <c r="L578"/>
      <c r="M578"/>
      <c r="N578"/>
      <c r="O578"/>
      <c r="P578"/>
      <c r="Q578"/>
      <c r="R578"/>
      <c r="S578"/>
      <c r="T578"/>
      <c r="U578"/>
      <c r="V578"/>
      <c r="W578"/>
      <c r="X578"/>
      <c r="Y578"/>
      <c r="Z578"/>
      <c r="AA578"/>
      <c r="AB578"/>
      <c r="AC578"/>
      <c r="AD578"/>
      <c r="AE578"/>
      <c r="AF578"/>
      <c r="AG578"/>
      <c r="AH578"/>
      <c r="AI578"/>
      <c r="AJ578"/>
      <c r="AK578"/>
      <c r="AL578"/>
    </row>
    <row r="579" spans="1:38" ht="15.75" customHeight="1" outlineLevel="3" x14ac:dyDescent="0.2">
      <c r="A579" s="10">
        <v>62</v>
      </c>
      <c r="B579" s="10" t="s">
        <v>71</v>
      </c>
      <c r="C579" s="10" t="s">
        <v>271</v>
      </c>
      <c r="D579" s="10" t="s">
        <v>160</v>
      </c>
      <c r="E579" s="11" t="str">
        <f t="array" ref="E579">_xlfn.XLOOKUP(D579,Insumos!B:B,Insumos!C:$C)</f>
        <v>KG</v>
      </c>
      <c r="F579" s="14">
        <v>1</v>
      </c>
      <c r="G579" s="92">
        <f t="array" ref="G579">IF(B579="insumo",_xlfn.XLOOKUP($D579,Insumos!$B$1:$B$996,Insumos!$D$1:$D$996),"")</f>
        <v>0.76</v>
      </c>
      <c r="H579" s="92">
        <v>0.76</v>
      </c>
      <c r="I579" s="13">
        <v>0</v>
      </c>
      <c r="J579" s="13">
        <v>0</v>
      </c>
      <c r="K579" s="13"/>
      <c r="L579"/>
      <c r="M579"/>
      <c r="N579"/>
      <c r="O579"/>
      <c r="P579"/>
      <c r="Q579"/>
      <c r="R579"/>
      <c r="S579"/>
      <c r="T579"/>
      <c r="U579"/>
      <c r="V579"/>
      <c r="W579"/>
      <c r="X579"/>
      <c r="Y579"/>
      <c r="Z579"/>
      <c r="AA579"/>
      <c r="AB579"/>
      <c r="AC579"/>
      <c r="AD579"/>
      <c r="AE579"/>
      <c r="AF579"/>
      <c r="AG579"/>
      <c r="AH579"/>
      <c r="AI579"/>
      <c r="AJ579"/>
      <c r="AK579"/>
      <c r="AL579"/>
    </row>
    <row r="580" spans="1:38" ht="15.75" customHeight="1" outlineLevel="2" x14ac:dyDescent="0.2">
      <c r="A580" s="1067">
        <v>1</v>
      </c>
      <c r="B580" s="1067" t="s">
        <v>68</v>
      </c>
      <c r="C580" s="1067" t="s">
        <v>272</v>
      </c>
      <c r="D580" s="1067" t="s">
        <v>272</v>
      </c>
      <c r="E580" s="1068" t="s">
        <v>152</v>
      </c>
      <c r="F580" s="1067"/>
      <c r="G580" s="1069" t="str">
        <f t="array" ref="G580">IF(B580="insumo",_xlfn.XLOOKUP($D580,Insumos!$B$1:$B$996,Insumos!$D$1:$D$996),"")</f>
        <v/>
      </c>
      <c r="H580" s="1069">
        <v>654.76</v>
      </c>
      <c r="I580" s="1070">
        <v>0</v>
      </c>
      <c r="J580" s="1070">
        <v>0</v>
      </c>
      <c r="K580" s="1070"/>
      <c r="L580"/>
      <c r="M580"/>
      <c r="N580"/>
      <c r="O580"/>
      <c r="P580"/>
      <c r="Q580"/>
      <c r="R580"/>
      <c r="S580"/>
      <c r="T580"/>
      <c r="U580"/>
      <c r="V580"/>
      <c r="W580"/>
      <c r="X580"/>
      <c r="Y580"/>
      <c r="Z580"/>
      <c r="AA580"/>
      <c r="AB580"/>
      <c r="AC580"/>
      <c r="AD580"/>
      <c r="AE580"/>
      <c r="AF580"/>
      <c r="AG580"/>
      <c r="AH580"/>
      <c r="AI580"/>
      <c r="AJ580"/>
      <c r="AK580"/>
      <c r="AL580"/>
    </row>
    <row r="581" spans="1:38" ht="15.75" customHeight="1" outlineLevel="3" x14ac:dyDescent="0.2">
      <c r="A581" s="10">
        <v>4</v>
      </c>
      <c r="B581" s="10" t="s">
        <v>71</v>
      </c>
      <c r="C581" s="10" t="s">
        <v>272</v>
      </c>
      <c r="D581" s="10" t="s">
        <v>249</v>
      </c>
      <c r="E581" s="11" t="str">
        <f t="array" ref="E581">_xlfn.XLOOKUP(D581,Insumos!B:B,Insumos!C:$C)</f>
        <v>M3</v>
      </c>
      <c r="F581" s="14">
        <v>1.2</v>
      </c>
      <c r="G581" s="92">
        <f t="array" ref="G581">IF(B581="insumo",_xlfn.XLOOKUP($D581,Insumos!$B$1:$B$996,Insumos!$D$1:$D$996),"")</f>
        <v>510</v>
      </c>
      <c r="H581" s="92">
        <v>612</v>
      </c>
      <c r="I581" s="13">
        <v>0</v>
      </c>
      <c r="J581" s="13">
        <v>0</v>
      </c>
      <c r="K581" s="13"/>
      <c r="L581"/>
      <c r="M581"/>
      <c r="N581"/>
      <c r="O581"/>
      <c r="P581"/>
      <c r="Q581"/>
      <c r="R581"/>
      <c r="S581"/>
      <c r="T581"/>
      <c r="U581"/>
      <c r="V581"/>
      <c r="W581"/>
      <c r="X581"/>
      <c r="Y581"/>
      <c r="Z581"/>
      <c r="AA581"/>
      <c r="AB581"/>
      <c r="AC581"/>
      <c r="AD581"/>
      <c r="AE581"/>
      <c r="AF581"/>
      <c r="AG581"/>
      <c r="AH581"/>
      <c r="AI581"/>
      <c r="AJ581"/>
      <c r="AK581"/>
      <c r="AL581"/>
    </row>
    <row r="582" spans="1:38" ht="15.75" customHeight="1" outlineLevel="3" x14ac:dyDescent="0.2">
      <c r="A582" s="10">
        <v>25</v>
      </c>
      <c r="B582" s="10" t="s">
        <v>71</v>
      </c>
      <c r="C582" s="10" t="s">
        <v>272</v>
      </c>
      <c r="D582" s="10" t="s">
        <v>159</v>
      </c>
      <c r="E582" s="11" t="str">
        <f t="array" ref="E582">_xlfn.XLOOKUP(D582,Insumos!B:B,Insumos!C:$C)</f>
        <v>M3</v>
      </c>
      <c r="F582" s="14">
        <v>1.05</v>
      </c>
      <c r="G582" s="92">
        <f t="array" ref="G582">IF(B582="insumo",_xlfn.XLOOKUP($D582,Insumos!$B$1:$B$996,Insumos!$D$1:$D$996),"")</f>
        <v>40</v>
      </c>
      <c r="H582" s="92">
        <v>42</v>
      </c>
      <c r="I582" s="13">
        <v>0</v>
      </c>
      <c r="J582" s="13">
        <v>0</v>
      </c>
      <c r="K582" s="13"/>
      <c r="L582"/>
      <c r="M582"/>
      <c r="N582"/>
      <c r="O582"/>
      <c r="P582"/>
      <c r="Q582"/>
      <c r="R582"/>
      <c r="S582"/>
      <c r="T582"/>
      <c r="U582"/>
      <c r="V582"/>
      <c r="W582"/>
      <c r="X582"/>
      <c r="Y582"/>
      <c r="Z582"/>
      <c r="AA582"/>
      <c r="AB582"/>
      <c r="AC582"/>
      <c r="AD582"/>
      <c r="AE582"/>
      <c r="AF582"/>
      <c r="AG582"/>
      <c r="AH582"/>
      <c r="AI582"/>
      <c r="AJ582"/>
      <c r="AK582"/>
      <c r="AL582"/>
    </row>
    <row r="583" spans="1:38" ht="15.75" customHeight="1" outlineLevel="3" x14ac:dyDescent="0.2">
      <c r="A583" s="10">
        <v>62</v>
      </c>
      <c r="B583" s="10" t="s">
        <v>71</v>
      </c>
      <c r="C583" s="10" t="s">
        <v>272</v>
      </c>
      <c r="D583" s="10" t="s">
        <v>160</v>
      </c>
      <c r="E583" s="11" t="str">
        <f t="array" ref="E583">_xlfn.XLOOKUP(D583,Insumos!B:B,Insumos!C:$C)</f>
        <v>KG</v>
      </c>
      <c r="F583" s="14">
        <v>1</v>
      </c>
      <c r="G583" s="92">
        <f t="array" ref="G583">IF(B583="insumo",_xlfn.XLOOKUP($D583,Insumos!$B$1:$B$996,Insumos!$D$1:$D$996),"")</f>
        <v>0.76</v>
      </c>
      <c r="H583" s="92">
        <v>0.76</v>
      </c>
      <c r="I583" s="13">
        <v>0</v>
      </c>
      <c r="J583" s="13">
        <v>0</v>
      </c>
      <c r="K583" s="13"/>
      <c r="L583"/>
      <c r="M583"/>
      <c r="N583"/>
      <c r="O583"/>
      <c r="P583"/>
      <c r="Q583"/>
      <c r="R583"/>
      <c r="S583"/>
      <c r="T583"/>
      <c r="U583"/>
      <c r="V583"/>
      <c r="W583"/>
      <c r="X583"/>
      <c r="Y583"/>
      <c r="Z583"/>
      <c r="AA583"/>
      <c r="AB583"/>
      <c r="AC583"/>
      <c r="AD583"/>
      <c r="AE583"/>
      <c r="AF583"/>
      <c r="AG583"/>
      <c r="AH583"/>
      <c r="AI583"/>
      <c r="AJ583"/>
      <c r="AK583"/>
      <c r="AL583"/>
    </row>
    <row r="584" spans="1:38" ht="15.75" customHeight="1" outlineLevel="1" x14ac:dyDescent="0.2">
      <c r="A584" s="1090">
        <v>6</v>
      </c>
      <c r="B584" s="1090" t="s">
        <v>1228</v>
      </c>
      <c r="C584" s="1090" t="s">
        <v>272</v>
      </c>
      <c r="D584" s="1090" t="s">
        <v>1441</v>
      </c>
      <c r="E584" s="1091"/>
      <c r="F584" s="1092"/>
      <c r="G584" s="1091"/>
      <c r="H584" s="1091">
        <v>0</v>
      </c>
      <c r="I584" s="1092">
        <v>0</v>
      </c>
      <c r="J584" s="1092">
        <v>0</v>
      </c>
      <c r="K584" s="1092"/>
      <c r="L584"/>
      <c r="M584"/>
      <c r="N584"/>
      <c r="O584"/>
      <c r="P584"/>
      <c r="Q584"/>
      <c r="R584"/>
      <c r="S584"/>
      <c r="T584"/>
      <c r="U584"/>
      <c r="V584"/>
      <c r="W584"/>
      <c r="X584"/>
      <c r="Y584"/>
      <c r="Z584"/>
      <c r="AA584"/>
      <c r="AB584"/>
      <c r="AC584"/>
      <c r="AD584"/>
      <c r="AE584"/>
      <c r="AF584"/>
      <c r="AG584"/>
      <c r="AH584"/>
      <c r="AI584"/>
      <c r="AJ584"/>
      <c r="AK584"/>
      <c r="AL584"/>
    </row>
    <row r="585" spans="1:38" ht="15.75" customHeight="1" outlineLevel="2" x14ac:dyDescent="0.2">
      <c r="A585" s="1067">
        <v>1</v>
      </c>
      <c r="B585" s="1067" t="s">
        <v>68</v>
      </c>
      <c r="C585" s="1067" t="s">
        <v>273</v>
      </c>
      <c r="D585" s="1067" t="s">
        <v>273</v>
      </c>
      <c r="E585" s="1068" t="str">
        <f t="array" ref="E585">_xlfn.XLOOKUP(D585,Insumos!B:B,Insumos!C:$C)</f>
        <v>M2</v>
      </c>
      <c r="F585" s="1067"/>
      <c r="G585" s="1069" t="str">
        <f t="array" ref="G585">IF(B585="insumo",_xlfn.XLOOKUP($D585,Insumos!$B$1:$B$996,Insumos!$D$1:$D$996),"")</f>
        <v/>
      </c>
      <c r="H585" s="1069">
        <v>166.34420509708701</v>
      </c>
      <c r="I585" s="1070">
        <v>0</v>
      </c>
      <c r="J585" s="1070">
        <v>0</v>
      </c>
      <c r="K585" s="1070"/>
      <c r="L585"/>
      <c r="M585"/>
      <c r="N585"/>
      <c r="O585"/>
      <c r="P585"/>
      <c r="Q585"/>
      <c r="R585"/>
      <c r="S585"/>
      <c r="T585"/>
      <c r="U585"/>
      <c r="V585"/>
      <c r="W585"/>
      <c r="X585"/>
      <c r="Y585"/>
      <c r="Z585"/>
      <c r="AA585"/>
      <c r="AB585"/>
      <c r="AC585"/>
      <c r="AD585"/>
      <c r="AE585"/>
      <c r="AF585"/>
      <c r="AG585"/>
      <c r="AH585"/>
      <c r="AI585"/>
      <c r="AJ585"/>
      <c r="AK585"/>
      <c r="AL585"/>
    </row>
    <row r="586" spans="1:38" ht="15.75" customHeight="1" outlineLevel="3" x14ac:dyDescent="0.2">
      <c r="A586" s="10">
        <v>1</v>
      </c>
      <c r="B586" s="10" t="s">
        <v>71</v>
      </c>
      <c r="C586" s="10" t="s">
        <v>273</v>
      </c>
      <c r="D586" s="10" t="s">
        <v>273</v>
      </c>
      <c r="E586" s="11" t="str">
        <f t="array" ref="E586">_xlfn.XLOOKUP(D586,Insumos!B:B,Insumos!C:$C)</f>
        <v>M2</v>
      </c>
      <c r="F586" s="14">
        <v>1</v>
      </c>
      <c r="G586" s="92">
        <f t="array" ref="G586">IF(B586="insumo",_xlfn.XLOOKUP($D586,Insumos!$B$1:$B$996,Insumos!$D$1:$D$996),"")</f>
        <v>166.34420509708741</v>
      </c>
      <c r="H586" s="92">
        <v>166.34420509708701</v>
      </c>
      <c r="I586" s="13">
        <v>0</v>
      </c>
      <c r="J586" s="13">
        <v>0</v>
      </c>
      <c r="K586" s="13"/>
      <c r="L586"/>
      <c r="M586"/>
      <c r="N586"/>
      <c r="O586"/>
      <c r="P586"/>
      <c r="Q586"/>
      <c r="R586"/>
      <c r="S586"/>
      <c r="T586"/>
      <c r="U586"/>
      <c r="V586"/>
      <c r="W586"/>
      <c r="X586"/>
      <c r="Y586"/>
      <c r="Z586"/>
      <c r="AA586"/>
      <c r="AB586"/>
      <c r="AC586"/>
      <c r="AD586"/>
      <c r="AE586"/>
      <c r="AF586"/>
      <c r="AG586"/>
      <c r="AH586"/>
      <c r="AI586"/>
      <c r="AJ586"/>
      <c r="AK586"/>
      <c r="AL586"/>
    </row>
    <row r="587" spans="1:38" ht="15.75" customHeight="1" x14ac:dyDescent="0.2">
      <c r="A587" s="7">
        <v>1</v>
      </c>
      <c r="B587" s="7" t="s">
        <v>66</v>
      </c>
      <c r="C587" s="7" t="s">
        <v>273</v>
      </c>
      <c r="D587" s="7" t="s">
        <v>42</v>
      </c>
      <c r="E587" s="8"/>
      <c r="F587" s="9"/>
      <c r="G587" s="91" t="str">
        <f t="array" ref="G587">IF(B587="insumo",_xlfn.XLOOKUP($D587,Insumos!$B$1:$B$996,Insumos!$D$1:$D$996),"")</f>
        <v/>
      </c>
      <c r="H587" s="91">
        <v>0</v>
      </c>
      <c r="I587" s="9">
        <v>0</v>
      </c>
      <c r="J587" s="9">
        <v>0</v>
      </c>
      <c r="K587" s="9"/>
      <c r="L587"/>
      <c r="M587"/>
      <c r="N587"/>
      <c r="O587"/>
      <c r="P587"/>
      <c r="Q587"/>
      <c r="R587"/>
      <c r="S587"/>
      <c r="T587"/>
      <c r="U587"/>
      <c r="V587"/>
      <c r="W587"/>
      <c r="X587"/>
      <c r="Y587"/>
      <c r="Z587"/>
      <c r="AA587"/>
      <c r="AB587"/>
      <c r="AC587"/>
      <c r="AD587"/>
      <c r="AE587"/>
      <c r="AF587"/>
      <c r="AG587"/>
      <c r="AH587"/>
      <c r="AI587"/>
      <c r="AJ587"/>
      <c r="AK587"/>
      <c r="AL587"/>
    </row>
    <row r="588" spans="1:38" ht="15.75" customHeight="1" outlineLevel="1" x14ac:dyDescent="0.2">
      <c r="A588" s="1090">
        <v>3</v>
      </c>
      <c r="B588" s="1090" t="s">
        <v>1228</v>
      </c>
      <c r="C588" s="1090" t="s">
        <v>273</v>
      </c>
      <c r="D588" s="1090" t="s">
        <v>1738</v>
      </c>
      <c r="E588" s="1091"/>
      <c r="F588" s="1092"/>
      <c r="G588" s="1091"/>
      <c r="H588" s="1091">
        <v>0</v>
      </c>
      <c r="I588" s="1092">
        <v>0</v>
      </c>
      <c r="J588" s="1092">
        <v>0</v>
      </c>
      <c r="K588" s="1092"/>
      <c r="L588"/>
      <c r="M588"/>
      <c r="N588"/>
      <c r="O588"/>
      <c r="P588"/>
      <c r="Q588"/>
      <c r="R588"/>
      <c r="S588"/>
      <c r="T588"/>
      <c r="U588"/>
      <c r="V588"/>
      <c r="W588"/>
      <c r="X588"/>
      <c r="Y588"/>
      <c r="Z588"/>
      <c r="AA588"/>
      <c r="AB588"/>
      <c r="AC588"/>
      <c r="AD588"/>
      <c r="AE588"/>
      <c r="AF588"/>
      <c r="AG588"/>
      <c r="AH588"/>
      <c r="AI588"/>
      <c r="AJ588"/>
      <c r="AK588"/>
      <c r="AL588"/>
    </row>
    <row r="589" spans="1:38" ht="15.75" customHeight="1" outlineLevel="2" x14ac:dyDescent="0.2">
      <c r="A589" s="1067">
        <v>1</v>
      </c>
      <c r="B589" s="1067" t="s">
        <v>68</v>
      </c>
      <c r="C589" s="1067" t="s">
        <v>274</v>
      </c>
      <c r="D589" s="1067" t="s">
        <v>274</v>
      </c>
      <c r="E589" s="1068" t="s">
        <v>70</v>
      </c>
      <c r="F589" s="1067"/>
      <c r="G589" s="1069" t="str">
        <f t="array" ref="G589">IF(B589="insumo",_xlfn.XLOOKUP($D589,Insumos!$B$1:$B$996,Insumos!$D$1:$D$996),"")</f>
        <v/>
      </c>
      <c r="H589" s="1069">
        <v>65.418450000000007</v>
      </c>
      <c r="I589" s="1070">
        <v>0</v>
      </c>
      <c r="J589" s="1070">
        <v>0</v>
      </c>
      <c r="K589" s="1070"/>
      <c r="L589"/>
      <c r="M589"/>
      <c r="N589"/>
      <c r="O589"/>
      <c r="P589"/>
      <c r="Q589"/>
      <c r="R589"/>
      <c r="S589"/>
      <c r="T589"/>
      <c r="U589"/>
      <c r="V589"/>
      <c r="W589"/>
      <c r="X589"/>
      <c r="Y589"/>
      <c r="Z589"/>
      <c r="AA589"/>
      <c r="AB589"/>
      <c r="AC589"/>
      <c r="AD589"/>
      <c r="AE589"/>
      <c r="AF589"/>
      <c r="AG589"/>
      <c r="AH589"/>
      <c r="AI589"/>
      <c r="AJ589"/>
      <c r="AK589"/>
      <c r="AL589"/>
    </row>
    <row r="590" spans="1:38" ht="15.75" customHeight="1" outlineLevel="3" x14ac:dyDescent="0.2">
      <c r="A590" s="10">
        <v>40</v>
      </c>
      <c r="B590" s="10" t="s">
        <v>71</v>
      </c>
      <c r="C590" s="10" t="s">
        <v>274</v>
      </c>
      <c r="D590" s="10" t="s">
        <v>87</v>
      </c>
      <c r="E590" s="11" t="str">
        <f t="array" ref="E590">_xlfn.XLOOKUP(D590,Insumos!B:B,Insumos!C:$C)</f>
        <v>KG</v>
      </c>
      <c r="F590" s="14">
        <v>9.5000000000000001E-2</v>
      </c>
      <c r="G590" s="92">
        <f t="array" ref="G590">IF(B590="insumo",_xlfn.XLOOKUP($D590,Insumos!$B$1:$B$996,Insumos!$D$1:$D$996),"")</f>
        <v>18.13</v>
      </c>
      <c r="H590" s="92">
        <v>1.72235</v>
      </c>
      <c r="I590" s="13">
        <v>0</v>
      </c>
      <c r="J590" s="13">
        <v>0</v>
      </c>
      <c r="K590" s="13"/>
      <c r="L590"/>
      <c r="M590"/>
      <c r="N590"/>
      <c r="O590"/>
      <c r="P590"/>
      <c r="Q590"/>
      <c r="R590"/>
      <c r="S590"/>
      <c r="T590"/>
      <c r="U590"/>
      <c r="V590"/>
      <c r="W590"/>
      <c r="X590"/>
      <c r="Y590"/>
      <c r="Z590"/>
      <c r="AA590"/>
      <c r="AB590"/>
      <c r="AC590"/>
      <c r="AD590"/>
      <c r="AE590"/>
      <c r="AF590"/>
      <c r="AG590"/>
      <c r="AH590"/>
      <c r="AI590"/>
      <c r="AJ590"/>
      <c r="AK590"/>
      <c r="AL590"/>
    </row>
    <row r="591" spans="1:38" ht="15.75" customHeight="1" outlineLevel="3" x14ac:dyDescent="0.2">
      <c r="A591" s="10">
        <v>10</v>
      </c>
      <c r="B591" s="10" t="s">
        <v>71</v>
      </c>
      <c r="C591" s="10" t="s">
        <v>274</v>
      </c>
      <c r="D591" s="10" t="s">
        <v>233</v>
      </c>
      <c r="E591" s="11" t="str">
        <f t="array" ref="E591">_xlfn.XLOOKUP(D591,Insumos!B:B,Insumos!C:$C)</f>
        <v>L</v>
      </c>
      <c r="F591" s="14">
        <v>1.7000000000000001E-2</v>
      </c>
      <c r="G591" s="92">
        <f t="array" ref="G591">IF(B591="insumo",_xlfn.XLOOKUP($D591,Insumos!$B$1:$B$996,Insumos!$D$1:$D$996),"")</f>
        <v>15.55</v>
      </c>
      <c r="H591" s="92">
        <v>0.26434999999999997</v>
      </c>
      <c r="I591" s="13">
        <v>0</v>
      </c>
      <c r="J591" s="13">
        <v>0</v>
      </c>
      <c r="K591" s="13"/>
      <c r="L591"/>
      <c r="M591"/>
      <c r="N591"/>
      <c r="O591"/>
      <c r="P591"/>
      <c r="Q591"/>
      <c r="R591"/>
      <c r="S591"/>
      <c r="T591"/>
      <c r="U591"/>
      <c r="V591"/>
      <c r="W591"/>
      <c r="X591"/>
      <c r="Y591"/>
      <c r="Z591"/>
      <c r="AA591"/>
      <c r="AB591"/>
      <c r="AC591"/>
      <c r="AD591"/>
      <c r="AE591"/>
      <c r="AF591"/>
      <c r="AG591"/>
      <c r="AH591"/>
      <c r="AI591"/>
      <c r="AJ591"/>
      <c r="AK591"/>
      <c r="AL591"/>
    </row>
    <row r="592" spans="1:38" ht="15.75" customHeight="1" outlineLevel="3" x14ac:dyDescent="0.2">
      <c r="A592" s="10">
        <v>25</v>
      </c>
      <c r="B592" s="10" t="s">
        <v>71</v>
      </c>
      <c r="C592" s="10" t="s">
        <v>274</v>
      </c>
      <c r="D592" s="10" t="s">
        <v>84</v>
      </c>
      <c r="E592" s="11" t="str">
        <f t="array" ref="E592">_xlfn.XLOOKUP(D592,Insumos!B:B,Insumos!C:$C)</f>
        <v>M</v>
      </c>
      <c r="F592" s="14">
        <v>0.44857142857142857</v>
      </c>
      <c r="G592" s="92">
        <f t="array" ref="G592">IF(B592="insumo",_xlfn.XLOOKUP($D592,Insumos!$B$1:$B$996,Insumos!$D$1:$D$996),"")</f>
        <v>7</v>
      </c>
      <c r="H592" s="92">
        <v>3.14</v>
      </c>
      <c r="I592" s="13">
        <v>0</v>
      </c>
      <c r="J592" s="13">
        <v>0</v>
      </c>
      <c r="K592" s="13"/>
      <c r="L592"/>
      <c r="M592"/>
      <c r="N592"/>
      <c r="O592"/>
      <c r="P592"/>
      <c r="Q592"/>
      <c r="R592"/>
      <c r="S592"/>
      <c r="T592"/>
      <c r="U592"/>
      <c r="V592"/>
      <c r="W592"/>
      <c r="X592"/>
      <c r="Y592"/>
      <c r="Z592"/>
      <c r="AA592"/>
      <c r="AB592"/>
      <c r="AC592"/>
      <c r="AD592"/>
      <c r="AE592"/>
      <c r="AF592"/>
      <c r="AG592"/>
      <c r="AH592"/>
      <c r="AI592"/>
      <c r="AJ592"/>
      <c r="AK592"/>
      <c r="AL592"/>
    </row>
    <row r="593" spans="1:38" ht="15.75" customHeight="1" outlineLevel="3" x14ac:dyDescent="0.2">
      <c r="A593" s="10">
        <v>19</v>
      </c>
      <c r="B593" s="10" t="s">
        <v>71</v>
      </c>
      <c r="C593" s="10" t="s">
        <v>274</v>
      </c>
      <c r="D593" s="10" t="s">
        <v>129</v>
      </c>
      <c r="E593" s="11" t="str">
        <f t="array" ref="E593">_xlfn.XLOOKUP(D593,Insumos!B:B,Insumos!C:$C)</f>
        <v>M3</v>
      </c>
      <c r="F593" s="14">
        <v>1.2570000000000001E-3</v>
      </c>
      <c r="G593" s="92">
        <f t="array" ref="G593">IF(B593="insumo",_xlfn.XLOOKUP($D593,Insumos!$B$1:$B$996,Insumos!$D$1:$D$996),"")</f>
        <v>1350</v>
      </c>
      <c r="H593" s="92">
        <v>1.69695</v>
      </c>
      <c r="I593" s="13">
        <v>0</v>
      </c>
      <c r="J593" s="13">
        <v>0</v>
      </c>
      <c r="K593" s="13"/>
      <c r="L593"/>
      <c r="M593"/>
      <c r="N593"/>
      <c r="O593"/>
      <c r="P593"/>
      <c r="Q593"/>
      <c r="R593"/>
      <c r="S593"/>
      <c r="T593"/>
      <c r="U593"/>
      <c r="V593"/>
      <c r="W593"/>
      <c r="X593"/>
      <c r="Y593"/>
      <c r="Z593"/>
      <c r="AA593"/>
      <c r="AB593"/>
      <c r="AC593"/>
      <c r="AD593"/>
      <c r="AE593"/>
      <c r="AF593"/>
      <c r="AG593"/>
      <c r="AH593"/>
      <c r="AI593"/>
      <c r="AJ593"/>
      <c r="AK593"/>
      <c r="AL593"/>
    </row>
    <row r="594" spans="1:38" ht="15.75" customHeight="1" outlineLevel="3" x14ac:dyDescent="0.2">
      <c r="A594" s="10">
        <v>3</v>
      </c>
      <c r="B594" s="10" t="s">
        <v>71</v>
      </c>
      <c r="C594" s="10" t="s">
        <v>274</v>
      </c>
      <c r="D594" s="10" t="s">
        <v>275</v>
      </c>
      <c r="E594" s="11" t="str">
        <f t="array" ref="E594">_xlfn.XLOOKUP(D594,Insumos!B:B,Insumos!C:$C)</f>
        <v>M</v>
      </c>
      <c r="F594" s="14">
        <v>1.38</v>
      </c>
      <c r="G594" s="92">
        <f t="array" ref="G594">IF(B594="insumo",_xlfn.XLOOKUP($D594,Insumos!$B$1:$B$996,Insumos!$D$1:$D$996),"")</f>
        <v>42.46</v>
      </c>
      <c r="H594" s="92">
        <v>58.594799999999999</v>
      </c>
      <c r="I594" s="13">
        <v>0</v>
      </c>
      <c r="J594" s="13">
        <v>0</v>
      </c>
      <c r="K594" s="13"/>
      <c r="L594"/>
      <c r="M594"/>
      <c r="N594"/>
      <c r="O594"/>
      <c r="P594"/>
      <c r="Q594"/>
      <c r="R594"/>
      <c r="S594"/>
      <c r="T594"/>
      <c r="U594"/>
      <c r="V594"/>
      <c r="W594"/>
      <c r="X594"/>
      <c r="Y594"/>
      <c r="Z594"/>
      <c r="AA594"/>
      <c r="AB594"/>
      <c r="AC594"/>
      <c r="AD594"/>
      <c r="AE594"/>
      <c r="AF594"/>
      <c r="AG594"/>
      <c r="AH594"/>
      <c r="AI594"/>
      <c r="AJ594"/>
      <c r="AK594"/>
      <c r="AL594"/>
    </row>
    <row r="595" spans="1:38" ht="15.75" customHeight="1" outlineLevel="2" x14ac:dyDescent="0.2">
      <c r="A595" s="1067">
        <v>1</v>
      </c>
      <c r="B595" s="1067" t="s">
        <v>68</v>
      </c>
      <c r="C595" s="1067" t="s">
        <v>276</v>
      </c>
      <c r="D595" s="1067" t="s">
        <v>276</v>
      </c>
      <c r="E595" s="1068" t="s">
        <v>70</v>
      </c>
      <c r="F595" s="1067"/>
      <c r="G595" s="1069" t="str">
        <f t="array" ref="G595">IF(B595="insumo",_xlfn.XLOOKUP($D595,Insumos!$B$1:$B$996,Insumos!$D$1:$D$996),"")</f>
        <v/>
      </c>
      <c r="H595" s="1069">
        <v>117.15402760330601</v>
      </c>
      <c r="I595" s="1070">
        <v>0</v>
      </c>
      <c r="J595" s="1070">
        <v>0</v>
      </c>
      <c r="K595" s="1070"/>
      <c r="L595"/>
      <c r="M595"/>
      <c r="N595"/>
      <c r="O595"/>
      <c r="P595"/>
      <c r="Q595"/>
      <c r="R595"/>
      <c r="S595"/>
      <c r="T595"/>
      <c r="U595"/>
      <c r="V595"/>
      <c r="W595"/>
      <c r="X595"/>
      <c r="Y595"/>
      <c r="Z595"/>
      <c r="AA595"/>
      <c r="AB595"/>
      <c r="AC595"/>
      <c r="AD595"/>
      <c r="AE595"/>
      <c r="AF595"/>
      <c r="AG595"/>
      <c r="AH595"/>
      <c r="AI595"/>
      <c r="AJ595"/>
      <c r="AK595"/>
      <c r="AL595"/>
    </row>
    <row r="596" spans="1:38" ht="15.75" customHeight="1" outlineLevel="3" x14ac:dyDescent="0.2">
      <c r="A596" s="10">
        <v>40</v>
      </c>
      <c r="B596" s="10" t="s">
        <v>71</v>
      </c>
      <c r="C596" s="10" t="s">
        <v>276</v>
      </c>
      <c r="D596" s="10" t="s">
        <v>87</v>
      </c>
      <c r="E596" s="11" t="str">
        <f t="array" ref="E596">_xlfn.XLOOKUP(D596,Insumos!B:B,Insumos!C:$C)</f>
        <v>KG</v>
      </c>
      <c r="F596" s="14">
        <v>0.20799999999999999</v>
      </c>
      <c r="G596" s="92">
        <f t="array" ref="G596">IF(B596="insumo",_xlfn.XLOOKUP($D596,Insumos!$B$1:$B$996,Insumos!$D$1:$D$996),"")</f>
        <v>18.13</v>
      </c>
      <c r="H596" s="92">
        <v>3.7710400000000002</v>
      </c>
      <c r="I596" s="13">
        <v>0</v>
      </c>
      <c r="J596" s="13">
        <v>0</v>
      </c>
      <c r="K596" s="13"/>
      <c r="L596"/>
      <c r="M596"/>
      <c r="N596"/>
      <c r="O596"/>
      <c r="P596"/>
      <c r="Q596"/>
      <c r="R596"/>
      <c r="S596"/>
      <c r="T596"/>
      <c r="U596"/>
      <c r="V596"/>
      <c r="W596"/>
      <c r="X596"/>
      <c r="Y596"/>
      <c r="Z596"/>
      <c r="AA596"/>
      <c r="AB596"/>
      <c r="AC596"/>
      <c r="AD596"/>
      <c r="AE596"/>
      <c r="AF596"/>
      <c r="AG596"/>
      <c r="AH596"/>
      <c r="AI596"/>
      <c r="AJ596"/>
      <c r="AK596"/>
      <c r="AL596"/>
    </row>
    <row r="597" spans="1:38" ht="15.75" customHeight="1" outlineLevel="3" x14ac:dyDescent="0.2">
      <c r="A597" s="10">
        <v>1</v>
      </c>
      <c r="B597" s="10" t="s">
        <v>71</v>
      </c>
      <c r="C597" s="10" t="s">
        <v>276</v>
      </c>
      <c r="D597" s="10" t="s">
        <v>277</v>
      </c>
      <c r="E597" s="11" t="str">
        <f t="array" ref="E597">_xlfn.XLOOKUP(D597,Insumos!B:B,Insumos!C:$C)</f>
        <v>M2</v>
      </c>
      <c r="F597" s="14">
        <v>1.3360000000000001</v>
      </c>
      <c r="G597" s="92">
        <f t="array" ref="G597">IF(B597="insumo",_xlfn.XLOOKUP($D597,Insumos!$B$1:$B$996,Insumos!$D$1:$D$996),"")</f>
        <v>59.297520661157016</v>
      </c>
      <c r="H597" s="92">
        <v>79.221487603305803</v>
      </c>
      <c r="I597" s="13">
        <v>0</v>
      </c>
      <c r="J597" s="13">
        <v>0</v>
      </c>
      <c r="K597" s="13"/>
      <c r="L597"/>
      <c r="M597"/>
      <c r="N597"/>
      <c r="O597"/>
      <c r="P597"/>
      <c r="Q597"/>
      <c r="R597"/>
      <c r="S597"/>
      <c r="T597"/>
      <c r="U597"/>
      <c r="V597"/>
      <c r="W597"/>
      <c r="X597"/>
      <c r="Y597"/>
      <c r="Z597"/>
      <c r="AA597"/>
      <c r="AB597"/>
      <c r="AC597"/>
      <c r="AD597"/>
      <c r="AE597"/>
      <c r="AF597"/>
      <c r="AG597"/>
      <c r="AH597"/>
      <c r="AI597"/>
      <c r="AJ597"/>
      <c r="AK597"/>
      <c r="AL597"/>
    </row>
    <row r="598" spans="1:38" ht="15.75" customHeight="1" outlineLevel="3" x14ac:dyDescent="0.2">
      <c r="A598" s="10">
        <v>25</v>
      </c>
      <c r="B598" s="10" t="s">
        <v>71</v>
      </c>
      <c r="C598" s="10" t="s">
        <v>276</v>
      </c>
      <c r="D598" s="10" t="s">
        <v>84</v>
      </c>
      <c r="E598" s="11" t="str">
        <f t="array" ref="E598">_xlfn.XLOOKUP(D598,Insumos!B:B,Insumos!C:$C)</f>
        <v>M</v>
      </c>
      <c r="F598" s="14">
        <v>0.42714285714285716</v>
      </c>
      <c r="G598" s="92">
        <f t="array" ref="G598">IF(B598="insumo",_xlfn.XLOOKUP($D598,Insumos!$B$1:$B$996,Insumos!$D$1:$D$996),"")</f>
        <v>7</v>
      </c>
      <c r="H598" s="92">
        <v>2.99</v>
      </c>
      <c r="I598" s="13">
        <v>0</v>
      </c>
      <c r="J598" s="13">
        <v>0</v>
      </c>
      <c r="K598" s="13"/>
      <c r="L598"/>
      <c r="M598"/>
      <c r="N598"/>
      <c r="O598"/>
      <c r="P598"/>
      <c r="Q598"/>
      <c r="R598"/>
      <c r="S598"/>
      <c r="T598"/>
      <c r="U598"/>
      <c r="V598"/>
      <c r="W598"/>
      <c r="X598"/>
      <c r="Y598"/>
      <c r="Z598"/>
      <c r="AA598"/>
      <c r="AB598"/>
      <c r="AC598"/>
      <c r="AD598"/>
      <c r="AE598"/>
      <c r="AF598"/>
      <c r="AG598"/>
      <c r="AH598"/>
      <c r="AI598"/>
      <c r="AJ598"/>
      <c r="AK598"/>
      <c r="AL598"/>
    </row>
    <row r="599" spans="1:38" ht="15.75" customHeight="1" outlineLevel="3" x14ac:dyDescent="0.2">
      <c r="A599" s="10">
        <v>19</v>
      </c>
      <c r="B599" s="10" t="s">
        <v>71</v>
      </c>
      <c r="C599" s="10" t="s">
        <v>276</v>
      </c>
      <c r="D599" s="10" t="s">
        <v>129</v>
      </c>
      <c r="E599" s="11" t="str">
        <f t="array" ref="E599">_xlfn.XLOOKUP(D599,Insumos!B:B,Insumos!C:$C)</f>
        <v>M3</v>
      </c>
      <c r="F599" s="14">
        <v>2.3089999999999999E-2</v>
      </c>
      <c r="G599" s="92">
        <f t="array" ref="G599">IF(B599="insumo",_xlfn.XLOOKUP($D599,Insumos!$B$1:$B$996,Insumos!$D$1:$D$996),"")</f>
        <v>1350</v>
      </c>
      <c r="H599" s="92">
        <v>31.171500000000002</v>
      </c>
      <c r="I599" s="13">
        <v>0</v>
      </c>
      <c r="J599" s="13">
        <v>0</v>
      </c>
      <c r="K599" s="13"/>
      <c r="L599"/>
      <c r="M599"/>
      <c r="N599"/>
      <c r="O599"/>
      <c r="P599"/>
      <c r="Q599"/>
      <c r="R599"/>
      <c r="S599"/>
      <c r="T599"/>
      <c r="U599"/>
      <c r="V599"/>
      <c r="W599"/>
      <c r="X599"/>
      <c r="Y599"/>
      <c r="Z599"/>
      <c r="AA599"/>
      <c r="AB599"/>
      <c r="AC599"/>
      <c r="AD599"/>
      <c r="AE599"/>
      <c r="AF599"/>
      <c r="AG599"/>
      <c r="AH599"/>
      <c r="AI599"/>
      <c r="AJ599"/>
      <c r="AK599"/>
      <c r="AL599"/>
    </row>
    <row r="600" spans="1:38" ht="15.75" customHeight="1" outlineLevel="2" x14ac:dyDescent="0.2">
      <c r="A600" s="1067">
        <v>1</v>
      </c>
      <c r="B600" s="1067" t="s">
        <v>68</v>
      </c>
      <c r="C600" s="1067" t="s">
        <v>278</v>
      </c>
      <c r="D600" s="1067" t="s">
        <v>278</v>
      </c>
      <c r="E600" s="1068" t="s">
        <v>70</v>
      </c>
      <c r="F600" s="1067"/>
      <c r="G600" s="1069" t="str">
        <f t="array" ref="G600">IF(B600="insumo",_xlfn.XLOOKUP($D600,Insumos!$B$1:$B$996,Insumos!$D$1:$D$996),"")</f>
        <v/>
      </c>
      <c r="H600" s="1069">
        <v>81.411944285714299</v>
      </c>
      <c r="I600" s="1070">
        <v>0</v>
      </c>
      <c r="J600" s="1070">
        <v>0</v>
      </c>
      <c r="K600" s="1070"/>
      <c r="L600"/>
      <c r="M600"/>
      <c r="N600"/>
      <c r="O600"/>
      <c r="P600"/>
      <c r="Q600"/>
      <c r="R600"/>
      <c r="S600"/>
      <c r="T600"/>
      <c r="U600"/>
      <c r="V600"/>
      <c r="W600"/>
      <c r="X600"/>
      <c r="Y600"/>
      <c r="Z600"/>
      <c r="AA600"/>
      <c r="AB600"/>
      <c r="AC600"/>
      <c r="AD600"/>
      <c r="AE600"/>
      <c r="AF600"/>
      <c r="AG600"/>
      <c r="AH600"/>
      <c r="AI600"/>
      <c r="AJ600"/>
      <c r="AK600"/>
      <c r="AL600"/>
    </row>
    <row r="601" spans="1:38" ht="15.75" customHeight="1" outlineLevel="3" x14ac:dyDescent="0.2">
      <c r="A601" s="10">
        <v>40</v>
      </c>
      <c r="B601" s="10" t="s">
        <v>71</v>
      </c>
      <c r="C601" s="10" t="s">
        <v>278</v>
      </c>
      <c r="D601" s="10" t="s">
        <v>87</v>
      </c>
      <c r="E601" s="11" t="str">
        <f t="array" ref="E601">_xlfn.XLOOKUP(D601,Insumos!B:B,Insumos!C:$C)</f>
        <v>KG</v>
      </c>
      <c r="F601" s="14">
        <v>0.159</v>
      </c>
      <c r="G601" s="92">
        <f t="array" ref="G601">IF(B601="insumo",_xlfn.XLOOKUP($D601,Insumos!$B$1:$B$996,Insumos!$D$1:$D$996),"")</f>
        <v>18.13</v>
      </c>
      <c r="H601" s="92">
        <v>2.8826700000000001</v>
      </c>
      <c r="I601" s="13">
        <v>0</v>
      </c>
      <c r="J601" s="13">
        <v>0</v>
      </c>
      <c r="K601" s="13"/>
      <c r="L601"/>
      <c r="M601"/>
      <c r="N601"/>
      <c r="O601"/>
      <c r="P601"/>
      <c r="Q601"/>
      <c r="R601"/>
      <c r="S601"/>
      <c r="T601"/>
      <c r="U601"/>
      <c r="V601"/>
      <c r="W601"/>
      <c r="X601"/>
      <c r="Y601"/>
      <c r="Z601"/>
      <c r="AA601"/>
      <c r="AB601"/>
      <c r="AC601"/>
      <c r="AD601"/>
      <c r="AE601"/>
      <c r="AF601"/>
      <c r="AG601"/>
      <c r="AH601"/>
      <c r="AI601"/>
      <c r="AJ601"/>
      <c r="AK601"/>
      <c r="AL601"/>
    </row>
    <row r="602" spans="1:38" ht="15.75" customHeight="1" outlineLevel="3" x14ac:dyDescent="0.2">
      <c r="A602" s="10">
        <v>5</v>
      </c>
      <c r="B602" s="10" t="s">
        <v>71</v>
      </c>
      <c r="C602" s="10" t="s">
        <v>278</v>
      </c>
      <c r="D602" s="10" t="s">
        <v>279</v>
      </c>
      <c r="E602" s="11" t="str">
        <f t="array" ref="E602">_xlfn.XLOOKUP(D602,Insumos!B:B,Insumos!C:$C)</f>
        <v>M2</v>
      </c>
      <c r="F602" s="14">
        <v>1.1459999999999999</v>
      </c>
      <c r="G602" s="92">
        <f t="array" ref="G602">IF(B602="insumo",_xlfn.XLOOKUP($D602,Insumos!$B$1:$B$996,Insumos!$D$1:$D$996),"")</f>
        <v>46.002857142857138</v>
      </c>
      <c r="H602" s="92">
        <v>52.719274285714299</v>
      </c>
      <c r="I602" s="13">
        <v>0</v>
      </c>
      <c r="J602" s="13">
        <v>0</v>
      </c>
      <c r="K602" s="13"/>
      <c r="L602"/>
      <c r="M602"/>
      <c r="N602"/>
      <c r="O602"/>
      <c r="P602"/>
      <c r="Q602"/>
      <c r="R602"/>
      <c r="S602"/>
      <c r="T602"/>
      <c r="U602"/>
      <c r="V602"/>
      <c r="W602"/>
      <c r="X602"/>
      <c r="Y602"/>
      <c r="Z602"/>
      <c r="AA602"/>
      <c r="AB602"/>
      <c r="AC602"/>
      <c r="AD602"/>
      <c r="AE602"/>
      <c r="AF602"/>
      <c r="AG602"/>
      <c r="AH602"/>
      <c r="AI602"/>
      <c r="AJ602"/>
      <c r="AK602"/>
      <c r="AL602"/>
    </row>
    <row r="603" spans="1:38" ht="15.75" customHeight="1" outlineLevel="3" x14ac:dyDescent="0.2">
      <c r="A603" s="10">
        <v>25</v>
      </c>
      <c r="B603" s="10" t="s">
        <v>71</v>
      </c>
      <c r="C603" s="10" t="s">
        <v>278</v>
      </c>
      <c r="D603" s="10" t="s">
        <v>84</v>
      </c>
      <c r="E603" s="11" t="str">
        <f t="array" ref="E603">_xlfn.XLOOKUP(D603,Insumos!B:B,Insumos!C:$C)</f>
        <v>M</v>
      </c>
      <c r="F603" s="14">
        <v>0.33571428571428574</v>
      </c>
      <c r="G603" s="92">
        <f t="array" ref="G603">IF(B603="insumo",_xlfn.XLOOKUP($D603,Insumos!$B$1:$B$996,Insumos!$D$1:$D$996),"")</f>
        <v>7</v>
      </c>
      <c r="H603" s="92">
        <v>2.35</v>
      </c>
      <c r="I603" s="13">
        <v>0</v>
      </c>
      <c r="J603" s="13">
        <v>0</v>
      </c>
      <c r="K603" s="13"/>
      <c r="L603"/>
      <c r="M603"/>
      <c r="N603"/>
      <c r="O603"/>
      <c r="P603"/>
      <c r="Q603"/>
      <c r="R603"/>
      <c r="S603"/>
      <c r="T603"/>
      <c r="U603"/>
      <c r="V603"/>
      <c r="W603"/>
      <c r="X603"/>
      <c r="Y603"/>
      <c r="Z603"/>
      <c r="AA603"/>
      <c r="AB603"/>
      <c r="AC603"/>
      <c r="AD603"/>
      <c r="AE603"/>
      <c r="AF603"/>
      <c r="AG603"/>
      <c r="AH603"/>
      <c r="AI603"/>
      <c r="AJ603"/>
      <c r="AK603"/>
      <c r="AL603"/>
    </row>
    <row r="604" spans="1:38" ht="15.75" customHeight="1" outlineLevel="3" x14ac:dyDescent="0.2">
      <c r="A604" s="10">
        <v>19</v>
      </c>
      <c r="B604" s="10" t="s">
        <v>71</v>
      </c>
      <c r="C604" s="10" t="s">
        <v>278</v>
      </c>
      <c r="D604" s="10" t="s">
        <v>129</v>
      </c>
      <c r="E604" s="11" t="str">
        <f t="array" ref="E604">_xlfn.XLOOKUP(D604,Insumos!B:B,Insumos!C:$C)</f>
        <v>M3</v>
      </c>
      <c r="F604" s="14">
        <v>1.737777777777778E-2</v>
      </c>
      <c r="G604" s="92">
        <f t="array" ref="G604">IF(B604="insumo",_xlfn.XLOOKUP($D604,Insumos!$B$1:$B$996,Insumos!$D$1:$D$996),"")</f>
        <v>1350</v>
      </c>
      <c r="H604" s="92">
        <v>23.46</v>
      </c>
      <c r="I604" s="13">
        <v>0</v>
      </c>
      <c r="J604" s="13">
        <v>0</v>
      </c>
      <c r="K604" s="13"/>
      <c r="L604"/>
      <c r="M604"/>
      <c r="N604"/>
      <c r="O604"/>
      <c r="P604"/>
      <c r="Q604"/>
      <c r="R604"/>
      <c r="S604"/>
      <c r="T604"/>
      <c r="U604"/>
      <c r="V604"/>
      <c r="W604"/>
      <c r="X604"/>
      <c r="Y604"/>
      <c r="Z604"/>
      <c r="AA604"/>
      <c r="AB604"/>
      <c r="AC604"/>
      <c r="AD604"/>
      <c r="AE604"/>
      <c r="AF604"/>
      <c r="AG604"/>
      <c r="AH604"/>
      <c r="AI604"/>
      <c r="AJ604"/>
      <c r="AK604"/>
      <c r="AL604"/>
    </row>
    <row r="605" spans="1:38" ht="15.75" customHeight="1" outlineLevel="2" x14ac:dyDescent="0.2">
      <c r="A605" s="1067">
        <v>1</v>
      </c>
      <c r="B605" s="1067" t="s">
        <v>68</v>
      </c>
      <c r="C605" s="1067" t="s">
        <v>280</v>
      </c>
      <c r="D605" s="1067" t="s">
        <v>280</v>
      </c>
      <c r="E605" s="1068" t="s">
        <v>70</v>
      </c>
      <c r="F605" s="1067"/>
      <c r="G605" s="1069" t="str">
        <f t="array" ref="G605">IF(B605="insumo",_xlfn.XLOOKUP($D605,Insumos!$B$1:$B$996,Insumos!$D$1:$D$996),"")</f>
        <v/>
      </c>
      <c r="H605" s="1069">
        <v>55.601944285714303</v>
      </c>
      <c r="I605" s="1070">
        <v>0</v>
      </c>
      <c r="J605" s="1070">
        <v>0</v>
      </c>
      <c r="K605" s="1070"/>
      <c r="L605"/>
      <c r="M605"/>
      <c r="N605"/>
      <c r="O605"/>
      <c r="P605"/>
      <c r="Q605"/>
      <c r="R605"/>
      <c r="S605"/>
      <c r="T605"/>
      <c r="U605"/>
      <c r="V605"/>
      <c r="W605"/>
      <c r="X605"/>
      <c r="Y605"/>
      <c r="Z605"/>
      <c r="AA605"/>
      <c r="AB605"/>
      <c r="AC605"/>
      <c r="AD605"/>
      <c r="AE605"/>
      <c r="AF605"/>
      <c r="AG605"/>
      <c r="AH605"/>
      <c r="AI605"/>
      <c r="AJ605"/>
      <c r="AK605"/>
      <c r="AL605"/>
    </row>
    <row r="606" spans="1:38" ht="15.75" customHeight="1" outlineLevel="3" x14ac:dyDescent="0.2">
      <c r="A606" s="10">
        <v>40</v>
      </c>
      <c r="B606" s="10" t="s">
        <v>71</v>
      </c>
      <c r="C606" s="10" t="s">
        <v>280</v>
      </c>
      <c r="D606" s="10" t="s">
        <v>87</v>
      </c>
      <c r="E606" s="11" t="str">
        <f t="array" ref="E606">_xlfn.XLOOKUP(D606,Insumos!B:B,Insumos!C:$C)</f>
        <v>KG</v>
      </c>
      <c r="F606" s="14">
        <v>0.159</v>
      </c>
      <c r="G606" s="92">
        <f t="array" ref="G606">IF(B606="insumo",_xlfn.XLOOKUP($D606,Insumos!$B$1:$B$996,Insumos!$D$1:$D$996),"")</f>
        <v>18.13</v>
      </c>
      <c r="H606" s="92">
        <v>2.8826700000000001</v>
      </c>
      <c r="I606" s="13">
        <v>0</v>
      </c>
      <c r="J606" s="13">
        <v>0</v>
      </c>
      <c r="K606" s="13"/>
      <c r="L606"/>
      <c r="M606"/>
      <c r="N606"/>
      <c r="O606"/>
      <c r="P606"/>
      <c r="Q606"/>
      <c r="R606"/>
      <c r="S606"/>
      <c r="T606"/>
      <c r="U606"/>
      <c r="V606"/>
      <c r="W606"/>
      <c r="X606"/>
      <c r="Y606"/>
      <c r="Z606"/>
      <c r="AA606"/>
      <c r="AB606"/>
      <c r="AC606"/>
      <c r="AD606"/>
      <c r="AE606"/>
      <c r="AF606"/>
      <c r="AG606"/>
      <c r="AH606"/>
      <c r="AI606"/>
      <c r="AJ606"/>
      <c r="AK606"/>
      <c r="AL606"/>
    </row>
    <row r="607" spans="1:38" ht="15.75" customHeight="1" outlineLevel="3" x14ac:dyDescent="0.2">
      <c r="A607" s="10">
        <v>5</v>
      </c>
      <c r="B607" s="10" t="s">
        <v>71</v>
      </c>
      <c r="C607" s="10" t="s">
        <v>280</v>
      </c>
      <c r="D607" s="10" t="s">
        <v>279</v>
      </c>
      <c r="E607" s="11" t="str">
        <f t="array" ref="E607">_xlfn.XLOOKUP(D607,Insumos!B:B,Insumos!C:$C)</f>
        <v>M2</v>
      </c>
      <c r="F607" s="14">
        <v>1.1459999999999999</v>
      </c>
      <c r="G607" s="92">
        <f t="array" ref="G607">IF(B607="insumo",_xlfn.XLOOKUP($D607,Insumos!$B$1:$B$996,Insumos!$D$1:$D$996),"")</f>
        <v>46.002857142857138</v>
      </c>
      <c r="H607" s="92">
        <v>52.719274285714299</v>
      </c>
      <c r="I607" s="13">
        <v>0</v>
      </c>
      <c r="J607" s="13">
        <v>0</v>
      </c>
      <c r="K607" s="13"/>
      <c r="L607"/>
      <c r="M607"/>
      <c r="N607"/>
      <c r="O607"/>
      <c r="P607"/>
      <c r="Q607"/>
      <c r="R607"/>
      <c r="S607"/>
      <c r="T607"/>
      <c r="U607"/>
      <c r="V607"/>
      <c r="W607"/>
      <c r="X607"/>
      <c r="Y607"/>
      <c r="Z607"/>
      <c r="AA607"/>
      <c r="AB607"/>
      <c r="AC607"/>
      <c r="AD607"/>
      <c r="AE607"/>
      <c r="AF607"/>
      <c r="AG607"/>
      <c r="AH607"/>
      <c r="AI607"/>
      <c r="AJ607"/>
      <c r="AK607"/>
      <c r="AL607"/>
    </row>
    <row r="608" spans="1:38" ht="15.75" customHeight="1" outlineLevel="2" x14ac:dyDescent="0.2">
      <c r="A608" s="1067">
        <v>1</v>
      </c>
      <c r="B608" s="1067" t="s">
        <v>68</v>
      </c>
      <c r="C608" s="1067" t="s">
        <v>281</v>
      </c>
      <c r="D608" s="1067" t="s">
        <v>281</v>
      </c>
      <c r="E608" s="1068" t="s">
        <v>70</v>
      </c>
      <c r="F608" s="1067"/>
      <c r="G608" s="1069" t="str">
        <f t="array" ref="G608">IF(B608="insumo",_xlfn.XLOOKUP($D608,Insumos!$B$1:$B$996,Insumos!$D$1:$D$996),"")</f>
        <v/>
      </c>
      <c r="H608" s="1069">
        <v>99.392357142857094</v>
      </c>
      <c r="I608" s="1070">
        <v>0</v>
      </c>
      <c r="J608" s="1070">
        <v>0</v>
      </c>
      <c r="K608" s="1070"/>
      <c r="L608"/>
      <c r="M608"/>
      <c r="N608"/>
      <c r="O608"/>
      <c r="P608"/>
      <c r="Q608"/>
      <c r="R608"/>
      <c r="S608"/>
      <c r="T608"/>
      <c r="U608"/>
      <c r="V608"/>
      <c r="W608"/>
      <c r="X608"/>
      <c r="Y608"/>
      <c r="Z608"/>
      <c r="AA608"/>
      <c r="AB608"/>
      <c r="AC608"/>
      <c r="AD608"/>
      <c r="AE608"/>
      <c r="AF608"/>
      <c r="AG608"/>
      <c r="AH608"/>
      <c r="AI608"/>
      <c r="AJ608"/>
      <c r="AK608"/>
      <c r="AL608"/>
    </row>
    <row r="609" spans="1:38" ht="15.75" customHeight="1" outlineLevel="3" x14ac:dyDescent="0.2">
      <c r="A609" s="10">
        <v>40</v>
      </c>
      <c r="B609" s="10" t="s">
        <v>71</v>
      </c>
      <c r="C609" s="10" t="s">
        <v>281</v>
      </c>
      <c r="D609" s="10" t="s">
        <v>87</v>
      </c>
      <c r="E609" s="11" t="str">
        <f t="array" ref="E609">_xlfn.XLOOKUP(D609,Insumos!B:B,Insumos!C:$C)</f>
        <v>KG</v>
      </c>
      <c r="F609" s="14">
        <v>0.20799999999999999</v>
      </c>
      <c r="G609" s="92">
        <f t="array" ref="G609">IF(B609="insumo",_xlfn.XLOOKUP($D609,Insumos!$B$1:$B$996,Insumos!$D$1:$D$996),"")</f>
        <v>18.13</v>
      </c>
      <c r="H609" s="92">
        <v>3.7710400000000002</v>
      </c>
      <c r="I609" s="13">
        <v>0</v>
      </c>
      <c r="J609" s="13">
        <v>0</v>
      </c>
      <c r="K609" s="13"/>
      <c r="L609"/>
      <c r="M609"/>
      <c r="N609"/>
      <c r="O609"/>
      <c r="P609"/>
      <c r="Q609"/>
      <c r="R609"/>
      <c r="S609"/>
      <c r="T609"/>
      <c r="U609"/>
      <c r="V609"/>
      <c r="W609"/>
      <c r="X609"/>
      <c r="Y609"/>
      <c r="Z609"/>
      <c r="AA609"/>
      <c r="AB609"/>
      <c r="AC609"/>
      <c r="AD609"/>
      <c r="AE609"/>
      <c r="AF609"/>
      <c r="AG609"/>
      <c r="AH609"/>
      <c r="AI609"/>
      <c r="AJ609"/>
      <c r="AK609"/>
      <c r="AL609"/>
    </row>
    <row r="610" spans="1:38" ht="15.75" customHeight="1" outlineLevel="3" x14ac:dyDescent="0.2">
      <c r="A610" s="10">
        <v>5</v>
      </c>
      <c r="B610" s="10" t="s">
        <v>71</v>
      </c>
      <c r="C610" s="10" t="s">
        <v>281</v>
      </c>
      <c r="D610" s="10" t="s">
        <v>279</v>
      </c>
      <c r="E610" s="11" t="str">
        <f t="array" ref="E610">_xlfn.XLOOKUP(D610,Insumos!B:B,Insumos!C:$C)</f>
        <v>M2</v>
      </c>
      <c r="F610" s="14">
        <v>1.3360000000000001</v>
      </c>
      <c r="G610" s="92">
        <f t="array" ref="G610">IF(B610="insumo",_xlfn.XLOOKUP($D610,Insumos!$B$1:$B$996,Insumos!$D$1:$D$996),"")</f>
        <v>46.002857142857138</v>
      </c>
      <c r="H610" s="92">
        <v>61.459817142857098</v>
      </c>
      <c r="I610" s="13">
        <v>0</v>
      </c>
      <c r="J610" s="13">
        <v>0</v>
      </c>
      <c r="K610" s="13"/>
      <c r="L610"/>
      <c r="M610"/>
      <c r="N610"/>
      <c r="O610"/>
      <c r="P610"/>
      <c r="Q610"/>
      <c r="R610"/>
      <c r="S610"/>
      <c r="T610"/>
      <c r="U610"/>
      <c r="V610"/>
      <c r="W610"/>
      <c r="X610"/>
      <c r="Y610"/>
      <c r="Z610"/>
      <c r="AA610"/>
      <c r="AB610"/>
      <c r="AC610"/>
      <c r="AD610"/>
      <c r="AE610"/>
      <c r="AF610"/>
      <c r="AG610"/>
      <c r="AH610"/>
      <c r="AI610"/>
      <c r="AJ610"/>
      <c r="AK610"/>
      <c r="AL610"/>
    </row>
    <row r="611" spans="1:38" ht="15.75" customHeight="1" outlineLevel="3" x14ac:dyDescent="0.2">
      <c r="A611" s="10">
        <v>25</v>
      </c>
      <c r="B611" s="10" t="s">
        <v>71</v>
      </c>
      <c r="C611" s="10" t="s">
        <v>281</v>
      </c>
      <c r="D611" s="10" t="s">
        <v>84</v>
      </c>
      <c r="E611" s="11" t="str">
        <f t="array" ref="E611">_xlfn.XLOOKUP(D611,Insumos!B:B,Insumos!C:$C)</f>
        <v>M</v>
      </c>
      <c r="F611" s="14">
        <v>0.42714285714285716</v>
      </c>
      <c r="G611" s="92">
        <f t="array" ref="G611">IF(B611="insumo",_xlfn.XLOOKUP($D611,Insumos!$B$1:$B$996,Insumos!$D$1:$D$996),"")</f>
        <v>7</v>
      </c>
      <c r="H611" s="92">
        <v>2.99</v>
      </c>
      <c r="I611" s="13">
        <v>0</v>
      </c>
      <c r="J611" s="13">
        <v>0</v>
      </c>
      <c r="K611" s="13"/>
      <c r="L611"/>
      <c r="M611"/>
      <c r="N611"/>
      <c r="O611"/>
      <c r="P611"/>
      <c r="Q611"/>
      <c r="R611"/>
      <c r="S611"/>
      <c r="T611"/>
      <c r="U611"/>
      <c r="V611"/>
      <c r="W611"/>
      <c r="X611"/>
      <c r="Y611"/>
      <c r="Z611"/>
      <c r="AA611"/>
      <c r="AB611"/>
      <c r="AC611"/>
      <c r="AD611"/>
      <c r="AE611"/>
      <c r="AF611"/>
      <c r="AG611"/>
      <c r="AH611"/>
      <c r="AI611"/>
      <c r="AJ611"/>
      <c r="AK611"/>
      <c r="AL611"/>
    </row>
    <row r="612" spans="1:38" ht="15.75" customHeight="1" outlineLevel="3" x14ac:dyDescent="0.2">
      <c r="A612" s="10">
        <v>19</v>
      </c>
      <c r="B612" s="10" t="s">
        <v>71</v>
      </c>
      <c r="C612" s="10" t="s">
        <v>281</v>
      </c>
      <c r="D612" s="10" t="s">
        <v>129</v>
      </c>
      <c r="E612" s="11" t="str">
        <f t="array" ref="E612">_xlfn.XLOOKUP(D612,Insumos!B:B,Insumos!C:$C)</f>
        <v>M3</v>
      </c>
      <c r="F612" s="14">
        <v>2.3089999999999999E-2</v>
      </c>
      <c r="G612" s="92">
        <f t="array" ref="G612">IF(B612="insumo",_xlfn.XLOOKUP($D612,Insumos!$B$1:$B$996,Insumos!$D$1:$D$996),"")</f>
        <v>1350</v>
      </c>
      <c r="H612" s="92">
        <v>31.171500000000002</v>
      </c>
      <c r="I612" s="13">
        <v>0</v>
      </c>
      <c r="J612" s="13">
        <v>0</v>
      </c>
      <c r="K612" s="13"/>
      <c r="L612"/>
      <c r="M612"/>
      <c r="N612"/>
      <c r="O612"/>
      <c r="P612"/>
      <c r="Q612"/>
      <c r="R612"/>
      <c r="S612"/>
      <c r="T612"/>
      <c r="U612"/>
      <c r="V612"/>
      <c r="W612"/>
      <c r="X612"/>
      <c r="Y612"/>
      <c r="Z612"/>
      <c r="AA612"/>
      <c r="AB612"/>
      <c r="AC612"/>
      <c r="AD612"/>
      <c r="AE612"/>
      <c r="AF612"/>
      <c r="AG612"/>
      <c r="AH612"/>
      <c r="AI612"/>
      <c r="AJ612"/>
      <c r="AK612"/>
      <c r="AL612"/>
    </row>
    <row r="613" spans="1:38" ht="15.75" customHeight="1" outlineLevel="2" x14ac:dyDescent="0.2">
      <c r="A613" s="1067">
        <v>1</v>
      </c>
      <c r="B613" s="1067" t="s">
        <v>68</v>
      </c>
      <c r="C613" s="1067" t="s">
        <v>282</v>
      </c>
      <c r="D613" s="1067" t="s">
        <v>282</v>
      </c>
      <c r="E613" s="1068" t="s">
        <v>70</v>
      </c>
      <c r="F613" s="1067"/>
      <c r="G613" s="1069" t="str">
        <f t="array" ref="G613">IF(B613="insumo",_xlfn.XLOOKUP($D613,Insumos!$B$1:$B$996,Insumos!$D$1:$D$996),"")</f>
        <v/>
      </c>
      <c r="H613" s="1069">
        <v>81.411944285714299</v>
      </c>
      <c r="I613" s="1070">
        <v>0</v>
      </c>
      <c r="J613" s="1070">
        <v>0</v>
      </c>
      <c r="K613" s="1070"/>
      <c r="L613"/>
      <c r="M613"/>
      <c r="N613"/>
      <c r="O613"/>
      <c r="P613"/>
      <c r="Q613"/>
      <c r="R613"/>
      <c r="S613"/>
      <c r="T613"/>
      <c r="U613"/>
      <c r="V613"/>
      <c r="W613"/>
      <c r="X613"/>
      <c r="Y613"/>
      <c r="Z613"/>
      <c r="AA613"/>
      <c r="AB613"/>
      <c r="AC613"/>
      <c r="AD613"/>
      <c r="AE613"/>
      <c r="AF613"/>
      <c r="AG613"/>
      <c r="AH613"/>
      <c r="AI613"/>
      <c r="AJ613"/>
      <c r="AK613"/>
      <c r="AL613"/>
    </row>
    <row r="614" spans="1:38" ht="15.75" customHeight="1" outlineLevel="3" x14ac:dyDescent="0.2">
      <c r="A614" s="10">
        <v>40</v>
      </c>
      <c r="B614" s="10" t="s">
        <v>71</v>
      </c>
      <c r="C614" s="10" t="s">
        <v>282</v>
      </c>
      <c r="D614" s="10" t="s">
        <v>87</v>
      </c>
      <c r="E614" s="11" t="str">
        <f t="array" ref="E614">_xlfn.XLOOKUP(D614,Insumos!B:B,Insumos!C:$C)</f>
        <v>KG</v>
      </c>
      <c r="F614" s="14">
        <v>0.159</v>
      </c>
      <c r="G614" s="92">
        <f t="array" ref="G614">IF(B614="insumo",_xlfn.XLOOKUP($D614,Insumos!$B$1:$B$996,Insumos!$D$1:$D$996),"")</f>
        <v>18.13</v>
      </c>
      <c r="H614" s="92">
        <v>2.8826700000000001</v>
      </c>
      <c r="I614" s="13">
        <v>0</v>
      </c>
      <c r="J614" s="13">
        <v>0</v>
      </c>
      <c r="K614" s="13"/>
      <c r="L614"/>
      <c r="M614"/>
      <c r="N614"/>
      <c r="O614"/>
      <c r="P614"/>
      <c r="Q614"/>
      <c r="R614"/>
      <c r="S614"/>
      <c r="T614"/>
      <c r="U614"/>
      <c r="V614"/>
      <c r="W614"/>
      <c r="X614"/>
      <c r="Y614"/>
      <c r="Z614"/>
      <c r="AA614"/>
      <c r="AB614"/>
      <c r="AC614"/>
      <c r="AD614"/>
      <c r="AE614"/>
      <c r="AF614"/>
      <c r="AG614"/>
      <c r="AH614"/>
      <c r="AI614"/>
      <c r="AJ614"/>
      <c r="AK614"/>
      <c r="AL614"/>
    </row>
    <row r="615" spans="1:38" ht="15.75" customHeight="1" outlineLevel="3" x14ac:dyDescent="0.2">
      <c r="A615" s="10">
        <v>5</v>
      </c>
      <c r="B615" s="10" t="s">
        <v>71</v>
      </c>
      <c r="C615" s="10" t="s">
        <v>282</v>
      </c>
      <c r="D615" s="10" t="s">
        <v>279</v>
      </c>
      <c r="E615" s="11" t="str">
        <f t="array" ref="E615">_xlfn.XLOOKUP(D615,Insumos!B:B,Insumos!C:$C)</f>
        <v>M2</v>
      </c>
      <c r="F615" s="14">
        <v>1.1459999999999999</v>
      </c>
      <c r="G615" s="92">
        <f t="array" ref="G615">IF(B615="insumo",_xlfn.XLOOKUP($D615,Insumos!$B$1:$B$996,Insumos!$D$1:$D$996),"")</f>
        <v>46.002857142857138</v>
      </c>
      <c r="H615" s="92">
        <v>52.719274285714299</v>
      </c>
      <c r="I615" s="13">
        <v>0</v>
      </c>
      <c r="J615" s="13">
        <v>0</v>
      </c>
      <c r="K615" s="13"/>
      <c r="L615"/>
      <c r="M615"/>
      <c r="N615"/>
      <c r="O615"/>
      <c r="P615"/>
      <c r="Q615"/>
      <c r="R615"/>
      <c r="S615"/>
      <c r="T615"/>
      <c r="U615"/>
      <c r="V615"/>
      <c r="W615"/>
      <c r="X615"/>
      <c r="Y615"/>
      <c r="Z615"/>
      <c r="AA615"/>
      <c r="AB615"/>
      <c r="AC615"/>
      <c r="AD615"/>
      <c r="AE615"/>
      <c r="AF615"/>
      <c r="AG615"/>
      <c r="AH615"/>
      <c r="AI615"/>
      <c r="AJ615"/>
      <c r="AK615"/>
      <c r="AL615"/>
    </row>
    <row r="616" spans="1:38" ht="15.75" customHeight="1" outlineLevel="3" x14ac:dyDescent="0.2">
      <c r="A616" s="10">
        <v>25</v>
      </c>
      <c r="B616" s="10" t="s">
        <v>71</v>
      </c>
      <c r="C616" s="10" t="s">
        <v>282</v>
      </c>
      <c r="D616" s="10" t="s">
        <v>84</v>
      </c>
      <c r="E616" s="11" t="str">
        <f t="array" ref="E616">_xlfn.XLOOKUP(D616,Insumos!B:B,Insumos!C:$C)</f>
        <v>M</v>
      </c>
      <c r="F616" s="14">
        <v>0.33571428571428574</v>
      </c>
      <c r="G616" s="92">
        <f t="array" ref="G616">IF(B616="insumo",_xlfn.XLOOKUP($D616,Insumos!$B$1:$B$996,Insumos!$D$1:$D$996),"")</f>
        <v>7</v>
      </c>
      <c r="H616" s="92">
        <v>2.35</v>
      </c>
      <c r="I616" s="13">
        <v>0</v>
      </c>
      <c r="J616" s="13">
        <v>0</v>
      </c>
      <c r="K616" s="13"/>
      <c r="L616"/>
      <c r="M616"/>
      <c r="N616"/>
      <c r="O616"/>
      <c r="P616"/>
      <c r="Q616"/>
      <c r="R616"/>
      <c r="S616"/>
      <c r="T616"/>
      <c r="U616"/>
      <c r="V616"/>
      <c r="W616"/>
      <c r="X616"/>
      <c r="Y616"/>
      <c r="Z616"/>
      <c r="AA616"/>
      <c r="AB616"/>
      <c r="AC616"/>
      <c r="AD616"/>
      <c r="AE616"/>
      <c r="AF616"/>
      <c r="AG616"/>
      <c r="AH616"/>
      <c r="AI616"/>
      <c r="AJ616"/>
      <c r="AK616"/>
      <c r="AL616"/>
    </row>
    <row r="617" spans="1:38" ht="15.75" customHeight="1" outlineLevel="3" x14ac:dyDescent="0.2">
      <c r="A617" s="10">
        <v>19</v>
      </c>
      <c r="B617" s="10" t="s">
        <v>71</v>
      </c>
      <c r="C617" s="10" t="s">
        <v>282</v>
      </c>
      <c r="D617" s="10" t="s">
        <v>129</v>
      </c>
      <c r="E617" s="11" t="str">
        <f t="array" ref="E617">_xlfn.XLOOKUP(D617,Insumos!B:B,Insumos!C:$C)</f>
        <v>M3</v>
      </c>
      <c r="F617" s="14">
        <v>1.737777777777778E-2</v>
      </c>
      <c r="G617" s="92">
        <f t="array" ref="G617">IF(B617="insumo",_xlfn.XLOOKUP($D617,Insumos!$B$1:$B$996,Insumos!$D$1:$D$996),"")</f>
        <v>1350</v>
      </c>
      <c r="H617" s="92">
        <v>23.46</v>
      </c>
      <c r="I617" s="13">
        <v>0</v>
      </c>
      <c r="J617" s="13">
        <v>0</v>
      </c>
      <c r="K617" s="13"/>
      <c r="L617"/>
      <c r="M617"/>
      <c r="N617"/>
      <c r="O617"/>
      <c r="P617"/>
      <c r="Q617"/>
      <c r="R617"/>
      <c r="S617"/>
      <c r="T617"/>
      <c r="U617"/>
      <c r="V617"/>
      <c r="W617"/>
      <c r="X617"/>
      <c r="Y617"/>
      <c r="Z617"/>
      <c r="AA617"/>
      <c r="AB617"/>
      <c r="AC617"/>
      <c r="AD617"/>
      <c r="AE617"/>
      <c r="AF617"/>
      <c r="AG617"/>
      <c r="AH617"/>
      <c r="AI617"/>
      <c r="AJ617"/>
      <c r="AK617"/>
      <c r="AL617"/>
    </row>
    <row r="618" spans="1:38" ht="15.75" customHeight="1" outlineLevel="2" x14ac:dyDescent="0.2">
      <c r="A618" s="1067">
        <v>1</v>
      </c>
      <c r="B618" s="1067" t="s">
        <v>68</v>
      </c>
      <c r="C618" s="1067" t="s">
        <v>283</v>
      </c>
      <c r="D618" s="1067" t="s">
        <v>283</v>
      </c>
      <c r="E618" s="1068" t="s">
        <v>70</v>
      </c>
      <c r="F618" s="1067"/>
      <c r="G618" s="1069" t="str">
        <f t="array" ref="G618">IF(B618="insumo",_xlfn.XLOOKUP($D618,Insumos!$B$1:$B$996,Insumos!$D$1:$D$996),"")</f>
        <v/>
      </c>
      <c r="H618" s="1069">
        <v>55.601944285714303</v>
      </c>
      <c r="I618" s="1070">
        <v>0</v>
      </c>
      <c r="J618" s="1070">
        <v>0</v>
      </c>
      <c r="K618" s="1070"/>
      <c r="L618"/>
      <c r="M618"/>
      <c r="N618"/>
      <c r="O618"/>
      <c r="P618"/>
      <c r="Q618"/>
      <c r="R618"/>
      <c r="S618"/>
      <c r="T618"/>
      <c r="U618"/>
      <c r="V618"/>
      <c r="W618"/>
      <c r="X618"/>
      <c r="Y618"/>
      <c r="Z618"/>
      <c r="AA618"/>
      <c r="AB618"/>
      <c r="AC618"/>
      <c r="AD618"/>
      <c r="AE618"/>
      <c r="AF618"/>
      <c r="AG618"/>
      <c r="AH618"/>
      <c r="AI618"/>
      <c r="AJ618"/>
      <c r="AK618"/>
      <c r="AL618"/>
    </row>
    <row r="619" spans="1:38" ht="15.75" customHeight="1" outlineLevel="3" x14ac:dyDescent="0.2">
      <c r="A619" s="10">
        <v>40</v>
      </c>
      <c r="B619" s="10" t="s">
        <v>71</v>
      </c>
      <c r="C619" s="10" t="s">
        <v>283</v>
      </c>
      <c r="D619" s="10" t="s">
        <v>87</v>
      </c>
      <c r="E619" s="11" t="str">
        <f t="array" ref="E619">_xlfn.XLOOKUP(D619,Insumos!B:B,Insumos!C:$C)</f>
        <v>KG</v>
      </c>
      <c r="F619" s="14">
        <v>0.159</v>
      </c>
      <c r="G619" s="92">
        <f t="array" ref="G619">IF(B619="insumo",_xlfn.XLOOKUP($D619,Insumos!$B$1:$B$996,Insumos!$D$1:$D$996),"")</f>
        <v>18.13</v>
      </c>
      <c r="H619" s="92">
        <v>2.8826700000000001</v>
      </c>
      <c r="I619" s="13">
        <v>0</v>
      </c>
      <c r="J619" s="13">
        <v>0</v>
      </c>
      <c r="K619" s="13"/>
      <c r="L619"/>
      <c r="M619"/>
      <c r="N619"/>
      <c r="O619"/>
      <c r="P619"/>
      <c r="Q619"/>
      <c r="R619"/>
      <c r="S619"/>
      <c r="T619"/>
      <c r="U619"/>
      <c r="V619"/>
      <c r="W619"/>
      <c r="X619"/>
      <c r="Y619"/>
      <c r="Z619"/>
      <c r="AA619"/>
      <c r="AB619"/>
      <c r="AC619"/>
      <c r="AD619"/>
      <c r="AE619"/>
      <c r="AF619"/>
      <c r="AG619"/>
      <c r="AH619"/>
      <c r="AI619"/>
      <c r="AJ619"/>
      <c r="AK619"/>
      <c r="AL619"/>
    </row>
    <row r="620" spans="1:38" ht="15.75" customHeight="1" outlineLevel="3" x14ac:dyDescent="0.2">
      <c r="A620" s="10">
        <v>5</v>
      </c>
      <c r="B620" s="10" t="s">
        <v>71</v>
      </c>
      <c r="C620" s="10" t="s">
        <v>283</v>
      </c>
      <c r="D620" s="10" t="s">
        <v>279</v>
      </c>
      <c r="E620" s="11" t="str">
        <f t="array" ref="E620">_xlfn.XLOOKUP(D620,Insumos!B:B,Insumos!C:$C)</f>
        <v>M2</v>
      </c>
      <c r="F620" s="14">
        <v>1.1459999999999999</v>
      </c>
      <c r="G620" s="92">
        <f t="array" ref="G620">IF(B620="insumo",_xlfn.XLOOKUP($D620,Insumos!$B$1:$B$996,Insumos!$D$1:$D$996),"")</f>
        <v>46.002857142857138</v>
      </c>
      <c r="H620" s="92">
        <v>52.719274285714299</v>
      </c>
      <c r="I620" s="13">
        <v>0</v>
      </c>
      <c r="J620" s="13">
        <v>0</v>
      </c>
      <c r="K620" s="13"/>
      <c r="L620"/>
      <c r="M620"/>
      <c r="N620"/>
      <c r="O620"/>
      <c r="P620"/>
      <c r="Q620"/>
      <c r="R620"/>
      <c r="S620"/>
      <c r="T620"/>
      <c r="U620"/>
      <c r="V620"/>
      <c r="W620"/>
      <c r="X620"/>
      <c r="Y620"/>
      <c r="Z620"/>
      <c r="AA620"/>
      <c r="AB620"/>
      <c r="AC620"/>
      <c r="AD620"/>
      <c r="AE620"/>
      <c r="AF620"/>
      <c r="AG620"/>
      <c r="AH620"/>
      <c r="AI620"/>
      <c r="AJ620"/>
      <c r="AK620"/>
      <c r="AL620"/>
    </row>
    <row r="621" spans="1:38" ht="12.75" outlineLevel="2" x14ac:dyDescent="0.2">
      <c r="A621" s="1071">
        <v>1</v>
      </c>
      <c r="B621" s="1071" t="s">
        <v>68</v>
      </c>
      <c r="C621" s="1071" t="s">
        <v>1759</v>
      </c>
      <c r="D621" s="1071" t="s">
        <v>1759</v>
      </c>
      <c r="E621" s="1072" t="s">
        <v>70</v>
      </c>
      <c r="F621" s="1071"/>
      <c r="G621" s="1073" t="str">
        <f t="array" ref="G621">IF(B621="insumo",_xlfn.XLOOKUP($D621,Insumos!$B$1:$B$996,Insumos!$D$1:$D$996),"")</f>
        <v/>
      </c>
      <c r="H621" s="1073">
        <v>104.30944</v>
      </c>
      <c r="I621" s="1074">
        <v>0</v>
      </c>
      <c r="J621" s="1074">
        <v>0</v>
      </c>
      <c r="K621" s="1074"/>
      <c r="L621"/>
      <c r="M621"/>
      <c r="N621"/>
      <c r="O621"/>
      <c r="P621"/>
      <c r="Q621"/>
      <c r="R621"/>
      <c r="S621"/>
      <c r="T621"/>
      <c r="U621"/>
      <c r="V621"/>
      <c r="W621"/>
      <c r="X621"/>
      <c r="Y621"/>
      <c r="Z621"/>
      <c r="AA621"/>
      <c r="AB621"/>
      <c r="AC621"/>
      <c r="AD621"/>
      <c r="AE621"/>
      <c r="AF621"/>
      <c r="AG621"/>
      <c r="AH621"/>
      <c r="AI621"/>
      <c r="AJ621"/>
      <c r="AK621"/>
      <c r="AL621"/>
    </row>
    <row r="622" spans="1:38" ht="12.75" outlineLevel="3" x14ac:dyDescent="0.2">
      <c r="A622" s="82">
        <v>2</v>
      </c>
      <c r="B622" s="82" t="s">
        <v>71</v>
      </c>
      <c r="C622" s="82" t="s">
        <v>1759</v>
      </c>
      <c r="D622" s="82" t="s">
        <v>1760</v>
      </c>
      <c r="E622" s="11" t="str">
        <f t="array" ref="E622">_xlfn.XLOOKUP(D622,Insumos!B:B,Insumos!C:$C)</f>
        <v>KG</v>
      </c>
      <c r="F622" s="86">
        <v>7.0999999999999994E-2</v>
      </c>
      <c r="G622" s="92">
        <f t="array" ref="G622">IF(B622="insumo",_xlfn.XLOOKUP($D622,Insumos!$B$1:$B$996,Insumos!$D$1:$D$996),"")</f>
        <v>15.85</v>
      </c>
      <c r="H622" s="92">
        <v>1.1253500000000001</v>
      </c>
      <c r="I622" s="84">
        <v>0</v>
      </c>
      <c r="J622" s="84">
        <v>0</v>
      </c>
      <c r="K622" s="84"/>
      <c r="L622"/>
      <c r="M622"/>
      <c r="N622"/>
      <c r="O622"/>
      <c r="P622"/>
      <c r="Q622"/>
      <c r="R622"/>
      <c r="S622"/>
      <c r="T622"/>
      <c r="U622"/>
      <c r="V622"/>
      <c r="W622"/>
      <c r="X622"/>
      <c r="Y622"/>
      <c r="Z622"/>
      <c r="AA622"/>
      <c r="AB622"/>
      <c r="AC622"/>
      <c r="AD622"/>
      <c r="AE622"/>
      <c r="AF622"/>
      <c r="AG622"/>
      <c r="AH622"/>
      <c r="AI622"/>
      <c r="AJ622"/>
      <c r="AK622"/>
      <c r="AL622"/>
    </row>
    <row r="623" spans="1:38" ht="12.75" outlineLevel="3" x14ac:dyDescent="0.2">
      <c r="A623" s="82">
        <v>3</v>
      </c>
      <c r="B623" s="82" t="s">
        <v>71</v>
      </c>
      <c r="C623" s="82" t="s">
        <v>1759</v>
      </c>
      <c r="D623" s="82" t="s">
        <v>1181</v>
      </c>
      <c r="E623" s="11" t="str">
        <f t="array" ref="E623">_xlfn.XLOOKUP(D623,Insumos!B:B,Insumos!C:$C)</f>
        <v>KG</v>
      </c>
      <c r="F623" s="86">
        <v>3.1E-2</v>
      </c>
      <c r="G623" s="92">
        <f t="array" ref="G623">IF(B623="insumo",_xlfn.XLOOKUP($D623,Insumos!$B$1:$B$996,Insumos!$D$1:$D$996),"")</f>
        <v>17.63</v>
      </c>
      <c r="H623" s="92">
        <v>0.54652999999999996</v>
      </c>
      <c r="I623" s="84">
        <v>0</v>
      </c>
      <c r="J623" s="84">
        <v>0</v>
      </c>
      <c r="K623" s="84"/>
      <c r="L623"/>
      <c r="M623"/>
      <c r="N623"/>
      <c r="O623"/>
      <c r="P623"/>
      <c r="Q623"/>
      <c r="R623"/>
      <c r="S623"/>
      <c r="T623"/>
      <c r="U623"/>
      <c r="V623"/>
      <c r="W623"/>
      <c r="X623"/>
      <c r="Y623"/>
      <c r="Z623"/>
      <c r="AA623"/>
      <c r="AB623"/>
      <c r="AC623"/>
      <c r="AD623"/>
      <c r="AE623"/>
      <c r="AF623"/>
      <c r="AG623"/>
      <c r="AH623"/>
      <c r="AI623"/>
      <c r="AJ623"/>
      <c r="AK623"/>
      <c r="AL623"/>
    </row>
    <row r="624" spans="1:38" ht="12.75" outlineLevel="3" x14ac:dyDescent="0.2">
      <c r="A624" s="82">
        <v>4</v>
      </c>
      <c r="B624" s="82" t="s">
        <v>71</v>
      </c>
      <c r="C624" s="82" t="s">
        <v>1759</v>
      </c>
      <c r="D624" s="82" t="s">
        <v>1761</v>
      </c>
      <c r="E624" s="11" t="str">
        <f t="array" ref="E624">_xlfn.XLOOKUP(D624,Insumos!B:B,Insumos!C:$C)</f>
        <v>M2</v>
      </c>
      <c r="F624" s="86">
        <v>1.3360000000000001</v>
      </c>
      <c r="G624" s="92">
        <f t="array" ref="G624">IF(B624="insumo",_xlfn.XLOOKUP($D624,Insumos!$B$1:$B$996,Insumos!$D$1:$D$996),"")</f>
        <v>37.96</v>
      </c>
      <c r="H624" s="92">
        <v>50.714559999999999</v>
      </c>
      <c r="I624" s="84">
        <v>0</v>
      </c>
      <c r="J624" s="84">
        <v>0</v>
      </c>
      <c r="K624" s="84"/>
      <c r="L624"/>
      <c r="M624"/>
      <c r="N624"/>
      <c r="O624"/>
      <c r="P624"/>
      <c r="Q624"/>
      <c r="R624"/>
      <c r="S624"/>
      <c r="T624"/>
      <c r="U624"/>
      <c r="V624"/>
      <c r="W624"/>
      <c r="X624"/>
      <c r="Y624"/>
      <c r="Z624"/>
      <c r="AA624"/>
      <c r="AB624"/>
      <c r="AC624"/>
      <c r="AD624"/>
      <c r="AE624"/>
      <c r="AF624"/>
      <c r="AG624"/>
      <c r="AH624"/>
      <c r="AI624"/>
      <c r="AJ624"/>
      <c r="AK624"/>
      <c r="AL624"/>
    </row>
    <row r="625" spans="1:38" ht="12.75" outlineLevel="3" x14ac:dyDescent="0.2">
      <c r="A625" s="82">
        <v>25</v>
      </c>
      <c r="B625" s="82" t="s">
        <v>71</v>
      </c>
      <c r="C625" s="82" t="s">
        <v>1759</v>
      </c>
      <c r="D625" s="82" t="s">
        <v>84</v>
      </c>
      <c r="E625" s="11" t="str">
        <f t="array" ref="E625">_xlfn.XLOOKUP(D625,Insumos!B:B,Insumos!C:$C)</f>
        <v>M</v>
      </c>
      <c r="F625" s="86">
        <v>6.7039999999999997</v>
      </c>
      <c r="G625" s="92">
        <f t="array" ref="G625">IF(B625="insumo",_xlfn.XLOOKUP($D625,Insumos!$B$1:$B$996,Insumos!$D$1:$D$996),"")</f>
        <v>7</v>
      </c>
      <c r="H625" s="92">
        <v>46.927999999999997</v>
      </c>
      <c r="I625" s="84">
        <v>0</v>
      </c>
      <c r="J625" s="84">
        <v>0</v>
      </c>
      <c r="K625" s="84"/>
      <c r="L625"/>
      <c r="M625"/>
      <c r="N625"/>
      <c r="O625"/>
      <c r="P625"/>
      <c r="Q625"/>
      <c r="R625"/>
      <c r="S625"/>
      <c r="T625"/>
      <c r="U625"/>
      <c r="V625"/>
      <c r="W625"/>
      <c r="X625"/>
      <c r="Y625"/>
      <c r="Z625"/>
      <c r="AA625"/>
      <c r="AB625"/>
      <c r="AC625"/>
      <c r="AD625"/>
      <c r="AE625"/>
      <c r="AF625"/>
      <c r="AG625"/>
      <c r="AH625"/>
      <c r="AI625"/>
      <c r="AJ625"/>
      <c r="AK625"/>
      <c r="AL625"/>
    </row>
    <row r="626" spans="1:38" ht="12.75" outlineLevel="3" x14ac:dyDescent="0.2">
      <c r="A626" s="82">
        <v>19</v>
      </c>
      <c r="B626" s="82" t="s">
        <v>71</v>
      </c>
      <c r="C626" s="82" t="s">
        <v>1759</v>
      </c>
      <c r="D626" s="82" t="s">
        <v>129</v>
      </c>
      <c r="E626" s="11" t="str">
        <f t="array" ref="E626">_xlfn.XLOOKUP(D626,Insumos!B:B,Insumos!C:$C)</f>
        <v>M3</v>
      </c>
      <c r="F626" s="86">
        <v>3.7000000000000002E-3</v>
      </c>
      <c r="G626" s="92">
        <f t="array" ref="G626">IF(B626="insumo",_xlfn.XLOOKUP($D626,Insumos!$B$1:$B$996,Insumos!$D$1:$D$996),"")</f>
        <v>1350</v>
      </c>
      <c r="H626" s="92">
        <v>4.9950000000000001</v>
      </c>
      <c r="I626" s="84">
        <v>0</v>
      </c>
      <c r="J626" s="84">
        <v>0</v>
      </c>
      <c r="K626" s="84"/>
      <c r="L626"/>
      <c r="M626"/>
      <c r="N626"/>
      <c r="O626"/>
      <c r="P626"/>
      <c r="Q626"/>
      <c r="R626"/>
      <c r="S626"/>
      <c r="T626"/>
      <c r="U626"/>
      <c r="V626"/>
      <c r="W626"/>
      <c r="X626"/>
      <c r="Y626"/>
      <c r="Z626"/>
      <c r="AA626"/>
      <c r="AB626"/>
      <c r="AC626"/>
      <c r="AD626"/>
      <c r="AE626"/>
      <c r="AF626"/>
      <c r="AG626"/>
      <c r="AH626"/>
      <c r="AI626"/>
      <c r="AJ626"/>
      <c r="AK626"/>
      <c r="AL626"/>
    </row>
    <row r="627" spans="1:38" ht="12.75" outlineLevel="2" x14ac:dyDescent="0.2">
      <c r="A627" s="1071">
        <v>1</v>
      </c>
      <c r="B627" s="1071" t="s">
        <v>68</v>
      </c>
      <c r="C627" s="1071" t="s">
        <v>1762</v>
      </c>
      <c r="D627" s="1071" t="s">
        <v>1762</v>
      </c>
      <c r="E627" s="1072" t="s">
        <v>70</v>
      </c>
      <c r="F627" s="1071"/>
      <c r="G627" s="1073" t="str">
        <f t="array" ref="G627">IF(B627="insumo",_xlfn.XLOOKUP($D627,Insumos!$B$1:$B$996,Insumos!$D$1:$D$996),"")</f>
        <v/>
      </c>
      <c r="H627" s="1073">
        <v>88.647099999999995</v>
      </c>
      <c r="I627" s="1074">
        <v>0</v>
      </c>
      <c r="J627" s="1074">
        <v>0</v>
      </c>
      <c r="K627" s="1074"/>
      <c r="L627"/>
      <c r="M627"/>
      <c r="N627"/>
      <c r="O627"/>
      <c r="P627"/>
      <c r="Q627"/>
      <c r="R627"/>
      <c r="S627"/>
      <c r="T627"/>
      <c r="U627"/>
      <c r="V627"/>
      <c r="W627"/>
      <c r="X627"/>
      <c r="Y627"/>
      <c r="Z627"/>
      <c r="AA627"/>
      <c r="AB627"/>
      <c r="AC627"/>
      <c r="AD627"/>
      <c r="AE627"/>
      <c r="AF627"/>
      <c r="AG627"/>
      <c r="AH627"/>
      <c r="AI627"/>
      <c r="AJ627"/>
      <c r="AK627"/>
      <c r="AL627"/>
    </row>
    <row r="628" spans="1:38" ht="12.75" outlineLevel="3" x14ac:dyDescent="0.2">
      <c r="A628" s="82">
        <v>40</v>
      </c>
      <c r="B628" s="82" t="s">
        <v>71</v>
      </c>
      <c r="C628" s="82" t="s">
        <v>1762</v>
      </c>
      <c r="D628" s="82" t="s">
        <v>87</v>
      </c>
      <c r="E628" s="11" t="str">
        <f t="array" ref="E628">_xlfn.XLOOKUP(D628,Insumos!B:B,Insumos!C:$C)</f>
        <v>KG</v>
      </c>
      <c r="F628" s="86">
        <v>0.20799999999999999</v>
      </c>
      <c r="G628" s="92">
        <f t="array" ref="G628">IF(B628="insumo",_xlfn.XLOOKUP($D628,Insumos!$B$1:$B$996,Insumos!$D$1:$D$996),"")</f>
        <v>18.13</v>
      </c>
      <c r="H628" s="92">
        <v>3.7710400000000002</v>
      </c>
      <c r="I628" s="84">
        <v>0</v>
      </c>
      <c r="J628" s="84">
        <v>0</v>
      </c>
      <c r="K628" s="84"/>
      <c r="L628"/>
      <c r="M628"/>
      <c r="N628"/>
      <c r="O628"/>
      <c r="P628"/>
      <c r="Q628"/>
      <c r="R628"/>
      <c r="S628"/>
      <c r="T628"/>
      <c r="U628"/>
      <c r="V628"/>
      <c r="W628"/>
      <c r="X628"/>
      <c r="Y628"/>
      <c r="Z628"/>
      <c r="AA628"/>
      <c r="AB628"/>
      <c r="AC628"/>
      <c r="AD628"/>
      <c r="AE628"/>
      <c r="AF628"/>
      <c r="AG628"/>
      <c r="AH628"/>
      <c r="AI628"/>
      <c r="AJ628"/>
      <c r="AK628"/>
      <c r="AL628"/>
    </row>
    <row r="629" spans="1:38" ht="12.75" outlineLevel="3" x14ac:dyDescent="0.2">
      <c r="A629" s="82">
        <v>4</v>
      </c>
      <c r="B629" s="82" t="s">
        <v>71</v>
      </c>
      <c r="C629" s="82" t="s">
        <v>1762</v>
      </c>
      <c r="D629" s="82" t="s">
        <v>1761</v>
      </c>
      <c r="E629" s="11" t="str">
        <f t="array" ref="E629">_xlfn.XLOOKUP(D629,Insumos!B:B,Insumos!C:$C)</f>
        <v>M2</v>
      </c>
      <c r="F629" s="86">
        <v>1.3360000000000001</v>
      </c>
      <c r="G629" s="92">
        <f t="array" ref="G629">IF(B629="insumo",_xlfn.XLOOKUP($D629,Insumos!$B$1:$B$996,Insumos!$D$1:$D$996),"")</f>
        <v>37.96</v>
      </c>
      <c r="H629" s="92">
        <v>50.714559999999999</v>
      </c>
      <c r="I629" s="84">
        <v>0</v>
      </c>
      <c r="J629" s="84">
        <v>0</v>
      </c>
      <c r="K629" s="84"/>
      <c r="L629"/>
      <c r="M629"/>
      <c r="N629"/>
      <c r="O629"/>
      <c r="P629"/>
      <c r="Q629"/>
      <c r="R629"/>
      <c r="S629"/>
      <c r="T629"/>
      <c r="U629"/>
      <c r="V629"/>
      <c r="W629"/>
      <c r="X629"/>
      <c r="Y629"/>
      <c r="Z629"/>
      <c r="AA629"/>
      <c r="AB629"/>
      <c r="AC629"/>
      <c r="AD629"/>
      <c r="AE629"/>
      <c r="AF629"/>
      <c r="AG629"/>
      <c r="AH629"/>
      <c r="AI629"/>
      <c r="AJ629"/>
      <c r="AK629"/>
      <c r="AL629"/>
    </row>
    <row r="630" spans="1:38" ht="12.75" outlineLevel="3" x14ac:dyDescent="0.2">
      <c r="A630" s="82">
        <v>25</v>
      </c>
      <c r="B630" s="82" t="s">
        <v>71</v>
      </c>
      <c r="C630" s="82" t="s">
        <v>1762</v>
      </c>
      <c r="D630" s="82" t="s">
        <v>84</v>
      </c>
      <c r="E630" s="11" t="str">
        <f t="array" ref="E630">_xlfn.XLOOKUP(D630,Insumos!B:B,Insumos!C:$C)</f>
        <v>M</v>
      </c>
      <c r="F630" s="86">
        <v>0.42714285714285716</v>
      </c>
      <c r="G630" s="92">
        <f t="array" ref="G630">IF(B630="insumo",_xlfn.XLOOKUP($D630,Insumos!$B$1:$B$996,Insumos!$D$1:$D$996),"")</f>
        <v>7</v>
      </c>
      <c r="H630" s="92">
        <v>2.99</v>
      </c>
      <c r="I630" s="84">
        <v>0</v>
      </c>
      <c r="J630" s="84">
        <v>0</v>
      </c>
      <c r="K630" s="84"/>
      <c r="L630"/>
      <c r="M630"/>
      <c r="N630"/>
      <c r="O630"/>
      <c r="P630"/>
      <c r="Q630"/>
      <c r="R630"/>
      <c r="S630"/>
      <c r="T630"/>
      <c r="U630"/>
      <c r="V630"/>
      <c r="W630"/>
      <c r="X630"/>
      <c r="Y630"/>
      <c r="Z630"/>
      <c r="AA630"/>
      <c r="AB630"/>
      <c r="AC630"/>
      <c r="AD630"/>
      <c r="AE630"/>
      <c r="AF630"/>
      <c r="AG630"/>
      <c r="AH630"/>
      <c r="AI630"/>
      <c r="AJ630"/>
      <c r="AK630"/>
      <c r="AL630"/>
    </row>
    <row r="631" spans="1:38" ht="12.75" outlineLevel="3" x14ac:dyDescent="0.2">
      <c r="A631" s="82">
        <v>19</v>
      </c>
      <c r="B631" s="82" t="s">
        <v>71</v>
      </c>
      <c r="C631" s="82" t="s">
        <v>1762</v>
      </c>
      <c r="D631" s="82" t="s">
        <v>129</v>
      </c>
      <c r="E631" s="11" t="str">
        <f t="array" ref="E631">_xlfn.XLOOKUP(D631,Insumos!B:B,Insumos!C:$C)</f>
        <v>M3</v>
      </c>
      <c r="F631" s="86">
        <v>2.3089999999999999E-2</v>
      </c>
      <c r="G631" s="92">
        <f t="array" ref="G631">IF(B631="insumo",_xlfn.XLOOKUP($D631,Insumos!$B$1:$B$996,Insumos!$D$1:$D$996),"")</f>
        <v>1350</v>
      </c>
      <c r="H631" s="92">
        <v>31.171500000000002</v>
      </c>
      <c r="I631" s="84">
        <v>0</v>
      </c>
      <c r="J631" s="84">
        <v>0</v>
      </c>
      <c r="K631" s="84"/>
      <c r="L631"/>
      <c r="M631"/>
      <c r="N631"/>
      <c r="O631"/>
      <c r="P631"/>
      <c r="Q631"/>
      <c r="R631"/>
      <c r="S631"/>
      <c r="T631"/>
      <c r="U631"/>
      <c r="V631"/>
      <c r="W631"/>
      <c r="X631"/>
      <c r="Y631"/>
      <c r="Z631"/>
      <c r="AA631"/>
      <c r="AB631"/>
      <c r="AC631"/>
      <c r="AD631"/>
      <c r="AE631"/>
      <c r="AF631"/>
      <c r="AG631"/>
      <c r="AH631"/>
      <c r="AI631"/>
      <c r="AJ631"/>
      <c r="AK631"/>
      <c r="AL631"/>
    </row>
    <row r="632" spans="1:38" ht="12.75" outlineLevel="2" x14ac:dyDescent="0.2">
      <c r="A632" s="1071">
        <v>1</v>
      </c>
      <c r="B632" s="1071" t="s">
        <v>68</v>
      </c>
      <c r="C632" s="1071" t="s">
        <v>1763</v>
      </c>
      <c r="D632" s="1071" t="s">
        <v>1763</v>
      </c>
      <c r="E632" s="1068" t="s">
        <v>70</v>
      </c>
      <c r="F632" s="1071"/>
      <c r="G632" s="1073" t="str">
        <f t="array" ref="G632">IF(B632="insumo",_xlfn.XLOOKUP($D632,Insumos!$B$1:$B$996,Insumos!$D$1:$D$996),"")</f>
        <v/>
      </c>
      <c r="H632" s="1073">
        <v>72.194829999999996</v>
      </c>
      <c r="I632" s="1074">
        <v>0</v>
      </c>
      <c r="J632" s="1074">
        <v>0</v>
      </c>
      <c r="K632" s="1074"/>
      <c r="L632"/>
      <c r="M632"/>
      <c r="N632"/>
      <c r="O632"/>
      <c r="P632"/>
      <c r="Q632"/>
      <c r="R632"/>
      <c r="S632"/>
      <c r="T632"/>
      <c r="U632"/>
      <c r="V632"/>
      <c r="W632"/>
      <c r="X632"/>
      <c r="Y632"/>
      <c r="Z632"/>
      <c r="AA632"/>
      <c r="AB632"/>
      <c r="AC632"/>
      <c r="AD632"/>
      <c r="AE632"/>
      <c r="AF632"/>
      <c r="AG632"/>
      <c r="AH632"/>
      <c r="AI632"/>
      <c r="AJ632"/>
      <c r="AK632"/>
      <c r="AL632"/>
    </row>
    <row r="633" spans="1:38" ht="12.75" outlineLevel="3" x14ac:dyDescent="0.2">
      <c r="A633" s="82">
        <v>40</v>
      </c>
      <c r="B633" s="82" t="s">
        <v>71</v>
      </c>
      <c r="C633" s="82" t="s">
        <v>1763</v>
      </c>
      <c r="D633" s="82" t="s">
        <v>87</v>
      </c>
      <c r="E633" s="11" t="str">
        <f t="array" ref="E633">_xlfn.XLOOKUP(D633,Insumos!B:B,Insumos!C:$C)</f>
        <v>KG</v>
      </c>
      <c r="F633" s="86">
        <v>0.159</v>
      </c>
      <c r="G633" s="92">
        <f t="array" ref="G633">IF(B633="insumo",_xlfn.XLOOKUP($D633,Insumos!$B$1:$B$996,Insumos!$D$1:$D$996),"")</f>
        <v>18.13</v>
      </c>
      <c r="H633" s="92">
        <v>2.8826700000000001</v>
      </c>
      <c r="I633" s="84">
        <v>0</v>
      </c>
      <c r="J633" s="84">
        <v>0</v>
      </c>
      <c r="K633" s="84"/>
      <c r="L633"/>
      <c r="M633"/>
      <c r="N633"/>
      <c r="O633"/>
      <c r="P633"/>
      <c r="Q633"/>
      <c r="R633"/>
      <c r="S633"/>
      <c r="T633"/>
      <c r="U633"/>
      <c r="V633"/>
      <c r="W633"/>
      <c r="X633"/>
      <c r="Y633"/>
      <c r="Z633"/>
      <c r="AA633"/>
      <c r="AB633"/>
      <c r="AC633"/>
      <c r="AD633"/>
      <c r="AE633"/>
      <c r="AF633"/>
      <c r="AG633"/>
      <c r="AH633"/>
      <c r="AI633"/>
      <c r="AJ633"/>
      <c r="AK633"/>
      <c r="AL633"/>
    </row>
    <row r="634" spans="1:38" ht="12.75" outlineLevel="3" x14ac:dyDescent="0.2">
      <c r="A634" s="82">
        <v>4</v>
      </c>
      <c r="B634" s="82" t="s">
        <v>71</v>
      </c>
      <c r="C634" s="82" t="s">
        <v>1763</v>
      </c>
      <c r="D634" s="82" t="s">
        <v>1761</v>
      </c>
      <c r="E634" s="11" t="str">
        <f t="array" ref="E634">_xlfn.XLOOKUP(D634,Insumos!B:B,Insumos!C:$C)</f>
        <v>M2</v>
      </c>
      <c r="F634" s="86">
        <v>1.1459999999999999</v>
      </c>
      <c r="G634" s="92">
        <f t="array" ref="G634">IF(B634="insumo",_xlfn.XLOOKUP($D634,Insumos!$B$1:$B$996,Insumos!$D$1:$D$996),"")</f>
        <v>37.96</v>
      </c>
      <c r="H634" s="92">
        <v>43.502160000000003</v>
      </c>
      <c r="I634" s="84">
        <v>0</v>
      </c>
      <c r="J634" s="84">
        <v>0</v>
      </c>
      <c r="K634" s="84"/>
      <c r="L634"/>
      <c r="M634"/>
      <c r="N634"/>
      <c r="O634"/>
      <c r="P634"/>
      <c r="Q634"/>
      <c r="R634"/>
      <c r="S634"/>
      <c r="T634"/>
      <c r="U634"/>
      <c r="V634"/>
      <c r="W634"/>
      <c r="X634"/>
      <c r="Y634"/>
      <c r="Z634"/>
      <c r="AA634"/>
      <c r="AB634"/>
      <c r="AC634"/>
      <c r="AD634"/>
      <c r="AE634"/>
      <c r="AF634"/>
      <c r="AG634"/>
      <c r="AH634"/>
      <c r="AI634"/>
      <c r="AJ634"/>
      <c r="AK634"/>
      <c r="AL634"/>
    </row>
    <row r="635" spans="1:38" ht="12.75" outlineLevel="3" x14ac:dyDescent="0.2">
      <c r="A635" s="82">
        <v>25</v>
      </c>
      <c r="B635" s="82" t="s">
        <v>71</v>
      </c>
      <c r="C635" s="82" t="s">
        <v>1763</v>
      </c>
      <c r="D635" s="82" t="s">
        <v>84</v>
      </c>
      <c r="E635" s="11" t="str">
        <f t="array" ref="E635">_xlfn.XLOOKUP(D635,Insumos!B:B,Insumos!C:$C)</f>
        <v>M</v>
      </c>
      <c r="F635" s="86">
        <v>0.33571428571428574</v>
      </c>
      <c r="G635" s="92">
        <f t="array" ref="G635">IF(B635="insumo",_xlfn.XLOOKUP($D635,Insumos!$B$1:$B$996,Insumos!$D$1:$D$996),"")</f>
        <v>7</v>
      </c>
      <c r="H635" s="92">
        <v>2.35</v>
      </c>
      <c r="I635" s="84">
        <v>0</v>
      </c>
      <c r="J635" s="84">
        <v>0</v>
      </c>
      <c r="K635" s="84"/>
      <c r="L635"/>
      <c r="M635"/>
      <c r="N635"/>
      <c r="O635"/>
      <c r="P635"/>
      <c r="Q635"/>
      <c r="R635"/>
      <c r="S635"/>
      <c r="T635"/>
      <c r="U635"/>
      <c r="V635"/>
      <c r="W635"/>
      <c r="X635"/>
      <c r="Y635"/>
      <c r="Z635"/>
      <c r="AA635"/>
      <c r="AB635"/>
      <c r="AC635"/>
      <c r="AD635"/>
      <c r="AE635"/>
      <c r="AF635"/>
      <c r="AG635"/>
      <c r="AH635"/>
      <c r="AI635"/>
      <c r="AJ635"/>
      <c r="AK635"/>
      <c r="AL635"/>
    </row>
    <row r="636" spans="1:38" ht="12.75" outlineLevel="3" x14ac:dyDescent="0.2">
      <c r="A636" s="82">
        <v>19</v>
      </c>
      <c r="B636" s="82" t="s">
        <v>71</v>
      </c>
      <c r="C636" s="82" t="s">
        <v>1763</v>
      </c>
      <c r="D636" s="82" t="s">
        <v>129</v>
      </c>
      <c r="E636" s="11" t="str">
        <f t="array" ref="E636">_xlfn.XLOOKUP(D636,Insumos!B:B,Insumos!C:$C)</f>
        <v>M3</v>
      </c>
      <c r="F636" s="86">
        <v>1.737777777777778E-2</v>
      </c>
      <c r="G636" s="92">
        <f t="array" ref="G636">IF(B636="insumo",_xlfn.XLOOKUP($D636,Insumos!$B$1:$B$996,Insumos!$D$1:$D$996),"")</f>
        <v>1350</v>
      </c>
      <c r="H636" s="92">
        <v>23.46</v>
      </c>
      <c r="I636" s="84">
        <v>0</v>
      </c>
      <c r="J636" s="84">
        <v>0</v>
      </c>
      <c r="K636" s="84"/>
      <c r="L636"/>
      <c r="M636"/>
      <c r="N636"/>
      <c r="O636"/>
      <c r="P636"/>
      <c r="Q636"/>
      <c r="R636"/>
      <c r="S636"/>
      <c r="T636"/>
      <c r="U636"/>
      <c r="V636"/>
      <c r="W636"/>
      <c r="X636"/>
      <c r="Y636"/>
      <c r="Z636"/>
      <c r="AA636"/>
      <c r="AB636"/>
      <c r="AC636"/>
      <c r="AD636"/>
      <c r="AE636"/>
      <c r="AF636"/>
      <c r="AG636"/>
      <c r="AH636"/>
      <c r="AI636"/>
      <c r="AJ636"/>
      <c r="AK636"/>
      <c r="AL636"/>
    </row>
    <row r="637" spans="1:38" ht="12.75" outlineLevel="2" x14ac:dyDescent="0.2">
      <c r="A637" s="1071">
        <v>1</v>
      </c>
      <c r="B637" s="1071" t="s">
        <v>68</v>
      </c>
      <c r="C637" s="1071" t="s">
        <v>1764</v>
      </c>
      <c r="D637" s="1071" t="s">
        <v>1764</v>
      </c>
      <c r="E637" s="1068" t="s">
        <v>70</v>
      </c>
      <c r="F637" s="1071"/>
      <c r="G637" s="1073" t="str">
        <f t="array" ref="G637">IF(B637="insumo",_xlfn.XLOOKUP($D637,Insumos!$B$1:$B$996,Insumos!$D$1:$D$996),"")</f>
        <v/>
      </c>
      <c r="H637" s="1073">
        <v>46.384830000000001</v>
      </c>
      <c r="I637" s="1074">
        <v>0</v>
      </c>
      <c r="J637" s="1074">
        <v>0</v>
      </c>
      <c r="K637" s="1074"/>
      <c r="L637"/>
      <c r="M637"/>
      <c r="N637"/>
      <c r="O637"/>
      <c r="P637"/>
      <c r="Q637"/>
      <c r="R637"/>
      <c r="S637"/>
      <c r="T637"/>
      <c r="U637"/>
      <c r="V637"/>
      <c r="W637"/>
      <c r="X637"/>
      <c r="Y637"/>
      <c r="Z637"/>
      <c r="AA637"/>
      <c r="AB637"/>
      <c r="AC637"/>
      <c r="AD637"/>
      <c r="AE637"/>
      <c r="AF637"/>
      <c r="AG637"/>
      <c r="AH637"/>
      <c r="AI637"/>
      <c r="AJ637"/>
      <c r="AK637"/>
      <c r="AL637"/>
    </row>
    <row r="638" spans="1:38" ht="12.75" outlineLevel="3" x14ac:dyDescent="0.2">
      <c r="A638" s="82">
        <v>40</v>
      </c>
      <c r="B638" s="82" t="s">
        <v>71</v>
      </c>
      <c r="C638" s="82" t="s">
        <v>1764</v>
      </c>
      <c r="D638" s="82" t="s">
        <v>87</v>
      </c>
      <c r="E638" s="11" t="str">
        <f t="array" ref="E638">_xlfn.XLOOKUP(D638,Insumos!B:B,Insumos!C:$C)</f>
        <v>KG</v>
      </c>
      <c r="F638" s="86">
        <v>0.159</v>
      </c>
      <c r="G638" s="92">
        <f t="array" ref="G638">IF(B638="insumo",_xlfn.XLOOKUP($D638,Insumos!$B$1:$B$996,Insumos!$D$1:$D$996),"")</f>
        <v>18.13</v>
      </c>
      <c r="H638" s="92">
        <v>2.8826700000000001</v>
      </c>
      <c r="I638" s="84">
        <v>0</v>
      </c>
      <c r="J638" s="84">
        <v>0</v>
      </c>
      <c r="K638" s="84"/>
      <c r="L638"/>
      <c r="M638"/>
      <c r="N638"/>
      <c r="O638"/>
      <c r="P638"/>
      <c r="Q638"/>
      <c r="R638"/>
      <c r="S638"/>
      <c r="T638"/>
      <c r="U638"/>
      <c r="V638"/>
      <c r="W638"/>
      <c r="X638"/>
      <c r="Y638"/>
      <c r="Z638"/>
      <c r="AA638"/>
      <c r="AB638"/>
      <c r="AC638"/>
      <c r="AD638"/>
      <c r="AE638"/>
      <c r="AF638"/>
      <c r="AG638"/>
      <c r="AH638"/>
      <c r="AI638"/>
      <c r="AJ638"/>
      <c r="AK638"/>
      <c r="AL638"/>
    </row>
    <row r="639" spans="1:38" ht="12.75" outlineLevel="3" x14ac:dyDescent="0.2">
      <c r="A639" s="82">
        <v>4</v>
      </c>
      <c r="B639" s="82" t="s">
        <v>71</v>
      </c>
      <c r="C639" s="82" t="s">
        <v>1764</v>
      </c>
      <c r="D639" s="82" t="s">
        <v>1761</v>
      </c>
      <c r="E639" s="11" t="str">
        <f t="array" ref="E639">_xlfn.XLOOKUP(D639,Insumos!B:B,Insumos!C:$C)</f>
        <v>M2</v>
      </c>
      <c r="F639" s="86">
        <v>1.1459999999999999</v>
      </c>
      <c r="G639" s="92">
        <f t="array" ref="G639">IF(B639="insumo",_xlfn.XLOOKUP($D639,Insumos!$B$1:$B$996,Insumos!$D$1:$D$996),"")</f>
        <v>37.96</v>
      </c>
      <c r="H639" s="92">
        <v>43.502160000000003</v>
      </c>
      <c r="I639" s="84">
        <v>0</v>
      </c>
      <c r="J639" s="84">
        <v>0</v>
      </c>
      <c r="K639" s="84"/>
      <c r="L639"/>
      <c r="M639"/>
      <c r="N639"/>
      <c r="O639"/>
      <c r="P639"/>
      <c r="Q639"/>
      <c r="R639"/>
      <c r="S639"/>
      <c r="T639"/>
      <c r="U639"/>
      <c r="V639"/>
      <c r="W639"/>
      <c r="X639"/>
      <c r="Y639"/>
      <c r="Z639"/>
      <c r="AA639"/>
      <c r="AB639"/>
      <c r="AC639"/>
      <c r="AD639"/>
      <c r="AE639"/>
      <c r="AF639"/>
      <c r="AG639"/>
      <c r="AH639"/>
      <c r="AI639"/>
      <c r="AJ639"/>
      <c r="AK639"/>
      <c r="AL639"/>
    </row>
    <row r="640" spans="1:38" ht="15.75" customHeight="1" outlineLevel="2" x14ac:dyDescent="0.2">
      <c r="A640" s="1067">
        <v>1</v>
      </c>
      <c r="B640" s="1067" t="s">
        <v>68</v>
      </c>
      <c r="C640" s="1067" t="s">
        <v>1305</v>
      </c>
      <c r="D640" s="1067" t="s">
        <v>1305</v>
      </c>
      <c r="E640" s="1068" t="s">
        <v>70</v>
      </c>
      <c r="F640" s="1067"/>
      <c r="G640" s="1069" t="str">
        <f t="array" ref="G640">IF(B640="insumo",_xlfn.XLOOKUP($D640,Insumos!$B$1:$B$996,Insumos!$D$1:$D$996),"")</f>
        <v/>
      </c>
      <c r="H640" s="1069">
        <v>108.03522595041299</v>
      </c>
      <c r="I640" s="1070">
        <v>11715.3338181818</v>
      </c>
      <c r="J640" s="1070">
        <v>1265668.7361317901</v>
      </c>
      <c r="K640" s="1070"/>
      <c r="L640"/>
      <c r="M640"/>
      <c r="N640"/>
      <c r="O640"/>
      <c r="P640"/>
      <c r="Q640"/>
      <c r="R640"/>
      <c r="S640"/>
      <c r="T640"/>
      <c r="U640"/>
      <c r="V640"/>
      <c r="W640"/>
      <c r="X640"/>
      <c r="Y640"/>
      <c r="Z640"/>
      <c r="AA640"/>
      <c r="AB640"/>
      <c r="AC640"/>
      <c r="AD640"/>
      <c r="AE640"/>
      <c r="AF640"/>
      <c r="AG640"/>
      <c r="AH640"/>
      <c r="AI640"/>
      <c r="AJ640"/>
      <c r="AK640"/>
      <c r="AL640"/>
    </row>
    <row r="641" spans="1:38" ht="15.75" customHeight="1" outlineLevel="3" x14ac:dyDescent="0.2">
      <c r="A641" s="10">
        <v>40</v>
      </c>
      <c r="B641" s="10" t="s">
        <v>71</v>
      </c>
      <c r="C641" s="10" t="s">
        <v>1305</v>
      </c>
      <c r="D641" s="10" t="s">
        <v>87</v>
      </c>
      <c r="E641" s="11" t="str">
        <f t="array" ref="E641">_xlfn.XLOOKUP(D641,Insumos!B:B,Insumos!C:$C)</f>
        <v>KG</v>
      </c>
      <c r="F641" s="14">
        <v>0.20799999999999999</v>
      </c>
      <c r="G641" s="92">
        <f t="array" ref="G641">IF(B641="insumo",_xlfn.XLOOKUP($D641,Insumos!$B$1:$B$996,Insumos!$D$1:$D$996),"")</f>
        <v>18.13</v>
      </c>
      <c r="H641" s="92">
        <v>3.7710400000000002</v>
      </c>
      <c r="I641" s="13">
        <v>11715.3338181818</v>
      </c>
      <c r="J641" s="13">
        <v>44178.992441716298</v>
      </c>
      <c r="K641" s="13"/>
      <c r="L641"/>
      <c r="M641"/>
      <c r="N641"/>
      <c r="O641"/>
      <c r="P641"/>
      <c r="Q641"/>
      <c r="R641"/>
      <c r="S641"/>
      <c r="T641"/>
      <c r="U641"/>
      <c r="V641"/>
      <c r="W641"/>
      <c r="X641"/>
      <c r="Y641"/>
      <c r="Z641"/>
      <c r="AA641"/>
      <c r="AB641"/>
      <c r="AC641"/>
      <c r="AD641"/>
      <c r="AE641"/>
      <c r="AF641"/>
      <c r="AG641"/>
      <c r="AH641"/>
      <c r="AI641"/>
      <c r="AJ641"/>
      <c r="AK641"/>
      <c r="AL641"/>
    </row>
    <row r="642" spans="1:38" ht="15.75" customHeight="1" outlineLevel="3" x14ac:dyDescent="0.2">
      <c r="A642" s="10">
        <v>1</v>
      </c>
      <c r="B642" s="10" t="s">
        <v>71</v>
      </c>
      <c r="C642" s="10" t="s">
        <v>1305</v>
      </c>
      <c r="D642" s="10" t="s">
        <v>1307</v>
      </c>
      <c r="E642" s="11" t="str">
        <f t="array" ref="E642">_xlfn.XLOOKUP(D642,Insumos!B:B,Insumos!C:$C)</f>
        <v>M2</v>
      </c>
      <c r="F642" s="14">
        <v>0.755</v>
      </c>
      <c r="G642" s="92">
        <f t="array" ref="G642">IF(B642="insumo",_xlfn.XLOOKUP($D642,Insumos!$B$1:$B$996,Insumos!$D$1:$D$996),"")</f>
        <v>92.851239669421474</v>
      </c>
      <c r="H642" s="92">
        <v>70.102685950413203</v>
      </c>
      <c r="I642" s="13">
        <v>11715.3338181818</v>
      </c>
      <c r="J642" s="13">
        <v>821276.367460254</v>
      </c>
      <c r="K642" s="13"/>
      <c r="L642"/>
      <c r="M642"/>
      <c r="N642"/>
      <c r="O642"/>
      <c r="P642"/>
      <c r="Q642"/>
      <c r="R642"/>
      <c r="S642"/>
      <c r="T642"/>
      <c r="U642"/>
      <c r="V642"/>
      <c r="W642"/>
      <c r="X642"/>
      <c r="Y642"/>
      <c r="Z642"/>
      <c r="AA642"/>
      <c r="AB642"/>
      <c r="AC642"/>
      <c r="AD642"/>
      <c r="AE642"/>
      <c r="AF642"/>
      <c r="AG642"/>
      <c r="AH642"/>
      <c r="AI642"/>
      <c r="AJ642"/>
      <c r="AK642"/>
      <c r="AL642"/>
    </row>
    <row r="643" spans="1:38" ht="15.75" customHeight="1" outlineLevel="3" x14ac:dyDescent="0.2">
      <c r="A643" s="10">
        <v>25</v>
      </c>
      <c r="B643" s="10" t="s">
        <v>71</v>
      </c>
      <c r="C643" s="10" t="s">
        <v>1305</v>
      </c>
      <c r="D643" s="10" t="s">
        <v>84</v>
      </c>
      <c r="E643" s="11" t="str">
        <f t="array" ref="E643">_xlfn.XLOOKUP(D643,Insumos!B:B,Insumos!C:$C)</f>
        <v>M</v>
      </c>
      <c r="F643" s="14">
        <v>0.42714285714285716</v>
      </c>
      <c r="G643" s="92">
        <f t="array" ref="G643">IF(B643="insumo",_xlfn.XLOOKUP($D643,Insumos!$B$1:$B$996,Insumos!$D$1:$D$996),"")</f>
        <v>7</v>
      </c>
      <c r="H643" s="92">
        <v>2.99</v>
      </c>
      <c r="I643" s="13">
        <v>11715.3338181818</v>
      </c>
      <c r="J643" s="13">
        <v>35028.848116363602</v>
      </c>
      <c r="K643" s="13"/>
      <c r="L643"/>
      <c r="M643"/>
      <c r="N643"/>
      <c r="O643"/>
      <c r="P643"/>
      <c r="Q643"/>
      <c r="R643"/>
      <c r="S643"/>
      <c r="T643"/>
      <c r="U643"/>
      <c r="V643"/>
      <c r="W643"/>
      <c r="X643"/>
      <c r="Y643"/>
      <c r="Z643"/>
      <c r="AA643"/>
      <c r="AB643"/>
      <c r="AC643"/>
      <c r="AD643"/>
      <c r="AE643"/>
      <c r="AF643"/>
      <c r="AG643"/>
      <c r="AH643"/>
      <c r="AI643"/>
      <c r="AJ643"/>
      <c r="AK643"/>
      <c r="AL643"/>
    </row>
    <row r="644" spans="1:38" ht="15.75" customHeight="1" outlineLevel="3" x14ac:dyDescent="0.2">
      <c r="A644" s="10">
        <v>19</v>
      </c>
      <c r="B644" s="10" t="s">
        <v>71</v>
      </c>
      <c r="C644" s="10" t="s">
        <v>1305</v>
      </c>
      <c r="D644" s="10" t="s">
        <v>129</v>
      </c>
      <c r="E644" s="11" t="str">
        <f t="array" ref="E644">_xlfn.XLOOKUP(D644,Insumos!B:B,Insumos!C:$C)</f>
        <v>M3</v>
      </c>
      <c r="F644" s="14">
        <v>2.3089999999999999E-2</v>
      </c>
      <c r="G644" s="92">
        <f t="array" ref="G644">IF(B644="insumo",_xlfn.XLOOKUP($D644,Insumos!$B$1:$B$996,Insumos!$D$1:$D$996),"")</f>
        <v>1350</v>
      </c>
      <c r="H644" s="92">
        <v>31.171500000000002</v>
      </c>
      <c r="I644" s="13">
        <v>11715.3338181818</v>
      </c>
      <c r="J644" s="13">
        <v>365184.528113454</v>
      </c>
      <c r="K644" s="13"/>
      <c r="L644"/>
      <c r="M644"/>
      <c r="N644"/>
      <c r="O644"/>
      <c r="P644"/>
      <c r="Q644"/>
      <c r="R644"/>
      <c r="S644"/>
      <c r="T644"/>
      <c r="U644"/>
      <c r="V644"/>
      <c r="W644"/>
      <c r="X644"/>
      <c r="Y644"/>
      <c r="Z644"/>
      <c r="AA644"/>
      <c r="AB644"/>
      <c r="AC644"/>
      <c r="AD644"/>
      <c r="AE644"/>
      <c r="AF644"/>
      <c r="AG644"/>
      <c r="AH644"/>
      <c r="AI644"/>
      <c r="AJ644"/>
      <c r="AK644"/>
      <c r="AL644"/>
    </row>
    <row r="645" spans="1:38" ht="15.75" customHeight="1" outlineLevel="2" x14ac:dyDescent="0.2">
      <c r="A645" s="1067">
        <v>1</v>
      </c>
      <c r="B645" s="1067" t="s">
        <v>68</v>
      </c>
      <c r="C645" s="1067" t="s">
        <v>1306</v>
      </c>
      <c r="D645" s="1067" t="s">
        <v>1306</v>
      </c>
      <c r="E645" s="1068" t="s">
        <v>70</v>
      </c>
      <c r="F645" s="1067"/>
      <c r="G645" s="1069" t="str">
        <f t="array" ref="G645">IF(B645="insumo",_xlfn.XLOOKUP($D645,Insumos!$B$1:$B$996,Insumos!$D$1:$D$996),"")</f>
        <v/>
      </c>
      <c r="H645" s="1069">
        <v>3.9773488000000001</v>
      </c>
      <c r="I645" s="1070">
        <v>42728.525999999998</v>
      </c>
      <c r="J645" s="1070">
        <v>169946.251611869</v>
      </c>
      <c r="K645" s="1070"/>
      <c r="L645"/>
      <c r="M645"/>
      <c r="N645"/>
      <c r="O645"/>
      <c r="P645"/>
      <c r="Q645"/>
      <c r="R645"/>
      <c r="S645"/>
      <c r="T645"/>
      <c r="U645"/>
      <c r="V645"/>
      <c r="W645"/>
      <c r="X645"/>
      <c r="Y645"/>
      <c r="Z645"/>
      <c r="AA645"/>
      <c r="AB645"/>
      <c r="AC645"/>
      <c r="AD645"/>
      <c r="AE645"/>
      <c r="AF645"/>
      <c r="AG645"/>
      <c r="AH645"/>
      <c r="AI645"/>
      <c r="AJ645"/>
      <c r="AK645"/>
      <c r="AL645"/>
    </row>
    <row r="646" spans="1:38" ht="15.75" customHeight="1" outlineLevel="3" x14ac:dyDescent="0.2">
      <c r="A646" s="10">
        <v>40</v>
      </c>
      <c r="B646" s="10" t="s">
        <v>71</v>
      </c>
      <c r="C646" s="10" t="s">
        <v>1306</v>
      </c>
      <c r="D646" s="10" t="s">
        <v>87</v>
      </c>
      <c r="E646" s="11" t="str">
        <f t="array" ref="E646">_xlfn.XLOOKUP(D646,Insumos!B:B,Insumos!C:$C)</f>
        <v>KG</v>
      </c>
      <c r="F646" s="14">
        <v>2.7E-2</v>
      </c>
      <c r="G646" s="92">
        <f t="array" ref="G646">IF(B646="insumo",_xlfn.XLOOKUP($D646,Insumos!$B$1:$B$996,Insumos!$D$1:$D$996),"")</f>
        <v>18.13</v>
      </c>
      <c r="H646" s="92">
        <v>0.48951</v>
      </c>
      <c r="I646" s="13">
        <v>42728.525999999998</v>
      </c>
      <c r="J646" s="13">
        <v>20916.04076226</v>
      </c>
      <c r="K646" s="13"/>
      <c r="L646"/>
      <c r="M646"/>
      <c r="N646"/>
      <c r="O646"/>
      <c r="P646"/>
      <c r="Q646"/>
      <c r="R646"/>
      <c r="S646"/>
      <c r="T646"/>
      <c r="U646"/>
      <c r="V646"/>
      <c r="W646"/>
      <c r="X646"/>
      <c r="Y646"/>
      <c r="Z646"/>
      <c r="AA646"/>
      <c r="AB646"/>
      <c r="AC646"/>
      <c r="AD646"/>
      <c r="AE646"/>
      <c r="AF646"/>
      <c r="AG646"/>
      <c r="AH646"/>
      <c r="AI646"/>
      <c r="AJ646"/>
      <c r="AK646"/>
      <c r="AL646"/>
    </row>
    <row r="647" spans="1:38" ht="15.75" customHeight="1" outlineLevel="3" x14ac:dyDescent="0.2">
      <c r="A647" s="10">
        <v>10</v>
      </c>
      <c r="B647" s="10" t="s">
        <v>71</v>
      </c>
      <c r="C647" s="10" t="s">
        <v>1306</v>
      </c>
      <c r="D647" s="10" t="s">
        <v>233</v>
      </c>
      <c r="E647" s="11" t="str">
        <f t="array" ref="E647">_xlfn.XLOOKUP(D647,Insumos!B:B,Insumos!C:$C)</f>
        <v>L</v>
      </c>
      <c r="F647" s="14">
        <v>1.2999999999999999E-2</v>
      </c>
      <c r="G647" s="92">
        <f t="array" ref="G647">IF(B647="insumo",_xlfn.XLOOKUP($D647,Insumos!$B$1:$B$996,Insumos!$D$1:$D$996),"")</f>
        <v>15.55</v>
      </c>
      <c r="H647" s="92">
        <v>0.20215</v>
      </c>
      <c r="I647" s="13">
        <v>42728.525999999998</v>
      </c>
      <c r="J647" s="13">
        <v>8637.5715309000007</v>
      </c>
      <c r="K647" s="13"/>
      <c r="L647"/>
      <c r="M647"/>
      <c r="N647"/>
      <c r="O647"/>
      <c r="P647"/>
      <c r="Q647"/>
      <c r="R647"/>
      <c r="S647"/>
      <c r="T647"/>
      <c r="U647"/>
      <c r="V647"/>
      <c r="W647"/>
      <c r="X647"/>
      <c r="Y647"/>
      <c r="Z647"/>
      <c r="AA647"/>
      <c r="AB647"/>
      <c r="AC647"/>
      <c r="AD647"/>
      <c r="AE647"/>
      <c r="AF647"/>
      <c r="AG647"/>
      <c r="AH647"/>
      <c r="AI647"/>
      <c r="AJ647"/>
      <c r="AK647"/>
      <c r="AL647"/>
    </row>
    <row r="648" spans="1:38" ht="15.75" customHeight="1" outlineLevel="3" x14ac:dyDescent="0.2">
      <c r="A648" s="10">
        <v>25</v>
      </c>
      <c r="B648" s="10" t="s">
        <v>71</v>
      </c>
      <c r="C648" s="10" t="s">
        <v>1306</v>
      </c>
      <c r="D648" s="10" t="s">
        <v>84</v>
      </c>
      <c r="E648" s="11" t="str">
        <f t="array" ref="E648">_xlfn.XLOOKUP(D648,Insumos!B:B,Insumos!C:$C)</f>
        <v>M</v>
      </c>
      <c r="F648" s="14">
        <v>0.2857142857142857</v>
      </c>
      <c r="G648" s="92">
        <f t="array" ref="G648">IF(B648="insumo",_xlfn.XLOOKUP($D648,Insumos!$B$1:$B$996,Insumos!$D$1:$D$996),"")</f>
        <v>7</v>
      </c>
      <c r="H648" s="92">
        <v>2</v>
      </c>
      <c r="I648" s="13">
        <v>42728.525999999998</v>
      </c>
      <c r="J648" s="13">
        <v>85457.051999999996</v>
      </c>
      <c r="K648" s="13"/>
      <c r="L648"/>
      <c r="M648"/>
      <c r="N648"/>
      <c r="O648"/>
      <c r="P648"/>
      <c r="Q648"/>
      <c r="R648"/>
      <c r="S648"/>
      <c r="T648"/>
      <c r="U648"/>
      <c r="V648"/>
      <c r="W648"/>
      <c r="X648"/>
      <c r="Y648"/>
      <c r="Z648"/>
      <c r="AA648"/>
      <c r="AB648"/>
      <c r="AC648"/>
      <c r="AD648"/>
      <c r="AE648"/>
      <c r="AF648"/>
      <c r="AG648"/>
      <c r="AH648"/>
      <c r="AI648"/>
      <c r="AJ648"/>
      <c r="AK648"/>
      <c r="AL648"/>
    </row>
    <row r="649" spans="1:38" ht="15.75" customHeight="1" outlineLevel="3" x14ac:dyDescent="0.2">
      <c r="A649" s="10">
        <v>6</v>
      </c>
      <c r="B649" s="10" t="s">
        <v>71</v>
      </c>
      <c r="C649" s="10" t="s">
        <v>1306</v>
      </c>
      <c r="D649" s="10" t="s">
        <v>234</v>
      </c>
      <c r="E649" s="11" t="str">
        <f t="array" ref="E649">_xlfn.XLOOKUP(D649,Insumos!B:B,Insumos!C:$C)</f>
        <v>M</v>
      </c>
      <c r="F649" s="14">
        <v>3.0280000000000001E-2</v>
      </c>
      <c r="G649" s="92">
        <f t="array" ref="G649">IF(B649="insumo",_xlfn.XLOOKUP($D649,Insumos!$B$1:$B$996,Insumos!$D$1:$D$996),"")</f>
        <v>42.46</v>
      </c>
      <c r="H649" s="92">
        <v>1.2856888</v>
      </c>
      <c r="I649" s="13">
        <v>42728.525999999998</v>
      </c>
      <c r="J649" s="13">
        <v>54935.5873187088</v>
      </c>
      <c r="K649" s="13"/>
      <c r="L649"/>
      <c r="M649"/>
      <c r="N649"/>
      <c r="O649"/>
      <c r="P649"/>
      <c r="Q649"/>
      <c r="R649"/>
      <c r="S649"/>
      <c r="T649"/>
      <c r="U649"/>
      <c r="V649"/>
      <c r="W649"/>
      <c r="X649"/>
      <c r="Y649"/>
      <c r="Z649"/>
      <c r="AA649"/>
      <c r="AB649"/>
      <c r="AC649"/>
      <c r="AD649"/>
      <c r="AE649"/>
      <c r="AF649"/>
      <c r="AG649"/>
      <c r="AH649"/>
      <c r="AI649"/>
      <c r="AJ649"/>
      <c r="AK649"/>
      <c r="AL649"/>
    </row>
    <row r="650" spans="1:38" ht="15.75" customHeight="1" outlineLevel="2" x14ac:dyDescent="0.2">
      <c r="A650" s="1067">
        <v>1</v>
      </c>
      <c r="B650" s="1067" t="s">
        <v>68</v>
      </c>
      <c r="C650" s="1067" t="s">
        <v>284</v>
      </c>
      <c r="D650" s="1067" t="s">
        <v>284</v>
      </c>
      <c r="E650" s="1068" t="s">
        <v>70</v>
      </c>
      <c r="F650" s="1067"/>
      <c r="G650" s="1069" t="str">
        <f t="array" ref="G650">IF(B650="insumo",_xlfn.XLOOKUP($D650,Insumos!$B$1:$B$996,Insumos!$D$1:$D$996),"")</f>
        <v/>
      </c>
      <c r="H650" s="1069">
        <v>0.69166000000000005</v>
      </c>
      <c r="I650" s="1070">
        <v>0</v>
      </c>
      <c r="J650" s="1070">
        <v>0</v>
      </c>
      <c r="K650" s="1070"/>
      <c r="L650"/>
      <c r="M650"/>
      <c r="N650"/>
      <c r="O650"/>
      <c r="P650"/>
      <c r="Q650"/>
      <c r="R650"/>
      <c r="S650"/>
      <c r="T650"/>
      <c r="U650"/>
      <c r="V650"/>
      <c r="W650"/>
      <c r="X650"/>
      <c r="Y650"/>
      <c r="Z650"/>
      <c r="AA650"/>
      <c r="AB650"/>
      <c r="AC650"/>
      <c r="AD650"/>
      <c r="AE650"/>
      <c r="AF650"/>
      <c r="AG650"/>
      <c r="AH650"/>
      <c r="AI650"/>
      <c r="AJ650"/>
      <c r="AK650"/>
      <c r="AL650"/>
    </row>
    <row r="651" spans="1:38" ht="15.75" customHeight="1" outlineLevel="3" x14ac:dyDescent="0.2">
      <c r="A651" s="10">
        <v>40</v>
      </c>
      <c r="B651" s="10" t="s">
        <v>71</v>
      </c>
      <c r="C651" s="10" t="s">
        <v>284</v>
      </c>
      <c r="D651" s="10" t="s">
        <v>87</v>
      </c>
      <c r="E651" s="11" t="str">
        <f t="array" ref="E651">_xlfn.XLOOKUP(D651,Insumos!B:B,Insumos!C:$C)</f>
        <v>KG</v>
      </c>
      <c r="F651" s="14">
        <v>2.7E-2</v>
      </c>
      <c r="G651" s="92">
        <f t="array" ref="G651">IF(B651="insumo",_xlfn.XLOOKUP($D651,Insumos!$B$1:$B$996,Insumos!$D$1:$D$996),"")</f>
        <v>18.13</v>
      </c>
      <c r="H651" s="92">
        <v>0.48951</v>
      </c>
      <c r="I651" s="13">
        <v>0</v>
      </c>
      <c r="J651" s="13">
        <v>0</v>
      </c>
      <c r="K651" s="13"/>
      <c r="L651"/>
      <c r="M651"/>
      <c r="N651"/>
      <c r="O651"/>
      <c r="P651"/>
      <c r="Q651"/>
      <c r="R651"/>
      <c r="S651"/>
      <c r="T651"/>
      <c r="U651"/>
      <c r="V651"/>
      <c r="W651"/>
      <c r="X651"/>
      <c r="Y651"/>
      <c r="Z651"/>
      <c r="AA651"/>
      <c r="AB651"/>
      <c r="AC651"/>
      <c r="AD651"/>
      <c r="AE651"/>
      <c r="AF651"/>
      <c r="AG651"/>
      <c r="AH651"/>
      <c r="AI651"/>
      <c r="AJ651"/>
      <c r="AK651"/>
      <c r="AL651"/>
    </row>
    <row r="652" spans="1:38" ht="15.75" customHeight="1" outlineLevel="3" x14ac:dyDescent="0.2">
      <c r="A652" s="10">
        <v>10</v>
      </c>
      <c r="B652" s="10" t="s">
        <v>71</v>
      </c>
      <c r="C652" s="10" t="s">
        <v>284</v>
      </c>
      <c r="D652" s="10" t="s">
        <v>233</v>
      </c>
      <c r="E652" s="11" t="str">
        <f t="array" ref="E652">_xlfn.XLOOKUP(D652,Insumos!B:B,Insumos!C:$C)</f>
        <v>L</v>
      </c>
      <c r="F652" s="14">
        <v>1.2999999999999999E-2</v>
      </c>
      <c r="G652" s="92">
        <f t="array" ref="G652">IF(B652="insumo",_xlfn.XLOOKUP($D652,Insumos!$B$1:$B$996,Insumos!$D$1:$D$996),"")</f>
        <v>15.55</v>
      </c>
      <c r="H652" s="92">
        <v>0.20215</v>
      </c>
      <c r="I652" s="13">
        <v>0</v>
      </c>
      <c r="J652" s="13">
        <v>0</v>
      </c>
      <c r="K652" s="13"/>
      <c r="L652"/>
      <c r="M652"/>
      <c r="N652"/>
      <c r="O652"/>
      <c r="P652"/>
      <c r="Q652"/>
      <c r="R652"/>
      <c r="S652"/>
      <c r="T652"/>
      <c r="U652"/>
      <c r="V652"/>
      <c r="W652"/>
      <c r="X652"/>
      <c r="Y652"/>
      <c r="Z652"/>
      <c r="AA652"/>
      <c r="AB652"/>
      <c r="AC652"/>
      <c r="AD652"/>
      <c r="AE652"/>
      <c r="AF652"/>
      <c r="AG652"/>
      <c r="AH652"/>
      <c r="AI652"/>
      <c r="AJ652"/>
      <c r="AK652"/>
      <c r="AL652"/>
    </row>
    <row r="653" spans="1:38" ht="16.5" customHeight="1" outlineLevel="2" x14ac:dyDescent="0.2">
      <c r="A653" s="1067">
        <v>1</v>
      </c>
      <c r="B653" s="1067" t="s">
        <v>68</v>
      </c>
      <c r="C653" s="1067" t="s">
        <v>285</v>
      </c>
      <c r="D653" s="1067" t="s">
        <v>285</v>
      </c>
      <c r="E653" s="1068" t="s">
        <v>70</v>
      </c>
      <c r="F653" s="1067"/>
      <c r="G653" s="1069" t="str">
        <f t="array" ref="G653">IF(B653="insumo",_xlfn.XLOOKUP($D653,Insumos!$B$1:$B$996,Insumos!$D$1:$D$996),"")</f>
        <v/>
      </c>
      <c r="H653" s="1069">
        <v>4.6844188000000004</v>
      </c>
      <c r="I653" s="1070">
        <v>0</v>
      </c>
      <c r="J653" s="1070">
        <v>0</v>
      </c>
      <c r="K653" s="1070"/>
      <c r="L653"/>
      <c r="M653"/>
      <c r="N653"/>
      <c r="O653"/>
      <c r="P653"/>
      <c r="Q653"/>
      <c r="R653"/>
      <c r="S653"/>
      <c r="T653"/>
      <c r="U653"/>
      <c r="V653"/>
      <c r="W653"/>
      <c r="X653"/>
      <c r="Y653"/>
      <c r="Z653"/>
      <c r="AA653"/>
      <c r="AB653"/>
      <c r="AC653"/>
      <c r="AD653"/>
      <c r="AE653"/>
      <c r="AF653"/>
      <c r="AG653"/>
      <c r="AH653"/>
      <c r="AI653"/>
      <c r="AJ653"/>
      <c r="AK653"/>
      <c r="AL653"/>
    </row>
    <row r="654" spans="1:38" ht="15.75" customHeight="1" outlineLevel="3" x14ac:dyDescent="0.2">
      <c r="A654" s="10">
        <v>40</v>
      </c>
      <c r="B654" s="10" t="s">
        <v>71</v>
      </c>
      <c r="C654" s="10" t="s">
        <v>285</v>
      </c>
      <c r="D654" s="10" t="s">
        <v>87</v>
      </c>
      <c r="E654" s="11" t="str">
        <f t="array" ref="E654">_xlfn.XLOOKUP(D654,Insumos!B:B,Insumos!C:$C)</f>
        <v>KG</v>
      </c>
      <c r="F654" s="14">
        <v>6.6000000000000003E-2</v>
      </c>
      <c r="G654" s="92">
        <f t="array" ref="G654">IF(B654="insumo",_xlfn.XLOOKUP($D654,Insumos!$B$1:$B$996,Insumos!$D$1:$D$996),"")</f>
        <v>18.13</v>
      </c>
      <c r="H654" s="92">
        <v>1.19658</v>
      </c>
      <c r="I654" s="13">
        <v>0</v>
      </c>
      <c r="J654" s="13">
        <v>0</v>
      </c>
      <c r="K654" s="13"/>
      <c r="L654"/>
      <c r="M654"/>
      <c r="N654"/>
      <c r="O654"/>
      <c r="P654"/>
      <c r="Q654"/>
      <c r="R654"/>
      <c r="S654"/>
      <c r="T654"/>
      <c r="U654"/>
      <c r="V654"/>
      <c r="W654"/>
      <c r="X654"/>
      <c r="Y654"/>
      <c r="Z654"/>
      <c r="AA654"/>
      <c r="AB654"/>
      <c r="AC654"/>
      <c r="AD654"/>
      <c r="AE654"/>
      <c r="AF654"/>
      <c r="AG654"/>
      <c r="AH654"/>
      <c r="AI654"/>
      <c r="AJ654"/>
      <c r="AK654"/>
      <c r="AL654"/>
    </row>
    <row r="655" spans="1:38" ht="15.75" customHeight="1" outlineLevel="3" x14ac:dyDescent="0.2">
      <c r="A655" s="10">
        <v>10</v>
      </c>
      <c r="B655" s="10" t="s">
        <v>71</v>
      </c>
      <c r="C655" s="10" t="s">
        <v>285</v>
      </c>
      <c r="D655" s="10" t="s">
        <v>233</v>
      </c>
      <c r="E655" s="11" t="str">
        <f t="array" ref="E655">_xlfn.XLOOKUP(D655,Insumos!B:B,Insumos!C:$C)</f>
        <v>L</v>
      </c>
      <c r="F655" s="14">
        <v>1.2999999999999999E-2</v>
      </c>
      <c r="G655" s="92">
        <f t="array" ref="G655">IF(B655="insumo",_xlfn.XLOOKUP($D655,Insumos!$B$1:$B$996,Insumos!$D$1:$D$996),"")</f>
        <v>15.55</v>
      </c>
      <c r="H655" s="92">
        <v>0.20215</v>
      </c>
      <c r="I655" s="13">
        <v>0</v>
      </c>
      <c r="J655" s="13">
        <v>0</v>
      </c>
      <c r="K655" s="13"/>
      <c r="L655"/>
      <c r="M655"/>
      <c r="N655"/>
      <c r="O655"/>
      <c r="P655"/>
      <c r="Q655"/>
      <c r="R655"/>
      <c r="S655"/>
      <c r="T655"/>
      <c r="U655"/>
      <c r="V655"/>
      <c r="W655"/>
      <c r="X655"/>
      <c r="Y655"/>
      <c r="Z655"/>
      <c r="AA655"/>
      <c r="AB655"/>
      <c r="AC655"/>
      <c r="AD655"/>
      <c r="AE655"/>
      <c r="AF655"/>
      <c r="AG655"/>
      <c r="AH655"/>
      <c r="AI655"/>
      <c r="AJ655"/>
      <c r="AK655"/>
      <c r="AL655"/>
    </row>
    <row r="656" spans="1:38" ht="15.75" customHeight="1" outlineLevel="3" x14ac:dyDescent="0.2">
      <c r="A656" s="10">
        <v>25</v>
      </c>
      <c r="B656" s="10" t="s">
        <v>71</v>
      </c>
      <c r="C656" s="10" t="s">
        <v>285</v>
      </c>
      <c r="D656" s="10" t="s">
        <v>84</v>
      </c>
      <c r="E656" s="11" t="str">
        <f t="array" ref="E656">_xlfn.XLOOKUP(D656,Insumos!B:B,Insumos!C:$C)</f>
        <v>M</v>
      </c>
      <c r="F656" s="14">
        <v>0.2857142857142857</v>
      </c>
      <c r="G656" s="92">
        <f t="array" ref="G656">IF(B656="insumo",_xlfn.XLOOKUP($D656,Insumos!$B$1:$B$996,Insumos!$D$1:$D$996),"")</f>
        <v>7</v>
      </c>
      <c r="H656" s="92">
        <v>2</v>
      </c>
      <c r="I656" s="13">
        <v>0</v>
      </c>
      <c r="J656" s="13">
        <v>0</v>
      </c>
      <c r="K656" s="13"/>
      <c r="L656"/>
      <c r="M656"/>
      <c r="N656"/>
      <c r="O656"/>
      <c r="P656"/>
      <c r="Q656"/>
      <c r="R656"/>
      <c r="S656"/>
      <c r="T656"/>
      <c r="U656"/>
      <c r="V656"/>
      <c r="W656"/>
      <c r="X656"/>
      <c r="Y656"/>
      <c r="Z656"/>
      <c r="AA656"/>
      <c r="AB656"/>
      <c r="AC656"/>
      <c r="AD656"/>
      <c r="AE656"/>
      <c r="AF656"/>
      <c r="AG656"/>
      <c r="AH656"/>
      <c r="AI656"/>
      <c r="AJ656"/>
      <c r="AK656"/>
      <c r="AL656"/>
    </row>
    <row r="657" spans="1:38" ht="15.75" customHeight="1" outlineLevel="3" x14ac:dyDescent="0.2">
      <c r="A657" s="10">
        <v>6</v>
      </c>
      <c r="B657" s="10" t="s">
        <v>71</v>
      </c>
      <c r="C657" s="10" t="s">
        <v>285</v>
      </c>
      <c r="D657" s="10" t="s">
        <v>234</v>
      </c>
      <c r="E657" s="11" t="str">
        <f t="array" ref="E657">_xlfn.XLOOKUP(D657,Insumos!B:B,Insumos!C:$C)</f>
        <v>M</v>
      </c>
      <c r="F657" s="14">
        <v>3.0280000000000001E-2</v>
      </c>
      <c r="G657" s="92">
        <f t="array" ref="G657">IF(B657="insumo",_xlfn.XLOOKUP($D657,Insumos!$B$1:$B$996,Insumos!$D$1:$D$996),"")</f>
        <v>42.46</v>
      </c>
      <c r="H657" s="92">
        <v>1.2856888</v>
      </c>
      <c r="I657" s="13">
        <v>0</v>
      </c>
      <c r="J657" s="13">
        <v>0</v>
      </c>
      <c r="K657" s="13"/>
      <c r="L657"/>
      <c r="M657"/>
      <c r="N657"/>
      <c r="O657"/>
      <c r="P657"/>
      <c r="Q657"/>
      <c r="R657"/>
      <c r="S657"/>
      <c r="T657"/>
      <c r="U657"/>
      <c r="V657"/>
      <c r="W657"/>
      <c r="X657"/>
      <c r="Y657"/>
      <c r="Z657"/>
      <c r="AA657"/>
      <c r="AB657"/>
      <c r="AC657"/>
      <c r="AD657"/>
      <c r="AE657"/>
      <c r="AF657"/>
      <c r="AG657"/>
      <c r="AH657"/>
      <c r="AI657"/>
      <c r="AJ657"/>
      <c r="AK657"/>
      <c r="AL657"/>
    </row>
    <row r="658" spans="1:38" ht="15.75" customHeight="1" outlineLevel="2" x14ac:dyDescent="0.2">
      <c r="A658" s="1067">
        <v>1</v>
      </c>
      <c r="B658" s="1067" t="s">
        <v>68</v>
      </c>
      <c r="C658" s="1067" t="s">
        <v>286</v>
      </c>
      <c r="D658" s="1067" t="s">
        <v>286</v>
      </c>
      <c r="E658" s="1068" t="s">
        <v>70</v>
      </c>
      <c r="F658" s="1067"/>
      <c r="G658" s="1069" t="str">
        <f t="array" ref="G658">IF(B658="insumo",_xlfn.XLOOKUP($D658,Insumos!$B$1:$B$996,Insumos!$D$1:$D$996),"")</f>
        <v/>
      </c>
      <c r="H658" s="1069">
        <v>0.69166000000000005</v>
      </c>
      <c r="I658" s="1070">
        <v>0</v>
      </c>
      <c r="J658" s="1070">
        <v>0</v>
      </c>
      <c r="K658" s="1070"/>
      <c r="L658"/>
      <c r="M658"/>
      <c r="N658"/>
      <c r="O658"/>
      <c r="P658"/>
      <c r="Q658"/>
      <c r="R658"/>
      <c r="S658"/>
      <c r="T658"/>
      <c r="U658"/>
      <c r="V658"/>
      <c r="W658"/>
      <c r="X658"/>
      <c r="Y658"/>
      <c r="Z658"/>
      <c r="AA658"/>
      <c r="AB658"/>
      <c r="AC658"/>
      <c r="AD658"/>
      <c r="AE658"/>
      <c r="AF658"/>
      <c r="AG658"/>
      <c r="AH658"/>
      <c r="AI658"/>
      <c r="AJ658"/>
      <c r="AK658"/>
      <c r="AL658"/>
    </row>
    <row r="659" spans="1:38" ht="15.75" customHeight="1" outlineLevel="3" x14ac:dyDescent="0.2">
      <c r="A659" s="10">
        <v>40</v>
      </c>
      <c r="B659" s="10" t="s">
        <v>71</v>
      </c>
      <c r="C659" s="10" t="s">
        <v>286</v>
      </c>
      <c r="D659" s="10" t="s">
        <v>87</v>
      </c>
      <c r="E659" s="11" t="str">
        <f t="array" ref="E659">_xlfn.XLOOKUP(D659,Insumos!B:B,Insumos!C:$C)</f>
        <v>KG</v>
      </c>
      <c r="F659" s="14">
        <v>2.7E-2</v>
      </c>
      <c r="G659" s="92">
        <f t="array" ref="G659">IF(B659="insumo",_xlfn.XLOOKUP($D659,Insumos!$B$1:$B$996,Insumos!$D$1:$D$996),"")</f>
        <v>18.13</v>
      </c>
      <c r="H659" s="92">
        <v>0.48951</v>
      </c>
      <c r="I659" s="13">
        <v>0</v>
      </c>
      <c r="J659" s="13">
        <v>0</v>
      </c>
      <c r="K659" s="13"/>
      <c r="L659"/>
      <c r="M659"/>
      <c r="N659"/>
      <c r="O659"/>
      <c r="P659"/>
      <c r="Q659"/>
      <c r="R659"/>
      <c r="S659"/>
      <c r="T659"/>
      <c r="U659"/>
      <c r="V659"/>
      <c r="W659"/>
      <c r="X659"/>
      <c r="Y659"/>
      <c r="Z659"/>
      <c r="AA659"/>
      <c r="AB659"/>
      <c r="AC659"/>
      <c r="AD659"/>
      <c r="AE659"/>
      <c r="AF659"/>
      <c r="AG659"/>
      <c r="AH659"/>
      <c r="AI659"/>
      <c r="AJ659"/>
      <c r="AK659"/>
      <c r="AL659"/>
    </row>
    <row r="660" spans="1:38" ht="15.75" customHeight="1" outlineLevel="3" x14ac:dyDescent="0.2">
      <c r="A660" s="10">
        <v>10</v>
      </c>
      <c r="B660" s="10" t="s">
        <v>71</v>
      </c>
      <c r="C660" s="10" t="s">
        <v>286</v>
      </c>
      <c r="D660" s="10" t="s">
        <v>233</v>
      </c>
      <c r="E660" s="11" t="str">
        <f t="array" ref="E660">_xlfn.XLOOKUP(D660,Insumos!B:B,Insumos!C:$C)</f>
        <v>L</v>
      </c>
      <c r="F660" s="14">
        <v>1.2999999999999999E-2</v>
      </c>
      <c r="G660" s="92">
        <f t="array" ref="G660">IF(B660="insumo",_xlfn.XLOOKUP($D660,Insumos!$B$1:$B$996,Insumos!$D$1:$D$996),"")</f>
        <v>15.55</v>
      </c>
      <c r="H660" s="92">
        <v>0.20215</v>
      </c>
      <c r="I660" s="13">
        <v>0</v>
      </c>
      <c r="J660" s="13">
        <v>0</v>
      </c>
      <c r="K660" s="13"/>
      <c r="L660"/>
      <c r="M660"/>
      <c r="N660"/>
      <c r="O660"/>
      <c r="P660"/>
      <c r="Q660"/>
      <c r="R660"/>
      <c r="S660"/>
      <c r="T660"/>
      <c r="U660"/>
      <c r="V660"/>
      <c r="W660"/>
      <c r="X660"/>
      <c r="Y660"/>
      <c r="Z660"/>
      <c r="AA660"/>
      <c r="AB660"/>
      <c r="AC660"/>
      <c r="AD660"/>
      <c r="AE660"/>
      <c r="AF660"/>
      <c r="AG660"/>
      <c r="AH660"/>
      <c r="AI660"/>
      <c r="AJ660"/>
      <c r="AK660"/>
      <c r="AL660"/>
    </row>
    <row r="661" spans="1:38" ht="16.5" customHeight="1" outlineLevel="2" x14ac:dyDescent="0.2">
      <c r="A661" s="1071">
        <v>1</v>
      </c>
      <c r="B661" s="1071" t="s">
        <v>68</v>
      </c>
      <c r="C661" s="1071" t="s">
        <v>1765</v>
      </c>
      <c r="D661" s="1071" t="s">
        <v>1765</v>
      </c>
      <c r="E661" s="1072" t="s">
        <v>70</v>
      </c>
      <c r="F661" s="1071"/>
      <c r="G661" s="1073" t="str">
        <f t="array" ref="G661">IF(B661="insumo",_xlfn.XLOOKUP($D661,Insumos!$B$1:$B$996,Insumos!$D$1:$D$996),"")</f>
        <v/>
      </c>
      <c r="H661" s="1073">
        <v>0.98717999999999995</v>
      </c>
      <c r="I661" s="1074">
        <v>0</v>
      </c>
      <c r="J661" s="1074">
        <v>0</v>
      </c>
      <c r="K661" s="1074"/>
      <c r="L661"/>
      <c r="M661"/>
      <c r="N661"/>
      <c r="O661"/>
      <c r="P661"/>
      <c r="Q661"/>
      <c r="R661"/>
      <c r="S661"/>
      <c r="T661"/>
      <c r="U661"/>
      <c r="V661"/>
      <c r="W661"/>
      <c r="X661"/>
      <c r="Y661"/>
      <c r="Z661"/>
      <c r="AA661"/>
      <c r="AB661"/>
      <c r="AC661"/>
      <c r="AD661"/>
      <c r="AE661"/>
      <c r="AF661"/>
      <c r="AG661"/>
      <c r="AH661"/>
      <c r="AI661"/>
      <c r="AJ661"/>
      <c r="AK661"/>
      <c r="AL661"/>
    </row>
    <row r="662" spans="1:38" ht="12.75" outlineLevel="3" x14ac:dyDescent="0.2">
      <c r="A662" s="82">
        <v>3</v>
      </c>
      <c r="B662" s="82" t="s">
        <v>71</v>
      </c>
      <c r="C662" s="82" t="s">
        <v>1765</v>
      </c>
      <c r="D662" s="82" t="s">
        <v>1181</v>
      </c>
      <c r="E662" s="11" t="str">
        <f t="array" ref="E662">_xlfn.XLOOKUP(D662,Insumos!B:B,Insumos!C:$C)</f>
        <v>KG</v>
      </c>
      <c r="F662" s="86">
        <v>2.1000000000000001E-2</v>
      </c>
      <c r="G662" s="92">
        <f t="array" ref="G662">IF(B662="insumo",_xlfn.XLOOKUP($D662,Insumos!$B$1:$B$996,Insumos!$D$1:$D$996),"")</f>
        <v>17.63</v>
      </c>
      <c r="H662" s="92">
        <v>0.37023</v>
      </c>
      <c r="I662" s="84">
        <v>0</v>
      </c>
      <c r="J662" s="84">
        <v>0</v>
      </c>
      <c r="K662" s="84"/>
      <c r="L662"/>
      <c r="M662"/>
      <c r="N662"/>
      <c r="O662"/>
      <c r="P662"/>
      <c r="Q662"/>
      <c r="R662"/>
      <c r="S662"/>
      <c r="T662"/>
      <c r="U662"/>
      <c r="V662"/>
      <c r="W662"/>
      <c r="X662"/>
      <c r="Y662"/>
      <c r="Z662"/>
      <c r="AA662"/>
      <c r="AB662"/>
      <c r="AC662"/>
      <c r="AD662"/>
      <c r="AE662"/>
      <c r="AF662"/>
      <c r="AG662"/>
      <c r="AH662"/>
      <c r="AI662"/>
      <c r="AJ662"/>
      <c r="AK662"/>
      <c r="AL662"/>
    </row>
    <row r="663" spans="1:38" ht="12.75" outlineLevel="3" x14ac:dyDescent="0.2">
      <c r="A663" s="82">
        <v>10</v>
      </c>
      <c r="B663" s="82" t="s">
        <v>71</v>
      </c>
      <c r="C663" s="82" t="s">
        <v>1765</v>
      </c>
      <c r="D663" s="82" t="s">
        <v>233</v>
      </c>
      <c r="E663" s="11" t="str">
        <f t="array" ref="E663">_xlfn.XLOOKUP(D663,Insumos!B:B,Insumos!C:$C)</f>
        <v>L</v>
      </c>
      <c r="F663" s="86">
        <v>4.0000000000000001E-3</v>
      </c>
      <c r="G663" s="92">
        <f t="array" ref="G663">IF(B663="insumo",_xlfn.XLOOKUP($D663,Insumos!$B$1:$B$996,Insumos!$D$1:$D$996),"")</f>
        <v>15.55</v>
      </c>
      <c r="H663" s="92">
        <v>6.2199999999999998E-2</v>
      </c>
      <c r="I663" s="84">
        <v>0</v>
      </c>
      <c r="J663" s="84">
        <v>0</v>
      </c>
      <c r="K663" s="84"/>
      <c r="L663"/>
      <c r="M663"/>
      <c r="N663"/>
      <c r="O663"/>
      <c r="P663"/>
      <c r="Q663"/>
      <c r="R663"/>
      <c r="S663"/>
      <c r="T663"/>
      <c r="U663"/>
      <c r="V663"/>
      <c r="W663"/>
      <c r="X663"/>
      <c r="Y663"/>
      <c r="Z663"/>
      <c r="AA663"/>
      <c r="AB663"/>
      <c r="AC663"/>
      <c r="AD663"/>
      <c r="AE663"/>
      <c r="AF663"/>
      <c r="AG663"/>
      <c r="AH663"/>
      <c r="AI663"/>
      <c r="AJ663"/>
      <c r="AK663"/>
      <c r="AL663"/>
    </row>
    <row r="664" spans="1:38" ht="12.75" outlineLevel="3" x14ac:dyDescent="0.2">
      <c r="A664" s="82">
        <v>2</v>
      </c>
      <c r="B664" s="82" t="s">
        <v>71</v>
      </c>
      <c r="C664" s="82" t="s">
        <v>1765</v>
      </c>
      <c r="D664" s="82" t="s">
        <v>1760</v>
      </c>
      <c r="E664" s="11" t="str">
        <f t="array" ref="E664">_xlfn.XLOOKUP(D664,Insumos!B:B,Insumos!C:$C)</f>
        <v>KG</v>
      </c>
      <c r="F664" s="86">
        <v>3.5000000000000003E-2</v>
      </c>
      <c r="G664" s="92">
        <f t="array" ref="G664">IF(B664="insumo",_xlfn.XLOOKUP($D664,Insumos!$B$1:$B$996,Insumos!$D$1:$D$996),"")</f>
        <v>15.85</v>
      </c>
      <c r="H664" s="92">
        <v>0.55474999999999997</v>
      </c>
      <c r="I664" s="84">
        <v>0</v>
      </c>
      <c r="J664" s="84">
        <v>0</v>
      </c>
      <c r="K664" s="84"/>
      <c r="L664"/>
      <c r="M664"/>
      <c r="N664"/>
      <c r="O664"/>
      <c r="P664"/>
      <c r="Q664"/>
      <c r="R664"/>
      <c r="S664"/>
      <c r="T664"/>
      <c r="U664"/>
      <c r="V664"/>
      <c r="W664"/>
      <c r="X664"/>
      <c r="Y664"/>
      <c r="Z664"/>
      <c r="AA664"/>
      <c r="AB664"/>
      <c r="AC664"/>
      <c r="AD664"/>
      <c r="AE664"/>
      <c r="AF664"/>
      <c r="AG664"/>
      <c r="AH664"/>
      <c r="AI664"/>
      <c r="AJ664"/>
      <c r="AK664"/>
      <c r="AL664"/>
    </row>
    <row r="665" spans="1:38" ht="15.75" customHeight="1" outlineLevel="1" x14ac:dyDescent="0.2">
      <c r="A665" s="1090">
        <v>4</v>
      </c>
      <c r="B665" s="1090" t="s">
        <v>1228</v>
      </c>
      <c r="C665" s="1090" t="s">
        <v>1765</v>
      </c>
      <c r="D665" s="1090" t="s">
        <v>1739</v>
      </c>
      <c r="E665" s="1091"/>
      <c r="F665" s="1092"/>
      <c r="G665" s="1091"/>
      <c r="H665" s="1091">
        <v>0</v>
      </c>
      <c r="I665" s="1092">
        <v>0</v>
      </c>
      <c r="J665" s="1092">
        <v>0</v>
      </c>
      <c r="K665" s="1092"/>
      <c r="L665"/>
      <c r="M665"/>
      <c r="N665"/>
      <c r="O665"/>
      <c r="P665"/>
      <c r="Q665"/>
      <c r="R665"/>
      <c r="S665"/>
      <c r="T665"/>
      <c r="U665"/>
      <c r="V665"/>
      <c r="W665"/>
      <c r="X665"/>
      <c r="Y665"/>
      <c r="Z665"/>
      <c r="AA665"/>
      <c r="AB665"/>
      <c r="AC665"/>
      <c r="AD665"/>
      <c r="AE665"/>
      <c r="AF665"/>
      <c r="AG665"/>
      <c r="AH665"/>
      <c r="AI665"/>
      <c r="AJ665"/>
      <c r="AK665"/>
      <c r="AL665"/>
    </row>
    <row r="666" spans="1:38" ht="15.75" customHeight="1" outlineLevel="2" x14ac:dyDescent="0.2">
      <c r="A666" s="1067">
        <v>1</v>
      </c>
      <c r="B666" s="1067" t="s">
        <v>68</v>
      </c>
      <c r="C666" s="1067" t="s">
        <v>287</v>
      </c>
      <c r="D666" s="1067" t="s">
        <v>287</v>
      </c>
      <c r="E666" s="1068" t="s">
        <v>206</v>
      </c>
      <c r="F666" s="1067"/>
      <c r="G666" s="1069" t="str">
        <f t="array" ref="G666">IF(B666="insumo",_xlfn.XLOOKUP($D666,Insumos!$B$1:$B$996,Insumos!$D$1:$D$996),"")</f>
        <v/>
      </c>
      <c r="H666" s="1069">
        <v>7.0540466249184002</v>
      </c>
      <c r="I666" s="1070">
        <v>0</v>
      </c>
      <c r="J666" s="1070">
        <v>0</v>
      </c>
      <c r="K666" s="1070"/>
      <c r="L666"/>
      <c r="M666"/>
      <c r="N666"/>
      <c r="O666"/>
      <c r="P666"/>
      <c r="Q666"/>
      <c r="R666"/>
      <c r="S666"/>
      <c r="T666"/>
      <c r="U666"/>
      <c r="V666"/>
      <c r="W666"/>
      <c r="X666"/>
      <c r="Y666"/>
      <c r="Z666"/>
      <c r="AA666"/>
      <c r="AB666"/>
      <c r="AC666"/>
      <c r="AD666"/>
      <c r="AE666"/>
      <c r="AF666"/>
      <c r="AG666"/>
      <c r="AH666"/>
      <c r="AI666"/>
      <c r="AJ666"/>
      <c r="AK666"/>
      <c r="AL666"/>
    </row>
    <row r="667" spans="1:38" ht="15.75" customHeight="1" outlineLevel="3" x14ac:dyDescent="0.2">
      <c r="A667" s="10">
        <v>5</v>
      </c>
      <c r="B667" s="10" t="s">
        <v>71</v>
      </c>
      <c r="C667" s="10" t="s">
        <v>287</v>
      </c>
      <c r="D667" s="10" t="s">
        <v>219</v>
      </c>
      <c r="E667" s="11" t="str">
        <f t="array" ref="E667">_xlfn.XLOOKUP(D667,Insumos!B:B,Insumos!C:$C)</f>
        <v>KG</v>
      </c>
      <c r="F667" s="14">
        <v>1.1000000000000001</v>
      </c>
      <c r="G667" s="92">
        <f t="array" ref="G667">IF(B667="insumo",_xlfn.XLOOKUP($D667,Insumos!$B$1:$B$996,Insumos!$D$1:$D$996),"")</f>
        <v>6.1446196590167288</v>
      </c>
      <c r="H667" s="92">
        <v>6.7590816249183998</v>
      </c>
      <c r="I667" s="13">
        <v>0</v>
      </c>
      <c r="J667" s="13">
        <v>0</v>
      </c>
      <c r="K667" s="13"/>
      <c r="L667"/>
      <c r="M667"/>
      <c r="N667"/>
      <c r="O667"/>
      <c r="P667"/>
      <c r="Q667"/>
      <c r="R667"/>
      <c r="S667"/>
      <c r="T667"/>
      <c r="U667"/>
      <c r="V667"/>
      <c r="W667"/>
      <c r="X667"/>
      <c r="Y667"/>
      <c r="Z667"/>
      <c r="AA667"/>
      <c r="AB667"/>
      <c r="AC667"/>
      <c r="AD667"/>
      <c r="AE667"/>
      <c r="AF667"/>
      <c r="AG667"/>
      <c r="AH667"/>
      <c r="AI667"/>
      <c r="AJ667"/>
      <c r="AK667"/>
      <c r="AL667"/>
    </row>
    <row r="668" spans="1:38" ht="15.75" customHeight="1" outlineLevel="3" x14ac:dyDescent="0.2">
      <c r="A668" s="10">
        <v>21</v>
      </c>
      <c r="B668" s="10" t="s">
        <v>71</v>
      </c>
      <c r="C668" s="10" t="s">
        <v>287</v>
      </c>
      <c r="D668" s="10" t="s">
        <v>288</v>
      </c>
      <c r="E668" s="11" t="str">
        <f t="array" ref="E668">_xlfn.XLOOKUP(D668,Insumos!B:B,Insumos!C:$C)</f>
        <v>KG</v>
      </c>
      <c r="F668" s="14">
        <v>2.0500000000000001E-2</v>
      </c>
      <c r="G668" s="92">
        <f t="array" ref="G668">IF(B668="insumo",_xlfn.XLOOKUP($D668,Insumos!$B$1:$B$996,Insumos!$D$1:$D$996),"")</f>
        <v>13.73</v>
      </c>
      <c r="H668" s="92">
        <v>0.28146500000000002</v>
      </c>
      <c r="I668" s="13">
        <v>0</v>
      </c>
      <c r="J668" s="13">
        <v>0</v>
      </c>
      <c r="K668" s="13"/>
      <c r="L668"/>
      <c r="M668"/>
      <c r="N668"/>
      <c r="O668"/>
      <c r="P668"/>
      <c r="Q668"/>
      <c r="R668"/>
      <c r="S668"/>
      <c r="T668"/>
      <c r="U668"/>
      <c r="V668"/>
      <c r="W668"/>
      <c r="X668"/>
      <c r="Y668"/>
      <c r="Z668"/>
      <c r="AA668"/>
      <c r="AB668"/>
      <c r="AC668"/>
      <c r="AD668"/>
      <c r="AE668"/>
      <c r="AF668"/>
      <c r="AG668"/>
      <c r="AH668"/>
      <c r="AI668"/>
      <c r="AJ668"/>
      <c r="AK668"/>
      <c r="AL668"/>
    </row>
    <row r="669" spans="1:38" ht="15.75" customHeight="1" outlineLevel="3" x14ac:dyDescent="0.2">
      <c r="A669" s="10">
        <v>62</v>
      </c>
      <c r="B669" s="10" t="s">
        <v>71</v>
      </c>
      <c r="C669" s="10" t="s">
        <v>287</v>
      </c>
      <c r="D669" s="10" t="s">
        <v>209</v>
      </c>
      <c r="E669" s="11" t="str">
        <f t="array" ref="E669">_xlfn.XLOOKUP(D669,Insumos!B:B,Insumos!C:$C)</f>
        <v>UN</v>
      </c>
      <c r="F669" s="14">
        <v>0.05</v>
      </c>
      <c r="G669" s="92">
        <f t="array" ref="G669">IF(B669="insumo",_xlfn.XLOOKUP($D669,Insumos!$B$1:$B$996,Insumos!$D$1:$D$996),"")</f>
        <v>0.27</v>
      </c>
      <c r="H669" s="92">
        <v>1.35E-2</v>
      </c>
      <c r="I669" s="13">
        <v>0</v>
      </c>
      <c r="J669" s="13">
        <v>0</v>
      </c>
      <c r="K669" s="13"/>
      <c r="L669"/>
      <c r="M669"/>
      <c r="N669"/>
      <c r="O669"/>
      <c r="P669"/>
      <c r="Q669"/>
      <c r="R669"/>
      <c r="S669"/>
      <c r="T669"/>
      <c r="U669"/>
      <c r="V669"/>
      <c r="W669"/>
      <c r="X669"/>
      <c r="Y669"/>
      <c r="Z669"/>
      <c r="AA669"/>
      <c r="AB669"/>
      <c r="AC669"/>
      <c r="AD669"/>
      <c r="AE669"/>
      <c r="AF669"/>
      <c r="AG669"/>
      <c r="AH669"/>
      <c r="AI669"/>
      <c r="AJ669"/>
      <c r="AK669"/>
      <c r="AL669"/>
    </row>
    <row r="670" spans="1:38" ht="15.75" customHeight="1" outlineLevel="2" x14ac:dyDescent="0.2">
      <c r="A670" s="1067">
        <v>1</v>
      </c>
      <c r="B670" s="1067" t="s">
        <v>68</v>
      </c>
      <c r="C670" s="1067" t="s">
        <v>289</v>
      </c>
      <c r="D670" s="1067" t="s">
        <v>289</v>
      </c>
      <c r="E670" s="1068" t="s">
        <v>206</v>
      </c>
      <c r="F670" s="1067"/>
      <c r="G670" s="1069" t="str">
        <f t="array" ref="G670">IF(B670="insumo",_xlfn.XLOOKUP($D670,Insumos!$B$1:$B$996,Insumos!$D$1:$D$996),"")</f>
        <v/>
      </c>
      <c r="H670" s="1069">
        <v>6.0803873937957</v>
      </c>
      <c r="I670" s="1070">
        <v>0</v>
      </c>
      <c r="J670" s="1070">
        <v>0</v>
      </c>
      <c r="K670" s="1070"/>
      <c r="L670"/>
      <c r="M670"/>
      <c r="N670"/>
      <c r="O670"/>
      <c r="P670"/>
      <c r="Q670"/>
      <c r="R670"/>
      <c r="S670"/>
      <c r="T670"/>
      <c r="U670"/>
      <c r="V670"/>
      <c r="W670"/>
      <c r="X670"/>
      <c r="Y670"/>
      <c r="Z670"/>
      <c r="AA670"/>
      <c r="AB670"/>
      <c r="AC670"/>
      <c r="AD670"/>
      <c r="AE670"/>
      <c r="AF670"/>
      <c r="AG670"/>
      <c r="AH670"/>
      <c r="AI670"/>
      <c r="AJ670"/>
      <c r="AK670"/>
      <c r="AL670"/>
    </row>
    <row r="671" spans="1:38" ht="15.75" customHeight="1" outlineLevel="3" x14ac:dyDescent="0.2">
      <c r="A671" s="10">
        <v>4</v>
      </c>
      <c r="B671" s="10" t="s">
        <v>71</v>
      </c>
      <c r="C671" s="10" t="s">
        <v>289</v>
      </c>
      <c r="D671" s="10" t="s">
        <v>207</v>
      </c>
      <c r="E671" s="11" t="str">
        <f t="array" ref="E671">_xlfn.XLOOKUP(D671,Insumos!B:B,Insumos!C:$C)</f>
        <v>KG</v>
      </c>
      <c r="F671" s="14">
        <v>1.1000000000000001</v>
      </c>
      <c r="G671" s="92">
        <f t="array" ref="G671">IF(B671="insumo",_xlfn.XLOOKUP($D671,Insumos!$B$1:$B$996,Insumos!$D$1:$D$996),"")</f>
        <v>5.2594749034506343</v>
      </c>
      <c r="H671" s="92">
        <v>5.7854223937956997</v>
      </c>
      <c r="I671" s="13">
        <v>0</v>
      </c>
      <c r="J671" s="13">
        <v>0</v>
      </c>
      <c r="K671" s="13"/>
      <c r="L671"/>
      <c r="M671"/>
      <c r="N671"/>
      <c r="O671"/>
      <c r="P671"/>
      <c r="Q671"/>
      <c r="R671"/>
      <c r="S671"/>
      <c r="T671"/>
      <c r="U671"/>
      <c r="V671"/>
      <c r="W671"/>
      <c r="X671"/>
      <c r="Y671"/>
      <c r="Z671"/>
      <c r="AA671"/>
      <c r="AB671"/>
      <c r="AC671"/>
      <c r="AD671"/>
      <c r="AE671"/>
      <c r="AF671"/>
      <c r="AG671"/>
      <c r="AH671"/>
      <c r="AI671"/>
      <c r="AJ671"/>
      <c r="AK671"/>
      <c r="AL671"/>
    </row>
    <row r="672" spans="1:38" ht="15.75" customHeight="1" outlineLevel="3" x14ac:dyDescent="0.2">
      <c r="A672" s="10">
        <v>21</v>
      </c>
      <c r="B672" s="10" t="s">
        <v>71</v>
      </c>
      <c r="C672" s="10" t="s">
        <v>289</v>
      </c>
      <c r="D672" s="10" t="s">
        <v>288</v>
      </c>
      <c r="E672" s="11" t="str">
        <f t="array" ref="E672">_xlfn.XLOOKUP(D672,Insumos!B:B,Insumos!C:$C)</f>
        <v>KG</v>
      </c>
      <c r="F672" s="14">
        <v>2.0500000000000001E-2</v>
      </c>
      <c r="G672" s="92">
        <f t="array" ref="G672">IF(B672="insumo",_xlfn.XLOOKUP($D672,Insumos!$B$1:$B$996,Insumos!$D$1:$D$996),"")</f>
        <v>13.73</v>
      </c>
      <c r="H672" s="92">
        <v>0.28146500000000002</v>
      </c>
      <c r="I672" s="13">
        <v>0</v>
      </c>
      <c r="J672" s="13">
        <v>0</v>
      </c>
      <c r="K672" s="13"/>
      <c r="L672"/>
      <c r="M672"/>
      <c r="N672"/>
      <c r="O672"/>
      <c r="P672"/>
      <c r="Q672"/>
      <c r="R672"/>
      <c r="S672"/>
      <c r="T672"/>
      <c r="U672"/>
      <c r="V672"/>
      <c r="W672"/>
      <c r="X672"/>
      <c r="Y672"/>
      <c r="Z672"/>
      <c r="AA672"/>
      <c r="AB672"/>
      <c r="AC672"/>
      <c r="AD672"/>
      <c r="AE672"/>
      <c r="AF672"/>
      <c r="AG672"/>
      <c r="AH672"/>
      <c r="AI672"/>
      <c r="AJ672"/>
      <c r="AK672"/>
      <c r="AL672"/>
    </row>
    <row r="673" spans="1:38" ht="15.75" customHeight="1" outlineLevel="3" x14ac:dyDescent="0.2">
      <c r="A673" s="10">
        <v>62</v>
      </c>
      <c r="B673" s="10" t="s">
        <v>71</v>
      </c>
      <c r="C673" s="10" t="s">
        <v>289</v>
      </c>
      <c r="D673" s="10" t="s">
        <v>209</v>
      </c>
      <c r="E673" s="11" t="str">
        <f t="array" ref="E673">_xlfn.XLOOKUP(D673,Insumos!B:B,Insumos!C:$C)</f>
        <v>UN</v>
      </c>
      <c r="F673" s="14">
        <v>0.05</v>
      </c>
      <c r="G673" s="92">
        <f t="array" ref="G673">IF(B673="insumo",_xlfn.XLOOKUP($D673,Insumos!$B$1:$B$996,Insumos!$D$1:$D$996),"")</f>
        <v>0.27</v>
      </c>
      <c r="H673" s="92">
        <v>1.35E-2</v>
      </c>
      <c r="I673" s="13">
        <v>0</v>
      </c>
      <c r="J673" s="13">
        <v>0</v>
      </c>
      <c r="K673" s="13"/>
      <c r="L673"/>
      <c r="M673"/>
      <c r="N673"/>
      <c r="O673"/>
      <c r="P673"/>
      <c r="Q673"/>
      <c r="R673"/>
      <c r="S673"/>
      <c r="T673"/>
      <c r="U673"/>
      <c r="V673"/>
      <c r="W673"/>
      <c r="X673"/>
      <c r="Y673"/>
      <c r="Z673"/>
      <c r="AA673"/>
      <c r="AB673"/>
      <c r="AC673"/>
      <c r="AD673"/>
      <c r="AE673"/>
      <c r="AF673"/>
      <c r="AG673"/>
      <c r="AH673"/>
      <c r="AI673"/>
      <c r="AJ673"/>
      <c r="AK673"/>
      <c r="AL673"/>
    </row>
    <row r="674" spans="1:38" ht="15.75" customHeight="1" outlineLevel="2" x14ac:dyDescent="0.2">
      <c r="A674" s="1067">
        <v>1</v>
      </c>
      <c r="B674" s="1067" t="s">
        <v>68</v>
      </c>
      <c r="C674" s="1067" t="s">
        <v>290</v>
      </c>
      <c r="D674" s="1067" t="s">
        <v>290</v>
      </c>
      <c r="E674" s="1068" t="s">
        <v>206</v>
      </c>
      <c r="F674" s="1067"/>
      <c r="G674" s="1069" t="str">
        <f t="array" ref="G674">IF(B674="insumo",_xlfn.XLOOKUP($D674,Insumos!$B$1:$B$996,Insumos!$D$1:$D$996),"")</f>
        <v/>
      </c>
      <c r="H674" s="1069">
        <v>5.7123076589046198</v>
      </c>
      <c r="I674" s="1070">
        <v>0</v>
      </c>
      <c r="J674" s="1070">
        <v>0</v>
      </c>
      <c r="K674" s="1070"/>
      <c r="L674"/>
      <c r="M674"/>
      <c r="N674"/>
      <c r="O674"/>
      <c r="P674"/>
      <c r="Q674"/>
      <c r="R674"/>
      <c r="S674"/>
      <c r="T674"/>
      <c r="U674"/>
      <c r="V674"/>
      <c r="W674"/>
      <c r="X674"/>
      <c r="Y674"/>
      <c r="Z674"/>
      <c r="AA674"/>
      <c r="AB674"/>
      <c r="AC674"/>
      <c r="AD674"/>
      <c r="AE674"/>
      <c r="AF674"/>
      <c r="AG674"/>
      <c r="AH674"/>
      <c r="AI674"/>
      <c r="AJ674"/>
      <c r="AK674"/>
      <c r="AL674"/>
    </row>
    <row r="675" spans="1:38" ht="15.75" customHeight="1" outlineLevel="3" x14ac:dyDescent="0.2">
      <c r="A675" s="10">
        <v>5</v>
      </c>
      <c r="B675" s="10" t="s">
        <v>71</v>
      </c>
      <c r="C675" s="10" t="s">
        <v>290</v>
      </c>
      <c r="D675" s="10" t="s">
        <v>211</v>
      </c>
      <c r="E675" s="11" t="str">
        <f t="array" ref="E675">_xlfn.XLOOKUP(D675,Insumos!B:B,Insumos!C:$C)</f>
        <v>KG</v>
      </c>
      <c r="F675" s="14">
        <v>1.1000000000000001</v>
      </c>
      <c r="G675" s="92">
        <f t="array" ref="G675">IF(B675="insumo",_xlfn.XLOOKUP($D675,Insumos!$B$1:$B$996,Insumos!$D$1:$D$996),"")</f>
        <v>4.9248569626405612</v>
      </c>
      <c r="H675" s="92">
        <v>5.4173426589046203</v>
      </c>
      <c r="I675" s="13">
        <v>0</v>
      </c>
      <c r="J675" s="13">
        <v>0</v>
      </c>
      <c r="K675" s="13"/>
      <c r="L675"/>
      <c r="M675"/>
      <c r="N675"/>
      <c r="O675"/>
      <c r="P675"/>
      <c r="Q675"/>
      <c r="R675"/>
      <c r="S675"/>
      <c r="T675"/>
      <c r="U675"/>
      <c r="V675"/>
      <c r="W675"/>
      <c r="X675"/>
      <c r="Y675"/>
      <c r="Z675"/>
      <c r="AA675"/>
      <c r="AB675"/>
      <c r="AC675"/>
      <c r="AD675"/>
      <c r="AE675"/>
      <c r="AF675"/>
      <c r="AG675"/>
      <c r="AH675"/>
      <c r="AI675"/>
      <c r="AJ675"/>
      <c r="AK675"/>
      <c r="AL675"/>
    </row>
    <row r="676" spans="1:38" ht="15.75" customHeight="1" outlineLevel="3" x14ac:dyDescent="0.2">
      <c r="A676" s="10">
        <v>21</v>
      </c>
      <c r="B676" s="10" t="s">
        <v>71</v>
      </c>
      <c r="C676" s="10" t="s">
        <v>290</v>
      </c>
      <c r="D676" s="10" t="s">
        <v>288</v>
      </c>
      <c r="E676" s="11" t="str">
        <f t="array" ref="E676">_xlfn.XLOOKUP(D676,Insumos!B:B,Insumos!C:$C)</f>
        <v>KG</v>
      </c>
      <c r="F676" s="14">
        <v>2.0500000000000001E-2</v>
      </c>
      <c r="G676" s="92">
        <f t="array" ref="G676">IF(B676="insumo",_xlfn.XLOOKUP($D676,Insumos!$B$1:$B$996,Insumos!$D$1:$D$996),"")</f>
        <v>13.73</v>
      </c>
      <c r="H676" s="92">
        <v>0.28146500000000002</v>
      </c>
      <c r="I676" s="13">
        <v>0</v>
      </c>
      <c r="J676" s="13">
        <v>0</v>
      </c>
      <c r="K676" s="13"/>
      <c r="L676"/>
      <c r="M676"/>
      <c r="N676"/>
      <c r="O676"/>
      <c r="P676"/>
      <c r="Q676"/>
      <c r="R676"/>
      <c r="S676"/>
      <c r="T676"/>
      <c r="U676"/>
      <c r="V676"/>
      <c r="W676"/>
      <c r="X676"/>
      <c r="Y676"/>
      <c r="Z676"/>
      <c r="AA676"/>
      <c r="AB676"/>
      <c r="AC676"/>
      <c r="AD676"/>
      <c r="AE676"/>
      <c r="AF676"/>
      <c r="AG676"/>
      <c r="AH676"/>
      <c r="AI676"/>
      <c r="AJ676"/>
      <c r="AK676"/>
      <c r="AL676"/>
    </row>
    <row r="677" spans="1:38" ht="15.75" customHeight="1" outlineLevel="3" x14ac:dyDescent="0.2">
      <c r="A677" s="10">
        <v>62</v>
      </c>
      <c r="B677" s="10" t="s">
        <v>71</v>
      </c>
      <c r="C677" s="10" t="s">
        <v>290</v>
      </c>
      <c r="D677" s="10" t="s">
        <v>209</v>
      </c>
      <c r="E677" s="11" t="str">
        <f t="array" ref="E677">_xlfn.XLOOKUP(D677,Insumos!B:B,Insumos!C:$C)</f>
        <v>UN</v>
      </c>
      <c r="F677" s="14">
        <v>0.05</v>
      </c>
      <c r="G677" s="92">
        <f t="array" ref="G677">IF(B677="insumo",_xlfn.XLOOKUP($D677,Insumos!$B$1:$B$996,Insumos!$D$1:$D$996),"")</f>
        <v>0.27</v>
      </c>
      <c r="H677" s="92">
        <v>1.35E-2</v>
      </c>
      <c r="I677" s="13">
        <v>0</v>
      </c>
      <c r="J677" s="13">
        <v>0</v>
      </c>
      <c r="K677" s="13"/>
      <c r="L677"/>
      <c r="M677"/>
      <c r="N677"/>
      <c r="O677"/>
      <c r="P677"/>
      <c r="Q677"/>
      <c r="R677"/>
      <c r="S677"/>
      <c r="T677"/>
      <c r="U677"/>
      <c r="V677"/>
      <c r="W677"/>
      <c r="X677"/>
      <c r="Y677"/>
      <c r="Z677"/>
      <c r="AA677"/>
      <c r="AB677"/>
      <c r="AC677"/>
      <c r="AD677"/>
      <c r="AE677"/>
      <c r="AF677"/>
      <c r="AG677"/>
      <c r="AH677"/>
      <c r="AI677"/>
      <c r="AJ677"/>
      <c r="AK677"/>
      <c r="AL677"/>
    </row>
    <row r="678" spans="1:38" ht="15.75" customHeight="1" outlineLevel="2" x14ac:dyDescent="0.2">
      <c r="A678" s="1067">
        <v>1</v>
      </c>
      <c r="B678" s="1067" t="s">
        <v>68</v>
      </c>
      <c r="C678" s="1067" t="s">
        <v>291</v>
      </c>
      <c r="D678" s="1067" t="s">
        <v>291</v>
      </c>
      <c r="E678" s="1068" t="s">
        <v>206</v>
      </c>
      <c r="F678" s="1067"/>
      <c r="G678" s="1069" t="str">
        <f t="array" ref="G678">IF(B678="insumo",_xlfn.XLOOKUP($D678,Insumos!$B$1:$B$996,Insumos!$D$1:$D$996),"")</f>
        <v/>
      </c>
      <c r="H678" s="1069">
        <v>5.5757177193202496</v>
      </c>
      <c r="I678" s="1070">
        <v>0</v>
      </c>
      <c r="J678" s="1070">
        <v>0</v>
      </c>
      <c r="K678" s="1070"/>
      <c r="L678"/>
      <c r="M678"/>
      <c r="N678"/>
      <c r="O678"/>
      <c r="P678"/>
      <c r="Q678"/>
      <c r="R678"/>
      <c r="S678"/>
      <c r="T678"/>
      <c r="U678"/>
      <c r="V678"/>
      <c r="W678"/>
      <c r="X678"/>
      <c r="Y678"/>
      <c r="Z678"/>
      <c r="AA678"/>
      <c r="AB678"/>
      <c r="AC678"/>
      <c r="AD678"/>
      <c r="AE678"/>
      <c r="AF678"/>
      <c r="AG678"/>
      <c r="AH678"/>
      <c r="AI678"/>
      <c r="AJ678"/>
      <c r="AK678"/>
      <c r="AL678"/>
    </row>
    <row r="679" spans="1:38" ht="15.75" customHeight="1" outlineLevel="3" x14ac:dyDescent="0.2">
      <c r="A679" s="10">
        <v>4</v>
      </c>
      <c r="B679" s="10" t="s">
        <v>71</v>
      </c>
      <c r="C679" s="10" t="s">
        <v>291</v>
      </c>
      <c r="D679" s="10" t="s">
        <v>213</v>
      </c>
      <c r="E679" s="11" t="str">
        <f t="array" ref="E679">_xlfn.XLOOKUP(D679,Insumos!B:B,Insumos!C:$C)</f>
        <v>KG</v>
      </c>
      <c r="F679" s="14">
        <v>1.1000000000000001</v>
      </c>
      <c r="G679" s="92">
        <f t="array" ref="G679">IF(B679="insumo",_xlfn.XLOOKUP($D679,Insumos!$B$1:$B$996,Insumos!$D$1:$D$996),"")</f>
        <v>4.80068429029114</v>
      </c>
      <c r="H679" s="92">
        <v>5.2807527193202501</v>
      </c>
      <c r="I679" s="13">
        <v>0</v>
      </c>
      <c r="J679" s="13">
        <v>0</v>
      </c>
      <c r="K679" s="13"/>
      <c r="L679"/>
      <c r="M679"/>
      <c r="N679"/>
      <c r="O679"/>
      <c r="P679"/>
      <c r="Q679"/>
      <c r="R679"/>
      <c r="S679"/>
      <c r="T679"/>
      <c r="U679"/>
      <c r="V679"/>
      <c r="W679"/>
      <c r="X679"/>
      <c r="Y679"/>
      <c r="Z679"/>
      <c r="AA679"/>
      <c r="AB679"/>
      <c r="AC679"/>
      <c r="AD679"/>
      <c r="AE679"/>
      <c r="AF679"/>
      <c r="AG679"/>
      <c r="AH679"/>
      <c r="AI679"/>
      <c r="AJ679"/>
      <c r="AK679"/>
      <c r="AL679"/>
    </row>
    <row r="680" spans="1:38" ht="15.75" customHeight="1" outlineLevel="3" x14ac:dyDescent="0.2">
      <c r="A680" s="10">
        <v>21</v>
      </c>
      <c r="B680" s="10" t="s">
        <v>71</v>
      </c>
      <c r="C680" s="10" t="s">
        <v>291</v>
      </c>
      <c r="D680" s="10" t="s">
        <v>288</v>
      </c>
      <c r="E680" s="11" t="str">
        <f t="array" ref="E680">_xlfn.XLOOKUP(D680,Insumos!B:B,Insumos!C:$C)</f>
        <v>KG</v>
      </c>
      <c r="F680" s="14">
        <v>2.0500000000000001E-2</v>
      </c>
      <c r="G680" s="92">
        <f t="array" ref="G680">IF(B680="insumo",_xlfn.XLOOKUP($D680,Insumos!$B$1:$B$996,Insumos!$D$1:$D$996),"")</f>
        <v>13.73</v>
      </c>
      <c r="H680" s="92">
        <v>0.28146500000000002</v>
      </c>
      <c r="I680" s="13">
        <v>0</v>
      </c>
      <c r="J680" s="13">
        <v>0</v>
      </c>
      <c r="K680" s="13"/>
      <c r="L680"/>
      <c r="M680"/>
      <c r="N680"/>
      <c r="O680"/>
      <c r="P680"/>
      <c r="Q680"/>
      <c r="R680"/>
      <c r="S680"/>
      <c r="T680"/>
      <c r="U680"/>
      <c r="V680"/>
      <c r="W680"/>
      <c r="X680"/>
      <c r="Y680"/>
      <c r="Z680"/>
      <c r="AA680"/>
      <c r="AB680"/>
      <c r="AC680"/>
      <c r="AD680"/>
      <c r="AE680"/>
      <c r="AF680"/>
      <c r="AG680"/>
      <c r="AH680"/>
      <c r="AI680"/>
      <c r="AJ680"/>
      <c r="AK680"/>
      <c r="AL680"/>
    </row>
    <row r="681" spans="1:38" ht="15.75" customHeight="1" outlineLevel="3" x14ac:dyDescent="0.2">
      <c r="A681" s="10">
        <v>62</v>
      </c>
      <c r="B681" s="10" t="s">
        <v>71</v>
      </c>
      <c r="C681" s="10" t="s">
        <v>291</v>
      </c>
      <c r="D681" s="10" t="s">
        <v>209</v>
      </c>
      <c r="E681" s="11" t="str">
        <f t="array" ref="E681">_xlfn.XLOOKUP(D681,Insumos!B:B,Insumos!C:$C)</f>
        <v>UN</v>
      </c>
      <c r="F681" s="14">
        <v>0.05</v>
      </c>
      <c r="G681" s="92">
        <f t="array" ref="G681">IF(B681="insumo",_xlfn.XLOOKUP($D681,Insumos!$B$1:$B$996,Insumos!$D$1:$D$996),"")</f>
        <v>0.27</v>
      </c>
      <c r="H681" s="92">
        <v>1.35E-2</v>
      </c>
      <c r="I681" s="13">
        <v>0</v>
      </c>
      <c r="J681" s="13">
        <v>0</v>
      </c>
      <c r="K681" s="13"/>
      <c r="L681"/>
      <c r="M681"/>
      <c r="N681"/>
      <c r="O681"/>
      <c r="P681"/>
      <c r="Q681"/>
      <c r="R681"/>
      <c r="S681"/>
      <c r="T681"/>
      <c r="U681"/>
      <c r="V681"/>
      <c r="W681"/>
      <c r="X681"/>
      <c r="Y681"/>
      <c r="Z681"/>
      <c r="AA681"/>
      <c r="AB681"/>
      <c r="AC681"/>
      <c r="AD681"/>
      <c r="AE681"/>
      <c r="AF681"/>
      <c r="AG681"/>
      <c r="AH681"/>
      <c r="AI681"/>
      <c r="AJ681"/>
      <c r="AK681"/>
      <c r="AL681"/>
    </row>
    <row r="682" spans="1:38" ht="15.75" customHeight="1" outlineLevel="2" x14ac:dyDescent="0.2">
      <c r="A682" s="1067">
        <v>1</v>
      </c>
      <c r="B682" s="1067" t="s">
        <v>68</v>
      </c>
      <c r="C682" s="1067" t="s">
        <v>292</v>
      </c>
      <c r="D682" s="1067" t="s">
        <v>292</v>
      </c>
      <c r="E682" s="1068" t="s">
        <v>206</v>
      </c>
      <c r="F682" s="1067"/>
      <c r="G682" s="1069" t="str">
        <f t="array" ref="G682">IF(B682="insumo",_xlfn.XLOOKUP($D682,Insumos!$B$1:$B$996,Insumos!$D$1:$D$996),"")</f>
        <v/>
      </c>
      <c r="H682" s="1069">
        <v>5.85335908446873</v>
      </c>
      <c r="I682" s="1070">
        <v>0</v>
      </c>
      <c r="J682" s="1070">
        <v>0</v>
      </c>
      <c r="K682" s="1070"/>
      <c r="L682"/>
      <c r="M682"/>
      <c r="N682"/>
      <c r="O682"/>
      <c r="P682"/>
      <c r="Q682"/>
      <c r="R682"/>
      <c r="S682"/>
      <c r="T682"/>
      <c r="U682"/>
      <c r="V682"/>
      <c r="W682"/>
      <c r="X682"/>
      <c r="Y682"/>
      <c r="Z682"/>
      <c r="AA682"/>
      <c r="AB682"/>
      <c r="AC682"/>
      <c r="AD682"/>
      <c r="AE682"/>
      <c r="AF682"/>
      <c r="AG682"/>
      <c r="AH682"/>
      <c r="AI682"/>
      <c r="AJ682"/>
      <c r="AK682"/>
      <c r="AL682"/>
    </row>
    <row r="683" spans="1:38" ht="15.75" customHeight="1" outlineLevel="3" x14ac:dyDescent="0.2">
      <c r="A683" s="10">
        <v>3</v>
      </c>
      <c r="B683" s="10" t="s">
        <v>71</v>
      </c>
      <c r="C683" s="10" t="s">
        <v>292</v>
      </c>
      <c r="D683" s="10" t="s">
        <v>240</v>
      </c>
      <c r="E683" s="11" t="str">
        <f t="array" ref="E683">_xlfn.XLOOKUP(D683,Insumos!B:B,Insumos!C:$C)</f>
        <v>KG</v>
      </c>
      <c r="F683" s="14">
        <v>1.1000000000000001</v>
      </c>
      <c r="G683" s="92">
        <f t="array" ref="G683">IF(B683="insumo",_xlfn.XLOOKUP($D683,Insumos!$B$1:$B$996,Insumos!$D$1:$D$996),"")</f>
        <v>5.0530855313352099</v>
      </c>
      <c r="H683" s="92">
        <v>5.5583940844687296</v>
      </c>
      <c r="I683" s="13">
        <v>0</v>
      </c>
      <c r="J683" s="13">
        <v>0</v>
      </c>
      <c r="K683" s="13"/>
      <c r="L683"/>
      <c r="M683"/>
      <c r="N683"/>
      <c r="O683"/>
      <c r="P683"/>
      <c r="Q683"/>
      <c r="R683"/>
      <c r="S683"/>
      <c r="T683"/>
      <c r="U683"/>
      <c r="V683"/>
      <c r="W683"/>
      <c r="X683"/>
      <c r="Y683"/>
      <c r="Z683"/>
      <c r="AA683"/>
      <c r="AB683"/>
      <c r="AC683"/>
      <c r="AD683"/>
      <c r="AE683"/>
      <c r="AF683"/>
      <c r="AG683"/>
      <c r="AH683"/>
      <c r="AI683"/>
      <c r="AJ683"/>
      <c r="AK683"/>
      <c r="AL683"/>
    </row>
    <row r="684" spans="1:38" ht="15.75" customHeight="1" outlineLevel="3" x14ac:dyDescent="0.2">
      <c r="A684" s="10">
        <v>21</v>
      </c>
      <c r="B684" s="10" t="s">
        <v>71</v>
      </c>
      <c r="C684" s="10" t="s">
        <v>292</v>
      </c>
      <c r="D684" s="10" t="s">
        <v>288</v>
      </c>
      <c r="E684" s="11" t="str">
        <f t="array" ref="E684">_xlfn.XLOOKUP(D684,Insumos!B:B,Insumos!C:$C)</f>
        <v>KG</v>
      </c>
      <c r="F684" s="14">
        <v>2.0500000000000001E-2</v>
      </c>
      <c r="G684" s="92">
        <f t="array" ref="G684">IF(B684="insumo",_xlfn.XLOOKUP($D684,Insumos!$B$1:$B$996,Insumos!$D$1:$D$996),"")</f>
        <v>13.73</v>
      </c>
      <c r="H684" s="92">
        <v>0.28146500000000002</v>
      </c>
      <c r="I684" s="13">
        <v>0</v>
      </c>
      <c r="J684" s="13">
        <v>0</v>
      </c>
      <c r="K684" s="13"/>
      <c r="L684"/>
      <c r="M684"/>
      <c r="N684"/>
      <c r="O684"/>
      <c r="P684"/>
      <c r="Q684"/>
      <c r="R684"/>
      <c r="S684"/>
      <c r="T684"/>
      <c r="U684"/>
      <c r="V684"/>
      <c r="W684"/>
      <c r="X684"/>
      <c r="Y684"/>
      <c r="Z684"/>
      <c r="AA684"/>
      <c r="AB684"/>
      <c r="AC684"/>
      <c r="AD684"/>
      <c r="AE684"/>
      <c r="AF684"/>
      <c r="AG684"/>
      <c r="AH684"/>
      <c r="AI684"/>
      <c r="AJ684"/>
      <c r="AK684"/>
      <c r="AL684"/>
    </row>
    <row r="685" spans="1:38" ht="15.75" customHeight="1" outlineLevel="3" x14ac:dyDescent="0.2">
      <c r="A685" s="10">
        <v>62</v>
      </c>
      <c r="B685" s="10" t="s">
        <v>71</v>
      </c>
      <c r="C685" s="10" t="s">
        <v>292</v>
      </c>
      <c r="D685" s="10" t="s">
        <v>209</v>
      </c>
      <c r="E685" s="11" t="str">
        <f t="array" ref="E685">_xlfn.XLOOKUP(D685,Insumos!B:B,Insumos!C:$C)</f>
        <v>UN</v>
      </c>
      <c r="F685" s="14">
        <v>0.05</v>
      </c>
      <c r="G685" s="92">
        <f t="array" ref="G685">IF(B685="insumo",_xlfn.XLOOKUP($D685,Insumos!$B$1:$B$996,Insumos!$D$1:$D$996),"")</f>
        <v>0.27</v>
      </c>
      <c r="H685" s="92">
        <v>1.35E-2</v>
      </c>
      <c r="I685" s="13">
        <v>0</v>
      </c>
      <c r="J685" s="13">
        <v>0</v>
      </c>
      <c r="K685" s="13"/>
      <c r="L685"/>
      <c r="M685"/>
      <c r="N685"/>
      <c r="O685"/>
      <c r="P685"/>
      <c r="Q685"/>
      <c r="R685"/>
      <c r="S685"/>
      <c r="T685"/>
      <c r="U685"/>
      <c r="V685"/>
      <c r="W685"/>
      <c r="X685"/>
      <c r="Y685"/>
      <c r="Z685"/>
      <c r="AA685"/>
      <c r="AB685"/>
      <c r="AC685"/>
      <c r="AD685"/>
      <c r="AE685"/>
      <c r="AF685"/>
      <c r="AG685"/>
      <c r="AH685"/>
      <c r="AI685"/>
      <c r="AJ685"/>
      <c r="AK685"/>
      <c r="AL685"/>
    </row>
    <row r="686" spans="1:38" ht="15.75" customHeight="1" outlineLevel="2" x14ac:dyDescent="0.2">
      <c r="A686" s="1067">
        <v>1</v>
      </c>
      <c r="B686" s="1067" t="s">
        <v>68</v>
      </c>
      <c r="C686" s="1067" t="s">
        <v>293</v>
      </c>
      <c r="D686" s="1067" t="s">
        <v>293</v>
      </c>
      <c r="E686" s="1068" t="s">
        <v>206</v>
      </c>
      <c r="F686" s="1067"/>
      <c r="G686" s="1069" t="str">
        <f t="array" ref="G686">IF(B686="insumo",_xlfn.XLOOKUP($D686,Insumos!$B$1:$B$996,Insumos!$D$1:$D$996),"")</f>
        <v/>
      </c>
      <c r="H686" s="1069">
        <v>5.7295814493981796</v>
      </c>
      <c r="I686" s="1070">
        <v>0</v>
      </c>
      <c r="J686" s="1070">
        <v>0</v>
      </c>
      <c r="K686" s="1070"/>
      <c r="L686"/>
      <c r="M686"/>
      <c r="N686"/>
      <c r="O686"/>
      <c r="P686"/>
      <c r="Q686"/>
      <c r="R686"/>
      <c r="S686"/>
      <c r="T686"/>
      <c r="U686"/>
      <c r="V686"/>
      <c r="W686"/>
      <c r="X686"/>
      <c r="Y686"/>
      <c r="Z686"/>
      <c r="AA686"/>
      <c r="AB686"/>
      <c r="AC686"/>
      <c r="AD686"/>
      <c r="AE686"/>
      <c r="AF686"/>
      <c r="AG686"/>
      <c r="AH686"/>
      <c r="AI686"/>
      <c r="AJ686"/>
      <c r="AK686"/>
      <c r="AL686"/>
    </row>
    <row r="687" spans="1:38" ht="15.75" customHeight="1" outlineLevel="3" x14ac:dyDescent="0.2">
      <c r="A687" s="10">
        <v>4</v>
      </c>
      <c r="B687" s="10" t="s">
        <v>71</v>
      </c>
      <c r="C687" s="10" t="s">
        <v>293</v>
      </c>
      <c r="D687" s="10" t="s">
        <v>215</v>
      </c>
      <c r="E687" s="11" t="str">
        <f t="array" ref="E687">_xlfn.XLOOKUP(D687,Insumos!B:B,Insumos!C:$C)</f>
        <v>KG</v>
      </c>
      <c r="F687" s="14">
        <v>1.1000000000000001</v>
      </c>
      <c r="G687" s="92">
        <f t="array" ref="G687">IF(B687="insumo",_xlfn.XLOOKUP($D687,Insumos!$B$1:$B$996,Insumos!$D$1:$D$996),"")</f>
        <v>4.9405604085438029</v>
      </c>
      <c r="H687" s="92">
        <v>5.4346164493981801</v>
      </c>
      <c r="I687" s="13">
        <v>0</v>
      </c>
      <c r="J687" s="13">
        <v>0</v>
      </c>
      <c r="K687" s="13"/>
      <c r="L687"/>
      <c r="M687"/>
      <c r="N687"/>
      <c r="O687"/>
      <c r="P687"/>
      <c r="Q687"/>
      <c r="R687"/>
      <c r="S687"/>
      <c r="T687"/>
      <c r="U687"/>
      <c r="V687"/>
      <c r="W687"/>
      <c r="X687"/>
      <c r="Y687"/>
      <c r="Z687"/>
      <c r="AA687"/>
      <c r="AB687"/>
      <c r="AC687"/>
      <c r="AD687"/>
      <c r="AE687"/>
      <c r="AF687"/>
      <c r="AG687"/>
      <c r="AH687"/>
      <c r="AI687"/>
      <c r="AJ687"/>
      <c r="AK687"/>
      <c r="AL687"/>
    </row>
    <row r="688" spans="1:38" ht="15.75" customHeight="1" outlineLevel="3" x14ac:dyDescent="0.2">
      <c r="A688" s="10">
        <v>21</v>
      </c>
      <c r="B688" s="10" t="s">
        <v>71</v>
      </c>
      <c r="C688" s="10" t="s">
        <v>293</v>
      </c>
      <c r="D688" s="10" t="s">
        <v>288</v>
      </c>
      <c r="E688" s="11" t="str">
        <f t="array" ref="E688">_xlfn.XLOOKUP(D688,Insumos!B:B,Insumos!C:$C)</f>
        <v>KG</v>
      </c>
      <c r="F688" s="14">
        <v>2.0500000000000001E-2</v>
      </c>
      <c r="G688" s="92">
        <f t="array" ref="G688">IF(B688="insumo",_xlfn.XLOOKUP($D688,Insumos!$B$1:$B$996,Insumos!$D$1:$D$996),"")</f>
        <v>13.73</v>
      </c>
      <c r="H688" s="92">
        <v>0.28146500000000002</v>
      </c>
      <c r="I688" s="13">
        <v>0</v>
      </c>
      <c r="J688" s="13">
        <v>0</v>
      </c>
      <c r="K688" s="13"/>
      <c r="L688"/>
      <c r="M688"/>
      <c r="N688"/>
      <c r="O688"/>
      <c r="P688"/>
      <c r="Q688"/>
      <c r="R688"/>
      <c r="S688"/>
      <c r="T688"/>
      <c r="U688"/>
      <c r="V688"/>
      <c r="W688"/>
      <c r="X688"/>
      <c r="Y688"/>
      <c r="Z688"/>
      <c r="AA688"/>
      <c r="AB688"/>
      <c r="AC688"/>
      <c r="AD688"/>
      <c r="AE688"/>
      <c r="AF688"/>
      <c r="AG688"/>
      <c r="AH688"/>
      <c r="AI688"/>
      <c r="AJ688"/>
      <c r="AK688"/>
      <c r="AL688"/>
    </row>
    <row r="689" spans="1:38" ht="15.75" customHeight="1" outlineLevel="3" x14ac:dyDescent="0.2">
      <c r="A689" s="10">
        <v>62</v>
      </c>
      <c r="B689" s="10" t="s">
        <v>71</v>
      </c>
      <c r="C689" s="10" t="s">
        <v>293</v>
      </c>
      <c r="D689" s="10" t="s">
        <v>209</v>
      </c>
      <c r="E689" s="11" t="str">
        <f t="array" ref="E689">_xlfn.XLOOKUP(D689,Insumos!B:B,Insumos!C:$C)</f>
        <v>UN</v>
      </c>
      <c r="F689" s="14">
        <v>0.05</v>
      </c>
      <c r="G689" s="92">
        <f t="array" ref="G689">IF(B689="insumo",_xlfn.XLOOKUP($D689,Insumos!$B$1:$B$996,Insumos!$D$1:$D$996),"")</f>
        <v>0.27</v>
      </c>
      <c r="H689" s="92">
        <v>1.35E-2</v>
      </c>
      <c r="I689" s="13">
        <v>0</v>
      </c>
      <c r="J689" s="13">
        <v>0</v>
      </c>
      <c r="K689" s="13"/>
      <c r="L689"/>
      <c r="M689"/>
      <c r="N689"/>
      <c r="O689"/>
      <c r="P689"/>
      <c r="Q689"/>
      <c r="R689"/>
      <c r="S689"/>
      <c r="T689"/>
      <c r="U689"/>
      <c r="V689"/>
      <c r="W689"/>
      <c r="X689"/>
      <c r="Y689"/>
      <c r="Z689"/>
      <c r="AA689"/>
      <c r="AB689"/>
      <c r="AC689"/>
      <c r="AD689"/>
      <c r="AE689"/>
      <c r="AF689"/>
      <c r="AG689"/>
      <c r="AH689"/>
      <c r="AI689"/>
      <c r="AJ689"/>
      <c r="AK689"/>
      <c r="AL689"/>
    </row>
    <row r="690" spans="1:38" ht="15.75" customHeight="1" outlineLevel="2" x14ac:dyDescent="0.2">
      <c r="A690" s="1067">
        <v>1</v>
      </c>
      <c r="B690" s="1067" t="s">
        <v>68</v>
      </c>
      <c r="C690" s="1067" t="s">
        <v>294</v>
      </c>
      <c r="D690" s="1067" t="s">
        <v>294</v>
      </c>
      <c r="E690" s="1068" t="s">
        <v>206</v>
      </c>
      <c r="F690" s="1067"/>
      <c r="G690" s="1069" t="str">
        <f t="array" ref="G690">IF(B690="insumo",_xlfn.XLOOKUP($D690,Insumos!$B$1:$B$996,Insumos!$D$1:$D$996),"")</f>
        <v/>
      </c>
      <c r="H690" s="1069">
        <v>5.8328438742016697</v>
      </c>
      <c r="I690" s="1070">
        <v>0</v>
      </c>
      <c r="J690" s="1070">
        <v>0</v>
      </c>
      <c r="K690" s="1070"/>
      <c r="L690"/>
      <c r="M690"/>
      <c r="N690"/>
      <c r="O690"/>
      <c r="P690"/>
      <c r="Q690"/>
      <c r="R690"/>
      <c r="S690"/>
      <c r="T690"/>
      <c r="U690"/>
      <c r="V690"/>
      <c r="W690"/>
      <c r="X690"/>
      <c r="Y690"/>
      <c r="Z690"/>
      <c r="AA690"/>
      <c r="AB690"/>
      <c r="AC690"/>
      <c r="AD690"/>
      <c r="AE690"/>
      <c r="AF690"/>
      <c r="AG690"/>
      <c r="AH690"/>
      <c r="AI690"/>
      <c r="AJ690"/>
      <c r="AK690"/>
      <c r="AL690"/>
    </row>
    <row r="691" spans="1:38" ht="15.75" customHeight="1" outlineLevel="3" x14ac:dyDescent="0.2">
      <c r="A691" s="10">
        <v>4</v>
      </c>
      <c r="B691" s="10" t="s">
        <v>71</v>
      </c>
      <c r="C691" s="10" t="s">
        <v>294</v>
      </c>
      <c r="D691" s="10" t="s">
        <v>217</v>
      </c>
      <c r="E691" s="11" t="str">
        <f t="array" ref="E691">_xlfn.XLOOKUP(D691,Insumos!B:B,Insumos!C:$C)</f>
        <v>KG</v>
      </c>
      <c r="F691" s="14">
        <v>1.1000000000000001</v>
      </c>
      <c r="G691" s="92">
        <f t="array" ref="G691">IF(B691="insumo",_xlfn.XLOOKUP($D691,Insumos!$B$1:$B$996,Insumos!$D$1:$D$996),"")</f>
        <v>5.0344353401833359</v>
      </c>
      <c r="H691" s="92">
        <v>5.5378788742016702</v>
      </c>
      <c r="I691" s="13">
        <v>0</v>
      </c>
      <c r="J691" s="13">
        <v>0</v>
      </c>
      <c r="K691" s="13"/>
      <c r="L691"/>
      <c r="M691"/>
      <c r="N691"/>
      <c r="O691"/>
      <c r="P691"/>
      <c r="Q691"/>
      <c r="R691"/>
      <c r="S691"/>
      <c r="T691"/>
      <c r="U691"/>
      <c r="V691"/>
      <c r="W691"/>
      <c r="X691"/>
      <c r="Y691"/>
      <c r="Z691"/>
      <c r="AA691"/>
      <c r="AB691"/>
      <c r="AC691"/>
      <c r="AD691"/>
      <c r="AE691"/>
      <c r="AF691"/>
      <c r="AG691"/>
      <c r="AH691"/>
      <c r="AI691"/>
      <c r="AJ691"/>
      <c r="AK691"/>
      <c r="AL691"/>
    </row>
    <row r="692" spans="1:38" ht="15.75" customHeight="1" outlineLevel="3" x14ac:dyDescent="0.2">
      <c r="A692" s="10">
        <v>21</v>
      </c>
      <c r="B692" s="10" t="s">
        <v>71</v>
      </c>
      <c r="C692" s="10" t="s">
        <v>294</v>
      </c>
      <c r="D692" s="10" t="s">
        <v>288</v>
      </c>
      <c r="E692" s="11" t="str">
        <f t="array" ref="E692">_xlfn.XLOOKUP(D692,Insumos!B:B,Insumos!C:$C)</f>
        <v>KG</v>
      </c>
      <c r="F692" s="14">
        <v>2.0500000000000001E-2</v>
      </c>
      <c r="G692" s="92">
        <f t="array" ref="G692">IF(B692="insumo",_xlfn.XLOOKUP($D692,Insumos!$B$1:$B$996,Insumos!$D$1:$D$996),"")</f>
        <v>13.73</v>
      </c>
      <c r="H692" s="92">
        <v>0.28146500000000002</v>
      </c>
      <c r="I692" s="13">
        <v>0</v>
      </c>
      <c r="J692" s="13">
        <v>0</v>
      </c>
      <c r="K692" s="13"/>
      <c r="L692"/>
      <c r="M692"/>
      <c r="N692"/>
      <c r="O692"/>
      <c r="P692"/>
      <c r="Q692"/>
      <c r="R692"/>
      <c r="S692"/>
      <c r="T692"/>
      <c r="U692"/>
      <c r="V692"/>
      <c r="W692"/>
      <c r="X692"/>
      <c r="Y692"/>
      <c r="Z692"/>
      <c r="AA692"/>
      <c r="AB692"/>
      <c r="AC692"/>
      <c r="AD692"/>
      <c r="AE692"/>
      <c r="AF692"/>
      <c r="AG692"/>
      <c r="AH692"/>
      <c r="AI692"/>
      <c r="AJ692"/>
      <c r="AK692"/>
      <c r="AL692"/>
    </row>
    <row r="693" spans="1:38" ht="15.75" customHeight="1" outlineLevel="3" x14ac:dyDescent="0.2">
      <c r="A693" s="10">
        <v>62</v>
      </c>
      <c r="B693" s="10" t="s">
        <v>71</v>
      </c>
      <c r="C693" s="10" t="s">
        <v>294</v>
      </c>
      <c r="D693" s="10" t="s">
        <v>209</v>
      </c>
      <c r="E693" s="11" t="str">
        <f t="array" ref="E693">_xlfn.XLOOKUP(D693,Insumos!B:B,Insumos!C:$C)</f>
        <v>UN</v>
      </c>
      <c r="F693" s="14">
        <v>0.05</v>
      </c>
      <c r="G693" s="92">
        <f t="array" ref="G693">IF(B693="insumo",_xlfn.XLOOKUP($D693,Insumos!$B$1:$B$996,Insumos!$D$1:$D$996),"")</f>
        <v>0.27</v>
      </c>
      <c r="H693" s="92">
        <v>1.35E-2</v>
      </c>
      <c r="I693" s="13">
        <v>0</v>
      </c>
      <c r="J693" s="13">
        <v>0</v>
      </c>
      <c r="K693" s="13"/>
      <c r="L693"/>
      <c r="M693"/>
      <c r="N693"/>
      <c r="O693"/>
      <c r="P693"/>
      <c r="Q693"/>
      <c r="R693"/>
      <c r="S693"/>
      <c r="T693"/>
      <c r="U693"/>
      <c r="V693"/>
      <c r="W693"/>
      <c r="X693"/>
      <c r="Y693"/>
      <c r="Z693"/>
      <c r="AA693"/>
      <c r="AB693"/>
      <c r="AC693"/>
      <c r="AD693"/>
      <c r="AE693"/>
      <c r="AF693"/>
      <c r="AG693"/>
      <c r="AH693"/>
      <c r="AI693"/>
      <c r="AJ693"/>
      <c r="AK693"/>
      <c r="AL693"/>
    </row>
    <row r="694" spans="1:38" ht="15.75" customHeight="1" outlineLevel="2" x14ac:dyDescent="0.2">
      <c r="A694" s="1067">
        <v>1</v>
      </c>
      <c r="B694" s="1067" t="s">
        <v>68</v>
      </c>
      <c r="C694" s="1067" t="s">
        <v>295</v>
      </c>
      <c r="D694" s="1067" t="s">
        <v>295</v>
      </c>
      <c r="E694" s="1068" t="s">
        <v>206</v>
      </c>
      <c r="F694" s="1067"/>
      <c r="G694" s="1069" t="str">
        <f t="array" ref="G694">IF(B694="insumo",_xlfn.XLOOKUP($D694,Insumos!$B$1:$B$996,Insumos!$D$1:$D$996),"")</f>
        <v/>
      </c>
      <c r="H694" s="1069">
        <v>5.9719178475884398</v>
      </c>
      <c r="I694" s="1070">
        <v>0</v>
      </c>
      <c r="J694" s="1070">
        <v>0</v>
      </c>
      <c r="K694" s="1070"/>
      <c r="L694"/>
      <c r="M694"/>
      <c r="N694"/>
      <c r="O694"/>
      <c r="P694"/>
      <c r="Q694"/>
      <c r="R694"/>
      <c r="S694"/>
      <c r="T694"/>
      <c r="U694"/>
      <c r="V694"/>
      <c r="W694"/>
      <c r="X694"/>
      <c r="Y694"/>
      <c r="Z694"/>
      <c r="AA694"/>
      <c r="AB694"/>
      <c r="AC694"/>
      <c r="AD694"/>
      <c r="AE694"/>
      <c r="AF694"/>
      <c r="AG694"/>
      <c r="AH694"/>
      <c r="AI694"/>
      <c r="AJ694"/>
      <c r="AK694"/>
      <c r="AL694"/>
    </row>
    <row r="695" spans="1:38" ht="15.75" customHeight="1" outlineLevel="3" x14ac:dyDescent="0.2">
      <c r="A695" s="10">
        <v>3</v>
      </c>
      <c r="B695" s="10" t="s">
        <v>71</v>
      </c>
      <c r="C695" s="10" t="s">
        <v>295</v>
      </c>
      <c r="D695" s="10" t="s">
        <v>244</v>
      </c>
      <c r="E695" s="11" t="str">
        <f t="array" ref="E695">_xlfn.XLOOKUP(D695,Insumos!B:B,Insumos!C:$C)</f>
        <v>KG</v>
      </c>
      <c r="F695" s="14">
        <v>1.1000000000000001</v>
      </c>
      <c r="G695" s="92">
        <f t="array" ref="G695">IF(B695="insumo",_xlfn.XLOOKUP($D695,Insumos!$B$1:$B$996,Insumos!$D$1:$D$996),"")</f>
        <v>5.1608662250804</v>
      </c>
      <c r="H695" s="92">
        <v>5.6769528475884403</v>
      </c>
      <c r="I695" s="13">
        <v>0</v>
      </c>
      <c r="J695" s="13">
        <v>0</v>
      </c>
      <c r="K695" s="13"/>
      <c r="L695"/>
      <c r="M695"/>
      <c r="N695"/>
      <c r="O695"/>
      <c r="P695"/>
      <c r="Q695"/>
      <c r="R695"/>
      <c r="S695"/>
      <c r="T695"/>
      <c r="U695"/>
      <c r="V695"/>
      <c r="W695"/>
      <c r="X695"/>
      <c r="Y695"/>
      <c r="Z695"/>
      <c r="AA695"/>
      <c r="AB695"/>
      <c r="AC695"/>
      <c r="AD695"/>
      <c r="AE695"/>
      <c r="AF695"/>
      <c r="AG695"/>
      <c r="AH695"/>
      <c r="AI695"/>
      <c r="AJ695"/>
      <c r="AK695"/>
      <c r="AL695"/>
    </row>
    <row r="696" spans="1:38" ht="15.75" customHeight="1" outlineLevel="3" x14ac:dyDescent="0.2">
      <c r="A696" s="10">
        <v>21</v>
      </c>
      <c r="B696" s="10" t="s">
        <v>71</v>
      </c>
      <c r="C696" s="10" t="s">
        <v>295</v>
      </c>
      <c r="D696" s="10" t="s">
        <v>288</v>
      </c>
      <c r="E696" s="11" t="str">
        <f t="array" ref="E696">_xlfn.XLOOKUP(D696,Insumos!B:B,Insumos!C:$C)</f>
        <v>KG</v>
      </c>
      <c r="F696" s="14">
        <v>2.0500000000000001E-2</v>
      </c>
      <c r="G696" s="92">
        <f t="array" ref="G696">IF(B696="insumo",_xlfn.XLOOKUP($D696,Insumos!$B$1:$B$996,Insumos!$D$1:$D$996),"")</f>
        <v>13.73</v>
      </c>
      <c r="H696" s="92">
        <v>0.28146500000000002</v>
      </c>
      <c r="I696" s="13">
        <v>0</v>
      </c>
      <c r="J696" s="13">
        <v>0</v>
      </c>
      <c r="K696" s="13"/>
      <c r="L696"/>
      <c r="M696"/>
      <c r="N696"/>
      <c r="O696"/>
      <c r="P696"/>
      <c r="Q696"/>
      <c r="R696"/>
      <c r="S696"/>
      <c r="T696"/>
      <c r="U696"/>
      <c r="V696"/>
      <c r="W696"/>
      <c r="X696"/>
      <c r="Y696"/>
      <c r="Z696"/>
      <c r="AA696"/>
      <c r="AB696"/>
      <c r="AC696"/>
      <c r="AD696"/>
      <c r="AE696"/>
      <c r="AF696"/>
      <c r="AG696"/>
      <c r="AH696"/>
      <c r="AI696"/>
      <c r="AJ696"/>
      <c r="AK696"/>
      <c r="AL696"/>
    </row>
    <row r="697" spans="1:38" ht="15.75" customHeight="1" outlineLevel="3" x14ac:dyDescent="0.2">
      <c r="A697" s="10">
        <v>62</v>
      </c>
      <c r="B697" s="10" t="s">
        <v>71</v>
      </c>
      <c r="C697" s="10" t="s">
        <v>295</v>
      </c>
      <c r="D697" s="10" t="s">
        <v>209</v>
      </c>
      <c r="E697" s="11" t="str">
        <f t="array" ref="E697">_xlfn.XLOOKUP(D697,Insumos!B:B,Insumos!C:$C)</f>
        <v>UN</v>
      </c>
      <c r="F697" s="14">
        <v>0.05</v>
      </c>
      <c r="G697" s="92">
        <f t="array" ref="G697">IF(B697="insumo",_xlfn.XLOOKUP($D697,Insumos!$B$1:$B$996,Insumos!$D$1:$D$996),"")</f>
        <v>0.27</v>
      </c>
      <c r="H697" s="92">
        <v>1.35E-2</v>
      </c>
      <c r="I697" s="13">
        <v>0</v>
      </c>
      <c r="J697" s="13">
        <v>0</v>
      </c>
      <c r="K697" s="13"/>
      <c r="L697"/>
      <c r="M697"/>
      <c r="N697"/>
      <c r="O697"/>
      <c r="P697"/>
      <c r="Q697"/>
      <c r="R697"/>
      <c r="S697"/>
      <c r="T697"/>
      <c r="U697"/>
      <c r="V697"/>
      <c r="W697"/>
      <c r="X697"/>
      <c r="Y697"/>
      <c r="Z697"/>
      <c r="AA697"/>
      <c r="AB697"/>
      <c r="AC697"/>
      <c r="AD697"/>
      <c r="AE697"/>
      <c r="AF697"/>
      <c r="AG697"/>
      <c r="AH697"/>
      <c r="AI697"/>
      <c r="AJ697"/>
      <c r="AK697"/>
      <c r="AL697"/>
    </row>
    <row r="698" spans="1:38" ht="15.75" customHeight="1" outlineLevel="2" x14ac:dyDescent="0.2">
      <c r="A698" s="1067">
        <v>1</v>
      </c>
      <c r="B698" s="1067" t="s">
        <v>68</v>
      </c>
      <c r="C698" s="1067" t="s">
        <v>1309</v>
      </c>
      <c r="D698" s="1067" t="s">
        <v>1309</v>
      </c>
      <c r="E698" s="1068" t="s">
        <v>206</v>
      </c>
      <c r="F698" s="1067"/>
      <c r="G698" s="1069" t="str">
        <f t="array" ref="G698">IF(B698="insumo",_xlfn.XLOOKUP($D698,Insumos!$B$1:$B$996,Insumos!$D$1:$D$996),"")</f>
        <v/>
      </c>
      <c r="H698" s="1069">
        <v>7.136965</v>
      </c>
      <c r="I698" s="1070">
        <v>0</v>
      </c>
      <c r="J698" s="1070">
        <v>0</v>
      </c>
      <c r="K698" s="1070"/>
      <c r="L698"/>
      <c r="M698"/>
      <c r="N698"/>
      <c r="O698"/>
      <c r="P698"/>
      <c r="Q698"/>
      <c r="R698"/>
      <c r="S698"/>
      <c r="T698"/>
      <c r="U698"/>
      <c r="V698"/>
      <c r="W698"/>
      <c r="X698"/>
      <c r="Y698"/>
      <c r="Z698"/>
      <c r="AA698"/>
      <c r="AB698"/>
      <c r="AC698"/>
      <c r="AD698"/>
      <c r="AE698"/>
      <c r="AF698"/>
      <c r="AG698"/>
      <c r="AH698"/>
      <c r="AI698"/>
      <c r="AJ698"/>
      <c r="AK698"/>
      <c r="AL698"/>
    </row>
    <row r="699" spans="1:38" ht="15.75" customHeight="1" outlineLevel="3" x14ac:dyDescent="0.2">
      <c r="A699" s="10">
        <v>2</v>
      </c>
      <c r="B699" s="10" t="s">
        <v>71</v>
      </c>
      <c r="C699" s="10" t="s">
        <v>1309</v>
      </c>
      <c r="D699" s="10" t="s">
        <v>247</v>
      </c>
      <c r="E699" s="11" t="str">
        <f t="array" ref="E699">_xlfn.XLOOKUP(D699,Insumos!B:B,Insumos!C:$C)</f>
        <v>KG</v>
      </c>
      <c r="F699" s="14">
        <v>1.1000000000000001</v>
      </c>
      <c r="G699" s="92">
        <f t="array" ref="G699">IF(B699="insumo",_xlfn.XLOOKUP($D699,Insumos!$B$1:$B$996,Insumos!$D$1:$D$996),"")</f>
        <v>6.22</v>
      </c>
      <c r="H699" s="92">
        <v>6.8419999999999996</v>
      </c>
      <c r="I699" s="13">
        <v>0</v>
      </c>
      <c r="J699" s="13">
        <v>0</v>
      </c>
      <c r="K699" s="13"/>
      <c r="L699"/>
      <c r="M699"/>
      <c r="N699"/>
      <c r="O699"/>
      <c r="P699"/>
      <c r="Q699"/>
      <c r="R699"/>
      <c r="S699"/>
      <c r="T699"/>
      <c r="U699"/>
      <c r="V699"/>
      <c r="W699"/>
      <c r="X699"/>
      <c r="Y699"/>
      <c r="Z699"/>
      <c r="AA699"/>
      <c r="AB699"/>
      <c r="AC699"/>
      <c r="AD699"/>
      <c r="AE699"/>
      <c r="AF699"/>
      <c r="AG699"/>
      <c r="AH699"/>
      <c r="AI699"/>
      <c r="AJ699"/>
      <c r="AK699"/>
      <c r="AL699"/>
    </row>
    <row r="700" spans="1:38" ht="15.75" customHeight="1" outlineLevel="3" x14ac:dyDescent="0.2">
      <c r="A700" s="10">
        <v>21</v>
      </c>
      <c r="B700" s="10" t="s">
        <v>71</v>
      </c>
      <c r="C700" s="10" t="s">
        <v>1309</v>
      </c>
      <c r="D700" s="10" t="s">
        <v>288</v>
      </c>
      <c r="E700" s="11" t="str">
        <f t="array" ref="E700">_xlfn.XLOOKUP(D700,Insumos!B:B,Insumos!C:$C)</f>
        <v>KG</v>
      </c>
      <c r="F700" s="14">
        <v>2.0500000000000001E-2</v>
      </c>
      <c r="G700" s="92">
        <f t="array" ref="G700">IF(B700="insumo",_xlfn.XLOOKUP($D700,Insumos!$B$1:$B$996,Insumos!$D$1:$D$996),"")</f>
        <v>13.73</v>
      </c>
      <c r="H700" s="92">
        <v>0.28146500000000002</v>
      </c>
      <c r="I700" s="13">
        <v>0</v>
      </c>
      <c r="J700" s="13">
        <v>0</v>
      </c>
      <c r="K700" s="13"/>
      <c r="L700"/>
      <c r="M700"/>
      <c r="N700"/>
      <c r="O700"/>
      <c r="P700"/>
      <c r="Q700"/>
      <c r="R700"/>
      <c r="S700"/>
      <c r="T700"/>
      <c r="U700"/>
      <c r="V700"/>
      <c r="W700"/>
      <c r="X700"/>
      <c r="Y700"/>
      <c r="Z700"/>
      <c r="AA700"/>
      <c r="AB700"/>
      <c r="AC700"/>
      <c r="AD700"/>
      <c r="AE700"/>
      <c r="AF700"/>
      <c r="AG700"/>
      <c r="AH700"/>
      <c r="AI700"/>
      <c r="AJ700"/>
      <c r="AK700"/>
      <c r="AL700"/>
    </row>
    <row r="701" spans="1:38" ht="15.75" customHeight="1" outlineLevel="3" x14ac:dyDescent="0.2">
      <c r="A701" s="10">
        <v>62</v>
      </c>
      <c r="B701" s="10" t="s">
        <v>71</v>
      </c>
      <c r="C701" s="10" t="s">
        <v>1309</v>
      </c>
      <c r="D701" s="10" t="s">
        <v>209</v>
      </c>
      <c r="E701" s="11" t="str">
        <f t="array" ref="E701">_xlfn.XLOOKUP(D701,Insumos!B:B,Insumos!C:$C)</f>
        <v>UN</v>
      </c>
      <c r="F701" s="14">
        <v>0.05</v>
      </c>
      <c r="G701" s="92">
        <f t="array" ref="G701">IF(B701="insumo",_xlfn.XLOOKUP($D701,Insumos!$B$1:$B$996,Insumos!$D$1:$D$996),"")</f>
        <v>0.27</v>
      </c>
      <c r="H701" s="92">
        <v>1.35E-2</v>
      </c>
      <c r="I701" s="13">
        <v>0</v>
      </c>
      <c r="J701" s="13">
        <v>0</v>
      </c>
      <c r="K701" s="13"/>
      <c r="L701"/>
      <c r="M701"/>
      <c r="N701"/>
      <c r="O701"/>
      <c r="P701"/>
      <c r="Q701"/>
      <c r="R701"/>
      <c r="S701"/>
      <c r="T701"/>
      <c r="U701"/>
      <c r="V701"/>
      <c r="W701"/>
      <c r="X701"/>
      <c r="Y701"/>
      <c r="Z701"/>
      <c r="AA701"/>
      <c r="AB701"/>
      <c r="AC701"/>
      <c r="AD701"/>
      <c r="AE701"/>
      <c r="AF701"/>
      <c r="AG701"/>
      <c r="AH701"/>
      <c r="AI701"/>
      <c r="AJ701"/>
      <c r="AK701"/>
      <c r="AL701"/>
    </row>
    <row r="702" spans="1:38" ht="15.75" customHeight="1" outlineLevel="2" x14ac:dyDescent="0.2">
      <c r="A702" s="1067">
        <v>1</v>
      </c>
      <c r="B702" s="1067" t="s">
        <v>68</v>
      </c>
      <c r="C702" s="1067" t="s">
        <v>5369</v>
      </c>
      <c r="D702" s="1067" t="s">
        <v>5369</v>
      </c>
      <c r="E702" s="1068" t="s">
        <v>206</v>
      </c>
      <c r="F702" s="1067"/>
      <c r="G702" s="1069" t="str">
        <f t="array" ref="G702">IF(B702="insumo",_xlfn.XLOOKUP($D702,Insumos!$B$1:$B$996,Insumos!$D$1:$D$996),"")</f>
        <v/>
      </c>
      <c r="H702" s="1069">
        <v>8.9649649999999994</v>
      </c>
      <c r="I702" s="1070">
        <v>7253.8797761580799</v>
      </c>
      <c r="J702" s="1070">
        <v>65030.778307465</v>
      </c>
      <c r="K702" s="1070"/>
      <c r="L702"/>
      <c r="M702"/>
      <c r="N702"/>
      <c r="O702"/>
      <c r="P702"/>
      <c r="Q702"/>
      <c r="R702"/>
      <c r="S702"/>
      <c r="T702"/>
      <c r="U702"/>
      <c r="V702"/>
      <c r="W702"/>
      <c r="X702"/>
      <c r="Y702"/>
      <c r="Z702"/>
      <c r="AA702"/>
      <c r="AB702"/>
      <c r="AC702"/>
      <c r="AD702"/>
      <c r="AE702"/>
      <c r="AF702"/>
      <c r="AG702"/>
      <c r="AH702"/>
      <c r="AI702"/>
      <c r="AJ702"/>
      <c r="AK702"/>
      <c r="AL702"/>
    </row>
    <row r="703" spans="1:38" ht="15.75" customHeight="1" outlineLevel="3" x14ac:dyDescent="0.2">
      <c r="A703" s="10">
        <v>2</v>
      </c>
      <c r="B703" s="10" t="s">
        <v>71</v>
      </c>
      <c r="C703" s="10" t="s">
        <v>5369</v>
      </c>
      <c r="D703" s="10" t="s">
        <v>5361</v>
      </c>
      <c r="E703" s="11" t="str">
        <f t="array" ref="E703">_xlfn.XLOOKUP(D703,Insumos!B:B,Insumos!C:$C)</f>
        <v>UN</v>
      </c>
      <c r="F703" s="14">
        <v>1</v>
      </c>
      <c r="G703" s="92">
        <f t="array" ref="G703">IF(B703="insumo",_xlfn.XLOOKUP($D703,Insumos!$B$1:$B$996,Insumos!$D$1:$D$996),"")</f>
        <v>8.67</v>
      </c>
      <c r="H703" s="92">
        <v>8.67</v>
      </c>
      <c r="I703" s="13">
        <v>7253.8797761580799</v>
      </c>
      <c r="J703" s="13">
        <v>62891.137659290602</v>
      </c>
      <c r="K703" s="13"/>
      <c r="L703"/>
      <c r="M703"/>
      <c r="N703"/>
      <c r="O703"/>
      <c r="P703"/>
      <c r="Q703"/>
      <c r="R703"/>
      <c r="S703"/>
      <c r="T703"/>
      <c r="U703"/>
      <c r="V703"/>
      <c r="W703"/>
      <c r="X703"/>
      <c r="Y703"/>
      <c r="Z703"/>
      <c r="AA703"/>
      <c r="AB703"/>
      <c r="AC703"/>
      <c r="AD703"/>
      <c r="AE703"/>
      <c r="AF703"/>
      <c r="AG703"/>
      <c r="AH703"/>
      <c r="AI703"/>
      <c r="AJ703"/>
      <c r="AK703"/>
      <c r="AL703"/>
    </row>
    <row r="704" spans="1:38" ht="15.75" customHeight="1" outlineLevel="3" x14ac:dyDescent="0.2">
      <c r="A704" s="10">
        <v>21</v>
      </c>
      <c r="B704" s="10" t="s">
        <v>71</v>
      </c>
      <c r="C704" s="10" t="s">
        <v>5369</v>
      </c>
      <c r="D704" s="10" t="s">
        <v>288</v>
      </c>
      <c r="E704" s="11" t="str">
        <f t="array" ref="E704">_xlfn.XLOOKUP(D704,Insumos!B:B,Insumos!C:$C)</f>
        <v>KG</v>
      </c>
      <c r="F704" s="14">
        <v>2.0500000000000001E-2</v>
      </c>
      <c r="G704" s="92">
        <f t="array" ref="G704">IF(B704="insumo",_xlfn.XLOOKUP($D704,Insumos!$B$1:$B$996,Insumos!$D$1:$D$996),"")</f>
        <v>13.73</v>
      </c>
      <c r="H704" s="92">
        <v>0.28146500000000002</v>
      </c>
      <c r="I704" s="13">
        <v>7253.8797761580799</v>
      </c>
      <c r="J704" s="13">
        <v>2041.71327119633</v>
      </c>
      <c r="K704" s="13"/>
      <c r="L704"/>
      <c r="M704"/>
      <c r="N704"/>
      <c r="O704"/>
      <c r="P704"/>
      <c r="Q704"/>
      <c r="R704"/>
      <c r="S704"/>
      <c r="T704"/>
      <c r="U704"/>
      <c r="V704"/>
      <c r="W704"/>
      <c r="X704"/>
      <c r="Y704"/>
      <c r="Z704"/>
      <c r="AA704"/>
      <c r="AB704"/>
      <c r="AC704"/>
      <c r="AD704"/>
      <c r="AE704"/>
      <c r="AF704"/>
      <c r="AG704"/>
      <c r="AH704"/>
      <c r="AI704"/>
      <c r="AJ704"/>
      <c r="AK704"/>
      <c r="AL704"/>
    </row>
    <row r="705" spans="1:38" ht="15.75" customHeight="1" outlineLevel="3" x14ac:dyDescent="0.2">
      <c r="A705" s="10">
        <v>62</v>
      </c>
      <c r="B705" s="10" t="s">
        <v>71</v>
      </c>
      <c r="C705" s="10" t="s">
        <v>5369</v>
      </c>
      <c r="D705" s="10" t="s">
        <v>209</v>
      </c>
      <c r="E705" s="11" t="str">
        <f t="array" ref="E705">_xlfn.XLOOKUP(D705,Insumos!B:B,Insumos!C:$C)</f>
        <v>UN</v>
      </c>
      <c r="F705" s="14">
        <v>0.05</v>
      </c>
      <c r="G705" s="92">
        <f t="array" ref="G705">IF(B705="insumo",_xlfn.XLOOKUP($D705,Insumos!$B$1:$B$996,Insumos!$D$1:$D$996),"")</f>
        <v>0.27</v>
      </c>
      <c r="H705" s="92">
        <v>1.35E-2</v>
      </c>
      <c r="I705" s="13">
        <v>7253.8797761580799</v>
      </c>
      <c r="J705" s="13">
        <v>97.927376978134106</v>
      </c>
      <c r="K705" s="13"/>
      <c r="L705"/>
      <c r="M705"/>
      <c r="N705"/>
      <c r="O705"/>
      <c r="P705"/>
      <c r="Q705"/>
      <c r="R705"/>
      <c r="S705"/>
      <c r="T705"/>
      <c r="U705"/>
      <c r="V705"/>
      <c r="W705"/>
      <c r="X705"/>
      <c r="Y705"/>
      <c r="Z705"/>
      <c r="AA705"/>
      <c r="AB705"/>
      <c r="AC705"/>
      <c r="AD705"/>
      <c r="AE705"/>
      <c r="AF705"/>
      <c r="AG705"/>
      <c r="AH705"/>
      <c r="AI705"/>
      <c r="AJ705"/>
      <c r="AK705"/>
      <c r="AL705"/>
    </row>
    <row r="706" spans="1:38" ht="15.75" customHeight="1" outlineLevel="2" x14ac:dyDescent="0.2">
      <c r="A706" s="1067">
        <v>1</v>
      </c>
      <c r="B706" s="1067" t="s">
        <v>68</v>
      </c>
      <c r="C706" s="1067" t="s">
        <v>5370</v>
      </c>
      <c r="D706" s="1067" t="s">
        <v>5370</v>
      </c>
      <c r="E706" s="1068" t="s">
        <v>206</v>
      </c>
      <c r="F706" s="1067"/>
      <c r="G706" s="1069" t="str">
        <f t="array" ref="G706">IF(B706="insumo",_xlfn.XLOOKUP($D706,Insumos!$B$1:$B$996,Insumos!$D$1:$D$996),"")</f>
        <v/>
      </c>
      <c r="H706" s="1069">
        <v>8.9649649999999994</v>
      </c>
      <c r="I706" s="1070">
        <v>53934.272951821396</v>
      </c>
      <c r="J706" s="1070">
        <v>483518.86931352603</v>
      </c>
      <c r="K706" s="1070"/>
      <c r="L706"/>
      <c r="M706"/>
      <c r="N706"/>
      <c r="O706"/>
      <c r="P706"/>
      <c r="Q706"/>
      <c r="R706"/>
      <c r="S706"/>
      <c r="T706"/>
      <c r="U706"/>
      <c r="V706"/>
      <c r="W706"/>
      <c r="X706"/>
      <c r="Y706"/>
      <c r="Z706"/>
      <c r="AA706"/>
      <c r="AB706"/>
      <c r="AC706"/>
      <c r="AD706"/>
      <c r="AE706"/>
      <c r="AF706"/>
      <c r="AG706"/>
      <c r="AH706"/>
      <c r="AI706"/>
      <c r="AJ706"/>
      <c r="AK706"/>
      <c r="AL706"/>
    </row>
    <row r="707" spans="1:38" ht="15.75" customHeight="1" outlineLevel="3" x14ac:dyDescent="0.2">
      <c r="A707" s="10">
        <v>4</v>
      </c>
      <c r="B707" s="10" t="s">
        <v>71</v>
      </c>
      <c r="C707" s="10" t="s">
        <v>5370</v>
      </c>
      <c r="D707" s="10" t="s">
        <v>3493</v>
      </c>
      <c r="E707" s="11" t="str">
        <f t="array" ref="E707">_xlfn.XLOOKUP(D707,Insumos!B:B,Insumos!C:$C)</f>
        <v>UN</v>
      </c>
      <c r="F707" s="14">
        <v>1</v>
      </c>
      <c r="G707" s="92">
        <f t="array" ref="G707">IF(B707="insumo",_xlfn.XLOOKUP($D707,Insumos!$B$1:$B$996,Insumos!$D$1:$D$996),"")</f>
        <v>8.67</v>
      </c>
      <c r="H707" s="92">
        <v>8.67</v>
      </c>
      <c r="I707" s="13">
        <v>53934.272951821396</v>
      </c>
      <c r="J707" s="13">
        <v>467610.14649229101</v>
      </c>
      <c r="K707" s="13"/>
      <c r="L707"/>
      <c r="M707"/>
      <c r="N707"/>
      <c r="O707"/>
      <c r="P707"/>
      <c r="Q707"/>
      <c r="R707"/>
      <c r="S707"/>
      <c r="T707"/>
      <c r="U707"/>
      <c r="V707"/>
      <c r="W707"/>
      <c r="X707"/>
      <c r="Y707"/>
      <c r="Z707"/>
      <c r="AA707"/>
      <c r="AB707"/>
      <c r="AC707"/>
      <c r="AD707"/>
      <c r="AE707"/>
      <c r="AF707"/>
      <c r="AG707"/>
      <c r="AH707"/>
      <c r="AI707"/>
      <c r="AJ707"/>
      <c r="AK707"/>
      <c r="AL707"/>
    </row>
    <row r="708" spans="1:38" ht="15.75" customHeight="1" outlineLevel="3" x14ac:dyDescent="0.2">
      <c r="A708" s="10">
        <v>21</v>
      </c>
      <c r="B708" s="10" t="s">
        <v>71</v>
      </c>
      <c r="C708" s="10" t="s">
        <v>5370</v>
      </c>
      <c r="D708" s="10" t="s">
        <v>288</v>
      </c>
      <c r="E708" s="11" t="str">
        <f t="array" ref="E708">_xlfn.XLOOKUP(D708,Insumos!B:B,Insumos!C:$C)</f>
        <v>KG</v>
      </c>
      <c r="F708" s="14">
        <v>2.0500000000000001E-2</v>
      </c>
      <c r="G708" s="92">
        <f t="array" ref="G708">IF(B708="insumo",_xlfn.XLOOKUP($D708,Insumos!$B$1:$B$996,Insumos!$D$1:$D$996),"")</f>
        <v>13.73</v>
      </c>
      <c r="H708" s="92">
        <v>0.28146500000000002</v>
      </c>
      <c r="I708" s="13">
        <v>53934.272951821396</v>
      </c>
      <c r="J708" s="13">
        <v>15180.610136384401</v>
      </c>
      <c r="K708" s="13"/>
      <c r="L708"/>
      <c r="M708"/>
      <c r="N708"/>
      <c r="O708"/>
      <c r="P708"/>
      <c r="Q708"/>
      <c r="R708"/>
      <c r="S708"/>
      <c r="T708"/>
      <c r="U708"/>
      <c r="V708"/>
      <c r="W708"/>
      <c r="X708"/>
      <c r="Y708"/>
      <c r="Z708"/>
      <c r="AA708"/>
      <c r="AB708"/>
      <c r="AC708"/>
      <c r="AD708"/>
      <c r="AE708"/>
      <c r="AF708"/>
      <c r="AG708"/>
      <c r="AH708"/>
      <c r="AI708"/>
      <c r="AJ708"/>
      <c r="AK708"/>
      <c r="AL708"/>
    </row>
    <row r="709" spans="1:38" ht="15.75" customHeight="1" outlineLevel="3" x14ac:dyDescent="0.2">
      <c r="A709" s="10">
        <v>62</v>
      </c>
      <c r="B709" s="10" t="s">
        <v>71</v>
      </c>
      <c r="C709" s="10" t="s">
        <v>5370</v>
      </c>
      <c r="D709" s="10" t="s">
        <v>209</v>
      </c>
      <c r="E709" s="11" t="str">
        <f t="array" ref="E709">_xlfn.XLOOKUP(D709,Insumos!B:B,Insumos!C:$C)</f>
        <v>UN</v>
      </c>
      <c r="F709" s="14">
        <v>0.05</v>
      </c>
      <c r="G709" s="92">
        <f t="array" ref="G709">IF(B709="insumo",_xlfn.XLOOKUP($D709,Insumos!$B$1:$B$996,Insumos!$D$1:$D$996),"")</f>
        <v>0.27</v>
      </c>
      <c r="H709" s="92">
        <v>1.35E-2</v>
      </c>
      <c r="I709" s="13">
        <v>53934.272951821396</v>
      </c>
      <c r="J709" s="13">
        <v>728.11268484958896</v>
      </c>
      <c r="K709" s="13"/>
      <c r="L709"/>
      <c r="M709"/>
      <c r="N709"/>
      <c r="O709"/>
      <c r="P709"/>
      <c r="Q709"/>
      <c r="R709"/>
      <c r="S709"/>
      <c r="T709"/>
      <c r="U709"/>
      <c r="V709"/>
      <c r="W709"/>
      <c r="X709"/>
      <c r="Y709"/>
      <c r="Z709"/>
      <c r="AA709"/>
      <c r="AB709"/>
      <c r="AC709"/>
      <c r="AD709"/>
      <c r="AE709"/>
      <c r="AF709"/>
      <c r="AG709"/>
      <c r="AH709"/>
      <c r="AI709"/>
      <c r="AJ709"/>
      <c r="AK709"/>
      <c r="AL709"/>
    </row>
    <row r="710" spans="1:38" ht="15.75" customHeight="1" outlineLevel="2" x14ac:dyDescent="0.2">
      <c r="A710" s="1067">
        <v>1</v>
      </c>
      <c r="B710" s="1067" t="s">
        <v>68</v>
      </c>
      <c r="C710" s="1067" t="s">
        <v>5371</v>
      </c>
      <c r="D710" s="1067" t="s">
        <v>5371</v>
      </c>
      <c r="E710" s="1068" t="s">
        <v>206</v>
      </c>
      <c r="F710" s="1067"/>
      <c r="G710" s="1069" t="str">
        <f t="array" ref="G710">IF(B710="insumo",_xlfn.XLOOKUP($D710,Insumos!$B$1:$B$996,Insumos!$D$1:$D$996),"")</f>
        <v/>
      </c>
      <c r="H710" s="1069">
        <v>8.9649649999999994</v>
      </c>
      <c r="I710" s="1070">
        <v>65571.514330624006</v>
      </c>
      <c r="J710" s="1070">
        <v>587846.33097104297</v>
      </c>
      <c r="K710" s="1070"/>
      <c r="L710"/>
      <c r="M710"/>
      <c r="N710"/>
      <c r="O710"/>
      <c r="P710"/>
      <c r="Q710"/>
      <c r="R710"/>
      <c r="S710"/>
      <c r="T710"/>
      <c r="U710"/>
      <c r="V710"/>
      <c r="W710"/>
      <c r="X710"/>
      <c r="Y710"/>
      <c r="Z710"/>
      <c r="AA710"/>
      <c r="AB710"/>
      <c r="AC710"/>
      <c r="AD710"/>
      <c r="AE710"/>
      <c r="AF710"/>
      <c r="AG710"/>
      <c r="AH710"/>
      <c r="AI710"/>
      <c r="AJ710"/>
      <c r="AK710"/>
      <c r="AL710"/>
    </row>
    <row r="711" spans="1:38" ht="15.75" customHeight="1" outlineLevel="3" x14ac:dyDescent="0.2">
      <c r="A711" s="10">
        <v>3</v>
      </c>
      <c r="B711" s="10" t="s">
        <v>71</v>
      </c>
      <c r="C711" s="10" t="s">
        <v>5371</v>
      </c>
      <c r="D711" s="10" t="s">
        <v>3494</v>
      </c>
      <c r="E711" s="11" t="str">
        <f t="array" ref="E711">_xlfn.XLOOKUP(D711,Insumos!B:B,Insumos!C:$C)</f>
        <v>UN</v>
      </c>
      <c r="F711" s="14">
        <v>1</v>
      </c>
      <c r="G711" s="92">
        <f t="array" ref="G711">IF(B711="insumo",_xlfn.XLOOKUP($D711,Insumos!$B$1:$B$996,Insumos!$D$1:$D$996),"")</f>
        <v>8.67</v>
      </c>
      <c r="H711" s="92">
        <v>8.67</v>
      </c>
      <c r="I711" s="13">
        <v>65571.514330624006</v>
      </c>
      <c r="J711" s="13">
        <v>568505.02924651001</v>
      </c>
      <c r="K711" s="13"/>
      <c r="L711"/>
      <c r="M711"/>
      <c r="N711"/>
      <c r="O711"/>
      <c r="P711"/>
      <c r="Q711"/>
      <c r="R711"/>
      <c r="S711"/>
      <c r="T711"/>
      <c r="U711"/>
      <c r="V711"/>
      <c r="W711"/>
      <c r="X711"/>
      <c r="Y711"/>
      <c r="Z711"/>
      <c r="AA711"/>
      <c r="AB711"/>
      <c r="AC711"/>
      <c r="AD711"/>
      <c r="AE711"/>
      <c r="AF711"/>
      <c r="AG711"/>
      <c r="AH711"/>
      <c r="AI711"/>
      <c r="AJ711"/>
      <c r="AK711"/>
      <c r="AL711"/>
    </row>
    <row r="712" spans="1:38" ht="15.75" customHeight="1" outlineLevel="3" x14ac:dyDescent="0.2">
      <c r="A712" s="10">
        <v>21</v>
      </c>
      <c r="B712" s="10" t="s">
        <v>71</v>
      </c>
      <c r="C712" s="10" t="s">
        <v>5371</v>
      </c>
      <c r="D712" s="10" t="s">
        <v>288</v>
      </c>
      <c r="E712" s="11" t="str">
        <f t="array" ref="E712">_xlfn.XLOOKUP(D712,Insumos!B:B,Insumos!C:$C)</f>
        <v>KG</v>
      </c>
      <c r="F712" s="14">
        <v>2.0500000000000001E-2</v>
      </c>
      <c r="G712" s="92">
        <f t="array" ref="G712">IF(B712="insumo",_xlfn.XLOOKUP($D712,Insumos!$B$1:$B$996,Insumos!$D$1:$D$996),"")</f>
        <v>13.73</v>
      </c>
      <c r="H712" s="92">
        <v>0.28146500000000002</v>
      </c>
      <c r="I712" s="13">
        <v>65571.514330624006</v>
      </c>
      <c r="J712" s="13">
        <v>18456.0862810691</v>
      </c>
      <c r="K712" s="13"/>
      <c r="L712"/>
      <c r="M712"/>
      <c r="N712"/>
      <c r="O712"/>
      <c r="P712"/>
      <c r="Q712"/>
      <c r="R712"/>
      <c r="S712"/>
      <c r="T712"/>
      <c r="U712"/>
      <c r="V712"/>
      <c r="W712"/>
      <c r="X712"/>
      <c r="Y712"/>
      <c r="Z712"/>
      <c r="AA712"/>
      <c r="AB712"/>
      <c r="AC712"/>
      <c r="AD712"/>
      <c r="AE712"/>
      <c r="AF712"/>
      <c r="AG712"/>
      <c r="AH712"/>
      <c r="AI712"/>
      <c r="AJ712"/>
      <c r="AK712"/>
      <c r="AL712"/>
    </row>
    <row r="713" spans="1:38" ht="15.75" customHeight="1" outlineLevel="3" x14ac:dyDescent="0.2">
      <c r="A713" s="10">
        <v>62</v>
      </c>
      <c r="B713" s="10" t="s">
        <v>71</v>
      </c>
      <c r="C713" s="10" t="s">
        <v>5371</v>
      </c>
      <c r="D713" s="10" t="s">
        <v>209</v>
      </c>
      <c r="E713" s="11" t="str">
        <f t="array" ref="E713">_xlfn.XLOOKUP(D713,Insumos!B:B,Insumos!C:$C)</f>
        <v>UN</v>
      </c>
      <c r="F713" s="14">
        <v>0.05</v>
      </c>
      <c r="G713" s="92">
        <f t="array" ref="G713">IF(B713="insumo",_xlfn.XLOOKUP($D713,Insumos!$B$1:$B$996,Insumos!$D$1:$D$996),"")</f>
        <v>0.27</v>
      </c>
      <c r="H713" s="92">
        <v>1.35E-2</v>
      </c>
      <c r="I713" s="13">
        <v>65571.514330624006</v>
      </c>
      <c r="J713" s="13">
        <v>885.21544346342398</v>
      </c>
      <c r="K713" s="13"/>
      <c r="L713"/>
      <c r="M713"/>
      <c r="N713"/>
      <c r="O713"/>
      <c r="P713"/>
      <c r="Q713"/>
      <c r="R713"/>
      <c r="S713"/>
      <c r="T713"/>
      <c r="U713"/>
      <c r="V713"/>
      <c r="W713"/>
      <c r="X713"/>
      <c r="Y713"/>
      <c r="Z713"/>
      <c r="AA713"/>
      <c r="AB713"/>
      <c r="AC713"/>
      <c r="AD713"/>
      <c r="AE713"/>
      <c r="AF713"/>
      <c r="AG713"/>
      <c r="AH713"/>
      <c r="AI713"/>
      <c r="AJ713"/>
      <c r="AK713"/>
      <c r="AL713"/>
    </row>
    <row r="714" spans="1:38" ht="15.75" customHeight="1" outlineLevel="2" x14ac:dyDescent="0.2">
      <c r="A714" s="1067">
        <v>1</v>
      </c>
      <c r="B714" s="1067" t="s">
        <v>68</v>
      </c>
      <c r="C714" s="1067" t="s">
        <v>5372</v>
      </c>
      <c r="D714" s="1067" t="s">
        <v>5372</v>
      </c>
      <c r="E714" s="1068" t="s">
        <v>206</v>
      </c>
      <c r="F714" s="1067"/>
      <c r="G714" s="1069" t="str">
        <f t="array" ref="G714">IF(B714="insumo",_xlfn.XLOOKUP($D714,Insumos!$B$1:$B$996,Insumos!$D$1:$D$996),"")</f>
        <v/>
      </c>
      <c r="H714" s="1069">
        <v>8.9649649999999994</v>
      </c>
      <c r="I714" s="1070">
        <v>81096.464230497397</v>
      </c>
      <c r="J714" s="1070">
        <v>727026.96345016104</v>
      </c>
      <c r="K714" s="1070"/>
      <c r="L714"/>
      <c r="M714"/>
      <c r="N714"/>
      <c r="O714"/>
      <c r="P714"/>
      <c r="Q714"/>
      <c r="R714"/>
      <c r="S714"/>
      <c r="T714"/>
      <c r="U714"/>
      <c r="V714"/>
      <c r="W714"/>
      <c r="X714"/>
      <c r="Y714"/>
      <c r="Z714"/>
      <c r="AA714"/>
      <c r="AB714"/>
      <c r="AC714"/>
      <c r="AD714"/>
      <c r="AE714"/>
      <c r="AF714"/>
      <c r="AG714"/>
      <c r="AH714"/>
      <c r="AI714"/>
      <c r="AJ714"/>
      <c r="AK714"/>
      <c r="AL714"/>
    </row>
    <row r="715" spans="1:38" ht="15.75" customHeight="1" outlineLevel="3" x14ac:dyDescent="0.2">
      <c r="A715" s="10">
        <v>2</v>
      </c>
      <c r="B715" s="10" t="s">
        <v>71</v>
      </c>
      <c r="C715" s="10" t="s">
        <v>5372</v>
      </c>
      <c r="D715" s="10" t="s">
        <v>5362</v>
      </c>
      <c r="E715" s="11" t="str">
        <f t="array" ref="E715">_xlfn.XLOOKUP(D715,Insumos!B:B,Insumos!C:$C)</f>
        <v>UN</v>
      </c>
      <c r="F715" s="14">
        <v>1</v>
      </c>
      <c r="G715" s="92">
        <f t="array" ref="G715">IF(B715="insumo",_xlfn.XLOOKUP($D715,Insumos!$B$1:$B$996,Insumos!$D$1:$D$996),"")</f>
        <v>8.67</v>
      </c>
      <c r="H715" s="92">
        <v>8.67</v>
      </c>
      <c r="I715" s="13">
        <v>81096.464230497397</v>
      </c>
      <c r="J715" s="13">
        <v>703106.34487841197</v>
      </c>
      <c r="K715" s="13"/>
      <c r="L715"/>
      <c r="M715"/>
      <c r="N715"/>
      <c r="O715"/>
      <c r="P715"/>
      <c r="Q715"/>
      <c r="R715"/>
      <c r="S715"/>
      <c r="T715"/>
      <c r="U715"/>
      <c r="V715"/>
      <c r="W715"/>
      <c r="X715"/>
      <c r="Y715"/>
      <c r="Z715"/>
      <c r="AA715"/>
      <c r="AB715"/>
      <c r="AC715"/>
      <c r="AD715"/>
      <c r="AE715"/>
      <c r="AF715"/>
      <c r="AG715"/>
      <c r="AH715"/>
      <c r="AI715"/>
      <c r="AJ715"/>
      <c r="AK715"/>
      <c r="AL715"/>
    </row>
    <row r="716" spans="1:38" ht="15.75" customHeight="1" outlineLevel="3" x14ac:dyDescent="0.2">
      <c r="A716" s="10">
        <v>21</v>
      </c>
      <c r="B716" s="10" t="s">
        <v>71</v>
      </c>
      <c r="C716" s="10" t="s">
        <v>5372</v>
      </c>
      <c r="D716" s="10" t="s">
        <v>288</v>
      </c>
      <c r="E716" s="11" t="str">
        <f t="array" ref="E716">_xlfn.XLOOKUP(D716,Insumos!B:B,Insumos!C:$C)</f>
        <v>KG</v>
      </c>
      <c r="F716" s="14">
        <v>2.0500000000000001E-2</v>
      </c>
      <c r="G716" s="92">
        <f t="array" ref="G716">IF(B716="insumo",_xlfn.XLOOKUP($D716,Insumos!$B$1:$B$996,Insumos!$D$1:$D$996),"")</f>
        <v>13.73</v>
      </c>
      <c r="H716" s="92">
        <v>0.28146500000000002</v>
      </c>
      <c r="I716" s="13">
        <v>81096.464230497397</v>
      </c>
      <c r="J716" s="13">
        <v>22825.816304636999</v>
      </c>
      <c r="K716" s="13"/>
      <c r="L716"/>
      <c r="M716"/>
      <c r="N716"/>
      <c r="O716"/>
      <c r="P716"/>
      <c r="Q716"/>
      <c r="R716"/>
      <c r="S716"/>
      <c r="T716"/>
      <c r="U716"/>
      <c r="V716"/>
      <c r="W716"/>
      <c r="X716"/>
      <c r="Y716"/>
      <c r="Z716"/>
      <c r="AA716"/>
      <c r="AB716"/>
      <c r="AC716"/>
      <c r="AD716"/>
      <c r="AE716"/>
      <c r="AF716"/>
      <c r="AG716"/>
      <c r="AH716"/>
      <c r="AI716"/>
      <c r="AJ716"/>
      <c r="AK716"/>
      <c r="AL716"/>
    </row>
    <row r="717" spans="1:38" ht="15.75" customHeight="1" outlineLevel="3" x14ac:dyDescent="0.2">
      <c r="A717" s="10">
        <v>62</v>
      </c>
      <c r="B717" s="10" t="s">
        <v>71</v>
      </c>
      <c r="C717" s="10" t="s">
        <v>5372</v>
      </c>
      <c r="D717" s="10" t="s">
        <v>209</v>
      </c>
      <c r="E717" s="11" t="str">
        <f t="array" ref="E717">_xlfn.XLOOKUP(D717,Insumos!B:B,Insumos!C:$C)</f>
        <v>UN</v>
      </c>
      <c r="F717" s="14">
        <v>0.05</v>
      </c>
      <c r="G717" s="92">
        <f t="array" ref="G717">IF(B717="insumo",_xlfn.XLOOKUP($D717,Insumos!$B$1:$B$996,Insumos!$D$1:$D$996),"")</f>
        <v>0.27</v>
      </c>
      <c r="H717" s="92">
        <v>1.35E-2</v>
      </c>
      <c r="I717" s="13">
        <v>81096.464230497397</v>
      </c>
      <c r="J717" s="13">
        <v>1094.8022671117101</v>
      </c>
      <c r="K717" s="13"/>
      <c r="L717"/>
      <c r="M717"/>
      <c r="N717"/>
      <c r="O717"/>
      <c r="P717"/>
      <c r="Q717"/>
      <c r="R717"/>
      <c r="S717"/>
      <c r="T717"/>
      <c r="U717"/>
      <c r="V717"/>
      <c r="W717"/>
      <c r="X717"/>
      <c r="Y717"/>
      <c r="Z717"/>
      <c r="AA717"/>
      <c r="AB717"/>
      <c r="AC717"/>
      <c r="AD717"/>
      <c r="AE717"/>
      <c r="AF717"/>
      <c r="AG717"/>
      <c r="AH717"/>
      <c r="AI717"/>
      <c r="AJ717"/>
      <c r="AK717"/>
      <c r="AL717"/>
    </row>
    <row r="718" spans="1:38" ht="15.75" customHeight="1" outlineLevel="2" x14ac:dyDescent="0.2">
      <c r="A718" s="1067">
        <v>1</v>
      </c>
      <c r="B718" s="1067" t="s">
        <v>68</v>
      </c>
      <c r="C718" s="1067" t="s">
        <v>5373</v>
      </c>
      <c r="D718" s="1067" t="s">
        <v>5373</v>
      </c>
      <c r="E718" s="1068" t="s">
        <v>206</v>
      </c>
      <c r="F718" s="1067"/>
      <c r="G718" s="1069" t="str">
        <f t="array" ref="G718">IF(B718="insumo",_xlfn.XLOOKUP($D718,Insumos!$B$1:$B$996,Insumos!$D$1:$D$996),"")</f>
        <v/>
      </c>
      <c r="H718" s="1069">
        <v>8.4849650000000008</v>
      </c>
      <c r="I718" s="1070">
        <v>87261.131627970695</v>
      </c>
      <c r="J718" s="1070">
        <v>740407.64772372402</v>
      </c>
      <c r="K718" s="1070"/>
      <c r="L718"/>
      <c r="M718"/>
      <c r="N718"/>
      <c r="O718"/>
      <c r="P718"/>
      <c r="Q718"/>
      <c r="R718"/>
      <c r="S718"/>
      <c r="T718"/>
      <c r="U718"/>
      <c r="V718"/>
      <c r="W718"/>
      <c r="X718"/>
      <c r="Y718"/>
      <c r="Z718"/>
      <c r="AA718"/>
      <c r="AB718"/>
      <c r="AC718"/>
      <c r="AD718"/>
      <c r="AE718"/>
      <c r="AF718"/>
      <c r="AG718"/>
      <c r="AH718"/>
      <c r="AI718"/>
      <c r="AJ718"/>
      <c r="AK718"/>
      <c r="AL718"/>
    </row>
    <row r="719" spans="1:38" ht="15.75" customHeight="1" outlineLevel="3" x14ac:dyDescent="0.2">
      <c r="A719" s="10">
        <v>3</v>
      </c>
      <c r="B719" s="10" t="s">
        <v>71</v>
      </c>
      <c r="C719" s="10" t="s">
        <v>5373</v>
      </c>
      <c r="D719" s="10" t="s">
        <v>3495</v>
      </c>
      <c r="E719" s="11" t="str">
        <f t="array" ref="E719">_xlfn.XLOOKUP(D719,Insumos!B:B,Insumos!C:$C)</f>
        <v>UN</v>
      </c>
      <c r="F719" s="14">
        <v>1</v>
      </c>
      <c r="G719" s="92">
        <f t="array" ref="G719">IF(B719="insumo",_xlfn.XLOOKUP($D719,Insumos!$B$1:$B$996,Insumos!$D$1:$D$996),"")</f>
        <v>8.19</v>
      </c>
      <c r="H719" s="92">
        <v>8.19</v>
      </c>
      <c r="I719" s="13">
        <v>87261.131627970695</v>
      </c>
      <c r="J719" s="13">
        <v>714668.66803307994</v>
      </c>
      <c r="K719" s="13"/>
      <c r="L719"/>
      <c r="M719"/>
      <c r="N719"/>
      <c r="O719"/>
      <c r="P719"/>
      <c r="Q719"/>
      <c r="R719"/>
      <c r="S719"/>
      <c r="T719"/>
      <c r="U719"/>
      <c r="V719"/>
      <c r="W719"/>
      <c r="X719"/>
      <c r="Y719"/>
      <c r="Z719"/>
      <c r="AA719"/>
      <c r="AB719"/>
      <c r="AC719"/>
      <c r="AD719"/>
      <c r="AE719"/>
      <c r="AF719"/>
      <c r="AG719"/>
      <c r="AH719"/>
      <c r="AI719"/>
      <c r="AJ719"/>
      <c r="AK719"/>
      <c r="AL719"/>
    </row>
    <row r="720" spans="1:38" ht="15.75" customHeight="1" outlineLevel="3" x14ac:dyDescent="0.2">
      <c r="A720" s="10">
        <v>21</v>
      </c>
      <c r="B720" s="10" t="s">
        <v>71</v>
      </c>
      <c r="C720" s="10" t="s">
        <v>5373</v>
      </c>
      <c r="D720" s="10" t="s">
        <v>288</v>
      </c>
      <c r="E720" s="11" t="str">
        <f t="array" ref="E720">_xlfn.XLOOKUP(D720,Insumos!B:B,Insumos!C:$C)</f>
        <v>KG</v>
      </c>
      <c r="F720" s="14">
        <v>2.0500000000000001E-2</v>
      </c>
      <c r="G720" s="92">
        <f t="array" ref="G720">IF(B720="insumo",_xlfn.XLOOKUP($D720,Insumos!$B$1:$B$996,Insumos!$D$1:$D$996),"")</f>
        <v>13.73</v>
      </c>
      <c r="H720" s="92">
        <v>0.28146500000000002</v>
      </c>
      <c r="I720" s="13">
        <v>87261.131627970695</v>
      </c>
      <c r="J720" s="13">
        <v>24560.954413666801</v>
      </c>
      <c r="K720" s="13"/>
      <c r="L720"/>
      <c r="M720"/>
      <c r="N720"/>
      <c r="O720"/>
      <c r="P720"/>
      <c r="Q720"/>
      <c r="R720"/>
      <c r="S720"/>
      <c r="T720"/>
      <c r="U720"/>
      <c r="V720"/>
      <c r="W720"/>
      <c r="X720"/>
      <c r="Y720"/>
      <c r="Z720"/>
      <c r="AA720"/>
      <c r="AB720"/>
      <c r="AC720"/>
      <c r="AD720"/>
      <c r="AE720"/>
      <c r="AF720"/>
      <c r="AG720"/>
      <c r="AH720"/>
      <c r="AI720"/>
      <c r="AJ720"/>
      <c r="AK720"/>
      <c r="AL720"/>
    </row>
    <row r="721" spans="1:38" ht="15.75" customHeight="1" outlineLevel="3" x14ac:dyDescent="0.2">
      <c r="A721" s="10">
        <v>62</v>
      </c>
      <c r="B721" s="10" t="s">
        <v>71</v>
      </c>
      <c r="C721" s="10" t="s">
        <v>5373</v>
      </c>
      <c r="D721" s="10" t="s">
        <v>209</v>
      </c>
      <c r="E721" s="11" t="str">
        <f t="array" ref="E721">_xlfn.XLOOKUP(D721,Insumos!B:B,Insumos!C:$C)</f>
        <v>UN</v>
      </c>
      <c r="F721" s="14">
        <v>0.05</v>
      </c>
      <c r="G721" s="92">
        <f t="array" ref="G721">IF(B721="insumo",_xlfn.XLOOKUP($D721,Insumos!$B$1:$B$996,Insumos!$D$1:$D$996),"")</f>
        <v>0.27</v>
      </c>
      <c r="H721" s="92">
        <v>1.35E-2</v>
      </c>
      <c r="I721" s="13">
        <v>87261.131627970695</v>
      </c>
      <c r="J721" s="13">
        <v>1178.0252769776</v>
      </c>
      <c r="K721" s="13"/>
      <c r="L721"/>
      <c r="M721"/>
      <c r="N721"/>
      <c r="O721"/>
      <c r="P721"/>
      <c r="Q721"/>
      <c r="R721"/>
      <c r="S721"/>
      <c r="T721"/>
      <c r="U721"/>
      <c r="V721"/>
      <c r="W721"/>
      <c r="X721"/>
      <c r="Y721"/>
      <c r="Z721"/>
      <c r="AA721"/>
      <c r="AB721"/>
      <c r="AC721"/>
      <c r="AD721"/>
      <c r="AE721"/>
      <c r="AF721"/>
      <c r="AG721"/>
      <c r="AH721"/>
      <c r="AI721"/>
      <c r="AJ721"/>
      <c r="AK721"/>
      <c r="AL721"/>
    </row>
    <row r="722" spans="1:38" ht="15.75" customHeight="1" outlineLevel="2" x14ac:dyDescent="0.2">
      <c r="A722" s="1067">
        <v>1</v>
      </c>
      <c r="B722" s="1067" t="s">
        <v>68</v>
      </c>
      <c r="C722" s="1067" t="s">
        <v>5374</v>
      </c>
      <c r="D722" s="1067" t="s">
        <v>5374</v>
      </c>
      <c r="E722" s="1068" t="s">
        <v>206</v>
      </c>
      <c r="F722" s="1067"/>
      <c r="G722" s="1069" t="str">
        <f t="array" ref="G722">IF(B722="insumo",_xlfn.XLOOKUP($D722,Insumos!$B$1:$B$996,Insumos!$D$1:$D$996),"")</f>
        <v/>
      </c>
      <c r="H722" s="1069">
        <v>8.4849650000000008</v>
      </c>
      <c r="I722" s="1070">
        <v>31256.258197867901</v>
      </c>
      <c r="J722" s="1070">
        <v>265208.25683987199</v>
      </c>
      <c r="K722" s="1070"/>
      <c r="L722"/>
      <c r="M722"/>
      <c r="N722"/>
      <c r="O722"/>
      <c r="P722"/>
      <c r="Q722"/>
      <c r="R722"/>
      <c r="S722"/>
      <c r="T722"/>
      <c r="U722"/>
      <c r="V722"/>
      <c r="W722"/>
      <c r="X722"/>
      <c r="Y722"/>
      <c r="Z722"/>
      <c r="AA722"/>
      <c r="AB722"/>
      <c r="AC722"/>
      <c r="AD722"/>
      <c r="AE722"/>
      <c r="AF722"/>
      <c r="AG722"/>
      <c r="AH722"/>
      <c r="AI722"/>
      <c r="AJ722"/>
      <c r="AK722"/>
      <c r="AL722"/>
    </row>
    <row r="723" spans="1:38" ht="15.75" customHeight="1" outlineLevel="3" x14ac:dyDescent="0.2">
      <c r="A723" s="10">
        <v>3</v>
      </c>
      <c r="B723" s="10" t="s">
        <v>71</v>
      </c>
      <c r="C723" s="10" t="s">
        <v>5374</v>
      </c>
      <c r="D723" s="10" t="s">
        <v>5350</v>
      </c>
      <c r="E723" s="11" t="str">
        <f t="array" ref="E723">_xlfn.XLOOKUP(D723,Insumos!B:B,Insumos!C:$C)</f>
        <v>UN</v>
      </c>
      <c r="F723" s="14">
        <v>1</v>
      </c>
      <c r="G723" s="92">
        <f t="array" ref="G723">IF(B723="insumo",_xlfn.XLOOKUP($D723,Insumos!$B$1:$B$996,Insumos!$D$1:$D$996),"")</f>
        <v>8.19</v>
      </c>
      <c r="H723" s="92">
        <v>8.19</v>
      </c>
      <c r="I723" s="13">
        <v>31256.258197867901</v>
      </c>
      <c r="J723" s="13">
        <v>255988.75464053801</v>
      </c>
      <c r="K723" s="13"/>
      <c r="L723"/>
      <c r="M723"/>
      <c r="N723"/>
      <c r="O723"/>
      <c r="P723"/>
      <c r="Q723"/>
      <c r="R723"/>
      <c r="S723"/>
      <c r="T723"/>
      <c r="U723"/>
      <c r="V723"/>
      <c r="W723"/>
      <c r="X723"/>
      <c r="Y723"/>
      <c r="Z723"/>
      <c r="AA723"/>
      <c r="AB723"/>
      <c r="AC723"/>
      <c r="AD723"/>
      <c r="AE723"/>
      <c r="AF723"/>
      <c r="AG723"/>
      <c r="AH723"/>
      <c r="AI723"/>
      <c r="AJ723"/>
      <c r="AK723"/>
      <c r="AL723"/>
    </row>
    <row r="724" spans="1:38" ht="15.75" customHeight="1" outlineLevel="3" x14ac:dyDescent="0.2">
      <c r="A724" s="10">
        <v>21</v>
      </c>
      <c r="B724" s="10" t="s">
        <v>71</v>
      </c>
      <c r="C724" s="10" t="s">
        <v>5374</v>
      </c>
      <c r="D724" s="10" t="s">
        <v>288</v>
      </c>
      <c r="E724" s="11" t="str">
        <f t="array" ref="E724">_xlfn.XLOOKUP(D724,Insumos!B:B,Insumos!C:$C)</f>
        <v>KG</v>
      </c>
      <c r="F724" s="14">
        <v>2.0500000000000001E-2</v>
      </c>
      <c r="G724" s="92">
        <f t="array" ref="G724">IF(B724="insumo",_xlfn.XLOOKUP($D724,Insumos!$B$1:$B$996,Insumos!$D$1:$D$996),"")</f>
        <v>13.73</v>
      </c>
      <c r="H724" s="92">
        <v>0.28146500000000002</v>
      </c>
      <c r="I724" s="13">
        <v>31256.258197867901</v>
      </c>
      <c r="J724" s="13">
        <v>8797.5427136628896</v>
      </c>
      <c r="K724" s="13"/>
      <c r="L724"/>
      <c r="M724"/>
      <c r="N724"/>
      <c r="O724"/>
      <c r="P724"/>
      <c r="Q724"/>
      <c r="R724"/>
      <c r="S724"/>
      <c r="T724"/>
      <c r="U724"/>
      <c r="V724"/>
      <c r="W724"/>
      <c r="X724"/>
      <c r="Y724"/>
      <c r="Z724"/>
      <c r="AA724"/>
      <c r="AB724"/>
      <c r="AC724"/>
      <c r="AD724"/>
      <c r="AE724"/>
      <c r="AF724"/>
      <c r="AG724"/>
      <c r="AH724"/>
      <c r="AI724"/>
      <c r="AJ724"/>
      <c r="AK724"/>
      <c r="AL724"/>
    </row>
    <row r="725" spans="1:38" ht="15.75" customHeight="1" outlineLevel="3" x14ac:dyDescent="0.2">
      <c r="A725" s="10">
        <v>62</v>
      </c>
      <c r="B725" s="10" t="s">
        <v>71</v>
      </c>
      <c r="C725" s="10" t="s">
        <v>5374</v>
      </c>
      <c r="D725" s="10" t="s">
        <v>209</v>
      </c>
      <c r="E725" s="11" t="str">
        <f t="array" ref="E725">_xlfn.XLOOKUP(D725,Insumos!B:B,Insumos!C:$C)</f>
        <v>UN</v>
      </c>
      <c r="F725" s="14">
        <v>0.05</v>
      </c>
      <c r="G725" s="92">
        <f t="array" ref="G725">IF(B725="insumo",_xlfn.XLOOKUP($D725,Insumos!$B$1:$B$996,Insumos!$D$1:$D$996),"")</f>
        <v>0.27</v>
      </c>
      <c r="H725" s="92">
        <v>1.35E-2</v>
      </c>
      <c r="I725" s="13">
        <v>31256.258197867901</v>
      </c>
      <c r="J725" s="13">
        <v>421.95948567121701</v>
      </c>
      <c r="K725" s="13"/>
      <c r="L725"/>
      <c r="M725"/>
      <c r="N725"/>
      <c r="O725"/>
      <c r="P725"/>
      <c r="Q725"/>
      <c r="R725"/>
      <c r="S725"/>
      <c r="T725"/>
      <c r="U725"/>
      <c r="V725"/>
      <c r="W725"/>
      <c r="X725"/>
      <c r="Y725"/>
      <c r="Z725"/>
      <c r="AA725"/>
      <c r="AB725"/>
      <c r="AC725"/>
      <c r="AD725"/>
      <c r="AE725"/>
      <c r="AF725"/>
      <c r="AG725"/>
      <c r="AH725"/>
      <c r="AI725"/>
      <c r="AJ725"/>
      <c r="AK725"/>
      <c r="AL725"/>
    </row>
    <row r="726" spans="1:38" ht="15.75" customHeight="1" outlineLevel="2" x14ac:dyDescent="0.2">
      <c r="A726" s="1067">
        <v>1</v>
      </c>
      <c r="B726" s="1067" t="s">
        <v>68</v>
      </c>
      <c r="C726" s="1067" t="s">
        <v>5375</v>
      </c>
      <c r="D726" s="1067" t="s">
        <v>5375</v>
      </c>
      <c r="E726" s="1068" t="s">
        <v>206</v>
      </c>
      <c r="F726" s="1067"/>
      <c r="G726" s="1069" t="str">
        <f t="array" ref="G726">IF(B726="insumo",_xlfn.XLOOKUP($D726,Insumos!$B$1:$B$996,Insumos!$D$1:$D$996),"")</f>
        <v/>
      </c>
      <c r="H726" s="1069">
        <v>8.4849650000000008</v>
      </c>
      <c r="I726" s="1070">
        <v>89836.899295432406</v>
      </c>
      <c r="J726" s="1070">
        <v>762262.94623026904</v>
      </c>
      <c r="K726" s="1070"/>
      <c r="L726"/>
      <c r="M726"/>
      <c r="N726"/>
      <c r="O726"/>
      <c r="P726"/>
      <c r="Q726"/>
      <c r="R726"/>
      <c r="S726"/>
      <c r="T726"/>
      <c r="U726"/>
      <c r="V726"/>
      <c r="W726"/>
      <c r="X726"/>
      <c r="Y726"/>
      <c r="Z726"/>
      <c r="AA726"/>
      <c r="AB726"/>
      <c r="AC726"/>
      <c r="AD726"/>
      <c r="AE726"/>
      <c r="AF726"/>
      <c r="AG726"/>
      <c r="AH726"/>
      <c r="AI726"/>
      <c r="AJ726"/>
      <c r="AK726"/>
      <c r="AL726"/>
    </row>
    <row r="727" spans="1:38" ht="15.75" customHeight="1" outlineLevel="3" x14ac:dyDescent="0.2">
      <c r="A727" s="10">
        <v>4</v>
      </c>
      <c r="B727" s="10" t="s">
        <v>71</v>
      </c>
      <c r="C727" s="10" t="s">
        <v>5375</v>
      </c>
      <c r="D727" s="10" t="s">
        <v>5352</v>
      </c>
      <c r="E727" s="11" t="str">
        <f t="array" ref="E727">_xlfn.XLOOKUP(D727,Insumos!B:B,Insumos!C:$C)</f>
        <v>UN</v>
      </c>
      <c r="F727" s="14">
        <v>1</v>
      </c>
      <c r="G727" s="92">
        <f t="array" ref="G727">IF(B727="insumo",_xlfn.XLOOKUP($D727,Insumos!$B$1:$B$996,Insumos!$D$1:$D$996),"")</f>
        <v>8.19</v>
      </c>
      <c r="H727" s="92">
        <v>8.19</v>
      </c>
      <c r="I727" s="13">
        <v>89836.899295432406</v>
      </c>
      <c r="J727" s="13">
        <v>735764.205229591</v>
      </c>
      <c r="K727" s="13"/>
      <c r="L727"/>
      <c r="M727"/>
      <c r="N727"/>
      <c r="O727"/>
      <c r="P727"/>
      <c r="Q727"/>
      <c r="R727"/>
      <c r="S727"/>
      <c r="T727"/>
      <c r="U727"/>
      <c r="V727"/>
      <c r="W727"/>
      <c r="X727"/>
      <c r="Y727"/>
      <c r="Z727"/>
      <c r="AA727"/>
      <c r="AB727"/>
      <c r="AC727"/>
      <c r="AD727"/>
      <c r="AE727"/>
      <c r="AF727"/>
      <c r="AG727"/>
      <c r="AH727"/>
      <c r="AI727"/>
      <c r="AJ727"/>
      <c r="AK727"/>
      <c r="AL727"/>
    </row>
    <row r="728" spans="1:38" ht="15.75" customHeight="1" outlineLevel="3" x14ac:dyDescent="0.2">
      <c r="A728" s="10">
        <v>21</v>
      </c>
      <c r="B728" s="10" t="s">
        <v>71</v>
      </c>
      <c r="C728" s="10" t="s">
        <v>5375</v>
      </c>
      <c r="D728" s="10" t="s">
        <v>288</v>
      </c>
      <c r="E728" s="11" t="str">
        <f t="array" ref="E728">_xlfn.XLOOKUP(D728,Insumos!B:B,Insumos!C:$C)</f>
        <v>KG</v>
      </c>
      <c r="F728" s="14">
        <v>2.0500000000000001E-2</v>
      </c>
      <c r="G728" s="92">
        <f t="array" ref="G728">IF(B728="insumo",_xlfn.XLOOKUP($D728,Insumos!$B$1:$B$996,Insumos!$D$1:$D$996),"")</f>
        <v>13.73</v>
      </c>
      <c r="H728" s="92">
        <v>0.28146500000000002</v>
      </c>
      <c r="I728" s="13">
        <v>89836.899295432406</v>
      </c>
      <c r="J728" s="13">
        <v>25285.942860188901</v>
      </c>
      <c r="K728" s="13"/>
      <c r="L728"/>
      <c r="M728"/>
      <c r="N728"/>
      <c r="O728"/>
      <c r="P728"/>
      <c r="Q728"/>
      <c r="R728"/>
      <c r="S728"/>
      <c r="T728"/>
      <c r="U728"/>
      <c r="V728"/>
      <c r="W728"/>
      <c r="X728"/>
      <c r="Y728"/>
      <c r="Z728"/>
      <c r="AA728"/>
      <c r="AB728"/>
      <c r="AC728"/>
      <c r="AD728"/>
      <c r="AE728"/>
      <c r="AF728"/>
      <c r="AG728"/>
      <c r="AH728"/>
      <c r="AI728"/>
      <c r="AJ728"/>
      <c r="AK728"/>
      <c r="AL728"/>
    </row>
    <row r="729" spans="1:38" ht="15.75" customHeight="1" outlineLevel="3" x14ac:dyDescent="0.2">
      <c r="A729" s="10">
        <v>62</v>
      </c>
      <c r="B729" s="10" t="s">
        <v>71</v>
      </c>
      <c r="C729" s="10" t="s">
        <v>5375</v>
      </c>
      <c r="D729" s="10" t="s">
        <v>209</v>
      </c>
      <c r="E729" s="11" t="str">
        <f t="array" ref="E729">_xlfn.XLOOKUP(D729,Insumos!B:B,Insumos!C:$C)</f>
        <v>UN</v>
      </c>
      <c r="F729" s="14">
        <v>0.05</v>
      </c>
      <c r="G729" s="92">
        <f t="array" ref="G729">IF(B729="insumo",_xlfn.XLOOKUP($D729,Insumos!$B$1:$B$996,Insumos!$D$1:$D$996),"")</f>
        <v>0.27</v>
      </c>
      <c r="H729" s="92">
        <v>1.35E-2</v>
      </c>
      <c r="I729" s="13">
        <v>89836.899295432406</v>
      </c>
      <c r="J729" s="13">
        <v>1212.7981404883401</v>
      </c>
      <c r="K729" s="13"/>
      <c r="L729"/>
      <c r="M729"/>
      <c r="N729"/>
      <c r="O729"/>
      <c r="P729"/>
      <c r="Q729"/>
      <c r="R729"/>
      <c r="S729"/>
      <c r="T729"/>
      <c r="U729"/>
      <c r="V729"/>
      <c r="W729"/>
      <c r="X729"/>
      <c r="Y729"/>
      <c r="Z729"/>
      <c r="AA729"/>
      <c r="AB729"/>
      <c r="AC729"/>
      <c r="AD729"/>
      <c r="AE729"/>
      <c r="AF729"/>
      <c r="AG729"/>
      <c r="AH729"/>
      <c r="AI729"/>
      <c r="AJ729"/>
      <c r="AK729"/>
      <c r="AL729"/>
    </row>
    <row r="730" spans="1:38" ht="15.75" customHeight="1" outlineLevel="2" x14ac:dyDescent="0.2">
      <c r="A730" s="1067">
        <v>1</v>
      </c>
      <c r="B730" s="1067" t="s">
        <v>68</v>
      </c>
      <c r="C730" s="1067" t="s">
        <v>5376</v>
      </c>
      <c r="D730" s="1067" t="s">
        <v>5376</v>
      </c>
      <c r="E730" s="1068" t="s">
        <v>206</v>
      </c>
      <c r="F730" s="1067"/>
      <c r="G730" s="1069" t="str">
        <f t="array" ref="G730">IF(B730="insumo",_xlfn.XLOOKUP($D730,Insumos!$B$1:$B$996,Insumos!$D$1:$D$996),"")</f>
        <v/>
      </c>
      <c r="H730" s="1069">
        <v>8.4849650000000008</v>
      </c>
      <c r="I730" s="1070">
        <v>415759.03413508303</v>
      </c>
      <c r="J730" s="1070">
        <v>3527700.8530699899</v>
      </c>
      <c r="K730" s="1070"/>
      <c r="L730"/>
      <c r="M730"/>
      <c r="N730"/>
      <c r="O730"/>
      <c r="P730"/>
      <c r="Q730"/>
      <c r="R730"/>
      <c r="S730"/>
      <c r="T730"/>
      <c r="U730"/>
      <c r="V730"/>
      <c r="W730"/>
      <c r="X730"/>
      <c r="Y730"/>
      <c r="Z730"/>
      <c r="AA730"/>
      <c r="AB730"/>
      <c r="AC730"/>
      <c r="AD730"/>
      <c r="AE730"/>
      <c r="AF730"/>
      <c r="AG730"/>
      <c r="AH730"/>
      <c r="AI730"/>
      <c r="AJ730"/>
      <c r="AK730"/>
      <c r="AL730"/>
    </row>
    <row r="731" spans="1:38" ht="15.75" customHeight="1" outlineLevel="3" x14ac:dyDescent="0.2">
      <c r="A731" s="10">
        <v>3</v>
      </c>
      <c r="B731" s="10" t="s">
        <v>71</v>
      </c>
      <c r="C731" s="10" t="s">
        <v>5376</v>
      </c>
      <c r="D731" s="10" t="s">
        <v>3496</v>
      </c>
      <c r="E731" s="11" t="str">
        <f t="array" ref="E731">_xlfn.XLOOKUP(D731,Insumos!B:B,Insumos!C:$C)</f>
        <v>UN</v>
      </c>
      <c r="F731" s="14">
        <v>1</v>
      </c>
      <c r="G731" s="92">
        <f t="array" ref="G731">IF(B731="insumo",_xlfn.XLOOKUP($D731,Insumos!$B$1:$B$996,Insumos!$D$1:$D$996),"")</f>
        <v>8.19</v>
      </c>
      <c r="H731" s="92">
        <v>8.19</v>
      </c>
      <c r="I731" s="13">
        <v>415759.03413508303</v>
      </c>
      <c r="J731" s="13">
        <v>3405066.4895663299</v>
      </c>
      <c r="K731" s="13"/>
      <c r="L731"/>
      <c r="M731"/>
      <c r="N731"/>
      <c r="O731"/>
      <c r="P731"/>
      <c r="Q731"/>
      <c r="R731"/>
      <c r="S731"/>
      <c r="T731"/>
      <c r="U731"/>
      <c r="V731"/>
      <c r="W731"/>
      <c r="X731"/>
      <c r="Y731"/>
      <c r="Z731"/>
      <c r="AA731"/>
      <c r="AB731"/>
      <c r="AC731"/>
      <c r="AD731"/>
      <c r="AE731"/>
      <c r="AF731"/>
      <c r="AG731"/>
      <c r="AH731"/>
      <c r="AI731"/>
      <c r="AJ731"/>
      <c r="AK731"/>
      <c r="AL731"/>
    </row>
    <row r="732" spans="1:38" ht="15.75" customHeight="1" outlineLevel="3" x14ac:dyDescent="0.2">
      <c r="A732" s="10">
        <v>21</v>
      </c>
      <c r="B732" s="10" t="s">
        <v>71</v>
      </c>
      <c r="C732" s="10" t="s">
        <v>5376</v>
      </c>
      <c r="D732" s="10" t="s">
        <v>288</v>
      </c>
      <c r="E732" s="11" t="str">
        <f t="array" ref="E732">_xlfn.XLOOKUP(D732,Insumos!B:B,Insumos!C:$C)</f>
        <v>KG</v>
      </c>
      <c r="F732" s="14">
        <v>2.0500000000000001E-2</v>
      </c>
      <c r="G732" s="92">
        <f t="array" ref="G732">IF(B732="insumo",_xlfn.XLOOKUP($D732,Insumos!$B$1:$B$996,Insumos!$D$1:$D$996),"")</f>
        <v>13.73</v>
      </c>
      <c r="H732" s="92">
        <v>0.28146500000000002</v>
      </c>
      <c r="I732" s="13">
        <v>415759.03413508303</v>
      </c>
      <c r="J732" s="13">
        <v>117021.61654283101</v>
      </c>
      <c r="K732" s="13"/>
      <c r="L732"/>
      <c r="M732"/>
      <c r="N732"/>
      <c r="O732"/>
      <c r="P732"/>
      <c r="Q732"/>
      <c r="R732"/>
      <c r="S732"/>
      <c r="T732"/>
      <c r="U732"/>
      <c r="V732"/>
      <c r="W732"/>
      <c r="X732"/>
      <c r="Y732"/>
      <c r="Z732"/>
      <c r="AA732"/>
      <c r="AB732"/>
      <c r="AC732"/>
      <c r="AD732"/>
      <c r="AE732"/>
      <c r="AF732"/>
      <c r="AG732"/>
      <c r="AH732"/>
      <c r="AI732"/>
      <c r="AJ732"/>
      <c r="AK732"/>
      <c r="AL732"/>
    </row>
    <row r="733" spans="1:38" ht="15.75" customHeight="1" outlineLevel="3" x14ac:dyDescent="0.2">
      <c r="A733" s="10">
        <v>62</v>
      </c>
      <c r="B733" s="10" t="s">
        <v>71</v>
      </c>
      <c r="C733" s="10" t="s">
        <v>5376</v>
      </c>
      <c r="D733" s="10" t="s">
        <v>209</v>
      </c>
      <c r="E733" s="11" t="str">
        <f t="array" ref="E733">_xlfn.XLOOKUP(D733,Insumos!B:B,Insumos!C:$C)</f>
        <v>UN</v>
      </c>
      <c r="F733" s="14">
        <v>0.05</v>
      </c>
      <c r="G733" s="92">
        <f t="array" ref="G733">IF(B733="insumo",_xlfn.XLOOKUP($D733,Insumos!$B$1:$B$996,Insumos!$D$1:$D$996),"")</f>
        <v>0.27</v>
      </c>
      <c r="H733" s="92">
        <v>1.35E-2</v>
      </c>
      <c r="I733" s="13">
        <v>415759.03413508303</v>
      </c>
      <c r="J733" s="13">
        <v>5612.7469608236197</v>
      </c>
      <c r="K733" s="13"/>
      <c r="L733"/>
      <c r="M733"/>
      <c r="N733"/>
      <c r="O733"/>
      <c r="P733"/>
      <c r="Q733"/>
      <c r="R733"/>
      <c r="S733"/>
      <c r="T733"/>
      <c r="U733"/>
      <c r="V733"/>
      <c r="W733"/>
      <c r="X733"/>
      <c r="Y733"/>
      <c r="Z733"/>
      <c r="AA733"/>
      <c r="AB733"/>
      <c r="AC733"/>
      <c r="AD733"/>
      <c r="AE733"/>
      <c r="AF733"/>
      <c r="AG733"/>
      <c r="AH733"/>
      <c r="AI733"/>
      <c r="AJ733"/>
      <c r="AK733"/>
      <c r="AL733"/>
    </row>
    <row r="734" spans="1:38" ht="15.75" customHeight="1" outlineLevel="2" x14ac:dyDescent="0.2">
      <c r="A734" s="1067">
        <v>1</v>
      </c>
      <c r="B734" s="1067" t="s">
        <v>68</v>
      </c>
      <c r="C734" s="1067" t="s">
        <v>5377</v>
      </c>
      <c r="D734" s="1067" t="s">
        <v>5377</v>
      </c>
      <c r="E734" s="1068" t="s">
        <v>206</v>
      </c>
      <c r="F734" s="1067"/>
      <c r="G734" s="1069" t="str">
        <f t="array" ref="G734">IF(B734="insumo",_xlfn.XLOOKUP($D734,Insumos!$B$1:$B$996,Insumos!$D$1:$D$996),"")</f>
        <v/>
      </c>
      <c r="H734" s="1069">
        <v>9.9489620399880696</v>
      </c>
      <c r="I734" s="1070">
        <v>34044</v>
      </c>
      <c r="J734" s="1070">
        <v>338702.46368935402</v>
      </c>
      <c r="K734" s="1070"/>
      <c r="L734"/>
      <c r="M734"/>
      <c r="N734"/>
      <c r="O734"/>
      <c r="P734"/>
      <c r="Q734"/>
      <c r="R734"/>
      <c r="S734"/>
      <c r="T734"/>
      <c r="U734"/>
      <c r="V734"/>
      <c r="W734"/>
      <c r="X734"/>
      <c r="Y734"/>
      <c r="Z734"/>
      <c r="AA734"/>
      <c r="AB734"/>
      <c r="AC734"/>
      <c r="AD734"/>
      <c r="AE734"/>
      <c r="AF734"/>
      <c r="AG734"/>
      <c r="AH734"/>
      <c r="AI734"/>
      <c r="AJ734"/>
      <c r="AK734"/>
      <c r="AL734"/>
    </row>
    <row r="735" spans="1:38" ht="15.75" customHeight="1" outlineLevel="3" x14ac:dyDescent="0.2">
      <c r="A735" s="10">
        <v>2</v>
      </c>
      <c r="B735" s="10" t="s">
        <v>71</v>
      </c>
      <c r="C735" s="10" t="s">
        <v>5377</v>
      </c>
      <c r="D735" s="10" t="s">
        <v>5368</v>
      </c>
      <c r="E735" s="11" t="str">
        <f t="array" ref="E735">_xlfn.XLOOKUP(D735,Insumos!B:B,Insumos!C:$C)</f>
        <v>UN</v>
      </c>
      <c r="F735" s="14">
        <v>1.1000000000000001</v>
      </c>
      <c r="G735" s="92">
        <f t="array" ref="G735">IF(B735="insumo",_xlfn.XLOOKUP($D735,Insumos!$B$1:$B$996,Insumos!$D$1:$D$996),"")</f>
        <v>8.7763609454436988</v>
      </c>
      <c r="H735" s="92">
        <v>9.6539970399880701</v>
      </c>
      <c r="I735" s="13">
        <v>34044</v>
      </c>
      <c r="J735" s="13">
        <v>328660.675229354</v>
      </c>
      <c r="K735" s="13"/>
      <c r="L735"/>
      <c r="M735"/>
      <c r="N735"/>
      <c r="O735"/>
      <c r="P735"/>
      <c r="Q735"/>
      <c r="R735"/>
      <c r="S735"/>
      <c r="T735"/>
      <c r="U735"/>
      <c r="V735"/>
      <c r="W735"/>
      <c r="X735"/>
      <c r="Y735"/>
      <c r="Z735"/>
      <c r="AA735"/>
      <c r="AB735"/>
      <c r="AC735"/>
      <c r="AD735"/>
      <c r="AE735"/>
      <c r="AF735"/>
      <c r="AG735"/>
      <c r="AH735"/>
      <c r="AI735"/>
      <c r="AJ735"/>
      <c r="AK735"/>
      <c r="AL735"/>
    </row>
    <row r="736" spans="1:38" ht="15.75" customHeight="1" outlineLevel="3" x14ac:dyDescent="0.2">
      <c r="A736" s="10">
        <v>21</v>
      </c>
      <c r="B736" s="10" t="s">
        <v>71</v>
      </c>
      <c r="C736" s="10" t="s">
        <v>5377</v>
      </c>
      <c r="D736" s="10" t="s">
        <v>288</v>
      </c>
      <c r="E736" s="11" t="str">
        <f t="array" ref="E736">_xlfn.XLOOKUP(D736,Insumos!B:B,Insumos!C:$C)</f>
        <v>KG</v>
      </c>
      <c r="F736" s="14">
        <v>2.0500000000000001E-2</v>
      </c>
      <c r="G736" s="92">
        <f t="array" ref="G736">IF(B736="insumo",_xlfn.XLOOKUP($D736,Insumos!$B$1:$B$996,Insumos!$D$1:$D$996),"")</f>
        <v>13.73</v>
      </c>
      <c r="H736" s="92">
        <v>0.28146500000000002</v>
      </c>
      <c r="I736" s="13">
        <v>34044</v>
      </c>
      <c r="J736" s="13">
        <v>9582.1944600000006</v>
      </c>
      <c r="K736" s="13"/>
      <c r="L736"/>
      <c r="M736"/>
      <c r="N736"/>
      <c r="O736"/>
      <c r="P736"/>
      <c r="Q736"/>
      <c r="R736"/>
      <c r="S736"/>
      <c r="T736"/>
      <c r="U736"/>
      <c r="V736"/>
      <c r="W736"/>
      <c r="X736"/>
      <c r="Y736"/>
      <c r="Z736"/>
      <c r="AA736"/>
      <c r="AB736"/>
      <c r="AC736"/>
      <c r="AD736"/>
      <c r="AE736"/>
      <c r="AF736"/>
      <c r="AG736"/>
      <c r="AH736"/>
      <c r="AI736"/>
      <c r="AJ736"/>
      <c r="AK736"/>
      <c r="AL736"/>
    </row>
    <row r="737" spans="1:38" ht="15.75" customHeight="1" outlineLevel="3" x14ac:dyDescent="0.2">
      <c r="A737" s="10">
        <v>62</v>
      </c>
      <c r="B737" s="10" t="s">
        <v>71</v>
      </c>
      <c r="C737" s="10" t="s">
        <v>5377</v>
      </c>
      <c r="D737" s="10" t="s">
        <v>209</v>
      </c>
      <c r="E737" s="11" t="str">
        <f t="array" ref="E737">_xlfn.XLOOKUP(D737,Insumos!B:B,Insumos!C:$C)</f>
        <v>UN</v>
      </c>
      <c r="F737" s="14">
        <v>0.05</v>
      </c>
      <c r="G737" s="92">
        <f t="array" ref="G737">IF(B737="insumo",_xlfn.XLOOKUP($D737,Insumos!$B$1:$B$996,Insumos!$D$1:$D$996),"")</f>
        <v>0.27</v>
      </c>
      <c r="H737" s="92">
        <v>1.35E-2</v>
      </c>
      <c r="I737" s="13">
        <v>34044</v>
      </c>
      <c r="J737" s="13">
        <v>459.59399999999999</v>
      </c>
      <c r="K737" s="13"/>
      <c r="L737"/>
      <c r="M737"/>
      <c r="N737"/>
      <c r="O737"/>
      <c r="P737"/>
      <c r="Q737"/>
      <c r="R737"/>
      <c r="S737"/>
      <c r="T737"/>
      <c r="U737"/>
      <c r="V737"/>
      <c r="W737"/>
      <c r="X737"/>
      <c r="Y737"/>
      <c r="Z737"/>
      <c r="AA737"/>
      <c r="AB737"/>
      <c r="AC737"/>
      <c r="AD737"/>
      <c r="AE737"/>
      <c r="AF737"/>
      <c r="AG737"/>
      <c r="AH737"/>
      <c r="AI737"/>
      <c r="AJ737"/>
      <c r="AK737"/>
      <c r="AL737"/>
    </row>
    <row r="738" spans="1:38" ht="18.75" customHeight="1" outlineLevel="2" x14ac:dyDescent="0.2">
      <c r="A738" s="1071">
        <v>1</v>
      </c>
      <c r="B738" s="1071" t="s">
        <v>68</v>
      </c>
      <c r="C738" s="1071" t="s">
        <v>1766</v>
      </c>
      <c r="D738" s="1071" t="s">
        <v>1766</v>
      </c>
      <c r="E738" s="1072" t="s">
        <v>206</v>
      </c>
      <c r="F738" s="1071"/>
      <c r="G738" s="1073" t="str">
        <f t="array" ref="G738">IF(B738="insumo",_xlfn.XLOOKUP($D738,Insumos!$B$1:$B$996,Insumos!$D$1:$D$996),"")</f>
        <v/>
      </c>
      <c r="H738" s="1073">
        <v>9.6857057407407403</v>
      </c>
      <c r="I738" s="1074">
        <v>0</v>
      </c>
      <c r="J738" s="1074">
        <v>0</v>
      </c>
      <c r="K738" s="1074"/>
      <c r="L738"/>
      <c r="M738"/>
      <c r="N738"/>
      <c r="O738"/>
      <c r="P738"/>
      <c r="Q738"/>
      <c r="R738"/>
      <c r="S738"/>
      <c r="T738"/>
      <c r="U738"/>
      <c r="V738"/>
      <c r="W738"/>
      <c r="X738"/>
      <c r="Y738"/>
      <c r="Z738"/>
      <c r="AA738"/>
      <c r="AB738"/>
      <c r="AC738"/>
      <c r="AD738"/>
      <c r="AE738"/>
      <c r="AF738"/>
      <c r="AG738"/>
      <c r="AH738"/>
      <c r="AI738"/>
      <c r="AJ738"/>
      <c r="AK738"/>
      <c r="AL738"/>
    </row>
    <row r="739" spans="1:38" ht="18.75" customHeight="1" outlineLevel="3" x14ac:dyDescent="0.2">
      <c r="A739" s="82">
        <v>2</v>
      </c>
      <c r="B739" s="82" t="s">
        <v>71</v>
      </c>
      <c r="C739" s="82" t="s">
        <v>1766</v>
      </c>
      <c r="D739" s="82" t="s">
        <v>1733</v>
      </c>
      <c r="E739" s="11" t="str">
        <f t="array" ref="E739">_xlfn.XLOOKUP(D739,Insumos!B:B,Insumos!C:$C)</f>
        <v>KG</v>
      </c>
      <c r="F739" s="86">
        <v>1.1000000000000001</v>
      </c>
      <c r="G739" s="92">
        <f t="array" ref="G739">IF(B739="insumo",_xlfn.XLOOKUP($D739,Insumos!$B$1:$B$996,Insumos!$D$1:$D$996),"")</f>
        <v>8.5370370370370363</v>
      </c>
      <c r="H739" s="92">
        <v>9.3907407407407408</v>
      </c>
      <c r="I739" s="84">
        <v>0</v>
      </c>
      <c r="J739" s="84">
        <v>0</v>
      </c>
      <c r="K739" s="84"/>
      <c r="L739"/>
      <c r="M739"/>
      <c r="N739"/>
      <c r="O739"/>
      <c r="P739"/>
      <c r="Q739"/>
      <c r="R739"/>
      <c r="S739"/>
      <c r="T739"/>
      <c r="U739"/>
      <c r="V739"/>
      <c r="W739"/>
      <c r="X739"/>
      <c r="Y739"/>
      <c r="Z739"/>
      <c r="AA739"/>
      <c r="AB739"/>
      <c r="AC739"/>
      <c r="AD739"/>
      <c r="AE739"/>
      <c r="AF739"/>
      <c r="AG739"/>
      <c r="AH739"/>
      <c r="AI739"/>
      <c r="AJ739"/>
      <c r="AK739"/>
      <c r="AL739"/>
    </row>
    <row r="740" spans="1:38" ht="18.75" customHeight="1" outlineLevel="3" x14ac:dyDescent="0.2">
      <c r="A740" s="82">
        <v>21</v>
      </c>
      <c r="B740" s="82" t="s">
        <v>71</v>
      </c>
      <c r="C740" s="82" t="s">
        <v>1766</v>
      </c>
      <c r="D740" s="82" t="s">
        <v>288</v>
      </c>
      <c r="E740" s="11" t="str">
        <f t="array" ref="E740">_xlfn.XLOOKUP(D740,Insumos!B:B,Insumos!C:$C)</f>
        <v>KG</v>
      </c>
      <c r="F740" s="86">
        <v>2.0500000000000001E-2</v>
      </c>
      <c r="G740" s="92">
        <f t="array" ref="G740">IF(B740="insumo",_xlfn.XLOOKUP($D740,Insumos!$B$1:$B$996,Insumos!$D$1:$D$996),"")</f>
        <v>13.73</v>
      </c>
      <c r="H740" s="92">
        <v>0.28146500000000002</v>
      </c>
      <c r="I740" s="84">
        <v>0</v>
      </c>
      <c r="J740" s="84">
        <v>0</v>
      </c>
      <c r="K740" s="84"/>
      <c r="L740"/>
      <c r="M740"/>
      <c r="N740"/>
      <c r="O740"/>
      <c r="P740"/>
      <c r="Q740"/>
      <c r="R740"/>
      <c r="S740"/>
      <c r="T740"/>
      <c r="U740"/>
      <c r="V740"/>
      <c r="W740"/>
      <c r="X740"/>
      <c r="Y740"/>
      <c r="Z740"/>
      <c r="AA740"/>
      <c r="AB740"/>
      <c r="AC740"/>
      <c r="AD740"/>
      <c r="AE740"/>
      <c r="AF740"/>
      <c r="AG740"/>
      <c r="AH740"/>
      <c r="AI740"/>
      <c r="AJ740"/>
      <c r="AK740"/>
      <c r="AL740"/>
    </row>
    <row r="741" spans="1:38" ht="18.75" customHeight="1" outlineLevel="3" x14ac:dyDescent="0.2">
      <c r="A741" s="82">
        <v>62</v>
      </c>
      <c r="B741" s="82" t="s">
        <v>71</v>
      </c>
      <c r="C741" s="82" t="s">
        <v>1766</v>
      </c>
      <c r="D741" s="82" t="s">
        <v>209</v>
      </c>
      <c r="E741" s="11" t="str">
        <f t="array" ref="E741">_xlfn.XLOOKUP(D741,Insumos!B:B,Insumos!C:$C)</f>
        <v>UN</v>
      </c>
      <c r="F741" s="86">
        <v>0.05</v>
      </c>
      <c r="G741" s="92">
        <f t="array" ref="G741">IF(B741="insumo",_xlfn.XLOOKUP($D741,Insumos!$B$1:$B$996,Insumos!$D$1:$D$996),"")</f>
        <v>0.27</v>
      </c>
      <c r="H741" s="92">
        <v>1.35E-2</v>
      </c>
      <c r="I741" s="84">
        <v>0</v>
      </c>
      <c r="J741" s="84">
        <v>0</v>
      </c>
      <c r="K741" s="84"/>
      <c r="L741"/>
      <c r="M741"/>
      <c r="N741"/>
      <c r="O741"/>
      <c r="P741"/>
      <c r="Q741"/>
      <c r="R741"/>
      <c r="S741"/>
      <c r="T741"/>
      <c r="U741"/>
      <c r="V741"/>
      <c r="W741"/>
      <c r="X741"/>
      <c r="Y741"/>
      <c r="Z741"/>
      <c r="AA741"/>
      <c r="AB741"/>
      <c r="AC741"/>
      <c r="AD741"/>
      <c r="AE741"/>
      <c r="AF741"/>
      <c r="AG741"/>
      <c r="AH741"/>
      <c r="AI741"/>
      <c r="AJ741"/>
      <c r="AK741"/>
      <c r="AL741"/>
    </row>
    <row r="742" spans="1:38" ht="18.75" customHeight="1" outlineLevel="2" x14ac:dyDescent="0.2">
      <c r="A742" s="1067">
        <v>1</v>
      </c>
      <c r="B742" s="1067" t="s">
        <v>68</v>
      </c>
      <c r="C742" s="1067" t="s">
        <v>296</v>
      </c>
      <c r="D742" s="1067" t="s">
        <v>296</v>
      </c>
      <c r="E742" s="1068" t="s">
        <v>206</v>
      </c>
      <c r="F742" s="1067"/>
      <c r="G742" s="1069" t="str">
        <f t="array" ref="G742">IF(B742="insumo",_xlfn.XLOOKUP($D742,Insumos!$B$1:$B$996,Insumos!$D$1:$D$996),"")</f>
        <v/>
      </c>
      <c r="H742" s="1069">
        <v>10.3541486734694</v>
      </c>
      <c r="I742" s="1070">
        <v>0</v>
      </c>
      <c r="J742" s="1070">
        <v>0</v>
      </c>
      <c r="K742" s="1070"/>
      <c r="L742"/>
      <c r="M742"/>
      <c r="N742"/>
      <c r="O742"/>
      <c r="P742"/>
      <c r="Q742"/>
      <c r="R742"/>
      <c r="S742"/>
      <c r="T742"/>
      <c r="U742"/>
      <c r="V742"/>
      <c r="W742"/>
      <c r="X742"/>
      <c r="Y742"/>
      <c r="Z742"/>
      <c r="AA742"/>
      <c r="AB742"/>
      <c r="AC742"/>
      <c r="AD742"/>
      <c r="AE742"/>
      <c r="AF742"/>
      <c r="AG742"/>
      <c r="AH742"/>
      <c r="AI742"/>
      <c r="AJ742"/>
      <c r="AK742"/>
      <c r="AL742"/>
    </row>
    <row r="743" spans="1:38" ht="18.75" customHeight="1" outlineLevel="3" x14ac:dyDescent="0.2">
      <c r="A743" s="10">
        <v>1</v>
      </c>
      <c r="B743" s="10" t="s">
        <v>71</v>
      </c>
      <c r="C743" s="10" t="s">
        <v>296</v>
      </c>
      <c r="D743" s="10" t="s">
        <v>297</v>
      </c>
      <c r="E743" s="11" t="str">
        <f t="array" ref="E743">_xlfn.XLOOKUP(D743,Insumos!B:B,Insumos!C:$C)</f>
        <v>KG</v>
      </c>
      <c r="F743" s="14">
        <v>1.1000000000000001</v>
      </c>
      <c r="G743" s="92">
        <f t="array" ref="G743">IF(B743="insumo",_xlfn.XLOOKUP($D743,Insumos!$B$1:$B$996,Insumos!$D$1:$D$996),"")</f>
        <v>9.1447124304267149</v>
      </c>
      <c r="H743" s="92">
        <v>10.0591836734694</v>
      </c>
      <c r="I743" s="13">
        <v>0</v>
      </c>
      <c r="J743" s="13">
        <v>0</v>
      </c>
      <c r="K743" s="13"/>
      <c r="L743"/>
      <c r="M743"/>
      <c r="N743"/>
      <c r="O743"/>
      <c r="P743"/>
      <c r="Q743"/>
      <c r="R743"/>
      <c r="S743"/>
      <c r="T743"/>
      <c r="U743"/>
      <c r="V743"/>
      <c r="W743"/>
      <c r="X743"/>
      <c r="Y743"/>
      <c r="Z743"/>
      <c r="AA743"/>
      <c r="AB743"/>
      <c r="AC743"/>
      <c r="AD743"/>
      <c r="AE743"/>
      <c r="AF743"/>
      <c r="AG743"/>
      <c r="AH743"/>
      <c r="AI743"/>
      <c r="AJ743"/>
      <c r="AK743"/>
      <c r="AL743"/>
    </row>
    <row r="744" spans="1:38" ht="18.75" customHeight="1" outlineLevel="3" x14ac:dyDescent="0.2">
      <c r="A744" s="10">
        <v>21</v>
      </c>
      <c r="B744" s="10" t="s">
        <v>71</v>
      </c>
      <c r="C744" s="10" t="s">
        <v>296</v>
      </c>
      <c r="D744" s="10" t="s">
        <v>288</v>
      </c>
      <c r="E744" s="11" t="str">
        <f t="array" ref="E744">_xlfn.XLOOKUP(D744,Insumos!B:B,Insumos!C:$C)</f>
        <v>KG</v>
      </c>
      <c r="F744" s="14">
        <v>2.0500000000000001E-2</v>
      </c>
      <c r="G744" s="92">
        <f t="array" ref="G744">IF(B744="insumo",_xlfn.XLOOKUP($D744,Insumos!$B$1:$B$996,Insumos!$D$1:$D$996),"")</f>
        <v>13.73</v>
      </c>
      <c r="H744" s="92">
        <v>0.28146500000000002</v>
      </c>
      <c r="I744" s="13">
        <v>0</v>
      </c>
      <c r="J744" s="13">
        <v>0</v>
      </c>
      <c r="K744" s="13"/>
      <c r="L744"/>
      <c r="M744"/>
      <c r="N744"/>
      <c r="O744"/>
      <c r="P744"/>
      <c r="Q744"/>
      <c r="R744"/>
      <c r="S744"/>
      <c r="T744"/>
      <c r="U744"/>
      <c r="V744"/>
      <c r="W744"/>
      <c r="X744"/>
      <c r="Y744"/>
      <c r="Z744"/>
      <c r="AA744"/>
      <c r="AB744"/>
      <c r="AC744"/>
      <c r="AD744"/>
      <c r="AE744"/>
      <c r="AF744"/>
      <c r="AG744"/>
      <c r="AH744"/>
      <c r="AI744"/>
      <c r="AJ744"/>
      <c r="AK744"/>
      <c r="AL744"/>
    </row>
    <row r="745" spans="1:38" ht="18.75" customHeight="1" outlineLevel="3" x14ac:dyDescent="0.2">
      <c r="A745" s="10">
        <v>62</v>
      </c>
      <c r="B745" s="10" t="s">
        <v>71</v>
      </c>
      <c r="C745" s="10" t="s">
        <v>296</v>
      </c>
      <c r="D745" s="10" t="s">
        <v>209</v>
      </c>
      <c r="E745" s="11" t="str">
        <f t="array" ref="E745">_xlfn.XLOOKUP(D745,Insumos!B:B,Insumos!C:$C)</f>
        <v>UN</v>
      </c>
      <c r="F745" s="14">
        <v>0.05</v>
      </c>
      <c r="G745" s="92">
        <f t="array" ref="G745">IF(B745="insumo",_xlfn.XLOOKUP($D745,Insumos!$B$1:$B$996,Insumos!$D$1:$D$996),"")</f>
        <v>0.27</v>
      </c>
      <c r="H745" s="92">
        <v>1.35E-2</v>
      </c>
      <c r="I745" s="13">
        <v>0</v>
      </c>
      <c r="J745" s="13">
        <v>0</v>
      </c>
      <c r="K745" s="13"/>
      <c r="L745"/>
      <c r="M745"/>
      <c r="N745"/>
      <c r="O745"/>
      <c r="P745"/>
      <c r="Q745"/>
      <c r="R745"/>
      <c r="S745"/>
      <c r="T745"/>
      <c r="U745"/>
      <c r="V745"/>
      <c r="W745"/>
      <c r="X745"/>
      <c r="Y745"/>
      <c r="Z745"/>
      <c r="AA745"/>
      <c r="AB745"/>
      <c r="AC745"/>
      <c r="AD745"/>
      <c r="AE745"/>
      <c r="AF745"/>
      <c r="AG745"/>
      <c r="AH745"/>
      <c r="AI745"/>
      <c r="AJ745"/>
      <c r="AK745"/>
      <c r="AL745"/>
    </row>
    <row r="746" spans="1:38" ht="18.75" customHeight="1" outlineLevel="2" x14ac:dyDescent="0.2">
      <c r="A746" s="1067">
        <v>1</v>
      </c>
      <c r="B746" s="1067" t="s">
        <v>68</v>
      </c>
      <c r="C746" s="1067" t="s">
        <v>298</v>
      </c>
      <c r="D746" s="1067" t="s">
        <v>298</v>
      </c>
      <c r="E746" s="1068" t="s">
        <v>206</v>
      </c>
      <c r="F746" s="1067"/>
      <c r="G746" s="1069" t="str">
        <f t="array" ref="G746">IF(B746="insumo",_xlfn.XLOOKUP($D746,Insumos!$B$1:$B$996,Insumos!$D$1:$D$996),"")</f>
        <v/>
      </c>
      <c r="H746" s="1069">
        <v>5.6629649999999998</v>
      </c>
      <c r="I746" s="1070">
        <v>0</v>
      </c>
      <c r="J746" s="1070">
        <v>0</v>
      </c>
      <c r="K746" s="1070"/>
      <c r="L746"/>
      <c r="M746"/>
      <c r="N746"/>
      <c r="O746"/>
      <c r="P746"/>
      <c r="Q746"/>
      <c r="R746"/>
      <c r="S746"/>
      <c r="T746"/>
      <c r="U746"/>
      <c r="V746"/>
      <c r="W746"/>
      <c r="X746"/>
      <c r="Y746"/>
      <c r="Z746"/>
      <c r="AA746"/>
      <c r="AB746"/>
      <c r="AC746"/>
      <c r="AD746"/>
      <c r="AE746"/>
      <c r="AF746"/>
      <c r="AG746"/>
      <c r="AH746"/>
      <c r="AI746"/>
      <c r="AJ746"/>
      <c r="AK746"/>
      <c r="AL746"/>
    </row>
    <row r="747" spans="1:38" ht="18.75" customHeight="1" outlineLevel="3" x14ac:dyDescent="0.2">
      <c r="A747" s="10">
        <v>1</v>
      </c>
      <c r="B747" s="10" t="s">
        <v>71</v>
      </c>
      <c r="C747" s="10" t="s">
        <v>298</v>
      </c>
      <c r="D747" s="10" t="s">
        <v>299</v>
      </c>
      <c r="E747" s="11" t="str">
        <f t="array" ref="E747">_xlfn.XLOOKUP(D747,Insumos!B:B,Insumos!C:$C)</f>
        <v>KG</v>
      </c>
      <c r="F747" s="14">
        <v>1.1000000000000001</v>
      </c>
      <c r="G747" s="92">
        <f t="array" ref="G747">IF(B747="insumo",_xlfn.XLOOKUP($D747,Insumos!$B$1:$B$996,Insumos!$D$1:$D$996),"")</f>
        <v>4.88</v>
      </c>
      <c r="H747" s="92">
        <v>5.3680000000000003</v>
      </c>
      <c r="I747" s="13">
        <v>0</v>
      </c>
      <c r="J747" s="13">
        <v>0</v>
      </c>
      <c r="K747" s="13"/>
      <c r="L747"/>
      <c r="M747"/>
      <c r="N747"/>
      <c r="O747"/>
      <c r="P747"/>
      <c r="Q747"/>
      <c r="R747"/>
      <c r="S747"/>
      <c r="T747"/>
      <c r="U747"/>
      <c r="V747"/>
      <c r="W747"/>
      <c r="X747"/>
      <c r="Y747"/>
      <c r="Z747"/>
      <c r="AA747"/>
      <c r="AB747"/>
      <c r="AC747"/>
      <c r="AD747"/>
      <c r="AE747"/>
      <c r="AF747"/>
      <c r="AG747"/>
      <c r="AH747"/>
      <c r="AI747"/>
      <c r="AJ747"/>
      <c r="AK747"/>
      <c r="AL747"/>
    </row>
    <row r="748" spans="1:38" ht="18.75" customHeight="1" outlineLevel="3" x14ac:dyDescent="0.2">
      <c r="A748" s="10">
        <v>21</v>
      </c>
      <c r="B748" s="10" t="s">
        <v>71</v>
      </c>
      <c r="C748" s="10" t="s">
        <v>298</v>
      </c>
      <c r="D748" s="10" t="s">
        <v>288</v>
      </c>
      <c r="E748" s="11" t="str">
        <f t="array" ref="E748">_xlfn.XLOOKUP(D748,Insumos!B:B,Insumos!C:$C)</f>
        <v>KG</v>
      </c>
      <c r="F748" s="14">
        <v>2.0500000000000001E-2</v>
      </c>
      <c r="G748" s="92">
        <f t="array" ref="G748">IF(B748="insumo",_xlfn.XLOOKUP($D748,Insumos!$B$1:$B$996,Insumos!$D$1:$D$996),"")</f>
        <v>13.73</v>
      </c>
      <c r="H748" s="92">
        <v>0.28146500000000002</v>
      </c>
      <c r="I748" s="13">
        <v>0</v>
      </c>
      <c r="J748" s="13">
        <v>0</v>
      </c>
      <c r="K748" s="13"/>
      <c r="L748"/>
      <c r="M748"/>
      <c r="N748"/>
      <c r="O748"/>
      <c r="P748"/>
      <c r="Q748"/>
      <c r="R748"/>
      <c r="S748"/>
      <c r="T748"/>
      <c r="U748"/>
      <c r="V748"/>
      <c r="W748"/>
      <c r="X748"/>
      <c r="Y748"/>
      <c r="Z748"/>
      <c r="AA748"/>
      <c r="AB748"/>
      <c r="AC748"/>
      <c r="AD748"/>
      <c r="AE748"/>
      <c r="AF748"/>
      <c r="AG748"/>
      <c r="AH748"/>
      <c r="AI748"/>
      <c r="AJ748"/>
      <c r="AK748"/>
      <c r="AL748"/>
    </row>
    <row r="749" spans="1:38" ht="18.75" customHeight="1" outlineLevel="3" x14ac:dyDescent="0.2">
      <c r="A749" s="10">
        <v>62</v>
      </c>
      <c r="B749" s="10" t="s">
        <v>71</v>
      </c>
      <c r="C749" s="10" t="s">
        <v>298</v>
      </c>
      <c r="D749" s="10" t="s">
        <v>209</v>
      </c>
      <c r="E749" s="11" t="str">
        <f t="array" ref="E749">_xlfn.XLOOKUP(D749,Insumos!B:B,Insumos!C:$C)</f>
        <v>UN</v>
      </c>
      <c r="F749" s="14">
        <v>0.05</v>
      </c>
      <c r="G749" s="92">
        <f t="array" ref="G749">IF(B749="insumo",_xlfn.XLOOKUP($D749,Insumos!$B$1:$B$996,Insumos!$D$1:$D$996),"")</f>
        <v>0.27</v>
      </c>
      <c r="H749" s="92">
        <v>1.35E-2</v>
      </c>
      <c r="I749" s="13">
        <v>0</v>
      </c>
      <c r="J749" s="13">
        <v>0</v>
      </c>
      <c r="K749" s="13"/>
      <c r="L749"/>
      <c r="M749"/>
      <c r="N749"/>
      <c r="O749"/>
      <c r="P749"/>
      <c r="Q749"/>
      <c r="R749"/>
      <c r="S749"/>
      <c r="T749"/>
      <c r="U749"/>
      <c r="V749"/>
      <c r="W749"/>
      <c r="X749"/>
      <c r="Y749"/>
      <c r="Z749"/>
      <c r="AA749"/>
      <c r="AB749"/>
      <c r="AC749"/>
      <c r="AD749"/>
      <c r="AE749"/>
      <c r="AF749"/>
      <c r="AG749"/>
      <c r="AH749"/>
      <c r="AI749"/>
      <c r="AJ749"/>
      <c r="AK749"/>
      <c r="AL749"/>
    </row>
    <row r="750" spans="1:38" ht="15.75" customHeight="1" outlineLevel="1" x14ac:dyDescent="0.2">
      <c r="A750" s="1090">
        <v>5</v>
      </c>
      <c r="B750" s="1090" t="s">
        <v>1228</v>
      </c>
      <c r="C750" s="1090" t="s">
        <v>298</v>
      </c>
      <c r="D750" s="1090" t="s">
        <v>1380</v>
      </c>
      <c r="E750" s="1091"/>
      <c r="F750" s="1092"/>
      <c r="G750" s="1091"/>
      <c r="H750" s="1091">
        <v>0</v>
      </c>
      <c r="I750" s="1092">
        <v>0</v>
      </c>
      <c r="J750" s="1092">
        <v>0</v>
      </c>
      <c r="K750" s="1092"/>
      <c r="L750"/>
      <c r="M750"/>
      <c r="N750"/>
      <c r="O750"/>
      <c r="P750"/>
      <c r="Q750"/>
      <c r="R750"/>
      <c r="S750"/>
      <c r="T750"/>
      <c r="U750"/>
      <c r="V750"/>
      <c r="W750"/>
      <c r="X750"/>
      <c r="Y750"/>
      <c r="Z750"/>
      <c r="AA750"/>
      <c r="AB750"/>
      <c r="AC750"/>
      <c r="AD750"/>
      <c r="AE750"/>
      <c r="AF750"/>
      <c r="AG750"/>
      <c r="AH750"/>
      <c r="AI750"/>
      <c r="AJ750"/>
      <c r="AK750"/>
      <c r="AL750"/>
    </row>
    <row r="751" spans="1:38" ht="15.75" customHeight="1" outlineLevel="2" x14ac:dyDescent="0.2">
      <c r="A751" s="1067">
        <v>1</v>
      </c>
      <c r="B751" s="1067" t="s">
        <v>68</v>
      </c>
      <c r="C751" s="1067" t="s">
        <v>300</v>
      </c>
      <c r="D751" s="1067" t="s">
        <v>300</v>
      </c>
      <c r="E751" s="1068" t="s">
        <v>152</v>
      </c>
      <c r="F751" s="1067"/>
      <c r="G751" s="1069" t="str">
        <f t="array" ref="G751">IF(B751="insumo",_xlfn.XLOOKUP($D751,Insumos!$B$1:$B$996,Insumos!$D$1:$D$996),"")</f>
        <v/>
      </c>
      <c r="H751" s="1069">
        <v>557.26</v>
      </c>
      <c r="I751" s="1070">
        <v>0</v>
      </c>
      <c r="J751" s="1070">
        <v>0</v>
      </c>
      <c r="K751" s="1070"/>
      <c r="L751"/>
      <c r="M751"/>
      <c r="N751"/>
      <c r="O751"/>
      <c r="P751"/>
      <c r="Q751"/>
      <c r="R751"/>
      <c r="S751"/>
      <c r="T751"/>
      <c r="U751"/>
      <c r="V751"/>
      <c r="W751"/>
      <c r="X751"/>
      <c r="Y751"/>
      <c r="Z751"/>
      <c r="AA751"/>
      <c r="AB751"/>
      <c r="AC751"/>
      <c r="AD751"/>
      <c r="AE751"/>
      <c r="AF751"/>
      <c r="AG751"/>
      <c r="AH751"/>
      <c r="AI751"/>
      <c r="AJ751"/>
      <c r="AK751"/>
      <c r="AL751"/>
    </row>
    <row r="752" spans="1:38" ht="15.75" customHeight="1" outlineLevel="3" x14ac:dyDescent="0.2">
      <c r="A752" s="10">
        <v>9</v>
      </c>
      <c r="B752" s="10" t="s">
        <v>71</v>
      </c>
      <c r="C752" s="10" t="s">
        <v>300</v>
      </c>
      <c r="D752" s="10" t="s">
        <v>74</v>
      </c>
      <c r="E752" s="11" t="str">
        <f t="array" ref="E752">_xlfn.XLOOKUP(D752,Insumos!B:B,Insumos!C:$C)</f>
        <v>M3</v>
      </c>
      <c r="F752" s="14">
        <v>1.05</v>
      </c>
      <c r="G752" s="92">
        <f t="array" ref="G752">IF(B752="insumo",_xlfn.XLOOKUP($D752,Insumos!$B$1:$B$996,Insumos!$D$1:$D$996),"")</f>
        <v>490</v>
      </c>
      <c r="H752" s="92">
        <v>514.5</v>
      </c>
      <c r="I752" s="13">
        <v>0</v>
      </c>
      <c r="J752" s="13">
        <v>0</v>
      </c>
      <c r="K752" s="13"/>
      <c r="L752"/>
      <c r="M752"/>
      <c r="N752"/>
      <c r="O752"/>
      <c r="P752"/>
      <c r="Q752"/>
      <c r="R752"/>
      <c r="S752"/>
      <c r="T752"/>
      <c r="U752"/>
      <c r="V752"/>
      <c r="W752"/>
      <c r="X752"/>
      <c r="Y752"/>
      <c r="Z752"/>
      <c r="AA752"/>
      <c r="AB752"/>
      <c r="AC752"/>
      <c r="AD752"/>
      <c r="AE752"/>
      <c r="AF752"/>
      <c r="AG752"/>
      <c r="AH752"/>
      <c r="AI752"/>
      <c r="AJ752"/>
      <c r="AK752"/>
      <c r="AL752"/>
    </row>
    <row r="753" spans="1:38" ht="15.75" customHeight="1" outlineLevel="3" x14ac:dyDescent="0.2">
      <c r="A753" s="10">
        <v>25</v>
      </c>
      <c r="B753" s="10" t="s">
        <v>71</v>
      </c>
      <c r="C753" s="10" t="s">
        <v>300</v>
      </c>
      <c r="D753" s="10" t="s">
        <v>159</v>
      </c>
      <c r="E753" s="11" t="str">
        <f t="array" ref="E753">_xlfn.XLOOKUP(D753,Insumos!B:B,Insumos!C:$C)</f>
        <v>M3</v>
      </c>
      <c r="F753" s="14">
        <v>1.05</v>
      </c>
      <c r="G753" s="92">
        <f t="array" ref="G753">IF(B753="insumo",_xlfn.XLOOKUP($D753,Insumos!$B$1:$B$996,Insumos!$D$1:$D$996),"")</f>
        <v>40</v>
      </c>
      <c r="H753" s="92">
        <v>42</v>
      </c>
      <c r="I753" s="13">
        <v>0</v>
      </c>
      <c r="J753" s="13">
        <v>0</v>
      </c>
      <c r="K753" s="13"/>
      <c r="L753"/>
      <c r="M753"/>
      <c r="N753"/>
      <c r="O753"/>
      <c r="P753"/>
      <c r="Q753"/>
      <c r="R753"/>
      <c r="S753"/>
      <c r="T753"/>
      <c r="U753"/>
      <c r="V753"/>
      <c r="W753"/>
      <c r="X753"/>
      <c r="Y753"/>
      <c r="Z753"/>
      <c r="AA753"/>
      <c r="AB753"/>
      <c r="AC753"/>
      <c r="AD753"/>
      <c r="AE753"/>
      <c r="AF753"/>
      <c r="AG753"/>
      <c r="AH753"/>
      <c r="AI753"/>
      <c r="AJ753"/>
      <c r="AK753"/>
      <c r="AL753"/>
    </row>
    <row r="754" spans="1:38" ht="15.75" customHeight="1" outlineLevel="3" x14ac:dyDescent="0.2">
      <c r="A754" s="10">
        <v>62</v>
      </c>
      <c r="B754" s="10" t="s">
        <v>71</v>
      </c>
      <c r="C754" s="10" t="s">
        <v>300</v>
      </c>
      <c r="D754" s="10" t="s">
        <v>160</v>
      </c>
      <c r="E754" s="11" t="str">
        <f t="array" ref="E754">_xlfn.XLOOKUP(D754,Insumos!B:B,Insumos!C:$C)</f>
        <v>KG</v>
      </c>
      <c r="F754" s="14">
        <v>1</v>
      </c>
      <c r="G754" s="92">
        <f t="array" ref="G754">IF(B754="insumo",_xlfn.XLOOKUP($D754,Insumos!$B$1:$B$996,Insumos!$D$1:$D$996),"")</f>
        <v>0.76</v>
      </c>
      <c r="H754" s="92">
        <v>0.76</v>
      </c>
      <c r="I754" s="13">
        <v>0</v>
      </c>
      <c r="J754" s="13">
        <v>0</v>
      </c>
      <c r="K754" s="13"/>
      <c r="L754"/>
      <c r="M754"/>
      <c r="N754"/>
      <c r="O754"/>
      <c r="P754"/>
      <c r="Q754"/>
      <c r="R754"/>
      <c r="S754"/>
      <c r="T754"/>
      <c r="U754"/>
      <c r="V754"/>
      <c r="W754"/>
      <c r="X754"/>
      <c r="Y754"/>
      <c r="Z754"/>
      <c r="AA754"/>
      <c r="AB754"/>
      <c r="AC754"/>
      <c r="AD754"/>
      <c r="AE754"/>
      <c r="AF754"/>
      <c r="AG754"/>
      <c r="AH754"/>
      <c r="AI754"/>
      <c r="AJ754"/>
      <c r="AK754"/>
      <c r="AL754"/>
    </row>
    <row r="755" spans="1:38" ht="15.75" customHeight="1" outlineLevel="2" x14ac:dyDescent="0.2">
      <c r="A755" s="1067">
        <v>1</v>
      </c>
      <c r="B755" s="1067" t="s">
        <v>68</v>
      </c>
      <c r="C755" s="1067" t="s">
        <v>301</v>
      </c>
      <c r="D755" s="1067" t="s">
        <v>301</v>
      </c>
      <c r="E755" s="1068" t="s">
        <v>152</v>
      </c>
      <c r="F755" s="1067"/>
      <c r="G755" s="1069" t="str">
        <f t="array" ref="G755">IF(B755="insumo",_xlfn.XLOOKUP($D755,Insumos!$B$1:$B$996,Insumos!$D$1:$D$996),"")</f>
        <v/>
      </c>
      <c r="H755" s="1069">
        <v>578.26</v>
      </c>
      <c r="I755" s="1070">
        <v>0</v>
      </c>
      <c r="J755" s="1070">
        <v>0</v>
      </c>
      <c r="K755" s="1070"/>
      <c r="L755"/>
      <c r="M755"/>
      <c r="N755"/>
      <c r="O755"/>
      <c r="P755"/>
      <c r="Q755"/>
      <c r="R755"/>
      <c r="S755"/>
      <c r="T755"/>
      <c r="U755"/>
      <c r="V755"/>
      <c r="W755"/>
      <c r="X755"/>
      <c r="Y755"/>
      <c r="Z755"/>
      <c r="AA755"/>
      <c r="AB755"/>
      <c r="AC755"/>
      <c r="AD755"/>
      <c r="AE755"/>
      <c r="AF755"/>
      <c r="AG755"/>
      <c r="AH755"/>
      <c r="AI755"/>
      <c r="AJ755"/>
      <c r="AK755"/>
      <c r="AL755"/>
    </row>
    <row r="756" spans="1:38" ht="15.75" customHeight="1" outlineLevel="3" x14ac:dyDescent="0.2">
      <c r="A756" s="10">
        <v>4</v>
      </c>
      <c r="B756" s="10" t="s">
        <v>71</v>
      </c>
      <c r="C756" s="10" t="s">
        <v>301</v>
      </c>
      <c r="D756" s="10" t="s">
        <v>249</v>
      </c>
      <c r="E756" s="11" t="str">
        <f t="array" ref="E756">_xlfn.XLOOKUP(D756,Insumos!B:B,Insumos!C:$C)</f>
        <v>M3</v>
      </c>
      <c r="F756" s="14">
        <v>1.05</v>
      </c>
      <c r="G756" s="92">
        <f t="array" ref="G756">IF(B756="insumo",_xlfn.XLOOKUP($D756,Insumos!$B$1:$B$996,Insumos!$D$1:$D$996),"")</f>
        <v>510</v>
      </c>
      <c r="H756" s="92">
        <v>535.5</v>
      </c>
      <c r="I756" s="13">
        <v>0</v>
      </c>
      <c r="J756" s="13">
        <v>0</v>
      </c>
      <c r="K756" s="13"/>
      <c r="L756"/>
      <c r="M756"/>
      <c r="N756"/>
      <c r="O756"/>
      <c r="P756"/>
      <c r="Q756"/>
      <c r="R756"/>
      <c r="S756"/>
      <c r="T756"/>
      <c r="U756"/>
      <c r="V756"/>
      <c r="W756"/>
      <c r="X756"/>
      <c r="Y756"/>
      <c r="Z756"/>
      <c r="AA756"/>
      <c r="AB756"/>
      <c r="AC756"/>
      <c r="AD756"/>
      <c r="AE756"/>
      <c r="AF756"/>
      <c r="AG756"/>
      <c r="AH756"/>
      <c r="AI756"/>
      <c r="AJ756"/>
      <c r="AK756"/>
      <c r="AL756"/>
    </row>
    <row r="757" spans="1:38" ht="15.75" customHeight="1" outlineLevel="3" x14ac:dyDescent="0.2">
      <c r="A757" s="10">
        <v>25</v>
      </c>
      <c r="B757" s="10" t="s">
        <v>71</v>
      </c>
      <c r="C757" s="10" t="s">
        <v>301</v>
      </c>
      <c r="D757" s="10" t="s">
        <v>159</v>
      </c>
      <c r="E757" s="11" t="str">
        <f t="array" ref="E757">_xlfn.XLOOKUP(D757,Insumos!B:B,Insumos!C:$C)</f>
        <v>M3</v>
      </c>
      <c r="F757" s="14">
        <v>1.05</v>
      </c>
      <c r="G757" s="92">
        <f t="array" ref="G757">IF(B757="insumo",_xlfn.XLOOKUP($D757,Insumos!$B$1:$B$996,Insumos!$D$1:$D$996),"")</f>
        <v>40</v>
      </c>
      <c r="H757" s="92">
        <v>42</v>
      </c>
      <c r="I757" s="13">
        <v>0</v>
      </c>
      <c r="J757" s="13">
        <v>0</v>
      </c>
      <c r="K757" s="13"/>
      <c r="L757"/>
      <c r="M757"/>
      <c r="N757"/>
      <c r="O757"/>
      <c r="P757"/>
      <c r="Q757"/>
      <c r="R757"/>
      <c r="S757"/>
      <c r="T757"/>
      <c r="U757"/>
      <c r="V757"/>
      <c r="W757"/>
      <c r="X757"/>
      <c r="Y757"/>
      <c r="Z757"/>
      <c r="AA757"/>
      <c r="AB757"/>
      <c r="AC757"/>
      <c r="AD757"/>
      <c r="AE757"/>
      <c r="AF757"/>
      <c r="AG757"/>
      <c r="AH757"/>
      <c r="AI757"/>
      <c r="AJ757"/>
      <c r="AK757"/>
      <c r="AL757"/>
    </row>
    <row r="758" spans="1:38" ht="15.75" customHeight="1" outlineLevel="3" x14ac:dyDescent="0.2">
      <c r="A758" s="10">
        <v>62</v>
      </c>
      <c r="B758" s="10" t="s">
        <v>71</v>
      </c>
      <c r="C758" s="10" t="s">
        <v>301</v>
      </c>
      <c r="D758" s="10" t="s">
        <v>160</v>
      </c>
      <c r="E758" s="11" t="str">
        <f t="array" ref="E758">_xlfn.XLOOKUP(D758,Insumos!B:B,Insumos!C:$C)</f>
        <v>KG</v>
      </c>
      <c r="F758" s="14">
        <v>1</v>
      </c>
      <c r="G758" s="92">
        <f t="array" ref="G758">IF(B758="insumo",_xlfn.XLOOKUP($D758,Insumos!$B$1:$B$996,Insumos!$D$1:$D$996),"")</f>
        <v>0.76</v>
      </c>
      <c r="H758" s="92">
        <v>0.76</v>
      </c>
      <c r="I758" s="13">
        <v>0</v>
      </c>
      <c r="J758" s="13">
        <v>0</v>
      </c>
      <c r="K758" s="13"/>
      <c r="L758"/>
      <c r="M758"/>
      <c r="N758"/>
      <c r="O758"/>
      <c r="P758"/>
      <c r="Q758"/>
      <c r="R758"/>
      <c r="S758"/>
      <c r="T758"/>
      <c r="U758"/>
      <c r="V758"/>
      <c r="W758"/>
      <c r="X758"/>
      <c r="Y758"/>
      <c r="Z758"/>
      <c r="AA758"/>
      <c r="AB758"/>
      <c r="AC758"/>
      <c r="AD758"/>
      <c r="AE758"/>
      <c r="AF758"/>
      <c r="AG758"/>
      <c r="AH758"/>
      <c r="AI758"/>
      <c r="AJ758"/>
      <c r="AK758"/>
      <c r="AL758"/>
    </row>
    <row r="759" spans="1:38" ht="12.75" outlineLevel="2" x14ac:dyDescent="0.2">
      <c r="A759" s="1071">
        <v>1</v>
      </c>
      <c r="B759" s="1071" t="s">
        <v>68</v>
      </c>
      <c r="C759" s="1071" t="s">
        <v>1767</v>
      </c>
      <c r="D759" s="1071" t="s">
        <v>1767</v>
      </c>
      <c r="E759" s="1072" t="s">
        <v>152</v>
      </c>
      <c r="F759" s="1071"/>
      <c r="G759" s="1073" t="str">
        <f t="array" ref="G759">IF(B759="insumo",_xlfn.XLOOKUP($D759,Insumos!$B$1:$B$996,Insumos!$D$1:$D$996),"")</f>
        <v/>
      </c>
      <c r="H759" s="1073">
        <v>677.72649999999999</v>
      </c>
      <c r="I759" s="1074">
        <v>195.521784</v>
      </c>
      <c r="J759" s="1074">
        <v>132510.29434407601</v>
      </c>
      <c r="K759" s="1074"/>
      <c r="L759"/>
      <c r="M759"/>
      <c r="N759"/>
      <c r="O759"/>
      <c r="P759"/>
      <c r="Q759"/>
      <c r="R759"/>
      <c r="S759"/>
      <c r="T759"/>
      <c r="U759"/>
      <c r="V759"/>
      <c r="W759"/>
      <c r="X759"/>
      <c r="Y759"/>
      <c r="Z759"/>
      <c r="AA759"/>
      <c r="AB759"/>
      <c r="AC759"/>
      <c r="AD759"/>
      <c r="AE759"/>
      <c r="AF759"/>
      <c r="AG759"/>
      <c r="AH759"/>
      <c r="AI759"/>
      <c r="AJ759"/>
      <c r="AK759"/>
      <c r="AL759"/>
    </row>
    <row r="760" spans="1:38" ht="12.75" outlineLevel="3" x14ac:dyDescent="0.2">
      <c r="A760" s="82">
        <v>6</v>
      </c>
      <c r="B760" s="82" t="s">
        <v>71</v>
      </c>
      <c r="C760" s="82" t="s">
        <v>1767</v>
      </c>
      <c r="D760" s="82" t="s">
        <v>251</v>
      </c>
      <c r="E760" s="11" t="str">
        <f t="array" ref="E760">_xlfn.XLOOKUP(D760,Insumos!B:B,Insumos!C:$C)</f>
        <v>M3</v>
      </c>
      <c r="F760" s="86">
        <v>1.05</v>
      </c>
      <c r="G760" s="92">
        <f t="array" ref="G760">IF(B760="insumo",_xlfn.XLOOKUP($D760,Insumos!$B$1:$B$996,Insumos!$D$1:$D$996),"")</f>
        <v>604.73</v>
      </c>
      <c r="H760" s="92">
        <v>634.9665</v>
      </c>
      <c r="I760" s="84">
        <v>195.521784</v>
      </c>
      <c r="J760" s="84">
        <v>124149.782860236</v>
      </c>
      <c r="K760" s="84"/>
      <c r="L760"/>
      <c r="M760"/>
      <c r="N760"/>
      <c r="O760"/>
      <c r="P760"/>
      <c r="Q760"/>
      <c r="R760"/>
      <c r="S760"/>
      <c r="T760"/>
      <c r="U760"/>
      <c r="V760"/>
      <c r="W760"/>
      <c r="X760"/>
      <c r="Y760"/>
      <c r="Z760"/>
      <c r="AA760"/>
      <c r="AB760"/>
      <c r="AC760"/>
      <c r="AD760"/>
      <c r="AE760"/>
      <c r="AF760"/>
      <c r="AG760"/>
      <c r="AH760"/>
      <c r="AI760"/>
      <c r="AJ760"/>
      <c r="AK760"/>
      <c r="AL760"/>
    </row>
    <row r="761" spans="1:38" ht="12.75" outlineLevel="3" x14ac:dyDescent="0.2">
      <c r="A761" s="82">
        <v>25</v>
      </c>
      <c r="B761" s="82" t="s">
        <v>71</v>
      </c>
      <c r="C761" s="82" t="s">
        <v>1767</v>
      </c>
      <c r="D761" s="82" t="s">
        <v>159</v>
      </c>
      <c r="E761" s="11" t="str">
        <f t="array" ref="E761">_xlfn.XLOOKUP(D761,Insumos!B:B,Insumos!C:$C)</f>
        <v>M3</v>
      </c>
      <c r="F761" s="86">
        <v>1.05</v>
      </c>
      <c r="G761" s="92">
        <f t="array" ref="G761">IF(B761="insumo",_xlfn.XLOOKUP($D761,Insumos!$B$1:$B$996,Insumos!$D$1:$D$996),"")</f>
        <v>40</v>
      </c>
      <c r="H761" s="92">
        <v>42</v>
      </c>
      <c r="I761" s="84">
        <v>195.521784</v>
      </c>
      <c r="J761" s="84">
        <v>8211.9149280000001</v>
      </c>
      <c r="K761" s="84"/>
      <c r="L761"/>
      <c r="M761"/>
      <c r="N761"/>
      <c r="O761"/>
      <c r="P761"/>
      <c r="Q761"/>
      <c r="R761"/>
      <c r="S761"/>
      <c r="T761"/>
      <c r="U761"/>
      <c r="V761"/>
      <c r="W761"/>
      <c r="X761"/>
      <c r="Y761"/>
      <c r="Z761"/>
      <c r="AA761"/>
      <c r="AB761"/>
      <c r="AC761"/>
      <c r="AD761"/>
      <c r="AE761"/>
      <c r="AF761"/>
      <c r="AG761"/>
      <c r="AH761"/>
      <c r="AI761"/>
      <c r="AJ761"/>
      <c r="AK761"/>
      <c r="AL761"/>
    </row>
    <row r="762" spans="1:38" ht="12.75" outlineLevel="3" x14ac:dyDescent="0.2">
      <c r="A762" s="82">
        <v>62</v>
      </c>
      <c r="B762" s="82" t="s">
        <v>71</v>
      </c>
      <c r="C762" s="82" t="s">
        <v>1767</v>
      </c>
      <c r="D762" s="82" t="s">
        <v>160</v>
      </c>
      <c r="E762" s="11" t="str">
        <f t="array" ref="E762">_xlfn.XLOOKUP(D762,Insumos!B:B,Insumos!C:$C)</f>
        <v>KG</v>
      </c>
      <c r="F762" s="86">
        <v>1</v>
      </c>
      <c r="G762" s="92">
        <f t="array" ref="G762">IF(B762="insumo",_xlfn.XLOOKUP($D762,Insumos!$B$1:$B$996,Insumos!$D$1:$D$996),"")</f>
        <v>0.76</v>
      </c>
      <c r="H762" s="92">
        <v>0.76</v>
      </c>
      <c r="I762" s="84">
        <v>195.521784</v>
      </c>
      <c r="J762" s="84">
        <v>148.59655584000001</v>
      </c>
      <c r="K762" s="84"/>
      <c r="L762"/>
      <c r="M762"/>
      <c r="N762"/>
      <c r="O762"/>
      <c r="P762"/>
      <c r="Q762"/>
      <c r="R762"/>
      <c r="S762"/>
      <c r="T762"/>
      <c r="U762"/>
      <c r="V762"/>
      <c r="W762"/>
      <c r="X762"/>
      <c r="Y762"/>
      <c r="Z762"/>
      <c r="AA762"/>
      <c r="AB762"/>
      <c r="AC762"/>
      <c r="AD762"/>
      <c r="AE762"/>
      <c r="AF762"/>
      <c r="AG762"/>
      <c r="AH762"/>
      <c r="AI762"/>
      <c r="AJ762"/>
      <c r="AK762"/>
      <c r="AL762"/>
    </row>
    <row r="763" spans="1:38" ht="15.75" customHeight="1" outlineLevel="2" x14ac:dyDescent="0.2">
      <c r="A763" s="1067">
        <v>1</v>
      </c>
      <c r="B763" s="1067" t="s">
        <v>68</v>
      </c>
      <c r="C763" s="1067" t="s">
        <v>302</v>
      </c>
      <c r="D763" s="1067" t="s">
        <v>302</v>
      </c>
      <c r="E763" s="1068" t="s">
        <v>152</v>
      </c>
      <c r="F763" s="1067"/>
      <c r="G763" s="1069" t="str">
        <f t="array" ref="G763">IF(B763="insumo",_xlfn.XLOOKUP($D763,Insumos!$B$1:$B$996,Insumos!$D$1:$D$996),"")</f>
        <v/>
      </c>
      <c r="H763" s="1069">
        <v>631.30600000000004</v>
      </c>
      <c r="I763" s="1070">
        <v>237.663568</v>
      </c>
      <c r="J763" s="1070">
        <v>150038.436459808</v>
      </c>
      <c r="K763" s="1070"/>
      <c r="L763"/>
      <c r="M763"/>
      <c r="N763"/>
      <c r="O763"/>
      <c r="P763"/>
      <c r="Q763"/>
      <c r="R763"/>
      <c r="S763"/>
      <c r="T763"/>
      <c r="U763"/>
      <c r="V763"/>
      <c r="W763"/>
      <c r="X763"/>
      <c r="Y763"/>
      <c r="Z763"/>
      <c r="AA763"/>
      <c r="AB763"/>
      <c r="AC763"/>
      <c r="AD763"/>
      <c r="AE763"/>
      <c r="AF763"/>
      <c r="AG763"/>
      <c r="AH763"/>
      <c r="AI763"/>
      <c r="AJ763"/>
      <c r="AK763"/>
      <c r="AL763"/>
    </row>
    <row r="764" spans="1:38" ht="15.75" customHeight="1" outlineLevel="3" x14ac:dyDescent="0.2">
      <c r="A764" s="10">
        <v>2</v>
      </c>
      <c r="B764" s="10" t="s">
        <v>71</v>
      </c>
      <c r="C764" s="10" t="s">
        <v>302</v>
      </c>
      <c r="D764" s="10" t="s">
        <v>303</v>
      </c>
      <c r="E764" s="11" t="str">
        <f t="array" ref="E764">_xlfn.XLOOKUP(D764,Insumos!B:B,Insumos!C:$C)</f>
        <v>M3</v>
      </c>
      <c r="F764" s="14">
        <v>1.05</v>
      </c>
      <c r="G764" s="92">
        <f t="array" ref="G764">IF(B764="insumo",_xlfn.XLOOKUP($D764,Insumos!$B$1:$B$996,Insumos!$D$1:$D$996),"")</f>
        <v>560.52</v>
      </c>
      <c r="H764" s="92">
        <v>588.54600000000005</v>
      </c>
      <c r="I764" s="13">
        <v>237.663568</v>
      </c>
      <c r="J764" s="13">
        <v>139875.94229212799</v>
      </c>
      <c r="K764" s="13"/>
      <c r="L764"/>
      <c r="M764"/>
      <c r="N764"/>
      <c r="O764"/>
      <c r="P764"/>
      <c r="Q764"/>
      <c r="R764"/>
      <c r="S764"/>
      <c r="T764"/>
      <c r="U764"/>
      <c r="V764"/>
      <c r="W764"/>
      <c r="X764"/>
      <c r="Y764"/>
      <c r="Z764"/>
      <c r="AA764"/>
      <c r="AB764"/>
      <c r="AC764"/>
      <c r="AD764"/>
      <c r="AE764"/>
      <c r="AF764"/>
      <c r="AG764"/>
      <c r="AH764"/>
      <c r="AI764"/>
      <c r="AJ764"/>
      <c r="AK764"/>
      <c r="AL764"/>
    </row>
    <row r="765" spans="1:38" ht="15.75" customHeight="1" outlineLevel="3" x14ac:dyDescent="0.2">
      <c r="A765" s="10">
        <v>25</v>
      </c>
      <c r="B765" s="10" t="s">
        <v>71</v>
      </c>
      <c r="C765" s="10" t="s">
        <v>302</v>
      </c>
      <c r="D765" s="10" t="s">
        <v>159</v>
      </c>
      <c r="E765" s="11" t="str">
        <f t="array" ref="E765">_xlfn.XLOOKUP(D765,Insumos!B:B,Insumos!C:$C)</f>
        <v>M3</v>
      </c>
      <c r="F765" s="14">
        <v>1.05</v>
      </c>
      <c r="G765" s="92">
        <f t="array" ref="G765">IF(B765="insumo",_xlfn.XLOOKUP($D765,Insumos!$B$1:$B$996,Insumos!$D$1:$D$996),"")</f>
        <v>40</v>
      </c>
      <c r="H765" s="92">
        <v>42</v>
      </c>
      <c r="I765" s="13">
        <v>237.663568</v>
      </c>
      <c r="J765" s="13">
        <v>9981.8698559999993</v>
      </c>
      <c r="K765" s="13"/>
      <c r="L765"/>
      <c r="M765"/>
      <c r="N765"/>
      <c r="O765"/>
      <c r="P765"/>
      <c r="Q765"/>
      <c r="R765"/>
      <c r="S765"/>
      <c r="T765"/>
      <c r="U765"/>
      <c r="V765"/>
      <c r="W765"/>
      <c r="X765"/>
      <c r="Y765"/>
      <c r="Z765"/>
      <c r="AA765"/>
      <c r="AB765"/>
      <c r="AC765"/>
      <c r="AD765"/>
      <c r="AE765"/>
      <c r="AF765"/>
      <c r="AG765"/>
      <c r="AH765"/>
      <c r="AI765"/>
      <c r="AJ765"/>
      <c r="AK765"/>
      <c r="AL765"/>
    </row>
    <row r="766" spans="1:38" ht="15.75" customHeight="1" outlineLevel="3" x14ac:dyDescent="0.2">
      <c r="A766" s="10">
        <v>62</v>
      </c>
      <c r="B766" s="10" t="s">
        <v>71</v>
      </c>
      <c r="C766" s="10" t="s">
        <v>302</v>
      </c>
      <c r="D766" s="10" t="s">
        <v>160</v>
      </c>
      <c r="E766" s="11" t="str">
        <f t="array" ref="E766">_xlfn.XLOOKUP(D766,Insumos!B:B,Insumos!C:$C)</f>
        <v>KG</v>
      </c>
      <c r="F766" s="14">
        <v>1</v>
      </c>
      <c r="G766" s="92">
        <f t="array" ref="G766">IF(B766="insumo",_xlfn.XLOOKUP($D766,Insumos!$B$1:$B$996,Insumos!$D$1:$D$996),"")</f>
        <v>0.76</v>
      </c>
      <c r="H766" s="92">
        <v>0.76</v>
      </c>
      <c r="I766" s="13">
        <v>237.663568</v>
      </c>
      <c r="J766" s="13">
        <v>180.62431168000001</v>
      </c>
      <c r="K766" s="13"/>
      <c r="L766"/>
      <c r="M766"/>
      <c r="N766"/>
      <c r="O766"/>
      <c r="P766"/>
      <c r="Q766"/>
      <c r="R766"/>
      <c r="S766"/>
      <c r="T766"/>
      <c r="U766"/>
      <c r="V766"/>
      <c r="W766"/>
      <c r="X766"/>
      <c r="Y766"/>
      <c r="Z766"/>
      <c r="AA766"/>
      <c r="AB766"/>
      <c r="AC766"/>
      <c r="AD766"/>
      <c r="AE766"/>
      <c r="AF766"/>
      <c r="AG766"/>
      <c r="AH766"/>
      <c r="AI766"/>
      <c r="AJ766"/>
      <c r="AK766"/>
      <c r="AL766"/>
    </row>
    <row r="767" spans="1:38" ht="15.75" customHeight="1" outlineLevel="2" x14ac:dyDescent="0.2">
      <c r="A767" s="1067">
        <v>1</v>
      </c>
      <c r="B767" s="1067" t="s">
        <v>68</v>
      </c>
      <c r="C767" s="1067" t="s">
        <v>3480</v>
      </c>
      <c r="D767" s="1067" t="s">
        <v>3480</v>
      </c>
      <c r="E767" s="1068" t="s">
        <v>152</v>
      </c>
      <c r="F767" s="1067"/>
      <c r="G767" s="1069" t="str">
        <f t="array" ref="G767">IF(B767="insumo",_xlfn.XLOOKUP($D767,Insumos!$B$1:$B$996,Insumos!$D$1:$D$996),"")</f>
        <v/>
      </c>
      <c r="H767" s="1069">
        <v>620.40700000000004</v>
      </c>
      <c r="I767" s="1070">
        <v>3803.1510320000002</v>
      </c>
      <c r="J767" s="1070">
        <v>2359501.5223100199</v>
      </c>
      <c r="K767" s="1070"/>
      <c r="L767"/>
      <c r="M767"/>
      <c r="N767"/>
      <c r="O767"/>
      <c r="P767"/>
      <c r="Q767"/>
      <c r="R767"/>
      <c r="S767"/>
      <c r="T767"/>
      <c r="U767"/>
      <c r="V767"/>
      <c r="W767"/>
      <c r="X767"/>
      <c r="Y767"/>
      <c r="Z767"/>
      <c r="AA767"/>
      <c r="AB767"/>
      <c r="AC767"/>
      <c r="AD767"/>
      <c r="AE767"/>
      <c r="AF767"/>
      <c r="AG767"/>
      <c r="AH767"/>
      <c r="AI767"/>
      <c r="AJ767"/>
      <c r="AK767"/>
      <c r="AL767"/>
    </row>
    <row r="768" spans="1:38" ht="15.75" customHeight="1" outlineLevel="3" x14ac:dyDescent="0.2">
      <c r="A768" s="10">
        <v>2</v>
      </c>
      <c r="B768" s="10" t="s">
        <v>71</v>
      </c>
      <c r="C768" s="10" t="s">
        <v>3480</v>
      </c>
      <c r="D768" s="10" t="s">
        <v>253</v>
      </c>
      <c r="E768" s="11" t="str">
        <f t="array" ref="E768">_xlfn.XLOOKUP(D768,Insumos!B:B,Insumos!C:$C)</f>
        <v>M3</v>
      </c>
      <c r="F768" s="14">
        <v>1.05</v>
      </c>
      <c r="G768" s="92">
        <f t="array" ref="G768">IF(B768="insumo",_xlfn.XLOOKUP($D768,Insumos!$B$1:$B$996,Insumos!$D$1:$D$996),"")</f>
        <v>550.14</v>
      </c>
      <c r="H768" s="92">
        <v>577.64700000000005</v>
      </c>
      <c r="I768" s="13">
        <v>3803.1510320000002</v>
      </c>
      <c r="J768" s="13">
        <v>2196878.7841817001</v>
      </c>
      <c r="K768" s="13"/>
      <c r="L768"/>
      <c r="M768"/>
      <c r="N768"/>
      <c r="O768"/>
      <c r="P768"/>
      <c r="Q768"/>
      <c r="R768"/>
      <c r="S768"/>
      <c r="T768"/>
      <c r="U768"/>
      <c r="V768"/>
      <c r="W768"/>
      <c r="X768"/>
      <c r="Y768"/>
      <c r="Z768"/>
      <c r="AA768"/>
      <c r="AB768"/>
      <c r="AC768"/>
      <c r="AD768"/>
      <c r="AE768"/>
      <c r="AF768"/>
      <c r="AG768"/>
      <c r="AH768"/>
      <c r="AI768"/>
      <c r="AJ768"/>
      <c r="AK768"/>
      <c r="AL768"/>
    </row>
    <row r="769" spans="1:38" ht="15.75" customHeight="1" outlineLevel="3" x14ac:dyDescent="0.2">
      <c r="A769" s="10">
        <v>25</v>
      </c>
      <c r="B769" s="10" t="s">
        <v>71</v>
      </c>
      <c r="C769" s="10" t="s">
        <v>3480</v>
      </c>
      <c r="D769" s="10" t="s">
        <v>159</v>
      </c>
      <c r="E769" s="11" t="str">
        <f t="array" ref="E769">_xlfn.XLOOKUP(D769,Insumos!B:B,Insumos!C:$C)</f>
        <v>M3</v>
      </c>
      <c r="F769" s="14">
        <v>1.05</v>
      </c>
      <c r="G769" s="92">
        <f t="array" ref="G769">IF(B769="insumo",_xlfn.XLOOKUP($D769,Insumos!$B$1:$B$996,Insumos!$D$1:$D$996),"")</f>
        <v>40</v>
      </c>
      <c r="H769" s="92">
        <v>42</v>
      </c>
      <c r="I769" s="13">
        <v>3803.1510320000002</v>
      </c>
      <c r="J769" s="13">
        <v>159732.34334399999</v>
      </c>
      <c r="K769" s="13"/>
      <c r="L769"/>
      <c r="M769"/>
      <c r="N769"/>
      <c r="O769"/>
      <c r="P769"/>
      <c r="Q769"/>
      <c r="R769"/>
      <c r="S769"/>
      <c r="T769"/>
      <c r="U769"/>
      <c r="V769"/>
      <c r="W769"/>
      <c r="X769"/>
      <c r="Y769"/>
      <c r="Z769"/>
      <c r="AA769"/>
      <c r="AB769"/>
      <c r="AC769"/>
      <c r="AD769"/>
      <c r="AE769"/>
      <c r="AF769"/>
      <c r="AG769"/>
      <c r="AH769"/>
      <c r="AI769"/>
      <c r="AJ769"/>
      <c r="AK769"/>
      <c r="AL769"/>
    </row>
    <row r="770" spans="1:38" ht="15.75" customHeight="1" outlineLevel="3" x14ac:dyDescent="0.2">
      <c r="A770" s="10">
        <v>62</v>
      </c>
      <c r="B770" s="10" t="s">
        <v>71</v>
      </c>
      <c r="C770" s="10" t="s">
        <v>3480</v>
      </c>
      <c r="D770" s="10" t="s">
        <v>160</v>
      </c>
      <c r="E770" s="11" t="str">
        <f t="array" ref="E770">_xlfn.XLOOKUP(D770,Insumos!B:B,Insumos!C:$C)</f>
        <v>KG</v>
      </c>
      <c r="F770" s="14">
        <v>1</v>
      </c>
      <c r="G770" s="92">
        <f t="array" ref="G770">IF(B770="insumo",_xlfn.XLOOKUP($D770,Insumos!$B$1:$B$996,Insumos!$D$1:$D$996),"")</f>
        <v>0.76</v>
      </c>
      <c r="H770" s="92">
        <v>0.76</v>
      </c>
      <c r="I770" s="13">
        <v>3803.1510320000002</v>
      </c>
      <c r="J770" s="13">
        <v>2890.3947843199999</v>
      </c>
      <c r="K770" s="13"/>
      <c r="L770"/>
      <c r="M770"/>
      <c r="N770"/>
      <c r="O770"/>
      <c r="P770"/>
      <c r="Q770"/>
      <c r="R770"/>
      <c r="S770"/>
      <c r="T770"/>
      <c r="U770"/>
      <c r="V770"/>
      <c r="W770"/>
      <c r="X770"/>
      <c r="Y770"/>
      <c r="Z770"/>
      <c r="AA770"/>
      <c r="AB770"/>
      <c r="AC770"/>
      <c r="AD770"/>
      <c r="AE770"/>
      <c r="AF770"/>
      <c r="AG770"/>
      <c r="AH770"/>
      <c r="AI770"/>
      <c r="AJ770"/>
      <c r="AK770"/>
      <c r="AL770"/>
    </row>
    <row r="771" spans="1:38" ht="15.75" customHeight="1" outlineLevel="2" x14ac:dyDescent="0.2">
      <c r="A771" s="1067">
        <v>1</v>
      </c>
      <c r="B771" s="1067" t="s">
        <v>68</v>
      </c>
      <c r="C771" s="1067" t="s">
        <v>304</v>
      </c>
      <c r="D771" s="1067" t="s">
        <v>304</v>
      </c>
      <c r="E771" s="1068" t="s">
        <v>152</v>
      </c>
      <c r="F771" s="1067"/>
      <c r="G771" s="1069" t="str">
        <f t="array" ref="G771">IF(B771="insumo",_xlfn.XLOOKUP($D771,Insumos!$B$1:$B$996,Insumos!$D$1:$D$996),"")</f>
        <v/>
      </c>
      <c r="H771" s="1069">
        <v>680.86599999999999</v>
      </c>
      <c r="I771" s="1070">
        <v>2329.4707039999998</v>
      </c>
      <c r="J771" s="1070">
        <v>1586057.4003496601</v>
      </c>
      <c r="K771" s="1070"/>
      <c r="L771"/>
      <c r="M771"/>
      <c r="N771"/>
      <c r="O771"/>
      <c r="P771"/>
      <c r="Q771"/>
      <c r="R771"/>
      <c r="S771"/>
      <c r="T771"/>
      <c r="U771"/>
      <c r="V771"/>
      <c r="W771"/>
      <c r="X771"/>
      <c r="Y771"/>
      <c r="Z771"/>
      <c r="AA771"/>
      <c r="AB771"/>
      <c r="AC771"/>
      <c r="AD771"/>
      <c r="AE771"/>
      <c r="AF771"/>
      <c r="AG771"/>
      <c r="AH771"/>
      <c r="AI771"/>
      <c r="AJ771"/>
      <c r="AK771"/>
      <c r="AL771"/>
    </row>
    <row r="772" spans="1:38" ht="15.75" customHeight="1" outlineLevel="3" x14ac:dyDescent="0.2">
      <c r="A772" s="10">
        <v>2</v>
      </c>
      <c r="B772" s="10" t="s">
        <v>71</v>
      </c>
      <c r="C772" s="10" t="s">
        <v>304</v>
      </c>
      <c r="D772" s="10" t="s">
        <v>255</v>
      </c>
      <c r="E772" s="11" t="str">
        <f t="array" ref="E772">_xlfn.XLOOKUP(D772,Insumos!B:B,Insumos!C:$C)</f>
        <v>M3</v>
      </c>
      <c r="F772" s="14">
        <v>1.05</v>
      </c>
      <c r="G772" s="92">
        <f t="array" ref="G772">IF(B772="insumo",_xlfn.XLOOKUP($D772,Insumos!$B$1:$B$996,Insumos!$D$1:$D$996),"")</f>
        <v>607.72</v>
      </c>
      <c r="H772" s="92">
        <v>638.10599999999999</v>
      </c>
      <c r="I772" s="13">
        <v>2329.4707039999998</v>
      </c>
      <c r="J772" s="13">
        <v>1486449.2330466199</v>
      </c>
      <c r="K772" s="13"/>
      <c r="L772"/>
      <c r="M772"/>
      <c r="N772"/>
      <c r="O772"/>
      <c r="P772"/>
      <c r="Q772"/>
      <c r="R772"/>
      <c r="S772"/>
      <c r="T772"/>
      <c r="U772"/>
      <c r="V772"/>
      <c r="W772"/>
      <c r="X772"/>
      <c r="Y772"/>
      <c r="Z772"/>
      <c r="AA772"/>
      <c r="AB772"/>
      <c r="AC772"/>
      <c r="AD772"/>
      <c r="AE772"/>
      <c r="AF772"/>
      <c r="AG772"/>
      <c r="AH772"/>
      <c r="AI772"/>
      <c r="AJ772"/>
      <c r="AK772"/>
      <c r="AL772"/>
    </row>
    <row r="773" spans="1:38" ht="15.75" customHeight="1" outlineLevel="3" x14ac:dyDescent="0.2">
      <c r="A773" s="10">
        <v>25</v>
      </c>
      <c r="B773" s="10" t="s">
        <v>71</v>
      </c>
      <c r="C773" s="10" t="s">
        <v>304</v>
      </c>
      <c r="D773" s="10" t="s">
        <v>159</v>
      </c>
      <c r="E773" s="11" t="str">
        <f t="array" ref="E773">_xlfn.XLOOKUP(D773,Insumos!B:B,Insumos!C:$C)</f>
        <v>M3</v>
      </c>
      <c r="F773" s="14">
        <v>1.05</v>
      </c>
      <c r="G773" s="92">
        <f t="array" ref="G773">IF(B773="insumo",_xlfn.XLOOKUP($D773,Insumos!$B$1:$B$996,Insumos!$D$1:$D$996),"")</f>
        <v>40</v>
      </c>
      <c r="H773" s="92">
        <v>42</v>
      </c>
      <c r="I773" s="13">
        <v>2329.4707039999998</v>
      </c>
      <c r="J773" s="13">
        <v>97837.769568000003</v>
      </c>
      <c r="K773" s="13"/>
      <c r="L773"/>
      <c r="M773"/>
      <c r="N773"/>
      <c r="O773"/>
      <c r="P773"/>
      <c r="Q773"/>
      <c r="R773"/>
      <c r="S773"/>
      <c r="T773"/>
      <c r="U773"/>
      <c r="V773"/>
      <c r="W773"/>
      <c r="X773"/>
      <c r="Y773"/>
      <c r="Z773"/>
      <c r="AA773"/>
      <c r="AB773"/>
      <c r="AC773"/>
      <c r="AD773"/>
      <c r="AE773"/>
      <c r="AF773"/>
      <c r="AG773"/>
      <c r="AH773"/>
      <c r="AI773"/>
      <c r="AJ773"/>
      <c r="AK773"/>
      <c r="AL773"/>
    </row>
    <row r="774" spans="1:38" ht="15.75" customHeight="1" outlineLevel="3" x14ac:dyDescent="0.2">
      <c r="A774" s="10">
        <v>62</v>
      </c>
      <c r="B774" s="10" t="s">
        <v>71</v>
      </c>
      <c r="C774" s="10" t="s">
        <v>304</v>
      </c>
      <c r="D774" s="10" t="s">
        <v>160</v>
      </c>
      <c r="E774" s="11" t="str">
        <f t="array" ref="E774">_xlfn.XLOOKUP(D774,Insumos!B:B,Insumos!C:$C)</f>
        <v>KG</v>
      </c>
      <c r="F774" s="14">
        <v>1</v>
      </c>
      <c r="G774" s="92">
        <f t="array" ref="G774">IF(B774="insumo",_xlfn.XLOOKUP($D774,Insumos!$B$1:$B$996,Insumos!$D$1:$D$996),"")</f>
        <v>0.76</v>
      </c>
      <c r="H774" s="92">
        <v>0.76</v>
      </c>
      <c r="I774" s="13">
        <v>2329.4707039999998</v>
      </c>
      <c r="J774" s="13">
        <v>1770.39773504</v>
      </c>
      <c r="K774" s="13"/>
      <c r="L774"/>
      <c r="M774"/>
      <c r="N774"/>
      <c r="O774"/>
      <c r="P774"/>
      <c r="Q774"/>
      <c r="R774"/>
      <c r="S774"/>
      <c r="T774"/>
      <c r="U774"/>
      <c r="V774"/>
      <c r="W774"/>
      <c r="X774"/>
      <c r="Y774"/>
      <c r="Z774"/>
      <c r="AA774"/>
      <c r="AB774"/>
      <c r="AC774"/>
      <c r="AD774"/>
      <c r="AE774"/>
      <c r="AF774"/>
      <c r="AG774"/>
      <c r="AH774"/>
      <c r="AI774"/>
      <c r="AJ774"/>
      <c r="AK774"/>
      <c r="AL774"/>
    </row>
    <row r="775" spans="1:38" ht="15.75" customHeight="1" outlineLevel="2" x14ac:dyDescent="0.2">
      <c r="A775" s="1067">
        <v>1</v>
      </c>
      <c r="B775" s="1067" t="s">
        <v>68</v>
      </c>
      <c r="C775" s="1067" t="s">
        <v>305</v>
      </c>
      <c r="D775" s="1067" t="s">
        <v>305</v>
      </c>
      <c r="E775" s="1068" t="s">
        <v>152</v>
      </c>
      <c r="F775" s="1067"/>
      <c r="G775" s="1069" t="str">
        <f t="array" ref="G775">IF(B775="insumo",_xlfn.XLOOKUP($D775,Insumos!$B$1:$B$996,Insumos!$D$1:$D$996),"")</f>
        <v/>
      </c>
      <c r="H775" s="1069">
        <v>680.86599999999999</v>
      </c>
      <c r="I775" s="1070">
        <v>0</v>
      </c>
      <c r="J775" s="1070">
        <v>0</v>
      </c>
      <c r="K775" s="1070"/>
      <c r="L775"/>
      <c r="M775"/>
      <c r="N775"/>
      <c r="O775"/>
      <c r="P775"/>
      <c r="Q775"/>
      <c r="R775"/>
      <c r="S775"/>
      <c r="T775"/>
      <c r="U775"/>
      <c r="V775"/>
      <c r="W775"/>
      <c r="X775"/>
      <c r="Y775"/>
      <c r="Z775"/>
      <c r="AA775"/>
      <c r="AB775"/>
      <c r="AC775"/>
      <c r="AD775"/>
      <c r="AE775"/>
      <c r="AF775"/>
      <c r="AG775"/>
      <c r="AH775"/>
      <c r="AI775"/>
      <c r="AJ775"/>
      <c r="AK775"/>
      <c r="AL775"/>
    </row>
    <row r="776" spans="1:38" ht="15.75" customHeight="1" outlineLevel="3" x14ac:dyDescent="0.2">
      <c r="A776" s="10">
        <v>1</v>
      </c>
      <c r="B776" s="10" t="s">
        <v>71</v>
      </c>
      <c r="C776" s="10" t="s">
        <v>305</v>
      </c>
      <c r="D776" s="10" t="s">
        <v>1592</v>
      </c>
      <c r="E776" s="11" t="str">
        <f t="array" ref="E776">_xlfn.XLOOKUP(D776,Insumos!B:B,Insumos!C:$C)</f>
        <v>M3</v>
      </c>
      <c r="F776" s="14">
        <v>1.05</v>
      </c>
      <c r="G776" s="92">
        <f t="array" ref="G776">IF(B776="insumo",_xlfn.XLOOKUP($D776,Insumos!$B$1:$B$996,Insumos!$D$1:$D$996),"")</f>
        <v>607.72</v>
      </c>
      <c r="H776" s="92">
        <v>638.10599999999999</v>
      </c>
      <c r="I776" s="13">
        <v>0</v>
      </c>
      <c r="J776" s="13">
        <v>0</v>
      </c>
      <c r="K776" s="13"/>
      <c r="L776"/>
      <c r="M776"/>
      <c r="N776"/>
      <c r="O776"/>
      <c r="P776"/>
      <c r="Q776"/>
      <c r="R776"/>
      <c r="S776"/>
      <c r="T776"/>
      <c r="U776"/>
      <c r="V776"/>
      <c r="W776"/>
      <c r="X776"/>
      <c r="Y776"/>
      <c r="Z776"/>
      <c r="AA776"/>
      <c r="AB776"/>
      <c r="AC776"/>
      <c r="AD776"/>
      <c r="AE776"/>
      <c r="AF776"/>
      <c r="AG776"/>
      <c r="AH776"/>
      <c r="AI776"/>
      <c r="AJ776"/>
      <c r="AK776"/>
      <c r="AL776"/>
    </row>
    <row r="777" spans="1:38" ht="15.75" customHeight="1" outlineLevel="3" x14ac:dyDescent="0.2">
      <c r="A777" s="10">
        <v>25</v>
      </c>
      <c r="B777" s="10" t="s">
        <v>71</v>
      </c>
      <c r="C777" s="10" t="s">
        <v>305</v>
      </c>
      <c r="D777" s="10" t="s">
        <v>159</v>
      </c>
      <c r="E777" s="11" t="str">
        <f t="array" ref="E777">_xlfn.XLOOKUP(D777,Insumos!B:B,Insumos!C:$C)</f>
        <v>M3</v>
      </c>
      <c r="F777" s="14">
        <v>1.05</v>
      </c>
      <c r="G777" s="92">
        <f t="array" ref="G777">IF(B777="insumo",_xlfn.XLOOKUP($D777,Insumos!$B$1:$B$996,Insumos!$D$1:$D$996),"")</f>
        <v>40</v>
      </c>
      <c r="H777" s="92">
        <v>42</v>
      </c>
      <c r="I777" s="13">
        <v>0</v>
      </c>
      <c r="J777" s="13">
        <v>0</v>
      </c>
      <c r="K777" s="13"/>
      <c r="L777"/>
      <c r="M777"/>
      <c r="N777"/>
      <c r="O777"/>
      <c r="P777"/>
      <c r="Q777"/>
      <c r="R777"/>
      <c r="S777"/>
      <c r="T777"/>
      <c r="U777"/>
      <c r="V777"/>
      <c r="W777"/>
      <c r="X777"/>
      <c r="Y777"/>
      <c r="Z777"/>
      <c r="AA777"/>
      <c r="AB777"/>
      <c r="AC777"/>
      <c r="AD777"/>
      <c r="AE777"/>
      <c r="AF777"/>
      <c r="AG777"/>
      <c r="AH777"/>
      <c r="AI777"/>
      <c r="AJ777"/>
      <c r="AK777"/>
      <c r="AL777"/>
    </row>
    <row r="778" spans="1:38" ht="15.75" customHeight="1" outlineLevel="3" x14ac:dyDescent="0.2">
      <c r="A778" s="10">
        <v>62</v>
      </c>
      <c r="B778" s="10" t="s">
        <v>71</v>
      </c>
      <c r="C778" s="10" t="s">
        <v>305</v>
      </c>
      <c r="D778" s="10" t="s">
        <v>160</v>
      </c>
      <c r="E778" s="11" t="str">
        <f t="array" ref="E778">_xlfn.XLOOKUP(D778,Insumos!B:B,Insumos!C:$C)</f>
        <v>KG</v>
      </c>
      <c r="F778" s="14">
        <v>1</v>
      </c>
      <c r="G778" s="92">
        <f t="array" ref="G778">IF(B778="insumo",_xlfn.XLOOKUP($D778,Insumos!$B$1:$B$996,Insumos!$D$1:$D$996),"")</f>
        <v>0.76</v>
      </c>
      <c r="H778" s="92">
        <v>0.76</v>
      </c>
      <c r="I778" s="13">
        <v>0</v>
      </c>
      <c r="J778" s="13">
        <v>0</v>
      </c>
      <c r="K778" s="13"/>
      <c r="L778"/>
      <c r="M778"/>
      <c r="N778"/>
      <c r="O778"/>
      <c r="P778"/>
      <c r="Q778"/>
      <c r="R778"/>
      <c r="S778"/>
      <c r="T778"/>
      <c r="U778"/>
      <c r="V778"/>
      <c r="W778"/>
      <c r="X778"/>
      <c r="Y778"/>
      <c r="Z778"/>
      <c r="AA778"/>
      <c r="AB778"/>
      <c r="AC778"/>
      <c r="AD778"/>
      <c r="AE778"/>
      <c r="AF778"/>
      <c r="AG778"/>
      <c r="AH778"/>
      <c r="AI778"/>
      <c r="AJ778"/>
      <c r="AK778"/>
      <c r="AL778"/>
    </row>
    <row r="779" spans="1:38" ht="12.75" outlineLevel="2" x14ac:dyDescent="0.2">
      <c r="A779" s="1071">
        <v>1</v>
      </c>
      <c r="B779" s="1071" t="s">
        <v>68</v>
      </c>
      <c r="C779" s="1071" t="s">
        <v>1731</v>
      </c>
      <c r="D779" s="1071" t="s">
        <v>1731</v>
      </c>
      <c r="E779" s="1072" t="s">
        <v>152</v>
      </c>
      <c r="F779" s="1071"/>
      <c r="G779" s="1073" t="str">
        <f t="array" ref="G779">IF(B779="insumo",_xlfn.XLOOKUP($D779,Insumos!$B$1:$B$996,Insumos!$D$1:$D$996),"")</f>
        <v/>
      </c>
      <c r="H779" s="1073">
        <v>132.622633613793</v>
      </c>
      <c r="I779" s="1074">
        <v>0</v>
      </c>
      <c r="J779" s="1074">
        <v>0</v>
      </c>
      <c r="K779" s="1074"/>
      <c r="L779"/>
      <c r="M779"/>
      <c r="N779"/>
      <c r="O779"/>
      <c r="P779"/>
      <c r="Q779"/>
      <c r="R779"/>
      <c r="S779"/>
      <c r="T779"/>
      <c r="U779"/>
      <c r="V779"/>
      <c r="W779"/>
      <c r="X779"/>
      <c r="Y779"/>
      <c r="Z779"/>
      <c r="AA779"/>
      <c r="AB779"/>
      <c r="AC779"/>
      <c r="AD779"/>
      <c r="AE779"/>
      <c r="AF779"/>
      <c r="AG779"/>
      <c r="AH779"/>
      <c r="AI779"/>
      <c r="AJ779"/>
      <c r="AK779"/>
      <c r="AL779"/>
    </row>
    <row r="780" spans="1:38" ht="12.75" outlineLevel="3" x14ac:dyDescent="0.2">
      <c r="A780" s="82">
        <v>9</v>
      </c>
      <c r="B780" s="82" t="s">
        <v>71</v>
      </c>
      <c r="C780" s="82" t="s">
        <v>1731</v>
      </c>
      <c r="D780" s="82" t="s">
        <v>311</v>
      </c>
      <c r="E780" s="11" t="str">
        <f t="array" ref="E780">_xlfn.XLOOKUP(D780,Insumos!B:B,Insumos!C:$C)</f>
        <v>M2</v>
      </c>
      <c r="F780" s="86">
        <v>1.1000000000000001</v>
      </c>
      <c r="G780" s="92">
        <f t="array" ref="G780">IF(B780="insumo",_xlfn.XLOOKUP($D780,Insumos!$B$1:$B$996,Insumos!$D$1:$D$996),"")</f>
        <v>2.3025000000000002</v>
      </c>
      <c r="H780" s="92">
        <v>2.5327500000000001</v>
      </c>
      <c r="I780" s="84">
        <v>0</v>
      </c>
      <c r="J780" s="84">
        <v>0</v>
      </c>
      <c r="K780" s="84"/>
      <c r="L780"/>
      <c r="M780"/>
      <c r="N780"/>
      <c r="O780"/>
      <c r="P780"/>
      <c r="Q780"/>
      <c r="R780"/>
      <c r="S780"/>
      <c r="T780"/>
      <c r="U780"/>
      <c r="V780"/>
      <c r="W780"/>
      <c r="X780"/>
      <c r="Y780"/>
      <c r="Z780"/>
      <c r="AA780"/>
      <c r="AB780"/>
      <c r="AC780"/>
      <c r="AD780"/>
      <c r="AE780"/>
      <c r="AF780"/>
      <c r="AG780"/>
      <c r="AH780"/>
      <c r="AI780"/>
      <c r="AJ780"/>
      <c r="AK780"/>
      <c r="AL780"/>
    </row>
    <row r="781" spans="1:38" ht="12.75" outlineLevel="3" x14ac:dyDescent="0.2">
      <c r="A781" s="82">
        <v>40</v>
      </c>
      <c r="B781" s="82" t="s">
        <v>71</v>
      </c>
      <c r="C781" s="82" t="s">
        <v>1731</v>
      </c>
      <c r="D781" s="82" t="s">
        <v>87</v>
      </c>
      <c r="E781" s="11" t="str">
        <f t="array" ref="E781">_xlfn.XLOOKUP(D781,Insumos!B:B,Insumos!C:$C)</f>
        <v>KG</v>
      </c>
      <c r="F781" s="86">
        <v>0.02</v>
      </c>
      <c r="G781" s="92">
        <f t="array" ref="G781">IF(B781="insumo",_xlfn.XLOOKUP($D781,Insumos!$B$1:$B$996,Insumos!$D$1:$D$996),"")</f>
        <v>18.13</v>
      </c>
      <c r="H781" s="92">
        <v>0.36259999999999998</v>
      </c>
      <c r="I781" s="84">
        <v>0</v>
      </c>
      <c r="J781" s="84">
        <v>0</v>
      </c>
      <c r="K781" s="84"/>
      <c r="L781"/>
      <c r="M781"/>
      <c r="N781"/>
      <c r="O781"/>
      <c r="P781"/>
      <c r="Q781"/>
      <c r="R781"/>
      <c r="S781"/>
      <c r="T781"/>
      <c r="U781"/>
      <c r="V781"/>
      <c r="W781"/>
      <c r="X781"/>
      <c r="Y781"/>
      <c r="Z781"/>
      <c r="AA781"/>
      <c r="AB781"/>
      <c r="AC781"/>
      <c r="AD781"/>
      <c r="AE781"/>
      <c r="AF781"/>
      <c r="AG781"/>
      <c r="AH781"/>
      <c r="AI781"/>
      <c r="AJ781"/>
      <c r="AK781"/>
      <c r="AL781"/>
    </row>
    <row r="782" spans="1:38" ht="12.75" outlineLevel="3" x14ac:dyDescent="0.2">
      <c r="A782" s="82">
        <v>1</v>
      </c>
      <c r="B782" s="82" t="s">
        <v>71</v>
      </c>
      <c r="C782" s="82" t="s">
        <v>1731</v>
      </c>
      <c r="D782" s="82" t="s">
        <v>1732</v>
      </c>
      <c r="E782" s="11" t="str">
        <f t="array" ref="E782">_xlfn.XLOOKUP(D782,Insumos!B:B,Insumos!C:$C)</f>
        <v>pc</v>
      </c>
      <c r="F782" s="86">
        <f>(546*0.5)/113.5</f>
        <v>2.4052863436123348</v>
      </c>
      <c r="G782" s="92">
        <f t="array" ref="G782">IF(B782="insumo",_xlfn.XLOOKUP($D782,Insumos!$B$1:$B$996,Insumos!$D$1:$D$996),"")</f>
        <v>3.82</v>
      </c>
      <c r="H782" s="92">
        <v>9.1881938325991204</v>
      </c>
      <c r="I782" s="84">
        <v>0</v>
      </c>
      <c r="J782" s="84">
        <v>0</v>
      </c>
      <c r="K782" s="84"/>
      <c r="L782"/>
      <c r="M782"/>
      <c r="N782"/>
      <c r="O782"/>
      <c r="P782"/>
      <c r="Q782"/>
      <c r="R782"/>
      <c r="S782"/>
      <c r="T782"/>
      <c r="U782"/>
      <c r="V782"/>
      <c r="W782"/>
      <c r="X782"/>
      <c r="Y782"/>
      <c r="Z782"/>
      <c r="AA782"/>
      <c r="AB782"/>
      <c r="AC782"/>
      <c r="AD782"/>
      <c r="AE782"/>
      <c r="AF782"/>
      <c r="AG782"/>
      <c r="AH782"/>
      <c r="AI782"/>
      <c r="AJ782"/>
      <c r="AK782"/>
      <c r="AL782"/>
    </row>
    <row r="783" spans="1:38" ht="12.75" outlineLevel="3" x14ac:dyDescent="0.2">
      <c r="A783" s="82">
        <v>2</v>
      </c>
      <c r="B783" s="82" t="s">
        <v>71</v>
      </c>
      <c r="C783" s="82" t="s">
        <v>1731</v>
      </c>
      <c r="D783" s="82" t="s">
        <v>1733</v>
      </c>
      <c r="E783" s="11" t="str">
        <f t="array" ref="E783">_xlfn.XLOOKUP(D783,Insumos!B:B,Insumos!C:$C)</f>
        <v>KG</v>
      </c>
      <c r="F783" s="86">
        <v>5.0039845810509238</v>
      </c>
      <c r="G783" s="92">
        <f t="array" ref="G783">IF(B783="insumo",_xlfn.XLOOKUP($D783,Insumos!$B$1:$B$996,Insumos!$D$1:$D$996),"")</f>
        <v>8.5370370370370363</v>
      </c>
      <c r="H783" s="92">
        <v>42.719201701194002</v>
      </c>
      <c r="I783" s="84">
        <v>0</v>
      </c>
      <c r="J783" s="84">
        <v>0</v>
      </c>
      <c r="K783" s="84"/>
      <c r="L783"/>
      <c r="M783"/>
      <c r="N783"/>
      <c r="O783"/>
      <c r="P783"/>
      <c r="Q783"/>
      <c r="R783"/>
      <c r="S783"/>
      <c r="T783"/>
      <c r="U783"/>
      <c r="V783"/>
      <c r="W783"/>
      <c r="X783"/>
      <c r="Y783"/>
      <c r="Z783"/>
      <c r="AA783"/>
      <c r="AB783"/>
      <c r="AC783"/>
      <c r="AD783"/>
      <c r="AE783"/>
      <c r="AF783"/>
      <c r="AG783"/>
      <c r="AH783"/>
      <c r="AI783"/>
      <c r="AJ783"/>
      <c r="AK783"/>
      <c r="AL783"/>
    </row>
    <row r="784" spans="1:38" ht="12.75" outlineLevel="3" x14ac:dyDescent="0.2">
      <c r="A784" s="82">
        <v>1</v>
      </c>
      <c r="B784" s="82" t="s">
        <v>71</v>
      </c>
      <c r="C784" s="82" t="s">
        <v>1731</v>
      </c>
      <c r="D784" s="82" t="s">
        <v>1734</v>
      </c>
      <c r="E784" s="11" t="str">
        <f t="array" ref="E784">_xlfn.XLOOKUP(D784,Insumos!B:B,Insumos!C:$C)</f>
        <v>un</v>
      </c>
      <c r="F784" s="86">
        <v>3.4E-5</v>
      </c>
      <c r="G784" s="92">
        <f t="array" ref="G784">IF(B784="insumo",_xlfn.XLOOKUP($D784,Insumos!$B$1:$B$996,Insumos!$D$1:$D$996),"")</f>
        <v>21.12</v>
      </c>
      <c r="H784" s="92">
        <v>7.1807999999999996E-4</v>
      </c>
      <c r="I784" s="84">
        <v>0</v>
      </c>
      <c r="J784" s="84">
        <v>0</v>
      </c>
      <c r="K784" s="84"/>
      <c r="L784"/>
      <c r="M784"/>
      <c r="N784"/>
      <c r="O784"/>
      <c r="P784"/>
      <c r="Q784"/>
      <c r="R784"/>
      <c r="S784"/>
      <c r="T784"/>
      <c r="U784"/>
      <c r="V784"/>
      <c r="W784"/>
      <c r="X784"/>
      <c r="Y784"/>
      <c r="Z784"/>
      <c r="AA784"/>
      <c r="AB784"/>
      <c r="AC784"/>
      <c r="AD784"/>
      <c r="AE784"/>
      <c r="AF784"/>
      <c r="AG784"/>
      <c r="AH784"/>
      <c r="AI784"/>
      <c r="AJ784"/>
      <c r="AK784"/>
      <c r="AL784"/>
    </row>
    <row r="785" spans="1:38" ht="12.75" outlineLevel="3" x14ac:dyDescent="0.2">
      <c r="A785" s="82">
        <v>6</v>
      </c>
      <c r="B785" s="82" t="s">
        <v>71</v>
      </c>
      <c r="C785" s="82" t="s">
        <v>1731</v>
      </c>
      <c r="D785" s="82" t="s">
        <v>251</v>
      </c>
      <c r="E785" s="11" t="str">
        <f t="array" ref="E785">_xlfn.XLOOKUP(D785,Insumos!B:B,Insumos!C:$C)</f>
        <v>M3</v>
      </c>
      <c r="F785" s="86">
        <v>0.11</v>
      </c>
      <c r="G785" s="92">
        <f t="array" ref="G785">IF(B785="insumo",_xlfn.XLOOKUP($D785,Insumos!$B$1:$B$996,Insumos!$D$1:$D$996),"")</f>
        <v>604.73</v>
      </c>
      <c r="H785" s="92">
        <v>66.520300000000006</v>
      </c>
      <c r="I785" s="84">
        <v>0</v>
      </c>
      <c r="J785" s="84">
        <v>0</v>
      </c>
      <c r="K785" s="84"/>
      <c r="L785"/>
      <c r="M785"/>
      <c r="N785"/>
      <c r="O785"/>
      <c r="P785"/>
      <c r="Q785"/>
      <c r="R785"/>
      <c r="S785"/>
      <c r="T785"/>
      <c r="U785"/>
      <c r="V785"/>
      <c r="W785"/>
      <c r="X785"/>
      <c r="Y785"/>
      <c r="Z785"/>
      <c r="AA785"/>
      <c r="AB785"/>
      <c r="AC785"/>
      <c r="AD785"/>
      <c r="AE785"/>
      <c r="AF785"/>
      <c r="AG785"/>
      <c r="AH785"/>
      <c r="AI785"/>
      <c r="AJ785"/>
      <c r="AK785"/>
      <c r="AL785"/>
    </row>
    <row r="786" spans="1:38" ht="12.75" outlineLevel="3" x14ac:dyDescent="0.2">
      <c r="A786" s="82">
        <v>1</v>
      </c>
      <c r="B786" s="82" t="s">
        <v>71</v>
      </c>
      <c r="C786" s="82" t="s">
        <v>1731</v>
      </c>
      <c r="D786" s="82" t="s">
        <v>1735</v>
      </c>
      <c r="E786" s="11" t="str">
        <f t="array" ref="E786">_xlfn.XLOOKUP(D786,Insumos!B:B,Insumos!C:$C)</f>
        <v>UN</v>
      </c>
      <c r="F786" s="86">
        <v>0.33329999999999999</v>
      </c>
      <c r="G786" s="92">
        <f t="array" ref="G786">IF(B786="insumo",_xlfn.XLOOKUP($D786,Insumos!$B$1:$B$996,Insumos!$D$1:$D$996),"")</f>
        <v>33.9</v>
      </c>
      <c r="H786" s="92">
        <v>11.298870000000001</v>
      </c>
      <c r="I786" s="84">
        <v>0</v>
      </c>
      <c r="J786" s="84">
        <v>0</v>
      </c>
      <c r="K786" s="84"/>
      <c r="L786"/>
      <c r="M786"/>
      <c r="N786"/>
      <c r="O786"/>
      <c r="P786"/>
      <c r="Q786"/>
      <c r="R786"/>
      <c r="S786"/>
      <c r="T786"/>
      <c r="U786"/>
      <c r="V786"/>
      <c r="W786"/>
      <c r="X786"/>
      <c r="Y786"/>
      <c r="Z786"/>
      <c r="AA786"/>
      <c r="AB786"/>
      <c r="AC786"/>
      <c r="AD786"/>
      <c r="AE786"/>
      <c r="AF786"/>
      <c r="AG786"/>
      <c r="AH786"/>
      <c r="AI786"/>
      <c r="AJ786"/>
      <c r="AK786"/>
      <c r="AL786"/>
    </row>
    <row r="787" spans="1:38" ht="15.75" customHeight="1" outlineLevel="2" x14ac:dyDescent="0.2">
      <c r="A787" s="1067">
        <v>1</v>
      </c>
      <c r="B787" s="1067" t="s">
        <v>68</v>
      </c>
      <c r="C787" s="1067" t="s">
        <v>306</v>
      </c>
      <c r="D787" s="1067" t="s">
        <v>306</v>
      </c>
      <c r="E787" s="1068" t="s">
        <v>70</v>
      </c>
      <c r="F787" s="1067"/>
      <c r="G787" s="1069" t="str">
        <f t="array" ref="G787">IF(B787="insumo",_xlfn.XLOOKUP($D787,Insumos!$B$1:$B$996,Insumos!$D$1:$D$996),"")</f>
        <v/>
      </c>
      <c r="H787" s="1069">
        <v>169.3082</v>
      </c>
      <c r="I787" s="1070">
        <v>0</v>
      </c>
      <c r="J787" s="1070">
        <v>0</v>
      </c>
      <c r="K787" s="1070"/>
      <c r="L787"/>
      <c r="M787"/>
      <c r="N787"/>
      <c r="O787"/>
      <c r="P787"/>
      <c r="Q787"/>
      <c r="R787"/>
      <c r="S787"/>
      <c r="T787"/>
      <c r="U787"/>
      <c r="V787"/>
      <c r="W787"/>
      <c r="X787"/>
      <c r="Y787"/>
      <c r="Z787"/>
      <c r="AA787"/>
      <c r="AB787"/>
      <c r="AC787"/>
      <c r="AD787"/>
      <c r="AE787"/>
      <c r="AF787"/>
      <c r="AG787"/>
      <c r="AH787"/>
      <c r="AI787"/>
      <c r="AJ787"/>
      <c r="AK787"/>
      <c r="AL787"/>
    </row>
    <row r="788" spans="1:38" ht="15.75" customHeight="1" outlineLevel="3" x14ac:dyDescent="0.2">
      <c r="A788" s="10">
        <v>1</v>
      </c>
      <c r="B788" s="10" t="s">
        <v>71</v>
      </c>
      <c r="C788" s="10" t="s">
        <v>306</v>
      </c>
      <c r="D788" s="10" t="s">
        <v>307</v>
      </c>
      <c r="E788" s="11" t="str">
        <f t="array" ref="E788">_xlfn.XLOOKUP(D788,Insumos!B:B,Insumos!C:$C)</f>
        <v>M2</v>
      </c>
      <c r="F788" s="14">
        <v>1</v>
      </c>
      <c r="G788" s="92">
        <f t="array" ref="G788">IF(B788="insumo",_xlfn.XLOOKUP($D788,Insumos!$B$1:$B$996,Insumos!$D$1:$D$996),"")</f>
        <v>59.4</v>
      </c>
      <c r="H788" s="92">
        <v>59.4</v>
      </c>
      <c r="I788" s="13">
        <v>0</v>
      </c>
      <c r="J788" s="13">
        <v>0</v>
      </c>
      <c r="K788" s="13"/>
      <c r="L788"/>
      <c r="M788"/>
      <c r="N788"/>
      <c r="O788"/>
      <c r="P788"/>
      <c r="Q788"/>
      <c r="R788"/>
      <c r="S788"/>
      <c r="T788"/>
      <c r="U788"/>
      <c r="V788"/>
      <c r="W788"/>
      <c r="X788"/>
      <c r="Y788"/>
      <c r="Z788"/>
      <c r="AA788"/>
      <c r="AB788"/>
      <c r="AC788"/>
      <c r="AD788"/>
      <c r="AE788"/>
      <c r="AF788"/>
      <c r="AG788"/>
      <c r="AH788"/>
      <c r="AI788"/>
      <c r="AJ788"/>
      <c r="AK788"/>
      <c r="AL788"/>
    </row>
    <row r="789" spans="1:38" ht="15.75" customHeight="1" outlineLevel="3" x14ac:dyDescent="0.2">
      <c r="A789" s="10">
        <v>3</v>
      </c>
      <c r="B789" s="10" t="s">
        <v>71</v>
      </c>
      <c r="C789" s="10" t="s">
        <v>306</v>
      </c>
      <c r="D789" s="10" t="s">
        <v>275</v>
      </c>
      <c r="E789" s="11" t="str">
        <f t="array" ref="E789">_xlfn.XLOOKUP(D789,Insumos!B:B,Insumos!C:$C)</f>
        <v>M</v>
      </c>
      <c r="F789" s="14">
        <v>1.87</v>
      </c>
      <c r="G789" s="92">
        <f t="array" ref="G789">IF(B789="insumo",_xlfn.XLOOKUP($D789,Insumos!$B$1:$B$996,Insumos!$D$1:$D$996),"")</f>
        <v>42.46</v>
      </c>
      <c r="H789" s="92">
        <v>79.400199999999998</v>
      </c>
      <c r="I789" s="13">
        <v>0</v>
      </c>
      <c r="J789" s="13">
        <v>0</v>
      </c>
      <c r="K789" s="13"/>
      <c r="L789"/>
      <c r="M789"/>
      <c r="N789"/>
      <c r="O789"/>
      <c r="P789"/>
      <c r="Q789"/>
      <c r="R789"/>
      <c r="S789"/>
      <c r="T789"/>
      <c r="U789"/>
      <c r="V789"/>
      <c r="W789"/>
      <c r="X789"/>
      <c r="Y789"/>
      <c r="Z789"/>
      <c r="AA789"/>
      <c r="AB789"/>
      <c r="AC789"/>
      <c r="AD789"/>
      <c r="AE789"/>
      <c r="AF789"/>
      <c r="AG789"/>
      <c r="AH789"/>
      <c r="AI789"/>
      <c r="AJ789"/>
      <c r="AK789"/>
      <c r="AL789"/>
    </row>
    <row r="790" spans="1:38" ht="15.75" customHeight="1" outlineLevel="3" x14ac:dyDescent="0.2">
      <c r="A790" s="10">
        <v>1</v>
      </c>
      <c r="B790" s="10" t="s">
        <v>71</v>
      </c>
      <c r="C790" s="10" t="s">
        <v>306</v>
      </c>
      <c r="D790" s="10" t="s">
        <v>308</v>
      </c>
      <c r="E790" s="11" t="str">
        <f t="array" ref="E790">_xlfn.XLOOKUP(D790,Insumos!B:B,Insumos!C:$C)</f>
        <v>KG</v>
      </c>
      <c r="F790" s="14">
        <v>0.04</v>
      </c>
      <c r="G790" s="92">
        <f t="array" ref="G790">IF(B790="insumo",_xlfn.XLOOKUP($D790,Insumos!$B$1:$B$996,Insumos!$D$1:$D$996),"")</f>
        <v>12.7</v>
      </c>
      <c r="H790" s="92">
        <v>0.50800000000000001</v>
      </c>
      <c r="I790" s="13">
        <v>0</v>
      </c>
      <c r="J790" s="13">
        <v>0</v>
      </c>
      <c r="K790" s="13"/>
      <c r="L790"/>
      <c r="M790"/>
      <c r="N790"/>
      <c r="O790"/>
      <c r="P790"/>
      <c r="Q790"/>
      <c r="R790"/>
      <c r="S790"/>
      <c r="T790"/>
      <c r="U790"/>
      <c r="V790"/>
      <c r="W790"/>
      <c r="X790"/>
      <c r="Y790"/>
      <c r="Z790"/>
      <c r="AA790"/>
      <c r="AB790"/>
      <c r="AC790"/>
      <c r="AD790"/>
      <c r="AE790"/>
      <c r="AF790"/>
      <c r="AG790"/>
      <c r="AH790"/>
      <c r="AI790"/>
      <c r="AJ790"/>
      <c r="AK790"/>
      <c r="AL790"/>
    </row>
    <row r="791" spans="1:38" ht="15.75" customHeight="1" outlineLevel="3" x14ac:dyDescent="0.2">
      <c r="A791" s="10">
        <v>1</v>
      </c>
      <c r="B791" s="10" t="s">
        <v>71</v>
      </c>
      <c r="C791" s="10" t="s">
        <v>306</v>
      </c>
      <c r="D791" s="10" t="s">
        <v>309</v>
      </c>
      <c r="E791" s="11" t="str">
        <f t="array" ref="E791">_xlfn.XLOOKUP(D791,Insumos!B:B,Insumos!C:$C)</f>
        <v>M2</v>
      </c>
      <c r="F791" s="14">
        <v>1</v>
      </c>
      <c r="G791" s="92">
        <f t="array" ref="G791">IF(B791="insumo",_xlfn.XLOOKUP($D791,Insumos!$B$1:$B$996,Insumos!$D$1:$D$996),"")</f>
        <v>30</v>
      </c>
      <c r="H791" s="92">
        <v>30</v>
      </c>
      <c r="I791" s="13">
        <v>0</v>
      </c>
      <c r="J791" s="13">
        <v>0</v>
      </c>
      <c r="K791" s="13"/>
      <c r="L791"/>
      <c r="M791"/>
      <c r="N791"/>
      <c r="O791"/>
      <c r="P791"/>
      <c r="Q791"/>
      <c r="R791"/>
      <c r="S791"/>
      <c r="T791"/>
      <c r="U791"/>
      <c r="V791"/>
      <c r="W791"/>
      <c r="X791"/>
      <c r="Y791"/>
      <c r="Z791"/>
      <c r="AA791"/>
      <c r="AB791"/>
      <c r="AC791"/>
      <c r="AD791"/>
      <c r="AE791"/>
      <c r="AF791"/>
      <c r="AG791"/>
      <c r="AH791"/>
      <c r="AI791"/>
      <c r="AJ791"/>
      <c r="AK791"/>
      <c r="AL791"/>
    </row>
    <row r="792" spans="1:38" ht="15.75" customHeight="1" outlineLevel="1" x14ac:dyDescent="0.2">
      <c r="A792" s="1090">
        <v>1</v>
      </c>
      <c r="B792" s="1090" t="s">
        <v>1228</v>
      </c>
      <c r="C792" s="1090" t="s">
        <v>306</v>
      </c>
      <c r="D792" s="1090" t="s">
        <v>1740</v>
      </c>
      <c r="E792" s="1091"/>
      <c r="F792" s="1092"/>
      <c r="G792" s="1091"/>
      <c r="H792" s="1091">
        <v>0</v>
      </c>
      <c r="I792" s="1092">
        <v>0</v>
      </c>
      <c r="J792" s="1092">
        <v>0</v>
      </c>
      <c r="K792" s="1092"/>
      <c r="L792"/>
      <c r="M792"/>
      <c r="N792"/>
      <c r="O792"/>
      <c r="P792"/>
      <c r="Q792"/>
      <c r="R792"/>
      <c r="S792"/>
      <c r="T792"/>
      <c r="U792"/>
      <c r="V792"/>
      <c r="W792"/>
      <c r="X792"/>
      <c r="Y792"/>
      <c r="Z792"/>
      <c r="AA792"/>
      <c r="AB792"/>
      <c r="AC792"/>
      <c r="AD792"/>
      <c r="AE792"/>
      <c r="AF792"/>
      <c r="AG792"/>
      <c r="AH792"/>
      <c r="AI792"/>
      <c r="AJ792"/>
      <c r="AK792"/>
      <c r="AL792"/>
    </row>
    <row r="793" spans="1:38" ht="15.75" customHeight="1" outlineLevel="2" x14ac:dyDescent="0.2">
      <c r="A793" s="1067">
        <v>1</v>
      </c>
      <c r="B793" s="1067" t="s">
        <v>68</v>
      </c>
      <c r="C793" s="1067" t="s">
        <v>310</v>
      </c>
      <c r="D793" s="1067" t="s">
        <v>310</v>
      </c>
      <c r="E793" s="1068" t="s">
        <v>70</v>
      </c>
      <c r="F793" s="1067"/>
      <c r="G793" s="1069" t="str">
        <f t="array" ref="G793">IF(B793="insumo",_xlfn.XLOOKUP($D793,Insumos!$B$1:$B$996,Insumos!$D$1:$D$996),"")</f>
        <v/>
      </c>
      <c r="H793" s="1069">
        <v>2.7629999999999999</v>
      </c>
      <c r="I793" s="1070">
        <v>0</v>
      </c>
      <c r="J793" s="1070">
        <v>0</v>
      </c>
      <c r="K793" s="1070"/>
      <c r="L793"/>
      <c r="M793"/>
      <c r="N793"/>
      <c r="O793"/>
      <c r="P793"/>
      <c r="Q793"/>
      <c r="R793"/>
      <c r="S793"/>
      <c r="T793"/>
      <c r="U793"/>
      <c r="V793"/>
      <c r="W793"/>
      <c r="X793"/>
      <c r="Y793"/>
      <c r="Z793"/>
      <c r="AA793"/>
      <c r="AB793"/>
      <c r="AC793"/>
      <c r="AD793"/>
      <c r="AE793"/>
      <c r="AF793"/>
      <c r="AG793"/>
      <c r="AH793"/>
      <c r="AI793"/>
      <c r="AJ793"/>
      <c r="AK793"/>
      <c r="AL793"/>
    </row>
    <row r="794" spans="1:38" ht="15.75" customHeight="1" outlineLevel="3" x14ac:dyDescent="0.2">
      <c r="A794" s="10">
        <v>9</v>
      </c>
      <c r="B794" s="10" t="s">
        <v>71</v>
      </c>
      <c r="C794" s="10" t="s">
        <v>310</v>
      </c>
      <c r="D794" s="10" t="s">
        <v>311</v>
      </c>
      <c r="E794" s="11" t="str">
        <f t="array" ref="E794">_xlfn.XLOOKUP(D794,Insumos!B:B,Insumos!C:$C)</f>
        <v>M2</v>
      </c>
      <c r="F794" s="14">
        <v>1.2</v>
      </c>
      <c r="G794" s="92">
        <f t="array" ref="G794">IF(B794="insumo",_xlfn.XLOOKUP($D794,Insumos!$B$1:$B$996,Insumos!$D$1:$D$996),"")</f>
        <v>2.3025000000000002</v>
      </c>
      <c r="H794" s="92">
        <v>2.7629999999999999</v>
      </c>
      <c r="I794" s="13">
        <v>0</v>
      </c>
      <c r="J794" s="13">
        <v>0</v>
      </c>
      <c r="K794" s="13"/>
      <c r="L794"/>
      <c r="M794"/>
      <c r="N794"/>
      <c r="O794"/>
      <c r="P794"/>
      <c r="Q794"/>
      <c r="R794"/>
      <c r="S794"/>
      <c r="T794"/>
      <c r="U794"/>
      <c r="V794"/>
      <c r="W794"/>
      <c r="X794"/>
      <c r="Y794"/>
      <c r="Z794"/>
      <c r="AA794"/>
      <c r="AB794"/>
      <c r="AC794"/>
      <c r="AD794"/>
      <c r="AE794"/>
      <c r="AF794"/>
      <c r="AG794"/>
      <c r="AH794"/>
      <c r="AI794"/>
      <c r="AJ794"/>
      <c r="AK794"/>
      <c r="AL794"/>
    </row>
    <row r="795" spans="1:38" ht="15.75" customHeight="1" outlineLevel="2" x14ac:dyDescent="0.2">
      <c r="A795" s="1067">
        <v>1</v>
      </c>
      <c r="B795" s="1067" t="s">
        <v>68</v>
      </c>
      <c r="C795" s="1067" t="s">
        <v>312</v>
      </c>
      <c r="D795" s="1067" t="s">
        <v>312</v>
      </c>
      <c r="E795" s="1068" t="s">
        <v>70</v>
      </c>
      <c r="F795" s="1067"/>
      <c r="G795" s="1069" t="str">
        <f t="array" ref="G795">IF(B795="insumo",_xlfn.XLOOKUP($D795,Insumos!$B$1:$B$996,Insumos!$D$1:$D$996),"")</f>
        <v/>
      </c>
      <c r="H795" s="1069">
        <v>11.499840000000001</v>
      </c>
      <c r="I795" s="1070">
        <v>0</v>
      </c>
      <c r="J795" s="1070">
        <v>0</v>
      </c>
      <c r="K795" s="1070"/>
      <c r="L795"/>
      <c r="M795"/>
      <c r="N795"/>
      <c r="O795"/>
      <c r="P795"/>
      <c r="Q795"/>
      <c r="R795"/>
      <c r="S795"/>
      <c r="T795"/>
      <c r="U795"/>
      <c r="V795"/>
      <c r="W795"/>
      <c r="X795"/>
      <c r="Y795"/>
      <c r="Z795"/>
      <c r="AA795"/>
      <c r="AB795"/>
      <c r="AC795"/>
      <c r="AD795"/>
      <c r="AE795"/>
      <c r="AF795"/>
      <c r="AG795"/>
      <c r="AH795"/>
      <c r="AI795"/>
      <c r="AJ795"/>
      <c r="AK795"/>
      <c r="AL795"/>
    </row>
    <row r="796" spans="1:38" ht="15.75" customHeight="1" outlineLevel="3" x14ac:dyDescent="0.2">
      <c r="A796" s="10">
        <v>1</v>
      </c>
      <c r="B796" s="10" t="s">
        <v>71</v>
      </c>
      <c r="C796" s="10" t="s">
        <v>312</v>
      </c>
      <c r="D796" s="10" t="s">
        <v>313</v>
      </c>
      <c r="E796" s="11" t="str">
        <f t="array" ref="E796">_xlfn.XLOOKUP(D796,Insumos!B:B,Insumos!C:$C)</f>
        <v>KG</v>
      </c>
      <c r="F796" s="14">
        <v>1.9359999999999999</v>
      </c>
      <c r="G796" s="92">
        <f t="array" ref="G796">IF(B796="insumo",_xlfn.XLOOKUP($D796,Insumos!$B$1:$B$996,Insumos!$D$1:$D$996),"")</f>
        <v>4.4400000000000004</v>
      </c>
      <c r="H796" s="92">
        <v>8.5958400000000008</v>
      </c>
      <c r="I796" s="13">
        <v>0</v>
      </c>
      <c r="J796" s="13">
        <v>0</v>
      </c>
      <c r="K796" s="13"/>
      <c r="L796"/>
      <c r="M796"/>
      <c r="N796"/>
      <c r="O796"/>
      <c r="P796"/>
      <c r="Q796"/>
      <c r="R796"/>
      <c r="S796"/>
      <c r="T796"/>
      <c r="U796"/>
      <c r="V796"/>
      <c r="W796"/>
      <c r="X796"/>
      <c r="Y796"/>
      <c r="Z796"/>
      <c r="AA796"/>
      <c r="AB796"/>
      <c r="AC796"/>
      <c r="AD796"/>
      <c r="AE796"/>
      <c r="AF796"/>
      <c r="AG796"/>
      <c r="AH796"/>
      <c r="AI796"/>
      <c r="AJ796"/>
      <c r="AK796"/>
      <c r="AL796"/>
    </row>
    <row r="797" spans="1:38" ht="15.75" customHeight="1" outlineLevel="3" x14ac:dyDescent="0.2">
      <c r="A797" s="10">
        <v>1</v>
      </c>
      <c r="B797" s="10" t="s">
        <v>71</v>
      </c>
      <c r="C797" s="10" t="s">
        <v>312</v>
      </c>
      <c r="D797" s="10" t="s">
        <v>314</v>
      </c>
      <c r="E797" s="11" t="str">
        <f t="array" ref="E797">_xlfn.XLOOKUP(D797,Insumos!B:B,Insumos!C:$C)</f>
        <v>KG</v>
      </c>
      <c r="F797" s="14">
        <v>1.9359999999999999</v>
      </c>
      <c r="G797" s="92">
        <f t="array" ref="G797">IF(B797="insumo",_xlfn.XLOOKUP($D797,Insumos!$B$1:$B$996,Insumos!$D$1:$D$996),"")</f>
        <v>0.4</v>
      </c>
      <c r="H797" s="92">
        <v>0.77439999999999998</v>
      </c>
      <c r="I797" s="13">
        <v>0</v>
      </c>
      <c r="J797" s="13">
        <v>0</v>
      </c>
      <c r="K797" s="13"/>
      <c r="L797"/>
      <c r="M797"/>
      <c r="N797"/>
      <c r="O797"/>
      <c r="P797"/>
      <c r="Q797"/>
      <c r="R797"/>
      <c r="S797"/>
      <c r="T797"/>
      <c r="U797"/>
      <c r="V797"/>
      <c r="W797"/>
      <c r="X797"/>
      <c r="Y797"/>
      <c r="Z797"/>
      <c r="AA797"/>
      <c r="AB797"/>
      <c r="AC797"/>
      <c r="AD797"/>
      <c r="AE797"/>
      <c r="AF797"/>
      <c r="AG797"/>
      <c r="AH797"/>
      <c r="AI797"/>
      <c r="AJ797"/>
      <c r="AK797"/>
      <c r="AL797"/>
    </row>
    <row r="798" spans="1:38" ht="15.75" customHeight="1" outlineLevel="3" x14ac:dyDescent="0.2">
      <c r="A798" s="10">
        <v>1</v>
      </c>
      <c r="B798" s="10" t="s">
        <v>71</v>
      </c>
      <c r="C798" s="10" t="s">
        <v>312</v>
      </c>
      <c r="D798" s="10" t="s">
        <v>315</v>
      </c>
      <c r="E798" s="11" t="str">
        <f t="array" ref="E798">_xlfn.XLOOKUP(D798,Insumos!B:B,Insumos!C:$C)</f>
        <v>KG</v>
      </c>
      <c r="F798" s="14">
        <v>1.9359999999999999</v>
      </c>
      <c r="G798" s="92">
        <f t="array" ref="G798">IF(B798="insumo",_xlfn.XLOOKUP($D798,Insumos!$B$1:$B$996,Insumos!$D$1:$D$996),"")</f>
        <v>0.4</v>
      </c>
      <c r="H798" s="92">
        <v>0.77439999999999998</v>
      </c>
      <c r="I798" s="13">
        <v>0</v>
      </c>
      <c r="J798" s="13">
        <v>0</v>
      </c>
      <c r="K798" s="13"/>
      <c r="L798"/>
      <c r="M798"/>
      <c r="N798"/>
      <c r="O798"/>
      <c r="P798"/>
      <c r="Q798"/>
      <c r="R798"/>
      <c r="S798"/>
      <c r="T798"/>
      <c r="U798"/>
      <c r="V798"/>
      <c r="W798"/>
      <c r="X798"/>
      <c r="Y798"/>
      <c r="Z798"/>
      <c r="AA798"/>
      <c r="AB798"/>
      <c r="AC798"/>
      <c r="AD798"/>
      <c r="AE798"/>
      <c r="AF798"/>
      <c r="AG798"/>
      <c r="AH798"/>
      <c r="AI798"/>
      <c r="AJ798"/>
      <c r="AK798"/>
      <c r="AL798"/>
    </row>
    <row r="799" spans="1:38" ht="15.75" customHeight="1" outlineLevel="3" x14ac:dyDescent="0.2">
      <c r="A799" s="10">
        <v>1</v>
      </c>
      <c r="B799" s="10" t="s">
        <v>71</v>
      </c>
      <c r="C799" s="10" t="s">
        <v>312</v>
      </c>
      <c r="D799" s="10" t="s">
        <v>316</v>
      </c>
      <c r="E799" s="11" t="str">
        <f t="array" ref="E799">_xlfn.XLOOKUP(D799,Insumos!B:B,Insumos!C:$C)</f>
        <v>KG</v>
      </c>
      <c r="F799" s="14">
        <v>1.9359999999999999</v>
      </c>
      <c r="G799" s="92">
        <f t="array" ref="G799">IF(B799="insumo",_xlfn.XLOOKUP($D799,Insumos!$B$1:$B$996,Insumos!$D$1:$D$996),"")</f>
        <v>0.2</v>
      </c>
      <c r="H799" s="92">
        <v>0.38719999999999999</v>
      </c>
      <c r="I799" s="13">
        <v>0</v>
      </c>
      <c r="J799" s="13">
        <v>0</v>
      </c>
      <c r="K799" s="13"/>
      <c r="L799"/>
      <c r="M799"/>
      <c r="N799"/>
      <c r="O799"/>
      <c r="P799"/>
      <c r="Q799"/>
      <c r="R799"/>
      <c r="S799"/>
      <c r="T799"/>
      <c r="U799"/>
      <c r="V799"/>
      <c r="W799"/>
      <c r="X799"/>
      <c r="Y799"/>
      <c r="Z799"/>
      <c r="AA799"/>
      <c r="AB799"/>
      <c r="AC799"/>
      <c r="AD799"/>
      <c r="AE799"/>
      <c r="AF799"/>
      <c r="AG799"/>
      <c r="AH799"/>
      <c r="AI799"/>
      <c r="AJ799"/>
      <c r="AK799"/>
      <c r="AL799"/>
    </row>
    <row r="800" spans="1:38" ht="15.75" customHeight="1" outlineLevel="3" x14ac:dyDescent="0.2">
      <c r="A800" s="10">
        <v>1</v>
      </c>
      <c r="B800" s="10" t="s">
        <v>71</v>
      </c>
      <c r="C800" s="10" t="s">
        <v>312</v>
      </c>
      <c r="D800" s="10" t="s">
        <v>317</v>
      </c>
      <c r="E800" s="11" t="str">
        <f t="array" ref="E800">_xlfn.XLOOKUP(D800,Insumos!B:B,Insumos!C:$C)</f>
        <v>UN</v>
      </c>
      <c r="F800" s="14">
        <v>1.9359999999999999</v>
      </c>
      <c r="G800" s="92">
        <f t="array" ref="G800">IF(B800="insumo",_xlfn.XLOOKUP($D800,Insumos!$B$1:$B$996,Insumos!$D$1:$D$996),"")</f>
        <v>0.5</v>
      </c>
      <c r="H800" s="92">
        <v>0.96799999999999997</v>
      </c>
      <c r="I800" s="13">
        <v>0</v>
      </c>
      <c r="J800" s="13">
        <v>0</v>
      </c>
      <c r="K800" s="13"/>
      <c r="L800"/>
      <c r="M800"/>
      <c r="N800"/>
      <c r="O800"/>
      <c r="P800"/>
      <c r="Q800"/>
      <c r="R800"/>
      <c r="S800"/>
      <c r="T800"/>
      <c r="U800"/>
      <c r="V800"/>
      <c r="W800"/>
      <c r="X800"/>
      <c r="Y800"/>
      <c r="Z800"/>
      <c r="AA800"/>
      <c r="AB800"/>
      <c r="AC800"/>
      <c r="AD800"/>
      <c r="AE800"/>
      <c r="AF800"/>
      <c r="AG800"/>
      <c r="AH800"/>
      <c r="AI800"/>
      <c r="AJ800"/>
      <c r="AK800"/>
      <c r="AL800"/>
    </row>
    <row r="801" spans="1:38" ht="15.75" customHeight="1" outlineLevel="2" x14ac:dyDescent="0.2">
      <c r="A801" s="1067">
        <v>1</v>
      </c>
      <c r="B801" s="1067" t="s">
        <v>68</v>
      </c>
      <c r="C801" s="1067" t="s">
        <v>318</v>
      </c>
      <c r="D801" s="1067" t="s">
        <v>318</v>
      </c>
      <c r="E801" s="1068" t="s">
        <v>70</v>
      </c>
      <c r="F801" s="1067"/>
      <c r="G801" s="1069" t="str">
        <f t="array" ref="G801">IF(B801="insumo",_xlfn.XLOOKUP($D801,Insumos!$B$1:$B$996,Insumos!$D$1:$D$996),"")</f>
        <v/>
      </c>
      <c r="H801" s="1069">
        <v>11.47875</v>
      </c>
      <c r="I801" s="1070">
        <v>0</v>
      </c>
      <c r="J801" s="1070">
        <v>0</v>
      </c>
      <c r="K801" s="1070"/>
      <c r="L801"/>
      <c r="M801"/>
      <c r="N801"/>
      <c r="O801"/>
      <c r="P801"/>
      <c r="Q801"/>
      <c r="R801"/>
      <c r="S801"/>
      <c r="T801"/>
      <c r="U801"/>
      <c r="V801"/>
      <c r="W801"/>
      <c r="X801"/>
      <c r="Y801"/>
      <c r="Z801"/>
      <c r="AA801"/>
      <c r="AB801"/>
      <c r="AC801"/>
      <c r="AD801"/>
      <c r="AE801"/>
      <c r="AF801"/>
      <c r="AG801"/>
      <c r="AH801"/>
      <c r="AI801"/>
      <c r="AJ801"/>
      <c r="AK801"/>
      <c r="AL801"/>
    </row>
    <row r="802" spans="1:38" ht="15.75" customHeight="1" outlineLevel="3" x14ac:dyDescent="0.2">
      <c r="A802" s="10">
        <v>3</v>
      </c>
      <c r="B802" s="10" t="s">
        <v>71</v>
      </c>
      <c r="C802" s="10" t="s">
        <v>318</v>
      </c>
      <c r="D802" s="10" t="s">
        <v>319</v>
      </c>
      <c r="E802" s="11" t="str">
        <f t="array" ref="E802">_xlfn.XLOOKUP(D802,Insumos!B:B,Insumos!C:$C)</f>
        <v>UN</v>
      </c>
      <c r="F802" s="14">
        <v>0.253</v>
      </c>
      <c r="G802" s="92">
        <f t="array" ref="G802">IF(B802="insumo",_xlfn.XLOOKUP($D802,Insumos!$B$1:$B$996,Insumos!$D$1:$D$996),"")</f>
        <v>12.5</v>
      </c>
      <c r="H802" s="92">
        <v>3.1625000000000001</v>
      </c>
      <c r="I802" s="13">
        <v>0</v>
      </c>
      <c r="J802" s="13">
        <v>0</v>
      </c>
      <c r="K802" s="13"/>
      <c r="L802"/>
      <c r="M802"/>
      <c r="N802"/>
      <c r="O802"/>
      <c r="P802"/>
      <c r="Q802"/>
      <c r="R802"/>
      <c r="S802"/>
      <c r="T802"/>
      <c r="U802"/>
      <c r="V802"/>
      <c r="W802"/>
      <c r="X802"/>
      <c r="Y802"/>
      <c r="Z802"/>
      <c r="AA802"/>
      <c r="AB802"/>
      <c r="AC802"/>
      <c r="AD802"/>
      <c r="AE802"/>
      <c r="AF802"/>
      <c r="AG802"/>
      <c r="AH802"/>
      <c r="AI802"/>
      <c r="AJ802"/>
      <c r="AK802"/>
      <c r="AL802"/>
    </row>
    <row r="803" spans="1:38" ht="15.75" customHeight="1" outlineLevel="3" x14ac:dyDescent="0.2">
      <c r="A803" s="10">
        <v>3</v>
      </c>
      <c r="B803" s="10" t="s">
        <v>71</v>
      </c>
      <c r="C803" s="10" t="s">
        <v>318</v>
      </c>
      <c r="D803" s="10" t="s">
        <v>320</v>
      </c>
      <c r="E803" s="11" t="str">
        <f t="array" ref="E803">_xlfn.XLOOKUP(D803,Insumos!B:B,Insumos!C:$C)</f>
        <v>PAR</v>
      </c>
      <c r="F803" s="14">
        <v>0.25</v>
      </c>
      <c r="G803" s="92">
        <f t="array" ref="G803">IF(B803="insumo",_xlfn.XLOOKUP($D803,Insumos!$B$1:$B$996,Insumos!$D$1:$D$996),"")</f>
        <v>9.1300000000000008</v>
      </c>
      <c r="H803" s="92">
        <v>2.2825000000000002</v>
      </c>
      <c r="I803" s="13">
        <v>0</v>
      </c>
      <c r="J803" s="13">
        <v>0</v>
      </c>
      <c r="K803" s="13"/>
      <c r="L803"/>
      <c r="M803"/>
      <c r="N803"/>
      <c r="O803"/>
      <c r="P803"/>
      <c r="Q803"/>
      <c r="R803"/>
      <c r="S803"/>
      <c r="T803"/>
      <c r="U803"/>
      <c r="V803"/>
      <c r="W803"/>
      <c r="X803"/>
      <c r="Y803"/>
      <c r="Z803"/>
      <c r="AA803"/>
      <c r="AB803"/>
      <c r="AC803"/>
      <c r="AD803"/>
      <c r="AE803"/>
      <c r="AF803"/>
      <c r="AG803"/>
      <c r="AH803"/>
      <c r="AI803"/>
      <c r="AJ803"/>
      <c r="AK803"/>
      <c r="AL803"/>
    </row>
    <row r="804" spans="1:38" ht="15.75" customHeight="1" outlineLevel="3" x14ac:dyDescent="0.2">
      <c r="A804" s="10">
        <v>3</v>
      </c>
      <c r="B804" s="10" t="s">
        <v>71</v>
      </c>
      <c r="C804" s="10" t="s">
        <v>318</v>
      </c>
      <c r="D804" s="10" t="s">
        <v>321</v>
      </c>
      <c r="E804" s="11" t="str">
        <f t="array" ref="E804">_xlfn.XLOOKUP(D804,Insumos!B:B,Insumos!C:$C)</f>
        <v>UN</v>
      </c>
      <c r="F804" s="14">
        <v>1.4999999999999999E-2</v>
      </c>
      <c r="G804" s="92">
        <f t="array" ref="G804">IF(B804="insumo",_xlfn.XLOOKUP($D804,Insumos!$B$1:$B$996,Insumos!$D$1:$D$996),"")</f>
        <v>2.85</v>
      </c>
      <c r="H804" s="92">
        <v>4.2750000000000003E-2</v>
      </c>
      <c r="I804" s="13">
        <v>0</v>
      </c>
      <c r="J804" s="13">
        <v>0</v>
      </c>
      <c r="K804" s="13"/>
      <c r="L804"/>
      <c r="M804"/>
      <c r="N804"/>
      <c r="O804"/>
      <c r="P804"/>
      <c r="Q804"/>
      <c r="R804"/>
      <c r="S804"/>
      <c r="T804"/>
      <c r="U804"/>
      <c r="V804"/>
      <c r="W804"/>
      <c r="X804"/>
      <c r="Y804"/>
      <c r="Z804"/>
      <c r="AA804"/>
      <c r="AB804"/>
      <c r="AC804"/>
      <c r="AD804"/>
      <c r="AE804"/>
      <c r="AF804"/>
      <c r="AG804"/>
      <c r="AH804"/>
      <c r="AI804"/>
      <c r="AJ804"/>
      <c r="AK804"/>
      <c r="AL804"/>
    </row>
    <row r="805" spans="1:38" ht="15.75" customHeight="1" outlineLevel="3" x14ac:dyDescent="0.2">
      <c r="A805" s="10">
        <v>3</v>
      </c>
      <c r="B805" s="10" t="s">
        <v>71</v>
      </c>
      <c r="C805" s="10" t="s">
        <v>318</v>
      </c>
      <c r="D805" s="10" t="s">
        <v>322</v>
      </c>
      <c r="E805" s="11" t="str">
        <f t="array" ref="E805">_xlfn.XLOOKUP(D805,Insumos!B:B,Insumos!C:$C)</f>
        <v>UN</v>
      </c>
      <c r="F805" s="14">
        <v>1.4999999999999999E-2</v>
      </c>
      <c r="G805" s="92">
        <f t="array" ref="G805">IF(B805="insumo",_xlfn.XLOOKUP($D805,Insumos!$B$1:$B$996,Insumos!$D$1:$D$996),"")</f>
        <v>1.42</v>
      </c>
      <c r="H805" s="92">
        <v>2.1299999999999999E-2</v>
      </c>
      <c r="I805" s="13">
        <v>0</v>
      </c>
      <c r="J805" s="13">
        <v>0</v>
      </c>
      <c r="K805" s="13"/>
      <c r="L805"/>
      <c r="M805"/>
      <c r="N805"/>
      <c r="O805"/>
      <c r="P805"/>
      <c r="Q805"/>
      <c r="R805"/>
      <c r="S805"/>
      <c r="T805"/>
      <c r="U805"/>
      <c r="V805"/>
      <c r="W805"/>
      <c r="X805"/>
      <c r="Y805"/>
      <c r="Z805"/>
      <c r="AA805"/>
      <c r="AB805"/>
      <c r="AC805"/>
      <c r="AD805"/>
      <c r="AE805"/>
      <c r="AF805"/>
      <c r="AG805"/>
      <c r="AH805"/>
      <c r="AI805"/>
      <c r="AJ805"/>
      <c r="AK805"/>
      <c r="AL805"/>
    </row>
    <row r="806" spans="1:38" ht="15.75" customHeight="1" outlineLevel="3" x14ac:dyDescent="0.2">
      <c r="A806" s="10">
        <v>3</v>
      </c>
      <c r="B806" s="10" t="s">
        <v>71</v>
      </c>
      <c r="C806" s="10" t="s">
        <v>318</v>
      </c>
      <c r="D806" s="10" t="s">
        <v>323</v>
      </c>
      <c r="E806" s="11" t="str">
        <f t="array" ref="E806">_xlfn.XLOOKUP(D806,Insumos!B:B,Insumos!C:$C)</f>
        <v>UN</v>
      </c>
      <c r="F806" s="14">
        <v>1.4999999999999999E-2</v>
      </c>
      <c r="G806" s="92">
        <f t="array" ref="G806">IF(B806="insumo",_xlfn.XLOOKUP($D806,Insumos!$B$1:$B$996,Insumos!$D$1:$D$996),"")</f>
        <v>5.68</v>
      </c>
      <c r="H806" s="92">
        <v>8.5199999999999998E-2</v>
      </c>
      <c r="I806" s="13">
        <v>0</v>
      </c>
      <c r="J806" s="13">
        <v>0</v>
      </c>
      <c r="K806" s="13"/>
      <c r="L806"/>
      <c r="M806"/>
      <c r="N806"/>
      <c r="O806"/>
      <c r="P806"/>
      <c r="Q806"/>
      <c r="R806"/>
      <c r="S806"/>
      <c r="T806"/>
      <c r="U806"/>
      <c r="V806"/>
      <c r="W806"/>
      <c r="X806"/>
      <c r="Y806"/>
      <c r="Z806"/>
      <c r="AA806"/>
      <c r="AB806"/>
      <c r="AC806"/>
      <c r="AD806"/>
      <c r="AE806"/>
      <c r="AF806"/>
      <c r="AG806"/>
      <c r="AH806"/>
      <c r="AI806"/>
      <c r="AJ806"/>
      <c r="AK806"/>
      <c r="AL806"/>
    </row>
    <row r="807" spans="1:38" ht="15.75" customHeight="1" outlineLevel="3" x14ac:dyDescent="0.2">
      <c r="A807" s="10">
        <v>3</v>
      </c>
      <c r="B807" s="10" t="s">
        <v>71</v>
      </c>
      <c r="C807" s="10" t="s">
        <v>318</v>
      </c>
      <c r="D807" s="10" t="s">
        <v>324</v>
      </c>
      <c r="E807" s="11" t="str">
        <f t="array" ref="E807">_xlfn.XLOOKUP(D807,Insumos!B:B,Insumos!C:$C)</f>
        <v>PAR</v>
      </c>
      <c r="F807" s="14">
        <v>1.4999999999999999E-2</v>
      </c>
      <c r="G807" s="92">
        <f t="array" ref="G807">IF(B807="insumo",_xlfn.XLOOKUP($D807,Insumos!$B$1:$B$996,Insumos!$D$1:$D$996),"")</f>
        <v>2.2999999999999998</v>
      </c>
      <c r="H807" s="92">
        <v>3.4500000000000003E-2</v>
      </c>
      <c r="I807" s="13">
        <v>0</v>
      </c>
      <c r="J807" s="13">
        <v>0</v>
      </c>
      <c r="K807" s="13"/>
      <c r="L807"/>
      <c r="M807"/>
      <c r="N807"/>
      <c r="O807"/>
      <c r="P807"/>
      <c r="Q807"/>
      <c r="R807"/>
      <c r="S807"/>
      <c r="T807"/>
      <c r="U807"/>
      <c r="V807"/>
      <c r="W807"/>
      <c r="X807"/>
      <c r="Y807"/>
      <c r="Z807"/>
      <c r="AA807"/>
      <c r="AB807"/>
      <c r="AC807"/>
      <c r="AD807"/>
      <c r="AE807"/>
      <c r="AF807"/>
      <c r="AG807"/>
      <c r="AH807"/>
      <c r="AI807"/>
      <c r="AJ807"/>
      <c r="AK807"/>
      <c r="AL807"/>
    </row>
    <row r="808" spans="1:38" ht="15.75" customHeight="1" outlineLevel="3" x14ac:dyDescent="0.2">
      <c r="A808" s="10">
        <v>3</v>
      </c>
      <c r="B808" s="10" t="s">
        <v>71</v>
      </c>
      <c r="C808" s="10" t="s">
        <v>318</v>
      </c>
      <c r="D808" s="10" t="s">
        <v>325</v>
      </c>
      <c r="E808" s="11" t="str">
        <f t="array" ref="E808">_xlfn.XLOOKUP(D808,Insumos!B:B,Insumos!C:$C)</f>
        <v>PAR</v>
      </c>
      <c r="F808" s="14">
        <v>1.3</v>
      </c>
      <c r="G808" s="92">
        <f t="array" ref="G808">IF(B808="insumo",_xlfn.XLOOKUP($D808,Insumos!$B$1:$B$996,Insumos!$D$1:$D$996),"")</f>
        <v>3.4</v>
      </c>
      <c r="H808" s="92">
        <v>4.42</v>
      </c>
      <c r="I808" s="13">
        <v>0</v>
      </c>
      <c r="J808" s="13">
        <v>0</v>
      </c>
      <c r="K808" s="13"/>
      <c r="L808"/>
      <c r="M808"/>
      <c r="N808"/>
      <c r="O808"/>
      <c r="P808"/>
      <c r="Q808"/>
      <c r="R808"/>
      <c r="S808"/>
      <c r="T808"/>
      <c r="U808"/>
      <c r="V808"/>
      <c r="W808"/>
      <c r="X808"/>
      <c r="Y808"/>
      <c r="Z808"/>
      <c r="AA808"/>
      <c r="AB808"/>
      <c r="AC808"/>
      <c r="AD808"/>
      <c r="AE808"/>
      <c r="AF808"/>
      <c r="AG808"/>
      <c r="AH808"/>
      <c r="AI808"/>
      <c r="AJ808"/>
      <c r="AK808"/>
      <c r="AL808"/>
    </row>
    <row r="809" spans="1:38" ht="15.75" customHeight="1" outlineLevel="3" x14ac:dyDescent="0.2">
      <c r="A809" s="10">
        <v>3</v>
      </c>
      <c r="B809" s="10" t="s">
        <v>71</v>
      </c>
      <c r="C809" s="10" t="s">
        <v>318</v>
      </c>
      <c r="D809" s="10" t="s">
        <v>326</v>
      </c>
      <c r="E809" s="11" t="str">
        <f t="array" ref="E809">_xlfn.XLOOKUP(D809,Insumos!B:B,Insumos!C:$C)</f>
        <v>PAR</v>
      </c>
      <c r="F809" s="14">
        <v>1.3</v>
      </c>
      <c r="G809" s="92">
        <f t="array" ref="G809">IF(B809="insumo",_xlfn.XLOOKUP($D809,Insumos!$B$1:$B$996,Insumos!$D$1:$D$996),"")</f>
        <v>1.1000000000000001</v>
      </c>
      <c r="H809" s="92">
        <v>1.43</v>
      </c>
      <c r="I809" s="13">
        <v>0</v>
      </c>
      <c r="J809" s="13">
        <v>0</v>
      </c>
      <c r="K809" s="13"/>
      <c r="L809"/>
      <c r="M809"/>
      <c r="N809"/>
      <c r="O809"/>
      <c r="P809"/>
      <c r="Q809"/>
      <c r="R809"/>
      <c r="S809"/>
      <c r="T809"/>
      <c r="U809"/>
      <c r="V809"/>
      <c r="W809"/>
      <c r="X809"/>
      <c r="Y809"/>
      <c r="Z809"/>
      <c r="AA809"/>
      <c r="AB809"/>
      <c r="AC809"/>
      <c r="AD809"/>
      <c r="AE809"/>
      <c r="AF809"/>
      <c r="AG809"/>
      <c r="AH809"/>
      <c r="AI809"/>
      <c r="AJ809"/>
      <c r="AK809"/>
      <c r="AL809"/>
    </row>
    <row r="810" spans="1:38" ht="15.75" customHeight="1" outlineLevel="2" x14ac:dyDescent="0.2">
      <c r="A810" s="1067">
        <v>2</v>
      </c>
      <c r="B810" s="1067" t="s">
        <v>68</v>
      </c>
      <c r="C810" s="1067" t="s">
        <v>327</v>
      </c>
      <c r="D810" s="1067" t="s">
        <v>327</v>
      </c>
      <c r="E810" s="1068" t="s">
        <v>152</v>
      </c>
      <c r="F810" s="1067"/>
      <c r="G810" s="1069" t="str">
        <f t="array" ref="G810">IF(B810="insumo",_xlfn.XLOOKUP($D810,Insumos!$B$1:$B$996,Insumos!$D$1:$D$996),"")</f>
        <v/>
      </c>
      <c r="H810" s="1069">
        <v>44.255375999999998</v>
      </c>
      <c r="I810" s="1070">
        <v>0</v>
      </c>
      <c r="J810" s="1070">
        <v>0</v>
      </c>
      <c r="K810" s="1070"/>
      <c r="L810"/>
      <c r="M810"/>
      <c r="N810"/>
      <c r="O810"/>
      <c r="P810"/>
      <c r="Q810"/>
      <c r="R810"/>
      <c r="S810"/>
      <c r="T810"/>
      <c r="U810"/>
      <c r="V810"/>
      <c r="W810"/>
      <c r="X810"/>
      <c r="Y810"/>
      <c r="Z810"/>
      <c r="AA810"/>
      <c r="AB810"/>
      <c r="AC810"/>
      <c r="AD810"/>
      <c r="AE810"/>
      <c r="AF810"/>
      <c r="AG810"/>
      <c r="AH810"/>
      <c r="AI810"/>
      <c r="AJ810"/>
      <c r="AK810"/>
      <c r="AL810"/>
    </row>
    <row r="811" spans="1:38" ht="15.75" customHeight="1" outlineLevel="3" x14ac:dyDescent="0.2">
      <c r="A811" s="10">
        <v>2</v>
      </c>
      <c r="B811" s="10" t="s">
        <v>71</v>
      </c>
      <c r="C811" s="10" t="s">
        <v>327</v>
      </c>
      <c r="D811" s="10" t="s">
        <v>328</v>
      </c>
      <c r="E811" s="11" t="str">
        <f t="array" ref="E811">_xlfn.XLOOKUP(D811,Insumos!B:B,Insumos!C:$C)</f>
        <v>UN/MÊS</v>
      </c>
      <c r="F811" s="14">
        <f>ROUNDUP(1/(0.6*0.6),2)</f>
        <v>2.78</v>
      </c>
      <c r="G811" s="92">
        <f t="array" ref="G811">IF(B811="insumo",_xlfn.XLOOKUP($D811,Insumos!$B$1:$B$996,Insumos!$D$1:$D$996),"")</f>
        <v>5.3064</v>
      </c>
      <c r="H811" s="92">
        <v>14.751792</v>
      </c>
      <c r="I811" s="13">
        <v>0</v>
      </c>
      <c r="J811" s="13">
        <v>0</v>
      </c>
      <c r="K811" s="13"/>
      <c r="L811"/>
      <c r="M811"/>
      <c r="N811"/>
      <c r="O811"/>
      <c r="P811"/>
      <c r="Q811"/>
      <c r="R811"/>
      <c r="S811"/>
      <c r="T811"/>
      <c r="U811"/>
      <c r="V811"/>
      <c r="W811"/>
      <c r="X811"/>
      <c r="Y811"/>
      <c r="Z811"/>
      <c r="AA811"/>
      <c r="AB811"/>
      <c r="AC811"/>
      <c r="AD811"/>
      <c r="AE811"/>
      <c r="AF811"/>
      <c r="AG811"/>
      <c r="AH811"/>
      <c r="AI811"/>
      <c r="AJ811"/>
      <c r="AK811"/>
      <c r="AL811"/>
    </row>
    <row r="812" spans="1:38" ht="15.75" customHeight="1" outlineLevel="2" x14ac:dyDescent="0.2">
      <c r="A812" s="1067">
        <v>2</v>
      </c>
      <c r="B812" s="1067" t="s">
        <v>68</v>
      </c>
      <c r="C812" s="1067" t="s">
        <v>329</v>
      </c>
      <c r="D812" s="1067" t="s">
        <v>329</v>
      </c>
      <c r="E812" s="1068" t="s">
        <v>152</v>
      </c>
      <c r="F812" s="1067"/>
      <c r="G812" s="1069" t="str">
        <f t="array" ref="G812">IF(B812="insumo",_xlfn.XLOOKUP($D812,Insumos!$B$1:$B$996,Insumos!$D$1:$D$996),"")</f>
        <v/>
      </c>
      <c r="H812" s="1069">
        <v>118298.43</v>
      </c>
      <c r="I812" s="1070">
        <v>0</v>
      </c>
      <c r="J812" s="1070">
        <v>0</v>
      </c>
      <c r="K812" s="1070"/>
      <c r="L812"/>
      <c r="M812"/>
      <c r="N812"/>
      <c r="O812"/>
      <c r="P812"/>
      <c r="Q812"/>
      <c r="R812"/>
      <c r="S812"/>
      <c r="T812"/>
      <c r="U812"/>
      <c r="V812"/>
      <c r="W812"/>
      <c r="X812"/>
      <c r="Y812"/>
      <c r="Z812"/>
      <c r="AA812"/>
      <c r="AB812"/>
      <c r="AC812"/>
      <c r="AD812"/>
      <c r="AE812"/>
      <c r="AF812"/>
      <c r="AG812"/>
      <c r="AH812"/>
      <c r="AI812"/>
      <c r="AJ812"/>
      <c r="AK812"/>
      <c r="AL812"/>
    </row>
    <row r="813" spans="1:38" ht="15.75" customHeight="1" outlineLevel="3" x14ac:dyDescent="0.2">
      <c r="A813" s="10">
        <v>2</v>
      </c>
      <c r="B813" s="10" t="s">
        <v>71</v>
      </c>
      <c r="C813" s="10" t="s">
        <v>329</v>
      </c>
      <c r="D813" s="10" t="str">
        <f>D812</f>
        <v>Manutenção de cubetas proprias</v>
      </c>
      <c r="E813" s="11" t="str">
        <f t="array" ref="E813">_xlfn.XLOOKUP(D813,Insumos!B:B,Insumos!C:$C)</f>
        <v>VB</v>
      </c>
      <c r="F813" s="14">
        <v>1</v>
      </c>
      <c r="G813" s="92">
        <f t="array" ref="G813">IF(B813="insumo",_xlfn.XLOOKUP($D813,Insumos!$B$1:$B$996,Insumos!$D$1:$D$996),"")</f>
        <v>39432.81</v>
      </c>
      <c r="H813" s="92">
        <v>39432.81</v>
      </c>
      <c r="I813" s="13">
        <v>0</v>
      </c>
      <c r="J813" s="13">
        <v>0</v>
      </c>
      <c r="K813" s="13"/>
      <c r="L813"/>
      <c r="M813"/>
      <c r="N813"/>
      <c r="O813"/>
      <c r="P813"/>
      <c r="Q813"/>
      <c r="R813"/>
      <c r="S813"/>
      <c r="T813"/>
      <c r="U813"/>
      <c r="V813"/>
      <c r="W813"/>
      <c r="X813"/>
      <c r="Y813"/>
      <c r="Z813"/>
      <c r="AA813"/>
      <c r="AB813"/>
      <c r="AC813"/>
      <c r="AD813"/>
      <c r="AE813"/>
      <c r="AF813"/>
      <c r="AG813"/>
      <c r="AH813"/>
      <c r="AI813"/>
      <c r="AJ813"/>
      <c r="AK813"/>
      <c r="AL813"/>
    </row>
    <row r="814" spans="1:38" ht="12.75" outlineLevel="2" x14ac:dyDescent="0.2">
      <c r="A814" s="1071">
        <v>1</v>
      </c>
      <c r="B814" s="1071" t="s">
        <v>68</v>
      </c>
      <c r="C814" s="1071" t="s">
        <v>1768</v>
      </c>
      <c r="D814" s="1071" t="s">
        <v>1768</v>
      </c>
      <c r="E814" s="1072" t="s">
        <v>1769</v>
      </c>
      <c r="F814" s="1071"/>
      <c r="G814" s="1073" t="str">
        <f t="array" ref="G814">IF(B814="insumo",_xlfn.XLOOKUP($D814,Insumos!$B$1:$B$996,Insumos!$D$1:$D$996),"")</f>
        <v/>
      </c>
      <c r="H814" s="1073">
        <v>125.072312252964</v>
      </c>
      <c r="I814" s="1074">
        <v>0</v>
      </c>
      <c r="J814" s="1074">
        <v>0</v>
      </c>
      <c r="K814" s="1074"/>
      <c r="L814"/>
      <c r="M814"/>
      <c r="N814"/>
      <c r="O814"/>
      <c r="P814"/>
      <c r="Q814"/>
      <c r="R814"/>
      <c r="S814"/>
      <c r="T814"/>
      <c r="U814"/>
      <c r="V814"/>
      <c r="W814"/>
      <c r="X814"/>
      <c r="Y814"/>
      <c r="Z814"/>
      <c r="AA814"/>
      <c r="AB814"/>
      <c r="AC814"/>
      <c r="AD814"/>
      <c r="AE814"/>
      <c r="AF814"/>
      <c r="AG814"/>
      <c r="AH814"/>
      <c r="AI814"/>
      <c r="AJ814"/>
      <c r="AK814"/>
      <c r="AL814"/>
    </row>
    <row r="815" spans="1:38" ht="12.75" outlineLevel="3" x14ac:dyDescent="0.2">
      <c r="A815" s="82">
        <v>3</v>
      </c>
      <c r="B815" s="82" t="s">
        <v>71</v>
      </c>
      <c r="C815" s="82" t="s">
        <v>1768</v>
      </c>
      <c r="D815" s="82" t="s">
        <v>319</v>
      </c>
      <c r="E815" s="11" t="str">
        <f t="array" ref="E815">_xlfn.XLOOKUP(D815,Insumos!B:B,Insumos!C:$C)</f>
        <v>UN</v>
      </c>
      <c r="F815" s="86">
        <v>1</v>
      </c>
      <c r="G815" s="92">
        <f t="array" ref="G815">IF(B815="insumo",_xlfn.XLOOKUP($D815,Insumos!$B$1:$B$996,Insumos!$D$1:$D$996),"")</f>
        <v>12.5</v>
      </c>
      <c r="H815" s="92">
        <v>12.5</v>
      </c>
      <c r="I815" s="84">
        <v>0</v>
      </c>
      <c r="J815" s="84">
        <v>0</v>
      </c>
      <c r="K815" s="84"/>
      <c r="L815"/>
      <c r="M815"/>
      <c r="N815"/>
      <c r="O815"/>
      <c r="P815"/>
      <c r="Q815"/>
      <c r="R815"/>
      <c r="S815"/>
      <c r="T815"/>
      <c r="U815"/>
      <c r="V815"/>
      <c r="W815"/>
      <c r="X815"/>
      <c r="Y815"/>
      <c r="Z815"/>
      <c r="AA815"/>
      <c r="AB815"/>
      <c r="AC815"/>
      <c r="AD815"/>
      <c r="AE815"/>
      <c r="AF815"/>
      <c r="AG815"/>
      <c r="AH815"/>
      <c r="AI815"/>
      <c r="AJ815"/>
      <c r="AK815"/>
      <c r="AL815"/>
    </row>
    <row r="816" spans="1:38" ht="12.75" outlineLevel="3" x14ac:dyDescent="0.2">
      <c r="A816" s="82">
        <v>3</v>
      </c>
      <c r="B816" s="82" t="s">
        <v>71</v>
      </c>
      <c r="C816" s="82" t="s">
        <v>1768</v>
      </c>
      <c r="D816" s="82" t="s">
        <v>320</v>
      </c>
      <c r="E816" s="11" t="str">
        <f t="array" ref="E816">_xlfn.XLOOKUP(D816,Insumos!B:B,Insumos!C:$C)</f>
        <v>PAR</v>
      </c>
      <c r="F816" s="86">
        <v>1</v>
      </c>
      <c r="G816" s="92">
        <f t="array" ref="G816">IF(B816="insumo",_xlfn.XLOOKUP($D816,Insumos!$B$1:$B$996,Insumos!$D$1:$D$996),"")</f>
        <v>9.1300000000000008</v>
      </c>
      <c r="H816" s="92">
        <v>9.1300000000000008</v>
      </c>
      <c r="I816" s="84">
        <v>0</v>
      </c>
      <c r="J816" s="84">
        <v>0</v>
      </c>
      <c r="K816" s="84"/>
      <c r="L816"/>
      <c r="M816"/>
      <c r="N816"/>
      <c r="O816"/>
      <c r="P816"/>
      <c r="Q816"/>
      <c r="R816"/>
      <c r="S816"/>
      <c r="T816"/>
      <c r="U816"/>
      <c r="V816"/>
      <c r="W816"/>
      <c r="X816"/>
      <c r="Y816"/>
      <c r="Z816"/>
      <c r="AA816"/>
      <c r="AB816"/>
      <c r="AC816"/>
      <c r="AD816"/>
      <c r="AE816"/>
      <c r="AF816"/>
      <c r="AG816"/>
      <c r="AH816"/>
      <c r="AI816"/>
      <c r="AJ816"/>
      <c r="AK816"/>
      <c r="AL816"/>
    </row>
    <row r="817" spans="1:38" ht="12.75" outlineLevel="3" x14ac:dyDescent="0.2">
      <c r="A817" s="82">
        <v>3</v>
      </c>
      <c r="B817" s="82" t="s">
        <v>71</v>
      </c>
      <c r="C817" s="82" t="s">
        <v>1768</v>
      </c>
      <c r="D817" s="82" t="s">
        <v>321</v>
      </c>
      <c r="E817" s="11" t="str">
        <f t="array" ref="E817">_xlfn.XLOOKUP(D817,Insumos!B:B,Insumos!C:$C)</f>
        <v>UN</v>
      </c>
      <c r="F817" s="86">
        <v>4.7430830039525684</v>
      </c>
      <c r="G817" s="92">
        <f t="array" ref="G817">IF(B817="insumo",_xlfn.XLOOKUP($D817,Insumos!$B$1:$B$996,Insumos!$D$1:$D$996),"")</f>
        <v>2.85</v>
      </c>
      <c r="H817" s="92">
        <v>13.517786561264799</v>
      </c>
      <c r="I817" s="84">
        <v>0</v>
      </c>
      <c r="J817" s="84">
        <v>0</v>
      </c>
      <c r="K817" s="84"/>
      <c r="L817"/>
      <c r="M817"/>
      <c r="N817"/>
      <c r="O817"/>
      <c r="P817"/>
      <c r="Q817"/>
      <c r="R817"/>
      <c r="S817"/>
      <c r="T817"/>
      <c r="U817"/>
      <c r="V817"/>
      <c r="W817"/>
      <c r="X817"/>
      <c r="Y817"/>
      <c r="Z817"/>
      <c r="AA817"/>
      <c r="AB817"/>
      <c r="AC817"/>
      <c r="AD817"/>
      <c r="AE817"/>
      <c r="AF817"/>
      <c r="AG817"/>
      <c r="AH817"/>
      <c r="AI817"/>
      <c r="AJ817"/>
      <c r="AK817"/>
      <c r="AL817"/>
    </row>
    <row r="818" spans="1:38" ht="12.75" outlineLevel="3" x14ac:dyDescent="0.2">
      <c r="A818" s="82">
        <v>3</v>
      </c>
      <c r="B818" s="82" t="s">
        <v>71</v>
      </c>
      <c r="C818" s="82" t="s">
        <v>1768</v>
      </c>
      <c r="D818" s="82" t="s">
        <v>322</v>
      </c>
      <c r="E818" s="11" t="str">
        <f t="array" ref="E818">_xlfn.XLOOKUP(D818,Insumos!B:B,Insumos!C:$C)</f>
        <v>UN</v>
      </c>
      <c r="F818" s="86">
        <v>4.7430830039525684</v>
      </c>
      <c r="G818" s="92">
        <f t="array" ref="G818">IF(B818="insumo",_xlfn.XLOOKUP($D818,Insumos!$B$1:$B$996,Insumos!$D$1:$D$996),"")</f>
        <v>1.42</v>
      </c>
      <c r="H818" s="92">
        <v>6.7351778656126502</v>
      </c>
      <c r="I818" s="84">
        <v>0</v>
      </c>
      <c r="J818" s="84">
        <v>0</v>
      </c>
      <c r="K818" s="84"/>
      <c r="L818"/>
      <c r="M818"/>
      <c r="N818"/>
      <c r="O818"/>
      <c r="P818"/>
      <c r="Q818"/>
      <c r="R818"/>
      <c r="S818"/>
      <c r="T818"/>
      <c r="U818"/>
      <c r="V818"/>
      <c r="W818"/>
      <c r="X818"/>
      <c r="Y818"/>
      <c r="Z818"/>
      <c r="AA818"/>
      <c r="AB818"/>
      <c r="AC818"/>
      <c r="AD818"/>
      <c r="AE818"/>
      <c r="AF818"/>
      <c r="AG818"/>
      <c r="AH818"/>
      <c r="AI818"/>
      <c r="AJ818"/>
      <c r="AK818"/>
      <c r="AL818"/>
    </row>
    <row r="819" spans="1:38" ht="12.75" outlineLevel="3" x14ac:dyDescent="0.2">
      <c r="A819" s="82">
        <v>2</v>
      </c>
      <c r="B819" s="82" t="s">
        <v>71</v>
      </c>
      <c r="C819" s="82" t="s">
        <v>1768</v>
      </c>
      <c r="D819" s="82" t="s">
        <v>1737</v>
      </c>
      <c r="E819" s="11" t="str">
        <f t="array" ref="E819">_xlfn.XLOOKUP(D819,Insumos!B:B,Insumos!C:$C)</f>
        <v>KG</v>
      </c>
      <c r="F819" s="86">
        <v>1.05</v>
      </c>
      <c r="G819" s="92">
        <f t="array" ref="G819">IF(B819="insumo",_xlfn.XLOOKUP($D819,Insumos!$B$1:$B$996,Insumos!$D$1:$D$996),"")</f>
        <v>15.5</v>
      </c>
      <c r="H819" s="92">
        <v>16.274999999999999</v>
      </c>
      <c r="I819" s="84">
        <v>0</v>
      </c>
      <c r="J819" s="84">
        <v>0</v>
      </c>
      <c r="K819" s="84"/>
      <c r="L819"/>
      <c r="M819"/>
      <c r="N819"/>
      <c r="O819"/>
      <c r="P819"/>
      <c r="Q819"/>
      <c r="R819"/>
      <c r="S819"/>
      <c r="T819"/>
      <c r="U819"/>
      <c r="V819"/>
      <c r="W819"/>
      <c r="X819"/>
      <c r="Y819"/>
      <c r="Z819"/>
      <c r="AA819"/>
      <c r="AB819"/>
      <c r="AC819"/>
      <c r="AD819"/>
      <c r="AE819"/>
      <c r="AF819"/>
      <c r="AG819"/>
      <c r="AH819"/>
      <c r="AI819"/>
      <c r="AJ819"/>
      <c r="AK819"/>
      <c r="AL819"/>
    </row>
    <row r="820" spans="1:38" ht="12.75" outlineLevel="3" x14ac:dyDescent="0.2">
      <c r="A820" s="82">
        <v>3</v>
      </c>
      <c r="B820" s="82" t="s">
        <v>71</v>
      </c>
      <c r="C820" s="82" t="s">
        <v>1768</v>
      </c>
      <c r="D820" s="82" t="s">
        <v>323</v>
      </c>
      <c r="E820" s="11" t="str">
        <f t="array" ref="E820">_xlfn.XLOOKUP(D820,Insumos!B:B,Insumos!C:$C)</f>
        <v>UN</v>
      </c>
      <c r="F820" s="86">
        <v>7.6521739130434776</v>
      </c>
      <c r="G820" s="92">
        <f t="array" ref="G820">IF(B820="insumo",_xlfn.XLOOKUP($D820,Insumos!$B$1:$B$996,Insumos!$D$1:$D$996),"")</f>
        <v>5.68</v>
      </c>
      <c r="H820" s="92">
        <v>43.464347826087</v>
      </c>
      <c r="I820" s="84">
        <v>0</v>
      </c>
      <c r="J820" s="84">
        <v>0</v>
      </c>
      <c r="K820" s="84"/>
      <c r="L820"/>
      <c r="M820"/>
      <c r="N820"/>
      <c r="O820"/>
      <c r="P820"/>
      <c r="Q820"/>
      <c r="R820"/>
      <c r="S820"/>
      <c r="T820"/>
      <c r="U820"/>
      <c r="V820"/>
      <c r="W820"/>
      <c r="X820"/>
      <c r="Y820"/>
      <c r="Z820"/>
      <c r="AA820"/>
      <c r="AB820"/>
      <c r="AC820"/>
      <c r="AD820"/>
      <c r="AE820"/>
      <c r="AF820"/>
      <c r="AG820"/>
      <c r="AH820"/>
      <c r="AI820"/>
      <c r="AJ820"/>
      <c r="AK820"/>
      <c r="AL820"/>
    </row>
    <row r="821" spans="1:38" ht="12.75" outlineLevel="3" x14ac:dyDescent="0.2">
      <c r="A821" s="82">
        <v>3</v>
      </c>
      <c r="B821" s="82" t="s">
        <v>71</v>
      </c>
      <c r="C821" s="82" t="s">
        <v>1768</v>
      </c>
      <c r="D821" s="82" t="s">
        <v>324</v>
      </c>
      <c r="E821" s="11" t="str">
        <f t="array" ref="E821">_xlfn.XLOOKUP(D821,Insumos!B:B,Insumos!C:$C)</f>
        <v>PAR</v>
      </c>
      <c r="F821" s="86">
        <v>7.6521739130434776</v>
      </c>
      <c r="G821" s="92">
        <f t="array" ref="G821">IF(B821="insumo",_xlfn.XLOOKUP($D821,Insumos!$B$1:$B$996,Insumos!$D$1:$D$996),"")</f>
        <v>2.2999999999999998</v>
      </c>
      <c r="H821" s="92">
        <v>17.600000000000001</v>
      </c>
      <c r="I821" s="84">
        <v>0</v>
      </c>
      <c r="J821" s="84">
        <v>0</v>
      </c>
      <c r="K821" s="84"/>
      <c r="L821"/>
      <c r="M821"/>
      <c r="N821"/>
      <c r="O821"/>
      <c r="P821"/>
      <c r="Q821"/>
      <c r="R821"/>
      <c r="S821"/>
      <c r="T821"/>
      <c r="U821"/>
      <c r="V821"/>
      <c r="W821"/>
      <c r="X821"/>
      <c r="Y821"/>
      <c r="Z821"/>
      <c r="AA821"/>
      <c r="AB821"/>
      <c r="AC821"/>
      <c r="AD821"/>
      <c r="AE821"/>
      <c r="AF821"/>
      <c r="AG821"/>
      <c r="AH821"/>
      <c r="AI821"/>
      <c r="AJ821"/>
      <c r="AK821"/>
      <c r="AL821"/>
    </row>
    <row r="822" spans="1:38" ht="12.75" outlineLevel="3" x14ac:dyDescent="0.2">
      <c r="A822" s="82">
        <v>3</v>
      </c>
      <c r="B822" s="82" t="s">
        <v>71</v>
      </c>
      <c r="C822" s="82" t="s">
        <v>1768</v>
      </c>
      <c r="D822" s="82" t="s">
        <v>325</v>
      </c>
      <c r="E822" s="11" t="str">
        <f t="array" ref="E822">_xlfn.XLOOKUP(D822,Insumos!B:B,Insumos!C:$C)</f>
        <v>PAR</v>
      </c>
      <c r="F822" s="86">
        <v>1.3</v>
      </c>
      <c r="G822" s="92">
        <f t="array" ref="G822">IF(B822="insumo",_xlfn.XLOOKUP($D822,Insumos!$B$1:$B$996,Insumos!$D$1:$D$996),"")</f>
        <v>3.4</v>
      </c>
      <c r="H822" s="92">
        <v>4.42</v>
      </c>
      <c r="I822" s="84">
        <v>0</v>
      </c>
      <c r="J822" s="84">
        <v>0</v>
      </c>
      <c r="K822" s="84"/>
      <c r="L822"/>
      <c r="M822"/>
      <c r="N822"/>
      <c r="O822"/>
      <c r="P822"/>
      <c r="Q822"/>
      <c r="R822"/>
      <c r="S822"/>
      <c r="T822"/>
      <c r="U822"/>
      <c r="V822"/>
      <c r="W822"/>
      <c r="X822"/>
      <c r="Y822"/>
      <c r="Z822"/>
      <c r="AA822"/>
      <c r="AB822"/>
      <c r="AC822"/>
      <c r="AD822"/>
      <c r="AE822"/>
      <c r="AF822"/>
      <c r="AG822"/>
      <c r="AH822"/>
      <c r="AI822"/>
      <c r="AJ822"/>
      <c r="AK822"/>
      <c r="AL822"/>
    </row>
    <row r="823" spans="1:38" ht="12.75" outlineLevel="3" x14ac:dyDescent="0.2">
      <c r="A823" s="82">
        <v>3</v>
      </c>
      <c r="B823" s="82" t="s">
        <v>71</v>
      </c>
      <c r="C823" s="82" t="s">
        <v>1768</v>
      </c>
      <c r="D823" s="82" t="s">
        <v>326</v>
      </c>
      <c r="E823" s="11" t="str">
        <f t="array" ref="E823">_xlfn.XLOOKUP(D823,Insumos!B:B,Insumos!C:$C)</f>
        <v>PAR</v>
      </c>
      <c r="F823" s="86">
        <v>1.3</v>
      </c>
      <c r="G823" s="92">
        <f t="array" ref="G823">IF(B823="insumo",_xlfn.XLOOKUP($D823,Insumos!$B$1:$B$996,Insumos!$D$1:$D$996),"")</f>
        <v>1.1000000000000001</v>
      </c>
      <c r="H823" s="92">
        <v>1.43</v>
      </c>
      <c r="I823" s="84">
        <v>0</v>
      </c>
      <c r="J823" s="84">
        <v>0</v>
      </c>
      <c r="K823" s="84"/>
      <c r="L823"/>
      <c r="M823"/>
      <c r="N823"/>
      <c r="O823"/>
      <c r="P823"/>
      <c r="Q823"/>
      <c r="R823"/>
      <c r="S823"/>
      <c r="T823"/>
      <c r="U823"/>
      <c r="V823"/>
      <c r="W823"/>
      <c r="X823"/>
      <c r="Y823"/>
      <c r="Z823"/>
      <c r="AA823"/>
      <c r="AB823"/>
      <c r="AC823"/>
      <c r="AD823"/>
      <c r="AE823"/>
      <c r="AF823"/>
      <c r="AG823"/>
      <c r="AH823"/>
      <c r="AI823"/>
      <c r="AJ823"/>
      <c r="AK823"/>
      <c r="AL823"/>
    </row>
    <row r="824" spans="1:38" ht="12.75" outlineLevel="2" x14ac:dyDescent="0.2">
      <c r="A824" s="1071">
        <v>1</v>
      </c>
      <c r="B824" s="1071" t="s">
        <v>68</v>
      </c>
      <c r="C824" s="1071" t="s">
        <v>1737</v>
      </c>
      <c r="D824" s="1071" t="s">
        <v>1737</v>
      </c>
      <c r="E824" s="1072" t="s">
        <v>1769</v>
      </c>
      <c r="F824" s="1071"/>
      <c r="G824" s="1073" t="str">
        <f t="array" ref="G824">IF(B824="insumo",_xlfn.XLOOKUP($D824,Insumos!$B$1:$B$996,Insumos!$D$1:$D$996),"")</f>
        <v/>
      </c>
      <c r="H824" s="1073">
        <v>16.274999999999999</v>
      </c>
      <c r="I824" s="1074">
        <v>0</v>
      </c>
      <c r="J824" s="1074">
        <v>0</v>
      </c>
      <c r="K824" s="1074"/>
      <c r="L824"/>
      <c r="M824"/>
      <c r="N824"/>
      <c r="O824"/>
      <c r="P824"/>
      <c r="Q824"/>
      <c r="R824"/>
      <c r="S824"/>
      <c r="T824"/>
      <c r="U824"/>
      <c r="V824"/>
      <c r="W824"/>
      <c r="X824"/>
      <c r="Y824"/>
      <c r="Z824"/>
      <c r="AA824"/>
      <c r="AB824"/>
      <c r="AC824"/>
      <c r="AD824"/>
      <c r="AE824"/>
      <c r="AF824"/>
      <c r="AG824"/>
      <c r="AH824"/>
      <c r="AI824"/>
      <c r="AJ824"/>
      <c r="AK824"/>
      <c r="AL824"/>
    </row>
    <row r="825" spans="1:38" ht="12.75" outlineLevel="3" x14ac:dyDescent="0.2">
      <c r="A825" s="82">
        <v>2</v>
      </c>
      <c r="B825" s="82" t="s">
        <v>71</v>
      </c>
      <c r="C825" s="82" t="s">
        <v>1737</v>
      </c>
      <c r="D825" s="82" t="s">
        <v>1737</v>
      </c>
      <c r="E825" s="11" t="str">
        <f t="array" ref="E825">_xlfn.XLOOKUP(D825,Insumos!B:B,Insumos!C:$C)</f>
        <v>KG</v>
      </c>
      <c r="F825" s="86">
        <v>1.05</v>
      </c>
      <c r="G825" s="92">
        <f t="array" ref="G825">IF(B825="insumo",_xlfn.XLOOKUP($D825,Insumos!$B$1:$B$996,Insumos!$D$1:$D$996),"")</f>
        <v>15.5</v>
      </c>
      <c r="H825" s="92">
        <v>16.274999999999999</v>
      </c>
      <c r="I825" s="84">
        <v>0</v>
      </c>
      <c r="J825" s="84">
        <v>0</v>
      </c>
      <c r="K825" s="84"/>
      <c r="L825"/>
      <c r="M825"/>
      <c r="N825"/>
      <c r="O825"/>
      <c r="P825"/>
      <c r="Q825"/>
      <c r="R825"/>
      <c r="S825"/>
      <c r="T825"/>
      <c r="U825"/>
      <c r="V825"/>
      <c r="W825"/>
      <c r="X825"/>
      <c r="Y825"/>
      <c r="Z825"/>
      <c r="AA825"/>
      <c r="AB825"/>
      <c r="AC825"/>
      <c r="AD825"/>
      <c r="AE825"/>
      <c r="AF825"/>
      <c r="AG825"/>
      <c r="AH825"/>
      <c r="AI825"/>
      <c r="AJ825"/>
      <c r="AK825"/>
      <c r="AL825"/>
    </row>
    <row r="826" spans="1:38" ht="12.75" outlineLevel="2" x14ac:dyDescent="0.2">
      <c r="A826" s="1071">
        <v>1</v>
      </c>
      <c r="B826" s="1071" t="s">
        <v>68</v>
      </c>
      <c r="C826" s="1071" t="s">
        <v>1770</v>
      </c>
      <c r="D826" s="1071" t="s">
        <v>1770</v>
      </c>
      <c r="E826" s="1072" t="s">
        <v>1771</v>
      </c>
      <c r="F826" s="1071"/>
      <c r="G826" s="1073" t="str">
        <f t="array" ref="G826">IF(B826="insumo",_xlfn.XLOOKUP($D826,Insumos!$B$1:$B$996,Insumos!$D$1:$D$996),"")</f>
        <v/>
      </c>
      <c r="H826" s="1073">
        <v>57.725000000000001</v>
      </c>
      <c r="I826" s="1074">
        <v>0</v>
      </c>
      <c r="J826" s="1074">
        <v>0</v>
      </c>
      <c r="K826" s="1074"/>
      <c r="L826"/>
      <c r="M826"/>
      <c r="N826"/>
      <c r="O826"/>
      <c r="P826"/>
      <c r="Q826"/>
      <c r="R826"/>
      <c r="S826"/>
      <c r="T826"/>
      <c r="U826"/>
      <c r="V826"/>
      <c r="W826"/>
      <c r="X826"/>
      <c r="Y826"/>
      <c r="Z826"/>
      <c r="AA826"/>
      <c r="AB826"/>
      <c r="AC826"/>
      <c r="AD826"/>
      <c r="AE826"/>
      <c r="AF826"/>
      <c r="AG826"/>
      <c r="AH826"/>
      <c r="AI826"/>
      <c r="AJ826"/>
      <c r="AK826"/>
      <c r="AL826"/>
    </row>
    <row r="827" spans="1:38" ht="12.75" outlineLevel="3" x14ac:dyDescent="0.2">
      <c r="A827" s="82">
        <v>3</v>
      </c>
      <c r="B827" s="82" t="s">
        <v>71</v>
      </c>
      <c r="C827" s="82" t="s">
        <v>1770</v>
      </c>
      <c r="D827" s="82" t="s">
        <v>319</v>
      </c>
      <c r="E827" s="11" t="str">
        <f t="array" ref="E827">_xlfn.XLOOKUP(D827,Insumos!B:B,Insumos!C:$C)</f>
        <v>UN</v>
      </c>
      <c r="F827" s="86">
        <v>1</v>
      </c>
      <c r="G827" s="92">
        <f t="array" ref="G827">IF(B827="insumo",_xlfn.XLOOKUP($D827,Insumos!$B$1:$B$996,Insumos!$D$1:$D$996),"")</f>
        <v>12.5</v>
      </c>
      <c r="H827" s="92">
        <v>12.5</v>
      </c>
      <c r="I827" s="84">
        <v>0</v>
      </c>
      <c r="J827" s="84">
        <v>0</v>
      </c>
      <c r="K827" s="84"/>
      <c r="L827"/>
      <c r="M827"/>
      <c r="N827"/>
      <c r="O827"/>
      <c r="P827"/>
      <c r="Q827"/>
      <c r="R827"/>
      <c r="S827"/>
      <c r="T827"/>
      <c r="U827"/>
      <c r="V827"/>
      <c r="W827"/>
      <c r="X827"/>
      <c r="Y827"/>
      <c r="Z827"/>
      <c r="AA827"/>
      <c r="AB827"/>
      <c r="AC827"/>
      <c r="AD827"/>
      <c r="AE827"/>
      <c r="AF827"/>
      <c r="AG827"/>
      <c r="AH827"/>
      <c r="AI827"/>
      <c r="AJ827"/>
      <c r="AK827"/>
      <c r="AL827"/>
    </row>
    <row r="828" spans="1:38" ht="12.75" outlineLevel="3" x14ac:dyDescent="0.2">
      <c r="A828" s="82">
        <v>3</v>
      </c>
      <c r="B828" s="82" t="s">
        <v>71</v>
      </c>
      <c r="C828" s="82" t="s">
        <v>1770</v>
      </c>
      <c r="D828" s="82" t="s">
        <v>320</v>
      </c>
      <c r="E828" s="11" t="str">
        <f t="array" ref="E828">_xlfn.XLOOKUP(D828,Insumos!B:B,Insumos!C:$C)</f>
        <v>PAR</v>
      </c>
      <c r="F828" s="86">
        <v>1</v>
      </c>
      <c r="G828" s="92">
        <f t="array" ref="G828">IF(B828="insumo",_xlfn.XLOOKUP($D828,Insumos!$B$1:$B$996,Insumos!$D$1:$D$996),"")</f>
        <v>9.1300000000000008</v>
      </c>
      <c r="H828" s="92">
        <v>9.1300000000000008</v>
      </c>
      <c r="I828" s="84">
        <v>0</v>
      </c>
      <c r="J828" s="84">
        <v>0</v>
      </c>
      <c r="K828" s="84"/>
      <c r="L828"/>
      <c r="M828"/>
      <c r="N828"/>
      <c r="O828"/>
      <c r="P828"/>
      <c r="Q828"/>
      <c r="R828"/>
      <c r="S828"/>
      <c r="T828"/>
      <c r="U828"/>
      <c r="V828"/>
      <c r="W828"/>
      <c r="X828"/>
      <c r="Y828"/>
      <c r="Z828"/>
      <c r="AA828"/>
      <c r="AB828"/>
      <c r="AC828"/>
      <c r="AD828"/>
      <c r="AE828"/>
      <c r="AF828"/>
      <c r="AG828"/>
      <c r="AH828"/>
      <c r="AI828"/>
      <c r="AJ828"/>
      <c r="AK828"/>
      <c r="AL828"/>
    </row>
    <row r="829" spans="1:38" ht="12.75" outlineLevel="3" x14ac:dyDescent="0.2">
      <c r="A829" s="82">
        <v>3</v>
      </c>
      <c r="B829" s="82" t="s">
        <v>71</v>
      </c>
      <c r="C829" s="82" t="s">
        <v>1770</v>
      </c>
      <c r="D829" s="82" t="s">
        <v>321</v>
      </c>
      <c r="E829" s="11" t="str">
        <f t="array" ref="E829">_xlfn.XLOOKUP(D829,Insumos!B:B,Insumos!C:$C)</f>
        <v>UN</v>
      </c>
      <c r="F829" s="86">
        <v>0.5</v>
      </c>
      <c r="G829" s="92">
        <f t="array" ref="G829">IF(B829="insumo",_xlfn.XLOOKUP($D829,Insumos!$B$1:$B$996,Insumos!$D$1:$D$996),"")</f>
        <v>2.85</v>
      </c>
      <c r="H829" s="92">
        <v>1.425</v>
      </c>
      <c r="I829" s="84">
        <v>0</v>
      </c>
      <c r="J829" s="84">
        <v>0</v>
      </c>
      <c r="K829" s="84"/>
      <c r="L829"/>
      <c r="M829"/>
      <c r="N829"/>
      <c r="O829"/>
      <c r="P829"/>
      <c r="Q829"/>
      <c r="R829"/>
      <c r="S829"/>
      <c r="T829"/>
      <c r="U829"/>
      <c r="V829"/>
      <c r="W829"/>
      <c r="X829"/>
      <c r="Y829"/>
      <c r="Z829"/>
      <c r="AA829"/>
      <c r="AB829"/>
      <c r="AC829"/>
      <c r="AD829"/>
      <c r="AE829"/>
      <c r="AF829"/>
      <c r="AG829"/>
      <c r="AH829"/>
      <c r="AI829"/>
      <c r="AJ829"/>
      <c r="AK829"/>
      <c r="AL829"/>
    </row>
    <row r="830" spans="1:38" ht="12.75" outlineLevel="3" x14ac:dyDescent="0.2">
      <c r="A830" s="82">
        <v>3</v>
      </c>
      <c r="B830" s="82" t="s">
        <v>71</v>
      </c>
      <c r="C830" s="82" t="s">
        <v>1770</v>
      </c>
      <c r="D830" s="82" t="s">
        <v>322</v>
      </c>
      <c r="E830" s="11" t="str">
        <f t="array" ref="E830">_xlfn.XLOOKUP(D830,Insumos!B:B,Insumos!C:$C)</f>
        <v>UN</v>
      </c>
      <c r="F830" s="86">
        <v>0.5</v>
      </c>
      <c r="G830" s="92">
        <f t="array" ref="G830">IF(B830="insumo",_xlfn.XLOOKUP($D830,Insumos!$B$1:$B$996,Insumos!$D$1:$D$996),"")</f>
        <v>1.42</v>
      </c>
      <c r="H830" s="92">
        <v>0.71</v>
      </c>
      <c r="I830" s="84">
        <v>0</v>
      </c>
      <c r="J830" s="84">
        <v>0</v>
      </c>
      <c r="K830" s="84"/>
      <c r="L830"/>
      <c r="M830"/>
      <c r="N830"/>
      <c r="O830"/>
      <c r="P830"/>
      <c r="Q830"/>
      <c r="R830"/>
      <c r="S830"/>
      <c r="T830"/>
      <c r="U830"/>
      <c r="V830"/>
      <c r="W830"/>
      <c r="X830"/>
      <c r="Y830"/>
      <c r="Z830"/>
      <c r="AA830"/>
      <c r="AB830"/>
      <c r="AC830"/>
      <c r="AD830"/>
      <c r="AE830"/>
      <c r="AF830"/>
      <c r="AG830"/>
      <c r="AH830"/>
      <c r="AI830"/>
      <c r="AJ830"/>
      <c r="AK830"/>
      <c r="AL830"/>
    </row>
    <row r="831" spans="1:38" ht="12.75" outlineLevel="3" x14ac:dyDescent="0.2">
      <c r="A831" s="82">
        <v>3</v>
      </c>
      <c r="B831" s="82" t="s">
        <v>71</v>
      </c>
      <c r="C831" s="82" t="s">
        <v>1770</v>
      </c>
      <c r="D831" s="82" t="s">
        <v>323</v>
      </c>
      <c r="E831" s="11" t="str">
        <f t="array" ref="E831">_xlfn.XLOOKUP(D831,Insumos!B:B,Insumos!C:$C)</f>
        <v>UN</v>
      </c>
      <c r="F831" s="86">
        <v>0.5</v>
      </c>
      <c r="G831" s="92">
        <f t="array" ref="G831">IF(B831="insumo",_xlfn.XLOOKUP($D831,Insumos!$B$1:$B$996,Insumos!$D$1:$D$996),"")</f>
        <v>5.68</v>
      </c>
      <c r="H831" s="92">
        <v>2.84</v>
      </c>
      <c r="I831" s="84">
        <v>0</v>
      </c>
      <c r="J831" s="84">
        <v>0</v>
      </c>
      <c r="K831" s="84"/>
      <c r="L831"/>
      <c r="M831"/>
      <c r="N831"/>
      <c r="O831"/>
      <c r="P831"/>
      <c r="Q831"/>
      <c r="R831"/>
      <c r="S831"/>
      <c r="T831"/>
      <c r="U831"/>
      <c r="V831"/>
      <c r="W831"/>
      <c r="X831"/>
      <c r="Y831"/>
      <c r="Z831"/>
      <c r="AA831"/>
      <c r="AB831"/>
      <c r="AC831"/>
      <c r="AD831"/>
      <c r="AE831"/>
      <c r="AF831"/>
      <c r="AG831"/>
      <c r="AH831"/>
      <c r="AI831"/>
      <c r="AJ831"/>
      <c r="AK831"/>
      <c r="AL831"/>
    </row>
    <row r="832" spans="1:38" ht="12.75" outlineLevel="3" x14ac:dyDescent="0.2">
      <c r="A832" s="82">
        <v>3</v>
      </c>
      <c r="B832" s="82" t="s">
        <v>71</v>
      </c>
      <c r="C832" s="82" t="s">
        <v>1770</v>
      </c>
      <c r="D832" s="82" t="s">
        <v>324</v>
      </c>
      <c r="E832" s="11" t="str">
        <f t="array" ref="E832">_xlfn.XLOOKUP(D832,Insumos!B:B,Insumos!C:$C)</f>
        <v>PAR</v>
      </c>
      <c r="F832" s="86">
        <v>0.5</v>
      </c>
      <c r="G832" s="92">
        <f t="array" ref="G832">IF(B832="insumo",_xlfn.XLOOKUP($D832,Insumos!$B$1:$B$996,Insumos!$D$1:$D$996),"")</f>
        <v>2.2999999999999998</v>
      </c>
      <c r="H832" s="92">
        <v>1.1499999999999999</v>
      </c>
      <c r="I832" s="84">
        <v>0</v>
      </c>
      <c r="J832" s="84">
        <v>0</v>
      </c>
      <c r="K832" s="84"/>
      <c r="L832"/>
      <c r="M832"/>
      <c r="N832"/>
      <c r="O832"/>
      <c r="P832"/>
      <c r="Q832"/>
      <c r="R832"/>
      <c r="S832"/>
      <c r="T832"/>
      <c r="U832"/>
      <c r="V832"/>
      <c r="W832"/>
      <c r="X832"/>
      <c r="Y832"/>
      <c r="Z832"/>
      <c r="AA832"/>
      <c r="AB832"/>
      <c r="AC832"/>
      <c r="AD832"/>
      <c r="AE832"/>
      <c r="AF832"/>
      <c r="AG832"/>
      <c r="AH832"/>
      <c r="AI832"/>
      <c r="AJ832"/>
      <c r="AK832"/>
      <c r="AL832"/>
    </row>
    <row r="833" spans="1:38" ht="12.75" outlineLevel="3" x14ac:dyDescent="0.2">
      <c r="A833" s="82">
        <v>3</v>
      </c>
      <c r="B833" s="82" t="s">
        <v>71</v>
      </c>
      <c r="C833" s="82" t="s">
        <v>1770</v>
      </c>
      <c r="D833" s="82" t="s">
        <v>325</v>
      </c>
      <c r="E833" s="11" t="str">
        <f t="array" ref="E833">_xlfn.XLOOKUP(D833,Insumos!B:B,Insumos!C:$C)</f>
        <v>PAR</v>
      </c>
      <c r="F833" s="86">
        <v>6.66</v>
      </c>
      <c r="G833" s="92">
        <f t="array" ref="G833">IF(B833="insumo",_xlfn.XLOOKUP($D833,Insumos!$B$1:$B$996,Insumos!$D$1:$D$996),"")</f>
        <v>3.4</v>
      </c>
      <c r="H833" s="92">
        <v>22.643999999999998</v>
      </c>
      <c r="I833" s="84">
        <v>0</v>
      </c>
      <c r="J833" s="84">
        <v>0</v>
      </c>
      <c r="K833" s="84"/>
      <c r="L833"/>
      <c r="M833"/>
      <c r="N833"/>
      <c r="O833"/>
      <c r="P833"/>
      <c r="Q833"/>
      <c r="R833"/>
      <c r="S833"/>
      <c r="T833"/>
      <c r="U833"/>
      <c r="V833"/>
      <c r="W833"/>
      <c r="X833"/>
      <c r="Y833"/>
      <c r="Z833"/>
      <c r="AA833"/>
      <c r="AB833"/>
      <c r="AC833"/>
      <c r="AD833"/>
      <c r="AE833"/>
      <c r="AF833"/>
      <c r="AG833"/>
      <c r="AH833"/>
      <c r="AI833"/>
      <c r="AJ833"/>
      <c r="AK833"/>
      <c r="AL833"/>
    </row>
    <row r="834" spans="1:38" ht="12.75" outlineLevel="3" x14ac:dyDescent="0.2">
      <c r="A834" s="82">
        <v>3</v>
      </c>
      <c r="B834" s="82" t="s">
        <v>71</v>
      </c>
      <c r="C834" s="82" t="s">
        <v>1770</v>
      </c>
      <c r="D834" s="82" t="s">
        <v>326</v>
      </c>
      <c r="E834" s="11" t="str">
        <f t="array" ref="E834">_xlfn.XLOOKUP(D834,Insumos!B:B,Insumos!C:$C)</f>
        <v>PAR</v>
      </c>
      <c r="F834" s="86">
        <v>6.66</v>
      </c>
      <c r="G834" s="92">
        <f t="array" ref="G834">IF(B834="insumo",_xlfn.XLOOKUP($D834,Insumos!$B$1:$B$996,Insumos!$D$1:$D$996),"")</f>
        <v>1.1000000000000001</v>
      </c>
      <c r="H834" s="92">
        <v>7.3259999999999996</v>
      </c>
      <c r="I834" s="84">
        <v>0</v>
      </c>
      <c r="J834" s="84">
        <v>0</v>
      </c>
      <c r="K834" s="84"/>
      <c r="L834"/>
      <c r="M834"/>
      <c r="N834"/>
      <c r="O834"/>
      <c r="P834"/>
      <c r="Q834"/>
      <c r="R834"/>
      <c r="S834"/>
      <c r="T834"/>
      <c r="U834"/>
      <c r="V834"/>
      <c r="W834"/>
      <c r="X834"/>
      <c r="Y834"/>
      <c r="Z834"/>
      <c r="AA834"/>
      <c r="AB834"/>
      <c r="AC834"/>
      <c r="AD834"/>
      <c r="AE834"/>
      <c r="AF834"/>
      <c r="AG834"/>
      <c r="AH834"/>
      <c r="AI834"/>
      <c r="AJ834"/>
      <c r="AK834"/>
      <c r="AL834"/>
    </row>
    <row r="835" spans="1:38" ht="12.75" outlineLevel="2" x14ac:dyDescent="0.2">
      <c r="A835" s="1071">
        <v>2</v>
      </c>
      <c r="B835" s="1071" t="s">
        <v>68</v>
      </c>
      <c r="C835" s="1071" t="s">
        <v>327</v>
      </c>
      <c r="D835" s="1071" t="s">
        <v>327</v>
      </c>
      <c r="E835" s="1072" t="s">
        <v>1771</v>
      </c>
      <c r="F835" s="1071"/>
      <c r="G835" s="1073" t="str">
        <f t="array" ref="G835">IF(B835="insumo",_xlfn.XLOOKUP($D835,Insumos!$B$1:$B$996,Insumos!$D$1:$D$996),"")</f>
        <v/>
      </c>
      <c r="H835" s="1073">
        <v>14.751792</v>
      </c>
      <c r="I835" s="1074">
        <v>0</v>
      </c>
      <c r="J835" s="1074">
        <v>0</v>
      </c>
      <c r="K835" s="1074"/>
      <c r="L835"/>
      <c r="M835"/>
      <c r="N835"/>
      <c r="O835"/>
      <c r="P835"/>
      <c r="Q835"/>
      <c r="R835"/>
      <c r="S835"/>
      <c r="T835"/>
      <c r="U835"/>
      <c r="V835"/>
      <c r="W835"/>
      <c r="X835"/>
      <c r="Y835"/>
      <c r="Z835"/>
      <c r="AA835"/>
      <c r="AB835"/>
      <c r="AC835"/>
      <c r="AD835"/>
      <c r="AE835"/>
      <c r="AF835"/>
      <c r="AG835"/>
      <c r="AH835"/>
      <c r="AI835"/>
      <c r="AJ835"/>
      <c r="AK835"/>
      <c r="AL835"/>
    </row>
    <row r="836" spans="1:38" ht="12.75" outlineLevel="3" x14ac:dyDescent="0.2">
      <c r="A836" s="82">
        <v>2</v>
      </c>
      <c r="B836" s="82" t="s">
        <v>71</v>
      </c>
      <c r="C836" s="82" t="s">
        <v>327</v>
      </c>
      <c r="D836" s="82" t="s">
        <v>328</v>
      </c>
      <c r="E836" s="11" t="str">
        <f t="array" ref="E836">_xlfn.XLOOKUP(D836,Insumos!B:B,Insumos!C:$C)</f>
        <v>UN/MÊS</v>
      </c>
      <c r="F836" s="86">
        <f>ROUNDUP(1/(0.6*0.6),2)</f>
        <v>2.78</v>
      </c>
      <c r="G836" s="92">
        <f t="array" ref="G836">IF(B836="insumo",_xlfn.XLOOKUP($D836,Insumos!$B$1:$B$996,Insumos!$D$1:$D$996),"")</f>
        <v>5.3064</v>
      </c>
      <c r="H836" s="92">
        <v>14.751792</v>
      </c>
      <c r="I836" s="84">
        <v>0</v>
      </c>
      <c r="J836" s="84">
        <v>0</v>
      </c>
      <c r="K836" s="84"/>
      <c r="L836"/>
      <c r="M836"/>
      <c r="N836"/>
      <c r="O836"/>
      <c r="P836"/>
      <c r="Q836"/>
      <c r="R836"/>
      <c r="S836"/>
      <c r="T836"/>
      <c r="U836"/>
      <c r="V836"/>
      <c r="W836"/>
      <c r="X836"/>
      <c r="Y836"/>
      <c r="Z836"/>
      <c r="AA836"/>
      <c r="AB836"/>
      <c r="AC836"/>
      <c r="AD836"/>
      <c r="AE836"/>
      <c r="AF836"/>
      <c r="AG836"/>
      <c r="AH836"/>
      <c r="AI836"/>
      <c r="AJ836"/>
      <c r="AK836"/>
      <c r="AL836"/>
    </row>
    <row r="837" spans="1:38" ht="12.75" outlineLevel="2" x14ac:dyDescent="0.2">
      <c r="A837" s="1071">
        <v>2</v>
      </c>
      <c r="B837" s="1071" t="s">
        <v>68</v>
      </c>
      <c r="C837" s="1071" t="s">
        <v>329</v>
      </c>
      <c r="D837" s="1071" t="s">
        <v>329</v>
      </c>
      <c r="E837" s="1072" t="s">
        <v>152</v>
      </c>
      <c r="F837" s="1071"/>
      <c r="G837" s="1073" t="str">
        <f t="array" ref="G837">IF(B837="insumo",_xlfn.XLOOKUP($D837,Insumos!$B$1:$B$996,Insumos!$D$1:$D$996),"")</f>
        <v/>
      </c>
      <c r="H837" s="1073">
        <v>39432.81</v>
      </c>
      <c r="I837" s="1074">
        <v>0</v>
      </c>
      <c r="J837" s="1074">
        <v>0</v>
      </c>
      <c r="K837" s="1074"/>
      <c r="L837"/>
      <c r="M837"/>
      <c r="N837"/>
      <c r="O837"/>
      <c r="P837"/>
      <c r="Q837"/>
      <c r="R837"/>
      <c r="S837"/>
      <c r="T837"/>
      <c r="U837"/>
      <c r="V837"/>
      <c r="W837"/>
      <c r="X837"/>
      <c r="Y837"/>
      <c r="Z837"/>
      <c r="AA837"/>
      <c r="AB837"/>
      <c r="AC837"/>
      <c r="AD837"/>
      <c r="AE837"/>
      <c r="AF837"/>
      <c r="AG837"/>
      <c r="AH837"/>
      <c r="AI837"/>
      <c r="AJ837"/>
      <c r="AK837"/>
      <c r="AL837"/>
    </row>
    <row r="838" spans="1:38" ht="12.75" outlineLevel="3" x14ac:dyDescent="0.2">
      <c r="A838" s="82">
        <v>2</v>
      </c>
      <c r="B838" s="82" t="s">
        <v>71</v>
      </c>
      <c r="C838" s="82" t="s">
        <v>329</v>
      </c>
      <c r="D838" s="82" t="str">
        <f>D837</f>
        <v>Manutenção de cubetas proprias</v>
      </c>
      <c r="E838" s="11" t="str">
        <f t="array" ref="E838">_xlfn.XLOOKUP(D838,Insumos!B:B,Insumos!C:$C)</f>
        <v>VB</v>
      </c>
      <c r="F838" s="86">
        <v>1</v>
      </c>
      <c r="G838" s="92">
        <f t="array" ref="G838">IF(B838="insumo",_xlfn.XLOOKUP($D838,Insumos!$B$1:$B$996,Insumos!$D$1:$D$996),"")</f>
        <v>39432.81</v>
      </c>
      <c r="H838" s="92">
        <v>39432.81</v>
      </c>
      <c r="I838" s="84">
        <v>0</v>
      </c>
      <c r="J838" s="84">
        <v>0</v>
      </c>
      <c r="K838" s="84"/>
      <c r="L838"/>
      <c r="M838"/>
      <c r="N838"/>
      <c r="O838"/>
      <c r="P838"/>
      <c r="Q838"/>
      <c r="R838"/>
      <c r="S838"/>
      <c r="T838"/>
      <c r="U838"/>
      <c r="V838"/>
      <c r="W838"/>
      <c r="X838"/>
      <c r="Y838"/>
      <c r="Z838"/>
      <c r="AA838"/>
      <c r="AB838"/>
      <c r="AC838"/>
      <c r="AD838"/>
      <c r="AE838"/>
      <c r="AF838"/>
      <c r="AG838"/>
      <c r="AH838"/>
      <c r="AI838"/>
      <c r="AJ838"/>
      <c r="AK838"/>
      <c r="AL838"/>
    </row>
    <row r="839" spans="1:38" ht="15.75" customHeight="1" outlineLevel="2" x14ac:dyDescent="0.2">
      <c r="A839" s="1067">
        <v>1</v>
      </c>
      <c r="B839" s="1067" t="s">
        <v>68</v>
      </c>
      <c r="C839" s="1067" t="s">
        <v>330</v>
      </c>
      <c r="D839" s="1067" t="s">
        <v>330</v>
      </c>
      <c r="E839" s="1068" t="s">
        <v>70</v>
      </c>
      <c r="F839" s="1075"/>
      <c r="G839" s="1069" t="str">
        <f t="array" ref="G839">IF(B839="insumo",_xlfn.XLOOKUP($D839,Insumos!$B$1:$B$996,Insumos!$D$1:$D$996),"")</f>
        <v/>
      </c>
      <c r="H839" s="1069">
        <v>36.425026506170703</v>
      </c>
      <c r="I839" s="1070">
        <v>16241.65</v>
      </c>
      <c r="J839" s="1070">
        <v>591602.53175394703</v>
      </c>
      <c r="K839" s="1070"/>
      <c r="L839"/>
      <c r="M839"/>
      <c r="N839"/>
      <c r="O839"/>
      <c r="P839"/>
      <c r="Q839"/>
      <c r="R839"/>
      <c r="S839"/>
      <c r="T839"/>
      <c r="U839"/>
      <c r="V839"/>
      <c r="W839"/>
      <c r="X839"/>
      <c r="Y839"/>
      <c r="Z839"/>
      <c r="AA839"/>
      <c r="AB839"/>
      <c r="AC839"/>
      <c r="AD839"/>
      <c r="AE839"/>
      <c r="AF839"/>
      <c r="AG839"/>
      <c r="AH839"/>
      <c r="AI839"/>
      <c r="AJ839"/>
      <c r="AK839"/>
      <c r="AL839"/>
    </row>
    <row r="840" spans="1:38" ht="15.75" customHeight="1" outlineLevel="3" x14ac:dyDescent="0.2">
      <c r="A840" s="10">
        <v>1</v>
      </c>
      <c r="B840" s="10" t="s">
        <v>71</v>
      </c>
      <c r="C840" s="10" t="s">
        <v>330</v>
      </c>
      <c r="D840" s="10" t="s">
        <v>331</v>
      </c>
      <c r="E840" s="11" t="str">
        <f t="array" ref="E840">_xlfn.XLOOKUP(D840,Insumos!B:B,Insumos!C:$C)</f>
        <v>UN</v>
      </c>
      <c r="F840" s="14">
        <v>1</v>
      </c>
      <c r="G840" s="92">
        <f t="array" ref="G840">IF(B840="insumo",_xlfn.XLOOKUP($D840,Insumos!$B$1:$B$996,Insumos!$D$1:$D$996),"")</f>
        <v>36.425026506170724</v>
      </c>
      <c r="H840" s="92">
        <v>36.425026506170703</v>
      </c>
      <c r="I840" s="13">
        <v>16241.65</v>
      </c>
      <c r="J840" s="13">
        <v>591602.53175394703</v>
      </c>
      <c r="K840" s="13"/>
      <c r="L840"/>
      <c r="M840"/>
      <c r="N840"/>
      <c r="O840"/>
      <c r="P840"/>
      <c r="Q840"/>
      <c r="R840"/>
      <c r="S840"/>
      <c r="T840"/>
      <c r="U840"/>
      <c r="V840"/>
      <c r="W840"/>
      <c r="X840"/>
      <c r="Y840"/>
      <c r="Z840"/>
      <c r="AA840"/>
      <c r="AB840"/>
      <c r="AC840"/>
      <c r="AD840"/>
      <c r="AE840"/>
      <c r="AF840"/>
      <c r="AG840"/>
      <c r="AH840"/>
      <c r="AI840"/>
      <c r="AJ840"/>
      <c r="AK840"/>
      <c r="AL840"/>
    </row>
    <row r="841" spans="1:38" ht="15.75" customHeight="1" outlineLevel="2" x14ac:dyDescent="0.2">
      <c r="A841" s="1067">
        <v>1</v>
      </c>
      <c r="B841" s="1067" t="s">
        <v>68</v>
      </c>
      <c r="C841" s="1067" t="s">
        <v>332</v>
      </c>
      <c r="D841" s="1067" t="s">
        <v>332</v>
      </c>
      <c r="E841" s="1068" t="s">
        <v>333</v>
      </c>
      <c r="F841" s="1067"/>
      <c r="G841" s="1069" t="str">
        <f t="array" ref="G841">IF(B841="insumo",_xlfn.XLOOKUP($D841,Insumos!$B$1:$B$996,Insumos!$D$1:$D$996),"")</f>
        <v/>
      </c>
      <c r="H841" s="1069">
        <v>1300</v>
      </c>
      <c r="I841" s="1070">
        <v>0</v>
      </c>
      <c r="J841" s="1070">
        <v>0</v>
      </c>
      <c r="K841" s="1070"/>
      <c r="L841"/>
      <c r="M841"/>
      <c r="N841"/>
      <c r="O841"/>
      <c r="P841"/>
      <c r="Q841"/>
      <c r="R841"/>
      <c r="S841"/>
      <c r="T841"/>
      <c r="U841"/>
      <c r="V841"/>
      <c r="W841"/>
      <c r="X841"/>
      <c r="Y841"/>
      <c r="Z841"/>
      <c r="AA841"/>
      <c r="AB841"/>
      <c r="AC841"/>
      <c r="AD841"/>
      <c r="AE841"/>
      <c r="AF841"/>
      <c r="AG841"/>
      <c r="AH841"/>
      <c r="AI841"/>
      <c r="AJ841"/>
      <c r="AK841"/>
      <c r="AL841"/>
    </row>
    <row r="842" spans="1:38" ht="15.75" customHeight="1" outlineLevel="3" x14ac:dyDescent="0.2">
      <c r="A842" s="10">
        <v>1</v>
      </c>
      <c r="B842" s="10" t="s">
        <v>71</v>
      </c>
      <c r="C842" s="10" t="s">
        <v>332</v>
      </c>
      <c r="D842" s="10" t="s">
        <v>334</v>
      </c>
      <c r="E842" s="11" t="str">
        <f t="array" ref="E842">_xlfn.XLOOKUP(D842,Insumos!B:B,Insumos!C:$C)</f>
        <v>DIA</v>
      </c>
      <c r="F842" s="14">
        <v>1</v>
      </c>
      <c r="G842" s="92">
        <f t="array" ref="G842">IF(B842="insumo",_xlfn.XLOOKUP($D842,Insumos!$B$1:$B$996,Insumos!$D$1:$D$996),"")</f>
        <v>1300</v>
      </c>
      <c r="H842" s="92">
        <v>1300</v>
      </c>
      <c r="I842" s="13">
        <v>0</v>
      </c>
      <c r="J842" s="13">
        <v>0</v>
      </c>
      <c r="K842" s="13"/>
      <c r="L842"/>
      <c r="M842"/>
      <c r="N842"/>
      <c r="O842"/>
      <c r="P842"/>
      <c r="Q842"/>
      <c r="R842"/>
      <c r="S842"/>
      <c r="T842"/>
      <c r="U842"/>
      <c r="V842"/>
      <c r="W842"/>
      <c r="X842"/>
      <c r="Y842"/>
      <c r="Z842"/>
      <c r="AA842"/>
      <c r="AB842"/>
      <c r="AC842"/>
      <c r="AD842"/>
      <c r="AE842"/>
      <c r="AF842"/>
      <c r="AG842"/>
      <c r="AH842"/>
      <c r="AI842"/>
      <c r="AJ842"/>
      <c r="AK842"/>
      <c r="AL842"/>
    </row>
    <row r="843" spans="1:38" ht="15.75" customHeight="1" outlineLevel="2" x14ac:dyDescent="0.2">
      <c r="A843" s="1067">
        <v>1</v>
      </c>
      <c r="B843" s="1067" t="s">
        <v>68</v>
      </c>
      <c r="C843" s="1067" t="s">
        <v>335</v>
      </c>
      <c r="D843" s="1067" t="s">
        <v>335</v>
      </c>
      <c r="E843" s="1068" t="s">
        <v>194</v>
      </c>
      <c r="F843" s="1067"/>
      <c r="G843" s="1069" t="str">
        <f t="array" ref="G843">IF(B843="insumo",_xlfn.XLOOKUP($D843,Insumos!$B$1:$B$996,Insumos!$D$1:$D$996),"")</f>
        <v/>
      </c>
      <c r="H843" s="1069">
        <v>15000</v>
      </c>
      <c r="I843" s="1070">
        <v>0</v>
      </c>
      <c r="J843" s="1070">
        <v>0</v>
      </c>
      <c r="K843" s="1070"/>
      <c r="L843"/>
      <c r="M843"/>
      <c r="N843"/>
      <c r="O843"/>
      <c r="P843"/>
      <c r="Q843"/>
      <c r="R843"/>
      <c r="S843"/>
      <c r="T843"/>
      <c r="U843"/>
      <c r="V843"/>
      <c r="W843"/>
      <c r="X843"/>
      <c r="Y843"/>
      <c r="Z843"/>
      <c r="AA843"/>
      <c r="AB843"/>
      <c r="AC843"/>
      <c r="AD843"/>
      <c r="AE843"/>
      <c r="AF843"/>
      <c r="AG843"/>
      <c r="AH843"/>
      <c r="AI843"/>
      <c r="AJ843"/>
      <c r="AK843"/>
      <c r="AL843"/>
    </row>
    <row r="844" spans="1:38" ht="15.75" customHeight="1" outlineLevel="3" x14ac:dyDescent="0.2">
      <c r="A844" s="10">
        <v>1</v>
      </c>
      <c r="B844" s="10" t="s">
        <v>71</v>
      </c>
      <c r="C844" s="10" t="s">
        <v>335</v>
      </c>
      <c r="D844" s="10" t="s">
        <v>335</v>
      </c>
      <c r="E844" s="11" t="str">
        <f t="array" ref="E844">_xlfn.XLOOKUP(D844,Insumos!B:B,Insumos!C:$C)</f>
        <v>vb</v>
      </c>
      <c r="F844" s="14">
        <v>1</v>
      </c>
      <c r="G844" s="92">
        <f t="array" ref="G844">IF(B844="insumo",_xlfn.XLOOKUP($D844,Insumos!$B$1:$B$996,Insumos!$D$1:$D$996),"")</f>
        <v>15000</v>
      </c>
      <c r="H844" s="92">
        <v>15000</v>
      </c>
      <c r="I844" s="13">
        <v>0</v>
      </c>
      <c r="J844" s="13">
        <v>0</v>
      </c>
      <c r="K844" s="13"/>
      <c r="L844"/>
      <c r="M844"/>
      <c r="N844"/>
      <c r="O844"/>
      <c r="P844"/>
      <c r="Q844"/>
      <c r="R844"/>
      <c r="S844"/>
      <c r="T844"/>
      <c r="U844"/>
      <c r="V844"/>
      <c r="W844"/>
      <c r="X844"/>
      <c r="Y844"/>
      <c r="Z844"/>
      <c r="AA844"/>
      <c r="AB844"/>
      <c r="AC844"/>
      <c r="AD844"/>
      <c r="AE844"/>
      <c r="AF844"/>
      <c r="AG844"/>
      <c r="AH844"/>
      <c r="AI844"/>
      <c r="AJ844"/>
      <c r="AK844"/>
      <c r="AL844"/>
    </row>
    <row r="845" spans="1:38" ht="15.75" customHeight="1" outlineLevel="2" x14ac:dyDescent="0.2">
      <c r="A845" s="1067">
        <v>1</v>
      </c>
      <c r="B845" s="1067" t="s">
        <v>68</v>
      </c>
      <c r="C845" s="1067" t="s">
        <v>336</v>
      </c>
      <c r="D845" s="1067" t="s">
        <v>336</v>
      </c>
      <c r="E845" s="1068" t="s">
        <v>194</v>
      </c>
      <c r="F845" s="1075"/>
      <c r="G845" s="1069" t="str">
        <f t="array" ref="G845">IF(B845="insumo",_xlfn.XLOOKUP($D845,Insumos!$B$1:$B$996,Insumos!$D$1:$D$996),"")</f>
        <v/>
      </c>
      <c r="H845" s="1069">
        <v>93981.530499999993</v>
      </c>
      <c r="I845" s="1070">
        <v>0</v>
      </c>
      <c r="J845" s="1070">
        <v>0</v>
      </c>
      <c r="K845" s="1070"/>
      <c r="L845"/>
      <c r="M845"/>
      <c r="N845"/>
      <c r="O845"/>
      <c r="P845"/>
      <c r="Q845"/>
      <c r="R845"/>
      <c r="S845"/>
      <c r="T845"/>
      <c r="U845"/>
      <c r="V845"/>
      <c r="W845"/>
      <c r="X845"/>
      <c r="Y845"/>
      <c r="Z845"/>
      <c r="AA845"/>
      <c r="AB845"/>
      <c r="AC845"/>
      <c r="AD845"/>
      <c r="AE845"/>
      <c r="AF845"/>
      <c r="AG845"/>
      <c r="AH845"/>
      <c r="AI845"/>
      <c r="AJ845"/>
      <c r="AK845"/>
      <c r="AL845"/>
    </row>
    <row r="846" spans="1:38" ht="15.75" customHeight="1" outlineLevel="3" x14ac:dyDescent="0.2">
      <c r="A846" s="10">
        <v>1</v>
      </c>
      <c r="B846" s="10" t="s">
        <v>71</v>
      </c>
      <c r="C846" s="10" t="s">
        <v>336</v>
      </c>
      <c r="D846" s="10" t="s">
        <v>336</v>
      </c>
      <c r="E846" s="11" t="str">
        <f t="array" ref="E846">_xlfn.XLOOKUP(D846,Insumos!B:B,Insumos!C:$C)</f>
        <v>VB</v>
      </c>
      <c r="F846" s="14">
        <v>1</v>
      </c>
      <c r="G846" s="92">
        <f t="array" ref="G846">IF(B846="insumo",_xlfn.XLOOKUP($D846,Insumos!$B$1:$B$996,Insumos!$D$1:$D$996),"")</f>
        <v>93981.530500000008</v>
      </c>
      <c r="H846" s="92">
        <v>93981.530499999993</v>
      </c>
      <c r="I846" s="13">
        <v>0</v>
      </c>
      <c r="J846" s="13">
        <v>0</v>
      </c>
      <c r="K846" s="13"/>
      <c r="L846"/>
      <c r="M846"/>
      <c r="N846"/>
      <c r="O846"/>
      <c r="P846"/>
      <c r="Q846"/>
      <c r="R846"/>
      <c r="S846"/>
      <c r="T846"/>
      <c r="U846"/>
      <c r="V846"/>
      <c r="W846"/>
      <c r="X846"/>
      <c r="Y846"/>
      <c r="Z846"/>
      <c r="AA846"/>
      <c r="AB846"/>
      <c r="AC846"/>
      <c r="AD846"/>
      <c r="AE846"/>
      <c r="AF846"/>
      <c r="AG846"/>
      <c r="AH846"/>
      <c r="AI846"/>
      <c r="AJ846"/>
      <c r="AK846"/>
      <c r="AL846"/>
    </row>
    <row r="847" spans="1:38" ht="15.75" customHeight="1" outlineLevel="2" x14ac:dyDescent="0.2">
      <c r="A847" s="1067">
        <v>1</v>
      </c>
      <c r="B847" s="1067" t="s">
        <v>68</v>
      </c>
      <c r="C847" s="1067" t="s">
        <v>337</v>
      </c>
      <c r="D847" s="1067" t="s">
        <v>337</v>
      </c>
      <c r="E847" s="1068" t="s">
        <v>152</v>
      </c>
      <c r="F847" s="1067"/>
      <c r="G847" s="1069" t="str">
        <f t="array" ref="G847">IF(B847="insumo",_xlfn.XLOOKUP($D847,Insumos!$B$1:$B$996,Insumos!$D$1:$D$996),"")</f>
        <v/>
      </c>
      <c r="H847" s="1069">
        <v>11.49611955</v>
      </c>
      <c r="I847" s="1070">
        <v>0</v>
      </c>
      <c r="J847" s="1070">
        <v>0</v>
      </c>
      <c r="K847" s="1070"/>
      <c r="L847"/>
      <c r="M847"/>
      <c r="N847"/>
      <c r="O847"/>
      <c r="P847"/>
      <c r="Q847"/>
      <c r="R847"/>
      <c r="S847"/>
      <c r="T847"/>
      <c r="U847"/>
      <c r="V847"/>
      <c r="W847"/>
      <c r="X847"/>
      <c r="Y847"/>
      <c r="Z847"/>
      <c r="AA847"/>
      <c r="AB847"/>
      <c r="AC847"/>
      <c r="AD847"/>
      <c r="AE847"/>
      <c r="AF847"/>
      <c r="AG847"/>
      <c r="AH847"/>
      <c r="AI847"/>
      <c r="AJ847"/>
      <c r="AK847"/>
      <c r="AL847"/>
    </row>
    <row r="848" spans="1:38" ht="15.75" customHeight="1" outlineLevel="3" x14ac:dyDescent="0.2">
      <c r="A848" s="10">
        <v>40</v>
      </c>
      <c r="B848" s="10" t="s">
        <v>71</v>
      </c>
      <c r="C848" s="10" t="s">
        <v>337</v>
      </c>
      <c r="D848" s="10" t="s">
        <v>87</v>
      </c>
      <c r="E848" s="11" t="str">
        <f t="array" ref="E848">_xlfn.XLOOKUP(D848,Insumos!B:B,Insumos!C:$C)</f>
        <v>KG</v>
      </c>
      <c r="F848" s="14">
        <v>2.3535E-2</v>
      </c>
      <c r="G848" s="92">
        <f t="array" ref="G848">IF(B848="insumo",_xlfn.XLOOKUP($D848,Insumos!$B$1:$B$996,Insumos!$D$1:$D$996),"")</f>
        <v>18.13</v>
      </c>
      <c r="H848" s="92">
        <v>0.42668954999999997</v>
      </c>
      <c r="I848" s="13">
        <v>0</v>
      </c>
      <c r="J848" s="13">
        <v>0</v>
      </c>
      <c r="K848" s="13"/>
      <c r="L848"/>
      <c r="M848"/>
      <c r="N848"/>
      <c r="O848"/>
      <c r="P848"/>
      <c r="Q848"/>
      <c r="R848"/>
      <c r="S848"/>
      <c r="T848"/>
      <c r="U848"/>
      <c r="V848"/>
      <c r="W848"/>
      <c r="X848"/>
      <c r="Y848"/>
      <c r="Z848"/>
      <c r="AA848"/>
      <c r="AB848"/>
      <c r="AC848"/>
      <c r="AD848"/>
      <c r="AE848"/>
      <c r="AF848"/>
      <c r="AG848"/>
      <c r="AH848"/>
      <c r="AI848"/>
      <c r="AJ848"/>
      <c r="AK848"/>
      <c r="AL848"/>
    </row>
    <row r="849" spans="1:38" ht="15.75" customHeight="1" outlineLevel="3" x14ac:dyDescent="0.2">
      <c r="A849" s="10">
        <v>3</v>
      </c>
      <c r="B849" s="10" t="s">
        <v>71</v>
      </c>
      <c r="C849" s="10" t="s">
        <v>337</v>
      </c>
      <c r="D849" s="10" t="s">
        <v>275</v>
      </c>
      <c r="E849" s="11" t="str">
        <f t="array" ref="E849">_xlfn.XLOOKUP(D849,Insumos!B:B,Insumos!C:$C)</f>
        <v>M</v>
      </c>
      <c r="F849" s="14">
        <v>0.14299999999999999</v>
      </c>
      <c r="G849" s="92">
        <f t="array" ref="G849">IF(B849="insumo",_xlfn.XLOOKUP($D849,Insumos!$B$1:$B$996,Insumos!$D$1:$D$996),"")</f>
        <v>42.46</v>
      </c>
      <c r="H849" s="92">
        <v>6.0717800000000004</v>
      </c>
      <c r="I849" s="13">
        <v>0</v>
      </c>
      <c r="J849" s="13">
        <v>0</v>
      </c>
      <c r="K849" s="13"/>
      <c r="L849"/>
      <c r="M849"/>
      <c r="N849"/>
      <c r="O849"/>
      <c r="P849"/>
      <c r="Q849"/>
      <c r="R849"/>
      <c r="S849"/>
      <c r="T849"/>
      <c r="U849"/>
      <c r="V849"/>
      <c r="W849"/>
      <c r="X849"/>
      <c r="Y849"/>
      <c r="Z849"/>
      <c r="AA849"/>
      <c r="AB849"/>
      <c r="AC849"/>
      <c r="AD849"/>
      <c r="AE849"/>
      <c r="AF849"/>
      <c r="AG849"/>
      <c r="AH849"/>
      <c r="AI849"/>
      <c r="AJ849"/>
      <c r="AK849"/>
      <c r="AL849"/>
    </row>
    <row r="850" spans="1:38" ht="16.5" customHeight="1" outlineLevel="3" x14ac:dyDescent="0.2">
      <c r="A850" s="10">
        <v>25</v>
      </c>
      <c r="B850" s="10" t="s">
        <v>71</v>
      </c>
      <c r="C850" s="10" t="s">
        <v>337</v>
      </c>
      <c r="D850" s="10" t="s">
        <v>84</v>
      </c>
      <c r="E850" s="11" t="str">
        <f t="array" ref="E850">_xlfn.XLOOKUP(D850,Insumos!B:B,Insumos!C:$C)</f>
        <v>M</v>
      </c>
      <c r="F850" s="14">
        <v>0.71395000000000008</v>
      </c>
      <c r="G850" s="92">
        <f t="array" ref="G850">IF(B850="insumo",_xlfn.XLOOKUP($D850,Insumos!$B$1:$B$996,Insumos!$D$1:$D$996),"")</f>
        <v>7</v>
      </c>
      <c r="H850" s="92">
        <v>4.9976500000000001</v>
      </c>
      <c r="I850" s="13">
        <v>0</v>
      </c>
      <c r="J850" s="13">
        <v>0</v>
      </c>
      <c r="K850" s="13"/>
      <c r="L850"/>
      <c r="M850"/>
      <c r="N850"/>
      <c r="O850"/>
      <c r="P850"/>
      <c r="Q850"/>
      <c r="R850"/>
      <c r="S850"/>
      <c r="T850"/>
      <c r="U850"/>
      <c r="V850"/>
      <c r="W850"/>
      <c r="X850"/>
      <c r="Y850"/>
      <c r="Z850"/>
      <c r="AA850"/>
      <c r="AB850"/>
      <c r="AC850"/>
      <c r="AD850"/>
      <c r="AE850"/>
      <c r="AF850"/>
      <c r="AG850"/>
      <c r="AH850"/>
      <c r="AI850"/>
      <c r="AJ850"/>
      <c r="AK850"/>
      <c r="AL850"/>
    </row>
    <row r="851" spans="1:38" ht="15.75" customHeight="1" outlineLevel="1" x14ac:dyDescent="0.2">
      <c r="A851" s="1090">
        <v>6</v>
      </c>
      <c r="B851" s="1090" t="s">
        <v>1228</v>
      </c>
      <c r="C851" s="1090" t="s">
        <v>337</v>
      </c>
      <c r="D851" s="1090" t="s">
        <v>1441</v>
      </c>
      <c r="E851" s="1091"/>
      <c r="F851" s="1092"/>
      <c r="G851" s="1091"/>
      <c r="H851" s="1091">
        <v>0</v>
      </c>
      <c r="I851" s="1092">
        <v>0</v>
      </c>
      <c r="J851" s="1092">
        <v>0</v>
      </c>
      <c r="K851" s="1092"/>
      <c r="L851"/>
      <c r="M851"/>
      <c r="N851"/>
      <c r="O851"/>
      <c r="P851"/>
      <c r="Q851"/>
      <c r="R851"/>
      <c r="S851"/>
      <c r="T851"/>
      <c r="U851"/>
      <c r="V851"/>
      <c r="W851"/>
      <c r="X851"/>
      <c r="Y851"/>
      <c r="Z851"/>
      <c r="AA851"/>
      <c r="AB851"/>
      <c r="AC851"/>
      <c r="AD851"/>
      <c r="AE851"/>
      <c r="AF851"/>
      <c r="AG851"/>
      <c r="AH851"/>
      <c r="AI851"/>
      <c r="AJ851"/>
      <c r="AK851"/>
      <c r="AL851"/>
    </row>
    <row r="852" spans="1:38" ht="15.75" customHeight="1" outlineLevel="2" x14ac:dyDescent="0.2">
      <c r="A852" s="1067">
        <v>1</v>
      </c>
      <c r="B852" s="1067" t="s">
        <v>68</v>
      </c>
      <c r="C852" s="1067" t="s">
        <v>338</v>
      </c>
      <c r="D852" s="1067" t="s">
        <v>338</v>
      </c>
      <c r="E852" s="1068" t="s">
        <v>70</v>
      </c>
      <c r="F852" s="1067"/>
      <c r="G852" s="1069" t="str">
        <f t="array" ref="G852">IF(B852="insumo",_xlfn.XLOOKUP($D852,Insumos!$B$1:$B$996,Insumos!$D$1:$D$996),"")</f>
        <v/>
      </c>
      <c r="H852" s="1069">
        <v>290</v>
      </c>
      <c r="I852" s="1070">
        <v>16</v>
      </c>
      <c r="J852" s="1070">
        <v>4640</v>
      </c>
      <c r="K852" s="1070"/>
      <c r="L852"/>
      <c r="M852"/>
      <c r="N852"/>
      <c r="O852"/>
      <c r="P852"/>
      <c r="Q852"/>
      <c r="R852"/>
      <c r="S852"/>
      <c r="T852"/>
      <c r="U852"/>
      <c r="V852"/>
      <c r="W852"/>
      <c r="X852"/>
      <c r="Y852"/>
      <c r="Z852"/>
      <c r="AA852"/>
      <c r="AB852"/>
      <c r="AC852"/>
      <c r="AD852"/>
      <c r="AE852"/>
      <c r="AF852"/>
      <c r="AG852"/>
      <c r="AH852"/>
      <c r="AI852"/>
      <c r="AJ852"/>
      <c r="AK852"/>
      <c r="AL852"/>
    </row>
    <row r="853" spans="1:38" ht="15.75" customHeight="1" outlineLevel="3" x14ac:dyDescent="0.2">
      <c r="A853" s="10">
        <v>1</v>
      </c>
      <c r="B853" s="10" t="s">
        <v>71</v>
      </c>
      <c r="C853" s="10" t="s">
        <v>338</v>
      </c>
      <c r="D853" s="10" t="s">
        <v>338</v>
      </c>
      <c r="E853" s="11" t="str">
        <f t="array" ref="E853">_xlfn.XLOOKUP(D853,Insumos!B:B,Insumos!C:$C)</f>
        <v>m2</v>
      </c>
      <c r="F853" s="14">
        <v>1</v>
      </c>
      <c r="G853" s="92">
        <f t="array" ref="G853">IF(B853="insumo",_xlfn.XLOOKUP($D853,Insumos!$B$1:$B$996,Insumos!$D$1:$D$996),"")</f>
        <v>290</v>
      </c>
      <c r="H853" s="92">
        <v>290</v>
      </c>
      <c r="I853" s="13">
        <v>16</v>
      </c>
      <c r="J853" s="13">
        <v>4640</v>
      </c>
      <c r="K853" s="13"/>
      <c r="L853"/>
      <c r="M853"/>
      <c r="N853"/>
      <c r="O853"/>
      <c r="P853"/>
      <c r="Q853"/>
      <c r="R853"/>
      <c r="S853"/>
      <c r="T853"/>
      <c r="U853"/>
      <c r="V853"/>
      <c r="W853"/>
      <c r="X853"/>
      <c r="Y853"/>
      <c r="Z853"/>
      <c r="AA853"/>
      <c r="AB853"/>
      <c r="AC853"/>
      <c r="AD853"/>
      <c r="AE853"/>
      <c r="AF853"/>
      <c r="AG853"/>
      <c r="AH853"/>
      <c r="AI853"/>
      <c r="AJ853"/>
      <c r="AK853"/>
      <c r="AL853"/>
    </row>
    <row r="854" spans="1:38" ht="15.75" customHeight="1" outlineLevel="2" x14ac:dyDescent="0.2">
      <c r="A854" s="1067">
        <v>1</v>
      </c>
      <c r="B854" s="1067" t="s">
        <v>68</v>
      </c>
      <c r="C854" s="1067" t="s">
        <v>339</v>
      </c>
      <c r="D854" s="1067" t="s">
        <v>339</v>
      </c>
      <c r="E854" s="1068" t="s">
        <v>70</v>
      </c>
      <c r="F854" s="1067"/>
      <c r="G854" s="1069" t="str">
        <f t="array" ref="G854">IF(B854="insumo",_xlfn.XLOOKUP($D854,Insumos!$B$1:$B$996,Insumos!$D$1:$D$996),"")</f>
        <v/>
      </c>
      <c r="H854" s="1069">
        <v>25</v>
      </c>
      <c r="I854" s="1070">
        <v>0</v>
      </c>
      <c r="J854" s="1070">
        <v>0</v>
      </c>
      <c r="K854" s="1070"/>
      <c r="L854"/>
      <c r="M854"/>
      <c r="N854"/>
      <c r="O854"/>
      <c r="P854"/>
      <c r="Q854"/>
      <c r="R854"/>
      <c r="S854"/>
      <c r="T854"/>
      <c r="U854"/>
      <c r="V854"/>
      <c r="W854"/>
      <c r="X854"/>
      <c r="Y854"/>
      <c r="Z854"/>
      <c r="AA854"/>
      <c r="AB854"/>
      <c r="AC854"/>
      <c r="AD854"/>
      <c r="AE854"/>
      <c r="AF854"/>
      <c r="AG854"/>
      <c r="AH854"/>
      <c r="AI854"/>
      <c r="AJ854"/>
      <c r="AK854"/>
      <c r="AL854"/>
    </row>
    <row r="855" spans="1:38" ht="15.75" customHeight="1" outlineLevel="3" x14ac:dyDescent="0.2">
      <c r="A855" s="10">
        <v>1</v>
      </c>
      <c r="B855" s="10" t="s">
        <v>71</v>
      </c>
      <c r="C855" s="10" t="s">
        <v>339</v>
      </c>
      <c r="D855" s="10" t="s">
        <v>339</v>
      </c>
      <c r="E855" s="11" t="str">
        <f t="array" ref="E855">_xlfn.XLOOKUP(D855,Insumos!B:B,Insumos!C:$C)</f>
        <v>m2</v>
      </c>
      <c r="F855" s="14">
        <v>1</v>
      </c>
      <c r="G855" s="92">
        <f t="array" ref="G855">IF(B855="insumo",_xlfn.XLOOKUP($D855,Insumos!$B$1:$B$996,Insumos!$D$1:$D$996),"")</f>
        <v>25</v>
      </c>
      <c r="H855" s="92">
        <v>25</v>
      </c>
      <c r="I855" s="13">
        <v>0</v>
      </c>
      <c r="J855" s="13">
        <v>0</v>
      </c>
      <c r="K855" s="13"/>
      <c r="L855"/>
      <c r="M855"/>
      <c r="N855"/>
      <c r="O855"/>
      <c r="P855"/>
      <c r="Q855"/>
      <c r="R855"/>
      <c r="S855"/>
      <c r="T855"/>
      <c r="U855"/>
      <c r="V855"/>
      <c r="W855"/>
      <c r="X855"/>
      <c r="Y855"/>
      <c r="Z855"/>
      <c r="AA855"/>
      <c r="AB855"/>
      <c r="AC855"/>
      <c r="AD855"/>
      <c r="AE855"/>
      <c r="AF855"/>
      <c r="AG855"/>
      <c r="AH855"/>
      <c r="AI855"/>
      <c r="AJ855"/>
      <c r="AK855"/>
      <c r="AL855"/>
    </row>
    <row r="856" spans="1:38" ht="15.75" customHeight="1" x14ac:dyDescent="0.2">
      <c r="A856" s="7">
        <v>1</v>
      </c>
      <c r="B856" s="7" t="s">
        <v>66</v>
      </c>
      <c r="C856" s="7" t="s">
        <v>339</v>
      </c>
      <c r="D856" s="7" t="s">
        <v>340</v>
      </c>
      <c r="E856" s="8"/>
      <c r="F856" s="9"/>
      <c r="G856" s="91" t="str">
        <f t="array" ref="G856">IF(B856="insumo",_xlfn.XLOOKUP($D856,Insumos!$B$1:$B$996,Insumos!$D$1:$D$996),"")</f>
        <v/>
      </c>
      <c r="H856" s="91">
        <v>0</v>
      </c>
      <c r="I856" s="9">
        <v>0</v>
      </c>
      <c r="J856" s="9">
        <v>0</v>
      </c>
      <c r="K856" s="9"/>
      <c r="L856"/>
      <c r="M856"/>
      <c r="N856"/>
      <c r="O856"/>
      <c r="P856"/>
      <c r="Q856"/>
      <c r="R856"/>
      <c r="S856"/>
      <c r="T856"/>
      <c r="U856"/>
      <c r="V856"/>
      <c r="W856"/>
      <c r="X856"/>
      <c r="Y856"/>
      <c r="Z856"/>
      <c r="AA856"/>
      <c r="AB856"/>
      <c r="AC856"/>
      <c r="AD856"/>
      <c r="AE856"/>
      <c r="AF856"/>
      <c r="AG856"/>
      <c r="AH856"/>
      <c r="AI856"/>
      <c r="AJ856"/>
      <c r="AK856"/>
      <c r="AL856"/>
    </row>
    <row r="857" spans="1:38" ht="15.75" customHeight="1" outlineLevel="1" x14ac:dyDescent="0.2">
      <c r="A857" s="1090">
        <v>1</v>
      </c>
      <c r="B857" s="1090" t="s">
        <v>1228</v>
      </c>
      <c r="C857" s="1090" t="s">
        <v>339</v>
      </c>
      <c r="D857" s="1090" t="s">
        <v>1379</v>
      </c>
      <c r="E857" s="1091"/>
      <c r="F857" s="1092"/>
      <c r="G857" s="1091"/>
      <c r="H857" s="1091">
        <v>0</v>
      </c>
      <c r="I857" s="1092">
        <v>0</v>
      </c>
      <c r="J857" s="1092">
        <v>0</v>
      </c>
      <c r="K857" s="1092"/>
      <c r="L857"/>
      <c r="M857"/>
      <c r="N857"/>
      <c r="O857"/>
      <c r="P857"/>
      <c r="Q857"/>
      <c r="R857"/>
      <c r="S857"/>
      <c r="T857"/>
      <c r="U857"/>
      <c r="V857"/>
      <c r="W857"/>
      <c r="X857"/>
      <c r="Y857"/>
      <c r="Z857"/>
      <c r="AA857"/>
      <c r="AB857"/>
      <c r="AC857"/>
      <c r="AD857"/>
      <c r="AE857"/>
      <c r="AF857"/>
      <c r="AG857"/>
      <c r="AH857"/>
      <c r="AI857"/>
      <c r="AJ857"/>
      <c r="AK857"/>
      <c r="AL857"/>
    </row>
    <row r="858" spans="1:38" ht="15.75" customHeight="1" outlineLevel="2" x14ac:dyDescent="0.2">
      <c r="A858" s="1067">
        <v>1</v>
      </c>
      <c r="B858" s="1067" t="s">
        <v>68</v>
      </c>
      <c r="C858" s="1067" t="s">
        <v>1314</v>
      </c>
      <c r="D858" s="1067" t="s">
        <v>1314</v>
      </c>
      <c r="E858" s="1068" t="s">
        <v>70</v>
      </c>
      <c r="F858" s="1067"/>
      <c r="G858" s="1069" t="str">
        <f t="array" ref="G858">IF(B858="insumo",_xlfn.XLOOKUP($D858,Insumos!$B$1:$B$996,Insumos!$D$1:$D$996),"")</f>
        <v/>
      </c>
      <c r="H858" s="1069">
        <v>36.22</v>
      </c>
      <c r="I858" s="1070">
        <v>0</v>
      </c>
      <c r="J858" s="1070">
        <v>0</v>
      </c>
      <c r="K858" s="1070"/>
      <c r="L858"/>
      <c r="M858"/>
      <c r="N858"/>
      <c r="O858"/>
      <c r="P858"/>
      <c r="Q858"/>
      <c r="R858"/>
      <c r="S858"/>
      <c r="T858"/>
      <c r="U858"/>
      <c r="V858"/>
      <c r="W858"/>
      <c r="X858"/>
      <c r="Y858"/>
      <c r="Z858"/>
      <c r="AA858"/>
      <c r="AB858"/>
      <c r="AC858"/>
      <c r="AD858"/>
      <c r="AE858"/>
      <c r="AF858"/>
      <c r="AG858"/>
      <c r="AH858"/>
      <c r="AI858"/>
      <c r="AJ858"/>
      <c r="AK858"/>
      <c r="AL858"/>
    </row>
    <row r="859" spans="1:38" ht="15.75" customHeight="1" outlineLevel="3" x14ac:dyDescent="0.2">
      <c r="A859" s="10">
        <v>2</v>
      </c>
      <c r="B859" s="10" t="s">
        <v>71</v>
      </c>
      <c r="C859" s="10" t="s">
        <v>1314</v>
      </c>
      <c r="D859" s="10" t="s">
        <v>341</v>
      </c>
      <c r="E859" s="11" t="str">
        <f t="array" ref="E859">_xlfn.XLOOKUP(D859,Insumos!B:B,Insumos!C:$C)</f>
        <v>UN</v>
      </c>
      <c r="F859" s="14">
        <f>ROUNDUP(1/(0.19*0.19),)</f>
        <v>28</v>
      </c>
      <c r="G859" s="92">
        <f t="array" ref="G859">IF(B859="insumo",_xlfn.XLOOKUP($D859,Insumos!$B$1:$B$996,Insumos!$D$1:$D$996),"")</f>
        <v>0.99</v>
      </c>
      <c r="H859" s="92">
        <v>27.72</v>
      </c>
      <c r="I859" s="13">
        <v>0</v>
      </c>
      <c r="J859" s="13">
        <v>0</v>
      </c>
      <c r="K859" s="13"/>
      <c r="L859"/>
      <c r="M859"/>
      <c r="N859"/>
      <c r="O859"/>
      <c r="P859"/>
      <c r="Q859"/>
      <c r="R859"/>
      <c r="S859"/>
      <c r="T859"/>
      <c r="U859"/>
      <c r="V859"/>
      <c r="W859"/>
      <c r="X859"/>
      <c r="Y859"/>
      <c r="Z859"/>
      <c r="AA859"/>
      <c r="AB859"/>
      <c r="AC859"/>
      <c r="AD859"/>
      <c r="AE859"/>
      <c r="AF859"/>
      <c r="AG859"/>
      <c r="AH859"/>
      <c r="AI859"/>
      <c r="AJ859"/>
      <c r="AK859"/>
      <c r="AL859"/>
    </row>
    <row r="860" spans="1:38" ht="15.75" customHeight="1" outlineLevel="3" x14ac:dyDescent="0.2">
      <c r="A860" s="10">
        <v>27</v>
      </c>
      <c r="B860" s="10" t="s">
        <v>71</v>
      </c>
      <c r="C860" s="10" t="s">
        <v>1314</v>
      </c>
      <c r="D860" s="10" t="s">
        <v>342</v>
      </c>
      <c r="E860" s="11" t="str">
        <f t="array" ref="E860">_xlfn.XLOOKUP(D860,Insumos!B:B,Insumos!C:$C)</f>
        <v>M3</v>
      </c>
      <c r="F860" s="14">
        <v>0.02</v>
      </c>
      <c r="G860" s="92">
        <f t="array" ref="G860">IF(B860="insumo",_xlfn.XLOOKUP($D860,Insumos!$B$1:$B$996,Insumos!$D$1:$D$996),"")</f>
        <v>425</v>
      </c>
      <c r="H860" s="92">
        <v>8.5</v>
      </c>
      <c r="I860" s="13">
        <v>0</v>
      </c>
      <c r="J860" s="13">
        <v>0</v>
      </c>
      <c r="K860" s="13"/>
      <c r="L860"/>
      <c r="M860"/>
      <c r="N860"/>
      <c r="O860"/>
      <c r="P860"/>
      <c r="Q860"/>
      <c r="R860"/>
      <c r="S860"/>
      <c r="T860"/>
      <c r="U860"/>
      <c r="V860"/>
      <c r="W860"/>
      <c r="X860"/>
      <c r="Y860"/>
      <c r="Z860"/>
      <c r="AA860"/>
      <c r="AB860"/>
      <c r="AC860"/>
      <c r="AD860"/>
      <c r="AE860"/>
      <c r="AF860"/>
      <c r="AG860"/>
      <c r="AH860"/>
      <c r="AI860"/>
      <c r="AJ860"/>
      <c r="AK860"/>
      <c r="AL860"/>
    </row>
    <row r="861" spans="1:38" ht="15.75" customHeight="1" outlineLevel="2" x14ac:dyDescent="0.2">
      <c r="A861" s="1067">
        <v>1</v>
      </c>
      <c r="B861" s="1067" t="s">
        <v>68</v>
      </c>
      <c r="C861" s="1067" t="s">
        <v>1316</v>
      </c>
      <c r="D861" s="1067" t="s">
        <v>1316</v>
      </c>
      <c r="E861" s="1068" t="s">
        <v>70</v>
      </c>
      <c r="F861" s="1067"/>
      <c r="G861" s="1069" t="str">
        <f t="array" ref="G861">IF(B861="insumo",_xlfn.XLOOKUP($D861,Insumos!$B$1:$B$996,Insumos!$D$1:$D$996),"")</f>
        <v/>
      </c>
      <c r="H861" s="1069">
        <v>43.22</v>
      </c>
      <c r="I861" s="1070">
        <v>0</v>
      </c>
      <c r="J861" s="1070">
        <v>0</v>
      </c>
      <c r="K861" s="1070"/>
      <c r="L861"/>
      <c r="M861"/>
      <c r="N861"/>
      <c r="O861"/>
      <c r="P861"/>
      <c r="Q861"/>
      <c r="R861"/>
      <c r="S861"/>
      <c r="T861"/>
      <c r="U861"/>
      <c r="V861"/>
      <c r="W861"/>
      <c r="X861"/>
      <c r="Y861"/>
      <c r="Z861"/>
      <c r="AA861"/>
      <c r="AB861"/>
      <c r="AC861"/>
      <c r="AD861"/>
      <c r="AE861"/>
      <c r="AF861"/>
      <c r="AG861"/>
      <c r="AH861"/>
      <c r="AI861"/>
      <c r="AJ861"/>
      <c r="AK861"/>
      <c r="AL861"/>
    </row>
    <row r="862" spans="1:38" ht="15.75" customHeight="1" outlineLevel="3" x14ac:dyDescent="0.2">
      <c r="A862" s="10">
        <v>1</v>
      </c>
      <c r="B862" s="10" t="s">
        <v>71</v>
      </c>
      <c r="C862" s="10" t="s">
        <v>1316</v>
      </c>
      <c r="D862" s="10" t="s">
        <v>343</v>
      </c>
      <c r="E862" s="11" t="str">
        <f t="array" ref="E862">_xlfn.XLOOKUP(D862,Insumos!B:B,Insumos!C:$C)</f>
        <v>UN</v>
      </c>
      <c r="F862" s="14">
        <f>ROUNDUP(1/(0.19*0.19),)</f>
        <v>28</v>
      </c>
      <c r="G862" s="92">
        <f t="array" ref="G862">IF(B862="insumo",_xlfn.XLOOKUP($D862,Insumos!$B$1:$B$996,Insumos!$D$1:$D$996),"")</f>
        <v>1.24</v>
      </c>
      <c r="H862" s="92">
        <v>34.72</v>
      </c>
      <c r="I862" s="13">
        <v>0</v>
      </c>
      <c r="J862" s="13">
        <v>0</v>
      </c>
      <c r="K862" s="13"/>
      <c r="L862"/>
      <c r="M862"/>
      <c r="N862"/>
      <c r="O862"/>
      <c r="P862"/>
      <c r="Q862"/>
      <c r="R862"/>
      <c r="S862"/>
      <c r="T862"/>
      <c r="U862"/>
      <c r="V862"/>
      <c r="W862"/>
      <c r="X862"/>
      <c r="Y862"/>
      <c r="Z862"/>
      <c r="AA862"/>
      <c r="AB862"/>
      <c r="AC862"/>
      <c r="AD862"/>
      <c r="AE862"/>
      <c r="AF862"/>
      <c r="AG862"/>
      <c r="AH862"/>
      <c r="AI862"/>
      <c r="AJ862"/>
      <c r="AK862"/>
      <c r="AL862"/>
    </row>
    <row r="863" spans="1:38" ht="15.75" customHeight="1" outlineLevel="3" x14ac:dyDescent="0.2">
      <c r="A863" s="10">
        <v>27</v>
      </c>
      <c r="B863" s="10" t="s">
        <v>71</v>
      </c>
      <c r="C863" s="10" t="s">
        <v>1316</v>
      </c>
      <c r="D863" s="10" t="s">
        <v>342</v>
      </c>
      <c r="E863" s="11" t="str">
        <f t="array" ref="E863">_xlfn.XLOOKUP(D863,Insumos!B:B,Insumos!C:$C)</f>
        <v>M3</v>
      </c>
      <c r="F863" s="14">
        <v>0.02</v>
      </c>
      <c r="G863" s="92">
        <f t="array" ref="G863">IF(B863="insumo",_xlfn.XLOOKUP($D863,Insumos!$B$1:$B$996,Insumos!$D$1:$D$996),"")</f>
        <v>425</v>
      </c>
      <c r="H863" s="92">
        <v>8.5</v>
      </c>
      <c r="I863" s="13">
        <v>0</v>
      </c>
      <c r="J863" s="13">
        <v>0</v>
      </c>
      <c r="K863" s="13"/>
      <c r="L863"/>
      <c r="M863"/>
      <c r="N863"/>
      <c r="O863"/>
      <c r="P863"/>
      <c r="Q863"/>
      <c r="R863"/>
      <c r="S863"/>
      <c r="T863"/>
      <c r="U863"/>
      <c r="V863"/>
      <c r="W863"/>
      <c r="X863"/>
      <c r="Y863"/>
      <c r="Z863"/>
      <c r="AA863"/>
      <c r="AB863"/>
      <c r="AC863"/>
      <c r="AD863"/>
      <c r="AE863"/>
      <c r="AF863"/>
      <c r="AG863"/>
      <c r="AH863"/>
      <c r="AI863"/>
      <c r="AJ863"/>
      <c r="AK863"/>
      <c r="AL863"/>
    </row>
    <row r="864" spans="1:38" ht="15.75" customHeight="1" outlineLevel="2" x14ac:dyDescent="0.2">
      <c r="A864" s="1067">
        <v>1</v>
      </c>
      <c r="B864" s="1067" t="s">
        <v>68</v>
      </c>
      <c r="C864" s="1067" t="s">
        <v>1315</v>
      </c>
      <c r="D864" s="1067" t="s">
        <v>1315</v>
      </c>
      <c r="E864" s="1068" t="s">
        <v>70</v>
      </c>
      <c r="F864" s="1067"/>
      <c r="G864" s="1069" t="str">
        <f t="array" ref="G864">IF(B864="insumo",_xlfn.XLOOKUP($D864,Insumos!$B$1:$B$996,Insumos!$D$1:$D$996),"")</f>
        <v/>
      </c>
      <c r="H864" s="1069">
        <v>81.3</v>
      </c>
      <c r="I864" s="1070">
        <v>0</v>
      </c>
      <c r="J864" s="1070">
        <v>0</v>
      </c>
      <c r="K864" s="1070"/>
      <c r="L864"/>
      <c r="M864"/>
      <c r="N864"/>
      <c r="O864"/>
      <c r="P864"/>
      <c r="Q864"/>
      <c r="R864"/>
      <c r="S864"/>
      <c r="T864"/>
      <c r="U864"/>
      <c r="V864"/>
      <c r="W864"/>
      <c r="X864"/>
      <c r="Y864"/>
      <c r="Z864"/>
      <c r="AA864"/>
      <c r="AB864"/>
      <c r="AC864"/>
      <c r="AD864"/>
      <c r="AE864"/>
      <c r="AF864"/>
      <c r="AG864"/>
      <c r="AH864"/>
      <c r="AI864"/>
      <c r="AJ864"/>
      <c r="AK864"/>
      <c r="AL864"/>
    </row>
    <row r="865" spans="1:38" ht="15.75" customHeight="1" outlineLevel="3" x14ac:dyDescent="0.2">
      <c r="A865" s="10">
        <v>2</v>
      </c>
      <c r="B865" s="10" t="s">
        <v>71</v>
      </c>
      <c r="C865" s="10" t="s">
        <v>1315</v>
      </c>
      <c r="D865" s="10" t="s">
        <v>345</v>
      </c>
      <c r="E865" s="11" t="str">
        <f t="array" ref="E865">_xlfn.XLOOKUP(D865,Insumos!B:B,Insumos!C:$C)</f>
        <v>UN</v>
      </c>
      <c r="F865" s="14">
        <f>ROUNDUP(1/(0.19*0.19),)</f>
        <v>28</v>
      </c>
      <c r="G865" s="92">
        <f t="array" ref="G865">IF(B865="insumo",_xlfn.XLOOKUP($D865,Insumos!$B$1:$B$996,Insumos!$D$1:$D$996),"")</f>
        <v>2.6</v>
      </c>
      <c r="H865" s="92">
        <v>72.8</v>
      </c>
      <c r="I865" s="13">
        <v>0</v>
      </c>
      <c r="J865" s="13">
        <v>0</v>
      </c>
      <c r="K865" s="13"/>
      <c r="L865"/>
      <c r="M865"/>
      <c r="N865"/>
      <c r="O865"/>
      <c r="P865"/>
      <c r="Q865"/>
      <c r="R865"/>
      <c r="S865"/>
      <c r="T865"/>
      <c r="U865"/>
      <c r="V865"/>
      <c r="W865"/>
      <c r="X865"/>
      <c r="Y865"/>
      <c r="Z865"/>
      <c r="AA865"/>
      <c r="AB865"/>
      <c r="AC865"/>
      <c r="AD865"/>
      <c r="AE865"/>
      <c r="AF865"/>
      <c r="AG865"/>
      <c r="AH865"/>
      <c r="AI865"/>
      <c r="AJ865"/>
      <c r="AK865"/>
      <c r="AL865"/>
    </row>
    <row r="866" spans="1:38" ht="15.75" customHeight="1" outlineLevel="3" x14ac:dyDescent="0.2">
      <c r="A866" s="10">
        <v>27</v>
      </c>
      <c r="B866" s="10" t="s">
        <v>71</v>
      </c>
      <c r="C866" s="10" t="s">
        <v>1315</v>
      </c>
      <c r="D866" s="10" t="s">
        <v>342</v>
      </c>
      <c r="E866" s="11" t="str">
        <f t="array" ref="E866">_xlfn.XLOOKUP(D866,Insumos!B:B,Insumos!C:$C)</f>
        <v>M3</v>
      </c>
      <c r="F866" s="14">
        <v>0.02</v>
      </c>
      <c r="G866" s="92">
        <f t="array" ref="G866">IF(B866="insumo",_xlfn.XLOOKUP($D866,Insumos!$B$1:$B$996,Insumos!$D$1:$D$996),"")</f>
        <v>425</v>
      </c>
      <c r="H866" s="92">
        <v>8.5</v>
      </c>
      <c r="I866" s="13">
        <v>0</v>
      </c>
      <c r="J866" s="13">
        <v>0</v>
      </c>
      <c r="K866" s="13"/>
      <c r="L866"/>
      <c r="M866"/>
      <c r="N866"/>
      <c r="O866"/>
      <c r="P866"/>
      <c r="Q866"/>
      <c r="R866"/>
      <c r="S866"/>
      <c r="T866"/>
      <c r="U866"/>
      <c r="V866"/>
      <c r="W866"/>
      <c r="X866"/>
      <c r="Y866"/>
      <c r="Z866"/>
      <c r="AA866"/>
      <c r="AB866"/>
      <c r="AC866"/>
      <c r="AD866"/>
      <c r="AE866"/>
      <c r="AF866"/>
      <c r="AG866"/>
      <c r="AH866"/>
      <c r="AI866"/>
      <c r="AJ866"/>
      <c r="AK866"/>
      <c r="AL866"/>
    </row>
    <row r="867" spans="1:38" ht="15.75" customHeight="1" outlineLevel="2" x14ac:dyDescent="0.2">
      <c r="A867" s="1067">
        <v>1</v>
      </c>
      <c r="B867" s="1067" t="s">
        <v>68</v>
      </c>
      <c r="C867" s="1067" t="s">
        <v>346</v>
      </c>
      <c r="D867" s="1067" t="s">
        <v>346</v>
      </c>
      <c r="E867" s="1068" t="s">
        <v>70</v>
      </c>
      <c r="F867" s="1067"/>
      <c r="G867" s="1069" t="str">
        <f t="array" ref="G867">IF(B867="insumo",_xlfn.XLOOKUP($D867,Insumos!$B$1:$B$996,Insumos!$D$1:$D$996),"")</f>
        <v/>
      </c>
      <c r="H867" s="1069">
        <v>28.1</v>
      </c>
      <c r="I867" s="1070">
        <v>0</v>
      </c>
      <c r="J867" s="1070">
        <v>0</v>
      </c>
      <c r="K867" s="1070"/>
      <c r="L867"/>
      <c r="M867"/>
      <c r="N867"/>
      <c r="O867"/>
      <c r="P867"/>
      <c r="Q867"/>
      <c r="R867"/>
      <c r="S867"/>
      <c r="T867"/>
      <c r="U867"/>
      <c r="V867"/>
      <c r="W867"/>
      <c r="X867"/>
      <c r="Y867"/>
      <c r="Z867"/>
      <c r="AA867"/>
      <c r="AB867"/>
      <c r="AC867"/>
      <c r="AD867"/>
      <c r="AE867"/>
      <c r="AF867"/>
      <c r="AG867"/>
      <c r="AH867"/>
      <c r="AI867"/>
      <c r="AJ867"/>
      <c r="AK867"/>
      <c r="AL867"/>
    </row>
    <row r="868" spans="1:38" ht="15.75" customHeight="1" outlineLevel="3" x14ac:dyDescent="0.2">
      <c r="A868" s="10">
        <v>2</v>
      </c>
      <c r="B868" s="10" t="s">
        <v>71</v>
      </c>
      <c r="C868" s="10" t="s">
        <v>346</v>
      </c>
      <c r="D868" s="10" t="s">
        <v>347</v>
      </c>
      <c r="E868" s="11" t="str">
        <f t="array" ref="E868">_xlfn.XLOOKUP(D868,Insumos!B:B,Insumos!C:$C)</f>
        <v>UN</v>
      </c>
      <c r="F868" s="14">
        <f>ROUNDUP(1/(0.19*0.39),)</f>
        <v>14</v>
      </c>
      <c r="G868" s="92">
        <f t="array" ref="G868">IF(B868="insumo",_xlfn.XLOOKUP($D868,Insumos!$B$1:$B$996,Insumos!$D$1:$D$996),"")</f>
        <v>1.4</v>
      </c>
      <c r="H868" s="92">
        <v>19.600000000000001</v>
      </c>
      <c r="I868" s="13">
        <v>0</v>
      </c>
      <c r="J868" s="13">
        <v>0</v>
      </c>
      <c r="K868" s="13"/>
      <c r="L868"/>
      <c r="M868"/>
      <c r="N868"/>
      <c r="O868"/>
      <c r="P868"/>
      <c r="Q868"/>
      <c r="R868"/>
      <c r="S868"/>
      <c r="T868"/>
      <c r="U868"/>
      <c r="V868"/>
      <c r="W868"/>
      <c r="X868"/>
      <c r="Y868"/>
      <c r="Z868"/>
      <c r="AA868"/>
      <c r="AB868"/>
      <c r="AC868"/>
      <c r="AD868"/>
      <c r="AE868"/>
      <c r="AF868"/>
      <c r="AG868"/>
      <c r="AH868"/>
      <c r="AI868"/>
      <c r="AJ868"/>
      <c r="AK868"/>
      <c r="AL868"/>
    </row>
    <row r="869" spans="1:38" ht="15.75" customHeight="1" outlineLevel="3" x14ac:dyDescent="0.2">
      <c r="A869" s="10">
        <v>27</v>
      </c>
      <c r="B869" s="10" t="s">
        <v>71</v>
      </c>
      <c r="C869" s="10" t="s">
        <v>346</v>
      </c>
      <c r="D869" s="10" t="s">
        <v>342</v>
      </c>
      <c r="E869" s="11" t="str">
        <f t="array" ref="E869">_xlfn.XLOOKUP(D869,Insumos!B:B,Insumos!C:$C)</f>
        <v>M3</v>
      </c>
      <c r="F869" s="14">
        <v>0.02</v>
      </c>
      <c r="G869" s="92">
        <f t="array" ref="G869">IF(B869="insumo",_xlfn.XLOOKUP($D869,Insumos!$B$1:$B$996,Insumos!$D$1:$D$996),"")</f>
        <v>425</v>
      </c>
      <c r="H869" s="92">
        <v>8.5</v>
      </c>
      <c r="I869" s="13">
        <v>0</v>
      </c>
      <c r="J869" s="13">
        <v>0</v>
      </c>
      <c r="K869" s="13"/>
      <c r="L869"/>
      <c r="M869"/>
      <c r="N869"/>
      <c r="O869"/>
      <c r="P869"/>
      <c r="Q869"/>
      <c r="R869"/>
      <c r="S869"/>
      <c r="T869"/>
      <c r="U869"/>
      <c r="V869"/>
      <c r="W869"/>
      <c r="X869"/>
      <c r="Y869"/>
      <c r="Z869"/>
      <c r="AA869"/>
      <c r="AB869"/>
      <c r="AC869"/>
      <c r="AD869"/>
      <c r="AE869"/>
      <c r="AF869"/>
      <c r="AG869"/>
      <c r="AH869"/>
      <c r="AI869"/>
      <c r="AJ869"/>
      <c r="AK869"/>
      <c r="AL869"/>
    </row>
    <row r="870" spans="1:38" ht="15.75" customHeight="1" outlineLevel="2" x14ac:dyDescent="0.2">
      <c r="A870" s="1067">
        <v>1</v>
      </c>
      <c r="B870" s="1067" t="s">
        <v>68</v>
      </c>
      <c r="C870" s="1067" t="s">
        <v>1319</v>
      </c>
      <c r="D870" s="1067" t="s">
        <v>1319</v>
      </c>
      <c r="E870" s="1068" t="s">
        <v>70</v>
      </c>
      <c r="F870" s="1067"/>
      <c r="G870" s="1069" t="str">
        <f t="array" ref="G870">IF(B870="insumo",_xlfn.XLOOKUP($D870,Insumos!$B$1:$B$996,Insumos!$D$1:$D$996),"")</f>
        <v/>
      </c>
      <c r="H870" s="1069">
        <v>30.92</v>
      </c>
      <c r="I870" s="1070">
        <v>0</v>
      </c>
      <c r="J870" s="1070">
        <v>0</v>
      </c>
      <c r="K870" s="1070"/>
      <c r="L870"/>
      <c r="M870"/>
      <c r="N870"/>
      <c r="O870"/>
      <c r="P870"/>
      <c r="Q870"/>
      <c r="R870"/>
      <c r="S870"/>
      <c r="T870"/>
      <c r="U870"/>
      <c r="V870"/>
      <c r="W870"/>
      <c r="X870"/>
      <c r="Y870"/>
      <c r="Z870"/>
      <c r="AA870"/>
      <c r="AB870"/>
      <c r="AC870"/>
      <c r="AD870"/>
      <c r="AE870"/>
      <c r="AF870"/>
      <c r="AG870"/>
      <c r="AH870"/>
      <c r="AI870"/>
      <c r="AJ870"/>
      <c r="AK870"/>
      <c r="AL870"/>
    </row>
    <row r="871" spans="1:38" ht="15.75" customHeight="1" outlineLevel="3" x14ac:dyDescent="0.2">
      <c r="A871" s="10">
        <v>1</v>
      </c>
      <c r="B871" s="10" t="s">
        <v>71</v>
      </c>
      <c r="C871" s="10" t="s">
        <v>1319</v>
      </c>
      <c r="D871" s="10" t="s">
        <v>352</v>
      </c>
      <c r="E871" s="11" t="str">
        <f t="array" ref="E871">_xlfn.XLOOKUP(D871,Insumos!B:B,Insumos!C:$C)</f>
        <v>UN</v>
      </c>
      <c r="F871" s="14">
        <f>ROUNDUP(1/(0.19*0.29),)</f>
        <v>19</v>
      </c>
      <c r="G871" s="92">
        <f t="array" ref="G871">IF(B871="insumo",_xlfn.XLOOKUP($D871,Insumos!$B$1:$B$996,Insumos!$D$1:$D$996),"")</f>
        <v>1.18</v>
      </c>
      <c r="H871" s="92">
        <v>22.42</v>
      </c>
      <c r="I871" s="13">
        <v>0</v>
      </c>
      <c r="J871" s="13">
        <v>0</v>
      </c>
      <c r="K871" s="13"/>
      <c r="L871"/>
      <c r="M871"/>
      <c r="N871"/>
      <c r="O871"/>
      <c r="P871"/>
      <c r="Q871"/>
      <c r="R871"/>
      <c r="S871"/>
      <c r="T871"/>
      <c r="U871"/>
      <c r="V871"/>
      <c r="W871"/>
      <c r="X871"/>
      <c r="Y871"/>
      <c r="Z871"/>
      <c r="AA871"/>
      <c r="AB871"/>
      <c r="AC871"/>
      <c r="AD871"/>
      <c r="AE871"/>
      <c r="AF871"/>
      <c r="AG871"/>
      <c r="AH871"/>
      <c r="AI871"/>
      <c r="AJ871"/>
      <c r="AK871"/>
      <c r="AL871"/>
    </row>
    <row r="872" spans="1:38" ht="15.75" customHeight="1" outlineLevel="3" x14ac:dyDescent="0.2">
      <c r="A872" s="10">
        <v>27</v>
      </c>
      <c r="B872" s="10" t="s">
        <v>71</v>
      </c>
      <c r="C872" s="10" t="s">
        <v>1319</v>
      </c>
      <c r="D872" s="10" t="s">
        <v>342</v>
      </c>
      <c r="E872" s="11" t="str">
        <f t="array" ref="E872">_xlfn.XLOOKUP(D872,Insumos!B:B,Insumos!C:$C)</f>
        <v>M3</v>
      </c>
      <c r="F872" s="14">
        <v>0.02</v>
      </c>
      <c r="G872" s="92">
        <f t="array" ref="G872">IF(B872="insumo",_xlfn.XLOOKUP($D872,Insumos!$B$1:$B$996,Insumos!$D$1:$D$996),"")</f>
        <v>425</v>
      </c>
      <c r="H872" s="92">
        <v>8.5</v>
      </c>
      <c r="I872" s="13">
        <v>0</v>
      </c>
      <c r="J872" s="13">
        <v>0</v>
      </c>
      <c r="K872" s="13"/>
      <c r="L872"/>
      <c r="M872"/>
      <c r="N872"/>
      <c r="O872"/>
      <c r="P872"/>
      <c r="Q872"/>
      <c r="R872"/>
      <c r="S872"/>
      <c r="T872"/>
      <c r="U872"/>
      <c r="V872"/>
      <c r="W872"/>
      <c r="X872"/>
      <c r="Y872"/>
      <c r="Z872"/>
      <c r="AA872"/>
      <c r="AB872"/>
      <c r="AC872"/>
      <c r="AD872"/>
      <c r="AE872"/>
      <c r="AF872"/>
      <c r="AG872"/>
      <c r="AH872"/>
      <c r="AI872"/>
      <c r="AJ872"/>
      <c r="AK872"/>
      <c r="AL872"/>
    </row>
    <row r="873" spans="1:38" ht="15.75" customHeight="1" outlineLevel="2" x14ac:dyDescent="0.2">
      <c r="A873" s="1067">
        <v>1</v>
      </c>
      <c r="B873" s="1067" t="s">
        <v>68</v>
      </c>
      <c r="C873" s="1067" t="s">
        <v>1318</v>
      </c>
      <c r="D873" s="1067" t="s">
        <v>1318</v>
      </c>
      <c r="E873" s="1068" t="s">
        <v>70</v>
      </c>
      <c r="F873" s="1067"/>
      <c r="G873" s="1069" t="str">
        <f t="array" ref="G873">IF(B873="insumo",_xlfn.XLOOKUP($D873,Insumos!$B$1:$B$996,Insumos!$D$1:$D$996),"")</f>
        <v/>
      </c>
      <c r="H873" s="1069">
        <v>35.67</v>
      </c>
      <c r="I873" s="1070">
        <v>0</v>
      </c>
      <c r="J873" s="1070">
        <v>0</v>
      </c>
      <c r="K873" s="1070"/>
      <c r="L873"/>
      <c r="M873"/>
      <c r="N873"/>
      <c r="O873"/>
      <c r="P873"/>
      <c r="Q873"/>
      <c r="R873"/>
      <c r="S873"/>
      <c r="T873"/>
      <c r="U873"/>
      <c r="V873"/>
      <c r="W873"/>
      <c r="X873"/>
      <c r="Y873"/>
      <c r="Z873"/>
      <c r="AA873"/>
      <c r="AB873"/>
      <c r="AC873"/>
      <c r="AD873"/>
      <c r="AE873"/>
      <c r="AF873"/>
      <c r="AG873"/>
      <c r="AH873"/>
      <c r="AI873"/>
      <c r="AJ873"/>
      <c r="AK873"/>
      <c r="AL873"/>
    </row>
    <row r="874" spans="1:38" ht="15.75" customHeight="1" outlineLevel="3" x14ac:dyDescent="0.2">
      <c r="A874" s="10">
        <v>1</v>
      </c>
      <c r="B874" s="10" t="s">
        <v>71</v>
      </c>
      <c r="C874" s="10" t="s">
        <v>1318</v>
      </c>
      <c r="D874" s="10" t="s">
        <v>353</v>
      </c>
      <c r="E874" s="11" t="str">
        <f t="array" ref="E874">_xlfn.XLOOKUP(D874,Insumos!B:B,Insumos!C:$C)</f>
        <v>UN</v>
      </c>
      <c r="F874" s="14">
        <f>ROUNDUP(1/(0.19*0.29),)</f>
        <v>19</v>
      </c>
      <c r="G874" s="92">
        <f t="array" ref="G874">IF(B874="insumo",_xlfn.XLOOKUP($D874,Insumos!$B$1:$B$996,Insumos!$D$1:$D$996),"")</f>
        <v>1.43</v>
      </c>
      <c r="H874" s="92">
        <v>27.17</v>
      </c>
      <c r="I874" s="13">
        <v>0</v>
      </c>
      <c r="J874" s="13">
        <v>0</v>
      </c>
      <c r="K874" s="13"/>
      <c r="L874"/>
      <c r="M874"/>
      <c r="N874"/>
      <c r="O874"/>
      <c r="P874"/>
      <c r="Q874"/>
      <c r="R874"/>
      <c r="S874"/>
      <c r="T874"/>
      <c r="U874"/>
      <c r="V874"/>
      <c r="W874"/>
      <c r="X874"/>
      <c r="Y874"/>
      <c r="Z874"/>
      <c r="AA874"/>
      <c r="AB874"/>
      <c r="AC874"/>
      <c r="AD874"/>
      <c r="AE874"/>
      <c r="AF874"/>
      <c r="AG874"/>
      <c r="AH874"/>
      <c r="AI874"/>
      <c r="AJ874"/>
      <c r="AK874"/>
      <c r="AL874"/>
    </row>
    <row r="875" spans="1:38" ht="15.75" customHeight="1" outlineLevel="3" x14ac:dyDescent="0.2">
      <c r="A875" s="10">
        <v>27</v>
      </c>
      <c r="B875" s="10" t="s">
        <v>71</v>
      </c>
      <c r="C875" s="10" t="s">
        <v>1318</v>
      </c>
      <c r="D875" s="10" t="s">
        <v>342</v>
      </c>
      <c r="E875" s="11" t="str">
        <f t="array" ref="E875">_xlfn.XLOOKUP(D875,Insumos!B:B,Insumos!C:$C)</f>
        <v>M3</v>
      </c>
      <c r="F875" s="14">
        <v>0.02</v>
      </c>
      <c r="G875" s="92">
        <f t="array" ref="G875">IF(B875="insumo",_xlfn.XLOOKUP($D875,Insumos!$B$1:$B$996,Insumos!$D$1:$D$996),"")</f>
        <v>425</v>
      </c>
      <c r="H875" s="92">
        <v>8.5</v>
      </c>
      <c r="I875" s="13">
        <v>0</v>
      </c>
      <c r="J875" s="13">
        <v>0</v>
      </c>
      <c r="K875" s="13"/>
      <c r="L875"/>
      <c r="M875"/>
      <c r="N875"/>
      <c r="O875"/>
      <c r="P875"/>
      <c r="Q875"/>
      <c r="R875"/>
      <c r="S875"/>
      <c r="T875"/>
      <c r="U875"/>
      <c r="V875"/>
      <c r="W875"/>
      <c r="X875"/>
      <c r="Y875"/>
      <c r="Z875"/>
      <c r="AA875"/>
      <c r="AB875"/>
      <c r="AC875"/>
      <c r="AD875"/>
      <c r="AE875"/>
      <c r="AF875"/>
      <c r="AG875"/>
      <c r="AH875"/>
      <c r="AI875"/>
      <c r="AJ875"/>
      <c r="AK875"/>
      <c r="AL875"/>
    </row>
    <row r="876" spans="1:38" ht="15.75" customHeight="1" outlineLevel="2" x14ac:dyDescent="0.2">
      <c r="A876" s="1067">
        <v>1</v>
      </c>
      <c r="B876" s="1067" t="s">
        <v>68</v>
      </c>
      <c r="C876" s="1067" t="s">
        <v>1317</v>
      </c>
      <c r="D876" s="1067" t="s">
        <v>1317</v>
      </c>
      <c r="E876" s="1068" t="s">
        <v>70</v>
      </c>
      <c r="F876" s="1067"/>
      <c r="G876" s="1069" t="str">
        <f t="array" ref="G876">IF(B876="insumo",_xlfn.XLOOKUP($D876,Insumos!$B$1:$B$996,Insumos!$D$1:$D$996),"")</f>
        <v/>
      </c>
      <c r="H876" s="1069">
        <v>41.18</v>
      </c>
      <c r="I876" s="1070">
        <v>0</v>
      </c>
      <c r="J876" s="1070">
        <v>0</v>
      </c>
      <c r="K876" s="1070"/>
      <c r="L876"/>
      <c r="M876"/>
      <c r="N876"/>
      <c r="O876"/>
      <c r="P876"/>
      <c r="Q876"/>
      <c r="R876"/>
      <c r="S876"/>
      <c r="T876"/>
      <c r="U876"/>
      <c r="V876"/>
      <c r="W876"/>
      <c r="X876"/>
      <c r="Y876"/>
      <c r="Z876"/>
      <c r="AA876"/>
      <c r="AB876"/>
      <c r="AC876"/>
      <c r="AD876"/>
      <c r="AE876"/>
      <c r="AF876"/>
      <c r="AG876"/>
      <c r="AH876"/>
      <c r="AI876"/>
      <c r="AJ876"/>
      <c r="AK876"/>
      <c r="AL876"/>
    </row>
    <row r="877" spans="1:38" ht="15.75" customHeight="1" outlineLevel="3" x14ac:dyDescent="0.2">
      <c r="A877" s="10">
        <v>1</v>
      </c>
      <c r="B877" s="10" t="s">
        <v>71</v>
      </c>
      <c r="C877" s="10" t="s">
        <v>1317</v>
      </c>
      <c r="D877" s="10" t="s">
        <v>354</v>
      </c>
      <c r="E877" s="11" t="str">
        <f t="array" ref="E877">_xlfn.XLOOKUP(D877,Insumos!B:B,Insumos!C:$C)</f>
        <v>UN</v>
      </c>
      <c r="F877" s="14">
        <f>ROUNDUP(1/(0.19*0.29),)</f>
        <v>19</v>
      </c>
      <c r="G877" s="92">
        <f t="array" ref="G877">IF(B877="insumo",_xlfn.XLOOKUP($D877,Insumos!$B$1:$B$996,Insumos!$D$1:$D$996),"")</f>
        <v>1.72</v>
      </c>
      <c r="H877" s="92">
        <v>32.68</v>
      </c>
      <c r="I877" s="13">
        <v>0</v>
      </c>
      <c r="J877" s="13">
        <v>0</v>
      </c>
      <c r="K877" s="13"/>
      <c r="L877"/>
      <c r="M877"/>
      <c r="N877"/>
      <c r="O877"/>
      <c r="P877"/>
      <c r="Q877"/>
      <c r="R877"/>
      <c r="S877"/>
      <c r="T877"/>
      <c r="U877"/>
      <c r="V877"/>
      <c r="W877"/>
      <c r="X877"/>
      <c r="Y877"/>
      <c r="Z877"/>
      <c r="AA877"/>
      <c r="AB877"/>
      <c r="AC877"/>
      <c r="AD877"/>
      <c r="AE877"/>
      <c r="AF877"/>
      <c r="AG877"/>
      <c r="AH877"/>
      <c r="AI877"/>
      <c r="AJ877"/>
      <c r="AK877"/>
      <c r="AL877"/>
    </row>
    <row r="878" spans="1:38" ht="15.75" customHeight="1" outlineLevel="3" x14ac:dyDescent="0.2">
      <c r="A878" s="10">
        <v>27</v>
      </c>
      <c r="B878" s="10" t="s">
        <v>71</v>
      </c>
      <c r="C878" s="10" t="s">
        <v>1317</v>
      </c>
      <c r="D878" s="10" t="s">
        <v>342</v>
      </c>
      <c r="E878" s="11" t="str">
        <f t="array" ref="E878">_xlfn.XLOOKUP(D878,Insumos!B:B,Insumos!C:$C)</f>
        <v>M3</v>
      </c>
      <c r="F878" s="14">
        <v>0.02</v>
      </c>
      <c r="G878" s="92">
        <f t="array" ref="G878">IF(B878="insumo",_xlfn.XLOOKUP($D878,Insumos!$B$1:$B$996,Insumos!$D$1:$D$996),"")</f>
        <v>425</v>
      </c>
      <c r="H878" s="92">
        <v>8.5</v>
      </c>
      <c r="I878" s="13">
        <v>0</v>
      </c>
      <c r="J878" s="13">
        <v>0</v>
      </c>
      <c r="K878" s="13"/>
      <c r="L878"/>
      <c r="M878"/>
      <c r="N878"/>
      <c r="O878"/>
      <c r="P878"/>
      <c r="Q878"/>
      <c r="R878"/>
      <c r="S878"/>
      <c r="T878"/>
      <c r="U878"/>
      <c r="V878"/>
      <c r="W878"/>
      <c r="X878"/>
      <c r="Y878"/>
      <c r="Z878"/>
      <c r="AA878"/>
      <c r="AB878"/>
      <c r="AC878"/>
      <c r="AD878"/>
      <c r="AE878"/>
      <c r="AF878"/>
      <c r="AG878"/>
      <c r="AH878"/>
      <c r="AI878"/>
      <c r="AJ878"/>
      <c r="AK878"/>
      <c r="AL878"/>
    </row>
    <row r="879" spans="1:38" ht="12.75" outlineLevel="2" x14ac:dyDescent="0.2">
      <c r="A879" s="1071">
        <v>1</v>
      </c>
      <c r="B879" s="1071" t="s">
        <v>68</v>
      </c>
      <c r="C879" s="1071" t="s">
        <v>1773</v>
      </c>
      <c r="D879" s="1071" t="s">
        <v>1773</v>
      </c>
      <c r="E879" s="1072" t="s">
        <v>70</v>
      </c>
      <c r="F879" s="1071"/>
      <c r="G879" s="1073" t="str">
        <f t="array" ref="G879">IF(B879="insumo",_xlfn.XLOOKUP($D879,Insumos!$B$1:$B$996,Insumos!$D$1:$D$996),"")</f>
        <v/>
      </c>
      <c r="H879" s="1073">
        <v>53.02</v>
      </c>
      <c r="I879" s="1074">
        <v>0</v>
      </c>
      <c r="J879" s="1074">
        <v>0</v>
      </c>
      <c r="K879" s="1074"/>
      <c r="L879"/>
      <c r="M879"/>
      <c r="N879"/>
      <c r="O879"/>
      <c r="P879"/>
      <c r="Q879"/>
      <c r="R879"/>
      <c r="S879"/>
      <c r="T879"/>
      <c r="U879"/>
      <c r="V879"/>
      <c r="W879"/>
      <c r="X879"/>
      <c r="Y879"/>
      <c r="Z879"/>
      <c r="AA879"/>
      <c r="AB879"/>
      <c r="AC879"/>
      <c r="AD879"/>
      <c r="AE879"/>
      <c r="AF879"/>
      <c r="AG879"/>
      <c r="AH879"/>
      <c r="AI879"/>
      <c r="AJ879"/>
      <c r="AK879"/>
      <c r="AL879"/>
    </row>
    <row r="880" spans="1:38" ht="12.75" outlineLevel="3" x14ac:dyDescent="0.2">
      <c r="A880" s="82">
        <v>2</v>
      </c>
      <c r="B880" s="82" t="s">
        <v>71</v>
      </c>
      <c r="C880" s="82" t="s">
        <v>1773</v>
      </c>
      <c r="D880" s="82" t="s">
        <v>1593</v>
      </c>
      <c r="E880" s="11" t="str">
        <f t="array" ref="E880">_xlfn.XLOOKUP(D880,Insumos!B:B,Insumos!C:$C)</f>
        <v>UN</v>
      </c>
      <c r="F880" s="86">
        <f>ROUNDUP(1/(0.19*0.19),)</f>
        <v>28</v>
      </c>
      <c r="G880" s="92">
        <f t="array" ref="G880">IF(B880="insumo",_xlfn.XLOOKUP($D880,Insumos!$B$1:$B$996,Insumos!$D$1:$D$996),"")</f>
        <v>1.59</v>
      </c>
      <c r="H880" s="92">
        <v>44.52</v>
      </c>
      <c r="I880" s="84">
        <v>0</v>
      </c>
      <c r="J880" s="84">
        <v>0</v>
      </c>
      <c r="K880" s="84"/>
      <c r="L880"/>
      <c r="M880"/>
      <c r="N880"/>
      <c r="O880"/>
      <c r="P880"/>
      <c r="Q880"/>
      <c r="R880"/>
      <c r="S880"/>
      <c r="T880"/>
      <c r="U880"/>
      <c r="V880"/>
      <c r="W880"/>
      <c r="X880"/>
      <c r="Y880"/>
      <c r="Z880"/>
      <c r="AA880"/>
      <c r="AB880"/>
      <c r="AC880"/>
      <c r="AD880"/>
      <c r="AE880"/>
      <c r="AF880"/>
      <c r="AG880"/>
      <c r="AH880"/>
      <c r="AI880"/>
      <c r="AJ880"/>
      <c r="AK880"/>
      <c r="AL880"/>
    </row>
    <row r="881" spans="1:38" ht="12.75" outlineLevel="3" x14ac:dyDescent="0.2">
      <c r="A881" s="82">
        <v>27</v>
      </c>
      <c r="B881" s="82" t="s">
        <v>71</v>
      </c>
      <c r="C881" s="82" t="s">
        <v>1773</v>
      </c>
      <c r="D881" s="82" t="s">
        <v>342</v>
      </c>
      <c r="E881" s="11" t="str">
        <f t="array" ref="E881">_xlfn.XLOOKUP(D881,Insumos!B:B,Insumos!C:$C)</f>
        <v>M3</v>
      </c>
      <c r="F881" s="86">
        <v>0.02</v>
      </c>
      <c r="G881" s="92">
        <f t="array" ref="G881">IF(B881="insumo",_xlfn.XLOOKUP($D881,Insumos!$B$1:$B$996,Insumos!$D$1:$D$996),"")</f>
        <v>425</v>
      </c>
      <c r="H881" s="92">
        <v>8.5</v>
      </c>
      <c r="I881" s="84">
        <v>0</v>
      </c>
      <c r="J881" s="84">
        <v>0</v>
      </c>
      <c r="K881" s="84"/>
      <c r="L881"/>
      <c r="M881"/>
      <c r="N881"/>
      <c r="O881"/>
      <c r="P881"/>
      <c r="Q881"/>
      <c r="R881"/>
      <c r="S881"/>
      <c r="T881"/>
      <c r="U881"/>
      <c r="V881"/>
      <c r="W881"/>
      <c r="X881"/>
      <c r="Y881"/>
      <c r="Z881"/>
      <c r="AA881"/>
      <c r="AB881"/>
      <c r="AC881"/>
      <c r="AD881"/>
      <c r="AE881"/>
      <c r="AF881"/>
      <c r="AG881"/>
      <c r="AH881"/>
      <c r="AI881"/>
      <c r="AJ881"/>
      <c r="AK881"/>
      <c r="AL881"/>
    </row>
    <row r="882" spans="1:38" ht="12.75" outlineLevel="2" x14ac:dyDescent="0.2">
      <c r="A882" s="1071">
        <v>1</v>
      </c>
      <c r="B882" s="1071" t="s">
        <v>68</v>
      </c>
      <c r="C882" s="1071" t="s">
        <v>1774</v>
      </c>
      <c r="D882" s="1071" t="s">
        <v>1774</v>
      </c>
      <c r="E882" s="1072" t="s">
        <v>70</v>
      </c>
      <c r="F882" s="1071"/>
      <c r="G882" s="1073" t="str">
        <f t="array" ref="G882">IF(B882="insumo",_xlfn.XLOOKUP($D882,Insumos!$B$1:$B$996,Insumos!$D$1:$D$996),"")</f>
        <v/>
      </c>
      <c r="H882" s="1073">
        <v>52.851428571428599</v>
      </c>
      <c r="I882" s="1074">
        <v>0</v>
      </c>
      <c r="J882" s="1074">
        <v>0</v>
      </c>
      <c r="K882" s="1074"/>
      <c r="L882"/>
      <c r="M882"/>
      <c r="N882"/>
      <c r="O882"/>
      <c r="P882"/>
      <c r="Q882"/>
      <c r="R882"/>
      <c r="S882"/>
      <c r="T882"/>
      <c r="U882"/>
      <c r="V882"/>
      <c r="W882"/>
      <c r="X882"/>
      <c r="Y882"/>
      <c r="Z882"/>
      <c r="AA882"/>
      <c r="AB882"/>
      <c r="AC882"/>
      <c r="AD882"/>
      <c r="AE882"/>
      <c r="AF882"/>
      <c r="AG882"/>
      <c r="AH882"/>
      <c r="AI882"/>
      <c r="AJ882"/>
      <c r="AK882"/>
      <c r="AL882"/>
    </row>
    <row r="883" spans="1:38" ht="12.75" outlineLevel="3" x14ac:dyDescent="0.2">
      <c r="A883" s="82">
        <v>1</v>
      </c>
      <c r="B883" s="82" t="s">
        <v>71</v>
      </c>
      <c r="C883" s="82" t="s">
        <v>1774</v>
      </c>
      <c r="D883" s="82" t="s">
        <v>1320</v>
      </c>
      <c r="E883" s="11" t="str">
        <f t="array" ref="E883">_xlfn.XLOOKUP(D883,Insumos!B:B,Insumos!C:$C)</f>
        <v>UN</v>
      </c>
      <c r="F883" s="86">
        <f>ROUNDUP(1/(0.19*0.29),)</f>
        <v>19</v>
      </c>
      <c r="G883" s="92">
        <f t="array" ref="G883">IF(B883="insumo",_xlfn.XLOOKUP($D883,Insumos!$B$1:$B$996,Insumos!$D$1:$D$996),"")</f>
        <v>2.3342857142857145</v>
      </c>
      <c r="H883" s="92">
        <v>44.351428571428599</v>
      </c>
      <c r="I883" s="84">
        <v>0</v>
      </c>
      <c r="J883" s="84">
        <v>0</v>
      </c>
      <c r="K883" s="84"/>
      <c r="L883"/>
      <c r="M883"/>
      <c r="N883"/>
      <c r="O883"/>
      <c r="P883"/>
      <c r="Q883"/>
      <c r="R883"/>
      <c r="S883"/>
      <c r="T883"/>
      <c r="U883"/>
      <c r="V883"/>
      <c r="W883"/>
      <c r="X883"/>
      <c r="Y883"/>
      <c r="Z883"/>
      <c r="AA883"/>
      <c r="AB883"/>
      <c r="AC883"/>
      <c r="AD883"/>
      <c r="AE883"/>
      <c r="AF883"/>
      <c r="AG883"/>
      <c r="AH883"/>
      <c r="AI883"/>
      <c r="AJ883"/>
      <c r="AK883"/>
      <c r="AL883"/>
    </row>
    <row r="884" spans="1:38" ht="12.75" outlineLevel="3" x14ac:dyDescent="0.2">
      <c r="A884" s="82">
        <v>27</v>
      </c>
      <c r="B884" s="82" t="s">
        <v>71</v>
      </c>
      <c r="C884" s="82" t="s">
        <v>1774</v>
      </c>
      <c r="D884" s="82" t="s">
        <v>342</v>
      </c>
      <c r="E884" s="11" t="str">
        <f t="array" ref="E884">_xlfn.XLOOKUP(D884,Insumos!B:B,Insumos!C:$C)</f>
        <v>M3</v>
      </c>
      <c r="F884" s="86">
        <v>0.02</v>
      </c>
      <c r="G884" s="92">
        <f t="array" ref="G884">IF(B884="insumo",_xlfn.XLOOKUP($D884,Insumos!$B$1:$B$996,Insumos!$D$1:$D$996),"")</f>
        <v>425</v>
      </c>
      <c r="H884" s="92">
        <v>8.5</v>
      </c>
      <c r="I884" s="84">
        <v>0</v>
      </c>
      <c r="J884" s="84">
        <v>0</v>
      </c>
      <c r="K884" s="84"/>
      <c r="L884"/>
      <c r="M884"/>
      <c r="N884"/>
      <c r="O884"/>
      <c r="P884"/>
      <c r="Q884"/>
      <c r="R884"/>
      <c r="S884"/>
      <c r="T884"/>
      <c r="U884"/>
      <c r="V884"/>
      <c r="W884"/>
      <c r="X884"/>
      <c r="Y884"/>
      <c r="Z884"/>
      <c r="AA884"/>
      <c r="AB884"/>
      <c r="AC884"/>
      <c r="AD884"/>
      <c r="AE884"/>
      <c r="AF884"/>
      <c r="AG884"/>
      <c r="AH884"/>
      <c r="AI884"/>
      <c r="AJ884"/>
      <c r="AK884"/>
      <c r="AL884"/>
    </row>
    <row r="885" spans="1:38" ht="12.75" outlineLevel="2" x14ac:dyDescent="0.2">
      <c r="A885" s="1071">
        <v>1</v>
      </c>
      <c r="B885" s="1071" t="s">
        <v>68</v>
      </c>
      <c r="C885" s="1071" t="s">
        <v>2753</v>
      </c>
      <c r="D885" s="1071" t="s">
        <v>2753</v>
      </c>
      <c r="E885" s="1072" t="s">
        <v>70</v>
      </c>
      <c r="F885" s="1071"/>
      <c r="G885" s="1073" t="str">
        <f t="array" ref="G885">IF(B885="insumo",_xlfn.XLOOKUP($D885,Insumos!$B$1:$B$996,Insumos!$D$1:$D$996),"")</f>
        <v/>
      </c>
      <c r="H885" s="1073">
        <v>22.36</v>
      </c>
      <c r="I885" s="1074" t="e">
        <v>#REF!</v>
      </c>
      <c r="J885" s="1074" t="e">
        <v>#REF!</v>
      </c>
      <c r="K885" s="1074"/>
      <c r="L885"/>
      <c r="M885"/>
      <c r="N885"/>
      <c r="O885"/>
      <c r="P885"/>
      <c r="Q885"/>
      <c r="R885"/>
      <c r="S885"/>
      <c r="T885"/>
      <c r="U885"/>
      <c r="V885"/>
      <c r="W885"/>
      <c r="X885"/>
      <c r="Y885"/>
      <c r="Z885"/>
      <c r="AA885"/>
      <c r="AB885"/>
      <c r="AC885"/>
      <c r="AD885"/>
      <c r="AE885"/>
      <c r="AF885"/>
      <c r="AG885"/>
      <c r="AH885"/>
      <c r="AI885"/>
      <c r="AJ885"/>
      <c r="AK885"/>
      <c r="AL885"/>
    </row>
    <row r="886" spans="1:38" ht="12.75" outlineLevel="3" x14ac:dyDescent="0.2">
      <c r="A886" s="82">
        <v>1</v>
      </c>
      <c r="B886" s="82" t="s">
        <v>71</v>
      </c>
      <c r="C886" s="82" t="s">
        <v>2753</v>
      </c>
      <c r="D886" s="82" t="s">
        <v>1101</v>
      </c>
      <c r="E886" s="11" t="str">
        <f t="array" ref="E886">_xlfn.XLOOKUP(D886,Insumos!B:B,Insumos!C:$C)</f>
        <v>UN</v>
      </c>
      <c r="F886" s="86">
        <f>ROUNDUP(1/(0.19*0.39),)</f>
        <v>14</v>
      </c>
      <c r="G886" s="92">
        <f t="array" ref="G886">IF(B886="insumo",_xlfn.XLOOKUP($D886,Insumos!$B$1:$B$996,Insumos!$D$1:$D$996),"")</f>
        <v>0.99</v>
      </c>
      <c r="H886" s="92">
        <v>13.86</v>
      </c>
      <c r="I886" s="84" t="e">
        <v>#REF!</v>
      </c>
      <c r="J886" s="84" t="e">
        <v>#REF!</v>
      </c>
      <c r="K886" s="84"/>
      <c r="L886"/>
      <c r="M886"/>
      <c r="N886"/>
      <c r="O886"/>
      <c r="P886"/>
      <c r="Q886"/>
      <c r="R886"/>
      <c r="S886"/>
      <c r="T886"/>
      <c r="U886"/>
      <c r="V886"/>
      <c r="W886"/>
      <c r="X886"/>
      <c r="Y886"/>
      <c r="Z886"/>
      <c r="AA886"/>
      <c r="AB886"/>
      <c r="AC886"/>
      <c r="AD886"/>
      <c r="AE886"/>
      <c r="AF886"/>
      <c r="AG886"/>
      <c r="AH886"/>
      <c r="AI886"/>
      <c r="AJ886"/>
      <c r="AK886"/>
      <c r="AL886"/>
    </row>
    <row r="887" spans="1:38" ht="12.75" outlineLevel="3" x14ac:dyDescent="0.2">
      <c r="A887" s="82">
        <v>27</v>
      </c>
      <c r="B887" s="82" t="s">
        <v>71</v>
      </c>
      <c r="C887" s="82" t="s">
        <v>2753</v>
      </c>
      <c r="D887" s="82" t="s">
        <v>342</v>
      </c>
      <c r="E887" s="11" t="str">
        <f t="array" ref="E887">_xlfn.XLOOKUP(D887,Insumos!B:B,Insumos!C:$C)</f>
        <v>M3</v>
      </c>
      <c r="F887" s="86">
        <v>0.02</v>
      </c>
      <c r="G887" s="92">
        <f t="array" ref="G887">IF(B887="insumo",_xlfn.XLOOKUP($D887,Insumos!$B$1:$B$996,Insumos!$D$1:$D$996),"")</f>
        <v>425</v>
      </c>
      <c r="H887" s="92">
        <v>8.5</v>
      </c>
      <c r="I887" s="84" t="e">
        <v>#REF!</v>
      </c>
      <c r="J887" s="84" t="e">
        <v>#REF!</v>
      </c>
      <c r="K887" s="84"/>
      <c r="L887"/>
      <c r="M887"/>
      <c r="N887"/>
      <c r="O887"/>
      <c r="P887"/>
      <c r="Q887"/>
      <c r="R887"/>
      <c r="S887"/>
      <c r="T887"/>
      <c r="U887"/>
      <c r="V887"/>
      <c r="W887"/>
      <c r="X887"/>
      <c r="Y887"/>
      <c r="Z887"/>
      <c r="AA887"/>
      <c r="AB887"/>
      <c r="AC887"/>
      <c r="AD887"/>
      <c r="AE887"/>
      <c r="AF887"/>
      <c r="AG887"/>
      <c r="AH887"/>
      <c r="AI887"/>
      <c r="AJ887"/>
      <c r="AK887"/>
      <c r="AL887"/>
    </row>
    <row r="888" spans="1:38" ht="12.75" outlineLevel="2" x14ac:dyDescent="0.2">
      <c r="A888" s="1071">
        <v>1</v>
      </c>
      <c r="B888" s="1071" t="s">
        <v>68</v>
      </c>
      <c r="C888" s="1071" t="s">
        <v>2752</v>
      </c>
      <c r="D888" s="1071" t="s">
        <v>2752</v>
      </c>
      <c r="E888" s="1072" t="s">
        <v>70</v>
      </c>
      <c r="F888" s="1071"/>
      <c r="G888" s="1073" t="str">
        <f t="array" ref="G888">IF(B888="insumo",_xlfn.XLOOKUP($D888,Insumos!$B$1:$B$996,Insumos!$D$1:$D$996),"")</f>
        <v/>
      </c>
      <c r="H888" s="1073">
        <v>24.6</v>
      </c>
      <c r="I888" s="1074" t="e">
        <v>#REF!</v>
      </c>
      <c r="J888" s="1074" t="e">
        <v>#REF!</v>
      </c>
      <c r="K888" s="1074"/>
      <c r="L888"/>
      <c r="M888"/>
      <c r="N888"/>
      <c r="O888"/>
      <c r="P888"/>
      <c r="Q888"/>
      <c r="R888"/>
      <c r="S888"/>
      <c r="T888"/>
      <c r="U888"/>
      <c r="V888"/>
      <c r="W888"/>
      <c r="X888"/>
      <c r="Y888"/>
      <c r="Z888"/>
      <c r="AA888"/>
      <c r="AB888"/>
      <c r="AC888"/>
      <c r="AD888"/>
      <c r="AE888"/>
      <c r="AF888"/>
      <c r="AG888"/>
      <c r="AH888"/>
      <c r="AI888"/>
      <c r="AJ888"/>
      <c r="AK888"/>
      <c r="AL888"/>
    </row>
    <row r="889" spans="1:38" ht="12.75" outlineLevel="3" x14ac:dyDescent="0.2">
      <c r="A889" s="82">
        <v>1</v>
      </c>
      <c r="B889" s="82" t="s">
        <v>71</v>
      </c>
      <c r="C889" s="82" t="s">
        <v>2752</v>
      </c>
      <c r="D889" s="82" t="s">
        <v>2754</v>
      </c>
      <c r="E889" s="11" t="str">
        <f t="array" ref="E889">_xlfn.XLOOKUP(D889,Insumos!B:B,Insumos!C:$C)</f>
        <v>UN</v>
      </c>
      <c r="F889" s="86">
        <f>ROUNDUP(1/(0.19*0.39),)</f>
        <v>14</v>
      </c>
      <c r="G889" s="92">
        <f t="array" ref="G889">IF(B889="insumo",_xlfn.XLOOKUP($D889,Insumos!$B$1:$B$996,Insumos!$D$1:$D$996),"")</f>
        <v>1.1499999999999999</v>
      </c>
      <c r="H889" s="92">
        <v>16.100000000000001</v>
      </c>
      <c r="I889" s="84" t="e">
        <v>#REF!</v>
      </c>
      <c r="J889" s="84" t="e">
        <v>#REF!</v>
      </c>
      <c r="K889" s="84"/>
      <c r="L889"/>
      <c r="M889"/>
      <c r="N889"/>
      <c r="O889"/>
      <c r="P889"/>
      <c r="Q889"/>
      <c r="R889"/>
      <c r="S889"/>
      <c r="T889"/>
      <c r="U889"/>
      <c r="V889"/>
      <c r="W889"/>
      <c r="X889"/>
      <c r="Y889"/>
      <c r="Z889"/>
      <c r="AA889"/>
      <c r="AB889"/>
      <c r="AC889"/>
      <c r="AD889"/>
      <c r="AE889"/>
      <c r="AF889"/>
      <c r="AG889"/>
      <c r="AH889"/>
      <c r="AI889"/>
      <c r="AJ889"/>
      <c r="AK889"/>
      <c r="AL889"/>
    </row>
    <row r="890" spans="1:38" ht="12.75" outlineLevel="3" x14ac:dyDescent="0.2">
      <c r="A890" s="82">
        <v>27</v>
      </c>
      <c r="B890" s="82" t="s">
        <v>71</v>
      </c>
      <c r="C890" s="82" t="s">
        <v>2752</v>
      </c>
      <c r="D890" s="82" t="s">
        <v>342</v>
      </c>
      <c r="E890" s="11" t="str">
        <f t="array" ref="E890">_xlfn.XLOOKUP(D890,Insumos!B:B,Insumos!C:$C)</f>
        <v>M3</v>
      </c>
      <c r="F890" s="86">
        <v>0.02</v>
      </c>
      <c r="G890" s="92">
        <f t="array" ref="G890">IF(B890="insumo",_xlfn.XLOOKUP($D890,Insumos!$B$1:$B$996,Insumos!$D$1:$D$996),"")</f>
        <v>425</v>
      </c>
      <c r="H890" s="92">
        <v>8.5</v>
      </c>
      <c r="I890" s="84" t="e">
        <v>#REF!</v>
      </c>
      <c r="J890" s="84" t="e">
        <v>#REF!</v>
      </c>
      <c r="K890" s="84"/>
      <c r="L890"/>
      <c r="M890"/>
      <c r="N890"/>
      <c r="O890"/>
      <c r="P890"/>
      <c r="Q890"/>
      <c r="R890"/>
      <c r="S890"/>
      <c r="T890"/>
      <c r="U890"/>
      <c r="V890"/>
      <c r="W890"/>
      <c r="X890"/>
      <c r="Y890"/>
      <c r="Z890"/>
      <c r="AA890"/>
      <c r="AB890"/>
      <c r="AC890"/>
      <c r="AD890"/>
      <c r="AE890"/>
      <c r="AF890"/>
      <c r="AG890"/>
      <c r="AH890"/>
      <c r="AI890"/>
      <c r="AJ890"/>
      <c r="AK890"/>
      <c r="AL890"/>
    </row>
    <row r="891" spans="1:38" ht="12.75" outlineLevel="2" x14ac:dyDescent="0.2">
      <c r="A891" s="1071">
        <v>1</v>
      </c>
      <c r="B891" s="1071" t="s">
        <v>68</v>
      </c>
      <c r="C891" s="1071" t="s">
        <v>1772</v>
      </c>
      <c r="D891" s="1071" t="s">
        <v>1772</v>
      </c>
      <c r="E891" s="1072" t="s">
        <v>70</v>
      </c>
      <c r="F891" s="1071"/>
      <c r="G891" s="1073" t="str">
        <f t="array" ref="G891">IF(B891="insumo",_xlfn.XLOOKUP($D891,Insumos!$B$1:$B$996,Insumos!$D$1:$D$996),"")</f>
        <v/>
      </c>
      <c r="H891" s="1073">
        <v>28.1</v>
      </c>
      <c r="I891" s="1074">
        <v>0</v>
      </c>
      <c r="J891" s="1074">
        <v>0</v>
      </c>
      <c r="K891" s="1074"/>
      <c r="L891"/>
      <c r="M891"/>
      <c r="N891"/>
      <c r="O891"/>
      <c r="P891"/>
      <c r="Q891"/>
      <c r="R891"/>
      <c r="S891"/>
      <c r="T891"/>
      <c r="U891"/>
      <c r="V891"/>
      <c r="W891"/>
      <c r="X891"/>
      <c r="Y891"/>
      <c r="Z891"/>
      <c r="AA891"/>
      <c r="AB891"/>
      <c r="AC891"/>
      <c r="AD891"/>
      <c r="AE891"/>
      <c r="AF891"/>
      <c r="AG891"/>
      <c r="AH891"/>
      <c r="AI891"/>
      <c r="AJ891"/>
      <c r="AK891"/>
      <c r="AL891"/>
    </row>
    <row r="892" spans="1:38" ht="12.75" outlineLevel="3" x14ac:dyDescent="0.2">
      <c r="A892" s="82">
        <v>2</v>
      </c>
      <c r="B892" s="82" t="s">
        <v>71</v>
      </c>
      <c r="C892" s="82" t="s">
        <v>1772</v>
      </c>
      <c r="D892" s="82" t="s">
        <v>347</v>
      </c>
      <c r="E892" s="11" t="str">
        <f t="array" ref="E892">_xlfn.XLOOKUP(D892,Insumos!B:B,Insumos!C:$C)</f>
        <v>UN</v>
      </c>
      <c r="F892" s="86">
        <f>ROUNDUP(1/(0.19*0.39),)</f>
        <v>14</v>
      </c>
      <c r="G892" s="92">
        <f t="array" ref="G892">IF(B892="insumo",_xlfn.XLOOKUP($D892,Insumos!$B$1:$B$996,Insumos!$D$1:$D$996),"")</f>
        <v>1.4</v>
      </c>
      <c r="H892" s="92">
        <v>19.600000000000001</v>
      </c>
      <c r="I892" s="84">
        <v>0</v>
      </c>
      <c r="J892" s="84">
        <v>0</v>
      </c>
      <c r="K892" s="84"/>
      <c r="L892"/>
      <c r="M892"/>
      <c r="N892"/>
      <c r="O892"/>
      <c r="P892"/>
      <c r="Q892"/>
      <c r="R892"/>
      <c r="S892"/>
      <c r="T892"/>
      <c r="U892"/>
      <c r="V892"/>
      <c r="W892"/>
      <c r="X892"/>
      <c r="Y892"/>
      <c r="Z892"/>
      <c r="AA892"/>
      <c r="AB892"/>
      <c r="AC892"/>
      <c r="AD892"/>
      <c r="AE892"/>
      <c r="AF892"/>
      <c r="AG892"/>
      <c r="AH892"/>
      <c r="AI892"/>
      <c r="AJ892"/>
      <c r="AK892"/>
      <c r="AL892"/>
    </row>
    <row r="893" spans="1:38" ht="12.75" outlineLevel="3" x14ac:dyDescent="0.2">
      <c r="A893" s="82">
        <v>27</v>
      </c>
      <c r="B893" s="82" t="s">
        <v>71</v>
      </c>
      <c r="C893" s="82" t="s">
        <v>1772</v>
      </c>
      <c r="D893" s="82" t="s">
        <v>342</v>
      </c>
      <c r="E893" s="11" t="str">
        <f t="array" ref="E893">_xlfn.XLOOKUP(D893,Insumos!B:B,Insumos!C:$C)</f>
        <v>M3</v>
      </c>
      <c r="F893" s="86">
        <v>0.02</v>
      </c>
      <c r="G893" s="92">
        <f t="array" ref="G893">IF(B893="insumo",_xlfn.XLOOKUP($D893,Insumos!$B$1:$B$996,Insumos!$D$1:$D$996),"")</f>
        <v>425</v>
      </c>
      <c r="H893" s="92">
        <v>8.5</v>
      </c>
      <c r="I893" s="84">
        <v>0</v>
      </c>
      <c r="J893" s="84">
        <v>0</v>
      </c>
      <c r="K893" s="84"/>
      <c r="L893"/>
      <c r="M893"/>
      <c r="N893"/>
      <c r="O893"/>
      <c r="P893"/>
      <c r="Q893"/>
      <c r="R893"/>
      <c r="S893"/>
      <c r="T893"/>
      <c r="U893"/>
      <c r="V893"/>
      <c r="W893"/>
      <c r="X893"/>
      <c r="Y893"/>
      <c r="Z893"/>
      <c r="AA893"/>
      <c r="AB893"/>
      <c r="AC893"/>
      <c r="AD893"/>
      <c r="AE893"/>
      <c r="AF893"/>
      <c r="AG893"/>
      <c r="AH893"/>
      <c r="AI893"/>
      <c r="AJ893"/>
      <c r="AK893"/>
      <c r="AL893"/>
    </row>
    <row r="894" spans="1:38" ht="12.75" outlineLevel="2" x14ac:dyDescent="0.2">
      <c r="A894" s="1071">
        <v>1</v>
      </c>
      <c r="B894" s="1071" t="s">
        <v>68</v>
      </c>
      <c r="C894" s="1071" t="s">
        <v>2751</v>
      </c>
      <c r="D894" s="1071" t="s">
        <v>2751</v>
      </c>
      <c r="E894" s="1072" t="s">
        <v>70</v>
      </c>
      <c r="F894" s="1071"/>
      <c r="G894" s="1073" t="str">
        <f t="array" ref="G894">IF(B894="insumo",_xlfn.XLOOKUP($D894,Insumos!$B$1:$B$996,Insumos!$D$1:$D$996),"")</f>
        <v/>
      </c>
      <c r="H894" s="1073">
        <v>35.1</v>
      </c>
      <c r="I894" s="1074" t="e">
        <v>#REF!</v>
      </c>
      <c r="J894" s="1074" t="e">
        <v>#REF!</v>
      </c>
      <c r="K894" s="1074"/>
      <c r="L894"/>
      <c r="M894"/>
      <c r="N894"/>
      <c r="O894"/>
      <c r="P894"/>
      <c r="Q894"/>
      <c r="R894"/>
      <c r="S894"/>
      <c r="T894"/>
      <c r="U894"/>
      <c r="V894"/>
      <c r="W894"/>
      <c r="X894"/>
      <c r="Y894"/>
      <c r="Z894"/>
      <c r="AA894"/>
      <c r="AB894"/>
      <c r="AC894"/>
      <c r="AD894"/>
      <c r="AE894"/>
      <c r="AF894"/>
      <c r="AG894"/>
      <c r="AH894"/>
      <c r="AI894"/>
      <c r="AJ894"/>
      <c r="AK894"/>
      <c r="AL894"/>
    </row>
    <row r="895" spans="1:38" ht="12.75" outlineLevel="3" x14ac:dyDescent="0.2">
      <c r="A895" s="82">
        <v>1</v>
      </c>
      <c r="B895" s="82" t="s">
        <v>71</v>
      </c>
      <c r="C895" s="82" t="s">
        <v>2751</v>
      </c>
      <c r="D895" s="82" t="s">
        <v>2755</v>
      </c>
      <c r="E895" s="11" t="str">
        <f t="array" ref="E895">_xlfn.XLOOKUP(D895,Insumos!B:B,Insumos!C:$C)</f>
        <v>UN</v>
      </c>
      <c r="F895" s="86">
        <f>ROUNDUP(1/(0.19*0.39),)</f>
        <v>14</v>
      </c>
      <c r="G895" s="92">
        <f t="array" ref="G895">IF(B895="insumo",_xlfn.XLOOKUP($D895,Insumos!$B$1:$B$996,Insumos!$D$1:$D$996),"")</f>
        <v>1.9</v>
      </c>
      <c r="H895" s="92">
        <v>26.6</v>
      </c>
      <c r="I895" s="84" t="e">
        <v>#REF!</v>
      </c>
      <c r="J895" s="84" t="e">
        <v>#REF!</v>
      </c>
      <c r="K895" s="84"/>
      <c r="L895"/>
      <c r="M895"/>
      <c r="N895"/>
      <c r="O895"/>
      <c r="P895"/>
      <c r="Q895"/>
      <c r="R895"/>
      <c r="S895"/>
      <c r="T895"/>
      <c r="U895"/>
      <c r="V895"/>
      <c r="W895"/>
      <c r="X895"/>
      <c r="Y895"/>
      <c r="Z895"/>
      <c r="AA895"/>
      <c r="AB895"/>
      <c r="AC895"/>
      <c r="AD895"/>
      <c r="AE895"/>
      <c r="AF895"/>
      <c r="AG895"/>
      <c r="AH895"/>
      <c r="AI895"/>
      <c r="AJ895"/>
      <c r="AK895"/>
      <c r="AL895"/>
    </row>
    <row r="896" spans="1:38" ht="12.75" outlineLevel="3" x14ac:dyDescent="0.2">
      <c r="A896" s="82">
        <v>27</v>
      </c>
      <c r="B896" s="82" t="s">
        <v>71</v>
      </c>
      <c r="C896" s="82" t="s">
        <v>2751</v>
      </c>
      <c r="D896" s="82" t="s">
        <v>342</v>
      </c>
      <c r="E896" s="11" t="str">
        <f t="array" ref="E896">_xlfn.XLOOKUP(D896,Insumos!B:B,Insumos!C:$C)</f>
        <v>M3</v>
      </c>
      <c r="F896" s="86">
        <v>0.02</v>
      </c>
      <c r="G896" s="92">
        <f t="array" ref="G896">IF(B896="insumo",_xlfn.XLOOKUP($D896,Insumos!$B$1:$B$996,Insumos!$D$1:$D$996),"")</f>
        <v>425</v>
      </c>
      <c r="H896" s="92">
        <v>8.5</v>
      </c>
      <c r="I896" s="84" t="e">
        <v>#REF!</v>
      </c>
      <c r="J896" s="84" t="e">
        <v>#REF!</v>
      </c>
      <c r="K896" s="84"/>
      <c r="L896"/>
      <c r="M896"/>
      <c r="N896"/>
      <c r="O896"/>
      <c r="P896"/>
      <c r="Q896"/>
      <c r="R896"/>
      <c r="S896"/>
      <c r="T896"/>
      <c r="U896"/>
      <c r="V896"/>
      <c r="W896"/>
      <c r="X896"/>
      <c r="Y896"/>
      <c r="Z896"/>
      <c r="AA896"/>
      <c r="AB896"/>
      <c r="AC896"/>
      <c r="AD896"/>
      <c r="AE896"/>
      <c r="AF896"/>
      <c r="AG896"/>
      <c r="AH896"/>
      <c r="AI896"/>
      <c r="AJ896"/>
      <c r="AK896"/>
      <c r="AL896"/>
    </row>
    <row r="897" spans="1:38" ht="15.75" customHeight="1" outlineLevel="2" x14ac:dyDescent="0.2">
      <c r="A897" s="1067">
        <v>1</v>
      </c>
      <c r="B897" s="1067" t="s">
        <v>68</v>
      </c>
      <c r="C897" s="1067" t="s">
        <v>350</v>
      </c>
      <c r="D897" s="1067" t="s">
        <v>350</v>
      </c>
      <c r="E897" s="1068" t="s">
        <v>70</v>
      </c>
      <c r="F897" s="1067"/>
      <c r="G897" s="1069" t="str">
        <f t="array" ref="G897">IF(B897="insumo",_xlfn.XLOOKUP($D897,Insumos!$B$1:$B$996,Insumos!$D$1:$D$996),"")</f>
        <v/>
      </c>
      <c r="H897" s="1069">
        <v>47.35</v>
      </c>
      <c r="I897" s="1070">
        <v>0</v>
      </c>
      <c r="J897" s="1070">
        <v>0</v>
      </c>
      <c r="K897" s="1070"/>
      <c r="L897"/>
      <c r="M897"/>
      <c r="N897"/>
      <c r="O897"/>
      <c r="P897"/>
      <c r="Q897"/>
      <c r="R897"/>
      <c r="S897"/>
      <c r="T897"/>
      <c r="U897"/>
      <c r="V897"/>
      <c r="W897"/>
      <c r="X897"/>
      <c r="Y897"/>
      <c r="Z897"/>
      <c r="AA897"/>
      <c r="AB897"/>
      <c r="AC897"/>
      <c r="AD897"/>
      <c r="AE897"/>
      <c r="AF897"/>
      <c r="AG897"/>
      <c r="AH897"/>
      <c r="AI897"/>
      <c r="AJ897"/>
      <c r="AK897"/>
      <c r="AL897"/>
    </row>
    <row r="898" spans="1:38" ht="15.75" customHeight="1" outlineLevel="3" x14ac:dyDescent="0.2">
      <c r="A898" s="10">
        <v>1</v>
      </c>
      <c r="B898" s="10" t="s">
        <v>71</v>
      </c>
      <c r="C898" s="10" t="s">
        <v>350</v>
      </c>
      <c r="D898" s="10" t="s">
        <v>351</v>
      </c>
      <c r="E898" s="11" t="str">
        <f t="array" ref="E898">_xlfn.XLOOKUP(D898,Insumos!B:B,Insumos!C:$C)</f>
        <v>UN</v>
      </c>
      <c r="F898" s="14">
        <f>ROUNDUP(1/(0.115*0.24),)</f>
        <v>37</v>
      </c>
      <c r="G898" s="92">
        <f t="array" ref="G898">IF(B898="insumo",_xlfn.XLOOKUP($D898,Insumos!$B$1:$B$996,Insumos!$D$1:$D$996),"")</f>
        <v>1.05</v>
      </c>
      <c r="H898" s="92">
        <v>38.85</v>
      </c>
      <c r="I898" s="13">
        <v>0</v>
      </c>
      <c r="J898" s="13">
        <v>0</v>
      </c>
      <c r="K898" s="13"/>
      <c r="L898"/>
      <c r="M898"/>
      <c r="N898"/>
      <c r="O898"/>
      <c r="P898"/>
      <c r="Q898"/>
      <c r="R898"/>
      <c r="S898"/>
      <c r="T898"/>
      <c r="U898"/>
      <c r="V898"/>
      <c r="W898"/>
      <c r="X898"/>
      <c r="Y898"/>
      <c r="Z898"/>
      <c r="AA898"/>
      <c r="AB898"/>
      <c r="AC898"/>
      <c r="AD898"/>
      <c r="AE898"/>
      <c r="AF898"/>
      <c r="AG898"/>
      <c r="AH898"/>
      <c r="AI898"/>
      <c r="AJ898"/>
      <c r="AK898"/>
      <c r="AL898"/>
    </row>
    <row r="899" spans="1:38" ht="15.75" customHeight="1" outlineLevel="3" x14ac:dyDescent="0.2">
      <c r="A899" s="10">
        <v>27</v>
      </c>
      <c r="B899" s="10" t="s">
        <v>71</v>
      </c>
      <c r="C899" s="10" t="s">
        <v>350</v>
      </c>
      <c r="D899" s="10" t="s">
        <v>342</v>
      </c>
      <c r="E899" s="11" t="str">
        <f t="array" ref="E899">_xlfn.XLOOKUP(D899,Insumos!B:B,Insumos!C:$C)</f>
        <v>M3</v>
      </c>
      <c r="F899" s="14">
        <v>0.02</v>
      </c>
      <c r="G899" s="92">
        <f t="array" ref="G899">IF(B899="insumo",_xlfn.XLOOKUP($D899,Insumos!$B$1:$B$996,Insumos!$D$1:$D$996),"")</f>
        <v>425</v>
      </c>
      <c r="H899" s="92">
        <v>8.5</v>
      </c>
      <c r="I899" s="13">
        <v>0</v>
      </c>
      <c r="J899" s="13">
        <v>0</v>
      </c>
      <c r="K899" s="13"/>
      <c r="L899"/>
      <c r="M899"/>
      <c r="N899"/>
      <c r="O899"/>
      <c r="P899"/>
      <c r="Q899"/>
      <c r="R899"/>
      <c r="S899"/>
      <c r="T899"/>
      <c r="U899"/>
      <c r="V899"/>
      <c r="W899"/>
      <c r="X899"/>
      <c r="Y899"/>
      <c r="Z899"/>
      <c r="AA899"/>
      <c r="AB899"/>
      <c r="AC899"/>
      <c r="AD899"/>
      <c r="AE899"/>
      <c r="AF899"/>
      <c r="AG899"/>
      <c r="AH899"/>
      <c r="AI899"/>
      <c r="AJ899"/>
      <c r="AK899"/>
      <c r="AL899"/>
    </row>
    <row r="900" spans="1:38" ht="15.75" customHeight="1" outlineLevel="2" x14ac:dyDescent="0.2">
      <c r="A900" s="1067">
        <v>1</v>
      </c>
      <c r="B900" s="1067" t="s">
        <v>68</v>
      </c>
      <c r="C900" s="1067" t="s">
        <v>1594</v>
      </c>
      <c r="D900" s="1067" t="s">
        <v>1594</v>
      </c>
      <c r="E900" s="1068" t="s">
        <v>70</v>
      </c>
      <c r="F900" s="1067"/>
      <c r="G900" s="1069" t="str">
        <f t="array" ref="G900">IF(B900="insumo",_xlfn.XLOOKUP($D900,Insumos!$B$1:$B$996,Insumos!$D$1:$D$996),"")</f>
        <v/>
      </c>
      <c r="H900" s="1069">
        <v>53.02</v>
      </c>
      <c r="I900" s="1070">
        <v>0</v>
      </c>
      <c r="J900" s="1070">
        <v>0</v>
      </c>
      <c r="K900" s="1070"/>
      <c r="L900"/>
      <c r="M900"/>
      <c r="N900"/>
      <c r="O900"/>
      <c r="P900"/>
      <c r="Q900"/>
      <c r="R900"/>
      <c r="S900"/>
      <c r="T900"/>
      <c r="U900"/>
      <c r="V900"/>
      <c r="W900"/>
      <c r="X900"/>
      <c r="Y900"/>
      <c r="Z900"/>
      <c r="AA900"/>
      <c r="AB900"/>
      <c r="AC900"/>
      <c r="AD900"/>
      <c r="AE900"/>
      <c r="AF900"/>
      <c r="AG900"/>
      <c r="AH900"/>
      <c r="AI900"/>
      <c r="AJ900"/>
      <c r="AK900"/>
      <c r="AL900"/>
    </row>
    <row r="901" spans="1:38" ht="15.75" customHeight="1" outlineLevel="3" x14ac:dyDescent="0.2">
      <c r="A901" s="10">
        <v>2</v>
      </c>
      <c r="B901" s="10" t="s">
        <v>71</v>
      </c>
      <c r="C901" s="10" t="s">
        <v>1594</v>
      </c>
      <c r="D901" s="10" t="s">
        <v>1593</v>
      </c>
      <c r="E901" s="11" t="str">
        <f t="array" ref="E901">_xlfn.XLOOKUP(D901,Insumos!B:B,Insumos!C:$C)</f>
        <v>UN</v>
      </c>
      <c r="F901" s="14">
        <f>ROUNDUP(1/(0.19*0.19),)</f>
        <v>28</v>
      </c>
      <c r="G901" s="92">
        <f t="array" ref="G901">IF(B901="insumo",_xlfn.XLOOKUP($D901,Insumos!$B$1:$B$996,Insumos!$D$1:$D$996),"")</f>
        <v>1.59</v>
      </c>
      <c r="H901" s="92">
        <v>44.52</v>
      </c>
      <c r="I901" s="13">
        <v>0</v>
      </c>
      <c r="J901" s="13">
        <v>0</v>
      </c>
      <c r="K901" s="13"/>
      <c r="L901"/>
      <c r="M901"/>
      <c r="N901"/>
      <c r="O901"/>
      <c r="P901"/>
      <c r="Q901"/>
      <c r="R901"/>
      <c r="S901"/>
      <c r="T901"/>
      <c r="U901"/>
      <c r="V901"/>
      <c r="W901"/>
      <c r="X901"/>
      <c r="Y901"/>
      <c r="Z901"/>
      <c r="AA901"/>
      <c r="AB901"/>
      <c r="AC901"/>
      <c r="AD901"/>
      <c r="AE901"/>
      <c r="AF901"/>
      <c r="AG901"/>
      <c r="AH901"/>
      <c r="AI901"/>
      <c r="AJ901"/>
      <c r="AK901"/>
      <c r="AL901"/>
    </row>
    <row r="902" spans="1:38" ht="15.75" customHeight="1" outlineLevel="3" x14ac:dyDescent="0.2">
      <c r="A902" s="10">
        <v>17</v>
      </c>
      <c r="B902" s="10" t="s">
        <v>71</v>
      </c>
      <c r="C902" s="10" t="s">
        <v>1594</v>
      </c>
      <c r="D902" s="10" t="s">
        <v>356</v>
      </c>
      <c r="E902" s="11" t="str">
        <f t="array" ref="E902">_xlfn.XLOOKUP(D902,Insumos!B:B,Insumos!C:$C)</f>
        <v>M3</v>
      </c>
      <c r="F902" s="14">
        <v>0.02</v>
      </c>
      <c r="G902" s="92">
        <f t="array" ref="G902">IF(B902="insumo",_xlfn.XLOOKUP($D902,Insumos!$B$1:$B$996,Insumos!$D$1:$D$996),"")</f>
        <v>425</v>
      </c>
      <c r="H902" s="92">
        <v>8.5</v>
      </c>
      <c r="I902" s="13">
        <v>0</v>
      </c>
      <c r="J902" s="13">
        <v>0</v>
      </c>
      <c r="K902" s="13"/>
      <c r="L902"/>
      <c r="M902"/>
      <c r="N902"/>
      <c r="O902"/>
      <c r="P902"/>
      <c r="Q902"/>
      <c r="R902"/>
      <c r="S902"/>
      <c r="T902"/>
      <c r="U902"/>
      <c r="V902"/>
      <c r="W902"/>
      <c r="X902"/>
      <c r="Y902"/>
      <c r="Z902"/>
      <c r="AA902"/>
      <c r="AB902"/>
      <c r="AC902"/>
      <c r="AD902"/>
      <c r="AE902"/>
      <c r="AF902"/>
      <c r="AG902"/>
      <c r="AH902"/>
      <c r="AI902"/>
      <c r="AJ902"/>
      <c r="AK902"/>
      <c r="AL902"/>
    </row>
    <row r="903" spans="1:38" ht="15.75" customHeight="1" outlineLevel="2" x14ac:dyDescent="0.2">
      <c r="A903" s="1067">
        <v>1</v>
      </c>
      <c r="B903" s="1067" t="s">
        <v>68</v>
      </c>
      <c r="C903" s="1067" t="s">
        <v>404</v>
      </c>
      <c r="D903" s="1067" t="s">
        <v>404</v>
      </c>
      <c r="E903" s="1068" t="s">
        <v>70</v>
      </c>
      <c r="F903" s="1067"/>
      <c r="G903" s="1069" t="str">
        <f t="array" ref="G903">IF(B903="insumo",_xlfn.XLOOKUP($D903,Insumos!$B$1:$B$996,Insumos!$D$1:$D$996),"")</f>
        <v/>
      </c>
      <c r="H903" s="1069">
        <v>39.985453999999997</v>
      </c>
      <c r="I903" s="1070">
        <v>0</v>
      </c>
      <c r="J903" s="1070">
        <v>0</v>
      </c>
      <c r="K903" s="1070"/>
      <c r="L903"/>
      <c r="M903"/>
      <c r="N903"/>
      <c r="O903"/>
      <c r="P903"/>
      <c r="Q903"/>
      <c r="R903"/>
      <c r="S903"/>
      <c r="T903"/>
      <c r="U903"/>
      <c r="V903"/>
      <c r="W903"/>
      <c r="X903"/>
      <c r="Y903"/>
      <c r="Z903"/>
      <c r="AA903"/>
      <c r="AB903"/>
      <c r="AC903"/>
      <c r="AD903"/>
      <c r="AE903"/>
      <c r="AF903"/>
      <c r="AG903"/>
      <c r="AH903"/>
      <c r="AI903"/>
      <c r="AJ903"/>
      <c r="AK903"/>
      <c r="AL903"/>
    </row>
    <row r="904" spans="1:38" ht="15.75" customHeight="1" outlineLevel="3" x14ac:dyDescent="0.2">
      <c r="A904" s="10">
        <v>2</v>
      </c>
      <c r="B904" s="10" t="s">
        <v>71</v>
      </c>
      <c r="C904" s="10" t="s">
        <v>404</v>
      </c>
      <c r="D904" s="10" t="s">
        <v>341</v>
      </c>
      <c r="E904" s="11" t="str">
        <f t="array" ref="E904">_xlfn.XLOOKUP(D904,Insumos!B:B,Insumos!C:$C)</f>
        <v>UN</v>
      </c>
      <c r="F904" s="14">
        <f>ROUNDUP(1/(0.19*0.19),)</f>
        <v>28</v>
      </c>
      <c r="G904" s="92">
        <f t="array" ref="G904">IF(B904="insumo",_xlfn.XLOOKUP($D904,Insumos!$B$1:$B$996,Insumos!$D$1:$D$996),"")</f>
        <v>0.99</v>
      </c>
      <c r="H904" s="92">
        <v>27.72</v>
      </c>
      <c r="I904" s="13">
        <v>0</v>
      </c>
      <c r="J904" s="13">
        <v>0</v>
      </c>
      <c r="K904" s="13"/>
      <c r="L904"/>
      <c r="M904"/>
      <c r="N904"/>
      <c r="O904"/>
      <c r="P904"/>
      <c r="Q904"/>
      <c r="R904"/>
      <c r="S904"/>
      <c r="T904"/>
      <c r="U904"/>
      <c r="V904"/>
      <c r="W904"/>
      <c r="X904"/>
      <c r="Y904"/>
      <c r="Z904"/>
      <c r="AA904"/>
      <c r="AB904"/>
      <c r="AC904"/>
      <c r="AD904"/>
      <c r="AE904"/>
      <c r="AF904"/>
      <c r="AG904"/>
      <c r="AH904"/>
      <c r="AI904"/>
      <c r="AJ904"/>
      <c r="AK904"/>
      <c r="AL904"/>
    </row>
    <row r="905" spans="1:38" ht="15.75" customHeight="1" outlineLevel="3" x14ac:dyDescent="0.2">
      <c r="A905" s="10">
        <v>27</v>
      </c>
      <c r="B905" s="10" t="s">
        <v>71</v>
      </c>
      <c r="C905" s="10" t="s">
        <v>404</v>
      </c>
      <c r="D905" s="10" t="s">
        <v>342</v>
      </c>
      <c r="E905" s="11" t="str">
        <f t="array" ref="E905">_xlfn.XLOOKUP(D905,Insumos!B:B,Insumos!C:$C)</f>
        <v>M3</v>
      </c>
      <c r="F905" s="14">
        <v>0.02</v>
      </c>
      <c r="G905" s="92">
        <f t="array" ref="G905">IF(B905="insumo",_xlfn.XLOOKUP($D905,Insumos!$B$1:$B$996,Insumos!$D$1:$D$996),"")</f>
        <v>425</v>
      </c>
      <c r="H905" s="92">
        <v>8.5</v>
      </c>
      <c r="I905" s="13">
        <v>0</v>
      </c>
      <c r="J905" s="13">
        <v>0</v>
      </c>
      <c r="K905" s="13"/>
      <c r="L905"/>
      <c r="M905"/>
      <c r="N905"/>
      <c r="O905"/>
      <c r="P905"/>
      <c r="Q905"/>
      <c r="R905"/>
      <c r="S905"/>
      <c r="T905"/>
      <c r="U905"/>
      <c r="V905"/>
      <c r="W905"/>
      <c r="X905"/>
      <c r="Y905"/>
      <c r="Z905"/>
      <c r="AA905"/>
      <c r="AB905"/>
      <c r="AC905"/>
      <c r="AD905"/>
      <c r="AE905"/>
      <c r="AF905"/>
      <c r="AG905"/>
      <c r="AH905"/>
      <c r="AI905"/>
      <c r="AJ905"/>
      <c r="AK905"/>
      <c r="AL905"/>
    </row>
    <row r="906" spans="1:38" ht="15.75" customHeight="1" outlineLevel="3" x14ac:dyDescent="0.2">
      <c r="A906" s="10">
        <v>95</v>
      </c>
      <c r="B906" s="10" t="s">
        <v>71</v>
      </c>
      <c r="C906" s="10" t="s">
        <v>404</v>
      </c>
      <c r="D906" s="10" t="s">
        <v>405</v>
      </c>
      <c r="E906" s="11" t="str">
        <f t="array" ref="E906">_xlfn.XLOOKUP(D906,Insumos!B:B,Insumos!C:$C)</f>
        <v>KG</v>
      </c>
      <c r="F906" s="14">
        <v>1.0978000000000001</v>
      </c>
      <c r="G906" s="92">
        <f t="array" ref="G906">IF(B906="insumo",_xlfn.XLOOKUP($D906,Insumos!$B$1:$B$996,Insumos!$D$1:$D$996),"")</f>
        <v>3.43</v>
      </c>
      <c r="H906" s="92">
        <v>3.7654540000000001</v>
      </c>
      <c r="I906" s="13">
        <v>0</v>
      </c>
      <c r="J906" s="13">
        <v>0</v>
      </c>
      <c r="K906" s="13"/>
      <c r="L906"/>
      <c r="M906"/>
      <c r="N906"/>
      <c r="O906"/>
      <c r="P906"/>
      <c r="Q906"/>
      <c r="R906"/>
      <c r="S906"/>
      <c r="T906"/>
      <c r="U906"/>
      <c r="V906"/>
      <c r="W906"/>
      <c r="X906"/>
      <c r="Y906"/>
      <c r="Z906"/>
      <c r="AA906"/>
      <c r="AB906"/>
      <c r="AC906"/>
      <c r="AD906"/>
      <c r="AE906"/>
      <c r="AF906"/>
      <c r="AG906"/>
      <c r="AH906"/>
      <c r="AI906"/>
      <c r="AJ906"/>
      <c r="AK906"/>
      <c r="AL906"/>
    </row>
    <row r="907" spans="1:38" ht="15.75" customHeight="1" outlineLevel="1" x14ac:dyDescent="0.2">
      <c r="A907" s="1090">
        <v>5</v>
      </c>
      <c r="B907" s="1090" t="s">
        <v>1228</v>
      </c>
      <c r="C907" s="1090" t="s">
        <v>404</v>
      </c>
      <c r="D907" s="1090" t="s">
        <v>1380</v>
      </c>
      <c r="E907" s="1091"/>
      <c r="F907" s="1092"/>
      <c r="G907" s="1091"/>
      <c r="H907" s="1091">
        <v>0</v>
      </c>
      <c r="I907" s="1092">
        <v>0</v>
      </c>
      <c r="J907" s="1092">
        <v>0</v>
      </c>
      <c r="K907" s="1092"/>
      <c r="L907"/>
      <c r="M907"/>
      <c r="N907"/>
      <c r="O907"/>
      <c r="P907"/>
      <c r="Q907"/>
      <c r="R907"/>
      <c r="S907"/>
      <c r="T907"/>
      <c r="U907"/>
      <c r="V907"/>
      <c r="W907"/>
      <c r="X907"/>
      <c r="Y907"/>
      <c r="Z907"/>
      <c r="AA907"/>
      <c r="AB907"/>
      <c r="AC907"/>
      <c r="AD907"/>
      <c r="AE907"/>
      <c r="AF907"/>
      <c r="AG907"/>
      <c r="AH907"/>
      <c r="AI907"/>
      <c r="AJ907"/>
      <c r="AK907"/>
      <c r="AL907"/>
    </row>
    <row r="908" spans="1:38" ht="15.75" customHeight="1" outlineLevel="2" x14ac:dyDescent="0.2">
      <c r="A908" s="1067">
        <v>1</v>
      </c>
      <c r="B908" s="1067" t="s">
        <v>68</v>
      </c>
      <c r="C908" s="1067" t="s">
        <v>348</v>
      </c>
      <c r="D908" s="1067" t="s">
        <v>348</v>
      </c>
      <c r="E908" s="1068" t="s">
        <v>70</v>
      </c>
      <c r="F908" s="1067"/>
      <c r="G908" s="1069" t="str">
        <f t="array" ref="G908">IF(B908="insumo",_xlfn.XLOOKUP($D908,Insumos!$B$1:$B$996,Insumos!$D$1:$D$996),"")</f>
        <v/>
      </c>
      <c r="H908" s="1069">
        <v>46.3</v>
      </c>
      <c r="I908" s="1070">
        <v>0</v>
      </c>
      <c r="J908" s="1070">
        <v>0</v>
      </c>
      <c r="K908" s="1070"/>
      <c r="L908"/>
      <c r="M908"/>
      <c r="N908"/>
      <c r="O908"/>
      <c r="P908"/>
      <c r="Q908"/>
      <c r="R908"/>
      <c r="S908"/>
      <c r="T908"/>
      <c r="U908"/>
      <c r="V908"/>
      <c r="W908"/>
      <c r="X908"/>
      <c r="Y908"/>
      <c r="Z908"/>
      <c r="AA908"/>
      <c r="AB908"/>
      <c r="AC908"/>
      <c r="AD908"/>
      <c r="AE908"/>
      <c r="AF908"/>
      <c r="AG908"/>
      <c r="AH908"/>
      <c r="AI908"/>
      <c r="AJ908"/>
      <c r="AK908"/>
      <c r="AL908"/>
    </row>
    <row r="909" spans="1:38" ht="15.75" customHeight="1" outlineLevel="3" x14ac:dyDescent="0.2">
      <c r="A909" s="10">
        <v>1</v>
      </c>
      <c r="B909" s="10" t="s">
        <v>71</v>
      </c>
      <c r="C909" s="10" t="s">
        <v>348</v>
      </c>
      <c r="D909" s="10" t="s">
        <v>349</v>
      </c>
      <c r="E909" s="11" t="str">
        <f t="array" ref="E909">_xlfn.XLOOKUP(D909,Insumos!B:B,Insumos!C:$C)</f>
        <v>UN</v>
      </c>
      <c r="F909" s="14">
        <f>ROUNDUP(1/(0.19*0.39),)</f>
        <v>14</v>
      </c>
      <c r="G909" s="92">
        <f t="array" ref="G909">IF(B909="insumo",_xlfn.XLOOKUP($D909,Insumos!$B$1:$B$996,Insumos!$D$1:$D$996),"")</f>
        <v>2.7</v>
      </c>
      <c r="H909" s="92">
        <v>37.799999999999997</v>
      </c>
      <c r="I909" s="13">
        <v>0</v>
      </c>
      <c r="J909" s="13">
        <v>0</v>
      </c>
      <c r="K909" s="13"/>
      <c r="L909"/>
      <c r="M909"/>
      <c r="N909"/>
      <c r="O909"/>
      <c r="P909"/>
      <c r="Q909"/>
      <c r="R909"/>
      <c r="S909"/>
      <c r="T909"/>
      <c r="U909"/>
      <c r="V909"/>
      <c r="W909"/>
      <c r="X909"/>
      <c r="Y909"/>
      <c r="Z909"/>
      <c r="AA909"/>
      <c r="AB909"/>
      <c r="AC909"/>
      <c r="AD909"/>
      <c r="AE909"/>
      <c r="AF909"/>
      <c r="AG909"/>
      <c r="AH909"/>
      <c r="AI909"/>
      <c r="AJ909"/>
      <c r="AK909"/>
      <c r="AL909"/>
    </row>
    <row r="910" spans="1:38" ht="15.75" customHeight="1" outlineLevel="3" x14ac:dyDescent="0.2">
      <c r="A910" s="10">
        <v>27</v>
      </c>
      <c r="B910" s="10" t="s">
        <v>71</v>
      </c>
      <c r="C910" s="10" t="s">
        <v>348</v>
      </c>
      <c r="D910" s="10" t="s">
        <v>342</v>
      </c>
      <c r="E910" s="11" t="str">
        <f t="array" ref="E910">_xlfn.XLOOKUP(D910,Insumos!B:B,Insumos!C:$C)</f>
        <v>M3</v>
      </c>
      <c r="F910" s="14">
        <v>0.02</v>
      </c>
      <c r="G910" s="92">
        <f t="array" ref="G910">IF(B910="insumo",_xlfn.XLOOKUP($D910,Insumos!$B$1:$B$996,Insumos!$D$1:$D$996),"")</f>
        <v>425</v>
      </c>
      <c r="H910" s="92">
        <v>8.5</v>
      </c>
      <c r="I910" s="13">
        <v>0</v>
      </c>
      <c r="J910" s="13">
        <v>0</v>
      </c>
      <c r="K910" s="13"/>
      <c r="L910"/>
      <c r="M910"/>
      <c r="N910"/>
      <c r="O910"/>
      <c r="P910"/>
      <c r="Q910"/>
      <c r="R910"/>
      <c r="S910"/>
      <c r="T910"/>
      <c r="U910"/>
      <c r="V910"/>
      <c r="W910"/>
      <c r="X910"/>
      <c r="Y910"/>
      <c r="Z910"/>
      <c r="AA910"/>
      <c r="AB910"/>
      <c r="AC910"/>
      <c r="AD910"/>
      <c r="AE910"/>
      <c r="AF910"/>
      <c r="AG910"/>
      <c r="AH910"/>
      <c r="AI910"/>
      <c r="AJ910"/>
      <c r="AK910"/>
      <c r="AL910"/>
    </row>
    <row r="911" spans="1:38" ht="15.75" customHeight="1" outlineLevel="2" x14ac:dyDescent="0.2">
      <c r="A911" s="1067">
        <v>1</v>
      </c>
      <c r="B911" s="1067" t="s">
        <v>68</v>
      </c>
      <c r="C911" s="1067" t="s">
        <v>1321</v>
      </c>
      <c r="D911" s="1067" t="s">
        <v>1321</v>
      </c>
      <c r="E911" s="1068" t="s">
        <v>70</v>
      </c>
      <c r="F911" s="1067"/>
      <c r="G911" s="1069" t="str">
        <f t="array" ref="G911">IF(B911="insumo",_xlfn.XLOOKUP($D911,Insumos!$B$1:$B$996,Insumos!$D$1:$D$996),"")</f>
        <v/>
      </c>
      <c r="H911" s="1069">
        <v>56.8</v>
      </c>
      <c r="I911" s="1070">
        <v>0</v>
      </c>
      <c r="J911" s="1070">
        <v>0</v>
      </c>
      <c r="K911" s="1070"/>
      <c r="L911"/>
      <c r="M911"/>
      <c r="N911"/>
      <c r="O911"/>
      <c r="P911"/>
      <c r="Q911"/>
      <c r="R911"/>
      <c r="S911"/>
      <c r="T911"/>
      <c r="U911"/>
      <c r="V911"/>
      <c r="W911"/>
      <c r="X911"/>
      <c r="Y911"/>
      <c r="Z911"/>
      <c r="AA911"/>
      <c r="AB911"/>
      <c r="AC911"/>
      <c r="AD911"/>
      <c r="AE911"/>
      <c r="AF911"/>
      <c r="AG911"/>
      <c r="AH911"/>
      <c r="AI911"/>
      <c r="AJ911"/>
      <c r="AK911"/>
      <c r="AL911"/>
    </row>
    <row r="912" spans="1:38" ht="15.75" customHeight="1" outlineLevel="3" x14ac:dyDescent="0.2">
      <c r="A912" s="10">
        <v>1</v>
      </c>
      <c r="B912" s="10" t="s">
        <v>71</v>
      </c>
      <c r="C912" s="10" t="s">
        <v>1321</v>
      </c>
      <c r="D912" s="10" t="s">
        <v>1323</v>
      </c>
      <c r="E912" s="11" t="str">
        <f t="array" ref="E912">_xlfn.XLOOKUP(D912,Insumos!B:B,Insumos!C:$C)</f>
        <v>UN</v>
      </c>
      <c r="F912" s="14">
        <f>ROUNDUP(1/(0.19*0.39),)</f>
        <v>14</v>
      </c>
      <c r="G912" s="92">
        <f t="array" ref="G912">IF(B912="insumo",_xlfn.XLOOKUP($D912,Insumos!$B$1:$B$996,Insumos!$D$1:$D$996),"")</f>
        <v>3.4500000000000006</v>
      </c>
      <c r="H912" s="92">
        <v>48.3</v>
      </c>
      <c r="I912" s="13">
        <v>0</v>
      </c>
      <c r="J912" s="13">
        <v>0</v>
      </c>
      <c r="K912" s="13"/>
      <c r="L912"/>
      <c r="M912"/>
      <c r="N912"/>
      <c r="O912"/>
      <c r="P912"/>
      <c r="Q912"/>
      <c r="R912"/>
      <c r="S912"/>
      <c r="T912"/>
      <c r="U912"/>
      <c r="V912"/>
      <c r="W912"/>
      <c r="X912"/>
      <c r="Y912"/>
      <c r="Z912"/>
      <c r="AA912"/>
      <c r="AB912"/>
      <c r="AC912"/>
      <c r="AD912"/>
      <c r="AE912"/>
      <c r="AF912"/>
      <c r="AG912"/>
      <c r="AH912"/>
      <c r="AI912"/>
      <c r="AJ912"/>
      <c r="AK912"/>
      <c r="AL912"/>
    </row>
    <row r="913" spans="1:38" ht="15.75" customHeight="1" outlineLevel="3" x14ac:dyDescent="0.2">
      <c r="A913" s="10">
        <v>27</v>
      </c>
      <c r="B913" s="10" t="s">
        <v>71</v>
      </c>
      <c r="C913" s="10" t="s">
        <v>1321</v>
      </c>
      <c r="D913" s="10" t="s">
        <v>342</v>
      </c>
      <c r="E913" s="11" t="str">
        <f t="array" ref="E913">_xlfn.XLOOKUP(D913,Insumos!B:B,Insumos!C:$C)</f>
        <v>M3</v>
      </c>
      <c r="F913" s="14">
        <v>0.02</v>
      </c>
      <c r="G913" s="92">
        <f t="array" ref="G913">IF(B913="insumo",_xlfn.XLOOKUP($D913,Insumos!$B$1:$B$996,Insumos!$D$1:$D$996),"")</f>
        <v>425</v>
      </c>
      <c r="H913" s="92">
        <v>8.5</v>
      </c>
      <c r="I913" s="13">
        <v>0</v>
      </c>
      <c r="J913" s="13">
        <v>0</v>
      </c>
      <c r="K913" s="13"/>
      <c r="L913"/>
      <c r="M913"/>
      <c r="N913"/>
      <c r="O913"/>
      <c r="P913"/>
      <c r="Q913"/>
      <c r="R913"/>
      <c r="S913"/>
      <c r="T913"/>
      <c r="U913"/>
      <c r="V913"/>
      <c r="W913"/>
      <c r="X913"/>
      <c r="Y913"/>
      <c r="Z913"/>
      <c r="AA913"/>
      <c r="AB913"/>
      <c r="AC913"/>
      <c r="AD913"/>
      <c r="AE913"/>
      <c r="AF913"/>
      <c r="AG913"/>
      <c r="AH913"/>
      <c r="AI913"/>
      <c r="AJ913"/>
      <c r="AK913"/>
      <c r="AL913"/>
    </row>
    <row r="914" spans="1:38" ht="15.75" customHeight="1" outlineLevel="2" x14ac:dyDescent="0.2">
      <c r="A914" s="1067">
        <v>1</v>
      </c>
      <c r="B914" s="1067" t="s">
        <v>68</v>
      </c>
      <c r="C914" s="1067" t="s">
        <v>1322</v>
      </c>
      <c r="D914" s="1067" t="s">
        <v>1322</v>
      </c>
      <c r="E914" s="1068" t="s">
        <v>70</v>
      </c>
      <c r="F914" s="1067"/>
      <c r="G914" s="1069" t="str">
        <f t="array" ref="G914">IF(B914="insumo",_xlfn.XLOOKUP($D914,Insumos!$B$1:$B$996,Insumos!$D$1:$D$996),"")</f>
        <v/>
      </c>
      <c r="H914" s="1069">
        <v>88.3</v>
      </c>
      <c r="I914" s="1070">
        <v>0</v>
      </c>
      <c r="J914" s="1070">
        <v>0</v>
      </c>
      <c r="K914" s="1070"/>
      <c r="L914"/>
      <c r="M914"/>
      <c r="N914"/>
      <c r="O914"/>
      <c r="P914"/>
      <c r="Q914"/>
      <c r="R914"/>
      <c r="S914"/>
      <c r="T914"/>
      <c r="U914"/>
      <c r="V914"/>
      <c r="W914"/>
      <c r="X914"/>
      <c r="Y914"/>
      <c r="Z914"/>
      <c r="AA914"/>
      <c r="AB914"/>
      <c r="AC914"/>
      <c r="AD914"/>
      <c r="AE914"/>
      <c r="AF914"/>
      <c r="AG914"/>
      <c r="AH914"/>
      <c r="AI914"/>
      <c r="AJ914"/>
      <c r="AK914"/>
      <c r="AL914"/>
    </row>
    <row r="915" spans="1:38" ht="15.75" customHeight="1" outlineLevel="3" x14ac:dyDescent="0.2">
      <c r="A915" s="10">
        <v>1</v>
      </c>
      <c r="B915" s="10" t="s">
        <v>71</v>
      </c>
      <c r="C915" s="10" t="s">
        <v>1322</v>
      </c>
      <c r="D915" s="10" t="s">
        <v>1324</v>
      </c>
      <c r="E915" s="11" t="str">
        <f t="array" ref="E915">_xlfn.XLOOKUP(D915,Insumos!B:B,Insumos!C:$C)</f>
        <v>UN</v>
      </c>
      <c r="F915" s="14">
        <f>ROUNDUP(1/(0.19*0.39),)</f>
        <v>14</v>
      </c>
      <c r="G915" s="92">
        <f t="array" ref="G915">IF(B915="insumo",_xlfn.XLOOKUP($D915,Insumos!$B$1:$B$996,Insumos!$D$1:$D$996),"")</f>
        <v>5.7000000000000011</v>
      </c>
      <c r="H915" s="92">
        <v>79.8</v>
      </c>
      <c r="I915" s="13">
        <v>0</v>
      </c>
      <c r="J915" s="13">
        <v>0</v>
      </c>
      <c r="K915" s="13"/>
      <c r="L915"/>
      <c r="M915"/>
      <c r="N915"/>
      <c r="O915"/>
      <c r="P915"/>
      <c r="Q915"/>
      <c r="R915"/>
      <c r="S915"/>
      <c r="T915"/>
      <c r="U915"/>
      <c r="V915"/>
      <c r="W915"/>
      <c r="X915"/>
      <c r="Y915"/>
      <c r="Z915"/>
      <c r="AA915"/>
      <c r="AB915"/>
      <c r="AC915"/>
      <c r="AD915"/>
      <c r="AE915"/>
      <c r="AF915"/>
      <c r="AG915"/>
      <c r="AH915"/>
      <c r="AI915"/>
      <c r="AJ915"/>
      <c r="AK915"/>
      <c r="AL915"/>
    </row>
    <row r="916" spans="1:38" ht="15.75" customHeight="1" outlineLevel="3" x14ac:dyDescent="0.2">
      <c r="A916" s="10">
        <v>27</v>
      </c>
      <c r="B916" s="10" t="s">
        <v>71</v>
      </c>
      <c r="C916" s="10" t="s">
        <v>1322</v>
      </c>
      <c r="D916" s="10" t="s">
        <v>342</v>
      </c>
      <c r="E916" s="11" t="str">
        <f t="array" ref="E916">_xlfn.XLOOKUP(D916,Insumos!B:B,Insumos!C:$C)</f>
        <v>M3</v>
      </c>
      <c r="F916" s="14">
        <v>0.02</v>
      </c>
      <c r="G916" s="92">
        <f t="array" ref="G916">IF(B916="insumo",_xlfn.XLOOKUP($D916,Insumos!$B$1:$B$996,Insumos!$D$1:$D$996),"")</f>
        <v>425</v>
      </c>
      <c r="H916" s="92">
        <v>8.5</v>
      </c>
      <c r="I916" s="13">
        <v>0</v>
      </c>
      <c r="J916" s="13">
        <v>0</v>
      </c>
      <c r="K916" s="13"/>
      <c r="L916"/>
      <c r="M916"/>
      <c r="N916"/>
      <c r="O916"/>
      <c r="P916"/>
      <c r="Q916"/>
      <c r="R916"/>
      <c r="S916"/>
      <c r="T916"/>
      <c r="U916"/>
      <c r="V916"/>
      <c r="W916"/>
      <c r="X916"/>
      <c r="Y916"/>
      <c r="Z916"/>
      <c r="AA916"/>
      <c r="AB916"/>
      <c r="AC916"/>
      <c r="AD916"/>
      <c r="AE916"/>
      <c r="AF916"/>
      <c r="AG916"/>
      <c r="AH916"/>
      <c r="AI916"/>
      <c r="AJ916"/>
      <c r="AK916"/>
      <c r="AL916"/>
    </row>
    <row r="917" spans="1:38" ht="15.75" customHeight="1" outlineLevel="1" x14ac:dyDescent="0.2">
      <c r="A917" s="1090">
        <v>1</v>
      </c>
      <c r="B917" s="1090" t="s">
        <v>1228</v>
      </c>
      <c r="C917" s="1090" t="s">
        <v>1322</v>
      </c>
      <c r="D917" s="1090" t="s">
        <v>1721</v>
      </c>
      <c r="E917" s="1091"/>
      <c r="F917" s="1092"/>
      <c r="G917" s="1091"/>
      <c r="H917" s="1091">
        <v>0</v>
      </c>
      <c r="I917" s="1092">
        <v>0</v>
      </c>
      <c r="J917" s="1092">
        <v>0</v>
      </c>
      <c r="K917" s="1092"/>
      <c r="L917"/>
      <c r="M917"/>
      <c r="N917"/>
      <c r="O917"/>
      <c r="P917"/>
      <c r="Q917"/>
      <c r="R917"/>
      <c r="S917"/>
      <c r="T917"/>
      <c r="U917"/>
      <c r="V917"/>
      <c r="W917"/>
      <c r="X917"/>
      <c r="Y917"/>
      <c r="Z917"/>
      <c r="AA917"/>
      <c r="AB917"/>
      <c r="AC917"/>
      <c r="AD917"/>
      <c r="AE917"/>
      <c r="AF917"/>
      <c r="AG917"/>
      <c r="AH917"/>
      <c r="AI917"/>
      <c r="AJ917"/>
      <c r="AK917"/>
      <c r="AL917"/>
    </row>
    <row r="918" spans="1:38" ht="12.75" outlineLevel="2" x14ac:dyDescent="0.2">
      <c r="A918" s="1071">
        <v>1</v>
      </c>
      <c r="B918" s="1071" t="s">
        <v>68</v>
      </c>
      <c r="C918" s="1071" t="s">
        <v>1722</v>
      </c>
      <c r="D918" s="1071" t="s">
        <v>1722</v>
      </c>
      <c r="E918" s="1072" t="s">
        <v>70</v>
      </c>
      <c r="F918" s="1071"/>
      <c r="G918" s="1073" t="str">
        <f t="array" ref="G918">IF(B918="insumo",_xlfn.XLOOKUP($D918,Insumos!$B$1:$B$996,Insumos!$D$1:$D$996),"")</f>
        <v/>
      </c>
      <c r="H918" s="1073">
        <v>75.7</v>
      </c>
      <c r="I918" s="1074">
        <v>0</v>
      </c>
      <c r="J918" s="1074">
        <v>0</v>
      </c>
      <c r="K918" s="1074"/>
      <c r="L918"/>
      <c r="M918"/>
      <c r="N918"/>
      <c r="O918"/>
      <c r="P918"/>
      <c r="Q918"/>
      <c r="R918"/>
      <c r="S918"/>
      <c r="T918"/>
      <c r="U918"/>
      <c r="V918"/>
      <c r="W918"/>
      <c r="X918"/>
      <c r="Y918"/>
      <c r="Z918"/>
      <c r="AA918"/>
      <c r="AB918"/>
      <c r="AC918"/>
      <c r="AD918"/>
      <c r="AE918"/>
      <c r="AF918"/>
      <c r="AG918"/>
      <c r="AH918"/>
      <c r="AI918"/>
      <c r="AJ918"/>
      <c r="AK918"/>
      <c r="AL918"/>
    </row>
    <row r="919" spans="1:38" ht="12.75" outlineLevel="3" x14ac:dyDescent="0.2">
      <c r="A919" s="82">
        <v>1</v>
      </c>
      <c r="B919" s="82" t="s">
        <v>71</v>
      </c>
      <c r="C919" s="82" t="s">
        <v>1722</v>
      </c>
      <c r="D919" s="82" t="s">
        <v>1723</v>
      </c>
      <c r="E919" s="11" t="str">
        <f t="array" ref="E919">_xlfn.XLOOKUP(D919,Insumos!B:B,Insumos!C:$C)</f>
        <v>UN</v>
      </c>
      <c r="F919" s="86">
        <f>ROUNDUP(1/(0.19*0.39),)</f>
        <v>14</v>
      </c>
      <c r="G919" s="92">
        <f t="array" ref="G919">IF(B919="insumo",_xlfn.XLOOKUP($D919,Insumos!$B$1:$B$996,Insumos!$D$1:$D$996),"")</f>
        <v>4.8</v>
      </c>
      <c r="H919" s="92">
        <v>67.2</v>
      </c>
      <c r="I919" s="84">
        <v>0</v>
      </c>
      <c r="J919" s="84">
        <v>0</v>
      </c>
      <c r="K919" s="84"/>
      <c r="L919"/>
      <c r="M919"/>
      <c r="N919"/>
      <c r="O919"/>
      <c r="P919"/>
      <c r="Q919"/>
      <c r="R919"/>
      <c r="S919"/>
      <c r="T919"/>
      <c r="U919"/>
      <c r="V919"/>
      <c r="W919"/>
      <c r="X919"/>
      <c r="Y919"/>
      <c r="Z919"/>
      <c r="AA919"/>
      <c r="AB919"/>
      <c r="AC919"/>
      <c r="AD919"/>
      <c r="AE919"/>
      <c r="AF919"/>
      <c r="AG919"/>
      <c r="AH919"/>
      <c r="AI919"/>
      <c r="AJ919"/>
      <c r="AK919"/>
      <c r="AL919"/>
    </row>
    <row r="920" spans="1:38" ht="12.75" outlineLevel="3" x14ac:dyDescent="0.2">
      <c r="A920" s="82">
        <v>27</v>
      </c>
      <c r="B920" s="82" t="s">
        <v>71</v>
      </c>
      <c r="C920" s="82" t="s">
        <v>1722</v>
      </c>
      <c r="D920" s="82" t="s">
        <v>342</v>
      </c>
      <c r="E920" s="11" t="str">
        <f t="array" ref="E920">_xlfn.XLOOKUP(D920,Insumos!B:B,Insumos!C:$C)</f>
        <v>M3</v>
      </c>
      <c r="F920" s="86">
        <v>0.02</v>
      </c>
      <c r="G920" s="92">
        <f t="array" ref="G920">IF(B920="insumo",_xlfn.XLOOKUP($D920,Insumos!$B$1:$B$996,Insumos!$D$1:$D$996),"")</f>
        <v>425</v>
      </c>
      <c r="H920" s="92">
        <v>8.5</v>
      </c>
      <c r="I920" s="84">
        <v>0</v>
      </c>
      <c r="J920" s="84">
        <v>0</v>
      </c>
      <c r="K920" s="84"/>
      <c r="L920"/>
      <c r="M920"/>
      <c r="N920"/>
      <c r="O920"/>
      <c r="P920"/>
      <c r="Q920"/>
      <c r="R920"/>
      <c r="S920"/>
      <c r="T920"/>
      <c r="U920"/>
      <c r="V920"/>
      <c r="W920"/>
      <c r="X920"/>
      <c r="Y920"/>
      <c r="Z920"/>
      <c r="AA920"/>
      <c r="AB920"/>
      <c r="AC920"/>
      <c r="AD920"/>
      <c r="AE920"/>
      <c r="AF920"/>
      <c r="AG920"/>
      <c r="AH920"/>
      <c r="AI920"/>
      <c r="AJ920"/>
      <c r="AK920"/>
      <c r="AL920"/>
    </row>
    <row r="921" spans="1:38" ht="12.75" outlineLevel="2" x14ac:dyDescent="0.2">
      <c r="A921" s="1071">
        <v>1</v>
      </c>
      <c r="B921" s="1071" t="s">
        <v>68</v>
      </c>
      <c r="C921" s="1071" t="s">
        <v>1724</v>
      </c>
      <c r="D921" s="1071" t="s">
        <v>1724</v>
      </c>
      <c r="E921" s="1072" t="s">
        <v>70</v>
      </c>
      <c r="F921" s="1071"/>
      <c r="G921" s="1073" t="str">
        <f t="array" ref="G921">IF(B921="insumo",_xlfn.XLOOKUP($D921,Insumos!$B$1:$B$996,Insumos!$D$1:$D$996),"")</f>
        <v/>
      </c>
      <c r="H921" s="1073">
        <v>103.7</v>
      </c>
      <c r="I921" s="1074">
        <v>0</v>
      </c>
      <c r="J921" s="1074">
        <v>0</v>
      </c>
      <c r="K921" s="1074"/>
      <c r="L921"/>
      <c r="M921"/>
      <c r="N921"/>
      <c r="O921"/>
      <c r="P921"/>
      <c r="Q921"/>
      <c r="R921"/>
      <c r="S921"/>
      <c r="T921"/>
      <c r="U921"/>
      <c r="V921"/>
      <c r="W921"/>
      <c r="X921"/>
      <c r="Y921"/>
      <c r="Z921"/>
      <c r="AA921"/>
      <c r="AB921"/>
      <c r="AC921"/>
      <c r="AD921"/>
      <c r="AE921"/>
      <c r="AF921"/>
      <c r="AG921"/>
      <c r="AH921"/>
      <c r="AI921"/>
      <c r="AJ921"/>
      <c r="AK921"/>
      <c r="AL921"/>
    </row>
    <row r="922" spans="1:38" ht="12.75" outlineLevel="3" x14ac:dyDescent="0.2">
      <c r="A922" s="82">
        <v>1</v>
      </c>
      <c r="B922" s="82" t="s">
        <v>71</v>
      </c>
      <c r="C922" s="82" t="s">
        <v>1724</v>
      </c>
      <c r="D922" s="82" t="s">
        <v>1725</v>
      </c>
      <c r="E922" s="11" t="str">
        <f t="array" ref="E922">_xlfn.XLOOKUP(D922,Insumos!B:B,Insumos!C:$C)</f>
        <v>UN</v>
      </c>
      <c r="F922" s="86">
        <f>ROUNDUP(1/(0.19*0.39),)</f>
        <v>14</v>
      </c>
      <c r="G922" s="92">
        <f t="array" ref="G922">IF(B922="insumo",_xlfn.XLOOKUP($D922,Insumos!$B$1:$B$996,Insumos!$D$1:$D$996),"")</f>
        <v>6.8</v>
      </c>
      <c r="H922" s="92">
        <v>95.2</v>
      </c>
      <c r="I922" s="84">
        <v>0</v>
      </c>
      <c r="J922" s="84">
        <v>0</v>
      </c>
      <c r="K922" s="84"/>
      <c r="L922"/>
      <c r="M922"/>
      <c r="N922"/>
      <c r="O922"/>
      <c r="P922"/>
      <c r="Q922"/>
      <c r="R922"/>
      <c r="S922"/>
      <c r="T922"/>
      <c r="U922"/>
      <c r="V922"/>
      <c r="W922"/>
      <c r="X922"/>
      <c r="Y922"/>
      <c r="Z922"/>
      <c r="AA922"/>
      <c r="AB922"/>
      <c r="AC922"/>
      <c r="AD922"/>
      <c r="AE922"/>
      <c r="AF922"/>
      <c r="AG922"/>
      <c r="AH922"/>
      <c r="AI922"/>
      <c r="AJ922"/>
      <c r="AK922"/>
      <c r="AL922"/>
    </row>
    <row r="923" spans="1:38" ht="12.75" outlineLevel="3" x14ac:dyDescent="0.2">
      <c r="A923" s="82">
        <v>27</v>
      </c>
      <c r="B923" s="82" t="s">
        <v>71</v>
      </c>
      <c r="C923" s="82" t="s">
        <v>1724</v>
      </c>
      <c r="D923" s="82" t="s">
        <v>342</v>
      </c>
      <c r="E923" s="11" t="str">
        <f t="array" ref="E923">_xlfn.XLOOKUP(D923,Insumos!B:B,Insumos!C:$C)</f>
        <v>M3</v>
      </c>
      <c r="F923" s="86">
        <v>0.02</v>
      </c>
      <c r="G923" s="92">
        <f t="array" ref="G923">IF(B923="insumo",_xlfn.XLOOKUP($D923,Insumos!$B$1:$B$996,Insumos!$D$1:$D$996),"")</f>
        <v>425</v>
      </c>
      <c r="H923" s="92">
        <v>8.5</v>
      </c>
      <c r="I923" s="84">
        <v>0</v>
      </c>
      <c r="J923" s="84">
        <v>0</v>
      </c>
      <c r="K923" s="84"/>
      <c r="L923"/>
      <c r="M923"/>
      <c r="N923"/>
      <c r="O923"/>
      <c r="P923"/>
      <c r="Q923"/>
      <c r="R923"/>
      <c r="S923"/>
      <c r="T923"/>
      <c r="U923"/>
      <c r="V923"/>
      <c r="W923"/>
      <c r="X923"/>
      <c r="Y923"/>
      <c r="Z923"/>
      <c r="AA923"/>
      <c r="AB923"/>
      <c r="AC923"/>
      <c r="AD923"/>
      <c r="AE923"/>
      <c r="AF923"/>
      <c r="AG923"/>
      <c r="AH923"/>
      <c r="AI923"/>
      <c r="AJ923"/>
      <c r="AK923"/>
      <c r="AL923"/>
    </row>
    <row r="924" spans="1:38" ht="12.75" outlineLevel="2" x14ac:dyDescent="0.2">
      <c r="A924" s="1071">
        <v>1</v>
      </c>
      <c r="B924" s="1071" t="s">
        <v>68</v>
      </c>
      <c r="C924" s="1071" t="s">
        <v>1726</v>
      </c>
      <c r="D924" s="1071" t="s">
        <v>1726</v>
      </c>
      <c r="E924" s="1072" t="s">
        <v>70</v>
      </c>
      <c r="F924" s="1071"/>
      <c r="G924" s="1073" t="str">
        <f t="array" ref="G924">IF(B924="insumo",_xlfn.XLOOKUP($D924,Insumos!$B$1:$B$996,Insumos!$D$1:$D$996),"")</f>
        <v/>
      </c>
      <c r="H924" s="1073">
        <v>145.69999999999999</v>
      </c>
      <c r="I924" s="1074">
        <v>0</v>
      </c>
      <c r="J924" s="1074">
        <v>0</v>
      </c>
      <c r="K924" s="1074"/>
      <c r="L924"/>
      <c r="M924"/>
      <c r="N924"/>
      <c r="O924"/>
      <c r="P924"/>
      <c r="Q924"/>
      <c r="R924"/>
      <c r="S924"/>
      <c r="T924"/>
      <c r="U924"/>
      <c r="V924"/>
      <c r="W924"/>
      <c r="X924"/>
      <c r="Y924"/>
      <c r="Z924"/>
      <c r="AA924"/>
      <c r="AB924"/>
      <c r="AC924"/>
      <c r="AD924"/>
      <c r="AE924"/>
      <c r="AF924"/>
      <c r="AG924"/>
      <c r="AH924"/>
      <c r="AI924"/>
      <c r="AJ924"/>
      <c r="AK924"/>
      <c r="AL924"/>
    </row>
    <row r="925" spans="1:38" ht="12.75" outlineLevel="3" x14ac:dyDescent="0.2">
      <c r="A925" s="82">
        <v>1</v>
      </c>
      <c r="B925" s="82" t="s">
        <v>71</v>
      </c>
      <c r="C925" s="82" t="s">
        <v>1726</v>
      </c>
      <c r="D925" s="82" t="s">
        <v>1727</v>
      </c>
      <c r="E925" s="11" t="str">
        <f t="array" ref="E925">_xlfn.XLOOKUP(D925,Insumos!B:B,Insumos!C:$C)</f>
        <v>UN</v>
      </c>
      <c r="F925" s="86">
        <f>ROUNDUP(1/(0.19*0.39),)</f>
        <v>14</v>
      </c>
      <c r="G925" s="92">
        <f t="array" ref="G925">IF(B925="insumo",_xlfn.XLOOKUP($D925,Insumos!$B$1:$B$996,Insumos!$D$1:$D$996),"")</f>
        <v>9.8000000000000007</v>
      </c>
      <c r="H925" s="92">
        <v>137.19999999999999</v>
      </c>
      <c r="I925" s="84">
        <v>0</v>
      </c>
      <c r="J925" s="84">
        <v>0</v>
      </c>
      <c r="K925" s="84"/>
      <c r="L925"/>
      <c r="M925"/>
      <c r="N925"/>
      <c r="O925"/>
      <c r="P925"/>
      <c r="Q925"/>
      <c r="R925"/>
      <c r="S925"/>
      <c r="T925"/>
      <c r="U925"/>
      <c r="V925"/>
      <c r="W925"/>
      <c r="X925"/>
      <c r="Y925"/>
      <c r="Z925"/>
      <c r="AA925"/>
      <c r="AB925"/>
      <c r="AC925"/>
      <c r="AD925"/>
      <c r="AE925"/>
      <c r="AF925"/>
      <c r="AG925"/>
      <c r="AH925"/>
      <c r="AI925"/>
      <c r="AJ925"/>
      <c r="AK925"/>
      <c r="AL925"/>
    </row>
    <row r="926" spans="1:38" ht="12.75" outlineLevel="3" x14ac:dyDescent="0.2">
      <c r="A926" s="82">
        <v>27</v>
      </c>
      <c r="B926" s="82" t="s">
        <v>71</v>
      </c>
      <c r="C926" s="82" t="s">
        <v>1726</v>
      </c>
      <c r="D926" s="82" t="s">
        <v>342</v>
      </c>
      <c r="E926" s="11" t="str">
        <f t="array" ref="E926">_xlfn.XLOOKUP(D926,Insumos!B:B,Insumos!C:$C)</f>
        <v>M3</v>
      </c>
      <c r="F926" s="86">
        <v>0.02</v>
      </c>
      <c r="G926" s="92">
        <f t="array" ref="G926">IF(B926="insumo",_xlfn.XLOOKUP($D926,Insumos!$B$1:$B$996,Insumos!$D$1:$D$996),"")</f>
        <v>425</v>
      </c>
      <c r="H926" s="92">
        <v>8.5</v>
      </c>
      <c r="I926" s="84">
        <v>0</v>
      </c>
      <c r="J926" s="84">
        <v>0</v>
      </c>
      <c r="K926" s="84"/>
      <c r="L926"/>
      <c r="M926"/>
      <c r="N926"/>
      <c r="O926"/>
      <c r="P926"/>
      <c r="Q926"/>
      <c r="R926"/>
      <c r="S926"/>
      <c r="T926"/>
      <c r="U926"/>
      <c r="V926"/>
      <c r="W926"/>
      <c r="X926"/>
      <c r="Y926"/>
      <c r="Z926"/>
      <c r="AA926"/>
      <c r="AB926"/>
      <c r="AC926"/>
      <c r="AD926"/>
      <c r="AE926"/>
      <c r="AF926"/>
      <c r="AG926"/>
      <c r="AH926"/>
      <c r="AI926"/>
      <c r="AJ926"/>
      <c r="AK926"/>
      <c r="AL926"/>
    </row>
    <row r="927" spans="1:38" ht="12.75" outlineLevel="2" x14ac:dyDescent="0.2">
      <c r="A927" s="1071">
        <v>1</v>
      </c>
      <c r="B927" s="1071" t="s">
        <v>68</v>
      </c>
      <c r="C927" s="1071" t="s">
        <v>1728</v>
      </c>
      <c r="D927" s="1071" t="s">
        <v>1728</v>
      </c>
      <c r="E927" s="1072" t="s">
        <v>70</v>
      </c>
      <c r="F927" s="1071"/>
      <c r="G927" s="1073" t="str">
        <f t="array" ref="G927">IF(B927="insumo",_xlfn.XLOOKUP($D927,Insumos!$B$1:$B$996,Insumos!$D$1:$D$996),"")</f>
        <v/>
      </c>
      <c r="H927" s="1073">
        <v>127.5</v>
      </c>
      <c r="I927" s="1074" t="e">
        <v>#REF!</v>
      </c>
      <c r="J927" s="1074" t="e">
        <v>#REF!</v>
      </c>
      <c r="K927" s="1074"/>
      <c r="L927"/>
      <c r="M927"/>
      <c r="N927"/>
      <c r="O927"/>
      <c r="P927"/>
      <c r="Q927"/>
      <c r="R927"/>
      <c r="S927"/>
      <c r="T927"/>
      <c r="U927"/>
      <c r="V927"/>
      <c r="W927"/>
      <c r="X927"/>
      <c r="Y927"/>
      <c r="Z927"/>
      <c r="AA927"/>
      <c r="AB927"/>
      <c r="AC927"/>
      <c r="AD927"/>
      <c r="AE927"/>
      <c r="AF927"/>
      <c r="AG927"/>
      <c r="AH927"/>
      <c r="AI927"/>
      <c r="AJ927"/>
      <c r="AK927"/>
      <c r="AL927"/>
    </row>
    <row r="928" spans="1:38" ht="12.75" outlineLevel="3" x14ac:dyDescent="0.2">
      <c r="A928" s="82">
        <v>1</v>
      </c>
      <c r="B928" s="82" t="s">
        <v>71</v>
      </c>
      <c r="C928" s="82" t="s">
        <v>1728</v>
      </c>
      <c r="D928" s="82" t="s">
        <v>1729</v>
      </c>
      <c r="E928" s="11" t="str">
        <f t="array" ref="E928">_xlfn.XLOOKUP(D928,Insumos!B:B,Insumos!C:$C)</f>
        <v>UN</v>
      </c>
      <c r="F928" s="86">
        <f>ROUNDUP(1/(0.19*0.39),)</f>
        <v>14</v>
      </c>
      <c r="G928" s="92">
        <f t="array" ref="G928">IF(B928="insumo",_xlfn.XLOOKUP($D928,Insumos!$B$1:$B$996,Insumos!$D$1:$D$996),"")</f>
        <v>8.5</v>
      </c>
      <c r="H928" s="92">
        <v>119</v>
      </c>
      <c r="I928" s="84" t="e">
        <v>#REF!</v>
      </c>
      <c r="J928" s="84" t="e">
        <v>#REF!</v>
      </c>
      <c r="K928" s="84"/>
      <c r="L928"/>
      <c r="M928"/>
      <c r="N928"/>
      <c r="O928"/>
      <c r="P928"/>
      <c r="Q928"/>
      <c r="R928"/>
      <c r="S928"/>
      <c r="T928"/>
      <c r="U928"/>
      <c r="V928"/>
      <c r="W928"/>
      <c r="X928"/>
      <c r="Y928"/>
      <c r="Z928"/>
      <c r="AA928"/>
      <c r="AB928"/>
      <c r="AC928"/>
      <c r="AD928"/>
      <c r="AE928"/>
      <c r="AF928"/>
      <c r="AG928"/>
      <c r="AH928"/>
      <c r="AI928"/>
      <c r="AJ928"/>
      <c r="AK928"/>
      <c r="AL928"/>
    </row>
    <row r="929" spans="1:38" ht="12.75" outlineLevel="3" x14ac:dyDescent="0.2">
      <c r="A929" s="82">
        <v>27</v>
      </c>
      <c r="B929" s="82" t="s">
        <v>71</v>
      </c>
      <c r="C929" s="82" t="s">
        <v>1728</v>
      </c>
      <c r="D929" s="82" t="s">
        <v>342</v>
      </c>
      <c r="E929" s="11" t="str">
        <f t="array" ref="E929">_xlfn.XLOOKUP(D929,Insumos!B:B,Insumos!C:$C)</f>
        <v>M3</v>
      </c>
      <c r="F929" s="86">
        <v>0.02</v>
      </c>
      <c r="G929" s="92">
        <f t="array" ref="G929">IF(B929="insumo",_xlfn.XLOOKUP($D929,Insumos!$B$1:$B$996,Insumos!$D$1:$D$996),"")</f>
        <v>425</v>
      </c>
      <c r="H929" s="92">
        <v>8.5</v>
      </c>
      <c r="I929" s="84" t="e">
        <v>#REF!</v>
      </c>
      <c r="J929" s="84" t="e">
        <v>#REF!</v>
      </c>
      <c r="K929" s="84"/>
      <c r="L929"/>
      <c r="M929"/>
      <c r="N929"/>
      <c r="O929"/>
      <c r="P929"/>
      <c r="Q929"/>
      <c r="R929"/>
      <c r="S929"/>
      <c r="T929"/>
      <c r="U929"/>
      <c r="V929"/>
      <c r="W929"/>
      <c r="X929"/>
      <c r="Y929"/>
      <c r="Z929"/>
      <c r="AA929"/>
      <c r="AB929"/>
      <c r="AC929"/>
      <c r="AD929"/>
      <c r="AE929"/>
      <c r="AF929"/>
      <c r="AG929"/>
      <c r="AH929"/>
      <c r="AI929"/>
      <c r="AJ929"/>
      <c r="AK929"/>
      <c r="AL929"/>
    </row>
    <row r="930" spans="1:38" ht="15.75" customHeight="1" outlineLevel="1" x14ac:dyDescent="0.2">
      <c r="A930" s="1090">
        <v>1</v>
      </c>
      <c r="B930" s="1090" t="s">
        <v>1228</v>
      </c>
      <c r="C930" s="1090" t="s">
        <v>1728</v>
      </c>
      <c r="D930" s="1090" t="s">
        <v>1712</v>
      </c>
      <c r="E930" s="1091"/>
      <c r="F930" s="1092"/>
      <c r="G930" s="1091"/>
      <c r="H930" s="1091">
        <v>0</v>
      </c>
      <c r="I930" s="1092">
        <v>0</v>
      </c>
      <c r="J930" s="1092">
        <v>0</v>
      </c>
      <c r="K930" s="1092"/>
      <c r="L930"/>
      <c r="M930"/>
      <c r="N930"/>
      <c r="O930"/>
      <c r="P930"/>
      <c r="Q930"/>
      <c r="R930"/>
      <c r="S930"/>
      <c r="T930"/>
      <c r="U930"/>
      <c r="V930"/>
      <c r="W930"/>
      <c r="X930"/>
      <c r="Y930"/>
      <c r="Z930"/>
      <c r="AA930"/>
      <c r="AB930"/>
      <c r="AC930"/>
      <c r="AD930"/>
      <c r="AE930"/>
      <c r="AF930"/>
      <c r="AG930"/>
      <c r="AH930"/>
      <c r="AI930"/>
      <c r="AJ930"/>
      <c r="AK930"/>
      <c r="AL930"/>
    </row>
    <row r="931" spans="1:38" ht="12.75" outlineLevel="2" x14ac:dyDescent="0.2">
      <c r="A931" s="1071">
        <v>1</v>
      </c>
      <c r="B931" s="1071" t="s">
        <v>68</v>
      </c>
      <c r="C931" s="1071" t="s">
        <v>1713</v>
      </c>
      <c r="D931" s="1071" t="s">
        <v>1713</v>
      </c>
      <c r="E931" s="1072" t="s">
        <v>70</v>
      </c>
      <c r="F931" s="1071"/>
      <c r="G931" s="1073" t="str">
        <f t="array" ref="G931">IF(B931="insumo",_xlfn.XLOOKUP($D931,Insumos!$B$1:$B$996,Insumos!$D$1:$D$996),"")</f>
        <v/>
      </c>
      <c r="H931" s="1073">
        <v>71.5</v>
      </c>
      <c r="I931" s="1074">
        <v>0</v>
      </c>
      <c r="J931" s="1074">
        <v>0</v>
      </c>
      <c r="K931" s="1074"/>
      <c r="L931"/>
      <c r="M931"/>
      <c r="N931"/>
      <c r="O931"/>
      <c r="P931"/>
      <c r="Q931"/>
      <c r="R931"/>
      <c r="S931"/>
      <c r="T931"/>
      <c r="U931"/>
      <c r="V931"/>
      <c r="W931"/>
      <c r="X931"/>
      <c r="Y931"/>
      <c r="Z931"/>
      <c r="AA931"/>
      <c r="AB931"/>
      <c r="AC931"/>
      <c r="AD931"/>
      <c r="AE931"/>
      <c r="AF931"/>
      <c r="AG931"/>
      <c r="AH931"/>
      <c r="AI931"/>
      <c r="AJ931"/>
      <c r="AK931"/>
      <c r="AL931"/>
    </row>
    <row r="932" spans="1:38" ht="12.75" outlineLevel="3" x14ac:dyDescent="0.2">
      <c r="A932" s="82">
        <v>1</v>
      </c>
      <c r="B932" s="82" t="s">
        <v>71</v>
      </c>
      <c r="C932" s="82" t="s">
        <v>1713</v>
      </c>
      <c r="D932" s="82" t="s">
        <v>1714</v>
      </c>
      <c r="E932" s="11" t="str">
        <f t="array" ref="E932">_xlfn.XLOOKUP(D932,Insumos!B:B,Insumos!C:$C)</f>
        <v>UN</v>
      </c>
      <c r="F932" s="86">
        <f>ROUNDUP(1/(0.19*0.39),)</f>
        <v>14</v>
      </c>
      <c r="G932" s="92">
        <f t="array" ref="G932">IF(B932="insumo",_xlfn.XLOOKUP($D932,Insumos!$B$1:$B$996,Insumos!$D$1:$D$996),"")</f>
        <v>4.5</v>
      </c>
      <c r="H932" s="92">
        <v>63</v>
      </c>
      <c r="I932" s="84">
        <v>0</v>
      </c>
      <c r="J932" s="84">
        <v>0</v>
      </c>
      <c r="K932" s="84"/>
      <c r="L932"/>
      <c r="M932"/>
      <c r="N932"/>
      <c r="O932"/>
      <c r="P932"/>
      <c r="Q932"/>
      <c r="R932"/>
      <c r="S932"/>
      <c r="T932"/>
      <c r="U932"/>
      <c r="V932"/>
      <c r="W932"/>
      <c r="X932"/>
      <c r="Y932"/>
      <c r="Z932"/>
      <c r="AA932"/>
      <c r="AB932"/>
      <c r="AC932"/>
      <c r="AD932"/>
      <c r="AE932"/>
      <c r="AF932"/>
      <c r="AG932"/>
      <c r="AH932"/>
      <c r="AI932"/>
      <c r="AJ932"/>
      <c r="AK932"/>
      <c r="AL932"/>
    </row>
    <row r="933" spans="1:38" ht="12.75" outlineLevel="3" x14ac:dyDescent="0.2">
      <c r="A933" s="82">
        <v>27</v>
      </c>
      <c r="B933" s="82" t="s">
        <v>71</v>
      </c>
      <c r="C933" s="82" t="s">
        <v>1713</v>
      </c>
      <c r="D933" s="82" t="s">
        <v>342</v>
      </c>
      <c r="E933" s="11" t="str">
        <f t="array" ref="E933">_xlfn.XLOOKUP(D933,Insumos!B:B,Insumos!C:$C)</f>
        <v>M3</v>
      </c>
      <c r="F933" s="86">
        <v>0.02</v>
      </c>
      <c r="G933" s="92">
        <f t="array" ref="G933">IF(B933="insumo",_xlfn.XLOOKUP($D933,Insumos!$B$1:$B$996,Insumos!$D$1:$D$996),"")</f>
        <v>425</v>
      </c>
      <c r="H933" s="92">
        <v>8.5</v>
      </c>
      <c r="I933" s="84">
        <v>0</v>
      </c>
      <c r="J933" s="84">
        <v>0</v>
      </c>
      <c r="K933" s="84"/>
      <c r="L933"/>
      <c r="M933"/>
      <c r="N933"/>
      <c r="O933"/>
      <c r="P933"/>
      <c r="Q933"/>
      <c r="R933"/>
      <c r="S933"/>
      <c r="T933"/>
      <c r="U933"/>
      <c r="V933"/>
      <c r="W933"/>
      <c r="X933"/>
      <c r="Y933"/>
      <c r="Z933"/>
      <c r="AA933"/>
      <c r="AB933"/>
      <c r="AC933"/>
      <c r="AD933"/>
      <c r="AE933"/>
      <c r="AF933"/>
      <c r="AG933"/>
      <c r="AH933"/>
      <c r="AI933"/>
      <c r="AJ933"/>
      <c r="AK933"/>
      <c r="AL933"/>
    </row>
    <row r="934" spans="1:38" ht="12.75" outlineLevel="2" x14ac:dyDescent="0.2">
      <c r="A934" s="1071">
        <v>1</v>
      </c>
      <c r="B934" s="1071" t="s">
        <v>68</v>
      </c>
      <c r="C934" s="1071" t="s">
        <v>1715</v>
      </c>
      <c r="D934" s="1071" t="s">
        <v>1715</v>
      </c>
      <c r="E934" s="1072" t="s">
        <v>70</v>
      </c>
      <c r="F934" s="1071"/>
      <c r="G934" s="1073" t="str">
        <f t="array" ref="G934">IF(B934="insumo",_xlfn.XLOOKUP($D934,Insumos!$B$1:$B$996,Insumos!$D$1:$D$996),"")</f>
        <v/>
      </c>
      <c r="H934" s="1073">
        <v>99.5</v>
      </c>
      <c r="I934" s="1074">
        <v>0</v>
      </c>
      <c r="J934" s="1074">
        <v>0</v>
      </c>
      <c r="K934" s="1074"/>
      <c r="L934"/>
      <c r="M934"/>
      <c r="N934"/>
      <c r="O934"/>
      <c r="P934"/>
      <c r="Q934"/>
      <c r="R934"/>
      <c r="S934"/>
      <c r="T934"/>
      <c r="U934"/>
      <c r="V934"/>
      <c r="W934"/>
      <c r="X934"/>
      <c r="Y934"/>
      <c r="Z934"/>
      <c r="AA934"/>
      <c r="AB934"/>
      <c r="AC934"/>
      <c r="AD934"/>
      <c r="AE934"/>
      <c r="AF934"/>
      <c r="AG934"/>
      <c r="AH934"/>
      <c r="AI934"/>
      <c r="AJ934"/>
      <c r="AK934"/>
      <c r="AL934"/>
    </row>
    <row r="935" spans="1:38" ht="12.75" outlineLevel="3" x14ac:dyDescent="0.2">
      <c r="A935" s="82">
        <v>1</v>
      </c>
      <c r="B935" s="82" t="s">
        <v>71</v>
      </c>
      <c r="C935" s="82" t="s">
        <v>1715</v>
      </c>
      <c r="D935" s="82" t="s">
        <v>1716</v>
      </c>
      <c r="E935" s="11" t="str">
        <f t="array" ref="E935">_xlfn.XLOOKUP(D935,Insumos!B:B,Insumos!C:$C)</f>
        <v>UN</v>
      </c>
      <c r="F935" s="86">
        <f>ROUNDUP(1/(0.19*0.39),)</f>
        <v>14</v>
      </c>
      <c r="G935" s="92">
        <f t="array" ref="G935">IF(B935="insumo",_xlfn.XLOOKUP($D935,Insumos!$B$1:$B$996,Insumos!$D$1:$D$996),"")</f>
        <v>6.5</v>
      </c>
      <c r="H935" s="92">
        <v>91</v>
      </c>
      <c r="I935" s="84">
        <v>0</v>
      </c>
      <c r="J935" s="84">
        <v>0</v>
      </c>
      <c r="K935" s="84"/>
      <c r="L935"/>
      <c r="M935"/>
      <c r="N935"/>
      <c r="O935"/>
      <c r="P935"/>
      <c r="Q935"/>
      <c r="R935"/>
      <c r="S935"/>
      <c r="T935"/>
      <c r="U935"/>
      <c r="V935"/>
      <c r="W935"/>
      <c r="X935"/>
      <c r="Y935"/>
      <c r="Z935"/>
      <c r="AA935"/>
      <c r="AB935"/>
      <c r="AC935"/>
      <c r="AD935"/>
      <c r="AE935"/>
      <c r="AF935"/>
      <c r="AG935"/>
      <c r="AH935"/>
      <c r="AI935"/>
      <c r="AJ935"/>
      <c r="AK935"/>
      <c r="AL935"/>
    </row>
    <row r="936" spans="1:38" ht="12.75" outlineLevel="3" x14ac:dyDescent="0.2">
      <c r="A936" s="82">
        <v>27</v>
      </c>
      <c r="B936" s="82" t="s">
        <v>71</v>
      </c>
      <c r="C936" s="82" t="s">
        <v>1715</v>
      </c>
      <c r="D936" s="82" t="s">
        <v>342</v>
      </c>
      <c r="E936" s="11" t="str">
        <f t="array" ref="E936">_xlfn.XLOOKUP(D936,Insumos!B:B,Insumos!C:$C)</f>
        <v>M3</v>
      </c>
      <c r="F936" s="86">
        <v>0.02</v>
      </c>
      <c r="G936" s="92">
        <f t="array" ref="G936">IF(B936="insumo",_xlfn.XLOOKUP($D936,Insumos!$B$1:$B$996,Insumos!$D$1:$D$996),"")</f>
        <v>425</v>
      </c>
      <c r="H936" s="92">
        <v>8.5</v>
      </c>
      <c r="I936" s="84">
        <v>0</v>
      </c>
      <c r="J936" s="84">
        <v>0</v>
      </c>
      <c r="K936" s="84"/>
      <c r="L936"/>
      <c r="M936"/>
      <c r="N936"/>
      <c r="O936"/>
      <c r="P936"/>
      <c r="Q936"/>
      <c r="R936"/>
      <c r="S936"/>
      <c r="T936"/>
      <c r="U936"/>
      <c r="V936"/>
      <c r="W936"/>
      <c r="X936"/>
      <c r="Y936"/>
      <c r="Z936"/>
      <c r="AA936"/>
      <c r="AB936"/>
      <c r="AC936"/>
      <c r="AD936"/>
      <c r="AE936"/>
      <c r="AF936"/>
      <c r="AG936"/>
      <c r="AH936"/>
      <c r="AI936"/>
      <c r="AJ936"/>
      <c r="AK936"/>
      <c r="AL936"/>
    </row>
    <row r="937" spans="1:38" ht="12.75" outlineLevel="2" x14ac:dyDescent="0.2">
      <c r="A937" s="1071">
        <v>1</v>
      </c>
      <c r="B937" s="1071" t="s">
        <v>68</v>
      </c>
      <c r="C937" s="1071" t="s">
        <v>1717</v>
      </c>
      <c r="D937" s="1071" t="s">
        <v>1717</v>
      </c>
      <c r="E937" s="1072" t="s">
        <v>70</v>
      </c>
      <c r="F937" s="1071"/>
      <c r="G937" s="1073" t="str">
        <f t="array" ref="G937">IF(B937="insumo",_xlfn.XLOOKUP($D937,Insumos!$B$1:$B$996,Insumos!$D$1:$D$996),"")</f>
        <v/>
      </c>
      <c r="H937" s="1073">
        <v>148.5</v>
      </c>
      <c r="I937" s="1074">
        <v>0</v>
      </c>
      <c r="J937" s="1074">
        <v>0</v>
      </c>
      <c r="K937" s="1074"/>
      <c r="L937"/>
      <c r="M937"/>
      <c r="N937"/>
      <c r="O937"/>
      <c r="P937"/>
      <c r="Q937"/>
      <c r="R937"/>
      <c r="S937"/>
      <c r="T937"/>
      <c r="U937"/>
      <c r="V937"/>
      <c r="W937"/>
      <c r="X937"/>
      <c r="Y937"/>
      <c r="Z937"/>
      <c r="AA937"/>
      <c r="AB937"/>
      <c r="AC937"/>
      <c r="AD937"/>
      <c r="AE937"/>
      <c r="AF937"/>
      <c r="AG937"/>
      <c r="AH937"/>
      <c r="AI937"/>
      <c r="AJ937"/>
      <c r="AK937"/>
      <c r="AL937"/>
    </row>
    <row r="938" spans="1:38" ht="12.75" outlineLevel="3" x14ac:dyDescent="0.2">
      <c r="A938" s="82">
        <v>1</v>
      </c>
      <c r="B938" s="82" t="s">
        <v>71</v>
      </c>
      <c r="C938" s="82" t="s">
        <v>1717</v>
      </c>
      <c r="D938" s="82" t="s">
        <v>1718</v>
      </c>
      <c r="E938" s="11" t="str">
        <f t="array" ref="E938">_xlfn.XLOOKUP(D938,Insumos!B:B,Insumos!C:$C)</f>
        <v>UN</v>
      </c>
      <c r="F938" s="86">
        <f>ROUNDUP(1/(0.19*0.39),)</f>
        <v>14</v>
      </c>
      <c r="G938" s="92">
        <f t="array" ref="G938">IF(B938="insumo",_xlfn.XLOOKUP($D938,Insumos!$B$1:$B$996,Insumos!$D$1:$D$996),"")</f>
        <v>10</v>
      </c>
      <c r="H938" s="92">
        <v>140</v>
      </c>
      <c r="I938" s="84">
        <v>0</v>
      </c>
      <c r="J938" s="84">
        <v>0</v>
      </c>
      <c r="K938" s="84"/>
      <c r="L938"/>
      <c r="M938"/>
      <c r="N938"/>
      <c r="O938"/>
      <c r="P938"/>
      <c r="Q938"/>
      <c r="R938"/>
      <c r="S938"/>
      <c r="T938"/>
      <c r="U938"/>
      <c r="V938"/>
      <c r="W938"/>
      <c r="X938"/>
      <c r="Y938"/>
      <c r="Z938"/>
      <c r="AA938"/>
      <c r="AB938"/>
      <c r="AC938"/>
      <c r="AD938"/>
      <c r="AE938"/>
      <c r="AF938"/>
      <c r="AG938"/>
      <c r="AH938"/>
      <c r="AI938"/>
      <c r="AJ938"/>
      <c r="AK938"/>
      <c r="AL938"/>
    </row>
    <row r="939" spans="1:38" ht="12.75" outlineLevel="3" x14ac:dyDescent="0.2">
      <c r="A939" s="82">
        <v>27</v>
      </c>
      <c r="B939" s="82" t="s">
        <v>71</v>
      </c>
      <c r="C939" s="82" t="s">
        <v>1717</v>
      </c>
      <c r="D939" s="82" t="s">
        <v>342</v>
      </c>
      <c r="E939" s="11" t="str">
        <f t="array" ref="E939">_xlfn.XLOOKUP(D939,Insumos!B:B,Insumos!C:$C)</f>
        <v>M3</v>
      </c>
      <c r="F939" s="86">
        <v>0.02</v>
      </c>
      <c r="G939" s="92">
        <f t="array" ref="G939">IF(B939="insumo",_xlfn.XLOOKUP($D939,Insumos!$B$1:$B$996,Insumos!$D$1:$D$996),"")</f>
        <v>425</v>
      </c>
      <c r="H939" s="92">
        <v>8.5</v>
      </c>
      <c r="I939" s="84">
        <v>0</v>
      </c>
      <c r="J939" s="84">
        <v>0</v>
      </c>
      <c r="K939" s="84"/>
      <c r="L939"/>
      <c r="M939"/>
      <c r="N939"/>
      <c r="O939"/>
      <c r="P939"/>
      <c r="Q939"/>
      <c r="R939"/>
      <c r="S939"/>
      <c r="T939"/>
      <c r="U939"/>
      <c r="V939"/>
      <c r="W939"/>
      <c r="X939"/>
      <c r="Y939"/>
      <c r="Z939"/>
      <c r="AA939"/>
      <c r="AB939"/>
      <c r="AC939"/>
      <c r="AD939"/>
      <c r="AE939"/>
      <c r="AF939"/>
      <c r="AG939"/>
      <c r="AH939"/>
      <c r="AI939"/>
      <c r="AJ939"/>
      <c r="AK939"/>
      <c r="AL939"/>
    </row>
    <row r="940" spans="1:38" ht="12.75" outlineLevel="2" x14ac:dyDescent="0.2">
      <c r="A940" s="1071">
        <v>1</v>
      </c>
      <c r="B940" s="1071" t="s">
        <v>68</v>
      </c>
      <c r="C940" s="1071" t="s">
        <v>1719</v>
      </c>
      <c r="D940" s="1071" t="s">
        <v>1719</v>
      </c>
      <c r="E940" s="1072" t="s">
        <v>70</v>
      </c>
      <c r="F940" s="1071"/>
      <c r="G940" s="1073" t="str">
        <f t="array" ref="G940">IF(B940="insumo",_xlfn.XLOOKUP($D940,Insumos!$B$1:$B$996,Insumos!$D$1:$D$996),"")</f>
        <v/>
      </c>
      <c r="H940" s="1073">
        <v>141.5</v>
      </c>
      <c r="I940" s="1074">
        <v>0</v>
      </c>
      <c r="J940" s="1074">
        <v>0</v>
      </c>
      <c r="K940" s="1074"/>
      <c r="L940"/>
      <c r="M940"/>
      <c r="N940"/>
      <c r="O940"/>
      <c r="P940"/>
      <c r="Q940"/>
      <c r="R940"/>
      <c r="S940"/>
      <c r="T940"/>
      <c r="U940"/>
      <c r="V940"/>
      <c r="W940"/>
      <c r="X940"/>
      <c r="Y940"/>
      <c r="Z940"/>
      <c r="AA940"/>
      <c r="AB940"/>
      <c r="AC940"/>
      <c r="AD940"/>
      <c r="AE940"/>
      <c r="AF940"/>
      <c r="AG940"/>
      <c r="AH940"/>
      <c r="AI940"/>
      <c r="AJ940"/>
      <c r="AK940"/>
      <c r="AL940"/>
    </row>
    <row r="941" spans="1:38" ht="12.75" outlineLevel="3" x14ac:dyDescent="0.2">
      <c r="A941" s="82">
        <v>1</v>
      </c>
      <c r="B941" s="82" t="s">
        <v>71</v>
      </c>
      <c r="C941" s="82" t="s">
        <v>1719</v>
      </c>
      <c r="D941" s="82" t="s">
        <v>1720</v>
      </c>
      <c r="E941" s="11" t="str">
        <f t="array" ref="E941">_xlfn.XLOOKUP(D941,Insumos!B:B,Insumos!C:$C)</f>
        <v>UN</v>
      </c>
      <c r="F941" s="86">
        <f>ROUNDUP(1/(0.19*0.39),)</f>
        <v>14</v>
      </c>
      <c r="G941" s="92">
        <f t="array" ref="G941">IF(B941="insumo",_xlfn.XLOOKUP($D941,Insumos!$B$1:$B$996,Insumos!$D$1:$D$996),"")</f>
        <v>9.5</v>
      </c>
      <c r="H941" s="92">
        <v>133</v>
      </c>
      <c r="I941" s="84">
        <v>0</v>
      </c>
      <c r="J941" s="84">
        <v>0</v>
      </c>
      <c r="K941" s="84"/>
      <c r="L941"/>
      <c r="M941"/>
      <c r="N941"/>
      <c r="O941"/>
      <c r="P941"/>
      <c r="Q941"/>
      <c r="R941"/>
      <c r="S941"/>
      <c r="T941"/>
      <c r="U941"/>
      <c r="V941"/>
      <c r="W941"/>
      <c r="X941"/>
      <c r="Y941"/>
      <c r="Z941"/>
      <c r="AA941"/>
      <c r="AB941"/>
      <c r="AC941"/>
      <c r="AD941"/>
      <c r="AE941"/>
      <c r="AF941"/>
      <c r="AG941"/>
      <c r="AH941"/>
      <c r="AI941"/>
      <c r="AJ941"/>
      <c r="AK941"/>
      <c r="AL941"/>
    </row>
    <row r="942" spans="1:38" ht="12.75" outlineLevel="3" x14ac:dyDescent="0.2">
      <c r="A942" s="82">
        <v>27</v>
      </c>
      <c r="B942" s="82" t="s">
        <v>71</v>
      </c>
      <c r="C942" s="82" t="s">
        <v>1719</v>
      </c>
      <c r="D942" s="82" t="s">
        <v>342</v>
      </c>
      <c r="E942" s="11" t="str">
        <f t="array" ref="E942">_xlfn.XLOOKUP(D942,Insumos!B:B,Insumos!C:$C)</f>
        <v>M3</v>
      </c>
      <c r="F942" s="86">
        <v>0.02</v>
      </c>
      <c r="G942" s="92">
        <f t="array" ref="G942">IF(B942="insumo",_xlfn.XLOOKUP($D942,Insumos!$B$1:$B$996,Insumos!$D$1:$D$996),"")</f>
        <v>425</v>
      </c>
      <c r="H942" s="92">
        <v>8.5</v>
      </c>
      <c r="I942" s="84">
        <v>0</v>
      </c>
      <c r="J942" s="84">
        <v>0</v>
      </c>
      <c r="K942" s="84"/>
      <c r="L942"/>
      <c r="M942"/>
      <c r="N942"/>
      <c r="O942"/>
      <c r="P942"/>
      <c r="Q942"/>
      <c r="R942"/>
      <c r="S942"/>
      <c r="T942"/>
      <c r="U942"/>
      <c r="V942"/>
      <c r="W942"/>
      <c r="X942"/>
      <c r="Y942"/>
      <c r="Z942"/>
      <c r="AA942"/>
      <c r="AB942"/>
      <c r="AC942"/>
      <c r="AD942"/>
      <c r="AE942"/>
      <c r="AF942"/>
      <c r="AG942"/>
      <c r="AH942"/>
      <c r="AI942"/>
      <c r="AJ942"/>
      <c r="AK942"/>
      <c r="AL942"/>
    </row>
    <row r="943" spans="1:38" ht="15.75" customHeight="1" outlineLevel="1" x14ac:dyDescent="0.2">
      <c r="A943" s="1090">
        <v>1</v>
      </c>
      <c r="B943" s="1090" t="s">
        <v>1228</v>
      </c>
      <c r="C943" s="1090" t="s">
        <v>1719</v>
      </c>
      <c r="D943" s="1090" t="s">
        <v>1381</v>
      </c>
      <c r="E943" s="1091"/>
      <c r="F943" s="1092"/>
      <c r="G943" s="1091"/>
      <c r="H943" s="1091">
        <v>0</v>
      </c>
      <c r="I943" s="1092">
        <v>0</v>
      </c>
      <c r="J943" s="1092">
        <v>0</v>
      </c>
      <c r="K943" s="1092"/>
      <c r="L943"/>
      <c r="M943"/>
      <c r="N943"/>
      <c r="O943"/>
      <c r="P943"/>
      <c r="Q943"/>
      <c r="R943"/>
      <c r="S943"/>
      <c r="T943"/>
      <c r="U943"/>
      <c r="V943"/>
      <c r="W943"/>
      <c r="X943"/>
      <c r="Y943"/>
      <c r="Z943"/>
      <c r="AA943"/>
      <c r="AB943"/>
      <c r="AC943"/>
      <c r="AD943"/>
      <c r="AE943"/>
      <c r="AF943"/>
      <c r="AG943"/>
      <c r="AH943"/>
      <c r="AI943"/>
      <c r="AJ943"/>
      <c r="AK943"/>
      <c r="AL943"/>
    </row>
    <row r="944" spans="1:38" ht="15.75" customHeight="1" outlineLevel="2" x14ac:dyDescent="0.2">
      <c r="A944" s="1067">
        <v>1</v>
      </c>
      <c r="B944" s="1067" t="s">
        <v>68</v>
      </c>
      <c r="C944" s="1067" t="s">
        <v>1327</v>
      </c>
      <c r="D944" s="1067" t="s">
        <v>1327</v>
      </c>
      <c r="E944" s="1068" t="s">
        <v>70</v>
      </c>
      <c r="F944" s="1067"/>
      <c r="G944" s="1069" t="str">
        <f t="array" ref="G944">IF(B944="insumo",_xlfn.XLOOKUP($D944,Insumos!$B$1:$B$996,Insumos!$D$1:$D$996),"")</f>
        <v/>
      </c>
      <c r="H944" s="1069">
        <v>107.14</v>
      </c>
      <c r="I944" s="1070">
        <v>0</v>
      </c>
      <c r="J944" s="1070">
        <v>0</v>
      </c>
      <c r="K944" s="1070"/>
      <c r="L944"/>
      <c r="M944"/>
      <c r="N944"/>
      <c r="O944"/>
      <c r="P944"/>
      <c r="Q944"/>
      <c r="R944"/>
      <c r="S944"/>
      <c r="T944"/>
      <c r="U944"/>
      <c r="V944"/>
      <c r="W944"/>
      <c r="X944"/>
      <c r="Y944"/>
      <c r="Z944"/>
      <c r="AA944"/>
      <c r="AB944"/>
      <c r="AC944"/>
      <c r="AD944"/>
      <c r="AE944"/>
      <c r="AF944"/>
      <c r="AG944"/>
      <c r="AH944"/>
      <c r="AI944"/>
      <c r="AJ944"/>
      <c r="AK944"/>
      <c r="AL944"/>
    </row>
    <row r="945" spans="1:38" ht="15.75" customHeight="1" outlineLevel="3" x14ac:dyDescent="0.2">
      <c r="A945" s="10">
        <v>1</v>
      </c>
      <c r="B945" s="10" t="s">
        <v>71</v>
      </c>
      <c r="C945" s="10" t="s">
        <v>1327</v>
      </c>
      <c r="D945" s="10" t="s">
        <v>1329</v>
      </c>
      <c r="E945" s="11" t="str">
        <f t="array" ref="E945">_xlfn.XLOOKUP(D945,Insumos!B:B,Insumos!C:$C)</f>
        <v>M3</v>
      </c>
      <c r="F945" s="14">
        <f>ROUNDUP(1/(0.3*0.6),)</f>
        <v>6</v>
      </c>
      <c r="G945" s="92">
        <f t="array" ref="G945">IF(B945="insumo",_xlfn.XLOOKUP($D945,Insumos!$B$1:$B$996,Insumos!$D$1:$D$996),"")</f>
        <v>16.440000000000001</v>
      </c>
      <c r="H945" s="92">
        <v>98.64</v>
      </c>
      <c r="I945" s="13">
        <v>0</v>
      </c>
      <c r="J945" s="13">
        <v>0</v>
      </c>
      <c r="K945" s="13"/>
      <c r="L945"/>
      <c r="M945"/>
      <c r="N945"/>
      <c r="O945"/>
      <c r="P945"/>
      <c r="Q945"/>
      <c r="R945"/>
      <c r="S945"/>
      <c r="T945"/>
      <c r="U945"/>
      <c r="V945"/>
      <c r="W945"/>
      <c r="X945"/>
      <c r="Y945"/>
      <c r="Z945"/>
      <c r="AA945"/>
      <c r="AB945"/>
      <c r="AC945"/>
      <c r="AD945"/>
      <c r="AE945"/>
      <c r="AF945"/>
      <c r="AG945"/>
      <c r="AH945"/>
      <c r="AI945"/>
      <c r="AJ945"/>
      <c r="AK945"/>
      <c r="AL945"/>
    </row>
    <row r="946" spans="1:38" ht="15.75" customHeight="1" outlineLevel="3" x14ac:dyDescent="0.2">
      <c r="A946" s="10">
        <v>17</v>
      </c>
      <c r="B946" s="10" t="s">
        <v>71</v>
      </c>
      <c r="C946" s="10" t="s">
        <v>1327</v>
      </c>
      <c r="D946" s="10" t="s">
        <v>356</v>
      </c>
      <c r="E946" s="11" t="str">
        <f t="array" ref="E946">_xlfn.XLOOKUP(D946,Insumos!B:B,Insumos!C:$C)</f>
        <v>M3</v>
      </c>
      <c r="F946" s="14">
        <v>0.02</v>
      </c>
      <c r="G946" s="92">
        <f t="array" ref="G946">IF(B946="insumo",_xlfn.XLOOKUP($D946,Insumos!$B$1:$B$996,Insumos!$D$1:$D$996),"")</f>
        <v>425</v>
      </c>
      <c r="H946" s="92">
        <v>8.5</v>
      </c>
      <c r="I946" s="13">
        <v>0</v>
      </c>
      <c r="J946" s="13">
        <v>0</v>
      </c>
      <c r="K946" s="13"/>
      <c r="L946"/>
      <c r="M946"/>
      <c r="N946"/>
      <c r="O946"/>
      <c r="P946"/>
      <c r="Q946"/>
      <c r="R946"/>
      <c r="S946"/>
      <c r="T946"/>
      <c r="U946"/>
      <c r="V946"/>
      <c r="W946"/>
      <c r="X946"/>
      <c r="Y946"/>
      <c r="Z946"/>
      <c r="AA946"/>
      <c r="AB946"/>
      <c r="AC946"/>
      <c r="AD946"/>
      <c r="AE946"/>
      <c r="AF946"/>
      <c r="AG946"/>
      <c r="AH946"/>
      <c r="AI946"/>
      <c r="AJ946"/>
      <c r="AK946"/>
      <c r="AL946"/>
    </row>
    <row r="947" spans="1:38" ht="15.75" customHeight="1" outlineLevel="2" x14ac:dyDescent="0.2">
      <c r="A947" s="1067">
        <v>1</v>
      </c>
      <c r="B947" s="1067" t="s">
        <v>68</v>
      </c>
      <c r="C947" s="1067" t="s">
        <v>1325</v>
      </c>
      <c r="D947" s="1067" t="s">
        <v>1325</v>
      </c>
      <c r="E947" s="1068" t="s">
        <v>70</v>
      </c>
      <c r="F947" s="1067"/>
      <c r="G947" s="1069" t="str">
        <f t="array" ref="G947">IF(B947="insumo",_xlfn.XLOOKUP($D947,Insumos!$B$1:$B$996,Insumos!$D$1:$D$996),"")</f>
        <v/>
      </c>
      <c r="H947" s="1069">
        <v>115.96</v>
      </c>
      <c r="I947" s="1070">
        <v>0</v>
      </c>
      <c r="J947" s="1070">
        <v>0</v>
      </c>
      <c r="K947" s="1070"/>
      <c r="L947"/>
      <c r="M947"/>
      <c r="N947"/>
      <c r="O947"/>
      <c r="P947"/>
      <c r="Q947"/>
      <c r="R947"/>
      <c r="S947"/>
      <c r="T947"/>
      <c r="U947"/>
      <c r="V947"/>
      <c r="W947"/>
      <c r="X947"/>
      <c r="Y947"/>
      <c r="Z947"/>
      <c r="AA947"/>
      <c r="AB947"/>
      <c r="AC947"/>
      <c r="AD947"/>
      <c r="AE947"/>
      <c r="AF947"/>
      <c r="AG947"/>
      <c r="AH947"/>
      <c r="AI947"/>
      <c r="AJ947"/>
      <c r="AK947"/>
      <c r="AL947"/>
    </row>
    <row r="948" spans="1:38" ht="15.75" customHeight="1" outlineLevel="3" x14ac:dyDescent="0.2">
      <c r="A948" s="10">
        <v>1</v>
      </c>
      <c r="B948" s="10" t="s">
        <v>71</v>
      </c>
      <c r="C948" s="10" t="s">
        <v>1325</v>
      </c>
      <c r="D948" s="10" t="s">
        <v>361</v>
      </c>
      <c r="E948" s="11" t="str">
        <f t="array" ref="E948">_xlfn.XLOOKUP(D948,Insumos!B:B,Insumos!C:$C)</f>
        <v>M3</v>
      </c>
      <c r="F948" s="14">
        <f>ROUNDUP(1/(0.3*0.6),)</f>
        <v>6</v>
      </c>
      <c r="G948" s="92">
        <f t="array" ref="G948">IF(B948="insumo",_xlfn.XLOOKUP($D948,Insumos!$B$1:$B$996,Insumos!$D$1:$D$996),"")</f>
        <v>17.91</v>
      </c>
      <c r="H948" s="92">
        <v>107.46</v>
      </c>
      <c r="I948" s="13">
        <v>0</v>
      </c>
      <c r="J948" s="13">
        <v>0</v>
      </c>
      <c r="K948" s="13"/>
      <c r="L948"/>
      <c r="M948"/>
      <c r="N948"/>
      <c r="O948"/>
      <c r="P948"/>
      <c r="Q948"/>
      <c r="R948"/>
      <c r="S948"/>
      <c r="T948"/>
      <c r="U948"/>
      <c r="V948"/>
      <c r="W948"/>
      <c r="X948"/>
      <c r="Y948"/>
      <c r="Z948"/>
      <c r="AA948"/>
      <c r="AB948"/>
      <c r="AC948"/>
      <c r="AD948"/>
      <c r="AE948"/>
      <c r="AF948"/>
      <c r="AG948"/>
      <c r="AH948"/>
      <c r="AI948"/>
      <c r="AJ948"/>
      <c r="AK948"/>
      <c r="AL948"/>
    </row>
    <row r="949" spans="1:38" ht="15.75" customHeight="1" outlineLevel="3" x14ac:dyDescent="0.2">
      <c r="A949" s="10">
        <v>17</v>
      </c>
      <c r="B949" s="10" t="s">
        <v>71</v>
      </c>
      <c r="C949" s="10" t="s">
        <v>1325</v>
      </c>
      <c r="D949" s="10" t="s">
        <v>356</v>
      </c>
      <c r="E949" s="11" t="str">
        <f t="array" ref="E949">_xlfn.XLOOKUP(D949,Insumos!B:B,Insumos!C:$C)</f>
        <v>M3</v>
      </c>
      <c r="F949" s="14">
        <v>0.02</v>
      </c>
      <c r="G949" s="92">
        <f t="array" ref="G949">IF(B949="insumo",_xlfn.XLOOKUP($D949,Insumos!$B$1:$B$996,Insumos!$D$1:$D$996),"")</f>
        <v>425</v>
      </c>
      <c r="H949" s="92">
        <v>8.5</v>
      </c>
      <c r="I949" s="13">
        <v>0</v>
      </c>
      <c r="J949" s="13">
        <v>0</v>
      </c>
      <c r="K949" s="13"/>
      <c r="L949"/>
      <c r="M949"/>
      <c r="N949"/>
      <c r="O949"/>
      <c r="P949"/>
      <c r="Q949"/>
      <c r="R949"/>
      <c r="S949"/>
      <c r="T949"/>
      <c r="U949"/>
      <c r="V949"/>
      <c r="W949"/>
      <c r="X949"/>
      <c r="Y949"/>
      <c r="Z949"/>
      <c r="AA949"/>
      <c r="AB949"/>
      <c r="AC949"/>
      <c r="AD949"/>
      <c r="AE949"/>
      <c r="AF949"/>
      <c r="AG949"/>
      <c r="AH949"/>
      <c r="AI949"/>
      <c r="AJ949"/>
      <c r="AK949"/>
      <c r="AL949"/>
    </row>
    <row r="950" spans="1:38" ht="15.75" customHeight="1" outlineLevel="2" x14ac:dyDescent="0.2">
      <c r="A950" s="1067">
        <v>1</v>
      </c>
      <c r="B950" s="1067" t="s">
        <v>68</v>
      </c>
      <c r="C950" s="1067" t="s">
        <v>1326</v>
      </c>
      <c r="D950" s="1067" t="s">
        <v>1326</v>
      </c>
      <c r="E950" s="1068" t="s">
        <v>70</v>
      </c>
      <c r="F950" s="1067"/>
      <c r="G950" s="1069" t="str">
        <f t="array" ref="G950">IF(B950="insumo",_xlfn.XLOOKUP($D950,Insumos!$B$1:$B$996,Insumos!$D$1:$D$996),"")</f>
        <v/>
      </c>
      <c r="H950" s="1069">
        <v>82.96</v>
      </c>
      <c r="I950" s="1070" t="e">
        <v>#REF!</v>
      </c>
      <c r="J950" s="1070" t="e">
        <v>#REF!</v>
      </c>
      <c r="K950" s="1070"/>
      <c r="L950"/>
      <c r="M950"/>
      <c r="N950"/>
      <c r="O950"/>
      <c r="P950"/>
      <c r="Q950"/>
      <c r="R950"/>
      <c r="S950"/>
      <c r="T950"/>
      <c r="U950"/>
      <c r="V950"/>
      <c r="W950"/>
      <c r="X950"/>
      <c r="Y950"/>
      <c r="Z950"/>
      <c r="AA950"/>
      <c r="AB950"/>
      <c r="AC950"/>
      <c r="AD950"/>
      <c r="AE950"/>
      <c r="AF950"/>
      <c r="AG950"/>
      <c r="AH950"/>
      <c r="AI950"/>
      <c r="AJ950"/>
      <c r="AK950"/>
      <c r="AL950"/>
    </row>
    <row r="951" spans="1:38" ht="15.75" customHeight="1" outlineLevel="3" x14ac:dyDescent="0.2">
      <c r="A951" s="10">
        <v>1</v>
      </c>
      <c r="B951" s="10" t="s">
        <v>71</v>
      </c>
      <c r="C951" s="10" t="s">
        <v>1326</v>
      </c>
      <c r="D951" s="10" t="s">
        <v>360</v>
      </c>
      <c r="E951" s="11" t="str">
        <f t="array" ref="E951">_xlfn.XLOOKUP(D951,Insumos!B:B,Insumos!C:$C)</f>
        <v>M3</v>
      </c>
      <c r="F951" s="14">
        <f>ROUNDUP(1/(0.3*0.6),)</f>
        <v>6</v>
      </c>
      <c r="G951" s="92">
        <f t="array" ref="G951">IF(B951="insumo",_xlfn.XLOOKUP($D951,Insumos!$B$1:$B$996,Insumos!$D$1:$D$996),"")</f>
        <v>12.41</v>
      </c>
      <c r="H951" s="92">
        <v>74.459999999999994</v>
      </c>
      <c r="I951" s="13" t="e">
        <v>#REF!</v>
      </c>
      <c r="J951" s="13" t="e">
        <v>#REF!</v>
      </c>
      <c r="K951" s="13"/>
      <c r="L951"/>
      <c r="M951"/>
      <c r="N951"/>
      <c r="O951"/>
      <c r="P951"/>
      <c r="Q951"/>
      <c r="R951"/>
      <c r="S951"/>
      <c r="T951"/>
      <c r="U951"/>
      <c r="V951"/>
      <c r="W951"/>
      <c r="X951"/>
      <c r="Y951"/>
      <c r="Z951"/>
      <c r="AA951"/>
      <c r="AB951"/>
      <c r="AC951"/>
      <c r="AD951"/>
      <c r="AE951"/>
      <c r="AF951"/>
      <c r="AG951"/>
      <c r="AH951"/>
      <c r="AI951"/>
      <c r="AJ951"/>
      <c r="AK951"/>
      <c r="AL951"/>
    </row>
    <row r="952" spans="1:38" ht="15.75" customHeight="1" outlineLevel="3" x14ac:dyDescent="0.2">
      <c r="A952" s="10">
        <v>17</v>
      </c>
      <c r="B952" s="10" t="s">
        <v>71</v>
      </c>
      <c r="C952" s="10" t="s">
        <v>1326</v>
      </c>
      <c r="D952" s="10" t="s">
        <v>356</v>
      </c>
      <c r="E952" s="11" t="str">
        <f t="array" ref="E952">_xlfn.XLOOKUP(D952,Insumos!B:B,Insumos!C:$C)</f>
        <v>M3</v>
      </c>
      <c r="F952" s="14">
        <v>0.02</v>
      </c>
      <c r="G952" s="92">
        <f t="array" ref="G952">IF(B952="insumo",_xlfn.XLOOKUP($D952,Insumos!$B$1:$B$996,Insumos!$D$1:$D$996),"")</f>
        <v>425</v>
      </c>
      <c r="H952" s="92">
        <v>8.5</v>
      </c>
      <c r="I952" s="13" t="e">
        <v>#REF!</v>
      </c>
      <c r="J952" s="13" t="e">
        <v>#REF!</v>
      </c>
      <c r="K952" s="13"/>
      <c r="L952"/>
      <c r="M952"/>
      <c r="N952"/>
      <c r="O952"/>
      <c r="P952"/>
      <c r="Q952"/>
      <c r="R952"/>
      <c r="S952"/>
      <c r="T952"/>
      <c r="U952"/>
      <c r="V952"/>
      <c r="W952"/>
      <c r="X952"/>
      <c r="Y952"/>
      <c r="Z952"/>
      <c r="AA952"/>
      <c r="AB952"/>
      <c r="AC952"/>
      <c r="AD952"/>
      <c r="AE952"/>
      <c r="AF952"/>
      <c r="AG952"/>
      <c r="AH952"/>
      <c r="AI952"/>
      <c r="AJ952"/>
      <c r="AK952"/>
      <c r="AL952"/>
    </row>
    <row r="953" spans="1:38" ht="15.75" customHeight="1" outlineLevel="2" x14ac:dyDescent="0.2">
      <c r="A953" s="1067">
        <v>1</v>
      </c>
      <c r="B953" s="1067" t="s">
        <v>68</v>
      </c>
      <c r="C953" s="1067" t="s">
        <v>1328</v>
      </c>
      <c r="D953" s="1067" t="s">
        <v>1328</v>
      </c>
      <c r="E953" s="1068" t="s">
        <v>70</v>
      </c>
      <c r="F953" s="1067"/>
      <c r="G953" s="1069" t="str">
        <f t="array" ref="G953">IF(B953="insumo",_xlfn.XLOOKUP($D953,Insumos!$B$1:$B$996,Insumos!$D$1:$D$996),"")</f>
        <v/>
      </c>
      <c r="H953" s="1069">
        <v>72.760000000000005</v>
      </c>
      <c r="I953" s="1070">
        <v>0</v>
      </c>
      <c r="J953" s="1070">
        <v>0</v>
      </c>
      <c r="K953" s="1070"/>
      <c r="L953"/>
      <c r="M953"/>
      <c r="N953"/>
      <c r="O953"/>
      <c r="P953"/>
      <c r="Q953"/>
      <c r="R953"/>
      <c r="S953"/>
      <c r="T953"/>
      <c r="U953"/>
      <c r="V953"/>
      <c r="W953"/>
      <c r="X953"/>
      <c r="Y953"/>
      <c r="Z953"/>
      <c r="AA953"/>
      <c r="AB953"/>
      <c r="AC953"/>
      <c r="AD953"/>
      <c r="AE953"/>
      <c r="AF953"/>
      <c r="AG953"/>
      <c r="AH953"/>
      <c r="AI953"/>
      <c r="AJ953"/>
      <c r="AK953"/>
      <c r="AL953"/>
    </row>
    <row r="954" spans="1:38" ht="15.75" customHeight="1" outlineLevel="3" x14ac:dyDescent="0.2">
      <c r="A954" s="10">
        <v>1</v>
      </c>
      <c r="B954" s="10" t="s">
        <v>71</v>
      </c>
      <c r="C954" s="10" t="s">
        <v>1328</v>
      </c>
      <c r="D954" s="10" t="s">
        <v>359</v>
      </c>
      <c r="E954" s="11" t="str">
        <f t="array" ref="E954">_xlfn.XLOOKUP(D954,Insumos!B:B,Insumos!C:$C)</f>
        <v>M3</v>
      </c>
      <c r="F954" s="14">
        <f>ROUNDUP(1/(0.3*0.6),)</f>
        <v>6</v>
      </c>
      <c r="G954" s="92">
        <f t="array" ref="G954">IF(B954="insumo",_xlfn.XLOOKUP($D954,Insumos!$B$1:$B$996,Insumos!$D$1:$D$996),"")</f>
        <v>10.71</v>
      </c>
      <c r="H954" s="92">
        <v>64.260000000000005</v>
      </c>
      <c r="I954" s="13">
        <v>0</v>
      </c>
      <c r="J954" s="13">
        <v>0</v>
      </c>
      <c r="K954" s="13"/>
      <c r="L954"/>
      <c r="M954"/>
      <c r="N954"/>
      <c r="O954"/>
      <c r="P954"/>
      <c r="Q954"/>
      <c r="R954"/>
      <c r="S954"/>
      <c r="T954"/>
      <c r="U954"/>
      <c r="V954"/>
      <c r="W954"/>
      <c r="X954"/>
      <c r="Y954"/>
      <c r="Z954"/>
      <c r="AA954"/>
      <c r="AB954"/>
      <c r="AC954"/>
      <c r="AD954"/>
      <c r="AE954"/>
      <c r="AF954"/>
      <c r="AG954"/>
      <c r="AH954"/>
      <c r="AI954"/>
      <c r="AJ954"/>
      <c r="AK954"/>
      <c r="AL954"/>
    </row>
    <row r="955" spans="1:38" ht="15.75" customHeight="1" outlineLevel="3" x14ac:dyDescent="0.2">
      <c r="A955" s="10">
        <v>17</v>
      </c>
      <c r="B955" s="10" t="s">
        <v>71</v>
      </c>
      <c r="C955" s="10" t="s">
        <v>1328</v>
      </c>
      <c r="D955" s="10" t="s">
        <v>356</v>
      </c>
      <c r="E955" s="11" t="str">
        <f t="array" ref="E955">_xlfn.XLOOKUP(D955,Insumos!B:B,Insumos!C:$C)</f>
        <v>M3</v>
      </c>
      <c r="F955" s="14">
        <v>0.02</v>
      </c>
      <c r="G955" s="92">
        <f t="array" ref="G955">IF(B955="insumo",_xlfn.XLOOKUP($D955,Insumos!$B$1:$B$996,Insumos!$D$1:$D$996),"")</f>
        <v>425</v>
      </c>
      <c r="H955" s="92">
        <v>8.5</v>
      </c>
      <c r="I955" s="13">
        <v>0</v>
      </c>
      <c r="J955" s="13">
        <v>0</v>
      </c>
      <c r="K955" s="13"/>
      <c r="L955"/>
      <c r="M955"/>
      <c r="N955"/>
      <c r="O955"/>
      <c r="P955"/>
      <c r="Q955"/>
      <c r="R955"/>
      <c r="S955"/>
      <c r="T955"/>
      <c r="U955"/>
      <c r="V955"/>
      <c r="W955"/>
      <c r="X955"/>
      <c r="Y955"/>
      <c r="Z955"/>
      <c r="AA955"/>
      <c r="AB955"/>
      <c r="AC955"/>
      <c r="AD955"/>
      <c r="AE955"/>
      <c r="AF955"/>
      <c r="AG955"/>
      <c r="AH955"/>
      <c r="AI955"/>
      <c r="AJ955"/>
      <c r="AK955"/>
      <c r="AL955"/>
    </row>
    <row r="956" spans="1:38" ht="15.75" customHeight="1" outlineLevel="1" x14ac:dyDescent="0.2">
      <c r="A956" s="1090">
        <v>1</v>
      </c>
      <c r="B956" s="1090" t="s">
        <v>1228</v>
      </c>
      <c r="C956" s="1090" t="s">
        <v>1328</v>
      </c>
      <c r="D956" s="1090" t="s">
        <v>1384</v>
      </c>
      <c r="E956" s="1091"/>
      <c r="F956" s="1092"/>
      <c r="G956" s="1091"/>
      <c r="H956" s="1091">
        <v>0</v>
      </c>
      <c r="I956" s="1092">
        <v>0</v>
      </c>
      <c r="J956" s="1092">
        <v>0</v>
      </c>
      <c r="K956" s="1092"/>
      <c r="L956"/>
      <c r="M956"/>
      <c r="N956"/>
      <c r="O956"/>
      <c r="P956"/>
      <c r="Q956"/>
      <c r="R956"/>
      <c r="S956"/>
      <c r="T956"/>
      <c r="U956"/>
      <c r="V956"/>
      <c r="W956"/>
      <c r="X956"/>
      <c r="Y956"/>
      <c r="Z956"/>
      <c r="AA956"/>
      <c r="AB956"/>
      <c r="AC956"/>
      <c r="AD956"/>
      <c r="AE956"/>
      <c r="AF956"/>
      <c r="AG956"/>
      <c r="AH956"/>
      <c r="AI956"/>
      <c r="AJ956"/>
      <c r="AK956"/>
      <c r="AL956"/>
    </row>
    <row r="957" spans="1:38" ht="15.75" customHeight="1" outlineLevel="2" x14ac:dyDescent="0.2">
      <c r="A957" s="1067">
        <v>1</v>
      </c>
      <c r="B957" s="1067" t="s">
        <v>68</v>
      </c>
      <c r="C957" s="1067" t="s">
        <v>380</v>
      </c>
      <c r="D957" s="1067" t="s">
        <v>380</v>
      </c>
      <c r="E957" s="1068" t="s">
        <v>70</v>
      </c>
      <c r="F957" s="1067"/>
      <c r="G957" s="1069" t="str">
        <f t="array" ref="G957">IF(B957="insumo",_xlfn.XLOOKUP($D957,Insumos!$B$1:$B$996,Insumos!$D$1:$D$996),"")</f>
        <v/>
      </c>
      <c r="H957" s="1069">
        <v>309.52499999999998</v>
      </c>
      <c r="I957" s="1070">
        <v>0</v>
      </c>
      <c r="J957" s="1070">
        <v>0</v>
      </c>
      <c r="K957" s="1070"/>
      <c r="L957"/>
      <c r="M957"/>
      <c r="N957"/>
      <c r="O957"/>
      <c r="P957"/>
      <c r="Q957"/>
      <c r="R957"/>
      <c r="S957"/>
      <c r="T957"/>
      <c r="U957"/>
      <c r="V957"/>
      <c r="W957"/>
      <c r="X957"/>
      <c r="Y957"/>
      <c r="Z957"/>
      <c r="AA957"/>
      <c r="AB957"/>
      <c r="AC957"/>
      <c r="AD957"/>
      <c r="AE957"/>
      <c r="AF957"/>
      <c r="AG957"/>
      <c r="AH957"/>
      <c r="AI957"/>
      <c r="AJ957"/>
      <c r="AK957"/>
      <c r="AL957"/>
    </row>
    <row r="958" spans="1:38" ht="15.75" customHeight="1" outlineLevel="3" x14ac:dyDescent="0.2">
      <c r="A958" s="10">
        <v>17</v>
      </c>
      <c r="B958" s="10" t="s">
        <v>71</v>
      </c>
      <c r="C958" s="10" t="s">
        <v>380</v>
      </c>
      <c r="D958" s="10" t="s">
        <v>356</v>
      </c>
      <c r="E958" s="11" t="str">
        <f t="array" ref="E958">_xlfn.XLOOKUP(D958,Insumos!B:B,Insumos!C:$C)</f>
        <v>M3</v>
      </c>
      <c r="F958" s="14">
        <v>2.3E-2</v>
      </c>
      <c r="G958" s="92">
        <f t="array" ref="G958">IF(B958="insumo",_xlfn.XLOOKUP($D958,Insumos!$B$1:$B$996,Insumos!$D$1:$D$996),"")</f>
        <v>425</v>
      </c>
      <c r="H958" s="92">
        <v>9.7750000000000004</v>
      </c>
      <c r="I958" s="13">
        <v>0</v>
      </c>
      <c r="J958" s="13">
        <v>0</v>
      </c>
      <c r="K958" s="13"/>
      <c r="L958"/>
      <c r="M958"/>
      <c r="N958"/>
      <c r="O958"/>
      <c r="P958"/>
      <c r="Q958"/>
      <c r="R958"/>
      <c r="S958"/>
      <c r="T958"/>
      <c r="U958"/>
      <c r="V958"/>
      <c r="W958"/>
      <c r="X958"/>
      <c r="Y958"/>
      <c r="Z958"/>
      <c r="AA958"/>
      <c r="AB958"/>
      <c r="AC958"/>
      <c r="AD958"/>
      <c r="AE958"/>
      <c r="AF958"/>
      <c r="AG958"/>
      <c r="AH958"/>
      <c r="AI958"/>
      <c r="AJ958"/>
      <c r="AK958"/>
      <c r="AL958"/>
    </row>
    <row r="959" spans="1:38" ht="15.75" customHeight="1" outlineLevel="3" x14ac:dyDescent="0.2">
      <c r="A959" s="10">
        <v>1</v>
      </c>
      <c r="B959" s="10" t="s">
        <v>71</v>
      </c>
      <c r="C959" s="10" t="s">
        <v>380</v>
      </c>
      <c r="D959" s="10" t="s">
        <v>381</v>
      </c>
      <c r="E959" s="11" t="str">
        <f t="array" ref="E959">_xlfn.XLOOKUP(D959,Insumos!B:B,Insumos!C:$C)</f>
        <v>UN</v>
      </c>
      <c r="F959" s="14">
        <v>25</v>
      </c>
      <c r="G959" s="92">
        <f t="array" ref="G959">IF(B959="insumo",_xlfn.XLOOKUP($D959,Insumos!$B$1:$B$996,Insumos!$D$1:$D$996),"")</f>
        <v>11.99</v>
      </c>
      <c r="H959" s="92">
        <v>299.75</v>
      </c>
      <c r="I959" s="13">
        <v>0</v>
      </c>
      <c r="J959" s="13">
        <v>0</v>
      </c>
      <c r="K959" s="13"/>
      <c r="L959"/>
      <c r="M959"/>
      <c r="N959"/>
      <c r="O959"/>
      <c r="P959"/>
      <c r="Q959"/>
      <c r="R959"/>
      <c r="S959"/>
      <c r="T959"/>
      <c r="U959"/>
      <c r="V959"/>
      <c r="W959"/>
      <c r="X959"/>
      <c r="Y959"/>
      <c r="Z959"/>
      <c r="AA959"/>
      <c r="AB959"/>
      <c r="AC959"/>
      <c r="AD959"/>
      <c r="AE959"/>
      <c r="AF959"/>
      <c r="AG959"/>
      <c r="AH959"/>
      <c r="AI959"/>
      <c r="AJ959"/>
      <c r="AK959"/>
      <c r="AL959"/>
    </row>
    <row r="960" spans="1:38" ht="15.75" customHeight="1" outlineLevel="2" x14ac:dyDescent="0.2">
      <c r="A960" s="1067">
        <v>1</v>
      </c>
      <c r="B960" s="1067" t="s">
        <v>68</v>
      </c>
      <c r="C960" s="1067" t="s">
        <v>382</v>
      </c>
      <c r="D960" s="1067" t="s">
        <v>382</v>
      </c>
      <c r="E960" s="1068" t="s">
        <v>70</v>
      </c>
      <c r="F960" s="1067"/>
      <c r="G960" s="1069" t="str">
        <f t="array" ref="G960">IF(B960="insumo",_xlfn.XLOOKUP($D960,Insumos!$B$1:$B$996,Insumos!$D$1:$D$996),"")</f>
        <v/>
      </c>
      <c r="H960" s="1069">
        <v>384.77499999999998</v>
      </c>
      <c r="I960" s="1070">
        <v>0</v>
      </c>
      <c r="J960" s="1070">
        <v>0</v>
      </c>
      <c r="K960" s="1070"/>
      <c r="L960"/>
      <c r="M960"/>
      <c r="N960"/>
      <c r="O960"/>
      <c r="P960"/>
      <c r="Q960"/>
      <c r="R960"/>
      <c r="S960"/>
      <c r="T960"/>
      <c r="U960"/>
      <c r="V960"/>
      <c r="W960"/>
      <c r="X960"/>
      <c r="Y960"/>
      <c r="Z960"/>
      <c r="AA960"/>
      <c r="AB960"/>
      <c r="AC960"/>
      <c r="AD960"/>
      <c r="AE960"/>
      <c r="AF960"/>
      <c r="AG960"/>
      <c r="AH960"/>
      <c r="AI960"/>
      <c r="AJ960"/>
      <c r="AK960"/>
      <c r="AL960"/>
    </row>
    <row r="961" spans="1:38" ht="15.75" customHeight="1" outlineLevel="3" x14ac:dyDescent="0.2">
      <c r="A961" s="10">
        <v>17</v>
      </c>
      <c r="B961" s="10" t="s">
        <v>71</v>
      </c>
      <c r="C961" s="10" t="s">
        <v>382</v>
      </c>
      <c r="D961" s="10" t="s">
        <v>356</v>
      </c>
      <c r="E961" s="11" t="str">
        <f t="array" ref="E961">_xlfn.XLOOKUP(D961,Insumos!B:B,Insumos!C:$C)</f>
        <v>M3</v>
      </c>
      <c r="F961" s="14">
        <v>2.3E-2</v>
      </c>
      <c r="G961" s="92">
        <f t="array" ref="G961">IF(B961="insumo",_xlfn.XLOOKUP($D961,Insumos!$B$1:$B$996,Insumos!$D$1:$D$996),"")</f>
        <v>425</v>
      </c>
      <c r="H961" s="92">
        <v>9.7750000000000004</v>
      </c>
      <c r="I961" s="13">
        <v>0</v>
      </c>
      <c r="J961" s="13">
        <v>0</v>
      </c>
      <c r="K961" s="13"/>
      <c r="L961"/>
      <c r="M961"/>
      <c r="N961"/>
      <c r="O961"/>
      <c r="P961"/>
      <c r="Q961"/>
      <c r="R961"/>
      <c r="S961"/>
      <c r="T961"/>
      <c r="U961"/>
      <c r="V961"/>
      <c r="W961"/>
      <c r="X961"/>
      <c r="Y961"/>
      <c r="Z961"/>
      <c r="AA961"/>
      <c r="AB961"/>
      <c r="AC961"/>
      <c r="AD961"/>
      <c r="AE961"/>
      <c r="AF961"/>
      <c r="AG961"/>
      <c r="AH961"/>
      <c r="AI961"/>
      <c r="AJ961"/>
      <c r="AK961"/>
      <c r="AL961"/>
    </row>
    <row r="962" spans="1:38" ht="15.75" customHeight="1" outlineLevel="3" x14ac:dyDescent="0.2">
      <c r="A962" s="10">
        <v>1</v>
      </c>
      <c r="B962" s="10" t="s">
        <v>71</v>
      </c>
      <c r="C962" s="10" t="s">
        <v>382</v>
      </c>
      <c r="D962" s="10" t="s">
        <v>383</v>
      </c>
      <c r="E962" s="11" t="str">
        <f t="array" ref="E962">_xlfn.XLOOKUP(D962,Insumos!B:B,Insumos!C:$C)</f>
        <v>UN</v>
      </c>
      <c r="F962" s="14">
        <v>25</v>
      </c>
      <c r="G962" s="92">
        <f t="array" ref="G962">IF(B962="insumo",_xlfn.XLOOKUP($D962,Insumos!$B$1:$B$996,Insumos!$D$1:$D$996),"")</f>
        <v>15</v>
      </c>
      <c r="H962" s="92">
        <v>375</v>
      </c>
      <c r="I962" s="13">
        <v>0</v>
      </c>
      <c r="J962" s="13">
        <v>0</v>
      </c>
      <c r="K962" s="13"/>
      <c r="L962"/>
      <c r="M962"/>
      <c r="N962"/>
      <c r="O962"/>
      <c r="P962"/>
      <c r="Q962"/>
      <c r="R962"/>
      <c r="S962"/>
      <c r="T962"/>
      <c r="U962"/>
      <c r="V962"/>
      <c r="W962"/>
      <c r="X962"/>
      <c r="Y962"/>
      <c r="Z962"/>
      <c r="AA962"/>
      <c r="AB962"/>
      <c r="AC962"/>
      <c r="AD962"/>
      <c r="AE962"/>
      <c r="AF962"/>
      <c r="AG962"/>
      <c r="AH962"/>
      <c r="AI962"/>
      <c r="AJ962"/>
      <c r="AK962"/>
      <c r="AL962"/>
    </row>
    <row r="963" spans="1:38" ht="15.75" customHeight="1" outlineLevel="1" x14ac:dyDescent="0.2">
      <c r="A963" s="1090">
        <v>1</v>
      </c>
      <c r="B963" s="1090" t="s">
        <v>1228</v>
      </c>
      <c r="C963" s="1090" t="s">
        <v>382</v>
      </c>
      <c r="D963" s="1090" t="s">
        <v>1385</v>
      </c>
      <c r="E963" s="1091"/>
      <c r="F963" s="1092"/>
      <c r="G963" s="1091"/>
      <c r="H963" s="1091">
        <v>0</v>
      </c>
      <c r="I963" s="1092">
        <v>0</v>
      </c>
      <c r="J963" s="1092">
        <v>0</v>
      </c>
      <c r="K963" s="1092"/>
      <c r="L963"/>
      <c r="M963"/>
      <c r="N963"/>
      <c r="O963"/>
      <c r="P963"/>
      <c r="Q963"/>
      <c r="R963"/>
      <c r="S963"/>
      <c r="T963"/>
      <c r="U963"/>
      <c r="V963"/>
      <c r="W963"/>
      <c r="X963"/>
      <c r="Y963"/>
      <c r="Z963"/>
      <c r="AA963"/>
      <c r="AB963"/>
      <c r="AC963"/>
      <c r="AD963"/>
      <c r="AE963"/>
      <c r="AF963"/>
      <c r="AG963"/>
      <c r="AH963"/>
      <c r="AI963"/>
      <c r="AJ963"/>
      <c r="AK963"/>
      <c r="AL963"/>
    </row>
    <row r="964" spans="1:38" ht="15.75" customHeight="1" outlineLevel="2" x14ac:dyDescent="0.2">
      <c r="A964" s="1067">
        <v>1</v>
      </c>
      <c r="B964" s="1067" t="s">
        <v>68</v>
      </c>
      <c r="C964" s="1067" t="s">
        <v>384</v>
      </c>
      <c r="D964" s="1067" t="s">
        <v>384</v>
      </c>
      <c r="E964" s="1068" t="s">
        <v>70</v>
      </c>
      <c r="F964" s="1067"/>
      <c r="G964" s="1069" t="str">
        <f t="array" ref="G964">IF(B964="insumo",_xlfn.XLOOKUP($D964,Insumos!$B$1:$B$996,Insumos!$D$1:$D$996),"")</f>
        <v/>
      </c>
      <c r="H964" s="1069">
        <v>266.02625</v>
      </c>
      <c r="I964" s="1070">
        <v>0</v>
      </c>
      <c r="J964" s="1070">
        <v>0</v>
      </c>
      <c r="K964" s="1070"/>
      <c r="L964"/>
      <c r="M964"/>
      <c r="N964"/>
      <c r="O964"/>
      <c r="P964"/>
      <c r="Q964"/>
      <c r="R964"/>
      <c r="S964"/>
      <c r="T964"/>
      <c r="U964"/>
      <c r="V964"/>
      <c r="W964"/>
      <c r="X964"/>
      <c r="Y964"/>
      <c r="Z964"/>
      <c r="AA964"/>
      <c r="AB964"/>
      <c r="AC964"/>
      <c r="AD964"/>
      <c r="AE964"/>
      <c r="AF964"/>
      <c r="AG964"/>
      <c r="AH964"/>
      <c r="AI964"/>
      <c r="AJ964"/>
      <c r="AK964"/>
      <c r="AL964"/>
    </row>
    <row r="965" spans="1:38" ht="15.75" customHeight="1" outlineLevel="3" x14ac:dyDescent="0.2">
      <c r="A965" s="10">
        <v>1</v>
      </c>
      <c r="B965" s="10" t="s">
        <v>71</v>
      </c>
      <c r="C965" s="10" t="s">
        <v>384</v>
      </c>
      <c r="D965" s="10" t="s">
        <v>385</v>
      </c>
      <c r="E965" s="11" t="str">
        <f t="array" ref="E965">_xlfn.XLOOKUP(D965,Insumos!B:B,Insumos!C:$C)</f>
        <v>UN</v>
      </c>
      <c r="F965" s="14">
        <v>38</v>
      </c>
      <c r="G965" s="92">
        <f t="array" ref="G965">IF(B965="insumo",_xlfn.XLOOKUP($D965,Insumos!$B$1:$B$996,Insumos!$D$1:$D$996),"")</f>
        <v>7</v>
      </c>
      <c r="H965" s="92">
        <v>266</v>
      </c>
      <c r="I965" s="13">
        <v>0</v>
      </c>
      <c r="J965" s="13">
        <v>0</v>
      </c>
      <c r="K965" s="13"/>
      <c r="L965"/>
      <c r="M965"/>
      <c r="N965"/>
      <c r="O965"/>
      <c r="P965"/>
      <c r="Q965"/>
      <c r="R965"/>
      <c r="S965"/>
      <c r="T965"/>
      <c r="U965"/>
      <c r="V965"/>
      <c r="W965"/>
      <c r="X965"/>
      <c r="Y965"/>
      <c r="Z965"/>
      <c r="AA965"/>
      <c r="AB965"/>
      <c r="AC965"/>
      <c r="AD965"/>
      <c r="AE965"/>
      <c r="AF965"/>
      <c r="AG965"/>
      <c r="AH965"/>
      <c r="AI965"/>
      <c r="AJ965"/>
      <c r="AK965"/>
      <c r="AL965"/>
    </row>
    <row r="966" spans="1:38" ht="15.75" customHeight="1" outlineLevel="3" x14ac:dyDescent="0.2">
      <c r="A966" s="10">
        <v>2</v>
      </c>
      <c r="B966" s="10" t="s">
        <v>71</v>
      </c>
      <c r="C966" s="10" t="s">
        <v>384</v>
      </c>
      <c r="D966" s="10" t="s">
        <v>386</v>
      </c>
      <c r="E966" s="11" t="str">
        <f t="array" ref="E966">_xlfn.XLOOKUP(D966,Insumos!B:B,Insumos!C:$C)</f>
        <v>M3</v>
      </c>
      <c r="F966" s="14">
        <v>1.4999999999999999E-2</v>
      </c>
      <c r="G966" s="92">
        <f t="array" ref="G966">IF(B966="insumo",_xlfn.XLOOKUP($D966,Insumos!$B$1:$B$996,Insumos!$D$1:$D$996),"")</f>
        <v>1.75</v>
      </c>
      <c r="H966" s="92">
        <v>2.6249999999999999E-2</v>
      </c>
      <c r="I966" s="13">
        <v>0</v>
      </c>
      <c r="J966" s="13">
        <v>0</v>
      </c>
      <c r="K966" s="13"/>
      <c r="L966"/>
      <c r="M966"/>
      <c r="N966"/>
      <c r="O966"/>
      <c r="P966"/>
      <c r="Q966"/>
      <c r="R966"/>
      <c r="S966"/>
      <c r="T966"/>
      <c r="U966"/>
      <c r="V966"/>
      <c r="W966"/>
      <c r="X966"/>
      <c r="Y966"/>
      <c r="Z966"/>
      <c r="AA966"/>
      <c r="AB966"/>
      <c r="AC966"/>
      <c r="AD966"/>
      <c r="AE966"/>
      <c r="AF966"/>
      <c r="AG966"/>
      <c r="AH966"/>
      <c r="AI966"/>
      <c r="AJ966"/>
      <c r="AK966"/>
      <c r="AL966"/>
    </row>
    <row r="967" spans="1:38" ht="15.75" customHeight="1" outlineLevel="2" x14ac:dyDescent="0.2">
      <c r="A967" s="1067">
        <v>1</v>
      </c>
      <c r="B967" s="1067" t="s">
        <v>68</v>
      </c>
      <c r="C967" s="1067" t="s">
        <v>387</v>
      </c>
      <c r="D967" s="1067" t="s">
        <v>387</v>
      </c>
      <c r="E967" s="1068" t="s">
        <v>70</v>
      </c>
      <c r="F967" s="1067"/>
      <c r="G967" s="1069" t="str">
        <f t="array" ref="G967">IF(B967="insumo",_xlfn.XLOOKUP($D967,Insumos!$B$1:$B$996,Insumos!$D$1:$D$996),"")</f>
        <v/>
      </c>
      <c r="H967" s="1069">
        <v>226.113125</v>
      </c>
      <c r="I967" s="1070">
        <v>0</v>
      </c>
      <c r="J967" s="1070">
        <v>0</v>
      </c>
      <c r="K967" s="1070"/>
      <c r="L967"/>
      <c r="M967"/>
      <c r="N967"/>
      <c r="O967"/>
      <c r="P967"/>
      <c r="Q967"/>
      <c r="R967"/>
      <c r="S967"/>
      <c r="T967"/>
      <c r="U967"/>
      <c r="V967"/>
      <c r="W967"/>
      <c r="X967"/>
      <c r="Y967"/>
      <c r="Z967"/>
      <c r="AA967"/>
      <c r="AB967"/>
      <c r="AC967"/>
      <c r="AD967"/>
      <c r="AE967"/>
      <c r="AF967"/>
      <c r="AG967"/>
      <c r="AH967"/>
      <c r="AI967"/>
      <c r="AJ967"/>
      <c r="AK967"/>
      <c r="AL967"/>
    </row>
    <row r="968" spans="1:38" ht="15.75" customHeight="1" outlineLevel="3" x14ac:dyDescent="0.2">
      <c r="A968" s="10">
        <v>1</v>
      </c>
      <c r="B968" s="10" t="s">
        <v>71</v>
      </c>
      <c r="C968" s="10" t="s">
        <v>387</v>
      </c>
      <c r="D968" s="10" t="s">
        <v>388</v>
      </c>
      <c r="E968" s="11" t="str">
        <f t="array" ref="E968">_xlfn.XLOOKUP(D968,Insumos!B:B,Insumos!C:$C)</f>
        <v>UN</v>
      </c>
      <c r="F968" s="14">
        <v>38</v>
      </c>
      <c r="G968" s="92">
        <f t="array" ref="G968">IF(B968="insumo",_xlfn.XLOOKUP($D968,Insumos!$B$1:$B$996,Insumos!$D$1:$D$996),"")</f>
        <v>5.95</v>
      </c>
      <c r="H968" s="92">
        <v>226.1</v>
      </c>
      <c r="I968" s="13">
        <v>0</v>
      </c>
      <c r="J968" s="13">
        <v>0</v>
      </c>
      <c r="K968" s="13"/>
      <c r="L968"/>
      <c r="M968"/>
      <c r="N968"/>
      <c r="O968"/>
      <c r="P968"/>
      <c r="Q968"/>
      <c r="R968"/>
      <c r="S968"/>
      <c r="T968"/>
      <c r="U968"/>
      <c r="V968"/>
      <c r="W968"/>
      <c r="X968"/>
      <c r="Y968"/>
      <c r="Z968"/>
      <c r="AA968"/>
      <c r="AB968"/>
      <c r="AC968"/>
      <c r="AD968"/>
      <c r="AE968"/>
      <c r="AF968"/>
      <c r="AG968"/>
      <c r="AH968"/>
      <c r="AI968"/>
      <c r="AJ968"/>
      <c r="AK968"/>
      <c r="AL968"/>
    </row>
    <row r="969" spans="1:38" ht="15.75" customHeight="1" outlineLevel="3" x14ac:dyDescent="0.2">
      <c r="A969" s="10">
        <v>2</v>
      </c>
      <c r="B969" s="10" t="s">
        <v>71</v>
      </c>
      <c r="C969" s="10" t="s">
        <v>387</v>
      </c>
      <c r="D969" s="10" t="s">
        <v>386</v>
      </c>
      <c r="E969" s="11" t="str">
        <f t="array" ref="E969">_xlfn.XLOOKUP(D969,Insumos!B:B,Insumos!C:$C)</f>
        <v>M3</v>
      </c>
      <c r="F969" s="14">
        <v>7.4999999999999997E-3</v>
      </c>
      <c r="G969" s="92">
        <f t="array" ref="G969">IF(B969="insumo",_xlfn.XLOOKUP($D969,Insumos!$B$1:$B$996,Insumos!$D$1:$D$996),"")</f>
        <v>1.75</v>
      </c>
      <c r="H969" s="92">
        <v>1.3125E-2</v>
      </c>
      <c r="I969" s="13">
        <v>0</v>
      </c>
      <c r="J969" s="13">
        <v>0</v>
      </c>
      <c r="K969" s="13"/>
      <c r="L969"/>
      <c r="M969"/>
      <c r="N969"/>
      <c r="O969"/>
      <c r="P969"/>
      <c r="Q969"/>
      <c r="R969"/>
      <c r="S969"/>
      <c r="T969"/>
      <c r="U969"/>
      <c r="V969"/>
      <c r="W969"/>
      <c r="X969"/>
      <c r="Y969"/>
      <c r="Z969"/>
      <c r="AA969"/>
      <c r="AB969"/>
      <c r="AC969"/>
      <c r="AD969"/>
      <c r="AE969"/>
      <c r="AF969"/>
      <c r="AG969"/>
      <c r="AH969"/>
      <c r="AI969"/>
      <c r="AJ969"/>
      <c r="AK969"/>
      <c r="AL969"/>
    </row>
    <row r="970" spans="1:38" ht="15.75" customHeight="1" outlineLevel="1" x14ac:dyDescent="0.2">
      <c r="A970" s="1090">
        <v>1</v>
      </c>
      <c r="B970" s="1090" t="s">
        <v>1228</v>
      </c>
      <c r="C970" s="1090" t="s">
        <v>387</v>
      </c>
      <c r="D970" s="1090" t="s">
        <v>1386</v>
      </c>
      <c r="E970" s="1091"/>
      <c r="F970" s="1092"/>
      <c r="G970" s="1091"/>
      <c r="H970" s="1091">
        <v>0</v>
      </c>
      <c r="I970" s="1092">
        <v>0</v>
      </c>
      <c r="J970" s="1092">
        <v>0</v>
      </c>
      <c r="K970" s="1092"/>
      <c r="L970"/>
      <c r="M970"/>
      <c r="N970"/>
      <c r="O970"/>
      <c r="P970"/>
      <c r="Q970"/>
      <c r="R970"/>
      <c r="S970"/>
      <c r="T970"/>
      <c r="U970"/>
      <c r="V970"/>
      <c r="W970"/>
      <c r="X970"/>
      <c r="Y970"/>
      <c r="Z970"/>
      <c r="AA970"/>
      <c r="AB970"/>
      <c r="AC970"/>
      <c r="AD970"/>
      <c r="AE970"/>
      <c r="AF970"/>
      <c r="AG970"/>
      <c r="AH970"/>
      <c r="AI970"/>
      <c r="AJ970"/>
      <c r="AK970"/>
      <c r="AL970"/>
    </row>
    <row r="971" spans="1:38" ht="15.75" customHeight="1" outlineLevel="2" x14ac:dyDescent="0.2">
      <c r="A971" s="1067">
        <v>1</v>
      </c>
      <c r="B971" s="1067" t="s">
        <v>68</v>
      </c>
      <c r="C971" s="1067" t="s">
        <v>389</v>
      </c>
      <c r="D971" s="1067" t="s">
        <v>389</v>
      </c>
      <c r="E971" s="1068" t="s">
        <v>113</v>
      </c>
      <c r="F971" s="1067"/>
      <c r="G971" s="1069" t="str">
        <f t="array" ref="G971">IF(B971="insumo",_xlfn.XLOOKUP($D971,Insumos!$B$1:$B$996,Insumos!$D$1:$D$996),"")</f>
        <v/>
      </c>
      <c r="H971" s="1069">
        <v>14.7875</v>
      </c>
      <c r="I971" s="1070" t="e">
        <v>#REF!</v>
      </c>
      <c r="J971" s="1070" t="e">
        <v>#REF!</v>
      </c>
      <c r="K971" s="1070"/>
      <c r="L971"/>
      <c r="M971"/>
      <c r="N971"/>
      <c r="O971"/>
      <c r="P971"/>
      <c r="Q971"/>
      <c r="R971"/>
      <c r="S971"/>
      <c r="T971"/>
      <c r="U971"/>
      <c r="V971"/>
      <c r="W971"/>
      <c r="X971"/>
      <c r="Y971"/>
      <c r="Z971"/>
      <c r="AA971"/>
      <c r="AB971"/>
      <c r="AC971"/>
      <c r="AD971"/>
      <c r="AE971"/>
      <c r="AF971"/>
      <c r="AG971"/>
      <c r="AH971"/>
      <c r="AI971"/>
      <c r="AJ971"/>
      <c r="AK971"/>
      <c r="AL971"/>
    </row>
    <row r="972" spans="1:38" ht="15.75" customHeight="1" outlineLevel="3" x14ac:dyDescent="0.2">
      <c r="A972" s="10">
        <v>17</v>
      </c>
      <c r="B972" s="10" t="s">
        <v>71</v>
      </c>
      <c r="C972" s="10" t="s">
        <v>389</v>
      </c>
      <c r="D972" s="10" t="s">
        <v>356</v>
      </c>
      <c r="E972" s="11" t="str">
        <f t="array" ref="E972">_xlfn.XLOOKUP(D972,Insumos!B:B,Insumos!C:$C)</f>
        <v>M3</v>
      </c>
      <c r="F972" s="14">
        <v>3.5000000000000001E-3</v>
      </c>
      <c r="G972" s="92">
        <f t="array" ref="G972">IF(B972="insumo",_xlfn.XLOOKUP($D972,Insumos!$B$1:$B$996,Insumos!$D$1:$D$996),"")</f>
        <v>425</v>
      </c>
      <c r="H972" s="92">
        <v>1.4875</v>
      </c>
      <c r="I972" s="13" t="e">
        <v>#REF!</v>
      </c>
      <c r="J972" s="13" t="e">
        <v>#REF!</v>
      </c>
      <c r="K972" s="13"/>
      <c r="L972"/>
      <c r="M972"/>
      <c r="N972"/>
      <c r="O972"/>
      <c r="P972"/>
      <c r="Q972"/>
      <c r="R972"/>
      <c r="S972"/>
      <c r="T972"/>
      <c r="U972"/>
      <c r="V972"/>
      <c r="W972"/>
      <c r="X972"/>
      <c r="Y972"/>
      <c r="Z972"/>
      <c r="AA972"/>
      <c r="AB972"/>
      <c r="AC972"/>
      <c r="AD972"/>
      <c r="AE972"/>
      <c r="AF972"/>
      <c r="AG972"/>
      <c r="AH972"/>
      <c r="AI972"/>
      <c r="AJ972"/>
      <c r="AK972"/>
      <c r="AL972"/>
    </row>
    <row r="973" spans="1:38" ht="15.75" customHeight="1" outlineLevel="3" x14ac:dyDescent="0.2">
      <c r="A973" s="10">
        <v>3</v>
      </c>
      <c r="B973" s="10" t="s">
        <v>71</v>
      </c>
      <c r="C973" s="10" t="s">
        <v>389</v>
      </c>
      <c r="D973" s="10" t="s">
        <v>390</v>
      </c>
      <c r="E973" s="11" t="str">
        <f t="array" ref="E973">_xlfn.XLOOKUP(D973,Insumos!B:B,Insumos!C:$C)</f>
        <v>KG</v>
      </c>
      <c r="F973" s="14">
        <v>7.0000000000000007E-2</v>
      </c>
      <c r="G973" s="92">
        <f t="array" ref="G973">IF(B973="insumo",_xlfn.XLOOKUP($D973,Insumos!$B$1:$B$996,Insumos!$D$1:$D$996),"")</f>
        <v>190</v>
      </c>
      <c r="H973" s="92">
        <v>13.3</v>
      </c>
      <c r="I973" s="13" t="e">
        <v>#REF!</v>
      </c>
      <c r="J973" s="13" t="e">
        <v>#REF!</v>
      </c>
      <c r="K973" s="13"/>
      <c r="L973"/>
      <c r="M973"/>
      <c r="N973"/>
      <c r="O973"/>
      <c r="P973"/>
      <c r="Q973"/>
      <c r="R973"/>
      <c r="S973"/>
      <c r="T973"/>
      <c r="U973"/>
      <c r="V973"/>
      <c r="W973"/>
      <c r="X973"/>
      <c r="Y973"/>
      <c r="Z973"/>
      <c r="AA973"/>
      <c r="AB973"/>
      <c r="AC973"/>
      <c r="AD973"/>
      <c r="AE973"/>
      <c r="AF973"/>
      <c r="AG973"/>
      <c r="AH973"/>
      <c r="AI973"/>
      <c r="AJ973"/>
      <c r="AK973"/>
      <c r="AL973"/>
    </row>
    <row r="974" spans="1:38" ht="15.75" customHeight="1" outlineLevel="2" x14ac:dyDescent="0.2">
      <c r="A974" s="1067">
        <v>1</v>
      </c>
      <c r="B974" s="1067" t="s">
        <v>68</v>
      </c>
      <c r="C974" s="1067" t="s">
        <v>391</v>
      </c>
      <c r="D974" s="1067" t="s">
        <v>391</v>
      </c>
      <c r="E974" s="1068" t="s">
        <v>113</v>
      </c>
      <c r="F974" s="1067"/>
      <c r="G974" s="1069" t="str">
        <f t="array" ref="G974">IF(B974="insumo",_xlfn.XLOOKUP($D974,Insumos!$B$1:$B$996,Insumos!$D$1:$D$996),"")</f>
        <v/>
      </c>
      <c r="H974" s="1069">
        <v>15.265566400000001</v>
      </c>
      <c r="I974" s="1070">
        <v>0</v>
      </c>
      <c r="J974" s="1070">
        <v>0</v>
      </c>
      <c r="K974" s="1070"/>
      <c r="L974"/>
      <c r="M974"/>
      <c r="N974"/>
      <c r="O974"/>
      <c r="P974"/>
      <c r="Q974"/>
      <c r="R974"/>
      <c r="S974"/>
      <c r="T974"/>
      <c r="U974"/>
      <c r="V974"/>
      <c r="W974"/>
      <c r="X974"/>
      <c r="Y974"/>
      <c r="Z974"/>
      <c r="AA974"/>
      <c r="AB974"/>
      <c r="AC974"/>
      <c r="AD974"/>
      <c r="AE974"/>
      <c r="AF974"/>
      <c r="AG974"/>
      <c r="AH974"/>
      <c r="AI974"/>
      <c r="AJ974"/>
      <c r="AK974"/>
      <c r="AL974"/>
    </row>
    <row r="975" spans="1:38" ht="15.75" customHeight="1" outlineLevel="3" x14ac:dyDescent="0.2">
      <c r="A975" s="10">
        <v>1</v>
      </c>
      <c r="B975" s="10" t="s">
        <v>71</v>
      </c>
      <c r="C975" s="10" t="s">
        <v>391</v>
      </c>
      <c r="D975" s="10" t="s">
        <v>392</v>
      </c>
      <c r="E975" s="11" t="str">
        <f t="array" ref="E975">_xlfn.XLOOKUP(D975,Insumos!B:B,Insumos!C:$C)</f>
        <v>kg</v>
      </c>
      <c r="F975" s="14">
        <v>0.76719999999999999</v>
      </c>
      <c r="G975" s="92">
        <f t="array" ref="G975">IF(B975="insumo",_xlfn.XLOOKUP($D975,Insumos!$B$1:$B$996,Insumos!$D$1:$D$996),"")</f>
        <v>2.5619999999999998</v>
      </c>
      <c r="H975" s="92">
        <v>1.9655663999999999</v>
      </c>
      <c r="I975" s="13">
        <v>0</v>
      </c>
      <c r="J975" s="13">
        <v>0</v>
      </c>
      <c r="K975" s="13"/>
      <c r="L975"/>
      <c r="M975"/>
      <c r="N975"/>
      <c r="O975"/>
      <c r="P975"/>
      <c r="Q975"/>
      <c r="R975"/>
      <c r="S975"/>
      <c r="T975"/>
      <c r="U975"/>
      <c r="V975"/>
      <c r="W975"/>
      <c r="X975"/>
      <c r="Y975"/>
      <c r="Z975"/>
      <c r="AA975"/>
      <c r="AB975"/>
      <c r="AC975"/>
      <c r="AD975"/>
      <c r="AE975"/>
      <c r="AF975"/>
      <c r="AG975"/>
      <c r="AH975"/>
      <c r="AI975"/>
      <c r="AJ975"/>
      <c r="AK975"/>
      <c r="AL975"/>
    </row>
    <row r="976" spans="1:38" ht="15.75" customHeight="1" outlineLevel="3" x14ac:dyDescent="0.2">
      <c r="A976" s="10">
        <v>3</v>
      </c>
      <c r="B976" s="10" t="s">
        <v>71</v>
      </c>
      <c r="C976" s="10" t="s">
        <v>391</v>
      </c>
      <c r="D976" s="10" t="s">
        <v>390</v>
      </c>
      <c r="E976" s="11" t="str">
        <f t="array" ref="E976">_xlfn.XLOOKUP(D976,Insumos!B:B,Insumos!C:$C)</f>
        <v>KG</v>
      </c>
      <c r="F976" s="14">
        <v>7.0000000000000007E-2</v>
      </c>
      <c r="G976" s="92">
        <f t="array" ref="G976">IF(B976="insumo",_xlfn.XLOOKUP($D976,Insumos!$B$1:$B$996,Insumos!$D$1:$D$996),"")</f>
        <v>190</v>
      </c>
      <c r="H976" s="92">
        <v>13.3</v>
      </c>
      <c r="I976" s="13">
        <v>0</v>
      </c>
      <c r="J976" s="13">
        <v>0</v>
      </c>
      <c r="K976" s="13"/>
      <c r="L976"/>
      <c r="M976"/>
      <c r="N976"/>
      <c r="O976"/>
      <c r="P976"/>
      <c r="Q976"/>
      <c r="R976"/>
      <c r="S976"/>
      <c r="T976"/>
      <c r="U976"/>
      <c r="V976"/>
      <c r="W976"/>
      <c r="X976"/>
      <c r="Y976"/>
      <c r="Z976"/>
      <c r="AA976"/>
      <c r="AB976"/>
      <c r="AC976"/>
      <c r="AD976"/>
      <c r="AE976"/>
      <c r="AF976"/>
      <c r="AG976"/>
      <c r="AH976"/>
      <c r="AI976"/>
      <c r="AJ976"/>
      <c r="AK976"/>
      <c r="AL976"/>
    </row>
    <row r="977" spans="1:38" ht="15.75" customHeight="1" outlineLevel="2" x14ac:dyDescent="0.2">
      <c r="A977" s="1067">
        <v>1</v>
      </c>
      <c r="B977" s="1067" t="s">
        <v>68</v>
      </c>
      <c r="C977" s="1067" t="s">
        <v>393</v>
      </c>
      <c r="D977" s="1067" t="s">
        <v>393</v>
      </c>
      <c r="E977" s="1068" t="s">
        <v>197</v>
      </c>
      <c r="F977" s="1067"/>
      <c r="G977" s="1069" t="str">
        <f t="array" ref="G977">IF(B977="insumo",_xlfn.XLOOKUP($D977,Insumos!$B$1:$B$996,Insumos!$D$1:$D$996),"")</f>
        <v/>
      </c>
      <c r="H977" s="1069">
        <v>4.1071999999999997</v>
      </c>
      <c r="I977" s="1070" t="e">
        <v>#REF!</v>
      </c>
      <c r="J977" s="1070" t="e">
        <v>#REF!</v>
      </c>
      <c r="K977" s="1070"/>
      <c r="L977"/>
      <c r="M977"/>
      <c r="N977"/>
      <c r="O977"/>
      <c r="P977"/>
      <c r="Q977"/>
      <c r="R977"/>
      <c r="S977"/>
      <c r="T977"/>
      <c r="U977"/>
      <c r="V977"/>
      <c r="W977"/>
      <c r="X977"/>
      <c r="Y977"/>
      <c r="Z977"/>
      <c r="AA977"/>
      <c r="AB977"/>
      <c r="AC977"/>
      <c r="AD977"/>
      <c r="AE977"/>
      <c r="AF977"/>
      <c r="AG977"/>
      <c r="AH977"/>
      <c r="AI977"/>
      <c r="AJ977"/>
      <c r="AK977"/>
      <c r="AL977"/>
    </row>
    <row r="978" spans="1:38" ht="15.75" customHeight="1" outlineLevel="3" x14ac:dyDescent="0.2">
      <c r="A978" s="10">
        <v>2</v>
      </c>
      <c r="B978" s="10" t="s">
        <v>71</v>
      </c>
      <c r="C978" s="10" t="s">
        <v>393</v>
      </c>
      <c r="D978" s="10" t="s">
        <v>394</v>
      </c>
      <c r="E978" s="11" t="str">
        <f t="array" ref="E978">_xlfn.XLOOKUP(D978,Insumos!B:B,Insumos!C:$C)</f>
        <v>UN</v>
      </c>
      <c r="F978" s="14">
        <v>2</v>
      </c>
      <c r="G978" s="92">
        <f t="array" ref="G978">IF(B978="insumo",_xlfn.XLOOKUP($D978,Insumos!$B$1:$B$996,Insumos!$D$1:$D$996),"")</f>
        <v>0.43359999999999999</v>
      </c>
      <c r="H978" s="92">
        <v>0.86719999999999997</v>
      </c>
      <c r="I978" s="13" t="e">
        <v>#REF!</v>
      </c>
      <c r="J978" s="13" t="e">
        <v>#REF!</v>
      </c>
      <c r="K978" s="13"/>
      <c r="L978"/>
      <c r="M978"/>
      <c r="N978"/>
      <c r="O978"/>
      <c r="P978"/>
      <c r="Q978"/>
      <c r="R978"/>
      <c r="S978"/>
      <c r="T978"/>
      <c r="U978"/>
      <c r="V978"/>
      <c r="W978"/>
      <c r="X978"/>
      <c r="Y978"/>
      <c r="Z978"/>
      <c r="AA978"/>
      <c r="AB978"/>
      <c r="AC978"/>
      <c r="AD978"/>
      <c r="AE978"/>
      <c r="AF978"/>
      <c r="AG978"/>
      <c r="AH978"/>
      <c r="AI978"/>
      <c r="AJ978"/>
      <c r="AK978"/>
      <c r="AL978"/>
    </row>
    <row r="979" spans="1:38" ht="15.75" customHeight="1" outlineLevel="3" x14ac:dyDescent="0.2">
      <c r="A979" s="10">
        <v>2</v>
      </c>
      <c r="B979" s="10" t="s">
        <v>71</v>
      </c>
      <c r="C979" s="10" t="s">
        <v>393</v>
      </c>
      <c r="D979" s="10" t="s">
        <v>395</v>
      </c>
      <c r="E979" s="11" t="str">
        <f t="array" ref="E979">_xlfn.XLOOKUP(D979,Insumos!B:B,Insumos!C:$C)</f>
        <v>UN</v>
      </c>
      <c r="F979" s="14">
        <v>1</v>
      </c>
      <c r="G979" s="92">
        <f t="array" ref="G979">IF(B979="insumo",_xlfn.XLOOKUP($D979,Insumos!$B$1:$B$996,Insumos!$D$1:$D$996),"")</f>
        <v>2.5</v>
      </c>
      <c r="H979" s="92">
        <v>2.5</v>
      </c>
      <c r="I979" s="13" t="e">
        <v>#REF!</v>
      </c>
      <c r="J979" s="13" t="e">
        <v>#REF!</v>
      </c>
      <c r="K979" s="13"/>
      <c r="L979"/>
      <c r="M979"/>
      <c r="N979"/>
      <c r="O979"/>
      <c r="P979"/>
      <c r="Q979"/>
      <c r="R979"/>
      <c r="S979"/>
      <c r="T979"/>
      <c r="U979"/>
      <c r="V979"/>
      <c r="W979"/>
      <c r="X979"/>
      <c r="Y979"/>
      <c r="Z979"/>
      <c r="AA979"/>
      <c r="AB979"/>
      <c r="AC979"/>
      <c r="AD979"/>
      <c r="AE979"/>
      <c r="AF979"/>
      <c r="AG979"/>
      <c r="AH979"/>
      <c r="AI979"/>
      <c r="AJ979"/>
      <c r="AK979"/>
      <c r="AL979"/>
    </row>
    <row r="980" spans="1:38" ht="15.75" customHeight="1" outlineLevel="3" x14ac:dyDescent="0.2">
      <c r="A980" s="10">
        <v>2</v>
      </c>
      <c r="B980" s="10" t="s">
        <v>71</v>
      </c>
      <c r="C980" s="10" t="s">
        <v>393</v>
      </c>
      <c r="D980" s="10" t="s">
        <v>396</v>
      </c>
      <c r="E980" s="11" t="str">
        <f t="array" ref="E980">_xlfn.XLOOKUP(D980,Insumos!B:B,Insumos!C:$C)</f>
        <v>UN</v>
      </c>
      <c r="F980" s="14">
        <v>2</v>
      </c>
      <c r="G980" s="92">
        <f t="array" ref="G980">IF(B980="insumo",_xlfn.XLOOKUP($D980,Insumos!$B$1:$B$996,Insumos!$D$1:$D$996),"")</f>
        <v>0.37</v>
      </c>
      <c r="H980" s="92">
        <v>0.74</v>
      </c>
      <c r="I980" s="13" t="e">
        <v>#REF!</v>
      </c>
      <c r="J980" s="13" t="e">
        <v>#REF!</v>
      </c>
      <c r="K980" s="13"/>
      <c r="L980"/>
      <c r="M980"/>
      <c r="N980"/>
      <c r="O980"/>
      <c r="P980"/>
      <c r="Q980"/>
      <c r="R980"/>
      <c r="S980"/>
      <c r="T980"/>
      <c r="U980"/>
      <c r="V980"/>
      <c r="W980"/>
      <c r="X980"/>
      <c r="Y980"/>
      <c r="Z980"/>
      <c r="AA980"/>
      <c r="AB980"/>
      <c r="AC980"/>
      <c r="AD980"/>
      <c r="AE980"/>
      <c r="AF980"/>
      <c r="AG980"/>
      <c r="AH980"/>
      <c r="AI980"/>
      <c r="AJ980"/>
      <c r="AK980"/>
      <c r="AL980"/>
    </row>
    <row r="981" spans="1:38" ht="15.75" customHeight="1" outlineLevel="2" x14ac:dyDescent="0.2">
      <c r="A981" s="1067">
        <v>1</v>
      </c>
      <c r="B981" s="1067" t="s">
        <v>68</v>
      </c>
      <c r="C981" s="1067" t="s">
        <v>397</v>
      </c>
      <c r="D981" s="1067" t="s">
        <v>397</v>
      </c>
      <c r="E981" s="1068" t="s">
        <v>197</v>
      </c>
      <c r="F981" s="1067"/>
      <c r="G981" s="1069" t="str">
        <f t="array" ref="G981">IF(B981="insumo",_xlfn.XLOOKUP($D981,Insumos!$B$1:$B$996,Insumos!$D$1:$D$996),"")</f>
        <v/>
      </c>
      <c r="H981" s="1069">
        <v>79.403675710539503</v>
      </c>
      <c r="I981" s="1070" t="e">
        <v>#REF!</v>
      </c>
      <c r="J981" s="1070" t="e">
        <v>#REF!</v>
      </c>
      <c r="K981" s="1070"/>
      <c r="L981"/>
      <c r="M981"/>
      <c r="N981"/>
      <c r="O981"/>
      <c r="P981"/>
      <c r="Q981"/>
      <c r="R981"/>
      <c r="S981"/>
      <c r="T981"/>
      <c r="U981"/>
      <c r="V981"/>
      <c r="W981"/>
      <c r="X981"/>
      <c r="Y981"/>
      <c r="Z981"/>
      <c r="AA981"/>
      <c r="AB981"/>
      <c r="AC981"/>
      <c r="AD981"/>
      <c r="AE981"/>
      <c r="AF981"/>
      <c r="AG981"/>
      <c r="AH981"/>
      <c r="AI981"/>
      <c r="AJ981"/>
      <c r="AK981"/>
      <c r="AL981"/>
    </row>
    <row r="982" spans="1:38" ht="15.75" customHeight="1" outlineLevel="3" x14ac:dyDescent="0.2">
      <c r="A982" s="10">
        <v>5</v>
      </c>
      <c r="B982" s="10" t="s">
        <v>71</v>
      </c>
      <c r="C982" s="10" t="s">
        <v>397</v>
      </c>
      <c r="D982" s="10" t="s">
        <v>211</v>
      </c>
      <c r="E982" s="11" t="str">
        <f t="array" ref="E982">_xlfn.XLOOKUP(D982,Insumos!B:B,Insumos!C:$C)</f>
        <v>KG</v>
      </c>
      <c r="F982" s="14">
        <v>0.87690000000000001</v>
      </c>
      <c r="G982" s="92">
        <f t="array" ref="G982">IF(B982="insumo",_xlfn.XLOOKUP($D982,Insumos!$B$1:$B$996,Insumos!$D$1:$D$996),"")</f>
        <v>4.9248569626405612</v>
      </c>
      <c r="H982" s="92">
        <v>4.3186070705395103</v>
      </c>
      <c r="I982" s="13" t="e">
        <v>#REF!</v>
      </c>
      <c r="J982" s="13" t="e">
        <v>#REF!</v>
      </c>
      <c r="K982" s="13"/>
      <c r="L982"/>
      <c r="M982"/>
      <c r="N982"/>
      <c r="O982"/>
      <c r="P982"/>
      <c r="Q982"/>
      <c r="R982"/>
      <c r="S982"/>
      <c r="T982"/>
      <c r="U982"/>
      <c r="V982"/>
      <c r="W982"/>
      <c r="X982"/>
      <c r="Y982"/>
      <c r="Z982"/>
      <c r="AA982"/>
      <c r="AB982"/>
      <c r="AC982"/>
      <c r="AD982"/>
      <c r="AE982"/>
      <c r="AF982"/>
      <c r="AG982"/>
      <c r="AH982"/>
      <c r="AI982"/>
      <c r="AJ982"/>
      <c r="AK982"/>
      <c r="AL982"/>
    </row>
    <row r="983" spans="1:38" ht="15.75" customHeight="1" outlineLevel="3" x14ac:dyDescent="0.2">
      <c r="A983" s="10">
        <v>40</v>
      </c>
      <c r="B983" s="10" t="s">
        <v>71</v>
      </c>
      <c r="C983" s="10" t="s">
        <v>397</v>
      </c>
      <c r="D983" s="10" t="s">
        <v>87</v>
      </c>
      <c r="E983" s="11" t="str">
        <f t="array" ref="E983">_xlfn.XLOOKUP(D983,Insumos!B:B,Insumos!C:$C)</f>
        <v>KG</v>
      </c>
      <c r="F983" s="14">
        <v>9.7280000000000005E-3</v>
      </c>
      <c r="G983" s="92">
        <f t="array" ref="G983">IF(B983="insumo",_xlfn.XLOOKUP($D983,Insumos!$B$1:$B$996,Insumos!$D$1:$D$996),"")</f>
        <v>18.13</v>
      </c>
      <c r="H983" s="92">
        <v>0.17636863999999999</v>
      </c>
      <c r="I983" s="13" t="e">
        <v>#REF!</v>
      </c>
      <c r="J983" s="13" t="e">
        <v>#REF!</v>
      </c>
      <c r="K983" s="13"/>
      <c r="L983"/>
      <c r="M983"/>
      <c r="N983"/>
      <c r="O983"/>
      <c r="P983"/>
      <c r="Q983"/>
      <c r="R983"/>
      <c r="S983"/>
      <c r="T983"/>
      <c r="U983"/>
      <c r="V983"/>
      <c r="W983"/>
      <c r="X983"/>
      <c r="Y983"/>
      <c r="Z983"/>
      <c r="AA983"/>
      <c r="AB983"/>
      <c r="AC983"/>
      <c r="AD983"/>
      <c r="AE983"/>
      <c r="AF983"/>
      <c r="AG983"/>
      <c r="AH983"/>
      <c r="AI983"/>
      <c r="AJ983"/>
      <c r="AK983"/>
      <c r="AL983"/>
    </row>
    <row r="984" spans="1:38" ht="15.75" customHeight="1" outlineLevel="3" x14ac:dyDescent="0.2">
      <c r="A984" s="10">
        <v>1</v>
      </c>
      <c r="B984" s="10" t="s">
        <v>71</v>
      </c>
      <c r="C984" s="10" t="s">
        <v>397</v>
      </c>
      <c r="D984" s="10" t="s">
        <v>398</v>
      </c>
      <c r="E984" s="11" t="str">
        <f t="array" ref="E984">_xlfn.XLOOKUP(D984,Insumos!B:B,Insumos!C:$C)</f>
        <v>M2</v>
      </c>
      <c r="F984" s="14">
        <v>6</v>
      </c>
      <c r="G984" s="92">
        <f t="array" ref="G984">IF(B984="insumo",_xlfn.XLOOKUP($D984,Insumos!$B$1:$B$996,Insumos!$D$1:$D$996),"")</f>
        <v>0.43</v>
      </c>
      <c r="H984" s="92">
        <v>2.58</v>
      </c>
      <c r="I984" s="13" t="e">
        <v>#REF!</v>
      </c>
      <c r="J984" s="13" t="e">
        <v>#REF!</v>
      </c>
      <c r="K984" s="13"/>
      <c r="L984"/>
      <c r="M984"/>
      <c r="N984"/>
      <c r="O984"/>
      <c r="P984"/>
      <c r="Q984"/>
      <c r="R984"/>
      <c r="S984"/>
      <c r="T984"/>
      <c r="U984"/>
      <c r="V984"/>
      <c r="W984"/>
      <c r="X984"/>
      <c r="Y984"/>
      <c r="Z984"/>
      <c r="AA984"/>
      <c r="AB984"/>
      <c r="AC984"/>
      <c r="AD984"/>
      <c r="AE984"/>
      <c r="AF984"/>
      <c r="AG984"/>
      <c r="AH984"/>
      <c r="AI984"/>
      <c r="AJ984"/>
      <c r="AK984"/>
      <c r="AL984"/>
    </row>
    <row r="985" spans="1:38" ht="15.75" customHeight="1" outlineLevel="3" x14ac:dyDescent="0.2">
      <c r="A985" s="10">
        <v>4</v>
      </c>
      <c r="B985" s="10" t="s">
        <v>71</v>
      </c>
      <c r="C985" s="10" t="s">
        <v>397</v>
      </c>
      <c r="D985" s="10" t="s">
        <v>249</v>
      </c>
      <c r="E985" s="11" t="str">
        <f t="array" ref="E985">_xlfn.XLOOKUP(D985,Insumos!B:B,Insumos!C:$C)</f>
        <v>M3</v>
      </c>
      <c r="F985" s="14">
        <v>3.2000000000000001E-2</v>
      </c>
      <c r="G985" s="92">
        <f t="array" ref="G985">IF(B985="insumo",_xlfn.XLOOKUP($D985,Insumos!$B$1:$B$996,Insumos!$D$1:$D$996),"")</f>
        <v>510</v>
      </c>
      <c r="H985" s="92">
        <v>16.32</v>
      </c>
      <c r="I985" s="13" t="e">
        <v>#REF!</v>
      </c>
      <c r="J985" s="13" t="e">
        <v>#REF!</v>
      </c>
      <c r="K985" s="13"/>
      <c r="L985"/>
      <c r="M985"/>
      <c r="N985"/>
      <c r="O985"/>
      <c r="P985"/>
      <c r="Q985"/>
      <c r="R985"/>
      <c r="S985"/>
      <c r="T985"/>
      <c r="U985"/>
      <c r="V985"/>
      <c r="W985"/>
      <c r="X985"/>
      <c r="Y985"/>
      <c r="Z985"/>
      <c r="AA985"/>
      <c r="AB985"/>
      <c r="AC985"/>
      <c r="AD985"/>
      <c r="AE985"/>
      <c r="AF985"/>
      <c r="AG985"/>
      <c r="AH985"/>
      <c r="AI985"/>
      <c r="AJ985"/>
      <c r="AK985"/>
      <c r="AL985"/>
    </row>
    <row r="986" spans="1:38" ht="15.75" customHeight="1" outlineLevel="3" x14ac:dyDescent="0.2">
      <c r="A986" s="10">
        <v>10</v>
      </c>
      <c r="B986" s="10" t="s">
        <v>71</v>
      </c>
      <c r="C986" s="10" t="s">
        <v>397</v>
      </c>
      <c r="D986" s="10" t="s">
        <v>233</v>
      </c>
      <c r="E986" s="11" t="str">
        <f t="array" ref="E986">_xlfn.XLOOKUP(D986,Insumos!B:B,Insumos!C:$C)</f>
        <v>L</v>
      </c>
      <c r="F986" s="14">
        <v>8.9999999999999993E-3</v>
      </c>
      <c r="G986" s="92">
        <f t="array" ref="G986">IF(B986="insumo",_xlfn.XLOOKUP($D986,Insumos!$B$1:$B$996,Insumos!$D$1:$D$996),"")</f>
        <v>15.55</v>
      </c>
      <c r="H986" s="92">
        <v>0.13994999999999999</v>
      </c>
      <c r="I986" s="12" t="e">
        <v>#REF!</v>
      </c>
      <c r="J986" s="12" t="e">
        <v>#REF!</v>
      </c>
      <c r="K986" s="12"/>
      <c r="L986"/>
      <c r="M986"/>
      <c r="N986"/>
      <c r="O986"/>
      <c r="P986"/>
      <c r="Q986"/>
      <c r="R986"/>
      <c r="S986"/>
      <c r="T986"/>
      <c r="U986"/>
      <c r="V986"/>
      <c r="W986"/>
      <c r="X986"/>
      <c r="Y986"/>
      <c r="Z986"/>
      <c r="AA986"/>
      <c r="AB986"/>
      <c r="AC986"/>
      <c r="AD986"/>
      <c r="AE986"/>
      <c r="AF986"/>
      <c r="AG986"/>
      <c r="AH986"/>
      <c r="AI986"/>
      <c r="AJ986"/>
      <c r="AK986"/>
      <c r="AL986"/>
    </row>
    <row r="987" spans="1:38" ht="15.75" customHeight="1" outlineLevel="3" x14ac:dyDescent="0.2">
      <c r="A987" s="10">
        <v>7</v>
      </c>
      <c r="B987" s="10" t="s">
        <v>71</v>
      </c>
      <c r="C987" s="10" t="s">
        <v>397</v>
      </c>
      <c r="D987" s="10" t="s">
        <v>120</v>
      </c>
      <c r="E987" s="11" t="str">
        <f t="array" ref="E987">_xlfn.XLOOKUP(D987,Insumos!B:B,Insumos!C:$C)</f>
        <v>M3</v>
      </c>
      <c r="F987" s="14">
        <v>1.5225000000000001E-2</v>
      </c>
      <c r="G987" s="92">
        <f t="array" ref="G987">IF(B987="insumo",_xlfn.XLOOKUP($D987,Insumos!$B$1:$B$996,Insumos!$D$1:$D$996),"")</f>
        <v>1100</v>
      </c>
      <c r="H987" s="92">
        <v>16.747499999999999</v>
      </c>
      <c r="I987" s="13" t="e">
        <v>#REF!</v>
      </c>
      <c r="J987" s="13" t="e">
        <v>#REF!</v>
      </c>
      <c r="K987" s="13"/>
      <c r="L987"/>
      <c r="M987"/>
      <c r="N987"/>
      <c r="O987"/>
      <c r="P987"/>
      <c r="Q987"/>
      <c r="R987"/>
      <c r="S987"/>
      <c r="T987"/>
      <c r="U987"/>
      <c r="V987"/>
      <c r="W987"/>
      <c r="X987"/>
      <c r="Y987"/>
      <c r="Z987"/>
      <c r="AA987"/>
      <c r="AB987"/>
      <c r="AC987"/>
      <c r="AD987"/>
      <c r="AE987"/>
      <c r="AF987"/>
      <c r="AG987"/>
      <c r="AH987"/>
      <c r="AI987"/>
      <c r="AJ987"/>
      <c r="AK987"/>
      <c r="AL987"/>
    </row>
    <row r="988" spans="1:38" ht="15.75" customHeight="1" outlineLevel="3" x14ac:dyDescent="0.2">
      <c r="A988" s="10">
        <v>19</v>
      </c>
      <c r="B988" s="10" t="s">
        <v>71</v>
      </c>
      <c r="C988" s="10" t="s">
        <v>397</v>
      </c>
      <c r="D988" s="10" t="s">
        <v>129</v>
      </c>
      <c r="E988" s="11" t="str">
        <f t="array" ref="E988">_xlfn.XLOOKUP(D988,Insumos!B:B,Insumos!C:$C)</f>
        <v>M3</v>
      </c>
      <c r="F988" s="14">
        <v>1.8749999999999999E-3</v>
      </c>
      <c r="G988" s="92">
        <f t="array" ref="G988">IF(B988="insumo",_xlfn.XLOOKUP($D988,Insumos!$B$1:$B$996,Insumos!$D$1:$D$996),"")</f>
        <v>1350</v>
      </c>
      <c r="H988" s="92">
        <v>2.53125</v>
      </c>
      <c r="I988" s="13" t="e">
        <v>#REF!</v>
      </c>
      <c r="J988" s="13" t="e">
        <v>#REF!</v>
      </c>
      <c r="K988" s="13"/>
      <c r="L988"/>
      <c r="M988"/>
      <c r="N988"/>
      <c r="O988"/>
      <c r="P988"/>
      <c r="Q988"/>
      <c r="R988"/>
      <c r="S988"/>
      <c r="T988"/>
      <c r="U988"/>
      <c r="V988"/>
      <c r="W988"/>
      <c r="X988"/>
      <c r="Y988"/>
      <c r="Z988"/>
      <c r="AA988"/>
      <c r="AB988"/>
      <c r="AC988"/>
      <c r="AD988"/>
      <c r="AE988"/>
      <c r="AF988"/>
      <c r="AG988"/>
      <c r="AH988"/>
      <c r="AI988"/>
      <c r="AJ988"/>
      <c r="AK988"/>
      <c r="AL988"/>
    </row>
    <row r="989" spans="1:38" ht="15.75" customHeight="1" outlineLevel="3" x14ac:dyDescent="0.2">
      <c r="A989" s="10">
        <v>6</v>
      </c>
      <c r="B989" s="10" t="s">
        <v>71</v>
      </c>
      <c r="C989" s="10" t="s">
        <v>397</v>
      </c>
      <c r="D989" s="10" t="s">
        <v>234</v>
      </c>
      <c r="E989" s="11" t="str">
        <f t="array" ref="E989">_xlfn.XLOOKUP(D989,Insumos!B:B,Insumos!C:$C)</f>
        <v>M</v>
      </c>
      <c r="F989" s="14">
        <v>0.86175223739990581</v>
      </c>
      <c r="G989" s="92">
        <f t="array" ref="G989">IF(B989="insumo",_xlfn.XLOOKUP($D989,Insumos!$B$1:$B$996,Insumos!$D$1:$D$996),"")</f>
        <v>42.46</v>
      </c>
      <c r="H989" s="92">
        <v>36.590000000000003</v>
      </c>
      <c r="I989" s="13" t="e">
        <v>#REF!</v>
      </c>
      <c r="J989" s="13" t="e">
        <v>#REF!</v>
      </c>
      <c r="K989" s="13"/>
      <c r="L989"/>
      <c r="M989"/>
      <c r="N989"/>
      <c r="O989"/>
      <c r="P989"/>
      <c r="Q989"/>
      <c r="R989"/>
      <c r="S989"/>
      <c r="T989"/>
      <c r="U989"/>
      <c r="V989"/>
      <c r="W989"/>
      <c r="X989"/>
      <c r="Y989"/>
      <c r="Z989"/>
      <c r="AA989"/>
      <c r="AB989"/>
      <c r="AC989"/>
      <c r="AD989"/>
      <c r="AE989"/>
      <c r="AF989"/>
      <c r="AG989"/>
      <c r="AH989"/>
      <c r="AI989"/>
      <c r="AJ989"/>
      <c r="AK989"/>
      <c r="AL989"/>
    </row>
    <row r="990" spans="1:38" ht="15.75" customHeight="1" outlineLevel="1" x14ac:dyDescent="0.2">
      <c r="A990" s="1090">
        <v>1</v>
      </c>
      <c r="B990" s="1090" t="s">
        <v>1228</v>
      </c>
      <c r="C990" s="1090" t="s">
        <v>397</v>
      </c>
      <c r="D990" s="1090" t="s">
        <v>1382</v>
      </c>
      <c r="E990" s="1091"/>
      <c r="F990" s="1092"/>
      <c r="G990" s="1091"/>
      <c r="H990" s="1091">
        <v>0</v>
      </c>
      <c r="I990" s="1092">
        <v>0</v>
      </c>
      <c r="J990" s="1092">
        <v>0</v>
      </c>
      <c r="K990" s="1092"/>
      <c r="L990"/>
      <c r="M990"/>
      <c r="N990"/>
      <c r="O990"/>
      <c r="P990"/>
      <c r="Q990"/>
      <c r="R990"/>
      <c r="S990"/>
      <c r="T990"/>
      <c r="U990"/>
      <c r="V990"/>
      <c r="W990"/>
      <c r="X990"/>
      <c r="Y990"/>
      <c r="Z990"/>
      <c r="AA990"/>
      <c r="AB990"/>
      <c r="AC990"/>
      <c r="AD990"/>
      <c r="AE990"/>
      <c r="AF990"/>
      <c r="AG990"/>
      <c r="AH990"/>
      <c r="AI990"/>
      <c r="AJ990"/>
      <c r="AK990"/>
      <c r="AL990"/>
    </row>
    <row r="991" spans="1:38" ht="15.75" customHeight="1" outlineLevel="2" x14ac:dyDescent="0.2">
      <c r="A991" s="1067">
        <v>1</v>
      </c>
      <c r="B991" s="1067" t="s">
        <v>68</v>
      </c>
      <c r="C991" s="1067" t="s">
        <v>357</v>
      </c>
      <c r="D991" s="1067" t="s">
        <v>357</v>
      </c>
      <c r="E991" s="1068" t="s">
        <v>70</v>
      </c>
      <c r="F991" s="1067"/>
      <c r="G991" s="1069" t="str">
        <f t="array" ref="G991">IF(B991="insumo",_xlfn.XLOOKUP($D991,Insumos!$B$1:$B$996,Insumos!$D$1:$D$996),"")</f>
        <v/>
      </c>
      <c r="H991" s="1069">
        <v>60.94</v>
      </c>
      <c r="I991" s="1070">
        <v>0</v>
      </c>
      <c r="J991" s="1070">
        <v>0</v>
      </c>
      <c r="K991" s="1070"/>
      <c r="L991"/>
      <c r="M991"/>
      <c r="N991"/>
      <c r="O991"/>
      <c r="P991"/>
      <c r="Q991"/>
      <c r="R991"/>
      <c r="S991"/>
      <c r="T991"/>
      <c r="U991"/>
      <c r="V991"/>
      <c r="W991"/>
      <c r="X991"/>
      <c r="Y991"/>
      <c r="Z991"/>
      <c r="AA991"/>
      <c r="AB991"/>
      <c r="AC991"/>
      <c r="AD991"/>
      <c r="AE991"/>
      <c r="AF991"/>
      <c r="AG991"/>
      <c r="AH991"/>
      <c r="AI991"/>
      <c r="AJ991"/>
      <c r="AK991"/>
      <c r="AL991"/>
    </row>
    <row r="992" spans="1:38" ht="15.75" customHeight="1" outlineLevel="3" x14ac:dyDescent="0.2">
      <c r="A992" s="10">
        <v>1</v>
      </c>
      <c r="B992" s="10" t="s">
        <v>71</v>
      </c>
      <c r="C992" s="10" t="s">
        <v>357</v>
      </c>
      <c r="D992" s="10" t="s">
        <v>358</v>
      </c>
      <c r="E992" s="11" t="str">
        <f t="array" ref="E992">_xlfn.XLOOKUP(D992,Insumos!B:B,Insumos!C:$C)</f>
        <v>UN</v>
      </c>
      <c r="F992" s="14">
        <f>ROUNDUP(1/(0.19*0.29),)</f>
        <v>19</v>
      </c>
      <c r="G992" s="92">
        <f t="array" ref="G992">IF(B992="insumo",_xlfn.XLOOKUP($D992,Insumos!$B$1:$B$996,Insumos!$D$1:$D$996),"")</f>
        <v>2.76</v>
      </c>
      <c r="H992" s="92">
        <v>52.44</v>
      </c>
      <c r="I992" s="13">
        <v>0</v>
      </c>
      <c r="J992" s="13">
        <v>0</v>
      </c>
      <c r="K992" s="13"/>
      <c r="L992"/>
      <c r="M992"/>
      <c r="N992"/>
      <c r="O992"/>
      <c r="P992"/>
      <c r="Q992"/>
      <c r="R992"/>
      <c r="S992"/>
      <c r="T992"/>
      <c r="U992"/>
      <c r="V992"/>
      <c r="W992"/>
      <c r="X992"/>
      <c r="Y992"/>
      <c r="Z992"/>
      <c r="AA992"/>
      <c r="AB992"/>
      <c r="AC992"/>
      <c r="AD992"/>
      <c r="AE992"/>
      <c r="AF992"/>
      <c r="AG992"/>
      <c r="AH992"/>
      <c r="AI992"/>
      <c r="AJ992"/>
      <c r="AK992"/>
      <c r="AL992"/>
    </row>
    <row r="993" spans="1:38" ht="15.75" customHeight="1" outlineLevel="3" x14ac:dyDescent="0.2">
      <c r="A993" s="10">
        <v>17</v>
      </c>
      <c r="B993" s="10" t="s">
        <v>71</v>
      </c>
      <c r="C993" s="10" t="s">
        <v>357</v>
      </c>
      <c r="D993" s="10" t="s">
        <v>356</v>
      </c>
      <c r="E993" s="11" t="str">
        <f t="array" ref="E993">_xlfn.XLOOKUP(D993,Insumos!B:B,Insumos!C:$C)</f>
        <v>M3</v>
      </c>
      <c r="F993" s="14">
        <v>0.02</v>
      </c>
      <c r="G993" s="92">
        <f t="array" ref="G993">IF(B993="insumo",_xlfn.XLOOKUP($D993,Insumos!$B$1:$B$996,Insumos!$D$1:$D$996),"")</f>
        <v>425</v>
      </c>
      <c r="H993" s="92">
        <v>8.5</v>
      </c>
      <c r="I993" s="13">
        <v>0</v>
      </c>
      <c r="J993" s="13">
        <v>0</v>
      </c>
      <c r="K993" s="13"/>
      <c r="L993"/>
      <c r="M993"/>
      <c r="N993"/>
      <c r="O993"/>
      <c r="P993"/>
      <c r="Q993"/>
      <c r="R993"/>
      <c r="S993"/>
      <c r="T993"/>
      <c r="U993"/>
      <c r="V993"/>
      <c r="W993"/>
      <c r="X993"/>
      <c r="Y993"/>
      <c r="Z993"/>
      <c r="AA993"/>
      <c r="AB993"/>
      <c r="AC993"/>
      <c r="AD993"/>
      <c r="AE993"/>
      <c r="AF993"/>
      <c r="AG993"/>
      <c r="AH993"/>
      <c r="AI993"/>
      <c r="AJ993"/>
      <c r="AK993"/>
      <c r="AL993"/>
    </row>
    <row r="994" spans="1:38" ht="15.75" customHeight="1" outlineLevel="1" x14ac:dyDescent="0.2">
      <c r="A994" s="1090">
        <v>1</v>
      </c>
      <c r="B994" s="1090" t="s">
        <v>1228</v>
      </c>
      <c r="C994" s="1090" t="s">
        <v>357</v>
      </c>
      <c r="D994" s="1090" t="s">
        <v>1383</v>
      </c>
      <c r="E994" s="1091"/>
      <c r="F994" s="1092"/>
      <c r="G994" s="1091"/>
      <c r="H994" s="1091">
        <v>0</v>
      </c>
      <c r="I994" s="1092">
        <v>0</v>
      </c>
      <c r="J994" s="1092">
        <v>0</v>
      </c>
      <c r="K994" s="1092"/>
      <c r="L994"/>
      <c r="M994"/>
      <c r="N994"/>
      <c r="O994"/>
      <c r="P994"/>
      <c r="Q994"/>
      <c r="R994"/>
      <c r="S994"/>
      <c r="T994"/>
      <c r="U994"/>
      <c r="V994"/>
      <c r="W994"/>
      <c r="X994"/>
      <c r="Y994"/>
      <c r="Z994"/>
      <c r="AA994"/>
      <c r="AB994"/>
      <c r="AC994"/>
      <c r="AD994"/>
      <c r="AE994"/>
      <c r="AF994"/>
      <c r="AG994"/>
      <c r="AH994"/>
      <c r="AI994"/>
      <c r="AJ994"/>
      <c r="AK994"/>
      <c r="AL994"/>
    </row>
    <row r="995" spans="1:38" ht="15.75" customHeight="1" outlineLevel="2" x14ac:dyDescent="0.2">
      <c r="A995" s="1067">
        <v>1</v>
      </c>
      <c r="B995" s="1067" t="s">
        <v>68</v>
      </c>
      <c r="C995" s="1067" t="s">
        <v>362</v>
      </c>
      <c r="D995" s="1067" t="s">
        <v>362</v>
      </c>
      <c r="E995" s="1068" t="s">
        <v>70</v>
      </c>
      <c r="F995" s="1067"/>
      <c r="G995" s="1069" t="str">
        <f t="array" ref="G995">IF(B995="insumo",_xlfn.XLOOKUP($D995,Insumos!$B$1:$B$996,Insumos!$D$1:$D$996),"")</f>
        <v/>
      </c>
      <c r="H995" s="1069">
        <v>12.290469464289201</v>
      </c>
      <c r="I995" s="1070">
        <v>0</v>
      </c>
      <c r="J995" s="1070">
        <v>0</v>
      </c>
      <c r="K995" s="1070"/>
      <c r="L995"/>
      <c r="M995"/>
      <c r="N995"/>
      <c r="O995"/>
      <c r="P995"/>
      <c r="Q995"/>
      <c r="R995"/>
      <c r="S995"/>
      <c r="T995"/>
      <c r="U995"/>
      <c r="V995"/>
      <c r="W995"/>
      <c r="X995"/>
      <c r="Y995"/>
      <c r="Z995"/>
      <c r="AA995"/>
      <c r="AB995"/>
      <c r="AC995"/>
      <c r="AD995"/>
      <c r="AE995"/>
      <c r="AF995"/>
      <c r="AG995"/>
      <c r="AH995"/>
      <c r="AI995"/>
      <c r="AJ995"/>
      <c r="AK995"/>
      <c r="AL995"/>
    </row>
    <row r="996" spans="1:38" ht="15.75" customHeight="1" outlineLevel="3" x14ac:dyDescent="0.2">
      <c r="A996" s="10">
        <v>1</v>
      </c>
      <c r="B996" s="10" t="s">
        <v>71</v>
      </c>
      <c r="C996" s="10" t="s">
        <v>362</v>
      </c>
      <c r="D996" s="10" t="s">
        <v>363</v>
      </c>
      <c r="E996" s="11" t="str">
        <f t="array" ref="E996">_xlfn.XLOOKUP(D996,Insumos!B:B,Insumos!C:$C)</f>
        <v>UN</v>
      </c>
      <c r="F996" s="14">
        <v>3.8590172369436584E-2</v>
      </c>
      <c r="G996" s="92">
        <f t="array" ref="G996">IF(B996="insumo",_xlfn.XLOOKUP($D996,Insumos!$B$1:$B$996,Insumos!$D$1:$D$996),"")</f>
        <v>4.0199999999999996</v>
      </c>
      <c r="H996" s="92">
        <v>0.15513249292513501</v>
      </c>
      <c r="I996" s="13">
        <v>0</v>
      </c>
      <c r="J996" s="13">
        <v>0</v>
      </c>
      <c r="K996" s="13"/>
      <c r="L996"/>
      <c r="M996"/>
      <c r="N996"/>
      <c r="O996"/>
      <c r="P996"/>
      <c r="Q996"/>
      <c r="R996"/>
      <c r="S996"/>
      <c r="T996"/>
      <c r="U996"/>
      <c r="V996"/>
      <c r="W996"/>
      <c r="X996"/>
      <c r="Y996"/>
      <c r="Z996"/>
      <c r="AA996"/>
      <c r="AB996"/>
      <c r="AC996"/>
      <c r="AD996"/>
      <c r="AE996"/>
      <c r="AF996"/>
      <c r="AG996"/>
      <c r="AH996"/>
      <c r="AI996"/>
      <c r="AJ996"/>
      <c r="AK996"/>
      <c r="AL996"/>
    </row>
    <row r="997" spans="1:38" ht="15.75" customHeight="1" outlineLevel="3" x14ac:dyDescent="0.2">
      <c r="A997" s="10">
        <v>1</v>
      </c>
      <c r="B997" s="10" t="s">
        <v>71</v>
      </c>
      <c r="C997" s="10" t="s">
        <v>362</v>
      </c>
      <c r="D997" s="10" t="s">
        <v>364</v>
      </c>
      <c r="E997" s="11" t="str">
        <f t="array" ref="E997">_xlfn.XLOOKUP(D997,Insumos!B:B,Insumos!C:$C)</f>
        <v>UN</v>
      </c>
      <c r="F997" s="14">
        <v>1.6063159248777978</v>
      </c>
      <c r="G997" s="92">
        <f t="array" ref="G997">IF(B997="insumo",_xlfn.XLOOKUP($D997,Insumos!$B$1:$B$996,Insumos!$D$1:$D$996),"")</f>
        <v>1.998</v>
      </c>
      <c r="H997" s="92">
        <v>3.2094192179058401</v>
      </c>
      <c r="I997" s="13">
        <v>0</v>
      </c>
      <c r="J997" s="13">
        <v>0</v>
      </c>
      <c r="K997" s="13"/>
      <c r="L997"/>
      <c r="M997"/>
      <c r="N997"/>
      <c r="O997"/>
      <c r="P997"/>
      <c r="Q997"/>
      <c r="R997"/>
      <c r="S997"/>
      <c r="T997"/>
      <c r="U997"/>
      <c r="V997"/>
      <c r="W997"/>
      <c r="X997"/>
      <c r="Y997"/>
      <c r="Z997"/>
      <c r="AA997"/>
      <c r="AB997"/>
      <c r="AC997"/>
      <c r="AD997"/>
      <c r="AE997"/>
      <c r="AF997"/>
      <c r="AG997"/>
      <c r="AH997"/>
      <c r="AI997"/>
      <c r="AJ997"/>
      <c r="AK997"/>
      <c r="AL997"/>
    </row>
    <row r="998" spans="1:38" ht="15.75" customHeight="1" outlineLevel="3" x14ac:dyDescent="0.2">
      <c r="A998" s="10">
        <v>1</v>
      </c>
      <c r="B998" s="10" t="s">
        <v>71</v>
      </c>
      <c r="C998" s="10" t="s">
        <v>362</v>
      </c>
      <c r="D998" s="10" t="s">
        <v>365</v>
      </c>
      <c r="E998" s="11" t="str">
        <f t="array" ref="E998">_xlfn.XLOOKUP(D998,Insumos!B:B,Insumos!C:$C)</f>
        <v>UN</v>
      </c>
      <c r="F998" s="14">
        <v>9.0043735528685373E-2</v>
      </c>
      <c r="G998" s="92">
        <f t="array" ref="G998">IF(B998="insumo",_xlfn.XLOOKUP($D998,Insumos!$B$1:$B$996,Insumos!$D$1:$D$996),"")</f>
        <v>1.3760000000000001</v>
      </c>
      <c r="H998" s="92">
        <v>0.123900180087471</v>
      </c>
      <c r="I998" s="13">
        <v>0</v>
      </c>
      <c r="J998" s="13">
        <v>0</v>
      </c>
      <c r="K998" s="13"/>
      <c r="L998"/>
      <c r="M998"/>
      <c r="N998"/>
      <c r="O998"/>
      <c r="P998"/>
      <c r="Q998"/>
      <c r="R998"/>
      <c r="S998"/>
      <c r="T998"/>
      <c r="U998"/>
      <c r="V998"/>
      <c r="W998"/>
      <c r="X998"/>
      <c r="Y998"/>
      <c r="Z998"/>
      <c r="AA998"/>
      <c r="AB998"/>
      <c r="AC998"/>
      <c r="AD998"/>
      <c r="AE998"/>
      <c r="AF998"/>
      <c r="AG998"/>
      <c r="AH998"/>
      <c r="AI998"/>
      <c r="AJ998"/>
      <c r="AK998"/>
      <c r="AL998"/>
    </row>
    <row r="999" spans="1:38" ht="15.75" customHeight="1" outlineLevel="3" x14ac:dyDescent="0.2">
      <c r="A999" s="10">
        <v>1</v>
      </c>
      <c r="B999" s="10" t="s">
        <v>71</v>
      </c>
      <c r="C999" s="10" t="s">
        <v>362</v>
      </c>
      <c r="D999" s="10" t="s">
        <v>366</v>
      </c>
      <c r="E999" s="11" t="str">
        <f t="array" ref="E999">_xlfn.XLOOKUP(D999,Insumos!B:B,Insumos!C:$C)</f>
        <v>UN</v>
      </c>
      <c r="F999" s="14">
        <v>3.8590172369436584E-2</v>
      </c>
      <c r="G999" s="92">
        <f t="array" ref="G999">IF(B999="insumo",_xlfn.XLOOKUP($D999,Insumos!$B$1:$B$996,Insumos!$D$1:$D$996),"")</f>
        <v>3.9889743589743589</v>
      </c>
      <c r="H999" s="92">
        <v>0.15393520809008299</v>
      </c>
      <c r="I999" s="13">
        <v>0</v>
      </c>
      <c r="J999" s="13">
        <v>0</v>
      </c>
      <c r="K999" s="13"/>
      <c r="L999"/>
      <c r="M999"/>
      <c r="N999"/>
      <c r="O999"/>
      <c r="P999"/>
      <c r="Q999"/>
      <c r="R999"/>
      <c r="S999"/>
      <c r="T999"/>
      <c r="U999"/>
      <c r="V999"/>
      <c r="W999"/>
      <c r="X999"/>
      <c r="Y999"/>
      <c r="Z999"/>
      <c r="AA999"/>
      <c r="AB999"/>
      <c r="AC999"/>
      <c r="AD999"/>
      <c r="AE999"/>
      <c r="AF999"/>
      <c r="AG999"/>
      <c r="AH999"/>
      <c r="AI999"/>
      <c r="AJ999"/>
      <c r="AK999"/>
      <c r="AL999"/>
    </row>
    <row r="1000" spans="1:38" ht="15.75" customHeight="1" outlineLevel="3" x14ac:dyDescent="0.2">
      <c r="A1000" s="10">
        <v>1</v>
      </c>
      <c r="B1000" s="10" t="s">
        <v>71</v>
      </c>
      <c r="C1000" s="10" t="s">
        <v>362</v>
      </c>
      <c r="D1000" s="10" t="s">
        <v>367</v>
      </c>
      <c r="E1000" s="11" t="str">
        <f t="array" ref="E1000">_xlfn.XLOOKUP(D1000,Insumos!B:B,Insumos!C:$C)</f>
        <v>UN</v>
      </c>
      <c r="F1000" s="14">
        <v>3.5374324671983537E-2</v>
      </c>
      <c r="G1000" s="92">
        <f t="array" ref="G1000">IF(B1000="insumo",_xlfn.XLOOKUP($D1000,Insumos!$B$1:$B$996,Insumos!$D$1:$D$996),"")</f>
        <v>4.1861538461538466</v>
      </c>
      <c r="H1000" s="92">
        <v>0.148082365280719</v>
      </c>
      <c r="I1000" s="13">
        <v>0</v>
      </c>
      <c r="J1000" s="13">
        <v>0</v>
      </c>
      <c r="K1000" s="13"/>
      <c r="L1000"/>
      <c r="M1000"/>
      <c r="N1000"/>
      <c r="O1000"/>
      <c r="P1000"/>
      <c r="Q1000"/>
      <c r="R1000"/>
      <c r="S1000"/>
      <c r="T1000"/>
      <c r="U1000"/>
      <c r="V1000"/>
      <c r="W1000"/>
      <c r="X1000"/>
      <c r="Y1000"/>
      <c r="Z1000"/>
      <c r="AA1000"/>
      <c r="AB1000"/>
      <c r="AC1000"/>
      <c r="AD1000"/>
      <c r="AE1000"/>
      <c r="AF1000"/>
      <c r="AG1000"/>
      <c r="AH1000"/>
      <c r="AI1000"/>
      <c r="AJ1000"/>
      <c r="AK1000"/>
      <c r="AL1000"/>
    </row>
    <row r="1001" spans="1:38" ht="15.75" customHeight="1" outlineLevel="3" x14ac:dyDescent="0.2">
      <c r="A1001" s="10">
        <v>17</v>
      </c>
      <c r="B1001" s="10" t="s">
        <v>71</v>
      </c>
      <c r="C1001" s="10" t="s">
        <v>362</v>
      </c>
      <c r="D1001" s="10" t="s">
        <v>356</v>
      </c>
      <c r="E1001" s="11" t="str">
        <f t="array" ref="E1001">_xlfn.XLOOKUP(D1001,Insumos!B:B,Insumos!C:$C)</f>
        <v>M3</v>
      </c>
      <c r="F1001" s="14">
        <v>0.02</v>
      </c>
      <c r="G1001" s="92">
        <f t="array" ref="G1001">IF(B1001="insumo",_xlfn.XLOOKUP($D1001,Insumos!$B$1:$B$996,Insumos!$D$1:$D$996),"")</f>
        <v>425</v>
      </c>
      <c r="H1001" s="92">
        <v>8.5</v>
      </c>
      <c r="I1001" s="13">
        <v>0</v>
      </c>
      <c r="J1001" s="13">
        <v>0</v>
      </c>
      <c r="K1001" s="13"/>
      <c r="L1001"/>
      <c r="M1001"/>
      <c r="N1001"/>
      <c r="O1001"/>
      <c r="P1001"/>
      <c r="Q1001"/>
      <c r="R1001"/>
      <c r="S1001"/>
      <c r="T1001"/>
      <c r="U1001"/>
      <c r="V1001"/>
      <c r="W1001"/>
      <c r="X1001"/>
      <c r="Y1001"/>
      <c r="Z1001"/>
      <c r="AA1001"/>
      <c r="AB1001"/>
      <c r="AC1001"/>
      <c r="AD1001"/>
      <c r="AE1001"/>
      <c r="AF1001"/>
      <c r="AG1001"/>
      <c r="AH1001"/>
      <c r="AI1001"/>
      <c r="AJ1001"/>
      <c r="AK1001"/>
      <c r="AL1001"/>
    </row>
    <row r="1002" spans="1:38" ht="15.75" customHeight="1" outlineLevel="2" x14ac:dyDescent="0.2">
      <c r="A1002" s="1067">
        <v>1</v>
      </c>
      <c r="B1002" s="1067" t="s">
        <v>68</v>
      </c>
      <c r="C1002" s="1067" t="s">
        <v>368</v>
      </c>
      <c r="D1002" s="1067" t="s">
        <v>368</v>
      </c>
      <c r="E1002" s="1068" t="s">
        <v>70</v>
      </c>
      <c r="F1002" s="1067"/>
      <c r="G1002" s="1069" t="str">
        <f t="array" ref="G1002">IF(B1002="insumo",_xlfn.XLOOKUP($D1002,Insumos!$B$1:$B$996,Insumos!$D$1:$D$996),"")</f>
        <v/>
      </c>
      <c r="H1002" s="1069">
        <v>45.9660876018064</v>
      </c>
      <c r="I1002" s="1070">
        <v>0</v>
      </c>
      <c r="J1002" s="1070">
        <v>0</v>
      </c>
      <c r="K1002" s="1070"/>
      <c r="L1002"/>
      <c r="M1002"/>
      <c r="N1002"/>
      <c r="O1002"/>
      <c r="P1002"/>
      <c r="Q1002"/>
      <c r="R1002"/>
      <c r="S1002"/>
      <c r="T1002"/>
      <c r="U1002"/>
      <c r="V1002"/>
      <c r="W1002"/>
      <c r="X1002"/>
      <c r="Y1002"/>
      <c r="Z1002"/>
      <c r="AA1002"/>
      <c r="AB1002"/>
      <c r="AC1002"/>
      <c r="AD1002"/>
      <c r="AE1002"/>
      <c r="AF1002"/>
      <c r="AG1002"/>
      <c r="AH1002"/>
      <c r="AI1002"/>
      <c r="AJ1002"/>
      <c r="AK1002"/>
      <c r="AL1002"/>
    </row>
    <row r="1003" spans="1:38" ht="15.75" customHeight="1" outlineLevel="3" x14ac:dyDescent="0.2">
      <c r="A1003" s="10">
        <v>1</v>
      </c>
      <c r="B1003" s="10" t="s">
        <v>71</v>
      </c>
      <c r="C1003" s="10" t="s">
        <v>368</v>
      </c>
      <c r="D1003" s="10" t="s">
        <v>369</v>
      </c>
      <c r="E1003" s="11" t="str">
        <f t="array" ref="E1003">_xlfn.XLOOKUP(D1003,Insumos!B:B,Insumos!C:$C)</f>
        <v>UN</v>
      </c>
      <c r="F1003" s="14">
        <v>0.15200739173199007</v>
      </c>
      <c r="G1003" s="92">
        <f t="array" ref="G1003">IF(B1003="insumo",_xlfn.XLOOKUP($D1003,Insumos!$B$1:$B$996,Insumos!$D$1:$D$996),"")</f>
        <v>4.1890000000000001</v>
      </c>
      <c r="H1003" s="92">
        <v>0.63675896396530596</v>
      </c>
      <c r="I1003" s="13">
        <v>0</v>
      </c>
      <c r="J1003" s="13">
        <v>0</v>
      </c>
      <c r="K1003" s="13"/>
      <c r="L1003"/>
      <c r="M1003"/>
      <c r="N1003"/>
      <c r="O1003"/>
      <c r="P1003"/>
      <c r="Q1003"/>
      <c r="R1003"/>
      <c r="S1003"/>
      <c r="T1003"/>
      <c r="U1003"/>
      <c r="V1003"/>
      <c r="W1003"/>
      <c r="X1003"/>
      <c r="Y1003"/>
      <c r="Z1003"/>
      <c r="AA1003"/>
      <c r="AB1003"/>
      <c r="AC1003"/>
      <c r="AD1003"/>
      <c r="AE1003"/>
      <c r="AF1003"/>
      <c r="AG1003"/>
      <c r="AH1003"/>
      <c r="AI1003"/>
      <c r="AJ1003"/>
      <c r="AK1003"/>
      <c r="AL1003"/>
    </row>
    <row r="1004" spans="1:38" ht="15.75" customHeight="1" outlineLevel="3" x14ac:dyDescent="0.2">
      <c r="A1004" s="10">
        <v>1</v>
      </c>
      <c r="B1004" s="10" t="s">
        <v>71</v>
      </c>
      <c r="C1004" s="10" t="s">
        <v>368</v>
      </c>
      <c r="D1004" s="10" t="s">
        <v>370</v>
      </c>
      <c r="E1004" s="11" t="str">
        <f t="array" ref="E1004">_xlfn.XLOOKUP(D1004,Insumos!B:B,Insumos!C:$C)</f>
        <v>UN</v>
      </c>
      <c r="F1004" s="14">
        <v>11.710530237548804</v>
      </c>
      <c r="G1004" s="92">
        <f t="array" ref="G1004">IF(B1004="insumo",_xlfn.XLOOKUP($D1004,Insumos!$B$1:$B$996,Insumos!$D$1:$D$996),"")</f>
        <v>2.0979999999999999</v>
      </c>
      <c r="H1004" s="92">
        <v>24.568692438377401</v>
      </c>
      <c r="I1004" s="13">
        <v>0</v>
      </c>
      <c r="J1004" s="13">
        <v>0</v>
      </c>
      <c r="K1004" s="13"/>
      <c r="L1004"/>
      <c r="M1004"/>
      <c r="N1004"/>
      <c r="O1004"/>
      <c r="P1004"/>
      <c r="Q1004"/>
      <c r="R1004"/>
      <c r="S1004"/>
      <c r="T1004"/>
      <c r="U1004"/>
      <c r="V1004"/>
      <c r="W1004"/>
      <c r="X1004"/>
      <c r="Y1004"/>
      <c r="Z1004"/>
      <c r="AA1004"/>
      <c r="AB1004"/>
      <c r="AC1004"/>
      <c r="AD1004"/>
      <c r="AE1004"/>
      <c r="AF1004"/>
      <c r="AG1004"/>
      <c r="AH1004"/>
      <c r="AI1004"/>
      <c r="AJ1004"/>
      <c r="AK1004"/>
      <c r="AL1004"/>
    </row>
    <row r="1005" spans="1:38" ht="15.75" customHeight="1" outlineLevel="3" x14ac:dyDescent="0.2">
      <c r="A1005" s="10">
        <v>1</v>
      </c>
      <c r="B1005" s="10" t="s">
        <v>71</v>
      </c>
      <c r="C1005" s="10" t="s">
        <v>368</v>
      </c>
      <c r="D1005" s="10" t="s">
        <v>371</v>
      </c>
      <c r="E1005" s="11" t="str">
        <f t="array" ref="E1005">_xlfn.XLOOKUP(D1005,Insumos!B:B,Insumos!C:$C)</f>
        <v>UN</v>
      </c>
      <c r="F1005" s="14">
        <v>0.75705642156716635</v>
      </c>
      <c r="G1005" s="92">
        <f t="array" ref="G1005">IF(B1005="insumo",_xlfn.XLOOKUP($D1005,Insumos!$B$1:$B$996,Insumos!$D$1:$D$996),"")</f>
        <v>1.4359999999999999</v>
      </c>
      <c r="H1005" s="92">
        <v>1.08713302137045</v>
      </c>
      <c r="I1005" s="13">
        <v>0</v>
      </c>
      <c r="J1005" s="13">
        <v>0</v>
      </c>
      <c r="K1005" s="13"/>
      <c r="L1005"/>
      <c r="M1005"/>
      <c r="N1005"/>
      <c r="O1005"/>
      <c r="P1005"/>
      <c r="Q1005"/>
      <c r="R1005"/>
      <c r="S1005"/>
      <c r="T1005"/>
      <c r="U1005"/>
      <c r="V1005"/>
      <c r="W1005"/>
      <c r="X1005"/>
      <c r="Y1005"/>
      <c r="Z1005"/>
      <c r="AA1005"/>
      <c r="AB1005"/>
      <c r="AC1005"/>
      <c r="AD1005"/>
      <c r="AE1005"/>
      <c r="AF1005"/>
      <c r="AG1005"/>
      <c r="AH1005"/>
      <c r="AI1005"/>
      <c r="AJ1005"/>
      <c r="AK1005"/>
      <c r="AL1005"/>
    </row>
    <row r="1006" spans="1:38" ht="15.75" customHeight="1" outlineLevel="3" x14ac:dyDescent="0.2">
      <c r="A1006" s="10">
        <v>1</v>
      </c>
      <c r="B1006" s="10" t="s">
        <v>71</v>
      </c>
      <c r="C1006" s="10" t="s">
        <v>368</v>
      </c>
      <c r="D1006" s="10" t="s">
        <v>372</v>
      </c>
      <c r="E1006" s="11" t="str">
        <f t="array" ref="E1006">_xlfn.XLOOKUP(D1006,Insumos!B:B,Insumos!C:$C)</f>
        <v>UN</v>
      </c>
      <c r="F1006" s="14">
        <v>0.4142946558969926</v>
      </c>
      <c r="G1006" s="92">
        <f t="array" ref="G1006">IF(B1006="insumo",_xlfn.XLOOKUP($D1006,Insumos!$B$1:$B$996,Insumos!$D$1:$D$996),"")</f>
        <v>3.9889743589743589</v>
      </c>
      <c r="H1006" s="92">
        <v>1.65261075943321</v>
      </c>
      <c r="I1006" s="13">
        <v>0</v>
      </c>
      <c r="J1006" s="13">
        <v>0</v>
      </c>
      <c r="K1006" s="13"/>
      <c r="L1006"/>
      <c r="M1006"/>
      <c r="N1006"/>
      <c r="O1006"/>
      <c r="P1006"/>
      <c r="Q1006"/>
      <c r="R1006"/>
      <c r="S1006"/>
      <c r="T1006"/>
      <c r="U1006"/>
      <c r="V1006"/>
      <c r="W1006"/>
      <c r="X1006"/>
      <c r="Y1006"/>
      <c r="Z1006"/>
      <c r="AA1006"/>
      <c r="AB1006"/>
      <c r="AC1006"/>
      <c r="AD1006"/>
      <c r="AE1006"/>
      <c r="AF1006"/>
      <c r="AG1006"/>
      <c r="AH1006"/>
      <c r="AI1006"/>
      <c r="AJ1006"/>
      <c r="AK1006"/>
      <c r="AL1006"/>
    </row>
    <row r="1007" spans="1:38" ht="15.75" customHeight="1" outlineLevel="3" x14ac:dyDescent="0.2">
      <c r="A1007" s="10">
        <v>1</v>
      </c>
      <c r="B1007" s="10" t="s">
        <v>71</v>
      </c>
      <c r="C1007" s="10" t="s">
        <v>368</v>
      </c>
      <c r="D1007" s="10" t="s">
        <v>373</v>
      </c>
      <c r="E1007" s="11" t="str">
        <f t="array" ref="E1007">_xlfn.XLOOKUP(D1007,Insumos!B:B,Insumos!C:$C)</f>
        <v>UN</v>
      </c>
      <c r="F1007" s="14">
        <v>0.63187386367023324</v>
      </c>
      <c r="G1007" s="92">
        <f t="array" ref="G1007">IF(B1007="insumo",_xlfn.XLOOKUP($D1007,Insumos!$B$1:$B$996,Insumos!$D$1:$D$996),"")</f>
        <v>4.1861538461538466</v>
      </c>
      <c r="H1007" s="92">
        <v>2.6451212046872401</v>
      </c>
      <c r="I1007" s="13">
        <v>0</v>
      </c>
      <c r="J1007" s="13">
        <v>0</v>
      </c>
      <c r="K1007" s="13"/>
      <c r="L1007"/>
      <c r="M1007"/>
      <c r="N1007"/>
      <c r="O1007"/>
      <c r="P1007"/>
      <c r="Q1007"/>
      <c r="R1007"/>
      <c r="S1007"/>
      <c r="T1007"/>
      <c r="U1007"/>
      <c r="V1007"/>
      <c r="W1007"/>
      <c r="X1007"/>
      <c r="Y1007"/>
      <c r="Z1007"/>
      <c r="AA1007"/>
      <c r="AB1007"/>
      <c r="AC1007"/>
      <c r="AD1007"/>
      <c r="AE1007"/>
      <c r="AF1007"/>
      <c r="AG1007"/>
      <c r="AH1007"/>
      <c r="AI1007"/>
      <c r="AJ1007"/>
      <c r="AK1007"/>
      <c r="AL1007"/>
    </row>
    <row r="1008" spans="1:38" ht="15.75" customHeight="1" outlineLevel="3" x14ac:dyDescent="0.2">
      <c r="A1008" s="10">
        <v>1</v>
      </c>
      <c r="B1008" s="10" t="s">
        <v>71</v>
      </c>
      <c r="C1008" s="10" t="s">
        <v>368</v>
      </c>
      <c r="D1008" s="10" t="s">
        <v>374</v>
      </c>
      <c r="E1008" s="11" t="str">
        <f t="array" ref="E1008">_xlfn.XLOOKUP(D1008,Insumos!B:B,Insumos!C:$C)</f>
        <v>UN</v>
      </c>
      <c r="F1008" s="14">
        <v>2.0804148907633153</v>
      </c>
      <c r="G1008" s="92">
        <f t="array" ref="G1008">IF(B1008="insumo",_xlfn.XLOOKUP($D1008,Insumos!$B$1:$B$996,Insumos!$D$1:$D$996),"")</f>
        <v>3.3050000000000002</v>
      </c>
      <c r="H1008" s="92">
        <v>6.8757712139727598</v>
      </c>
      <c r="I1008" s="13">
        <v>0</v>
      </c>
      <c r="J1008" s="13">
        <v>0</v>
      </c>
      <c r="K1008" s="13"/>
      <c r="L1008"/>
      <c r="M1008"/>
      <c r="N1008"/>
      <c r="O1008"/>
      <c r="P1008"/>
      <c r="Q1008"/>
      <c r="R1008"/>
      <c r="S1008"/>
      <c r="T1008"/>
      <c r="U1008"/>
      <c r="V1008"/>
      <c r="W1008"/>
      <c r="X1008"/>
      <c r="Y1008"/>
      <c r="Z1008"/>
      <c r="AA1008"/>
      <c r="AB1008"/>
      <c r="AC1008"/>
      <c r="AD1008"/>
      <c r="AE1008"/>
      <c r="AF1008"/>
      <c r="AG1008"/>
      <c r="AH1008"/>
      <c r="AI1008"/>
      <c r="AJ1008"/>
      <c r="AK1008"/>
      <c r="AL1008"/>
    </row>
    <row r="1009" spans="1:38" ht="15.75" customHeight="1" outlineLevel="3" x14ac:dyDescent="0.2">
      <c r="A1009" s="10">
        <v>17</v>
      </c>
      <c r="B1009" s="10" t="s">
        <v>71</v>
      </c>
      <c r="C1009" s="10" t="s">
        <v>368</v>
      </c>
      <c r="D1009" s="10" t="s">
        <v>356</v>
      </c>
      <c r="E1009" s="11" t="str">
        <f t="array" ref="E1009">_xlfn.XLOOKUP(D1009,Insumos!B:B,Insumos!C:$C)</f>
        <v>M3</v>
      </c>
      <c r="F1009" s="14">
        <v>0.02</v>
      </c>
      <c r="G1009" s="92">
        <f t="array" ref="G1009">IF(B1009="insumo",_xlfn.XLOOKUP($D1009,Insumos!$B$1:$B$996,Insumos!$D$1:$D$996),"")</f>
        <v>425</v>
      </c>
      <c r="H1009" s="92">
        <v>8.5</v>
      </c>
      <c r="I1009" s="13">
        <v>0</v>
      </c>
      <c r="J1009" s="13">
        <v>0</v>
      </c>
      <c r="K1009" s="13"/>
      <c r="L1009"/>
      <c r="M1009"/>
      <c r="N1009"/>
      <c r="O1009"/>
      <c r="P1009"/>
      <c r="Q1009"/>
      <c r="R1009"/>
      <c r="S1009"/>
      <c r="T1009"/>
      <c r="U1009"/>
      <c r="V1009"/>
      <c r="W1009"/>
      <c r="X1009"/>
      <c r="Y1009"/>
      <c r="Z1009"/>
      <c r="AA1009"/>
      <c r="AB1009"/>
      <c r="AC1009"/>
      <c r="AD1009"/>
      <c r="AE1009"/>
      <c r="AF1009"/>
      <c r="AG1009"/>
      <c r="AH1009"/>
      <c r="AI1009"/>
      <c r="AJ1009"/>
      <c r="AK1009"/>
      <c r="AL1009"/>
    </row>
    <row r="1010" spans="1:38" ht="15.75" customHeight="1" outlineLevel="2" x14ac:dyDescent="0.2">
      <c r="A1010" s="1067">
        <v>1</v>
      </c>
      <c r="B1010" s="1067" t="s">
        <v>68</v>
      </c>
      <c r="C1010" s="1067" t="s">
        <v>375</v>
      </c>
      <c r="D1010" s="1067" t="s">
        <v>375</v>
      </c>
      <c r="E1010" s="1068" t="s">
        <v>70</v>
      </c>
      <c r="F1010" s="1067"/>
      <c r="G1010" s="1069" t="str">
        <f t="array" ref="G1010">IF(B1010="insumo",_xlfn.XLOOKUP($D1010,Insumos!$B$1:$B$996,Insumos!$D$1:$D$996),"")</f>
        <v/>
      </c>
      <c r="H1010" s="1069">
        <v>58.163310258023898</v>
      </c>
      <c r="I1010" s="1070">
        <v>0</v>
      </c>
      <c r="J1010" s="1070">
        <v>0</v>
      </c>
      <c r="K1010" s="1070"/>
      <c r="L1010"/>
      <c r="M1010"/>
      <c r="N1010"/>
      <c r="O1010"/>
      <c r="P1010"/>
      <c r="Q1010"/>
      <c r="R1010"/>
      <c r="S1010"/>
      <c r="T1010"/>
      <c r="U1010"/>
      <c r="V1010"/>
      <c r="W1010"/>
      <c r="X1010"/>
      <c r="Y1010"/>
      <c r="Z1010"/>
      <c r="AA1010"/>
      <c r="AB1010"/>
      <c r="AC1010"/>
      <c r="AD1010"/>
      <c r="AE1010"/>
      <c r="AF1010"/>
      <c r="AG1010"/>
      <c r="AH1010"/>
      <c r="AI1010"/>
      <c r="AJ1010"/>
      <c r="AK1010"/>
      <c r="AL1010"/>
    </row>
    <row r="1011" spans="1:38" ht="15.75" customHeight="1" outlineLevel="3" x14ac:dyDescent="0.2">
      <c r="A1011" s="10">
        <v>1</v>
      </c>
      <c r="B1011" s="10" t="s">
        <v>71</v>
      </c>
      <c r="C1011" s="10" t="s">
        <v>375</v>
      </c>
      <c r="D1011" s="10" t="s">
        <v>376</v>
      </c>
      <c r="E1011" s="11" t="str">
        <f t="array" ref="E1011">_xlfn.XLOOKUP(D1011,Insumos!B:B,Insumos!C:$C)</f>
        <v>UN</v>
      </c>
      <c r="F1011" s="14">
        <v>12.146003775959723</v>
      </c>
      <c r="G1011" s="92">
        <f t="array" ref="G1011">IF(B1011="insumo",_xlfn.XLOOKUP($D1011,Insumos!$B$1:$B$996,Insumos!$D$1:$D$996),"")</f>
        <v>3.22</v>
      </c>
      <c r="H1011" s="92">
        <v>39.110132158590297</v>
      </c>
      <c r="I1011" s="13">
        <v>0</v>
      </c>
      <c r="J1011" s="13">
        <v>0</v>
      </c>
      <c r="K1011" s="13"/>
      <c r="L1011"/>
      <c r="M1011"/>
      <c r="N1011"/>
      <c r="O1011"/>
      <c r="P1011"/>
      <c r="Q1011"/>
      <c r="R1011"/>
      <c r="S1011"/>
      <c r="T1011"/>
      <c r="U1011"/>
      <c r="V1011"/>
      <c r="W1011"/>
      <c r="X1011"/>
      <c r="Y1011"/>
      <c r="Z1011"/>
      <c r="AA1011"/>
      <c r="AB1011"/>
      <c r="AC1011"/>
      <c r="AD1011"/>
      <c r="AE1011"/>
      <c r="AF1011"/>
      <c r="AG1011"/>
      <c r="AH1011"/>
      <c r="AI1011"/>
      <c r="AJ1011"/>
      <c r="AK1011"/>
      <c r="AL1011"/>
    </row>
    <row r="1012" spans="1:38" ht="15.75" customHeight="1" outlineLevel="3" x14ac:dyDescent="0.2">
      <c r="A1012" s="10">
        <v>1</v>
      </c>
      <c r="B1012" s="10" t="s">
        <v>71</v>
      </c>
      <c r="C1012" s="10" t="s">
        <v>375</v>
      </c>
      <c r="D1012" s="10" t="s">
        <v>377</v>
      </c>
      <c r="E1012" s="11" t="str">
        <f t="array" ref="E1012">_xlfn.XLOOKUP(D1012,Insumos!B:B,Insumos!C:$C)</f>
        <v>UN</v>
      </c>
      <c r="F1012" s="14">
        <v>2.5802391441157959</v>
      </c>
      <c r="G1012" s="92">
        <f t="array" ref="G1012">IF(B1012="insumo",_xlfn.XLOOKUP($D1012,Insumos!$B$1:$B$996,Insumos!$D$1:$D$996),"")</f>
        <v>4.09</v>
      </c>
      <c r="H1012" s="92">
        <v>10.5531780994336</v>
      </c>
      <c r="I1012" s="13">
        <v>0</v>
      </c>
      <c r="J1012" s="13">
        <v>0</v>
      </c>
      <c r="K1012" s="13"/>
      <c r="L1012"/>
      <c r="M1012"/>
      <c r="N1012"/>
      <c r="O1012"/>
      <c r="P1012"/>
      <c r="Q1012"/>
      <c r="R1012"/>
      <c r="S1012"/>
      <c r="T1012"/>
      <c r="U1012"/>
      <c r="V1012"/>
      <c r="W1012"/>
      <c r="X1012"/>
      <c r="Y1012"/>
      <c r="Z1012"/>
      <c r="AA1012"/>
      <c r="AB1012"/>
      <c r="AC1012"/>
      <c r="AD1012"/>
      <c r="AE1012"/>
      <c r="AF1012"/>
      <c r="AG1012"/>
      <c r="AH1012"/>
      <c r="AI1012"/>
      <c r="AJ1012"/>
      <c r="AK1012"/>
      <c r="AL1012"/>
    </row>
    <row r="1013" spans="1:38" ht="15.75" customHeight="1" outlineLevel="3" x14ac:dyDescent="0.2">
      <c r="A1013" s="10">
        <v>17</v>
      </c>
      <c r="B1013" s="10" t="s">
        <v>71</v>
      </c>
      <c r="C1013" s="10" t="s">
        <v>375</v>
      </c>
      <c r="D1013" s="10" t="s">
        <v>356</v>
      </c>
      <c r="E1013" s="11" t="str">
        <f t="array" ref="E1013">_xlfn.XLOOKUP(D1013,Insumos!B:B,Insumos!C:$C)</f>
        <v>M3</v>
      </c>
      <c r="F1013" s="14">
        <v>0.02</v>
      </c>
      <c r="G1013" s="92">
        <f t="array" ref="G1013">IF(B1013="insumo",_xlfn.XLOOKUP($D1013,Insumos!$B$1:$B$996,Insumos!$D$1:$D$996),"")</f>
        <v>425</v>
      </c>
      <c r="H1013" s="92">
        <v>8.5</v>
      </c>
      <c r="I1013" s="13">
        <v>0</v>
      </c>
      <c r="J1013" s="13">
        <v>0</v>
      </c>
      <c r="K1013" s="13"/>
      <c r="L1013"/>
      <c r="M1013"/>
      <c r="N1013"/>
      <c r="O1013"/>
      <c r="P1013"/>
      <c r="Q1013"/>
      <c r="R1013"/>
      <c r="S1013"/>
      <c r="T1013"/>
      <c r="U1013"/>
      <c r="V1013"/>
      <c r="W1013"/>
      <c r="X1013"/>
      <c r="Y1013"/>
      <c r="Z1013"/>
      <c r="AA1013"/>
      <c r="AB1013"/>
      <c r="AC1013"/>
      <c r="AD1013"/>
      <c r="AE1013"/>
      <c r="AF1013"/>
      <c r="AG1013"/>
      <c r="AH1013"/>
      <c r="AI1013"/>
      <c r="AJ1013"/>
      <c r="AK1013"/>
      <c r="AL1013"/>
    </row>
    <row r="1014" spans="1:38" ht="15.75" customHeight="1" outlineLevel="1" x14ac:dyDescent="0.2">
      <c r="A1014" s="1090">
        <v>1</v>
      </c>
      <c r="B1014" s="1090" t="s">
        <v>1228</v>
      </c>
      <c r="C1014" s="1090" t="s">
        <v>375</v>
      </c>
      <c r="D1014" s="1090" t="s">
        <v>1388</v>
      </c>
      <c r="E1014" s="1091"/>
      <c r="F1014" s="1092"/>
      <c r="G1014" s="1091"/>
      <c r="H1014" s="1091">
        <v>0</v>
      </c>
      <c r="I1014" s="1092">
        <v>0</v>
      </c>
      <c r="J1014" s="1092">
        <v>0</v>
      </c>
      <c r="K1014" s="1092"/>
      <c r="L1014"/>
      <c r="M1014"/>
      <c r="N1014"/>
      <c r="O1014"/>
      <c r="P1014"/>
      <c r="Q1014"/>
      <c r="R1014"/>
      <c r="S1014"/>
      <c r="T1014"/>
      <c r="U1014"/>
      <c r="V1014"/>
      <c r="W1014"/>
      <c r="X1014"/>
      <c r="Y1014"/>
      <c r="Z1014"/>
      <c r="AA1014"/>
      <c r="AB1014"/>
      <c r="AC1014"/>
      <c r="AD1014"/>
      <c r="AE1014"/>
      <c r="AF1014"/>
      <c r="AG1014"/>
      <c r="AH1014"/>
      <c r="AI1014"/>
      <c r="AJ1014"/>
      <c r="AK1014"/>
      <c r="AL1014"/>
    </row>
    <row r="1015" spans="1:38" ht="15.75" customHeight="1" outlineLevel="2" x14ac:dyDescent="0.2">
      <c r="A1015" s="1067">
        <v>1</v>
      </c>
      <c r="B1015" s="1067" t="s">
        <v>68</v>
      </c>
      <c r="C1015" s="1067" t="s">
        <v>378</v>
      </c>
      <c r="D1015" s="1067" t="s">
        <v>378</v>
      </c>
      <c r="E1015" s="1068" t="s">
        <v>152</v>
      </c>
      <c r="F1015" s="1067"/>
      <c r="G1015" s="1069" t="str">
        <f t="array" ref="G1015">IF(B1015="insumo",_xlfn.XLOOKUP($D1015,Insumos!$B$1:$B$996,Insumos!$D$1:$D$996),"")</f>
        <v/>
      </c>
      <c r="H1015" s="1069">
        <v>492.303</v>
      </c>
      <c r="I1015" s="1070">
        <v>0</v>
      </c>
      <c r="J1015" s="1070">
        <v>0</v>
      </c>
      <c r="K1015" s="1070"/>
      <c r="L1015"/>
      <c r="M1015"/>
      <c r="N1015"/>
      <c r="O1015"/>
      <c r="P1015"/>
      <c r="Q1015"/>
      <c r="R1015"/>
      <c r="S1015"/>
      <c r="T1015"/>
      <c r="U1015"/>
      <c r="V1015"/>
      <c r="W1015"/>
      <c r="X1015"/>
      <c r="Y1015"/>
      <c r="Z1015"/>
      <c r="AA1015"/>
      <c r="AB1015"/>
      <c r="AC1015"/>
      <c r="AD1015"/>
      <c r="AE1015"/>
      <c r="AF1015"/>
      <c r="AG1015"/>
      <c r="AH1015"/>
      <c r="AI1015"/>
      <c r="AJ1015"/>
      <c r="AK1015"/>
      <c r="AL1015"/>
    </row>
    <row r="1016" spans="1:38" ht="15.75" customHeight="1" outlineLevel="3" x14ac:dyDescent="0.2">
      <c r="A1016" s="10">
        <v>1</v>
      </c>
      <c r="B1016" s="10" t="s">
        <v>71</v>
      </c>
      <c r="C1016" s="10" t="s">
        <v>378</v>
      </c>
      <c r="D1016" s="10" t="s">
        <v>378</v>
      </c>
      <c r="E1016" s="11" t="str">
        <f t="array" ref="E1016">_xlfn.XLOOKUP(D1016,Insumos!B:B,Insumos!C:$C)</f>
        <v>M3</v>
      </c>
      <c r="F1016" s="14">
        <v>1.05</v>
      </c>
      <c r="G1016" s="92">
        <f t="array" ref="G1016">IF(B1016="insumo",_xlfn.XLOOKUP($D1016,Insumos!$B$1:$B$996,Insumos!$D$1:$D$996),"")</f>
        <v>468.86</v>
      </c>
      <c r="H1016" s="92">
        <v>492.303</v>
      </c>
      <c r="I1016" s="13">
        <v>0</v>
      </c>
      <c r="J1016" s="13">
        <v>0</v>
      </c>
      <c r="K1016" s="13"/>
      <c r="L1016"/>
      <c r="M1016"/>
      <c r="N1016"/>
      <c r="O1016"/>
      <c r="P1016"/>
      <c r="Q1016"/>
      <c r="R1016"/>
      <c r="S1016"/>
      <c r="T1016"/>
      <c r="U1016"/>
      <c r="V1016"/>
      <c r="W1016"/>
      <c r="X1016"/>
      <c r="Y1016"/>
      <c r="Z1016"/>
      <c r="AA1016"/>
      <c r="AB1016"/>
      <c r="AC1016"/>
      <c r="AD1016"/>
      <c r="AE1016"/>
      <c r="AF1016"/>
      <c r="AG1016"/>
      <c r="AH1016"/>
      <c r="AI1016"/>
      <c r="AJ1016"/>
      <c r="AK1016"/>
      <c r="AL1016"/>
    </row>
    <row r="1017" spans="1:38" ht="15.75" customHeight="1" outlineLevel="2" x14ac:dyDescent="0.2">
      <c r="A1017" s="1067">
        <v>1</v>
      </c>
      <c r="B1017" s="1067" t="s">
        <v>68</v>
      </c>
      <c r="C1017" s="1067" t="s">
        <v>379</v>
      </c>
      <c r="D1017" s="1067" t="s">
        <v>379</v>
      </c>
      <c r="E1017" s="1068" t="s">
        <v>152</v>
      </c>
      <c r="F1017" s="1067"/>
      <c r="G1017" s="1069" t="str">
        <f t="array" ref="G1017">IF(B1017="insumo",_xlfn.XLOOKUP($D1017,Insumos!$B$1:$B$996,Insumos!$D$1:$D$996),"")</f>
        <v/>
      </c>
      <c r="H1017" s="1069">
        <v>518.17499999999995</v>
      </c>
      <c r="I1017" s="1070">
        <v>0</v>
      </c>
      <c r="J1017" s="1070">
        <v>0</v>
      </c>
      <c r="K1017" s="1070"/>
      <c r="L1017"/>
      <c r="M1017"/>
      <c r="N1017"/>
      <c r="O1017"/>
      <c r="P1017"/>
      <c r="Q1017"/>
      <c r="R1017"/>
      <c r="S1017"/>
      <c r="T1017"/>
      <c r="U1017"/>
      <c r="V1017"/>
      <c r="W1017"/>
      <c r="X1017"/>
      <c r="Y1017"/>
      <c r="Z1017"/>
      <c r="AA1017"/>
      <c r="AB1017"/>
      <c r="AC1017"/>
      <c r="AD1017"/>
      <c r="AE1017"/>
      <c r="AF1017"/>
      <c r="AG1017"/>
      <c r="AH1017"/>
      <c r="AI1017"/>
      <c r="AJ1017"/>
      <c r="AK1017"/>
      <c r="AL1017"/>
    </row>
    <row r="1018" spans="1:38" ht="15.75" customHeight="1" outlineLevel="3" x14ac:dyDescent="0.2">
      <c r="A1018" s="10">
        <v>1</v>
      </c>
      <c r="B1018" s="10" t="s">
        <v>71</v>
      </c>
      <c r="C1018" s="10" t="s">
        <v>379</v>
      </c>
      <c r="D1018" s="10" t="s">
        <v>379</v>
      </c>
      <c r="E1018" s="11" t="str">
        <f t="array" ref="E1018">_xlfn.XLOOKUP(D1018,Insumos!B:B,Insumos!C:$C)</f>
        <v>M3</v>
      </c>
      <c r="F1018" s="14">
        <v>1.05</v>
      </c>
      <c r="G1018" s="92">
        <f t="array" ref="G1018">IF(B1018="insumo",_xlfn.XLOOKUP($D1018,Insumos!$B$1:$B$996,Insumos!$D$1:$D$996),"")</f>
        <v>493.5</v>
      </c>
      <c r="H1018" s="92">
        <v>518.17499999999995</v>
      </c>
      <c r="I1018" s="13">
        <v>0</v>
      </c>
      <c r="J1018" s="13">
        <v>0</v>
      </c>
      <c r="K1018" s="13"/>
      <c r="L1018"/>
      <c r="M1018"/>
      <c r="N1018"/>
      <c r="O1018"/>
      <c r="P1018"/>
      <c r="Q1018"/>
      <c r="R1018"/>
      <c r="S1018"/>
      <c r="T1018"/>
      <c r="U1018"/>
      <c r="V1018"/>
      <c r="W1018"/>
      <c r="X1018"/>
      <c r="Y1018"/>
      <c r="Z1018"/>
      <c r="AA1018"/>
      <c r="AB1018"/>
      <c r="AC1018"/>
      <c r="AD1018"/>
      <c r="AE1018"/>
      <c r="AF1018"/>
      <c r="AG1018"/>
      <c r="AH1018"/>
      <c r="AI1018"/>
      <c r="AJ1018"/>
      <c r="AK1018"/>
      <c r="AL1018"/>
    </row>
    <row r="1019" spans="1:38" ht="15.75" customHeight="1" outlineLevel="1" x14ac:dyDescent="0.2">
      <c r="A1019" s="1090">
        <v>1</v>
      </c>
      <c r="B1019" s="1090" t="s">
        <v>1228</v>
      </c>
      <c r="C1019" s="1090" t="s">
        <v>379</v>
      </c>
      <c r="D1019" s="1090" t="s">
        <v>3523</v>
      </c>
      <c r="E1019" s="1091"/>
      <c r="F1019" s="1092"/>
      <c r="G1019" s="1091"/>
      <c r="H1019" s="1091">
        <v>0</v>
      </c>
      <c r="I1019" s="1092">
        <v>0</v>
      </c>
      <c r="J1019" s="1092">
        <v>0</v>
      </c>
      <c r="K1019" s="1092"/>
      <c r="L1019"/>
      <c r="M1019"/>
      <c r="N1019"/>
      <c r="O1019"/>
      <c r="P1019"/>
      <c r="Q1019"/>
      <c r="R1019"/>
      <c r="S1019"/>
      <c r="T1019"/>
      <c r="U1019"/>
      <c r="V1019"/>
      <c r="W1019"/>
      <c r="X1019"/>
      <c r="Y1019"/>
      <c r="Z1019"/>
      <c r="AA1019"/>
      <c r="AB1019"/>
      <c r="AC1019"/>
      <c r="AD1019"/>
      <c r="AE1019"/>
      <c r="AF1019"/>
      <c r="AG1019"/>
      <c r="AH1019"/>
      <c r="AI1019"/>
      <c r="AJ1019"/>
      <c r="AK1019"/>
      <c r="AL1019"/>
    </row>
    <row r="1020" spans="1:38" ht="18" outlineLevel="2" x14ac:dyDescent="0.2">
      <c r="A1020" s="1076">
        <v>1</v>
      </c>
      <c r="B1020" s="1076" t="s">
        <v>68</v>
      </c>
      <c r="C1020" s="1077" t="s">
        <v>3511</v>
      </c>
      <c r="D1020" s="1077" t="s">
        <v>3511</v>
      </c>
      <c r="E1020" s="1078" t="s">
        <v>70</v>
      </c>
      <c r="F1020" s="1076"/>
      <c r="G1020" s="1069" t="str">
        <f t="array" ref="G1020">IF(B1020="insumo",_xlfn.XLOOKUP($D1020,Insumos!$B$1:$B$993,Insumos!$D$1:$D$993),"")</f>
        <v/>
      </c>
      <c r="H1020" s="1069">
        <v>103.175377</v>
      </c>
      <c r="I1020" s="1079" t="e">
        <v>#REF!</v>
      </c>
      <c r="J1020" s="1079" t="e">
        <v>#REF!</v>
      </c>
      <c r="K1020" s="1079"/>
      <c r="L1020"/>
      <c r="M1020"/>
      <c r="N1020"/>
      <c r="O1020"/>
      <c r="P1020"/>
      <c r="Q1020"/>
      <c r="R1020"/>
      <c r="S1020"/>
      <c r="T1020"/>
      <c r="U1020"/>
      <c r="V1020"/>
      <c r="W1020"/>
      <c r="X1020"/>
      <c r="Y1020"/>
      <c r="Z1020"/>
      <c r="AA1020"/>
      <c r="AB1020"/>
      <c r="AC1020"/>
      <c r="AD1020"/>
      <c r="AE1020"/>
      <c r="AF1020"/>
      <c r="AG1020"/>
      <c r="AH1020"/>
      <c r="AI1020"/>
      <c r="AJ1020"/>
      <c r="AK1020"/>
      <c r="AL1020"/>
    </row>
    <row r="1021" spans="1:38" ht="18" outlineLevel="3" x14ac:dyDescent="0.2">
      <c r="A1021" s="471">
        <v>49</v>
      </c>
      <c r="B1021" s="471" t="s">
        <v>71</v>
      </c>
      <c r="C1021" s="1053" t="s">
        <v>3511</v>
      </c>
      <c r="D1021" s="1053" t="s">
        <v>418</v>
      </c>
      <c r="E1021" s="11" t="str">
        <f t="array" ref="E1021">_xlfn.XLOOKUP(D1021,Insumos!B:B,Insumos!C:$C)</f>
        <v>M2</v>
      </c>
      <c r="F1021" s="86">
        <f>1.053</f>
        <v>1.0529999999999999</v>
      </c>
      <c r="G1021" s="92">
        <f t="array" ref="G1021">IF(B1021="insumo",_xlfn.XLOOKUP($D1021,Insumos!$B$1:$B$993,Insumos!$D$1:$D$993),"")</f>
        <v>27.1</v>
      </c>
      <c r="H1021" s="92">
        <v>28.536300000000001</v>
      </c>
      <c r="I1021" s="84" t="e">
        <v>#REF!</v>
      </c>
      <c r="J1021" s="84" t="e">
        <v>#REF!</v>
      </c>
      <c r="K1021" s="84"/>
      <c r="L1021"/>
      <c r="M1021"/>
      <c r="N1021"/>
      <c r="O1021"/>
      <c r="P1021"/>
      <c r="Q1021"/>
      <c r="R1021"/>
      <c r="S1021"/>
      <c r="T1021"/>
      <c r="U1021"/>
      <c r="V1021"/>
      <c r="W1021"/>
      <c r="X1021"/>
      <c r="Y1021"/>
      <c r="Z1021"/>
      <c r="AA1021"/>
      <c r="AB1021"/>
      <c r="AC1021"/>
      <c r="AD1021"/>
      <c r="AE1021"/>
      <c r="AF1021"/>
      <c r="AG1021"/>
      <c r="AH1021"/>
      <c r="AI1021"/>
      <c r="AJ1021"/>
      <c r="AK1021"/>
      <c r="AL1021"/>
    </row>
    <row r="1022" spans="1:38" ht="12.75" outlineLevel="3" x14ac:dyDescent="0.2">
      <c r="A1022" s="471">
        <v>10</v>
      </c>
      <c r="B1022" s="471" t="s">
        <v>71</v>
      </c>
      <c r="C1022" s="10" t="s">
        <v>3511</v>
      </c>
      <c r="D1022" s="10" t="s">
        <v>3524</v>
      </c>
      <c r="E1022" s="11" t="str">
        <f t="array" ref="E1022">_xlfn.XLOOKUP(D1022,Insumos!B:B,Insumos!C:$C)</f>
        <v>M2</v>
      </c>
      <c r="F1022" s="86">
        <f>1.053</f>
        <v>1.0529999999999999</v>
      </c>
      <c r="G1022" s="92">
        <f t="array" ref="G1022">IF(B1022="insumo",_xlfn.XLOOKUP($D1022,Insumos!$B$1:$B$993,Insumos!$D$1:$D$993),"")</f>
        <v>34.513888888888893</v>
      </c>
      <c r="H1022" s="92">
        <v>36.343125000000001</v>
      </c>
      <c r="I1022" s="84" t="e">
        <v>#REF!</v>
      </c>
      <c r="J1022" s="84" t="e">
        <v>#REF!</v>
      </c>
      <c r="K1022" s="84"/>
      <c r="L1022"/>
      <c r="M1022"/>
      <c r="N1022"/>
      <c r="O1022"/>
      <c r="P1022"/>
      <c r="Q1022"/>
      <c r="R1022"/>
      <c r="S1022"/>
      <c r="T1022"/>
      <c r="U1022"/>
      <c r="V1022"/>
      <c r="W1022"/>
      <c r="X1022"/>
      <c r="Y1022"/>
      <c r="Z1022"/>
      <c r="AA1022"/>
      <c r="AB1022"/>
      <c r="AC1022"/>
      <c r="AD1022"/>
      <c r="AE1022"/>
      <c r="AF1022"/>
      <c r="AG1022"/>
      <c r="AH1022"/>
      <c r="AI1022"/>
      <c r="AJ1022"/>
      <c r="AK1022"/>
      <c r="AL1022"/>
    </row>
    <row r="1023" spans="1:38" ht="18" outlineLevel="3" x14ac:dyDescent="0.2">
      <c r="A1023" s="471">
        <v>95</v>
      </c>
      <c r="B1023" s="471" t="s">
        <v>71</v>
      </c>
      <c r="C1023" s="1053" t="s">
        <v>3511</v>
      </c>
      <c r="D1023" s="1053" t="s">
        <v>409</v>
      </c>
      <c r="E1023" s="11" t="str">
        <f t="array" ref="E1023">_xlfn.XLOOKUP(D1023,Insumos!B:B,Insumos!C:$C)</f>
        <v>UN</v>
      </c>
      <c r="F1023" s="86">
        <v>4.95</v>
      </c>
      <c r="G1023" s="92">
        <f t="array" ref="G1023">IF(B1023="insumo",_xlfn.XLOOKUP($D1023,Insumos!$B$1:$B$993,Insumos!$D$1:$D$993),"")</f>
        <v>0.504</v>
      </c>
      <c r="H1023" s="92">
        <v>2.4948000000000001</v>
      </c>
      <c r="I1023" s="84" t="e">
        <v>#REF!</v>
      </c>
      <c r="J1023" s="84" t="e">
        <v>#REF!</v>
      </c>
      <c r="K1023" s="84"/>
      <c r="L1023"/>
      <c r="M1023"/>
      <c r="N1023"/>
      <c r="O1023"/>
      <c r="P1023"/>
      <c r="Q1023"/>
      <c r="R1023"/>
      <c r="S1023"/>
      <c r="T1023"/>
      <c r="U1023"/>
      <c r="V1023"/>
      <c r="W1023"/>
      <c r="X1023"/>
      <c r="Y1023"/>
      <c r="Z1023"/>
      <c r="AA1023"/>
      <c r="AB1023"/>
      <c r="AC1023"/>
      <c r="AD1023"/>
      <c r="AE1023"/>
      <c r="AF1023"/>
      <c r="AG1023"/>
      <c r="AH1023"/>
      <c r="AI1023"/>
      <c r="AJ1023"/>
      <c r="AK1023"/>
      <c r="AL1023"/>
    </row>
    <row r="1024" spans="1:38" ht="18" outlineLevel="3" x14ac:dyDescent="0.2">
      <c r="A1024" s="471">
        <v>26</v>
      </c>
      <c r="B1024" s="471" t="s">
        <v>71</v>
      </c>
      <c r="C1024" s="1053" t="s">
        <v>3511</v>
      </c>
      <c r="D1024" s="1053" t="s">
        <v>410</v>
      </c>
      <c r="E1024" s="11" t="str">
        <f t="array" ref="E1024">_xlfn.XLOOKUP(D1024,Insumos!B:B,Insumos!C:$C)</f>
        <v>M</v>
      </c>
      <c r="F1024" s="86">
        <v>1.5247999999999999</v>
      </c>
      <c r="G1024" s="92">
        <f t="array" ref="G1024">IF(B1024="insumo",_xlfn.XLOOKUP($D1024,Insumos!$B$1:$B$993,Insumos!$D$1:$D$993),"")</f>
        <v>7.03</v>
      </c>
      <c r="H1024" s="92">
        <v>10.719344</v>
      </c>
      <c r="I1024" s="84" t="e">
        <v>#REF!</v>
      </c>
      <c r="J1024" s="84" t="e">
        <v>#REF!</v>
      </c>
      <c r="K1024" s="84"/>
      <c r="L1024"/>
      <c r="M1024"/>
      <c r="N1024"/>
      <c r="O1024"/>
      <c r="P1024"/>
      <c r="Q1024"/>
      <c r="R1024"/>
      <c r="S1024"/>
      <c r="T1024"/>
      <c r="U1024"/>
      <c r="V1024"/>
      <c r="W1024"/>
      <c r="X1024"/>
      <c r="Y1024"/>
      <c r="Z1024"/>
      <c r="AA1024"/>
      <c r="AB1024"/>
      <c r="AC1024"/>
      <c r="AD1024"/>
      <c r="AE1024"/>
      <c r="AF1024"/>
      <c r="AG1024"/>
      <c r="AH1024"/>
      <c r="AI1024"/>
      <c r="AJ1024"/>
      <c r="AK1024"/>
      <c r="AL1024"/>
    </row>
    <row r="1025" spans="1:38" ht="18" outlineLevel="3" x14ac:dyDescent="0.2">
      <c r="A1025" s="471">
        <v>26</v>
      </c>
      <c r="B1025" s="471" t="s">
        <v>71</v>
      </c>
      <c r="C1025" s="1053" t="s">
        <v>3511</v>
      </c>
      <c r="D1025" s="1053" t="s">
        <v>411</v>
      </c>
      <c r="E1025" s="11" t="str">
        <f t="array" ref="E1025">_xlfn.XLOOKUP(D1025,Insumos!B:B,Insumos!C:$C)</f>
        <v>M</v>
      </c>
      <c r="F1025" s="86">
        <v>2.0005999999999999</v>
      </c>
      <c r="G1025" s="92">
        <f t="array" ref="G1025">IF(B1025="insumo",_xlfn.XLOOKUP($D1025,Insumos!$B$1:$B$993,Insumos!$D$1:$D$993),"")</f>
        <v>7.98</v>
      </c>
      <c r="H1025" s="92">
        <v>15.964788</v>
      </c>
      <c r="I1025" s="84" t="e">
        <v>#REF!</v>
      </c>
      <c r="J1025" s="84" t="e">
        <v>#REF!</v>
      </c>
      <c r="K1025" s="84"/>
      <c r="L1025"/>
      <c r="M1025"/>
      <c r="N1025"/>
      <c r="O1025"/>
      <c r="P1025"/>
      <c r="Q1025"/>
      <c r="R1025"/>
      <c r="S1025"/>
      <c r="T1025"/>
      <c r="U1025"/>
      <c r="V1025"/>
      <c r="W1025"/>
      <c r="X1025"/>
      <c r="Y1025"/>
      <c r="Z1025"/>
      <c r="AA1025"/>
      <c r="AB1025"/>
      <c r="AC1025"/>
      <c r="AD1025"/>
      <c r="AE1025"/>
      <c r="AF1025"/>
      <c r="AG1025"/>
      <c r="AH1025"/>
      <c r="AI1025"/>
      <c r="AJ1025"/>
      <c r="AK1025"/>
      <c r="AL1025"/>
    </row>
    <row r="1026" spans="1:38" ht="18" outlineLevel="3" x14ac:dyDescent="0.2">
      <c r="A1026" s="471">
        <v>95</v>
      </c>
      <c r="B1026" s="471" t="s">
        <v>71</v>
      </c>
      <c r="C1026" s="1053" t="s">
        <v>3511</v>
      </c>
      <c r="D1026" s="1053" t="s">
        <v>405</v>
      </c>
      <c r="E1026" s="11" t="str">
        <f t="array" ref="E1026">_xlfn.XLOOKUP(D1026,Insumos!B:B,Insumos!C:$C)</f>
        <v>KG</v>
      </c>
      <c r="F1026" s="86">
        <v>0.54890000000000005</v>
      </c>
      <c r="G1026" s="92">
        <f t="array" ref="G1026">IF(B1026="insumo",_xlfn.XLOOKUP($D1026,Insumos!$B$1:$B$993,Insumos!$D$1:$D$993),"")</f>
        <v>3.43</v>
      </c>
      <c r="H1026" s="92">
        <v>1.882727</v>
      </c>
      <c r="I1026" s="84" t="e">
        <v>#REF!</v>
      </c>
      <c r="J1026" s="84" t="e">
        <v>#REF!</v>
      </c>
      <c r="K1026" s="84"/>
      <c r="L1026"/>
      <c r="M1026"/>
      <c r="N1026"/>
      <c r="O1026"/>
      <c r="P1026"/>
      <c r="Q1026"/>
      <c r="R1026"/>
      <c r="S1026"/>
      <c r="T1026"/>
      <c r="U1026"/>
      <c r="V1026"/>
      <c r="W1026"/>
      <c r="X1026"/>
      <c r="Y1026"/>
      <c r="Z1026"/>
      <c r="AA1026"/>
      <c r="AB1026"/>
      <c r="AC1026"/>
      <c r="AD1026"/>
      <c r="AE1026"/>
      <c r="AF1026"/>
      <c r="AG1026"/>
      <c r="AH1026"/>
      <c r="AI1026"/>
      <c r="AJ1026"/>
      <c r="AK1026"/>
      <c r="AL1026"/>
    </row>
    <row r="1027" spans="1:38" ht="18" outlineLevel="3" x14ac:dyDescent="0.2">
      <c r="A1027" s="471">
        <v>94</v>
      </c>
      <c r="B1027" s="471" t="s">
        <v>71</v>
      </c>
      <c r="C1027" s="1053" t="s">
        <v>3511</v>
      </c>
      <c r="D1027" s="1053" t="s">
        <v>412</v>
      </c>
      <c r="E1027" s="11" t="str">
        <f t="array" ref="E1027">_xlfn.XLOOKUP(D1027,Insumos!B:B,Insumos!C:$C)</f>
        <v>M</v>
      </c>
      <c r="F1027" s="86">
        <v>1.2513000000000001</v>
      </c>
      <c r="G1027" s="92">
        <f t="array" ref="G1027">IF(B1027="insumo",_xlfn.XLOOKUP($D1027,Insumos!$B$1:$B$993,Insumos!$D$1:$D$993),"")</f>
        <v>0.31</v>
      </c>
      <c r="H1027" s="92">
        <v>0.387903</v>
      </c>
      <c r="I1027" s="84" t="e">
        <v>#REF!</v>
      </c>
      <c r="J1027" s="84" t="e">
        <v>#REF!</v>
      </c>
      <c r="K1027" s="84"/>
      <c r="L1027"/>
      <c r="M1027"/>
      <c r="N1027"/>
      <c r="O1027"/>
      <c r="P1027"/>
      <c r="Q1027"/>
      <c r="R1027"/>
      <c r="S1027"/>
      <c r="T1027"/>
      <c r="U1027"/>
      <c r="V1027"/>
      <c r="W1027"/>
      <c r="X1027"/>
      <c r="Y1027"/>
      <c r="Z1027"/>
      <c r="AA1027"/>
      <c r="AB1027"/>
      <c r="AC1027"/>
      <c r="AD1027"/>
      <c r="AE1027"/>
      <c r="AF1027"/>
      <c r="AG1027"/>
      <c r="AH1027"/>
      <c r="AI1027"/>
      <c r="AJ1027"/>
      <c r="AK1027"/>
      <c r="AL1027"/>
    </row>
    <row r="1028" spans="1:38" ht="18" outlineLevel="3" x14ac:dyDescent="0.2">
      <c r="A1028" s="471">
        <v>94</v>
      </c>
      <c r="B1028" s="471" t="s">
        <v>71</v>
      </c>
      <c r="C1028" s="1053" t="s">
        <v>3511</v>
      </c>
      <c r="D1028" s="1053" t="s">
        <v>413</v>
      </c>
      <c r="E1028" s="11" t="str">
        <f t="array" ref="E1028">_xlfn.XLOOKUP(D1028,Insumos!B:B,Insumos!C:$C)</f>
        <v>M</v>
      </c>
      <c r="F1028" s="86">
        <v>0.74070000000000003</v>
      </c>
      <c r="G1028" s="92">
        <f t="array" ref="G1028">IF(B1028="insumo",_xlfn.XLOOKUP($D1028,Insumos!$B$1:$B$993,Insumos!$D$1:$D$993),"")</f>
        <v>2.74</v>
      </c>
      <c r="H1028" s="92">
        <v>2.0295179999999999</v>
      </c>
      <c r="I1028" s="84" t="e">
        <v>#REF!</v>
      </c>
      <c r="J1028" s="84" t="e">
        <v>#REF!</v>
      </c>
      <c r="K1028" s="84"/>
      <c r="L1028"/>
      <c r="M1028"/>
      <c r="N1028"/>
      <c r="O1028"/>
      <c r="P1028"/>
      <c r="Q1028"/>
      <c r="R1028"/>
      <c r="S1028"/>
      <c r="T1028"/>
      <c r="U1028"/>
      <c r="V1028"/>
      <c r="W1028"/>
      <c r="X1028"/>
      <c r="Y1028"/>
      <c r="Z1028"/>
      <c r="AA1028"/>
      <c r="AB1028"/>
      <c r="AC1028"/>
      <c r="AD1028"/>
      <c r="AE1028"/>
      <c r="AF1028"/>
      <c r="AG1028"/>
      <c r="AH1028"/>
      <c r="AI1028"/>
      <c r="AJ1028"/>
      <c r="AK1028"/>
      <c r="AL1028"/>
    </row>
    <row r="1029" spans="1:38" ht="18" outlineLevel="3" x14ac:dyDescent="0.2">
      <c r="A1029" s="471">
        <v>11</v>
      </c>
      <c r="B1029" s="471" t="s">
        <v>71</v>
      </c>
      <c r="C1029" s="1053" t="s">
        <v>3511</v>
      </c>
      <c r="D1029" s="1053" t="s">
        <v>3525</v>
      </c>
      <c r="E1029" s="11" t="str">
        <f t="array" ref="E1029">_xlfn.XLOOKUP(D1029,Insumos!B:B,Insumos!C:$C)</f>
        <v>M</v>
      </c>
      <c r="F1029" s="86">
        <v>0.8</v>
      </c>
      <c r="G1029" s="92">
        <f t="array" ref="G1029">IF(B1029="insumo",_xlfn.XLOOKUP($D1029,Insumos!$B$1:$B$993,Insumos!$D$1:$D$993),"")</f>
        <v>3</v>
      </c>
      <c r="H1029" s="92">
        <v>2.4</v>
      </c>
      <c r="I1029" s="84" t="e">
        <v>#REF!</v>
      </c>
      <c r="J1029" s="84" t="e">
        <v>#REF!</v>
      </c>
      <c r="K1029" s="84"/>
      <c r="L1029"/>
      <c r="M1029"/>
      <c r="N1029"/>
      <c r="O1029"/>
      <c r="P1029"/>
      <c r="Q1029"/>
      <c r="R1029"/>
      <c r="S1029"/>
      <c r="T1029"/>
      <c r="U1029"/>
      <c r="V1029"/>
      <c r="W1029"/>
      <c r="X1029"/>
      <c r="Y1029"/>
      <c r="Z1029"/>
      <c r="AA1029"/>
      <c r="AB1029"/>
      <c r="AC1029"/>
      <c r="AD1029"/>
      <c r="AE1029"/>
      <c r="AF1029"/>
      <c r="AG1029"/>
      <c r="AH1029"/>
      <c r="AI1029"/>
      <c r="AJ1029"/>
      <c r="AK1029"/>
      <c r="AL1029"/>
    </row>
    <row r="1030" spans="1:38" ht="18" outlineLevel="3" x14ac:dyDescent="0.2">
      <c r="A1030" s="471">
        <v>11</v>
      </c>
      <c r="B1030" s="471" t="s">
        <v>71</v>
      </c>
      <c r="C1030" s="1053" t="s">
        <v>3511</v>
      </c>
      <c r="D1030" s="1053" t="s">
        <v>3526</v>
      </c>
      <c r="E1030" s="11" t="str">
        <f t="array" ref="E1030">_xlfn.XLOOKUP(D1030,Insumos!B:B,Insumos!C:$C)</f>
        <v>M</v>
      </c>
      <c r="F1030" s="86">
        <v>0.84</v>
      </c>
      <c r="G1030" s="92">
        <f t="array" ref="G1030">IF(B1030="insumo",_xlfn.XLOOKUP($D1030,Insumos!$B$1:$B$993,Insumos!$D$1:$D$993),"")</f>
        <v>0.6</v>
      </c>
      <c r="H1030" s="92">
        <v>0.504</v>
      </c>
      <c r="I1030" s="84" t="e">
        <v>#REF!</v>
      </c>
      <c r="J1030" s="84" t="e">
        <v>#REF!</v>
      </c>
      <c r="K1030" s="84"/>
      <c r="L1030"/>
      <c r="M1030"/>
      <c r="N1030"/>
      <c r="O1030"/>
      <c r="P1030"/>
      <c r="Q1030"/>
      <c r="R1030"/>
      <c r="S1030"/>
      <c r="T1030"/>
      <c r="U1030"/>
      <c r="V1030"/>
      <c r="W1030"/>
      <c r="X1030"/>
      <c r="Y1030"/>
      <c r="Z1030"/>
      <c r="AA1030"/>
      <c r="AB1030"/>
      <c r="AC1030"/>
      <c r="AD1030"/>
      <c r="AE1030"/>
      <c r="AF1030"/>
      <c r="AG1030"/>
      <c r="AH1030"/>
      <c r="AI1030"/>
      <c r="AJ1030"/>
      <c r="AK1030"/>
      <c r="AL1030"/>
    </row>
    <row r="1031" spans="1:38" ht="18" outlineLevel="3" x14ac:dyDescent="0.2">
      <c r="A1031" s="471">
        <v>97</v>
      </c>
      <c r="B1031" s="471" t="s">
        <v>71</v>
      </c>
      <c r="C1031" s="1053" t="s">
        <v>3511</v>
      </c>
      <c r="D1031" s="1053" t="s">
        <v>414</v>
      </c>
      <c r="E1031" s="11" t="str">
        <f t="array" ref="E1031">_xlfn.XLOOKUP(D1031,Insumos!B:B,Insumos!C:$C)</f>
        <v>UN</v>
      </c>
      <c r="F1031" s="86">
        <v>20.186800000000002</v>
      </c>
      <c r="G1031" s="92">
        <f t="array" ref="G1031">IF(B1031="insumo",_xlfn.XLOOKUP($D1031,Insumos!$B$1:$B$993,Insumos!$D$1:$D$993),"")</f>
        <v>0.09</v>
      </c>
      <c r="H1031" s="92">
        <v>1.8168120000000001</v>
      </c>
      <c r="I1031" s="84" t="e">
        <v>#REF!</v>
      </c>
      <c r="J1031" s="84" t="e">
        <v>#REF!</v>
      </c>
      <c r="K1031" s="84"/>
      <c r="L1031"/>
      <c r="M1031"/>
      <c r="N1031"/>
      <c r="O1031"/>
      <c r="P1031"/>
      <c r="Q1031"/>
      <c r="R1031"/>
      <c r="S1031"/>
      <c r="T1031"/>
      <c r="U1031"/>
      <c r="V1031"/>
      <c r="W1031"/>
      <c r="X1031"/>
      <c r="Y1031"/>
      <c r="Z1031"/>
      <c r="AA1031"/>
      <c r="AB1031"/>
      <c r="AC1031"/>
      <c r="AD1031"/>
      <c r="AE1031"/>
      <c r="AF1031"/>
      <c r="AG1031"/>
      <c r="AH1031"/>
      <c r="AI1031"/>
      <c r="AJ1031"/>
      <c r="AK1031"/>
      <c r="AL1031"/>
    </row>
    <row r="1032" spans="1:38" ht="18" outlineLevel="3" x14ac:dyDescent="0.2">
      <c r="A1032" s="471">
        <v>95</v>
      </c>
      <c r="B1032" s="471" t="s">
        <v>71</v>
      </c>
      <c r="C1032" s="1053" t="s">
        <v>3511</v>
      </c>
      <c r="D1032" s="1053" t="s">
        <v>415</v>
      </c>
      <c r="E1032" s="11" t="str">
        <f t="array" ref="E1032">_xlfn.XLOOKUP(D1032,Insumos!B:B,Insumos!C:$C)</f>
        <v>UN</v>
      </c>
      <c r="F1032" s="86">
        <v>0.4803</v>
      </c>
      <c r="G1032" s="92">
        <f t="array" ref="G1032">IF(B1032="insumo",_xlfn.XLOOKUP($D1032,Insumos!$B$1:$B$993,Insumos!$D$1:$D$993),"")</f>
        <v>0.2</v>
      </c>
      <c r="H1032" s="92">
        <v>9.6060000000000006E-2</v>
      </c>
      <c r="I1032" s="84" t="e">
        <v>#REF!</v>
      </c>
      <c r="J1032" s="84" t="e">
        <v>#REF!</v>
      </c>
      <c r="K1032" s="84"/>
      <c r="L1032"/>
      <c r="M1032"/>
      <c r="N1032"/>
      <c r="O1032"/>
      <c r="P1032"/>
      <c r="Q1032"/>
      <c r="R1032"/>
      <c r="S1032"/>
      <c r="T1032"/>
      <c r="U1032"/>
      <c r="V1032"/>
      <c r="W1032"/>
      <c r="X1032"/>
      <c r="Y1032"/>
      <c r="Z1032"/>
      <c r="AA1032"/>
      <c r="AB1032"/>
      <c r="AC1032"/>
      <c r="AD1032"/>
      <c r="AE1032"/>
      <c r="AF1032"/>
      <c r="AG1032"/>
      <c r="AH1032"/>
      <c r="AI1032"/>
      <c r="AJ1032"/>
      <c r="AK1032"/>
      <c r="AL1032"/>
    </row>
    <row r="1033" spans="1:38" ht="18" outlineLevel="2" x14ac:dyDescent="0.2">
      <c r="A1033" s="1076">
        <v>1</v>
      </c>
      <c r="B1033" s="1076" t="s">
        <v>68</v>
      </c>
      <c r="C1033" s="1077" t="s">
        <v>3512</v>
      </c>
      <c r="D1033" s="1077" t="s">
        <v>3512</v>
      </c>
      <c r="E1033" s="1078" t="s">
        <v>70</v>
      </c>
      <c r="F1033" s="1076"/>
      <c r="G1033" s="1069" t="str">
        <f t="array" ref="G1033">IF(B1033="insumo",_xlfn.XLOOKUP($D1033,Insumos!$B$1:$B$993,Insumos!$D$1:$D$993),"")</f>
        <v/>
      </c>
      <c r="H1033" s="1069">
        <v>95.867557000000005</v>
      </c>
      <c r="I1033" s="1079" t="e">
        <v>#REF!</v>
      </c>
      <c r="J1033" s="1079" t="e">
        <v>#REF!</v>
      </c>
      <c r="K1033" s="1079"/>
      <c r="L1033"/>
      <c r="M1033"/>
      <c r="N1033"/>
      <c r="O1033"/>
      <c r="P1033"/>
      <c r="Q1033"/>
      <c r="R1033"/>
      <c r="S1033"/>
      <c r="T1033"/>
      <c r="U1033"/>
      <c r="V1033"/>
      <c r="W1033"/>
      <c r="X1033"/>
      <c r="Y1033"/>
      <c r="Z1033"/>
      <c r="AA1033"/>
      <c r="AB1033"/>
      <c r="AC1033"/>
      <c r="AD1033"/>
      <c r="AE1033"/>
      <c r="AF1033"/>
      <c r="AG1033"/>
      <c r="AH1033"/>
      <c r="AI1033"/>
      <c r="AJ1033"/>
      <c r="AK1033"/>
      <c r="AL1033"/>
    </row>
    <row r="1034" spans="1:38" ht="18" outlineLevel="3" x14ac:dyDescent="0.2">
      <c r="A1034" s="471">
        <v>47</v>
      </c>
      <c r="B1034" s="471" t="s">
        <v>71</v>
      </c>
      <c r="C1034" s="1053" t="s">
        <v>3512</v>
      </c>
      <c r="D1034" s="1053" t="s">
        <v>408</v>
      </c>
      <c r="E1034" s="11" t="str">
        <f t="array" ref="E1034">_xlfn.XLOOKUP(D1034,Insumos!B:B,Insumos!C:$C)</f>
        <v>M2</v>
      </c>
      <c r="F1034" s="86">
        <f>1.053</f>
        <v>1.0529999999999999</v>
      </c>
      <c r="G1034" s="92">
        <f t="array" ref="G1034">IF(B1034="insumo",_xlfn.XLOOKUP($D1034,Insumos!$B$1:$B$993,Insumos!$D$1:$D$993),"")</f>
        <v>20.16</v>
      </c>
      <c r="H1034" s="92">
        <v>21.228480000000001</v>
      </c>
      <c r="I1034" s="84" t="e">
        <v>#REF!</v>
      </c>
      <c r="J1034" s="84" t="e">
        <v>#REF!</v>
      </c>
      <c r="K1034" s="84"/>
      <c r="L1034"/>
      <c r="M1034"/>
      <c r="N1034"/>
      <c r="O1034"/>
      <c r="P1034"/>
      <c r="Q1034"/>
      <c r="R1034"/>
      <c r="S1034"/>
      <c r="T1034"/>
      <c r="U1034"/>
      <c r="V1034"/>
      <c r="W1034"/>
      <c r="X1034"/>
      <c r="Y1034"/>
      <c r="Z1034"/>
      <c r="AA1034"/>
      <c r="AB1034"/>
      <c r="AC1034"/>
      <c r="AD1034"/>
      <c r="AE1034"/>
      <c r="AF1034"/>
      <c r="AG1034"/>
      <c r="AH1034"/>
      <c r="AI1034"/>
      <c r="AJ1034"/>
      <c r="AK1034"/>
      <c r="AL1034"/>
    </row>
    <row r="1035" spans="1:38" ht="12.75" outlineLevel="3" x14ac:dyDescent="0.2">
      <c r="A1035" s="471">
        <v>10</v>
      </c>
      <c r="B1035" s="471" t="s">
        <v>71</v>
      </c>
      <c r="C1035" s="10" t="s">
        <v>3512</v>
      </c>
      <c r="D1035" s="10" t="s">
        <v>3524</v>
      </c>
      <c r="E1035" s="11" t="str">
        <f t="array" ref="E1035">_xlfn.XLOOKUP(D1035,Insumos!B:B,Insumos!C:$C)</f>
        <v>M2</v>
      </c>
      <c r="F1035" s="86">
        <f>1.053</f>
        <v>1.0529999999999999</v>
      </c>
      <c r="G1035" s="92">
        <f t="array" ref="G1035">IF(B1035="insumo",_xlfn.XLOOKUP($D1035,Insumos!$B$1:$B$993,Insumos!$D$1:$D$993),"")</f>
        <v>34.513888888888893</v>
      </c>
      <c r="H1035" s="92">
        <v>36.343125000000001</v>
      </c>
      <c r="I1035" s="84" t="e">
        <v>#REF!</v>
      </c>
      <c r="J1035" s="84" t="e">
        <v>#REF!</v>
      </c>
      <c r="K1035" s="84"/>
      <c r="L1035"/>
      <c r="M1035"/>
      <c r="N1035"/>
      <c r="O1035"/>
      <c r="P1035"/>
      <c r="Q1035"/>
      <c r="R1035"/>
      <c r="S1035"/>
      <c r="T1035"/>
      <c r="U1035"/>
      <c r="V1035"/>
      <c r="W1035"/>
      <c r="X1035"/>
      <c r="Y1035"/>
      <c r="Z1035"/>
      <c r="AA1035"/>
      <c r="AB1035"/>
      <c r="AC1035"/>
      <c r="AD1035"/>
      <c r="AE1035"/>
      <c r="AF1035"/>
      <c r="AG1035"/>
      <c r="AH1035"/>
      <c r="AI1035"/>
      <c r="AJ1035"/>
      <c r="AK1035"/>
      <c r="AL1035"/>
    </row>
    <row r="1036" spans="1:38" ht="18" outlineLevel="3" x14ac:dyDescent="0.2">
      <c r="A1036" s="471">
        <v>95</v>
      </c>
      <c r="B1036" s="471" t="s">
        <v>71</v>
      </c>
      <c r="C1036" s="1053" t="s">
        <v>3512</v>
      </c>
      <c r="D1036" s="1053" t="s">
        <v>409</v>
      </c>
      <c r="E1036" s="11" t="str">
        <f t="array" ref="E1036">_xlfn.XLOOKUP(D1036,Insumos!B:B,Insumos!C:$C)</f>
        <v>UN</v>
      </c>
      <c r="F1036" s="86">
        <v>4.95</v>
      </c>
      <c r="G1036" s="92">
        <f t="array" ref="G1036">IF(B1036="insumo",_xlfn.XLOOKUP($D1036,Insumos!$B$1:$B$993,Insumos!$D$1:$D$993),"")</f>
        <v>0.504</v>
      </c>
      <c r="H1036" s="92">
        <v>2.4948000000000001</v>
      </c>
      <c r="I1036" s="84" t="e">
        <v>#REF!</v>
      </c>
      <c r="J1036" s="84" t="e">
        <v>#REF!</v>
      </c>
      <c r="K1036" s="84"/>
      <c r="L1036"/>
      <c r="M1036"/>
      <c r="N1036"/>
      <c r="O1036"/>
      <c r="P1036"/>
      <c r="Q1036"/>
      <c r="R1036"/>
      <c r="S1036"/>
      <c r="T1036"/>
      <c r="U1036"/>
      <c r="V1036"/>
      <c r="W1036"/>
      <c r="X1036"/>
      <c r="Y1036"/>
      <c r="Z1036"/>
      <c r="AA1036"/>
      <c r="AB1036"/>
      <c r="AC1036"/>
      <c r="AD1036"/>
      <c r="AE1036"/>
      <c r="AF1036"/>
      <c r="AG1036"/>
      <c r="AH1036"/>
      <c r="AI1036"/>
      <c r="AJ1036"/>
      <c r="AK1036"/>
      <c r="AL1036"/>
    </row>
    <row r="1037" spans="1:38" ht="18" outlineLevel="3" x14ac:dyDescent="0.2">
      <c r="A1037" s="471">
        <v>26</v>
      </c>
      <c r="B1037" s="471" t="s">
        <v>71</v>
      </c>
      <c r="C1037" s="1053" t="s">
        <v>3512</v>
      </c>
      <c r="D1037" s="1053" t="s">
        <v>410</v>
      </c>
      <c r="E1037" s="11" t="str">
        <f t="array" ref="E1037">_xlfn.XLOOKUP(D1037,Insumos!B:B,Insumos!C:$C)</f>
        <v>M</v>
      </c>
      <c r="F1037" s="86">
        <v>1.5247999999999999</v>
      </c>
      <c r="G1037" s="92">
        <f t="array" ref="G1037">IF(B1037="insumo",_xlfn.XLOOKUP($D1037,Insumos!$B$1:$B$993,Insumos!$D$1:$D$993),"")</f>
        <v>7.03</v>
      </c>
      <c r="H1037" s="92">
        <v>10.719344</v>
      </c>
      <c r="I1037" s="84" t="e">
        <v>#REF!</v>
      </c>
      <c r="J1037" s="84" t="e">
        <v>#REF!</v>
      </c>
      <c r="K1037" s="84"/>
      <c r="L1037"/>
      <c r="M1037"/>
      <c r="N1037"/>
      <c r="O1037"/>
      <c r="P1037"/>
      <c r="Q1037"/>
      <c r="R1037"/>
      <c r="S1037"/>
      <c r="T1037"/>
      <c r="U1037"/>
      <c r="V1037"/>
      <c r="W1037"/>
      <c r="X1037"/>
      <c r="Y1037"/>
      <c r="Z1037"/>
      <c r="AA1037"/>
      <c r="AB1037"/>
      <c r="AC1037"/>
      <c r="AD1037"/>
      <c r="AE1037"/>
      <c r="AF1037"/>
      <c r="AG1037"/>
      <c r="AH1037"/>
      <c r="AI1037"/>
      <c r="AJ1037"/>
      <c r="AK1037"/>
      <c r="AL1037"/>
    </row>
    <row r="1038" spans="1:38" ht="18" outlineLevel="3" x14ac:dyDescent="0.2">
      <c r="A1038" s="471">
        <v>26</v>
      </c>
      <c r="B1038" s="471" t="s">
        <v>71</v>
      </c>
      <c r="C1038" s="1053" t="s">
        <v>3512</v>
      </c>
      <c r="D1038" s="1053" t="s">
        <v>411</v>
      </c>
      <c r="E1038" s="11" t="str">
        <f t="array" ref="E1038">_xlfn.XLOOKUP(D1038,Insumos!B:B,Insumos!C:$C)</f>
        <v>M</v>
      </c>
      <c r="F1038" s="86">
        <v>2.0005999999999999</v>
      </c>
      <c r="G1038" s="92">
        <f t="array" ref="G1038">IF(B1038="insumo",_xlfn.XLOOKUP($D1038,Insumos!$B$1:$B$993,Insumos!$D$1:$D$993),"")</f>
        <v>7.98</v>
      </c>
      <c r="H1038" s="92">
        <v>15.964788</v>
      </c>
      <c r="I1038" s="84" t="e">
        <v>#REF!</v>
      </c>
      <c r="J1038" s="84" t="e">
        <v>#REF!</v>
      </c>
      <c r="K1038" s="84"/>
      <c r="L1038"/>
      <c r="M1038"/>
      <c r="N1038"/>
      <c r="O1038"/>
      <c r="P1038"/>
      <c r="Q1038"/>
      <c r="R1038"/>
      <c r="S1038"/>
      <c r="T1038"/>
      <c r="U1038"/>
      <c r="V1038"/>
      <c r="W1038"/>
      <c r="X1038"/>
      <c r="Y1038"/>
      <c r="Z1038"/>
      <c r="AA1038"/>
      <c r="AB1038"/>
      <c r="AC1038"/>
      <c r="AD1038"/>
      <c r="AE1038"/>
      <c r="AF1038"/>
      <c r="AG1038"/>
      <c r="AH1038"/>
      <c r="AI1038"/>
      <c r="AJ1038"/>
      <c r="AK1038"/>
      <c r="AL1038"/>
    </row>
    <row r="1039" spans="1:38" ht="18" outlineLevel="3" x14ac:dyDescent="0.2">
      <c r="A1039" s="471">
        <v>95</v>
      </c>
      <c r="B1039" s="471" t="s">
        <v>71</v>
      </c>
      <c r="C1039" s="1053" t="s">
        <v>3512</v>
      </c>
      <c r="D1039" s="1053" t="s">
        <v>405</v>
      </c>
      <c r="E1039" s="11" t="str">
        <f t="array" ref="E1039">_xlfn.XLOOKUP(D1039,Insumos!B:B,Insumos!C:$C)</f>
        <v>KG</v>
      </c>
      <c r="F1039" s="86">
        <v>0.54890000000000005</v>
      </c>
      <c r="G1039" s="92">
        <f t="array" ref="G1039">IF(B1039="insumo",_xlfn.XLOOKUP($D1039,Insumos!$B$1:$B$993,Insumos!$D$1:$D$993),"")</f>
        <v>3.43</v>
      </c>
      <c r="H1039" s="92">
        <v>1.882727</v>
      </c>
      <c r="I1039" s="84" t="e">
        <v>#REF!</v>
      </c>
      <c r="J1039" s="84" t="e">
        <v>#REF!</v>
      </c>
      <c r="K1039" s="84"/>
      <c r="L1039"/>
      <c r="M1039"/>
      <c r="N1039"/>
      <c r="O1039"/>
      <c r="P1039"/>
      <c r="Q1039"/>
      <c r="R1039"/>
      <c r="S1039"/>
      <c r="T1039"/>
      <c r="U1039"/>
      <c r="V1039"/>
      <c r="W1039"/>
      <c r="X1039"/>
      <c r="Y1039"/>
      <c r="Z1039"/>
      <c r="AA1039"/>
      <c r="AB1039"/>
      <c r="AC1039"/>
      <c r="AD1039"/>
      <c r="AE1039"/>
      <c r="AF1039"/>
      <c r="AG1039"/>
      <c r="AH1039"/>
      <c r="AI1039"/>
      <c r="AJ1039"/>
      <c r="AK1039"/>
      <c r="AL1039"/>
    </row>
    <row r="1040" spans="1:38" ht="18" outlineLevel="3" x14ac:dyDescent="0.2">
      <c r="A1040" s="471">
        <v>94</v>
      </c>
      <c r="B1040" s="471" t="s">
        <v>71</v>
      </c>
      <c r="C1040" s="1053" t="s">
        <v>3512</v>
      </c>
      <c r="D1040" s="1053" t="s">
        <v>412</v>
      </c>
      <c r="E1040" s="11" t="str">
        <f t="array" ref="E1040">_xlfn.XLOOKUP(D1040,Insumos!B:B,Insumos!C:$C)</f>
        <v>M</v>
      </c>
      <c r="F1040" s="86">
        <v>1.2513000000000001</v>
      </c>
      <c r="G1040" s="92">
        <f t="array" ref="G1040">IF(B1040="insumo",_xlfn.XLOOKUP($D1040,Insumos!$B$1:$B$993,Insumos!$D$1:$D$993),"")</f>
        <v>0.31</v>
      </c>
      <c r="H1040" s="92">
        <v>0.387903</v>
      </c>
      <c r="I1040" s="84" t="e">
        <v>#REF!</v>
      </c>
      <c r="J1040" s="84" t="e">
        <v>#REF!</v>
      </c>
      <c r="K1040" s="84"/>
      <c r="L1040"/>
      <c r="M1040"/>
      <c r="N1040"/>
      <c r="O1040"/>
      <c r="P1040"/>
      <c r="Q1040"/>
      <c r="R1040"/>
      <c r="S1040"/>
      <c r="T1040"/>
      <c r="U1040"/>
      <c r="V1040"/>
      <c r="W1040"/>
      <c r="X1040"/>
      <c r="Y1040"/>
      <c r="Z1040"/>
      <c r="AA1040"/>
      <c r="AB1040"/>
      <c r="AC1040"/>
      <c r="AD1040"/>
      <c r="AE1040"/>
      <c r="AF1040"/>
      <c r="AG1040"/>
      <c r="AH1040"/>
      <c r="AI1040"/>
      <c r="AJ1040"/>
      <c r="AK1040"/>
      <c r="AL1040"/>
    </row>
    <row r="1041" spans="1:38" ht="18" outlineLevel="3" x14ac:dyDescent="0.2">
      <c r="A1041" s="471">
        <v>94</v>
      </c>
      <c r="B1041" s="471" t="s">
        <v>71</v>
      </c>
      <c r="C1041" s="1053" t="s">
        <v>3512</v>
      </c>
      <c r="D1041" s="1053" t="s">
        <v>413</v>
      </c>
      <c r="E1041" s="11" t="str">
        <f t="array" ref="E1041">_xlfn.XLOOKUP(D1041,Insumos!B:B,Insumos!C:$C)</f>
        <v>M</v>
      </c>
      <c r="F1041" s="86">
        <v>0.74070000000000003</v>
      </c>
      <c r="G1041" s="92">
        <f t="array" ref="G1041">IF(B1041="insumo",_xlfn.XLOOKUP($D1041,Insumos!$B$1:$B$993,Insumos!$D$1:$D$993),"")</f>
        <v>2.74</v>
      </c>
      <c r="H1041" s="92">
        <v>2.0295179999999999</v>
      </c>
      <c r="I1041" s="84" t="e">
        <v>#REF!</v>
      </c>
      <c r="J1041" s="84" t="e">
        <v>#REF!</v>
      </c>
      <c r="K1041" s="84"/>
      <c r="L1041"/>
      <c r="M1041"/>
      <c r="N1041"/>
      <c r="O1041"/>
      <c r="P1041"/>
      <c r="Q1041"/>
      <c r="R1041"/>
      <c r="S1041"/>
      <c r="T1041"/>
      <c r="U1041"/>
      <c r="V1041"/>
      <c r="W1041"/>
      <c r="X1041"/>
      <c r="Y1041"/>
      <c r="Z1041"/>
      <c r="AA1041"/>
      <c r="AB1041"/>
      <c r="AC1041"/>
      <c r="AD1041"/>
      <c r="AE1041"/>
      <c r="AF1041"/>
      <c r="AG1041"/>
      <c r="AH1041"/>
      <c r="AI1041"/>
      <c r="AJ1041"/>
      <c r="AK1041"/>
      <c r="AL1041"/>
    </row>
    <row r="1042" spans="1:38" ht="18" outlineLevel="3" x14ac:dyDescent="0.2">
      <c r="A1042" s="471">
        <v>11</v>
      </c>
      <c r="B1042" s="471" t="s">
        <v>71</v>
      </c>
      <c r="C1042" s="1053" t="s">
        <v>3512</v>
      </c>
      <c r="D1042" s="1053" t="s">
        <v>3525</v>
      </c>
      <c r="E1042" s="11" t="str">
        <f t="array" ref="E1042">_xlfn.XLOOKUP(D1042,Insumos!B:B,Insumos!C:$C)</f>
        <v>M</v>
      </c>
      <c r="F1042" s="86">
        <v>0.8</v>
      </c>
      <c r="G1042" s="92">
        <f t="array" ref="G1042">IF(B1042="insumo",_xlfn.XLOOKUP($D1042,Insumos!$B$1:$B$993,Insumos!$D$1:$D$993),"")</f>
        <v>3</v>
      </c>
      <c r="H1042" s="92">
        <v>2.4</v>
      </c>
      <c r="I1042" s="84" t="e">
        <v>#REF!</v>
      </c>
      <c r="J1042" s="84" t="e">
        <v>#REF!</v>
      </c>
      <c r="K1042" s="84"/>
      <c r="L1042"/>
      <c r="M1042"/>
      <c r="N1042"/>
      <c r="O1042"/>
      <c r="P1042"/>
      <c r="Q1042"/>
      <c r="R1042"/>
      <c r="S1042"/>
      <c r="T1042"/>
      <c r="U1042"/>
      <c r="V1042"/>
      <c r="W1042"/>
      <c r="X1042"/>
      <c r="Y1042"/>
      <c r="Z1042"/>
      <c r="AA1042"/>
      <c r="AB1042"/>
      <c r="AC1042"/>
      <c r="AD1042"/>
      <c r="AE1042"/>
      <c r="AF1042"/>
      <c r="AG1042"/>
      <c r="AH1042"/>
      <c r="AI1042"/>
      <c r="AJ1042"/>
      <c r="AK1042"/>
      <c r="AL1042"/>
    </row>
    <row r="1043" spans="1:38" ht="18" outlineLevel="3" x14ac:dyDescent="0.2">
      <c r="A1043" s="471">
        <v>11</v>
      </c>
      <c r="B1043" s="471" t="s">
        <v>71</v>
      </c>
      <c r="C1043" s="1053" t="s">
        <v>3512</v>
      </c>
      <c r="D1043" s="1053" t="s">
        <v>3526</v>
      </c>
      <c r="E1043" s="11" t="str">
        <f t="array" ref="E1043">_xlfn.XLOOKUP(D1043,Insumos!B:B,Insumos!C:$C)</f>
        <v>M</v>
      </c>
      <c r="F1043" s="86">
        <v>0.84</v>
      </c>
      <c r="G1043" s="92">
        <f t="array" ref="G1043">IF(B1043="insumo",_xlfn.XLOOKUP($D1043,Insumos!$B$1:$B$993,Insumos!$D$1:$D$993),"")</f>
        <v>0.6</v>
      </c>
      <c r="H1043" s="92">
        <v>0.504</v>
      </c>
      <c r="I1043" s="84" t="e">
        <v>#REF!</v>
      </c>
      <c r="J1043" s="84" t="e">
        <v>#REF!</v>
      </c>
      <c r="K1043" s="84"/>
      <c r="L1043"/>
      <c r="M1043"/>
      <c r="N1043"/>
      <c r="O1043"/>
      <c r="P1043"/>
      <c r="Q1043"/>
      <c r="R1043"/>
      <c r="S1043"/>
      <c r="T1043"/>
      <c r="U1043"/>
      <c r="V1043"/>
      <c r="W1043"/>
      <c r="X1043"/>
      <c r="Y1043"/>
      <c r="Z1043"/>
      <c r="AA1043"/>
      <c r="AB1043"/>
      <c r="AC1043"/>
      <c r="AD1043"/>
      <c r="AE1043"/>
      <c r="AF1043"/>
      <c r="AG1043"/>
      <c r="AH1043"/>
      <c r="AI1043"/>
      <c r="AJ1043"/>
      <c r="AK1043"/>
      <c r="AL1043"/>
    </row>
    <row r="1044" spans="1:38" ht="18" outlineLevel="3" x14ac:dyDescent="0.2">
      <c r="A1044" s="471">
        <v>97</v>
      </c>
      <c r="B1044" s="471" t="s">
        <v>71</v>
      </c>
      <c r="C1044" s="1053" t="s">
        <v>3512</v>
      </c>
      <c r="D1044" s="1053" t="s">
        <v>414</v>
      </c>
      <c r="E1044" s="11" t="str">
        <f t="array" ref="E1044">_xlfn.XLOOKUP(D1044,Insumos!B:B,Insumos!C:$C)</f>
        <v>UN</v>
      </c>
      <c r="F1044" s="86">
        <v>20.186800000000002</v>
      </c>
      <c r="G1044" s="92">
        <f t="array" ref="G1044">IF(B1044="insumo",_xlfn.XLOOKUP($D1044,Insumos!$B$1:$B$993,Insumos!$D$1:$D$993),"")</f>
        <v>0.09</v>
      </c>
      <c r="H1044" s="92">
        <v>1.8168120000000001</v>
      </c>
      <c r="I1044" s="84" t="e">
        <v>#REF!</v>
      </c>
      <c r="J1044" s="84" t="e">
        <v>#REF!</v>
      </c>
      <c r="K1044" s="84"/>
      <c r="L1044"/>
      <c r="M1044"/>
      <c r="N1044"/>
      <c r="O1044"/>
      <c r="P1044"/>
      <c r="Q1044"/>
      <c r="R1044"/>
      <c r="S1044"/>
      <c r="T1044"/>
      <c r="U1044"/>
      <c r="V1044"/>
      <c r="W1044"/>
      <c r="X1044"/>
      <c r="Y1044"/>
      <c r="Z1044"/>
      <c r="AA1044"/>
      <c r="AB1044"/>
      <c r="AC1044"/>
      <c r="AD1044"/>
      <c r="AE1044"/>
      <c r="AF1044"/>
      <c r="AG1044"/>
      <c r="AH1044"/>
      <c r="AI1044"/>
      <c r="AJ1044"/>
      <c r="AK1044"/>
      <c r="AL1044"/>
    </row>
    <row r="1045" spans="1:38" ht="18" outlineLevel="3" x14ac:dyDescent="0.2">
      <c r="A1045" s="471">
        <v>95</v>
      </c>
      <c r="B1045" s="471" t="s">
        <v>71</v>
      </c>
      <c r="C1045" s="1053" t="s">
        <v>3512</v>
      </c>
      <c r="D1045" s="1053" t="s">
        <v>415</v>
      </c>
      <c r="E1045" s="11" t="str">
        <f t="array" ref="E1045">_xlfn.XLOOKUP(D1045,Insumos!B:B,Insumos!C:$C)</f>
        <v>UN</v>
      </c>
      <c r="F1045" s="86">
        <v>0.4803</v>
      </c>
      <c r="G1045" s="92">
        <f t="array" ref="G1045">IF(B1045="insumo",_xlfn.XLOOKUP($D1045,Insumos!$B$1:$B$993,Insumos!$D$1:$D$993),"")</f>
        <v>0.2</v>
      </c>
      <c r="H1045" s="92">
        <v>9.6060000000000006E-2</v>
      </c>
      <c r="I1045" s="84" t="e">
        <v>#REF!</v>
      </c>
      <c r="J1045" s="84" t="e">
        <v>#REF!</v>
      </c>
      <c r="K1045" s="84"/>
      <c r="L1045"/>
      <c r="M1045"/>
      <c r="N1045"/>
      <c r="O1045"/>
      <c r="P1045"/>
      <c r="Q1045"/>
      <c r="R1045"/>
      <c r="S1045"/>
      <c r="T1045"/>
      <c r="U1045"/>
      <c r="V1045"/>
      <c r="W1045"/>
      <c r="X1045"/>
      <c r="Y1045"/>
      <c r="Z1045"/>
      <c r="AA1045"/>
      <c r="AB1045"/>
      <c r="AC1045"/>
      <c r="AD1045"/>
      <c r="AE1045"/>
      <c r="AF1045"/>
      <c r="AG1045"/>
      <c r="AH1045"/>
      <c r="AI1045"/>
      <c r="AJ1045"/>
      <c r="AK1045"/>
      <c r="AL1045"/>
    </row>
    <row r="1046" spans="1:38" ht="18" outlineLevel="2" x14ac:dyDescent="0.2">
      <c r="A1046" s="1076">
        <v>1</v>
      </c>
      <c r="B1046" s="1076" t="s">
        <v>68</v>
      </c>
      <c r="C1046" s="1077" t="s">
        <v>3513</v>
      </c>
      <c r="D1046" s="1077" t="s">
        <v>3513</v>
      </c>
      <c r="E1046" s="1078" t="s">
        <v>70</v>
      </c>
      <c r="F1046" s="1076"/>
      <c r="G1046" s="1069" t="str">
        <f t="array" ref="G1046">IF(B1046="insumo",_xlfn.XLOOKUP($D1046,Insumos!$B$1:$B$993,Insumos!$D$1:$D$993),"")</f>
        <v/>
      </c>
      <c r="H1046" s="1069">
        <v>96.523221000000007</v>
      </c>
      <c r="I1046" s="1079" t="e">
        <v>#REF!</v>
      </c>
      <c r="J1046" s="1079" t="e">
        <v>#REF!</v>
      </c>
      <c r="K1046" s="1079"/>
      <c r="L1046"/>
      <c r="M1046"/>
      <c r="N1046"/>
      <c r="O1046"/>
      <c r="P1046"/>
      <c r="Q1046"/>
      <c r="R1046"/>
      <c r="S1046"/>
      <c r="T1046"/>
      <c r="U1046"/>
      <c r="V1046"/>
      <c r="W1046"/>
      <c r="X1046"/>
      <c r="Y1046"/>
      <c r="Z1046"/>
      <c r="AA1046"/>
      <c r="AB1046"/>
      <c r="AC1046"/>
      <c r="AD1046"/>
      <c r="AE1046"/>
      <c r="AF1046"/>
      <c r="AG1046"/>
      <c r="AH1046"/>
      <c r="AI1046"/>
      <c r="AJ1046"/>
      <c r="AK1046"/>
      <c r="AL1046"/>
    </row>
    <row r="1047" spans="1:38" ht="18" outlineLevel="3" x14ac:dyDescent="0.2">
      <c r="A1047" s="471">
        <v>47</v>
      </c>
      <c r="B1047" s="471" t="s">
        <v>71</v>
      </c>
      <c r="C1047" s="1053" t="s">
        <v>3513</v>
      </c>
      <c r="D1047" s="1053" t="s">
        <v>408</v>
      </c>
      <c r="E1047" s="11" t="str">
        <f t="array" ref="E1047">_xlfn.XLOOKUP(D1047,Insumos!B:B,Insumos!C:$C)</f>
        <v>M2</v>
      </c>
      <c r="F1047" s="86">
        <f>1.053</f>
        <v>1.0529999999999999</v>
      </c>
      <c r="G1047" s="92">
        <f t="array" ref="G1047">IF(B1047="insumo",_xlfn.XLOOKUP($D1047,Insumos!$B$1:$B$993,Insumos!$D$1:$D$993),"")</f>
        <v>20.16</v>
      </c>
      <c r="H1047" s="92">
        <v>21.228480000000001</v>
      </c>
      <c r="I1047" s="84" t="e">
        <v>#REF!</v>
      </c>
      <c r="J1047" s="84" t="e">
        <v>#REF!</v>
      </c>
      <c r="K1047" s="84"/>
      <c r="L1047"/>
      <c r="M1047"/>
      <c r="N1047"/>
      <c r="O1047"/>
      <c r="P1047"/>
      <c r="Q1047"/>
      <c r="R1047"/>
      <c r="S1047"/>
      <c r="T1047"/>
      <c r="U1047"/>
      <c r="V1047"/>
      <c r="W1047"/>
      <c r="X1047"/>
      <c r="Y1047"/>
      <c r="Z1047"/>
      <c r="AA1047"/>
      <c r="AB1047"/>
      <c r="AC1047"/>
      <c r="AD1047"/>
      <c r="AE1047"/>
      <c r="AF1047"/>
      <c r="AG1047"/>
      <c r="AH1047"/>
      <c r="AI1047"/>
      <c r="AJ1047"/>
      <c r="AK1047"/>
      <c r="AL1047"/>
    </row>
    <row r="1048" spans="1:38" ht="12.75" outlineLevel="3" x14ac:dyDescent="0.2">
      <c r="A1048" s="471">
        <v>10</v>
      </c>
      <c r="B1048" s="471" t="s">
        <v>71</v>
      </c>
      <c r="C1048" s="10" t="s">
        <v>3513</v>
      </c>
      <c r="D1048" s="10" t="s">
        <v>3524</v>
      </c>
      <c r="E1048" s="11" t="str">
        <f t="array" ref="E1048">_xlfn.XLOOKUP(D1048,Insumos!B:B,Insumos!C:$C)</f>
        <v>M2</v>
      </c>
      <c r="F1048" s="86">
        <f>1.053</f>
        <v>1.0529999999999999</v>
      </c>
      <c r="G1048" s="92">
        <f t="array" ref="G1048">IF(B1048="insumo",_xlfn.XLOOKUP($D1048,Insumos!$B$1:$B$993,Insumos!$D$1:$D$993),"")</f>
        <v>34.513888888888893</v>
      </c>
      <c r="H1048" s="92">
        <v>36.343125000000001</v>
      </c>
      <c r="I1048" s="84" t="e">
        <v>#REF!</v>
      </c>
      <c r="J1048" s="84" t="e">
        <v>#REF!</v>
      </c>
      <c r="K1048" s="84"/>
      <c r="L1048"/>
      <c r="M1048"/>
      <c r="N1048"/>
      <c r="O1048"/>
      <c r="P1048"/>
      <c r="Q1048"/>
      <c r="R1048"/>
      <c r="S1048"/>
      <c r="T1048"/>
      <c r="U1048"/>
      <c r="V1048"/>
      <c r="W1048"/>
      <c r="X1048"/>
      <c r="Y1048"/>
      <c r="Z1048"/>
      <c r="AA1048"/>
      <c r="AB1048"/>
      <c r="AC1048"/>
      <c r="AD1048"/>
      <c r="AE1048"/>
      <c r="AF1048"/>
      <c r="AG1048"/>
      <c r="AH1048"/>
      <c r="AI1048"/>
      <c r="AJ1048"/>
      <c r="AK1048"/>
      <c r="AL1048"/>
    </row>
    <row r="1049" spans="1:38" ht="18" outlineLevel="3" x14ac:dyDescent="0.2">
      <c r="A1049" s="471">
        <v>95</v>
      </c>
      <c r="B1049" s="471" t="s">
        <v>71</v>
      </c>
      <c r="C1049" s="1053" t="s">
        <v>3513</v>
      </c>
      <c r="D1049" s="1053" t="s">
        <v>409</v>
      </c>
      <c r="E1049" s="11" t="str">
        <f t="array" ref="E1049">_xlfn.XLOOKUP(D1049,Insumos!B:B,Insumos!C:$C)</f>
        <v>UN</v>
      </c>
      <c r="F1049" s="86">
        <v>4.95</v>
      </c>
      <c r="G1049" s="92">
        <f t="array" ref="G1049">IF(B1049="insumo",_xlfn.XLOOKUP($D1049,Insumos!$B$1:$B$993,Insumos!$D$1:$D$993),"")</f>
        <v>0.504</v>
      </c>
      <c r="H1049" s="92">
        <v>2.4948000000000001</v>
      </c>
      <c r="I1049" s="84" t="e">
        <v>#REF!</v>
      </c>
      <c r="J1049" s="84" t="e">
        <v>#REF!</v>
      </c>
      <c r="K1049" s="84"/>
      <c r="L1049"/>
      <c r="M1049"/>
      <c r="N1049"/>
      <c r="O1049"/>
      <c r="P1049"/>
      <c r="Q1049"/>
      <c r="R1049"/>
      <c r="S1049"/>
      <c r="T1049"/>
      <c r="U1049"/>
      <c r="V1049"/>
      <c r="W1049"/>
      <c r="X1049"/>
      <c r="Y1049"/>
      <c r="Z1049"/>
      <c r="AA1049"/>
      <c r="AB1049"/>
      <c r="AC1049"/>
      <c r="AD1049"/>
      <c r="AE1049"/>
      <c r="AF1049"/>
      <c r="AG1049"/>
      <c r="AH1049"/>
      <c r="AI1049"/>
      <c r="AJ1049"/>
      <c r="AK1049"/>
      <c r="AL1049"/>
    </row>
    <row r="1050" spans="1:38" ht="18" outlineLevel="3" x14ac:dyDescent="0.2">
      <c r="A1050" s="471">
        <v>43</v>
      </c>
      <c r="B1050" s="471" t="s">
        <v>71</v>
      </c>
      <c r="C1050" s="1053" t="s">
        <v>3513</v>
      </c>
      <c r="D1050" s="1053" t="s">
        <v>423</v>
      </c>
      <c r="E1050" s="11" t="str">
        <f t="array" ref="E1050">_xlfn.XLOOKUP(D1050,Insumos!B:B,Insumos!C:$C)</f>
        <v>M</v>
      </c>
      <c r="F1050" s="86">
        <v>1.5247999999999999</v>
      </c>
      <c r="G1050" s="92">
        <f t="array" ref="G1050">IF(B1050="insumo",_xlfn.XLOOKUP($D1050,Insumos!$B$1:$B$993,Insumos!$D$1:$D$993),"")</f>
        <v>7.46</v>
      </c>
      <c r="H1050" s="92">
        <v>11.375007999999999</v>
      </c>
      <c r="I1050" s="84" t="e">
        <v>#REF!</v>
      </c>
      <c r="J1050" s="84" t="e">
        <v>#REF!</v>
      </c>
      <c r="K1050" s="84"/>
      <c r="L1050"/>
      <c r="M1050"/>
      <c r="N1050"/>
      <c r="O1050"/>
      <c r="P1050"/>
      <c r="Q1050"/>
      <c r="R1050"/>
      <c r="S1050"/>
      <c r="T1050"/>
      <c r="U1050"/>
      <c r="V1050"/>
      <c r="W1050"/>
      <c r="X1050"/>
      <c r="Y1050"/>
      <c r="Z1050"/>
      <c r="AA1050"/>
      <c r="AB1050"/>
      <c r="AC1050"/>
      <c r="AD1050"/>
      <c r="AE1050"/>
      <c r="AF1050"/>
      <c r="AG1050"/>
      <c r="AH1050"/>
      <c r="AI1050"/>
      <c r="AJ1050"/>
      <c r="AK1050"/>
      <c r="AL1050"/>
    </row>
    <row r="1051" spans="1:38" ht="18" outlineLevel="3" x14ac:dyDescent="0.2">
      <c r="A1051" s="471">
        <v>43</v>
      </c>
      <c r="B1051" s="471" t="s">
        <v>71</v>
      </c>
      <c r="C1051" s="1053" t="s">
        <v>3513</v>
      </c>
      <c r="D1051" s="1053" t="s">
        <v>424</v>
      </c>
      <c r="E1051" s="11" t="str">
        <f t="array" ref="E1051">_xlfn.XLOOKUP(D1051,Insumos!B:B,Insumos!C:$C)</f>
        <v>M</v>
      </c>
      <c r="F1051" s="86">
        <v>2.0005999999999999</v>
      </c>
      <c r="G1051" s="92">
        <f t="array" ref="G1051">IF(B1051="insumo",_xlfn.XLOOKUP($D1051,Insumos!$B$1:$B$993,Insumos!$D$1:$D$993),"")</f>
        <v>7.98</v>
      </c>
      <c r="H1051" s="92">
        <v>15.964788</v>
      </c>
      <c r="I1051" s="84" t="e">
        <v>#REF!</v>
      </c>
      <c r="J1051" s="84" t="e">
        <v>#REF!</v>
      </c>
      <c r="K1051" s="84"/>
      <c r="L1051"/>
      <c r="M1051"/>
      <c r="N1051"/>
      <c r="O1051"/>
      <c r="P1051"/>
      <c r="Q1051"/>
      <c r="R1051"/>
      <c r="S1051"/>
      <c r="T1051"/>
      <c r="U1051"/>
      <c r="V1051"/>
      <c r="W1051"/>
      <c r="X1051"/>
      <c r="Y1051"/>
      <c r="Z1051"/>
      <c r="AA1051"/>
      <c r="AB1051"/>
      <c r="AC1051"/>
      <c r="AD1051"/>
      <c r="AE1051"/>
      <c r="AF1051"/>
      <c r="AG1051"/>
      <c r="AH1051"/>
      <c r="AI1051"/>
      <c r="AJ1051"/>
      <c r="AK1051"/>
      <c r="AL1051"/>
    </row>
    <row r="1052" spans="1:38" ht="18" outlineLevel="3" x14ac:dyDescent="0.2">
      <c r="A1052" s="471">
        <v>95</v>
      </c>
      <c r="B1052" s="471" t="s">
        <v>71</v>
      </c>
      <c r="C1052" s="1053" t="s">
        <v>3513</v>
      </c>
      <c r="D1052" s="1053" t="s">
        <v>405</v>
      </c>
      <c r="E1052" s="11" t="str">
        <f t="array" ref="E1052">_xlfn.XLOOKUP(D1052,Insumos!B:B,Insumos!C:$C)</f>
        <v>KG</v>
      </c>
      <c r="F1052" s="86">
        <v>0.54890000000000005</v>
      </c>
      <c r="G1052" s="92">
        <f t="array" ref="G1052">IF(B1052="insumo",_xlfn.XLOOKUP($D1052,Insumos!$B$1:$B$993,Insumos!$D$1:$D$993),"")</f>
        <v>3.43</v>
      </c>
      <c r="H1052" s="92">
        <v>1.882727</v>
      </c>
      <c r="I1052" s="84" t="e">
        <v>#REF!</v>
      </c>
      <c r="J1052" s="84" t="e">
        <v>#REF!</v>
      </c>
      <c r="K1052" s="84"/>
      <c r="L1052"/>
      <c r="M1052"/>
      <c r="N1052"/>
      <c r="O1052"/>
      <c r="P1052"/>
      <c r="Q1052"/>
      <c r="R1052"/>
      <c r="S1052"/>
      <c r="T1052"/>
      <c r="U1052"/>
      <c r="V1052"/>
      <c r="W1052"/>
      <c r="X1052"/>
      <c r="Y1052"/>
      <c r="Z1052"/>
      <c r="AA1052"/>
      <c r="AB1052"/>
      <c r="AC1052"/>
      <c r="AD1052"/>
      <c r="AE1052"/>
      <c r="AF1052"/>
      <c r="AG1052"/>
      <c r="AH1052"/>
      <c r="AI1052"/>
      <c r="AJ1052"/>
      <c r="AK1052"/>
      <c r="AL1052"/>
    </row>
    <row r="1053" spans="1:38" ht="18" outlineLevel="3" x14ac:dyDescent="0.2">
      <c r="A1053" s="471">
        <v>94</v>
      </c>
      <c r="B1053" s="471" t="s">
        <v>71</v>
      </c>
      <c r="C1053" s="1053" t="s">
        <v>3513</v>
      </c>
      <c r="D1053" s="1053" t="s">
        <v>412</v>
      </c>
      <c r="E1053" s="11" t="str">
        <f t="array" ref="E1053">_xlfn.XLOOKUP(D1053,Insumos!B:B,Insumos!C:$C)</f>
        <v>M</v>
      </c>
      <c r="F1053" s="86">
        <v>1.2513000000000001</v>
      </c>
      <c r="G1053" s="92">
        <f t="array" ref="G1053">IF(B1053="insumo",_xlfn.XLOOKUP($D1053,Insumos!$B$1:$B$993,Insumos!$D$1:$D$993),"")</f>
        <v>0.31</v>
      </c>
      <c r="H1053" s="92">
        <v>0.387903</v>
      </c>
      <c r="I1053" s="84" t="e">
        <v>#REF!</v>
      </c>
      <c r="J1053" s="84" t="e">
        <v>#REF!</v>
      </c>
      <c r="K1053" s="84"/>
      <c r="L1053"/>
      <c r="M1053"/>
      <c r="N1053"/>
      <c r="O1053"/>
      <c r="P1053"/>
      <c r="Q1053"/>
      <c r="R1053"/>
      <c r="S1053"/>
      <c r="T1053"/>
      <c r="U1053"/>
      <c r="V1053"/>
      <c r="W1053"/>
      <c r="X1053"/>
      <c r="Y1053"/>
      <c r="Z1053"/>
      <c r="AA1053"/>
      <c r="AB1053"/>
      <c r="AC1053"/>
      <c r="AD1053"/>
      <c r="AE1053"/>
      <c r="AF1053"/>
      <c r="AG1053"/>
      <c r="AH1053"/>
      <c r="AI1053"/>
      <c r="AJ1053"/>
      <c r="AK1053"/>
      <c r="AL1053"/>
    </row>
    <row r="1054" spans="1:38" ht="18" outlineLevel="3" x14ac:dyDescent="0.2">
      <c r="A1054" s="471">
        <v>94</v>
      </c>
      <c r="B1054" s="471" t="s">
        <v>71</v>
      </c>
      <c r="C1054" s="1053" t="s">
        <v>3513</v>
      </c>
      <c r="D1054" s="1053" t="s">
        <v>413</v>
      </c>
      <c r="E1054" s="11" t="str">
        <f t="array" ref="E1054">_xlfn.XLOOKUP(D1054,Insumos!B:B,Insumos!C:$C)</f>
        <v>M</v>
      </c>
      <c r="F1054" s="86">
        <v>0.74070000000000003</v>
      </c>
      <c r="G1054" s="92">
        <f t="array" ref="G1054">IF(B1054="insumo",_xlfn.XLOOKUP($D1054,Insumos!$B$1:$B$993,Insumos!$D$1:$D$993),"")</f>
        <v>2.74</v>
      </c>
      <c r="H1054" s="92">
        <v>2.0295179999999999</v>
      </c>
      <c r="I1054" s="84" t="e">
        <v>#REF!</v>
      </c>
      <c r="J1054" s="84" t="e">
        <v>#REF!</v>
      </c>
      <c r="K1054" s="84"/>
      <c r="L1054"/>
      <c r="M1054"/>
      <c r="N1054"/>
      <c r="O1054"/>
      <c r="P1054"/>
      <c r="Q1054"/>
      <c r="R1054"/>
      <c r="S1054"/>
      <c r="T1054"/>
      <c r="U1054"/>
      <c r="V1054"/>
      <c r="W1054"/>
      <c r="X1054"/>
      <c r="Y1054"/>
      <c r="Z1054"/>
      <c r="AA1054"/>
      <c r="AB1054"/>
      <c r="AC1054"/>
      <c r="AD1054"/>
      <c r="AE1054"/>
      <c r="AF1054"/>
      <c r="AG1054"/>
      <c r="AH1054"/>
      <c r="AI1054"/>
      <c r="AJ1054"/>
      <c r="AK1054"/>
      <c r="AL1054"/>
    </row>
    <row r="1055" spans="1:38" ht="18" outlineLevel="3" x14ac:dyDescent="0.2">
      <c r="A1055" s="471">
        <v>11</v>
      </c>
      <c r="B1055" s="471" t="s">
        <v>71</v>
      </c>
      <c r="C1055" s="1053" t="s">
        <v>3513</v>
      </c>
      <c r="D1055" s="1053" t="s">
        <v>3525</v>
      </c>
      <c r="E1055" s="11" t="str">
        <f t="array" ref="E1055">_xlfn.XLOOKUP(D1055,Insumos!B:B,Insumos!C:$C)</f>
        <v>M</v>
      </c>
      <c r="F1055" s="86">
        <v>0.8</v>
      </c>
      <c r="G1055" s="92">
        <f t="array" ref="G1055">IF(B1055="insumo",_xlfn.XLOOKUP($D1055,Insumos!$B$1:$B$993,Insumos!$D$1:$D$993),"")</f>
        <v>3</v>
      </c>
      <c r="H1055" s="92">
        <v>2.4</v>
      </c>
      <c r="I1055" s="84" t="e">
        <v>#REF!</v>
      </c>
      <c r="J1055" s="84" t="e">
        <v>#REF!</v>
      </c>
      <c r="K1055" s="84"/>
      <c r="L1055"/>
      <c r="M1055"/>
      <c r="N1055"/>
      <c r="O1055"/>
      <c r="P1055"/>
      <c r="Q1055"/>
      <c r="R1055"/>
      <c r="S1055"/>
      <c r="T1055"/>
      <c r="U1055"/>
      <c r="V1055"/>
      <c r="W1055"/>
      <c r="X1055"/>
      <c r="Y1055"/>
      <c r="Z1055"/>
      <c r="AA1055"/>
      <c r="AB1055"/>
      <c r="AC1055"/>
      <c r="AD1055"/>
      <c r="AE1055"/>
      <c r="AF1055"/>
      <c r="AG1055"/>
      <c r="AH1055"/>
      <c r="AI1055"/>
      <c r="AJ1055"/>
      <c r="AK1055"/>
      <c r="AL1055"/>
    </row>
    <row r="1056" spans="1:38" ht="18" outlineLevel="3" x14ac:dyDescent="0.2">
      <c r="A1056" s="471">
        <v>11</v>
      </c>
      <c r="B1056" s="471" t="s">
        <v>71</v>
      </c>
      <c r="C1056" s="1053" t="s">
        <v>3513</v>
      </c>
      <c r="D1056" s="1053" t="s">
        <v>3526</v>
      </c>
      <c r="E1056" s="11" t="str">
        <f t="array" ref="E1056">_xlfn.XLOOKUP(D1056,Insumos!B:B,Insumos!C:$C)</f>
        <v>M</v>
      </c>
      <c r="F1056" s="86">
        <v>0.84</v>
      </c>
      <c r="G1056" s="92">
        <f t="array" ref="G1056">IF(B1056="insumo",_xlfn.XLOOKUP($D1056,Insumos!$B$1:$B$993,Insumos!$D$1:$D$993),"")</f>
        <v>0.6</v>
      </c>
      <c r="H1056" s="92">
        <v>0.504</v>
      </c>
      <c r="I1056" s="84" t="e">
        <v>#REF!</v>
      </c>
      <c r="J1056" s="84" t="e">
        <v>#REF!</v>
      </c>
      <c r="K1056" s="84"/>
      <c r="L1056"/>
      <c r="M1056"/>
      <c r="N1056"/>
      <c r="O1056"/>
      <c r="P1056"/>
      <c r="Q1056"/>
      <c r="R1056"/>
      <c r="S1056"/>
      <c r="T1056"/>
      <c r="U1056"/>
      <c r="V1056"/>
      <c r="W1056"/>
      <c r="X1056"/>
      <c r="Y1056"/>
      <c r="Z1056"/>
      <c r="AA1056"/>
      <c r="AB1056"/>
      <c r="AC1056"/>
      <c r="AD1056"/>
      <c r="AE1056"/>
      <c r="AF1056"/>
      <c r="AG1056"/>
      <c r="AH1056"/>
      <c r="AI1056"/>
      <c r="AJ1056"/>
      <c r="AK1056"/>
      <c r="AL1056"/>
    </row>
    <row r="1057" spans="1:38" ht="18" outlineLevel="3" x14ac:dyDescent="0.2">
      <c r="A1057" s="471">
        <v>97</v>
      </c>
      <c r="B1057" s="471" t="s">
        <v>71</v>
      </c>
      <c r="C1057" s="1053" t="s">
        <v>3513</v>
      </c>
      <c r="D1057" s="1053" t="s">
        <v>414</v>
      </c>
      <c r="E1057" s="11" t="str">
        <f t="array" ref="E1057">_xlfn.XLOOKUP(D1057,Insumos!B:B,Insumos!C:$C)</f>
        <v>UN</v>
      </c>
      <c r="F1057" s="86">
        <v>20.186800000000002</v>
      </c>
      <c r="G1057" s="92">
        <f t="array" ref="G1057">IF(B1057="insumo",_xlfn.XLOOKUP($D1057,Insumos!$B$1:$B$993,Insumos!$D$1:$D$993),"")</f>
        <v>0.09</v>
      </c>
      <c r="H1057" s="92">
        <v>1.8168120000000001</v>
      </c>
      <c r="I1057" s="84" t="e">
        <v>#REF!</v>
      </c>
      <c r="J1057" s="84" t="e">
        <v>#REF!</v>
      </c>
      <c r="K1057" s="84"/>
      <c r="L1057"/>
      <c r="M1057"/>
      <c r="N1057"/>
      <c r="O1057"/>
      <c r="P1057"/>
      <c r="Q1057"/>
      <c r="R1057"/>
      <c r="S1057"/>
      <c r="T1057"/>
      <c r="U1057"/>
      <c r="V1057"/>
      <c r="W1057"/>
      <c r="X1057"/>
      <c r="Y1057"/>
      <c r="Z1057"/>
      <c r="AA1057"/>
      <c r="AB1057"/>
      <c r="AC1057"/>
      <c r="AD1057"/>
      <c r="AE1057"/>
      <c r="AF1057"/>
      <c r="AG1057"/>
      <c r="AH1057"/>
      <c r="AI1057"/>
      <c r="AJ1057"/>
      <c r="AK1057"/>
      <c r="AL1057"/>
    </row>
    <row r="1058" spans="1:38" ht="18" outlineLevel="3" x14ac:dyDescent="0.2">
      <c r="A1058" s="471">
        <v>95</v>
      </c>
      <c r="B1058" s="471" t="s">
        <v>71</v>
      </c>
      <c r="C1058" s="1053" t="s">
        <v>3513</v>
      </c>
      <c r="D1058" s="1053" t="s">
        <v>415</v>
      </c>
      <c r="E1058" s="11" t="str">
        <f t="array" ref="E1058">_xlfn.XLOOKUP(D1058,Insumos!B:B,Insumos!C:$C)</f>
        <v>UN</v>
      </c>
      <c r="F1058" s="86">
        <v>0.4803</v>
      </c>
      <c r="G1058" s="92">
        <f t="array" ref="G1058">IF(B1058="insumo",_xlfn.XLOOKUP($D1058,Insumos!$B$1:$B$993,Insumos!$D$1:$D$993),"")</f>
        <v>0.2</v>
      </c>
      <c r="H1058" s="92">
        <v>9.6060000000000006E-2</v>
      </c>
      <c r="I1058" s="84" t="e">
        <v>#REF!</v>
      </c>
      <c r="J1058" s="84" t="e">
        <v>#REF!</v>
      </c>
      <c r="K1058" s="84"/>
      <c r="L1058"/>
      <c r="M1058"/>
      <c r="N1058"/>
      <c r="O1058"/>
      <c r="P1058"/>
      <c r="Q1058"/>
      <c r="R1058"/>
      <c r="S1058"/>
      <c r="T1058"/>
      <c r="U1058"/>
      <c r="V1058"/>
      <c r="W1058"/>
      <c r="X1058"/>
      <c r="Y1058"/>
      <c r="Z1058"/>
      <c r="AA1058"/>
      <c r="AB1058"/>
      <c r="AC1058"/>
      <c r="AD1058"/>
      <c r="AE1058"/>
      <c r="AF1058"/>
      <c r="AG1058"/>
      <c r="AH1058"/>
      <c r="AI1058"/>
      <c r="AJ1058"/>
      <c r="AK1058"/>
      <c r="AL1058"/>
    </row>
    <row r="1059" spans="1:38" ht="18" outlineLevel="2" x14ac:dyDescent="0.2">
      <c r="A1059" s="1076">
        <v>1</v>
      </c>
      <c r="B1059" s="1076" t="s">
        <v>68</v>
      </c>
      <c r="C1059" s="1077" t="s">
        <v>3514</v>
      </c>
      <c r="D1059" s="1077" t="s">
        <v>3514</v>
      </c>
      <c r="E1059" s="1078" t="s">
        <v>70</v>
      </c>
      <c r="F1059" s="1076"/>
      <c r="G1059" s="1069" t="str">
        <f t="array" ref="G1059">IF(B1059="insumo",_xlfn.XLOOKUP($D1059,Insumos!$B$1:$B$993,Insumos!$D$1:$D$993),"")</f>
        <v/>
      </c>
      <c r="H1059" s="1069">
        <v>103.831041</v>
      </c>
      <c r="I1059" s="1079">
        <v>0</v>
      </c>
      <c r="J1059" s="1079">
        <v>0</v>
      </c>
      <c r="K1059" s="1079"/>
      <c r="L1059"/>
      <c r="M1059"/>
      <c r="N1059"/>
      <c r="O1059"/>
      <c r="P1059"/>
      <c r="Q1059"/>
      <c r="R1059"/>
      <c r="S1059"/>
      <c r="T1059"/>
      <c r="U1059"/>
      <c r="V1059"/>
      <c r="W1059"/>
      <c r="X1059"/>
      <c r="Y1059"/>
      <c r="Z1059"/>
      <c r="AA1059"/>
      <c r="AB1059"/>
      <c r="AC1059"/>
      <c r="AD1059"/>
      <c r="AE1059"/>
      <c r="AF1059"/>
      <c r="AG1059"/>
      <c r="AH1059"/>
      <c r="AI1059"/>
      <c r="AJ1059"/>
      <c r="AK1059"/>
      <c r="AL1059"/>
    </row>
    <row r="1060" spans="1:38" ht="18" outlineLevel="3" x14ac:dyDescent="0.2">
      <c r="A1060" s="471">
        <v>49</v>
      </c>
      <c r="B1060" s="471" t="s">
        <v>71</v>
      </c>
      <c r="C1060" s="1053" t="s">
        <v>3514</v>
      </c>
      <c r="D1060" s="1053" t="s">
        <v>418</v>
      </c>
      <c r="E1060" s="11" t="str">
        <f t="array" ref="E1060">_xlfn.XLOOKUP(D1060,Insumos!B:B,Insumos!C:$C)</f>
        <v>M2</v>
      </c>
      <c r="F1060" s="86">
        <f>1.053</f>
        <v>1.0529999999999999</v>
      </c>
      <c r="G1060" s="92">
        <f t="array" ref="G1060">IF(B1060="insumo",_xlfn.XLOOKUP($D1060,Insumos!$B$1:$B$993,Insumos!$D$1:$D$993),"")</f>
        <v>27.1</v>
      </c>
      <c r="H1060" s="92">
        <v>28.536300000000001</v>
      </c>
      <c r="I1060" s="84">
        <v>0</v>
      </c>
      <c r="J1060" s="84">
        <v>0</v>
      </c>
      <c r="K1060" s="84"/>
      <c r="L1060"/>
      <c r="M1060"/>
      <c r="N1060"/>
      <c r="O1060"/>
      <c r="P1060"/>
      <c r="Q1060"/>
      <c r="R1060"/>
      <c r="S1060"/>
      <c r="T1060"/>
      <c r="U1060"/>
      <c r="V1060"/>
      <c r="W1060"/>
      <c r="X1060"/>
      <c r="Y1060"/>
      <c r="Z1060"/>
      <c r="AA1060"/>
      <c r="AB1060"/>
      <c r="AC1060"/>
      <c r="AD1060"/>
      <c r="AE1060"/>
      <c r="AF1060"/>
      <c r="AG1060"/>
      <c r="AH1060"/>
      <c r="AI1060"/>
      <c r="AJ1060"/>
      <c r="AK1060"/>
      <c r="AL1060"/>
    </row>
    <row r="1061" spans="1:38" ht="12.75" outlineLevel="3" x14ac:dyDescent="0.2">
      <c r="A1061" s="471">
        <v>10</v>
      </c>
      <c r="B1061" s="471" t="s">
        <v>71</v>
      </c>
      <c r="C1061" s="10" t="s">
        <v>3514</v>
      </c>
      <c r="D1061" s="10" t="s">
        <v>3524</v>
      </c>
      <c r="E1061" s="11" t="str">
        <f t="array" ref="E1061">_xlfn.XLOOKUP(D1061,Insumos!B:B,Insumos!C:$C)</f>
        <v>M2</v>
      </c>
      <c r="F1061" s="86">
        <f>1.053</f>
        <v>1.0529999999999999</v>
      </c>
      <c r="G1061" s="92">
        <f t="array" ref="G1061">IF(B1061="insumo",_xlfn.XLOOKUP($D1061,Insumos!$B$1:$B$993,Insumos!$D$1:$D$993),"")</f>
        <v>34.513888888888893</v>
      </c>
      <c r="H1061" s="92">
        <v>36.343125000000001</v>
      </c>
      <c r="I1061" s="84">
        <v>0</v>
      </c>
      <c r="J1061" s="84">
        <v>0</v>
      </c>
      <c r="K1061" s="84"/>
      <c r="L1061"/>
      <c r="M1061"/>
      <c r="N1061"/>
      <c r="O1061"/>
      <c r="P1061"/>
      <c r="Q1061"/>
      <c r="R1061"/>
      <c r="S1061"/>
      <c r="T1061"/>
      <c r="U1061"/>
      <c r="V1061"/>
      <c r="W1061"/>
      <c r="X1061"/>
      <c r="Y1061"/>
      <c r="Z1061"/>
      <c r="AA1061"/>
      <c r="AB1061"/>
      <c r="AC1061"/>
      <c r="AD1061"/>
      <c r="AE1061"/>
      <c r="AF1061"/>
      <c r="AG1061"/>
      <c r="AH1061"/>
      <c r="AI1061"/>
      <c r="AJ1061"/>
      <c r="AK1061"/>
      <c r="AL1061"/>
    </row>
    <row r="1062" spans="1:38" ht="18" outlineLevel="3" x14ac:dyDescent="0.2">
      <c r="A1062" s="471">
        <v>95</v>
      </c>
      <c r="B1062" s="471" t="s">
        <v>71</v>
      </c>
      <c r="C1062" s="1053" t="s">
        <v>3514</v>
      </c>
      <c r="D1062" s="1053" t="s">
        <v>409</v>
      </c>
      <c r="E1062" s="11" t="str">
        <f t="array" ref="E1062">_xlfn.XLOOKUP(D1062,Insumos!B:B,Insumos!C:$C)</f>
        <v>UN</v>
      </c>
      <c r="F1062" s="86">
        <v>4.95</v>
      </c>
      <c r="G1062" s="92">
        <f t="array" ref="G1062">IF(B1062="insumo",_xlfn.XLOOKUP($D1062,Insumos!$B$1:$B$993,Insumos!$D$1:$D$993),"")</f>
        <v>0.504</v>
      </c>
      <c r="H1062" s="92">
        <v>2.4948000000000001</v>
      </c>
      <c r="I1062" s="84">
        <v>0</v>
      </c>
      <c r="J1062" s="84">
        <v>0</v>
      </c>
      <c r="K1062" s="84"/>
      <c r="L1062"/>
      <c r="M1062"/>
      <c r="N1062"/>
      <c r="O1062"/>
      <c r="P1062"/>
      <c r="Q1062"/>
      <c r="R1062"/>
      <c r="S1062"/>
      <c r="T1062"/>
      <c r="U1062"/>
      <c r="V1062"/>
      <c r="W1062"/>
      <c r="X1062"/>
      <c r="Y1062"/>
      <c r="Z1062"/>
      <c r="AA1062"/>
      <c r="AB1062"/>
      <c r="AC1062"/>
      <c r="AD1062"/>
      <c r="AE1062"/>
      <c r="AF1062"/>
      <c r="AG1062"/>
      <c r="AH1062"/>
      <c r="AI1062"/>
      <c r="AJ1062"/>
      <c r="AK1062"/>
      <c r="AL1062"/>
    </row>
    <row r="1063" spans="1:38" ht="18" outlineLevel="3" x14ac:dyDescent="0.2">
      <c r="A1063" s="471">
        <v>43</v>
      </c>
      <c r="B1063" s="471" t="s">
        <v>71</v>
      </c>
      <c r="C1063" s="1053" t="s">
        <v>3514</v>
      </c>
      <c r="D1063" s="1053" t="s">
        <v>423</v>
      </c>
      <c r="E1063" s="11" t="str">
        <f t="array" ref="E1063">_xlfn.XLOOKUP(D1063,Insumos!B:B,Insumos!C:$C)</f>
        <v>M</v>
      </c>
      <c r="F1063" s="86">
        <v>1.5247999999999999</v>
      </c>
      <c r="G1063" s="92">
        <f t="array" ref="G1063">IF(B1063="insumo",_xlfn.XLOOKUP($D1063,Insumos!$B$1:$B$993,Insumos!$D$1:$D$993),"")</f>
        <v>7.46</v>
      </c>
      <c r="H1063" s="92">
        <v>11.375007999999999</v>
      </c>
      <c r="I1063" s="84">
        <v>0</v>
      </c>
      <c r="J1063" s="84">
        <v>0</v>
      </c>
      <c r="K1063" s="84"/>
      <c r="L1063"/>
      <c r="M1063"/>
      <c r="N1063"/>
      <c r="O1063"/>
      <c r="P1063"/>
      <c r="Q1063"/>
      <c r="R1063"/>
      <c r="S1063"/>
      <c r="T1063"/>
      <c r="U1063"/>
      <c r="V1063"/>
      <c r="W1063"/>
      <c r="X1063"/>
      <c r="Y1063"/>
      <c r="Z1063"/>
      <c r="AA1063"/>
      <c r="AB1063"/>
      <c r="AC1063"/>
      <c r="AD1063"/>
      <c r="AE1063"/>
      <c r="AF1063"/>
      <c r="AG1063"/>
      <c r="AH1063"/>
      <c r="AI1063"/>
      <c r="AJ1063"/>
      <c r="AK1063"/>
      <c r="AL1063"/>
    </row>
    <row r="1064" spans="1:38" ht="18" outlineLevel="3" x14ac:dyDescent="0.2">
      <c r="A1064" s="471">
        <v>43</v>
      </c>
      <c r="B1064" s="471" t="s">
        <v>71</v>
      </c>
      <c r="C1064" s="1053" t="s">
        <v>3514</v>
      </c>
      <c r="D1064" s="1053" t="s">
        <v>424</v>
      </c>
      <c r="E1064" s="11" t="str">
        <f t="array" ref="E1064">_xlfn.XLOOKUP(D1064,Insumos!B:B,Insumos!C:$C)</f>
        <v>M</v>
      </c>
      <c r="F1064" s="86">
        <v>2.0005999999999999</v>
      </c>
      <c r="G1064" s="92">
        <f t="array" ref="G1064">IF(B1064="insumo",_xlfn.XLOOKUP($D1064,Insumos!$B$1:$B$993,Insumos!$D$1:$D$993),"")</f>
        <v>7.98</v>
      </c>
      <c r="H1064" s="92">
        <v>15.964788</v>
      </c>
      <c r="I1064" s="84">
        <v>0</v>
      </c>
      <c r="J1064" s="84">
        <v>0</v>
      </c>
      <c r="K1064" s="84"/>
      <c r="L1064"/>
      <c r="M1064"/>
      <c r="N1064"/>
      <c r="O1064"/>
      <c r="P1064"/>
      <c r="Q1064"/>
      <c r="R1064"/>
      <c r="S1064"/>
      <c r="T1064"/>
      <c r="U1064"/>
      <c r="V1064"/>
      <c r="W1064"/>
      <c r="X1064"/>
      <c r="Y1064"/>
      <c r="Z1064"/>
      <c r="AA1064"/>
      <c r="AB1064"/>
      <c r="AC1064"/>
      <c r="AD1064"/>
      <c r="AE1064"/>
      <c r="AF1064"/>
      <c r="AG1064"/>
      <c r="AH1064"/>
      <c r="AI1064"/>
      <c r="AJ1064"/>
      <c r="AK1064"/>
      <c r="AL1064"/>
    </row>
    <row r="1065" spans="1:38" ht="18" outlineLevel="3" x14ac:dyDescent="0.2">
      <c r="A1065" s="471">
        <v>95</v>
      </c>
      <c r="B1065" s="471" t="s">
        <v>71</v>
      </c>
      <c r="C1065" s="1053" t="s">
        <v>3514</v>
      </c>
      <c r="D1065" s="1053" t="s">
        <v>405</v>
      </c>
      <c r="E1065" s="11" t="str">
        <f t="array" ref="E1065">_xlfn.XLOOKUP(D1065,Insumos!B:B,Insumos!C:$C)</f>
        <v>KG</v>
      </c>
      <c r="F1065" s="86">
        <v>0.54890000000000005</v>
      </c>
      <c r="G1065" s="92">
        <f t="array" ref="G1065">IF(B1065="insumo",_xlfn.XLOOKUP($D1065,Insumos!$B$1:$B$993,Insumos!$D$1:$D$993),"")</f>
        <v>3.43</v>
      </c>
      <c r="H1065" s="92">
        <v>1.882727</v>
      </c>
      <c r="I1065" s="84">
        <v>0</v>
      </c>
      <c r="J1065" s="84">
        <v>0</v>
      </c>
      <c r="K1065" s="84"/>
      <c r="L1065"/>
      <c r="M1065"/>
      <c r="N1065"/>
      <c r="O1065"/>
      <c r="P1065"/>
      <c r="Q1065"/>
      <c r="R1065"/>
      <c r="S1065"/>
      <c r="T1065"/>
      <c r="U1065"/>
      <c r="V1065"/>
      <c r="W1065"/>
      <c r="X1065"/>
      <c r="Y1065"/>
      <c r="Z1065"/>
      <c r="AA1065"/>
      <c r="AB1065"/>
      <c r="AC1065"/>
      <c r="AD1065"/>
      <c r="AE1065"/>
      <c r="AF1065"/>
      <c r="AG1065"/>
      <c r="AH1065"/>
      <c r="AI1065"/>
      <c r="AJ1065"/>
      <c r="AK1065"/>
      <c r="AL1065"/>
    </row>
    <row r="1066" spans="1:38" ht="18" outlineLevel="3" x14ac:dyDescent="0.2">
      <c r="A1066" s="471">
        <v>94</v>
      </c>
      <c r="B1066" s="471" t="s">
        <v>71</v>
      </c>
      <c r="C1066" s="1053" t="s">
        <v>3514</v>
      </c>
      <c r="D1066" s="1053" t="s">
        <v>412</v>
      </c>
      <c r="E1066" s="11" t="str">
        <f t="array" ref="E1066">_xlfn.XLOOKUP(D1066,Insumos!B:B,Insumos!C:$C)</f>
        <v>M</v>
      </c>
      <c r="F1066" s="86">
        <v>1.2513000000000001</v>
      </c>
      <c r="G1066" s="92">
        <f t="array" ref="G1066">IF(B1066="insumo",_xlfn.XLOOKUP($D1066,Insumos!$B$1:$B$993,Insumos!$D$1:$D$993),"")</f>
        <v>0.31</v>
      </c>
      <c r="H1066" s="92">
        <v>0.387903</v>
      </c>
      <c r="I1066" s="84">
        <v>0</v>
      </c>
      <c r="J1066" s="84">
        <v>0</v>
      </c>
      <c r="K1066" s="84"/>
      <c r="L1066"/>
      <c r="M1066"/>
      <c r="N1066"/>
      <c r="O1066"/>
      <c r="P1066"/>
      <c r="Q1066"/>
      <c r="R1066"/>
      <c r="S1066"/>
      <c r="T1066"/>
      <c r="U1066"/>
      <c r="V1066"/>
      <c r="W1066"/>
      <c r="X1066"/>
      <c r="Y1066"/>
      <c r="Z1066"/>
      <c r="AA1066"/>
      <c r="AB1066"/>
      <c r="AC1066"/>
      <c r="AD1066"/>
      <c r="AE1066"/>
      <c r="AF1066"/>
      <c r="AG1066"/>
      <c r="AH1066"/>
      <c r="AI1066"/>
      <c r="AJ1066"/>
      <c r="AK1066"/>
      <c r="AL1066"/>
    </row>
    <row r="1067" spans="1:38" ht="18" outlineLevel="3" x14ac:dyDescent="0.2">
      <c r="A1067" s="471">
        <v>94</v>
      </c>
      <c r="B1067" s="471" t="s">
        <v>71</v>
      </c>
      <c r="C1067" s="1053" t="s">
        <v>3514</v>
      </c>
      <c r="D1067" s="1053" t="s">
        <v>413</v>
      </c>
      <c r="E1067" s="11" t="str">
        <f t="array" ref="E1067">_xlfn.XLOOKUP(D1067,Insumos!B:B,Insumos!C:$C)</f>
        <v>M</v>
      </c>
      <c r="F1067" s="86">
        <v>0.74070000000000003</v>
      </c>
      <c r="G1067" s="92">
        <f t="array" ref="G1067">IF(B1067="insumo",_xlfn.XLOOKUP($D1067,Insumos!$B$1:$B$993,Insumos!$D$1:$D$993),"")</f>
        <v>2.74</v>
      </c>
      <c r="H1067" s="92">
        <v>2.0295179999999999</v>
      </c>
      <c r="I1067" s="84">
        <v>0</v>
      </c>
      <c r="J1067" s="84">
        <v>0</v>
      </c>
      <c r="K1067" s="84"/>
      <c r="L1067"/>
      <c r="M1067"/>
      <c r="N1067"/>
      <c r="O1067"/>
      <c r="P1067"/>
      <c r="Q1067"/>
      <c r="R1067"/>
      <c r="S1067"/>
      <c r="T1067"/>
      <c r="U1067"/>
      <c r="V1067"/>
      <c r="W1067"/>
      <c r="X1067"/>
      <c r="Y1067"/>
      <c r="Z1067"/>
      <c r="AA1067"/>
      <c r="AB1067"/>
      <c r="AC1067"/>
      <c r="AD1067"/>
      <c r="AE1067"/>
      <c r="AF1067"/>
      <c r="AG1067"/>
      <c r="AH1067"/>
      <c r="AI1067"/>
      <c r="AJ1067"/>
      <c r="AK1067"/>
      <c r="AL1067"/>
    </row>
    <row r="1068" spans="1:38" ht="18" outlineLevel="3" x14ac:dyDescent="0.2">
      <c r="A1068" s="471">
        <v>11</v>
      </c>
      <c r="B1068" s="471" t="s">
        <v>71</v>
      </c>
      <c r="C1068" s="1053" t="s">
        <v>3514</v>
      </c>
      <c r="D1068" s="1053" t="s">
        <v>3525</v>
      </c>
      <c r="E1068" s="11" t="str">
        <f t="array" ref="E1068">_xlfn.XLOOKUP(D1068,Insumos!B:B,Insumos!C:$C)</f>
        <v>M</v>
      </c>
      <c r="F1068" s="86">
        <v>0.8</v>
      </c>
      <c r="G1068" s="92">
        <f t="array" ref="G1068">IF(B1068="insumo",_xlfn.XLOOKUP($D1068,Insumos!$B$1:$B$993,Insumos!$D$1:$D$993),"")</f>
        <v>3</v>
      </c>
      <c r="H1068" s="92">
        <v>2.4</v>
      </c>
      <c r="I1068" s="84">
        <v>0</v>
      </c>
      <c r="J1068" s="84">
        <v>0</v>
      </c>
      <c r="K1068" s="84"/>
      <c r="L1068"/>
      <c r="M1068"/>
      <c r="N1068"/>
      <c r="O1068"/>
      <c r="P1068"/>
      <c r="Q1068"/>
      <c r="R1068"/>
      <c r="S1068"/>
      <c r="T1068"/>
      <c r="U1068"/>
      <c r="V1068"/>
      <c r="W1068"/>
      <c r="X1068"/>
      <c r="Y1068"/>
      <c r="Z1068"/>
      <c r="AA1068"/>
      <c r="AB1068"/>
      <c r="AC1068"/>
      <c r="AD1068"/>
      <c r="AE1068"/>
      <c r="AF1068"/>
      <c r="AG1068"/>
      <c r="AH1068"/>
      <c r="AI1068"/>
      <c r="AJ1068"/>
      <c r="AK1068"/>
      <c r="AL1068"/>
    </row>
    <row r="1069" spans="1:38" ht="18" outlineLevel="3" x14ac:dyDescent="0.2">
      <c r="A1069" s="471">
        <v>11</v>
      </c>
      <c r="B1069" s="471" t="s">
        <v>71</v>
      </c>
      <c r="C1069" s="1053" t="s">
        <v>3514</v>
      </c>
      <c r="D1069" s="1053" t="s">
        <v>3526</v>
      </c>
      <c r="E1069" s="11" t="str">
        <f t="array" ref="E1069">_xlfn.XLOOKUP(D1069,Insumos!B:B,Insumos!C:$C)</f>
        <v>M</v>
      </c>
      <c r="F1069" s="86">
        <v>0.84</v>
      </c>
      <c r="G1069" s="92">
        <f t="array" ref="G1069">IF(B1069="insumo",_xlfn.XLOOKUP($D1069,Insumos!$B$1:$B$993,Insumos!$D$1:$D$993),"")</f>
        <v>0.6</v>
      </c>
      <c r="H1069" s="92">
        <v>0.504</v>
      </c>
      <c r="I1069" s="84">
        <v>0</v>
      </c>
      <c r="J1069" s="84">
        <v>0</v>
      </c>
      <c r="K1069" s="84"/>
      <c r="L1069"/>
      <c r="M1069"/>
      <c r="N1069"/>
      <c r="O1069"/>
      <c r="P1069"/>
      <c r="Q1069"/>
      <c r="R1069"/>
      <c r="S1069"/>
      <c r="T1069"/>
      <c r="U1069"/>
      <c r="V1069"/>
      <c r="W1069"/>
      <c r="X1069"/>
      <c r="Y1069"/>
      <c r="Z1069"/>
      <c r="AA1069"/>
      <c r="AB1069"/>
      <c r="AC1069"/>
      <c r="AD1069"/>
      <c r="AE1069"/>
      <c r="AF1069"/>
      <c r="AG1069"/>
      <c r="AH1069"/>
      <c r="AI1069"/>
      <c r="AJ1069"/>
      <c r="AK1069"/>
      <c r="AL1069"/>
    </row>
    <row r="1070" spans="1:38" ht="18" outlineLevel="3" x14ac:dyDescent="0.2">
      <c r="A1070" s="471">
        <v>97</v>
      </c>
      <c r="B1070" s="471" t="s">
        <v>71</v>
      </c>
      <c r="C1070" s="1053" t="s">
        <v>3514</v>
      </c>
      <c r="D1070" s="1053" t="s">
        <v>414</v>
      </c>
      <c r="E1070" s="11" t="str">
        <f t="array" ref="E1070">_xlfn.XLOOKUP(D1070,Insumos!B:B,Insumos!C:$C)</f>
        <v>UN</v>
      </c>
      <c r="F1070" s="86">
        <v>20.186800000000002</v>
      </c>
      <c r="G1070" s="92">
        <f t="array" ref="G1070">IF(B1070="insumo",_xlfn.XLOOKUP($D1070,Insumos!$B$1:$B$993,Insumos!$D$1:$D$993),"")</f>
        <v>0.09</v>
      </c>
      <c r="H1070" s="92">
        <v>1.8168120000000001</v>
      </c>
      <c r="I1070" s="84">
        <v>0</v>
      </c>
      <c r="J1070" s="84">
        <v>0</v>
      </c>
      <c r="K1070" s="84"/>
      <c r="L1070"/>
      <c r="M1070"/>
      <c r="N1070"/>
      <c r="O1070"/>
      <c r="P1070"/>
      <c r="Q1070"/>
      <c r="R1070"/>
      <c r="S1070"/>
      <c r="T1070"/>
      <c r="U1070"/>
      <c r="V1070"/>
      <c r="W1070"/>
      <c r="X1070"/>
      <c r="Y1070"/>
      <c r="Z1070"/>
      <c r="AA1070"/>
      <c r="AB1070"/>
      <c r="AC1070"/>
      <c r="AD1070"/>
      <c r="AE1070"/>
      <c r="AF1070"/>
      <c r="AG1070"/>
      <c r="AH1070"/>
      <c r="AI1070"/>
      <c r="AJ1070"/>
      <c r="AK1070"/>
      <c r="AL1070"/>
    </row>
    <row r="1071" spans="1:38" ht="18" outlineLevel="3" x14ac:dyDescent="0.2">
      <c r="A1071" s="471">
        <v>95</v>
      </c>
      <c r="B1071" s="471" t="s">
        <v>71</v>
      </c>
      <c r="C1071" s="1053" t="s">
        <v>3514</v>
      </c>
      <c r="D1071" s="1053" t="s">
        <v>415</v>
      </c>
      <c r="E1071" s="11" t="str">
        <f t="array" ref="E1071">_xlfn.XLOOKUP(D1071,Insumos!B:B,Insumos!C:$C)</f>
        <v>UN</v>
      </c>
      <c r="F1071" s="86">
        <v>0.4803</v>
      </c>
      <c r="G1071" s="92">
        <f t="array" ref="G1071">IF(B1071="insumo",_xlfn.XLOOKUP($D1071,Insumos!$B$1:$B$993,Insumos!$D$1:$D$993),"")</f>
        <v>0.2</v>
      </c>
      <c r="H1071" s="92">
        <v>9.6060000000000006E-2</v>
      </c>
      <c r="I1071" s="84">
        <v>0</v>
      </c>
      <c r="J1071" s="84">
        <v>0</v>
      </c>
      <c r="K1071" s="84"/>
      <c r="L1071"/>
      <c r="M1071"/>
      <c r="N1071"/>
      <c r="O1071"/>
      <c r="P1071"/>
      <c r="Q1071"/>
      <c r="R1071"/>
      <c r="S1071"/>
      <c r="T1071"/>
      <c r="U1071"/>
      <c r="V1071"/>
      <c r="W1071"/>
      <c r="X1071"/>
      <c r="Y1071"/>
      <c r="Z1071"/>
      <c r="AA1071"/>
      <c r="AB1071"/>
      <c r="AC1071"/>
      <c r="AD1071"/>
      <c r="AE1071"/>
      <c r="AF1071"/>
      <c r="AG1071"/>
      <c r="AH1071"/>
      <c r="AI1071"/>
      <c r="AJ1071"/>
      <c r="AK1071"/>
      <c r="AL1071"/>
    </row>
    <row r="1072" spans="1:38" ht="27" outlineLevel="2" x14ac:dyDescent="0.2">
      <c r="A1072" s="1076">
        <v>1</v>
      </c>
      <c r="B1072" s="1076" t="s">
        <v>68</v>
      </c>
      <c r="C1072" s="1077" t="s">
        <v>3515</v>
      </c>
      <c r="D1072" s="1077" t="s">
        <v>3515</v>
      </c>
      <c r="E1072" s="1078" t="s">
        <v>70</v>
      </c>
      <c r="F1072" s="1076"/>
      <c r="G1072" s="1069" t="str">
        <f t="array" ref="G1072">IF(B1072="insumo",_xlfn.XLOOKUP($D1072,Insumos!$B$1:$B$993,Insumos!$D$1:$D$993),"")</f>
        <v/>
      </c>
      <c r="H1072" s="1069">
        <v>158.39527899999999</v>
      </c>
      <c r="I1072" s="1079">
        <v>0</v>
      </c>
      <c r="J1072" s="1079">
        <v>0</v>
      </c>
      <c r="K1072" s="1079"/>
      <c r="L1072"/>
      <c r="M1072"/>
      <c r="N1072"/>
      <c r="O1072"/>
      <c r="P1072"/>
      <c r="Q1072"/>
      <c r="R1072"/>
      <c r="S1072"/>
      <c r="T1072"/>
      <c r="U1072"/>
      <c r="V1072"/>
      <c r="W1072"/>
      <c r="X1072"/>
      <c r="Y1072"/>
      <c r="Z1072"/>
      <c r="AA1072"/>
      <c r="AB1072"/>
      <c r="AC1072"/>
      <c r="AD1072"/>
      <c r="AE1072"/>
      <c r="AF1072"/>
      <c r="AG1072"/>
      <c r="AH1072"/>
      <c r="AI1072"/>
      <c r="AJ1072"/>
      <c r="AK1072"/>
      <c r="AL1072"/>
    </row>
    <row r="1073" spans="1:38" ht="27" outlineLevel="3" x14ac:dyDescent="0.2">
      <c r="A1073" s="471">
        <v>47</v>
      </c>
      <c r="B1073" s="471" t="s">
        <v>71</v>
      </c>
      <c r="C1073" s="1053" t="s">
        <v>3515</v>
      </c>
      <c r="D1073" s="1053" t="s">
        <v>408</v>
      </c>
      <c r="E1073" s="11" t="str">
        <f t="array" ref="E1073">_xlfn.XLOOKUP(D1073,Insumos!B:B,Insumos!C:$C)</f>
        <v>M2</v>
      </c>
      <c r="F1073" s="86">
        <f>1.053*2</f>
        <v>2.1059999999999999</v>
      </c>
      <c r="G1073" s="92">
        <f t="array" ref="G1073">IF(B1073="insumo",_xlfn.XLOOKUP($D1073,Insumos!$B$1:$B$993,Insumos!$D$1:$D$993),"")</f>
        <v>20.16</v>
      </c>
      <c r="H1073" s="92">
        <v>42.456960000000002</v>
      </c>
      <c r="I1073" s="84">
        <v>0</v>
      </c>
      <c r="J1073" s="84">
        <v>0</v>
      </c>
      <c r="K1073" s="84"/>
      <c r="L1073"/>
      <c r="M1073"/>
      <c r="N1073"/>
      <c r="O1073"/>
      <c r="P1073"/>
      <c r="Q1073"/>
      <c r="R1073"/>
      <c r="S1073"/>
      <c r="T1073"/>
      <c r="U1073"/>
      <c r="V1073"/>
      <c r="W1073"/>
      <c r="X1073"/>
      <c r="Y1073"/>
      <c r="Z1073"/>
      <c r="AA1073"/>
      <c r="AB1073"/>
      <c r="AC1073"/>
      <c r="AD1073"/>
      <c r="AE1073"/>
      <c r="AF1073"/>
      <c r="AG1073"/>
      <c r="AH1073"/>
      <c r="AI1073"/>
      <c r="AJ1073"/>
      <c r="AK1073"/>
      <c r="AL1073"/>
    </row>
    <row r="1074" spans="1:38" ht="12.75" outlineLevel="3" x14ac:dyDescent="0.2">
      <c r="A1074" s="471">
        <v>10</v>
      </c>
      <c r="B1074" s="471" t="s">
        <v>71</v>
      </c>
      <c r="C1074" s="10" t="s">
        <v>3515</v>
      </c>
      <c r="D1074" s="10" t="s">
        <v>3524</v>
      </c>
      <c r="E1074" s="11" t="str">
        <f t="array" ref="E1074">_xlfn.XLOOKUP(D1074,Insumos!B:B,Insumos!C:$C)</f>
        <v>M2</v>
      </c>
      <c r="F1074" s="86">
        <f>1.053*2</f>
        <v>2.1059999999999999</v>
      </c>
      <c r="G1074" s="92">
        <f t="array" ref="G1074">IF(B1074="insumo",_xlfn.XLOOKUP($D1074,Insumos!$B$1:$B$993,Insumos!$D$1:$D$993),"")</f>
        <v>34.513888888888893</v>
      </c>
      <c r="H1074" s="92">
        <v>72.686250000000001</v>
      </c>
      <c r="I1074" s="84">
        <v>0</v>
      </c>
      <c r="J1074" s="84">
        <v>0</v>
      </c>
      <c r="K1074" s="84"/>
      <c r="L1074"/>
      <c r="M1074"/>
      <c r="N1074"/>
      <c r="O1074"/>
      <c r="P1074"/>
      <c r="Q1074"/>
      <c r="R1074"/>
      <c r="S1074"/>
      <c r="T1074"/>
      <c r="U1074"/>
      <c r="V1074"/>
      <c r="W1074"/>
      <c r="X1074"/>
      <c r="Y1074"/>
      <c r="Z1074"/>
      <c r="AA1074"/>
      <c r="AB1074"/>
      <c r="AC1074"/>
      <c r="AD1074"/>
      <c r="AE1074"/>
      <c r="AF1074"/>
      <c r="AG1074"/>
      <c r="AH1074"/>
      <c r="AI1074"/>
      <c r="AJ1074"/>
      <c r="AK1074"/>
      <c r="AL1074"/>
    </row>
    <row r="1075" spans="1:38" ht="27" outlineLevel="3" x14ac:dyDescent="0.2">
      <c r="A1075" s="471">
        <v>95</v>
      </c>
      <c r="B1075" s="471" t="s">
        <v>71</v>
      </c>
      <c r="C1075" s="1053" t="s">
        <v>3515</v>
      </c>
      <c r="D1075" s="1053" t="s">
        <v>409</v>
      </c>
      <c r="E1075" s="11" t="str">
        <f t="array" ref="E1075">_xlfn.XLOOKUP(D1075,Insumos!B:B,Insumos!C:$C)</f>
        <v>UN</v>
      </c>
      <c r="F1075" s="86">
        <v>4.95</v>
      </c>
      <c r="G1075" s="92">
        <f t="array" ref="G1075">IF(B1075="insumo",_xlfn.XLOOKUP($D1075,Insumos!$B$1:$B$993,Insumos!$D$1:$D$993),"")</f>
        <v>0.504</v>
      </c>
      <c r="H1075" s="92">
        <v>2.4948000000000001</v>
      </c>
      <c r="I1075" s="84">
        <v>0</v>
      </c>
      <c r="J1075" s="84">
        <v>0</v>
      </c>
      <c r="K1075" s="84"/>
      <c r="L1075"/>
      <c r="M1075"/>
      <c r="N1075"/>
      <c r="O1075"/>
      <c r="P1075"/>
      <c r="Q1075"/>
      <c r="R1075"/>
      <c r="S1075"/>
      <c r="T1075"/>
      <c r="U1075"/>
      <c r="V1075"/>
      <c r="W1075"/>
      <c r="X1075"/>
      <c r="Y1075"/>
      <c r="Z1075"/>
      <c r="AA1075"/>
      <c r="AB1075"/>
      <c r="AC1075"/>
      <c r="AD1075"/>
      <c r="AE1075"/>
      <c r="AF1075"/>
      <c r="AG1075"/>
      <c r="AH1075"/>
      <c r="AI1075"/>
      <c r="AJ1075"/>
      <c r="AK1075"/>
      <c r="AL1075"/>
    </row>
    <row r="1076" spans="1:38" ht="27" outlineLevel="3" x14ac:dyDescent="0.2">
      <c r="A1076" s="471">
        <v>43</v>
      </c>
      <c r="B1076" s="471" t="s">
        <v>71</v>
      </c>
      <c r="C1076" s="1053" t="s">
        <v>3515</v>
      </c>
      <c r="D1076" s="1053" t="s">
        <v>423</v>
      </c>
      <c r="E1076" s="11" t="str">
        <f t="array" ref="E1076">_xlfn.XLOOKUP(D1076,Insumos!B:B,Insumos!C:$C)</f>
        <v>M</v>
      </c>
      <c r="F1076" s="86">
        <v>1.5247999999999999</v>
      </c>
      <c r="G1076" s="92">
        <f t="array" ref="G1076">IF(B1076="insumo",_xlfn.XLOOKUP($D1076,Insumos!$B$1:$B$993,Insumos!$D$1:$D$993),"")</f>
        <v>7.46</v>
      </c>
      <c r="H1076" s="92">
        <v>11.375007999999999</v>
      </c>
      <c r="I1076" s="84">
        <v>0</v>
      </c>
      <c r="J1076" s="84">
        <v>0</v>
      </c>
      <c r="K1076" s="84"/>
      <c r="L1076"/>
      <c r="M1076"/>
      <c r="N1076"/>
      <c r="O1076"/>
      <c r="P1076"/>
      <c r="Q1076"/>
      <c r="R1076"/>
      <c r="S1076"/>
      <c r="T1076"/>
      <c r="U1076"/>
      <c r="V1076"/>
      <c r="W1076"/>
      <c r="X1076"/>
      <c r="Y1076"/>
      <c r="Z1076"/>
      <c r="AA1076"/>
      <c r="AB1076"/>
      <c r="AC1076"/>
      <c r="AD1076"/>
      <c r="AE1076"/>
      <c r="AF1076"/>
      <c r="AG1076"/>
      <c r="AH1076"/>
      <c r="AI1076"/>
      <c r="AJ1076"/>
      <c r="AK1076"/>
      <c r="AL1076"/>
    </row>
    <row r="1077" spans="1:38" ht="27" outlineLevel="3" x14ac:dyDescent="0.2">
      <c r="A1077" s="471">
        <v>43</v>
      </c>
      <c r="B1077" s="471" t="s">
        <v>71</v>
      </c>
      <c r="C1077" s="1053" t="s">
        <v>3515</v>
      </c>
      <c r="D1077" s="1053" t="s">
        <v>424</v>
      </c>
      <c r="E1077" s="11" t="str">
        <f t="array" ref="E1077">_xlfn.XLOOKUP(D1077,Insumos!B:B,Insumos!C:$C)</f>
        <v>M</v>
      </c>
      <c r="F1077" s="86">
        <v>2.0005999999999999</v>
      </c>
      <c r="G1077" s="92">
        <f t="array" ref="G1077">IF(B1077="insumo",_xlfn.XLOOKUP($D1077,Insumos!$B$1:$B$993,Insumos!$D$1:$D$993),"")</f>
        <v>7.98</v>
      </c>
      <c r="H1077" s="92">
        <v>15.964788</v>
      </c>
      <c r="I1077" s="84">
        <v>0</v>
      </c>
      <c r="J1077" s="84">
        <v>0</v>
      </c>
      <c r="K1077" s="84"/>
      <c r="L1077"/>
      <c r="M1077"/>
      <c r="N1077"/>
      <c r="O1077"/>
      <c r="P1077"/>
      <c r="Q1077"/>
      <c r="R1077"/>
      <c r="S1077"/>
      <c r="T1077"/>
      <c r="U1077"/>
      <c r="V1077"/>
      <c r="W1077"/>
      <c r="X1077"/>
      <c r="Y1077"/>
      <c r="Z1077"/>
      <c r="AA1077"/>
      <c r="AB1077"/>
      <c r="AC1077"/>
      <c r="AD1077"/>
      <c r="AE1077"/>
      <c r="AF1077"/>
      <c r="AG1077"/>
      <c r="AH1077"/>
      <c r="AI1077"/>
      <c r="AJ1077"/>
      <c r="AK1077"/>
      <c r="AL1077"/>
    </row>
    <row r="1078" spans="1:38" ht="27" outlineLevel="3" x14ac:dyDescent="0.2">
      <c r="A1078" s="471">
        <v>95</v>
      </c>
      <c r="B1078" s="471" t="s">
        <v>71</v>
      </c>
      <c r="C1078" s="1053" t="s">
        <v>3515</v>
      </c>
      <c r="D1078" s="1053" t="s">
        <v>405</v>
      </c>
      <c r="E1078" s="11" t="str">
        <f t="array" ref="E1078">_xlfn.XLOOKUP(D1078,Insumos!B:B,Insumos!C:$C)</f>
        <v>KG</v>
      </c>
      <c r="F1078" s="86">
        <v>1.0978000000000001</v>
      </c>
      <c r="G1078" s="92">
        <f t="array" ref="G1078">IF(B1078="insumo",_xlfn.XLOOKUP($D1078,Insumos!$B$1:$B$993,Insumos!$D$1:$D$993),"")</f>
        <v>3.43</v>
      </c>
      <c r="H1078" s="92">
        <v>3.7654540000000001</v>
      </c>
      <c r="I1078" s="84">
        <v>0</v>
      </c>
      <c r="J1078" s="84">
        <v>0</v>
      </c>
      <c r="K1078" s="84"/>
      <c r="L1078"/>
      <c r="M1078"/>
      <c r="N1078"/>
      <c r="O1078"/>
      <c r="P1078"/>
      <c r="Q1078"/>
      <c r="R1078"/>
      <c r="S1078"/>
      <c r="T1078"/>
      <c r="U1078"/>
      <c r="V1078"/>
      <c r="W1078"/>
      <c r="X1078"/>
      <c r="Y1078"/>
      <c r="Z1078"/>
      <c r="AA1078"/>
      <c r="AB1078"/>
      <c r="AC1078"/>
      <c r="AD1078"/>
      <c r="AE1078"/>
      <c r="AF1078"/>
      <c r="AG1078"/>
      <c r="AH1078"/>
      <c r="AI1078"/>
      <c r="AJ1078"/>
      <c r="AK1078"/>
      <c r="AL1078"/>
    </row>
    <row r="1079" spans="1:38" ht="27" outlineLevel="3" x14ac:dyDescent="0.2">
      <c r="A1079" s="471">
        <v>94</v>
      </c>
      <c r="B1079" s="471" t="s">
        <v>71</v>
      </c>
      <c r="C1079" s="1053" t="s">
        <v>3515</v>
      </c>
      <c r="D1079" s="1053" t="s">
        <v>412</v>
      </c>
      <c r="E1079" s="11" t="str">
        <f t="array" ref="E1079">_xlfn.XLOOKUP(D1079,Insumos!B:B,Insumos!C:$C)</f>
        <v>M</v>
      </c>
      <c r="F1079" s="86">
        <v>2.5026999999999999</v>
      </c>
      <c r="G1079" s="92">
        <f t="array" ref="G1079">IF(B1079="insumo",_xlfn.XLOOKUP($D1079,Insumos!$B$1:$B$993,Insumos!$D$1:$D$993),"")</f>
        <v>0.31</v>
      </c>
      <c r="H1079" s="92">
        <v>0.775837</v>
      </c>
      <c r="I1079" s="84">
        <v>0</v>
      </c>
      <c r="J1079" s="84">
        <v>0</v>
      </c>
      <c r="K1079" s="84"/>
      <c r="L1079"/>
      <c r="M1079"/>
      <c r="N1079"/>
      <c r="O1079"/>
      <c r="P1079"/>
      <c r="Q1079"/>
      <c r="R1079"/>
      <c r="S1079"/>
      <c r="T1079"/>
      <c r="U1079"/>
      <c r="V1079"/>
      <c r="W1079"/>
      <c r="X1079"/>
      <c r="Y1079"/>
      <c r="Z1079"/>
      <c r="AA1079"/>
      <c r="AB1079"/>
      <c r="AC1079"/>
      <c r="AD1079"/>
      <c r="AE1079"/>
      <c r="AF1079"/>
      <c r="AG1079"/>
      <c r="AH1079"/>
      <c r="AI1079"/>
      <c r="AJ1079"/>
      <c r="AK1079"/>
      <c r="AL1079"/>
    </row>
    <row r="1080" spans="1:38" ht="27" outlineLevel="3" x14ac:dyDescent="0.2">
      <c r="A1080" s="471">
        <v>94</v>
      </c>
      <c r="B1080" s="471" t="s">
        <v>71</v>
      </c>
      <c r="C1080" s="1053" t="s">
        <v>3515</v>
      </c>
      <c r="D1080" s="1053" t="s">
        <v>413</v>
      </c>
      <c r="E1080" s="11" t="str">
        <f t="array" ref="E1080">_xlfn.XLOOKUP(D1080,Insumos!B:B,Insumos!C:$C)</f>
        <v>M</v>
      </c>
      <c r="F1080" s="86">
        <v>1.4815</v>
      </c>
      <c r="G1080" s="92">
        <f t="array" ref="G1080">IF(B1080="insumo",_xlfn.XLOOKUP($D1080,Insumos!$B$1:$B$993,Insumos!$D$1:$D$993),"")</f>
        <v>2.74</v>
      </c>
      <c r="H1080" s="92">
        <v>4.05931</v>
      </c>
      <c r="I1080" s="84">
        <v>0</v>
      </c>
      <c r="J1080" s="84">
        <v>0</v>
      </c>
      <c r="K1080" s="84"/>
      <c r="L1080"/>
      <c r="M1080"/>
      <c r="N1080"/>
      <c r="O1080"/>
      <c r="P1080"/>
      <c r="Q1080"/>
      <c r="R1080"/>
      <c r="S1080"/>
      <c r="T1080"/>
      <c r="U1080"/>
      <c r="V1080"/>
      <c r="W1080"/>
      <c r="X1080"/>
      <c r="Y1080"/>
      <c r="Z1080"/>
      <c r="AA1080"/>
      <c r="AB1080"/>
      <c r="AC1080"/>
      <c r="AD1080"/>
      <c r="AE1080"/>
      <c r="AF1080"/>
      <c r="AG1080"/>
      <c r="AH1080"/>
      <c r="AI1080"/>
      <c r="AJ1080"/>
      <c r="AK1080"/>
      <c r="AL1080"/>
    </row>
    <row r="1081" spans="1:38" ht="27" outlineLevel="3" x14ac:dyDescent="0.2">
      <c r="A1081" s="471">
        <v>11</v>
      </c>
      <c r="B1081" s="471" t="s">
        <v>71</v>
      </c>
      <c r="C1081" s="1053" t="s">
        <v>3515</v>
      </c>
      <c r="D1081" s="1053" t="s">
        <v>3525</v>
      </c>
      <c r="E1081" s="11" t="str">
        <f t="array" ref="E1081">_xlfn.XLOOKUP(D1081,Insumos!B:B,Insumos!C:$C)</f>
        <v>M</v>
      </c>
      <c r="F1081" s="86">
        <v>0.8</v>
      </c>
      <c r="G1081" s="92">
        <f t="array" ref="G1081">IF(B1081="insumo",_xlfn.XLOOKUP($D1081,Insumos!$B$1:$B$993,Insumos!$D$1:$D$993),"")</f>
        <v>3</v>
      </c>
      <c r="H1081" s="92">
        <v>2.4</v>
      </c>
      <c r="I1081" s="84">
        <v>0</v>
      </c>
      <c r="J1081" s="84">
        <v>0</v>
      </c>
      <c r="K1081" s="84"/>
      <c r="L1081"/>
      <c r="M1081"/>
      <c r="N1081"/>
      <c r="O1081"/>
      <c r="P1081"/>
      <c r="Q1081"/>
      <c r="R1081"/>
      <c r="S1081"/>
      <c r="T1081"/>
      <c r="U1081"/>
      <c r="V1081"/>
      <c r="W1081"/>
      <c r="X1081"/>
      <c r="Y1081"/>
      <c r="Z1081"/>
      <c r="AA1081"/>
      <c r="AB1081"/>
      <c r="AC1081"/>
      <c r="AD1081"/>
      <c r="AE1081"/>
      <c r="AF1081"/>
      <c r="AG1081"/>
      <c r="AH1081"/>
      <c r="AI1081"/>
      <c r="AJ1081"/>
      <c r="AK1081"/>
      <c r="AL1081"/>
    </row>
    <row r="1082" spans="1:38" ht="27" outlineLevel="3" x14ac:dyDescent="0.2">
      <c r="A1082" s="471">
        <v>11</v>
      </c>
      <c r="B1082" s="471" t="s">
        <v>71</v>
      </c>
      <c r="C1082" s="1053" t="s">
        <v>3515</v>
      </c>
      <c r="D1082" s="1053" t="s">
        <v>3526</v>
      </c>
      <c r="E1082" s="11" t="str">
        <f t="array" ref="E1082">_xlfn.XLOOKUP(D1082,Insumos!B:B,Insumos!C:$C)</f>
        <v>M</v>
      </c>
      <c r="F1082" s="86">
        <v>0.84</v>
      </c>
      <c r="G1082" s="92">
        <f t="array" ref="G1082">IF(B1082="insumo",_xlfn.XLOOKUP($D1082,Insumos!$B$1:$B$993,Insumos!$D$1:$D$993),"")</f>
        <v>0.6</v>
      </c>
      <c r="H1082" s="92">
        <v>0.504</v>
      </c>
      <c r="I1082" s="84">
        <v>0</v>
      </c>
      <c r="J1082" s="84">
        <v>0</v>
      </c>
      <c r="K1082" s="84"/>
      <c r="L1082"/>
      <c r="M1082"/>
      <c r="N1082"/>
      <c r="O1082"/>
      <c r="P1082"/>
      <c r="Q1082"/>
      <c r="R1082"/>
      <c r="S1082"/>
      <c r="T1082"/>
      <c r="U1082"/>
      <c r="V1082"/>
      <c r="W1082"/>
      <c r="X1082"/>
      <c r="Y1082"/>
      <c r="Z1082"/>
      <c r="AA1082"/>
      <c r="AB1082"/>
      <c r="AC1082"/>
      <c r="AD1082"/>
      <c r="AE1082"/>
      <c r="AF1082"/>
      <c r="AG1082"/>
      <c r="AH1082"/>
      <c r="AI1082"/>
      <c r="AJ1082"/>
      <c r="AK1082"/>
      <c r="AL1082"/>
    </row>
    <row r="1083" spans="1:38" ht="27" outlineLevel="3" x14ac:dyDescent="0.2">
      <c r="A1083" s="471">
        <v>97</v>
      </c>
      <c r="B1083" s="471" t="s">
        <v>71</v>
      </c>
      <c r="C1083" s="1053" t="s">
        <v>3515</v>
      </c>
      <c r="D1083" s="1053" t="s">
        <v>414</v>
      </c>
      <c r="E1083" s="11" t="str">
        <f t="array" ref="E1083">_xlfn.XLOOKUP(D1083,Insumos!B:B,Insumos!C:$C)</f>
        <v>UN</v>
      </c>
      <c r="F1083" s="86">
        <v>20.186800000000002</v>
      </c>
      <c r="G1083" s="92">
        <f t="array" ref="G1083">IF(B1083="insumo",_xlfn.XLOOKUP($D1083,Insumos!$B$1:$B$993,Insumos!$D$1:$D$993),"")</f>
        <v>0.09</v>
      </c>
      <c r="H1083" s="92">
        <v>1.8168120000000001</v>
      </c>
      <c r="I1083" s="84">
        <v>0</v>
      </c>
      <c r="J1083" s="84">
        <v>0</v>
      </c>
      <c r="K1083" s="84"/>
      <c r="L1083"/>
      <c r="M1083"/>
      <c r="N1083"/>
      <c r="O1083"/>
      <c r="P1083"/>
      <c r="Q1083"/>
      <c r="R1083"/>
      <c r="S1083"/>
      <c r="T1083"/>
      <c r="U1083"/>
      <c r="V1083"/>
      <c r="W1083"/>
      <c r="X1083"/>
      <c r="Y1083"/>
      <c r="Z1083"/>
      <c r="AA1083"/>
      <c r="AB1083"/>
      <c r="AC1083"/>
      <c r="AD1083"/>
      <c r="AE1083"/>
      <c r="AF1083"/>
      <c r="AG1083"/>
      <c r="AH1083"/>
      <c r="AI1083"/>
      <c r="AJ1083"/>
      <c r="AK1083"/>
      <c r="AL1083"/>
    </row>
    <row r="1084" spans="1:38" ht="27" outlineLevel="3" x14ac:dyDescent="0.2">
      <c r="A1084" s="471">
        <v>95</v>
      </c>
      <c r="B1084" s="471" t="s">
        <v>71</v>
      </c>
      <c r="C1084" s="1053" t="s">
        <v>3515</v>
      </c>
      <c r="D1084" s="1053" t="s">
        <v>415</v>
      </c>
      <c r="E1084" s="11" t="str">
        <f t="array" ref="E1084">_xlfn.XLOOKUP(D1084,Insumos!B:B,Insumos!C:$C)</f>
        <v>UN</v>
      </c>
      <c r="F1084" s="86">
        <v>0.4803</v>
      </c>
      <c r="G1084" s="92">
        <f t="array" ref="G1084">IF(B1084="insumo",_xlfn.XLOOKUP($D1084,Insumos!$B$1:$B$993,Insumos!$D$1:$D$993),"")</f>
        <v>0.2</v>
      </c>
      <c r="H1084" s="92">
        <v>9.6060000000000006E-2</v>
      </c>
      <c r="I1084" s="84">
        <v>0</v>
      </c>
      <c r="J1084" s="84">
        <v>0</v>
      </c>
      <c r="K1084" s="84"/>
      <c r="L1084"/>
      <c r="M1084"/>
      <c r="N1084"/>
      <c r="O1084"/>
      <c r="P1084"/>
      <c r="Q1084"/>
      <c r="R1084"/>
      <c r="S1084"/>
      <c r="T1084"/>
      <c r="U1084"/>
      <c r="V1084"/>
      <c r="W1084"/>
      <c r="X1084"/>
      <c r="Y1084"/>
      <c r="Z1084"/>
      <c r="AA1084"/>
      <c r="AB1084"/>
      <c r="AC1084"/>
      <c r="AD1084"/>
      <c r="AE1084"/>
      <c r="AF1084"/>
      <c r="AG1084"/>
      <c r="AH1084"/>
      <c r="AI1084"/>
      <c r="AJ1084"/>
      <c r="AK1084"/>
      <c r="AL1084"/>
    </row>
    <row r="1085" spans="1:38" ht="27" outlineLevel="2" x14ac:dyDescent="0.2">
      <c r="A1085" s="1076">
        <v>1</v>
      </c>
      <c r="B1085" s="1076" t="s">
        <v>68</v>
      </c>
      <c r="C1085" s="1077" t="s">
        <v>3517</v>
      </c>
      <c r="D1085" s="1077" t="s">
        <v>3517</v>
      </c>
      <c r="E1085" s="1078" t="s">
        <v>70</v>
      </c>
      <c r="F1085" s="1076"/>
      <c r="G1085" s="1069" t="str">
        <f t="array" ref="G1085">IF(B1085="insumo",_xlfn.XLOOKUP($D1085,Insumos!$B$1:$B$993,Insumos!$D$1:$D$993),"")</f>
        <v/>
      </c>
      <c r="H1085" s="1069">
        <v>173.010919</v>
      </c>
      <c r="I1085" s="1079">
        <v>0</v>
      </c>
      <c r="J1085" s="1079">
        <v>0</v>
      </c>
      <c r="K1085" s="1079"/>
      <c r="L1085"/>
      <c r="M1085"/>
      <c r="N1085"/>
      <c r="O1085"/>
      <c r="P1085"/>
      <c r="Q1085"/>
      <c r="R1085"/>
      <c r="S1085"/>
      <c r="T1085"/>
      <c r="U1085"/>
      <c r="V1085"/>
      <c r="W1085"/>
      <c r="X1085"/>
      <c r="Y1085"/>
      <c r="Z1085"/>
      <c r="AA1085"/>
      <c r="AB1085"/>
      <c r="AC1085"/>
      <c r="AD1085"/>
      <c r="AE1085"/>
      <c r="AF1085"/>
      <c r="AG1085"/>
      <c r="AH1085"/>
      <c r="AI1085"/>
      <c r="AJ1085"/>
      <c r="AK1085"/>
      <c r="AL1085"/>
    </row>
    <row r="1086" spans="1:38" ht="27" outlineLevel="3" x14ac:dyDescent="0.2">
      <c r="A1086" s="471">
        <v>49</v>
      </c>
      <c r="B1086" s="471" t="s">
        <v>71</v>
      </c>
      <c r="C1086" s="1053" t="s">
        <v>3517</v>
      </c>
      <c r="D1086" s="1053" t="s">
        <v>418</v>
      </c>
      <c r="E1086" s="11" t="str">
        <f t="array" ref="E1086">_xlfn.XLOOKUP(D1086,Insumos!B:B,Insumos!C:$C)</f>
        <v>M2</v>
      </c>
      <c r="F1086" s="86">
        <f>1.053*2</f>
        <v>2.1059999999999999</v>
      </c>
      <c r="G1086" s="92">
        <f t="array" ref="G1086">IF(B1086="insumo",_xlfn.XLOOKUP($D1086,Insumos!$B$1:$B$993,Insumos!$D$1:$D$993),"")</f>
        <v>27.1</v>
      </c>
      <c r="H1086" s="92">
        <v>57.072600000000001</v>
      </c>
      <c r="I1086" s="84">
        <v>0</v>
      </c>
      <c r="J1086" s="84">
        <v>0</v>
      </c>
      <c r="K1086" s="84"/>
      <c r="L1086"/>
      <c r="M1086"/>
      <c r="N1086"/>
      <c r="O1086"/>
      <c r="P1086"/>
      <c r="Q1086"/>
      <c r="R1086"/>
      <c r="S1086"/>
      <c r="T1086"/>
      <c r="U1086"/>
      <c r="V1086"/>
      <c r="W1086"/>
      <c r="X1086"/>
      <c r="Y1086"/>
      <c r="Z1086"/>
      <c r="AA1086"/>
      <c r="AB1086"/>
      <c r="AC1086"/>
      <c r="AD1086"/>
      <c r="AE1086"/>
      <c r="AF1086"/>
      <c r="AG1086"/>
      <c r="AH1086"/>
      <c r="AI1086"/>
      <c r="AJ1086"/>
      <c r="AK1086"/>
      <c r="AL1086"/>
    </row>
    <row r="1087" spans="1:38" ht="12.75" outlineLevel="3" x14ac:dyDescent="0.2">
      <c r="A1087" s="471">
        <v>10</v>
      </c>
      <c r="B1087" s="471" t="s">
        <v>71</v>
      </c>
      <c r="C1087" s="10" t="s">
        <v>3517</v>
      </c>
      <c r="D1087" s="10" t="s">
        <v>3524</v>
      </c>
      <c r="E1087" s="11" t="str">
        <f t="array" ref="E1087">_xlfn.XLOOKUP(D1087,Insumos!B:B,Insumos!C:$C)</f>
        <v>M2</v>
      </c>
      <c r="F1087" s="86">
        <f>1.053*2</f>
        <v>2.1059999999999999</v>
      </c>
      <c r="G1087" s="92">
        <f t="array" ref="G1087">IF(B1087="insumo",_xlfn.XLOOKUP($D1087,Insumos!$B$1:$B$993,Insumos!$D$1:$D$993),"")</f>
        <v>34.513888888888893</v>
      </c>
      <c r="H1087" s="92">
        <v>72.686250000000001</v>
      </c>
      <c r="I1087" s="84">
        <v>0</v>
      </c>
      <c r="J1087" s="84">
        <v>0</v>
      </c>
      <c r="K1087" s="84"/>
      <c r="L1087"/>
      <c r="M1087"/>
      <c r="N1087"/>
      <c r="O1087"/>
      <c r="P1087"/>
      <c r="Q1087"/>
      <c r="R1087"/>
      <c r="S1087"/>
      <c r="T1087"/>
      <c r="U1087"/>
      <c r="V1087"/>
      <c r="W1087"/>
      <c r="X1087"/>
      <c r="Y1087"/>
      <c r="Z1087"/>
      <c r="AA1087"/>
      <c r="AB1087"/>
      <c r="AC1087"/>
      <c r="AD1087"/>
      <c r="AE1087"/>
      <c r="AF1087"/>
      <c r="AG1087"/>
      <c r="AH1087"/>
      <c r="AI1087"/>
      <c r="AJ1087"/>
      <c r="AK1087"/>
      <c r="AL1087"/>
    </row>
    <row r="1088" spans="1:38" ht="27" outlineLevel="3" x14ac:dyDescent="0.2">
      <c r="A1088" s="471">
        <v>95</v>
      </c>
      <c r="B1088" s="471" t="s">
        <v>71</v>
      </c>
      <c r="C1088" s="1053" t="s">
        <v>3517</v>
      </c>
      <c r="D1088" s="1053" t="s">
        <v>409</v>
      </c>
      <c r="E1088" s="11" t="str">
        <f t="array" ref="E1088">_xlfn.XLOOKUP(D1088,Insumos!B:B,Insumos!C:$C)</f>
        <v>UN</v>
      </c>
      <c r="F1088" s="86">
        <v>4.95</v>
      </c>
      <c r="G1088" s="92">
        <f t="array" ref="G1088">IF(B1088="insumo",_xlfn.XLOOKUP($D1088,Insumos!$B$1:$B$993,Insumos!$D$1:$D$993),"")</f>
        <v>0.504</v>
      </c>
      <c r="H1088" s="92">
        <v>2.4948000000000001</v>
      </c>
      <c r="I1088" s="84">
        <v>0</v>
      </c>
      <c r="J1088" s="84">
        <v>0</v>
      </c>
      <c r="K1088" s="84"/>
      <c r="L1088"/>
      <c r="M1088"/>
      <c r="N1088"/>
      <c r="O1088"/>
      <c r="P1088"/>
      <c r="Q1088"/>
      <c r="R1088"/>
      <c r="S1088"/>
      <c r="T1088"/>
      <c r="U1088"/>
      <c r="V1088"/>
      <c r="W1088"/>
      <c r="X1088"/>
      <c r="Y1088"/>
      <c r="Z1088"/>
      <c r="AA1088"/>
      <c r="AB1088"/>
      <c r="AC1088"/>
      <c r="AD1088"/>
      <c r="AE1088"/>
      <c r="AF1088"/>
      <c r="AG1088"/>
      <c r="AH1088"/>
      <c r="AI1088"/>
      <c r="AJ1088"/>
      <c r="AK1088"/>
      <c r="AL1088"/>
    </row>
    <row r="1089" spans="1:38" ht="27" outlineLevel="3" x14ac:dyDescent="0.2">
      <c r="A1089" s="471">
        <v>43</v>
      </c>
      <c r="B1089" s="471" t="s">
        <v>71</v>
      </c>
      <c r="C1089" s="1053" t="s">
        <v>3517</v>
      </c>
      <c r="D1089" s="1053" t="s">
        <v>423</v>
      </c>
      <c r="E1089" s="11" t="str">
        <f t="array" ref="E1089">_xlfn.XLOOKUP(D1089,Insumos!B:B,Insumos!C:$C)</f>
        <v>M</v>
      </c>
      <c r="F1089" s="86">
        <v>1.5247999999999999</v>
      </c>
      <c r="G1089" s="92">
        <f t="array" ref="G1089">IF(B1089="insumo",_xlfn.XLOOKUP($D1089,Insumos!$B$1:$B$993,Insumos!$D$1:$D$993),"")</f>
        <v>7.46</v>
      </c>
      <c r="H1089" s="92">
        <v>11.375007999999999</v>
      </c>
      <c r="I1089" s="84">
        <v>0</v>
      </c>
      <c r="J1089" s="84">
        <v>0</v>
      </c>
      <c r="K1089" s="84"/>
      <c r="L1089"/>
      <c r="M1089"/>
      <c r="N1089"/>
      <c r="O1089"/>
      <c r="P1089"/>
      <c r="Q1089"/>
      <c r="R1089"/>
      <c r="S1089"/>
      <c r="T1089"/>
      <c r="U1089"/>
      <c r="V1089"/>
      <c r="W1089"/>
      <c r="X1089"/>
      <c r="Y1089"/>
      <c r="Z1089"/>
      <c r="AA1089"/>
      <c r="AB1089"/>
      <c r="AC1089"/>
      <c r="AD1089"/>
      <c r="AE1089"/>
      <c r="AF1089"/>
      <c r="AG1089"/>
      <c r="AH1089"/>
      <c r="AI1089"/>
      <c r="AJ1089"/>
      <c r="AK1089"/>
      <c r="AL1089"/>
    </row>
    <row r="1090" spans="1:38" ht="27" outlineLevel="3" x14ac:dyDescent="0.2">
      <c r="A1090" s="471">
        <v>43</v>
      </c>
      <c r="B1090" s="471" t="s">
        <v>71</v>
      </c>
      <c r="C1090" s="1053" t="s">
        <v>3517</v>
      </c>
      <c r="D1090" s="1053" t="s">
        <v>424</v>
      </c>
      <c r="E1090" s="11" t="str">
        <f t="array" ref="E1090">_xlfn.XLOOKUP(D1090,Insumos!B:B,Insumos!C:$C)</f>
        <v>M</v>
      </c>
      <c r="F1090" s="86">
        <v>2.0005999999999999</v>
      </c>
      <c r="G1090" s="92">
        <f t="array" ref="G1090">IF(B1090="insumo",_xlfn.XLOOKUP($D1090,Insumos!$B$1:$B$993,Insumos!$D$1:$D$993),"")</f>
        <v>7.98</v>
      </c>
      <c r="H1090" s="92">
        <v>15.964788</v>
      </c>
      <c r="I1090" s="84">
        <v>0</v>
      </c>
      <c r="J1090" s="84">
        <v>0</v>
      </c>
      <c r="K1090" s="84"/>
      <c r="L1090"/>
      <c r="M1090"/>
      <c r="N1090"/>
      <c r="O1090"/>
      <c r="P1090"/>
      <c r="Q1090"/>
      <c r="R1090"/>
      <c r="S1090"/>
      <c r="T1090"/>
      <c r="U1090"/>
      <c r="V1090"/>
      <c r="W1090"/>
      <c r="X1090"/>
      <c r="Y1090"/>
      <c r="Z1090"/>
      <c r="AA1090"/>
      <c r="AB1090"/>
      <c r="AC1090"/>
      <c r="AD1090"/>
      <c r="AE1090"/>
      <c r="AF1090"/>
      <c r="AG1090"/>
      <c r="AH1090"/>
      <c r="AI1090"/>
      <c r="AJ1090"/>
      <c r="AK1090"/>
      <c r="AL1090"/>
    </row>
    <row r="1091" spans="1:38" ht="27" outlineLevel="3" x14ac:dyDescent="0.2">
      <c r="A1091" s="471">
        <v>95</v>
      </c>
      <c r="B1091" s="471" t="s">
        <v>71</v>
      </c>
      <c r="C1091" s="1053" t="s">
        <v>3517</v>
      </c>
      <c r="D1091" s="1053" t="s">
        <v>405</v>
      </c>
      <c r="E1091" s="11" t="str">
        <f t="array" ref="E1091">_xlfn.XLOOKUP(D1091,Insumos!B:B,Insumos!C:$C)</f>
        <v>KG</v>
      </c>
      <c r="F1091" s="86">
        <v>1.0978000000000001</v>
      </c>
      <c r="G1091" s="92">
        <f t="array" ref="G1091">IF(B1091="insumo",_xlfn.XLOOKUP($D1091,Insumos!$B$1:$B$993,Insumos!$D$1:$D$993),"")</f>
        <v>3.43</v>
      </c>
      <c r="H1091" s="92">
        <v>3.7654540000000001</v>
      </c>
      <c r="I1091" s="84">
        <v>0</v>
      </c>
      <c r="J1091" s="84">
        <v>0</v>
      </c>
      <c r="K1091" s="84"/>
      <c r="L1091"/>
      <c r="M1091"/>
      <c r="N1091"/>
      <c r="O1091"/>
      <c r="P1091"/>
      <c r="Q1091"/>
      <c r="R1091"/>
      <c r="S1091"/>
      <c r="T1091"/>
      <c r="U1091"/>
      <c r="V1091"/>
      <c r="W1091"/>
      <c r="X1091"/>
      <c r="Y1091"/>
      <c r="Z1091"/>
      <c r="AA1091"/>
      <c r="AB1091"/>
      <c r="AC1091"/>
      <c r="AD1091"/>
      <c r="AE1091"/>
      <c r="AF1091"/>
      <c r="AG1091"/>
      <c r="AH1091"/>
      <c r="AI1091"/>
      <c r="AJ1091"/>
      <c r="AK1091"/>
      <c r="AL1091"/>
    </row>
    <row r="1092" spans="1:38" ht="27" outlineLevel="3" x14ac:dyDescent="0.2">
      <c r="A1092" s="471">
        <v>94</v>
      </c>
      <c r="B1092" s="471" t="s">
        <v>71</v>
      </c>
      <c r="C1092" s="1053" t="s">
        <v>3517</v>
      </c>
      <c r="D1092" s="1053" t="s">
        <v>412</v>
      </c>
      <c r="E1092" s="11" t="str">
        <f t="array" ref="E1092">_xlfn.XLOOKUP(D1092,Insumos!B:B,Insumos!C:$C)</f>
        <v>M</v>
      </c>
      <c r="F1092" s="86">
        <v>2.5026999999999999</v>
      </c>
      <c r="G1092" s="92">
        <f t="array" ref="G1092">IF(B1092="insumo",_xlfn.XLOOKUP($D1092,Insumos!$B$1:$B$993,Insumos!$D$1:$D$993),"")</f>
        <v>0.31</v>
      </c>
      <c r="H1092" s="92">
        <v>0.775837</v>
      </c>
      <c r="I1092" s="84">
        <v>0</v>
      </c>
      <c r="J1092" s="84">
        <v>0</v>
      </c>
      <c r="K1092" s="84"/>
      <c r="L1092"/>
      <c r="M1092"/>
      <c r="N1092"/>
      <c r="O1092"/>
      <c r="P1092"/>
      <c r="Q1092"/>
      <c r="R1092"/>
      <c r="S1092"/>
      <c r="T1092"/>
      <c r="U1092"/>
      <c r="V1092"/>
      <c r="W1092"/>
      <c r="X1092"/>
      <c r="Y1092"/>
      <c r="Z1092"/>
      <c r="AA1092"/>
      <c r="AB1092"/>
      <c r="AC1092"/>
      <c r="AD1092"/>
      <c r="AE1092"/>
      <c r="AF1092"/>
      <c r="AG1092"/>
      <c r="AH1092"/>
      <c r="AI1092"/>
      <c r="AJ1092"/>
      <c r="AK1092"/>
      <c r="AL1092"/>
    </row>
    <row r="1093" spans="1:38" ht="27" outlineLevel="3" x14ac:dyDescent="0.2">
      <c r="A1093" s="471">
        <v>94</v>
      </c>
      <c r="B1093" s="471" t="s">
        <v>71</v>
      </c>
      <c r="C1093" s="1053" t="s">
        <v>3517</v>
      </c>
      <c r="D1093" s="1053" t="s">
        <v>413</v>
      </c>
      <c r="E1093" s="11" t="str">
        <f t="array" ref="E1093">_xlfn.XLOOKUP(D1093,Insumos!B:B,Insumos!C:$C)</f>
        <v>M</v>
      </c>
      <c r="F1093" s="86">
        <v>1.4815</v>
      </c>
      <c r="G1093" s="92">
        <f t="array" ref="G1093">IF(B1093="insumo",_xlfn.XLOOKUP($D1093,Insumos!$B$1:$B$993,Insumos!$D$1:$D$993),"")</f>
        <v>2.74</v>
      </c>
      <c r="H1093" s="92">
        <v>4.05931</v>
      </c>
      <c r="I1093" s="84">
        <v>0</v>
      </c>
      <c r="J1093" s="84">
        <v>0</v>
      </c>
      <c r="K1093" s="84"/>
      <c r="L1093"/>
      <c r="M1093"/>
      <c r="N1093"/>
      <c r="O1093"/>
      <c r="P1093"/>
      <c r="Q1093"/>
      <c r="R1093"/>
      <c r="S1093"/>
      <c r="T1093"/>
      <c r="U1093"/>
      <c r="V1093"/>
      <c r="W1093"/>
      <c r="X1093"/>
      <c r="Y1093"/>
      <c r="Z1093"/>
      <c r="AA1093"/>
      <c r="AB1093"/>
      <c r="AC1093"/>
      <c r="AD1093"/>
      <c r="AE1093"/>
      <c r="AF1093"/>
      <c r="AG1093"/>
      <c r="AH1093"/>
      <c r="AI1093"/>
      <c r="AJ1093"/>
      <c r="AK1093"/>
      <c r="AL1093"/>
    </row>
    <row r="1094" spans="1:38" ht="27" outlineLevel="3" x14ac:dyDescent="0.2">
      <c r="A1094" s="471">
        <v>11</v>
      </c>
      <c r="B1094" s="471" t="s">
        <v>71</v>
      </c>
      <c r="C1094" s="1053" t="s">
        <v>3517</v>
      </c>
      <c r="D1094" s="1053" t="s">
        <v>3525</v>
      </c>
      <c r="E1094" s="11" t="str">
        <f t="array" ref="E1094">_xlfn.XLOOKUP(D1094,Insumos!B:B,Insumos!C:$C)</f>
        <v>M</v>
      </c>
      <c r="F1094" s="86">
        <v>0.8</v>
      </c>
      <c r="G1094" s="92">
        <f t="array" ref="G1094">IF(B1094="insumo",_xlfn.XLOOKUP($D1094,Insumos!$B$1:$B$993,Insumos!$D$1:$D$993),"")</f>
        <v>3</v>
      </c>
      <c r="H1094" s="92">
        <v>2.4</v>
      </c>
      <c r="I1094" s="84">
        <v>0</v>
      </c>
      <c r="J1094" s="84">
        <v>0</v>
      </c>
      <c r="K1094" s="84"/>
      <c r="L1094"/>
      <c r="M1094"/>
      <c r="N1094"/>
      <c r="O1094"/>
      <c r="P1094"/>
      <c r="Q1094"/>
      <c r="R1094"/>
      <c r="S1094"/>
      <c r="T1094"/>
      <c r="U1094"/>
      <c r="V1094"/>
      <c r="W1094"/>
      <c r="X1094"/>
      <c r="Y1094"/>
      <c r="Z1094"/>
      <c r="AA1094"/>
      <c r="AB1094"/>
      <c r="AC1094"/>
      <c r="AD1094"/>
      <c r="AE1094"/>
      <c r="AF1094"/>
      <c r="AG1094"/>
      <c r="AH1094"/>
      <c r="AI1094"/>
      <c r="AJ1094"/>
      <c r="AK1094"/>
      <c r="AL1094"/>
    </row>
    <row r="1095" spans="1:38" ht="27" outlineLevel="3" x14ac:dyDescent="0.2">
      <c r="A1095" s="471">
        <v>11</v>
      </c>
      <c r="B1095" s="471" t="s">
        <v>71</v>
      </c>
      <c r="C1095" s="1053" t="s">
        <v>3517</v>
      </c>
      <c r="D1095" s="1053" t="s">
        <v>3526</v>
      </c>
      <c r="E1095" s="11" t="str">
        <f t="array" ref="E1095">_xlfn.XLOOKUP(D1095,Insumos!B:B,Insumos!C:$C)</f>
        <v>M</v>
      </c>
      <c r="F1095" s="86">
        <v>0.84</v>
      </c>
      <c r="G1095" s="92">
        <f t="array" ref="G1095">IF(B1095="insumo",_xlfn.XLOOKUP($D1095,Insumos!$B$1:$B$993,Insumos!$D$1:$D$993),"")</f>
        <v>0.6</v>
      </c>
      <c r="H1095" s="92">
        <v>0.504</v>
      </c>
      <c r="I1095" s="84">
        <v>0</v>
      </c>
      <c r="J1095" s="84">
        <v>0</v>
      </c>
      <c r="K1095" s="84"/>
      <c r="L1095"/>
      <c r="M1095"/>
      <c r="N1095"/>
      <c r="O1095"/>
      <c r="P1095"/>
      <c r="Q1095"/>
      <c r="R1095"/>
      <c r="S1095"/>
      <c r="T1095"/>
      <c r="U1095"/>
      <c r="V1095"/>
      <c r="W1095"/>
      <c r="X1095"/>
      <c r="Y1095"/>
      <c r="Z1095"/>
      <c r="AA1095"/>
      <c r="AB1095"/>
      <c r="AC1095"/>
      <c r="AD1095"/>
      <c r="AE1095"/>
      <c r="AF1095"/>
      <c r="AG1095"/>
      <c r="AH1095"/>
      <c r="AI1095"/>
      <c r="AJ1095"/>
      <c r="AK1095"/>
      <c r="AL1095"/>
    </row>
    <row r="1096" spans="1:38" ht="27" outlineLevel="3" x14ac:dyDescent="0.2">
      <c r="A1096" s="471">
        <v>97</v>
      </c>
      <c r="B1096" s="471" t="s">
        <v>71</v>
      </c>
      <c r="C1096" s="1053" t="s">
        <v>3517</v>
      </c>
      <c r="D1096" s="1053" t="s">
        <v>414</v>
      </c>
      <c r="E1096" s="11" t="str">
        <f t="array" ref="E1096">_xlfn.XLOOKUP(D1096,Insumos!B:B,Insumos!C:$C)</f>
        <v>UN</v>
      </c>
      <c r="F1096" s="86">
        <v>20.186800000000002</v>
      </c>
      <c r="G1096" s="92">
        <f t="array" ref="G1096">IF(B1096="insumo",_xlfn.XLOOKUP($D1096,Insumos!$B$1:$B$993,Insumos!$D$1:$D$993),"")</f>
        <v>0.09</v>
      </c>
      <c r="H1096" s="92">
        <v>1.8168120000000001</v>
      </c>
      <c r="I1096" s="84">
        <v>0</v>
      </c>
      <c r="J1096" s="84">
        <v>0</v>
      </c>
      <c r="K1096" s="84"/>
      <c r="L1096"/>
      <c r="M1096"/>
      <c r="N1096"/>
      <c r="O1096"/>
      <c r="P1096"/>
      <c r="Q1096"/>
      <c r="R1096"/>
      <c r="S1096"/>
      <c r="T1096"/>
      <c r="U1096"/>
      <c r="V1096"/>
      <c r="W1096"/>
      <c r="X1096"/>
      <c r="Y1096"/>
      <c r="Z1096"/>
      <c r="AA1096"/>
      <c r="AB1096"/>
      <c r="AC1096"/>
      <c r="AD1096"/>
      <c r="AE1096"/>
      <c r="AF1096"/>
      <c r="AG1096"/>
      <c r="AH1096"/>
      <c r="AI1096"/>
      <c r="AJ1096"/>
      <c r="AK1096"/>
      <c r="AL1096"/>
    </row>
    <row r="1097" spans="1:38" ht="27" outlineLevel="3" x14ac:dyDescent="0.2">
      <c r="A1097" s="471">
        <v>95</v>
      </c>
      <c r="B1097" s="471" t="s">
        <v>71</v>
      </c>
      <c r="C1097" s="1053" t="s">
        <v>3517</v>
      </c>
      <c r="D1097" s="1053" t="s">
        <v>415</v>
      </c>
      <c r="E1097" s="11" t="str">
        <f t="array" ref="E1097">_xlfn.XLOOKUP(D1097,Insumos!B:B,Insumos!C:$C)</f>
        <v>UN</v>
      </c>
      <c r="F1097" s="86">
        <v>0.4803</v>
      </c>
      <c r="G1097" s="92">
        <f t="array" ref="G1097">IF(B1097="insumo",_xlfn.XLOOKUP($D1097,Insumos!$B$1:$B$993,Insumos!$D$1:$D$993),"")</f>
        <v>0.2</v>
      </c>
      <c r="H1097" s="92">
        <v>9.6060000000000006E-2</v>
      </c>
      <c r="I1097" s="84">
        <v>0</v>
      </c>
      <c r="J1097" s="84">
        <v>0</v>
      </c>
      <c r="K1097" s="84"/>
      <c r="L1097"/>
      <c r="M1097"/>
      <c r="N1097"/>
      <c r="O1097"/>
      <c r="P1097"/>
      <c r="Q1097"/>
      <c r="R1097"/>
      <c r="S1097"/>
      <c r="T1097"/>
      <c r="U1097"/>
      <c r="V1097"/>
      <c r="W1097"/>
      <c r="X1097"/>
      <c r="Y1097"/>
      <c r="Z1097"/>
      <c r="AA1097"/>
      <c r="AB1097"/>
      <c r="AC1097"/>
      <c r="AD1097"/>
      <c r="AE1097"/>
      <c r="AF1097"/>
      <c r="AG1097"/>
      <c r="AH1097"/>
      <c r="AI1097"/>
      <c r="AJ1097"/>
      <c r="AK1097"/>
      <c r="AL1097"/>
    </row>
    <row r="1098" spans="1:38" ht="27" outlineLevel="2" x14ac:dyDescent="0.2">
      <c r="A1098" s="1076">
        <v>1</v>
      </c>
      <c r="B1098" s="1076" t="s">
        <v>68</v>
      </c>
      <c r="C1098" s="1077" t="s">
        <v>3516</v>
      </c>
      <c r="D1098" s="1077" t="s">
        <v>3516</v>
      </c>
      <c r="E1098" s="1078" t="s">
        <v>70</v>
      </c>
      <c r="F1098" s="1076"/>
      <c r="G1098" s="1069" t="str">
        <f t="array" ref="G1098">IF(B1098="insumo",_xlfn.XLOOKUP($D1098,Insumos!$B$1:$B$993,Insumos!$D$1:$D$993),"")</f>
        <v/>
      </c>
      <c r="H1098" s="1069">
        <v>165.70309900000001</v>
      </c>
      <c r="I1098" s="1079" t="e">
        <v>#REF!</v>
      </c>
      <c r="J1098" s="1079" t="e">
        <v>#REF!</v>
      </c>
      <c r="K1098" s="1079"/>
      <c r="L1098"/>
      <c r="M1098"/>
      <c r="N1098"/>
      <c r="O1098"/>
      <c r="P1098"/>
      <c r="Q1098"/>
      <c r="R1098"/>
      <c r="S1098"/>
      <c r="T1098"/>
      <c r="U1098"/>
      <c r="V1098"/>
      <c r="W1098"/>
      <c r="X1098"/>
      <c r="Y1098"/>
      <c r="Z1098"/>
      <c r="AA1098"/>
      <c r="AB1098"/>
      <c r="AC1098"/>
      <c r="AD1098"/>
      <c r="AE1098"/>
      <c r="AF1098"/>
      <c r="AG1098"/>
      <c r="AH1098"/>
      <c r="AI1098"/>
      <c r="AJ1098"/>
      <c r="AK1098"/>
      <c r="AL1098"/>
    </row>
    <row r="1099" spans="1:38" ht="27" outlineLevel="3" x14ac:dyDescent="0.2">
      <c r="A1099" s="471">
        <v>49</v>
      </c>
      <c r="B1099" s="471" t="s">
        <v>71</v>
      </c>
      <c r="C1099" s="1053" t="s">
        <v>3516</v>
      </c>
      <c r="D1099" s="1053" t="s">
        <v>418</v>
      </c>
      <c r="E1099" s="11" t="str">
        <f t="array" ref="E1099">_xlfn.XLOOKUP(D1099,Insumos!B:B,Insumos!C:$C)</f>
        <v>M2</v>
      </c>
      <c r="F1099" s="86">
        <f>1.053</f>
        <v>1.0529999999999999</v>
      </c>
      <c r="G1099" s="92">
        <f t="array" ref="G1099">IF(B1099="insumo",_xlfn.XLOOKUP($D1099,Insumos!$B$1:$B$993,Insumos!$D$1:$D$993),"")</f>
        <v>27.1</v>
      </c>
      <c r="H1099" s="92">
        <v>28.536300000000001</v>
      </c>
      <c r="I1099" s="84" t="e">
        <v>#REF!</v>
      </c>
      <c r="J1099" s="84" t="e">
        <v>#REF!</v>
      </c>
      <c r="K1099" s="84"/>
      <c r="L1099"/>
      <c r="M1099"/>
      <c r="N1099"/>
      <c r="O1099"/>
      <c r="P1099"/>
      <c r="Q1099"/>
      <c r="R1099"/>
      <c r="S1099"/>
      <c r="T1099"/>
      <c r="U1099"/>
      <c r="V1099"/>
      <c r="W1099"/>
      <c r="X1099"/>
      <c r="Y1099"/>
      <c r="Z1099"/>
      <c r="AA1099"/>
      <c r="AB1099"/>
      <c r="AC1099"/>
      <c r="AD1099"/>
      <c r="AE1099"/>
      <c r="AF1099"/>
      <c r="AG1099"/>
      <c r="AH1099"/>
      <c r="AI1099"/>
      <c r="AJ1099"/>
      <c r="AK1099"/>
      <c r="AL1099"/>
    </row>
    <row r="1100" spans="1:38" ht="27" outlineLevel="3" x14ac:dyDescent="0.2">
      <c r="A1100" s="471">
        <v>47</v>
      </c>
      <c r="B1100" s="471" t="s">
        <v>71</v>
      </c>
      <c r="C1100" s="1053" t="s">
        <v>3516</v>
      </c>
      <c r="D1100" s="1053" t="s">
        <v>408</v>
      </c>
      <c r="E1100" s="11" t="str">
        <f t="array" ref="E1100">_xlfn.XLOOKUP(D1100,Insumos!B:B,Insumos!C:$C)</f>
        <v>M2</v>
      </c>
      <c r="F1100" s="86">
        <f>1.053</f>
        <v>1.0529999999999999</v>
      </c>
      <c r="G1100" s="92">
        <f t="array" ref="G1100">IF(B1100="insumo",_xlfn.XLOOKUP($D1100,Insumos!$B$1:$B$993,Insumos!$D$1:$D$993),"")</f>
        <v>20.16</v>
      </c>
      <c r="H1100" s="92">
        <v>21.228480000000001</v>
      </c>
      <c r="I1100" s="84" t="e">
        <v>#REF!</v>
      </c>
      <c r="J1100" s="84" t="e">
        <v>#REF!</v>
      </c>
      <c r="K1100" s="84"/>
      <c r="L1100"/>
      <c r="M1100"/>
      <c r="N1100"/>
      <c r="O1100"/>
      <c r="P1100"/>
      <c r="Q1100"/>
      <c r="R1100"/>
      <c r="S1100"/>
      <c r="T1100"/>
      <c r="U1100"/>
      <c r="V1100"/>
      <c r="W1100"/>
      <c r="X1100"/>
      <c r="Y1100"/>
      <c r="Z1100"/>
      <c r="AA1100"/>
      <c r="AB1100"/>
      <c r="AC1100"/>
      <c r="AD1100"/>
      <c r="AE1100"/>
      <c r="AF1100"/>
      <c r="AG1100"/>
      <c r="AH1100"/>
      <c r="AI1100"/>
      <c r="AJ1100"/>
      <c r="AK1100"/>
      <c r="AL1100"/>
    </row>
    <row r="1101" spans="1:38" ht="12.75" outlineLevel="3" x14ac:dyDescent="0.2">
      <c r="A1101" s="471">
        <v>10</v>
      </c>
      <c r="B1101" s="471" t="s">
        <v>71</v>
      </c>
      <c r="C1101" s="10" t="s">
        <v>3516</v>
      </c>
      <c r="D1101" s="10" t="s">
        <v>3524</v>
      </c>
      <c r="E1101" s="11" t="str">
        <f t="array" ref="E1101">_xlfn.XLOOKUP(D1101,Insumos!B:B,Insumos!C:$C)</f>
        <v>M2</v>
      </c>
      <c r="F1101" s="86">
        <f>1.053*2</f>
        <v>2.1059999999999999</v>
      </c>
      <c r="G1101" s="92">
        <f t="array" ref="G1101">IF(B1101="insumo",_xlfn.XLOOKUP($D1101,Insumos!$B$1:$B$993,Insumos!$D$1:$D$993),"")</f>
        <v>34.513888888888893</v>
      </c>
      <c r="H1101" s="92">
        <v>72.686250000000001</v>
      </c>
      <c r="I1101" s="84" t="e">
        <v>#REF!</v>
      </c>
      <c r="J1101" s="84" t="e">
        <v>#REF!</v>
      </c>
      <c r="K1101" s="84"/>
      <c r="L1101"/>
      <c r="M1101"/>
      <c r="N1101"/>
      <c r="O1101"/>
      <c r="P1101"/>
      <c r="Q1101"/>
      <c r="R1101"/>
      <c r="S1101"/>
      <c r="T1101"/>
      <c r="U1101"/>
      <c r="V1101"/>
      <c r="W1101"/>
      <c r="X1101"/>
      <c r="Y1101"/>
      <c r="Z1101"/>
      <c r="AA1101"/>
      <c r="AB1101"/>
      <c r="AC1101"/>
      <c r="AD1101"/>
      <c r="AE1101"/>
      <c r="AF1101"/>
      <c r="AG1101"/>
      <c r="AH1101"/>
      <c r="AI1101"/>
      <c r="AJ1101"/>
      <c r="AK1101"/>
      <c r="AL1101"/>
    </row>
    <row r="1102" spans="1:38" ht="27" outlineLevel="3" x14ac:dyDescent="0.2">
      <c r="A1102" s="471">
        <v>95</v>
      </c>
      <c r="B1102" s="471" t="s">
        <v>71</v>
      </c>
      <c r="C1102" s="1053" t="s">
        <v>3516</v>
      </c>
      <c r="D1102" s="1053" t="s">
        <v>409</v>
      </c>
      <c r="E1102" s="11" t="str">
        <f t="array" ref="E1102">_xlfn.XLOOKUP(D1102,Insumos!B:B,Insumos!C:$C)</f>
        <v>UN</v>
      </c>
      <c r="F1102" s="86">
        <v>4.95</v>
      </c>
      <c r="G1102" s="92">
        <f t="array" ref="G1102">IF(B1102="insumo",_xlfn.XLOOKUP($D1102,Insumos!$B$1:$B$993,Insumos!$D$1:$D$993),"")</f>
        <v>0.504</v>
      </c>
      <c r="H1102" s="92">
        <v>2.4948000000000001</v>
      </c>
      <c r="I1102" s="84" t="e">
        <v>#REF!</v>
      </c>
      <c r="J1102" s="84" t="e">
        <v>#REF!</v>
      </c>
      <c r="K1102" s="84"/>
      <c r="L1102"/>
      <c r="M1102"/>
      <c r="N1102"/>
      <c r="O1102"/>
      <c r="P1102"/>
      <c r="Q1102"/>
      <c r="R1102"/>
      <c r="S1102"/>
      <c r="T1102"/>
      <c r="U1102"/>
      <c r="V1102"/>
      <c r="W1102"/>
      <c r="X1102"/>
      <c r="Y1102"/>
      <c r="Z1102"/>
      <c r="AA1102"/>
      <c r="AB1102"/>
      <c r="AC1102"/>
      <c r="AD1102"/>
      <c r="AE1102"/>
      <c r="AF1102"/>
      <c r="AG1102"/>
      <c r="AH1102"/>
      <c r="AI1102"/>
      <c r="AJ1102"/>
      <c r="AK1102"/>
      <c r="AL1102"/>
    </row>
    <row r="1103" spans="1:38" ht="27" outlineLevel="3" x14ac:dyDescent="0.2">
      <c r="A1103" s="471">
        <v>43</v>
      </c>
      <c r="B1103" s="471" t="s">
        <v>71</v>
      </c>
      <c r="C1103" s="1053" t="s">
        <v>3516</v>
      </c>
      <c r="D1103" s="1053" t="s">
        <v>423</v>
      </c>
      <c r="E1103" s="11" t="str">
        <f t="array" ref="E1103">_xlfn.XLOOKUP(D1103,Insumos!B:B,Insumos!C:$C)</f>
        <v>M</v>
      </c>
      <c r="F1103" s="86">
        <v>1.5247999999999999</v>
      </c>
      <c r="G1103" s="92">
        <f t="array" ref="G1103">IF(B1103="insumo",_xlfn.XLOOKUP($D1103,Insumos!$B$1:$B$993,Insumos!$D$1:$D$993),"")</f>
        <v>7.46</v>
      </c>
      <c r="H1103" s="92">
        <v>11.375007999999999</v>
      </c>
      <c r="I1103" s="84" t="e">
        <v>#REF!</v>
      </c>
      <c r="J1103" s="84" t="e">
        <v>#REF!</v>
      </c>
      <c r="K1103" s="84"/>
      <c r="L1103"/>
      <c r="M1103"/>
      <c r="N1103"/>
      <c r="O1103"/>
      <c r="P1103"/>
      <c r="Q1103"/>
      <c r="R1103"/>
      <c r="S1103"/>
      <c r="T1103"/>
      <c r="U1103"/>
      <c r="V1103"/>
      <c r="W1103"/>
      <c r="X1103"/>
      <c r="Y1103"/>
      <c r="Z1103"/>
      <c r="AA1103"/>
      <c r="AB1103"/>
      <c r="AC1103"/>
      <c r="AD1103"/>
      <c r="AE1103"/>
      <c r="AF1103"/>
      <c r="AG1103"/>
      <c r="AH1103"/>
      <c r="AI1103"/>
      <c r="AJ1103"/>
      <c r="AK1103"/>
      <c r="AL1103"/>
    </row>
    <row r="1104" spans="1:38" ht="27" outlineLevel="3" x14ac:dyDescent="0.2">
      <c r="A1104" s="471">
        <v>43</v>
      </c>
      <c r="B1104" s="471" t="s">
        <v>71</v>
      </c>
      <c r="C1104" s="1053" t="s">
        <v>3516</v>
      </c>
      <c r="D1104" s="1053" t="s">
        <v>424</v>
      </c>
      <c r="E1104" s="11" t="str">
        <f t="array" ref="E1104">_xlfn.XLOOKUP(D1104,Insumos!B:B,Insumos!C:$C)</f>
        <v>M</v>
      </c>
      <c r="F1104" s="86">
        <v>2.0005999999999999</v>
      </c>
      <c r="G1104" s="92">
        <f t="array" ref="G1104">IF(B1104="insumo",_xlfn.XLOOKUP($D1104,Insumos!$B$1:$B$993,Insumos!$D$1:$D$993),"")</f>
        <v>7.98</v>
      </c>
      <c r="H1104" s="92">
        <v>15.964788</v>
      </c>
      <c r="I1104" s="84" t="e">
        <v>#REF!</v>
      </c>
      <c r="J1104" s="84" t="e">
        <v>#REF!</v>
      </c>
      <c r="K1104" s="84"/>
      <c r="L1104"/>
      <c r="M1104"/>
      <c r="N1104"/>
      <c r="O1104"/>
      <c r="P1104"/>
      <c r="Q1104"/>
      <c r="R1104"/>
      <c r="S1104"/>
      <c r="T1104"/>
      <c r="U1104"/>
      <c r="V1104"/>
      <c r="W1104"/>
      <c r="X1104"/>
      <c r="Y1104"/>
      <c r="Z1104"/>
      <c r="AA1104"/>
      <c r="AB1104"/>
      <c r="AC1104"/>
      <c r="AD1104"/>
      <c r="AE1104"/>
      <c r="AF1104"/>
      <c r="AG1104"/>
      <c r="AH1104"/>
      <c r="AI1104"/>
      <c r="AJ1104"/>
      <c r="AK1104"/>
      <c r="AL1104"/>
    </row>
    <row r="1105" spans="1:38" ht="27" outlineLevel="3" x14ac:dyDescent="0.2">
      <c r="A1105" s="471">
        <v>95</v>
      </c>
      <c r="B1105" s="471" t="s">
        <v>71</v>
      </c>
      <c r="C1105" s="1053" t="s">
        <v>3516</v>
      </c>
      <c r="D1105" s="1053" t="s">
        <v>405</v>
      </c>
      <c r="E1105" s="11" t="str">
        <f t="array" ref="E1105">_xlfn.XLOOKUP(D1105,Insumos!B:B,Insumos!C:$C)</f>
        <v>KG</v>
      </c>
      <c r="F1105" s="86">
        <v>1.0978000000000001</v>
      </c>
      <c r="G1105" s="92">
        <f t="array" ref="G1105">IF(B1105="insumo",_xlfn.XLOOKUP($D1105,Insumos!$B$1:$B$993,Insumos!$D$1:$D$993),"")</f>
        <v>3.43</v>
      </c>
      <c r="H1105" s="92">
        <v>3.7654540000000001</v>
      </c>
      <c r="I1105" s="84" t="e">
        <v>#REF!</v>
      </c>
      <c r="J1105" s="84" t="e">
        <v>#REF!</v>
      </c>
      <c r="K1105" s="84"/>
      <c r="L1105"/>
      <c r="M1105"/>
      <c r="N1105"/>
      <c r="O1105"/>
      <c r="P1105"/>
      <c r="Q1105"/>
      <c r="R1105"/>
      <c r="S1105"/>
      <c r="T1105"/>
      <c r="U1105"/>
      <c r="V1105"/>
      <c r="W1105"/>
      <c r="X1105"/>
      <c r="Y1105"/>
      <c r="Z1105"/>
      <c r="AA1105"/>
      <c r="AB1105"/>
      <c r="AC1105"/>
      <c r="AD1105"/>
      <c r="AE1105"/>
      <c r="AF1105"/>
      <c r="AG1105"/>
      <c r="AH1105"/>
      <c r="AI1105"/>
      <c r="AJ1105"/>
      <c r="AK1105"/>
      <c r="AL1105"/>
    </row>
    <row r="1106" spans="1:38" ht="27" outlineLevel="3" x14ac:dyDescent="0.2">
      <c r="A1106" s="471">
        <v>94</v>
      </c>
      <c r="B1106" s="471" t="s">
        <v>71</v>
      </c>
      <c r="C1106" s="1053" t="s">
        <v>3516</v>
      </c>
      <c r="D1106" s="1053" t="s">
        <v>412</v>
      </c>
      <c r="E1106" s="11" t="str">
        <f t="array" ref="E1106">_xlfn.XLOOKUP(D1106,Insumos!B:B,Insumos!C:$C)</f>
        <v>M</v>
      </c>
      <c r="F1106" s="86">
        <v>2.5026999999999999</v>
      </c>
      <c r="G1106" s="92">
        <f t="array" ref="G1106">IF(B1106="insumo",_xlfn.XLOOKUP($D1106,Insumos!$B$1:$B$993,Insumos!$D$1:$D$993),"")</f>
        <v>0.31</v>
      </c>
      <c r="H1106" s="92">
        <v>0.775837</v>
      </c>
      <c r="I1106" s="84" t="e">
        <v>#REF!</v>
      </c>
      <c r="J1106" s="84" t="e">
        <v>#REF!</v>
      </c>
      <c r="K1106" s="84"/>
      <c r="L1106"/>
      <c r="M1106"/>
      <c r="N1106"/>
      <c r="O1106"/>
      <c r="P1106"/>
      <c r="Q1106"/>
      <c r="R1106"/>
      <c r="S1106"/>
      <c r="T1106"/>
      <c r="U1106"/>
      <c r="V1106"/>
      <c r="W1106"/>
      <c r="X1106"/>
      <c r="Y1106"/>
      <c r="Z1106"/>
      <c r="AA1106"/>
      <c r="AB1106"/>
      <c r="AC1106"/>
      <c r="AD1106"/>
      <c r="AE1106"/>
      <c r="AF1106"/>
      <c r="AG1106"/>
      <c r="AH1106"/>
      <c r="AI1106"/>
      <c r="AJ1106"/>
      <c r="AK1106"/>
      <c r="AL1106"/>
    </row>
    <row r="1107" spans="1:38" ht="27" outlineLevel="3" x14ac:dyDescent="0.2">
      <c r="A1107" s="471">
        <v>94</v>
      </c>
      <c r="B1107" s="471" t="s">
        <v>71</v>
      </c>
      <c r="C1107" s="1053" t="s">
        <v>3516</v>
      </c>
      <c r="D1107" s="1053" t="s">
        <v>413</v>
      </c>
      <c r="E1107" s="11" t="str">
        <f t="array" ref="E1107">_xlfn.XLOOKUP(D1107,Insumos!B:B,Insumos!C:$C)</f>
        <v>M</v>
      </c>
      <c r="F1107" s="86">
        <v>1.4815</v>
      </c>
      <c r="G1107" s="92">
        <f t="array" ref="G1107">IF(B1107="insumo",_xlfn.XLOOKUP($D1107,Insumos!$B$1:$B$993,Insumos!$D$1:$D$993),"")</f>
        <v>2.74</v>
      </c>
      <c r="H1107" s="92">
        <v>4.05931</v>
      </c>
      <c r="I1107" s="84" t="e">
        <v>#REF!</v>
      </c>
      <c r="J1107" s="84" t="e">
        <v>#REF!</v>
      </c>
      <c r="K1107" s="84"/>
      <c r="L1107"/>
      <c r="M1107"/>
      <c r="N1107"/>
      <c r="O1107"/>
      <c r="P1107"/>
      <c r="Q1107"/>
      <c r="R1107"/>
      <c r="S1107"/>
      <c r="T1107"/>
      <c r="U1107"/>
      <c r="V1107"/>
      <c r="W1107"/>
      <c r="X1107"/>
      <c r="Y1107"/>
      <c r="Z1107"/>
      <c r="AA1107"/>
      <c r="AB1107"/>
      <c r="AC1107"/>
      <c r="AD1107"/>
      <c r="AE1107"/>
      <c r="AF1107"/>
      <c r="AG1107"/>
      <c r="AH1107"/>
      <c r="AI1107"/>
      <c r="AJ1107"/>
      <c r="AK1107"/>
      <c r="AL1107"/>
    </row>
    <row r="1108" spans="1:38" ht="27" outlineLevel="3" x14ac:dyDescent="0.2">
      <c r="A1108" s="471">
        <v>11</v>
      </c>
      <c r="B1108" s="471" t="s">
        <v>71</v>
      </c>
      <c r="C1108" s="1053" t="s">
        <v>3516</v>
      </c>
      <c r="D1108" s="1053" t="s">
        <v>3525</v>
      </c>
      <c r="E1108" s="11" t="str">
        <f t="array" ref="E1108">_xlfn.XLOOKUP(D1108,Insumos!B:B,Insumos!C:$C)</f>
        <v>M</v>
      </c>
      <c r="F1108" s="86">
        <v>0.8</v>
      </c>
      <c r="G1108" s="92">
        <f t="array" ref="G1108">IF(B1108="insumo",_xlfn.XLOOKUP($D1108,Insumos!$B$1:$B$993,Insumos!$D$1:$D$993),"")</f>
        <v>3</v>
      </c>
      <c r="H1108" s="92">
        <v>2.4</v>
      </c>
      <c r="I1108" s="84" t="e">
        <v>#REF!</v>
      </c>
      <c r="J1108" s="84" t="e">
        <v>#REF!</v>
      </c>
      <c r="K1108" s="84"/>
      <c r="L1108"/>
      <c r="M1108"/>
      <c r="N1108"/>
      <c r="O1108"/>
      <c r="P1108"/>
      <c r="Q1108"/>
      <c r="R1108"/>
      <c r="S1108"/>
      <c r="T1108"/>
      <c r="U1108"/>
      <c r="V1108"/>
      <c r="W1108"/>
      <c r="X1108"/>
      <c r="Y1108"/>
      <c r="Z1108"/>
      <c r="AA1108"/>
      <c r="AB1108"/>
      <c r="AC1108"/>
      <c r="AD1108"/>
      <c r="AE1108"/>
      <c r="AF1108"/>
      <c r="AG1108"/>
      <c r="AH1108"/>
      <c r="AI1108"/>
      <c r="AJ1108"/>
      <c r="AK1108"/>
      <c r="AL1108"/>
    </row>
    <row r="1109" spans="1:38" ht="27" outlineLevel="3" x14ac:dyDescent="0.2">
      <c r="A1109" s="471">
        <v>11</v>
      </c>
      <c r="B1109" s="471" t="s">
        <v>71</v>
      </c>
      <c r="C1109" s="1053" t="s">
        <v>3516</v>
      </c>
      <c r="D1109" s="1053" t="s">
        <v>3526</v>
      </c>
      <c r="E1109" s="11" t="str">
        <f t="array" ref="E1109">_xlfn.XLOOKUP(D1109,Insumos!B:B,Insumos!C:$C)</f>
        <v>M</v>
      </c>
      <c r="F1109" s="86">
        <v>0.84</v>
      </c>
      <c r="G1109" s="92">
        <f t="array" ref="G1109">IF(B1109="insumo",_xlfn.XLOOKUP($D1109,Insumos!$B$1:$B$993,Insumos!$D$1:$D$993),"")</f>
        <v>0.6</v>
      </c>
      <c r="H1109" s="92">
        <v>0.504</v>
      </c>
      <c r="I1109" s="84" t="e">
        <v>#REF!</v>
      </c>
      <c r="J1109" s="84" t="e">
        <v>#REF!</v>
      </c>
      <c r="K1109" s="84"/>
      <c r="L1109"/>
      <c r="M1109"/>
      <c r="N1109"/>
      <c r="O1109"/>
      <c r="P1109"/>
      <c r="Q1109"/>
      <c r="R1109"/>
      <c r="S1109"/>
      <c r="T1109"/>
      <c r="U1109"/>
      <c r="V1109"/>
      <c r="W1109"/>
      <c r="X1109"/>
      <c r="Y1109"/>
      <c r="Z1109"/>
      <c r="AA1109"/>
      <c r="AB1109"/>
      <c r="AC1109"/>
      <c r="AD1109"/>
      <c r="AE1109"/>
      <c r="AF1109"/>
      <c r="AG1109"/>
      <c r="AH1109"/>
      <c r="AI1109"/>
      <c r="AJ1109"/>
      <c r="AK1109"/>
      <c r="AL1109"/>
    </row>
    <row r="1110" spans="1:38" ht="27" outlineLevel="3" x14ac:dyDescent="0.2">
      <c r="A1110" s="471">
        <v>97</v>
      </c>
      <c r="B1110" s="471" t="s">
        <v>71</v>
      </c>
      <c r="C1110" s="1053" t="s">
        <v>3516</v>
      </c>
      <c r="D1110" s="1053" t="s">
        <v>414</v>
      </c>
      <c r="E1110" s="11" t="str">
        <f t="array" ref="E1110">_xlfn.XLOOKUP(D1110,Insumos!B:B,Insumos!C:$C)</f>
        <v>UN</v>
      </c>
      <c r="F1110" s="86">
        <v>20.186800000000002</v>
      </c>
      <c r="G1110" s="92">
        <f t="array" ref="G1110">IF(B1110="insumo",_xlfn.XLOOKUP($D1110,Insumos!$B$1:$B$993,Insumos!$D$1:$D$993),"")</f>
        <v>0.09</v>
      </c>
      <c r="H1110" s="92">
        <v>1.8168120000000001</v>
      </c>
      <c r="I1110" s="84" t="e">
        <v>#REF!</v>
      </c>
      <c r="J1110" s="84" t="e">
        <v>#REF!</v>
      </c>
      <c r="K1110" s="84"/>
      <c r="L1110"/>
      <c r="M1110"/>
      <c r="N1110"/>
      <c r="O1110"/>
      <c r="P1110"/>
      <c r="Q1110"/>
      <c r="R1110"/>
      <c r="S1110"/>
      <c r="T1110"/>
      <c r="U1110"/>
      <c r="V1110"/>
      <c r="W1110"/>
      <c r="X1110"/>
      <c r="Y1110"/>
      <c r="Z1110"/>
      <c r="AA1110"/>
      <c r="AB1110"/>
      <c r="AC1110"/>
      <c r="AD1110"/>
      <c r="AE1110"/>
      <c r="AF1110"/>
      <c r="AG1110"/>
      <c r="AH1110"/>
      <c r="AI1110"/>
      <c r="AJ1110"/>
      <c r="AK1110"/>
      <c r="AL1110"/>
    </row>
    <row r="1111" spans="1:38" ht="27" outlineLevel="3" x14ac:dyDescent="0.2">
      <c r="A1111" s="471">
        <v>95</v>
      </c>
      <c r="B1111" s="471" t="s">
        <v>71</v>
      </c>
      <c r="C1111" s="1053" t="s">
        <v>3516</v>
      </c>
      <c r="D1111" s="1053" t="s">
        <v>415</v>
      </c>
      <c r="E1111" s="11" t="str">
        <f t="array" ref="E1111">_xlfn.XLOOKUP(D1111,Insumos!B:B,Insumos!C:$C)</f>
        <v>UN</v>
      </c>
      <c r="F1111" s="86">
        <v>0.4803</v>
      </c>
      <c r="G1111" s="92">
        <f t="array" ref="G1111">IF(B1111="insumo",_xlfn.XLOOKUP($D1111,Insumos!$B$1:$B$993,Insumos!$D$1:$D$993),"")</f>
        <v>0.2</v>
      </c>
      <c r="H1111" s="92">
        <v>9.6060000000000006E-2</v>
      </c>
      <c r="I1111" s="84" t="e">
        <v>#REF!</v>
      </c>
      <c r="J1111" s="84" t="e">
        <v>#REF!</v>
      </c>
      <c r="K1111" s="84"/>
      <c r="L1111"/>
      <c r="M1111"/>
      <c r="N1111"/>
      <c r="O1111"/>
      <c r="P1111"/>
      <c r="Q1111"/>
      <c r="R1111"/>
      <c r="S1111"/>
      <c r="T1111"/>
      <c r="U1111"/>
      <c r="V1111"/>
      <c r="W1111"/>
      <c r="X1111"/>
      <c r="Y1111"/>
      <c r="Z1111"/>
      <c r="AA1111"/>
      <c r="AB1111"/>
      <c r="AC1111"/>
      <c r="AD1111"/>
      <c r="AE1111"/>
      <c r="AF1111"/>
      <c r="AG1111"/>
      <c r="AH1111"/>
      <c r="AI1111"/>
      <c r="AJ1111"/>
      <c r="AK1111"/>
      <c r="AL1111"/>
    </row>
    <row r="1112" spans="1:38" ht="27" outlineLevel="2" x14ac:dyDescent="0.2">
      <c r="A1112" s="1076">
        <v>1</v>
      </c>
      <c r="B1112" s="1076" t="s">
        <v>68</v>
      </c>
      <c r="C1112" s="1077" t="s">
        <v>3518</v>
      </c>
      <c r="D1112" s="1077" t="s">
        <v>3518</v>
      </c>
      <c r="E1112" s="1078" t="s">
        <v>70</v>
      </c>
      <c r="F1112" s="1076"/>
      <c r="G1112" s="1069" t="str">
        <f t="array" ref="G1112">IF(B1112="insumo",_xlfn.XLOOKUP($D1112,Insumos!$B$1:$B$993,Insumos!$D$1:$D$993),"")</f>
        <v/>
      </c>
      <c r="H1112" s="1069">
        <v>172.95653075000001</v>
      </c>
      <c r="I1112" s="1079">
        <v>0</v>
      </c>
      <c r="J1112" s="1079">
        <v>0</v>
      </c>
      <c r="K1112" s="1079"/>
      <c r="L1112"/>
      <c r="M1112"/>
      <c r="N1112"/>
      <c r="O1112"/>
      <c r="P1112"/>
      <c r="Q1112"/>
      <c r="R1112"/>
      <c r="S1112"/>
      <c r="T1112"/>
      <c r="U1112"/>
      <c r="V1112"/>
      <c r="W1112"/>
      <c r="X1112"/>
      <c r="Y1112"/>
      <c r="Z1112"/>
      <c r="AA1112"/>
      <c r="AB1112"/>
      <c r="AC1112"/>
      <c r="AD1112"/>
      <c r="AE1112"/>
      <c r="AF1112"/>
      <c r="AG1112"/>
      <c r="AH1112"/>
      <c r="AI1112"/>
      <c r="AJ1112"/>
      <c r="AK1112"/>
      <c r="AL1112"/>
    </row>
    <row r="1113" spans="1:38" ht="12.75" outlineLevel="3" x14ac:dyDescent="0.2">
      <c r="A1113" s="471">
        <v>11</v>
      </c>
      <c r="B1113" s="471" t="s">
        <v>71</v>
      </c>
      <c r="C1113" s="10" t="s">
        <v>3518</v>
      </c>
      <c r="D1113" s="10" t="s">
        <v>1390</v>
      </c>
      <c r="E1113" s="11" t="str">
        <f t="array" ref="E1113">_xlfn.XLOOKUP(D1113,Insumos!B:B,Insumos!C:$C)</f>
        <v>M2</v>
      </c>
      <c r="F1113" s="86">
        <f>1.053*3</f>
        <v>3.1589999999999998</v>
      </c>
      <c r="G1113" s="92">
        <f t="array" ref="G1113">IF(B1113="insumo",_xlfn.XLOOKUP($D1113,Insumos!$B$1:$B$993,Insumos!$D$1:$D$993),"")</f>
        <v>30.089583333333337</v>
      </c>
      <c r="H1113" s="92">
        <v>95.052993749999999</v>
      </c>
      <c r="I1113" s="84">
        <v>0</v>
      </c>
      <c r="J1113" s="84">
        <v>0</v>
      </c>
      <c r="K1113" s="84"/>
      <c r="L1113"/>
      <c r="M1113"/>
      <c r="N1113"/>
      <c r="O1113"/>
      <c r="P1113"/>
      <c r="Q1113"/>
      <c r="R1113"/>
      <c r="S1113"/>
      <c r="T1113"/>
      <c r="U1113"/>
      <c r="V1113"/>
      <c r="W1113"/>
      <c r="X1113"/>
      <c r="Y1113"/>
      <c r="Z1113"/>
      <c r="AA1113"/>
      <c r="AB1113"/>
      <c r="AC1113"/>
      <c r="AD1113"/>
      <c r="AE1113"/>
      <c r="AF1113"/>
      <c r="AG1113"/>
      <c r="AH1113"/>
      <c r="AI1113"/>
      <c r="AJ1113"/>
      <c r="AK1113"/>
      <c r="AL1113"/>
    </row>
    <row r="1114" spans="1:38" ht="27" outlineLevel="3" x14ac:dyDescent="0.2">
      <c r="A1114" s="471">
        <v>95</v>
      </c>
      <c r="B1114" s="471" t="s">
        <v>71</v>
      </c>
      <c r="C1114" s="1053" t="s">
        <v>3518</v>
      </c>
      <c r="D1114" s="1053" t="s">
        <v>409</v>
      </c>
      <c r="E1114" s="11" t="str">
        <f t="array" ref="E1114">_xlfn.XLOOKUP(D1114,Insumos!B:B,Insumos!C:$C)</f>
        <v>UN</v>
      </c>
      <c r="F1114" s="86">
        <f>4.95*2</f>
        <v>9.9</v>
      </c>
      <c r="G1114" s="92">
        <f t="array" ref="G1114">IF(B1114="insumo",_xlfn.XLOOKUP($D1114,Insumos!$B$1:$B$993,Insumos!$D$1:$D$993),"")</f>
        <v>0.504</v>
      </c>
      <c r="H1114" s="92">
        <v>4.9896000000000003</v>
      </c>
      <c r="I1114" s="84">
        <v>0</v>
      </c>
      <c r="J1114" s="84">
        <v>0</v>
      </c>
      <c r="K1114" s="84"/>
      <c r="L1114"/>
      <c r="M1114"/>
      <c r="N1114"/>
      <c r="O1114"/>
      <c r="P1114"/>
      <c r="Q1114"/>
      <c r="R1114"/>
      <c r="S1114"/>
      <c r="T1114"/>
      <c r="U1114"/>
      <c r="V1114"/>
      <c r="W1114"/>
      <c r="X1114"/>
      <c r="Y1114"/>
      <c r="Z1114"/>
      <c r="AA1114"/>
      <c r="AB1114"/>
      <c r="AC1114"/>
      <c r="AD1114"/>
      <c r="AE1114"/>
      <c r="AF1114"/>
      <c r="AG1114"/>
      <c r="AH1114"/>
      <c r="AI1114"/>
      <c r="AJ1114"/>
      <c r="AK1114"/>
      <c r="AL1114"/>
    </row>
    <row r="1115" spans="1:38" ht="27" outlineLevel="3" x14ac:dyDescent="0.2">
      <c r="A1115" s="471">
        <v>43</v>
      </c>
      <c r="B1115" s="471" t="s">
        <v>71</v>
      </c>
      <c r="C1115" s="1053" t="s">
        <v>3518</v>
      </c>
      <c r="D1115" s="1053" t="s">
        <v>423</v>
      </c>
      <c r="E1115" s="11" t="str">
        <f t="array" ref="E1115">_xlfn.XLOOKUP(D1115,Insumos!B:B,Insumos!C:$C)</f>
        <v>M</v>
      </c>
      <c r="F1115" s="86">
        <f>1.5248*2</f>
        <v>3.0495999999999999</v>
      </c>
      <c r="G1115" s="92">
        <f t="array" ref="G1115">IF(B1115="insumo",_xlfn.XLOOKUP($D1115,Insumos!$B$1:$B$993,Insumos!$D$1:$D$993),"")</f>
        <v>7.46</v>
      </c>
      <c r="H1115" s="92">
        <v>22.750015999999999</v>
      </c>
      <c r="I1115" s="84">
        <v>0</v>
      </c>
      <c r="J1115" s="84">
        <v>0</v>
      </c>
      <c r="K1115" s="84"/>
      <c r="L1115"/>
      <c r="M1115"/>
      <c r="N1115"/>
      <c r="O1115"/>
      <c r="P1115"/>
      <c r="Q1115"/>
      <c r="R1115"/>
      <c r="S1115"/>
      <c r="T1115"/>
      <c r="U1115"/>
      <c r="V1115"/>
      <c r="W1115"/>
      <c r="X1115"/>
      <c r="Y1115"/>
      <c r="Z1115"/>
      <c r="AA1115"/>
      <c r="AB1115"/>
      <c r="AC1115"/>
      <c r="AD1115"/>
      <c r="AE1115"/>
      <c r="AF1115"/>
      <c r="AG1115"/>
      <c r="AH1115"/>
      <c r="AI1115"/>
      <c r="AJ1115"/>
      <c r="AK1115"/>
      <c r="AL1115"/>
    </row>
    <row r="1116" spans="1:38" ht="27" outlineLevel="3" x14ac:dyDescent="0.2">
      <c r="A1116" s="471">
        <v>43</v>
      </c>
      <c r="B1116" s="471" t="s">
        <v>71</v>
      </c>
      <c r="C1116" s="1053" t="s">
        <v>3518</v>
      </c>
      <c r="D1116" s="1053" t="s">
        <v>424</v>
      </c>
      <c r="E1116" s="11" t="str">
        <f t="array" ref="E1116">_xlfn.XLOOKUP(D1116,Insumos!B:B,Insumos!C:$C)</f>
        <v>M</v>
      </c>
      <c r="F1116" s="86">
        <f>2.0006*2</f>
        <v>4.0011999999999999</v>
      </c>
      <c r="G1116" s="92">
        <f t="array" ref="G1116">IF(B1116="insumo",_xlfn.XLOOKUP($D1116,Insumos!$B$1:$B$993,Insumos!$D$1:$D$993),"")</f>
        <v>7.98</v>
      </c>
      <c r="H1116" s="92">
        <v>31.929576000000001</v>
      </c>
      <c r="I1116" s="84">
        <v>0</v>
      </c>
      <c r="J1116" s="84">
        <v>0</v>
      </c>
      <c r="K1116" s="84"/>
      <c r="L1116"/>
      <c r="M1116"/>
      <c r="N1116"/>
      <c r="O1116"/>
      <c r="P1116"/>
      <c r="Q1116"/>
      <c r="R1116"/>
      <c r="S1116"/>
      <c r="T1116"/>
      <c r="U1116"/>
      <c r="V1116"/>
      <c r="W1116"/>
      <c r="X1116"/>
      <c r="Y1116"/>
      <c r="Z1116"/>
      <c r="AA1116"/>
      <c r="AB1116"/>
      <c r="AC1116"/>
      <c r="AD1116"/>
      <c r="AE1116"/>
      <c r="AF1116"/>
      <c r="AG1116"/>
      <c r="AH1116"/>
      <c r="AI1116"/>
      <c r="AJ1116"/>
      <c r="AK1116"/>
      <c r="AL1116"/>
    </row>
    <row r="1117" spans="1:38" ht="27" outlineLevel="3" x14ac:dyDescent="0.2">
      <c r="A1117" s="471">
        <v>95</v>
      </c>
      <c r="B1117" s="471" t="s">
        <v>71</v>
      </c>
      <c r="C1117" s="1053" t="s">
        <v>3518</v>
      </c>
      <c r="D1117" s="1053" t="s">
        <v>405</v>
      </c>
      <c r="E1117" s="11" t="str">
        <f t="array" ref="E1117">_xlfn.XLOOKUP(D1117,Insumos!B:B,Insumos!C:$C)</f>
        <v>KG</v>
      </c>
      <c r="F1117" s="86">
        <v>1.0978000000000001</v>
      </c>
      <c r="G1117" s="92">
        <f t="array" ref="G1117">IF(B1117="insumo",_xlfn.XLOOKUP($D1117,Insumos!$B$1:$B$993,Insumos!$D$1:$D$993),"")</f>
        <v>3.43</v>
      </c>
      <c r="H1117" s="92">
        <v>3.7654540000000001</v>
      </c>
      <c r="I1117" s="84">
        <v>0</v>
      </c>
      <c r="J1117" s="84">
        <v>0</v>
      </c>
      <c r="K1117" s="84"/>
      <c r="L1117"/>
      <c r="M1117"/>
      <c r="N1117"/>
      <c r="O1117"/>
      <c r="P1117"/>
      <c r="Q1117"/>
      <c r="R1117"/>
      <c r="S1117"/>
      <c r="T1117"/>
      <c r="U1117"/>
      <c r="V1117"/>
      <c r="W1117"/>
      <c r="X1117"/>
      <c r="Y1117"/>
      <c r="Z1117"/>
      <c r="AA1117"/>
      <c r="AB1117"/>
      <c r="AC1117"/>
      <c r="AD1117"/>
      <c r="AE1117"/>
      <c r="AF1117"/>
      <c r="AG1117"/>
      <c r="AH1117"/>
      <c r="AI1117"/>
      <c r="AJ1117"/>
      <c r="AK1117"/>
      <c r="AL1117"/>
    </row>
    <row r="1118" spans="1:38" ht="27" outlineLevel="3" x14ac:dyDescent="0.2">
      <c r="A1118" s="471">
        <v>94</v>
      </c>
      <c r="B1118" s="471" t="s">
        <v>71</v>
      </c>
      <c r="C1118" s="1053" t="s">
        <v>3518</v>
      </c>
      <c r="D1118" s="1053" t="s">
        <v>412</v>
      </c>
      <c r="E1118" s="11" t="str">
        <f t="array" ref="E1118">_xlfn.XLOOKUP(D1118,Insumos!B:B,Insumos!C:$C)</f>
        <v>M</v>
      </c>
      <c r="F1118" s="86">
        <v>2.5026999999999999</v>
      </c>
      <c r="G1118" s="92">
        <f t="array" ref="G1118">IF(B1118="insumo",_xlfn.XLOOKUP($D1118,Insumos!$B$1:$B$993,Insumos!$D$1:$D$993),"")</f>
        <v>0.31</v>
      </c>
      <c r="H1118" s="92">
        <v>0.775837</v>
      </c>
      <c r="I1118" s="84">
        <v>0</v>
      </c>
      <c r="J1118" s="84">
        <v>0</v>
      </c>
      <c r="K1118" s="84"/>
      <c r="L1118"/>
      <c r="M1118"/>
      <c r="N1118"/>
      <c r="O1118"/>
      <c r="P1118"/>
      <c r="Q1118"/>
      <c r="R1118"/>
      <c r="S1118"/>
      <c r="T1118"/>
      <c r="U1118"/>
      <c r="V1118"/>
      <c r="W1118"/>
      <c r="X1118"/>
      <c r="Y1118"/>
      <c r="Z1118"/>
      <c r="AA1118"/>
      <c r="AB1118"/>
      <c r="AC1118"/>
      <c r="AD1118"/>
      <c r="AE1118"/>
      <c r="AF1118"/>
      <c r="AG1118"/>
      <c r="AH1118"/>
      <c r="AI1118"/>
      <c r="AJ1118"/>
      <c r="AK1118"/>
      <c r="AL1118"/>
    </row>
    <row r="1119" spans="1:38" ht="27" outlineLevel="3" x14ac:dyDescent="0.2">
      <c r="A1119" s="471">
        <v>94</v>
      </c>
      <c r="B1119" s="471" t="s">
        <v>71</v>
      </c>
      <c r="C1119" s="1053" t="s">
        <v>3518</v>
      </c>
      <c r="D1119" s="1053" t="s">
        <v>413</v>
      </c>
      <c r="E1119" s="11" t="str">
        <f t="array" ref="E1119">_xlfn.XLOOKUP(D1119,Insumos!B:B,Insumos!C:$C)</f>
        <v>M</v>
      </c>
      <c r="F1119" s="86">
        <v>1.4815</v>
      </c>
      <c r="G1119" s="92">
        <f t="array" ref="G1119">IF(B1119="insumo",_xlfn.XLOOKUP($D1119,Insumos!$B$1:$B$993,Insumos!$D$1:$D$993),"")</f>
        <v>2.74</v>
      </c>
      <c r="H1119" s="92">
        <v>4.05931</v>
      </c>
      <c r="I1119" s="84">
        <v>0</v>
      </c>
      <c r="J1119" s="84">
        <v>0</v>
      </c>
      <c r="K1119" s="84"/>
      <c r="L1119"/>
      <c r="M1119"/>
      <c r="N1119"/>
      <c r="O1119"/>
      <c r="P1119"/>
      <c r="Q1119"/>
      <c r="R1119"/>
      <c r="S1119"/>
      <c r="T1119"/>
      <c r="U1119"/>
      <c r="V1119"/>
      <c r="W1119"/>
      <c r="X1119"/>
      <c r="Y1119"/>
      <c r="Z1119"/>
      <c r="AA1119"/>
      <c r="AB1119"/>
      <c r="AC1119"/>
      <c r="AD1119"/>
      <c r="AE1119"/>
      <c r="AF1119"/>
      <c r="AG1119"/>
      <c r="AH1119"/>
      <c r="AI1119"/>
      <c r="AJ1119"/>
      <c r="AK1119"/>
      <c r="AL1119"/>
    </row>
    <row r="1120" spans="1:38" ht="27" outlineLevel="3" x14ac:dyDescent="0.2">
      <c r="A1120" s="471">
        <v>11</v>
      </c>
      <c r="B1120" s="471" t="s">
        <v>71</v>
      </c>
      <c r="C1120" s="1053" t="s">
        <v>3518</v>
      </c>
      <c r="D1120" s="1053" t="s">
        <v>3525</v>
      </c>
      <c r="E1120" s="11" t="str">
        <f t="array" ref="E1120">_xlfn.XLOOKUP(D1120,Insumos!B:B,Insumos!C:$C)</f>
        <v>M</v>
      </c>
      <c r="F1120" s="86">
        <f>0.8*2</f>
        <v>1.6</v>
      </c>
      <c r="G1120" s="92">
        <f t="array" ref="G1120">IF(B1120="insumo",_xlfn.XLOOKUP($D1120,Insumos!$B$1:$B$993,Insumos!$D$1:$D$993),"")</f>
        <v>3</v>
      </c>
      <c r="H1120" s="92">
        <v>4.8</v>
      </c>
      <c r="I1120" s="84">
        <v>0</v>
      </c>
      <c r="J1120" s="84">
        <v>0</v>
      </c>
      <c r="K1120" s="84"/>
      <c r="L1120"/>
      <c r="M1120"/>
      <c r="N1120"/>
      <c r="O1120"/>
      <c r="P1120"/>
      <c r="Q1120"/>
      <c r="R1120"/>
      <c r="S1120"/>
      <c r="T1120"/>
      <c r="U1120"/>
      <c r="V1120"/>
      <c r="W1120"/>
      <c r="X1120"/>
      <c r="Y1120"/>
      <c r="Z1120"/>
      <c r="AA1120"/>
      <c r="AB1120"/>
      <c r="AC1120"/>
      <c r="AD1120"/>
      <c r="AE1120"/>
      <c r="AF1120"/>
      <c r="AG1120"/>
      <c r="AH1120"/>
      <c r="AI1120"/>
      <c r="AJ1120"/>
      <c r="AK1120"/>
      <c r="AL1120"/>
    </row>
    <row r="1121" spans="1:38" ht="27" outlineLevel="3" x14ac:dyDescent="0.2">
      <c r="A1121" s="471">
        <v>11</v>
      </c>
      <c r="B1121" s="471" t="s">
        <v>71</v>
      </c>
      <c r="C1121" s="1053" t="s">
        <v>3518</v>
      </c>
      <c r="D1121" s="1053" t="s">
        <v>3526</v>
      </c>
      <c r="E1121" s="11" t="str">
        <f t="array" ref="E1121">_xlfn.XLOOKUP(D1121,Insumos!B:B,Insumos!C:$C)</f>
        <v>M</v>
      </c>
      <c r="F1121" s="86">
        <f>0.84*2</f>
        <v>1.68</v>
      </c>
      <c r="G1121" s="92">
        <f t="array" ref="G1121">IF(B1121="insumo",_xlfn.XLOOKUP($D1121,Insumos!$B$1:$B$993,Insumos!$D$1:$D$993),"")</f>
        <v>0.6</v>
      </c>
      <c r="H1121" s="92">
        <v>1.008</v>
      </c>
      <c r="I1121" s="84">
        <v>0</v>
      </c>
      <c r="J1121" s="84">
        <v>0</v>
      </c>
      <c r="K1121" s="84"/>
      <c r="L1121"/>
      <c r="M1121"/>
      <c r="N1121"/>
      <c r="O1121"/>
      <c r="P1121"/>
      <c r="Q1121"/>
      <c r="R1121"/>
      <c r="S1121"/>
      <c r="T1121"/>
      <c r="U1121"/>
      <c r="V1121"/>
      <c r="W1121"/>
      <c r="X1121"/>
      <c r="Y1121"/>
      <c r="Z1121"/>
      <c r="AA1121"/>
      <c r="AB1121"/>
      <c r="AC1121"/>
      <c r="AD1121"/>
      <c r="AE1121"/>
      <c r="AF1121"/>
      <c r="AG1121"/>
      <c r="AH1121"/>
      <c r="AI1121"/>
      <c r="AJ1121"/>
      <c r="AK1121"/>
      <c r="AL1121"/>
    </row>
    <row r="1122" spans="1:38" ht="27" outlineLevel="3" x14ac:dyDescent="0.2">
      <c r="A1122" s="471">
        <v>97</v>
      </c>
      <c r="B1122" s="471" t="s">
        <v>71</v>
      </c>
      <c r="C1122" s="1053" t="s">
        <v>3518</v>
      </c>
      <c r="D1122" s="1053" t="s">
        <v>414</v>
      </c>
      <c r="E1122" s="11" t="str">
        <f t="array" ref="E1122">_xlfn.XLOOKUP(D1122,Insumos!B:B,Insumos!C:$C)</f>
        <v>UN</v>
      </c>
      <c r="F1122" s="86">
        <f>20.1868*2</f>
        <v>40.373600000000003</v>
      </c>
      <c r="G1122" s="92">
        <f t="array" ref="G1122">IF(B1122="insumo",_xlfn.XLOOKUP($D1122,Insumos!$B$1:$B$993,Insumos!$D$1:$D$993),"")</f>
        <v>0.09</v>
      </c>
      <c r="H1122" s="92">
        <v>3.6336240000000002</v>
      </c>
      <c r="I1122" s="84">
        <v>0</v>
      </c>
      <c r="J1122" s="84">
        <v>0</v>
      </c>
      <c r="K1122" s="84"/>
      <c r="L1122"/>
      <c r="M1122"/>
      <c r="N1122"/>
      <c r="O1122"/>
      <c r="P1122"/>
      <c r="Q1122"/>
      <c r="R1122"/>
      <c r="S1122"/>
      <c r="T1122"/>
      <c r="U1122"/>
      <c r="V1122"/>
      <c r="W1122"/>
      <c r="X1122"/>
      <c r="Y1122"/>
      <c r="Z1122"/>
      <c r="AA1122"/>
      <c r="AB1122"/>
      <c r="AC1122"/>
      <c r="AD1122"/>
      <c r="AE1122"/>
      <c r="AF1122"/>
      <c r="AG1122"/>
      <c r="AH1122"/>
      <c r="AI1122"/>
      <c r="AJ1122"/>
      <c r="AK1122"/>
      <c r="AL1122"/>
    </row>
    <row r="1123" spans="1:38" ht="27" outlineLevel="3" x14ac:dyDescent="0.2">
      <c r="A1123" s="471">
        <v>95</v>
      </c>
      <c r="B1123" s="471" t="s">
        <v>71</v>
      </c>
      <c r="C1123" s="1053" t="s">
        <v>3518</v>
      </c>
      <c r="D1123" s="1053" t="s">
        <v>415</v>
      </c>
      <c r="E1123" s="11" t="str">
        <f t="array" ref="E1123">_xlfn.XLOOKUP(D1123,Insumos!B:B,Insumos!C:$C)</f>
        <v>UN</v>
      </c>
      <c r="F1123" s="86">
        <f>0.4803*2</f>
        <v>0.96060000000000001</v>
      </c>
      <c r="G1123" s="92">
        <f t="array" ref="G1123">IF(B1123="insumo",_xlfn.XLOOKUP($D1123,Insumos!$B$1:$B$993,Insumos!$D$1:$D$993),"")</f>
        <v>0.2</v>
      </c>
      <c r="H1123" s="92">
        <v>0.19212000000000001</v>
      </c>
      <c r="I1123" s="84">
        <v>0</v>
      </c>
      <c r="J1123" s="84">
        <v>0</v>
      </c>
      <c r="K1123" s="84"/>
      <c r="L1123"/>
      <c r="M1123"/>
      <c r="N1123"/>
      <c r="O1123"/>
      <c r="P1123"/>
      <c r="Q1123"/>
      <c r="R1123"/>
      <c r="S1123"/>
      <c r="T1123"/>
      <c r="U1123"/>
      <c r="V1123"/>
      <c r="W1123"/>
      <c r="X1123"/>
      <c r="Y1123"/>
      <c r="Z1123"/>
      <c r="AA1123"/>
      <c r="AB1123"/>
      <c r="AC1123"/>
      <c r="AD1123"/>
      <c r="AE1123"/>
      <c r="AF1123"/>
      <c r="AG1123"/>
      <c r="AH1123"/>
      <c r="AI1123"/>
      <c r="AJ1123"/>
      <c r="AK1123"/>
      <c r="AL1123"/>
    </row>
    <row r="1124" spans="1:38" ht="27" outlineLevel="2" x14ac:dyDescent="0.2">
      <c r="A1124" s="1076">
        <v>1</v>
      </c>
      <c r="B1124" s="1076" t="s">
        <v>68</v>
      </c>
      <c r="C1124" s="1077" t="s">
        <v>3521</v>
      </c>
      <c r="D1124" s="1077" t="s">
        <v>3521</v>
      </c>
      <c r="E1124" s="1078" t="s">
        <v>70</v>
      </c>
      <c r="F1124" s="1076"/>
      <c r="G1124" s="1069" t="str">
        <f t="array" ref="G1124">IF(B1124="insumo",_xlfn.XLOOKUP($D1124,Insumos!$B$1:$B$993,Insumos!$D$1:$D$993),"")</f>
        <v/>
      </c>
      <c r="H1124" s="1069">
        <v>232.03889824999999</v>
      </c>
      <c r="I1124" s="1079">
        <v>0</v>
      </c>
      <c r="J1124" s="1079">
        <v>0</v>
      </c>
      <c r="K1124" s="1079"/>
      <c r="L1124"/>
      <c r="M1124"/>
      <c r="N1124"/>
      <c r="O1124"/>
      <c r="P1124"/>
      <c r="Q1124"/>
      <c r="R1124"/>
      <c r="S1124"/>
      <c r="T1124"/>
      <c r="U1124"/>
      <c r="V1124"/>
      <c r="W1124"/>
      <c r="X1124"/>
      <c r="Y1124"/>
      <c r="Z1124"/>
      <c r="AA1124"/>
      <c r="AB1124"/>
      <c r="AC1124"/>
      <c r="AD1124"/>
      <c r="AE1124"/>
      <c r="AF1124"/>
      <c r="AG1124"/>
      <c r="AH1124"/>
      <c r="AI1124"/>
      <c r="AJ1124"/>
      <c r="AK1124"/>
      <c r="AL1124"/>
    </row>
    <row r="1125" spans="1:38" ht="12.75" outlineLevel="3" x14ac:dyDescent="0.2">
      <c r="A1125" s="471">
        <v>11</v>
      </c>
      <c r="B1125" s="471" t="s">
        <v>71</v>
      </c>
      <c r="C1125" s="10" t="s">
        <v>3521</v>
      </c>
      <c r="D1125" s="10" t="s">
        <v>1390</v>
      </c>
      <c r="E1125" s="11" t="str">
        <f t="array" ref="E1125">_xlfn.XLOOKUP(D1125,Insumos!B:B,Insumos!C:$C)</f>
        <v>M2</v>
      </c>
      <c r="F1125" s="86">
        <f>1.053</f>
        <v>1.0529999999999999</v>
      </c>
      <c r="G1125" s="92">
        <f t="array" ref="G1125">IF(B1125="insumo",_xlfn.XLOOKUP($D1125,Insumos!$B$1:$B$993,Insumos!$D$1:$D$993),"")</f>
        <v>30.089583333333337</v>
      </c>
      <c r="H1125" s="92">
        <v>31.68433125</v>
      </c>
      <c r="I1125" s="84">
        <v>0</v>
      </c>
      <c r="J1125" s="84">
        <v>0</v>
      </c>
      <c r="K1125" s="84"/>
      <c r="L1125"/>
      <c r="M1125"/>
      <c r="N1125"/>
      <c r="O1125"/>
      <c r="P1125"/>
      <c r="Q1125"/>
      <c r="R1125"/>
      <c r="S1125"/>
      <c r="T1125"/>
      <c r="U1125"/>
      <c r="V1125"/>
      <c r="W1125"/>
      <c r="X1125"/>
      <c r="Y1125"/>
      <c r="Z1125"/>
      <c r="AA1125"/>
      <c r="AB1125"/>
      <c r="AC1125"/>
      <c r="AD1125"/>
      <c r="AE1125"/>
      <c r="AF1125"/>
      <c r="AG1125"/>
      <c r="AH1125"/>
      <c r="AI1125"/>
      <c r="AJ1125"/>
      <c r="AK1125"/>
      <c r="AL1125"/>
    </row>
    <row r="1126" spans="1:38" ht="27" outlineLevel="3" x14ac:dyDescent="0.2">
      <c r="A1126" s="471">
        <v>47</v>
      </c>
      <c r="B1126" s="471" t="s">
        <v>71</v>
      </c>
      <c r="C1126" s="1053" t="s">
        <v>3521</v>
      </c>
      <c r="D1126" s="1053" t="s">
        <v>408</v>
      </c>
      <c r="E1126" s="11" t="str">
        <f t="array" ref="E1126">_xlfn.XLOOKUP(D1126,Insumos!B:B,Insumos!C:$C)</f>
        <v>M2</v>
      </c>
      <c r="F1126" s="86">
        <f>1.053</f>
        <v>1.0529999999999999</v>
      </c>
      <c r="G1126" s="92">
        <f t="array" ref="G1126">IF(B1126="insumo",_xlfn.XLOOKUP($D1126,Insumos!$B$1:$B$993,Insumos!$D$1:$D$993),"")</f>
        <v>20.16</v>
      </c>
      <c r="H1126" s="92">
        <v>21.228480000000001</v>
      </c>
      <c r="I1126" s="84">
        <v>0</v>
      </c>
      <c r="J1126" s="84">
        <v>0</v>
      </c>
      <c r="K1126" s="84"/>
      <c r="L1126"/>
      <c r="M1126"/>
      <c r="N1126"/>
      <c r="O1126"/>
      <c r="P1126"/>
      <c r="Q1126"/>
      <c r="R1126"/>
      <c r="S1126"/>
      <c r="T1126"/>
      <c r="U1126"/>
      <c r="V1126"/>
      <c r="W1126"/>
      <c r="X1126"/>
      <c r="Y1126"/>
      <c r="Z1126"/>
      <c r="AA1126"/>
      <c r="AB1126"/>
      <c r="AC1126"/>
      <c r="AD1126"/>
      <c r="AE1126"/>
      <c r="AF1126"/>
      <c r="AG1126"/>
      <c r="AH1126"/>
      <c r="AI1126"/>
      <c r="AJ1126"/>
      <c r="AK1126"/>
      <c r="AL1126"/>
    </row>
    <row r="1127" spans="1:38" ht="27" outlineLevel="3" x14ac:dyDescent="0.2">
      <c r="A1127" s="471">
        <v>49</v>
      </c>
      <c r="B1127" s="471" t="s">
        <v>71</v>
      </c>
      <c r="C1127" s="1053" t="s">
        <v>3521</v>
      </c>
      <c r="D1127" s="1053" t="s">
        <v>418</v>
      </c>
      <c r="E1127" s="11" t="str">
        <f t="array" ref="E1127">_xlfn.XLOOKUP(D1127,Insumos!B:B,Insumos!C:$C)</f>
        <v>M2</v>
      </c>
      <c r="F1127" s="86">
        <f>1.053</f>
        <v>1.0529999999999999</v>
      </c>
      <c r="G1127" s="92">
        <f t="array" ref="G1127">IF(B1127="insumo",_xlfn.XLOOKUP($D1127,Insumos!$B$1:$B$993,Insumos!$D$1:$D$993),"")</f>
        <v>27.1</v>
      </c>
      <c r="H1127" s="92">
        <v>28.536300000000001</v>
      </c>
      <c r="I1127" s="84">
        <v>0</v>
      </c>
      <c r="J1127" s="84">
        <v>0</v>
      </c>
      <c r="K1127" s="84"/>
      <c r="L1127"/>
      <c r="M1127"/>
      <c r="N1127"/>
      <c r="O1127"/>
      <c r="P1127"/>
      <c r="Q1127"/>
      <c r="R1127"/>
      <c r="S1127"/>
      <c r="T1127"/>
      <c r="U1127"/>
      <c r="V1127"/>
      <c r="W1127"/>
      <c r="X1127"/>
      <c r="Y1127"/>
      <c r="Z1127"/>
      <c r="AA1127"/>
      <c r="AB1127"/>
      <c r="AC1127"/>
      <c r="AD1127"/>
      <c r="AE1127"/>
      <c r="AF1127"/>
      <c r="AG1127"/>
      <c r="AH1127"/>
      <c r="AI1127"/>
      <c r="AJ1127"/>
      <c r="AK1127"/>
      <c r="AL1127"/>
    </row>
    <row r="1128" spans="1:38" ht="12.75" outlineLevel="3" x14ac:dyDescent="0.2">
      <c r="A1128" s="471">
        <v>10</v>
      </c>
      <c r="B1128" s="471" t="s">
        <v>71</v>
      </c>
      <c r="C1128" s="10" t="s">
        <v>3521</v>
      </c>
      <c r="D1128" s="10" t="s">
        <v>3524</v>
      </c>
      <c r="E1128" s="11" t="str">
        <f t="array" ref="E1128">_xlfn.XLOOKUP(D1128,Insumos!B:B,Insumos!C:$C)</f>
        <v>M2</v>
      </c>
      <c r="F1128" s="86">
        <f>1.053*2</f>
        <v>2.1059999999999999</v>
      </c>
      <c r="G1128" s="92">
        <f t="array" ref="G1128">IF(B1128="insumo",_xlfn.XLOOKUP($D1128,Insumos!$B$1:$B$993,Insumos!$D$1:$D$993),"")</f>
        <v>34.513888888888893</v>
      </c>
      <c r="H1128" s="92">
        <v>72.686250000000001</v>
      </c>
      <c r="I1128" s="84">
        <v>0</v>
      </c>
      <c r="J1128" s="84">
        <v>0</v>
      </c>
      <c r="K1128" s="84"/>
      <c r="L1128"/>
      <c r="M1128"/>
      <c r="N1128"/>
      <c r="O1128"/>
      <c r="P1128"/>
      <c r="Q1128"/>
      <c r="R1128"/>
      <c r="S1128"/>
      <c r="T1128"/>
      <c r="U1128"/>
      <c r="V1128"/>
      <c r="W1128"/>
      <c r="X1128"/>
      <c r="Y1128"/>
      <c r="Z1128"/>
      <c r="AA1128"/>
      <c r="AB1128"/>
      <c r="AC1128"/>
      <c r="AD1128"/>
      <c r="AE1128"/>
      <c r="AF1128"/>
      <c r="AG1128"/>
      <c r="AH1128"/>
      <c r="AI1128"/>
      <c r="AJ1128"/>
      <c r="AK1128"/>
      <c r="AL1128"/>
    </row>
    <row r="1129" spans="1:38" ht="27" outlineLevel="3" x14ac:dyDescent="0.2">
      <c r="A1129" s="471">
        <v>95</v>
      </c>
      <c r="B1129" s="471" t="s">
        <v>71</v>
      </c>
      <c r="C1129" s="1053" t="s">
        <v>3521</v>
      </c>
      <c r="D1129" s="1053" t="s">
        <v>409</v>
      </c>
      <c r="E1129" s="11" t="str">
        <f t="array" ref="E1129">_xlfn.XLOOKUP(D1129,Insumos!B:B,Insumos!C:$C)</f>
        <v>UN</v>
      </c>
      <c r="F1129" s="86">
        <f>4.95*2</f>
        <v>9.9</v>
      </c>
      <c r="G1129" s="92">
        <f t="array" ref="G1129">IF(B1129="insumo",_xlfn.XLOOKUP($D1129,Insumos!$B$1:$B$993,Insumos!$D$1:$D$993),"")</f>
        <v>0.504</v>
      </c>
      <c r="H1129" s="92">
        <v>4.9896000000000003</v>
      </c>
      <c r="I1129" s="84">
        <v>0</v>
      </c>
      <c r="J1129" s="84">
        <v>0</v>
      </c>
      <c r="K1129" s="84"/>
      <c r="L1129"/>
      <c r="M1129"/>
      <c r="N1129"/>
      <c r="O1129"/>
      <c r="P1129"/>
      <c r="Q1129"/>
      <c r="R1129"/>
      <c r="S1129"/>
      <c r="T1129"/>
      <c r="U1129"/>
      <c r="V1129"/>
      <c r="W1129"/>
      <c r="X1129"/>
      <c r="Y1129"/>
      <c r="Z1129"/>
      <c r="AA1129"/>
      <c r="AB1129"/>
      <c r="AC1129"/>
      <c r="AD1129"/>
      <c r="AE1129"/>
      <c r="AF1129"/>
      <c r="AG1129"/>
      <c r="AH1129"/>
      <c r="AI1129"/>
      <c r="AJ1129"/>
      <c r="AK1129"/>
      <c r="AL1129"/>
    </row>
    <row r="1130" spans="1:38" ht="27" outlineLevel="3" x14ac:dyDescent="0.2">
      <c r="A1130" s="471">
        <v>43</v>
      </c>
      <c r="B1130" s="471" t="s">
        <v>71</v>
      </c>
      <c r="C1130" s="1053" t="s">
        <v>3521</v>
      </c>
      <c r="D1130" s="1053" t="s">
        <v>423</v>
      </c>
      <c r="E1130" s="11" t="str">
        <f t="array" ref="E1130">_xlfn.XLOOKUP(D1130,Insumos!B:B,Insumos!C:$C)</f>
        <v>M</v>
      </c>
      <c r="F1130" s="86">
        <f>1.5248*2</f>
        <v>3.0495999999999999</v>
      </c>
      <c r="G1130" s="92">
        <f t="array" ref="G1130">IF(B1130="insumo",_xlfn.XLOOKUP($D1130,Insumos!$B$1:$B$993,Insumos!$D$1:$D$993),"")</f>
        <v>7.46</v>
      </c>
      <c r="H1130" s="92">
        <v>22.750015999999999</v>
      </c>
      <c r="I1130" s="84">
        <v>0</v>
      </c>
      <c r="J1130" s="84">
        <v>0</v>
      </c>
      <c r="K1130" s="84"/>
      <c r="L1130"/>
      <c r="M1130"/>
      <c r="N1130"/>
      <c r="O1130"/>
      <c r="P1130"/>
      <c r="Q1130"/>
      <c r="R1130"/>
      <c r="S1130"/>
      <c r="T1130"/>
      <c r="U1130"/>
      <c r="V1130"/>
      <c r="W1130"/>
      <c r="X1130"/>
      <c r="Y1130"/>
      <c r="Z1130"/>
      <c r="AA1130"/>
      <c r="AB1130"/>
      <c r="AC1130"/>
      <c r="AD1130"/>
      <c r="AE1130"/>
      <c r="AF1130"/>
      <c r="AG1130"/>
      <c r="AH1130"/>
      <c r="AI1130"/>
      <c r="AJ1130"/>
      <c r="AK1130"/>
      <c r="AL1130"/>
    </row>
    <row r="1131" spans="1:38" ht="27" outlineLevel="3" x14ac:dyDescent="0.2">
      <c r="A1131" s="471">
        <v>43</v>
      </c>
      <c r="B1131" s="471" t="s">
        <v>71</v>
      </c>
      <c r="C1131" s="1053" t="s">
        <v>3521</v>
      </c>
      <c r="D1131" s="1053" t="s">
        <v>424</v>
      </c>
      <c r="E1131" s="11" t="str">
        <f t="array" ref="E1131">_xlfn.XLOOKUP(D1131,Insumos!B:B,Insumos!C:$C)</f>
        <v>M</v>
      </c>
      <c r="F1131" s="86">
        <f>2.0006*2</f>
        <v>4.0011999999999999</v>
      </c>
      <c r="G1131" s="92">
        <f t="array" ref="G1131">IF(B1131="insumo",_xlfn.XLOOKUP($D1131,Insumos!$B$1:$B$993,Insumos!$D$1:$D$993),"")</f>
        <v>7.98</v>
      </c>
      <c r="H1131" s="92">
        <v>31.929576000000001</v>
      </c>
      <c r="I1131" s="84">
        <v>0</v>
      </c>
      <c r="J1131" s="84">
        <v>0</v>
      </c>
      <c r="K1131" s="84"/>
      <c r="L1131"/>
      <c r="M1131"/>
      <c r="N1131"/>
      <c r="O1131"/>
      <c r="P1131"/>
      <c r="Q1131"/>
      <c r="R1131"/>
      <c r="S1131"/>
      <c r="T1131"/>
      <c r="U1131"/>
      <c r="V1131"/>
      <c r="W1131"/>
      <c r="X1131"/>
      <c r="Y1131"/>
      <c r="Z1131"/>
      <c r="AA1131"/>
      <c r="AB1131"/>
      <c r="AC1131"/>
      <c r="AD1131"/>
      <c r="AE1131"/>
      <c r="AF1131"/>
      <c r="AG1131"/>
      <c r="AH1131"/>
      <c r="AI1131"/>
      <c r="AJ1131"/>
      <c r="AK1131"/>
      <c r="AL1131"/>
    </row>
    <row r="1132" spans="1:38" ht="27" outlineLevel="3" x14ac:dyDescent="0.2">
      <c r="A1132" s="471">
        <v>95</v>
      </c>
      <c r="B1132" s="471" t="s">
        <v>71</v>
      </c>
      <c r="C1132" s="1053" t="s">
        <v>3521</v>
      </c>
      <c r="D1132" s="1053" t="s">
        <v>405</v>
      </c>
      <c r="E1132" s="11" t="str">
        <f t="array" ref="E1132">_xlfn.XLOOKUP(D1132,Insumos!B:B,Insumos!C:$C)</f>
        <v>KG</v>
      </c>
      <c r="F1132" s="86">
        <v>1.0978000000000001</v>
      </c>
      <c r="G1132" s="92">
        <f t="array" ref="G1132">IF(B1132="insumo",_xlfn.XLOOKUP($D1132,Insumos!$B$1:$B$993,Insumos!$D$1:$D$993),"")</f>
        <v>3.43</v>
      </c>
      <c r="H1132" s="92">
        <v>3.7654540000000001</v>
      </c>
      <c r="I1132" s="84">
        <v>0</v>
      </c>
      <c r="J1132" s="84">
        <v>0</v>
      </c>
      <c r="K1132" s="84"/>
      <c r="L1132"/>
      <c r="M1132"/>
      <c r="N1132"/>
      <c r="O1132"/>
      <c r="P1132"/>
      <c r="Q1132"/>
      <c r="R1132"/>
      <c r="S1132"/>
      <c r="T1132"/>
      <c r="U1132"/>
      <c r="V1132"/>
      <c r="W1132"/>
      <c r="X1132"/>
      <c r="Y1132"/>
      <c r="Z1132"/>
      <c r="AA1132"/>
      <c r="AB1132"/>
      <c r="AC1132"/>
      <c r="AD1132"/>
      <c r="AE1132"/>
      <c r="AF1132"/>
      <c r="AG1132"/>
      <c r="AH1132"/>
      <c r="AI1132"/>
      <c r="AJ1132"/>
      <c r="AK1132"/>
      <c r="AL1132"/>
    </row>
    <row r="1133" spans="1:38" ht="27" outlineLevel="3" x14ac:dyDescent="0.2">
      <c r="A1133" s="471">
        <v>94</v>
      </c>
      <c r="B1133" s="471" t="s">
        <v>71</v>
      </c>
      <c r="C1133" s="1053" t="s">
        <v>3521</v>
      </c>
      <c r="D1133" s="1053" t="s">
        <v>412</v>
      </c>
      <c r="E1133" s="11" t="str">
        <f t="array" ref="E1133">_xlfn.XLOOKUP(D1133,Insumos!B:B,Insumos!C:$C)</f>
        <v>M</v>
      </c>
      <c r="F1133" s="86">
        <v>2.5026999999999999</v>
      </c>
      <c r="G1133" s="92">
        <f t="array" ref="G1133">IF(B1133="insumo",_xlfn.XLOOKUP($D1133,Insumos!$B$1:$B$993,Insumos!$D$1:$D$993),"")</f>
        <v>0.31</v>
      </c>
      <c r="H1133" s="92">
        <v>0.775837</v>
      </c>
      <c r="I1133" s="84">
        <v>0</v>
      </c>
      <c r="J1133" s="84">
        <v>0</v>
      </c>
      <c r="K1133" s="84"/>
      <c r="L1133"/>
      <c r="M1133"/>
      <c r="N1133"/>
      <c r="O1133"/>
      <c r="P1133"/>
      <c r="Q1133"/>
      <c r="R1133"/>
      <c r="S1133"/>
      <c r="T1133"/>
      <c r="U1133"/>
      <c r="V1133"/>
      <c r="W1133"/>
      <c r="X1133"/>
      <c r="Y1133"/>
      <c r="Z1133"/>
      <c r="AA1133"/>
      <c r="AB1133"/>
      <c r="AC1133"/>
      <c r="AD1133"/>
      <c r="AE1133"/>
      <c r="AF1133"/>
      <c r="AG1133"/>
      <c r="AH1133"/>
      <c r="AI1133"/>
      <c r="AJ1133"/>
      <c r="AK1133"/>
      <c r="AL1133"/>
    </row>
    <row r="1134" spans="1:38" ht="27" outlineLevel="3" x14ac:dyDescent="0.2">
      <c r="A1134" s="471">
        <v>94</v>
      </c>
      <c r="B1134" s="471" t="s">
        <v>71</v>
      </c>
      <c r="C1134" s="1053" t="s">
        <v>3521</v>
      </c>
      <c r="D1134" s="1053" t="s">
        <v>413</v>
      </c>
      <c r="E1134" s="11" t="str">
        <f t="array" ref="E1134">_xlfn.XLOOKUP(D1134,Insumos!B:B,Insumos!C:$C)</f>
        <v>M</v>
      </c>
      <c r="F1134" s="86">
        <v>1.4815</v>
      </c>
      <c r="G1134" s="92">
        <f t="array" ref="G1134">IF(B1134="insumo",_xlfn.XLOOKUP($D1134,Insumos!$B$1:$B$993,Insumos!$D$1:$D$993),"")</f>
        <v>2.74</v>
      </c>
      <c r="H1134" s="92">
        <v>4.05931</v>
      </c>
      <c r="I1134" s="84">
        <v>0</v>
      </c>
      <c r="J1134" s="84">
        <v>0</v>
      </c>
      <c r="K1134" s="84"/>
      <c r="L1134"/>
      <c r="M1134"/>
      <c r="N1134"/>
      <c r="O1134"/>
      <c r="P1134"/>
      <c r="Q1134"/>
      <c r="R1134"/>
      <c r="S1134"/>
      <c r="T1134"/>
      <c r="U1134"/>
      <c r="V1134"/>
      <c r="W1134"/>
      <c r="X1134"/>
      <c r="Y1134"/>
      <c r="Z1134"/>
      <c r="AA1134"/>
      <c r="AB1134"/>
      <c r="AC1134"/>
      <c r="AD1134"/>
      <c r="AE1134"/>
      <c r="AF1134"/>
      <c r="AG1134"/>
      <c r="AH1134"/>
      <c r="AI1134"/>
      <c r="AJ1134"/>
      <c r="AK1134"/>
      <c r="AL1134"/>
    </row>
    <row r="1135" spans="1:38" ht="27" outlineLevel="3" x14ac:dyDescent="0.2">
      <c r="A1135" s="471">
        <v>11</v>
      </c>
      <c r="B1135" s="471" t="s">
        <v>71</v>
      </c>
      <c r="C1135" s="1053" t="s">
        <v>3521</v>
      </c>
      <c r="D1135" s="1053" t="s">
        <v>3525</v>
      </c>
      <c r="E1135" s="11" t="str">
        <f t="array" ref="E1135">_xlfn.XLOOKUP(D1135,Insumos!B:B,Insumos!C:$C)</f>
        <v>M</v>
      </c>
      <c r="F1135" s="86">
        <f>0.8*2</f>
        <v>1.6</v>
      </c>
      <c r="G1135" s="92">
        <f t="array" ref="G1135">IF(B1135="insumo",_xlfn.XLOOKUP($D1135,Insumos!$B$1:$B$993,Insumos!$D$1:$D$993),"")</f>
        <v>3</v>
      </c>
      <c r="H1135" s="92">
        <v>4.8</v>
      </c>
      <c r="I1135" s="84">
        <v>0</v>
      </c>
      <c r="J1135" s="84">
        <v>0</v>
      </c>
      <c r="K1135" s="84"/>
      <c r="L1135"/>
      <c r="M1135"/>
      <c r="N1135"/>
      <c r="O1135"/>
      <c r="P1135"/>
      <c r="Q1135"/>
      <c r="R1135"/>
      <c r="S1135"/>
      <c r="T1135"/>
      <c r="U1135"/>
      <c r="V1135"/>
      <c r="W1135"/>
      <c r="X1135"/>
      <c r="Y1135"/>
      <c r="Z1135"/>
      <c r="AA1135"/>
      <c r="AB1135"/>
      <c r="AC1135"/>
      <c r="AD1135"/>
      <c r="AE1135"/>
      <c r="AF1135"/>
      <c r="AG1135"/>
      <c r="AH1135"/>
      <c r="AI1135"/>
      <c r="AJ1135"/>
      <c r="AK1135"/>
      <c r="AL1135"/>
    </row>
    <row r="1136" spans="1:38" ht="27" outlineLevel="3" x14ac:dyDescent="0.2">
      <c r="A1136" s="471">
        <v>11</v>
      </c>
      <c r="B1136" s="471" t="s">
        <v>71</v>
      </c>
      <c r="C1136" s="1053" t="s">
        <v>3521</v>
      </c>
      <c r="D1136" s="1053" t="s">
        <v>3526</v>
      </c>
      <c r="E1136" s="11" t="str">
        <f t="array" ref="E1136">_xlfn.XLOOKUP(D1136,Insumos!B:B,Insumos!C:$C)</f>
        <v>M</v>
      </c>
      <c r="F1136" s="86">
        <f>0.84*2</f>
        <v>1.68</v>
      </c>
      <c r="G1136" s="92">
        <f t="array" ref="G1136">IF(B1136="insumo",_xlfn.XLOOKUP($D1136,Insumos!$B$1:$B$993,Insumos!$D$1:$D$993),"")</f>
        <v>0.6</v>
      </c>
      <c r="H1136" s="92">
        <v>1.008</v>
      </c>
      <c r="I1136" s="84">
        <v>0</v>
      </c>
      <c r="J1136" s="84">
        <v>0</v>
      </c>
      <c r="K1136" s="84"/>
      <c r="L1136"/>
      <c r="M1136"/>
      <c r="N1136"/>
      <c r="O1136"/>
      <c r="P1136"/>
      <c r="Q1136"/>
      <c r="R1136"/>
      <c r="S1136"/>
      <c r="T1136"/>
      <c r="U1136"/>
      <c r="V1136"/>
      <c r="W1136"/>
      <c r="X1136"/>
      <c r="Y1136"/>
      <c r="Z1136"/>
      <c r="AA1136"/>
      <c r="AB1136"/>
      <c r="AC1136"/>
      <c r="AD1136"/>
      <c r="AE1136"/>
      <c r="AF1136"/>
      <c r="AG1136"/>
      <c r="AH1136"/>
      <c r="AI1136"/>
      <c r="AJ1136"/>
      <c r="AK1136"/>
      <c r="AL1136"/>
    </row>
    <row r="1137" spans="1:38" ht="27" outlineLevel="3" x14ac:dyDescent="0.2">
      <c r="A1137" s="471">
        <v>97</v>
      </c>
      <c r="B1137" s="471" t="s">
        <v>71</v>
      </c>
      <c r="C1137" s="1053" t="s">
        <v>3521</v>
      </c>
      <c r="D1137" s="1053" t="s">
        <v>414</v>
      </c>
      <c r="E1137" s="11" t="str">
        <f t="array" ref="E1137">_xlfn.XLOOKUP(D1137,Insumos!B:B,Insumos!C:$C)</f>
        <v>UN</v>
      </c>
      <c r="F1137" s="86">
        <f>20.1868*2</f>
        <v>40.373600000000003</v>
      </c>
      <c r="G1137" s="92">
        <f t="array" ref="G1137">IF(B1137="insumo",_xlfn.XLOOKUP($D1137,Insumos!$B$1:$B$993,Insumos!$D$1:$D$993),"")</f>
        <v>0.09</v>
      </c>
      <c r="H1137" s="92">
        <v>3.6336240000000002</v>
      </c>
      <c r="I1137" s="84">
        <v>0</v>
      </c>
      <c r="J1137" s="84">
        <v>0</v>
      </c>
      <c r="K1137" s="84"/>
      <c r="L1137"/>
      <c r="M1137"/>
      <c r="N1137"/>
      <c r="O1137"/>
      <c r="P1137"/>
      <c r="Q1137"/>
      <c r="R1137"/>
      <c r="S1137"/>
      <c r="T1137"/>
      <c r="U1137"/>
      <c r="V1137"/>
      <c r="W1137"/>
      <c r="X1137"/>
      <c r="Y1137"/>
      <c r="Z1137"/>
      <c r="AA1137"/>
      <c r="AB1137"/>
      <c r="AC1137"/>
      <c r="AD1137"/>
      <c r="AE1137"/>
      <c r="AF1137"/>
      <c r="AG1137"/>
      <c r="AH1137"/>
      <c r="AI1137"/>
      <c r="AJ1137"/>
      <c r="AK1137"/>
      <c r="AL1137"/>
    </row>
    <row r="1138" spans="1:38" ht="27" outlineLevel="3" x14ac:dyDescent="0.2">
      <c r="A1138" s="471">
        <v>95</v>
      </c>
      <c r="B1138" s="471" t="s">
        <v>71</v>
      </c>
      <c r="C1138" s="1053" t="s">
        <v>3521</v>
      </c>
      <c r="D1138" s="1053" t="s">
        <v>415</v>
      </c>
      <c r="E1138" s="11" t="str">
        <f t="array" ref="E1138">_xlfn.XLOOKUP(D1138,Insumos!B:B,Insumos!C:$C)</f>
        <v>UN</v>
      </c>
      <c r="F1138" s="86">
        <f>0.4803*2</f>
        <v>0.96060000000000001</v>
      </c>
      <c r="G1138" s="92">
        <f t="array" ref="G1138">IF(B1138="insumo",_xlfn.XLOOKUP($D1138,Insumos!$B$1:$B$993,Insumos!$D$1:$D$993),"")</f>
        <v>0.2</v>
      </c>
      <c r="H1138" s="92">
        <v>0.19212000000000001</v>
      </c>
      <c r="I1138" s="84">
        <v>0</v>
      </c>
      <c r="J1138" s="84">
        <v>0</v>
      </c>
      <c r="K1138" s="84"/>
      <c r="L1138"/>
      <c r="M1138"/>
      <c r="N1138"/>
      <c r="O1138"/>
      <c r="P1138"/>
      <c r="Q1138"/>
      <c r="R1138"/>
      <c r="S1138"/>
      <c r="T1138"/>
      <c r="U1138"/>
      <c r="V1138"/>
      <c r="W1138"/>
      <c r="X1138"/>
      <c r="Y1138"/>
      <c r="Z1138"/>
      <c r="AA1138"/>
      <c r="AB1138"/>
      <c r="AC1138"/>
      <c r="AD1138"/>
      <c r="AE1138"/>
      <c r="AF1138"/>
      <c r="AG1138"/>
      <c r="AH1138"/>
      <c r="AI1138"/>
      <c r="AJ1138"/>
      <c r="AK1138"/>
      <c r="AL1138"/>
    </row>
    <row r="1139" spans="1:38" ht="27" outlineLevel="2" x14ac:dyDescent="0.2">
      <c r="A1139" s="1076">
        <v>1</v>
      </c>
      <c r="B1139" s="1076" t="s">
        <v>68</v>
      </c>
      <c r="C1139" s="1077" t="s">
        <v>3519</v>
      </c>
      <c r="D1139" s="1077" t="s">
        <v>3519</v>
      </c>
      <c r="E1139" s="1078" t="s">
        <v>70</v>
      </c>
      <c r="F1139" s="1076"/>
      <c r="G1139" s="1069" t="str">
        <f t="array" ref="G1139">IF(B1139="insumo",_xlfn.XLOOKUP($D1139,Insumos!$B$1:$B$993,Insumos!$D$1:$D$993),"")</f>
        <v/>
      </c>
      <c r="H1139" s="1069">
        <v>138.48250899999999</v>
      </c>
      <c r="I1139" s="1079">
        <v>0</v>
      </c>
      <c r="J1139" s="1079">
        <v>0</v>
      </c>
      <c r="K1139" s="1079"/>
      <c r="L1139"/>
      <c r="M1139"/>
      <c r="N1139"/>
      <c r="O1139"/>
      <c r="P1139"/>
      <c r="Q1139"/>
      <c r="R1139"/>
      <c r="S1139"/>
      <c r="T1139"/>
      <c r="U1139"/>
      <c r="V1139"/>
      <c r="W1139"/>
      <c r="X1139"/>
      <c r="Y1139"/>
      <c r="Z1139"/>
      <c r="AA1139"/>
      <c r="AB1139"/>
      <c r="AC1139"/>
      <c r="AD1139"/>
      <c r="AE1139"/>
      <c r="AF1139"/>
      <c r="AG1139"/>
      <c r="AH1139"/>
      <c r="AI1139"/>
      <c r="AJ1139"/>
      <c r="AK1139"/>
      <c r="AL1139"/>
    </row>
    <row r="1140" spans="1:38" ht="12.75" outlineLevel="3" x14ac:dyDescent="0.2">
      <c r="A1140" s="471">
        <v>11</v>
      </c>
      <c r="B1140" s="471" t="s">
        <v>71</v>
      </c>
      <c r="C1140" s="10" t="s">
        <v>3519</v>
      </c>
      <c r="D1140" s="10" t="s">
        <v>1390</v>
      </c>
      <c r="E1140" s="11" t="str">
        <f t="array" ref="E1140">_xlfn.XLOOKUP(D1140,Insumos!B:B,Insumos!C:$C)</f>
        <v>M2</v>
      </c>
      <c r="F1140" s="86">
        <f>1.053*1</f>
        <v>1.0529999999999999</v>
      </c>
      <c r="G1140" s="92">
        <f t="array" ref="G1140">IF(B1140="insumo",_xlfn.XLOOKUP($D1140,Insumos!$B$1:$B$993,Insumos!$D$1:$D$993),"")</f>
        <v>30.089583333333337</v>
      </c>
      <c r="H1140" s="92">
        <v>31.68433125</v>
      </c>
      <c r="I1140" s="84">
        <v>0</v>
      </c>
      <c r="J1140" s="84">
        <v>0</v>
      </c>
      <c r="K1140" s="84"/>
      <c r="L1140"/>
      <c r="M1140"/>
      <c r="N1140"/>
      <c r="O1140"/>
      <c r="P1140"/>
      <c r="Q1140"/>
      <c r="R1140"/>
      <c r="S1140"/>
      <c r="T1140"/>
      <c r="U1140"/>
      <c r="V1140"/>
      <c r="W1140"/>
      <c r="X1140"/>
      <c r="Y1140"/>
      <c r="Z1140"/>
      <c r="AA1140"/>
      <c r="AB1140"/>
      <c r="AC1140"/>
      <c r="AD1140"/>
      <c r="AE1140"/>
      <c r="AF1140"/>
      <c r="AG1140"/>
      <c r="AH1140"/>
      <c r="AI1140"/>
      <c r="AJ1140"/>
      <c r="AK1140"/>
      <c r="AL1140"/>
    </row>
    <row r="1141" spans="1:38" ht="27" outlineLevel="3" x14ac:dyDescent="0.2">
      <c r="A1141" s="471">
        <v>49</v>
      </c>
      <c r="B1141" s="471" t="s">
        <v>71</v>
      </c>
      <c r="C1141" s="1053" t="s">
        <v>3519</v>
      </c>
      <c r="D1141" s="1053" t="s">
        <v>418</v>
      </c>
      <c r="E1141" s="11" t="str">
        <f t="array" ref="E1141">_xlfn.XLOOKUP(D1141,Insumos!B:B,Insumos!C:$C)</f>
        <v>M2</v>
      </c>
      <c r="F1141" s="86">
        <f>1.053</f>
        <v>1.0529999999999999</v>
      </c>
      <c r="G1141" s="92">
        <f t="array" ref="G1141">IF(B1141="insumo",_xlfn.XLOOKUP($D1141,Insumos!$B$1:$B$993,Insumos!$D$1:$D$993),"")</f>
        <v>27.1</v>
      </c>
      <c r="H1141" s="92">
        <v>28.536300000000001</v>
      </c>
      <c r="I1141" s="84">
        <v>0</v>
      </c>
      <c r="J1141" s="84">
        <v>0</v>
      </c>
      <c r="K1141" s="84"/>
      <c r="L1141"/>
      <c r="M1141"/>
      <c r="N1141"/>
      <c r="O1141"/>
      <c r="P1141"/>
      <c r="Q1141"/>
      <c r="R1141"/>
      <c r="S1141"/>
      <c r="T1141"/>
      <c r="U1141"/>
      <c r="V1141"/>
      <c r="W1141"/>
      <c r="X1141"/>
      <c r="Y1141"/>
      <c r="Z1141"/>
      <c r="AA1141"/>
      <c r="AB1141"/>
      <c r="AC1141"/>
      <c r="AD1141"/>
      <c r="AE1141"/>
      <c r="AF1141"/>
      <c r="AG1141"/>
      <c r="AH1141"/>
      <c r="AI1141"/>
      <c r="AJ1141"/>
      <c r="AK1141"/>
      <c r="AL1141"/>
    </row>
    <row r="1142" spans="1:38" ht="12.75" outlineLevel="3" x14ac:dyDescent="0.2">
      <c r="A1142" s="471">
        <v>10</v>
      </c>
      <c r="B1142" s="471" t="s">
        <v>71</v>
      </c>
      <c r="C1142" s="10" t="s">
        <v>3519</v>
      </c>
      <c r="D1142" s="10" t="s">
        <v>3524</v>
      </c>
      <c r="E1142" s="11" t="str">
        <f t="array" ref="E1142">_xlfn.XLOOKUP(D1142,Insumos!B:B,Insumos!C:$C)</f>
        <v>M2</v>
      </c>
      <c r="F1142" s="86">
        <f>1.053</f>
        <v>1.0529999999999999</v>
      </c>
      <c r="G1142" s="92">
        <f t="array" ref="G1142">IF(B1142="insumo",_xlfn.XLOOKUP($D1142,Insumos!$B$1:$B$993,Insumos!$D$1:$D$993),"")</f>
        <v>34.513888888888893</v>
      </c>
      <c r="H1142" s="92">
        <v>36.343125000000001</v>
      </c>
      <c r="I1142" s="84">
        <v>0</v>
      </c>
      <c r="J1142" s="84">
        <v>0</v>
      </c>
      <c r="K1142" s="84"/>
      <c r="L1142"/>
      <c r="M1142"/>
      <c r="N1142"/>
      <c r="O1142"/>
      <c r="P1142"/>
      <c r="Q1142"/>
      <c r="R1142"/>
      <c r="S1142"/>
      <c r="T1142"/>
      <c r="U1142"/>
      <c r="V1142"/>
      <c r="W1142"/>
      <c r="X1142"/>
      <c r="Y1142"/>
      <c r="Z1142"/>
      <c r="AA1142"/>
      <c r="AB1142"/>
      <c r="AC1142"/>
      <c r="AD1142"/>
      <c r="AE1142"/>
      <c r="AF1142"/>
      <c r="AG1142"/>
      <c r="AH1142"/>
      <c r="AI1142"/>
      <c r="AJ1142"/>
      <c r="AK1142"/>
      <c r="AL1142"/>
    </row>
    <row r="1143" spans="1:38" ht="27" outlineLevel="3" x14ac:dyDescent="0.2">
      <c r="A1143" s="471">
        <v>95</v>
      </c>
      <c r="B1143" s="471" t="s">
        <v>71</v>
      </c>
      <c r="C1143" s="1053" t="s">
        <v>3519</v>
      </c>
      <c r="D1143" s="1053" t="s">
        <v>409</v>
      </c>
      <c r="E1143" s="11" t="str">
        <f t="array" ref="E1143">_xlfn.XLOOKUP(D1143,Insumos!B:B,Insumos!C:$C)</f>
        <v>UN</v>
      </c>
      <c r="F1143" s="86">
        <f>4.95*2</f>
        <v>9.9</v>
      </c>
      <c r="G1143" s="92">
        <f t="array" ref="G1143">IF(B1143="insumo",_xlfn.XLOOKUP($D1143,Insumos!$B$1:$B$993,Insumos!$D$1:$D$993),"")</f>
        <v>0.504</v>
      </c>
      <c r="H1143" s="92">
        <v>4.9896000000000003</v>
      </c>
      <c r="I1143" s="84">
        <v>0</v>
      </c>
      <c r="J1143" s="84">
        <v>0</v>
      </c>
      <c r="K1143" s="84"/>
      <c r="L1143"/>
      <c r="M1143"/>
      <c r="N1143"/>
      <c r="O1143"/>
      <c r="P1143"/>
      <c r="Q1143"/>
      <c r="R1143"/>
      <c r="S1143"/>
      <c r="T1143"/>
      <c r="U1143"/>
      <c r="V1143"/>
      <c r="W1143"/>
      <c r="X1143"/>
      <c r="Y1143"/>
      <c r="Z1143"/>
      <c r="AA1143"/>
      <c r="AB1143"/>
      <c r="AC1143"/>
      <c r="AD1143"/>
      <c r="AE1143"/>
      <c r="AF1143"/>
      <c r="AG1143"/>
      <c r="AH1143"/>
      <c r="AI1143"/>
      <c r="AJ1143"/>
      <c r="AK1143"/>
      <c r="AL1143"/>
    </row>
    <row r="1144" spans="1:38" ht="27" outlineLevel="3" x14ac:dyDescent="0.2">
      <c r="A1144" s="471">
        <v>43</v>
      </c>
      <c r="B1144" s="471" t="s">
        <v>71</v>
      </c>
      <c r="C1144" s="1053" t="s">
        <v>3519</v>
      </c>
      <c r="D1144" s="1053" t="s">
        <v>423</v>
      </c>
      <c r="E1144" s="11" t="str">
        <f t="array" ref="E1144">_xlfn.XLOOKUP(D1144,Insumos!B:B,Insumos!C:$C)</f>
        <v>M</v>
      </c>
      <c r="F1144" s="86">
        <f>1.5248*2</f>
        <v>3.0495999999999999</v>
      </c>
      <c r="G1144" s="92">
        <f t="array" ref="G1144">IF(B1144="insumo",_xlfn.XLOOKUP($D1144,Insumos!$B$1:$B$993,Insumos!$D$1:$D$993),"")</f>
        <v>7.46</v>
      </c>
      <c r="H1144" s="92">
        <v>22.750015999999999</v>
      </c>
      <c r="I1144" s="84">
        <v>0</v>
      </c>
      <c r="J1144" s="84">
        <v>0</v>
      </c>
      <c r="K1144" s="84"/>
      <c r="L1144"/>
      <c r="M1144"/>
      <c r="N1144"/>
      <c r="O1144"/>
      <c r="P1144"/>
      <c r="Q1144"/>
      <c r="R1144"/>
      <c r="S1144"/>
      <c r="T1144"/>
      <c r="U1144"/>
      <c r="V1144"/>
      <c r="W1144"/>
      <c r="X1144"/>
      <c r="Y1144"/>
      <c r="Z1144"/>
      <c r="AA1144"/>
      <c r="AB1144"/>
      <c r="AC1144"/>
      <c r="AD1144"/>
      <c r="AE1144"/>
      <c r="AF1144"/>
      <c r="AG1144"/>
      <c r="AH1144"/>
      <c r="AI1144"/>
      <c r="AJ1144"/>
      <c r="AK1144"/>
      <c r="AL1144"/>
    </row>
    <row r="1145" spans="1:38" ht="27" outlineLevel="3" x14ac:dyDescent="0.2">
      <c r="A1145" s="471">
        <v>43</v>
      </c>
      <c r="B1145" s="471" t="s">
        <v>71</v>
      </c>
      <c r="C1145" s="1053" t="s">
        <v>3519</v>
      </c>
      <c r="D1145" s="1053" t="s">
        <v>424</v>
      </c>
      <c r="E1145" s="11" t="str">
        <f t="array" ref="E1145">_xlfn.XLOOKUP(D1145,Insumos!B:B,Insumos!C:$C)</f>
        <v>M</v>
      </c>
      <c r="F1145" s="86">
        <f>2.0006*2</f>
        <v>4.0011999999999999</v>
      </c>
      <c r="G1145" s="92">
        <f t="array" ref="G1145">IF(B1145="insumo",_xlfn.XLOOKUP($D1145,Insumos!$B$1:$B$993,Insumos!$D$1:$D$993),"")</f>
        <v>7.98</v>
      </c>
      <c r="H1145" s="92">
        <v>31.929576000000001</v>
      </c>
      <c r="I1145" s="84">
        <v>0</v>
      </c>
      <c r="J1145" s="84">
        <v>0</v>
      </c>
      <c r="K1145" s="84"/>
      <c r="L1145"/>
      <c r="M1145"/>
      <c r="N1145"/>
      <c r="O1145"/>
      <c r="P1145"/>
      <c r="Q1145"/>
      <c r="R1145"/>
      <c r="S1145"/>
      <c r="T1145"/>
      <c r="U1145"/>
      <c r="V1145"/>
      <c r="W1145"/>
      <c r="X1145"/>
      <c r="Y1145"/>
      <c r="Z1145"/>
      <c r="AA1145"/>
      <c r="AB1145"/>
      <c r="AC1145"/>
      <c r="AD1145"/>
      <c r="AE1145"/>
      <c r="AF1145"/>
      <c r="AG1145"/>
      <c r="AH1145"/>
      <c r="AI1145"/>
      <c r="AJ1145"/>
      <c r="AK1145"/>
      <c r="AL1145"/>
    </row>
    <row r="1146" spans="1:38" ht="27" outlineLevel="3" x14ac:dyDescent="0.2">
      <c r="A1146" s="471">
        <v>95</v>
      </c>
      <c r="B1146" s="471" t="s">
        <v>71</v>
      </c>
      <c r="C1146" s="1053" t="s">
        <v>3519</v>
      </c>
      <c r="D1146" s="1053" t="s">
        <v>405</v>
      </c>
      <c r="E1146" s="11" t="str">
        <f t="array" ref="E1146">_xlfn.XLOOKUP(D1146,Insumos!B:B,Insumos!C:$C)</f>
        <v>KG</v>
      </c>
      <c r="F1146" s="86">
        <v>0.54890000000000005</v>
      </c>
      <c r="G1146" s="92">
        <f t="array" ref="G1146">IF(B1146="insumo",_xlfn.XLOOKUP($D1146,Insumos!$B$1:$B$993,Insumos!$D$1:$D$993),"")</f>
        <v>3.43</v>
      </c>
      <c r="H1146" s="92">
        <v>1.882727</v>
      </c>
      <c r="I1146" s="84">
        <v>0</v>
      </c>
      <c r="J1146" s="84">
        <v>0</v>
      </c>
      <c r="K1146" s="84"/>
      <c r="L1146"/>
      <c r="M1146"/>
      <c r="N1146"/>
      <c r="O1146"/>
      <c r="P1146"/>
      <c r="Q1146"/>
      <c r="R1146"/>
      <c r="S1146"/>
      <c r="T1146"/>
      <c r="U1146"/>
      <c r="V1146"/>
      <c r="W1146"/>
      <c r="X1146"/>
      <c r="Y1146"/>
      <c r="Z1146"/>
      <c r="AA1146"/>
      <c r="AB1146"/>
      <c r="AC1146"/>
      <c r="AD1146"/>
      <c r="AE1146"/>
      <c r="AF1146"/>
      <c r="AG1146"/>
      <c r="AH1146"/>
      <c r="AI1146"/>
      <c r="AJ1146"/>
      <c r="AK1146"/>
      <c r="AL1146"/>
    </row>
    <row r="1147" spans="1:38" ht="27" outlineLevel="3" x14ac:dyDescent="0.2">
      <c r="A1147" s="471">
        <v>94</v>
      </c>
      <c r="B1147" s="471" t="s">
        <v>71</v>
      </c>
      <c r="C1147" s="1053" t="s">
        <v>3519</v>
      </c>
      <c r="D1147" s="1053" t="s">
        <v>412</v>
      </c>
      <c r="E1147" s="11" t="str">
        <f t="array" ref="E1147">_xlfn.XLOOKUP(D1147,Insumos!B:B,Insumos!C:$C)</f>
        <v>M</v>
      </c>
      <c r="F1147" s="86">
        <v>1.2513000000000001</v>
      </c>
      <c r="G1147" s="92">
        <f t="array" ref="G1147">IF(B1147="insumo",_xlfn.XLOOKUP($D1147,Insumos!$B$1:$B$993,Insumos!$D$1:$D$993),"")</f>
        <v>0.31</v>
      </c>
      <c r="H1147" s="92">
        <v>0.387903</v>
      </c>
      <c r="I1147" s="84">
        <v>0</v>
      </c>
      <c r="J1147" s="84">
        <v>0</v>
      </c>
      <c r="K1147" s="84"/>
      <c r="L1147"/>
      <c r="M1147"/>
      <c r="N1147"/>
      <c r="O1147"/>
      <c r="P1147"/>
      <c r="Q1147"/>
      <c r="R1147"/>
      <c r="S1147"/>
      <c r="T1147"/>
      <c r="U1147"/>
      <c r="V1147"/>
      <c r="W1147"/>
      <c r="X1147"/>
      <c r="Y1147"/>
      <c r="Z1147"/>
      <c r="AA1147"/>
      <c r="AB1147"/>
      <c r="AC1147"/>
      <c r="AD1147"/>
      <c r="AE1147"/>
      <c r="AF1147"/>
      <c r="AG1147"/>
      <c r="AH1147"/>
      <c r="AI1147"/>
      <c r="AJ1147"/>
      <c r="AK1147"/>
      <c r="AL1147"/>
    </row>
    <row r="1148" spans="1:38" ht="27" outlineLevel="3" x14ac:dyDescent="0.2">
      <c r="A1148" s="471">
        <v>94</v>
      </c>
      <c r="B1148" s="471" t="s">
        <v>71</v>
      </c>
      <c r="C1148" s="1053" t="s">
        <v>3519</v>
      </c>
      <c r="D1148" s="1053" t="s">
        <v>413</v>
      </c>
      <c r="E1148" s="11" t="str">
        <f t="array" ref="E1148">_xlfn.XLOOKUP(D1148,Insumos!B:B,Insumos!C:$C)</f>
        <v>M</v>
      </c>
      <c r="F1148" s="86">
        <v>0.74070000000000003</v>
      </c>
      <c r="G1148" s="92">
        <f t="array" ref="G1148">IF(B1148="insumo",_xlfn.XLOOKUP($D1148,Insumos!$B$1:$B$993,Insumos!$D$1:$D$993),"")</f>
        <v>2.74</v>
      </c>
      <c r="H1148" s="92">
        <v>2.0295179999999999</v>
      </c>
      <c r="I1148" s="84">
        <v>0</v>
      </c>
      <c r="J1148" s="84">
        <v>0</v>
      </c>
      <c r="K1148" s="84"/>
      <c r="L1148"/>
      <c r="M1148"/>
      <c r="N1148"/>
      <c r="O1148"/>
      <c r="P1148"/>
      <c r="Q1148"/>
      <c r="R1148"/>
      <c r="S1148"/>
      <c r="T1148"/>
      <c r="U1148"/>
      <c r="V1148"/>
      <c r="W1148"/>
      <c r="X1148"/>
      <c r="Y1148"/>
      <c r="Z1148"/>
      <c r="AA1148"/>
      <c r="AB1148"/>
      <c r="AC1148"/>
      <c r="AD1148"/>
      <c r="AE1148"/>
      <c r="AF1148"/>
      <c r="AG1148"/>
      <c r="AH1148"/>
      <c r="AI1148"/>
      <c r="AJ1148"/>
      <c r="AK1148"/>
      <c r="AL1148"/>
    </row>
    <row r="1149" spans="1:38" ht="27" outlineLevel="3" x14ac:dyDescent="0.2">
      <c r="A1149" s="471">
        <v>11</v>
      </c>
      <c r="B1149" s="471" t="s">
        <v>71</v>
      </c>
      <c r="C1149" s="1053" t="s">
        <v>3519</v>
      </c>
      <c r="D1149" s="1053" t="s">
        <v>3525</v>
      </c>
      <c r="E1149" s="11" t="str">
        <f t="array" ref="E1149">_xlfn.XLOOKUP(D1149,Insumos!B:B,Insumos!C:$C)</f>
        <v>M</v>
      </c>
      <c r="F1149" s="86">
        <f>0.8*2</f>
        <v>1.6</v>
      </c>
      <c r="G1149" s="92">
        <f t="array" ref="G1149">IF(B1149="insumo",_xlfn.XLOOKUP($D1149,Insumos!$B$1:$B$993,Insumos!$D$1:$D$993),"")</f>
        <v>3</v>
      </c>
      <c r="H1149" s="92">
        <v>4.8</v>
      </c>
      <c r="I1149" s="84">
        <v>0</v>
      </c>
      <c r="J1149" s="84">
        <v>0</v>
      </c>
      <c r="K1149" s="84"/>
      <c r="L1149"/>
      <c r="M1149"/>
      <c r="N1149"/>
      <c r="O1149"/>
      <c r="P1149"/>
      <c r="Q1149"/>
      <c r="R1149"/>
      <c r="S1149"/>
      <c r="T1149"/>
      <c r="U1149"/>
      <c r="V1149"/>
      <c r="W1149"/>
      <c r="X1149"/>
      <c r="Y1149"/>
      <c r="Z1149"/>
      <c r="AA1149"/>
      <c r="AB1149"/>
      <c r="AC1149"/>
      <c r="AD1149"/>
      <c r="AE1149"/>
      <c r="AF1149"/>
      <c r="AG1149"/>
      <c r="AH1149"/>
      <c r="AI1149"/>
      <c r="AJ1149"/>
      <c r="AK1149"/>
      <c r="AL1149"/>
    </row>
    <row r="1150" spans="1:38" ht="27" outlineLevel="3" x14ac:dyDescent="0.2">
      <c r="A1150" s="471">
        <v>11</v>
      </c>
      <c r="B1150" s="471" t="s">
        <v>71</v>
      </c>
      <c r="C1150" s="1053" t="s">
        <v>3519</v>
      </c>
      <c r="D1150" s="1053" t="s">
        <v>3526</v>
      </c>
      <c r="E1150" s="11" t="str">
        <f t="array" ref="E1150">_xlfn.XLOOKUP(D1150,Insumos!B:B,Insumos!C:$C)</f>
        <v>M</v>
      </c>
      <c r="F1150" s="86">
        <f>0.84*2</f>
        <v>1.68</v>
      </c>
      <c r="G1150" s="92">
        <f t="array" ref="G1150">IF(B1150="insumo",_xlfn.XLOOKUP($D1150,Insumos!$B$1:$B$993,Insumos!$D$1:$D$993),"")</f>
        <v>0.6</v>
      </c>
      <c r="H1150" s="92">
        <v>1.008</v>
      </c>
      <c r="I1150" s="84">
        <v>0</v>
      </c>
      <c r="J1150" s="84">
        <v>0</v>
      </c>
      <c r="K1150" s="84"/>
      <c r="L1150"/>
      <c r="M1150"/>
      <c r="N1150"/>
      <c r="O1150"/>
      <c r="P1150"/>
      <c r="Q1150"/>
      <c r="R1150"/>
      <c r="S1150"/>
      <c r="T1150"/>
      <c r="U1150"/>
      <c r="V1150"/>
      <c r="W1150"/>
      <c r="X1150"/>
      <c r="Y1150"/>
      <c r="Z1150"/>
      <c r="AA1150"/>
      <c r="AB1150"/>
      <c r="AC1150"/>
      <c r="AD1150"/>
      <c r="AE1150"/>
      <c r="AF1150"/>
      <c r="AG1150"/>
      <c r="AH1150"/>
      <c r="AI1150"/>
      <c r="AJ1150"/>
      <c r="AK1150"/>
      <c r="AL1150"/>
    </row>
    <row r="1151" spans="1:38" ht="27" outlineLevel="3" x14ac:dyDescent="0.2">
      <c r="A1151" s="471">
        <v>97</v>
      </c>
      <c r="B1151" s="471" t="s">
        <v>71</v>
      </c>
      <c r="C1151" s="1053" t="s">
        <v>3519</v>
      </c>
      <c r="D1151" s="1053" t="s">
        <v>414</v>
      </c>
      <c r="E1151" s="11" t="str">
        <f t="array" ref="E1151">_xlfn.XLOOKUP(D1151,Insumos!B:B,Insumos!C:$C)</f>
        <v>UN</v>
      </c>
      <c r="F1151" s="86">
        <f>20.1868*2</f>
        <v>40.373600000000003</v>
      </c>
      <c r="G1151" s="92">
        <f t="array" ref="G1151">IF(B1151="insumo",_xlfn.XLOOKUP($D1151,Insumos!$B$1:$B$993,Insumos!$D$1:$D$993),"")</f>
        <v>0.09</v>
      </c>
      <c r="H1151" s="92">
        <v>3.6336240000000002</v>
      </c>
      <c r="I1151" s="84">
        <v>0</v>
      </c>
      <c r="J1151" s="84">
        <v>0</v>
      </c>
      <c r="K1151" s="84"/>
      <c r="L1151"/>
      <c r="M1151"/>
      <c r="N1151"/>
      <c r="O1151"/>
      <c r="P1151"/>
      <c r="Q1151"/>
      <c r="R1151"/>
      <c r="S1151"/>
      <c r="T1151"/>
      <c r="U1151"/>
      <c r="V1151"/>
      <c r="W1151"/>
      <c r="X1151"/>
      <c r="Y1151"/>
      <c r="Z1151"/>
      <c r="AA1151"/>
      <c r="AB1151"/>
      <c r="AC1151"/>
      <c r="AD1151"/>
      <c r="AE1151"/>
      <c r="AF1151"/>
      <c r="AG1151"/>
      <c r="AH1151"/>
      <c r="AI1151"/>
      <c r="AJ1151"/>
      <c r="AK1151"/>
      <c r="AL1151"/>
    </row>
    <row r="1152" spans="1:38" ht="27" outlineLevel="3" x14ac:dyDescent="0.2">
      <c r="A1152" s="471">
        <v>95</v>
      </c>
      <c r="B1152" s="471" t="s">
        <v>71</v>
      </c>
      <c r="C1152" s="1053" t="s">
        <v>3519</v>
      </c>
      <c r="D1152" s="1053" t="s">
        <v>415</v>
      </c>
      <c r="E1152" s="11" t="str">
        <f t="array" ref="E1152">_xlfn.XLOOKUP(D1152,Insumos!B:B,Insumos!C:$C)</f>
        <v>UN</v>
      </c>
      <c r="F1152" s="86">
        <f>0.4803*2</f>
        <v>0.96060000000000001</v>
      </c>
      <c r="G1152" s="92">
        <f t="array" ref="G1152">IF(B1152="insumo",_xlfn.XLOOKUP($D1152,Insumos!$B$1:$B$993,Insumos!$D$1:$D$993),"")</f>
        <v>0.2</v>
      </c>
      <c r="H1152" s="92">
        <v>0.19212000000000001</v>
      </c>
      <c r="I1152" s="84">
        <v>0</v>
      </c>
      <c r="J1152" s="84">
        <v>0</v>
      </c>
      <c r="K1152" s="84"/>
      <c r="L1152"/>
      <c r="M1152"/>
      <c r="N1152"/>
      <c r="O1152"/>
      <c r="P1152"/>
      <c r="Q1152"/>
      <c r="R1152"/>
      <c r="S1152"/>
      <c r="T1152"/>
      <c r="U1152"/>
      <c r="V1152"/>
      <c r="W1152"/>
      <c r="X1152"/>
      <c r="Y1152"/>
      <c r="Z1152"/>
      <c r="AA1152"/>
      <c r="AB1152"/>
      <c r="AC1152"/>
      <c r="AD1152"/>
      <c r="AE1152"/>
      <c r="AF1152"/>
      <c r="AG1152"/>
      <c r="AH1152"/>
      <c r="AI1152"/>
      <c r="AJ1152"/>
      <c r="AK1152"/>
      <c r="AL1152"/>
    </row>
    <row r="1153" spans="1:38" ht="27" outlineLevel="2" x14ac:dyDescent="0.2">
      <c r="A1153" s="1076">
        <v>1</v>
      </c>
      <c r="B1153" s="1076" t="s">
        <v>68</v>
      </c>
      <c r="C1153" s="1077" t="s">
        <v>3520</v>
      </c>
      <c r="D1153" s="1077" t="s">
        <v>3520</v>
      </c>
      <c r="E1153" s="1078" t="s">
        <v>70</v>
      </c>
      <c r="F1153" s="1076"/>
      <c r="G1153" s="1069" t="str">
        <f t="array" ref="G1153">IF(B1153="insumo",_xlfn.XLOOKUP($D1153,Insumos!$B$1:$B$993,Insumos!$D$1:$D$993),"")</f>
        <v/>
      </c>
      <c r="H1153" s="1069">
        <v>159.23865225</v>
      </c>
      <c r="I1153" s="1079">
        <v>0</v>
      </c>
      <c r="J1153" s="1079">
        <v>0</v>
      </c>
      <c r="K1153" s="1079"/>
      <c r="L1153"/>
      <c r="M1153"/>
      <c r="N1153"/>
      <c r="O1153"/>
      <c r="P1153"/>
      <c r="Q1153"/>
      <c r="R1153"/>
      <c r="S1153"/>
      <c r="T1153"/>
      <c r="U1153"/>
      <c r="V1153"/>
      <c r="W1153"/>
      <c r="X1153"/>
      <c r="Y1153"/>
      <c r="Z1153"/>
      <c r="AA1153"/>
      <c r="AB1153"/>
      <c r="AC1153"/>
      <c r="AD1153"/>
      <c r="AE1153"/>
      <c r="AF1153"/>
      <c r="AG1153"/>
      <c r="AH1153"/>
      <c r="AI1153"/>
      <c r="AJ1153"/>
      <c r="AK1153"/>
      <c r="AL1153"/>
    </row>
    <row r="1154" spans="1:38" ht="12.75" outlineLevel="3" x14ac:dyDescent="0.2">
      <c r="A1154" s="471">
        <v>11</v>
      </c>
      <c r="B1154" s="471" t="s">
        <v>71</v>
      </c>
      <c r="C1154" s="10" t="s">
        <v>3520</v>
      </c>
      <c r="D1154" s="10" t="s">
        <v>1390</v>
      </c>
      <c r="E1154" s="11" t="str">
        <f t="array" ref="E1154">_xlfn.XLOOKUP(D1154,Insumos!B:B,Insumos!C:$C)</f>
        <v>M2</v>
      </c>
      <c r="F1154" s="86">
        <f>1.053*1</f>
        <v>1.0529999999999999</v>
      </c>
      <c r="G1154" s="92">
        <f t="array" ref="G1154">IF(B1154="insumo",_xlfn.XLOOKUP($D1154,Insumos!$B$1:$B$993,Insumos!$D$1:$D$993),"")</f>
        <v>30.089583333333337</v>
      </c>
      <c r="H1154" s="92">
        <v>31.68433125</v>
      </c>
      <c r="I1154" s="84">
        <v>0</v>
      </c>
      <c r="J1154" s="84">
        <v>0</v>
      </c>
      <c r="K1154" s="84"/>
      <c r="L1154"/>
      <c r="M1154"/>
      <c r="N1154"/>
      <c r="O1154"/>
      <c r="P1154"/>
      <c r="Q1154"/>
      <c r="R1154"/>
      <c r="S1154"/>
      <c r="T1154"/>
      <c r="U1154"/>
      <c r="V1154"/>
      <c r="W1154"/>
      <c r="X1154"/>
      <c r="Y1154"/>
      <c r="Z1154"/>
      <c r="AA1154"/>
      <c r="AB1154"/>
      <c r="AC1154"/>
      <c r="AD1154"/>
      <c r="AE1154"/>
      <c r="AF1154"/>
      <c r="AG1154"/>
      <c r="AH1154"/>
      <c r="AI1154"/>
      <c r="AJ1154"/>
      <c r="AK1154"/>
      <c r="AL1154"/>
    </row>
    <row r="1155" spans="1:38" ht="27" outlineLevel="3" x14ac:dyDescent="0.2">
      <c r="A1155" s="471">
        <v>47</v>
      </c>
      <c r="B1155" s="471" t="s">
        <v>71</v>
      </c>
      <c r="C1155" s="1053" t="s">
        <v>3520</v>
      </c>
      <c r="D1155" s="1053" t="s">
        <v>408</v>
      </c>
      <c r="E1155" s="11" t="str">
        <f t="array" ref="E1155">_xlfn.XLOOKUP(D1155,Insumos!B:B,Insumos!C:$C)</f>
        <v>M2</v>
      </c>
      <c r="F1155" s="86">
        <f>1.053</f>
        <v>1.0529999999999999</v>
      </c>
      <c r="G1155" s="92">
        <f t="array" ref="G1155">IF(B1155="insumo",_xlfn.XLOOKUP($D1155,Insumos!$B$1:$B$993,Insumos!$D$1:$D$993),"")</f>
        <v>20.16</v>
      </c>
      <c r="H1155" s="92">
        <v>21.228480000000001</v>
      </c>
      <c r="I1155" s="84">
        <v>0</v>
      </c>
      <c r="J1155" s="84">
        <v>0</v>
      </c>
      <c r="K1155" s="84"/>
      <c r="L1155"/>
      <c r="M1155"/>
      <c r="N1155"/>
      <c r="O1155"/>
      <c r="P1155"/>
      <c r="Q1155"/>
      <c r="R1155"/>
      <c r="S1155"/>
      <c r="T1155"/>
      <c r="U1155"/>
      <c r="V1155"/>
      <c r="W1155"/>
      <c r="X1155"/>
      <c r="Y1155"/>
      <c r="Z1155"/>
      <c r="AA1155"/>
      <c r="AB1155"/>
      <c r="AC1155"/>
      <c r="AD1155"/>
      <c r="AE1155"/>
      <c r="AF1155"/>
      <c r="AG1155"/>
      <c r="AH1155"/>
      <c r="AI1155"/>
      <c r="AJ1155"/>
      <c r="AK1155"/>
      <c r="AL1155"/>
    </row>
    <row r="1156" spans="1:38" ht="27" outlineLevel="3" x14ac:dyDescent="0.2">
      <c r="A1156" s="471">
        <v>49</v>
      </c>
      <c r="B1156" s="471" t="s">
        <v>71</v>
      </c>
      <c r="C1156" s="1053" t="s">
        <v>3520</v>
      </c>
      <c r="D1156" s="1053" t="s">
        <v>418</v>
      </c>
      <c r="E1156" s="11" t="str">
        <f t="array" ref="E1156">_xlfn.XLOOKUP(D1156,Insumos!B:B,Insumos!C:$C)</f>
        <v>M2</v>
      </c>
      <c r="F1156" s="86">
        <f>1.053</f>
        <v>1.0529999999999999</v>
      </c>
      <c r="G1156" s="92">
        <f t="array" ref="G1156">IF(B1156="insumo",_xlfn.XLOOKUP($D1156,Insumos!$B$1:$B$993,Insumos!$D$1:$D$993),"")</f>
        <v>27.1</v>
      </c>
      <c r="H1156" s="92">
        <v>28.536300000000001</v>
      </c>
      <c r="I1156" s="84">
        <v>0</v>
      </c>
      <c r="J1156" s="84">
        <v>0</v>
      </c>
      <c r="K1156" s="84"/>
      <c r="L1156"/>
      <c r="M1156"/>
      <c r="N1156"/>
      <c r="O1156"/>
      <c r="P1156"/>
      <c r="Q1156"/>
      <c r="R1156"/>
      <c r="S1156"/>
      <c r="T1156"/>
      <c r="U1156"/>
      <c r="V1156"/>
      <c r="W1156"/>
      <c r="X1156"/>
      <c r="Y1156"/>
      <c r="Z1156"/>
      <c r="AA1156"/>
      <c r="AB1156"/>
      <c r="AC1156"/>
      <c r="AD1156"/>
      <c r="AE1156"/>
      <c r="AF1156"/>
      <c r="AG1156"/>
      <c r="AH1156"/>
      <c r="AI1156"/>
      <c r="AJ1156"/>
      <c r="AK1156"/>
      <c r="AL1156"/>
    </row>
    <row r="1157" spans="1:38" ht="12.75" outlineLevel="3" x14ac:dyDescent="0.2">
      <c r="A1157" s="471">
        <v>10</v>
      </c>
      <c r="B1157" s="471" t="s">
        <v>71</v>
      </c>
      <c r="C1157" s="10" t="s">
        <v>3520</v>
      </c>
      <c r="D1157" s="10" t="s">
        <v>3524</v>
      </c>
      <c r="E1157" s="11" t="str">
        <f t="array" ref="E1157">_xlfn.XLOOKUP(D1157,Insumos!B:B,Insumos!C:$C)</f>
        <v>M2</v>
      </c>
      <c r="F1157" s="86">
        <f>1.053</f>
        <v>1.0529999999999999</v>
      </c>
      <c r="G1157" s="92">
        <f t="array" ref="G1157">IF(B1157="insumo",_xlfn.XLOOKUP($D1157,Insumos!$B$1:$B$993,Insumos!$D$1:$D$993),"")</f>
        <v>34.513888888888893</v>
      </c>
      <c r="H1157" s="92">
        <v>36.343125000000001</v>
      </c>
      <c r="I1157" s="84">
        <v>0</v>
      </c>
      <c r="J1157" s="84">
        <v>0</v>
      </c>
      <c r="K1157" s="84"/>
      <c r="L1157"/>
      <c r="M1157"/>
      <c r="N1157"/>
      <c r="O1157"/>
      <c r="P1157"/>
      <c r="Q1157"/>
      <c r="R1157"/>
      <c r="S1157"/>
      <c r="T1157"/>
      <c r="U1157"/>
      <c r="V1157"/>
      <c r="W1157"/>
      <c r="X1157"/>
      <c r="Y1157"/>
      <c r="Z1157"/>
      <c r="AA1157"/>
      <c r="AB1157"/>
      <c r="AC1157"/>
      <c r="AD1157"/>
      <c r="AE1157"/>
      <c r="AF1157"/>
      <c r="AG1157"/>
      <c r="AH1157"/>
      <c r="AI1157"/>
      <c r="AJ1157"/>
      <c r="AK1157"/>
      <c r="AL1157"/>
    </row>
    <row r="1158" spans="1:38" ht="27" outlineLevel="3" x14ac:dyDescent="0.2">
      <c r="A1158" s="471">
        <v>95</v>
      </c>
      <c r="B1158" s="471" t="s">
        <v>71</v>
      </c>
      <c r="C1158" s="1053" t="s">
        <v>3520</v>
      </c>
      <c r="D1158" s="1053" t="s">
        <v>409</v>
      </c>
      <c r="E1158" s="11" t="str">
        <f t="array" ref="E1158">_xlfn.XLOOKUP(D1158,Insumos!B:B,Insumos!C:$C)</f>
        <v>UN</v>
      </c>
      <c r="F1158" s="86">
        <f>4.95*2</f>
        <v>9.9</v>
      </c>
      <c r="G1158" s="92">
        <f t="array" ref="G1158">IF(B1158="insumo",_xlfn.XLOOKUP($D1158,Insumos!$B$1:$B$993,Insumos!$D$1:$D$993),"")</f>
        <v>0.504</v>
      </c>
      <c r="H1158" s="92">
        <v>4.9896000000000003</v>
      </c>
      <c r="I1158" s="84">
        <v>0</v>
      </c>
      <c r="J1158" s="84">
        <v>0</v>
      </c>
      <c r="K1158" s="84"/>
      <c r="L1158"/>
      <c r="M1158"/>
      <c r="N1158"/>
      <c r="O1158"/>
      <c r="P1158"/>
      <c r="Q1158"/>
      <c r="R1158"/>
      <c r="S1158"/>
      <c r="T1158"/>
      <c r="U1158"/>
      <c r="V1158"/>
      <c r="W1158"/>
      <c r="X1158"/>
      <c r="Y1158"/>
      <c r="Z1158"/>
      <c r="AA1158"/>
      <c r="AB1158"/>
      <c r="AC1158"/>
      <c r="AD1158"/>
      <c r="AE1158"/>
      <c r="AF1158"/>
      <c r="AG1158"/>
      <c r="AH1158"/>
      <c r="AI1158"/>
      <c r="AJ1158"/>
      <c r="AK1158"/>
      <c r="AL1158"/>
    </row>
    <row r="1159" spans="1:38" ht="27" outlineLevel="3" x14ac:dyDescent="0.2">
      <c r="A1159" s="471">
        <v>43</v>
      </c>
      <c r="B1159" s="471" t="s">
        <v>71</v>
      </c>
      <c r="C1159" s="1053" t="s">
        <v>3520</v>
      </c>
      <c r="D1159" s="1053" t="s">
        <v>423</v>
      </c>
      <c r="E1159" s="11" t="str">
        <f t="array" ref="E1159">_xlfn.XLOOKUP(D1159,Insumos!B:B,Insumos!C:$C)</f>
        <v>M</v>
      </c>
      <c r="F1159" s="86">
        <f>1.5248</f>
        <v>1.5247999999999999</v>
      </c>
      <c r="G1159" s="92">
        <f t="array" ref="G1159">IF(B1159="insumo",_xlfn.XLOOKUP($D1159,Insumos!$B$1:$B$993,Insumos!$D$1:$D$993),"")</f>
        <v>7.46</v>
      </c>
      <c r="H1159" s="92">
        <v>11.375007999999999</v>
      </c>
      <c r="I1159" s="84">
        <v>0</v>
      </c>
      <c r="J1159" s="84">
        <v>0</v>
      </c>
      <c r="K1159" s="84"/>
      <c r="L1159"/>
      <c r="M1159"/>
      <c r="N1159"/>
      <c r="O1159"/>
      <c r="P1159"/>
      <c r="Q1159"/>
      <c r="R1159"/>
      <c r="S1159"/>
      <c r="T1159"/>
      <c r="U1159"/>
      <c r="V1159"/>
      <c r="W1159"/>
      <c r="X1159"/>
      <c r="Y1159"/>
      <c r="Z1159"/>
      <c r="AA1159"/>
      <c r="AB1159"/>
      <c r="AC1159"/>
      <c r="AD1159"/>
      <c r="AE1159"/>
      <c r="AF1159"/>
      <c r="AG1159"/>
      <c r="AH1159"/>
      <c r="AI1159"/>
      <c r="AJ1159"/>
      <c r="AK1159"/>
      <c r="AL1159"/>
    </row>
    <row r="1160" spans="1:38" ht="27" outlineLevel="3" x14ac:dyDescent="0.2">
      <c r="A1160" s="471">
        <v>43</v>
      </c>
      <c r="B1160" s="471" t="s">
        <v>71</v>
      </c>
      <c r="C1160" s="1053" t="s">
        <v>3520</v>
      </c>
      <c r="D1160" s="1053" t="s">
        <v>424</v>
      </c>
      <c r="E1160" s="11" t="str">
        <f t="array" ref="E1160">_xlfn.XLOOKUP(D1160,Insumos!B:B,Insumos!C:$C)</f>
        <v>M</v>
      </c>
      <c r="F1160" s="86">
        <f>2.0006</f>
        <v>2.0005999999999999</v>
      </c>
      <c r="G1160" s="92">
        <f t="array" ref="G1160">IF(B1160="insumo",_xlfn.XLOOKUP($D1160,Insumos!$B$1:$B$993,Insumos!$D$1:$D$993),"")</f>
        <v>7.98</v>
      </c>
      <c r="H1160" s="92">
        <v>15.964788</v>
      </c>
      <c r="I1160" s="84">
        <v>0</v>
      </c>
      <c r="J1160" s="84">
        <v>0</v>
      </c>
      <c r="K1160" s="84"/>
      <c r="L1160"/>
      <c r="M1160"/>
      <c r="N1160"/>
      <c r="O1160"/>
      <c r="P1160"/>
      <c r="Q1160"/>
      <c r="R1160"/>
      <c r="S1160"/>
      <c r="T1160"/>
      <c r="U1160"/>
      <c r="V1160"/>
      <c r="W1160"/>
      <c r="X1160"/>
      <c r="Y1160"/>
      <c r="Z1160"/>
      <c r="AA1160"/>
      <c r="AB1160"/>
      <c r="AC1160"/>
      <c r="AD1160"/>
      <c r="AE1160"/>
      <c r="AF1160"/>
      <c r="AG1160"/>
      <c r="AH1160"/>
      <c r="AI1160"/>
      <c r="AJ1160"/>
      <c r="AK1160"/>
      <c r="AL1160"/>
    </row>
    <row r="1161" spans="1:38" ht="27" outlineLevel="3" x14ac:dyDescent="0.2">
      <c r="A1161" s="471">
        <v>95</v>
      </c>
      <c r="B1161" s="471" t="s">
        <v>71</v>
      </c>
      <c r="C1161" s="1053" t="s">
        <v>3520</v>
      </c>
      <c r="D1161" s="1053" t="s">
        <v>405</v>
      </c>
      <c r="E1161" s="11" t="str">
        <f t="array" ref="E1161">_xlfn.XLOOKUP(D1161,Insumos!B:B,Insumos!C:$C)</f>
        <v>KG</v>
      </c>
      <c r="F1161" s="86">
        <v>0.54890000000000005</v>
      </c>
      <c r="G1161" s="92">
        <f t="array" ref="G1161">IF(B1161="insumo",_xlfn.XLOOKUP($D1161,Insumos!$B$1:$B$993,Insumos!$D$1:$D$993),"")</f>
        <v>3.43</v>
      </c>
      <c r="H1161" s="92">
        <v>1.882727</v>
      </c>
      <c r="I1161" s="84">
        <v>0</v>
      </c>
      <c r="J1161" s="84">
        <v>0</v>
      </c>
      <c r="K1161" s="84"/>
      <c r="L1161"/>
      <c r="M1161"/>
      <c r="N1161"/>
      <c r="O1161"/>
      <c r="P1161"/>
      <c r="Q1161"/>
      <c r="R1161"/>
      <c r="S1161"/>
      <c r="T1161"/>
      <c r="U1161"/>
      <c r="V1161"/>
      <c r="W1161"/>
      <c r="X1161"/>
      <c r="Y1161"/>
      <c r="Z1161"/>
      <c r="AA1161"/>
      <c r="AB1161"/>
      <c r="AC1161"/>
      <c r="AD1161"/>
      <c r="AE1161"/>
      <c r="AF1161"/>
      <c r="AG1161"/>
      <c r="AH1161"/>
      <c r="AI1161"/>
      <c r="AJ1161"/>
      <c r="AK1161"/>
      <c r="AL1161"/>
    </row>
    <row r="1162" spans="1:38" ht="27" outlineLevel="3" x14ac:dyDescent="0.2">
      <c r="A1162" s="471">
        <v>94</v>
      </c>
      <c r="B1162" s="471" t="s">
        <v>71</v>
      </c>
      <c r="C1162" s="1053" t="s">
        <v>3520</v>
      </c>
      <c r="D1162" s="1053" t="s">
        <v>412</v>
      </c>
      <c r="E1162" s="11" t="str">
        <f t="array" ref="E1162">_xlfn.XLOOKUP(D1162,Insumos!B:B,Insumos!C:$C)</f>
        <v>M</v>
      </c>
      <c r="F1162" s="86">
        <v>1.2513000000000001</v>
      </c>
      <c r="G1162" s="92">
        <f t="array" ref="G1162">IF(B1162="insumo",_xlfn.XLOOKUP($D1162,Insumos!$B$1:$B$993,Insumos!$D$1:$D$993),"")</f>
        <v>0.31</v>
      </c>
      <c r="H1162" s="92">
        <v>0.387903</v>
      </c>
      <c r="I1162" s="84">
        <v>0</v>
      </c>
      <c r="J1162" s="84">
        <v>0</v>
      </c>
      <c r="K1162" s="84"/>
      <c r="L1162"/>
      <c r="M1162"/>
      <c r="N1162"/>
      <c r="O1162"/>
      <c r="P1162"/>
      <c r="Q1162"/>
      <c r="R1162"/>
      <c r="S1162"/>
      <c r="T1162"/>
      <c r="U1162"/>
      <c r="V1162"/>
      <c r="W1162"/>
      <c r="X1162"/>
      <c r="Y1162"/>
      <c r="Z1162"/>
      <c r="AA1162"/>
      <c r="AB1162"/>
      <c r="AC1162"/>
      <c r="AD1162"/>
      <c r="AE1162"/>
      <c r="AF1162"/>
      <c r="AG1162"/>
      <c r="AH1162"/>
      <c r="AI1162"/>
      <c r="AJ1162"/>
      <c r="AK1162"/>
      <c r="AL1162"/>
    </row>
    <row r="1163" spans="1:38" ht="27" outlineLevel="3" x14ac:dyDescent="0.2">
      <c r="A1163" s="471">
        <v>94</v>
      </c>
      <c r="B1163" s="471" t="s">
        <v>71</v>
      </c>
      <c r="C1163" s="1053" t="s">
        <v>3520</v>
      </c>
      <c r="D1163" s="1053" t="s">
        <v>413</v>
      </c>
      <c r="E1163" s="11" t="str">
        <f t="array" ref="E1163">_xlfn.XLOOKUP(D1163,Insumos!B:B,Insumos!C:$C)</f>
        <v>M</v>
      </c>
      <c r="F1163" s="86">
        <v>0.74070000000000003</v>
      </c>
      <c r="G1163" s="92">
        <f t="array" ref="G1163">IF(B1163="insumo",_xlfn.XLOOKUP($D1163,Insumos!$B$1:$B$993,Insumos!$D$1:$D$993),"")</f>
        <v>2.74</v>
      </c>
      <c r="H1163" s="92">
        <v>2.0295179999999999</v>
      </c>
      <c r="I1163" s="84">
        <v>0</v>
      </c>
      <c r="J1163" s="84">
        <v>0</v>
      </c>
      <c r="K1163" s="84"/>
      <c r="L1163"/>
      <c r="M1163"/>
      <c r="N1163"/>
      <c r="O1163"/>
      <c r="P1163"/>
      <c r="Q1163"/>
      <c r="R1163"/>
      <c r="S1163"/>
      <c r="T1163"/>
      <c r="U1163"/>
      <c r="V1163"/>
      <c r="W1163"/>
      <c r="X1163"/>
      <c r="Y1163"/>
      <c r="Z1163"/>
      <c r="AA1163"/>
      <c r="AB1163"/>
      <c r="AC1163"/>
      <c r="AD1163"/>
      <c r="AE1163"/>
      <c r="AF1163"/>
      <c r="AG1163"/>
      <c r="AH1163"/>
      <c r="AI1163"/>
      <c r="AJ1163"/>
      <c r="AK1163"/>
      <c r="AL1163"/>
    </row>
    <row r="1164" spans="1:38" ht="27" outlineLevel="3" x14ac:dyDescent="0.2">
      <c r="A1164" s="471">
        <v>11</v>
      </c>
      <c r="B1164" s="471" t="s">
        <v>71</v>
      </c>
      <c r="C1164" s="1053" t="s">
        <v>3520</v>
      </c>
      <c r="D1164" s="1053" t="s">
        <v>3525</v>
      </c>
      <c r="E1164" s="11" t="str">
        <f t="array" ref="E1164">_xlfn.XLOOKUP(D1164,Insumos!B:B,Insumos!C:$C)</f>
        <v>M</v>
      </c>
      <c r="F1164" s="86">
        <f>0.8</f>
        <v>0.8</v>
      </c>
      <c r="G1164" s="92">
        <f t="array" ref="G1164">IF(B1164="insumo",_xlfn.XLOOKUP($D1164,Insumos!$B$1:$B$993,Insumos!$D$1:$D$993),"")</f>
        <v>3</v>
      </c>
      <c r="H1164" s="92">
        <v>2.4</v>
      </c>
      <c r="I1164" s="84">
        <v>0</v>
      </c>
      <c r="J1164" s="84">
        <v>0</v>
      </c>
      <c r="K1164" s="84"/>
      <c r="L1164"/>
      <c r="M1164"/>
      <c r="N1164"/>
      <c r="O1164"/>
      <c r="P1164"/>
      <c r="Q1164"/>
      <c r="R1164"/>
      <c r="S1164"/>
      <c r="T1164"/>
      <c r="U1164"/>
      <c r="V1164"/>
      <c r="W1164"/>
      <c r="X1164"/>
      <c r="Y1164"/>
      <c r="Z1164"/>
      <c r="AA1164"/>
      <c r="AB1164"/>
      <c r="AC1164"/>
      <c r="AD1164"/>
      <c r="AE1164"/>
      <c r="AF1164"/>
      <c r="AG1164"/>
      <c r="AH1164"/>
      <c r="AI1164"/>
      <c r="AJ1164"/>
      <c r="AK1164"/>
      <c r="AL1164"/>
    </row>
    <row r="1165" spans="1:38" ht="27" outlineLevel="3" x14ac:dyDescent="0.2">
      <c r="A1165" s="471">
        <v>11</v>
      </c>
      <c r="B1165" s="471" t="s">
        <v>71</v>
      </c>
      <c r="C1165" s="1053" t="s">
        <v>3520</v>
      </c>
      <c r="D1165" s="1053" t="s">
        <v>3526</v>
      </c>
      <c r="E1165" s="11" t="str">
        <f t="array" ref="E1165">_xlfn.XLOOKUP(D1165,Insumos!B:B,Insumos!C:$C)</f>
        <v>M</v>
      </c>
      <c r="F1165" s="86">
        <f>0.84</f>
        <v>0.84</v>
      </c>
      <c r="G1165" s="92">
        <f t="array" ref="G1165">IF(B1165="insumo",_xlfn.XLOOKUP($D1165,Insumos!$B$1:$B$993,Insumos!$D$1:$D$993),"")</f>
        <v>0.6</v>
      </c>
      <c r="H1165" s="92">
        <v>0.504</v>
      </c>
      <c r="I1165" s="84">
        <v>0</v>
      </c>
      <c r="J1165" s="84">
        <v>0</v>
      </c>
      <c r="K1165" s="84"/>
      <c r="L1165"/>
      <c r="M1165"/>
      <c r="N1165"/>
      <c r="O1165"/>
      <c r="P1165"/>
      <c r="Q1165"/>
      <c r="R1165"/>
      <c r="S1165"/>
      <c r="T1165"/>
      <c r="U1165"/>
      <c r="V1165"/>
      <c r="W1165"/>
      <c r="X1165"/>
      <c r="Y1165"/>
      <c r="Z1165"/>
      <c r="AA1165"/>
      <c r="AB1165"/>
      <c r="AC1165"/>
      <c r="AD1165"/>
      <c r="AE1165"/>
      <c r="AF1165"/>
      <c r="AG1165"/>
      <c r="AH1165"/>
      <c r="AI1165"/>
      <c r="AJ1165"/>
      <c r="AK1165"/>
      <c r="AL1165"/>
    </row>
    <row r="1166" spans="1:38" ht="27" outlineLevel="3" x14ac:dyDescent="0.2">
      <c r="A1166" s="471">
        <v>97</v>
      </c>
      <c r="B1166" s="471" t="s">
        <v>71</v>
      </c>
      <c r="C1166" s="1053" t="s">
        <v>3520</v>
      </c>
      <c r="D1166" s="1053" t="s">
        <v>414</v>
      </c>
      <c r="E1166" s="11" t="str">
        <f t="array" ref="E1166">_xlfn.XLOOKUP(D1166,Insumos!B:B,Insumos!C:$C)</f>
        <v>UN</v>
      </c>
      <c r="F1166" s="86">
        <f>20.1868</f>
        <v>20.186800000000002</v>
      </c>
      <c r="G1166" s="92">
        <f t="array" ref="G1166">IF(B1166="insumo",_xlfn.XLOOKUP($D1166,Insumos!$B$1:$B$993,Insumos!$D$1:$D$993),"")</f>
        <v>0.09</v>
      </c>
      <c r="H1166" s="92">
        <v>1.8168120000000001</v>
      </c>
      <c r="I1166" s="84">
        <v>0</v>
      </c>
      <c r="J1166" s="84">
        <v>0</v>
      </c>
      <c r="K1166" s="84"/>
      <c r="L1166"/>
      <c r="M1166"/>
      <c r="N1166"/>
      <c r="O1166"/>
      <c r="P1166"/>
      <c r="Q1166"/>
      <c r="R1166"/>
      <c r="S1166"/>
      <c r="T1166"/>
      <c r="U1166"/>
      <c r="V1166"/>
      <c r="W1166"/>
      <c r="X1166"/>
      <c r="Y1166"/>
      <c r="Z1166"/>
      <c r="AA1166"/>
      <c r="AB1166"/>
      <c r="AC1166"/>
      <c r="AD1166"/>
      <c r="AE1166"/>
      <c r="AF1166"/>
      <c r="AG1166"/>
      <c r="AH1166"/>
      <c r="AI1166"/>
      <c r="AJ1166"/>
      <c r="AK1166"/>
      <c r="AL1166"/>
    </row>
    <row r="1167" spans="1:38" ht="27" outlineLevel="3" x14ac:dyDescent="0.2">
      <c r="A1167" s="471">
        <v>95</v>
      </c>
      <c r="B1167" s="471" t="s">
        <v>71</v>
      </c>
      <c r="C1167" s="1053" t="s">
        <v>3520</v>
      </c>
      <c r="D1167" s="1053" t="s">
        <v>415</v>
      </c>
      <c r="E1167" s="11" t="str">
        <f t="array" ref="E1167">_xlfn.XLOOKUP(D1167,Insumos!B:B,Insumos!C:$C)</f>
        <v>UN</v>
      </c>
      <c r="F1167" s="86">
        <f>0.4803</f>
        <v>0.4803</v>
      </c>
      <c r="G1167" s="92">
        <f t="array" ref="G1167">IF(B1167="insumo",_xlfn.XLOOKUP($D1167,Insumos!$B$1:$B$993,Insumos!$D$1:$D$993),"")</f>
        <v>0.2</v>
      </c>
      <c r="H1167" s="92">
        <v>9.6060000000000006E-2</v>
      </c>
      <c r="I1167" s="84">
        <v>0</v>
      </c>
      <c r="J1167" s="84">
        <v>0</v>
      </c>
      <c r="K1167" s="84"/>
      <c r="L1167"/>
      <c r="M1167"/>
      <c r="N1167"/>
      <c r="O1167"/>
      <c r="P1167"/>
      <c r="Q1167"/>
      <c r="R1167"/>
      <c r="S1167"/>
      <c r="T1167"/>
      <c r="U1167"/>
      <c r="V1167"/>
      <c r="W1167"/>
      <c r="X1167"/>
      <c r="Y1167"/>
      <c r="Z1167"/>
      <c r="AA1167"/>
      <c r="AB1167"/>
      <c r="AC1167"/>
      <c r="AD1167"/>
      <c r="AE1167"/>
      <c r="AF1167"/>
      <c r="AG1167"/>
      <c r="AH1167"/>
      <c r="AI1167"/>
      <c r="AJ1167"/>
      <c r="AK1167"/>
      <c r="AL1167"/>
    </row>
    <row r="1168" spans="1:38" ht="15.75" customHeight="1" outlineLevel="1" x14ac:dyDescent="0.2">
      <c r="A1168" s="1090">
        <v>1</v>
      </c>
      <c r="B1168" s="1090" t="s">
        <v>1228</v>
      </c>
      <c r="C1168" s="1090" t="s">
        <v>3520</v>
      </c>
      <c r="D1168" s="1090" t="s">
        <v>1387</v>
      </c>
      <c r="E1168" s="1091"/>
      <c r="F1168" s="1092"/>
      <c r="G1168" s="1091"/>
      <c r="H1168" s="1091">
        <v>0</v>
      </c>
      <c r="I1168" s="1092">
        <v>0</v>
      </c>
      <c r="J1168" s="1092">
        <v>0</v>
      </c>
      <c r="K1168" s="1092"/>
      <c r="L1168"/>
      <c r="M1168"/>
      <c r="N1168"/>
      <c r="O1168"/>
      <c r="P1168"/>
      <c r="Q1168"/>
      <c r="R1168"/>
      <c r="S1168"/>
      <c r="T1168"/>
      <c r="U1168"/>
      <c r="V1168"/>
      <c r="W1168"/>
      <c r="X1168"/>
      <c r="Y1168"/>
      <c r="Z1168"/>
      <c r="AA1168"/>
      <c r="AB1168"/>
      <c r="AC1168"/>
      <c r="AD1168"/>
      <c r="AE1168"/>
      <c r="AF1168"/>
      <c r="AG1168"/>
      <c r="AH1168"/>
      <c r="AI1168"/>
      <c r="AJ1168"/>
      <c r="AK1168"/>
      <c r="AL1168"/>
    </row>
    <row r="1169" spans="1:38" ht="15.75" customHeight="1" outlineLevel="2" x14ac:dyDescent="0.2">
      <c r="A1169" s="1067">
        <v>1</v>
      </c>
      <c r="B1169" s="1067" t="s">
        <v>68</v>
      </c>
      <c r="C1169" s="1067" t="s">
        <v>399</v>
      </c>
      <c r="D1169" s="1067" t="s">
        <v>399</v>
      </c>
      <c r="E1169" s="1068" t="s">
        <v>70</v>
      </c>
      <c r="F1169" s="1067"/>
      <c r="G1169" s="1069" t="str">
        <f t="array" ref="G1169">IF(B1169="insumo",_xlfn.XLOOKUP($D1169,Insumos!$B$1:$B$996,Insumos!$D$1:$D$996),"")</f>
        <v/>
      </c>
      <c r="H1169" s="1069">
        <v>377.83639008151602</v>
      </c>
      <c r="I1169" s="1070">
        <v>0</v>
      </c>
      <c r="J1169" s="1070">
        <v>0</v>
      </c>
      <c r="K1169" s="1070"/>
      <c r="L1169"/>
      <c r="M1169"/>
      <c r="N1169"/>
      <c r="O1169"/>
      <c r="P1169"/>
      <c r="Q1169"/>
      <c r="R1169"/>
      <c r="S1169"/>
      <c r="T1169"/>
      <c r="U1169"/>
      <c r="V1169"/>
      <c r="W1169"/>
      <c r="X1169"/>
      <c r="Y1169"/>
      <c r="Z1169"/>
      <c r="AA1169"/>
      <c r="AB1169"/>
      <c r="AC1169"/>
      <c r="AD1169"/>
      <c r="AE1169"/>
      <c r="AF1169"/>
      <c r="AG1169"/>
      <c r="AH1169"/>
      <c r="AI1169"/>
      <c r="AJ1169"/>
      <c r="AK1169"/>
      <c r="AL1169"/>
    </row>
    <row r="1170" spans="1:38" ht="15.75" customHeight="1" outlineLevel="3" x14ac:dyDescent="0.2">
      <c r="A1170" s="10">
        <v>2</v>
      </c>
      <c r="B1170" s="10" t="s">
        <v>71</v>
      </c>
      <c r="C1170" s="10" t="s">
        <v>399</v>
      </c>
      <c r="D1170" s="10" t="s">
        <v>401</v>
      </c>
      <c r="E1170" s="11" t="str">
        <f t="array" ref="E1170">_xlfn.XLOOKUP(D1170,Insumos!B:B,Insumos!C:$C)</f>
        <v>UN</v>
      </c>
      <c r="F1170" s="14">
        <v>1</v>
      </c>
      <c r="G1170" s="92">
        <f t="array" ref="G1170">IF(B1170="insumo",_xlfn.XLOOKUP($D1170,Insumos!$B$1:$B$996,Insumos!$D$1:$D$996),"")</f>
        <v>377.8363900815155</v>
      </c>
      <c r="H1170" s="92">
        <v>377.83639008151602</v>
      </c>
      <c r="I1170" s="13">
        <v>0</v>
      </c>
      <c r="J1170" s="13">
        <v>0</v>
      </c>
      <c r="K1170" s="13"/>
      <c r="L1170"/>
      <c r="M1170"/>
      <c r="N1170"/>
      <c r="O1170"/>
      <c r="P1170"/>
      <c r="Q1170"/>
      <c r="R1170"/>
      <c r="S1170"/>
      <c r="T1170"/>
      <c r="U1170"/>
      <c r="V1170"/>
      <c r="W1170"/>
      <c r="X1170"/>
      <c r="Y1170"/>
      <c r="Z1170"/>
      <c r="AA1170"/>
      <c r="AB1170"/>
      <c r="AC1170"/>
      <c r="AD1170"/>
      <c r="AE1170"/>
      <c r="AF1170"/>
      <c r="AG1170"/>
      <c r="AH1170"/>
      <c r="AI1170"/>
      <c r="AJ1170"/>
      <c r="AK1170"/>
      <c r="AL1170"/>
    </row>
    <row r="1171" spans="1:38" ht="15.75" customHeight="1" outlineLevel="2" x14ac:dyDescent="0.2">
      <c r="A1171" s="1067">
        <v>1</v>
      </c>
      <c r="B1171" s="1067" t="s">
        <v>68</v>
      </c>
      <c r="C1171" s="1067" t="s">
        <v>402</v>
      </c>
      <c r="D1171" s="1067" t="s">
        <v>402</v>
      </c>
      <c r="E1171" s="1068" t="s">
        <v>70</v>
      </c>
      <c r="F1171" s="1067"/>
      <c r="G1171" s="1069" t="str">
        <f t="array" ref="G1171">IF(B1171="insumo",_xlfn.XLOOKUP($D1171,Insumos!$B$1:$B$996,Insumos!$D$1:$D$996),"")</f>
        <v/>
      </c>
      <c r="H1171" s="1069">
        <v>377.83639008151602</v>
      </c>
      <c r="I1171" s="1070">
        <v>0</v>
      </c>
      <c r="J1171" s="1070">
        <v>0</v>
      </c>
      <c r="K1171" s="1070"/>
      <c r="L1171"/>
      <c r="M1171"/>
      <c r="N1171"/>
      <c r="O1171"/>
      <c r="P1171"/>
      <c r="Q1171"/>
      <c r="R1171"/>
      <c r="S1171"/>
      <c r="T1171"/>
      <c r="U1171"/>
      <c r="V1171"/>
      <c r="W1171"/>
      <c r="X1171"/>
      <c r="Y1171"/>
      <c r="Z1171"/>
      <c r="AA1171"/>
      <c r="AB1171"/>
      <c r="AC1171"/>
      <c r="AD1171"/>
      <c r="AE1171"/>
      <c r="AF1171"/>
      <c r="AG1171"/>
      <c r="AH1171"/>
      <c r="AI1171"/>
      <c r="AJ1171"/>
      <c r="AK1171"/>
      <c r="AL1171"/>
    </row>
    <row r="1172" spans="1:38" ht="15.75" customHeight="1" outlineLevel="3" x14ac:dyDescent="0.2">
      <c r="A1172" s="10">
        <v>2</v>
      </c>
      <c r="B1172" s="10" t="s">
        <v>71</v>
      </c>
      <c r="C1172" s="10" t="s">
        <v>402</v>
      </c>
      <c r="D1172" s="10" t="s">
        <v>401</v>
      </c>
      <c r="E1172" s="11" t="str">
        <f t="array" ref="E1172">_xlfn.XLOOKUP(D1172,Insumos!B:B,Insumos!C:$C)</f>
        <v>UN</v>
      </c>
      <c r="F1172" s="14">
        <v>1</v>
      </c>
      <c r="G1172" s="92">
        <f t="array" ref="G1172">IF(B1172="insumo",_xlfn.XLOOKUP($D1172,Insumos!$B$1:$B$996,Insumos!$D$1:$D$996),"")</f>
        <v>377.8363900815155</v>
      </c>
      <c r="H1172" s="92">
        <v>377.83639008151602</v>
      </c>
      <c r="I1172" s="13">
        <v>0</v>
      </c>
      <c r="J1172" s="13">
        <v>0</v>
      </c>
      <c r="K1172" s="13"/>
      <c r="L1172"/>
      <c r="M1172"/>
      <c r="N1172"/>
      <c r="O1172"/>
      <c r="P1172"/>
      <c r="Q1172"/>
      <c r="R1172"/>
      <c r="S1172"/>
      <c r="T1172"/>
      <c r="U1172"/>
      <c r="V1172"/>
      <c r="W1172"/>
      <c r="X1172"/>
      <c r="Y1172"/>
      <c r="Z1172"/>
      <c r="AA1172"/>
      <c r="AB1172"/>
      <c r="AC1172"/>
      <c r="AD1172"/>
      <c r="AE1172"/>
      <c r="AF1172"/>
      <c r="AG1172"/>
      <c r="AH1172"/>
      <c r="AI1172"/>
      <c r="AJ1172"/>
      <c r="AK1172"/>
      <c r="AL1172"/>
    </row>
    <row r="1173" spans="1:38" ht="15.75" customHeight="1" outlineLevel="2" x14ac:dyDescent="0.2">
      <c r="A1173" s="1067">
        <v>1</v>
      </c>
      <c r="B1173" s="1067" t="s">
        <v>68</v>
      </c>
      <c r="C1173" s="1067" t="s">
        <v>403</v>
      </c>
      <c r="D1173" s="1067" t="s">
        <v>403</v>
      </c>
      <c r="E1173" s="1068" t="s">
        <v>70</v>
      </c>
      <c r="F1173" s="1067"/>
      <c r="G1173" s="1069" t="str">
        <f t="array" ref="G1173">IF(B1173="insumo",_xlfn.XLOOKUP($D1173,Insumos!$B$1:$B$996,Insumos!$D$1:$D$996),"")</f>
        <v/>
      </c>
      <c r="H1173" s="1069">
        <v>58.988734923708698</v>
      </c>
      <c r="I1173" s="1070">
        <v>0</v>
      </c>
      <c r="J1173" s="1070">
        <v>0</v>
      </c>
      <c r="K1173" s="1070"/>
      <c r="L1173"/>
      <c r="M1173"/>
      <c r="N1173"/>
      <c r="O1173"/>
      <c r="P1173"/>
      <c r="Q1173"/>
      <c r="R1173"/>
      <c r="S1173"/>
      <c r="T1173"/>
      <c r="U1173"/>
      <c r="V1173"/>
      <c r="W1173"/>
      <c r="X1173"/>
      <c r="Y1173"/>
      <c r="Z1173"/>
      <c r="AA1173"/>
      <c r="AB1173"/>
      <c r="AC1173"/>
      <c r="AD1173"/>
      <c r="AE1173"/>
      <c r="AF1173"/>
      <c r="AG1173"/>
      <c r="AH1173"/>
      <c r="AI1173"/>
      <c r="AJ1173"/>
      <c r="AK1173"/>
      <c r="AL1173"/>
    </row>
    <row r="1174" spans="1:38" ht="15.75" customHeight="1" outlineLevel="3" x14ac:dyDescent="0.2">
      <c r="A1174" s="10">
        <v>1</v>
      </c>
      <c r="B1174" s="10" t="s">
        <v>71</v>
      </c>
      <c r="C1174" s="10" t="s">
        <v>403</v>
      </c>
      <c r="D1174" s="10" t="s">
        <v>403</v>
      </c>
      <c r="E1174" s="11" t="str">
        <f t="array" ref="E1174">_xlfn.XLOOKUP(D1174,Insumos!B:B,Insumos!C:$C)</f>
        <v>UN</v>
      </c>
      <c r="F1174" s="14">
        <v>1</v>
      </c>
      <c r="G1174" s="92">
        <f t="array" ref="G1174">IF(B1174="insumo",_xlfn.XLOOKUP($D1174,Insumos!$B$1:$B$996,Insumos!$D$1:$D$996),"")</f>
        <v>58.988734923708691</v>
      </c>
      <c r="H1174" s="92">
        <v>58.988734923708698</v>
      </c>
      <c r="I1174" s="13">
        <v>0</v>
      </c>
      <c r="J1174" s="13">
        <v>0</v>
      </c>
      <c r="K1174" s="13"/>
      <c r="L1174"/>
      <c r="M1174"/>
      <c r="N1174"/>
      <c r="O1174"/>
      <c r="P1174"/>
      <c r="Q1174"/>
      <c r="R1174"/>
      <c r="S1174"/>
      <c r="T1174"/>
      <c r="U1174"/>
      <c r="V1174"/>
      <c r="W1174"/>
      <c r="X1174"/>
      <c r="Y1174"/>
      <c r="Z1174"/>
      <c r="AA1174"/>
      <c r="AB1174"/>
      <c r="AC1174"/>
      <c r="AD1174"/>
      <c r="AE1174"/>
      <c r="AF1174"/>
      <c r="AG1174"/>
      <c r="AH1174"/>
      <c r="AI1174"/>
      <c r="AJ1174"/>
      <c r="AK1174"/>
      <c r="AL1174"/>
    </row>
    <row r="1175" spans="1:38" ht="12.75" outlineLevel="2" x14ac:dyDescent="0.2">
      <c r="A1175" s="1071">
        <v>2</v>
      </c>
      <c r="B1175" s="1071" t="s">
        <v>68</v>
      </c>
      <c r="C1175" s="1071" t="s">
        <v>1775</v>
      </c>
      <c r="D1175" s="1071" t="s">
        <v>1775</v>
      </c>
      <c r="E1175" s="1072" t="s">
        <v>70</v>
      </c>
      <c r="F1175" s="1071"/>
      <c r="G1175" s="1073" t="str">
        <f t="array" ref="G1175">IF(B1175="insumo",_xlfn.XLOOKUP($D1175,Insumos!$B$1:$B$996,Insumos!$D$1:$D$996),"")</f>
        <v/>
      </c>
      <c r="H1175" s="1073">
        <v>357.32242200000002</v>
      </c>
      <c r="I1175" s="1074">
        <v>0</v>
      </c>
      <c r="J1175" s="1074">
        <v>0</v>
      </c>
      <c r="K1175" s="1074"/>
      <c r="L1175"/>
      <c r="M1175"/>
      <c r="N1175"/>
      <c r="O1175"/>
      <c r="P1175"/>
      <c r="Q1175"/>
      <c r="R1175"/>
      <c r="S1175"/>
      <c r="T1175"/>
      <c r="U1175"/>
      <c r="V1175"/>
      <c r="W1175"/>
      <c r="X1175"/>
      <c r="Y1175"/>
      <c r="Z1175"/>
      <c r="AA1175"/>
      <c r="AB1175"/>
      <c r="AC1175"/>
      <c r="AD1175"/>
      <c r="AE1175"/>
      <c r="AF1175"/>
      <c r="AG1175"/>
      <c r="AH1175"/>
      <c r="AI1175"/>
      <c r="AJ1175"/>
      <c r="AK1175"/>
      <c r="AL1175"/>
    </row>
    <row r="1176" spans="1:38" ht="12.75" outlineLevel="3" x14ac:dyDescent="0.2">
      <c r="A1176" s="82">
        <v>86</v>
      </c>
      <c r="B1176" s="82" t="s">
        <v>71</v>
      </c>
      <c r="C1176" s="82" t="s">
        <v>1775</v>
      </c>
      <c r="D1176" s="82" t="s">
        <v>407</v>
      </c>
      <c r="E1176" s="11" t="str">
        <f t="array" ref="E1176">_xlfn.XLOOKUP(D1176,Insumos!B:B,Insumos!C:$C)</f>
        <v>M2</v>
      </c>
      <c r="F1176" s="86">
        <v>1</v>
      </c>
      <c r="G1176" s="92">
        <f t="array" ref="G1176">IF(B1176="insumo",_xlfn.XLOOKUP($D1176,Insumos!$B$1:$B$996,Insumos!$D$1:$D$996),"")</f>
        <v>70</v>
      </c>
      <c r="H1176" s="92">
        <v>70</v>
      </c>
      <c r="I1176" s="84">
        <v>0</v>
      </c>
      <c r="J1176" s="84">
        <v>0</v>
      </c>
      <c r="K1176" s="84"/>
      <c r="L1176"/>
      <c r="M1176"/>
      <c r="N1176"/>
      <c r="O1176"/>
      <c r="P1176"/>
      <c r="Q1176"/>
      <c r="R1176"/>
      <c r="S1176"/>
      <c r="T1176"/>
      <c r="U1176"/>
      <c r="V1176"/>
      <c r="W1176"/>
      <c r="X1176"/>
      <c r="Y1176"/>
      <c r="Z1176"/>
      <c r="AA1176"/>
      <c r="AB1176"/>
      <c r="AC1176"/>
      <c r="AD1176"/>
      <c r="AE1176"/>
      <c r="AF1176"/>
      <c r="AG1176"/>
      <c r="AH1176"/>
      <c r="AI1176"/>
      <c r="AJ1176"/>
      <c r="AK1176"/>
      <c r="AL1176"/>
    </row>
    <row r="1177" spans="1:38" ht="12.75" outlineLevel="3" x14ac:dyDescent="0.2">
      <c r="A1177" s="82">
        <v>47</v>
      </c>
      <c r="B1177" s="82" t="s">
        <v>71</v>
      </c>
      <c r="C1177" s="82" t="s">
        <v>1775</v>
      </c>
      <c r="D1177" s="82" t="s">
        <v>408</v>
      </c>
      <c r="E1177" s="11" t="str">
        <f t="array" ref="E1177">_xlfn.XLOOKUP(D1177,Insumos!B:B,Insumos!C:$C)</f>
        <v>M2</v>
      </c>
      <c r="F1177" s="86">
        <v>1.0529999999999999</v>
      </c>
      <c r="G1177" s="92">
        <f t="array" ref="G1177">IF(B1177="insumo",_xlfn.XLOOKUP($D1177,Insumos!$B$1:$B$996,Insumos!$D$1:$D$996),"")</f>
        <v>20.16</v>
      </c>
      <c r="H1177" s="92">
        <v>21.228480000000001</v>
      </c>
      <c r="I1177" s="84">
        <v>0</v>
      </c>
      <c r="J1177" s="84">
        <v>0</v>
      </c>
      <c r="K1177" s="84"/>
      <c r="L1177"/>
      <c r="M1177"/>
      <c r="N1177"/>
      <c r="O1177"/>
      <c r="P1177"/>
      <c r="Q1177"/>
      <c r="R1177"/>
      <c r="S1177"/>
      <c r="T1177"/>
      <c r="U1177"/>
      <c r="V1177"/>
      <c r="W1177"/>
      <c r="X1177"/>
      <c r="Y1177"/>
      <c r="Z1177"/>
      <c r="AA1177"/>
      <c r="AB1177"/>
      <c r="AC1177"/>
      <c r="AD1177"/>
      <c r="AE1177"/>
      <c r="AF1177"/>
      <c r="AG1177"/>
      <c r="AH1177"/>
      <c r="AI1177"/>
      <c r="AJ1177"/>
      <c r="AK1177"/>
      <c r="AL1177"/>
    </row>
    <row r="1178" spans="1:38" ht="12.75" outlineLevel="3" x14ac:dyDescent="0.2">
      <c r="A1178" s="82">
        <v>95</v>
      </c>
      <c r="B1178" s="82" t="s">
        <v>71</v>
      </c>
      <c r="C1178" s="82" t="s">
        <v>1775</v>
      </c>
      <c r="D1178" s="82" t="s">
        <v>409</v>
      </c>
      <c r="E1178" s="11" t="str">
        <f t="array" ref="E1178">_xlfn.XLOOKUP(D1178,Insumos!B:B,Insumos!C:$C)</f>
        <v>UN</v>
      </c>
      <c r="F1178" s="86">
        <v>2.48</v>
      </c>
      <c r="G1178" s="92">
        <f t="array" ref="G1178">IF(B1178="insumo",_xlfn.XLOOKUP($D1178,Insumos!$B$1:$B$996,Insumos!$D$1:$D$996),"")</f>
        <v>0.504</v>
      </c>
      <c r="H1178" s="92">
        <v>1.2499199999999999</v>
      </c>
      <c r="I1178" s="84">
        <v>0</v>
      </c>
      <c r="J1178" s="84">
        <v>0</v>
      </c>
      <c r="K1178" s="84"/>
      <c r="L1178"/>
      <c r="M1178"/>
      <c r="N1178"/>
      <c r="O1178"/>
      <c r="P1178"/>
      <c r="Q1178"/>
      <c r="R1178"/>
      <c r="S1178"/>
      <c r="T1178"/>
      <c r="U1178"/>
      <c r="V1178"/>
      <c r="W1178"/>
      <c r="X1178"/>
      <c r="Y1178"/>
      <c r="Z1178"/>
      <c r="AA1178"/>
      <c r="AB1178"/>
      <c r="AC1178"/>
      <c r="AD1178"/>
      <c r="AE1178"/>
      <c r="AF1178"/>
      <c r="AG1178"/>
      <c r="AH1178"/>
      <c r="AI1178"/>
      <c r="AJ1178"/>
      <c r="AK1178"/>
      <c r="AL1178"/>
    </row>
    <row r="1179" spans="1:38" ht="12.75" outlineLevel="3" x14ac:dyDescent="0.2">
      <c r="A1179" s="82">
        <v>26</v>
      </c>
      <c r="B1179" s="82" t="s">
        <v>71</v>
      </c>
      <c r="C1179" s="82" t="s">
        <v>1775</v>
      </c>
      <c r="D1179" s="82" t="s">
        <v>410</v>
      </c>
      <c r="E1179" s="11" t="str">
        <f t="array" ref="E1179">_xlfn.XLOOKUP(D1179,Insumos!B:B,Insumos!C:$C)</f>
        <v>M</v>
      </c>
      <c r="F1179" s="86">
        <v>0.76239999999999997</v>
      </c>
      <c r="G1179" s="92">
        <f t="array" ref="G1179">IF(B1179="insumo",_xlfn.XLOOKUP($D1179,Insumos!$B$1:$B$996,Insumos!$D$1:$D$996),"")</f>
        <v>7.03</v>
      </c>
      <c r="H1179" s="92">
        <v>5.3596719999999998</v>
      </c>
      <c r="I1179" s="84">
        <v>0</v>
      </c>
      <c r="J1179" s="84">
        <v>0</v>
      </c>
      <c r="K1179" s="84"/>
      <c r="L1179"/>
      <c r="M1179"/>
      <c r="N1179"/>
      <c r="O1179"/>
      <c r="P1179"/>
      <c r="Q1179"/>
      <c r="R1179"/>
      <c r="S1179"/>
      <c r="T1179"/>
      <c r="U1179"/>
      <c r="V1179"/>
      <c r="W1179"/>
      <c r="X1179"/>
      <c r="Y1179"/>
      <c r="Z1179"/>
      <c r="AA1179"/>
      <c r="AB1179"/>
      <c r="AC1179"/>
      <c r="AD1179"/>
      <c r="AE1179"/>
      <c r="AF1179"/>
      <c r="AG1179"/>
      <c r="AH1179"/>
      <c r="AI1179"/>
      <c r="AJ1179"/>
      <c r="AK1179"/>
      <c r="AL1179"/>
    </row>
    <row r="1180" spans="1:38" ht="12.75" outlineLevel="3" x14ac:dyDescent="0.2">
      <c r="A1180" s="82">
        <v>26</v>
      </c>
      <c r="B1180" s="82" t="s">
        <v>71</v>
      </c>
      <c r="C1180" s="82" t="s">
        <v>1775</v>
      </c>
      <c r="D1180" s="82" t="s">
        <v>411</v>
      </c>
      <c r="E1180" s="11" t="str">
        <f t="array" ref="E1180">_xlfn.XLOOKUP(D1180,Insumos!B:B,Insumos!C:$C)</f>
        <v>M</v>
      </c>
      <c r="F1180" s="86">
        <v>2.0005999999999999</v>
      </c>
      <c r="G1180" s="92">
        <f t="array" ref="G1180">IF(B1180="insumo",_xlfn.XLOOKUP($D1180,Insumos!$B$1:$B$996,Insumos!$D$1:$D$996),"")</f>
        <v>7.98</v>
      </c>
      <c r="H1180" s="92">
        <v>15.964788</v>
      </c>
      <c r="I1180" s="84">
        <v>0</v>
      </c>
      <c r="J1180" s="84">
        <v>0</v>
      </c>
      <c r="K1180" s="84"/>
      <c r="L1180"/>
      <c r="M1180"/>
      <c r="N1180"/>
      <c r="O1180"/>
      <c r="P1180"/>
      <c r="Q1180"/>
      <c r="R1180"/>
      <c r="S1180"/>
      <c r="T1180"/>
      <c r="U1180"/>
      <c r="V1180"/>
      <c r="W1180"/>
      <c r="X1180"/>
      <c r="Y1180"/>
      <c r="Z1180"/>
      <c r="AA1180"/>
      <c r="AB1180"/>
      <c r="AC1180"/>
      <c r="AD1180"/>
      <c r="AE1180"/>
      <c r="AF1180"/>
      <c r="AG1180"/>
      <c r="AH1180"/>
      <c r="AI1180"/>
      <c r="AJ1180"/>
      <c r="AK1180"/>
      <c r="AL1180"/>
    </row>
    <row r="1181" spans="1:38" ht="12.75" outlineLevel="3" x14ac:dyDescent="0.2">
      <c r="A1181" s="82">
        <v>95</v>
      </c>
      <c r="B1181" s="82" t="s">
        <v>71</v>
      </c>
      <c r="C1181" s="82" t="s">
        <v>1775</v>
      </c>
      <c r="D1181" s="82" t="s">
        <v>405</v>
      </c>
      <c r="E1181" s="11" t="str">
        <f t="array" ref="E1181">_xlfn.XLOOKUP(D1181,Insumos!B:B,Insumos!C:$C)</f>
        <v>KG</v>
      </c>
      <c r="F1181" s="86">
        <v>0.54890000000000005</v>
      </c>
      <c r="G1181" s="92">
        <f t="array" ref="G1181">IF(B1181="insumo",_xlfn.XLOOKUP($D1181,Insumos!$B$1:$B$996,Insumos!$D$1:$D$996),"")</f>
        <v>3.43</v>
      </c>
      <c r="H1181" s="92">
        <v>1.882727</v>
      </c>
      <c r="I1181" s="84">
        <v>0</v>
      </c>
      <c r="J1181" s="84">
        <v>0</v>
      </c>
      <c r="K1181" s="84"/>
      <c r="L1181"/>
      <c r="M1181"/>
      <c r="N1181"/>
      <c r="O1181"/>
      <c r="P1181"/>
      <c r="Q1181"/>
      <c r="R1181"/>
      <c r="S1181"/>
      <c r="T1181"/>
      <c r="U1181"/>
      <c r="V1181"/>
      <c r="W1181"/>
      <c r="X1181"/>
      <c r="Y1181"/>
      <c r="Z1181"/>
      <c r="AA1181"/>
      <c r="AB1181"/>
      <c r="AC1181"/>
      <c r="AD1181"/>
      <c r="AE1181"/>
      <c r="AF1181"/>
      <c r="AG1181"/>
      <c r="AH1181"/>
      <c r="AI1181"/>
      <c r="AJ1181"/>
      <c r="AK1181"/>
      <c r="AL1181"/>
    </row>
    <row r="1182" spans="1:38" ht="12.75" outlineLevel="3" x14ac:dyDescent="0.2">
      <c r="A1182" s="82">
        <v>94</v>
      </c>
      <c r="B1182" s="82" t="s">
        <v>71</v>
      </c>
      <c r="C1182" s="82" t="s">
        <v>1775</v>
      </c>
      <c r="D1182" s="82" t="s">
        <v>412</v>
      </c>
      <c r="E1182" s="11" t="str">
        <f t="array" ref="E1182">_xlfn.XLOOKUP(D1182,Insumos!B:B,Insumos!C:$C)</f>
        <v>M</v>
      </c>
      <c r="F1182" s="86">
        <v>1.2513000000000001</v>
      </c>
      <c r="G1182" s="92">
        <f t="array" ref="G1182">IF(B1182="insumo",_xlfn.XLOOKUP($D1182,Insumos!$B$1:$B$996,Insumos!$D$1:$D$996),"")</f>
        <v>0.31</v>
      </c>
      <c r="H1182" s="92">
        <v>0.387903</v>
      </c>
      <c r="I1182" s="84">
        <v>0</v>
      </c>
      <c r="J1182" s="84">
        <v>0</v>
      </c>
      <c r="K1182" s="84"/>
      <c r="L1182"/>
      <c r="M1182"/>
      <c r="N1182"/>
      <c r="O1182"/>
      <c r="P1182"/>
      <c r="Q1182"/>
      <c r="R1182"/>
      <c r="S1182"/>
      <c r="T1182"/>
      <c r="U1182"/>
      <c r="V1182"/>
      <c r="W1182"/>
      <c r="X1182"/>
      <c r="Y1182"/>
      <c r="Z1182"/>
      <c r="AA1182"/>
      <c r="AB1182"/>
      <c r="AC1182"/>
      <c r="AD1182"/>
      <c r="AE1182"/>
      <c r="AF1182"/>
      <c r="AG1182"/>
      <c r="AH1182"/>
      <c r="AI1182"/>
      <c r="AJ1182"/>
      <c r="AK1182"/>
      <c r="AL1182"/>
    </row>
    <row r="1183" spans="1:38" ht="12.75" outlineLevel="3" x14ac:dyDescent="0.2">
      <c r="A1183" s="82">
        <v>94</v>
      </c>
      <c r="B1183" s="82" t="s">
        <v>71</v>
      </c>
      <c r="C1183" s="82" t="s">
        <v>1775</v>
      </c>
      <c r="D1183" s="82" t="s">
        <v>413</v>
      </c>
      <c r="E1183" s="11" t="str">
        <f t="array" ref="E1183">_xlfn.XLOOKUP(D1183,Insumos!B:B,Insumos!C:$C)</f>
        <v>M</v>
      </c>
      <c r="F1183" s="86">
        <v>0.74070000000000003</v>
      </c>
      <c r="G1183" s="92">
        <f t="array" ref="G1183">IF(B1183="insumo",_xlfn.XLOOKUP($D1183,Insumos!$B$1:$B$996,Insumos!$D$1:$D$996),"")</f>
        <v>2.74</v>
      </c>
      <c r="H1183" s="92">
        <v>2.0295179999999999</v>
      </c>
      <c r="I1183" s="84">
        <v>0</v>
      </c>
      <c r="J1183" s="84">
        <v>0</v>
      </c>
      <c r="K1183" s="84"/>
      <c r="L1183"/>
      <c r="M1183"/>
      <c r="N1183"/>
      <c r="O1183"/>
      <c r="P1183"/>
      <c r="Q1183"/>
      <c r="R1183"/>
      <c r="S1183"/>
      <c r="T1183"/>
      <c r="U1183"/>
      <c r="V1183"/>
      <c r="W1183"/>
      <c r="X1183"/>
      <c r="Y1183"/>
      <c r="Z1183"/>
      <c r="AA1183"/>
      <c r="AB1183"/>
      <c r="AC1183"/>
      <c r="AD1183"/>
      <c r="AE1183"/>
      <c r="AF1183"/>
      <c r="AG1183"/>
      <c r="AH1183"/>
      <c r="AI1183"/>
      <c r="AJ1183"/>
      <c r="AK1183"/>
      <c r="AL1183"/>
    </row>
    <row r="1184" spans="1:38" ht="12.75" outlineLevel="3" x14ac:dyDescent="0.2">
      <c r="A1184" s="82">
        <v>97</v>
      </c>
      <c r="B1184" s="82" t="s">
        <v>71</v>
      </c>
      <c r="C1184" s="82" t="s">
        <v>1775</v>
      </c>
      <c r="D1184" s="82" t="s">
        <v>414</v>
      </c>
      <c r="E1184" s="11" t="str">
        <f t="array" ref="E1184">_xlfn.XLOOKUP(D1184,Insumos!B:B,Insumos!C:$C)</f>
        <v>UN</v>
      </c>
      <c r="F1184" s="86">
        <v>10.093400000000001</v>
      </c>
      <c r="G1184" s="92">
        <f t="array" ref="G1184">IF(B1184="insumo",_xlfn.XLOOKUP($D1184,Insumos!$B$1:$B$996,Insumos!$D$1:$D$996),"")</f>
        <v>0.09</v>
      </c>
      <c r="H1184" s="92">
        <v>0.90840600000000005</v>
      </c>
      <c r="I1184" s="84">
        <v>0</v>
      </c>
      <c r="J1184" s="84">
        <v>0</v>
      </c>
      <c r="K1184" s="84"/>
      <c r="L1184"/>
      <c r="M1184"/>
      <c r="N1184"/>
      <c r="O1184"/>
      <c r="P1184"/>
      <c r="Q1184"/>
      <c r="R1184"/>
      <c r="S1184"/>
      <c r="T1184"/>
      <c r="U1184"/>
      <c r="V1184"/>
      <c r="W1184"/>
      <c r="X1184"/>
      <c r="Y1184"/>
      <c r="Z1184"/>
      <c r="AA1184"/>
      <c r="AB1184"/>
      <c r="AC1184"/>
      <c r="AD1184"/>
      <c r="AE1184"/>
      <c r="AF1184"/>
      <c r="AG1184"/>
      <c r="AH1184"/>
      <c r="AI1184"/>
      <c r="AJ1184"/>
      <c r="AK1184"/>
      <c r="AL1184"/>
    </row>
    <row r="1185" spans="1:38" ht="12.75" outlineLevel="3" x14ac:dyDescent="0.2">
      <c r="A1185" s="82">
        <v>95</v>
      </c>
      <c r="B1185" s="82" t="s">
        <v>71</v>
      </c>
      <c r="C1185" s="82" t="s">
        <v>1775</v>
      </c>
      <c r="D1185" s="82" t="s">
        <v>415</v>
      </c>
      <c r="E1185" s="11" t="str">
        <f t="array" ref="E1185">_xlfn.XLOOKUP(D1185,Insumos!B:B,Insumos!C:$C)</f>
        <v>UN</v>
      </c>
      <c r="F1185" s="86">
        <v>0.4803</v>
      </c>
      <c r="G1185" s="92">
        <f t="array" ref="G1185">IF(B1185="insumo",_xlfn.XLOOKUP($D1185,Insumos!$B$1:$B$996,Insumos!$D$1:$D$996),"")</f>
        <v>0.2</v>
      </c>
      <c r="H1185" s="92">
        <v>9.6060000000000006E-2</v>
      </c>
      <c r="I1185" s="84">
        <v>0</v>
      </c>
      <c r="J1185" s="84">
        <v>0</v>
      </c>
      <c r="K1185" s="84"/>
      <c r="L1185"/>
      <c r="M1185"/>
      <c r="N1185"/>
      <c r="O1185"/>
      <c r="P1185"/>
      <c r="Q1185"/>
      <c r="R1185"/>
      <c r="S1185"/>
      <c r="T1185"/>
      <c r="U1185"/>
      <c r="V1185"/>
      <c r="W1185"/>
      <c r="X1185"/>
      <c r="Y1185"/>
      <c r="Z1185"/>
      <c r="AA1185"/>
      <c r="AB1185"/>
      <c r="AC1185"/>
      <c r="AD1185"/>
      <c r="AE1185"/>
      <c r="AF1185"/>
      <c r="AG1185"/>
      <c r="AH1185"/>
      <c r="AI1185"/>
      <c r="AJ1185"/>
      <c r="AK1185"/>
      <c r="AL1185"/>
    </row>
    <row r="1186" spans="1:38" ht="15.75" customHeight="1" outlineLevel="2" x14ac:dyDescent="0.2">
      <c r="A1186" s="1067">
        <v>1</v>
      </c>
      <c r="B1186" s="1067" t="s">
        <v>68</v>
      </c>
      <c r="C1186" s="1067" t="s">
        <v>406</v>
      </c>
      <c r="D1186" s="1067" t="s">
        <v>406</v>
      </c>
      <c r="E1186" s="1068" t="s">
        <v>70</v>
      </c>
      <c r="F1186" s="1067"/>
      <c r="G1186" s="1069" t="str">
        <f t="array" ref="G1186">IF(B1186="insumo",_xlfn.XLOOKUP($D1186,Insumos!$B$1:$B$996,Insumos!$D$1:$D$996),"")</f>
        <v/>
      </c>
      <c r="H1186" s="1069">
        <v>199.68661633333301</v>
      </c>
      <c r="I1186" s="1070">
        <v>0</v>
      </c>
      <c r="J1186" s="1070">
        <v>0</v>
      </c>
      <c r="K1186" s="1070"/>
      <c r="L1186"/>
      <c r="M1186"/>
      <c r="N1186"/>
      <c r="O1186"/>
      <c r="P1186"/>
      <c r="Q1186"/>
      <c r="R1186"/>
      <c r="S1186"/>
      <c r="T1186"/>
      <c r="U1186"/>
      <c r="V1186"/>
      <c r="W1186"/>
      <c r="X1186"/>
      <c r="Y1186"/>
      <c r="Z1186"/>
      <c r="AA1186"/>
      <c r="AB1186"/>
      <c r="AC1186"/>
      <c r="AD1186"/>
      <c r="AE1186"/>
      <c r="AF1186"/>
      <c r="AG1186"/>
      <c r="AH1186"/>
      <c r="AI1186"/>
      <c r="AJ1186"/>
      <c r="AK1186"/>
      <c r="AL1186"/>
    </row>
    <row r="1187" spans="1:38" ht="15.75" customHeight="1" outlineLevel="3" x14ac:dyDescent="0.2">
      <c r="A1187" s="10">
        <v>86</v>
      </c>
      <c r="B1187" s="10" t="s">
        <v>71</v>
      </c>
      <c r="C1187" s="10" t="s">
        <v>406</v>
      </c>
      <c r="D1187" s="10" t="s">
        <v>407</v>
      </c>
      <c r="E1187" s="11" t="str">
        <f t="array" ref="E1187">_xlfn.XLOOKUP(D1187,Insumos!B:B,Insumos!C:$C)</f>
        <v>M2</v>
      </c>
      <c r="F1187" s="14">
        <v>1</v>
      </c>
      <c r="G1187" s="92">
        <f t="array" ref="G1187">IF(B1187="insumo",_xlfn.XLOOKUP($D1187,Insumos!$B$1:$B$996,Insumos!$D$1:$D$996),"")</f>
        <v>70</v>
      </c>
      <c r="H1187" s="92">
        <v>70</v>
      </c>
      <c r="I1187" s="13">
        <v>0</v>
      </c>
      <c r="J1187" s="13">
        <v>0</v>
      </c>
      <c r="K1187" s="13"/>
      <c r="L1187"/>
      <c r="M1187"/>
      <c r="N1187"/>
      <c r="O1187"/>
      <c r="P1187"/>
      <c r="Q1187"/>
      <c r="R1187"/>
      <c r="S1187"/>
      <c r="T1187"/>
      <c r="U1187"/>
      <c r="V1187"/>
      <c r="W1187"/>
      <c r="X1187"/>
      <c r="Y1187"/>
      <c r="Z1187"/>
      <c r="AA1187"/>
      <c r="AB1187"/>
      <c r="AC1187"/>
      <c r="AD1187"/>
      <c r="AE1187"/>
      <c r="AF1187"/>
      <c r="AG1187"/>
      <c r="AH1187"/>
      <c r="AI1187"/>
      <c r="AJ1187"/>
      <c r="AK1187"/>
      <c r="AL1187"/>
    </row>
    <row r="1188" spans="1:38" ht="15.75" customHeight="1" outlineLevel="3" x14ac:dyDescent="0.2">
      <c r="A1188" s="10">
        <v>47</v>
      </c>
      <c r="B1188" s="10" t="s">
        <v>71</v>
      </c>
      <c r="C1188" s="10" t="s">
        <v>406</v>
      </c>
      <c r="D1188" s="10" t="s">
        <v>408</v>
      </c>
      <c r="E1188" s="11" t="str">
        <f t="array" ref="E1188">_xlfn.XLOOKUP(D1188,Insumos!B:B,Insumos!C:$C)</f>
        <v>M2</v>
      </c>
      <c r="F1188" s="14">
        <v>2.1059999999999999</v>
      </c>
      <c r="G1188" s="92">
        <f t="array" ref="G1188">IF(B1188="insumo",_xlfn.XLOOKUP($D1188,Insumos!$B$1:$B$996,Insumos!$D$1:$D$996),"")</f>
        <v>20.16</v>
      </c>
      <c r="H1188" s="92">
        <v>42.456960000000002</v>
      </c>
      <c r="I1188" s="13">
        <v>0</v>
      </c>
      <c r="J1188" s="13">
        <v>0</v>
      </c>
      <c r="K1188" s="13"/>
      <c r="L1188"/>
      <c r="M1188"/>
      <c r="N1188"/>
      <c r="O1188"/>
      <c r="P1188"/>
      <c r="Q1188"/>
      <c r="R1188"/>
      <c r="S1188"/>
      <c r="T1188"/>
      <c r="U1188"/>
      <c r="V1188"/>
      <c r="W1188"/>
      <c r="X1188"/>
      <c r="Y1188"/>
      <c r="Z1188"/>
      <c r="AA1188"/>
      <c r="AB1188"/>
      <c r="AC1188"/>
      <c r="AD1188"/>
      <c r="AE1188"/>
      <c r="AF1188"/>
      <c r="AG1188"/>
      <c r="AH1188"/>
      <c r="AI1188"/>
      <c r="AJ1188"/>
      <c r="AK1188"/>
      <c r="AL1188"/>
    </row>
    <row r="1189" spans="1:38" ht="15.75" customHeight="1" outlineLevel="3" x14ac:dyDescent="0.2">
      <c r="A1189" s="10">
        <v>95</v>
      </c>
      <c r="B1189" s="10" t="s">
        <v>71</v>
      </c>
      <c r="C1189" s="10" t="s">
        <v>406</v>
      </c>
      <c r="D1189" s="10" t="s">
        <v>409</v>
      </c>
      <c r="E1189" s="11" t="str">
        <f t="array" ref="E1189">_xlfn.XLOOKUP(D1189,Insumos!B:B,Insumos!C:$C)</f>
        <v>UN</v>
      </c>
      <c r="F1189" s="14">
        <v>5.92</v>
      </c>
      <c r="G1189" s="92">
        <f t="array" ref="G1189">IF(B1189="insumo",_xlfn.XLOOKUP($D1189,Insumos!$B$1:$B$996,Insumos!$D$1:$D$996),"")</f>
        <v>0.504</v>
      </c>
      <c r="H1189" s="92">
        <v>2.9836800000000001</v>
      </c>
      <c r="I1189" s="13">
        <v>0</v>
      </c>
      <c r="J1189" s="13">
        <v>0</v>
      </c>
      <c r="K1189" s="13"/>
      <c r="L1189"/>
      <c r="M1189"/>
      <c r="N1189"/>
      <c r="O1189"/>
      <c r="P1189"/>
      <c r="Q1189"/>
      <c r="R1189"/>
      <c r="S1189"/>
      <c r="T1189"/>
      <c r="U1189"/>
      <c r="V1189"/>
      <c r="W1189"/>
      <c r="X1189"/>
      <c r="Y1189"/>
      <c r="Z1189"/>
      <c r="AA1189"/>
      <c r="AB1189"/>
      <c r="AC1189"/>
      <c r="AD1189"/>
      <c r="AE1189"/>
      <c r="AF1189"/>
      <c r="AG1189"/>
      <c r="AH1189"/>
      <c r="AI1189"/>
      <c r="AJ1189"/>
      <c r="AK1189"/>
      <c r="AL1189"/>
    </row>
    <row r="1190" spans="1:38" ht="15.75" customHeight="1" outlineLevel="3" x14ac:dyDescent="0.2">
      <c r="A1190" s="10">
        <v>26</v>
      </c>
      <c r="B1190" s="10" t="s">
        <v>71</v>
      </c>
      <c r="C1190" s="10" t="s">
        <v>406</v>
      </c>
      <c r="D1190" s="10" t="s">
        <v>410</v>
      </c>
      <c r="E1190" s="11" t="str">
        <f t="array" ref="E1190">_xlfn.XLOOKUP(D1190,Insumos!B:B,Insumos!C:$C)</f>
        <v>M</v>
      </c>
      <c r="F1190" s="14">
        <v>1.8233999999999999</v>
      </c>
      <c r="G1190" s="92">
        <f t="array" ref="G1190">IF(B1190="insumo",_xlfn.XLOOKUP($D1190,Insumos!$B$1:$B$996,Insumos!$D$1:$D$996),"")</f>
        <v>7.03</v>
      </c>
      <c r="H1190" s="92">
        <v>12.818502000000001</v>
      </c>
      <c r="I1190" s="13">
        <v>0</v>
      </c>
      <c r="J1190" s="13">
        <v>0</v>
      </c>
      <c r="K1190" s="13"/>
      <c r="L1190"/>
      <c r="M1190"/>
      <c r="N1190"/>
      <c r="O1190"/>
      <c r="P1190"/>
      <c r="Q1190"/>
      <c r="R1190"/>
      <c r="S1190"/>
      <c r="T1190"/>
      <c r="U1190"/>
      <c r="V1190"/>
      <c r="W1190"/>
      <c r="X1190"/>
      <c r="Y1190"/>
      <c r="Z1190"/>
      <c r="AA1190"/>
      <c r="AB1190"/>
      <c r="AC1190"/>
      <c r="AD1190"/>
      <c r="AE1190"/>
      <c r="AF1190"/>
      <c r="AG1190"/>
      <c r="AH1190"/>
      <c r="AI1190"/>
      <c r="AJ1190"/>
      <c r="AK1190"/>
      <c r="AL1190"/>
    </row>
    <row r="1191" spans="1:38" ht="15.75" customHeight="1" outlineLevel="3" x14ac:dyDescent="0.2">
      <c r="A1191" s="10">
        <v>26</v>
      </c>
      <c r="B1191" s="10" t="s">
        <v>71</v>
      </c>
      <c r="C1191" s="10" t="s">
        <v>406</v>
      </c>
      <c r="D1191" s="10" t="s">
        <v>411</v>
      </c>
      <c r="E1191" s="11" t="str">
        <f t="array" ref="E1191">_xlfn.XLOOKUP(D1191,Insumos!B:B,Insumos!C:$C)</f>
        <v>M</v>
      </c>
      <c r="F1191" s="14">
        <v>5.8277999999999999</v>
      </c>
      <c r="G1191" s="92">
        <f t="array" ref="G1191">IF(B1191="insumo",_xlfn.XLOOKUP($D1191,Insumos!$B$1:$B$996,Insumos!$D$1:$D$996),"")</f>
        <v>7.98</v>
      </c>
      <c r="H1191" s="92">
        <v>46.505844000000003</v>
      </c>
      <c r="I1191" s="13">
        <v>0</v>
      </c>
      <c r="J1191" s="13">
        <v>0</v>
      </c>
      <c r="K1191" s="13"/>
      <c r="L1191"/>
      <c r="M1191"/>
      <c r="N1191"/>
      <c r="O1191"/>
      <c r="P1191"/>
      <c r="Q1191"/>
      <c r="R1191"/>
      <c r="S1191"/>
      <c r="T1191"/>
      <c r="U1191"/>
      <c r="V1191"/>
      <c r="W1191"/>
      <c r="X1191"/>
      <c r="Y1191"/>
      <c r="Z1191"/>
      <c r="AA1191"/>
      <c r="AB1191"/>
      <c r="AC1191"/>
      <c r="AD1191"/>
      <c r="AE1191"/>
      <c r="AF1191"/>
      <c r="AG1191"/>
      <c r="AH1191"/>
      <c r="AI1191"/>
      <c r="AJ1191"/>
      <c r="AK1191"/>
      <c r="AL1191"/>
    </row>
    <row r="1192" spans="1:38" ht="15.75" customHeight="1" outlineLevel="3" x14ac:dyDescent="0.2">
      <c r="A1192" s="10">
        <v>95</v>
      </c>
      <c r="B1192" s="10" t="s">
        <v>71</v>
      </c>
      <c r="C1192" s="10" t="s">
        <v>406</v>
      </c>
      <c r="D1192" s="10" t="s">
        <v>405</v>
      </c>
      <c r="E1192" s="11" t="str">
        <f t="array" ref="E1192">_xlfn.XLOOKUP(D1192,Insumos!B:B,Insumos!C:$C)</f>
        <v>KG</v>
      </c>
      <c r="F1192" s="14">
        <v>1.0978000000000001</v>
      </c>
      <c r="G1192" s="92">
        <f t="array" ref="G1192">IF(B1192="insumo",_xlfn.XLOOKUP($D1192,Insumos!$B$1:$B$996,Insumos!$D$1:$D$996),"")</f>
        <v>3.43</v>
      </c>
      <c r="H1192" s="92">
        <v>3.7654540000000001</v>
      </c>
      <c r="I1192" s="13">
        <v>0</v>
      </c>
      <c r="J1192" s="13">
        <v>0</v>
      </c>
      <c r="K1192" s="13"/>
      <c r="L1192"/>
      <c r="M1192"/>
      <c r="N1192"/>
      <c r="O1192"/>
      <c r="P1192"/>
      <c r="Q1192"/>
      <c r="R1192"/>
      <c r="S1192"/>
      <c r="T1192"/>
      <c r="U1192"/>
      <c r="V1192"/>
      <c r="W1192"/>
      <c r="X1192"/>
      <c r="Y1192"/>
      <c r="Z1192"/>
      <c r="AA1192"/>
      <c r="AB1192"/>
      <c r="AC1192"/>
      <c r="AD1192"/>
      <c r="AE1192"/>
      <c r="AF1192"/>
      <c r="AG1192"/>
      <c r="AH1192"/>
      <c r="AI1192"/>
      <c r="AJ1192"/>
      <c r="AK1192"/>
      <c r="AL1192"/>
    </row>
    <row r="1193" spans="1:38" ht="15.75" customHeight="1" outlineLevel="3" x14ac:dyDescent="0.2">
      <c r="A1193" s="10">
        <v>94</v>
      </c>
      <c r="B1193" s="10" t="s">
        <v>71</v>
      </c>
      <c r="C1193" s="10" t="s">
        <v>406</v>
      </c>
      <c r="D1193" s="10" t="s">
        <v>412</v>
      </c>
      <c r="E1193" s="11" t="str">
        <f t="array" ref="E1193">_xlfn.XLOOKUP(D1193,Insumos!B:B,Insumos!C:$C)</f>
        <v>M</v>
      </c>
      <c r="F1193" s="14">
        <v>2.5026999999999999</v>
      </c>
      <c r="G1193" s="92">
        <f t="array" ref="G1193">IF(B1193="insumo",_xlfn.XLOOKUP($D1193,Insumos!$B$1:$B$996,Insumos!$D$1:$D$996),"")</f>
        <v>0.31</v>
      </c>
      <c r="H1193" s="92">
        <v>0.775837</v>
      </c>
      <c r="I1193" s="13">
        <v>0</v>
      </c>
      <c r="J1193" s="13">
        <v>0</v>
      </c>
      <c r="K1193" s="13"/>
      <c r="L1193"/>
      <c r="M1193"/>
      <c r="N1193"/>
      <c r="O1193"/>
      <c r="P1193"/>
      <c r="Q1193"/>
      <c r="R1193"/>
      <c r="S1193"/>
      <c r="T1193"/>
      <c r="U1193"/>
      <c r="V1193"/>
      <c r="W1193"/>
      <c r="X1193"/>
      <c r="Y1193"/>
      <c r="Z1193"/>
      <c r="AA1193"/>
      <c r="AB1193"/>
      <c r="AC1193"/>
      <c r="AD1193"/>
      <c r="AE1193"/>
      <c r="AF1193"/>
      <c r="AG1193"/>
      <c r="AH1193"/>
      <c r="AI1193"/>
      <c r="AJ1193"/>
      <c r="AK1193"/>
      <c r="AL1193"/>
    </row>
    <row r="1194" spans="1:38" ht="15.75" customHeight="1" outlineLevel="3" x14ac:dyDescent="0.2">
      <c r="A1194" s="10">
        <v>94</v>
      </c>
      <c r="B1194" s="10" t="s">
        <v>71</v>
      </c>
      <c r="C1194" s="10" t="s">
        <v>406</v>
      </c>
      <c r="D1194" s="10" t="s">
        <v>413</v>
      </c>
      <c r="E1194" s="11" t="str">
        <f t="array" ref="E1194">_xlfn.XLOOKUP(D1194,Insumos!B:B,Insumos!C:$C)</f>
        <v>M</v>
      </c>
      <c r="F1194" s="14">
        <v>1.5851</v>
      </c>
      <c r="G1194" s="92">
        <f t="array" ref="G1194">IF(B1194="insumo",_xlfn.XLOOKUP($D1194,Insumos!$B$1:$B$996,Insumos!$D$1:$D$996),"")</f>
        <v>2.74</v>
      </c>
      <c r="H1194" s="92">
        <v>4.3431740000000003</v>
      </c>
      <c r="I1194" s="13">
        <v>0</v>
      </c>
      <c r="J1194" s="13">
        <v>0</v>
      </c>
      <c r="K1194" s="13"/>
      <c r="L1194"/>
      <c r="M1194"/>
      <c r="N1194"/>
      <c r="O1194"/>
      <c r="P1194"/>
      <c r="Q1194"/>
      <c r="R1194"/>
      <c r="S1194"/>
      <c r="T1194"/>
      <c r="U1194"/>
      <c r="V1194"/>
      <c r="W1194"/>
      <c r="X1194"/>
      <c r="Y1194"/>
      <c r="Z1194"/>
      <c r="AA1194"/>
      <c r="AB1194"/>
      <c r="AC1194"/>
      <c r="AD1194"/>
      <c r="AE1194"/>
      <c r="AF1194"/>
      <c r="AG1194"/>
      <c r="AH1194"/>
      <c r="AI1194"/>
      <c r="AJ1194"/>
      <c r="AK1194"/>
      <c r="AL1194"/>
    </row>
    <row r="1195" spans="1:38" ht="15.75" customHeight="1" outlineLevel="3" x14ac:dyDescent="0.2">
      <c r="A1195" s="10">
        <v>97</v>
      </c>
      <c r="B1195" s="10" t="s">
        <v>71</v>
      </c>
      <c r="C1195" s="10" t="s">
        <v>406</v>
      </c>
      <c r="D1195" s="10" t="s">
        <v>414</v>
      </c>
      <c r="E1195" s="11" t="str">
        <f t="array" ref="E1195">_xlfn.XLOOKUP(D1195,Insumos!B:B,Insumos!C:$C)</f>
        <v>UN</v>
      </c>
      <c r="F1195" s="14">
        <v>20.186800000000002</v>
      </c>
      <c r="G1195" s="92">
        <f t="array" ref="G1195">IF(B1195="insumo",_xlfn.XLOOKUP($D1195,Insumos!$B$1:$B$996,Insumos!$D$1:$D$996),"")</f>
        <v>0.09</v>
      </c>
      <c r="H1195" s="92">
        <v>1.8168120000000001</v>
      </c>
      <c r="I1195" s="13">
        <v>0</v>
      </c>
      <c r="J1195" s="13">
        <v>0</v>
      </c>
      <c r="K1195" s="13"/>
      <c r="L1195"/>
      <c r="M1195"/>
      <c r="N1195"/>
      <c r="O1195"/>
      <c r="P1195"/>
      <c r="Q1195"/>
      <c r="R1195"/>
      <c r="S1195"/>
      <c r="T1195"/>
      <c r="U1195"/>
      <c r="V1195"/>
      <c r="W1195"/>
      <c r="X1195"/>
      <c r="Y1195"/>
      <c r="Z1195"/>
      <c r="AA1195"/>
      <c r="AB1195"/>
      <c r="AC1195"/>
      <c r="AD1195"/>
      <c r="AE1195"/>
      <c r="AF1195"/>
      <c r="AG1195"/>
      <c r="AH1195"/>
      <c r="AI1195"/>
      <c r="AJ1195"/>
      <c r="AK1195"/>
      <c r="AL1195"/>
    </row>
    <row r="1196" spans="1:38" ht="15.75" customHeight="1" outlineLevel="3" x14ac:dyDescent="0.2">
      <c r="A1196" s="10">
        <v>95</v>
      </c>
      <c r="B1196" s="10" t="s">
        <v>71</v>
      </c>
      <c r="C1196" s="10" t="s">
        <v>406</v>
      </c>
      <c r="D1196" s="10" t="s">
        <v>415</v>
      </c>
      <c r="E1196" s="11" t="str">
        <f t="array" ref="E1196">_xlfn.XLOOKUP(D1196,Insumos!B:B,Insumos!C:$C)</f>
        <v>UN</v>
      </c>
      <c r="F1196" s="14">
        <v>0.54410000000000003</v>
      </c>
      <c r="G1196" s="92">
        <f t="array" ref="G1196">IF(B1196="insumo",_xlfn.XLOOKUP($D1196,Insumos!$B$1:$B$996,Insumos!$D$1:$D$996),"")</f>
        <v>0.2</v>
      </c>
      <c r="H1196" s="92">
        <v>0.10882</v>
      </c>
      <c r="I1196" s="13">
        <v>0</v>
      </c>
      <c r="J1196" s="13">
        <v>0</v>
      </c>
      <c r="K1196" s="13"/>
      <c r="L1196"/>
      <c r="M1196"/>
      <c r="N1196"/>
      <c r="O1196"/>
      <c r="P1196"/>
      <c r="Q1196"/>
      <c r="R1196"/>
      <c r="S1196"/>
      <c r="T1196"/>
      <c r="U1196"/>
      <c r="V1196"/>
      <c r="W1196"/>
      <c r="X1196"/>
      <c r="Y1196"/>
      <c r="Z1196"/>
      <c r="AA1196"/>
      <c r="AB1196"/>
      <c r="AC1196"/>
      <c r="AD1196"/>
      <c r="AE1196"/>
      <c r="AF1196"/>
      <c r="AG1196"/>
      <c r="AH1196"/>
      <c r="AI1196"/>
      <c r="AJ1196"/>
      <c r="AK1196"/>
      <c r="AL1196"/>
    </row>
    <row r="1197" spans="1:38" ht="15.75" customHeight="1" outlineLevel="3" x14ac:dyDescent="0.2">
      <c r="A1197" s="10">
        <v>5</v>
      </c>
      <c r="B1197" s="10" t="s">
        <v>71</v>
      </c>
      <c r="C1197" s="10" t="s">
        <v>406</v>
      </c>
      <c r="D1197" s="10" t="s">
        <v>416</v>
      </c>
      <c r="E1197" s="11" t="str">
        <f t="array" ref="E1197">_xlfn.XLOOKUP(D1197,Insumos!B:B,Insumos!C:$C)</f>
        <v>M2</v>
      </c>
      <c r="F1197" s="14">
        <v>1.1000000000000001</v>
      </c>
      <c r="G1197" s="92">
        <f t="array" ref="G1197">IF(B1197="insumo",_xlfn.XLOOKUP($D1197,Insumos!$B$1:$B$996,Insumos!$D$1:$D$996),"")</f>
        <v>12.828666666666667</v>
      </c>
      <c r="H1197" s="92">
        <v>14.1115333333333</v>
      </c>
      <c r="I1197" s="13">
        <v>0</v>
      </c>
      <c r="J1197" s="13">
        <v>0</v>
      </c>
      <c r="K1197" s="13"/>
      <c r="L1197"/>
      <c r="M1197"/>
      <c r="N1197"/>
      <c r="O1197"/>
      <c r="P1197"/>
      <c r="Q1197"/>
      <c r="R1197"/>
      <c r="S1197"/>
      <c r="T1197"/>
      <c r="U1197"/>
      <c r="V1197"/>
      <c r="W1197"/>
      <c r="X1197"/>
      <c r="Y1197"/>
      <c r="Z1197"/>
      <c r="AA1197"/>
      <c r="AB1197"/>
      <c r="AC1197"/>
      <c r="AD1197"/>
      <c r="AE1197"/>
      <c r="AF1197"/>
      <c r="AG1197"/>
      <c r="AH1197"/>
      <c r="AI1197"/>
      <c r="AJ1197"/>
      <c r="AK1197"/>
      <c r="AL1197"/>
    </row>
    <row r="1198" spans="1:38" ht="12.75" outlineLevel="2" x14ac:dyDescent="0.2">
      <c r="A1198" s="1071">
        <v>2</v>
      </c>
      <c r="B1198" s="1071" t="s">
        <v>68</v>
      </c>
      <c r="C1198" s="1071" t="s">
        <v>1775</v>
      </c>
      <c r="D1198" s="1071" t="s">
        <v>1775</v>
      </c>
      <c r="E1198" s="1072" t="s">
        <v>70</v>
      </c>
      <c r="F1198" s="1071"/>
      <c r="G1198" s="1073" t="str">
        <f t="array" ref="G1198">IF(B1198="insumo",_xlfn.XLOOKUP($D1198,Insumos!$B$1:$B$996,Insumos!$D$1:$D$996),"")</f>
        <v/>
      </c>
      <c r="H1198" s="1073">
        <v>119.107474</v>
      </c>
      <c r="I1198" s="1074">
        <v>0</v>
      </c>
      <c r="J1198" s="1074">
        <v>0</v>
      </c>
      <c r="K1198" s="1074"/>
      <c r="L1198"/>
      <c r="M1198"/>
      <c r="N1198"/>
      <c r="O1198"/>
      <c r="P1198"/>
      <c r="Q1198"/>
      <c r="R1198"/>
      <c r="S1198"/>
      <c r="T1198"/>
      <c r="U1198"/>
      <c r="V1198"/>
      <c r="W1198"/>
      <c r="X1198"/>
      <c r="Y1198"/>
      <c r="Z1198"/>
      <c r="AA1198"/>
      <c r="AB1198"/>
      <c r="AC1198"/>
      <c r="AD1198"/>
      <c r="AE1198"/>
      <c r="AF1198"/>
      <c r="AG1198"/>
      <c r="AH1198"/>
      <c r="AI1198"/>
      <c r="AJ1198"/>
      <c r="AK1198"/>
      <c r="AL1198"/>
    </row>
    <row r="1199" spans="1:38" ht="12.75" outlineLevel="3" x14ac:dyDescent="0.2">
      <c r="A1199" s="82">
        <v>86</v>
      </c>
      <c r="B1199" s="82" t="s">
        <v>71</v>
      </c>
      <c r="C1199" s="82" t="s">
        <v>1775</v>
      </c>
      <c r="D1199" s="82" t="s">
        <v>407</v>
      </c>
      <c r="E1199" s="11" t="str">
        <f t="array" ref="E1199">_xlfn.XLOOKUP(D1199,Insumos!B:B,Insumos!C:$C)</f>
        <v>M2</v>
      </c>
      <c r="F1199" s="86">
        <v>1</v>
      </c>
      <c r="G1199" s="92">
        <f t="array" ref="G1199">IF(B1199="insumo",_xlfn.XLOOKUP($D1199,Insumos!$B$1:$B$996,Insumos!$D$1:$D$996),"")</f>
        <v>70</v>
      </c>
      <c r="H1199" s="92">
        <v>70</v>
      </c>
      <c r="I1199" s="84">
        <v>0</v>
      </c>
      <c r="J1199" s="84">
        <v>0</v>
      </c>
      <c r="K1199" s="84"/>
      <c r="L1199"/>
      <c r="M1199"/>
      <c r="N1199"/>
      <c r="O1199"/>
      <c r="P1199"/>
      <c r="Q1199"/>
      <c r="R1199"/>
      <c r="S1199"/>
      <c r="T1199"/>
      <c r="U1199"/>
      <c r="V1199"/>
      <c r="W1199"/>
      <c r="X1199"/>
      <c r="Y1199"/>
      <c r="Z1199"/>
      <c r="AA1199"/>
      <c r="AB1199"/>
      <c r="AC1199"/>
      <c r="AD1199"/>
      <c r="AE1199"/>
      <c r="AF1199"/>
      <c r="AG1199"/>
      <c r="AH1199"/>
      <c r="AI1199"/>
      <c r="AJ1199"/>
      <c r="AK1199"/>
      <c r="AL1199"/>
    </row>
    <row r="1200" spans="1:38" ht="12.75" outlineLevel="3" x14ac:dyDescent="0.2">
      <c r="A1200" s="82">
        <v>47</v>
      </c>
      <c r="B1200" s="82" t="s">
        <v>71</v>
      </c>
      <c r="C1200" s="82" t="s">
        <v>1775</v>
      </c>
      <c r="D1200" s="82" t="s">
        <v>408</v>
      </c>
      <c r="E1200" s="11" t="str">
        <f t="array" ref="E1200">_xlfn.XLOOKUP(D1200,Insumos!B:B,Insumos!C:$C)</f>
        <v>M2</v>
      </c>
      <c r="F1200" s="86">
        <v>1.0529999999999999</v>
      </c>
      <c r="G1200" s="92">
        <f t="array" ref="G1200">IF(B1200="insumo",_xlfn.XLOOKUP($D1200,Insumos!$B$1:$B$996,Insumos!$D$1:$D$996),"")</f>
        <v>20.16</v>
      </c>
      <c r="H1200" s="92">
        <v>21.228480000000001</v>
      </c>
      <c r="I1200" s="84">
        <v>0</v>
      </c>
      <c r="J1200" s="84">
        <v>0</v>
      </c>
      <c r="K1200" s="84"/>
      <c r="L1200"/>
      <c r="M1200"/>
      <c r="N1200"/>
      <c r="O1200"/>
      <c r="P1200"/>
      <c r="Q1200"/>
      <c r="R1200"/>
      <c r="S1200"/>
      <c r="T1200"/>
      <c r="U1200"/>
      <c r="V1200"/>
      <c r="W1200"/>
      <c r="X1200"/>
      <c r="Y1200"/>
      <c r="Z1200"/>
      <c r="AA1200"/>
      <c r="AB1200"/>
      <c r="AC1200"/>
      <c r="AD1200"/>
      <c r="AE1200"/>
      <c r="AF1200"/>
      <c r="AG1200"/>
      <c r="AH1200"/>
      <c r="AI1200"/>
      <c r="AJ1200"/>
      <c r="AK1200"/>
      <c r="AL1200"/>
    </row>
    <row r="1201" spans="1:38" ht="12.75" outlineLevel="3" x14ac:dyDescent="0.2">
      <c r="A1201" s="82">
        <v>95</v>
      </c>
      <c r="B1201" s="82" t="s">
        <v>71</v>
      </c>
      <c r="C1201" s="82" t="s">
        <v>1775</v>
      </c>
      <c r="D1201" s="82" t="s">
        <v>409</v>
      </c>
      <c r="E1201" s="11" t="str">
        <f t="array" ref="E1201">_xlfn.XLOOKUP(D1201,Insumos!B:B,Insumos!C:$C)</f>
        <v>UN</v>
      </c>
      <c r="F1201" s="86">
        <v>2.48</v>
      </c>
      <c r="G1201" s="92">
        <f t="array" ref="G1201">IF(B1201="insumo",_xlfn.XLOOKUP($D1201,Insumos!$B$1:$B$996,Insumos!$D$1:$D$996),"")</f>
        <v>0.504</v>
      </c>
      <c r="H1201" s="92">
        <v>1.2499199999999999</v>
      </c>
      <c r="I1201" s="84">
        <v>0</v>
      </c>
      <c r="J1201" s="84">
        <v>0</v>
      </c>
      <c r="K1201" s="84"/>
      <c r="L1201"/>
      <c r="M1201"/>
      <c r="N1201"/>
      <c r="O1201"/>
      <c r="P1201"/>
      <c r="Q1201"/>
      <c r="R1201"/>
      <c r="S1201"/>
      <c r="T1201"/>
      <c r="U1201"/>
      <c r="V1201"/>
      <c r="W1201"/>
      <c r="X1201"/>
      <c r="Y1201"/>
      <c r="Z1201"/>
      <c r="AA1201"/>
      <c r="AB1201"/>
      <c r="AC1201"/>
      <c r="AD1201"/>
      <c r="AE1201"/>
      <c r="AF1201"/>
      <c r="AG1201"/>
      <c r="AH1201"/>
      <c r="AI1201"/>
      <c r="AJ1201"/>
      <c r="AK1201"/>
      <c r="AL1201"/>
    </row>
    <row r="1202" spans="1:38" ht="12.75" outlineLevel="3" x14ac:dyDescent="0.2">
      <c r="A1202" s="82">
        <v>26</v>
      </c>
      <c r="B1202" s="82" t="s">
        <v>71</v>
      </c>
      <c r="C1202" s="82" t="s">
        <v>1775</v>
      </c>
      <c r="D1202" s="82" t="s">
        <v>410</v>
      </c>
      <c r="E1202" s="11" t="str">
        <f t="array" ref="E1202">_xlfn.XLOOKUP(D1202,Insumos!B:B,Insumos!C:$C)</f>
        <v>M</v>
      </c>
      <c r="F1202" s="86">
        <v>0.76239999999999997</v>
      </c>
      <c r="G1202" s="92">
        <f t="array" ref="G1202">IF(B1202="insumo",_xlfn.XLOOKUP($D1202,Insumos!$B$1:$B$996,Insumos!$D$1:$D$996),"")</f>
        <v>7.03</v>
      </c>
      <c r="H1202" s="92">
        <v>5.3596719999999998</v>
      </c>
      <c r="I1202" s="84">
        <v>0</v>
      </c>
      <c r="J1202" s="84">
        <v>0</v>
      </c>
      <c r="K1202" s="84"/>
      <c r="L1202"/>
      <c r="M1202"/>
      <c r="N1202"/>
      <c r="O1202"/>
      <c r="P1202"/>
      <c r="Q1202"/>
      <c r="R1202"/>
      <c r="S1202"/>
      <c r="T1202"/>
      <c r="U1202"/>
      <c r="V1202"/>
      <c r="W1202"/>
      <c r="X1202"/>
      <c r="Y1202"/>
      <c r="Z1202"/>
      <c r="AA1202"/>
      <c r="AB1202"/>
      <c r="AC1202"/>
      <c r="AD1202"/>
      <c r="AE1202"/>
      <c r="AF1202"/>
      <c r="AG1202"/>
      <c r="AH1202"/>
      <c r="AI1202"/>
      <c r="AJ1202"/>
      <c r="AK1202"/>
      <c r="AL1202"/>
    </row>
    <row r="1203" spans="1:38" ht="12.75" outlineLevel="3" x14ac:dyDescent="0.2">
      <c r="A1203" s="82">
        <v>26</v>
      </c>
      <c r="B1203" s="82" t="s">
        <v>71</v>
      </c>
      <c r="C1203" s="82" t="s">
        <v>1775</v>
      </c>
      <c r="D1203" s="82" t="s">
        <v>411</v>
      </c>
      <c r="E1203" s="11" t="str">
        <f t="array" ref="E1203">_xlfn.XLOOKUP(D1203,Insumos!B:B,Insumos!C:$C)</f>
        <v>M</v>
      </c>
      <c r="F1203" s="86">
        <v>2.0005999999999999</v>
      </c>
      <c r="G1203" s="92">
        <f t="array" ref="G1203">IF(B1203="insumo",_xlfn.XLOOKUP($D1203,Insumos!$B$1:$B$996,Insumos!$D$1:$D$996),"")</f>
        <v>7.98</v>
      </c>
      <c r="H1203" s="92">
        <v>15.964788</v>
      </c>
      <c r="I1203" s="84">
        <v>0</v>
      </c>
      <c r="J1203" s="84">
        <v>0</v>
      </c>
      <c r="K1203" s="84"/>
      <c r="L1203"/>
      <c r="M1203"/>
      <c r="N1203"/>
      <c r="O1203"/>
      <c r="P1203"/>
      <c r="Q1203"/>
      <c r="R1203"/>
      <c r="S1203"/>
      <c r="T1203"/>
      <c r="U1203"/>
      <c r="V1203"/>
      <c r="W1203"/>
      <c r="X1203"/>
      <c r="Y1203"/>
      <c r="Z1203"/>
      <c r="AA1203"/>
      <c r="AB1203"/>
      <c r="AC1203"/>
      <c r="AD1203"/>
      <c r="AE1203"/>
      <c r="AF1203"/>
      <c r="AG1203"/>
      <c r="AH1203"/>
      <c r="AI1203"/>
      <c r="AJ1203"/>
      <c r="AK1203"/>
      <c r="AL1203"/>
    </row>
    <row r="1204" spans="1:38" ht="12.75" outlineLevel="3" x14ac:dyDescent="0.2">
      <c r="A1204" s="82">
        <v>95</v>
      </c>
      <c r="B1204" s="82" t="s">
        <v>71</v>
      </c>
      <c r="C1204" s="82" t="s">
        <v>1775</v>
      </c>
      <c r="D1204" s="82" t="s">
        <v>405</v>
      </c>
      <c r="E1204" s="11" t="str">
        <f t="array" ref="E1204">_xlfn.XLOOKUP(D1204,Insumos!B:B,Insumos!C:$C)</f>
        <v>KG</v>
      </c>
      <c r="F1204" s="86">
        <v>0.54890000000000005</v>
      </c>
      <c r="G1204" s="92">
        <f t="array" ref="G1204">IF(B1204="insumo",_xlfn.XLOOKUP($D1204,Insumos!$B$1:$B$996,Insumos!$D$1:$D$996),"")</f>
        <v>3.43</v>
      </c>
      <c r="H1204" s="92">
        <v>1.882727</v>
      </c>
      <c r="I1204" s="84">
        <v>0</v>
      </c>
      <c r="J1204" s="84">
        <v>0</v>
      </c>
      <c r="K1204" s="84"/>
      <c r="L1204"/>
      <c r="M1204"/>
      <c r="N1204"/>
      <c r="O1204"/>
      <c r="P1204"/>
      <c r="Q1204"/>
      <c r="R1204"/>
      <c r="S1204"/>
      <c r="T1204"/>
      <c r="U1204"/>
      <c r="V1204"/>
      <c r="W1204"/>
      <c r="X1204"/>
      <c r="Y1204"/>
      <c r="Z1204"/>
      <c r="AA1204"/>
      <c r="AB1204"/>
      <c r="AC1204"/>
      <c r="AD1204"/>
      <c r="AE1204"/>
      <c r="AF1204"/>
      <c r="AG1204"/>
      <c r="AH1204"/>
      <c r="AI1204"/>
      <c r="AJ1204"/>
      <c r="AK1204"/>
      <c r="AL1204"/>
    </row>
    <row r="1205" spans="1:38" ht="12.75" outlineLevel="3" x14ac:dyDescent="0.2">
      <c r="A1205" s="82">
        <v>94</v>
      </c>
      <c r="B1205" s="82" t="s">
        <v>71</v>
      </c>
      <c r="C1205" s="82" t="s">
        <v>1775</v>
      </c>
      <c r="D1205" s="82" t="s">
        <v>412</v>
      </c>
      <c r="E1205" s="11" t="str">
        <f t="array" ref="E1205">_xlfn.XLOOKUP(D1205,Insumos!B:B,Insumos!C:$C)</f>
        <v>M</v>
      </c>
      <c r="F1205" s="86">
        <v>1.2513000000000001</v>
      </c>
      <c r="G1205" s="92">
        <f t="array" ref="G1205">IF(B1205="insumo",_xlfn.XLOOKUP($D1205,Insumos!$B$1:$B$996,Insumos!$D$1:$D$996),"")</f>
        <v>0.31</v>
      </c>
      <c r="H1205" s="92">
        <v>0.387903</v>
      </c>
      <c r="I1205" s="84">
        <v>0</v>
      </c>
      <c r="J1205" s="84">
        <v>0</v>
      </c>
      <c r="K1205" s="84"/>
      <c r="L1205"/>
      <c r="M1205"/>
      <c r="N1205"/>
      <c r="O1205"/>
      <c r="P1205"/>
      <c r="Q1205"/>
      <c r="R1205"/>
      <c r="S1205"/>
      <c r="T1205"/>
      <c r="U1205"/>
      <c r="V1205"/>
      <c r="W1205"/>
      <c r="X1205"/>
      <c r="Y1205"/>
      <c r="Z1205"/>
      <c r="AA1205"/>
      <c r="AB1205"/>
      <c r="AC1205"/>
      <c r="AD1205"/>
      <c r="AE1205"/>
      <c r="AF1205"/>
      <c r="AG1205"/>
      <c r="AH1205"/>
      <c r="AI1205"/>
      <c r="AJ1205"/>
      <c r="AK1205"/>
      <c r="AL1205"/>
    </row>
    <row r="1206" spans="1:38" ht="12.75" outlineLevel="3" x14ac:dyDescent="0.2">
      <c r="A1206" s="82">
        <v>94</v>
      </c>
      <c r="B1206" s="82" t="s">
        <v>71</v>
      </c>
      <c r="C1206" s="82" t="s">
        <v>1775</v>
      </c>
      <c r="D1206" s="82" t="s">
        <v>413</v>
      </c>
      <c r="E1206" s="11" t="str">
        <f t="array" ref="E1206">_xlfn.XLOOKUP(D1206,Insumos!B:B,Insumos!C:$C)</f>
        <v>M</v>
      </c>
      <c r="F1206" s="86">
        <v>0.74070000000000003</v>
      </c>
      <c r="G1206" s="92">
        <f t="array" ref="G1206">IF(B1206="insumo",_xlfn.XLOOKUP($D1206,Insumos!$B$1:$B$996,Insumos!$D$1:$D$996),"")</f>
        <v>2.74</v>
      </c>
      <c r="H1206" s="92">
        <v>2.0295179999999999</v>
      </c>
      <c r="I1206" s="84">
        <v>0</v>
      </c>
      <c r="J1206" s="84">
        <v>0</v>
      </c>
      <c r="K1206" s="84"/>
      <c r="L1206"/>
      <c r="M1206"/>
      <c r="N1206"/>
      <c r="O1206"/>
      <c r="P1206"/>
      <c r="Q1206"/>
      <c r="R1206"/>
      <c r="S1206"/>
      <c r="T1206"/>
      <c r="U1206"/>
      <c r="V1206"/>
      <c r="W1206"/>
      <c r="X1206"/>
      <c r="Y1206"/>
      <c r="Z1206"/>
      <c r="AA1206"/>
      <c r="AB1206"/>
      <c r="AC1206"/>
      <c r="AD1206"/>
      <c r="AE1206"/>
      <c r="AF1206"/>
      <c r="AG1206"/>
      <c r="AH1206"/>
      <c r="AI1206"/>
      <c r="AJ1206"/>
      <c r="AK1206"/>
      <c r="AL1206"/>
    </row>
    <row r="1207" spans="1:38" ht="12.75" outlineLevel="3" x14ac:dyDescent="0.2">
      <c r="A1207" s="82">
        <v>97</v>
      </c>
      <c r="B1207" s="82" t="s">
        <v>71</v>
      </c>
      <c r="C1207" s="82" t="s">
        <v>1775</v>
      </c>
      <c r="D1207" s="82" t="s">
        <v>414</v>
      </c>
      <c r="E1207" s="11" t="str">
        <f t="array" ref="E1207">_xlfn.XLOOKUP(D1207,Insumos!B:B,Insumos!C:$C)</f>
        <v>UN</v>
      </c>
      <c r="F1207" s="86">
        <v>10.093400000000001</v>
      </c>
      <c r="G1207" s="92">
        <f t="array" ref="G1207">IF(B1207="insumo",_xlfn.XLOOKUP($D1207,Insumos!$B$1:$B$996,Insumos!$D$1:$D$996),"")</f>
        <v>0.09</v>
      </c>
      <c r="H1207" s="92">
        <v>0.90840600000000005</v>
      </c>
      <c r="I1207" s="84">
        <v>0</v>
      </c>
      <c r="J1207" s="84">
        <v>0</v>
      </c>
      <c r="K1207" s="84"/>
      <c r="L1207"/>
      <c r="M1207"/>
      <c r="N1207"/>
      <c r="O1207"/>
      <c r="P1207"/>
      <c r="Q1207"/>
      <c r="R1207"/>
      <c r="S1207"/>
      <c r="T1207"/>
      <c r="U1207"/>
      <c r="V1207"/>
      <c r="W1207"/>
      <c r="X1207"/>
      <c r="Y1207"/>
      <c r="Z1207"/>
      <c r="AA1207"/>
      <c r="AB1207"/>
      <c r="AC1207"/>
      <c r="AD1207"/>
      <c r="AE1207"/>
      <c r="AF1207"/>
      <c r="AG1207"/>
      <c r="AH1207"/>
      <c r="AI1207"/>
      <c r="AJ1207"/>
      <c r="AK1207"/>
      <c r="AL1207"/>
    </row>
    <row r="1208" spans="1:38" ht="12.75" outlineLevel="3" x14ac:dyDescent="0.2">
      <c r="A1208" s="82">
        <v>95</v>
      </c>
      <c r="B1208" s="82" t="s">
        <v>71</v>
      </c>
      <c r="C1208" s="82" t="s">
        <v>1775</v>
      </c>
      <c r="D1208" s="82" t="s">
        <v>415</v>
      </c>
      <c r="E1208" s="11" t="str">
        <f t="array" ref="E1208">_xlfn.XLOOKUP(D1208,Insumos!B:B,Insumos!C:$C)</f>
        <v>UN</v>
      </c>
      <c r="F1208" s="86">
        <v>0.4803</v>
      </c>
      <c r="G1208" s="92">
        <f t="array" ref="G1208">IF(B1208="insumo",_xlfn.XLOOKUP($D1208,Insumos!$B$1:$B$996,Insumos!$D$1:$D$996),"")</f>
        <v>0.2</v>
      </c>
      <c r="H1208" s="92">
        <v>9.6060000000000006E-2</v>
      </c>
      <c r="I1208" s="84">
        <v>0</v>
      </c>
      <c r="J1208" s="84">
        <v>0</v>
      </c>
      <c r="K1208" s="84"/>
      <c r="L1208"/>
      <c r="M1208"/>
      <c r="N1208"/>
      <c r="O1208"/>
      <c r="P1208"/>
      <c r="Q1208"/>
      <c r="R1208"/>
      <c r="S1208"/>
      <c r="T1208"/>
      <c r="U1208"/>
      <c r="V1208"/>
      <c r="W1208"/>
      <c r="X1208"/>
      <c r="Y1208"/>
      <c r="Z1208"/>
      <c r="AA1208"/>
      <c r="AB1208"/>
      <c r="AC1208"/>
      <c r="AD1208"/>
      <c r="AE1208"/>
      <c r="AF1208"/>
      <c r="AG1208"/>
      <c r="AH1208"/>
      <c r="AI1208"/>
      <c r="AJ1208"/>
      <c r="AK1208"/>
      <c r="AL1208"/>
    </row>
    <row r="1209" spans="1:38" ht="12.75" outlineLevel="2" x14ac:dyDescent="0.2">
      <c r="A1209" s="1071">
        <v>1</v>
      </c>
      <c r="B1209" s="1071" t="s">
        <v>68</v>
      </c>
      <c r="C1209" s="1071" t="s">
        <v>1776</v>
      </c>
      <c r="D1209" s="1071" t="s">
        <v>1776</v>
      </c>
      <c r="E1209" s="1072" t="s">
        <v>70</v>
      </c>
      <c r="F1209" s="1071"/>
      <c r="G1209" s="1073" t="str">
        <f t="array" ref="G1209">IF(B1209="insumo",_xlfn.XLOOKUP($D1209,Insumos!$B$1:$B$996,Insumos!$D$1:$D$996),"")</f>
        <v/>
      </c>
      <c r="H1209" s="1073">
        <v>126.415294</v>
      </c>
      <c r="I1209" s="1074">
        <v>0</v>
      </c>
      <c r="J1209" s="1074">
        <v>0</v>
      </c>
      <c r="K1209" s="1074"/>
      <c r="L1209"/>
      <c r="M1209"/>
      <c r="N1209"/>
      <c r="O1209"/>
      <c r="P1209"/>
      <c r="Q1209"/>
      <c r="R1209"/>
      <c r="S1209"/>
      <c r="T1209"/>
      <c r="U1209"/>
      <c r="V1209"/>
      <c r="W1209"/>
      <c r="X1209"/>
      <c r="Y1209"/>
      <c r="Z1209"/>
      <c r="AA1209"/>
      <c r="AB1209"/>
      <c r="AC1209"/>
      <c r="AD1209"/>
      <c r="AE1209"/>
      <c r="AF1209"/>
      <c r="AG1209"/>
      <c r="AH1209"/>
      <c r="AI1209"/>
      <c r="AJ1209"/>
      <c r="AK1209"/>
      <c r="AL1209"/>
    </row>
    <row r="1210" spans="1:38" ht="12.75" outlineLevel="3" x14ac:dyDescent="0.2">
      <c r="A1210" s="82">
        <v>86</v>
      </c>
      <c r="B1210" s="82" t="s">
        <v>71</v>
      </c>
      <c r="C1210" s="82" t="s">
        <v>1776</v>
      </c>
      <c r="D1210" s="82" t="s">
        <v>407</v>
      </c>
      <c r="E1210" s="11" t="str">
        <f t="array" ref="E1210">_xlfn.XLOOKUP(D1210,Insumos!B:B,Insumos!C:$C)</f>
        <v>M2</v>
      </c>
      <c r="F1210" s="86">
        <v>1</v>
      </c>
      <c r="G1210" s="92">
        <f t="array" ref="G1210">IF(B1210="insumo",_xlfn.XLOOKUP($D1210,Insumos!$B$1:$B$996,Insumos!$D$1:$D$996),"")</f>
        <v>70</v>
      </c>
      <c r="H1210" s="92">
        <v>70</v>
      </c>
      <c r="I1210" s="84">
        <v>0</v>
      </c>
      <c r="J1210" s="84">
        <v>0</v>
      </c>
      <c r="K1210" s="84"/>
      <c r="L1210"/>
      <c r="M1210"/>
      <c r="N1210"/>
      <c r="O1210"/>
      <c r="P1210"/>
      <c r="Q1210"/>
      <c r="R1210"/>
      <c r="S1210"/>
      <c r="T1210"/>
      <c r="U1210"/>
      <c r="V1210"/>
      <c r="W1210"/>
      <c r="X1210"/>
      <c r="Y1210"/>
      <c r="Z1210"/>
      <c r="AA1210"/>
      <c r="AB1210"/>
      <c r="AC1210"/>
      <c r="AD1210"/>
      <c r="AE1210"/>
      <c r="AF1210"/>
      <c r="AG1210"/>
      <c r="AH1210"/>
      <c r="AI1210"/>
      <c r="AJ1210"/>
      <c r="AK1210"/>
      <c r="AL1210"/>
    </row>
    <row r="1211" spans="1:38" ht="12.75" outlineLevel="3" x14ac:dyDescent="0.2">
      <c r="A1211" s="82">
        <v>49</v>
      </c>
      <c r="B1211" s="82" t="s">
        <v>71</v>
      </c>
      <c r="C1211" s="82" t="s">
        <v>1776</v>
      </c>
      <c r="D1211" s="82" t="s">
        <v>418</v>
      </c>
      <c r="E1211" s="11" t="str">
        <f t="array" ref="E1211">_xlfn.XLOOKUP(D1211,Insumos!B:B,Insumos!C:$C)</f>
        <v>M2</v>
      </c>
      <c r="F1211" s="86">
        <v>1.0529999999999999</v>
      </c>
      <c r="G1211" s="92">
        <f t="array" ref="G1211">IF(B1211="insumo",_xlfn.XLOOKUP($D1211,Insumos!$B$1:$B$996,Insumos!$D$1:$D$996),"")</f>
        <v>27.1</v>
      </c>
      <c r="H1211" s="92">
        <v>28.536300000000001</v>
      </c>
      <c r="I1211" s="84">
        <v>0</v>
      </c>
      <c r="J1211" s="84">
        <v>0</v>
      </c>
      <c r="K1211" s="84"/>
      <c r="L1211"/>
      <c r="M1211"/>
      <c r="N1211"/>
      <c r="O1211"/>
      <c r="P1211"/>
      <c r="Q1211"/>
      <c r="R1211"/>
      <c r="S1211"/>
      <c r="T1211"/>
      <c r="U1211"/>
      <c r="V1211"/>
      <c r="W1211"/>
      <c r="X1211"/>
      <c r="Y1211"/>
      <c r="Z1211"/>
      <c r="AA1211"/>
      <c r="AB1211"/>
      <c r="AC1211"/>
      <c r="AD1211"/>
      <c r="AE1211"/>
      <c r="AF1211"/>
      <c r="AG1211"/>
      <c r="AH1211"/>
      <c r="AI1211"/>
      <c r="AJ1211"/>
      <c r="AK1211"/>
      <c r="AL1211"/>
    </row>
    <row r="1212" spans="1:38" ht="12.75" outlineLevel="3" x14ac:dyDescent="0.2">
      <c r="A1212" s="82">
        <v>95</v>
      </c>
      <c r="B1212" s="82" t="s">
        <v>71</v>
      </c>
      <c r="C1212" s="82" t="s">
        <v>1776</v>
      </c>
      <c r="D1212" s="82" t="s">
        <v>409</v>
      </c>
      <c r="E1212" s="11" t="str">
        <f t="array" ref="E1212">_xlfn.XLOOKUP(D1212,Insumos!B:B,Insumos!C:$C)</f>
        <v>UN</v>
      </c>
      <c r="F1212" s="86">
        <v>2.48</v>
      </c>
      <c r="G1212" s="92">
        <f t="array" ref="G1212">IF(B1212="insumo",_xlfn.XLOOKUP($D1212,Insumos!$B$1:$B$996,Insumos!$D$1:$D$996),"")</f>
        <v>0.504</v>
      </c>
      <c r="H1212" s="92">
        <v>1.2499199999999999</v>
      </c>
      <c r="I1212" s="84">
        <v>0</v>
      </c>
      <c r="J1212" s="84">
        <v>0</v>
      </c>
      <c r="K1212" s="84"/>
      <c r="L1212"/>
      <c r="M1212"/>
      <c r="N1212"/>
      <c r="O1212"/>
      <c r="P1212"/>
      <c r="Q1212"/>
      <c r="R1212"/>
      <c r="S1212"/>
      <c r="T1212"/>
      <c r="U1212"/>
      <c r="V1212"/>
      <c r="W1212"/>
      <c r="X1212"/>
      <c r="Y1212"/>
      <c r="Z1212"/>
      <c r="AA1212"/>
      <c r="AB1212"/>
      <c r="AC1212"/>
      <c r="AD1212"/>
      <c r="AE1212"/>
      <c r="AF1212"/>
      <c r="AG1212"/>
      <c r="AH1212"/>
      <c r="AI1212"/>
      <c r="AJ1212"/>
      <c r="AK1212"/>
      <c r="AL1212"/>
    </row>
    <row r="1213" spans="1:38" ht="12.75" outlineLevel="3" x14ac:dyDescent="0.2">
      <c r="A1213" s="82">
        <v>26</v>
      </c>
      <c r="B1213" s="82" t="s">
        <v>71</v>
      </c>
      <c r="C1213" s="82" t="s">
        <v>1776</v>
      </c>
      <c r="D1213" s="82" t="s">
        <v>410</v>
      </c>
      <c r="E1213" s="11" t="str">
        <f t="array" ref="E1213">_xlfn.XLOOKUP(D1213,Insumos!B:B,Insumos!C:$C)</f>
        <v>M</v>
      </c>
      <c r="F1213" s="86">
        <v>0.76239999999999997</v>
      </c>
      <c r="G1213" s="92">
        <f t="array" ref="G1213">IF(B1213="insumo",_xlfn.XLOOKUP($D1213,Insumos!$B$1:$B$996,Insumos!$D$1:$D$996),"")</f>
        <v>7.03</v>
      </c>
      <c r="H1213" s="92">
        <v>5.3596719999999998</v>
      </c>
      <c r="I1213" s="84">
        <v>0</v>
      </c>
      <c r="J1213" s="84">
        <v>0</v>
      </c>
      <c r="K1213" s="84"/>
      <c r="L1213"/>
      <c r="M1213"/>
      <c r="N1213"/>
      <c r="O1213"/>
      <c r="P1213"/>
      <c r="Q1213"/>
      <c r="R1213"/>
      <c r="S1213"/>
      <c r="T1213"/>
      <c r="U1213"/>
      <c r="V1213"/>
      <c r="W1213"/>
      <c r="X1213"/>
      <c r="Y1213"/>
      <c r="Z1213"/>
      <c r="AA1213"/>
      <c r="AB1213"/>
      <c r="AC1213"/>
      <c r="AD1213"/>
      <c r="AE1213"/>
      <c r="AF1213"/>
      <c r="AG1213"/>
      <c r="AH1213"/>
      <c r="AI1213"/>
      <c r="AJ1213"/>
      <c r="AK1213"/>
      <c r="AL1213"/>
    </row>
    <row r="1214" spans="1:38" ht="12.75" outlineLevel="3" x14ac:dyDescent="0.2">
      <c r="A1214" s="82">
        <v>26</v>
      </c>
      <c r="B1214" s="82" t="s">
        <v>71</v>
      </c>
      <c r="C1214" s="82" t="s">
        <v>1776</v>
      </c>
      <c r="D1214" s="82" t="s">
        <v>411</v>
      </c>
      <c r="E1214" s="11" t="str">
        <f t="array" ref="E1214">_xlfn.XLOOKUP(D1214,Insumos!B:B,Insumos!C:$C)</f>
        <v>M</v>
      </c>
      <c r="F1214" s="86">
        <v>2.0005999999999999</v>
      </c>
      <c r="G1214" s="92">
        <f t="array" ref="G1214">IF(B1214="insumo",_xlfn.XLOOKUP($D1214,Insumos!$B$1:$B$996,Insumos!$D$1:$D$996),"")</f>
        <v>7.98</v>
      </c>
      <c r="H1214" s="92">
        <v>15.964788</v>
      </c>
      <c r="I1214" s="84">
        <v>0</v>
      </c>
      <c r="J1214" s="84">
        <v>0</v>
      </c>
      <c r="K1214" s="84"/>
      <c r="L1214"/>
      <c r="M1214"/>
      <c r="N1214"/>
      <c r="O1214"/>
      <c r="P1214"/>
      <c r="Q1214"/>
      <c r="R1214"/>
      <c r="S1214"/>
      <c r="T1214"/>
      <c r="U1214"/>
      <c r="V1214"/>
      <c r="W1214"/>
      <c r="X1214"/>
      <c r="Y1214"/>
      <c r="Z1214"/>
      <c r="AA1214"/>
      <c r="AB1214"/>
      <c r="AC1214"/>
      <c r="AD1214"/>
      <c r="AE1214"/>
      <c r="AF1214"/>
      <c r="AG1214"/>
      <c r="AH1214"/>
      <c r="AI1214"/>
      <c r="AJ1214"/>
      <c r="AK1214"/>
      <c r="AL1214"/>
    </row>
    <row r="1215" spans="1:38" ht="12.75" outlineLevel="3" x14ac:dyDescent="0.2">
      <c r="A1215" s="82">
        <v>95</v>
      </c>
      <c r="B1215" s="82" t="s">
        <v>71</v>
      </c>
      <c r="C1215" s="82" t="s">
        <v>1776</v>
      </c>
      <c r="D1215" s="82" t="s">
        <v>405</v>
      </c>
      <c r="E1215" s="11" t="str">
        <f t="array" ref="E1215">_xlfn.XLOOKUP(D1215,Insumos!B:B,Insumos!C:$C)</f>
        <v>KG</v>
      </c>
      <c r="F1215" s="86">
        <v>0.54890000000000005</v>
      </c>
      <c r="G1215" s="92">
        <f t="array" ref="G1215">IF(B1215="insumo",_xlfn.XLOOKUP($D1215,Insumos!$B$1:$B$996,Insumos!$D$1:$D$996),"")</f>
        <v>3.43</v>
      </c>
      <c r="H1215" s="92">
        <v>1.882727</v>
      </c>
      <c r="I1215" s="84">
        <v>0</v>
      </c>
      <c r="J1215" s="84">
        <v>0</v>
      </c>
      <c r="K1215" s="84"/>
      <c r="L1215"/>
      <c r="M1215"/>
      <c r="N1215"/>
      <c r="O1215"/>
      <c r="P1215"/>
      <c r="Q1215"/>
      <c r="R1215"/>
      <c r="S1215"/>
      <c r="T1215"/>
      <c r="U1215"/>
      <c r="V1215"/>
      <c r="W1215"/>
      <c r="X1215"/>
      <c r="Y1215"/>
      <c r="Z1215"/>
      <c r="AA1215"/>
      <c r="AB1215"/>
      <c r="AC1215"/>
      <c r="AD1215"/>
      <c r="AE1215"/>
      <c r="AF1215"/>
      <c r="AG1215"/>
      <c r="AH1215"/>
      <c r="AI1215"/>
      <c r="AJ1215"/>
      <c r="AK1215"/>
      <c r="AL1215"/>
    </row>
    <row r="1216" spans="1:38" ht="12.75" outlineLevel="3" x14ac:dyDescent="0.2">
      <c r="A1216" s="82">
        <v>94</v>
      </c>
      <c r="B1216" s="82" t="s">
        <v>71</v>
      </c>
      <c r="C1216" s="82" t="s">
        <v>1776</v>
      </c>
      <c r="D1216" s="82" t="s">
        <v>412</v>
      </c>
      <c r="E1216" s="11" t="str">
        <f t="array" ref="E1216">_xlfn.XLOOKUP(D1216,Insumos!B:B,Insumos!C:$C)</f>
        <v>M</v>
      </c>
      <c r="F1216" s="86">
        <v>1.2513000000000001</v>
      </c>
      <c r="G1216" s="92">
        <f t="array" ref="G1216">IF(B1216="insumo",_xlfn.XLOOKUP($D1216,Insumos!$B$1:$B$996,Insumos!$D$1:$D$996),"")</f>
        <v>0.31</v>
      </c>
      <c r="H1216" s="92">
        <v>0.387903</v>
      </c>
      <c r="I1216" s="84">
        <v>0</v>
      </c>
      <c r="J1216" s="84">
        <v>0</v>
      </c>
      <c r="K1216" s="84"/>
      <c r="L1216"/>
      <c r="M1216"/>
      <c r="N1216"/>
      <c r="O1216"/>
      <c r="P1216"/>
      <c r="Q1216"/>
      <c r="R1216"/>
      <c r="S1216"/>
      <c r="T1216"/>
      <c r="U1216"/>
      <c r="V1216"/>
      <c r="W1216"/>
      <c r="X1216"/>
      <c r="Y1216"/>
      <c r="Z1216"/>
      <c r="AA1216"/>
      <c r="AB1216"/>
      <c r="AC1216"/>
      <c r="AD1216"/>
      <c r="AE1216"/>
      <c r="AF1216"/>
      <c r="AG1216"/>
      <c r="AH1216"/>
      <c r="AI1216"/>
      <c r="AJ1216"/>
      <c r="AK1216"/>
      <c r="AL1216"/>
    </row>
    <row r="1217" spans="1:38" ht="12.75" outlineLevel="3" x14ac:dyDescent="0.2">
      <c r="A1217" s="82">
        <v>94</v>
      </c>
      <c r="B1217" s="82" t="s">
        <v>71</v>
      </c>
      <c r="C1217" s="82" t="s">
        <v>1776</v>
      </c>
      <c r="D1217" s="82" t="s">
        <v>413</v>
      </c>
      <c r="E1217" s="11" t="str">
        <f t="array" ref="E1217">_xlfn.XLOOKUP(D1217,Insumos!B:B,Insumos!C:$C)</f>
        <v>M</v>
      </c>
      <c r="F1217" s="86">
        <v>0.74070000000000003</v>
      </c>
      <c r="G1217" s="92">
        <f t="array" ref="G1217">IF(B1217="insumo",_xlfn.XLOOKUP($D1217,Insumos!$B$1:$B$996,Insumos!$D$1:$D$996),"")</f>
        <v>2.74</v>
      </c>
      <c r="H1217" s="92">
        <v>2.0295179999999999</v>
      </c>
      <c r="I1217" s="84">
        <v>0</v>
      </c>
      <c r="J1217" s="84">
        <v>0</v>
      </c>
      <c r="K1217" s="84"/>
      <c r="L1217"/>
      <c r="M1217"/>
      <c r="N1217"/>
      <c r="O1217"/>
      <c r="P1217"/>
      <c r="Q1217"/>
      <c r="R1217"/>
      <c r="S1217"/>
      <c r="T1217"/>
      <c r="U1217"/>
      <c r="V1217"/>
      <c r="W1217"/>
      <c r="X1217"/>
      <c r="Y1217"/>
      <c r="Z1217"/>
      <c r="AA1217"/>
      <c r="AB1217"/>
      <c r="AC1217"/>
      <c r="AD1217"/>
      <c r="AE1217"/>
      <c r="AF1217"/>
      <c r="AG1217"/>
      <c r="AH1217"/>
      <c r="AI1217"/>
      <c r="AJ1217"/>
      <c r="AK1217"/>
      <c r="AL1217"/>
    </row>
    <row r="1218" spans="1:38" ht="12.75" outlineLevel="3" x14ac:dyDescent="0.2">
      <c r="A1218" s="82">
        <v>97</v>
      </c>
      <c r="B1218" s="82" t="s">
        <v>71</v>
      </c>
      <c r="C1218" s="82" t="s">
        <v>1776</v>
      </c>
      <c r="D1218" s="82" t="s">
        <v>414</v>
      </c>
      <c r="E1218" s="11" t="str">
        <f t="array" ref="E1218">_xlfn.XLOOKUP(D1218,Insumos!B:B,Insumos!C:$C)</f>
        <v>UN</v>
      </c>
      <c r="F1218" s="86">
        <v>10.093400000000001</v>
      </c>
      <c r="G1218" s="92">
        <f t="array" ref="G1218">IF(B1218="insumo",_xlfn.XLOOKUP($D1218,Insumos!$B$1:$B$996,Insumos!$D$1:$D$996),"")</f>
        <v>0.09</v>
      </c>
      <c r="H1218" s="92">
        <v>0.90840600000000005</v>
      </c>
      <c r="I1218" s="84">
        <v>0</v>
      </c>
      <c r="J1218" s="84">
        <v>0</v>
      </c>
      <c r="K1218" s="84"/>
      <c r="L1218"/>
      <c r="M1218"/>
      <c r="N1218"/>
      <c r="O1218"/>
      <c r="P1218"/>
      <c r="Q1218"/>
      <c r="R1218"/>
      <c r="S1218"/>
      <c r="T1218"/>
      <c r="U1218"/>
      <c r="V1218"/>
      <c r="W1218"/>
      <c r="X1218"/>
      <c r="Y1218"/>
      <c r="Z1218"/>
      <c r="AA1218"/>
      <c r="AB1218"/>
      <c r="AC1218"/>
      <c r="AD1218"/>
      <c r="AE1218"/>
      <c r="AF1218"/>
      <c r="AG1218"/>
      <c r="AH1218"/>
      <c r="AI1218"/>
      <c r="AJ1218"/>
      <c r="AK1218"/>
      <c r="AL1218"/>
    </row>
    <row r="1219" spans="1:38" ht="12.75" outlineLevel="3" x14ac:dyDescent="0.2">
      <c r="A1219" s="82">
        <v>95</v>
      </c>
      <c r="B1219" s="82" t="s">
        <v>71</v>
      </c>
      <c r="C1219" s="82" t="s">
        <v>1776</v>
      </c>
      <c r="D1219" s="82" t="s">
        <v>415</v>
      </c>
      <c r="E1219" s="11" t="str">
        <f t="array" ref="E1219">_xlfn.XLOOKUP(D1219,Insumos!B:B,Insumos!C:$C)</f>
        <v>UN</v>
      </c>
      <c r="F1219" s="86">
        <v>0.4803</v>
      </c>
      <c r="G1219" s="92">
        <f t="array" ref="G1219">IF(B1219="insumo",_xlfn.XLOOKUP($D1219,Insumos!$B$1:$B$996,Insumos!$D$1:$D$996),"")</f>
        <v>0.2</v>
      </c>
      <c r="H1219" s="92">
        <v>9.6060000000000006E-2</v>
      </c>
      <c r="I1219" s="84">
        <v>0</v>
      </c>
      <c r="J1219" s="84">
        <v>0</v>
      </c>
      <c r="K1219" s="84"/>
      <c r="L1219"/>
      <c r="M1219"/>
      <c r="N1219"/>
      <c r="O1219"/>
      <c r="P1219"/>
      <c r="Q1219"/>
      <c r="R1219"/>
      <c r="S1219"/>
      <c r="T1219"/>
      <c r="U1219"/>
      <c r="V1219"/>
      <c r="W1219"/>
      <c r="X1219"/>
      <c r="Y1219"/>
      <c r="Z1219"/>
      <c r="AA1219"/>
      <c r="AB1219"/>
      <c r="AC1219"/>
      <c r="AD1219"/>
      <c r="AE1219"/>
      <c r="AF1219"/>
      <c r="AG1219"/>
      <c r="AH1219"/>
      <c r="AI1219"/>
      <c r="AJ1219"/>
      <c r="AK1219"/>
      <c r="AL1219"/>
    </row>
    <row r="1220" spans="1:38" ht="12.75" outlineLevel="2" x14ac:dyDescent="0.2">
      <c r="A1220" s="1071">
        <v>1</v>
      </c>
      <c r="B1220" s="1071" t="s">
        <v>68</v>
      </c>
      <c r="C1220" s="1071" t="s">
        <v>1777</v>
      </c>
      <c r="D1220" s="1071" t="s">
        <v>1777</v>
      </c>
      <c r="E1220" s="1072" t="s">
        <v>70</v>
      </c>
      <c r="F1220" s="1071"/>
      <c r="G1220" s="1073" t="str">
        <f t="array" ref="G1220">IF(B1220="insumo",_xlfn.XLOOKUP($D1220,Insumos!$B$1:$B$996,Insumos!$D$1:$D$996),"")</f>
        <v/>
      </c>
      <c r="H1220" s="1073">
        <v>168.11335500000001</v>
      </c>
      <c r="I1220" s="1074">
        <v>0</v>
      </c>
      <c r="J1220" s="1074">
        <v>0</v>
      </c>
      <c r="K1220" s="1074"/>
      <c r="L1220"/>
      <c r="M1220"/>
      <c r="N1220"/>
      <c r="O1220"/>
      <c r="P1220"/>
      <c r="Q1220"/>
      <c r="R1220"/>
      <c r="S1220"/>
      <c r="T1220"/>
      <c r="U1220"/>
      <c r="V1220"/>
      <c r="W1220"/>
      <c r="X1220"/>
      <c r="Y1220"/>
      <c r="Z1220"/>
      <c r="AA1220"/>
      <c r="AB1220"/>
      <c r="AC1220"/>
      <c r="AD1220"/>
      <c r="AE1220"/>
      <c r="AF1220"/>
      <c r="AG1220"/>
      <c r="AH1220"/>
      <c r="AI1220"/>
      <c r="AJ1220"/>
      <c r="AK1220"/>
      <c r="AL1220"/>
    </row>
    <row r="1221" spans="1:38" ht="12.75" outlineLevel="3" x14ac:dyDescent="0.2">
      <c r="A1221" s="82">
        <v>86</v>
      </c>
      <c r="B1221" s="82" t="s">
        <v>71</v>
      </c>
      <c r="C1221" s="82" t="s">
        <v>1777</v>
      </c>
      <c r="D1221" s="82" t="s">
        <v>407</v>
      </c>
      <c r="E1221" s="11" t="str">
        <f t="array" ref="E1221">_xlfn.XLOOKUP(D1221,Insumos!B:B,Insumos!C:$C)</f>
        <v>M2</v>
      </c>
      <c r="F1221" s="86">
        <v>1</v>
      </c>
      <c r="G1221" s="92">
        <f t="array" ref="G1221">IF(B1221="insumo",_xlfn.XLOOKUP($D1221,Insumos!$B$1:$B$996,Insumos!$D$1:$D$996),"")</f>
        <v>70</v>
      </c>
      <c r="H1221" s="92">
        <v>70</v>
      </c>
      <c r="I1221" s="84">
        <v>0</v>
      </c>
      <c r="J1221" s="84">
        <v>0</v>
      </c>
      <c r="K1221" s="84"/>
      <c r="L1221"/>
      <c r="M1221"/>
      <c r="N1221"/>
      <c r="O1221"/>
      <c r="P1221"/>
      <c r="Q1221"/>
      <c r="R1221"/>
      <c r="S1221"/>
      <c r="T1221"/>
      <c r="U1221"/>
      <c r="V1221"/>
      <c r="W1221"/>
      <c r="X1221"/>
      <c r="Y1221"/>
      <c r="Z1221"/>
      <c r="AA1221"/>
      <c r="AB1221"/>
      <c r="AC1221"/>
      <c r="AD1221"/>
      <c r="AE1221"/>
      <c r="AF1221"/>
      <c r="AG1221"/>
      <c r="AH1221"/>
      <c r="AI1221"/>
      <c r="AJ1221"/>
      <c r="AK1221"/>
      <c r="AL1221"/>
    </row>
    <row r="1222" spans="1:38" ht="12.75" outlineLevel="3" x14ac:dyDescent="0.2">
      <c r="A1222" s="82">
        <v>47</v>
      </c>
      <c r="B1222" s="82" t="s">
        <v>71</v>
      </c>
      <c r="C1222" s="82" t="s">
        <v>1777</v>
      </c>
      <c r="D1222" s="82" t="s">
        <v>408</v>
      </c>
      <c r="E1222" s="11" t="str">
        <f t="array" ref="E1222">_xlfn.XLOOKUP(D1222,Insumos!B:B,Insumos!C:$C)</f>
        <v>M2</v>
      </c>
      <c r="F1222" s="86">
        <v>2.1059999999999999</v>
      </c>
      <c r="G1222" s="92">
        <f t="array" ref="G1222">IF(B1222="insumo",_xlfn.XLOOKUP($D1222,Insumos!$B$1:$B$996,Insumos!$D$1:$D$996),"")</f>
        <v>20.16</v>
      </c>
      <c r="H1222" s="92">
        <v>42.456960000000002</v>
      </c>
      <c r="I1222" s="84">
        <v>0</v>
      </c>
      <c r="J1222" s="84">
        <v>0</v>
      </c>
      <c r="K1222" s="84"/>
      <c r="L1222"/>
      <c r="M1222"/>
      <c r="N1222"/>
      <c r="O1222"/>
      <c r="P1222"/>
      <c r="Q1222"/>
      <c r="R1222"/>
      <c r="S1222"/>
      <c r="T1222"/>
      <c r="U1222"/>
      <c r="V1222"/>
      <c r="W1222"/>
      <c r="X1222"/>
      <c r="Y1222"/>
      <c r="Z1222"/>
      <c r="AA1222"/>
      <c r="AB1222"/>
      <c r="AC1222"/>
      <c r="AD1222"/>
      <c r="AE1222"/>
      <c r="AF1222"/>
      <c r="AG1222"/>
      <c r="AH1222"/>
      <c r="AI1222"/>
      <c r="AJ1222"/>
      <c r="AK1222"/>
      <c r="AL1222"/>
    </row>
    <row r="1223" spans="1:38" ht="12.75" outlineLevel="3" x14ac:dyDescent="0.2">
      <c r="A1223" s="82">
        <v>95</v>
      </c>
      <c r="B1223" s="82" t="s">
        <v>71</v>
      </c>
      <c r="C1223" s="82" t="s">
        <v>1777</v>
      </c>
      <c r="D1223" s="82" t="s">
        <v>409</v>
      </c>
      <c r="E1223" s="11" t="str">
        <f t="array" ref="E1223">_xlfn.XLOOKUP(D1223,Insumos!B:B,Insumos!C:$C)</f>
        <v>UN</v>
      </c>
      <c r="F1223" s="86">
        <v>4.95</v>
      </c>
      <c r="G1223" s="92">
        <f t="array" ref="G1223">IF(B1223="insumo",_xlfn.XLOOKUP($D1223,Insumos!$B$1:$B$996,Insumos!$D$1:$D$996),"")</f>
        <v>0.504</v>
      </c>
      <c r="H1223" s="92">
        <v>2.4948000000000001</v>
      </c>
      <c r="I1223" s="84">
        <v>0</v>
      </c>
      <c r="J1223" s="84">
        <v>0</v>
      </c>
      <c r="K1223" s="84"/>
      <c r="L1223"/>
      <c r="M1223"/>
      <c r="N1223"/>
      <c r="O1223"/>
      <c r="P1223"/>
      <c r="Q1223"/>
      <c r="R1223"/>
      <c r="S1223"/>
      <c r="T1223"/>
      <c r="U1223"/>
      <c r="V1223"/>
      <c r="W1223"/>
      <c r="X1223"/>
      <c r="Y1223"/>
      <c r="Z1223"/>
      <c r="AA1223"/>
      <c r="AB1223"/>
      <c r="AC1223"/>
      <c r="AD1223"/>
      <c r="AE1223"/>
      <c r="AF1223"/>
      <c r="AG1223"/>
      <c r="AH1223"/>
      <c r="AI1223"/>
      <c r="AJ1223"/>
      <c r="AK1223"/>
      <c r="AL1223"/>
    </row>
    <row r="1224" spans="1:38" ht="12.75" outlineLevel="3" x14ac:dyDescent="0.2">
      <c r="A1224" s="82">
        <v>26</v>
      </c>
      <c r="B1224" s="82" t="s">
        <v>71</v>
      </c>
      <c r="C1224" s="82" t="s">
        <v>1777</v>
      </c>
      <c r="D1224" s="82" t="s">
        <v>410</v>
      </c>
      <c r="E1224" s="11" t="str">
        <f t="array" ref="E1224">_xlfn.XLOOKUP(D1224,Insumos!B:B,Insumos!C:$C)</f>
        <v>M</v>
      </c>
      <c r="F1224" s="86">
        <v>1.5247999999999999</v>
      </c>
      <c r="G1224" s="92">
        <f t="array" ref="G1224">IF(B1224="insumo",_xlfn.XLOOKUP($D1224,Insumos!$B$1:$B$996,Insumos!$D$1:$D$996),"")</f>
        <v>7.03</v>
      </c>
      <c r="H1224" s="92">
        <v>10.719344</v>
      </c>
      <c r="I1224" s="84">
        <v>0</v>
      </c>
      <c r="J1224" s="84">
        <v>0</v>
      </c>
      <c r="K1224" s="84"/>
      <c r="L1224"/>
      <c r="M1224"/>
      <c r="N1224"/>
      <c r="O1224"/>
      <c r="P1224"/>
      <c r="Q1224"/>
      <c r="R1224"/>
      <c r="S1224"/>
      <c r="T1224"/>
      <c r="U1224"/>
      <c r="V1224"/>
      <c r="W1224"/>
      <c r="X1224"/>
      <c r="Y1224"/>
      <c r="Z1224"/>
      <c r="AA1224"/>
      <c r="AB1224"/>
      <c r="AC1224"/>
      <c r="AD1224"/>
      <c r="AE1224"/>
      <c r="AF1224"/>
      <c r="AG1224"/>
      <c r="AH1224"/>
      <c r="AI1224"/>
      <c r="AJ1224"/>
      <c r="AK1224"/>
      <c r="AL1224"/>
    </row>
    <row r="1225" spans="1:38" ht="12.75" outlineLevel="3" x14ac:dyDescent="0.2">
      <c r="A1225" s="82">
        <v>26</v>
      </c>
      <c r="B1225" s="82" t="s">
        <v>71</v>
      </c>
      <c r="C1225" s="82" t="s">
        <v>1777</v>
      </c>
      <c r="D1225" s="82" t="s">
        <v>411</v>
      </c>
      <c r="E1225" s="11" t="str">
        <f t="array" ref="E1225">_xlfn.XLOOKUP(D1225,Insumos!B:B,Insumos!C:$C)</f>
        <v>M</v>
      </c>
      <c r="F1225" s="86">
        <v>4.0011000000000001</v>
      </c>
      <c r="G1225" s="92">
        <f t="array" ref="G1225">IF(B1225="insumo",_xlfn.XLOOKUP($D1225,Insumos!$B$1:$B$996,Insumos!$D$1:$D$996),"")</f>
        <v>7.98</v>
      </c>
      <c r="H1225" s="92">
        <v>31.928778000000001</v>
      </c>
      <c r="I1225" s="84">
        <v>0</v>
      </c>
      <c r="J1225" s="84">
        <v>0</v>
      </c>
      <c r="K1225" s="84"/>
      <c r="L1225"/>
      <c r="M1225"/>
      <c r="N1225"/>
      <c r="O1225"/>
      <c r="P1225"/>
      <c r="Q1225"/>
      <c r="R1225"/>
      <c r="S1225"/>
      <c r="T1225"/>
      <c r="U1225"/>
      <c r="V1225"/>
      <c r="W1225"/>
      <c r="X1225"/>
      <c r="Y1225"/>
      <c r="Z1225"/>
      <c r="AA1225"/>
      <c r="AB1225"/>
      <c r="AC1225"/>
      <c r="AD1225"/>
      <c r="AE1225"/>
      <c r="AF1225"/>
      <c r="AG1225"/>
      <c r="AH1225"/>
      <c r="AI1225"/>
      <c r="AJ1225"/>
      <c r="AK1225"/>
      <c r="AL1225"/>
    </row>
    <row r="1226" spans="1:38" ht="12.75" outlineLevel="3" x14ac:dyDescent="0.2">
      <c r="A1226" s="82">
        <v>95</v>
      </c>
      <c r="B1226" s="82" t="s">
        <v>71</v>
      </c>
      <c r="C1226" s="82" t="s">
        <v>1777</v>
      </c>
      <c r="D1226" s="82" t="s">
        <v>405</v>
      </c>
      <c r="E1226" s="11" t="str">
        <f t="array" ref="E1226">_xlfn.XLOOKUP(D1226,Insumos!B:B,Insumos!C:$C)</f>
        <v>KG</v>
      </c>
      <c r="F1226" s="86">
        <v>1.0978000000000001</v>
      </c>
      <c r="G1226" s="92">
        <f t="array" ref="G1226">IF(B1226="insumo",_xlfn.XLOOKUP($D1226,Insumos!$B$1:$B$996,Insumos!$D$1:$D$996),"")</f>
        <v>3.43</v>
      </c>
      <c r="H1226" s="92">
        <v>3.7654540000000001</v>
      </c>
      <c r="I1226" s="84">
        <v>0</v>
      </c>
      <c r="J1226" s="84">
        <v>0</v>
      </c>
      <c r="K1226" s="84"/>
      <c r="L1226"/>
      <c r="M1226"/>
      <c r="N1226"/>
      <c r="O1226"/>
      <c r="P1226"/>
      <c r="Q1226"/>
      <c r="R1226"/>
      <c r="S1226"/>
      <c r="T1226"/>
      <c r="U1226"/>
      <c r="V1226"/>
      <c r="W1226"/>
      <c r="X1226"/>
      <c r="Y1226"/>
      <c r="Z1226"/>
      <c r="AA1226"/>
      <c r="AB1226"/>
      <c r="AC1226"/>
      <c r="AD1226"/>
      <c r="AE1226"/>
      <c r="AF1226"/>
      <c r="AG1226"/>
      <c r="AH1226"/>
      <c r="AI1226"/>
      <c r="AJ1226"/>
      <c r="AK1226"/>
      <c r="AL1226"/>
    </row>
    <row r="1227" spans="1:38" ht="12.75" outlineLevel="3" x14ac:dyDescent="0.2">
      <c r="A1227" s="82">
        <v>94</v>
      </c>
      <c r="B1227" s="82" t="s">
        <v>71</v>
      </c>
      <c r="C1227" s="82" t="s">
        <v>1777</v>
      </c>
      <c r="D1227" s="82" t="s">
        <v>412</v>
      </c>
      <c r="E1227" s="11" t="str">
        <f t="array" ref="E1227">_xlfn.XLOOKUP(D1227,Insumos!B:B,Insumos!C:$C)</f>
        <v>M</v>
      </c>
      <c r="F1227" s="86">
        <v>2.5026999999999999</v>
      </c>
      <c r="G1227" s="92">
        <f t="array" ref="G1227">IF(B1227="insumo",_xlfn.XLOOKUP($D1227,Insumos!$B$1:$B$996,Insumos!$D$1:$D$996),"")</f>
        <v>0.31</v>
      </c>
      <c r="H1227" s="92">
        <v>0.775837</v>
      </c>
      <c r="I1227" s="84">
        <v>0</v>
      </c>
      <c r="J1227" s="84">
        <v>0</v>
      </c>
      <c r="K1227" s="84"/>
      <c r="L1227"/>
      <c r="M1227"/>
      <c r="N1227"/>
      <c r="O1227"/>
      <c r="P1227"/>
      <c r="Q1227"/>
      <c r="R1227"/>
      <c r="S1227"/>
      <c r="T1227"/>
      <c r="U1227"/>
      <c r="V1227"/>
      <c r="W1227"/>
      <c r="X1227"/>
      <c r="Y1227"/>
      <c r="Z1227"/>
      <c r="AA1227"/>
      <c r="AB1227"/>
      <c r="AC1227"/>
      <c r="AD1227"/>
      <c r="AE1227"/>
      <c r="AF1227"/>
      <c r="AG1227"/>
      <c r="AH1227"/>
      <c r="AI1227"/>
      <c r="AJ1227"/>
      <c r="AK1227"/>
      <c r="AL1227"/>
    </row>
    <row r="1228" spans="1:38" ht="12.75" outlineLevel="3" x14ac:dyDescent="0.2">
      <c r="A1228" s="82">
        <v>94</v>
      </c>
      <c r="B1228" s="82" t="s">
        <v>71</v>
      </c>
      <c r="C1228" s="82" t="s">
        <v>1777</v>
      </c>
      <c r="D1228" s="82" t="s">
        <v>413</v>
      </c>
      <c r="E1228" s="11" t="str">
        <f t="array" ref="E1228">_xlfn.XLOOKUP(D1228,Insumos!B:B,Insumos!C:$C)</f>
        <v>M</v>
      </c>
      <c r="F1228" s="86">
        <v>1.4815</v>
      </c>
      <c r="G1228" s="92">
        <f t="array" ref="G1228">IF(B1228="insumo",_xlfn.XLOOKUP($D1228,Insumos!$B$1:$B$996,Insumos!$D$1:$D$996),"")</f>
        <v>2.74</v>
      </c>
      <c r="H1228" s="92">
        <v>4.05931</v>
      </c>
      <c r="I1228" s="84">
        <v>0</v>
      </c>
      <c r="J1228" s="84">
        <v>0</v>
      </c>
      <c r="K1228" s="84"/>
      <c r="L1228"/>
      <c r="M1228"/>
      <c r="N1228"/>
      <c r="O1228"/>
      <c r="P1228"/>
      <c r="Q1228"/>
      <c r="R1228"/>
      <c r="S1228"/>
      <c r="T1228"/>
      <c r="U1228"/>
      <c r="V1228"/>
      <c r="W1228"/>
      <c r="X1228"/>
      <c r="Y1228"/>
      <c r="Z1228"/>
      <c r="AA1228"/>
      <c r="AB1228"/>
      <c r="AC1228"/>
      <c r="AD1228"/>
      <c r="AE1228"/>
      <c r="AF1228"/>
      <c r="AG1228"/>
      <c r="AH1228"/>
      <c r="AI1228"/>
      <c r="AJ1228"/>
      <c r="AK1228"/>
      <c r="AL1228"/>
    </row>
    <row r="1229" spans="1:38" ht="12.75" outlineLevel="3" x14ac:dyDescent="0.2">
      <c r="A1229" s="82">
        <v>97</v>
      </c>
      <c r="B1229" s="82" t="s">
        <v>71</v>
      </c>
      <c r="C1229" s="82" t="s">
        <v>1777</v>
      </c>
      <c r="D1229" s="82" t="s">
        <v>414</v>
      </c>
      <c r="E1229" s="11" t="str">
        <f t="array" ref="E1229">_xlfn.XLOOKUP(D1229,Insumos!B:B,Insumos!C:$C)</f>
        <v>UN</v>
      </c>
      <c r="F1229" s="86">
        <v>20.186800000000002</v>
      </c>
      <c r="G1229" s="92">
        <f t="array" ref="G1229">IF(B1229="insumo",_xlfn.XLOOKUP($D1229,Insumos!$B$1:$B$996,Insumos!$D$1:$D$996),"")</f>
        <v>0.09</v>
      </c>
      <c r="H1229" s="92">
        <v>1.8168120000000001</v>
      </c>
      <c r="I1229" s="84">
        <v>0</v>
      </c>
      <c r="J1229" s="84">
        <v>0</v>
      </c>
      <c r="K1229" s="84"/>
      <c r="L1229"/>
      <c r="M1229"/>
      <c r="N1229"/>
      <c r="O1229"/>
      <c r="P1229"/>
      <c r="Q1229"/>
      <c r="R1229"/>
      <c r="S1229"/>
      <c r="T1229"/>
      <c r="U1229"/>
      <c r="V1229"/>
      <c r="W1229"/>
      <c r="X1229"/>
      <c r="Y1229"/>
      <c r="Z1229"/>
      <c r="AA1229"/>
      <c r="AB1229"/>
      <c r="AC1229"/>
      <c r="AD1229"/>
      <c r="AE1229"/>
      <c r="AF1229"/>
      <c r="AG1229"/>
      <c r="AH1229"/>
      <c r="AI1229"/>
      <c r="AJ1229"/>
      <c r="AK1229"/>
      <c r="AL1229"/>
    </row>
    <row r="1230" spans="1:38" ht="12.75" outlineLevel="3" x14ac:dyDescent="0.2">
      <c r="A1230" s="82">
        <v>95</v>
      </c>
      <c r="B1230" s="82" t="s">
        <v>71</v>
      </c>
      <c r="C1230" s="82" t="s">
        <v>1777</v>
      </c>
      <c r="D1230" s="82" t="s">
        <v>415</v>
      </c>
      <c r="E1230" s="11" t="str">
        <f t="array" ref="E1230">_xlfn.XLOOKUP(D1230,Insumos!B:B,Insumos!C:$C)</f>
        <v>UN</v>
      </c>
      <c r="F1230" s="86">
        <v>0.4803</v>
      </c>
      <c r="G1230" s="92">
        <f t="array" ref="G1230">IF(B1230="insumo",_xlfn.XLOOKUP($D1230,Insumos!$B$1:$B$996,Insumos!$D$1:$D$996),"")</f>
        <v>0.2</v>
      </c>
      <c r="H1230" s="92">
        <v>9.6060000000000006E-2</v>
      </c>
      <c r="I1230" s="84">
        <v>0</v>
      </c>
      <c r="J1230" s="84">
        <v>0</v>
      </c>
      <c r="K1230" s="84"/>
      <c r="L1230"/>
      <c r="M1230"/>
      <c r="N1230"/>
      <c r="O1230"/>
      <c r="P1230"/>
      <c r="Q1230"/>
      <c r="R1230"/>
      <c r="S1230"/>
      <c r="T1230"/>
      <c r="U1230"/>
      <c r="V1230"/>
      <c r="W1230"/>
      <c r="X1230"/>
      <c r="Y1230"/>
      <c r="Z1230"/>
      <c r="AA1230"/>
      <c r="AB1230"/>
      <c r="AC1230"/>
      <c r="AD1230"/>
      <c r="AE1230"/>
      <c r="AF1230"/>
      <c r="AG1230"/>
      <c r="AH1230"/>
      <c r="AI1230"/>
      <c r="AJ1230"/>
      <c r="AK1230"/>
      <c r="AL1230"/>
    </row>
    <row r="1231" spans="1:38" ht="12.75" outlineLevel="2" x14ac:dyDescent="0.2">
      <c r="A1231" s="1071">
        <v>1</v>
      </c>
      <c r="B1231" s="1071" t="s">
        <v>68</v>
      </c>
      <c r="C1231" s="1071" t="s">
        <v>1778</v>
      </c>
      <c r="D1231" s="1071" t="s">
        <v>1778</v>
      </c>
      <c r="E1231" s="1072" t="s">
        <v>70</v>
      </c>
      <c r="F1231" s="1071"/>
      <c r="G1231" s="1073" t="str">
        <f t="array" ref="G1231">IF(B1231="insumo",_xlfn.XLOOKUP($D1231,Insumos!$B$1:$B$996,Insumos!$D$1:$D$996),"")</f>
        <v/>
      </c>
      <c r="H1231" s="1073">
        <v>182.728995</v>
      </c>
      <c r="I1231" s="1074">
        <v>0</v>
      </c>
      <c r="J1231" s="1074">
        <v>0</v>
      </c>
      <c r="K1231" s="1074"/>
      <c r="L1231"/>
      <c r="M1231"/>
      <c r="N1231"/>
      <c r="O1231"/>
      <c r="P1231"/>
      <c r="Q1231"/>
      <c r="R1231"/>
      <c r="S1231"/>
      <c r="T1231"/>
      <c r="U1231"/>
      <c r="V1231"/>
      <c r="W1231"/>
      <c r="X1231"/>
      <c r="Y1231"/>
      <c r="Z1231"/>
      <c r="AA1231"/>
      <c r="AB1231"/>
      <c r="AC1231"/>
      <c r="AD1231"/>
      <c r="AE1231"/>
      <c r="AF1231"/>
      <c r="AG1231"/>
      <c r="AH1231"/>
      <c r="AI1231"/>
      <c r="AJ1231"/>
      <c r="AK1231"/>
      <c r="AL1231"/>
    </row>
    <row r="1232" spans="1:38" ht="12.75" outlineLevel="3" x14ac:dyDescent="0.2">
      <c r="A1232" s="82">
        <v>86</v>
      </c>
      <c r="B1232" s="82" t="s">
        <v>71</v>
      </c>
      <c r="C1232" s="82" t="s">
        <v>1778</v>
      </c>
      <c r="D1232" s="82" t="s">
        <v>407</v>
      </c>
      <c r="E1232" s="11" t="str">
        <f t="array" ref="E1232">_xlfn.XLOOKUP(D1232,Insumos!B:B,Insumos!C:$C)</f>
        <v>M2</v>
      </c>
      <c r="F1232" s="86">
        <v>1</v>
      </c>
      <c r="G1232" s="92">
        <f t="array" ref="G1232">IF(B1232="insumo",_xlfn.XLOOKUP($D1232,Insumos!$B$1:$B$996,Insumos!$D$1:$D$996),"")</f>
        <v>70</v>
      </c>
      <c r="H1232" s="92">
        <v>70</v>
      </c>
      <c r="I1232" s="84">
        <v>0</v>
      </c>
      <c r="J1232" s="84">
        <v>0</v>
      </c>
      <c r="K1232" s="84"/>
      <c r="L1232"/>
      <c r="M1232"/>
      <c r="N1232"/>
      <c r="O1232"/>
      <c r="P1232"/>
      <c r="Q1232"/>
      <c r="R1232"/>
      <c r="S1232"/>
      <c r="T1232"/>
      <c r="U1232"/>
      <c r="V1232"/>
      <c r="W1232"/>
      <c r="X1232"/>
      <c r="Y1232"/>
      <c r="Z1232"/>
      <c r="AA1232"/>
      <c r="AB1232"/>
      <c r="AC1232"/>
      <c r="AD1232"/>
      <c r="AE1232"/>
      <c r="AF1232"/>
      <c r="AG1232"/>
      <c r="AH1232"/>
      <c r="AI1232"/>
      <c r="AJ1232"/>
      <c r="AK1232"/>
      <c r="AL1232"/>
    </row>
    <row r="1233" spans="1:38" ht="12.75" outlineLevel="3" x14ac:dyDescent="0.2">
      <c r="A1233" s="82">
        <v>49</v>
      </c>
      <c r="B1233" s="82" t="s">
        <v>71</v>
      </c>
      <c r="C1233" s="82" t="s">
        <v>1778</v>
      </c>
      <c r="D1233" s="82" t="s">
        <v>418</v>
      </c>
      <c r="E1233" s="11" t="str">
        <f t="array" ref="E1233">_xlfn.XLOOKUP(D1233,Insumos!B:B,Insumos!C:$C)</f>
        <v>M2</v>
      </c>
      <c r="F1233" s="86">
        <v>2.1059999999999999</v>
      </c>
      <c r="G1233" s="92">
        <f t="array" ref="G1233">IF(B1233="insumo",_xlfn.XLOOKUP($D1233,Insumos!$B$1:$B$996,Insumos!$D$1:$D$996),"")</f>
        <v>27.1</v>
      </c>
      <c r="H1233" s="92">
        <v>57.072600000000001</v>
      </c>
      <c r="I1233" s="84">
        <v>0</v>
      </c>
      <c r="J1233" s="84">
        <v>0</v>
      </c>
      <c r="K1233" s="84"/>
      <c r="L1233"/>
      <c r="M1233"/>
      <c r="N1233"/>
      <c r="O1233"/>
      <c r="P1233"/>
      <c r="Q1233"/>
      <c r="R1233"/>
      <c r="S1233"/>
      <c r="T1233"/>
      <c r="U1233"/>
      <c r="V1233"/>
      <c r="W1233"/>
      <c r="X1233"/>
      <c r="Y1233"/>
      <c r="Z1233"/>
      <c r="AA1233"/>
      <c r="AB1233"/>
      <c r="AC1233"/>
      <c r="AD1233"/>
      <c r="AE1233"/>
      <c r="AF1233"/>
      <c r="AG1233"/>
      <c r="AH1233"/>
      <c r="AI1233"/>
      <c r="AJ1233"/>
      <c r="AK1233"/>
      <c r="AL1233"/>
    </row>
    <row r="1234" spans="1:38" ht="12.75" outlineLevel="3" x14ac:dyDescent="0.2">
      <c r="A1234" s="82">
        <v>95</v>
      </c>
      <c r="B1234" s="82" t="s">
        <v>71</v>
      </c>
      <c r="C1234" s="82" t="s">
        <v>1778</v>
      </c>
      <c r="D1234" s="82" t="s">
        <v>409</v>
      </c>
      <c r="E1234" s="11" t="str">
        <f t="array" ref="E1234">_xlfn.XLOOKUP(D1234,Insumos!B:B,Insumos!C:$C)</f>
        <v>UN</v>
      </c>
      <c r="F1234" s="86">
        <v>4.95</v>
      </c>
      <c r="G1234" s="92">
        <f t="array" ref="G1234">IF(B1234="insumo",_xlfn.XLOOKUP($D1234,Insumos!$B$1:$B$996,Insumos!$D$1:$D$996),"")</f>
        <v>0.504</v>
      </c>
      <c r="H1234" s="92">
        <v>2.4948000000000001</v>
      </c>
      <c r="I1234" s="84">
        <v>0</v>
      </c>
      <c r="J1234" s="84">
        <v>0</v>
      </c>
      <c r="K1234" s="84"/>
      <c r="L1234"/>
      <c r="M1234"/>
      <c r="N1234"/>
      <c r="O1234"/>
      <c r="P1234"/>
      <c r="Q1234"/>
      <c r="R1234"/>
      <c r="S1234"/>
      <c r="T1234"/>
      <c r="U1234"/>
      <c r="V1234"/>
      <c r="W1234"/>
      <c r="X1234"/>
      <c r="Y1234"/>
      <c r="Z1234"/>
      <c r="AA1234"/>
      <c r="AB1234"/>
      <c r="AC1234"/>
      <c r="AD1234"/>
      <c r="AE1234"/>
      <c r="AF1234"/>
      <c r="AG1234"/>
      <c r="AH1234"/>
      <c r="AI1234"/>
      <c r="AJ1234"/>
      <c r="AK1234"/>
      <c r="AL1234"/>
    </row>
    <row r="1235" spans="1:38" ht="12.75" outlineLevel="3" x14ac:dyDescent="0.2">
      <c r="A1235" s="82">
        <v>26</v>
      </c>
      <c r="B1235" s="82" t="s">
        <v>71</v>
      </c>
      <c r="C1235" s="82" t="s">
        <v>1778</v>
      </c>
      <c r="D1235" s="82" t="s">
        <v>410</v>
      </c>
      <c r="E1235" s="11" t="str">
        <f t="array" ref="E1235">_xlfn.XLOOKUP(D1235,Insumos!B:B,Insumos!C:$C)</f>
        <v>M</v>
      </c>
      <c r="F1235" s="86">
        <v>1.5247999999999999</v>
      </c>
      <c r="G1235" s="92">
        <f t="array" ref="G1235">IF(B1235="insumo",_xlfn.XLOOKUP($D1235,Insumos!$B$1:$B$996,Insumos!$D$1:$D$996),"")</f>
        <v>7.03</v>
      </c>
      <c r="H1235" s="92">
        <v>10.719344</v>
      </c>
      <c r="I1235" s="84">
        <v>0</v>
      </c>
      <c r="J1235" s="84">
        <v>0</v>
      </c>
      <c r="K1235" s="84"/>
      <c r="L1235"/>
      <c r="M1235"/>
      <c r="N1235"/>
      <c r="O1235"/>
      <c r="P1235"/>
      <c r="Q1235"/>
      <c r="R1235"/>
      <c r="S1235"/>
      <c r="T1235"/>
      <c r="U1235"/>
      <c r="V1235"/>
      <c r="W1235"/>
      <c r="X1235"/>
      <c r="Y1235"/>
      <c r="Z1235"/>
      <c r="AA1235"/>
      <c r="AB1235"/>
      <c r="AC1235"/>
      <c r="AD1235"/>
      <c r="AE1235"/>
      <c r="AF1235"/>
      <c r="AG1235"/>
      <c r="AH1235"/>
      <c r="AI1235"/>
      <c r="AJ1235"/>
      <c r="AK1235"/>
      <c r="AL1235"/>
    </row>
    <row r="1236" spans="1:38" ht="12.75" outlineLevel="3" x14ac:dyDescent="0.2">
      <c r="A1236" s="82">
        <v>26</v>
      </c>
      <c r="B1236" s="82" t="s">
        <v>71</v>
      </c>
      <c r="C1236" s="82" t="s">
        <v>1778</v>
      </c>
      <c r="D1236" s="82" t="s">
        <v>411</v>
      </c>
      <c r="E1236" s="11" t="str">
        <f t="array" ref="E1236">_xlfn.XLOOKUP(D1236,Insumos!B:B,Insumos!C:$C)</f>
        <v>M</v>
      </c>
      <c r="F1236" s="86">
        <v>4.0011000000000001</v>
      </c>
      <c r="G1236" s="92">
        <f t="array" ref="G1236">IF(B1236="insumo",_xlfn.XLOOKUP($D1236,Insumos!$B$1:$B$996,Insumos!$D$1:$D$996),"")</f>
        <v>7.98</v>
      </c>
      <c r="H1236" s="92">
        <v>31.928778000000001</v>
      </c>
      <c r="I1236" s="84">
        <v>0</v>
      </c>
      <c r="J1236" s="84">
        <v>0</v>
      </c>
      <c r="K1236" s="84"/>
      <c r="L1236"/>
      <c r="M1236"/>
      <c r="N1236"/>
      <c r="O1236"/>
      <c r="P1236"/>
      <c r="Q1236"/>
      <c r="R1236"/>
      <c r="S1236"/>
      <c r="T1236"/>
      <c r="U1236"/>
      <c r="V1236"/>
      <c r="W1236"/>
      <c r="X1236"/>
      <c r="Y1236"/>
      <c r="Z1236"/>
      <c r="AA1236"/>
      <c r="AB1236"/>
      <c r="AC1236"/>
      <c r="AD1236"/>
      <c r="AE1236"/>
      <c r="AF1236"/>
      <c r="AG1236"/>
      <c r="AH1236"/>
      <c r="AI1236"/>
      <c r="AJ1236"/>
      <c r="AK1236"/>
      <c r="AL1236"/>
    </row>
    <row r="1237" spans="1:38" ht="12.75" outlineLevel="3" x14ac:dyDescent="0.2">
      <c r="A1237" s="82">
        <v>95</v>
      </c>
      <c r="B1237" s="82" t="s">
        <v>71</v>
      </c>
      <c r="C1237" s="82" t="s">
        <v>1778</v>
      </c>
      <c r="D1237" s="82" t="s">
        <v>405</v>
      </c>
      <c r="E1237" s="11" t="str">
        <f t="array" ref="E1237">_xlfn.XLOOKUP(D1237,Insumos!B:B,Insumos!C:$C)</f>
        <v>KG</v>
      </c>
      <c r="F1237" s="86">
        <v>1.0978000000000001</v>
      </c>
      <c r="G1237" s="92">
        <f t="array" ref="G1237">IF(B1237="insumo",_xlfn.XLOOKUP($D1237,Insumos!$B$1:$B$996,Insumos!$D$1:$D$996),"")</f>
        <v>3.43</v>
      </c>
      <c r="H1237" s="92">
        <v>3.7654540000000001</v>
      </c>
      <c r="I1237" s="84">
        <v>0</v>
      </c>
      <c r="J1237" s="84">
        <v>0</v>
      </c>
      <c r="K1237" s="84"/>
      <c r="L1237"/>
      <c r="M1237"/>
      <c r="N1237"/>
      <c r="O1237"/>
      <c r="P1237"/>
      <c r="Q1237"/>
      <c r="R1237"/>
      <c r="S1237"/>
      <c r="T1237"/>
      <c r="U1237"/>
      <c r="V1237"/>
      <c r="W1237"/>
      <c r="X1237"/>
      <c r="Y1237"/>
      <c r="Z1237"/>
      <c r="AA1237"/>
      <c r="AB1237"/>
      <c r="AC1237"/>
      <c r="AD1237"/>
      <c r="AE1237"/>
      <c r="AF1237"/>
      <c r="AG1237"/>
      <c r="AH1237"/>
      <c r="AI1237"/>
      <c r="AJ1237"/>
      <c r="AK1237"/>
      <c r="AL1237"/>
    </row>
    <row r="1238" spans="1:38" ht="12.75" outlineLevel="3" x14ac:dyDescent="0.2">
      <c r="A1238" s="82">
        <v>94</v>
      </c>
      <c r="B1238" s="82" t="s">
        <v>71</v>
      </c>
      <c r="C1238" s="82" t="s">
        <v>1778</v>
      </c>
      <c r="D1238" s="82" t="s">
        <v>412</v>
      </c>
      <c r="E1238" s="11" t="str">
        <f t="array" ref="E1238">_xlfn.XLOOKUP(D1238,Insumos!B:B,Insumos!C:$C)</f>
        <v>M</v>
      </c>
      <c r="F1238" s="86">
        <v>2.5026999999999999</v>
      </c>
      <c r="G1238" s="92">
        <f t="array" ref="G1238">IF(B1238="insumo",_xlfn.XLOOKUP($D1238,Insumos!$B$1:$B$996,Insumos!$D$1:$D$996),"")</f>
        <v>0.31</v>
      </c>
      <c r="H1238" s="92">
        <v>0.775837</v>
      </c>
      <c r="I1238" s="84">
        <v>0</v>
      </c>
      <c r="J1238" s="84">
        <v>0</v>
      </c>
      <c r="K1238" s="84"/>
      <c r="L1238"/>
      <c r="M1238"/>
      <c r="N1238"/>
      <c r="O1238"/>
      <c r="P1238"/>
      <c r="Q1238"/>
      <c r="R1238"/>
      <c r="S1238"/>
      <c r="T1238"/>
      <c r="U1238"/>
      <c r="V1238"/>
      <c r="W1238"/>
      <c r="X1238"/>
      <c r="Y1238"/>
      <c r="Z1238"/>
      <c r="AA1238"/>
      <c r="AB1238"/>
      <c r="AC1238"/>
      <c r="AD1238"/>
      <c r="AE1238"/>
      <c r="AF1238"/>
      <c r="AG1238"/>
      <c r="AH1238"/>
      <c r="AI1238"/>
      <c r="AJ1238"/>
      <c r="AK1238"/>
      <c r="AL1238"/>
    </row>
    <row r="1239" spans="1:38" ht="12.75" outlineLevel="3" x14ac:dyDescent="0.2">
      <c r="A1239" s="82">
        <v>94</v>
      </c>
      <c r="B1239" s="82" t="s">
        <v>71</v>
      </c>
      <c r="C1239" s="82" t="s">
        <v>1778</v>
      </c>
      <c r="D1239" s="82" t="s">
        <v>413</v>
      </c>
      <c r="E1239" s="11" t="str">
        <f t="array" ref="E1239">_xlfn.XLOOKUP(D1239,Insumos!B:B,Insumos!C:$C)</f>
        <v>M</v>
      </c>
      <c r="F1239" s="86">
        <v>1.4815</v>
      </c>
      <c r="G1239" s="92">
        <f t="array" ref="G1239">IF(B1239="insumo",_xlfn.XLOOKUP($D1239,Insumos!$B$1:$B$996,Insumos!$D$1:$D$996),"")</f>
        <v>2.74</v>
      </c>
      <c r="H1239" s="92">
        <v>4.05931</v>
      </c>
      <c r="I1239" s="84">
        <v>0</v>
      </c>
      <c r="J1239" s="84">
        <v>0</v>
      </c>
      <c r="K1239" s="84"/>
      <c r="L1239"/>
      <c r="M1239"/>
      <c r="N1239"/>
      <c r="O1239"/>
      <c r="P1239"/>
      <c r="Q1239"/>
      <c r="R1239"/>
      <c r="S1239"/>
      <c r="T1239"/>
      <c r="U1239"/>
      <c r="V1239"/>
      <c r="W1239"/>
      <c r="X1239"/>
      <c r="Y1239"/>
      <c r="Z1239"/>
      <c r="AA1239"/>
      <c r="AB1239"/>
      <c r="AC1239"/>
      <c r="AD1239"/>
      <c r="AE1239"/>
      <c r="AF1239"/>
      <c r="AG1239"/>
      <c r="AH1239"/>
      <c r="AI1239"/>
      <c r="AJ1239"/>
      <c r="AK1239"/>
      <c r="AL1239"/>
    </row>
    <row r="1240" spans="1:38" ht="12.75" outlineLevel="3" x14ac:dyDescent="0.2">
      <c r="A1240" s="82">
        <v>97</v>
      </c>
      <c r="B1240" s="82" t="s">
        <v>71</v>
      </c>
      <c r="C1240" s="82" t="s">
        <v>1778</v>
      </c>
      <c r="D1240" s="82" t="s">
        <v>414</v>
      </c>
      <c r="E1240" s="11" t="str">
        <f t="array" ref="E1240">_xlfn.XLOOKUP(D1240,Insumos!B:B,Insumos!C:$C)</f>
        <v>UN</v>
      </c>
      <c r="F1240" s="86">
        <v>20.186800000000002</v>
      </c>
      <c r="G1240" s="92">
        <f t="array" ref="G1240">IF(B1240="insumo",_xlfn.XLOOKUP($D1240,Insumos!$B$1:$B$996,Insumos!$D$1:$D$996),"")</f>
        <v>0.09</v>
      </c>
      <c r="H1240" s="92">
        <v>1.8168120000000001</v>
      </c>
      <c r="I1240" s="84">
        <v>0</v>
      </c>
      <c r="J1240" s="84">
        <v>0</v>
      </c>
      <c r="K1240" s="84"/>
      <c r="L1240"/>
      <c r="M1240"/>
      <c r="N1240"/>
      <c r="O1240"/>
      <c r="P1240"/>
      <c r="Q1240"/>
      <c r="R1240"/>
      <c r="S1240"/>
      <c r="T1240"/>
      <c r="U1240"/>
      <c r="V1240"/>
      <c r="W1240"/>
      <c r="X1240"/>
      <c r="Y1240"/>
      <c r="Z1240"/>
      <c r="AA1240"/>
      <c r="AB1240"/>
      <c r="AC1240"/>
      <c r="AD1240"/>
      <c r="AE1240"/>
      <c r="AF1240"/>
      <c r="AG1240"/>
      <c r="AH1240"/>
      <c r="AI1240"/>
      <c r="AJ1240"/>
      <c r="AK1240"/>
      <c r="AL1240"/>
    </row>
    <row r="1241" spans="1:38" ht="12.75" outlineLevel="3" x14ac:dyDescent="0.2">
      <c r="A1241" s="82">
        <v>95</v>
      </c>
      <c r="B1241" s="82" t="s">
        <v>71</v>
      </c>
      <c r="C1241" s="82" t="s">
        <v>1778</v>
      </c>
      <c r="D1241" s="82" t="s">
        <v>415</v>
      </c>
      <c r="E1241" s="11" t="str">
        <f t="array" ref="E1241">_xlfn.XLOOKUP(D1241,Insumos!B:B,Insumos!C:$C)</f>
        <v>UN</v>
      </c>
      <c r="F1241" s="86">
        <v>0.4803</v>
      </c>
      <c r="G1241" s="92">
        <f t="array" ref="G1241">IF(B1241="insumo",_xlfn.XLOOKUP($D1241,Insumos!$B$1:$B$996,Insumos!$D$1:$D$996),"")</f>
        <v>0.2</v>
      </c>
      <c r="H1241" s="92">
        <v>9.6060000000000006E-2</v>
      </c>
      <c r="I1241" s="84">
        <v>0</v>
      </c>
      <c r="J1241" s="84">
        <v>0</v>
      </c>
      <c r="K1241" s="84"/>
      <c r="L1241"/>
      <c r="M1241"/>
      <c r="N1241"/>
      <c r="O1241"/>
      <c r="P1241"/>
      <c r="Q1241"/>
      <c r="R1241"/>
      <c r="S1241"/>
      <c r="T1241"/>
      <c r="U1241"/>
      <c r="V1241"/>
      <c r="W1241"/>
      <c r="X1241"/>
      <c r="Y1241"/>
      <c r="Z1241"/>
      <c r="AA1241"/>
      <c r="AB1241"/>
      <c r="AC1241"/>
      <c r="AD1241"/>
      <c r="AE1241"/>
      <c r="AF1241"/>
      <c r="AG1241"/>
      <c r="AH1241"/>
      <c r="AI1241"/>
      <c r="AJ1241"/>
      <c r="AK1241"/>
      <c r="AL1241"/>
    </row>
    <row r="1242" spans="1:38" ht="12.75" outlineLevel="2" x14ac:dyDescent="0.2">
      <c r="A1242" s="1071">
        <v>1</v>
      </c>
      <c r="B1242" s="1071" t="s">
        <v>68</v>
      </c>
      <c r="C1242" s="1071" t="s">
        <v>1779</v>
      </c>
      <c r="D1242" s="1071" t="s">
        <v>1779</v>
      </c>
      <c r="E1242" s="1072" t="s">
        <v>70</v>
      </c>
      <c r="F1242" s="1071"/>
      <c r="G1242" s="1073" t="str">
        <f t="array" ref="G1242">IF(B1242="insumo",_xlfn.XLOOKUP($D1242,Insumos!$B$1:$B$996,Insumos!$D$1:$D$996),"")</f>
        <v/>
      </c>
      <c r="H1242" s="1073">
        <v>189.53270833333301</v>
      </c>
      <c r="I1242" s="1074">
        <v>0</v>
      </c>
      <c r="J1242" s="1074">
        <v>0</v>
      </c>
      <c r="K1242" s="1074"/>
      <c r="L1242"/>
      <c r="M1242"/>
      <c r="N1242"/>
      <c r="O1242"/>
      <c r="P1242"/>
      <c r="Q1242"/>
      <c r="R1242"/>
      <c r="S1242"/>
      <c r="T1242"/>
      <c r="U1242"/>
      <c r="V1242"/>
      <c r="W1242"/>
      <c r="X1242"/>
      <c r="Y1242"/>
      <c r="Z1242"/>
      <c r="AA1242"/>
      <c r="AB1242"/>
      <c r="AC1242"/>
      <c r="AD1242"/>
      <c r="AE1242"/>
      <c r="AF1242"/>
      <c r="AG1242"/>
      <c r="AH1242"/>
      <c r="AI1242"/>
      <c r="AJ1242"/>
      <c r="AK1242"/>
      <c r="AL1242"/>
    </row>
    <row r="1243" spans="1:38" ht="12.75" outlineLevel="3" x14ac:dyDescent="0.2">
      <c r="A1243" s="82">
        <v>86</v>
      </c>
      <c r="B1243" s="82" t="s">
        <v>71</v>
      </c>
      <c r="C1243" s="82" t="s">
        <v>1779</v>
      </c>
      <c r="D1243" s="82" t="s">
        <v>407</v>
      </c>
      <c r="E1243" s="11" t="str">
        <f t="array" ref="E1243">_xlfn.XLOOKUP(D1243,Insumos!B:B,Insumos!C:$C)</f>
        <v>M2</v>
      </c>
      <c r="F1243" s="86">
        <v>1</v>
      </c>
      <c r="G1243" s="92">
        <f t="array" ref="G1243">IF(B1243="insumo",_xlfn.XLOOKUP($D1243,Insumos!$B$1:$B$996,Insumos!$D$1:$D$996),"")</f>
        <v>70</v>
      </c>
      <c r="H1243" s="92">
        <v>70</v>
      </c>
      <c r="I1243" s="84">
        <v>0</v>
      </c>
      <c r="J1243" s="84">
        <v>0</v>
      </c>
      <c r="K1243" s="84"/>
      <c r="L1243"/>
      <c r="M1243"/>
      <c r="N1243"/>
      <c r="O1243"/>
      <c r="P1243"/>
      <c r="Q1243"/>
      <c r="R1243"/>
      <c r="S1243"/>
      <c r="T1243"/>
      <c r="U1243"/>
      <c r="V1243"/>
      <c r="W1243"/>
      <c r="X1243"/>
      <c r="Y1243"/>
      <c r="Z1243"/>
      <c r="AA1243"/>
      <c r="AB1243"/>
      <c r="AC1243"/>
      <c r="AD1243"/>
      <c r="AE1243"/>
      <c r="AF1243"/>
      <c r="AG1243"/>
      <c r="AH1243"/>
      <c r="AI1243"/>
      <c r="AJ1243"/>
      <c r="AK1243"/>
      <c r="AL1243"/>
    </row>
    <row r="1244" spans="1:38" ht="12.75" outlineLevel="3" x14ac:dyDescent="0.2">
      <c r="A1244" s="82">
        <v>47</v>
      </c>
      <c r="B1244" s="82" t="s">
        <v>71</v>
      </c>
      <c r="C1244" s="82" t="s">
        <v>1779</v>
      </c>
      <c r="D1244" s="82" t="s">
        <v>408</v>
      </c>
      <c r="E1244" s="11" t="str">
        <f t="array" ref="E1244">_xlfn.XLOOKUP(D1244,Insumos!B:B,Insumos!C:$C)</f>
        <v>M2</v>
      </c>
      <c r="F1244" s="86">
        <v>1.0529999999999999</v>
      </c>
      <c r="G1244" s="92">
        <f t="array" ref="G1244">IF(B1244="insumo",_xlfn.XLOOKUP($D1244,Insumos!$B$1:$B$996,Insumos!$D$1:$D$996),"")</f>
        <v>20.16</v>
      </c>
      <c r="H1244" s="92">
        <v>21.228480000000001</v>
      </c>
      <c r="I1244" s="84">
        <v>0</v>
      </c>
      <c r="J1244" s="84">
        <v>0</v>
      </c>
      <c r="K1244" s="84"/>
      <c r="L1244"/>
      <c r="M1244"/>
      <c r="N1244"/>
      <c r="O1244"/>
      <c r="P1244"/>
      <c r="Q1244"/>
      <c r="R1244"/>
      <c r="S1244"/>
      <c r="T1244"/>
      <c r="U1244"/>
      <c r="V1244"/>
      <c r="W1244"/>
      <c r="X1244"/>
      <c r="Y1244"/>
      <c r="Z1244"/>
      <c r="AA1244"/>
      <c r="AB1244"/>
      <c r="AC1244"/>
      <c r="AD1244"/>
      <c r="AE1244"/>
      <c r="AF1244"/>
      <c r="AG1244"/>
      <c r="AH1244"/>
      <c r="AI1244"/>
      <c r="AJ1244"/>
      <c r="AK1244"/>
      <c r="AL1244"/>
    </row>
    <row r="1245" spans="1:38" ht="12.75" outlineLevel="3" x14ac:dyDescent="0.2">
      <c r="A1245" s="82">
        <v>49</v>
      </c>
      <c r="B1245" s="82" t="s">
        <v>71</v>
      </c>
      <c r="C1245" s="82" t="s">
        <v>1779</v>
      </c>
      <c r="D1245" s="82" t="s">
        <v>418</v>
      </c>
      <c r="E1245" s="11" t="str">
        <f t="array" ref="E1245">_xlfn.XLOOKUP(D1245,Insumos!B:B,Insumos!C:$C)</f>
        <v>M2</v>
      </c>
      <c r="F1245" s="86">
        <v>1.0529999999999999</v>
      </c>
      <c r="G1245" s="92">
        <f t="array" ref="G1245">IF(B1245="insumo",_xlfn.XLOOKUP($D1245,Insumos!$B$1:$B$996,Insumos!$D$1:$D$996),"")</f>
        <v>27.1</v>
      </c>
      <c r="H1245" s="92">
        <v>28.536300000000001</v>
      </c>
      <c r="I1245" s="84">
        <v>0</v>
      </c>
      <c r="J1245" s="84">
        <v>0</v>
      </c>
      <c r="K1245" s="84"/>
      <c r="L1245"/>
      <c r="M1245"/>
      <c r="N1245"/>
      <c r="O1245"/>
      <c r="P1245"/>
      <c r="Q1245"/>
      <c r="R1245"/>
      <c r="S1245"/>
      <c r="T1245"/>
      <c r="U1245"/>
      <c r="V1245"/>
      <c r="W1245"/>
      <c r="X1245"/>
      <c r="Y1245"/>
      <c r="Z1245"/>
      <c r="AA1245"/>
      <c r="AB1245"/>
      <c r="AC1245"/>
      <c r="AD1245"/>
      <c r="AE1245"/>
      <c r="AF1245"/>
      <c r="AG1245"/>
      <c r="AH1245"/>
      <c r="AI1245"/>
      <c r="AJ1245"/>
      <c r="AK1245"/>
      <c r="AL1245"/>
    </row>
    <row r="1246" spans="1:38" ht="12.75" outlineLevel="3" x14ac:dyDescent="0.2">
      <c r="A1246" s="82">
        <v>95</v>
      </c>
      <c r="B1246" s="82" t="s">
        <v>71</v>
      </c>
      <c r="C1246" s="82" t="s">
        <v>1779</v>
      </c>
      <c r="D1246" s="82" t="s">
        <v>409</v>
      </c>
      <c r="E1246" s="11" t="str">
        <f t="array" ref="E1246">_xlfn.XLOOKUP(D1246,Insumos!B:B,Insumos!C:$C)</f>
        <v>UN</v>
      </c>
      <c r="F1246" s="86">
        <v>4.95</v>
      </c>
      <c r="G1246" s="92">
        <f t="array" ref="G1246">IF(B1246="insumo",_xlfn.XLOOKUP($D1246,Insumos!$B$1:$B$996,Insumos!$D$1:$D$996),"")</f>
        <v>0.504</v>
      </c>
      <c r="H1246" s="92">
        <v>2.4948000000000001</v>
      </c>
      <c r="I1246" s="84">
        <v>0</v>
      </c>
      <c r="J1246" s="84">
        <v>0</v>
      </c>
      <c r="K1246" s="84"/>
      <c r="L1246"/>
      <c r="M1246"/>
      <c r="N1246"/>
      <c r="O1246"/>
      <c r="P1246"/>
      <c r="Q1246"/>
      <c r="R1246"/>
      <c r="S1246"/>
      <c r="T1246"/>
      <c r="U1246"/>
      <c r="V1246"/>
      <c r="W1246"/>
      <c r="X1246"/>
      <c r="Y1246"/>
      <c r="Z1246"/>
      <c r="AA1246"/>
      <c r="AB1246"/>
      <c r="AC1246"/>
      <c r="AD1246"/>
      <c r="AE1246"/>
      <c r="AF1246"/>
      <c r="AG1246"/>
      <c r="AH1246"/>
      <c r="AI1246"/>
      <c r="AJ1246"/>
      <c r="AK1246"/>
      <c r="AL1246"/>
    </row>
    <row r="1247" spans="1:38" ht="12.75" outlineLevel="3" x14ac:dyDescent="0.2">
      <c r="A1247" s="82">
        <v>26</v>
      </c>
      <c r="B1247" s="82" t="s">
        <v>71</v>
      </c>
      <c r="C1247" s="82" t="s">
        <v>1779</v>
      </c>
      <c r="D1247" s="82" t="s">
        <v>410</v>
      </c>
      <c r="E1247" s="11" t="str">
        <f t="array" ref="E1247">_xlfn.XLOOKUP(D1247,Insumos!B:B,Insumos!C:$C)</f>
        <v>M</v>
      </c>
      <c r="F1247" s="86">
        <v>1.5247999999999999</v>
      </c>
      <c r="G1247" s="92">
        <f t="array" ref="G1247">IF(B1247="insumo",_xlfn.XLOOKUP($D1247,Insumos!$B$1:$B$996,Insumos!$D$1:$D$996),"")</f>
        <v>7.03</v>
      </c>
      <c r="H1247" s="92">
        <v>10.719344</v>
      </c>
      <c r="I1247" s="84">
        <v>0</v>
      </c>
      <c r="J1247" s="84">
        <v>0</v>
      </c>
      <c r="K1247" s="84"/>
      <c r="L1247"/>
      <c r="M1247"/>
      <c r="N1247"/>
      <c r="O1247"/>
      <c r="P1247"/>
      <c r="Q1247"/>
      <c r="R1247"/>
      <c r="S1247"/>
      <c r="T1247"/>
      <c r="U1247"/>
      <c r="V1247"/>
      <c r="W1247"/>
      <c r="X1247"/>
      <c r="Y1247"/>
      <c r="Z1247"/>
      <c r="AA1247"/>
      <c r="AB1247"/>
      <c r="AC1247"/>
      <c r="AD1247"/>
      <c r="AE1247"/>
      <c r="AF1247"/>
      <c r="AG1247"/>
      <c r="AH1247"/>
      <c r="AI1247"/>
      <c r="AJ1247"/>
      <c r="AK1247"/>
      <c r="AL1247"/>
    </row>
    <row r="1248" spans="1:38" ht="12.75" outlineLevel="3" x14ac:dyDescent="0.2">
      <c r="A1248" s="82">
        <v>26</v>
      </c>
      <c r="B1248" s="82" t="s">
        <v>71</v>
      </c>
      <c r="C1248" s="82" t="s">
        <v>1779</v>
      </c>
      <c r="D1248" s="82" t="s">
        <v>411</v>
      </c>
      <c r="E1248" s="11" t="str">
        <f t="array" ref="E1248">_xlfn.XLOOKUP(D1248,Insumos!B:B,Insumos!C:$C)</f>
        <v>M</v>
      </c>
      <c r="F1248" s="86">
        <v>4.0011000000000001</v>
      </c>
      <c r="G1248" s="92">
        <f t="array" ref="G1248">IF(B1248="insumo",_xlfn.XLOOKUP($D1248,Insumos!$B$1:$B$996,Insumos!$D$1:$D$996),"")</f>
        <v>7.98</v>
      </c>
      <c r="H1248" s="92">
        <v>31.928778000000001</v>
      </c>
      <c r="I1248" s="84">
        <v>0</v>
      </c>
      <c r="J1248" s="84">
        <v>0</v>
      </c>
      <c r="K1248" s="84"/>
      <c r="L1248"/>
      <c r="M1248"/>
      <c r="N1248"/>
      <c r="O1248"/>
      <c r="P1248"/>
      <c r="Q1248"/>
      <c r="R1248"/>
      <c r="S1248"/>
      <c r="T1248"/>
      <c r="U1248"/>
      <c r="V1248"/>
      <c r="W1248"/>
      <c r="X1248"/>
      <c r="Y1248"/>
      <c r="Z1248"/>
      <c r="AA1248"/>
      <c r="AB1248"/>
      <c r="AC1248"/>
      <c r="AD1248"/>
      <c r="AE1248"/>
      <c r="AF1248"/>
      <c r="AG1248"/>
      <c r="AH1248"/>
      <c r="AI1248"/>
      <c r="AJ1248"/>
      <c r="AK1248"/>
      <c r="AL1248"/>
    </row>
    <row r="1249" spans="1:38" ht="12.75" outlineLevel="3" x14ac:dyDescent="0.2">
      <c r="A1249" s="82">
        <v>95</v>
      </c>
      <c r="B1249" s="82" t="s">
        <v>71</v>
      </c>
      <c r="C1249" s="82" t="s">
        <v>1779</v>
      </c>
      <c r="D1249" s="82" t="s">
        <v>405</v>
      </c>
      <c r="E1249" s="11" t="str">
        <f t="array" ref="E1249">_xlfn.XLOOKUP(D1249,Insumos!B:B,Insumos!C:$C)</f>
        <v>KG</v>
      </c>
      <c r="F1249" s="86">
        <v>1.0978000000000001</v>
      </c>
      <c r="G1249" s="92">
        <f t="array" ref="G1249">IF(B1249="insumo",_xlfn.XLOOKUP($D1249,Insumos!$B$1:$B$996,Insumos!$D$1:$D$996),"")</f>
        <v>3.43</v>
      </c>
      <c r="H1249" s="92">
        <v>3.7654540000000001</v>
      </c>
      <c r="I1249" s="84">
        <v>0</v>
      </c>
      <c r="J1249" s="84">
        <v>0</v>
      </c>
      <c r="K1249" s="84"/>
      <c r="L1249"/>
      <c r="M1249"/>
      <c r="N1249"/>
      <c r="O1249"/>
      <c r="P1249"/>
      <c r="Q1249"/>
      <c r="R1249"/>
      <c r="S1249"/>
      <c r="T1249"/>
      <c r="U1249"/>
      <c r="V1249"/>
      <c r="W1249"/>
      <c r="X1249"/>
      <c r="Y1249"/>
      <c r="Z1249"/>
      <c r="AA1249"/>
      <c r="AB1249"/>
      <c r="AC1249"/>
      <c r="AD1249"/>
      <c r="AE1249"/>
      <c r="AF1249"/>
      <c r="AG1249"/>
      <c r="AH1249"/>
      <c r="AI1249"/>
      <c r="AJ1249"/>
      <c r="AK1249"/>
      <c r="AL1249"/>
    </row>
    <row r="1250" spans="1:38" ht="12.75" outlineLevel="3" x14ac:dyDescent="0.2">
      <c r="A1250" s="82">
        <v>94</v>
      </c>
      <c r="B1250" s="82" t="s">
        <v>71</v>
      </c>
      <c r="C1250" s="82" t="s">
        <v>1779</v>
      </c>
      <c r="D1250" s="82" t="s">
        <v>412</v>
      </c>
      <c r="E1250" s="11" t="str">
        <f t="array" ref="E1250">_xlfn.XLOOKUP(D1250,Insumos!B:B,Insumos!C:$C)</f>
        <v>M</v>
      </c>
      <c r="F1250" s="86">
        <v>2.5026999999999999</v>
      </c>
      <c r="G1250" s="92">
        <f t="array" ref="G1250">IF(B1250="insumo",_xlfn.XLOOKUP($D1250,Insumos!$B$1:$B$996,Insumos!$D$1:$D$996),"")</f>
        <v>0.31</v>
      </c>
      <c r="H1250" s="92">
        <v>0.775837</v>
      </c>
      <c r="I1250" s="84">
        <v>0</v>
      </c>
      <c r="J1250" s="84">
        <v>0</v>
      </c>
      <c r="K1250" s="84"/>
      <c r="L1250"/>
      <c r="M1250"/>
      <c r="N1250"/>
      <c r="O1250"/>
      <c r="P1250"/>
      <c r="Q1250"/>
      <c r="R1250"/>
      <c r="S1250"/>
      <c r="T1250"/>
      <c r="U1250"/>
      <c r="V1250"/>
      <c r="W1250"/>
      <c r="X1250"/>
      <c r="Y1250"/>
      <c r="Z1250"/>
      <c r="AA1250"/>
      <c r="AB1250"/>
      <c r="AC1250"/>
      <c r="AD1250"/>
      <c r="AE1250"/>
      <c r="AF1250"/>
      <c r="AG1250"/>
      <c r="AH1250"/>
      <c r="AI1250"/>
      <c r="AJ1250"/>
      <c r="AK1250"/>
      <c r="AL1250"/>
    </row>
    <row r="1251" spans="1:38" ht="12.75" outlineLevel="3" x14ac:dyDescent="0.2">
      <c r="A1251" s="82">
        <v>94</v>
      </c>
      <c r="B1251" s="82" t="s">
        <v>71</v>
      </c>
      <c r="C1251" s="82" t="s">
        <v>1779</v>
      </c>
      <c r="D1251" s="82" t="s">
        <v>413</v>
      </c>
      <c r="E1251" s="11" t="str">
        <f t="array" ref="E1251">_xlfn.XLOOKUP(D1251,Insumos!B:B,Insumos!C:$C)</f>
        <v>M</v>
      </c>
      <c r="F1251" s="86">
        <v>1.4815</v>
      </c>
      <c r="G1251" s="92">
        <f t="array" ref="G1251">IF(B1251="insumo",_xlfn.XLOOKUP($D1251,Insumos!$B$1:$B$996,Insumos!$D$1:$D$996),"")</f>
        <v>2.74</v>
      </c>
      <c r="H1251" s="92">
        <v>4.05931</v>
      </c>
      <c r="I1251" s="84">
        <v>0</v>
      </c>
      <c r="J1251" s="84">
        <v>0</v>
      </c>
      <c r="K1251" s="84"/>
      <c r="L1251"/>
      <c r="M1251"/>
      <c r="N1251"/>
      <c r="O1251"/>
      <c r="P1251"/>
      <c r="Q1251"/>
      <c r="R1251"/>
      <c r="S1251"/>
      <c r="T1251"/>
      <c r="U1251"/>
      <c r="V1251"/>
      <c r="W1251"/>
      <c r="X1251"/>
      <c r="Y1251"/>
      <c r="Z1251"/>
      <c r="AA1251"/>
      <c r="AB1251"/>
      <c r="AC1251"/>
      <c r="AD1251"/>
      <c r="AE1251"/>
      <c r="AF1251"/>
      <c r="AG1251"/>
      <c r="AH1251"/>
      <c r="AI1251"/>
      <c r="AJ1251"/>
      <c r="AK1251"/>
      <c r="AL1251"/>
    </row>
    <row r="1252" spans="1:38" ht="12.75" outlineLevel="3" x14ac:dyDescent="0.2">
      <c r="A1252" s="82">
        <v>97</v>
      </c>
      <c r="B1252" s="82" t="s">
        <v>71</v>
      </c>
      <c r="C1252" s="82" t="s">
        <v>1779</v>
      </c>
      <c r="D1252" s="82" t="s">
        <v>414</v>
      </c>
      <c r="E1252" s="11" t="str">
        <f t="array" ref="E1252">_xlfn.XLOOKUP(D1252,Insumos!B:B,Insumos!C:$C)</f>
        <v>UN</v>
      </c>
      <c r="F1252" s="86">
        <v>20.186800000000002</v>
      </c>
      <c r="G1252" s="92">
        <f t="array" ref="G1252">IF(B1252="insumo",_xlfn.XLOOKUP($D1252,Insumos!$B$1:$B$996,Insumos!$D$1:$D$996),"")</f>
        <v>0.09</v>
      </c>
      <c r="H1252" s="92">
        <v>1.8168120000000001</v>
      </c>
      <c r="I1252" s="84">
        <v>0</v>
      </c>
      <c r="J1252" s="84">
        <v>0</v>
      </c>
      <c r="K1252" s="84"/>
      <c r="L1252"/>
      <c r="M1252"/>
      <c r="N1252"/>
      <c r="O1252"/>
      <c r="P1252"/>
      <c r="Q1252"/>
      <c r="R1252"/>
      <c r="S1252"/>
      <c r="T1252"/>
      <c r="U1252"/>
      <c r="V1252"/>
      <c r="W1252"/>
      <c r="X1252"/>
      <c r="Y1252"/>
      <c r="Z1252"/>
      <c r="AA1252"/>
      <c r="AB1252"/>
      <c r="AC1252"/>
      <c r="AD1252"/>
      <c r="AE1252"/>
      <c r="AF1252"/>
      <c r="AG1252"/>
      <c r="AH1252"/>
      <c r="AI1252"/>
      <c r="AJ1252"/>
      <c r="AK1252"/>
      <c r="AL1252"/>
    </row>
    <row r="1253" spans="1:38" ht="12.75" outlineLevel="3" x14ac:dyDescent="0.2">
      <c r="A1253" s="82">
        <v>95</v>
      </c>
      <c r="B1253" s="82" t="s">
        <v>71</v>
      </c>
      <c r="C1253" s="82" t="s">
        <v>1779</v>
      </c>
      <c r="D1253" s="82" t="s">
        <v>415</v>
      </c>
      <c r="E1253" s="11" t="str">
        <f t="array" ref="E1253">_xlfn.XLOOKUP(D1253,Insumos!B:B,Insumos!C:$C)</f>
        <v>UN</v>
      </c>
      <c r="F1253" s="86">
        <v>0.4803</v>
      </c>
      <c r="G1253" s="92">
        <f t="array" ref="G1253">IF(B1253="insumo",_xlfn.XLOOKUP($D1253,Insumos!$B$1:$B$996,Insumos!$D$1:$D$996),"")</f>
        <v>0.2</v>
      </c>
      <c r="H1253" s="92">
        <v>9.6060000000000006E-2</v>
      </c>
      <c r="I1253" s="84">
        <v>0</v>
      </c>
      <c r="J1253" s="84">
        <v>0</v>
      </c>
      <c r="K1253" s="84"/>
      <c r="L1253"/>
      <c r="M1253"/>
      <c r="N1253"/>
      <c r="O1253"/>
      <c r="P1253"/>
      <c r="Q1253"/>
      <c r="R1253"/>
      <c r="S1253"/>
      <c r="T1253"/>
      <c r="U1253"/>
      <c r="V1253"/>
      <c r="W1253"/>
      <c r="X1253"/>
      <c r="Y1253"/>
      <c r="Z1253"/>
      <c r="AA1253"/>
      <c r="AB1253"/>
      <c r="AC1253"/>
      <c r="AD1253"/>
      <c r="AE1253"/>
      <c r="AF1253"/>
      <c r="AG1253"/>
      <c r="AH1253"/>
      <c r="AI1253"/>
      <c r="AJ1253"/>
      <c r="AK1253"/>
      <c r="AL1253"/>
    </row>
    <row r="1254" spans="1:38" ht="12.75" outlineLevel="3" x14ac:dyDescent="0.2">
      <c r="A1254" s="82">
        <v>5</v>
      </c>
      <c r="B1254" s="82" t="s">
        <v>71</v>
      </c>
      <c r="C1254" s="82" t="s">
        <v>1779</v>
      </c>
      <c r="D1254" s="82" t="s">
        <v>416</v>
      </c>
      <c r="E1254" s="11" t="str">
        <f t="array" ref="E1254">_xlfn.XLOOKUP(D1254,Insumos!B:B,Insumos!C:$C)</f>
        <v>M2</v>
      </c>
      <c r="F1254" s="86">
        <v>1.1000000000000001</v>
      </c>
      <c r="G1254" s="92">
        <f t="array" ref="G1254">IF(B1254="insumo",_xlfn.XLOOKUP($D1254,Insumos!$B$1:$B$996,Insumos!$D$1:$D$996),"")</f>
        <v>12.828666666666667</v>
      </c>
      <c r="H1254" s="92">
        <v>14.1115333333333</v>
      </c>
      <c r="I1254" s="84">
        <v>0</v>
      </c>
      <c r="J1254" s="84">
        <v>0</v>
      </c>
      <c r="K1254" s="84"/>
      <c r="L1254"/>
      <c r="M1254"/>
      <c r="N1254"/>
      <c r="O1254"/>
      <c r="P1254"/>
      <c r="Q1254"/>
      <c r="R1254"/>
      <c r="S1254"/>
      <c r="T1254"/>
      <c r="U1254"/>
      <c r="V1254"/>
      <c r="W1254"/>
      <c r="X1254"/>
      <c r="Y1254"/>
      <c r="Z1254"/>
      <c r="AA1254"/>
      <c r="AB1254"/>
      <c r="AC1254"/>
      <c r="AD1254"/>
      <c r="AE1254"/>
      <c r="AF1254"/>
      <c r="AG1254"/>
      <c r="AH1254"/>
      <c r="AI1254"/>
      <c r="AJ1254"/>
      <c r="AK1254"/>
      <c r="AL1254"/>
    </row>
    <row r="1255" spans="1:38" ht="12.75" outlineLevel="2" x14ac:dyDescent="0.2">
      <c r="A1255" s="1071">
        <v>1</v>
      </c>
      <c r="B1255" s="1071" t="s">
        <v>68</v>
      </c>
      <c r="C1255" s="1071" t="s">
        <v>1780</v>
      </c>
      <c r="D1255" s="1071" t="s">
        <v>1780</v>
      </c>
      <c r="E1255" s="1072" t="s">
        <v>70</v>
      </c>
      <c r="F1255" s="1071"/>
      <c r="G1255" s="1073" t="str">
        <f t="array" ref="G1255">IF(B1255="insumo",_xlfn.XLOOKUP($D1255,Insumos!$B$1:$B$996,Insumos!$D$1:$D$996),"")</f>
        <v/>
      </c>
      <c r="H1255" s="1073">
        <v>126.743126</v>
      </c>
      <c r="I1255" s="1074">
        <v>0</v>
      </c>
      <c r="J1255" s="1074">
        <v>0</v>
      </c>
      <c r="K1255" s="1074"/>
      <c r="L1255"/>
      <c r="M1255"/>
      <c r="N1255"/>
      <c r="O1255"/>
      <c r="P1255"/>
      <c r="Q1255"/>
      <c r="R1255"/>
      <c r="S1255"/>
      <c r="T1255"/>
      <c r="U1255"/>
      <c r="V1255"/>
      <c r="W1255"/>
      <c r="X1255"/>
      <c r="Y1255"/>
      <c r="Z1255"/>
      <c r="AA1255"/>
      <c r="AB1255"/>
      <c r="AC1255"/>
      <c r="AD1255"/>
      <c r="AE1255"/>
      <c r="AF1255"/>
      <c r="AG1255"/>
      <c r="AH1255"/>
      <c r="AI1255"/>
      <c r="AJ1255"/>
      <c r="AK1255"/>
      <c r="AL1255"/>
    </row>
    <row r="1256" spans="1:38" ht="12.75" outlineLevel="3" x14ac:dyDescent="0.2">
      <c r="A1256" s="82">
        <v>86</v>
      </c>
      <c r="B1256" s="82" t="s">
        <v>71</v>
      </c>
      <c r="C1256" s="82" t="s">
        <v>1780</v>
      </c>
      <c r="D1256" s="82" t="s">
        <v>407</v>
      </c>
      <c r="E1256" s="11" t="str">
        <f t="array" ref="E1256">_xlfn.XLOOKUP(D1256,Insumos!B:B,Insumos!C:$C)</f>
        <v>M2</v>
      </c>
      <c r="F1256" s="86">
        <v>1</v>
      </c>
      <c r="G1256" s="92">
        <f t="array" ref="G1256">IF(B1256="insumo",_xlfn.XLOOKUP($D1256,Insumos!$B$1:$B$996,Insumos!$D$1:$D$996),"")</f>
        <v>70</v>
      </c>
      <c r="H1256" s="92">
        <v>70</v>
      </c>
      <c r="I1256" s="84">
        <v>0</v>
      </c>
      <c r="J1256" s="84">
        <v>0</v>
      </c>
      <c r="K1256" s="84"/>
      <c r="L1256"/>
      <c r="M1256"/>
      <c r="N1256"/>
      <c r="O1256"/>
      <c r="P1256"/>
      <c r="Q1256"/>
      <c r="R1256"/>
      <c r="S1256"/>
      <c r="T1256"/>
      <c r="U1256"/>
      <c r="V1256"/>
      <c r="W1256"/>
      <c r="X1256"/>
      <c r="Y1256"/>
      <c r="Z1256"/>
      <c r="AA1256"/>
      <c r="AB1256"/>
      <c r="AC1256"/>
      <c r="AD1256"/>
      <c r="AE1256"/>
      <c r="AF1256"/>
      <c r="AG1256"/>
      <c r="AH1256"/>
      <c r="AI1256"/>
      <c r="AJ1256"/>
      <c r="AK1256"/>
      <c r="AL1256"/>
    </row>
    <row r="1257" spans="1:38" ht="12.75" outlineLevel="3" x14ac:dyDescent="0.2">
      <c r="A1257" s="82">
        <v>49</v>
      </c>
      <c r="B1257" s="82" t="s">
        <v>71</v>
      </c>
      <c r="C1257" s="82" t="s">
        <v>1780</v>
      </c>
      <c r="D1257" s="82" t="s">
        <v>418</v>
      </c>
      <c r="E1257" s="11" t="str">
        <f t="array" ref="E1257">_xlfn.XLOOKUP(D1257,Insumos!B:B,Insumos!C:$C)</f>
        <v>M2</v>
      </c>
      <c r="F1257" s="86">
        <v>1.0529999999999999</v>
      </c>
      <c r="G1257" s="92">
        <f t="array" ref="G1257">IF(B1257="insumo",_xlfn.XLOOKUP($D1257,Insumos!$B$1:$B$996,Insumos!$D$1:$D$996),"")</f>
        <v>27.1</v>
      </c>
      <c r="H1257" s="92">
        <v>28.536300000000001</v>
      </c>
      <c r="I1257" s="84">
        <v>0</v>
      </c>
      <c r="J1257" s="84">
        <v>0</v>
      </c>
      <c r="K1257" s="84"/>
      <c r="L1257"/>
      <c r="M1257"/>
      <c r="N1257"/>
      <c r="O1257"/>
      <c r="P1257"/>
      <c r="Q1257"/>
      <c r="R1257"/>
      <c r="S1257"/>
      <c r="T1257"/>
      <c r="U1257"/>
      <c r="V1257"/>
      <c r="W1257"/>
      <c r="X1257"/>
      <c r="Y1257"/>
      <c r="Z1257"/>
      <c r="AA1257"/>
      <c r="AB1257"/>
      <c r="AC1257"/>
      <c r="AD1257"/>
      <c r="AE1257"/>
      <c r="AF1257"/>
      <c r="AG1257"/>
      <c r="AH1257"/>
      <c r="AI1257"/>
      <c r="AJ1257"/>
      <c r="AK1257"/>
      <c r="AL1257"/>
    </row>
    <row r="1258" spans="1:38" ht="12.75" outlineLevel="3" x14ac:dyDescent="0.2">
      <c r="A1258" s="82">
        <v>95</v>
      </c>
      <c r="B1258" s="82" t="s">
        <v>71</v>
      </c>
      <c r="C1258" s="82" t="s">
        <v>1780</v>
      </c>
      <c r="D1258" s="82" t="s">
        <v>409</v>
      </c>
      <c r="E1258" s="11" t="str">
        <f t="array" ref="E1258">_xlfn.XLOOKUP(D1258,Insumos!B:B,Insumos!C:$C)</f>
        <v>UN</v>
      </c>
      <c r="F1258" s="86">
        <v>2.48</v>
      </c>
      <c r="G1258" s="92">
        <f t="array" ref="G1258">IF(B1258="insumo",_xlfn.XLOOKUP($D1258,Insumos!$B$1:$B$996,Insumos!$D$1:$D$996),"")</f>
        <v>0.504</v>
      </c>
      <c r="H1258" s="92">
        <v>1.2499199999999999</v>
      </c>
      <c r="I1258" s="84">
        <v>0</v>
      </c>
      <c r="J1258" s="84">
        <v>0</v>
      </c>
      <c r="K1258" s="84"/>
      <c r="L1258"/>
      <c r="M1258"/>
      <c r="N1258"/>
      <c r="O1258"/>
      <c r="P1258"/>
      <c r="Q1258"/>
      <c r="R1258"/>
      <c r="S1258"/>
      <c r="T1258"/>
      <c r="U1258"/>
      <c r="V1258"/>
      <c r="W1258"/>
      <c r="X1258"/>
      <c r="Y1258"/>
      <c r="Z1258"/>
      <c r="AA1258"/>
      <c r="AB1258"/>
      <c r="AC1258"/>
      <c r="AD1258"/>
      <c r="AE1258"/>
      <c r="AF1258"/>
      <c r="AG1258"/>
      <c r="AH1258"/>
      <c r="AI1258"/>
      <c r="AJ1258"/>
      <c r="AK1258"/>
      <c r="AL1258"/>
    </row>
    <row r="1259" spans="1:38" ht="12.75" outlineLevel="3" x14ac:dyDescent="0.2">
      <c r="A1259" s="82">
        <v>43</v>
      </c>
      <c r="B1259" s="82" t="s">
        <v>71</v>
      </c>
      <c r="C1259" s="82" t="s">
        <v>1780</v>
      </c>
      <c r="D1259" s="82" t="s">
        <v>423</v>
      </c>
      <c r="E1259" s="11" t="str">
        <f t="array" ref="E1259">_xlfn.XLOOKUP(D1259,Insumos!B:B,Insumos!C:$C)</f>
        <v>M</v>
      </c>
      <c r="F1259" s="86">
        <v>0.76239999999999997</v>
      </c>
      <c r="G1259" s="92">
        <f t="array" ref="G1259">IF(B1259="insumo",_xlfn.XLOOKUP($D1259,Insumos!$B$1:$B$996,Insumos!$D$1:$D$996),"")</f>
        <v>7.46</v>
      </c>
      <c r="H1259" s="92">
        <v>5.6875039999999997</v>
      </c>
      <c r="I1259" s="84">
        <v>0</v>
      </c>
      <c r="J1259" s="84">
        <v>0</v>
      </c>
      <c r="K1259" s="84"/>
      <c r="L1259"/>
      <c r="M1259"/>
      <c r="N1259"/>
      <c r="O1259"/>
      <c r="P1259"/>
      <c r="Q1259"/>
      <c r="R1259"/>
      <c r="S1259"/>
      <c r="T1259"/>
      <c r="U1259"/>
      <c r="V1259"/>
      <c r="W1259"/>
      <c r="X1259"/>
      <c r="Y1259"/>
      <c r="Z1259"/>
      <c r="AA1259"/>
      <c r="AB1259"/>
      <c r="AC1259"/>
      <c r="AD1259"/>
      <c r="AE1259"/>
      <c r="AF1259"/>
      <c r="AG1259"/>
      <c r="AH1259"/>
      <c r="AI1259"/>
      <c r="AJ1259"/>
      <c r="AK1259"/>
      <c r="AL1259"/>
    </row>
    <row r="1260" spans="1:38" ht="12.75" outlineLevel="3" x14ac:dyDescent="0.2">
      <c r="A1260" s="82">
        <v>43</v>
      </c>
      <c r="B1260" s="82" t="s">
        <v>71</v>
      </c>
      <c r="C1260" s="82" t="s">
        <v>1780</v>
      </c>
      <c r="D1260" s="82" t="s">
        <v>424</v>
      </c>
      <c r="E1260" s="11" t="str">
        <f t="array" ref="E1260">_xlfn.XLOOKUP(D1260,Insumos!B:B,Insumos!C:$C)</f>
        <v>M</v>
      </c>
      <c r="F1260" s="86">
        <v>2.0005999999999999</v>
      </c>
      <c r="G1260" s="92">
        <f t="array" ref="G1260">IF(B1260="insumo",_xlfn.XLOOKUP($D1260,Insumos!$B$1:$B$996,Insumos!$D$1:$D$996),"")</f>
        <v>7.98</v>
      </c>
      <c r="H1260" s="92">
        <v>15.964788</v>
      </c>
      <c r="I1260" s="84">
        <v>0</v>
      </c>
      <c r="J1260" s="84">
        <v>0</v>
      </c>
      <c r="K1260" s="84"/>
      <c r="L1260"/>
      <c r="M1260"/>
      <c r="N1260"/>
      <c r="O1260"/>
      <c r="P1260"/>
      <c r="Q1260"/>
      <c r="R1260"/>
      <c r="S1260"/>
      <c r="T1260"/>
      <c r="U1260"/>
      <c r="V1260"/>
      <c r="W1260"/>
      <c r="X1260"/>
      <c r="Y1260"/>
      <c r="Z1260"/>
      <c r="AA1260"/>
      <c r="AB1260"/>
      <c r="AC1260"/>
      <c r="AD1260"/>
      <c r="AE1260"/>
      <c r="AF1260"/>
      <c r="AG1260"/>
      <c r="AH1260"/>
      <c r="AI1260"/>
      <c r="AJ1260"/>
      <c r="AK1260"/>
      <c r="AL1260"/>
    </row>
    <row r="1261" spans="1:38" ht="12.75" outlineLevel="3" x14ac:dyDescent="0.2">
      <c r="A1261" s="82">
        <v>95</v>
      </c>
      <c r="B1261" s="82" t="s">
        <v>71</v>
      </c>
      <c r="C1261" s="82" t="s">
        <v>1780</v>
      </c>
      <c r="D1261" s="82" t="s">
        <v>405</v>
      </c>
      <c r="E1261" s="11" t="str">
        <f t="array" ref="E1261">_xlfn.XLOOKUP(D1261,Insumos!B:B,Insumos!C:$C)</f>
        <v>KG</v>
      </c>
      <c r="F1261" s="86">
        <v>0.54890000000000005</v>
      </c>
      <c r="G1261" s="92">
        <f t="array" ref="G1261">IF(B1261="insumo",_xlfn.XLOOKUP($D1261,Insumos!$B$1:$B$996,Insumos!$D$1:$D$996),"")</f>
        <v>3.43</v>
      </c>
      <c r="H1261" s="92">
        <v>1.882727</v>
      </c>
      <c r="I1261" s="84">
        <v>0</v>
      </c>
      <c r="J1261" s="84">
        <v>0</v>
      </c>
      <c r="K1261" s="84"/>
      <c r="L1261"/>
      <c r="M1261"/>
      <c r="N1261"/>
      <c r="O1261"/>
      <c r="P1261"/>
      <c r="Q1261"/>
      <c r="R1261"/>
      <c r="S1261"/>
      <c r="T1261"/>
      <c r="U1261"/>
      <c r="V1261"/>
      <c r="W1261"/>
      <c r="X1261"/>
      <c r="Y1261"/>
      <c r="Z1261"/>
      <c r="AA1261"/>
      <c r="AB1261"/>
      <c r="AC1261"/>
      <c r="AD1261"/>
      <c r="AE1261"/>
      <c r="AF1261"/>
      <c r="AG1261"/>
      <c r="AH1261"/>
      <c r="AI1261"/>
      <c r="AJ1261"/>
      <c r="AK1261"/>
      <c r="AL1261"/>
    </row>
    <row r="1262" spans="1:38" ht="12.75" outlineLevel="3" x14ac:dyDescent="0.2">
      <c r="A1262" s="82">
        <v>94</v>
      </c>
      <c r="B1262" s="82" t="s">
        <v>71</v>
      </c>
      <c r="C1262" s="82" t="s">
        <v>1780</v>
      </c>
      <c r="D1262" s="82" t="s">
        <v>412</v>
      </c>
      <c r="E1262" s="11" t="str">
        <f t="array" ref="E1262">_xlfn.XLOOKUP(D1262,Insumos!B:B,Insumos!C:$C)</f>
        <v>M</v>
      </c>
      <c r="F1262" s="86">
        <v>1.2513000000000001</v>
      </c>
      <c r="G1262" s="92">
        <f t="array" ref="G1262">IF(B1262="insumo",_xlfn.XLOOKUP($D1262,Insumos!$B$1:$B$996,Insumos!$D$1:$D$996),"")</f>
        <v>0.31</v>
      </c>
      <c r="H1262" s="92">
        <v>0.387903</v>
      </c>
      <c r="I1262" s="84">
        <v>0</v>
      </c>
      <c r="J1262" s="84">
        <v>0</v>
      </c>
      <c r="K1262" s="84"/>
      <c r="L1262"/>
      <c r="M1262"/>
      <c r="N1262"/>
      <c r="O1262"/>
      <c r="P1262"/>
      <c r="Q1262"/>
      <c r="R1262"/>
      <c r="S1262"/>
      <c r="T1262"/>
      <c r="U1262"/>
      <c r="V1262"/>
      <c r="W1262"/>
      <c r="X1262"/>
      <c r="Y1262"/>
      <c r="Z1262"/>
      <c r="AA1262"/>
      <c r="AB1262"/>
      <c r="AC1262"/>
      <c r="AD1262"/>
      <c r="AE1262"/>
      <c r="AF1262"/>
      <c r="AG1262"/>
      <c r="AH1262"/>
      <c r="AI1262"/>
      <c r="AJ1262"/>
      <c r="AK1262"/>
      <c r="AL1262"/>
    </row>
    <row r="1263" spans="1:38" ht="12.75" outlineLevel="3" x14ac:dyDescent="0.2">
      <c r="A1263" s="82">
        <v>94</v>
      </c>
      <c r="B1263" s="82" t="s">
        <v>71</v>
      </c>
      <c r="C1263" s="82" t="s">
        <v>1780</v>
      </c>
      <c r="D1263" s="82" t="s">
        <v>413</v>
      </c>
      <c r="E1263" s="11" t="str">
        <f t="array" ref="E1263">_xlfn.XLOOKUP(D1263,Insumos!B:B,Insumos!C:$C)</f>
        <v>M</v>
      </c>
      <c r="F1263" s="86">
        <v>0.74070000000000003</v>
      </c>
      <c r="G1263" s="92">
        <f t="array" ref="G1263">IF(B1263="insumo",_xlfn.XLOOKUP($D1263,Insumos!$B$1:$B$996,Insumos!$D$1:$D$996),"")</f>
        <v>2.74</v>
      </c>
      <c r="H1263" s="92">
        <v>2.0295179999999999</v>
      </c>
      <c r="I1263" s="84">
        <v>0</v>
      </c>
      <c r="J1263" s="84">
        <v>0</v>
      </c>
      <c r="K1263" s="84"/>
      <c r="L1263"/>
      <c r="M1263"/>
      <c r="N1263"/>
      <c r="O1263"/>
      <c r="P1263"/>
      <c r="Q1263"/>
      <c r="R1263"/>
      <c r="S1263"/>
      <c r="T1263"/>
      <c r="U1263"/>
      <c r="V1263"/>
      <c r="W1263"/>
      <c r="X1263"/>
      <c r="Y1263"/>
      <c r="Z1263"/>
      <c r="AA1263"/>
      <c r="AB1263"/>
      <c r="AC1263"/>
      <c r="AD1263"/>
      <c r="AE1263"/>
      <c r="AF1263"/>
      <c r="AG1263"/>
      <c r="AH1263"/>
      <c r="AI1263"/>
      <c r="AJ1263"/>
      <c r="AK1263"/>
      <c r="AL1263"/>
    </row>
    <row r="1264" spans="1:38" ht="12.75" outlineLevel="3" x14ac:dyDescent="0.2">
      <c r="A1264" s="82">
        <v>97</v>
      </c>
      <c r="B1264" s="82" t="s">
        <v>71</v>
      </c>
      <c r="C1264" s="82" t="s">
        <v>1780</v>
      </c>
      <c r="D1264" s="82" t="s">
        <v>414</v>
      </c>
      <c r="E1264" s="11" t="str">
        <f t="array" ref="E1264">_xlfn.XLOOKUP(D1264,Insumos!B:B,Insumos!C:$C)</f>
        <v>UN</v>
      </c>
      <c r="F1264" s="86">
        <v>10.093400000000001</v>
      </c>
      <c r="G1264" s="92">
        <f t="array" ref="G1264">IF(B1264="insumo",_xlfn.XLOOKUP($D1264,Insumos!$B$1:$B$996,Insumos!$D$1:$D$996),"")</f>
        <v>0.09</v>
      </c>
      <c r="H1264" s="92">
        <v>0.90840600000000005</v>
      </c>
      <c r="I1264" s="84">
        <v>0</v>
      </c>
      <c r="J1264" s="84">
        <v>0</v>
      </c>
      <c r="K1264" s="84"/>
      <c r="L1264"/>
      <c r="M1264"/>
      <c r="N1264"/>
      <c r="O1264"/>
      <c r="P1264"/>
      <c r="Q1264"/>
      <c r="R1264"/>
      <c r="S1264"/>
      <c r="T1264"/>
      <c r="U1264"/>
      <c r="V1264"/>
      <c r="W1264"/>
      <c r="X1264"/>
      <c r="Y1264"/>
      <c r="Z1264"/>
      <c r="AA1264"/>
      <c r="AB1264"/>
      <c r="AC1264"/>
      <c r="AD1264"/>
      <c r="AE1264"/>
      <c r="AF1264"/>
      <c r="AG1264"/>
      <c r="AH1264"/>
      <c r="AI1264"/>
      <c r="AJ1264"/>
      <c r="AK1264"/>
      <c r="AL1264"/>
    </row>
    <row r="1265" spans="1:38" ht="12.75" outlineLevel="3" x14ac:dyDescent="0.2">
      <c r="A1265" s="82">
        <v>95</v>
      </c>
      <c r="B1265" s="82" t="s">
        <v>71</v>
      </c>
      <c r="C1265" s="82" t="s">
        <v>1780</v>
      </c>
      <c r="D1265" s="82" t="s">
        <v>415</v>
      </c>
      <c r="E1265" s="11" t="str">
        <f t="array" ref="E1265">_xlfn.XLOOKUP(D1265,Insumos!B:B,Insumos!C:$C)</f>
        <v>UN</v>
      </c>
      <c r="F1265" s="86">
        <v>0.4803</v>
      </c>
      <c r="G1265" s="92">
        <f t="array" ref="G1265">IF(B1265="insumo",_xlfn.XLOOKUP($D1265,Insumos!$B$1:$B$996,Insumos!$D$1:$D$996),"")</f>
        <v>0.2</v>
      </c>
      <c r="H1265" s="92">
        <v>9.6060000000000006E-2</v>
      </c>
      <c r="I1265" s="84">
        <v>0</v>
      </c>
      <c r="J1265" s="84">
        <v>0</v>
      </c>
      <c r="K1265" s="84"/>
      <c r="L1265"/>
      <c r="M1265"/>
      <c r="N1265"/>
      <c r="O1265"/>
      <c r="P1265"/>
      <c r="Q1265"/>
      <c r="R1265"/>
      <c r="S1265"/>
      <c r="T1265"/>
      <c r="U1265"/>
      <c r="V1265"/>
      <c r="W1265"/>
      <c r="X1265"/>
      <c r="Y1265"/>
      <c r="Z1265"/>
      <c r="AA1265"/>
      <c r="AB1265"/>
      <c r="AC1265"/>
      <c r="AD1265"/>
      <c r="AE1265"/>
      <c r="AF1265"/>
      <c r="AG1265"/>
      <c r="AH1265"/>
      <c r="AI1265"/>
      <c r="AJ1265"/>
      <c r="AK1265"/>
      <c r="AL1265"/>
    </row>
    <row r="1266" spans="1:38" ht="12.75" outlineLevel="2" x14ac:dyDescent="0.2">
      <c r="A1266" s="1071">
        <v>1</v>
      </c>
      <c r="B1266" s="1071" t="s">
        <v>68</v>
      </c>
      <c r="C1266" s="1071" t="s">
        <v>1781</v>
      </c>
      <c r="D1266" s="1071" t="s">
        <v>1781</v>
      </c>
      <c r="E1266" s="1072" t="s">
        <v>70</v>
      </c>
      <c r="F1266" s="1071"/>
      <c r="G1266" s="1073" t="str">
        <f t="array" ref="G1266">IF(B1266="insumo",_xlfn.XLOOKUP($D1266,Insumos!$B$1:$B$996,Insumos!$D$1:$D$996),"")</f>
        <v/>
      </c>
      <c r="H1266" s="1073">
        <v>168.76901899999999</v>
      </c>
      <c r="I1266" s="1074">
        <v>0</v>
      </c>
      <c r="J1266" s="1074">
        <v>0</v>
      </c>
      <c r="K1266" s="1074"/>
      <c r="L1266"/>
      <c r="M1266"/>
      <c r="N1266"/>
      <c r="O1266"/>
      <c r="P1266"/>
      <c r="Q1266"/>
      <c r="R1266"/>
      <c r="S1266"/>
      <c r="T1266"/>
      <c r="U1266"/>
      <c r="V1266"/>
      <c r="W1266"/>
      <c r="X1266"/>
      <c r="Y1266"/>
      <c r="Z1266"/>
      <c r="AA1266"/>
      <c r="AB1266"/>
      <c r="AC1266"/>
      <c r="AD1266"/>
      <c r="AE1266"/>
      <c r="AF1266"/>
      <c r="AG1266"/>
      <c r="AH1266"/>
      <c r="AI1266"/>
      <c r="AJ1266"/>
      <c r="AK1266"/>
      <c r="AL1266"/>
    </row>
    <row r="1267" spans="1:38" ht="12.75" outlineLevel="3" x14ac:dyDescent="0.2">
      <c r="A1267" s="82">
        <v>86</v>
      </c>
      <c r="B1267" s="82" t="s">
        <v>71</v>
      </c>
      <c r="C1267" s="82" t="s">
        <v>1781</v>
      </c>
      <c r="D1267" s="82" t="s">
        <v>407</v>
      </c>
      <c r="E1267" s="11" t="str">
        <f t="array" ref="E1267">_xlfn.XLOOKUP(D1267,Insumos!B:B,Insumos!C:$C)</f>
        <v>M2</v>
      </c>
      <c r="F1267" s="86">
        <v>1</v>
      </c>
      <c r="G1267" s="92">
        <f t="array" ref="G1267">IF(B1267="insumo",_xlfn.XLOOKUP($D1267,Insumos!$B$1:$B$996,Insumos!$D$1:$D$996),"")</f>
        <v>70</v>
      </c>
      <c r="H1267" s="92">
        <v>70</v>
      </c>
      <c r="I1267" s="84">
        <v>0</v>
      </c>
      <c r="J1267" s="84">
        <v>0</v>
      </c>
      <c r="K1267" s="84"/>
      <c r="L1267"/>
      <c r="M1267"/>
      <c r="N1267"/>
      <c r="O1267"/>
      <c r="P1267"/>
      <c r="Q1267"/>
      <c r="R1267"/>
      <c r="S1267"/>
      <c r="T1267"/>
      <c r="U1267"/>
      <c r="V1267"/>
      <c r="W1267"/>
      <c r="X1267"/>
      <c r="Y1267"/>
      <c r="Z1267"/>
      <c r="AA1267"/>
      <c r="AB1267"/>
      <c r="AC1267"/>
      <c r="AD1267"/>
      <c r="AE1267"/>
      <c r="AF1267"/>
      <c r="AG1267"/>
      <c r="AH1267"/>
      <c r="AI1267"/>
      <c r="AJ1267"/>
      <c r="AK1267"/>
      <c r="AL1267"/>
    </row>
    <row r="1268" spans="1:38" ht="12.75" outlineLevel="3" x14ac:dyDescent="0.2">
      <c r="A1268" s="82">
        <v>47</v>
      </c>
      <c r="B1268" s="82" t="s">
        <v>71</v>
      </c>
      <c r="C1268" s="82" t="s">
        <v>1781</v>
      </c>
      <c r="D1268" s="82" t="s">
        <v>408</v>
      </c>
      <c r="E1268" s="11" t="str">
        <f t="array" ref="E1268">_xlfn.XLOOKUP(D1268,Insumos!B:B,Insumos!C:$C)</f>
        <v>M2</v>
      </c>
      <c r="F1268" s="86">
        <v>2.1059999999999999</v>
      </c>
      <c r="G1268" s="92">
        <f t="array" ref="G1268">IF(B1268="insumo",_xlfn.XLOOKUP($D1268,Insumos!$B$1:$B$996,Insumos!$D$1:$D$996),"")</f>
        <v>20.16</v>
      </c>
      <c r="H1268" s="92">
        <v>42.456960000000002</v>
      </c>
      <c r="I1268" s="84">
        <v>0</v>
      </c>
      <c r="J1268" s="84">
        <v>0</v>
      </c>
      <c r="K1268" s="84"/>
      <c r="L1268"/>
      <c r="M1268"/>
      <c r="N1268"/>
      <c r="O1268"/>
      <c r="P1268"/>
      <c r="Q1268"/>
      <c r="R1268"/>
      <c r="S1268"/>
      <c r="T1268"/>
      <c r="U1268"/>
      <c r="V1268"/>
      <c r="W1268"/>
      <c r="X1268"/>
      <c r="Y1268"/>
      <c r="Z1268"/>
      <c r="AA1268"/>
      <c r="AB1268"/>
      <c r="AC1268"/>
      <c r="AD1268"/>
      <c r="AE1268"/>
      <c r="AF1268"/>
      <c r="AG1268"/>
      <c r="AH1268"/>
      <c r="AI1268"/>
      <c r="AJ1268"/>
      <c r="AK1268"/>
      <c r="AL1268"/>
    </row>
    <row r="1269" spans="1:38" ht="12.75" outlineLevel="3" x14ac:dyDescent="0.2">
      <c r="A1269" s="82">
        <v>95</v>
      </c>
      <c r="B1269" s="82" t="s">
        <v>71</v>
      </c>
      <c r="C1269" s="82" t="s">
        <v>1781</v>
      </c>
      <c r="D1269" s="82" t="s">
        <v>409</v>
      </c>
      <c r="E1269" s="11" t="str">
        <f t="array" ref="E1269">_xlfn.XLOOKUP(D1269,Insumos!B:B,Insumos!C:$C)</f>
        <v>UN</v>
      </c>
      <c r="F1269" s="86">
        <v>4.95</v>
      </c>
      <c r="G1269" s="92">
        <f t="array" ref="G1269">IF(B1269="insumo",_xlfn.XLOOKUP($D1269,Insumos!$B$1:$B$996,Insumos!$D$1:$D$996),"")</f>
        <v>0.504</v>
      </c>
      <c r="H1269" s="92">
        <v>2.4948000000000001</v>
      </c>
      <c r="I1269" s="84">
        <v>0</v>
      </c>
      <c r="J1269" s="84">
        <v>0</v>
      </c>
      <c r="K1269" s="84"/>
      <c r="L1269"/>
      <c r="M1269"/>
      <c r="N1269"/>
      <c r="O1269"/>
      <c r="P1269"/>
      <c r="Q1269"/>
      <c r="R1269"/>
      <c r="S1269"/>
      <c r="T1269"/>
      <c r="U1269"/>
      <c r="V1269"/>
      <c r="W1269"/>
      <c r="X1269"/>
      <c r="Y1269"/>
      <c r="Z1269"/>
      <c r="AA1269"/>
      <c r="AB1269"/>
      <c r="AC1269"/>
      <c r="AD1269"/>
      <c r="AE1269"/>
      <c r="AF1269"/>
      <c r="AG1269"/>
      <c r="AH1269"/>
      <c r="AI1269"/>
      <c r="AJ1269"/>
      <c r="AK1269"/>
      <c r="AL1269"/>
    </row>
    <row r="1270" spans="1:38" ht="12.75" outlineLevel="3" x14ac:dyDescent="0.2">
      <c r="A1270" s="82">
        <v>43</v>
      </c>
      <c r="B1270" s="82" t="s">
        <v>71</v>
      </c>
      <c r="C1270" s="82" t="s">
        <v>1781</v>
      </c>
      <c r="D1270" s="82" t="s">
        <v>423</v>
      </c>
      <c r="E1270" s="11" t="str">
        <f t="array" ref="E1270">_xlfn.XLOOKUP(D1270,Insumos!B:B,Insumos!C:$C)</f>
        <v>M</v>
      </c>
      <c r="F1270" s="86">
        <v>1.5247999999999999</v>
      </c>
      <c r="G1270" s="92">
        <f t="array" ref="G1270">IF(B1270="insumo",_xlfn.XLOOKUP($D1270,Insumos!$B$1:$B$996,Insumos!$D$1:$D$996),"")</f>
        <v>7.46</v>
      </c>
      <c r="H1270" s="92">
        <v>11.375007999999999</v>
      </c>
      <c r="I1270" s="84">
        <v>0</v>
      </c>
      <c r="J1270" s="84">
        <v>0</v>
      </c>
      <c r="K1270" s="84"/>
      <c r="L1270"/>
      <c r="M1270"/>
      <c r="N1270"/>
      <c r="O1270"/>
      <c r="P1270"/>
      <c r="Q1270"/>
      <c r="R1270"/>
      <c r="S1270"/>
      <c r="T1270"/>
      <c r="U1270"/>
      <c r="V1270"/>
      <c r="W1270"/>
      <c r="X1270"/>
      <c r="Y1270"/>
      <c r="Z1270"/>
      <c r="AA1270"/>
      <c r="AB1270"/>
      <c r="AC1270"/>
      <c r="AD1270"/>
      <c r="AE1270"/>
      <c r="AF1270"/>
      <c r="AG1270"/>
      <c r="AH1270"/>
      <c r="AI1270"/>
      <c r="AJ1270"/>
      <c r="AK1270"/>
      <c r="AL1270"/>
    </row>
    <row r="1271" spans="1:38" ht="12.75" outlineLevel="3" x14ac:dyDescent="0.2">
      <c r="A1271" s="82">
        <v>43</v>
      </c>
      <c r="B1271" s="82" t="s">
        <v>71</v>
      </c>
      <c r="C1271" s="82" t="s">
        <v>1781</v>
      </c>
      <c r="D1271" s="82" t="s">
        <v>424</v>
      </c>
      <c r="E1271" s="11" t="str">
        <f t="array" ref="E1271">_xlfn.XLOOKUP(D1271,Insumos!B:B,Insumos!C:$C)</f>
        <v>M</v>
      </c>
      <c r="F1271" s="86">
        <v>4.0011000000000001</v>
      </c>
      <c r="G1271" s="92">
        <f t="array" ref="G1271">IF(B1271="insumo",_xlfn.XLOOKUP($D1271,Insumos!$B$1:$B$996,Insumos!$D$1:$D$996),"")</f>
        <v>7.98</v>
      </c>
      <c r="H1271" s="92">
        <v>31.928778000000001</v>
      </c>
      <c r="I1271" s="84">
        <v>0</v>
      </c>
      <c r="J1271" s="84">
        <v>0</v>
      </c>
      <c r="K1271" s="84"/>
      <c r="L1271"/>
      <c r="M1271"/>
      <c r="N1271"/>
      <c r="O1271"/>
      <c r="P1271"/>
      <c r="Q1271"/>
      <c r="R1271"/>
      <c r="S1271"/>
      <c r="T1271"/>
      <c r="U1271"/>
      <c r="V1271"/>
      <c r="W1271"/>
      <c r="X1271"/>
      <c r="Y1271"/>
      <c r="Z1271"/>
      <c r="AA1271"/>
      <c r="AB1271"/>
      <c r="AC1271"/>
      <c r="AD1271"/>
      <c r="AE1271"/>
      <c r="AF1271"/>
      <c r="AG1271"/>
      <c r="AH1271"/>
      <c r="AI1271"/>
      <c r="AJ1271"/>
      <c r="AK1271"/>
      <c r="AL1271"/>
    </row>
    <row r="1272" spans="1:38" ht="12.75" outlineLevel="3" x14ac:dyDescent="0.2">
      <c r="A1272" s="82">
        <v>95</v>
      </c>
      <c r="B1272" s="82" t="s">
        <v>71</v>
      </c>
      <c r="C1272" s="82" t="s">
        <v>1781</v>
      </c>
      <c r="D1272" s="82" t="s">
        <v>405</v>
      </c>
      <c r="E1272" s="11" t="str">
        <f t="array" ref="E1272">_xlfn.XLOOKUP(D1272,Insumos!B:B,Insumos!C:$C)</f>
        <v>KG</v>
      </c>
      <c r="F1272" s="86">
        <v>1.0978000000000001</v>
      </c>
      <c r="G1272" s="92">
        <f t="array" ref="G1272">IF(B1272="insumo",_xlfn.XLOOKUP($D1272,Insumos!$B$1:$B$996,Insumos!$D$1:$D$996),"")</f>
        <v>3.43</v>
      </c>
      <c r="H1272" s="92">
        <v>3.7654540000000001</v>
      </c>
      <c r="I1272" s="84">
        <v>0</v>
      </c>
      <c r="J1272" s="84">
        <v>0</v>
      </c>
      <c r="K1272" s="84"/>
      <c r="L1272"/>
      <c r="M1272"/>
      <c r="N1272"/>
      <c r="O1272"/>
      <c r="P1272"/>
      <c r="Q1272"/>
      <c r="R1272"/>
      <c r="S1272"/>
      <c r="T1272"/>
      <c r="U1272"/>
      <c r="V1272"/>
      <c r="W1272"/>
      <c r="X1272"/>
      <c r="Y1272"/>
      <c r="Z1272"/>
      <c r="AA1272"/>
      <c r="AB1272"/>
      <c r="AC1272"/>
      <c r="AD1272"/>
      <c r="AE1272"/>
      <c r="AF1272"/>
      <c r="AG1272"/>
      <c r="AH1272"/>
      <c r="AI1272"/>
      <c r="AJ1272"/>
      <c r="AK1272"/>
      <c r="AL1272"/>
    </row>
    <row r="1273" spans="1:38" ht="12.75" outlineLevel="3" x14ac:dyDescent="0.2">
      <c r="A1273" s="82">
        <v>94</v>
      </c>
      <c r="B1273" s="82" t="s">
        <v>71</v>
      </c>
      <c r="C1273" s="82" t="s">
        <v>1781</v>
      </c>
      <c r="D1273" s="82" t="s">
        <v>412</v>
      </c>
      <c r="E1273" s="11" t="str">
        <f t="array" ref="E1273">_xlfn.XLOOKUP(D1273,Insumos!B:B,Insumos!C:$C)</f>
        <v>M</v>
      </c>
      <c r="F1273" s="86">
        <v>2.5026999999999999</v>
      </c>
      <c r="G1273" s="92">
        <f t="array" ref="G1273">IF(B1273="insumo",_xlfn.XLOOKUP($D1273,Insumos!$B$1:$B$996,Insumos!$D$1:$D$996),"")</f>
        <v>0.31</v>
      </c>
      <c r="H1273" s="92">
        <v>0.775837</v>
      </c>
      <c r="I1273" s="84">
        <v>0</v>
      </c>
      <c r="J1273" s="84">
        <v>0</v>
      </c>
      <c r="K1273" s="84"/>
      <c r="L1273"/>
      <c r="M1273"/>
      <c r="N1273"/>
      <c r="O1273"/>
      <c r="P1273"/>
      <c r="Q1273"/>
      <c r="R1273"/>
      <c r="S1273"/>
      <c r="T1273"/>
      <c r="U1273"/>
      <c r="V1273"/>
      <c r="W1273"/>
      <c r="X1273"/>
      <c r="Y1273"/>
      <c r="Z1273"/>
      <c r="AA1273"/>
      <c r="AB1273"/>
      <c r="AC1273"/>
      <c r="AD1273"/>
      <c r="AE1273"/>
      <c r="AF1273"/>
      <c r="AG1273"/>
      <c r="AH1273"/>
      <c r="AI1273"/>
      <c r="AJ1273"/>
      <c r="AK1273"/>
      <c r="AL1273"/>
    </row>
    <row r="1274" spans="1:38" ht="12.75" outlineLevel="3" x14ac:dyDescent="0.2">
      <c r="A1274" s="82">
        <v>94</v>
      </c>
      <c r="B1274" s="82" t="s">
        <v>71</v>
      </c>
      <c r="C1274" s="82" t="s">
        <v>1781</v>
      </c>
      <c r="D1274" s="82" t="s">
        <v>413</v>
      </c>
      <c r="E1274" s="11" t="str">
        <f t="array" ref="E1274">_xlfn.XLOOKUP(D1274,Insumos!B:B,Insumos!C:$C)</f>
        <v>M</v>
      </c>
      <c r="F1274" s="86">
        <v>1.4815</v>
      </c>
      <c r="G1274" s="92">
        <f t="array" ref="G1274">IF(B1274="insumo",_xlfn.XLOOKUP($D1274,Insumos!$B$1:$B$996,Insumos!$D$1:$D$996),"")</f>
        <v>2.74</v>
      </c>
      <c r="H1274" s="92">
        <v>4.05931</v>
      </c>
      <c r="I1274" s="84">
        <v>0</v>
      </c>
      <c r="J1274" s="84">
        <v>0</v>
      </c>
      <c r="K1274" s="84"/>
      <c r="L1274"/>
      <c r="M1274"/>
      <c r="N1274"/>
      <c r="O1274"/>
      <c r="P1274"/>
      <c r="Q1274"/>
      <c r="R1274"/>
      <c r="S1274"/>
      <c r="T1274"/>
      <c r="U1274"/>
      <c r="V1274"/>
      <c r="W1274"/>
      <c r="X1274"/>
      <c r="Y1274"/>
      <c r="Z1274"/>
      <c r="AA1274"/>
      <c r="AB1274"/>
      <c r="AC1274"/>
      <c r="AD1274"/>
      <c r="AE1274"/>
      <c r="AF1274"/>
      <c r="AG1274"/>
      <c r="AH1274"/>
      <c r="AI1274"/>
      <c r="AJ1274"/>
      <c r="AK1274"/>
      <c r="AL1274"/>
    </row>
    <row r="1275" spans="1:38" ht="12.75" outlineLevel="3" x14ac:dyDescent="0.2">
      <c r="A1275" s="82">
        <v>97</v>
      </c>
      <c r="B1275" s="82" t="s">
        <v>71</v>
      </c>
      <c r="C1275" s="82" t="s">
        <v>1781</v>
      </c>
      <c r="D1275" s="82" t="s">
        <v>414</v>
      </c>
      <c r="E1275" s="11" t="str">
        <f t="array" ref="E1275">_xlfn.XLOOKUP(D1275,Insumos!B:B,Insumos!C:$C)</f>
        <v>UN</v>
      </c>
      <c r="F1275" s="86">
        <v>20.186800000000002</v>
      </c>
      <c r="G1275" s="92">
        <f t="array" ref="G1275">IF(B1275="insumo",_xlfn.XLOOKUP($D1275,Insumos!$B$1:$B$996,Insumos!$D$1:$D$996),"")</f>
        <v>0.09</v>
      </c>
      <c r="H1275" s="92">
        <v>1.8168120000000001</v>
      </c>
      <c r="I1275" s="84">
        <v>0</v>
      </c>
      <c r="J1275" s="84">
        <v>0</v>
      </c>
      <c r="K1275" s="84"/>
      <c r="L1275"/>
      <c r="M1275"/>
      <c r="N1275"/>
      <c r="O1275"/>
      <c r="P1275"/>
      <c r="Q1275"/>
      <c r="R1275"/>
      <c r="S1275"/>
      <c r="T1275"/>
      <c r="U1275"/>
      <c r="V1275"/>
      <c r="W1275"/>
      <c r="X1275"/>
      <c r="Y1275"/>
      <c r="Z1275"/>
      <c r="AA1275"/>
      <c r="AB1275"/>
      <c r="AC1275"/>
      <c r="AD1275"/>
      <c r="AE1275"/>
      <c r="AF1275"/>
      <c r="AG1275"/>
      <c r="AH1275"/>
      <c r="AI1275"/>
      <c r="AJ1275"/>
      <c r="AK1275"/>
      <c r="AL1275"/>
    </row>
    <row r="1276" spans="1:38" ht="12.75" outlineLevel="3" x14ac:dyDescent="0.2">
      <c r="A1276" s="82">
        <v>95</v>
      </c>
      <c r="B1276" s="82" t="s">
        <v>71</v>
      </c>
      <c r="C1276" s="82" t="s">
        <v>1781</v>
      </c>
      <c r="D1276" s="82" t="s">
        <v>415</v>
      </c>
      <c r="E1276" s="11" t="str">
        <f t="array" ref="E1276">_xlfn.XLOOKUP(D1276,Insumos!B:B,Insumos!C:$C)</f>
        <v>UN</v>
      </c>
      <c r="F1276" s="86">
        <v>0.4803</v>
      </c>
      <c r="G1276" s="92">
        <f t="array" ref="G1276">IF(B1276="insumo",_xlfn.XLOOKUP($D1276,Insumos!$B$1:$B$996,Insumos!$D$1:$D$996),"")</f>
        <v>0.2</v>
      </c>
      <c r="H1276" s="92">
        <v>9.6060000000000006E-2</v>
      </c>
      <c r="I1276" s="84">
        <v>0</v>
      </c>
      <c r="J1276" s="84">
        <v>0</v>
      </c>
      <c r="K1276" s="84"/>
      <c r="L1276"/>
      <c r="M1276"/>
      <c r="N1276"/>
      <c r="O1276"/>
      <c r="P1276"/>
      <c r="Q1276"/>
      <c r="R1276"/>
      <c r="S1276"/>
      <c r="T1276"/>
      <c r="U1276"/>
      <c r="V1276"/>
      <c r="W1276"/>
      <c r="X1276"/>
      <c r="Y1276"/>
      <c r="Z1276"/>
      <c r="AA1276"/>
      <c r="AB1276"/>
      <c r="AC1276"/>
      <c r="AD1276"/>
      <c r="AE1276"/>
      <c r="AF1276"/>
      <c r="AG1276"/>
      <c r="AH1276"/>
      <c r="AI1276"/>
      <c r="AJ1276"/>
      <c r="AK1276"/>
      <c r="AL1276"/>
    </row>
    <row r="1277" spans="1:38" ht="12.75" outlineLevel="2" x14ac:dyDescent="0.2">
      <c r="A1277" s="1071">
        <v>1</v>
      </c>
      <c r="B1277" s="1071" t="s">
        <v>68</v>
      </c>
      <c r="C1277" s="1071" t="s">
        <v>1782</v>
      </c>
      <c r="D1277" s="1071" t="s">
        <v>1782</v>
      </c>
      <c r="E1277" s="1072" t="s">
        <v>70</v>
      </c>
      <c r="F1277" s="1071"/>
      <c r="G1277" s="1073" t="str">
        <f t="array" ref="G1277">IF(B1277="insumo",_xlfn.XLOOKUP($D1277,Insumos!$B$1:$B$996,Insumos!$D$1:$D$996),"")</f>
        <v/>
      </c>
      <c r="H1277" s="1073">
        <v>183.384659</v>
      </c>
      <c r="I1277" s="1074">
        <v>0</v>
      </c>
      <c r="J1277" s="1074">
        <v>0</v>
      </c>
      <c r="K1277" s="1074"/>
      <c r="L1277"/>
      <c r="M1277"/>
      <c r="N1277"/>
      <c r="O1277"/>
      <c r="P1277"/>
      <c r="Q1277"/>
      <c r="R1277"/>
      <c r="S1277"/>
      <c r="T1277"/>
      <c r="U1277"/>
      <c r="V1277"/>
      <c r="W1277"/>
      <c r="X1277"/>
      <c r="Y1277"/>
      <c r="Z1277"/>
      <c r="AA1277"/>
      <c r="AB1277"/>
      <c r="AC1277"/>
      <c r="AD1277"/>
      <c r="AE1277"/>
      <c r="AF1277"/>
      <c r="AG1277"/>
      <c r="AH1277"/>
      <c r="AI1277"/>
      <c r="AJ1277"/>
      <c r="AK1277"/>
      <c r="AL1277"/>
    </row>
    <row r="1278" spans="1:38" ht="12.75" outlineLevel="3" x14ac:dyDescent="0.2">
      <c r="A1278" s="82">
        <v>86</v>
      </c>
      <c r="B1278" s="82" t="s">
        <v>71</v>
      </c>
      <c r="C1278" s="82" t="s">
        <v>1782</v>
      </c>
      <c r="D1278" s="82" t="s">
        <v>407</v>
      </c>
      <c r="E1278" s="11" t="str">
        <f t="array" ref="E1278">_xlfn.XLOOKUP(D1278,Insumos!B:B,Insumos!C:$C)</f>
        <v>M2</v>
      </c>
      <c r="F1278" s="86">
        <v>1</v>
      </c>
      <c r="G1278" s="92">
        <f t="array" ref="G1278">IF(B1278="insumo",_xlfn.XLOOKUP($D1278,Insumos!$B$1:$B$996,Insumos!$D$1:$D$996),"")</f>
        <v>70</v>
      </c>
      <c r="H1278" s="92">
        <v>70</v>
      </c>
      <c r="I1278" s="84">
        <v>0</v>
      </c>
      <c r="J1278" s="84">
        <v>0</v>
      </c>
      <c r="K1278" s="84"/>
      <c r="L1278"/>
      <c r="M1278"/>
      <c r="N1278"/>
      <c r="O1278"/>
      <c r="P1278"/>
      <c r="Q1278"/>
      <c r="R1278"/>
      <c r="S1278"/>
      <c r="T1278"/>
      <c r="U1278"/>
      <c r="V1278"/>
      <c r="W1278"/>
      <c r="X1278"/>
      <c r="Y1278"/>
      <c r="Z1278"/>
      <c r="AA1278"/>
      <c r="AB1278"/>
      <c r="AC1278"/>
      <c r="AD1278"/>
      <c r="AE1278"/>
      <c r="AF1278"/>
      <c r="AG1278"/>
      <c r="AH1278"/>
      <c r="AI1278"/>
      <c r="AJ1278"/>
      <c r="AK1278"/>
      <c r="AL1278"/>
    </row>
    <row r="1279" spans="1:38" ht="12.75" outlineLevel="3" x14ac:dyDescent="0.2">
      <c r="A1279" s="82">
        <v>49</v>
      </c>
      <c r="B1279" s="82" t="s">
        <v>71</v>
      </c>
      <c r="C1279" s="82" t="s">
        <v>1782</v>
      </c>
      <c r="D1279" s="82" t="s">
        <v>418</v>
      </c>
      <c r="E1279" s="11" t="str">
        <f t="array" ref="E1279">_xlfn.XLOOKUP(D1279,Insumos!B:B,Insumos!C:$C)</f>
        <v>M2</v>
      </c>
      <c r="F1279" s="86">
        <v>2.1059999999999999</v>
      </c>
      <c r="G1279" s="92">
        <f t="array" ref="G1279">IF(B1279="insumo",_xlfn.XLOOKUP($D1279,Insumos!$B$1:$B$996,Insumos!$D$1:$D$996),"")</f>
        <v>27.1</v>
      </c>
      <c r="H1279" s="92">
        <v>57.072600000000001</v>
      </c>
      <c r="I1279" s="84">
        <v>0</v>
      </c>
      <c r="J1279" s="84">
        <v>0</v>
      </c>
      <c r="K1279" s="84"/>
      <c r="L1279"/>
      <c r="M1279"/>
      <c r="N1279"/>
      <c r="O1279"/>
      <c r="P1279"/>
      <c r="Q1279"/>
      <c r="R1279"/>
      <c r="S1279"/>
      <c r="T1279"/>
      <c r="U1279"/>
      <c r="V1279"/>
      <c r="W1279"/>
      <c r="X1279"/>
      <c r="Y1279"/>
      <c r="Z1279"/>
      <c r="AA1279"/>
      <c r="AB1279"/>
      <c r="AC1279"/>
      <c r="AD1279"/>
      <c r="AE1279"/>
      <c r="AF1279"/>
      <c r="AG1279"/>
      <c r="AH1279"/>
      <c r="AI1279"/>
      <c r="AJ1279"/>
      <c r="AK1279"/>
      <c r="AL1279"/>
    </row>
    <row r="1280" spans="1:38" ht="12.75" outlineLevel="3" x14ac:dyDescent="0.2">
      <c r="A1280" s="82">
        <v>95</v>
      </c>
      <c r="B1280" s="82" t="s">
        <v>71</v>
      </c>
      <c r="C1280" s="82" t="s">
        <v>1782</v>
      </c>
      <c r="D1280" s="82" t="s">
        <v>409</v>
      </c>
      <c r="E1280" s="11" t="str">
        <f t="array" ref="E1280">_xlfn.XLOOKUP(D1280,Insumos!B:B,Insumos!C:$C)</f>
        <v>UN</v>
      </c>
      <c r="F1280" s="86">
        <v>4.95</v>
      </c>
      <c r="G1280" s="92">
        <f t="array" ref="G1280">IF(B1280="insumo",_xlfn.XLOOKUP($D1280,Insumos!$B$1:$B$996,Insumos!$D$1:$D$996),"")</f>
        <v>0.504</v>
      </c>
      <c r="H1280" s="92">
        <v>2.4948000000000001</v>
      </c>
      <c r="I1280" s="84">
        <v>0</v>
      </c>
      <c r="J1280" s="84">
        <v>0</v>
      </c>
      <c r="K1280" s="84"/>
      <c r="L1280"/>
      <c r="M1280"/>
      <c r="N1280"/>
      <c r="O1280"/>
      <c r="P1280"/>
      <c r="Q1280"/>
      <c r="R1280"/>
      <c r="S1280"/>
      <c r="T1280"/>
      <c r="U1280"/>
      <c r="V1280"/>
      <c r="W1280"/>
      <c r="X1280"/>
      <c r="Y1280"/>
      <c r="Z1280"/>
      <c r="AA1280"/>
      <c r="AB1280"/>
      <c r="AC1280"/>
      <c r="AD1280"/>
      <c r="AE1280"/>
      <c r="AF1280"/>
      <c r="AG1280"/>
      <c r="AH1280"/>
      <c r="AI1280"/>
      <c r="AJ1280"/>
      <c r="AK1280"/>
      <c r="AL1280"/>
    </row>
    <row r="1281" spans="1:38" ht="12.75" outlineLevel="3" x14ac:dyDescent="0.2">
      <c r="A1281" s="82">
        <v>43</v>
      </c>
      <c r="B1281" s="82" t="s">
        <v>71</v>
      </c>
      <c r="C1281" s="82" t="s">
        <v>1782</v>
      </c>
      <c r="D1281" s="82" t="s">
        <v>423</v>
      </c>
      <c r="E1281" s="11" t="str">
        <f t="array" ref="E1281">_xlfn.XLOOKUP(D1281,Insumos!B:B,Insumos!C:$C)</f>
        <v>M</v>
      </c>
      <c r="F1281" s="86">
        <v>1.5247999999999999</v>
      </c>
      <c r="G1281" s="92">
        <f t="array" ref="G1281">IF(B1281="insumo",_xlfn.XLOOKUP($D1281,Insumos!$B$1:$B$996,Insumos!$D$1:$D$996),"")</f>
        <v>7.46</v>
      </c>
      <c r="H1281" s="92">
        <v>11.375007999999999</v>
      </c>
      <c r="I1281" s="84">
        <v>0</v>
      </c>
      <c r="J1281" s="84">
        <v>0</v>
      </c>
      <c r="K1281" s="84"/>
      <c r="L1281"/>
      <c r="M1281"/>
      <c r="N1281"/>
      <c r="O1281"/>
      <c r="P1281"/>
      <c r="Q1281"/>
      <c r="R1281"/>
      <c r="S1281"/>
      <c r="T1281"/>
      <c r="U1281"/>
      <c r="V1281"/>
      <c r="W1281"/>
      <c r="X1281"/>
      <c r="Y1281"/>
      <c r="Z1281"/>
      <c r="AA1281"/>
      <c r="AB1281"/>
      <c r="AC1281"/>
      <c r="AD1281"/>
      <c r="AE1281"/>
      <c r="AF1281"/>
      <c r="AG1281"/>
      <c r="AH1281"/>
      <c r="AI1281"/>
      <c r="AJ1281"/>
      <c r="AK1281"/>
      <c r="AL1281"/>
    </row>
    <row r="1282" spans="1:38" ht="12.75" outlineLevel="3" x14ac:dyDescent="0.2">
      <c r="A1282" s="82">
        <v>43</v>
      </c>
      <c r="B1282" s="82" t="s">
        <v>71</v>
      </c>
      <c r="C1282" s="82" t="s">
        <v>1782</v>
      </c>
      <c r="D1282" s="82" t="s">
        <v>424</v>
      </c>
      <c r="E1282" s="11" t="str">
        <f t="array" ref="E1282">_xlfn.XLOOKUP(D1282,Insumos!B:B,Insumos!C:$C)</f>
        <v>M</v>
      </c>
      <c r="F1282" s="86">
        <v>4.0011000000000001</v>
      </c>
      <c r="G1282" s="92">
        <f t="array" ref="G1282">IF(B1282="insumo",_xlfn.XLOOKUP($D1282,Insumos!$B$1:$B$996,Insumos!$D$1:$D$996),"")</f>
        <v>7.98</v>
      </c>
      <c r="H1282" s="92">
        <v>31.928778000000001</v>
      </c>
      <c r="I1282" s="84">
        <v>0</v>
      </c>
      <c r="J1282" s="84">
        <v>0</v>
      </c>
      <c r="K1282" s="84"/>
      <c r="L1282"/>
      <c r="M1282"/>
      <c r="N1282"/>
      <c r="O1282"/>
      <c r="P1282"/>
      <c r="Q1282"/>
      <c r="R1282"/>
      <c r="S1282"/>
      <c r="T1282"/>
      <c r="U1282"/>
      <c r="V1282"/>
      <c r="W1282"/>
      <c r="X1282"/>
      <c r="Y1282"/>
      <c r="Z1282"/>
      <c r="AA1282"/>
      <c r="AB1282"/>
      <c r="AC1282"/>
      <c r="AD1282"/>
      <c r="AE1282"/>
      <c r="AF1282"/>
      <c r="AG1282"/>
      <c r="AH1282"/>
      <c r="AI1282"/>
      <c r="AJ1282"/>
      <c r="AK1282"/>
      <c r="AL1282"/>
    </row>
    <row r="1283" spans="1:38" ht="12.75" outlineLevel="3" x14ac:dyDescent="0.2">
      <c r="A1283" s="82">
        <v>95</v>
      </c>
      <c r="B1283" s="82" t="s">
        <v>71</v>
      </c>
      <c r="C1283" s="82" t="s">
        <v>1782</v>
      </c>
      <c r="D1283" s="82" t="s">
        <v>405</v>
      </c>
      <c r="E1283" s="11" t="str">
        <f t="array" ref="E1283">_xlfn.XLOOKUP(D1283,Insumos!B:B,Insumos!C:$C)</f>
        <v>KG</v>
      </c>
      <c r="F1283" s="86">
        <v>1.0978000000000001</v>
      </c>
      <c r="G1283" s="92">
        <f t="array" ref="G1283">IF(B1283="insumo",_xlfn.XLOOKUP($D1283,Insumos!$B$1:$B$996,Insumos!$D$1:$D$996),"")</f>
        <v>3.43</v>
      </c>
      <c r="H1283" s="92">
        <v>3.7654540000000001</v>
      </c>
      <c r="I1283" s="84">
        <v>0</v>
      </c>
      <c r="J1283" s="84">
        <v>0</v>
      </c>
      <c r="K1283" s="84"/>
      <c r="L1283"/>
      <c r="M1283"/>
      <c r="N1283"/>
      <c r="O1283"/>
      <c r="P1283"/>
      <c r="Q1283"/>
      <c r="R1283"/>
      <c r="S1283"/>
      <c r="T1283"/>
      <c r="U1283"/>
      <c r="V1283"/>
      <c r="W1283"/>
      <c r="X1283"/>
      <c r="Y1283"/>
      <c r="Z1283"/>
      <c r="AA1283"/>
      <c r="AB1283"/>
      <c r="AC1283"/>
      <c r="AD1283"/>
      <c r="AE1283"/>
      <c r="AF1283"/>
      <c r="AG1283"/>
      <c r="AH1283"/>
      <c r="AI1283"/>
      <c r="AJ1283"/>
      <c r="AK1283"/>
      <c r="AL1283"/>
    </row>
    <row r="1284" spans="1:38" ht="12.75" outlineLevel="3" x14ac:dyDescent="0.2">
      <c r="A1284" s="82">
        <v>94</v>
      </c>
      <c r="B1284" s="82" t="s">
        <v>71</v>
      </c>
      <c r="C1284" s="82" t="s">
        <v>1782</v>
      </c>
      <c r="D1284" s="82" t="s">
        <v>412</v>
      </c>
      <c r="E1284" s="11" t="str">
        <f t="array" ref="E1284">_xlfn.XLOOKUP(D1284,Insumos!B:B,Insumos!C:$C)</f>
        <v>M</v>
      </c>
      <c r="F1284" s="86">
        <v>2.5026999999999999</v>
      </c>
      <c r="G1284" s="92">
        <f t="array" ref="G1284">IF(B1284="insumo",_xlfn.XLOOKUP($D1284,Insumos!$B$1:$B$996,Insumos!$D$1:$D$996),"")</f>
        <v>0.31</v>
      </c>
      <c r="H1284" s="92">
        <v>0.775837</v>
      </c>
      <c r="I1284" s="84">
        <v>0</v>
      </c>
      <c r="J1284" s="84">
        <v>0</v>
      </c>
      <c r="K1284" s="84"/>
      <c r="L1284"/>
      <c r="M1284"/>
      <c r="N1284"/>
      <c r="O1284"/>
      <c r="P1284"/>
      <c r="Q1284"/>
      <c r="R1284"/>
      <c r="S1284"/>
      <c r="T1284"/>
      <c r="U1284"/>
      <c r="V1284"/>
      <c r="W1284"/>
      <c r="X1284"/>
      <c r="Y1284"/>
      <c r="Z1284"/>
      <c r="AA1284"/>
      <c r="AB1284"/>
      <c r="AC1284"/>
      <c r="AD1284"/>
      <c r="AE1284"/>
      <c r="AF1284"/>
      <c r="AG1284"/>
      <c r="AH1284"/>
      <c r="AI1284"/>
      <c r="AJ1284"/>
      <c r="AK1284"/>
      <c r="AL1284"/>
    </row>
    <row r="1285" spans="1:38" ht="12.75" outlineLevel="3" x14ac:dyDescent="0.2">
      <c r="A1285" s="82">
        <v>94</v>
      </c>
      <c r="B1285" s="82" t="s">
        <v>71</v>
      </c>
      <c r="C1285" s="82" t="s">
        <v>1782</v>
      </c>
      <c r="D1285" s="82" t="s">
        <v>413</v>
      </c>
      <c r="E1285" s="11" t="str">
        <f t="array" ref="E1285">_xlfn.XLOOKUP(D1285,Insumos!B:B,Insumos!C:$C)</f>
        <v>M</v>
      </c>
      <c r="F1285" s="86">
        <v>1.4815</v>
      </c>
      <c r="G1285" s="92">
        <f t="array" ref="G1285">IF(B1285="insumo",_xlfn.XLOOKUP($D1285,Insumos!$B$1:$B$996,Insumos!$D$1:$D$996),"")</f>
        <v>2.74</v>
      </c>
      <c r="H1285" s="92">
        <v>4.05931</v>
      </c>
      <c r="I1285" s="84">
        <v>0</v>
      </c>
      <c r="J1285" s="84">
        <v>0</v>
      </c>
      <c r="K1285" s="84"/>
      <c r="L1285"/>
      <c r="M1285"/>
      <c r="N1285"/>
      <c r="O1285"/>
      <c r="P1285"/>
      <c r="Q1285"/>
      <c r="R1285"/>
      <c r="S1285"/>
      <c r="T1285"/>
      <c r="U1285"/>
      <c r="V1285"/>
      <c r="W1285"/>
      <c r="X1285"/>
      <c r="Y1285"/>
      <c r="Z1285"/>
      <c r="AA1285"/>
      <c r="AB1285"/>
      <c r="AC1285"/>
      <c r="AD1285"/>
      <c r="AE1285"/>
      <c r="AF1285"/>
      <c r="AG1285"/>
      <c r="AH1285"/>
      <c r="AI1285"/>
      <c r="AJ1285"/>
      <c r="AK1285"/>
      <c r="AL1285"/>
    </row>
    <row r="1286" spans="1:38" ht="12.75" outlineLevel="3" x14ac:dyDescent="0.2">
      <c r="A1286" s="82">
        <v>97</v>
      </c>
      <c r="B1286" s="82" t="s">
        <v>71</v>
      </c>
      <c r="C1286" s="82" t="s">
        <v>1782</v>
      </c>
      <c r="D1286" s="82" t="s">
        <v>414</v>
      </c>
      <c r="E1286" s="11" t="str">
        <f t="array" ref="E1286">_xlfn.XLOOKUP(D1286,Insumos!B:B,Insumos!C:$C)</f>
        <v>UN</v>
      </c>
      <c r="F1286" s="86">
        <v>20.186800000000002</v>
      </c>
      <c r="G1286" s="92">
        <f t="array" ref="G1286">IF(B1286="insumo",_xlfn.XLOOKUP($D1286,Insumos!$B$1:$B$996,Insumos!$D$1:$D$996),"")</f>
        <v>0.09</v>
      </c>
      <c r="H1286" s="92">
        <v>1.8168120000000001</v>
      </c>
      <c r="I1286" s="84">
        <v>0</v>
      </c>
      <c r="J1286" s="84">
        <v>0</v>
      </c>
      <c r="K1286" s="84"/>
      <c r="L1286"/>
      <c r="M1286"/>
      <c r="N1286"/>
      <c r="O1286"/>
      <c r="P1286"/>
      <c r="Q1286"/>
      <c r="R1286"/>
      <c r="S1286"/>
      <c r="T1286"/>
      <c r="U1286"/>
      <c r="V1286"/>
      <c r="W1286"/>
      <c r="X1286"/>
      <c r="Y1286"/>
      <c r="Z1286"/>
      <c r="AA1286"/>
      <c r="AB1286"/>
      <c r="AC1286"/>
      <c r="AD1286"/>
      <c r="AE1286"/>
      <c r="AF1286"/>
      <c r="AG1286"/>
      <c r="AH1286"/>
      <c r="AI1286"/>
      <c r="AJ1286"/>
      <c r="AK1286"/>
      <c r="AL1286"/>
    </row>
    <row r="1287" spans="1:38" ht="12.75" outlineLevel="3" x14ac:dyDescent="0.2">
      <c r="A1287" s="82">
        <v>95</v>
      </c>
      <c r="B1287" s="82" t="s">
        <v>71</v>
      </c>
      <c r="C1287" s="82" t="s">
        <v>1782</v>
      </c>
      <c r="D1287" s="82" t="s">
        <v>415</v>
      </c>
      <c r="E1287" s="11" t="str">
        <f t="array" ref="E1287">_xlfn.XLOOKUP(D1287,Insumos!B:B,Insumos!C:$C)</f>
        <v>UN</v>
      </c>
      <c r="F1287" s="86">
        <v>0.4803</v>
      </c>
      <c r="G1287" s="92">
        <f t="array" ref="G1287">IF(B1287="insumo",_xlfn.XLOOKUP($D1287,Insumos!$B$1:$B$996,Insumos!$D$1:$D$996),"")</f>
        <v>0.2</v>
      </c>
      <c r="H1287" s="92">
        <v>9.6060000000000006E-2</v>
      </c>
      <c r="I1287" s="84">
        <v>0</v>
      </c>
      <c r="J1287" s="84">
        <v>0</v>
      </c>
      <c r="K1287" s="84"/>
      <c r="L1287"/>
      <c r="M1287"/>
      <c r="N1287"/>
      <c r="O1287"/>
      <c r="P1287"/>
      <c r="Q1287"/>
      <c r="R1287"/>
      <c r="S1287"/>
      <c r="T1287"/>
      <c r="U1287"/>
      <c r="V1287"/>
      <c r="W1287"/>
      <c r="X1287"/>
      <c r="Y1287"/>
      <c r="Z1287"/>
      <c r="AA1287"/>
      <c r="AB1287"/>
      <c r="AC1287"/>
      <c r="AD1287"/>
      <c r="AE1287"/>
      <c r="AF1287"/>
      <c r="AG1287"/>
      <c r="AH1287"/>
      <c r="AI1287"/>
      <c r="AJ1287"/>
      <c r="AK1287"/>
      <c r="AL1287"/>
    </row>
    <row r="1288" spans="1:38" ht="12.75" outlineLevel="2" x14ac:dyDescent="0.2">
      <c r="A1288" s="1071">
        <v>1</v>
      </c>
      <c r="B1288" s="1071" t="s">
        <v>68</v>
      </c>
      <c r="C1288" s="1071" t="s">
        <v>1783</v>
      </c>
      <c r="D1288" s="1071" t="s">
        <v>1783</v>
      </c>
      <c r="E1288" s="1072" t="s">
        <v>70</v>
      </c>
      <c r="F1288" s="1071"/>
      <c r="G1288" s="1073" t="str">
        <f t="array" ref="G1288">IF(B1288="insumo",_xlfn.XLOOKUP($D1288,Insumos!$B$1:$B$996,Insumos!$D$1:$D$996),"")</f>
        <v/>
      </c>
      <c r="H1288" s="1073">
        <v>176.07683900000001</v>
      </c>
      <c r="I1288" s="1074">
        <v>0</v>
      </c>
      <c r="J1288" s="1074">
        <v>0</v>
      </c>
      <c r="K1288" s="1074"/>
      <c r="L1288"/>
      <c r="M1288"/>
      <c r="N1288"/>
      <c r="O1288"/>
      <c r="P1288"/>
      <c r="Q1288"/>
      <c r="R1288"/>
      <c r="S1288"/>
      <c r="T1288"/>
      <c r="U1288"/>
      <c r="V1288"/>
      <c r="W1288"/>
      <c r="X1288"/>
      <c r="Y1288"/>
      <c r="Z1288"/>
      <c r="AA1288"/>
      <c r="AB1288"/>
      <c r="AC1288"/>
      <c r="AD1288"/>
      <c r="AE1288"/>
      <c r="AF1288"/>
      <c r="AG1288"/>
      <c r="AH1288"/>
      <c r="AI1288"/>
      <c r="AJ1288"/>
      <c r="AK1288"/>
      <c r="AL1288"/>
    </row>
    <row r="1289" spans="1:38" ht="12.75" outlineLevel="3" x14ac:dyDescent="0.2">
      <c r="A1289" s="82">
        <v>86</v>
      </c>
      <c r="B1289" s="82" t="s">
        <v>71</v>
      </c>
      <c r="C1289" s="82" t="s">
        <v>1783</v>
      </c>
      <c r="D1289" s="82" t="s">
        <v>407</v>
      </c>
      <c r="E1289" s="11" t="str">
        <f t="array" ref="E1289">_xlfn.XLOOKUP(D1289,Insumos!B:B,Insumos!C:$C)</f>
        <v>M2</v>
      </c>
      <c r="F1289" s="86">
        <v>1</v>
      </c>
      <c r="G1289" s="92">
        <f t="array" ref="G1289">IF(B1289="insumo",_xlfn.XLOOKUP($D1289,Insumos!$B$1:$B$996,Insumos!$D$1:$D$996),"")</f>
        <v>70</v>
      </c>
      <c r="H1289" s="92">
        <v>70</v>
      </c>
      <c r="I1289" s="84">
        <v>0</v>
      </c>
      <c r="J1289" s="84">
        <v>0</v>
      </c>
      <c r="K1289" s="84"/>
      <c r="L1289"/>
      <c r="M1289"/>
      <c r="N1289"/>
      <c r="O1289"/>
      <c r="P1289"/>
      <c r="Q1289"/>
      <c r="R1289"/>
      <c r="S1289"/>
      <c r="T1289"/>
      <c r="U1289"/>
      <c r="V1289"/>
      <c r="W1289"/>
      <c r="X1289"/>
      <c r="Y1289"/>
      <c r="Z1289"/>
      <c r="AA1289"/>
      <c r="AB1289"/>
      <c r="AC1289"/>
      <c r="AD1289"/>
      <c r="AE1289"/>
      <c r="AF1289"/>
      <c r="AG1289"/>
      <c r="AH1289"/>
      <c r="AI1289"/>
      <c r="AJ1289"/>
      <c r="AK1289"/>
      <c r="AL1289"/>
    </row>
    <row r="1290" spans="1:38" ht="12.75" outlineLevel="3" x14ac:dyDescent="0.2">
      <c r="A1290" s="82">
        <v>47</v>
      </c>
      <c r="B1290" s="82" t="s">
        <v>71</v>
      </c>
      <c r="C1290" s="82" t="s">
        <v>1783</v>
      </c>
      <c r="D1290" s="82" t="s">
        <v>408</v>
      </c>
      <c r="E1290" s="11" t="str">
        <f t="array" ref="E1290">_xlfn.XLOOKUP(D1290,Insumos!B:B,Insumos!C:$C)</f>
        <v>M2</v>
      </c>
      <c r="F1290" s="86">
        <v>1.0529999999999999</v>
      </c>
      <c r="G1290" s="92">
        <f t="array" ref="G1290">IF(B1290="insumo",_xlfn.XLOOKUP($D1290,Insumos!$B$1:$B$996,Insumos!$D$1:$D$996),"")</f>
        <v>20.16</v>
      </c>
      <c r="H1290" s="92">
        <v>21.228480000000001</v>
      </c>
      <c r="I1290" s="84">
        <v>0</v>
      </c>
      <c r="J1290" s="84">
        <v>0</v>
      </c>
      <c r="K1290" s="84"/>
      <c r="L1290"/>
      <c r="M1290"/>
      <c r="N1290"/>
      <c r="O1290"/>
      <c r="P1290"/>
      <c r="Q1290"/>
      <c r="R1290"/>
      <c r="S1290"/>
      <c r="T1290"/>
      <c r="U1290"/>
      <c r="V1290"/>
      <c r="W1290"/>
      <c r="X1290"/>
      <c r="Y1290"/>
      <c r="Z1290"/>
      <c r="AA1290"/>
      <c r="AB1290"/>
      <c r="AC1290"/>
      <c r="AD1290"/>
      <c r="AE1290"/>
      <c r="AF1290"/>
      <c r="AG1290"/>
      <c r="AH1290"/>
      <c r="AI1290"/>
      <c r="AJ1290"/>
      <c r="AK1290"/>
      <c r="AL1290"/>
    </row>
    <row r="1291" spans="1:38" ht="12.75" outlineLevel="3" x14ac:dyDescent="0.2">
      <c r="A1291" s="82">
        <v>49</v>
      </c>
      <c r="B1291" s="82" t="s">
        <v>71</v>
      </c>
      <c r="C1291" s="82" t="s">
        <v>1783</v>
      </c>
      <c r="D1291" s="82" t="s">
        <v>418</v>
      </c>
      <c r="E1291" s="11" t="str">
        <f t="array" ref="E1291">_xlfn.XLOOKUP(D1291,Insumos!B:B,Insumos!C:$C)</f>
        <v>M2</v>
      </c>
      <c r="F1291" s="86">
        <v>1.0529999999999999</v>
      </c>
      <c r="G1291" s="92">
        <f t="array" ref="G1291">IF(B1291="insumo",_xlfn.XLOOKUP($D1291,Insumos!$B$1:$B$996,Insumos!$D$1:$D$996),"")</f>
        <v>27.1</v>
      </c>
      <c r="H1291" s="92">
        <v>28.536300000000001</v>
      </c>
      <c r="I1291" s="84">
        <v>0</v>
      </c>
      <c r="J1291" s="84">
        <v>0</v>
      </c>
      <c r="K1291" s="84"/>
      <c r="L1291"/>
      <c r="M1291"/>
      <c r="N1291"/>
      <c r="O1291"/>
      <c r="P1291"/>
      <c r="Q1291"/>
      <c r="R1291"/>
      <c r="S1291"/>
      <c r="T1291"/>
      <c r="U1291"/>
      <c r="V1291"/>
      <c r="W1291"/>
      <c r="X1291"/>
      <c r="Y1291"/>
      <c r="Z1291"/>
      <c r="AA1291"/>
      <c r="AB1291"/>
      <c r="AC1291"/>
      <c r="AD1291"/>
      <c r="AE1291"/>
      <c r="AF1291"/>
      <c r="AG1291"/>
      <c r="AH1291"/>
      <c r="AI1291"/>
      <c r="AJ1291"/>
      <c r="AK1291"/>
      <c r="AL1291"/>
    </row>
    <row r="1292" spans="1:38" ht="12.75" outlineLevel="3" x14ac:dyDescent="0.2">
      <c r="A1292" s="82">
        <v>95</v>
      </c>
      <c r="B1292" s="82" t="s">
        <v>71</v>
      </c>
      <c r="C1292" s="82" t="s">
        <v>1783</v>
      </c>
      <c r="D1292" s="82" t="s">
        <v>409</v>
      </c>
      <c r="E1292" s="11" t="str">
        <f t="array" ref="E1292">_xlfn.XLOOKUP(D1292,Insumos!B:B,Insumos!C:$C)</f>
        <v>UN</v>
      </c>
      <c r="F1292" s="86">
        <v>4.95</v>
      </c>
      <c r="G1292" s="92">
        <f t="array" ref="G1292">IF(B1292="insumo",_xlfn.XLOOKUP($D1292,Insumos!$B$1:$B$996,Insumos!$D$1:$D$996),"")</f>
        <v>0.504</v>
      </c>
      <c r="H1292" s="92">
        <v>2.4948000000000001</v>
      </c>
      <c r="I1292" s="84">
        <v>0</v>
      </c>
      <c r="J1292" s="84">
        <v>0</v>
      </c>
      <c r="K1292" s="84"/>
      <c r="L1292"/>
      <c r="M1292"/>
      <c r="N1292"/>
      <c r="O1292"/>
      <c r="P1292"/>
      <c r="Q1292"/>
      <c r="R1292"/>
      <c r="S1292"/>
      <c r="T1292"/>
      <c r="U1292"/>
      <c r="V1292"/>
      <c r="W1292"/>
      <c r="X1292"/>
      <c r="Y1292"/>
      <c r="Z1292"/>
      <c r="AA1292"/>
      <c r="AB1292"/>
      <c r="AC1292"/>
      <c r="AD1292"/>
      <c r="AE1292"/>
      <c r="AF1292"/>
      <c r="AG1292"/>
      <c r="AH1292"/>
      <c r="AI1292"/>
      <c r="AJ1292"/>
      <c r="AK1292"/>
      <c r="AL1292"/>
    </row>
    <row r="1293" spans="1:38" ht="12.75" outlineLevel="3" x14ac:dyDescent="0.2">
      <c r="A1293" s="82">
        <v>43</v>
      </c>
      <c r="B1293" s="82" t="s">
        <v>71</v>
      </c>
      <c r="C1293" s="82" t="s">
        <v>1783</v>
      </c>
      <c r="D1293" s="82" t="s">
        <v>423</v>
      </c>
      <c r="E1293" s="11" t="str">
        <f t="array" ref="E1293">_xlfn.XLOOKUP(D1293,Insumos!B:B,Insumos!C:$C)</f>
        <v>M</v>
      </c>
      <c r="F1293" s="86">
        <v>1.5247999999999999</v>
      </c>
      <c r="G1293" s="92">
        <f t="array" ref="G1293">IF(B1293="insumo",_xlfn.XLOOKUP($D1293,Insumos!$B$1:$B$996,Insumos!$D$1:$D$996),"")</f>
        <v>7.46</v>
      </c>
      <c r="H1293" s="92">
        <v>11.375007999999999</v>
      </c>
      <c r="I1293" s="84">
        <v>0</v>
      </c>
      <c r="J1293" s="84">
        <v>0</v>
      </c>
      <c r="K1293" s="84"/>
      <c r="L1293"/>
      <c r="M1293"/>
      <c r="N1293"/>
      <c r="O1293"/>
      <c r="P1293"/>
      <c r="Q1293"/>
      <c r="R1293"/>
      <c r="S1293"/>
      <c r="T1293"/>
      <c r="U1293"/>
      <c r="V1293"/>
      <c r="W1293"/>
      <c r="X1293"/>
      <c r="Y1293"/>
      <c r="Z1293"/>
      <c r="AA1293"/>
      <c r="AB1293"/>
      <c r="AC1293"/>
      <c r="AD1293"/>
      <c r="AE1293"/>
      <c r="AF1293"/>
      <c r="AG1293"/>
      <c r="AH1293"/>
      <c r="AI1293"/>
      <c r="AJ1293"/>
      <c r="AK1293"/>
      <c r="AL1293"/>
    </row>
    <row r="1294" spans="1:38" ht="12.75" outlineLevel="3" x14ac:dyDescent="0.2">
      <c r="A1294" s="82">
        <v>43</v>
      </c>
      <c r="B1294" s="82" t="s">
        <v>71</v>
      </c>
      <c r="C1294" s="82" t="s">
        <v>1783</v>
      </c>
      <c r="D1294" s="82" t="s">
        <v>424</v>
      </c>
      <c r="E1294" s="11" t="str">
        <f t="array" ref="E1294">_xlfn.XLOOKUP(D1294,Insumos!B:B,Insumos!C:$C)</f>
        <v>M</v>
      </c>
      <c r="F1294" s="86">
        <v>4.0011000000000001</v>
      </c>
      <c r="G1294" s="92">
        <f t="array" ref="G1294">IF(B1294="insumo",_xlfn.XLOOKUP($D1294,Insumos!$B$1:$B$996,Insumos!$D$1:$D$996),"")</f>
        <v>7.98</v>
      </c>
      <c r="H1294" s="92">
        <v>31.928778000000001</v>
      </c>
      <c r="I1294" s="84">
        <v>0</v>
      </c>
      <c r="J1294" s="84">
        <v>0</v>
      </c>
      <c r="K1294" s="84"/>
      <c r="L1294"/>
      <c r="M1294"/>
      <c r="N1294"/>
      <c r="O1294"/>
      <c r="P1294"/>
      <c r="Q1294"/>
      <c r="R1294"/>
      <c r="S1294"/>
      <c r="T1294"/>
      <c r="U1294"/>
      <c r="V1294"/>
      <c r="W1294"/>
      <c r="X1294"/>
      <c r="Y1294"/>
      <c r="Z1294"/>
      <c r="AA1294"/>
      <c r="AB1294"/>
      <c r="AC1294"/>
      <c r="AD1294"/>
      <c r="AE1294"/>
      <c r="AF1294"/>
      <c r="AG1294"/>
      <c r="AH1294"/>
      <c r="AI1294"/>
      <c r="AJ1294"/>
      <c r="AK1294"/>
      <c r="AL1294"/>
    </row>
    <row r="1295" spans="1:38" ht="12.75" outlineLevel="3" x14ac:dyDescent="0.2">
      <c r="A1295" s="82">
        <v>95</v>
      </c>
      <c r="B1295" s="82" t="s">
        <v>71</v>
      </c>
      <c r="C1295" s="82" t="s">
        <v>1783</v>
      </c>
      <c r="D1295" s="82" t="s">
        <v>405</v>
      </c>
      <c r="E1295" s="11" t="str">
        <f t="array" ref="E1295">_xlfn.XLOOKUP(D1295,Insumos!B:B,Insumos!C:$C)</f>
        <v>KG</v>
      </c>
      <c r="F1295" s="86">
        <v>1.0978000000000001</v>
      </c>
      <c r="G1295" s="92">
        <f t="array" ref="G1295">IF(B1295="insumo",_xlfn.XLOOKUP($D1295,Insumos!$B$1:$B$996,Insumos!$D$1:$D$996),"")</f>
        <v>3.43</v>
      </c>
      <c r="H1295" s="92">
        <v>3.7654540000000001</v>
      </c>
      <c r="I1295" s="84">
        <v>0</v>
      </c>
      <c r="J1295" s="84">
        <v>0</v>
      </c>
      <c r="K1295" s="84"/>
      <c r="L1295"/>
      <c r="M1295"/>
      <c r="N1295"/>
      <c r="O1295"/>
      <c r="P1295"/>
      <c r="Q1295"/>
      <c r="R1295"/>
      <c r="S1295"/>
      <c r="T1295"/>
      <c r="U1295"/>
      <c r="V1295"/>
      <c r="W1295"/>
      <c r="X1295"/>
      <c r="Y1295"/>
      <c r="Z1295"/>
      <c r="AA1295"/>
      <c r="AB1295"/>
      <c r="AC1295"/>
      <c r="AD1295"/>
      <c r="AE1295"/>
      <c r="AF1295"/>
      <c r="AG1295"/>
      <c r="AH1295"/>
      <c r="AI1295"/>
      <c r="AJ1295"/>
      <c r="AK1295"/>
      <c r="AL1295"/>
    </row>
    <row r="1296" spans="1:38" ht="12.75" outlineLevel="3" x14ac:dyDescent="0.2">
      <c r="A1296" s="82">
        <v>94</v>
      </c>
      <c r="B1296" s="82" t="s">
        <v>71</v>
      </c>
      <c r="C1296" s="82" t="s">
        <v>1783</v>
      </c>
      <c r="D1296" s="82" t="s">
        <v>412</v>
      </c>
      <c r="E1296" s="11" t="str">
        <f t="array" ref="E1296">_xlfn.XLOOKUP(D1296,Insumos!B:B,Insumos!C:$C)</f>
        <v>M</v>
      </c>
      <c r="F1296" s="86">
        <v>2.5026999999999999</v>
      </c>
      <c r="G1296" s="92">
        <f t="array" ref="G1296">IF(B1296="insumo",_xlfn.XLOOKUP($D1296,Insumos!$B$1:$B$996,Insumos!$D$1:$D$996),"")</f>
        <v>0.31</v>
      </c>
      <c r="H1296" s="92">
        <v>0.775837</v>
      </c>
      <c r="I1296" s="84">
        <v>0</v>
      </c>
      <c r="J1296" s="84">
        <v>0</v>
      </c>
      <c r="K1296" s="84"/>
      <c r="L1296"/>
      <c r="M1296"/>
      <c r="N1296"/>
      <c r="O1296"/>
      <c r="P1296"/>
      <c r="Q1296"/>
      <c r="R1296"/>
      <c r="S1296"/>
      <c r="T1296"/>
      <c r="U1296"/>
      <c r="V1296"/>
      <c r="W1296"/>
      <c r="X1296"/>
      <c r="Y1296"/>
      <c r="Z1296"/>
      <c r="AA1296"/>
      <c r="AB1296"/>
      <c r="AC1296"/>
      <c r="AD1296"/>
      <c r="AE1296"/>
      <c r="AF1296"/>
      <c r="AG1296"/>
      <c r="AH1296"/>
      <c r="AI1296"/>
      <c r="AJ1296"/>
      <c r="AK1296"/>
      <c r="AL1296"/>
    </row>
    <row r="1297" spans="1:38" ht="12.75" outlineLevel="3" x14ac:dyDescent="0.2">
      <c r="A1297" s="82">
        <v>94</v>
      </c>
      <c r="B1297" s="82" t="s">
        <v>71</v>
      </c>
      <c r="C1297" s="82" t="s">
        <v>1783</v>
      </c>
      <c r="D1297" s="82" t="s">
        <v>413</v>
      </c>
      <c r="E1297" s="11" t="str">
        <f t="array" ref="E1297">_xlfn.XLOOKUP(D1297,Insumos!B:B,Insumos!C:$C)</f>
        <v>M</v>
      </c>
      <c r="F1297" s="86">
        <v>1.4815</v>
      </c>
      <c r="G1297" s="92">
        <f t="array" ref="G1297">IF(B1297="insumo",_xlfn.XLOOKUP($D1297,Insumos!$B$1:$B$996,Insumos!$D$1:$D$996),"")</f>
        <v>2.74</v>
      </c>
      <c r="H1297" s="92">
        <v>4.05931</v>
      </c>
      <c r="I1297" s="84">
        <v>0</v>
      </c>
      <c r="J1297" s="84">
        <v>0</v>
      </c>
      <c r="K1297" s="84"/>
      <c r="L1297"/>
      <c r="M1297"/>
      <c r="N1297"/>
      <c r="O1297"/>
      <c r="P1297"/>
      <c r="Q1297"/>
      <c r="R1297"/>
      <c r="S1297"/>
      <c r="T1297"/>
      <c r="U1297"/>
      <c r="V1297"/>
      <c r="W1297"/>
      <c r="X1297"/>
      <c r="Y1297"/>
      <c r="Z1297"/>
      <c r="AA1297"/>
      <c r="AB1297"/>
      <c r="AC1297"/>
      <c r="AD1297"/>
      <c r="AE1297"/>
      <c r="AF1297"/>
      <c r="AG1297"/>
      <c r="AH1297"/>
      <c r="AI1297"/>
      <c r="AJ1297"/>
      <c r="AK1297"/>
      <c r="AL1297"/>
    </row>
    <row r="1298" spans="1:38" ht="12.75" outlineLevel="3" x14ac:dyDescent="0.2">
      <c r="A1298" s="82">
        <v>97</v>
      </c>
      <c r="B1298" s="82" t="s">
        <v>71</v>
      </c>
      <c r="C1298" s="82" t="s">
        <v>1783</v>
      </c>
      <c r="D1298" s="82" t="s">
        <v>414</v>
      </c>
      <c r="E1298" s="11" t="str">
        <f t="array" ref="E1298">_xlfn.XLOOKUP(D1298,Insumos!B:B,Insumos!C:$C)</f>
        <v>UN</v>
      </c>
      <c r="F1298" s="86">
        <v>20.186800000000002</v>
      </c>
      <c r="G1298" s="92">
        <f t="array" ref="G1298">IF(B1298="insumo",_xlfn.XLOOKUP($D1298,Insumos!$B$1:$B$996,Insumos!$D$1:$D$996),"")</f>
        <v>0.09</v>
      </c>
      <c r="H1298" s="92">
        <v>1.8168120000000001</v>
      </c>
      <c r="I1298" s="84">
        <v>0</v>
      </c>
      <c r="J1298" s="84">
        <v>0</v>
      </c>
      <c r="K1298" s="84"/>
      <c r="L1298"/>
      <c r="M1298"/>
      <c r="N1298"/>
      <c r="O1298"/>
      <c r="P1298"/>
      <c r="Q1298"/>
      <c r="R1298"/>
      <c r="S1298"/>
      <c r="T1298"/>
      <c r="U1298"/>
      <c r="V1298"/>
      <c r="W1298"/>
      <c r="X1298"/>
      <c r="Y1298"/>
      <c r="Z1298"/>
      <c r="AA1298"/>
      <c r="AB1298"/>
      <c r="AC1298"/>
      <c r="AD1298"/>
      <c r="AE1298"/>
      <c r="AF1298"/>
      <c r="AG1298"/>
      <c r="AH1298"/>
      <c r="AI1298"/>
      <c r="AJ1298"/>
      <c r="AK1298"/>
      <c r="AL1298"/>
    </row>
    <row r="1299" spans="1:38" ht="12.75" outlineLevel="3" x14ac:dyDescent="0.2">
      <c r="A1299" s="82">
        <v>95</v>
      </c>
      <c r="B1299" s="82" t="s">
        <v>71</v>
      </c>
      <c r="C1299" s="82" t="s">
        <v>1783</v>
      </c>
      <c r="D1299" s="82" t="s">
        <v>415</v>
      </c>
      <c r="E1299" s="11" t="str">
        <f t="array" ref="E1299">_xlfn.XLOOKUP(D1299,Insumos!B:B,Insumos!C:$C)</f>
        <v>UN</v>
      </c>
      <c r="F1299" s="86">
        <v>0.4803</v>
      </c>
      <c r="G1299" s="92">
        <f t="array" ref="G1299">IF(B1299="insumo",_xlfn.XLOOKUP($D1299,Insumos!$B$1:$B$996,Insumos!$D$1:$D$996),"")</f>
        <v>0.2</v>
      </c>
      <c r="H1299" s="92">
        <v>9.6060000000000006E-2</v>
      </c>
      <c r="I1299" s="84">
        <v>0</v>
      </c>
      <c r="J1299" s="84">
        <v>0</v>
      </c>
      <c r="K1299" s="84"/>
      <c r="L1299"/>
      <c r="M1299"/>
      <c r="N1299"/>
      <c r="O1299"/>
      <c r="P1299"/>
      <c r="Q1299"/>
      <c r="R1299"/>
      <c r="S1299"/>
      <c r="T1299"/>
      <c r="U1299"/>
      <c r="V1299"/>
      <c r="W1299"/>
      <c r="X1299"/>
      <c r="Y1299"/>
      <c r="Z1299"/>
      <c r="AA1299"/>
      <c r="AB1299"/>
      <c r="AC1299"/>
      <c r="AD1299"/>
      <c r="AE1299"/>
      <c r="AF1299"/>
      <c r="AG1299"/>
      <c r="AH1299"/>
      <c r="AI1299"/>
      <c r="AJ1299"/>
      <c r="AK1299"/>
      <c r="AL1299"/>
    </row>
    <row r="1300" spans="1:38" ht="12.75" outlineLevel="2" x14ac:dyDescent="0.2">
      <c r="A1300" s="1071">
        <v>1</v>
      </c>
      <c r="B1300" s="1071" t="s">
        <v>68</v>
      </c>
      <c r="C1300" s="1071" t="s">
        <v>1784</v>
      </c>
      <c r="D1300" s="1071" t="s">
        <v>1784</v>
      </c>
      <c r="E1300" s="1072" t="s">
        <v>70</v>
      </c>
      <c r="F1300" s="1071"/>
      <c r="G1300" s="1073" t="str">
        <f t="array" ref="G1300">IF(B1300="insumo",_xlfn.XLOOKUP($D1300,Insumos!$B$1:$B$996,Insumos!$D$1:$D$996),"")</f>
        <v/>
      </c>
      <c r="H1300" s="1073">
        <v>140.561004</v>
      </c>
      <c r="I1300" s="1074">
        <v>0</v>
      </c>
      <c r="J1300" s="1074">
        <v>0</v>
      </c>
      <c r="K1300" s="1074"/>
      <c r="L1300"/>
      <c r="M1300"/>
      <c r="N1300"/>
      <c r="O1300"/>
      <c r="P1300"/>
      <c r="Q1300"/>
      <c r="R1300"/>
      <c r="S1300"/>
      <c r="T1300"/>
      <c r="U1300"/>
      <c r="V1300"/>
      <c r="W1300"/>
      <c r="X1300"/>
      <c r="Y1300"/>
      <c r="Z1300"/>
      <c r="AA1300"/>
      <c r="AB1300"/>
      <c r="AC1300"/>
      <c r="AD1300"/>
      <c r="AE1300"/>
      <c r="AF1300"/>
      <c r="AG1300"/>
      <c r="AH1300"/>
      <c r="AI1300"/>
      <c r="AJ1300"/>
      <c r="AK1300"/>
      <c r="AL1300"/>
    </row>
    <row r="1301" spans="1:38" ht="12.75" outlineLevel="3" x14ac:dyDescent="0.2">
      <c r="A1301" s="82">
        <v>86</v>
      </c>
      <c r="B1301" s="82" t="s">
        <v>71</v>
      </c>
      <c r="C1301" s="82" t="s">
        <v>1784</v>
      </c>
      <c r="D1301" s="82" t="s">
        <v>407</v>
      </c>
      <c r="E1301" s="11" t="str">
        <f t="array" ref="E1301">_xlfn.XLOOKUP(D1301,Insumos!B:B,Insumos!C:$C)</f>
        <v>M2</v>
      </c>
      <c r="F1301" s="86">
        <v>1</v>
      </c>
      <c r="G1301" s="92">
        <f t="array" ref="G1301">IF(B1301="insumo",_xlfn.XLOOKUP($D1301,Insumos!$B$1:$B$996,Insumos!$D$1:$D$996),"")</f>
        <v>70</v>
      </c>
      <c r="H1301" s="92">
        <v>70</v>
      </c>
      <c r="I1301" s="84">
        <v>0</v>
      </c>
      <c r="J1301" s="84">
        <v>0</v>
      </c>
      <c r="K1301" s="84"/>
      <c r="L1301"/>
      <c r="M1301"/>
      <c r="N1301"/>
      <c r="O1301"/>
      <c r="P1301"/>
      <c r="Q1301"/>
      <c r="R1301"/>
      <c r="S1301"/>
      <c r="T1301"/>
      <c r="U1301"/>
      <c r="V1301"/>
      <c r="W1301"/>
      <c r="X1301"/>
      <c r="Y1301"/>
      <c r="Z1301"/>
      <c r="AA1301"/>
      <c r="AB1301"/>
      <c r="AC1301"/>
      <c r="AD1301"/>
      <c r="AE1301"/>
      <c r="AF1301"/>
      <c r="AG1301"/>
      <c r="AH1301"/>
      <c r="AI1301"/>
      <c r="AJ1301"/>
      <c r="AK1301"/>
      <c r="AL1301"/>
    </row>
    <row r="1302" spans="1:38" ht="12.75" outlineLevel="3" x14ac:dyDescent="0.2">
      <c r="A1302" s="82">
        <v>47</v>
      </c>
      <c r="B1302" s="82" t="s">
        <v>71</v>
      </c>
      <c r="C1302" s="82" t="s">
        <v>1784</v>
      </c>
      <c r="D1302" s="82" t="s">
        <v>408</v>
      </c>
      <c r="E1302" s="11" t="str">
        <f t="array" ref="E1302">_xlfn.XLOOKUP(D1302,Insumos!B:B,Insumos!C:$C)</f>
        <v>M2</v>
      </c>
      <c r="F1302" s="86">
        <v>1.0529999999999999</v>
      </c>
      <c r="G1302" s="92">
        <f t="array" ref="G1302">IF(B1302="insumo",_xlfn.XLOOKUP($D1302,Insumos!$B$1:$B$996,Insumos!$D$1:$D$996),"")</f>
        <v>20.16</v>
      </c>
      <c r="H1302" s="92">
        <v>21.228480000000001</v>
      </c>
      <c r="I1302" s="84">
        <v>0</v>
      </c>
      <c r="J1302" s="84">
        <v>0</v>
      </c>
      <c r="K1302" s="84"/>
      <c r="L1302"/>
      <c r="M1302"/>
      <c r="N1302"/>
      <c r="O1302"/>
      <c r="P1302"/>
      <c r="Q1302"/>
      <c r="R1302"/>
      <c r="S1302"/>
      <c r="T1302"/>
      <c r="U1302"/>
      <c r="V1302"/>
      <c r="W1302"/>
      <c r="X1302"/>
      <c r="Y1302"/>
      <c r="Z1302"/>
      <c r="AA1302"/>
      <c r="AB1302"/>
      <c r="AC1302"/>
      <c r="AD1302"/>
      <c r="AE1302"/>
      <c r="AF1302"/>
      <c r="AG1302"/>
      <c r="AH1302"/>
      <c r="AI1302"/>
      <c r="AJ1302"/>
      <c r="AK1302"/>
      <c r="AL1302"/>
    </row>
    <row r="1303" spans="1:38" ht="12.75" outlineLevel="3" x14ac:dyDescent="0.2">
      <c r="A1303" s="82">
        <v>95</v>
      </c>
      <c r="B1303" s="82" t="s">
        <v>71</v>
      </c>
      <c r="C1303" s="82" t="s">
        <v>1784</v>
      </c>
      <c r="D1303" s="82" t="s">
        <v>409</v>
      </c>
      <c r="E1303" s="11" t="str">
        <f t="array" ref="E1303">_xlfn.XLOOKUP(D1303,Insumos!B:B,Insumos!C:$C)</f>
        <v>UN</v>
      </c>
      <c r="F1303" s="86">
        <v>2.48</v>
      </c>
      <c r="G1303" s="92">
        <f t="array" ref="G1303">IF(B1303="insumo",_xlfn.XLOOKUP($D1303,Insumos!$B$1:$B$996,Insumos!$D$1:$D$996),"")</f>
        <v>0.504</v>
      </c>
      <c r="H1303" s="92">
        <v>1.2499199999999999</v>
      </c>
      <c r="I1303" s="84">
        <v>0</v>
      </c>
      <c r="J1303" s="84">
        <v>0</v>
      </c>
      <c r="K1303" s="84"/>
      <c r="L1303"/>
      <c r="M1303"/>
      <c r="N1303"/>
      <c r="O1303"/>
      <c r="P1303"/>
      <c r="Q1303"/>
      <c r="R1303"/>
      <c r="S1303"/>
      <c r="T1303"/>
      <c r="U1303"/>
      <c r="V1303"/>
      <c r="W1303"/>
      <c r="X1303"/>
      <c r="Y1303"/>
      <c r="Z1303"/>
      <c r="AA1303"/>
      <c r="AB1303"/>
      <c r="AC1303"/>
      <c r="AD1303"/>
      <c r="AE1303"/>
      <c r="AF1303"/>
      <c r="AG1303"/>
      <c r="AH1303"/>
      <c r="AI1303"/>
      <c r="AJ1303"/>
      <c r="AK1303"/>
      <c r="AL1303"/>
    </row>
    <row r="1304" spans="1:38" ht="12.75" outlineLevel="3" x14ac:dyDescent="0.2">
      <c r="A1304" s="82">
        <v>26</v>
      </c>
      <c r="B1304" s="82" t="s">
        <v>71</v>
      </c>
      <c r="C1304" s="82" t="s">
        <v>1784</v>
      </c>
      <c r="D1304" s="82" t="s">
        <v>420</v>
      </c>
      <c r="E1304" s="11" t="str">
        <f t="array" ref="E1304">_xlfn.XLOOKUP(D1304,Insumos!B:B,Insumos!C:$C)</f>
        <v>M</v>
      </c>
      <c r="F1304" s="86">
        <v>0.76239999999999997</v>
      </c>
      <c r="G1304" s="92">
        <f t="array" ref="G1304">IF(B1304="insumo",_xlfn.XLOOKUP($D1304,Insumos!$B$1:$B$996,Insumos!$D$1:$D$996),"")</f>
        <v>8.64</v>
      </c>
      <c r="H1304" s="92">
        <v>6.5871360000000001</v>
      </c>
      <c r="I1304" s="84">
        <v>0</v>
      </c>
      <c r="J1304" s="84">
        <v>0</v>
      </c>
      <c r="K1304" s="84"/>
      <c r="L1304"/>
      <c r="M1304"/>
      <c r="N1304"/>
      <c r="O1304"/>
      <c r="P1304"/>
      <c r="Q1304"/>
      <c r="R1304"/>
      <c r="S1304"/>
      <c r="T1304"/>
      <c r="U1304"/>
      <c r="V1304"/>
      <c r="W1304"/>
      <c r="X1304"/>
      <c r="Y1304"/>
      <c r="Z1304"/>
      <c r="AA1304"/>
      <c r="AB1304"/>
      <c r="AC1304"/>
      <c r="AD1304"/>
      <c r="AE1304"/>
      <c r="AF1304"/>
      <c r="AG1304"/>
      <c r="AH1304"/>
      <c r="AI1304"/>
      <c r="AJ1304"/>
      <c r="AK1304"/>
      <c r="AL1304"/>
    </row>
    <row r="1305" spans="1:38" ht="12.75" outlineLevel="3" x14ac:dyDescent="0.2">
      <c r="A1305" s="82">
        <v>26</v>
      </c>
      <c r="B1305" s="82" t="s">
        <v>71</v>
      </c>
      <c r="C1305" s="82" t="s">
        <v>1784</v>
      </c>
      <c r="D1305" s="82" t="s">
        <v>421</v>
      </c>
      <c r="E1305" s="11" t="str">
        <f t="array" ref="E1305">_xlfn.XLOOKUP(D1305,Insumos!B:B,Insumos!C:$C)</f>
        <v>M</v>
      </c>
      <c r="F1305" s="86">
        <v>2.0005999999999999</v>
      </c>
      <c r="G1305" s="92">
        <f t="array" ref="G1305">IF(B1305="insumo",_xlfn.XLOOKUP($D1305,Insumos!$B$1:$B$996,Insumos!$D$1:$D$996),"")</f>
        <v>18.09</v>
      </c>
      <c r="H1305" s="92">
        <v>36.190854000000002</v>
      </c>
      <c r="I1305" s="84">
        <v>0</v>
      </c>
      <c r="J1305" s="84">
        <v>0</v>
      </c>
      <c r="K1305" s="84"/>
      <c r="L1305"/>
      <c r="M1305"/>
      <c r="N1305"/>
      <c r="O1305"/>
      <c r="P1305"/>
      <c r="Q1305"/>
      <c r="R1305"/>
      <c r="S1305"/>
      <c r="T1305"/>
      <c r="U1305"/>
      <c r="V1305"/>
      <c r="W1305"/>
      <c r="X1305"/>
      <c r="Y1305"/>
      <c r="Z1305"/>
      <c r="AA1305"/>
      <c r="AB1305"/>
      <c r="AC1305"/>
      <c r="AD1305"/>
      <c r="AE1305"/>
      <c r="AF1305"/>
      <c r="AG1305"/>
      <c r="AH1305"/>
      <c r="AI1305"/>
      <c r="AJ1305"/>
      <c r="AK1305"/>
      <c r="AL1305"/>
    </row>
    <row r="1306" spans="1:38" ht="12.75" outlineLevel="3" x14ac:dyDescent="0.2">
      <c r="A1306" s="82">
        <v>95</v>
      </c>
      <c r="B1306" s="82" t="s">
        <v>71</v>
      </c>
      <c r="C1306" s="82" t="s">
        <v>1784</v>
      </c>
      <c r="D1306" s="82" t="s">
        <v>405</v>
      </c>
      <c r="E1306" s="11" t="str">
        <f t="array" ref="E1306">_xlfn.XLOOKUP(D1306,Insumos!B:B,Insumos!C:$C)</f>
        <v>KG</v>
      </c>
      <c r="F1306" s="86">
        <v>0.54890000000000005</v>
      </c>
      <c r="G1306" s="92">
        <f t="array" ref="G1306">IF(B1306="insumo",_xlfn.XLOOKUP($D1306,Insumos!$B$1:$B$996,Insumos!$D$1:$D$996),"")</f>
        <v>3.43</v>
      </c>
      <c r="H1306" s="92">
        <v>1.882727</v>
      </c>
      <c r="I1306" s="84">
        <v>0</v>
      </c>
      <c r="J1306" s="84">
        <v>0</v>
      </c>
      <c r="K1306" s="84"/>
      <c r="L1306"/>
      <c r="M1306"/>
      <c r="N1306"/>
      <c r="O1306"/>
      <c r="P1306"/>
      <c r="Q1306"/>
      <c r="R1306"/>
      <c r="S1306"/>
      <c r="T1306"/>
      <c r="U1306"/>
      <c r="V1306"/>
      <c r="W1306"/>
      <c r="X1306"/>
      <c r="Y1306"/>
      <c r="Z1306"/>
      <c r="AA1306"/>
      <c r="AB1306"/>
      <c r="AC1306"/>
      <c r="AD1306"/>
      <c r="AE1306"/>
      <c r="AF1306"/>
      <c r="AG1306"/>
      <c r="AH1306"/>
      <c r="AI1306"/>
      <c r="AJ1306"/>
      <c r="AK1306"/>
      <c r="AL1306"/>
    </row>
    <row r="1307" spans="1:38" ht="12.75" outlineLevel="3" x14ac:dyDescent="0.2">
      <c r="A1307" s="82">
        <v>94</v>
      </c>
      <c r="B1307" s="82" t="s">
        <v>71</v>
      </c>
      <c r="C1307" s="82" t="s">
        <v>1784</v>
      </c>
      <c r="D1307" s="82" t="s">
        <v>412</v>
      </c>
      <c r="E1307" s="11" t="str">
        <f t="array" ref="E1307">_xlfn.XLOOKUP(D1307,Insumos!B:B,Insumos!C:$C)</f>
        <v>M</v>
      </c>
      <c r="F1307" s="86">
        <v>1.2513000000000001</v>
      </c>
      <c r="G1307" s="92">
        <f t="array" ref="G1307">IF(B1307="insumo",_xlfn.XLOOKUP($D1307,Insumos!$B$1:$B$996,Insumos!$D$1:$D$996),"")</f>
        <v>0.31</v>
      </c>
      <c r="H1307" s="92">
        <v>0.387903</v>
      </c>
      <c r="I1307" s="84">
        <v>0</v>
      </c>
      <c r="J1307" s="84">
        <v>0</v>
      </c>
      <c r="K1307" s="84"/>
      <c r="L1307"/>
      <c r="M1307"/>
      <c r="N1307"/>
      <c r="O1307"/>
      <c r="P1307"/>
      <c r="Q1307"/>
      <c r="R1307"/>
      <c r="S1307"/>
      <c r="T1307"/>
      <c r="U1307"/>
      <c r="V1307"/>
      <c r="W1307"/>
      <c r="X1307"/>
      <c r="Y1307"/>
      <c r="Z1307"/>
      <c r="AA1307"/>
      <c r="AB1307"/>
      <c r="AC1307"/>
      <c r="AD1307"/>
      <c r="AE1307"/>
      <c r="AF1307"/>
      <c r="AG1307"/>
      <c r="AH1307"/>
      <c r="AI1307"/>
      <c r="AJ1307"/>
      <c r="AK1307"/>
      <c r="AL1307"/>
    </row>
    <row r="1308" spans="1:38" ht="12.75" outlineLevel="3" x14ac:dyDescent="0.2">
      <c r="A1308" s="82">
        <v>94</v>
      </c>
      <c r="B1308" s="82" t="s">
        <v>71</v>
      </c>
      <c r="C1308" s="82" t="s">
        <v>1784</v>
      </c>
      <c r="D1308" s="82" t="s">
        <v>413</v>
      </c>
      <c r="E1308" s="11" t="str">
        <f t="array" ref="E1308">_xlfn.XLOOKUP(D1308,Insumos!B:B,Insumos!C:$C)</f>
        <v>M</v>
      </c>
      <c r="F1308" s="86">
        <v>0.74070000000000003</v>
      </c>
      <c r="G1308" s="92">
        <f t="array" ref="G1308">IF(B1308="insumo",_xlfn.XLOOKUP($D1308,Insumos!$B$1:$B$996,Insumos!$D$1:$D$996),"")</f>
        <v>2.74</v>
      </c>
      <c r="H1308" s="92">
        <v>2.0295179999999999</v>
      </c>
      <c r="I1308" s="84">
        <v>0</v>
      </c>
      <c r="J1308" s="84">
        <v>0</v>
      </c>
      <c r="K1308" s="84"/>
      <c r="L1308"/>
      <c r="M1308"/>
      <c r="N1308"/>
      <c r="O1308"/>
      <c r="P1308"/>
      <c r="Q1308"/>
      <c r="R1308"/>
      <c r="S1308"/>
      <c r="T1308"/>
      <c r="U1308"/>
      <c r="V1308"/>
      <c r="W1308"/>
      <c r="X1308"/>
      <c r="Y1308"/>
      <c r="Z1308"/>
      <c r="AA1308"/>
      <c r="AB1308"/>
      <c r="AC1308"/>
      <c r="AD1308"/>
      <c r="AE1308"/>
      <c r="AF1308"/>
      <c r="AG1308"/>
      <c r="AH1308"/>
      <c r="AI1308"/>
      <c r="AJ1308"/>
      <c r="AK1308"/>
      <c r="AL1308"/>
    </row>
    <row r="1309" spans="1:38" ht="12.75" outlineLevel="3" x14ac:dyDescent="0.2">
      <c r="A1309" s="82">
        <v>97</v>
      </c>
      <c r="B1309" s="82" t="s">
        <v>71</v>
      </c>
      <c r="C1309" s="82" t="s">
        <v>1784</v>
      </c>
      <c r="D1309" s="82" t="s">
        <v>414</v>
      </c>
      <c r="E1309" s="11" t="str">
        <f t="array" ref="E1309">_xlfn.XLOOKUP(D1309,Insumos!B:B,Insumos!C:$C)</f>
        <v>UN</v>
      </c>
      <c r="F1309" s="86">
        <v>10.093400000000001</v>
      </c>
      <c r="G1309" s="92">
        <f t="array" ref="G1309">IF(B1309="insumo",_xlfn.XLOOKUP($D1309,Insumos!$B$1:$B$996,Insumos!$D$1:$D$996),"")</f>
        <v>0.09</v>
      </c>
      <c r="H1309" s="92">
        <v>0.90840600000000005</v>
      </c>
      <c r="I1309" s="84">
        <v>0</v>
      </c>
      <c r="J1309" s="84">
        <v>0</v>
      </c>
      <c r="K1309" s="84"/>
      <c r="L1309"/>
      <c r="M1309"/>
      <c r="N1309"/>
      <c r="O1309"/>
      <c r="P1309"/>
      <c r="Q1309"/>
      <c r="R1309"/>
      <c r="S1309"/>
      <c r="T1309"/>
      <c r="U1309"/>
      <c r="V1309"/>
      <c r="W1309"/>
      <c r="X1309"/>
      <c r="Y1309"/>
      <c r="Z1309"/>
      <c r="AA1309"/>
      <c r="AB1309"/>
      <c r="AC1309"/>
      <c r="AD1309"/>
      <c r="AE1309"/>
      <c r="AF1309"/>
      <c r="AG1309"/>
      <c r="AH1309"/>
      <c r="AI1309"/>
      <c r="AJ1309"/>
      <c r="AK1309"/>
      <c r="AL1309"/>
    </row>
    <row r="1310" spans="1:38" ht="12.75" outlineLevel="3" x14ac:dyDescent="0.2">
      <c r="A1310" s="82">
        <v>95</v>
      </c>
      <c r="B1310" s="82" t="s">
        <v>71</v>
      </c>
      <c r="C1310" s="82" t="s">
        <v>1784</v>
      </c>
      <c r="D1310" s="82" t="s">
        <v>415</v>
      </c>
      <c r="E1310" s="11" t="str">
        <f t="array" ref="E1310">_xlfn.XLOOKUP(D1310,Insumos!B:B,Insumos!C:$C)</f>
        <v>UN</v>
      </c>
      <c r="F1310" s="86">
        <v>0.4803</v>
      </c>
      <c r="G1310" s="92">
        <f t="array" ref="G1310">IF(B1310="insumo",_xlfn.XLOOKUP($D1310,Insumos!$B$1:$B$996,Insumos!$D$1:$D$996),"")</f>
        <v>0.2</v>
      </c>
      <c r="H1310" s="92">
        <v>9.6060000000000006E-2</v>
      </c>
      <c r="I1310" s="84">
        <v>0</v>
      </c>
      <c r="J1310" s="84">
        <v>0</v>
      </c>
      <c r="K1310" s="84"/>
      <c r="L1310"/>
      <c r="M1310"/>
      <c r="N1310"/>
      <c r="O1310"/>
      <c r="P1310"/>
      <c r="Q1310"/>
      <c r="R1310"/>
      <c r="S1310"/>
      <c r="T1310"/>
      <c r="U1310"/>
      <c r="V1310"/>
      <c r="W1310"/>
      <c r="X1310"/>
      <c r="Y1310"/>
      <c r="Z1310"/>
      <c r="AA1310"/>
      <c r="AB1310"/>
      <c r="AC1310"/>
      <c r="AD1310"/>
      <c r="AE1310"/>
      <c r="AF1310"/>
      <c r="AG1310"/>
      <c r="AH1310"/>
      <c r="AI1310"/>
      <c r="AJ1310"/>
      <c r="AK1310"/>
      <c r="AL1310"/>
    </row>
    <row r="1311" spans="1:38" ht="12.75" outlineLevel="2" x14ac:dyDescent="0.2">
      <c r="A1311" s="1071">
        <v>1</v>
      </c>
      <c r="B1311" s="1071" t="s">
        <v>68</v>
      </c>
      <c r="C1311" s="1071" t="s">
        <v>1785</v>
      </c>
      <c r="D1311" s="1071" t="s">
        <v>1785</v>
      </c>
      <c r="E1311" s="1072" t="s">
        <v>70</v>
      </c>
      <c r="F1311" s="1071"/>
      <c r="G1311" s="1073" t="str">
        <f t="array" ref="G1311">IF(B1311="insumo",_xlfn.XLOOKUP($D1311,Insumos!$B$1:$B$996,Insumos!$D$1:$D$996),"")</f>
        <v/>
      </c>
      <c r="H1311" s="1073">
        <v>147.86882399999999</v>
      </c>
      <c r="I1311" s="1074">
        <v>0</v>
      </c>
      <c r="J1311" s="1074">
        <v>0</v>
      </c>
      <c r="K1311" s="1074"/>
      <c r="L1311"/>
      <c r="M1311"/>
      <c r="N1311"/>
      <c r="O1311"/>
      <c r="P1311"/>
      <c r="Q1311"/>
      <c r="R1311"/>
      <c r="S1311"/>
      <c r="T1311"/>
      <c r="U1311"/>
      <c r="V1311"/>
      <c r="W1311"/>
      <c r="X1311"/>
      <c r="Y1311"/>
      <c r="Z1311"/>
      <c r="AA1311"/>
      <c r="AB1311"/>
      <c r="AC1311"/>
      <c r="AD1311"/>
      <c r="AE1311"/>
      <c r="AF1311"/>
      <c r="AG1311"/>
      <c r="AH1311"/>
      <c r="AI1311"/>
      <c r="AJ1311"/>
      <c r="AK1311"/>
      <c r="AL1311"/>
    </row>
    <row r="1312" spans="1:38" ht="12.75" outlineLevel="3" x14ac:dyDescent="0.2">
      <c r="A1312" s="82">
        <v>86</v>
      </c>
      <c r="B1312" s="82" t="s">
        <v>71</v>
      </c>
      <c r="C1312" s="82" t="s">
        <v>1785</v>
      </c>
      <c r="D1312" s="82" t="s">
        <v>407</v>
      </c>
      <c r="E1312" s="11" t="str">
        <f t="array" ref="E1312">_xlfn.XLOOKUP(D1312,Insumos!B:B,Insumos!C:$C)</f>
        <v>M2</v>
      </c>
      <c r="F1312" s="86">
        <v>1</v>
      </c>
      <c r="G1312" s="92">
        <f t="array" ref="G1312">IF(B1312="insumo",_xlfn.XLOOKUP($D1312,Insumos!$B$1:$B$996,Insumos!$D$1:$D$996),"")</f>
        <v>70</v>
      </c>
      <c r="H1312" s="92">
        <v>70</v>
      </c>
      <c r="I1312" s="84">
        <v>0</v>
      </c>
      <c r="J1312" s="84">
        <v>0</v>
      </c>
      <c r="K1312" s="84"/>
      <c r="L1312"/>
      <c r="M1312"/>
      <c r="N1312"/>
      <c r="O1312"/>
      <c r="P1312"/>
      <c r="Q1312"/>
      <c r="R1312"/>
      <c r="S1312"/>
      <c r="T1312"/>
      <c r="U1312"/>
      <c r="V1312"/>
      <c r="W1312"/>
      <c r="X1312"/>
      <c r="Y1312"/>
      <c r="Z1312"/>
      <c r="AA1312"/>
      <c r="AB1312"/>
      <c r="AC1312"/>
      <c r="AD1312"/>
      <c r="AE1312"/>
      <c r="AF1312"/>
      <c r="AG1312"/>
      <c r="AH1312"/>
      <c r="AI1312"/>
      <c r="AJ1312"/>
      <c r="AK1312"/>
      <c r="AL1312"/>
    </row>
    <row r="1313" spans="1:38" ht="12.75" outlineLevel="3" x14ac:dyDescent="0.2">
      <c r="A1313" s="82">
        <v>49</v>
      </c>
      <c r="B1313" s="82" t="s">
        <v>71</v>
      </c>
      <c r="C1313" s="82" t="s">
        <v>1785</v>
      </c>
      <c r="D1313" s="82" t="s">
        <v>418</v>
      </c>
      <c r="E1313" s="11" t="str">
        <f t="array" ref="E1313">_xlfn.XLOOKUP(D1313,Insumos!B:B,Insumos!C:$C)</f>
        <v>M2</v>
      </c>
      <c r="F1313" s="86">
        <v>1.0529999999999999</v>
      </c>
      <c r="G1313" s="92">
        <f t="array" ref="G1313">IF(B1313="insumo",_xlfn.XLOOKUP($D1313,Insumos!$B$1:$B$996,Insumos!$D$1:$D$996),"")</f>
        <v>27.1</v>
      </c>
      <c r="H1313" s="92">
        <v>28.536300000000001</v>
      </c>
      <c r="I1313" s="84">
        <v>0</v>
      </c>
      <c r="J1313" s="84">
        <v>0</v>
      </c>
      <c r="K1313" s="84"/>
      <c r="L1313"/>
      <c r="M1313"/>
      <c r="N1313"/>
      <c r="O1313"/>
      <c r="P1313"/>
      <c r="Q1313"/>
      <c r="R1313"/>
      <c r="S1313"/>
      <c r="T1313"/>
      <c r="U1313"/>
      <c r="V1313"/>
      <c r="W1313"/>
      <c r="X1313"/>
      <c r="Y1313"/>
      <c r="Z1313"/>
      <c r="AA1313"/>
      <c r="AB1313"/>
      <c r="AC1313"/>
      <c r="AD1313"/>
      <c r="AE1313"/>
      <c r="AF1313"/>
      <c r="AG1313"/>
      <c r="AH1313"/>
      <c r="AI1313"/>
      <c r="AJ1313"/>
      <c r="AK1313"/>
      <c r="AL1313"/>
    </row>
    <row r="1314" spans="1:38" ht="12.75" outlineLevel="3" x14ac:dyDescent="0.2">
      <c r="A1314" s="82">
        <v>95</v>
      </c>
      <c r="B1314" s="82" t="s">
        <v>71</v>
      </c>
      <c r="C1314" s="82" t="s">
        <v>1785</v>
      </c>
      <c r="D1314" s="82" t="s">
        <v>409</v>
      </c>
      <c r="E1314" s="11" t="str">
        <f t="array" ref="E1314">_xlfn.XLOOKUP(D1314,Insumos!B:B,Insumos!C:$C)</f>
        <v>UN</v>
      </c>
      <c r="F1314" s="86">
        <v>2.48</v>
      </c>
      <c r="G1314" s="92">
        <f t="array" ref="G1314">IF(B1314="insumo",_xlfn.XLOOKUP($D1314,Insumos!$B$1:$B$996,Insumos!$D$1:$D$996),"")</f>
        <v>0.504</v>
      </c>
      <c r="H1314" s="92">
        <v>1.2499199999999999</v>
      </c>
      <c r="I1314" s="84">
        <v>0</v>
      </c>
      <c r="J1314" s="84">
        <v>0</v>
      </c>
      <c r="K1314" s="84"/>
      <c r="L1314"/>
      <c r="M1314"/>
      <c r="N1314"/>
      <c r="O1314"/>
      <c r="P1314"/>
      <c r="Q1314"/>
      <c r="R1314"/>
      <c r="S1314"/>
      <c r="T1314"/>
      <c r="U1314"/>
      <c r="V1314"/>
      <c r="W1314"/>
      <c r="X1314"/>
      <c r="Y1314"/>
      <c r="Z1314"/>
      <c r="AA1314"/>
      <c r="AB1314"/>
      <c r="AC1314"/>
      <c r="AD1314"/>
      <c r="AE1314"/>
      <c r="AF1314"/>
      <c r="AG1314"/>
      <c r="AH1314"/>
      <c r="AI1314"/>
      <c r="AJ1314"/>
      <c r="AK1314"/>
      <c r="AL1314"/>
    </row>
    <row r="1315" spans="1:38" ht="12.75" outlineLevel="3" x14ac:dyDescent="0.2">
      <c r="A1315" s="82">
        <v>26</v>
      </c>
      <c r="B1315" s="82" t="s">
        <v>71</v>
      </c>
      <c r="C1315" s="82" t="s">
        <v>1785</v>
      </c>
      <c r="D1315" s="82" t="s">
        <v>420</v>
      </c>
      <c r="E1315" s="11" t="str">
        <f t="array" ref="E1315">_xlfn.XLOOKUP(D1315,Insumos!B:B,Insumos!C:$C)</f>
        <v>M</v>
      </c>
      <c r="F1315" s="86">
        <v>0.76239999999999997</v>
      </c>
      <c r="G1315" s="92">
        <f t="array" ref="G1315">IF(B1315="insumo",_xlfn.XLOOKUP($D1315,Insumos!$B$1:$B$996,Insumos!$D$1:$D$996),"")</f>
        <v>8.64</v>
      </c>
      <c r="H1315" s="92">
        <v>6.5871360000000001</v>
      </c>
      <c r="I1315" s="84">
        <v>0</v>
      </c>
      <c r="J1315" s="84">
        <v>0</v>
      </c>
      <c r="K1315" s="84"/>
      <c r="L1315"/>
      <c r="M1315"/>
      <c r="N1315"/>
      <c r="O1315"/>
      <c r="P1315"/>
      <c r="Q1315"/>
      <c r="R1315"/>
      <c r="S1315"/>
      <c r="T1315"/>
      <c r="U1315"/>
      <c r="V1315"/>
      <c r="W1315"/>
      <c r="X1315"/>
      <c r="Y1315"/>
      <c r="Z1315"/>
      <c r="AA1315"/>
      <c r="AB1315"/>
      <c r="AC1315"/>
      <c r="AD1315"/>
      <c r="AE1315"/>
      <c r="AF1315"/>
      <c r="AG1315"/>
      <c r="AH1315"/>
      <c r="AI1315"/>
      <c r="AJ1315"/>
      <c r="AK1315"/>
      <c r="AL1315"/>
    </row>
    <row r="1316" spans="1:38" ht="12.75" outlineLevel="3" x14ac:dyDescent="0.2">
      <c r="A1316" s="82">
        <v>26</v>
      </c>
      <c r="B1316" s="82" t="s">
        <v>71</v>
      </c>
      <c r="C1316" s="82" t="s">
        <v>1785</v>
      </c>
      <c r="D1316" s="82" t="s">
        <v>421</v>
      </c>
      <c r="E1316" s="11" t="str">
        <f t="array" ref="E1316">_xlfn.XLOOKUP(D1316,Insumos!B:B,Insumos!C:$C)</f>
        <v>M</v>
      </c>
      <c r="F1316" s="86">
        <v>2.0005999999999999</v>
      </c>
      <c r="G1316" s="92">
        <f t="array" ref="G1316">IF(B1316="insumo",_xlfn.XLOOKUP($D1316,Insumos!$B$1:$B$996,Insumos!$D$1:$D$996),"")</f>
        <v>18.09</v>
      </c>
      <c r="H1316" s="92">
        <v>36.190854000000002</v>
      </c>
      <c r="I1316" s="84">
        <v>0</v>
      </c>
      <c r="J1316" s="84">
        <v>0</v>
      </c>
      <c r="K1316" s="84"/>
      <c r="L1316"/>
      <c r="M1316"/>
      <c r="N1316"/>
      <c r="O1316"/>
      <c r="P1316"/>
      <c r="Q1316"/>
      <c r="R1316"/>
      <c r="S1316"/>
      <c r="T1316"/>
      <c r="U1316"/>
      <c r="V1316"/>
      <c r="W1316"/>
      <c r="X1316"/>
      <c r="Y1316"/>
      <c r="Z1316"/>
      <c r="AA1316"/>
      <c r="AB1316"/>
      <c r="AC1316"/>
      <c r="AD1316"/>
      <c r="AE1316"/>
      <c r="AF1316"/>
      <c r="AG1316"/>
      <c r="AH1316"/>
      <c r="AI1316"/>
      <c r="AJ1316"/>
      <c r="AK1316"/>
      <c r="AL1316"/>
    </row>
    <row r="1317" spans="1:38" ht="12.75" outlineLevel="3" x14ac:dyDescent="0.2">
      <c r="A1317" s="82">
        <v>95</v>
      </c>
      <c r="B1317" s="82" t="s">
        <v>71</v>
      </c>
      <c r="C1317" s="82" t="s">
        <v>1785</v>
      </c>
      <c r="D1317" s="82" t="s">
        <v>405</v>
      </c>
      <c r="E1317" s="11" t="str">
        <f t="array" ref="E1317">_xlfn.XLOOKUP(D1317,Insumos!B:B,Insumos!C:$C)</f>
        <v>KG</v>
      </c>
      <c r="F1317" s="86">
        <v>0.54890000000000005</v>
      </c>
      <c r="G1317" s="92">
        <f t="array" ref="G1317">IF(B1317="insumo",_xlfn.XLOOKUP($D1317,Insumos!$B$1:$B$996,Insumos!$D$1:$D$996),"")</f>
        <v>3.43</v>
      </c>
      <c r="H1317" s="92">
        <v>1.882727</v>
      </c>
      <c r="I1317" s="84">
        <v>0</v>
      </c>
      <c r="J1317" s="84">
        <v>0</v>
      </c>
      <c r="K1317" s="84"/>
      <c r="L1317"/>
      <c r="M1317"/>
      <c r="N1317"/>
      <c r="O1317"/>
      <c r="P1317"/>
      <c r="Q1317"/>
      <c r="R1317"/>
      <c r="S1317"/>
      <c r="T1317"/>
      <c r="U1317"/>
      <c r="V1317"/>
      <c r="W1317"/>
      <c r="X1317"/>
      <c r="Y1317"/>
      <c r="Z1317"/>
      <c r="AA1317"/>
      <c r="AB1317"/>
      <c r="AC1317"/>
      <c r="AD1317"/>
      <c r="AE1317"/>
      <c r="AF1317"/>
      <c r="AG1317"/>
      <c r="AH1317"/>
      <c r="AI1317"/>
      <c r="AJ1317"/>
      <c r="AK1317"/>
      <c r="AL1317"/>
    </row>
    <row r="1318" spans="1:38" ht="12.75" outlineLevel="3" x14ac:dyDescent="0.2">
      <c r="A1318" s="82">
        <v>94</v>
      </c>
      <c r="B1318" s="82" t="s">
        <v>71</v>
      </c>
      <c r="C1318" s="82" t="s">
        <v>1785</v>
      </c>
      <c r="D1318" s="82" t="s">
        <v>412</v>
      </c>
      <c r="E1318" s="11" t="str">
        <f t="array" ref="E1318">_xlfn.XLOOKUP(D1318,Insumos!B:B,Insumos!C:$C)</f>
        <v>M</v>
      </c>
      <c r="F1318" s="86">
        <v>1.2513000000000001</v>
      </c>
      <c r="G1318" s="92">
        <f t="array" ref="G1318">IF(B1318="insumo",_xlfn.XLOOKUP($D1318,Insumos!$B$1:$B$996,Insumos!$D$1:$D$996),"")</f>
        <v>0.31</v>
      </c>
      <c r="H1318" s="92">
        <v>0.387903</v>
      </c>
      <c r="I1318" s="84">
        <v>0</v>
      </c>
      <c r="J1318" s="84">
        <v>0</v>
      </c>
      <c r="K1318" s="84"/>
      <c r="L1318"/>
      <c r="M1318"/>
      <c r="N1318"/>
      <c r="O1318"/>
      <c r="P1318"/>
      <c r="Q1318"/>
      <c r="R1318"/>
      <c r="S1318"/>
      <c r="T1318"/>
      <c r="U1318"/>
      <c r="V1318"/>
      <c r="W1318"/>
      <c r="X1318"/>
      <c r="Y1318"/>
      <c r="Z1318"/>
      <c r="AA1318"/>
      <c r="AB1318"/>
      <c r="AC1318"/>
      <c r="AD1318"/>
      <c r="AE1318"/>
      <c r="AF1318"/>
      <c r="AG1318"/>
      <c r="AH1318"/>
      <c r="AI1318"/>
      <c r="AJ1318"/>
      <c r="AK1318"/>
      <c r="AL1318"/>
    </row>
    <row r="1319" spans="1:38" ht="12.75" outlineLevel="3" x14ac:dyDescent="0.2">
      <c r="A1319" s="82">
        <v>94</v>
      </c>
      <c r="B1319" s="82" t="s">
        <v>71</v>
      </c>
      <c r="C1319" s="82" t="s">
        <v>1785</v>
      </c>
      <c r="D1319" s="82" t="s">
        <v>413</v>
      </c>
      <c r="E1319" s="11" t="str">
        <f t="array" ref="E1319">_xlfn.XLOOKUP(D1319,Insumos!B:B,Insumos!C:$C)</f>
        <v>M</v>
      </c>
      <c r="F1319" s="86">
        <v>0.74070000000000003</v>
      </c>
      <c r="G1319" s="92">
        <f t="array" ref="G1319">IF(B1319="insumo",_xlfn.XLOOKUP($D1319,Insumos!$B$1:$B$996,Insumos!$D$1:$D$996),"")</f>
        <v>2.74</v>
      </c>
      <c r="H1319" s="92">
        <v>2.0295179999999999</v>
      </c>
      <c r="I1319" s="84">
        <v>0</v>
      </c>
      <c r="J1319" s="84">
        <v>0</v>
      </c>
      <c r="K1319" s="84"/>
      <c r="L1319"/>
      <c r="M1319"/>
      <c r="N1319"/>
      <c r="O1319"/>
      <c r="P1319"/>
      <c r="Q1319"/>
      <c r="R1319"/>
      <c r="S1319"/>
      <c r="T1319"/>
      <c r="U1319"/>
      <c r="V1319"/>
      <c r="W1319"/>
      <c r="X1319"/>
      <c r="Y1319"/>
      <c r="Z1319"/>
      <c r="AA1319"/>
      <c r="AB1319"/>
      <c r="AC1319"/>
      <c r="AD1319"/>
      <c r="AE1319"/>
      <c r="AF1319"/>
      <c r="AG1319"/>
      <c r="AH1319"/>
      <c r="AI1319"/>
      <c r="AJ1319"/>
      <c r="AK1319"/>
      <c r="AL1319"/>
    </row>
    <row r="1320" spans="1:38" ht="12.75" outlineLevel="3" x14ac:dyDescent="0.2">
      <c r="A1320" s="82">
        <v>97</v>
      </c>
      <c r="B1320" s="82" t="s">
        <v>71</v>
      </c>
      <c r="C1320" s="82" t="s">
        <v>1785</v>
      </c>
      <c r="D1320" s="82" t="s">
        <v>414</v>
      </c>
      <c r="E1320" s="11" t="str">
        <f t="array" ref="E1320">_xlfn.XLOOKUP(D1320,Insumos!B:B,Insumos!C:$C)</f>
        <v>UN</v>
      </c>
      <c r="F1320" s="86">
        <v>10.093400000000001</v>
      </c>
      <c r="G1320" s="92">
        <f t="array" ref="G1320">IF(B1320="insumo",_xlfn.XLOOKUP($D1320,Insumos!$B$1:$B$996,Insumos!$D$1:$D$996),"")</f>
        <v>0.09</v>
      </c>
      <c r="H1320" s="92">
        <v>0.90840600000000005</v>
      </c>
      <c r="I1320" s="84">
        <v>0</v>
      </c>
      <c r="J1320" s="84">
        <v>0</v>
      </c>
      <c r="K1320" s="84"/>
      <c r="L1320"/>
      <c r="M1320"/>
      <c r="N1320"/>
      <c r="O1320"/>
      <c r="P1320"/>
      <c r="Q1320"/>
      <c r="R1320"/>
      <c r="S1320"/>
      <c r="T1320"/>
      <c r="U1320"/>
      <c r="V1320"/>
      <c r="W1320"/>
      <c r="X1320"/>
      <c r="Y1320"/>
      <c r="Z1320"/>
      <c r="AA1320"/>
      <c r="AB1320"/>
      <c r="AC1320"/>
      <c r="AD1320"/>
      <c r="AE1320"/>
      <c r="AF1320"/>
      <c r="AG1320"/>
      <c r="AH1320"/>
      <c r="AI1320"/>
      <c r="AJ1320"/>
      <c r="AK1320"/>
      <c r="AL1320"/>
    </row>
    <row r="1321" spans="1:38" ht="12.75" outlineLevel="3" x14ac:dyDescent="0.2">
      <c r="A1321" s="82">
        <v>95</v>
      </c>
      <c r="B1321" s="82" t="s">
        <v>71</v>
      </c>
      <c r="C1321" s="82" t="s">
        <v>1785</v>
      </c>
      <c r="D1321" s="82" t="s">
        <v>415</v>
      </c>
      <c r="E1321" s="11" t="str">
        <f t="array" ref="E1321">_xlfn.XLOOKUP(D1321,Insumos!B:B,Insumos!C:$C)</f>
        <v>UN</v>
      </c>
      <c r="F1321" s="86">
        <v>0.4803</v>
      </c>
      <c r="G1321" s="92">
        <f t="array" ref="G1321">IF(B1321="insumo",_xlfn.XLOOKUP($D1321,Insumos!$B$1:$B$996,Insumos!$D$1:$D$996),"")</f>
        <v>0.2</v>
      </c>
      <c r="H1321" s="92">
        <v>9.6060000000000006E-2</v>
      </c>
      <c r="I1321" s="84">
        <v>0</v>
      </c>
      <c r="J1321" s="84">
        <v>0</v>
      </c>
      <c r="K1321" s="84"/>
      <c r="L1321"/>
      <c r="M1321"/>
      <c r="N1321"/>
      <c r="O1321"/>
      <c r="P1321"/>
      <c r="Q1321"/>
      <c r="R1321"/>
      <c r="S1321"/>
      <c r="T1321"/>
      <c r="U1321"/>
      <c r="V1321"/>
      <c r="W1321"/>
      <c r="X1321"/>
      <c r="Y1321"/>
      <c r="Z1321"/>
      <c r="AA1321"/>
      <c r="AB1321"/>
      <c r="AC1321"/>
      <c r="AD1321"/>
      <c r="AE1321"/>
      <c r="AF1321"/>
      <c r="AG1321"/>
      <c r="AH1321"/>
      <c r="AI1321"/>
      <c r="AJ1321"/>
      <c r="AK1321"/>
      <c r="AL1321"/>
    </row>
    <row r="1322" spans="1:38" ht="12.75" outlineLevel="2" x14ac:dyDescent="0.2">
      <c r="A1322" s="1071">
        <v>1</v>
      </c>
      <c r="B1322" s="1071" t="s">
        <v>68</v>
      </c>
      <c r="C1322" s="1071" t="s">
        <v>1786</v>
      </c>
      <c r="D1322" s="1071" t="s">
        <v>1786</v>
      </c>
      <c r="E1322" s="1072" t="s">
        <v>70</v>
      </c>
      <c r="F1322" s="1071"/>
      <c r="G1322" s="1073" t="str">
        <f t="array" ref="G1322">IF(B1322="insumo",_xlfn.XLOOKUP($D1322,Insumos!$B$1:$B$996,Insumos!$D$1:$D$996),"")</f>
        <v/>
      </c>
      <c r="H1322" s="1073">
        <v>211.01940400000001</v>
      </c>
      <c r="I1322" s="1074">
        <v>0</v>
      </c>
      <c r="J1322" s="1074">
        <v>0</v>
      </c>
      <c r="K1322" s="1074"/>
      <c r="L1322"/>
      <c r="M1322"/>
      <c r="N1322"/>
      <c r="O1322"/>
      <c r="P1322"/>
      <c r="Q1322"/>
      <c r="R1322"/>
      <c r="S1322"/>
      <c r="T1322"/>
      <c r="U1322"/>
      <c r="V1322"/>
      <c r="W1322"/>
      <c r="X1322"/>
      <c r="Y1322"/>
      <c r="Z1322"/>
      <c r="AA1322"/>
      <c r="AB1322"/>
      <c r="AC1322"/>
      <c r="AD1322"/>
      <c r="AE1322"/>
      <c r="AF1322"/>
      <c r="AG1322"/>
      <c r="AH1322"/>
      <c r="AI1322"/>
      <c r="AJ1322"/>
      <c r="AK1322"/>
      <c r="AL1322"/>
    </row>
    <row r="1323" spans="1:38" ht="12.75" outlineLevel="3" x14ac:dyDescent="0.2">
      <c r="A1323" s="82">
        <v>86</v>
      </c>
      <c r="B1323" s="82" t="s">
        <v>71</v>
      </c>
      <c r="C1323" s="82" t="s">
        <v>1786</v>
      </c>
      <c r="D1323" s="82" t="s">
        <v>407</v>
      </c>
      <c r="E1323" s="11" t="str">
        <f t="array" ref="E1323">_xlfn.XLOOKUP(D1323,Insumos!B:B,Insumos!C:$C)</f>
        <v>M2</v>
      </c>
      <c r="F1323" s="86">
        <v>1</v>
      </c>
      <c r="G1323" s="92">
        <f t="array" ref="G1323">IF(B1323="insumo",_xlfn.XLOOKUP($D1323,Insumos!$B$1:$B$996,Insumos!$D$1:$D$996),"")</f>
        <v>70</v>
      </c>
      <c r="H1323" s="92">
        <v>70</v>
      </c>
      <c r="I1323" s="84">
        <v>0</v>
      </c>
      <c r="J1323" s="84">
        <v>0</v>
      </c>
      <c r="K1323" s="84"/>
      <c r="L1323"/>
      <c r="M1323"/>
      <c r="N1323"/>
      <c r="O1323"/>
      <c r="P1323"/>
      <c r="Q1323"/>
      <c r="R1323"/>
      <c r="S1323"/>
      <c r="T1323"/>
      <c r="U1323"/>
      <c r="V1323"/>
      <c r="W1323"/>
      <c r="X1323"/>
      <c r="Y1323"/>
      <c r="Z1323"/>
      <c r="AA1323"/>
      <c r="AB1323"/>
      <c r="AC1323"/>
      <c r="AD1323"/>
      <c r="AE1323"/>
      <c r="AF1323"/>
      <c r="AG1323"/>
      <c r="AH1323"/>
      <c r="AI1323"/>
      <c r="AJ1323"/>
      <c r="AK1323"/>
      <c r="AL1323"/>
    </row>
    <row r="1324" spans="1:38" ht="12.75" outlineLevel="3" x14ac:dyDescent="0.2">
      <c r="A1324" s="82">
        <v>47</v>
      </c>
      <c r="B1324" s="82" t="s">
        <v>71</v>
      </c>
      <c r="C1324" s="82" t="s">
        <v>1786</v>
      </c>
      <c r="D1324" s="82" t="s">
        <v>408</v>
      </c>
      <c r="E1324" s="11" t="str">
        <f t="array" ref="E1324">_xlfn.XLOOKUP(D1324,Insumos!B:B,Insumos!C:$C)</f>
        <v>M2</v>
      </c>
      <c r="F1324" s="86">
        <v>2.1059999999999999</v>
      </c>
      <c r="G1324" s="92">
        <f t="array" ref="G1324">IF(B1324="insumo",_xlfn.XLOOKUP($D1324,Insumos!$B$1:$B$996,Insumos!$D$1:$D$996),"")</f>
        <v>20.16</v>
      </c>
      <c r="H1324" s="92">
        <v>42.456960000000002</v>
      </c>
      <c r="I1324" s="84">
        <v>0</v>
      </c>
      <c r="J1324" s="84">
        <v>0</v>
      </c>
      <c r="K1324" s="84"/>
      <c r="L1324"/>
      <c r="M1324"/>
      <c r="N1324"/>
      <c r="O1324"/>
      <c r="P1324"/>
      <c r="Q1324"/>
      <c r="R1324"/>
      <c r="S1324"/>
      <c r="T1324"/>
      <c r="U1324"/>
      <c r="V1324"/>
      <c r="W1324"/>
      <c r="X1324"/>
      <c r="Y1324"/>
      <c r="Z1324"/>
      <c r="AA1324"/>
      <c r="AB1324"/>
      <c r="AC1324"/>
      <c r="AD1324"/>
      <c r="AE1324"/>
      <c r="AF1324"/>
      <c r="AG1324"/>
      <c r="AH1324"/>
      <c r="AI1324"/>
      <c r="AJ1324"/>
      <c r="AK1324"/>
      <c r="AL1324"/>
    </row>
    <row r="1325" spans="1:38" ht="12.75" outlineLevel="3" x14ac:dyDescent="0.2">
      <c r="A1325" s="82">
        <v>95</v>
      </c>
      <c r="B1325" s="82" t="s">
        <v>71</v>
      </c>
      <c r="C1325" s="82" t="s">
        <v>1786</v>
      </c>
      <c r="D1325" s="82" t="s">
        <v>409</v>
      </c>
      <c r="E1325" s="11" t="str">
        <f t="array" ref="E1325">_xlfn.XLOOKUP(D1325,Insumos!B:B,Insumos!C:$C)</f>
        <v>UN</v>
      </c>
      <c r="F1325" s="86">
        <v>4.95</v>
      </c>
      <c r="G1325" s="92">
        <f t="array" ref="G1325">IF(B1325="insumo",_xlfn.XLOOKUP($D1325,Insumos!$B$1:$B$996,Insumos!$D$1:$D$996),"")</f>
        <v>0.504</v>
      </c>
      <c r="H1325" s="92">
        <v>2.4948000000000001</v>
      </c>
      <c r="I1325" s="84">
        <v>0</v>
      </c>
      <c r="J1325" s="84">
        <v>0</v>
      </c>
      <c r="K1325" s="84"/>
      <c r="L1325"/>
      <c r="M1325"/>
      <c r="N1325"/>
      <c r="O1325"/>
      <c r="P1325"/>
      <c r="Q1325"/>
      <c r="R1325"/>
      <c r="S1325"/>
      <c r="T1325"/>
      <c r="U1325"/>
      <c r="V1325"/>
      <c r="W1325"/>
      <c r="X1325"/>
      <c r="Y1325"/>
      <c r="Z1325"/>
      <c r="AA1325"/>
      <c r="AB1325"/>
      <c r="AC1325"/>
      <c r="AD1325"/>
      <c r="AE1325"/>
      <c r="AF1325"/>
      <c r="AG1325"/>
      <c r="AH1325"/>
      <c r="AI1325"/>
      <c r="AJ1325"/>
      <c r="AK1325"/>
      <c r="AL1325"/>
    </row>
    <row r="1326" spans="1:38" ht="12.75" outlineLevel="3" x14ac:dyDescent="0.2">
      <c r="A1326" s="82">
        <v>26</v>
      </c>
      <c r="B1326" s="82" t="s">
        <v>71</v>
      </c>
      <c r="C1326" s="82" t="s">
        <v>1786</v>
      </c>
      <c r="D1326" s="82" t="s">
        <v>420</v>
      </c>
      <c r="E1326" s="11" t="str">
        <f t="array" ref="E1326">_xlfn.XLOOKUP(D1326,Insumos!B:B,Insumos!C:$C)</f>
        <v>M</v>
      </c>
      <c r="F1326" s="86">
        <v>1.5247999999999999</v>
      </c>
      <c r="G1326" s="92">
        <f t="array" ref="G1326">IF(B1326="insumo",_xlfn.XLOOKUP($D1326,Insumos!$B$1:$B$996,Insumos!$D$1:$D$996),"")</f>
        <v>8.64</v>
      </c>
      <c r="H1326" s="92">
        <v>13.174272</v>
      </c>
      <c r="I1326" s="84">
        <v>0</v>
      </c>
      <c r="J1326" s="84">
        <v>0</v>
      </c>
      <c r="K1326" s="84"/>
      <c r="L1326"/>
      <c r="M1326"/>
      <c r="N1326"/>
      <c r="O1326"/>
      <c r="P1326"/>
      <c r="Q1326"/>
      <c r="R1326"/>
      <c r="S1326"/>
      <c r="T1326"/>
      <c r="U1326"/>
      <c r="V1326"/>
      <c r="W1326"/>
      <c r="X1326"/>
      <c r="Y1326"/>
      <c r="Z1326"/>
      <c r="AA1326"/>
      <c r="AB1326"/>
      <c r="AC1326"/>
      <c r="AD1326"/>
      <c r="AE1326"/>
      <c r="AF1326"/>
      <c r="AG1326"/>
      <c r="AH1326"/>
      <c r="AI1326"/>
      <c r="AJ1326"/>
      <c r="AK1326"/>
      <c r="AL1326"/>
    </row>
    <row r="1327" spans="1:38" ht="12.75" outlineLevel="3" x14ac:dyDescent="0.2">
      <c r="A1327" s="82">
        <v>26</v>
      </c>
      <c r="B1327" s="82" t="s">
        <v>71</v>
      </c>
      <c r="C1327" s="82" t="s">
        <v>1786</v>
      </c>
      <c r="D1327" s="82" t="s">
        <v>421</v>
      </c>
      <c r="E1327" s="11" t="str">
        <f t="array" ref="E1327">_xlfn.XLOOKUP(D1327,Insumos!B:B,Insumos!C:$C)</f>
        <v>M</v>
      </c>
      <c r="F1327" s="86">
        <v>4.0011000000000001</v>
      </c>
      <c r="G1327" s="92">
        <f t="array" ref="G1327">IF(B1327="insumo",_xlfn.XLOOKUP($D1327,Insumos!$B$1:$B$996,Insumos!$D$1:$D$996),"")</f>
        <v>18.09</v>
      </c>
      <c r="H1327" s="92">
        <v>72.379898999999995</v>
      </c>
      <c r="I1327" s="84">
        <v>0</v>
      </c>
      <c r="J1327" s="84">
        <v>0</v>
      </c>
      <c r="K1327" s="84"/>
      <c r="L1327"/>
      <c r="M1327"/>
      <c r="N1327"/>
      <c r="O1327"/>
      <c r="P1327"/>
      <c r="Q1327"/>
      <c r="R1327"/>
      <c r="S1327"/>
      <c r="T1327"/>
      <c r="U1327"/>
      <c r="V1327"/>
      <c r="W1327"/>
      <c r="X1327"/>
      <c r="Y1327"/>
      <c r="Z1327"/>
      <c r="AA1327"/>
      <c r="AB1327"/>
      <c r="AC1327"/>
      <c r="AD1327"/>
      <c r="AE1327"/>
      <c r="AF1327"/>
      <c r="AG1327"/>
      <c r="AH1327"/>
      <c r="AI1327"/>
      <c r="AJ1327"/>
      <c r="AK1327"/>
      <c r="AL1327"/>
    </row>
    <row r="1328" spans="1:38" ht="12.75" outlineLevel="3" x14ac:dyDescent="0.2">
      <c r="A1328" s="82">
        <v>95</v>
      </c>
      <c r="B1328" s="82" t="s">
        <v>71</v>
      </c>
      <c r="C1328" s="82" t="s">
        <v>1786</v>
      </c>
      <c r="D1328" s="82" t="s">
        <v>405</v>
      </c>
      <c r="E1328" s="11" t="str">
        <f t="array" ref="E1328">_xlfn.XLOOKUP(D1328,Insumos!B:B,Insumos!C:$C)</f>
        <v>KG</v>
      </c>
      <c r="F1328" s="86">
        <v>1.0978000000000001</v>
      </c>
      <c r="G1328" s="92">
        <f t="array" ref="G1328">IF(B1328="insumo",_xlfn.XLOOKUP($D1328,Insumos!$B$1:$B$996,Insumos!$D$1:$D$996),"")</f>
        <v>3.43</v>
      </c>
      <c r="H1328" s="92">
        <v>3.7654540000000001</v>
      </c>
      <c r="I1328" s="84">
        <v>0</v>
      </c>
      <c r="J1328" s="84">
        <v>0</v>
      </c>
      <c r="K1328" s="84"/>
      <c r="L1328"/>
      <c r="M1328"/>
      <c r="N1328"/>
      <c r="O1328"/>
      <c r="P1328"/>
      <c r="Q1328"/>
      <c r="R1328"/>
      <c r="S1328"/>
      <c r="T1328"/>
      <c r="U1328"/>
      <c r="V1328"/>
      <c r="W1328"/>
      <c r="X1328"/>
      <c r="Y1328"/>
      <c r="Z1328"/>
      <c r="AA1328"/>
      <c r="AB1328"/>
      <c r="AC1328"/>
      <c r="AD1328"/>
      <c r="AE1328"/>
      <c r="AF1328"/>
      <c r="AG1328"/>
      <c r="AH1328"/>
      <c r="AI1328"/>
      <c r="AJ1328"/>
      <c r="AK1328"/>
      <c r="AL1328"/>
    </row>
    <row r="1329" spans="1:38" ht="12.75" outlineLevel="3" x14ac:dyDescent="0.2">
      <c r="A1329" s="82">
        <v>94</v>
      </c>
      <c r="B1329" s="82" t="s">
        <v>71</v>
      </c>
      <c r="C1329" s="82" t="s">
        <v>1786</v>
      </c>
      <c r="D1329" s="82" t="s">
        <v>412</v>
      </c>
      <c r="E1329" s="11" t="str">
        <f t="array" ref="E1329">_xlfn.XLOOKUP(D1329,Insumos!B:B,Insumos!C:$C)</f>
        <v>M</v>
      </c>
      <c r="F1329" s="86">
        <v>2.5026999999999999</v>
      </c>
      <c r="G1329" s="92">
        <f t="array" ref="G1329">IF(B1329="insumo",_xlfn.XLOOKUP($D1329,Insumos!$B$1:$B$996,Insumos!$D$1:$D$996),"")</f>
        <v>0.31</v>
      </c>
      <c r="H1329" s="92">
        <v>0.775837</v>
      </c>
      <c r="I1329" s="84">
        <v>0</v>
      </c>
      <c r="J1329" s="84">
        <v>0</v>
      </c>
      <c r="K1329" s="84"/>
      <c r="L1329"/>
      <c r="M1329"/>
      <c r="N1329"/>
      <c r="O1329"/>
      <c r="P1329"/>
      <c r="Q1329"/>
      <c r="R1329"/>
      <c r="S1329"/>
      <c r="T1329"/>
      <c r="U1329"/>
      <c r="V1329"/>
      <c r="W1329"/>
      <c r="X1329"/>
      <c r="Y1329"/>
      <c r="Z1329"/>
      <c r="AA1329"/>
      <c r="AB1329"/>
      <c r="AC1329"/>
      <c r="AD1329"/>
      <c r="AE1329"/>
      <c r="AF1329"/>
      <c r="AG1329"/>
      <c r="AH1329"/>
      <c r="AI1329"/>
      <c r="AJ1329"/>
      <c r="AK1329"/>
      <c r="AL1329"/>
    </row>
    <row r="1330" spans="1:38" ht="12.75" outlineLevel="3" x14ac:dyDescent="0.2">
      <c r="A1330" s="82">
        <v>94</v>
      </c>
      <c r="B1330" s="82" t="s">
        <v>71</v>
      </c>
      <c r="C1330" s="82" t="s">
        <v>1786</v>
      </c>
      <c r="D1330" s="82" t="s">
        <v>413</v>
      </c>
      <c r="E1330" s="11" t="str">
        <f t="array" ref="E1330">_xlfn.XLOOKUP(D1330,Insumos!B:B,Insumos!C:$C)</f>
        <v>M</v>
      </c>
      <c r="F1330" s="86">
        <v>1.4815</v>
      </c>
      <c r="G1330" s="92">
        <f t="array" ref="G1330">IF(B1330="insumo",_xlfn.XLOOKUP($D1330,Insumos!$B$1:$B$996,Insumos!$D$1:$D$996),"")</f>
        <v>2.74</v>
      </c>
      <c r="H1330" s="92">
        <v>4.05931</v>
      </c>
      <c r="I1330" s="84">
        <v>0</v>
      </c>
      <c r="J1330" s="84">
        <v>0</v>
      </c>
      <c r="K1330" s="84"/>
      <c r="L1330"/>
      <c r="M1330"/>
      <c r="N1330"/>
      <c r="O1330"/>
      <c r="P1330"/>
      <c r="Q1330"/>
      <c r="R1330"/>
      <c r="S1330"/>
      <c r="T1330"/>
      <c r="U1330"/>
      <c r="V1330"/>
      <c r="W1330"/>
      <c r="X1330"/>
      <c r="Y1330"/>
      <c r="Z1330"/>
      <c r="AA1330"/>
      <c r="AB1330"/>
      <c r="AC1330"/>
      <c r="AD1330"/>
      <c r="AE1330"/>
      <c r="AF1330"/>
      <c r="AG1330"/>
      <c r="AH1330"/>
      <c r="AI1330"/>
      <c r="AJ1330"/>
      <c r="AK1330"/>
      <c r="AL1330"/>
    </row>
    <row r="1331" spans="1:38" ht="12.75" outlineLevel="3" x14ac:dyDescent="0.2">
      <c r="A1331" s="82">
        <v>97</v>
      </c>
      <c r="B1331" s="82" t="s">
        <v>71</v>
      </c>
      <c r="C1331" s="82" t="s">
        <v>1786</v>
      </c>
      <c r="D1331" s="82" t="s">
        <v>414</v>
      </c>
      <c r="E1331" s="11" t="str">
        <f t="array" ref="E1331">_xlfn.XLOOKUP(D1331,Insumos!B:B,Insumos!C:$C)</f>
        <v>UN</v>
      </c>
      <c r="F1331" s="86">
        <v>20.186800000000002</v>
      </c>
      <c r="G1331" s="92">
        <f t="array" ref="G1331">IF(B1331="insumo",_xlfn.XLOOKUP($D1331,Insumos!$B$1:$B$996,Insumos!$D$1:$D$996),"")</f>
        <v>0.09</v>
      </c>
      <c r="H1331" s="92">
        <v>1.8168120000000001</v>
      </c>
      <c r="I1331" s="84">
        <v>0</v>
      </c>
      <c r="J1331" s="84">
        <v>0</v>
      </c>
      <c r="K1331" s="84"/>
      <c r="L1331"/>
      <c r="M1331"/>
      <c r="N1331"/>
      <c r="O1331"/>
      <c r="P1331"/>
      <c r="Q1331"/>
      <c r="R1331"/>
      <c r="S1331"/>
      <c r="T1331"/>
      <c r="U1331"/>
      <c r="V1331"/>
      <c r="W1331"/>
      <c r="X1331"/>
      <c r="Y1331"/>
      <c r="Z1331"/>
      <c r="AA1331"/>
      <c r="AB1331"/>
      <c r="AC1331"/>
      <c r="AD1331"/>
      <c r="AE1331"/>
      <c r="AF1331"/>
      <c r="AG1331"/>
      <c r="AH1331"/>
      <c r="AI1331"/>
      <c r="AJ1331"/>
      <c r="AK1331"/>
      <c r="AL1331"/>
    </row>
    <row r="1332" spans="1:38" ht="12.75" outlineLevel="3" x14ac:dyDescent="0.2">
      <c r="A1332" s="82">
        <v>95</v>
      </c>
      <c r="B1332" s="82" t="s">
        <v>71</v>
      </c>
      <c r="C1332" s="82" t="s">
        <v>1786</v>
      </c>
      <c r="D1332" s="82" t="s">
        <v>415</v>
      </c>
      <c r="E1332" s="11" t="str">
        <f t="array" ref="E1332">_xlfn.XLOOKUP(D1332,Insumos!B:B,Insumos!C:$C)</f>
        <v>UN</v>
      </c>
      <c r="F1332" s="86">
        <v>0.4803</v>
      </c>
      <c r="G1332" s="92">
        <f t="array" ref="G1332">IF(B1332="insumo",_xlfn.XLOOKUP($D1332,Insumos!$B$1:$B$996,Insumos!$D$1:$D$996),"")</f>
        <v>0.2</v>
      </c>
      <c r="H1332" s="92">
        <v>9.6060000000000006E-2</v>
      </c>
      <c r="I1332" s="84">
        <v>0</v>
      </c>
      <c r="J1332" s="84">
        <v>0</v>
      </c>
      <c r="K1332" s="84"/>
      <c r="L1332"/>
      <c r="M1332"/>
      <c r="N1332"/>
      <c r="O1332"/>
      <c r="P1332"/>
      <c r="Q1332"/>
      <c r="R1332"/>
      <c r="S1332"/>
      <c r="T1332"/>
      <c r="U1332"/>
      <c r="V1332"/>
      <c r="W1332"/>
      <c r="X1332"/>
      <c r="Y1332"/>
      <c r="Z1332"/>
      <c r="AA1332"/>
      <c r="AB1332"/>
      <c r="AC1332"/>
      <c r="AD1332"/>
      <c r="AE1332"/>
      <c r="AF1332"/>
      <c r="AG1332"/>
      <c r="AH1332"/>
      <c r="AI1332"/>
      <c r="AJ1332"/>
      <c r="AK1332"/>
      <c r="AL1332"/>
    </row>
    <row r="1333" spans="1:38" ht="12.75" outlineLevel="2" x14ac:dyDescent="0.2">
      <c r="A1333" s="1071">
        <v>1</v>
      </c>
      <c r="B1333" s="1071" t="s">
        <v>68</v>
      </c>
      <c r="C1333" s="1071" t="s">
        <v>1787</v>
      </c>
      <c r="D1333" s="1071" t="s">
        <v>1787</v>
      </c>
      <c r="E1333" s="1072" t="s">
        <v>70</v>
      </c>
      <c r="F1333" s="1071"/>
      <c r="G1333" s="1073" t="str">
        <f t="array" ref="G1333">IF(B1333="insumo",_xlfn.XLOOKUP($D1333,Insumos!$B$1:$B$996,Insumos!$D$1:$D$996),"")</f>
        <v/>
      </c>
      <c r="H1333" s="1073">
        <v>225.63504399999999</v>
      </c>
      <c r="I1333" s="1074">
        <v>0</v>
      </c>
      <c r="J1333" s="1074">
        <v>0</v>
      </c>
      <c r="K1333" s="1074"/>
      <c r="L1333"/>
      <c r="M1333"/>
      <c r="N1333"/>
      <c r="O1333"/>
      <c r="P1333"/>
      <c r="Q1333"/>
      <c r="R1333"/>
      <c r="S1333"/>
      <c r="T1333"/>
      <c r="U1333"/>
      <c r="V1333"/>
      <c r="W1333"/>
      <c r="X1333"/>
      <c r="Y1333"/>
      <c r="Z1333"/>
      <c r="AA1333"/>
      <c r="AB1333"/>
      <c r="AC1333"/>
      <c r="AD1333"/>
      <c r="AE1333"/>
      <c r="AF1333"/>
      <c r="AG1333"/>
      <c r="AH1333"/>
      <c r="AI1333"/>
      <c r="AJ1333"/>
      <c r="AK1333"/>
      <c r="AL1333"/>
    </row>
    <row r="1334" spans="1:38" ht="12.75" outlineLevel="3" x14ac:dyDescent="0.2">
      <c r="A1334" s="82">
        <v>86</v>
      </c>
      <c r="B1334" s="82" t="s">
        <v>71</v>
      </c>
      <c r="C1334" s="82" t="s">
        <v>1787</v>
      </c>
      <c r="D1334" s="82" t="s">
        <v>407</v>
      </c>
      <c r="E1334" s="11" t="str">
        <f t="array" ref="E1334">_xlfn.XLOOKUP(D1334,Insumos!B:B,Insumos!C:$C)</f>
        <v>M2</v>
      </c>
      <c r="F1334" s="86">
        <v>1</v>
      </c>
      <c r="G1334" s="92">
        <f t="array" ref="G1334">IF(B1334="insumo",_xlfn.XLOOKUP($D1334,Insumos!$B$1:$B$996,Insumos!$D$1:$D$996),"")</f>
        <v>70</v>
      </c>
      <c r="H1334" s="92">
        <v>70</v>
      </c>
      <c r="I1334" s="84">
        <v>0</v>
      </c>
      <c r="J1334" s="84">
        <v>0</v>
      </c>
      <c r="K1334" s="84"/>
      <c r="L1334"/>
      <c r="M1334"/>
      <c r="N1334"/>
      <c r="O1334"/>
      <c r="P1334"/>
      <c r="Q1334"/>
      <c r="R1334"/>
      <c r="S1334"/>
      <c r="T1334"/>
      <c r="U1334"/>
      <c r="V1334"/>
      <c r="W1334"/>
      <c r="X1334"/>
      <c r="Y1334"/>
      <c r="Z1334"/>
      <c r="AA1334"/>
      <c r="AB1334"/>
      <c r="AC1334"/>
      <c r="AD1334"/>
      <c r="AE1334"/>
      <c r="AF1334"/>
      <c r="AG1334"/>
      <c r="AH1334"/>
      <c r="AI1334"/>
      <c r="AJ1334"/>
      <c r="AK1334"/>
      <c r="AL1334"/>
    </row>
    <row r="1335" spans="1:38" ht="12.75" outlineLevel="3" x14ac:dyDescent="0.2">
      <c r="A1335" s="82">
        <v>49</v>
      </c>
      <c r="B1335" s="82" t="s">
        <v>71</v>
      </c>
      <c r="C1335" s="82" t="s">
        <v>1787</v>
      </c>
      <c r="D1335" s="82" t="s">
        <v>418</v>
      </c>
      <c r="E1335" s="11" t="str">
        <f t="array" ref="E1335">_xlfn.XLOOKUP(D1335,Insumos!B:B,Insumos!C:$C)</f>
        <v>M2</v>
      </c>
      <c r="F1335" s="86">
        <v>2.1059999999999999</v>
      </c>
      <c r="G1335" s="92">
        <f t="array" ref="G1335">IF(B1335="insumo",_xlfn.XLOOKUP($D1335,Insumos!$B$1:$B$996,Insumos!$D$1:$D$996),"")</f>
        <v>27.1</v>
      </c>
      <c r="H1335" s="92">
        <v>57.072600000000001</v>
      </c>
      <c r="I1335" s="84">
        <v>0</v>
      </c>
      <c r="J1335" s="84">
        <v>0</v>
      </c>
      <c r="K1335" s="84"/>
      <c r="L1335"/>
      <c r="M1335"/>
      <c r="N1335"/>
      <c r="O1335"/>
      <c r="P1335"/>
      <c r="Q1335"/>
      <c r="R1335"/>
      <c r="S1335"/>
      <c r="T1335"/>
      <c r="U1335"/>
      <c r="V1335"/>
      <c r="W1335"/>
      <c r="X1335"/>
      <c r="Y1335"/>
      <c r="Z1335"/>
      <c r="AA1335"/>
      <c r="AB1335"/>
      <c r="AC1335"/>
      <c r="AD1335"/>
      <c r="AE1335"/>
      <c r="AF1335"/>
      <c r="AG1335"/>
      <c r="AH1335"/>
      <c r="AI1335"/>
      <c r="AJ1335"/>
      <c r="AK1335"/>
      <c r="AL1335"/>
    </row>
    <row r="1336" spans="1:38" ht="12.75" outlineLevel="3" x14ac:dyDescent="0.2">
      <c r="A1336" s="82">
        <v>95</v>
      </c>
      <c r="B1336" s="82" t="s">
        <v>71</v>
      </c>
      <c r="C1336" s="82" t="s">
        <v>1787</v>
      </c>
      <c r="D1336" s="82" t="s">
        <v>409</v>
      </c>
      <c r="E1336" s="11" t="str">
        <f t="array" ref="E1336">_xlfn.XLOOKUP(D1336,Insumos!B:B,Insumos!C:$C)</f>
        <v>UN</v>
      </c>
      <c r="F1336" s="86">
        <v>4.95</v>
      </c>
      <c r="G1336" s="92">
        <f t="array" ref="G1336">IF(B1336="insumo",_xlfn.XLOOKUP($D1336,Insumos!$B$1:$B$996,Insumos!$D$1:$D$996),"")</f>
        <v>0.504</v>
      </c>
      <c r="H1336" s="92">
        <v>2.4948000000000001</v>
      </c>
      <c r="I1336" s="84">
        <v>0</v>
      </c>
      <c r="J1336" s="84">
        <v>0</v>
      </c>
      <c r="K1336" s="84"/>
      <c r="L1336"/>
      <c r="M1336"/>
      <c r="N1336"/>
      <c r="O1336"/>
      <c r="P1336"/>
      <c r="Q1336"/>
      <c r="R1336"/>
      <c r="S1336"/>
      <c r="T1336"/>
      <c r="U1336"/>
      <c r="V1336"/>
      <c r="W1336"/>
      <c r="X1336"/>
      <c r="Y1336"/>
      <c r="Z1336"/>
      <c r="AA1336"/>
      <c r="AB1336"/>
      <c r="AC1336"/>
      <c r="AD1336"/>
      <c r="AE1336"/>
      <c r="AF1336"/>
      <c r="AG1336"/>
      <c r="AH1336"/>
      <c r="AI1336"/>
      <c r="AJ1336"/>
      <c r="AK1336"/>
      <c r="AL1336"/>
    </row>
    <row r="1337" spans="1:38" ht="12.75" outlineLevel="3" x14ac:dyDescent="0.2">
      <c r="A1337" s="82">
        <v>26</v>
      </c>
      <c r="B1337" s="82" t="s">
        <v>71</v>
      </c>
      <c r="C1337" s="82" t="s">
        <v>1787</v>
      </c>
      <c r="D1337" s="82" t="s">
        <v>420</v>
      </c>
      <c r="E1337" s="11" t="str">
        <f t="array" ref="E1337">_xlfn.XLOOKUP(D1337,Insumos!B:B,Insumos!C:$C)</f>
        <v>M</v>
      </c>
      <c r="F1337" s="86">
        <v>1.5247999999999999</v>
      </c>
      <c r="G1337" s="92">
        <f t="array" ref="G1337">IF(B1337="insumo",_xlfn.XLOOKUP($D1337,Insumos!$B$1:$B$996,Insumos!$D$1:$D$996),"")</f>
        <v>8.64</v>
      </c>
      <c r="H1337" s="92">
        <v>13.174272</v>
      </c>
      <c r="I1337" s="84">
        <v>0</v>
      </c>
      <c r="J1337" s="84">
        <v>0</v>
      </c>
      <c r="K1337" s="84"/>
      <c r="L1337"/>
      <c r="M1337"/>
      <c r="N1337"/>
      <c r="O1337"/>
      <c r="P1337"/>
      <c r="Q1337"/>
      <c r="R1337"/>
      <c r="S1337"/>
      <c r="T1337"/>
      <c r="U1337"/>
      <c r="V1337"/>
      <c r="W1337"/>
      <c r="X1337"/>
      <c r="Y1337"/>
      <c r="Z1337"/>
      <c r="AA1337"/>
      <c r="AB1337"/>
      <c r="AC1337"/>
      <c r="AD1337"/>
      <c r="AE1337"/>
      <c r="AF1337"/>
      <c r="AG1337"/>
      <c r="AH1337"/>
      <c r="AI1337"/>
      <c r="AJ1337"/>
      <c r="AK1337"/>
      <c r="AL1337"/>
    </row>
    <row r="1338" spans="1:38" ht="12.75" outlineLevel="3" x14ac:dyDescent="0.2">
      <c r="A1338" s="82">
        <v>26</v>
      </c>
      <c r="B1338" s="82" t="s">
        <v>71</v>
      </c>
      <c r="C1338" s="82" t="s">
        <v>1787</v>
      </c>
      <c r="D1338" s="82" t="s">
        <v>421</v>
      </c>
      <c r="E1338" s="11" t="str">
        <f t="array" ref="E1338">_xlfn.XLOOKUP(D1338,Insumos!B:B,Insumos!C:$C)</f>
        <v>M</v>
      </c>
      <c r="F1338" s="86">
        <v>4.0011000000000001</v>
      </c>
      <c r="G1338" s="92">
        <f t="array" ref="G1338">IF(B1338="insumo",_xlfn.XLOOKUP($D1338,Insumos!$B$1:$B$996,Insumos!$D$1:$D$996),"")</f>
        <v>18.09</v>
      </c>
      <c r="H1338" s="92">
        <v>72.379898999999995</v>
      </c>
      <c r="I1338" s="84">
        <v>0</v>
      </c>
      <c r="J1338" s="84">
        <v>0</v>
      </c>
      <c r="K1338" s="84"/>
      <c r="L1338"/>
      <c r="M1338"/>
      <c r="N1338"/>
      <c r="O1338"/>
      <c r="P1338"/>
      <c r="Q1338"/>
      <c r="R1338"/>
      <c r="S1338"/>
      <c r="T1338"/>
      <c r="U1338"/>
      <c r="V1338"/>
      <c r="W1338"/>
      <c r="X1338"/>
      <c r="Y1338"/>
      <c r="Z1338"/>
      <c r="AA1338"/>
      <c r="AB1338"/>
      <c r="AC1338"/>
      <c r="AD1338"/>
      <c r="AE1338"/>
      <c r="AF1338"/>
      <c r="AG1338"/>
      <c r="AH1338"/>
      <c r="AI1338"/>
      <c r="AJ1338"/>
      <c r="AK1338"/>
      <c r="AL1338"/>
    </row>
    <row r="1339" spans="1:38" ht="12.75" outlineLevel="3" x14ac:dyDescent="0.2">
      <c r="A1339" s="82">
        <v>95</v>
      </c>
      <c r="B1339" s="82" t="s">
        <v>71</v>
      </c>
      <c r="C1339" s="82" t="s">
        <v>1787</v>
      </c>
      <c r="D1339" s="82" t="s">
        <v>405</v>
      </c>
      <c r="E1339" s="11" t="str">
        <f t="array" ref="E1339">_xlfn.XLOOKUP(D1339,Insumos!B:B,Insumos!C:$C)</f>
        <v>KG</v>
      </c>
      <c r="F1339" s="86">
        <v>1.0978000000000001</v>
      </c>
      <c r="G1339" s="92">
        <f t="array" ref="G1339">IF(B1339="insumo",_xlfn.XLOOKUP($D1339,Insumos!$B$1:$B$996,Insumos!$D$1:$D$996),"")</f>
        <v>3.43</v>
      </c>
      <c r="H1339" s="92">
        <v>3.7654540000000001</v>
      </c>
      <c r="I1339" s="84">
        <v>0</v>
      </c>
      <c r="J1339" s="84">
        <v>0</v>
      </c>
      <c r="K1339" s="84"/>
      <c r="L1339"/>
      <c r="M1339"/>
      <c r="N1339"/>
      <c r="O1339"/>
      <c r="P1339"/>
      <c r="Q1339"/>
      <c r="R1339"/>
      <c r="S1339"/>
      <c r="T1339"/>
      <c r="U1339"/>
      <c r="V1339"/>
      <c r="W1339"/>
      <c r="X1339"/>
      <c r="Y1339"/>
      <c r="Z1339"/>
      <c r="AA1339"/>
      <c r="AB1339"/>
      <c r="AC1339"/>
      <c r="AD1339"/>
      <c r="AE1339"/>
      <c r="AF1339"/>
      <c r="AG1339"/>
      <c r="AH1339"/>
      <c r="AI1339"/>
      <c r="AJ1339"/>
      <c r="AK1339"/>
      <c r="AL1339"/>
    </row>
    <row r="1340" spans="1:38" ht="12.75" outlineLevel="3" x14ac:dyDescent="0.2">
      <c r="A1340" s="82">
        <v>94</v>
      </c>
      <c r="B1340" s="82" t="s">
        <v>71</v>
      </c>
      <c r="C1340" s="82" t="s">
        <v>1787</v>
      </c>
      <c r="D1340" s="82" t="s">
        <v>412</v>
      </c>
      <c r="E1340" s="11" t="str">
        <f t="array" ref="E1340">_xlfn.XLOOKUP(D1340,Insumos!B:B,Insumos!C:$C)</f>
        <v>M</v>
      </c>
      <c r="F1340" s="86">
        <v>2.5026999999999999</v>
      </c>
      <c r="G1340" s="92">
        <f t="array" ref="G1340">IF(B1340="insumo",_xlfn.XLOOKUP($D1340,Insumos!$B$1:$B$996,Insumos!$D$1:$D$996),"")</f>
        <v>0.31</v>
      </c>
      <c r="H1340" s="92">
        <v>0.775837</v>
      </c>
      <c r="I1340" s="84">
        <v>0</v>
      </c>
      <c r="J1340" s="84">
        <v>0</v>
      </c>
      <c r="K1340" s="84"/>
      <c r="L1340"/>
      <c r="M1340"/>
      <c r="N1340"/>
      <c r="O1340"/>
      <c r="P1340"/>
      <c r="Q1340"/>
      <c r="R1340"/>
      <c r="S1340"/>
      <c r="T1340"/>
      <c r="U1340"/>
      <c r="V1340"/>
      <c r="W1340"/>
      <c r="X1340"/>
      <c r="Y1340"/>
      <c r="Z1340"/>
      <c r="AA1340"/>
      <c r="AB1340"/>
      <c r="AC1340"/>
      <c r="AD1340"/>
      <c r="AE1340"/>
      <c r="AF1340"/>
      <c r="AG1340"/>
      <c r="AH1340"/>
      <c r="AI1340"/>
      <c r="AJ1340"/>
      <c r="AK1340"/>
      <c r="AL1340"/>
    </row>
    <row r="1341" spans="1:38" ht="12.75" outlineLevel="3" x14ac:dyDescent="0.2">
      <c r="A1341" s="82">
        <v>94</v>
      </c>
      <c r="B1341" s="82" t="s">
        <v>71</v>
      </c>
      <c r="C1341" s="82" t="s">
        <v>1787</v>
      </c>
      <c r="D1341" s="82" t="s">
        <v>413</v>
      </c>
      <c r="E1341" s="11" t="str">
        <f t="array" ref="E1341">_xlfn.XLOOKUP(D1341,Insumos!B:B,Insumos!C:$C)</f>
        <v>M</v>
      </c>
      <c r="F1341" s="86">
        <v>1.4815</v>
      </c>
      <c r="G1341" s="92">
        <f t="array" ref="G1341">IF(B1341="insumo",_xlfn.XLOOKUP($D1341,Insumos!$B$1:$B$996,Insumos!$D$1:$D$996),"")</f>
        <v>2.74</v>
      </c>
      <c r="H1341" s="92">
        <v>4.05931</v>
      </c>
      <c r="I1341" s="84">
        <v>0</v>
      </c>
      <c r="J1341" s="84">
        <v>0</v>
      </c>
      <c r="K1341" s="84"/>
      <c r="L1341"/>
      <c r="M1341"/>
      <c r="N1341"/>
      <c r="O1341"/>
      <c r="P1341"/>
      <c r="Q1341"/>
      <c r="R1341"/>
      <c r="S1341"/>
      <c r="T1341"/>
      <c r="U1341"/>
      <c r="V1341"/>
      <c r="W1341"/>
      <c r="X1341"/>
      <c r="Y1341"/>
      <c r="Z1341"/>
      <c r="AA1341"/>
      <c r="AB1341"/>
      <c r="AC1341"/>
      <c r="AD1341"/>
      <c r="AE1341"/>
      <c r="AF1341"/>
      <c r="AG1341"/>
      <c r="AH1341"/>
      <c r="AI1341"/>
      <c r="AJ1341"/>
      <c r="AK1341"/>
      <c r="AL1341"/>
    </row>
    <row r="1342" spans="1:38" ht="12.75" outlineLevel="3" x14ac:dyDescent="0.2">
      <c r="A1342" s="82">
        <v>97</v>
      </c>
      <c r="B1342" s="82" t="s">
        <v>71</v>
      </c>
      <c r="C1342" s="82" t="s">
        <v>1787</v>
      </c>
      <c r="D1342" s="82" t="s">
        <v>414</v>
      </c>
      <c r="E1342" s="11" t="str">
        <f t="array" ref="E1342">_xlfn.XLOOKUP(D1342,Insumos!B:B,Insumos!C:$C)</f>
        <v>UN</v>
      </c>
      <c r="F1342" s="86">
        <v>20.186800000000002</v>
      </c>
      <c r="G1342" s="92">
        <f t="array" ref="G1342">IF(B1342="insumo",_xlfn.XLOOKUP($D1342,Insumos!$B$1:$B$996,Insumos!$D$1:$D$996),"")</f>
        <v>0.09</v>
      </c>
      <c r="H1342" s="92">
        <v>1.8168120000000001</v>
      </c>
      <c r="I1342" s="84">
        <v>0</v>
      </c>
      <c r="J1342" s="84">
        <v>0</v>
      </c>
      <c r="K1342" s="84"/>
      <c r="L1342"/>
      <c r="M1342"/>
      <c r="N1342"/>
      <c r="O1342"/>
      <c r="P1342"/>
      <c r="Q1342"/>
      <c r="R1342"/>
      <c r="S1342"/>
      <c r="T1342"/>
      <c r="U1342"/>
      <c r="V1342"/>
      <c r="W1342"/>
      <c r="X1342"/>
      <c r="Y1342"/>
      <c r="Z1342"/>
      <c r="AA1342"/>
      <c r="AB1342"/>
      <c r="AC1342"/>
      <c r="AD1342"/>
      <c r="AE1342"/>
      <c r="AF1342"/>
      <c r="AG1342"/>
      <c r="AH1342"/>
      <c r="AI1342"/>
      <c r="AJ1342"/>
      <c r="AK1342"/>
      <c r="AL1342"/>
    </row>
    <row r="1343" spans="1:38" ht="12.75" outlineLevel="3" x14ac:dyDescent="0.2">
      <c r="A1343" s="82">
        <v>95</v>
      </c>
      <c r="B1343" s="82" t="s">
        <v>71</v>
      </c>
      <c r="C1343" s="82" t="s">
        <v>1787</v>
      </c>
      <c r="D1343" s="82" t="s">
        <v>415</v>
      </c>
      <c r="E1343" s="11" t="str">
        <f t="array" ref="E1343">_xlfn.XLOOKUP(D1343,Insumos!B:B,Insumos!C:$C)</f>
        <v>UN</v>
      </c>
      <c r="F1343" s="86">
        <v>0.4803</v>
      </c>
      <c r="G1343" s="92">
        <f t="array" ref="G1343">IF(B1343="insumo",_xlfn.XLOOKUP($D1343,Insumos!$B$1:$B$996,Insumos!$D$1:$D$996),"")</f>
        <v>0.2</v>
      </c>
      <c r="H1343" s="92">
        <v>9.6060000000000006E-2</v>
      </c>
      <c r="I1343" s="84">
        <v>0</v>
      </c>
      <c r="J1343" s="84">
        <v>0</v>
      </c>
      <c r="K1343" s="84"/>
      <c r="L1343"/>
      <c r="M1343"/>
      <c r="N1343"/>
      <c r="O1343"/>
      <c r="P1343"/>
      <c r="Q1343"/>
      <c r="R1343"/>
      <c r="S1343"/>
      <c r="T1343"/>
      <c r="U1343"/>
      <c r="V1343"/>
      <c r="W1343"/>
      <c r="X1343"/>
      <c r="Y1343"/>
      <c r="Z1343"/>
      <c r="AA1343"/>
      <c r="AB1343"/>
      <c r="AC1343"/>
      <c r="AD1343"/>
      <c r="AE1343"/>
      <c r="AF1343"/>
      <c r="AG1343"/>
      <c r="AH1343"/>
      <c r="AI1343"/>
      <c r="AJ1343"/>
      <c r="AK1343"/>
      <c r="AL1343"/>
    </row>
    <row r="1344" spans="1:38" ht="12.75" outlineLevel="2" x14ac:dyDescent="0.2">
      <c r="A1344" s="1071">
        <v>1</v>
      </c>
      <c r="B1344" s="1071" t="s">
        <v>68</v>
      </c>
      <c r="C1344" s="1071" t="s">
        <v>1788</v>
      </c>
      <c r="D1344" s="1071" t="s">
        <v>1788</v>
      </c>
      <c r="E1344" s="1072" t="s">
        <v>70</v>
      </c>
      <c r="F1344" s="1071"/>
      <c r="G1344" s="1073" t="str">
        <f t="array" ref="G1344">IF(B1344="insumo",_xlfn.XLOOKUP($D1344,Insumos!$B$1:$B$996,Insumos!$D$1:$D$996),"")</f>
        <v/>
      </c>
      <c r="H1344" s="1073">
        <v>218.327224</v>
      </c>
      <c r="I1344" s="1074">
        <v>0</v>
      </c>
      <c r="J1344" s="1074">
        <v>0</v>
      </c>
      <c r="K1344" s="1074"/>
      <c r="L1344"/>
      <c r="M1344"/>
      <c r="N1344"/>
      <c r="O1344"/>
      <c r="P1344"/>
      <c r="Q1344"/>
      <c r="R1344"/>
      <c r="S1344"/>
      <c r="T1344"/>
      <c r="U1344"/>
      <c r="V1344"/>
      <c r="W1344"/>
      <c r="X1344"/>
      <c r="Y1344"/>
      <c r="Z1344"/>
      <c r="AA1344"/>
      <c r="AB1344"/>
      <c r="AC1344"/>
      <c r="AD1344"/>
      <c r="AE1344"/>
      <c r="AF1344"/>
      <c r="AG1344"/>
      <c r="AH1344"/>
      <c r="AI1344"/>
      <c r="AJ1344"/>
      <c r="AK1344"/>
      <c r="AL1344"/>
    </row>
    <row r="1345" spans="1:38" ht="12.75" outlineLevel="3" x14ac:dyDescent="0.2">
      <c r="A1345" s="82">
        <v>86</v>
      </c>
      <c r="B1345" s="82" t="s">
        <v>71</v>
      </c>
      <c r="C1345" s="82" t="s">
        <v>1788</v>
      </c>
      <c r="D1345" s="82" t="s">
        <v>407</v>
      </c>
      <c r="E1345" s="11" t="str">
        <f t="array" ref="E1345">_xlfn.XLOOKUP(D1345,Insumos!B:B,Insumos!C:$C)</f>
        <v>M2</v>
      </c>
      <c r="F1345" s="86">
        <v>1</v>
      </c>
      <c r="G1345" s="92">
        <f t="array" ref="G1345">IF(B1345="insumo",_xlfn.XLOOKUP($D1345,Insumos!$B$1:$B$996,Insumos!$D$1:$D$996),"")</f>
        <v>70</v>
      </c>
      <c r="H1345" s="92">
        <v>70</v>
      </c>
      <c r="I1345" s="84">
        <v>0</v>
      </c>
      <c r="J1345" s="84">
        <v>0</v>
      </c>
      <c r="K1345" s="84"/>
      <c r="L1345"/>
      <c r="M1345"/>
      <c r="N1345"/>
      <c r="O1345"/>
      <c r="P1345"/>
      <c r="Q1345"/>
      <c r="R1345"/>
      <c r="S1345"/>
      <c r="T1345"/>
      <c r="U1345"/>
      <c r="V1345"/>
      <c r="W1345"/>
      <c r="X1345"/>
      <c r="Y1345"/>
      <c r="Z1345"/>
      <c r="AA1345"/>
      <c r="AB1345"/>
      <c r="AC1345"/>
      <c r="AD1345"/>
      <c r="AE1345"/>
      <c r="AF1345"/>
      <c r="AG1345"/>
      <c r="AH1345"/>
      <c r="AI1345"/>
      <c r="AJ1345"/>
      <c r="AK1345"/>
      <c r="AL1345"/>
    </row>
    <row r="1346" spans="1:38" ht="12.75" outlineLevel="3" x14ac:dyDescent="0.2">
      <c r="A1346" s="82">
        <v>49</v>
      </c>
      <c r="B1346" s="82" t="s">
        <v>71</v>
      </c>
      <c r="C1346" s="82" t="s">
        <v>1788</v>
      </c>
      <c r="D1346" s="82" t="s">
        <v>418</v>
      </c>
      <c r="E1346" s="11" t="str">
        <f t="array" ref="E1346">_xlfn.XLOOKUP(D1346,Insumos!B:B,Insumos!C:$C)</f>
        <v>M2</v>
      </c>
      <c r="F1346" s="86">
        <v>1.0529999999999999</v>
      </c>
      <c r="G1346" s="92">
        <f t="array" ref="G1346">IF(B1346="insumo",_xlfn.XLOOKUP($D1346,Insumos!$B$1:$B$996,Insumos!$D$1:$D$996),"")</f>
        <v>27.1</v>
      </c>
      <c r="H1346" s="92">
        <v>28.536300000000001</v>
      </c>
      <c r="I1346" s="84">
        <v>0</v>
      </c>
      <c r="J1346" s="84">
        <v>0</v>
      </c>
      <c r="K1346" s="84"/>
      <c r="L1346"/>
      <c r="M1346"/>
      <c r="N1346"/>
      <c r="O1346"/>
      <c r="P1346"/>
      <c r="Q1346"/>
      <c r="R1346"/>
      <c r="S1346"/>
      <c r="T1346"/>
      <c r="U1346"/>
      <c r="V1346"/>
      <c r="W1346"/>
      <c r="X1346"/>
      <c r="Y1346"/>
      <c r="Z1346"/>
      <c r="AA1346"/>
      <c r="AB1346"/>
      <c r="AC1346"/>
      <c r="AD1346"/>
      <c r="AE1346"/>
      <c r="AF1346"/>
      <c r="AG1346"/>
      <c r="AH1346"/>
      <c r="AI1346"/>
      <c r="AJ1346"/>
      <c r="AK1346"/>
      <c r="AL1346"/>
    </row>
    <row r="1347" spans="1:38" ht="12.75" outlineLevel="3" x14ac:dyDescent="0.2">
      <c r="A1347" s="82">
        <v>47</v>
      </c>
      <c r="B1347" s="82" t="s">
        <v>71</v>
      </c>
      <c r="C1347" s="82" t="s">
        <v>1788</v>
      </c>
      <c r="D1347" s="82" t="s">
        <v>408</v>
      </c>
      <c r="E1347" s="11" t="str">
        <f t="array" ref="E1347">_xlfn.XLOOKUP(D1347,Insumos!B:B,Insumos!C:$C)</f>
        <v>M2</v>
      </c>
      <c r="F1347" s="86">
        <v>1.0529999999999999</v>
      </c>
      <c r="G1347" s="92">
        <f t="array" ref="G1347">IF(B1347="insumo",_xlfn.XLOOKUP($D1347,Insumos!$B$1:$B$996,Insumos!$D$1:$D$996),"")</f>
        <v>20.16</v>
      </c>
      <c r="H1347" s="92">
        <v>21.228480000000001</v>
      </c>
      <c r="I1347" s="84">
        <v>0</v>
      </c>
      <c r="J1347" s="84">
        <v>0</v>
      </c>
      <c r="K1347" s="84"/>
      <c r="L1347"/>
      <c r="M1347"/>
      <c r="N1347"/>
      <c r="O1347"/>
      <c r="P1347"/>
      <c r="Q1347"/>
      <c r="R1347"/>
      <c r="S1347"/>
      <c r="T1347"/>
      <c r="U1347"/>
      <c r="V1347"/>
      <c r="W1347"/>
      <c r="X1347"/>
      <c r="Y1347"/>
      <c r="Z1347"/>
      <c r="AA1347"/>
      <c r="AB1347"/>
      <c r="AC1347"/>
      <c r="AD1347"/>
      <c r="AE1347"/>
      <c r="AF1347"/>
      <c r="AG1347"/>
      <c r="AH1347"/>
      <c r="AI1347"/>
      <c r="AJ1347"/>
      <c r="AK1347"/>
      <c r="AL1347"/>
    </row>
    <row r="1348" spans="1:38" ht="12.75" outlineLevel="3" x14ac:dyDescent="0.2">
      <c r="A1348" s="82">
        <v>95</v>
      </c>
      <c r="B1348" s="82" t="s">
        <v>71</v>
      </c>
      <c r="C1348" s="82" t="s">
        <v>1788</v>
      </c>
      <c r="D1348" s="82" t="s">
        <v>409</v>
      </c>
      <c r="E1348" s="11" t="str">
        <f t="array" ref="E1348">_xlfn.XLOOKUP(D1348,Insumos!B:B,Insumos!C:$C)</f>
        <v>UN</v>
      </c>
      <c r="F1348" s="86">
        <v>4.95</v>
      </c>
      <c r="G1348" s="92">
        <f t="array" ref="G1348">IF(B1348="insumo",_xlfn.XLOOKUP($D1348,Insumos!$B$1:$B$996,Insumos!$D$1:$D$996),"")</f>
        <v>0.504</v>
      </c>
      <c r="H1348" s="92">
        <v>2.4948000000000001</v>
      </c>
      <c r="I1348" s="84">
        <v>0</v>
      </c>
      <c r="J1348" s="84">
        <v>0</v>
      </c>
      <c r="K1348" s="84"/>
      <c r="L1348"/>
      <c r="M1348"/>
      <c r="N1348"/>
      <c r="O1348"/>
      <c r="P1348"/>
      <c r="Q1348"/>
      <c r="R1348"/>
      <c r="S1348"/>
      <c r="T1348"/>
      <c r="U1348"/>
      <c r="V1348"/>
      <c r="W1348"/>
      <c r="X1348"/>
      <c r="Y1348"/>
      <c r="Z1348"/>
      <c r="AA1348"/>
      <c r="AB1348"/>
      <c r="AC1348"/>
      <c r="AD1348"/>
      <c r="AE1348"/>
      <c r="AF1348"/>
      <c r="AG1348"/>
      <c r="AH1348"/>
      <c r="AI1348"/>
      <c r="AJ1348"/>
      <c r="AK1348"/>
      <c r="AL1348"/>
    </row>
    <row r="1349" spans="1:38" ht="12.75" outlineLevel="3" x14ac:dyDescent="0.2">
      <c r="A1349" s="82">
        <v>26</v>
      </c>
      <c r="B1349" s="82" t="s">
        <v>71</v>
      </c>
      <c r="C1349" s="82" t="s">
        <v>1788</v>
      </c>
      <c r="D1349" s="82" t="s">
        <v>420</v>
      </c>
      <c r="E1349" s="11" t="str">
        <f t="array" ref="E1349">_xlfn.XLOOKUP(D1349,Insumos!B:B,Insumos!C:$C)</f>
        <v>M</v>
      </c>
      <c r="F1349" s="86">
        <v>1.5247999999999999</v>
      </c>
      <c r="G1349" s="92">
        <f t="array" ref="G1349">IF(B1349="insumo",_xlfn.XLOOKUP($D1349,Insumos!$B$1:$B$996,Insumos!$D$1:$D$996),"")</f>
        <v>8.64</v>
      </c>
      <c r="H1349" s="92">
        <v>13.174272</v>
      </c>
      <c r="I1349" s="84">
        <v>0</v>
      </c>
      <c r="J1349" s="84">
        <v>0</v>
      </c>
      <c r="K1349" s="84"/>
      <c r="L1349"/>
      <c r="M1349"/>
      <c r="N1349"/>
      <c r="O1349"/>
      <c r="P1349"/>
      <c r="Q1349"/>
      <c r="R1349"/>
      <c r="S1349"/>
      <c r="T1349"/>
      <c r="U1349"/>
      <c r="V1349"/>
      <c r="W1349"/>
      <c r="X1349"/>
      <c r="Y1349"/>
      <c r="Z1349"/>
      <c r="AA1349"/>
      <c r="AB1349"/>
      <c r="AC1349"/>
      <c r="AD1349"/>
      <c r="AE1349"/>
      <c r="AF1349"/>
      <c r="AG1349"/>
      <c r="AH1349"/>
      <c r="AI1349"/>
      <c r="AJ1349"/>
      <c r="AK1349"/>
      <c r="AL1349"/>
    </row>
    <row r="1350" spans="1:38" ht="12.75" outlineLevel="3" x14ac:dyDescent="0.2">
      <c r="A1350" s="82">
        <v>26</v>
      </c>
      <c r="B1350" s="82" t="s">
        <v>71</v>
      </c>
      <c r="C1350" s="82" t="s">
        <v>1788</v>
      </c>
      <c r="D1350" s="82" t="s">
        <v>421</v>
      </c>
      <c r="E1350" s="11" t="str">
        <f t="array" ref="E1350">_xlfn.XLOOKUP(D1350,Insumos!B:B,Insumos!C:$C)</f>
        <v>M</v>
      </c>
      <c r="F1350" s="86">
        <v>4.0011000000000001</v>
      </c>
      <c r="G1350" s="92">
        <f t="array" ref="G1350">IF(B1350="insumo",_xlfn.XLOOKUP($D1350,Insumos!$B$1:$B$996,Insumos!$D$1:$D$996),"")</f>
        <v>18.09</v>
      </c>
      <c r="H1350" s="92">
        <v>72.379898999999995</v>
      </c>
      <c r="I1350" s="84">
        <v>0</v>
      </c>
      <c r="J1350" s="84">
        <v>0</v>
      </c>
      <c r="K1350" s="84"/>
      <c r="L1350"/>
      <c r="M1350"/>
      <c r="N1350"/>
      <c r="O1350"/>
      <c r="P1350"/>
      <c r="Q1350"/>
      <c r="R1350"/>
      <c r="S1350"/>
      <c r="T1350"/>
      <c r="U1350"/>
      <c r="V1350"/>
      <c r="W1350"/>
      <c r="X1350"/>
      <c r="Y1350"/>
      <c r="Z1350"/>
      <c r="AA1350"/>
      <c r="AB1350"/>
      <c r="AC1350"/>
      <c r="AD1350"/>
      <c r="AE1350"/>
      <c r="AF1350"/>
      <c r="AG1350"/>
      <c r="AH1350"/>
      <c r="AI1350"/>
      <c r="AJ1350"/>
      <c r="AK1350"/>
      <c r="AL1350"/>
    </row>
    <row r="1351" spans="1:38" ht="12.75" outlineLevel="3" x14ac:dyDescent="0.2">
      <c r="A1351" s="82">
        <v>95</v>
      </c>
      <c r="B1351" s="82" t="s">
        <v>71</v>
      </c>
      <c r="C1351" s="82" t="s">
        <v>1788</v>
      </c>
      <c r="D1351" s="82" t="s">
        <v>405</v>
      </c>
      <c r="E1351" s="11" t="str">
        <f t="array" ref="E1351">_xlfn.XLOOKUP(D1351,Insumos!B:B,Insumos!C:$C)</f>
        <v>KG</v>
      </c>
      <c r="F1351" s="86">
        <v>1.0978000000000001</v>
      </c>
      <c r="G1351" s="92">
        <f t="array" ref="G1351">IF(B1351="insumo",_xlfn.XLOOKUP($D1351,Insumos!$B$1:$B$996,Insumos!$D$1:$D$996),"")</f>
        <v>3.43</v>
      </c>
      <c r="H1351" s="92">
        <v>3.7654540000000001</v>
      </c>
      <c r="I1351" s="84">
        <v>0</v>
      </c>
      <c r="J1351" s="84">
        <v>0</v>
      </c>
      <c r="K1351" s="84"/>
      <c r="L1351"/>
      <c r="M1351"/>
      <c r="N1351"/>
      <c r="O1351"/>
      <c r="P1351"/>
      <c r="Q1351"/>
      <c r="R1351"/>
      <c r="S1351"/>
      <c r="T1351"/>
      <c r="U1351"/>
      <c r="V1351"/>
      <c r="W1351"/>
      <c r="X1351"/>
      <c r="Y1351"/>
      <c r="Z1351"/>
      <c r="AA1351"/>
      <c r="AB1351"/>
      <c r="AC1351"/>
      <c r="AD1351"/>
      <c r="AE1351"/>
      <c r="AF1351"/>
      <c r="AG1351"/>
      <c r="AH1351"/>
      <c r="AI1351"/>
      <c r="AJ1351"/>
      <c r="AK1351"/>
      <c r="AL1351"/>
    </row>
    <row r="1352" spans="1:38" ht="12.75" outlineLevel="3" x14ac:dyDescent="0.2">
      <c r="A1352" s="82">
        <v>94</v>
      </c>
      <c r="B1352" s="82" t="s">
        <v>71</v>
      </c>
      <c r="C1352" s="82" t="s">
        <v>1788</v>
      </c>
      <c r="D1352" s="82" t="s">
        <v>412</v>
      </c>
      <c r="E1352" s="11" t="str">
        <f t="array" ref="E1352">_xlfn.XLOOKUP(D1352,Insumos!B:B,Insumos!C:$C)</f>
        <v>M</v>
      </c>
      <c r="F1352" s="86">
        <v>2.5026999999999999</v>
      </c>
      <c r="G1352" s="92">
        <f t="array" ref="G1352">IF(B1352="insumo",_xlfn.XLOOKUP($D1352,Insumos!$B$1:$B$996,Insumos!$D$1:$D$996),"")</f>
        <v>0.31</v>
      </c>
      <c r="H1352" s="92">
        <v>0.775837</v>
      </c>
      <c r="I1352" s="84">
        <v>0</v>
      </c>
      <c r="J1352" s="84">
        <v>0</v>
      </c>
      <c r="K1352" s="84"/>
      <c r="L1352"/>
      <c r="M1352"/>
      <c r="N1352"/>
      <c r="O1352"/>
      <c r="P1352"/>
      <c r="Q1352"/>
      <c r="R1352"/>
      <c r="S1352"/>
      <c r="T1352"/>
      <c r="U1352"/>
      <c r="V1352"/>
      <c r="W1352"/>
      <c r="X1352"/>
      <c r="Y1352"/>
      <c r="Z1352"/>
      <c r="AA1352"/>
      <c r="AB1352"/>
      <c r="AC1352"/>
      <c r="AD1352"/>
      <c r="AE1352"/>
      <c r="AF1352"/>
      <c r="AG1352"/>
      <c r="AH1352"/>
      <c r="AI1352"/>
      <c r="AJ1352"/>
      <c r="AK1352"/>
      <c r="AL1352"/>
    </row>
    <row r="1353" spans="1:38" ht="12.75" outlineLevel="3" x14ac:dyDescent="0.2">
      <c r="A1353" s="82">
        <v>94</v>
      </c>
      <c r="B1353" s="82" t="s">
        <v>71</v>
      </c>
      <c r="C1353" s="82" t="s">
        <v>1788</v>
      </c>
      <c r="D1353" s="82" t="s">
        <v>413</v>
      </c>
      <c r="E1353" s="11" t="str">
        <f t="array" ref="E1353">_xlfn.XLOOKUP(D1353,Insumos!B:B,Insumos!C:$C)</f>
        <v>M</v>
      </c>
      <c r="F1353" s="86">
        <v>1.4815</v>
      </c>
      <c r="G1353" s="92">
        <f t="array" ref="G1353">IF(B1353="insumo",_xlfn.XLOOKUP($D1353,Insumos!$B$1:$B$996,Insumos!$D$1:$D$996),"")</f>
        <v>2.74</v>
      </c>
      <c r="H1353" s="92">
        <v>4.05931</v>
      </c>
      <c r="I1353" s="84">
        <v>0</v>
      </c>
      <c r="J1353" s="84">
        <v>0</v>
      </c>
      <c r="K1353" s="84"/>
      <c r="L1353"/>
      <c r="M1353"/>
      <c r="N1353"/>
      <c r="O1353"/>
      <c r="P1353"/>
      <c r="Q1353"/>
      <c r="R1353"/>
      <c r="S1353"/>
      <c r="T1353"/>
      <c r="U1353"/>
      <c r="V1353"/>
      <c r="W1353"/>
      <c r="X1353"/>
      <c r="Y1353"/>
      <c r="Z1353"/>
      <c r="AA1353"/>
      <c r="AB1353"/>
      <c r="AC1353"/>
      <c r="AD1353"/>
      <c r="AE1353"/>
      <c r="AF1353"/>
      <c r="AG1353"/>
      <c r="AH1353"/>
      <c r="AI1353"/>
      <c r="AJ1353"/>
      <c r="AK1353"/>
      <c r="AL1353"/>
    </row>
    <row r="1354" spans="1:38" ht="12.75" outlineLevel="3" x14ac:dyDescent="0.2">
      <c r="A1354" s="82">
        <v>97</v>
      </c>
      <c r="B1354" s="82" t="s">
        <v>71</v>
      </c>
      <c r="C1354" s="82" t="s">
        <v>1788</v>
      </c>
      <c r="D1354" s="82" t="s">
        <v>414</v>
      </c>
      <c r="E1354" s="11" t="str">
        <f t="array" ref="E1354">_xlfn.XLOOKUP(D1354,Insumos!B:B,Insumos!C:$C)</f>
        <v>UN</v>
      </c>
      <c r="F1354" s="86">
        <v>20.186800000000002</v>
      </c>
      <c r="G1354" s="92">
        <f t="array" ref="G1354">IF(B1354="insumo",_xlfn.XLOOKUP($D1354,Insumos!$B$1:$B$996,Insumos!$D$1:$D$996),"")</f>
        <v>0.09</v>
      </c>
      <c r="H1354" s="92">
        <v>1.8168120000000001</v>
      </c>
      <c r="I1354" s="84">
        <v>0</v>
      </c>
      <c r="J1354" s="84">
        <v>0</v>
      </c>
      <c r="K1354" s="84"/>
      <c r="L1354"/>
      <c r="M1354"/>
      <c r="N1354"/>
      <c r="O1354"/>
      <c r="P1354"/>
      <c r="Q1354"/>
      <c r="R1354"/>
      <c r="S1354"/>
      <c r="T1354"/>
      <c r="U1354"/>
      <c r="V1354"/>
      <c r="W1354"/>
      <c r="X1354"/>
      <c r="Y1354"/>
      <c r="Z1354"/>
      <c r="AA1354"/>
      <c r="AB1354"/>
      <c r="AC1354"/>
      <c r="AD1354"/>
      <c r="AE1354"/>
      <c r="AF1354"/>
      <c r="AG1354"/>
      <c r="AH1354"/>
      <c r="AI1354"/>
      <c r="AJ1354"/>
      <c r="AK1354"/>
      <c r="AL1354"/>
    </row>
    <row r="1355" spans="1:38" ht="12.75" outlineLevel="3" x14ac:dyDescent="0.2">
      <c r="A1355" s="82">
        <v>95</v>
      </c>
      <c r="B1355" s="82" t="s">
        <v>71</v>
      </c>
      <c r="C1355" s="82" t="s">
        <v>1788</v>
      </c>
      <c r="D1355" s="82" t="s">
        <v>415</v>
      </c>
      <c r="E1355" s="11" t="str">
        <f t="array" ref="E1355">_xlfn.XLOOKUP(D1355,Insumos!B:B,Insumos!C:$C)</f>
        <v>UN</v>
      </c>
      <c r="F1355" s="86">
        <v>0.4803</v>
      </c>
      <c r="G1355" s="92">
        <f t="array" ref="G1355">IF(B1355="insumo",_xlfn.XLOOKUP($D1355,Insumos!$B$1:$B$996,Insumos!$D$1:$D$996),"")</f>
        <v>0.2</v>
      </c>
      <c r="H1355" s="92">
        <v>9.6060000000000006E-2</v>
      </c>
      <c r="I1355" s="84">
        <v>0</v>
      </c>
      <c r="J1355" s="84">
        <v>0</v>
      </c>
      <c r="K1355" s="84"/>
      <c r="L1355"/>
      <c r="M1355"/>
      <c r="N1355"/>
      <c r="O1355"/>
      <c r="P1355"/>
      <c r="Q1355"/>
      <c r="R1355"/>
      <c r="S1355"/>
      <c r="T1355"/>
      <c r="U1355"/>
      <c r="V1355"/>
      <c r="W1355"/>
      <c r="X1355"/>
      <c r="Y1355"/>
      <c r="Z1355"/>
      <c r="AA1355"/>
      <c r="AB1355"/>
      <c r="AC1355"/>
      <c r="AD1355"/>
      <c r="AE1355"/>
      <c r="AF1355"/>
      <c r="AG1355"/>
      <c r="AH1355"/>
      <c r="AI1355"/>
      <c r="AJ1355"/>
      <c r="AK1355"/>
      <c r="AL1355"/>
    </row>
    <row r="1356" spans="1:38" ht="12.75" outlineLevel="2" x14ac:dyDescent="0.2">
      <c r="A1356" s="1071">
        <v>1</v>
      </c>
      <c r="B1356" s="1071" t="s">
        <v>68</v>
      </c>
      <c r="C1356" s="1071" t="s">
        <v>1789</v>
      </c>
      <c r="D1356" s="1071" t="s">
        <v>1789</v>
      </c>
      <c r="E1356" s="1072" t="s">
        <v>70</v>
      </c>
      <c r="F1356" s="1071"/>
      <c r="G1356" s="1073" t="str">
        <f t="array" ref="G1356">IF(B1356="insumo",_xlfn.XLOOKUP($D1356,Insumos!$B$1:$B$996,Insumos!$D$1:$D$996),"")</f>
        <v/>
      </c>
      <c r="H1356" s="1073">
        <v>23.578845999999999</v>
      </c>
      <c r="I1356" s="1074">
        <v>0</v>
      </c>
      <c r="J1356" s="1074">
        <v>0</v>
      </c>
      <c r="K1356" s="1074"/>
      <c r="L1356"/>
      <c r="M1356"/>
      <c r="N1356"/>
      <c r="O1356"/>
      <c r="P1356"/>
      <c r="Q1356"/>
      <c r="R1356"/>
      <c r="S1356"/>
      <c r="T1356"/>
      <c r="U1356"/>
      <c r="V1356"/>
      <c r="W1356"/>
      <c r="X1356"/>
      <c r="Y1356"/>
      <c r="Z1356"/>
      <c r="AA1356"/>
      <c r="AB1356"/>
      <c r="AC1356"/>
      <c r="AD1356"/>
      <c r="AE1356"/>
      <c r="AF1356"/>
      <c r="AG1356"/>
      <c r="AH1356"/>
      <c r="AI1356"/>
      <c r="AJ1356"/>
      <c r="AK1356"/>
      <c r="AL1356"/>
    </row>
    <row r="1357" spans="1:38" ht="12.75" outlineLevel="3" x14ac:dyDescent="0.2">
      <c r="A1357" s="82">
        <v>95</v>
      </c>
      <c r="B1357" s="82" t="s">
        <v>71</v>
      </c>
      <c r="C1357" s="82" t="s">
        <v>1789</v>
      </c>
      <c r="D1357" s="82" t="s">
        <v>409</v>
      </c>
      <c r="E1357" s="11" t="str">
        <f t="array" ref="E1357">_xlfn.XLOOKUP(D1357,Insumos!B:B,Insumos!C:$C)</f>
        <v>UN</v>
      </c>
      <c r="F1357" s="86">
        <v>2.48</v>
      </c>
      <c r="G1357" s="92">
        <f t="array" ref="G1357">IF(B1357="insumo",_xlfn.XLOOKUP($D1357,Insumos!$B$1:$B$996,Insumos!$D$1:$D$996),"")</f>
        <v>0.504</v>
      </c>
      <c r="H1357" s="92">
        <v>1.2499199999999999</v>
      </c>
      <c r="I1357" s="84">
        <v>0</v>
      </c>
      <c r="J1357" s="84">
        <v>0</v>
      </c>
      <c r="K1357" s="84"/>
      <c r="L1357"/>
      <c r="M1357"/>
      <c r="N1357"/>
      <c r="O1357"/>
      <c r="P1357"/>
      <c r="Q1357"/>
      <c r="R1357"/>
      <c r="S1357"/>
      <c r="T1357"/>
      <c r="U1357"/>
      <c r="V1357"/>
      <c r="W1357"/>
      <c r="X1357"/>
      <c r="Y1357"/>
      <c r="Z1357"/>
      <c r="AA1357"/>
      <c r="AB1357"/>
      <c r="AC1357"/>
      <c r="AD1357"/>
      <c r="AE1357"/>
      <c r="AF1357"/>
      <c r="AG1357"/>
      <c r="AH1357"/>
      <c r="AI1357"/>
      <c r="AJ1357"/>
      <c r="AK1357"/>
      <c r="AL1357"/>
    </row>
    <row r="1358" spans="1:38" ht="12.75" outlineLevel="3" x14ac:dyDescent="0.2">
      <c r="A1358" s="82">
        <v>26</v>
      </c>
      <c r="B1358" s="82" t="s">
        <v>71</v>
      </c>
      <c r="C1358" s="82" t="s">
        <v>1789</v>
      </c>
      <c r="D1358" s="82" t="s">
        <v>410</v>
      </c>
      <c r="E1358" s="11" t="str">
        <f t="array" ref="E1358">_xlfn.XLOOKUP(D1358,Insumos!B:B,Insumos!C:$C)</f>
        <v>M</v>
      </c>
      <c r="F1358" s="86">
        <v>0.76239999999999997</v>
      </c>
      <c r="G1358" s="92">
        <f t="array" ref="G1358">IF(B1358="insumo",_xlfn.XLOOKUP($D1358,Insumos!$B$1:$B$996,Insumos!$D$1:$D$996),"")</f>
        <v>7.03</v>
      </c>
      <c r="H1358" s="92">
        <v>5.3596719999999998</v>
      </c>
      <c r="I1358" s="84">
        <v>0</v>
      </c>
      <c r="J1358" s="84">
        <v>0</v>
      </c>
      <c r="K1358" s="84"/>
      <c r="L1358"/>
      <c r="M1358"/>
      <c r="N1358"/>
      <c r="O1358"/>
      <c r="P1358"/>
      <c r="Q1358"/>
      <c r="R1358"/>
      <c r="S1358"/>
      <c r="T1358"/>
      <c r="U1358"/>
      <c r="V1358"/>
      <c r="W1358"/>
      <c r="X1358"/>
      <c r="Y1358"/>
      <c r="Z1358"/>
      <c r="AA1358"/>
      <c r="AB1358"/>
      <c r="AC1358"/>
      <c r="AD1358"/>
      <c r="AE1358"/>
      <c r="AF1358"/>
      <c r="AG1358"/>
      <c r="AH1358"/>
      <c r="AI1358"/>
      <c r="AJ1358"/>
      <c r="AK1358"/>
      <c r="AL1358"/>
    </row>
    <row r="1359" spans="1:38" ht="12.75" outlineLevel="3" x14ac:dyDescent="0.2">
      <c r="A1359" s="82">
        <v>26</v>
      </c>
      <c r="B1359" s="82" t="s">
        <v>71</v>
      </c>
      <c r="C1359" s="82" t="s">
        <v>1789</v>
      </c>
      <c r="D1359" s="82" t="s">
        <v>411</v>
      </c>
      <c r="E1359" s="11" t="str">
        <f t="array" ref="E1359">_xlfn.XLOOKUP(D1359,Insumos!B:B,Insumos!C:$C)</f>
        <v>M</v>
      </c>
      <c r="F1359" s="86">
        <v>2.0005999999999999</v>
      </c>
      <c r="G1359" s="92">
        <f t="array" ref="G1359">IF(B1359="insumo",_xlfn.XLOOKUP($D1359,Insumos!$B$1:$B$996,Insumos!$D$1:$D$996),"")</f>
        <v>7.98</v>
      </c>
      <c r="H1359" s="92">
        <v>15.964788</v>
      </c>
      <c r="I1359" s="84">
        <v>0</v>
      </c>
      <c r="J1359" s="84">
        <v>0</v>
      </c>
      <c r="K1359" s="84"/>
      <c r="L1359"/>
      <c r="M1359"/>
      <c r="N1359"/>
      <c r="O1359"/>
      <c r="P1359"/>
      <c r="Q1359"/>
      <c r="R1359"/>
      <c r="S1359"/>
      <c r="T1359"/>
      <c r="U1359"/>
      <c r="V1359"/>
      <c r="W1359"/>
      <c r="X1359"/>
      <c r="Y1359"/>
      <c r="Z1359"/>
      <c r="AA1359"/>
      <c r="AB1359"/>
      <c r="AC1359"/>
      <c r="AD1359"/>
      <c r="AE1359"/>
      <c r="AF1359"/>
      <c r="AG1359"/>
      <c r="AH1359"/>
      <c r="AI1359"/>
      <c r="AJ1359"/>
      <c r="AK1359"/>
      <c r="AL1359"/>
    </row>
    <row r="1360" spans="1:38" ht="12.75" outlineLevel="3" x14ac:dyDescent="0.2">
      <c r="A1360" s="82">
        <v>97</v>
      </c>
      <c r="B1360" s="82" t="s">
        <v>71</v>
      </c>
      <c r="C1360" s="82" t="s">
        <v>1789</v>
      </c>
      <c r="D1360" s="82" t="s">
        <v>414</v>
      </c>
      <c r="E1360" s="11" t="str">
        <f t="array" ref="E1360">_xlfn.XLOOKUP(D1360,Insumos!B:B,Insumos!C:$C)</f>
        <v>UN</v>
      </c>
      <c r="F1360" s="86">
        <v>10.093400000000001</v>
      </c>
      <c r="G1360" s="92">
        <f t="array" ref="G1360">IF(B1360="insumo",_xlfn.XLOOKUP($D1360,Insumos!$B$1:$B$996,Insumos!$D$1:$D$996),"")</f>
        <v>0.09</v>
      </c>
      <c r="H1360" s="92">
        <v>0.90840600000000005</v>
      </c>
      <c r="I1360" s="84">
        <v>0</v>
      </c>
      <c r="J1360" s="84">
        <v>0</v>
      </c>
      <c r="K1360" s="84"/>
      <c r="L1360"/>
      <c r="M1360"/>
      <c r="N1360"/>
      <c r="O1360"/>
      <c r="P1360"/>
      <c r="Q1360"/>
      <c r="R1360"/>
      <c r="S1360"/>
      <c r="T1360"/>
      <c r="U1360"/>
      <c r="V1360"/>
      <c r="W1360"/>
      <c r="X1360"/>
      <c r="Y1360"/>
      <c r="Z1360"/>
      <c r="AA1360"/>
      <c r="AB1360"/>
      <c r="AC1360"/>
      <c r="AD1360"/>
      <c r="AE1360"/>
      <c r="AF1360"/>
      <c r="AG1360"/>
      <c r="AH1360"/>
      <c r="AI1360"/>
      <c r="AJ1360"/>
      <c r="AK1360"/>
      <c r="AL1360"/>
    </row>
    <row r="1361" spans="1:38" ht="12.75" outlineLevel="3" x14ac:dyDescent="0.2">
      <c r="A1361" s="82">
        <v>95</v>
      </c>
      <c r="B1361" s="82" t="s">
        <v>71</v>
      </c>
      <c r="C1361" s="82" t="s">
        <v>1789</v>
      </c>
      <c r="D1361" s="82" t="s">
        <v>415</v>
      </c>
      <c r="E1361" s="11" t="str">
        <f t="array" ref="E1361">_xlfn.XLOOKUP(D1361,Insumos!B:B,Insumos!C:$C)</f>
        <v>UN</v>
      </c>
      <c r="F1361" s="86">
        <v>0.4803</v>
      </c>
      <c r="G1361" s="92">
        <f t="array" ref="G1361">IF(B1361="insumo",_xlfn.XLOOKUP($D1361,Insumos!$B$1:$B$996,Insumos!$D$1:$D$996),"")</f>
        <v>0.2</v>
      </c>
      <c r="H1361" s="92">
        <v>9.6060000000000006E-2</v>
      </c>
      <c r="I1361" s="84">
        <v>0</v>
      </c>
      <c r="J1361" s="84">
        <v>0</v>
      </c>
      <c r="K1361" s="84"/>
      <c r="L1361"/>
      <c r="M1361"/>
      <c r="N1361"/>
      <c r="O1361"/>
      <c r="P1361"/>
      <c r="Q1361"/>
      <c r="R1361"/>
      <c r="S1361"/>
      <c r="T1361"/>
      <c r="U1361"/>
      <c r="V1361"/>
      <c r="W1361"/>
      <c r="X1361"/>
      <c r="Y1361"/>
      <c r="Z1361"/>
      <c r="AA1361"/>
      <c r="AB1361"/>
      <c r="AC1361"/>
      <c r="AD1361"/>
      <c r="AE1361"/>
      <c r="AF1361"/>
      <c r="AG1361"/>
      <c r="AH1361"/>
      <c r="AI1361"/>
      <c r="AJ1361"/>
      <c r="AK1361"/>
      <c r="AL1361"/>
    </row>
    <row r="1362" spans="1:38" ht="12.75" outlineLevel="2" x14ac:dyDescent="0.2">
      <c r="A1362" s="1071">
        <v>1</v>
      </c>
      <c r="B1362" s="1071" t="s">
        <v>68</v>
      </c>
      <c r="C1362" s="1071" t="s">
        <v>1790</v>
      </c>
      <c r="D1362" s="1071" t="s">
        <v>1790</v>
      </c>
      <c r="E1362" s="1072" t="s">
        <v>70</v>
      </c>
      <c r="F1362" s="1071"/>
      <c r="G1362" s="1073" t="str">
        <f t="array" ref="G1362">IF(B1362="insumo",_xlfn.XLOOKUP($D1362,Insumos!$B$1:$B$996,Insumos!$D$1:$D$996),"")</f>
        <v/>
      </c>
      <c r="H1362" s="1073">
        <v>23.906677999999999</v>
      </c>
      <c r="I1362" s="1074">
        <v>0</v>
      </c>
      <c r="J1362" s="1074">
        <v>0</v>
      </c>
      <c r="K1362" s="1074"/>
      <c r="L1362"/>
      <c r="M1362"/>
      <c r="N1362"/>
      <c r="O1362"/>
      <c r="P1362"/>
      <c r="Q1362"/>
      <c r="R1362"/>
      <c r="S1362"/>
      <c r="T1362"/>
      <c r="U1362"/>
      <c r="V1362"/>
      <c r="W1362"/>
      <c r="X1362"/>
      <c r="Y1362"/>
      <c r="Z1362"/>
      <c r="AA1362"/>
      <c r="AB1362"/>
      <c r="AC1362"/>
      <c r="AD1362"/>
      <c r="AE1362"/>
      <c r="AF1362"/>
      <c r="AG1362"/>
      <c r="AH1362"/>
      <c r="AI1362"/>
      <c r="AJ1362"/>
      <c r="AK1362"/>
      <c r="AL1362"/>
    </row>
    <row r="1363" spans="1:38" ht="12.75" outlineLevel="3" x14ac:dyDescent="0.2">
      <c r="A1363" s="82">
        <v>95</v>
      </c>
      <c r="B1363" s="82" t="s">
        <v>71</v>
      </c>
      <c r="C1363" s="82" t="s">
        <v>1790</v>
      </c>
      <c r="D1363" s="82" t="s">
        <v>409</v>
      </c>
      <c r="E1363" s="11" t="str">
        <f t="array" ref="E1363">_xlfn.XLOOKUP(D1363,Insumos!B:B,Insumos!C:$C)</f>
        <v>UN</v>
      </c>
      <c r="F1363" s="86">
        <v>2.48</v>
      </c>
      <c r="G1363" s="92">
        <f t="array" ref="G1363">IF(B1363="insumo",_xlfn.XLOOKUP($D1363,Insumos!$B$1:$B$996,Insumos!$D$1:$D$996),"")</f>
        <v>0.504</v>
      </c>
      <c r="H1363" s="92">
        <v>1.2499199999999999</v>
      </c>
      <c r="I1363" s="84">
        <v>0</v>
      </c>
      <c r="J1363" s="84">
        <v>0</v>
      </c>
      <c r="K1363" s="84"/>
      <c r="L1363"/>
      <c r="M1363"/>
      <c r="N1363"/>
      <c r="O1363"/>
      <c r="P1363"/>
      <c r="Q1363"/>
      <c r="R1363"/>
      <c r="S1363"/>
      <c r="T1363"/>
      <c r="U1363"/>
      <c r="V1363"/>
      <c r="W1363"/>
      <c r="X1363"/>
      <c r="Y1363"/>
      <c r="Z1363"/>
      <c r="AA1363"/>
      <c r="AB1363"/>
      <c r="AC1363"/>
      <c r="AD1363"/>
      <c r="AE1363"/>
      <c r="AF1363"/>
      <c r="AG1363"/>
      <c r="AH1363"/>
      <c r="AI1363"/>
      <c r="AJ1363"/>
      <c r="AK1363"/>
      <c r="AL1363"/>
    </row>
    <row r="1364" spans="1:38" ht="12.75" outlineLevel="3" x14ac:dyDescent="0.2">
      <c r="A1364" s="82">
        <v>43</v>
      </c>
      <c r="B1364" s="82" t="s">
        <v>71</v>
      </c>
      <c r="C1364" s="82" t="s">
        <v>1790</v>
      </c>
      <c r="D1364" s="82" t="s">
        <v>423</v>
      </c>
      <c r="E1364" s="11" t="str">
        <f t="array" ref="E1364">_xlfn.XLOOKUP(D1364,Insumos!B:B,Insumos!C:$C)</f>
        <v>M</v>
      </c>
      <c r="F1364" s="86">
        <v>0.76239999999999997</v>
      </c>
      <c r="G1364" s="92">
        <f t="array" ref="G1364">IF(B1364="insumo",_xlfn.XLOOKUP($D1364,Insumos!$B$1:$B$996,Insumos!$D$1:$D$996),"")</f>
        <v>7.46</v>
      </c>
      <c r="H1364" s="92">
        <v>5.6875039999999997</v>
      </c>
      <c r="I1364" s="84">
        <v>0</v>
      </c>
      <c r="J1364" s="84">
        <v>0</v>
      </c>
      <c r="K1364" s="84"/>
      <c r="L1364"/>
      <c r="M1364"/>
      <c r="N1364"/>
      <c r="O1364"/>
      <c r="P1364"/>
      <c r="Q1364"/>
      <c r="R1364"/>
      <c r="S1364"/>
      <c r="T1364"/>
      <c r="U1364"/>
      <c r="V1364"/>
      <c r="W1364"/>
      <c r="X1364"/>
      <c r="Y1364"/>
      <c r="Z1364"/>
      <c r="AA1364"/>
      <c r="AB1364"/>
      <c r="AC1364"/>
      <c r="AD1364"/>
      <c r="AE1364"/>
      <c r="AF1364"/>
      <c r="AG1364"/>
      <c r="AH1364"/>
      <c r="AI1364"/>
      <c r="AJ1364"/>
      <c r="AK1364"/>
      <c r="AL1364"/>
    </row>
    <row r="1365" spans="1:38" ht="12.75" outlineLevel="3" x14ac:dyDescent="0.2">
      <c r="A1365" s="82">
        <v>43</v>
      </c>
      <c r="B1365" s="82" t="s">
        <v>71</v>
      </c>
      <c r="C1365" s="82" t="s">
        <v>1790</v>
      </c>
      <c r="D1365" s="82" t="s">
        <v>424</v>
      </c>
      <c r="E1365" s="11" t="str">
        <f t="array" ref="E1365">_xlfn.XLOOKUP(D1365,Insumos!B:B,Insumos!C:$C)</f>
        <v>M</v>
      </c>
      <c r="F1365" s="86">
        <v>2.0005999999999999</v>
      </c>
      <c r="G1365" s="92">
        <f t="array" ref="G1365">IF(B1365="insumo",_xlfn.XLOOKUP($D1365,Insumos!$B$1:$B$996,Insumos!$D$1:$D$996),"")</f>
        <v>7.98</v>
      </c>
      <c r="H1365" s="92">
        <v>15.964788</v>
      </c>
      <c r="I1365" s="84">
        <v>0</v>
      </c>
      <c r="J1365" s="84">
        <v>0</v>
      </c>
      <c r="K1365" s="84"/>
      <c r="L1365"/>
      <c r="M1365"/>
      <c r="N1365"/>
      <c r="O1365"/>
      <c r="P1365"/>
      <c r="Q1365"/>
      <c r="R1365"/>
      <c r="S1365"/>
      <c r="T1365"/>
      <c r="U1365"/>
      <c r="V1365"/>
      <c r="W1365"/>
      <c r="X1365"/>
      <c r="Y1365"/>
      <c r="Z1365"/>
      <c r="AA1365"/>
      <c r="AB1365"/>
      <c r="AC1365"/>
      <c r="AD1365"/>
      <c r="AE1365"/>
      <c r="AF1365"/>
      <c r="AG1365"/>
      <c r="AH1365"/>
      <c r="AI1365"/>
      <c r="AJ1365"/>
      <c r="AK1365"/>
      <c r="AL1365"/>
    </row>
    <row r="1366" spans="1:38" ht="12.75" outlineLevel="3" x14ac:dyDescent="0.2">
      <c r="A1366" s="82">
        <v>97</v>
      </c>
      <c r="B1366" s="82" t="s">
        <v>71</v>
      </c>
      <c r="C1366" s="82" t="s">
        <v>1790</v>
      </c>
      <c r="D1366" s="82" t="s">
        <v>414</v>
      </c>
      <c r="E1366" s="11" t="str">
        <f t="array" ref="E1366">_xlfn.XLOOKUP(D1366,Insumos!B:B,Insumos!C:$C)</f>
        <v>UN</v>
      </c>
      <c r="F1366" s="86">
        <v>10.093400000000001</v>
      </c>
      <c r="G1366" s="92">
        <f t="array" ref="G1366">IF(B1366="insumo",_xlfn.XLOOKUP($D1366,Insumos!$B$1:$B$996,Insumos!$D$1:$D$996),"")</f>
        <v>0.09</v>
      </c>
      <c r="H1366" s="92">
        <v>0.90840600000000005</v>
      </c>
      <c r="I1366" s="84">
        <v>0</v>
      </c>
      <c r="J1366" s="84">
        <v>0</v>
      </c>
      <c r="K1366" s="84"/>
      <c r="L1366"/>
      <c r="M1366"/>
      <c r="N1366"/>
      <c r="O1366"/>
      <c r="P1366"/>
      <c r="Q1366"/>
      <c r="R1366"/>
      <c r="S1366"/>
      <c r="T1366"/>
      <c r="U1366"/>
      <c r="V1366"/>
      <c r="W1366"/>
      <c r="X1366"/>
      <c r="Y1366"/>
      <c r="Z1366"/>
      <c r="AA1366"/>
      <c r="AB1366"/>
      <c r="AC1366"/>
      <c r="AD1366"/>
      <c r="AE1366"/>
      <c r="AF1366"/>
      <c r="AG1366"/>
      <c r="AH1366"/>
      <c r="AI1366"/>
      <c r="AJ1366"/>
      <c r="AK1366"/>
      <c r="AL1366"/>
    </row>
    <row r="1367" spans="1:38" ht="12.75" outlineLevel="3" x14ac:dyDescent="0.2">
      <c r="A1367" s="82">
        <v>95</v>
      </c>
      <c r="B1367" s="82" t="s">
        <v>71</v>
      </c>
      <c r="C1367" s="82" t="s">
        <v>1790</v>
      </c>
      <c r="D1367" s="82" t="s">
        <v>415</v>
      </c>
      <c r="E1367" s="11" t="str">
        <f t="array" ref="E1367">_xlfn.XLOOKUP(D1367,Insumos!B:B,Insumos!C:$C)</f>
        <v>UN</v>
      </c>
      <c r="F1367" s="86">
        <v>0.4803</v>
      </c>
      <c r="G1367" s="92">
        <f t="array" ref="G1367">IF(B1367="insumo",_xlfn.XLOOKUP($D1367,Insumos!$B$1:$B$996,Insumos!$D$1:$D$996),"")</f>
        <v>0.2</v>
      </c>
      <c r="H1367" s="92">
        <v>9.6060000000000006E-2</v>
      </c>
      <c r="I1367" s="84">
        <v>0</v>
      </c>
      <c r="J1367" s="84">
        <v>0</v>
      </c>
      <c r="K1367" s="84"/>
      <c r="L1367"/>
      <c r="M1367"/>
      <c r="N1367"/>
      <c r="O1367"/>
      <c r="P1367"/>
      <c r="Q1367"/>
      <c r="R1367"/>
      <c r="S1367"/>
      <c r="T1367"/>
      <c r="U1367"/>
      <c r="V1367"/>
      <c r="W1367"/>
      <c r="X1367"/>
      <c r="Y1367"/>
      <c r="Z1367"/>
      <c r="AA1367"/>
      <c r="AB1367"/>
      <c r="AC1367"/>
      <c r="AD1367"/>
      <c r="AE1367"/>
      <c r="AF1367"/>
      <c r="AG1367"/>
      <c r="AH1367"/>
      <c r="AI1367"/>
      <c r="AJ1367"/>
      <c r="AK1367"/>
      <c r="AL1367"/>
    </row>
    <row r="1368" spans="1:38" ht="12.75" outlineLevel="2" x14ac:dyDescent="0.2">
      <c r="A1368" s="1071">
        <v>1</v>
      </c>
      <c r="B1368" s="1071" t="s">
        <v>68</v>
      </c>
      <c r="C1368" s="1071" t="s">
        <v>1791</v>
      </c>
      <c r="D1368" s="1071" t="s">
        <v>1791</v>
      </c>
      <c r="E1368" s="1072" t="s">
        <v>70</v>
      </c>
      <c r="F1368" s="1071"/>
      <c r="G1368" s="1073" t="str">
        <f t="array" ref="G1368">IF(B1368="insumo",_xlfn.XLOOKUP($D1368,Insumos!$B$1:$B$996,Insumos!$D$1:$D$996),"")</f>
        <v/>
      </c>
      <c r="H1368" s="1073">
        <v>45.032375999999999</v>
      </c>
      <c r="I1368" s="1074">
        <v>0</v>
      </c>
      <c r="J1368" s="1074">
        <v>0</v>
      </c>
      <c r="K1368" s="1074"/>
      <c r="L1368"/>
      <c r="M1368"/>
      <c r="N1368"/>
      <c r="O1368"/>
      <c r="P1368"/>
      <c r="Q1368"/>
      <c r="R1368"/>
      <c r="S1368"/>
      <c r="T1368"/>
      <c r="U1368"/>
      <c r="V1368"/>
      <c r="W1368"/>
      <c r="X1368"/>
      <c r="Y1368"/>
      <c r="Z1368"/>
      <c r="AA1368"/>
      <c r="AB1368"/>
      <c r="AC1368"/>
      <c r="AD1368"/>
      <c r="AE1368"/>
      <c r="AF1368"/>
      <c r="AG1368"/>
      <c r="AH1368"/>
      <c r="AI1368"/>
      <c r="AJ1368"/>
      <c r="AK1368"/>
      <c r="AL1368"/>
    </row>
    <row r="1369" spans="1:38" ht="12.75" outlineLevel="3" x14ac:dyDescent="0.2">
      <c r="A1369" s="82">
        <v>95</v>
      </c>
      <c r="B1369" s="82" t="s">
        <v>71</v>
      </c>
      <c r="C1369" s="82" t="s">
        <v>1791</v>
      </c>
      <c r="D1369" s="82" t="s">
        <v>409</v>
      </c>
      <c r="E1369" s="11" t="str">
        <f t="array" ref="E1369">_xlfn.XLOOKUP(D1369,Insumos!B:B,Insumos!C:$C)</f>
        <v>UN</v>
      </c>
      <c r="F1369" s="86">
        <v>2.48</v>
      </c>
      <c r="G1369" s="92">
        <f t="array" ref="G1369">IF(B1369="insumo",_xlfn.XLOOKUP($D1369,Insumos!$B$1:$B$996,Insumos!$D$1:$D$996),"")</f>
        <v>0.504</v>
      </c>
      <c r="H1369" s="92">
        <v>1.2499199999999999</v>
      </c>
      <c r="I1369" s="84">
        <v>0</v>
      </c>
      <c r="J1369" s="84">
        <v>0</v>
      </c>
      <c r="K1369" s="84"/>
      <c r="L1369"/>
      <c r="M1369"/>
      <c r="N1369"/>
      <c r="O1369"/>
      <c r="P1369"/>
      <c r="Q1369"/>
      <c r="R1369"/>
      <c r="S1369"/>
      <c r="T1369"/>
      <c r="U1369"/>
      <c r="V1369"/>
      <c r="W1369"/>
      <c r="X1369"/>
      <c r="Y1369"/>
      <c r="Z1369"/>
      <c r="AA1369"/>
      <c r="AB1369"/>
      <c r="AC1369"/>
      <c r="AD1369"/>
      <c r="AE1369"/>
      <c r="AF1369"/>
      <c r="AG1369"/>
      <c r="AH1369"/>
      <c r="AI1369"/>
      <c r="AJ1369"/>
      <c r="AK1369"/>
      <c r="AL1369"/>
    </row>
    <row r="1370" spans="1:38" ht="12.75" outlineLevel="3" x14ac:dyDescent="0.2">
      <c r="A1370" s="82">
        <v>26</v>
      </c>
      <c r="B1370" s="82" t="s">
        <v>71</v>
      </c>
      <c r="C1370" s="82" t="s">
        <v>1791</v>
      </c>
      <c r="D1370" s="82" t="s">
        <v>420</v>
      </c>
      <c r="E1370" s="11" t="str">
        <f t="array" ref="E1370">_xlfn.XLOOKUP(D1370,Insumos!B:B,Insumos!C:$C)</f>
        <v>M</v>
      </c>
      <c r="F1370" s="86">
        <v>0.76239999999999997</v>
      </c>
      <c r="G1370" s="92">
        <f t="array" ref="G1370">IF(B1370="insumo",_xlfn.XLOOKUP($D1370,Insumos!$B$1:$B$996,Insumos!$D$1:$D$996),"")</f>
        <v>8.64</v>
      </c>
      <c r="H1370" s="92">
        <v>6.5871360000000001</v>
      </c>
      <c r="I1370" s="84">
        <v>0</v>
      </c>
      <c r="J1370" s="84">
        <v>0</v>
      </c>
      <c r="K1370" s="84"/>
      <c r="L1370"/>
      <c r="M1370"/>
      <c r="N1370"/>
      <c r="O1370"/>
      <c r="P1370"/>
      <c r="Q1370"/>
      <c r="R1370"/>
      <c r="S1370"/>
      <c r="T1370"/>
      <c r="U1370"/>
      <c r="V1370"/>
      <c r="W1370"/>
      <c r="X1370"/>
      <c r="Y1370"/>
      <c r="Z1370"/>
      <c r="AA1370"/>
      <c r="AB1370"/>
      <c r="AC1370"/>
      <c r="AD1370"/>
      <c r="AE1370"/>
      <c r="AF1370"/>
      <c r="AG1370"/>
      <c r="AH1370"/>
      <c r="AI1370"/>
      <c r="AJ1370"/>
      <c r="AK1370"/>
      <c r="AL1370"/>
    </row>
    <row r="1371" spans="1:38" ht="12.75" outlineLevel="3" x14ac:dyDescent="0.2">
      <c r="A1371" s="82">
        <v>26</v>
      </c>
      <c r="B1371" s="82" t="s">
        <v>71</v>
      </c>
      <c r="C1371" s="82" t="s">
        <v>1791</v>
      </c>
      <c r="D1371" s="82" t="s">
        <v>421</v>
      </c>
      <c r="E1371" s="11" t="str">
        <f t="array" ref="E1371">_xlfn.XLOOKUP(D1371,Insumos!B:B,Insumos!C:$C)</f>
        <v>M</v>
      </c>
      <c r="F1371" s="86">
        <v>2.0005999999999999</v>
      </c>
      <c r="G1371" s="92">
        <f t="array" ref="G1371">IF(B1371="insumo",_xlfn.XLOOKUP($D1371,Insumos!$B$1:$B$996,Insumos!$D$1:$D$996),"")</f>
        <v>18.09</v>
      </c>
      <c r="H1371" s="92">
        <v>36.190854000000002</v>
      </c>
      <c r="I1371" s="84">
        <v>0</v>
      </c>
      <c r="J1371" s="84">
        <v>0</v>
      </c>
      <c r="K1371" s="84"/>
      <c r="L1371"/>
      <c r="M1371"/>
      <c r="N1371"/>
      <c r="O1371"/>
      <c r="P1371"/>
      <c r="Q1371"/>
      <c r="R1371"/>
      <c r="S1371"/>
      <c r="T1371"/>
      <c r="U1371"/>
      <c r="V1371"/>
      <c r="W1371"/>
      <c r="X1371"/>
      <c r="Y1371"/>
      <c r="Z1371"/>
      <c r="AA1371"/>
      <c r="AB1371"/>
      <c r="AC1371"/>
      <c r="AD1371"/>
      <c r="AE1371"/>
      <c r="AF1371"/>
      <c r="AG1371"/>
      <c r="AH1371"/>
      <c r="AI1371"/>
      <c r="AJ1371"/>
      <c r="AK1371"/>
      <c r="AL1371"/>
    </row>
    <row r="1372" spans="1:38" ht="12.75" outlineLevel="3" x14ac:dyDescent="0.2">
      <c r="A1372" s="82">
        <v>97</v>
      </c>
      <c r="B1372" s="82" t="s">
        <v>71</v>
      </c>
      <c r="C1372" s="82" t="s">
        <v>1791</v>
      </c>
      <c r="D1372" s="82" t="s">
        <v>414</v>
      </c>
      <c r="E1372" s="11" t="str">
        <f t="array" ref="E1372">_xlfn.XLOOKUP(D1372,Insumos!B:B,Insumos!C:$C)</f>
        <v>UN</v>
      </c>
      <c r="F1372" s="86">
        <v>10.093400000000001</v>
      </c>
      <c r="G1372" s="92">
        <f t="array" ref="G1372">IF(B1372="insumo",_xlfn.XLOOKUP($D1372,Insumos!$B$1:$B$996,Insumos!$D$1:$D$996),"")</f>
        <v>0.09</v>
      </c>
      <c r="H1372" s="92">
        <v>0.90840600000000005</v>
      </c>
      <c r="I1372" s="84">
        <v>0</v>
      </c>
      <c r="J1372" s="84">
        <v>0</v>
      </c>
      <c r="K1372" s="84"/>
      <c r="L1372"/>
      <c r="M1372"/>
      <c r="N1372"/>
      <c r="O1372"/>
      <c r="P1372"/>
      <c r="Q1372"/>
      <c r="R1372"/>
      <c r="S1372"/>
      <c r="T1372"/>
      <c r="U1372"/>
      <c r="V1372"/>
      <c r="W1372"/>
      <c r="X1372"/>
      <c r="Y1372"/>
      <c r="Z1372"/>
      <c r="AA1372"/>
      <c r="AB1372"/>
      <c r="AC1372"/>
      <c r="AD1372"/>
      <c r="AE1372"/>
      <c r="AF1372"/>
      <c r="AG1372"/>
      <c r="AH1372"/>
      <c r="AI1372"/>
      <c r="AJ1372"/>
      <c r="AK1372"/>
      <c r="AL1372"/>
    </row>
    <row r="1373" spans="1:38" ht="12.75" outlineLevel="3" x14ac:dyDescent="0.2">
      <c r="A1373" s="82">
        <v>95</v>
      </c>
      <c r="B1373" s="82" t="s">
        <v>71</v>
      </c>
      <c r="C1373" s="82" t="s">
        <v>1791</v>
      </c>
      <c r="D1373" s="82" t="s">
        <v>415</v>
      </c>
      <c r="E1373" s="11" t="str">
        <f t="array" ref="E1373">_xlfn.XLOOKUP(D1373,Insumos!B:B,Insumos!C:$C)</f>
        <v>UN</v>
      </c>
      <c r="F1373" s="86">
        <v>0.4803</v>
      </c>
      <c r="G1373" s="92">
        <f t="array" ref="G1373">IF(B1373="insumo",_xlfn.XLOOKUP($D1373,Insumos!$B$1:$B$996,Insumos!$D$1:$D$996),"")</f>
        <v>0.2</v>
      </c>
      <c r="H1373" s="92">
        <v>9.6060000000000006E-2</v>
      </c>
      <c r="I1373" s="84">
        <v>0</v>
      </c>
      <c r="J1373" s="84">
        <v>0</v>
      </c>
      <c r="K1373" s="84"/>
      <c r="L1373"/>
      <c r="M1373"/>
      <c r="N1373"/>
      <c r="O1373"/>
      <c r="P1373"/>
      <c r="Q1373"/>
      <c r="R1373"/>
      <c r="S1373"/>
      <c r="T1373"/>
      <c r="U1373"/>
      <c r="V1373"/>
      <c r="W1373"/>
      <c r="X1373"/>
      <c r="Y1373"/>
      <c r="Z1373"/>
      <c r="AA1373"/>
      <c r="AB1373"/>
      <c r="AC1373"/>
      <c r="AD1373"/>
      <c r="AE1373"/>
      <c r="AF1373"/>
      <c r="AG1373"/>
      <c r="AH1373"/>
      <c r="AI1373"/>
      <c r="AJ1373"/>
      <c r="AK1373"/>
      <c r="AL1373"/>
    </row>
    <row r="1374" spans="1:38" ht="12.75" outlineLevel="2" x14ac:dyDescent="0.2">
      <c r="A1374" s="1071">
        <v>1</v>
      </c>
      <c r="B1374" s="1071" t="s">
        <v>68</v>
      </c>
      <c r="C1374" s="1071" t="s">
        <v>1792</v>
      </c>
      <c r="D1374" s="1071" t="s">
        <v>1792</v>
      </c>
      <c r="E1374" s="1072" t="s">
        <v>70</v>
      </c>
      <c r="F1374" s="1071"/>
      <c r="G1374" s="1073" t="str">
        <f t="array" ref="G1374">IF(B1374="insumo",_xlfn.XLOOKUP($D1374,Insumos!$B$1:$B$996,Insumos!$D$1:$D$996),"")</f>
        <v/>
      </c>
      <c r="H1374" s="1073">
        <v>133.546839333333</v>
      </c>
      <c r="I1374" s="1074">
        <v>0</v>
      </c>
      <c r="J1374" s="1074">
        <v>0</v>
      </c>
      <c r="K1374" s="1074"/>
      <c r="L1374"/>
      <c r="M1374"/>
      <c r="N1374"/>
      <c r="O1374"/>
      <c r="P1374"/>
      <c r="Q1374"/>
      <c r="R1374"/>
      <c r="S1374"/>
      <c r="T1374"/>
      <c r="U1374"/>
      <c r="V1374"/>
      <c r="W1374"/>
      <c r="X1374"/>
      <c r="Y1374"/>
      <c r="Z1374"/>
      <c r="AA1374"/>
      <c r="AB1374"/>
      <c r="AC1374"/>
      <c r="AD1374"/>
      <c r="AE1374"/>
      <c r="AF1374"/>
      <c r="AG1374"/>
      <c r="AH1374"/>
      <c r="AI1374"/>
      <c r="AJ1374"/>
      <c r="AK1374"/>
      <c r="AL1374"/>
    </row>
    <row r="1375" spans="1:38" ht="12.75" outlineLevel="3" x14ac:dyDescent="0.2">
      <c r="A1375" s="82">
        <v>86</v>
      </c>
      <c r="B1375" s="82" t="s">
        <v>71</v>
      </c>
      <c r="C1375" s="82" t="s">
        <v>1792</v>
      </c>
      <c r="D1375" s="82" t="s">
        <v>407</v>
      </c>
      <c r="E1375" s="11" t="str">
        <f t="array" ref="E1375">_xlfn.XLOOKUP(D1375,Insumos!B:B,Insumos!C:$C)</f>
        <v>M2</v>
      </c>
      <c r="F1375" s="86">
        <v>1</v>
      </c>
      <c r="G1375" s="92">
        <f t="array" ref="G1375">IF(B1375="insumo",_xlfn.XLOOKUP($D1375,Insumos!$B$1:$B$996,Insumos!$D$1:$D$996),"")</f>
        <v>70</v>
      </c>
      <c r="H1375" s="92">
        <v>70</v>
      </c>
      <c r="I1375" s="84">
        <v>0</v>
      </c>
      <c r="J1375" s="84">
        <v>0</v>
      </c>
      <c r="K1375" s="84"/>
      <c r="L1375"/>
      <c r="M1375"/>
      <c r="N1375"/>
      <c r="O1375"/>
      <c r="P1375"/>
      <c r="Q1375"/>
      <c r="R1375"/>
      <c r="S1375"/>
      <c r="T1375"/>
      <c r="U1375"/>
      <c r="V1375"/>
      <c r="W1375"/>
      <c r="X1375"/>
      <c r="Y1375"/>
      <c r="Z1375"/>
      <c r="AA1375"/>
      <c r="AB1375"/>
      <c r="AC1375"/>
      <c r="AD1375"/>
      <c r="AE1375"/>
      <c r="AF1375"/>
      <c r="AG1375"/>
      <c r="AH1375"/>
      <c r="AI1375"/>
      <c r="AJ1375"/>
      <c r="AK1375"/>
      <c r="AL1375"/>
    </row>
    <row r="1376" spans="1:38" ht="12.75" outlineLevel="3" x14ac:dyDescent="0.2">
      <c r="A1376" s="82">
        <v>47</v>
      </c>
      <c r="B1376" s="82" t="s">
        <v>71</v>
      </c>
      <c r="C1376" s="82" t="s">
        <v>1792</v>
      </c>
      <c r="D1376" s="82" t="s">
        <v>408</v>
      </c>
      <c r="E1376" s="11" t="str">
        <f t="array" ref="E1376">_xlfn.XLOOKUP(D1376,Insumos!B:B,Insumos!C:$C)</f>
        <v>M2</v>
      </c>
      <c r="F1376" s="86">
        <v>1.0529999999999999</v>
      </c>
      <c r="G1376" s="92">
        <f t="array" ref="G1376">IF(B1376="insumo",_xlfn.XLOOKUP($D1376,Insumos!$B$1:$B$996,Insumos!$D$1:$D$996),"")</f>
        <v>20.16</v>
      </c>
      <c r="H1376" s="92">
        <v>21.228480000000001</v>
      </c>
      <c r="I1376" s="84">
        <v>0</v>
      </c>
      <c r="J1376" s="84">
        <v>0</v>
      </c>
      <c r="K1376" s="84"/>
      <c r="L1376"/>
      <c r="M1376"/>
      <c r="N1376"/>
      <c r="O1376"/>
      <c r="P1376"/>
      <c r="Q1376"/>
      <c r="R1376"/>
      <c r="S1376"/>
      <c r="T1376"/>
      <c r="U1376"/>
      <c r="V1376"/>
      <c r="W1376"/>
      <c r="X1376"/>
      <c r="Y1376"/>
      <c r="Z1376"/>
      <c r="AA1376"/>
      <c r="AB1376"/>
      <c r="AC1376"/>
      <c r="AD1376"/>
      <c r="AE1376"/>
      <c r="AF1376"/>
      <c r="AG1376"/>
      <c r="AH1376"/>
      <c r="AI1376"/>
      <c r="AJ1376"/>
      <c r="AK1376"/>
      <c r="AL1376"/>
    </row>
    <row r="1377" spans="1:38" ht="12.75" outlineLevel="3" x14ac:dyDescent="0.2">
      <c r="A1377" s="82">
        <v>95</v>
      </c>
      <c r="B1377" s="82" t="s">
        <v>71</v>
      </c>
      <c r="C1377" s="82" t="s">
        <v>1792</v>
      </c>
      <c r="D1377" s="82" t="s">
        <v>409</v>
      </c>
      <c r="E1377" s="11" t="str">
        <f t="array" ref="E1377">_xlfn.XLOOKUP(D1377,Insumos!B:B,Insumos!C:$C)</f>
        <v>UN</v>
      </c>
      <c r="F1377" s="86">
        <v>2.48</v>
      </c>
      <c r="G1377" s="92">
        <f t="array" ref="G1377">IF(B1377="insumo",_xlfn.XLOOKUP($D1377,Insumos!$B$1:$B$996,Insumos!$D$1:$D$996),"")</f>
        <v>0.504</v>
      </c>
      <c r="H1377" s="92">
        <v>1.2499199999999999</v>
      </c>
      <c r="I1377" s="84">
        <v>0</v>
      </c>
      <c r="J1377" s="84">
        <v>0</v>
      </c>
      <c r="K1377" s="84"/>
      <c r="L1377"/>
      <c r="M1377"/>
      <c r="N1377"/>
      <c r="O1377"/>
      <c r="P1377"/>
      <c r="Q1377"/>
      <c r="R1377"/>
      <c r="S1377"/>
      <c r="T1377"/>
      <c r="U1377"/>
      <c r="V1377"/>
      <c r="W1377"/>
      <c r="X1377"/>
      <c r="Y1377"/>
      <c r="Z1377"/>
      <c r="AA1377"/>
      <c r="AB1377"/>
      <c r="AC1377"/>
      <c r="AD1377"/>
      <c r="AE1377"/>
      <c r="AF1377"/>
      <c r="AG1377"/>
      <c r="AH1377"/>
      <c r="AI1377"/>
      <c r="AJ1377"/>
      <c r="AK1377"/>
      <c r="AL1377"/>
    </row>
    <row r="1378" spans="1:38" ht="12.75" outlineLevel="3" x14ac:dyDescent="0.2">
      <c r="A1378" s="82">
        <v>43</v>
      </c>
      <c r="B1378" s="82" t="s">
        <v>71</v>
      </c>
      <c r="C1378" s="82" t="s">
        <v>1792</v>
      </c>
      <c r="D1378" s="82" t="s">
        <v>423</v>
      </c>
      <c r="E1378" s="11" t="str">
        <f t="array" ref="E1378">_xlfn.XLOOKUP(D1378,Insumos!B:B,Insumos!C:$C)</f>
        <v>M</v>
      </c>
      <c r="F1378" s="86">
        <v>0.76239999999999997</v>
      </c>
      <c r="G1378" s="92">
        <f t="array" ref="G1378">IF(B1378="insumo",_xlfn.XLOOKUP($D1378,Insumos!$B$1:$B$996,Insumos!$D$1:$D$996),"")</f>
        <v>7.46</v>
      </c>
      <c r="H1378" s="92">
        <v>5.6875039999999997</v>
      </c>
      <c r="I1378" s="84">
        <v>0</v>
      </c>
      <c r="J1378" s="84">
        <v>0</v>
      </c>
      <c r="K1378" s="84"/>
      <c r="L1378"/>
      <c r="M1378"/>
      <c r="N1378"/>
      <c r="O1378"/>
      <c r="P1378"/>
      <c r="Q1378"/>
      <c r="R1378"/>
      <c r="S1378"/>
      <c r="T1378"/>
      <c r="U1378"/>
      <c r="V1378"/>
      <c r="W1378"/>
      <c r="X1378"/>
      <c r="Y1378"/>
      <c r="Z1378"/>
      <c r="AA1378"/>
      <c r="AB1378"/>
      <c r="AC1378"/>
      <c r="AD1378"/>
      <c r="AE1378"/>
      <c r="AF1378"/>
      <c r="AG1378"/>
      <c r="AH1378"/>
      <c r="AI1378"/>
      <c r="AJ1378"/>
      <c r="AK1378"/>
      <c r="AL1378"/>
    </row>
    <row r="1379" spans="1:38" ht="12.75" outlineLevel="3" x14ac:dyDescent="0.2">
      <c r="A1379" s="82">
        <v>43</v>
      </c>
      <c r="B1379" s="82" t="s">
        <v>71</v>
      </c>
      <c r="C1379" s="82" t="s">
        <v>1792</v>
      </c>
      <c r="D1379" s="82" t="s">
        <v>424</v>
      </c>
      <c r="E1379" s="11" t="str">
        <f t="array" ref="E1379">_xlfn.XLOOKUP(D1379,Insumos!B:B,Insumos!C:$C)</f>
        <v>M</v>
      </c>
      <c r="F1379" s="86">
        <v>2.0005999999999999</v>
      </c>
      <c r="G1379" s="92">
        <f t="array" ref="G1379">IF(B1379="insumo",_xlfn.XLOOKUP($D1379,Insumos!$B$1:$B$996,Insumos!$D$1:$D$996),"")</f>
        <v>7.98</v>
      </c>
      <c r="H1379" s="92">
        <v>15.964788</v>
      </c>
      <c r="I1379" s="84">
        <v>0</v>
      </c>
      <c r="J1379" s="84">
        <v>0</v>
      </c>
      <c r="K1379" s="84"/>
      <c r="L1379"/>
      <c r="M1379"/>
      <c r="N1379"/>
      <c r="O1379"/>
      <c r="P1379"/>
      <c r="Q1379"/>
      <c r="R1379"/>
      <c r="S1379"/>
      <c r="T1379"/>
      <c r="U1379"/>
      <c r="V1379"/>
      <c r="W1379"/>
      <c r="X1379"/>
      <c r="Y1379"/>
      <c r="Z1379"/>
      <c r="AA1379"/>
      <c r="AB1379"/>
      <c r="AC1379"/>
      <c r="AD1379"/>
      <c r="AE1379"/>
      <c r="AF1379"/>
      <c r="AG1379"/>
      <c r="AH1379"/>
      <c r="AI1379"/>
      <c r="AJ1379"/>
      <c r="AK1379"/>
      <c r="AL1379"/>
    </row>
    <row r="1380" spans="1:38" ht="12.75" outlineLevel="3" x14ac:dyDescent="0.2">
      <c r="A1380" s="82">
        <v>95</v>
      </c>
      <c r="B1380" s="82" t="s">
        <v>71</v>
      </c>
      <c r="C1380" s="82" t="s">
        <v>1792</v>
      </c>
      <c r="D1380" s="82" t="s">
        <v>405</v>
      </c>
      <c r="E1380" s="11" t="str">
        <f t="array" ref="E1380">_xlfn.XLOOKUP(D1380,Insumos!B:B,Insumos!C:$C)</f>
        <v>KG</v>
      </c>
      <c r="F1380" s="86">
        <v>0.54890000000000005</v>
      </c>
      <c r="G1380" s="92">
        <f t="array" ref="G1380">IF(B1380="insumo",_xlfn.XLOOKUP($D1380,Insumos!$B$1:$B$996,Insumos!$D$1:$D$996),"")</f>
        <v>3.43</v>
      </c>
      <c r="H1380" s="92">
        <v>1.882727</v>
      </c>
      <c r="I1380" s="84">
        <v>0</v>
      </c>
      <c r="J1380" s="84">
        <v>0</v>
      </c>
      <c r="K1380" s="84"/>
      <c r="L1380"/>
      <c r="M1380"/>
      <c r="N1380"/>
      <c r="O1380"/>
      <c r="P1380"/>
      <c r="Q1380"/>
      <c r="R1380"/>
      <c r="S1380"/>
      <c r="T1380"/>
      <c r="U1380"/>
      <c r="V1380"/>
      <c r="W1380"/>
      <c r="X1380"/>
      <c r="Y1380"/>
      <c r="Z1380"/>
      <c r="AA1380"/>
      <c r="AB1380"/>
      <c r="AC1380"/>
      <c r="AD1380"/>
      <c r="AE1380"/>
      <c r="AF1380"/>
      <c r="AG1380"/>
      <c r="AH1380"/>
      <c r="AI1380"/>
      <c r="AJ1380"/>
      <c r="AK1380"/>
      <c r="AL1380"/>
    </row>
    <row r="1381" spans="1:38" ht="12.75" outlineLevel="3" x14ac:dyDescent="0.2">
      <c r="A1381" s="82">
        <v>94</v>
      </c>
      <c r="B1381" s="82" t="s">
        <v>71</v>
      </c>
      <c r="C1381" s="82" t="s">
        <v>1792</v>
      </c>
      <c r="D1381" s="82" t="s">
        <v>412</v>
      </c>
      <c r="E1381" s="11" t="str">
        <f t="array" ref="E1381">_xlfn.XLOOKUP(D1381,Insumos!B:B,Insumos!C:$C)</f>
        <v>M</v>
      </c>
      <c r="F1381" s="86">
        <v>1.2513000000000001</v>
      </c>
      <c r="G1381" s="92">
        <f t="array" ref="G1381">IF(B1381="insumo",_xlfn.XLOOKUP($D1381,Insumos!$B$1:$B$996,Insumos!$D$1:$D$996),"")</f>
        <v>0.31</v>
      </c>
      <c r="H1381" s="92">
        <v>0.387903</v>
      </c>
      <c r="I1381" s="84">
        <v>0</v>
      </c>
      <c r="J1381" s="84">
        <v>0</v>
      </c>
      <c r="K1381" s="84"/>
      <c r="L1381"/>
      <c r="M1381"/>
      <c r="N1381"/>
      <c r="O1381"/>
      <c r="P1381"/>
      <c r="Q1381"/>
      <c r="R1381"/>
      <c r="S1381"/>
      <c r="T1381"/>
      <c r="U1381"/>
      <c r="V1381"/>
      <c r="W1381"/>
      <c r="X1381"/>
      <c r="Y1381"/>
      <c r="Z1381"/>
      <c r="AA1381"/>
      <c r="AB1381"/>
      <c r="AC1381"/>
      <c r="AD1381"/>
      <c r="AE1381"/>
      <c r="AF1381"/>
      <c r="AG1381"/>
      <c r="AH1381"/>
      <c r="AI1381"/>
      <c r="AJ1381"/>
      <c r="AK1381"/>
      <c r="AL1381"/>
    </row>
    <row r="1382" spans="1:38" ht="12.75" outlineLevel="3" x14ac:dyDescent="0.2">
      <c r="A1382" s="82">
        <v>94</v>
      </c>
      <c r="B1382" s="82" t="s">
        <v>71</v>
      </c>
      <c r="C1382" s="82" t="s">
        <v>1792</v>
      </c>
      <c r="D1382" s="82" t="s">
        <v>413</v>
      </c>
      <c r="E1382" s="11" t="str">
        <f t="array" ref="E1382">_xlfn.XLOOKUP(D1382,Insumos!B:B,Insumos!C:$C)</f>
        <v>M</v>
      </c>
      <c r="F1382" s="86">
        <v>0.74070000000000003</v>
      </c>
      <c r="G1382" s="92">
        <f t="array" ref="G1382">IF(B1382="insumo",_xlfn.XLOOKUP($D1382,Insumos!$B$1:$B$996,Insumos!$D$1:$D$996),"")</f>
        <v>2.74</v>
      </c>
      <c r="H1382" s="92">
        <v>2.0295179999999999</v>
      </c>
      <c r="I1382" s="84">
        <v>0</v>
      </c>
      <c r="J1382" s="84">
        <v>0</v>
      </c>
      <c r="K1382" s="84"/>
      <c r="L1382"/>
      <c r="M1382"/>
      <c r="N1382"/>
      <c r="O1382"/>
      <c r="P1382"/>
      <c r="Q1382"/>
      <c r="R1382"/>
      <c r="S1382"/>
      <c r="T1382"/>
      <c r="U1382"/>
      <c r="V1382"/>
      <c r="W1382"/>
      <c r="X1382"/>
      <c r="Y1382"/>
      <c r="Z1382"/>
      <c r="AA1382"/>
      <c r="AB1382"/>
      <c r="AC1382"/>
      <c r="AD1382"/>
      <c r="AE1382"/>
      <c r="AF1382"/>
      <c r="AG1382"/>
      <c r="AH1382"/>
      <c r="AI1382"/>
      <c r="AJ1382"/>
      <c r="AK1382"/>
      <c r="AL1382"/>
    </row>
    <row r="1383" spans="1:38" ht="12.75" outlineLevel="3" x14ac:dyDescent="0.2">
      <c r="A1383" s="82">
        <v>97</v>
      </c>
      <c r="B1383" s="82" t="s">
        <v>71</v>
      </c>
      <c r="C1383" s="82" t="s">
        <v>1792</v>
      </c>
      <c r="D1383" s="82" t="s">
        <v>414</v>
      </c>
      <c r="E1383" s="11" t="str">
        <f t="array" ref="E1383">_xlfn.XLOOKUP(D1383,Insumos!B:B,Insumos!C:$C)</f>
        <v>UN</v>
      </c>
      <c r="F1383" s="86">
        <v>10.093400000000001</v>
      </c>
      <c r="G1383" s="92">
        <f t="array" ref="G1383">IF(B1383="insumo",_xlfn.XLOOKUP($D1383,Insumos!$B$1:$B$996,Insumos!$D$1:$D$996),"")</f>
        <v>0.09</v>
      </c>
      <c r="H1383" s="92">
        <v>0.90840600000000005</v>
      </c>
      <c r="I1383" s="84">
        <v>0</v>
      </c>
      <c r="J1383" s="84">
        <v>0</v>
      </c>
      <c r="K1383" s="84"/>
      <c r="L1383"/>
      <c r="M1383"/>
      <c r="N1383"/>
      <c r="O1383"/>
      <c r="P1383"/>
      <c r="Q1383"/>
      <c r="R1383"/>
      <c r="S1383"/>
      <c r="T1383"/>
      <c r="U1383"/>
      <c r="V1383"/>
      <c r="W1383"/>
      <c r="X1383"/>
      <c r="Y1383"/>
      <c r="Z1383"/>
      <c r="AA1383"/>
      <c r="AB1383"/>
      <c r="AC1383"/>
      <c r="AD1383"/>
      <c r="AE1383"/>
      <c r="AF1383"/>
      <c r="AG1383"/>
      <c r="AH1383"/>
      <c r="AI1383"/>
      <c r="AJ1383"/>
      <c r="AK1383"/>
      <c r="AL1383"/>
    </row>
    <row r="1384" spans="1:38" ht="12.75" outlineLevel="3" x14ac:dyDescent="0.2">
      <c r="A1384" s="82">
        <v>95</v>
      </c>
      <c r="B1384" s="82" t="s">
        <v>71</v>
      </c>
      <c r="C1384" s="82" t="s">
        <v>1792</v>
      </c>
      <c r="D1384" s="82" t="s">
        <v>415</v>
      </c>
      <c r="E1384" s="11" t="str">
        <f t="array" ref="E1384">_xlfn.XLOOKUP(D1384,Insumos!B:B,Insumos!C:$C)</f>
        <v>UN</v>
      </c>
      <c r="F1384" s="86">
        <v>0.4803</v>
      </c>
      <c r="G1384" s="92">
        <f t="array" ref="G1384">IF(B1384="insumo",_xlfn.XLOOKUP($D1384,Insumos!$B$1:$B$996,Insumos!$D$1:$D$996),"")</f>
        <v>0.2</v>
      </c>
      <c r="H1384" s="92">
        <v>9.6060000000000006E-2</v>
      </c>
      <c r="I1384" s="84">
        <v>0</v>
      </c>
      <c r="J1384" s="84">
        <v>0</v>
      </c>
      <c r="K1384" s="84"/>
      <c r="L1384"/>
      <c r="M1384"/>
      <c r="N1384"/>
      <c r="O1384"/>
      <c r="P1384"/>
      <c r="Q1384"/>
      <c r="R1384"/>
      <c r="S1384"/>
      <c r="T1384"/>
      <c r="U1384"/>
      <c r="V1384"/>
      <c r="W1384"/>
      <c r="X1384"/>
      <c r="Y1384"/>
      <c r="Z1384"/>
      <c r="AA1384"/>
      <c r="AB1384"/>
      <c r="AC1384"/>
      <c r="AD1384"/>
      <c r="AE1384"/>
      <c r="AF1384"/>
      <c r="AG1384"/>
      <c r="AH1384"/>
      <c r="AI1384"/>
      <c r="AJ1384"/>
      <c r="AK1384"/>
      <c r="AL1384"/>
    </row>
    <row r="1385" spans="1:38" ht="12.75" outlineLevel="3" x14ac:dyDescent="0.2">
      <c r="A1385" s="82">
        <v>5</v>
      </c>
      <c r="B1385" s="82" t="s">
        <v>71</v>
      </c>
      <c r="C1385" s="82" t="s">
        <v>1792</v>
      </c>
      <c r="D1385" s="82" t="s">
        <v>416</v>
      </c>
      <c r="E1385" s="11" t="str">
        <f t="array" ref="E1385">_xlfn.XLOOKUP(D1385,Insumos!B:B,Insumos!C:$C)</f>
        <v>M2</v>
      </c>
      <c r="F1385" s="86">
        <v>1.1000000000000001</v>
      </c>
      <c r="G1385" s="92">
        <f t="array" ref="G1385">IF(B1385="insumo",_xlfn.XLOOKUP($D1385,Insumos!$B$1:$B$996,Insumos!$D$1:$D$996),"")</f>
        <v>12.828666666666667</v>
      </c>
      <c r="H1385" s="92">
        <v>14.1115333333333</v>
      </c>
      <c r="I1385" s="84">
        <v>0</v>
      </c>
      <c r="J1385" s="84">
        <v>0</v>
      </c>
      <c r="K1385" s="84"/>
      <c r="L1385"/>
      <c r="M1385"/>
      <c r="N1385"/>
      <c r="O1385"/>
      <c r="P1385"/>
      <c r="Q1385"/>
      <c r="R1385"/>
      <c r="S1385"/>
      <c r="T1385"/>
      <c r="U1385"/>
      <c r="V1385"/>
      <c r="W1385"/>
      <c r="X1385"/>
      <c r="Y1385"/>
      <c r="Z1385"/>
      <c r="AA1385"/>
      <c r="AB1385"/>
      <c r="AC1385"/>
      <c r="AD1385"/>
      <c r="AE1385"/>
      <c r="AF1385"/>
      <c r="AG1385"/>
      <c r="AH1385"/>
      <c r="AI1385"/>
      <c r="AJ1385"/>
      <c r="AK1385"/>
      <c r="AL1385"/>
    </row>
    <row r="1386" spans="1:38" ht="15.75" customHeight="1" outlineLevel="2" x14ac:dyDescent="0.2">
      <c r="A1386" s="1067">
        <v>1</v>
      </c>
      <c r="B1386" s="1067" t="s">
        <v>68</v>
      </c>
      <c r="C1386" s="1067" t="s">
        <v>417</v>
      </c>
      <c r="D1386" s="1067" t="s">
        <v>417</v>
      </c>
      <c r="E1386" s="1068" t="s">
        <v>70</v>
      </c>
      <c r="F1386" s="1067"/>
      <c r="G1386" s="1069" t="str">
        <f t="array" ref="G1386">IF(B1386="insumo",_xlfn.XLOOKUP($D1386,Insumos!$B$1:$B$996,Insumos!$D$1:$D$996),"")</f>
        <v/>
      </c>
      <c r="H1386" s="1069">
        <v>200.19072299999999</v>
      </c>
      <c r="I1386" s="1070">
        <v>0</v>
      </c>
      <c r="J1386" s="1070">
        <v>0</v>
      </c>
      <c r="K1386" s="1070"/>
      <c r="L1386"/>
      <c r="M1386"/>
      <c r="N1386"/>
      <c r="O1386"/>
      <c r="P1386"/>
      <c r="Q1386"/>
      <c r="R1386"/>
      <c r="S1386"/>
      <c r="T1386"/>
      <c r="U1386"/>
      <c r="V1386"/>
      <c r="W1386"/>
      <c r="X1386"/>
      <c r="Y1386"/>
      <c r="Z1386"/>
      <c r="AA1386"/>
      <c r="AB1386"/>
      <c r="AC1386"/>
      <c r="AD1386"/>
      <c r="AE1386"/>
      <c r="AF1386"/>
      <c r="AG1386"/>
      <c r="AH1386"/>
      <c r="AI1386"/>
      <c r="AJ1386"/>
      <c r="AK1386"/>
      <c r="AL1386"/>
    </row>
    <row r="1387" spans="1:38" ht="15.75" customHeight="1" outlineLevel="3" x14ac:dyDescent="0.2">
      <c r="A1387" s="10">
        <v>86</v>
      </c>
      <c r="B1387" s="10" t="s">
        <v>71</v>
      </c>
      <c r="C1387" s="10" t="s">
        <v>417</v>
      </c>
      <c r="D1387" s="10" t="s">
        <v>407</v>
      </c>
      <c r="E1387" s="11" t="str">
        <f t="array" ref="E1387">_xlfn.XLOOKUP(D1387,Insumos!B:B,Insumos!C:$C)</f>
        <v>M2</v>
      </c>
      <c r="F1387" s="14">
        <v>1</v>
      </c>
      <c r="G1387" s="92">
        <f t="array" ref="G1387">IF(B1387="insumo",_xlfn.XLOOKUP($D1387,Insumos!$B$1:$B$996,Insumos!$D$1:$D$996),"")</f>
        <v>70</v>
      </c>
      <c r="H1387" s="92">
        <v>70</v>
      </c>
      <c r="I1387" s="13">
        <v>0</v>
      </c>
      <c r="J1387" s="13">
        <v>0</v>
      </c>
      <c r="K1387" s="13"/>
      <c r="L1387"/>
      <c r="M1387"/>
      <c r="N1387"/>
      <c r="O1387"/>
      <c r="P1387"/>
      <c r="Q1387"/>
      <c r="R1387"/>
      <c r="S1387"/>
      <c r="T1387"/>
      <c r="U1387"/>
      <c r="V1387"/>
      <c r="W1387"/>
      <c r="X1387"/>
      <c r="Y1387"/>
      <c r="Z1387"/>
      <c r="AA1387"/>
      <c r="AB1387"/>
      <c r="AC1387"/>
      <c r="AD1387"/>
      <c r="AE1387"/>
      <c r="AF1387"/>
      <c r="AG1387"/>
      <c r="AH1387"/>
      <c r="AI1387"/>
      <c r="AJ1387"/>
      <c r="AK1387"/>
      <c r="AL1387"/>
    </row>
    <row r="1388" spans="1:38" ht="15.75" customHeight="1" outlineLevel="3" x14ac:dyDescent="0.2">
      <c r="A1388" s="10">
        <v>49</v>
      </c>
      <c r="B1388" s="10" t="s">
        <v>71</v>
      </c>
      <c r="C1388" s="10" t="s">
        <v>417</v>
      </c>
      <c r="D1388" s="10" t="s">
        <v>418</v>
      </c>
      <c r="E1388" s="11" t="str">
        <f t="array" ref="E1388">_xlfn.XLOOKUP(D1388,Insumos!B:B,Insumos!C:$C)</f>
        <v>M2</v>
      </c>
      <c r="F1388" s="14">
        <v>2.1059999999999999</v>
      </c>
      <c r="G1388" s="92">
        <f t="array" ref="G1388">IF(B1388="insumo",_xlfn.XLOOKUP($D1388,Insumos!$B$1:$B$996,Insumos!$D$1:$D$996),"")</f>
        <v>27.1</v>
      </c>
      <c r="H1388" s="92">
        <v>57.072600000000001</v>
      </c>
      <c r="I1388" s="13">
        <v>0</v>
      </c>
      <c r="J1388" s="13">
        <v>0</v>
      </c>
      <c r="K1388" s="13"/>
      <c r="L1388"/>
      <c r="M1388"/>
      <c r="N1388"/>
      <c r="O1388"/>
      <c r="P1388"/>
      <c r="Q1388"/>
      <c r="R1388"/>
      <c r="S1388"/>
      <c r="T1388"/>
      <c r="U1388"/>
      <c r="V1388"/>
      <c r="W1388"/>
      <c r="X1388"/>
      <c r="Y1388"/>
      <c r="Z1388"/>
      <c r="AA1388"/>
      <c r="AB1388"/>
      <c r="AC1388"/>
      <c r="AD1388"/>
      <c r="AE1388"/>
      <c r="AF1388"/>
      <c r="AG1388"/>
      <c r="AH1388"/>
      <c r="AI1388"/>
      <c r="AJ1388"/>
      <c r="AK1388"/>
      <c r="AL1388"/>
    </row>
    <row r="1389" spans="1:38" ht="15.75" customHeight="1" outlineLevel="3" x14ac:dyDescent="0.2">
      <c r="A1389" s="10">
        <v>95</v>
      </c>
      <c r="B1389" s="10" t="s">
        <v>71</v>
      </c>
      <c r="C1389" s="10" t="s">
        <v>417</v>
      </c>
      <c r="D1389" s="10" t="s">
        <v>409</v>
      </c>
      <c r="E1389" s="11" t="str">
        <f t="array" ref="E1389">_xlfn.XLOOKUP(D1389,Insumos!B:B,Insumos!C:$C)</f>
        <v>UN</v>
      </c>
      <c r="F1389" s="14">
        <v>5.92</v>
      </c>
      <c r="G1389" s="92">
        <f t="array" ref="G1389">IF(B1389="insumo",_xlfn.XLOOKUP($D1389,Insumos!$B$1:$B$996,Insumos!$D$1:$D$996),"")</f>
        <v>0.504</v>
      </c>
      <c r="H1389" s="92">
        <v>2.9836800000000001</v>
      </c>
      <c r="I1389" s="13">
        <v>0</v>
      </c>
      <c r="J1389" s="13">
        <v>0</v>
      </c>
      <c r="K1389" s="13"/>
      <c r="L1389"/>
      <c r="M1389"/>
      <c r="N1389"/>
      <c r="O1389"/>
      <c r="P1389"/>
      <c r="Q1389"/>
      <c r="R1389"/>
      <c r="S1389"/>
      <c r="T1389"/>
      <c r="U1389"/>
      <c r="V1389"/>
      <c r="W1389"/>
      <c r="X1389"/>
      <c r="Y1389"/>
      <c r="Z1389"/>
      <c r="AA1389"/>
      <c r="AB1389"/>
      <c r="AC1389"/>
      <c r="AD1389"/>
      <c r="AE1389"/>
      <c r="AF1389"/>
      <c r="AG1389"/>
      <c r="AH1389"/>
      <c r="AI1389"/>
      <c r="AJ1389"/>
      <c r="AK1389"/>
      <c r="AL1389"/>
    </row>
    <row r="1390" spans="1:38" ht="15.75" customHeight="1" outlineLevel="3" x14ac:dyDescent="0.2">
      <c r="A1390" s="10">
        <v>26</v>
      </c>
      <c r="B1390" s="10" t="s">
        <v>71</v>
      </c>
      <c r="C1390" s="10" t="s">
        <v>417</v>
      </c>
      <c r="D1390" s="10" t="s">
        <v>410</v>
      </c>
      <c r="E1390" s="11" t="str">
        <f t="array" ref="E1390">_xlfn.XLOOKUP(D1390,Insumos!B:B,Insumos!C:$C)</f>
        <v>M</v>
      </c>
      <c r="F1390" s="14">
        <v>1.8233999999999999</v>
      </c>
      <c r="G1390" s="92">
        <f t="array" ref="G1390">IF(B1390="insumo",_xlfn.XLOOKUP($D1390,Insumos!$B$1:$B$996,Insumos!$D$1:$D$996),"")</f>
        <v>7.03</v>
      </c>
      <c r="H1390" s="92">
        <v>12.818502000000001</v>
      </c>
      <c r="I1390" s="13">
        <v>0</v>
      </c>
      <c r="J1390" s="13">
        <v>0</v>
      </c>
      <c r="K1390" s="13"/>
      <c r="L1390"/>
      <c r="M1390"/>
      <c r="N1390"/>
      <c r="O1390"/>
      <c r="P1390"/>
      <c r="Q1390"/>
      <c r="R1390"/>
      <c r="S1390"/>
      <c r="T1390"/>
      <c r="U1390"/>
      <c r="V1390"/>
      <c r="W1390"/>
      <c r="X1390"/>
      <c r="Y1390"/>
      <c r="Z1390"/>
      <c r="AA1390"/>
      <c r="AB1390"/>
      <c r="AC1390"/>
      <c r="AD1390"/>
      <c r="AE1390"/>
      <c r="AF1390"/>
      <c r="AG1390"/>
      <c r="AH1390"/>
      <c r="AI1390"/>
      <c r="AJ1390"/>
      <c r="AK1390"/>
      <c r="AL1390"/>
    </row>
    <row r="1391" spans="1:38" ht="15.75" customHeight="1" outlineLevel="3" x14ac:dyDescent="0.2">
      <c r="A1391" s="10">
        <v>26</v>
      </c>
      <c r="B1391" s="10" t="s">
        <v>71</v>
      </c>
      <c r="C1391" s="10" t="s">
        <v>417</v>
      </c>
      <c r="D1391" s="10" t="s">
        <v>411</v>
      </c>
      <c r="E1391" s="11" t="str">
        <f t="array" ref="E1391">_xlfn.XLOOKUP(D1391,Insumos!B:B,Insumos!C:$C)</f>
        <v>M</v>
      </c>
      <c r="F1391" s="14">
        <v>5.8277999999999999</v>
      </c>
      <c r="G1391" s="92">
        <f t="array" ref="G1391">IF(B1391="insumo",_xlfn.XLOOKUP($D1391,Insumos!$B$1:$B$996,Insumos!$D$1:$D$996),"")</f>
        <v>7.98</v>
      </c>
      <c r="H1391" s="92">
        <v>46.505844000000003</v>
      </c>
      <c r="I1391" s="13">
        <v>0</v>
      </c>
      <c r="J1391" s="13">
        <v>0</v>
      </c>
      <c r="K1391" s="13"/>
      <c r="L1391"/>
      <c r="M1391"/>
      <c r="N1391"/>
      <c r="O1391"/>
      <c r="P1391"/>
      <c r="Q1391"/>
      <c r="R1391"/>
      <c r="S1391"/>
      <c r="T1391"/>
      <c r="U1391"/>
      <c r="V1391"/>
      <c r="W1391"/>
      <c r="X1391"/>
      <c r="Y1391"/>
      <c r="Z1391"/>
      <c r="AA1391"/>
      <c r="AB1391"/>
      <c r="AC1391"/>
      <c r="AD1391"/>
      <c r="AE1391"/>
      <c r="AF1391"/>
      <c r="AG1391"/>
      <c r="AH1391"/>
      <c r="AI1391"/>
      <c r="AJ1391"/>
      <c r="AK1391"/>
      <c r="AL1391"/>
    </row>
    <row r="1392" spans="1:38" ht="15.75" customHeight="1" outlineLevel="3" x14ac:dyDescent="0.2">
      <c r="A1392" s="10">
        <v>95</v>
      </c>
      <c r="B1392" s="10" t="s">
        <v>71</v>
      </c>
      <c r="C1392" s="10" t="s">
        <v>417</v>
      </c>
      <c r="D1392" s="10" t="s">
        <v>405</v>
      </c>
      <c r="E1392" s="11" t="str">
        <f t="array" ref="E1392">_xlfn.XLOOKUP(D1392,Insumos!B:B,Insumos!C:$C)</f>
        <v>KG</v>
      </c>
      <c r="F1392" s="14">
        <v>1.0978000000000001</v>
      </c>
      <c r="G1392" s="92">
        <f t="array" ref="G1392">IF(B1392="insumo",_xlfn.XLOOKUP($D1392,Insumos!$B$1:$B$996,Insumos!$D$1:$D$996),"")</f>
        <v>3.43</v>
      </c>
      <c r="H1392" s="92">
        <v>3.7654540000000001</v>
      </c>
      <c r="I1392" s="13">
        <v>0</v>
      </c>
      <c r="J1392" s="13">
        <v>0</v>
      </c>
      <c r="K1392" s="13"/>
      <c r="L1392"/>
      <c r="M1392"/>
      <c r="N1392"/>
      <c r="O1392"/>
      <c r="P1392"/>
      <c r="Q1392"/>
      <c r="R1392"/>
      <c r="S1392"/>
      <c r="T1392"/>
      <c r="U1392"/>
      <c r="V1392"/>
      <c r="W1392"/>
      <c r="X1392"/>
      <c r="Y1392"/>
      <c r="Z1392"/>
      <c r="AA1392"/>
      <c r="AB1392"/>
      <c r="AC1392"/>
      <c r="AD1392"/>
      <c r="AE1392"/>
      <c r="AF1392"/>
      <c r="AG1392"/>
      <c r="AH1392"/>
      <c r="AI1392"/>
      <c r="AJ1392"/>
      <c r="AK1392"/>
      <c r="AL1392"/>
    </row>
    <row r="1393" spans="1:38" ht="15.75" customHeight="1" outlineLevel="3" x14ac:dyDescent="0.2">
      <c r="A1393" s="10">
        <v>94</v>
      </c>
      <c r="B1393" s="10" t="s">
        <v>71</v>
      </c>
      <c r="C1393" s="10" t="s">
        <v>417</v>
      </c>
      <c r="D1393" s="10" t="s">
        <v>412</v>
      </c>
      <c r="E1393" s="11" t="str">
        <f t="array" ref="E1393">_xlfn.XLOOKUP(D1393,Insumos!B:B,Insumos!C:$C)</f>
        <v>M</v>
      </c>
      <c r="F1393" s="14">
        <v>2.5026999999999999</v>
      </c>
      <c r="G1393" s="92">
        <f t="array" ref="G1393">IF(B1393="insumo",_xlfn.XLOOKUP($D1393,Insumos!$B$1:$B$996,Insumos!$D$1:$D$996),"")</f>
        <v>0.31</v>
      </c>
      <c r="H1393" s="92">
        <v>0.775837</v>
      </c>
      <c r="I1393" s="13">
        <v>0</v>
      </c>
      <c r="J1393" s="13">
        <v>0</v>
      </c>
      <c r="K1393" s="13"/>
      <c r="L1393"/>
      <c r="M1393"/>
      <c r="N1393"/>
      <c r="O1393"/>
      <c r="P1393"/>
      <c r="Q1393"/>
      <c r="R1393"/>
      <c r="S1393"/>
      <c r="T1393"/>
      <c r="U1393"/>
      <c r="V1393"/>
      <c r="W1393"/>
      <c r="X1393"/>
      <c r="Y1393"/>
      <c r="Z1393"/>
      <c r="AA1393"/>
      <c r="AB1393"/>
      <c r="AC1393"/>
      <c r="AD1393"/>
      <c r="AE1393"/>
      <c r="AF1393"/>
      <c r="AG1393"/>
      <c r="AH1393"/>
      <c r="AI1393"/>
      <c r="AJ1393"/>
      <c r="AK1393"/>
      <c r="AL1393"/>
    </row>
    <row r="1394" spans="1:38" ht="15.75" customHeight="1" outlineLevel="3" x14ac:dyDescent="0.2">
      <c r="A1394" s="10">
        <v>94</v>
      </c>
      <c r="B1394" s="10" t="s">
        <v>71</v>
      </c>
      <c r="C1394" s="10" t="s">
        <v>417</v>
      </c>
      <c r="D1394" s="10" t="s">
        <v>413</v>
      </c>
      <c r="E1394" s="11" t="str">
        <f t="array" ref="E1394">_xlfn.XLOOKUP(D1394,Insumos!B:B,Insumos!C:$C)</f>
        <v>M</v>
      </c>
      <c r="F1394" s="14">
        <v>1.5851</v>
      </c>
      <c r="G1394" s="92">
        <f t="array" ref="G1394">IF(B1394="insumo",_xlfn.XLOOKUP($D1394,Insumos!$B$1:$B$996,Insumos!$D$1:$D$996),"")</f>
        <v>2.74</v>
      </c>
      <c r="H1394" s="92">
        <v>4.3431740000000003</v>
      </c>
      <c r="I1394" s="13">
        <v>0</v>
      </c>
      <c r="J1394" s="13">
        <v>0</v>
      </c>
      <c r="K1394" s="13"/>
      <c r="L1394"/>
      <c r="M1394"/>
      <c r="N1394"/>
      <c r="O1394"/>
      <c r="P1394"/>
      <c r="Q1394"/>
      <c r="R1394"/>
      <c r="S1394"/>
      <c r="T1394"/>
      <c r="U1394"/>
      <c r="V1394"/>
      <c r="W1394"/>
      <c r="X1394"/>
      <c r="Y1394"/>
      <c r="Z1394"/>
      <c r="AA1394"/>
      <c r="AB1394"/>
      <c r="AC1394"/>
      <c r="AD1394"/>
      <c r="AE1394"/>
      <c r="AF1394"/>
      <c r="AG1394"/>
      <c r="AH1394"/>
      <c r="AI1394"/>
      <c r="AJ1394"/>
      <c r="AK1394"/>
      <c r="AL1394"/>
    </row>
    <row r="1395" spans="1:38" ht="15.75" customHeight="1" outlineLevel="3" x14ac:dyDescent="0.2">
      <c r="A1395" s="10">
        <v>97</v>
      </c>
      <c r="B1395" s="10" t="s">
        <v>71</v>
      </c>
      <c r="C1395" s="10" t="s">
        <v>417</v>
      </c>
      <c r="D1395" s="10" t="s">
        <v>414</v>
      </c>
      <c r="E1395" s="11" t="str">
        <f t="array" ref="E1395">_xlfn.XLOOKUP(D1395,Insumos!B:B,Insumos!C:$C)</f>
        <v>UN</v>
      </c>
      <c r="F1395" s="14">
        <v>20.186800000000002</v>
      </c>
      <c r="G1395" s="92">
        <f t="array" ref="G1395">IF(B1395="insumo",_xlfn.XLOOKUP($D1395,Insumos!$B$1:$B$996,Insumos!$D$1:$D$996),"")</f>
        <v>0.09</v>
      </c>
      <c r="H1395" s="92">
        <v>1.8168120000000001</v>
      </c>
      <c r="I1395" s="13">
        <v>0</v>
      </c>
      <c r="J1395" s="13">
        <v>0</v>
      </c>
      <c r="K1395" s="13"/>
      <c r="L1395"/>
      <c r="M1395"/>
      <c r="N1395"/>
      <c r="O1395"/>
      <c r="P1395"/>
      <c r="Q1395"/>
      <c r="R1395"/>
      <c r="S1395"/>
      <c r="T1395"/>
      <c r="U1395"/>
      <c r="V1395"/>
      <c r="W1395"/>
      <c r="X1395"/>
      <c r="Y1395"/>
      <c r="Z1395"/>
      <c r="AA1395"/>
      <c r="AB1395"/>
      <c r="AC1395"/>
      <c r="AD1395"/>
      <c r="AE1395"/>
      <c r="AF1395"/>
      <c r="AG1395"/>
      <c r="AH1395"/>
      <c r="AI1395"/>
      <c r="AJ1395"/>
      <c r="AK1395"/>
      <c r="AL1395"/>
    </row>
    <row r="1396" spans="1:38" ht="15.75" customHeight="1" outlineLevel="3" x14ac:dyDescent="0.2">
      <c r="A1396" s="10">
        <v>95</v>
      </c>
      <c r="B1396" s="10" t="s">
        <v>71</v>
      </c>
      <c r="C1396" s="10" t="s">
        <v>417</v>
      </c>
      <c r="D1396" s="10" t="s">
        <v>415</v>
      </c>
      <c r="E1396" s="11" t="str">
        <f t="array" ref="E1396">_xlfn.XLOOKUP(D1396,Insumos!B:B,Insumos!C:$C)</f>
        <v>UN</v>
      </c>
      <c r="F1396" s="14">
        <v>0.54410000000000003</v>
      </c>
      <c r="G1396" s="92">
        <f t="array" ref="G1396">IF(B1396="insumo",_xlfn.XLOOKUP($D1396,Insumos!$B$1:$B$996,Insumos!$D$1:$D$996),"")</f>
        <v>0.2</v>
      </c>
      <c r="H1396" s="92">
        <v>0.10882</v>
      </c>
      <c r="I1396" s="13">
        <v>0</v>
      </c>
      <c r="J1396" s="13">
        <v>0</v>
      </c>
      <c r="K1396" s="13"/>
      <c r="L1396"/>
      <c r="M1396"/>
      <c r="N1396"/>
      <c r="O1396"/>
      <c r="P1396"/>
      <c r="Q1396"/>
      <c r="R1396"/>
      <c r="S1396"/>
      <c r="T1396"/>
      <c r="U1396"/>
      <c r="V1396"/>
      <c r="W1396"/>
      <c r="X1396"/>
      <c r="Y1396"/>
      <c r="Z1396"/>
      <c r="AA1396"/>
      <c r="AB1396"/>
      <c r="AC1396"/>
      <c r="AD1396"/>
      <c r="AE1396"/>
      <c r="AF1396"/>
      <c r="AG1396"/>
      <c r="AH1396"/>
      <c r="AI1396"/>
      <c r="AJ1396"/>
      <c r="AK1396"/>
      <c r="AL1396"/>
    </row>
    <row r="1397" spans="1:38" ht="15.75" customHeight="1" outlineLevel="2" x14ac:dyDescent="0.2">
      <c r="A1397" s="1067">
        <v>1</v>
      </c>
      <c r="B1397" s="1067" t="s">
        <v>68</v>
      </c>
      <c r="C1397" s="1067" t="s">
        <v>2769</v>
      </c>
      <c r="D1397" s="1067" t="s">
        <v>2769</v>
      </c>
      <c r="E1397" s="1068" t="s">
        <v>70</v>
      </c>
      <c r="F1397" s="1067"/>
      <c r="G1397" s="1069" t="str">
        <f t="array" ref="G1397">IF(B1397="insumo",_xlfn.XLOOKUP($D1397,Insumos!$B$1:$B$996,Insumos!$D$1:$D$996),"")</f>
        <v/>
      </c>
      <c r="H1397" s="1069">
        <v>167.74008449999999</v>
      </c>
      <c r="I1397" s="1070">
        <v>0</v>
      </c>
      <c r="J1397" s="1070">
        <v>0</v>
      </c>
      <c r="K1397" s="1070"/>
      <c r="L1397"/>
      <c r="M1397"/>
      <c r="N1397"/>
      <c r="O1397"/>
      <c r="P1397"/>
      <c r="Q1397"/>
      <c r="R1397"/>
      <c r="S1397"/>
      <c r="T1397"/>
      <c r="U1397"/>
      <c r="V1397"/>
      <c r="W1397"/>
      <c r="X1397"/>
      <c r="Y1397"/>
      <c r="Z1397"/>
      <c r="AA1397"/>
      <c r="AB1397"/>
      <c r="AC1397"/>
      <c r="AD1397"/>
      <c r="AE1397"/>
      <c r="AF1397"/>
      <c r="AG1397"/>
      <c r="AH1397"/>
      <c r="AI1397"/>
      <c r="AJ1397"/>
      <c r="AK1397"/>
      <c r="AL1397"/>
    </row>
    <row r="1398" spans="1:38" ht="15.75" customHeight="1" outlineLevel="3" x14ac:dyDescent="0.2">
      <c r="A1398" s="10">
        <v>86</v>
      </c>
      <c r="B1398" s="10" t="s">
        <v>71</v>
      </c>
      <c r="C1398" s="10" t="s">
        <v>2769</v>
      </c>
      <c r="D1398" s="10" t="s">
        <v>407</v>
      </c>
      <c r="E1398" s="11" t="str">
        <f t="array" ref="E1398">_xlfn.XLOOKUP(D1398,Insumos!B:B,Insumos!C:$C)</f>
        <v>M2</v>
      </c>
      <c r="F1398" s="14">
        <v>1</v>
      </c>
      <c r="G1398" s="92">
        <f t="array" ref="G1398">IF(B1398="insumo",_xlfn.XLOOKUP($D1398,Insumos!$B$1:$B$996,Insumos!$D$1:$D$996),"")</f>
        <v>70</v>
      </c>
      <c r="H1398" s="92">
        <v>70</v>
      </c>
      <c r="I1398" s="13">
        <v>0</v>
      </c>
      <c r="J1398" s="13">
        <v>0</v>
      </c>
      <c r="K1398" s="13"/>
      <c r="L1398"/>
      <c r="M1398"/>
      <c r="N1398"/>
      <c r="O1398"/>
      <c r="P1398"/>
      <c r="Q1398"/>
      <c r="R1398"/>
      <c r="S1398"/>
      <c r="T1398"/>
      <c r="U1398"/>
      <c r="V1398"/>
      <c r="W1398"/>
      <c r="X1398"/>
      <c r="Y1398"/>
      <c r="Z1398"/>
      <c r="AA1398"/>
      <c r="AB1398"/>
      <c r="AC1398"/>
      <c r="AD1398"/>
      <c r="AE1398"/>
      <c r="AF1398"/>
      <c r="AG1398"/>
      <c r="AH1398"/>
      <c r="AI1398"/>
      <c r="AJ1398"/>
      <c r="AK1398"/>
      <c r="AL1398"/>
    </row>
    <row r="1399" spans="1:38" ht="15.75" customHeight="1" outlineLevel="3" x14ac:dyDescent="0.2">
      <c r="A1399" s="10">
        <v>49</v>
      </c>
      <c r="B1399" s="10" t="s">
        <v>71</v>
      </c>
      <c r="C1399" s="10" t="s">
        <v>2769</v>
      </c>
      <c r="D1399" s="10" t="s">
        <v>418</v>
      </c>
      <c r="E1399" s="11" t="str">
        <f t="array" ref="E1399">_xlfn.XLOOKUP(D1399,Insumos!B:B,Insumos!C:$C)</f>
        <v>M2</v>
      </c>
      <c r="F1399" s="14">
        <v>1.1060000000000001</v>
      </c>
      <c r="G1399" s="92">
        <f t="array" ref="G1399">IF(B1399="insumo",_xlfn.XLOOKUP($D1399,Insumos!$B$1:$B$996,Insumos!$D$1:$D$996),"")</f>
        <v>27.1</v>
      </c>
      <c r="H1399" s="92">
        <v>29.9726</v>
      </c>
      <c r="I1399" s="13">
        <v>0</v>
      </c>
      <c r="J1399" s="13">
        <v>0</v>
      </c>
      <c r="K1399" s="13"/>
      <c r="L1399"/>
      <c r="M1399"/>
      <c r="N1399"/>
      <c r="O1399"/>
      <c r="P1399"/>
      <c r="Q1399"/>
      <c r="R1399"/>
      <c r="S1399"/>
      <c r="T1399"/>
      <c r="U1399"/>
      <c r="V1399"/>
      <c r="W1399"/>
      <c r="X1399"/>
      <c r="Y1399"/>
      <c r="Z1399"/>
      <c r="AA1399"/>
      <c r="AB1399"/>
      <c r="AC1399"/>
      <c r="AD1399"/>
      <c r="AE1399"/>
      <c r="AF1399"/>
      <c r="AG1399"/>
      <c r="AH1399"/>
      <c r="AI1399"/>
      <c r="AJ1399"/>
      <c r="AK1399"/>
      <c r="AL1399"/>
    </row>
    <row r="1400" spans="1:38" ht="15.75" customHeight="1" outlineLevel="3" x14ac:dyDescent="0.2">
      <c r="A1400" s="10">
        <v>95</v>
      </c>
      <c r="B1400" s="10" t="s">
        <v>71</v>
      </c>
      <c r="C1400" s="10" t="s">
        <v>2769</v>
      </c>
      <c r="D1400" s="10" t="s">
        <v>409</v>
      </c>
      <c r="E1400" s="11" t="str">
        <f t="array" ref="E1400">_xlfn.XLOOKUP(D1400,Insumos!B:B,Insumos!C:$C)</f>
        <v>UN</v>
      </c>
      <c r="F1400" s="14">
        <v>5.92</v>
      </c>
      <c r="G1400" s="92">
        <f t="array" ref="G1400">IF(B1400="insumo",_xlfn.XLOOKUP($D1400,Insumos!$B$1:$B$996,Insumos!$D$1:$D$996),"")</f>
        <v>0.504</v>
      </c>
      <c r="H1400" s="92">
        <v>2.9836800000000001</v>
      </c>
      <c r="I1400" s="13">
        <v>0</v>
      </c>
      <c r="J1400" s="13">
        <v>0</v>
      </c>
      <c r="K1400" s="13"/>
      <c r="L1400"/>
      <c r="M1400"/>
      <c r="N1400"/>
      <c r="O1400"/>
      <c r="P1400"/>
      <c r="Q1400"/>
      <c r="R1400"/>
      <c r="S1400"/>
      <c r="T1400"/>
      <c r="U1400"/>
      <c r="V1400"/>
      <c r="W1400"/>
      <c r="X1400"/>
      <c r="Y1400"/>
      <c r="Z1400"/>
      <c r="AA1400"/>
      <c r="AB1400"/>
      <c r="AC1400"/>
      <c r="AD1400"/>
      <c r="AE1400"/>
      <c r="AF1400"/>
      <c r="AG1400"/>
      <c r="AH1400"/>
      <c r="AI1400"/>
      <c r="AJ1400"/>
      <c r="AK1400"/>
      <c r="AL1400"/>
    </row>
    <row r="1401" spans="1:38" ht="15.75" customHeight="1" outlineLevel="3" x14ac:dyDescent="0.2">
      <c r="A1401" s="10">
        <v>26</v>
      </c>
      <c r="B1401" s="10" t="s">
        <v>71</v>
      </c>
      <c r="C1401" s="10" t="s">
        <v>2769</v>
      </c>
      <c r="D1401" s="10" t="s">
        <v>410</v>
      </c>
      <c r="E1401" s="11" t="str">
        <f t="array" ref="E1401">_xlfn.XLOOKUP(D1401,Insumos!B:B,Insumos!C:$C)</f>
        <v>M</v>
      </c>
      <c r="F1401" s="14">
        <v>1.8233999999999999</v>
      </c>
      <c r="G1401" s="92">
        <f t="array" ref="G1401">IF(B1401="insumo",_xlfn.XLOOKUP($D1401,Insumos!$B$1:$B$996,Insumos!$D$1:$D$996),"")</f>
        <v>7.03</v>
      </c>
      <c r="H1401" s="92">
        <v>12.818502000000001</v>
      </c>
      <c r="I1401" s="13">
        <v>0</v>
      </c>
      <c r="J1401" s="13">
        <v>0</v>
      </c>
      <c r="K1401" s="13"/>
      <c r="L1401"/>
      <c r="M1401"/>
      <c r="N1401"/>
      <c r="O1401"/>
      <c r="P1401"/>
      <c r="Q1401"/>
      <c r="R1401"/>
      <c r="S1401"/>
      <c r="T1401"/>
      <c r="U1401"/>
      <c r="V1401"/>
      <c r="W1401"/>
      <c r="X1401"/>
      <c r="Y1401"/>
      <c r="Z1401"/>
      <c r="AA1401"/>
      <c r="AB1401"/>
      <c r="AC1401"/>
      <c r="AD1401"/>
      <c r="AE1401"/>
      <c r="AF1401"/>
      <c r="AG1401"/>
      <c r="AH1401"/>
      <c r="AI1401"/>
      <c r="AJ1401"/>
      <c r="AK1401"/>
      <c r="AL1401"/>
    </row>
    <row r="1402" spans="1:38" ht="15.75" customHeight="1" outlineLevel="3" x14ac:dyDescent="0.2">
      <c r="A1402" s="10">
        <v>26</v>
      </c>
      <c r="B1402" s="10" t="s">
        <v>71</v>
      </c>
      <c r="C1402" s="10" t="s">
        <v>2769</v>
      </c>
      <c r="D1402" s="10" t="s">
        <v>411</v>
      </c>
      <c r="E1402" s="11" t="str">
        <f t="array" ref="E1402">_xlfn.XLOOKUP(D1402,Insumos!B:B,Insumos!C:$C)</f>
        <v>M</v>
      </c>
      <c r="F1402" s="14">
        <v>5.8277999999999999</v>
      </c>
      <c r="G1402" s="92">
        <f t="array" ref="G1402">IF(B1402="insumo",_xlfn.XLOOKUP($D1402,Insumos!$B$1:$B$996,Insumos!$D$1:$D$996),"")</f>
        <v>7.98</v>
      </c>
      <c r="H1402" s="92">
        <v>46.505844000000003</v>
      </c>
      <c r="I1402" s="13">
        <v>0</v>
      </c>
      <c r="J1402" s="13">
        <v>0</v>
      </c>
      <c r="K1402" s="13"/>
      <c r="L1402"/>
      <c r="M1402"/>
      <c r="N1402"/>
      <c r="O1402"/>
      <c r="P1402"/>
      <c r="Q1402"/>
      <c r="R1402"/>
      <c r="S1402"/>
      <c r="T1402"/>
      <c r="U1402"/>
      <c r="V1402"/>
      <c r="W1402"/>
      <c r="X1402"/>
      <c r="Y1402"/>
      <c r="Z1402"/>
      <c r="AA1402"/>
      <c r="AB1402"/>
      <c r="AC1402"/>
      <c r="AD1402"/>
      <c r="AE1402"/>
      <c r="AF1402"/>
      <c r="AG1402"/>
      <c r="AH1402"/>
      <c r="AI1402"/>
      <c r="AJ1402"/>
      <c r="AK1402"/>
      <c r="AL1402"/>
    </row>
    <row r="1403" spans="1:38" ht="15.75" customHeight="1" outlineLevel="3" x14ac:dyDescent="0.2">
      <c r="A1403" s="10">
        <v>95</v>
      </c>
      <c r="B1403" s="10" t="s">
        <v>71</v>
      </c>
      <c r="C1403" s="10" t="s">
        <v>2769</v>
      </c>
      <c r="D1403" s="10" t="s">
        <v>405</v>
      </c>
      <c r="E1403" s="11" t="str">
        <f t="array" ref="E1403">_xlfn.XLOOKUP(D1403,Insumos!B:B,Insumos!C:$C)</f>
        <v>KG</v>
      </c>
      <c r="F1403" s="14">
        <f>1.0978/2</f>
        <v>0.54890000000000005</v>
      </c>
      <c r="G1403" s="92">
        <f t="array" ref="G1403">IF(B1403="insumo",_xlfn.XLOOKUP($D1403,Insumos!$B$1:$B$996,Insumos!$D$1:$D$996),"")</f>
        <v>3.43</v>
      </c>
      <c r="H1403" s="92">
        <v>1.882727</v>
      </c>
      <c r="I1403" s="13">
        <v>0</v>
      </c>
      <c r="J1403" s="13">
        <v>0</v>
      </c>
      <c r="K1403" s="13"/>
      <c r="L1403"/>
      <c r="M1403"/>
      <c r="N1403"/>
      <c r="O1403"/>
      <c r="P1403"/>
      <c r="Q1403"/>
      <c r="R1403"/>
      <c r="S1403"/>
      <c r="T1403"/>
      <c r="U1403"/>
      <c r="V1403"/>
      <c r="W1403"/>
      <c r="X1403"/>
      <c r="Y1403"/>
      <c r="Z1403"/>
      <c r="AA1403"/>
      <c r="AB1403"/>
      <c r="AC1403"/>
      <c r="AD1403"/>
      <c r="AE1403"/>
      <c r="AF1403"/>
      <c r="AG1403"/>
      <c r="AH1403"/>
      <c r="AI1403"/>
      <c r="AJ1403"/>
      <c r="AK1403"/>
      <c r="AL1403"/>
    </row>
    <row r="1404" spans="1:38" ht="15.75" customHeight="1" outlineLevel="3" x14ac:dyDescent="0.2">
      <c r="A1404" s="10">
        <v>94</v>
      </c>
      <c r="B1404" s="10" t="s">
        <v>71</v>
      </c>
      <c r="C1404" s="10" t="s">
        <v>2769</v>
      </c>
      <c r="D1404" s="10" t="s">
        <v>412</v>
      </c>
      <c r="E1404" s="11" t="str">
        <f t="array" ref="E1404">_xlfn.XLOOKUP(D1404,Insumos!B:B,Insumos!C:$C)</f>
        <v>M</v>
      </c>
      <c r="F1404" s="14">
        <f>2.5027/2</f>
        <v>1.25135</v>
      </c>
      <c r="G1404" s="92">
        <f t="array" ref="G1404">IF(B1404="insumo",_xlfn.XLOOKUP($D1404,Insumos!$B$1:$B$996,Insumos!$D$1:$D$996),"")</f>
        <v>0.31</v>
      </c>
      <c r="H1404" s="92">
        <v>0.3879185</v>
      </c>
      <c r="I1404" s="13">
        <v>0</v>
      </c>
      <c r="J1404" s="13">
        <v>0</v>
      </c>
      <c r="K1404" s="13"/>
      <c r="L1404"/>
      <c r="M1404"/>
      <c r="N1404"/>
      <c r="O1404"/>
      <c r="P1404"/>
      <c r="Q1404"/>
      <c r="R1404"/>
      <c r="S1404"/>
      <c r="T1404"/>
      <c r="U1404"/>
      <c r="V1404"/>
      <c r="W1404"/>
      <c r="X1404"/>
      <c r="Y1404"/>
      <c r="Z1404"/>
      <c r="AA1404"/>
      <c r="AB1404"/>
      <c r="AC1404"/>
      <c r="AD1404"/>
      <c r="AE1404"/>
      <c r="AF1404"/>
      <c r="AG1404"/>
      <c r="AH1404"/>
      <c r="AI1404"/>
      <c r="AJ1404"/>
      <c r="AK1404"/>
      <c r="AL1404"/>
    </row>
    <row r="1405" spans="1:38" ht="15.75" customHeight="1" outlineLevel="3" x14ac:dyDescent="0.2">
      <c r="A1405" s="10">
        <v>94</v>
      </c>
      <c r="B1405" s="10" t="s">
        <v>71</v>
      </c>
      <c r="C1405" s="10" t="s">
        <v>2769</v>
      </c>
      <c r="D1405" s="10" t="s">
        <v>413</v>
      </c>
      <c r="E1405" s="11" t="str">
        <f t="array" ref="E1405">_xlfn.XLOOKUP(D1405,Insumos!B:B,Insumos!C:$C)</f>
        <v>M</v>
      </c>
      <c r="F1405" s="14">
        <f>1.5851/2</f>
        <v>0.79254999999999998</v>
      </c>
      <c r="G1405" s="92">
        <f t="array" ref="G1405">IF(B1405="insumo",_xlfn.XLOOKUP($D1405,Insumos!$B$1:$B$996,Insumos!$D$1:$D$996),"")</f>
        <v>2.74</v>
      </c>
      <c r="H1405" s="92">
        <v>2.1715870000000002</v>
      </c>
      <c r="I1405" s="13">
        <v>0</v>
      </c>
      <c r="J1405" s="13">
        <v>0</v>
      </c>
      <c r="K1405" s="13"/>
      <c r="L1405"/>
      <c r="M1405"/>
      <c r="N1405"/>
      <c r="O1405"/>
      <c r="P1405"/>
      <c r="Q1405"/>
      <c r="R1405"/>
      <c r="S1405"/>
      <c r="T1405"/>
      <c r="U1405"/>
      <c r="V1405"/>
      <c r="W1405"/>
      <c r="X1405"/>
      <c r="Y1405"/>
      <c r="Z1405"/>
      <c r="AA1405"/>
      <c r="AB1405"/>
      <c r="AC1405"/>
      <c r="AD1405"/>
      <c r="AE1405"/>
      <c r="AF1405"/>
      <c r="AG1405"/>
      <c r="AH1405"/>
      <c r="AI1405"/>
      <c r="AJ1405"/>
      <c r="AK1405"/>
      <c r="AL1405"/>
    </row>
    <row r="1406" spans="1:38" ht="15.75" customHeight="1" outlineLevel="3" x14ac:dyDescent="0.2">
      <c r="A1406" s="10">
        <v>97</v>
      </c>
      <c r="B1406" s="10" t="s">
        <v>71</v>
      </c>
      <c r="C1406" s="10" t="s">
        <v>2769</v>
      </c>
      <c r="D1406" s="10" t="s">
        <v>414</v>
      </c>
      <c r="E1406" s="11" t="str">
        <f t="array" ref="E1406">_xlfn.XLOOKUP(D1406,Insumos!B:B,Insumos!C:$C)</f>
        <v>UN</v>
      </c>
      <c r="F1406" s="14">
        <f>20.1868/2</f>
        <v>10.093400000000001</v>
      </c>
      <c r="G1406" s="92">
        <f t="array" ref="G1406">IF(B1406="insumo",_xlfn.XLOOKUP($D1406,Insumos!$B$1:$B$996,Insumos!$D$1:$D$996),"")</f>
        <v>0.09</v>
      </c>
      <c r="H1406" s="92">
        <v>0.90840600000000005</v>
      </c>
      <c r="I1406" s="13">
        <v>0</v>
      </c>
      <c r="J1406" s="13">
        <v>0</v>
      </c>
      <c r="K1406" s="13"/>
      <c r="L1406"/>
      <c r="M1406"/>
      <c r="N1406"/>
      <c r="O1406"/>
      <c r="P1406"/>
      <c r="Q1406"/>
      <c r="R1406"/>
      <c r="S1406"/>
      <c r="T1406"/>
      <c r="U1406"/>
      <c r="V1406"/>
      <c r="W1406"/>
      <c r="X1406"/>
      <c r="Y1406"/>
      <c r="Z1406"/>
      <c r="AA1406"/>
      <c r="AB1406"/>
      <c r="AC1406"/>
      <c r="AD1406"/>
      <c r="AE1406"/>
      <c r="AF1406"/>
      <c r="AG1406"/>
      <c r="AH1406"/>
      <c r="AI1406"/>
      <c r="AJ1406"/>
      <c r="AK1406"/>
      <c r="AL1406"/>
    </row>
    <row r="1407" spans="1:38" ht="15.75" customHeight="1" outlineLevel="3" x14ac:dyDescent="0.2">
      <c r="A1407" s="10">
        <v>95</v>
      </c>
      <c r="B1407" s="10" t="s">
        <v>71</v>
      </c>
      <c r="C1407" s="10" t="s">
        <v>2769</v>
      </c>
      <c r="D1407" s="10" t="s">
        <v>415</v>
      </c>
      <c r="E1407" s="11" t="str">
        <f t="array" ref="E1407">_xlfn.XLOOKUP(D1407,Insumos!B:B,Insumos!C:$C)</f>
        <v>UN</v>
      </c>
      <c r="F1407" s="14">
        <v>0.54410000000000003</v>
      </c>
      <c r="G1407" s="92">
        <f t="array" ref="G1407">IF(B1407="insumo",_xlfn.XLOOKUP($D1407,Insumos!$B$1:$B$996,Insumos!$D$1:$D$996),"")</f>
        <v>0.2</v>
      </c>
      <c r="H1407" s="92">
        <v>0.10882</v>
      </c>
      <c r="I1407" s="13">
        <v>0</v>
      </c>
      <c r="J1407" s="13">
        <v>0</v>
      </c>
      <c r="K1407" s="13"/>
      <c r="L1407"/>
      <c r="M1407"/>
      <c r="N1407"/>
      <c r="O1407"/>
      <c r="P1407"/>
      <c r="Q1407"/>
      <c r="R1407"/>
      <c r="S1407"/>
      <c r="T1407"/>
      <c r="U1407"/>
      <c r="V1407"/>
      <c r="W1407"/>
      <c r="X1407"/>
      <c r="Y1407"/>
      <c r="Z1407"/>
      <c r="AA1407"/>
      <c r="AB1407"/>
      <c r="AC1407"/>
      <c r="AD1407"/>
      <c r="AE1407"/>
      <c r="AF1407"/>
      <c r="AG1407"/>
      <c r="AH1407"/>
      <c r="AI1407"/>
      <c r="AJ1407"/>
      <c r="AK1407"/>
      <c r="AL1407"/>
    </row>
    <row r="1408" spans="1:38" ht="15.75" customHeight="1" outlineLevel="2" x14ac:dyDescent="0.2">
      <c r="A1408" s="1067">
        <v>1</v>
      </c>
      <c r="B1408" s="1067" t="s">
        <v>68</v>
      </c>
      <c r="C1408" s="1067" t="s">
        <v>2768</v>
      </c>
      <c r="D1408" s="1067" t="s">
        <v>2768</v>
      </c>
      <c r="E1408" s="1068" t="s">
        <v>70</v>
      </c>
      <c r="F1408" s="1067"/>
      <c r="G1408" s="1069" t="str">
        <f t="array" ref="G1408">IF(B1408="insumo",_xlfn.XLOOKUP($D1408,Insumos!$B$1:$B$996,Insumos!$D$1:$D$996),"")</f>
        <v/>
      </c>
      <c r="H1408" s="1069">
        <v>160.06444450000001</v>
      </c>
      <c r="I1408" s="1070">
        <v>0</v>
      </c>
      <c r="J1408" s="1070">
        <v>0</v>
      </c>
      <c r="K1408" s="1070"/>
      <c r="L1408"/>
      <c r="M1408"/>
      <c r="N1408"/>
      <c r="O1408"/>
      <c r="P1408"/>
      <c r="Q1408"/>
      <c r="R1408"/>
      <c r="S1408"/>
      <c r="T1408"/>
      <c r="U1408"/>
      <c r="V1408"/>
      <c r="W1408"/>
      <c r="X1408"/>
      <c r="Y1408"/>
      <c r="Z1408"/>
      <c r="AA1408"/>
      <c r="AB1408"/>
      <c r="AC1408"/>
      <c r="AD1408"/>
      <c r="AE1408"/>
      <c r="AF1408"/>
      <c r="AG1408"/>
      <c r="AH1408"/>
      <c r="AI1408"/>
      <c r="AJ1408"/>
      <c r="AK1408"/>
      <c r="AL1408"/>
    </row>
    <row r="1409" spans="1:38" ht="15.75" customHeight="1" outlineLevel="3" x14ac:dyDescent="0.2">
      <c r="A1409" s="10">
        <v>86</v>
      </c>
      <c r="B1409" s="10" t="s">
        <v>71</v>
      </c>
      <c r="C1409" s="10" t="s">
        <v>2768</v>
      </c>
      <c r="D1409" s="10" t="s">
        <v>407</v>
      </c>
      <c r="E1409" s="11" t="str">
        <f t="array" ref="E1409">_xlfn.XLOOKUP(D1409,Insumos!B:B,Insumos!C:$C)</f>
        <v>M2</v>
      </c>
      <c r="F1409" s="14">
        <v>1</v>
      </c>
      <c r="G1409" s="92">
        <f t="array" ref="G1409">IF(B1409="insumo",_xlfn.XLOOKUP($D1409,Insumos!$B$1:$B$996,Insumos!$D$1:$D$996),"")</f>
        <v>70</v>
      </c>
      <c r="H1409" s="92">
        <v>70</v>
      </c>
      <c r="I1409" s="13">
        <v>0</v>
      </c>
      <c r="J1409" s="13">
        <v>0</v>
      </c>
      <c r="K1409" s="13"/>
      <c r="L1409"/>
      <c r="M1409"/>
      <c r="N1409"/>
      <c r="O1409"/>
      <c r="P1409"/>
      <c r="Q1409"/>
      <c r="R1409"/>
      <c r="S1409"/>
      <c r="T1409"/>
      <c r="U1409"/>
      <c r="V1409"/>
      <c r="W1409"/>
      <c r="X1409"/>
      <c r="Y1409"/>
      <c r="Z1409"/>
      <c r="AA1409"/>
      <c r="AB1409"/>
      <c r="AC1409"/>
      <c r="AD1409"/>
      <c r="AE1409"/>
      <c r="AF1409"/>
      <c r="AG1409"/>
      <c r="AH1409"/>
      <c r="AI1409"/>
      <c r="AJ1409"/>
      <c r="AK1409"/>
      <c r="AL1409"/>
    </row>
    <row r="1410" spans="1:38" ht="15.75" customHeight="1" outlineLevel="3" x14ac:dyDescent="0.2">
      <c r="A1410" s="10">
        <v>47</v>
      </c>
      <c r="B1410" s="10" t="s">
        <v>71</v>
      </c>
      <c r="C1410" s="10" t="s">
        <v>2768</v>
      </c>
      <c r="D1410" s="10" t="s">
        <v>408</v>
      </c>
      <c r="E1410" s="11" t="str">
        <f t="array" ref="E1410">_xlfn.XLOOKUP(D1410,Insumos!B:B,Insumos!C:$C)</f>
        <v>M2</v>
      </c>
      <c r="F1410" s="14">
        <v>1.1060000000000001</v>
      </c>
      <c r="G1410" s="92">
        <f t="array" ref="G1410">IF(B1410="insumo",_xlfn.XLOOKUP($D1410,Insumos!$B$1:$B$996,Insumos!$D$1:$D$996),"")</f>
        <v>20.16</v>
      </c>
      <c r="H1410" s="92">
        <v>22.296959999999999</v>
      </c>
      <c r="I1410" s="13">
        <v>0</v>
      </c>
      <c r="J1410" s="13">
        <v>0</v>
      </c>
      <c r="K1410" s="13"/>
      <c r="L1410"/>
      <c r="M1410"/>
      <c r="N1410"/>
      <c r="O1410"/>
      <c r="P1410"/>
      <c r="Q1410"/>
      <c r="R1410"/>
      <c r="S1410"/>
      <c r="T1410"/>
      <c r="U1410"/>
      <c r="V1410"/>
      <c r="W1410"/>
      <c r="X1410"/>
      <c r="Y1410"/>
      <c r="Z1410"/>
      <c r="AA1410"/>
      <c r="AB1410"/>
      <c r="AC1410"/>
      <c r="AD1410"/>
      <c r="AE1410"/>
      <c r="AF1410"/>
      <c r="AG1410"/>
      <c r="AH1410"/>
      <c r="AI1410"/>
      <c r="AJ1410"/>
      <c r="AK1410"/>
      <c r="AL1410"/>
    </row>
    <row r="1411" spans="1:38" ht="15.75" customHeight="1" outlineLevel="3" x14ac:dyDescent="0.2">
      <c r="A1411" s="10">
        <v>95</v>
      </c>
      <c r="B1411" s="10" t="s">
        <v>71</v>
      </c>
      <c r="C1411" s="10" t="s">
        <v>2768</v>
      </c>
      <c r="D1411" s="10" t="s">
        <v>409</v>
      </c>
      <c r="E1411" s="11" t="str">
        <f t="array" ref="E1411">_xlfn.XLOOKUP(D1411,Insumos!B:B,Insumos!C:$C)</f>
        <v>UN</v>
      </c>
      <c r="F1411" s="14">
        <v>5.92</v>
      </c>
      <c r="G1411" s="92">
        <f t="array" ref="G1411">IF(B1411="insumo",_xlfn.XLOOKUP($D1411,Insumos!$B$1:$B$996,Insumos!$D$1:$D$996),"")</f>
        <v>0.504</v>
      </c>
      <c r="H1411" s="92">
        <v>2.9836800000000001</v>
      </c>
      <c r="I1411" s="13">
        <v>0</v>
      </c>
      <c r="J1411" s="13">
        <v>0</v>
      </c>
      <c r="K1411" s="13"/>
      <c r="L1411"/>
      <c r="M1411"/>
      <c r="N1411"/>
      <c r="O1411"/>
      <c r="P1411"/>
      <c r="Q1411"/>
      <c r="R1411"/>
      <c r="S1411"/>
      <c r="T1411"/>
      <c r="U1411"/>
      <c r="V1411"/>
      <c r="W1411"/>
      <c r="X1411"/>
      <c r="Y1411"/>
      <c r="Z1411"/>
      <c r="AA1411"/>
      <c r="AB1411"/>
      <c r="AC1411"/>
      <c r="AD1411"/>
      <c r="AE1411"/>
      <c r="AF1411"/>
      <c r="AG1411"/>
      <c r="AH1411"/>
      <c r="AI1411"/>
      <c r="AJ1411"/>
      <c r="AK1411"/>
      <c r="AL1411"/>
    </row>
    <row r="1412" spans="1:38" ht="15.75" customHeight="1" outlineLevel="3" x14ac:dyDescent="0.2">
      <c r="A1412" s="10">
        <v>26</v>
      </c>
      <c r="B1412" s="10" t="s">
        <v>71</v>
      </c>
      <c r="C1412" s="10" t="s">
        <v>2768</v>
      </c>
      <c r="D1412" s="10" t="s">
        <v>410</v>
      </c>
      <c r="E1412" s="11" t="str">
        <f t="array" ref="E1412">_xlfn.XLOOKUP(D1412,Insumos!B:B,Insumos!C:$C)</f>
        <v>M</v>
      </c>
      <c r="F1412" s="14">
        <v>1.8233999999999999</v>
      </c>
      <c r="G1412" s="92">
        <f t="array" ref="G1412">IF(B1412="insumo",_xlfn.XLOOKUP($D1412,Insumos!$B$1:$B$996,Insumos!$D$1:$D$996),"")</f>
        <v>7.03</v>
      </c>
      <c r="H1412" s="92">
        <v>12.818502000000001</v>
      </c>
      <c r="I1412" s="13">
        <v>0</v>
      </c>
      <c r="J1412" s="13">
        <v>0</v>
      </c>
      <c r="K1412" s="13"/>
      <c r="L1412"/>
      <c r="M1412"/>
      <c r="N1412"/>
      <c r="O1412"/>
      <c r="P1412"/>
      <c r="Q1412"/>
      <c r="R1412"/>
      <c r="S1412"/>
      <c r="T1412"/>
      <c r="U1412"/>
      <c r="V1412"/>
      <c r="W1412"/>
      <c r="X1412"/>
      <c r="Y1412"/>
      <c r="Z1412"/>
      <c r="AA1412"/>
      <c r="AB1412"/>
      <c r="AC1412"/>
      <c r="AD1412"/>
      <c r="AE1412"/>
      <c r="AF1412"/>
      <c r="AG1412"/>
      <c r="AH1412"/>
      <c r="AI1412"/>
      <c r="AJ1412"/>
      <c r="AK1412"/>
      <c r="AL1412"/>
    </row>
    <row r="1413" spans="1:38" ht="15.75" customHeight="1" outlineLevel="3" x14ac:dyDescent="0.2">
      <c r="A1413" s="10">
        <v>26</v>
      </c>
      <c r="B1413" s="10" t="s">
        <v>71</v>
      </c>
      <c r="C1413" s="10" t="s">
        <v>2768</v>
      </c>
      <c r="D1413" s="10" t="s">
        <v>411</v>
      </c>
      <c r="E1413" s="11" t="str">
        <f t="array" ref="E1413">_xlfn.XLOOKUP(D1413,Insumos!B:B,Insumos!C:$C)</f>
        <v>M</v>
      </c>
      <c r="F1413" s="14">
        <v>5.8277999999999999</v>
      </c>
      <c r="G1413" s="92">
        <f t="array" ref="G1413">IF(B1413="insumo",_xlfn.XLOOKUP($D1413,Insumos!$B$1:$B$996,Insumos!$D$1:$D$996),"")</f>
        <v>7.98</v>
      </c>
      <c r="H1413" s="92">
        <v>46.505844000000003</v>
      </c>
      <c r="I1413" s="13">
        <v>0</v>
      </c>
      <c r="J1413" s="13">
        <v>0</v>
      </c>
      <c r="K1413" s="13"/>
      <c r="L1413"/>
      <c r="M1413"/>
      <c r="N1413"/>
      <c r="O1413"/>
      <c r="P1413"/>
      <c r="Q1413"/>
      <c r="R1413"/>
      <c r="S1413"/>
      <c r="T1413"/>
      <c r="U1413"/>
      <c r="V1413"/>
      <c r="W1413"/>
      <c r="X1413"/>
      <c r="Y1413"/>
      <c r="Z1413"/>
      <c r="AA1413"/>
      <c r="AB1413"/>
      <c r="AC1413"/>
      <c r="AD1413"/>
      <c r="AE1413"/>
      <c r="AF1413"/>
      <c r="AG1413"/>
      <c r="AH1413"/>
      <c r="AI1413"/>
      <c r="AJ1413"/>
      <c r="AK1413"/>
      <c r="AL1413"/>
    </row>
    <row r="1414" spans="1:38" ht="15.75" customHeight="1" outlineLevel="3" x14ac:dyDescent="0.2">
      <c r="A1414" s="10">
        <v>95</v>
      </c>
      <c r="B1414" s="10" t="s">
        <v>71</v>
      </c>
      <c r="C1414" s="10" t="s">
        <v>2768</v>
      </c>
      <c r="D1414" s="10" t="s">
        <v>405</v>
      </c>
      <c r="E1414" s="11" t="str">
        <f t="array" ref="E1414">_xlfn.XLOOKUP(D1414,Insumos!B:B,Insumos!C:$C)</f>
        <v>KG</v>
      </c>
      <c r="F1414" s="14">
        <f>1.0978/2</f>
        <v>0.54890000000000005</v>
      </c>
      <c r="G1414" s="92">
        <f t="array" ref="G1414">IF(B1414="insumo",_xlfn.XLOOKUP($D1414,Insumos!$B$1:$B$996,Insumos!$D$1:$D$996),"")</f>
        <v>3.43</v>
      </c>
      <c r="H1414" s="92">
        <v>1.882727</v>
      </c>
      <c r="I1414" s="13">
        <v>0</v>
      </c>
      <c r="J1414" s="13">
        <v>0</v>
      </c>
      <c r="K1414" s="13"/>
      <c r="L1414"/>
      <c r="M1414"/>
      <c r="N1414"/>
      <c r="O1414"/>
      <c r="P1414"/>
      <c r="Q1414"/>
      <c r="R1414"/>
      <c r="S1414"/>
      <c r="T1414"/>
      <c r="U1414"/>
      <c r="V1414"/>
      <c r="W1414"/>
      <c r="X1414"/>
      <c r="Y1414"/>
      <c r="Z1414"/>
      <c r="AA1414"/>
      <c r="AB1414"/>
      <c r="AC1414"/>
      <c r="AD1414"/>
      <c r="AE1414"/>
      <c r="AF1414"/>
      <c r="AG1414"/>
      <c r="AH1414"/>
      <c r="AI1414"/>
      <c r="AJ1414"/>
      <c r="AK1414"/>
      <c r="AL1414"/>
    </row>
    <row r="1415" spans="1:38" ht="15.75" customHeight="1" outlineLevel="3" x14ac:dyDescent="0.2">
      <c r="A1415" s="10">
        <v>94</v>
      </c>
      <c r="B1415" s="10" t="s">
        <v>71</v>
      </c>
      <c r="C1415" s="10" t="s">
        <v>2768</v>
      </c>
      <c r="D1415" s="10" t="s">
        <v>412</v>
      </c>
      <c r="E1415" s="11" t="str">
        <f t="array" ref="E1415">_xlfn.XLOOKUP(D1415,Insumos!B:B,Insumos!C:$C)</f>
        <v>M</v>
      </c>
      <c r="F1415" s="14">
        <f>2.5027/2</f>
        <v>1.25135</v>
      </c>
      <c r="G1415" s="92">
        <f t="array" ref="G1415">IF(B1415="insumo",_xlfn.XLOOKUP($D1415,Insumos!$B$1:$B$996,Insumos!$D$1:$D$996),"")</f>
        <v>0.31</v>
      </c>
      <c r="H1415" s="92">
        <v>0.3879185</v>
      </c>
      <c r="I1415" s="13">
        <v>0</v>
      </c>
      <c r="J1415" s="13">
        <v>0</v>
      </c>
      <c r="K1415" s="13"/>
      <c r="L1415"/>
      <c r="M1415"/>
      <c r="N1415"/>
      <c r="O1415"/>
      <c r="P1415"/>
      <c r="Q1415"/>
      <c r="R1415"/>
      <c r="S1415"/>
      <c r="T1415"/>
      <c r="U1415"/>
      <c r="V1415"/>
      <c r="W1415"/>
      <c r="X1415"/>
      <c r="Y1415"/>
      <c r="Z1415"/>
      <c r="AA1415"/>
      <c r="AB1415"/>
      <c r="AC1415"/>
      <c r="AD1415"/>
      <c r="AE1415"/>
      <c r="AF1415"/>
      <c r="AG1415"/>
      <c r="AH1415"/>
      <c r="AI1415"/>
      <c r="AJ1415"/>
      <c r="AK1415"/>
      <c r="AL1415"/>
    </row>
    <row r="1416" spans="1:38" ht="15.75" customHeight="1" outlineLevel="3" x14ac:dyDescent="0.2">
      <c r="A1416" s="10">
        <v>94</v>
      </c>
      <c r="B1416" s="10" t="s">
        <v>71</v>
      </c>
      <c r="C1416" s="10" t="s">
        <v>2768</v>
      </c>
      <c r="D1416" s="10" t="s">
        <v>413</v>
      </c>
      <c r="E1416" s="11" t="str">
        <f t="array" ref="E1416">_xlfn.XLOOKUP(D1416,Insumos!B:B,Insumos!C:$C)</f>
        <v>M</v>
      </c>
      <c r="F1416" s="14">
        <f>1.5851/2</f>
        <v>0.79254999999999998</v>
      </c>
      <c r="G1416" s="92">
        <f t="array" ref="G1416">IF(B1416="insumo",_xlfn.XLOOKUP($D1416,Insumos!$B$1:$B$996,Insumos!$D$1:$D$996),"")</f>
        <v>2.74</v>
      </c>
      <c r="H1416" s="92">
        <v>2.1715870000000002</v>
      </c>
      <c r="I1416" s="13">
        <v>0</v>
      </c>
      <c r="J1416" s="13">
        <v>0</v>
      </c>
      <c r="K1416" s="13"/>
      <c r="L1416"/>
      <c r="M1416"/>
      <c r="N1416"/>
      <c r="O1416"/>
      <c r="P1416"/>
      <c r="Q1416"/>
      <c r="R1416"/>
      <c r="S1416"/>
      <c r="T1416"/>
      <c r="U1416"/>
      <c r="V1416"/>
      <c r="W1416"/>
      <c r="X1416"/>
      <c r="Y1416"/>
      <c r="Z1416"/>
      <c r="AA1416"/>
      <c r="AB1416"/>
      <c r="AC1416"/>
      <c r="AD1416"/>
      <c r="AE1416"/>
      <c r="AF1416"/>
      <c r="AG1416"/>
      <c r="AH1416"/>
      <c r="AI1416"/>
      <c r="AJ1416"/>
      <c r="AK1416"/>
      <c r="AL1416"/>
    </row>
    <row r="1417" spans="1:38" ht="15.75" customHeight="1" outlineLevel="3" x14ac:dyDescent="0.2">
      <c r="A1417" s="10">
        <v>97</v>
      </c>
      <c r="B1417" s="10" t="s">
        <v>71</v>
      </c>
      <c r="C1417" s="10" t="s">
        <v>2768</v>
      </c>
      <c r="D1417" s="10" t="s">
        <v>414</v>
      </c>
      <c r="E1417" s="11" t="str">
        <f t="array" ref="E1417">_xlfn.XLOOKUP(D1417,Insumos!B:B,Insumos!C:$C)</f>
        <v>UN</v>
      </c>
      <c r="F1417" s="14">
        <f>20.1868/2</f>
        <v>10.093400000000001</v>
      </c>
      <c r="G1417" s="92">
        <f t="array" ref="G1417">IF(B1417="insumo",_xlfn.XLOOKUP($D1417,Insumos!$B$1:$B$996,Insumos!$D$1:$D$996),"")</f>
        <v>0.09</v>
      </c>
      <c r="H1417" s="92">
        <v>0.90840600000000005</v>
      </c>
      <c r="I1417" s="13">
        <v>0</v>
      </c>
      <c r="J1417" s="13">
        <v>0</v>
      </c>
      <c r="K1417" s="13"/>
      <c r="L1417"/>
      <c r="M1417"/>
      <c r="N1417"/>
      <c r="O1417"/>
      <c r="P1417"/>
      <c r="Q1417"/>
      <c r="R1417"/>
      <c r="S1417"/>
      <c r="T1417"/>
      <c r="U1417"/>
      <c r="V1417"/>
      <c r="W1417"/>
      <c r="X1417"/>
      <c r="Y1417"/>
      <c r="Z1417"/>
      <c r="AA1417"/>
      <c r="AB1417"/>
      <c r="AC1417"/>
      <c r="AD1417"/>
      <c r="AE1417"/>
      <c r="AF1417"/>
      <c r="AG1417"/>
      <c r="AH1417"/>
      <c r="AI1417"/>
      <c r="AJ1417"/>
      <c r="AK1417"/>
      <c r="AL1417"/>
    </row>
    <row r="1418" spans="1:38" ht="15.75" customHeight="1" outlineLevel="3" x14ac:dyDescent="0.2">
      <c r="A1418" s="10">
        <v>95</v>
      </c>
      <c r="B1418" s="10" t="s">
        <v>71</v>
      </c>
      <c r="C1418" s="10" t="s">
        <v>2768</v>
      </c>
      <c r="D1418" s="10" t="s">
        <v>415</v>
      </c>
      <c r="E1418" s="11" t="str">
        <f t="array" ref="E1418">_xlfn.XLOOKUP(D1418,Insumos!B:B,Insumos!C:$C)</f>
        <v>UN</v>
      </c>
      <c r="F1418" s="14">
        <v>0.54410000000000003</v>
      </c>
      <c r="G1418" s="92">
        <f t="array" ref="G1418">IF(B1418="insumo",_xlfn.XLOOKUP($D1418,Insumos!$B$1:$B$996,Insumos!$D$1:$D$996),"")</f>
        <v>0.2</v>
      </c>
      <c r="H1418" s="92">
        <v>0.10882</v>
      </c>
      <c r="I1418" s="13">
        <v>0</v>
      </c>
      <c r="J1418" s="13">
        <v>0</v>
      </c>
      <c r="K1418" s="13"/>
      <c r="L1418"/>
      <c r="M1418"/>
      <c r="N1418"/>
      <c r="O1418"/>
      <c r="P1418"/>
      <c r="Q1418"/>
      <c r="R1418"/>
      <c r="S1418"/>
      <c r="T1418"/>
      <c r="U1418"/>
      <c r="V1418"/>
      <c r="W1418"/>
      <c r="X1418"/>
      <c r="Y1418"/>
      <c r="Z1418"/>
      <c r="AA1418"/>
      <c r="AB1418"/>
      <c r="AC1418"/>
      <c r="AD1418"/>
      <c r="AE1418"/>
      <c r="AF1418"/>
      <c r="AG1418"/>
      <c r="AH1418"/>
      <c r="AI1418"/>
      <c r="AJ1418"/>
      <c r="AK1418"/>
      <c r="AL1418"/>
    </row>
    <row r="1419" spans="1:38" ht="15.75" customHeight="1" outlineLevel="2" x14ac:dyDescent="0.2">
      <c r="A1419" s="1067">
        <v>1</v>
      </c>
      <c r="B1419" s="1067" t="s">
        <v>68</v>
      </c>
      <c r="C1419" s="1067" t="s">
        <v>2765</v>
      </c>
      <c r="D1419" s="1067" t="s">
        <v>2765</v>
      </c>
      <c r="E1419" s="1068" t="s">
        <v>70</v>
      </c>
      <c r="F1419" s="1067"/>
      <c r="G1419" s="1069" t="str">
        <f t="array" ref="G1419">IF(B1419="insumo",_xlfn.XLOOKUP($D1419,Insumos!$B$1:$B$996,Insumos!$D$1:$D$996),"")</f>
        <v/>
      </c>
      <c r="H1419" s="1069">
        <v>159.7256165</v>
      </c>
      <c r="I1419" s="1070">
        <v>0</v>
      </c>
      <c r="J1419" s="1070">
        <v>0</v>
      </c>
      <c r="K1419" s="1070"/>
      <c r="L1419"/>
      <c r="M1419"/>
      <c r="N1419"/>
      <c r="O1419"/>
      <c r="P1419"/>
      <c r="Q1419"/>
      <c r="R1419"/>
      <c r="S1419"/>
      <c r="T1419"/>
      <c r="U1419"/>
      <c r="V1419"/>
      <c r="W1419"/>
      <c r="X1419"/>
      <c r="Y1419"/>
      <c r="Z1419"/>
      <c r="AA1419"/>
      <c r="AB1419"/>
      <c r="AC1419"/>
      <c r="AD1419"/>
      <c r="AE1419"/>
      <c r="AF1419"/>
      <c r="AG1419"/>
      <c r="AH1419"/>
      <c r="AI1419"/>
      <c r="AJ1419"/>
      <c r="AK1419"/>
      <c r="AL1419"/>
    </row>
    <row r="1420" spans="1:38" ht="15.75" customHeight="1" outlineLevel="3" x14ac:dyDescent="0.2">
      <c r="A1420" s="10">
        <v>86</v>
      </c>
      <c r="B1420" s="10" t="s">
        <v>71</v>
      </c>
      <c r="C1420" s="10" t="s">
        <v>2765</v>
      </c>
      <c r="D1420" s="10" t="s">
        <v>407</v>
      </c>
      <c r="E1420" s="11" t="str">
        <f t="array" ref="E1420">_xlfn.XLOOKUP(D1420,Insumos!B:B,Insumos!C:$C)</f>
        <v>M2</v>
      </c>
      <c r="F1420" s="14">
        <v>1</v>
      </c>
      <c r="G1420" s="92">
        <f t="array" ref="G1420">IF(B1420="insumo",_xlfn.XLOOKUP($D1420,Insumos!$B$1:$B$996,Insumos!$D$1:$D$996),"")</f>
        <v>70</v>
      </c>
      <c r="H1420" s="92">
        <v>70</v>
      </c>
      <c r="I1420" s="13">
        <v>0</v>
      </c>
      <c r="J1420" s="13">
        <v>0</v>
      </c>
      <c r="K1420" s="13"/>
      <c r="L1420"/>
      <c r="M1420"/>
      <c r="N1420"/>
      <c r="O1420"/>
      <c r="P1420"/>
      <c r="Q1420"/>
      <c r="R1420"/>
      <c r="S1420"/>
      <c r="T1420"/>
      <c r="U1420"/>
      <c r="V1420"/>
      <c r="W1420"/>
      <c r="X1420"/>
      <c r="Y1420"/>
      <c r="Z1420"/>
      <c r="AA1420"/>
      <c r="AB1420"/>
      <c r="AC1420"/>
      <c r="AD1420"/>
      <c r="AE1420"/>
      <c r="AF1420"/>
      <c r="AG1420"/>
      <c r="AH1420"/>
      <c r="AI1420"/>
      <c r="AJ1420"/>
      <c r="AK1420"/>
      <c r="AL1420"/>
    </row>
    <row r="1421" spans="1:38" ht="15.75" customHeight="1" outlineLevel="3" x14ac:dyDescent="0.2">
      <c r="A1421" s="10">
        <v>47</v>
      </c>
      <c r="B1421" s="10" t="s">
        <v>71</v>
      </c>
      <c r="C1421" s="10" t="s">
        <v>2765</v>
      </c>
      <c r="D1421" s="10" t="s">
        <v>408</v>
      </c>
      <c r="E1421" s="11" t="str">
        <f t="array" ref="E1421">_xlfn.XLOOKUP(D1421,Insumos!B:B,Insumos!C:$C)</f>
        <v>M2</v>
      </c>
      <c r="F1421" s="14">
        <v>1.0529999999999999</v>
      </c>
      <c r="G1421" s="92">
        <f t="array" ref="G1421">IF(B1421="insumo",_xlfn.XLOOKUP($D1421,Insumos!$B$1:$B$996,Insumos!$D$1:$D$996),"")</f>
        <v>20.16</v>
      </c>
      <c r="H1421" s="92">
        <v>21.228480000000001</v>
      </c>
      <c r="I1421" s="13">
        <v>0</v>
      </c>
      <c r="J1421" s="13">
        <v>0</v>
      </c>
      <c r="K1421" s="13"/>
      <c r="L1421"/>
      <c r="M1421"/>
      <c r="N1421"/>
      <c r="O1421"/>
      <c r="P1421"/>
      <c r="Q1421"/>
      <c r="R1421"/>
      <c r="S1421"/>
      <c r="T1421"/>
      <c r="U1421"/>
      <c r="V1421"/>
      <c r="W1421"/>
      <c r="X1421"/>
      <c r="Y1421"/>
      <c r="Z1421"/>
      <c r="AA1421"/>
      <c r="AB1421"/>
      <c r="AC1421"/>
      <c r="AD1421"/>
      <c r="AE1421"/>
      <c r="AF1421"/>
      <c r="AG1421"/>
      <c r="AH1421"/>
      <c r="AI1421"/>
      <c r="AJ1421"/>
      <c r="AK1421"/>
      <c r="AL1421"/>
    </row>
    <row r="1422" spans="1:38" ht="15.75" customHeight="1" outlineLevel="3" x14ac:dyDescent="0.2">
      <c r="A1422" s="10">
        <v>95</v>
      </c>
      <c r="B1422" s="10" t="s">
        <v>71</v>
      </c>
      <c r="C1422" s="10" t="s">
        <v>2765</v>
      </c>
      <c r="D1422" s="10" t="s">
        <v>409</v>
      </c>
      <c r="E1422" s="11" t="str">
        <f t="array" ref="E1422">_xlfn.XLOOKUP(D1422,Insumos!B:B,Insumos!C:$C)</f>
        <v>UN</v>
      </c>
      <c r="F1422" s="14">
        <v>5.92</v>
      </c>
      <c r="G1422" s="92">
        <f t="array" ref="G1422">IF(B1422="insumo",_xlfn.XLOOKUP($D1422,Insumos!$B$1:$B$996,Insumos!$D$1:$D$996),"")</f>
        <v>0.504</v>
      </c>
      <c r="H1422" s="92">
        <v>2.9836800000000001</v>
      </c>
      <c r="I1422" s="13">
        <v>0</v>
      </c>
      <c r="J1422" s="13">
        <v>0</v>
      </c>
      <c r="K1422" s="13"/>
      <c r="L1422"/>
      <c r="M1422"/>
      <c r="N1422"/>
      <c r="O1422"/>
      <c r="P1422"/>
      <c r="Q1422"/>
      <c r="R1422"/>
      <c r="S1422"/>
      <c r="T1422"/>
      <c r="U1422"/>
      <c r="V1422"/>
      <c r="W1422"/>
      <c r="X1422"/>
      <c r="Y1422"/>
      <c r="Z1422"/>
      <c r="AA1422"/>
      <c r="AB1422"/>
      <c r="AC1422"/>
      <c r="AD1422"/>
      <c r="AE1422"/>
      <c r="AF1422"/>
      <c r="AG1422"/>
      <c r="AH1422"/>
      <c r="AI1422"/>
      <c r="AJ1422"/>
      <c r="AK1422"/>
      <c r="AL1422"/>
    </row>
    <row r="1423" spans="1:38" ht="15.75" customHeight="1" outlineLevel="3" x14ac:dyDescent="0.2">
      <c r="A1423" s="10">
        <v>43</v>
      </c>
      <c r="B1423" s="10" t="s">
        <v>71</v>
      </c>
      <c r="C1423" s="10" t="s">
        <v>2765</v>
      </c>
      <c r="D1423" s="10" t="s">
        <v>423</v>
      </c>
      <c r="E1423" s="11" t="str">
        <f t="array" ref="E1423">_xlfn.XLOOKUP(D1423,Insumos!B:B,Insumos!C:$C)</f>
        <v>M</v>
      </c>
      <c r="F1423" s="14">
        <v>1.8233999999999999</v>
      </c>
      <c r="G1423" s="92">
        <f t="array" ref="G1423">IF(B1423="insumo",_xlfn.XLOOKUP($D1423,Insumos!$B$1:$B$996,Insumos!$D$1:$D$996),"")</f>
        <v>7.46</v>
      </c>
      <c r="H1423" s="92">
        <v>13.602563999999999</v>
      </c>
      <c r="I1423" s="13">
        <v>0</v>
      </c>
      <c r="J1423" s="13">
        <v>0</v>
      </c>
      <c r="K1423" s="13"/>
      <c r="L1423"/>
      <c r="M1423"/>
      <c r="N1423"/>
      <c r="O1423"/>
      <c r="P1423"/>
      <c r="Q1423"/>
      <c r="R1423"/>
      <c r="S1423"/>
      <c r="T1423"/>
      <c r="U1423"/>
      <c r="V1423"/>
      <c r="W1423"/>
      <c r="X1423"/>
      <c r="Y1423"/>
      <c r="Z1423"/>
      <c r="AA1423"/>
      <c r="AB1423"/>
      <c r="AC1423"/>
      <c r="AD1423"/>
      <c r="AE1423"/>
      <c r="AF1423"/>
      <c r="AG1423"/>
      <c r="AH1423"/>
      <c r="AI1423"/>
      <c r="AJ1423"/>
      <c r="AK1423"/>
      <c r="AL1423"/>
    </row>
    <row r="1424" spans="1:38" ht="15.75" customHeight="1" outlineLevel="3" x14ac:dyDescent="0.2">
      <c r="A1424" s="10">
        <v>43</v>
      </c>
      <c r="B1424" s="10" t="s">
        <v>71</v>
      </c>
      <c r="C1424" s="10" t="s">
        <v>2765</v>
      </c>
      <c r="D1424" s="10" t="s">
        <v>424</v>
      </c>
      <c r="E1424" s="11" t="str">
        <f t="array" ref="E1424">_xlfn.XLOOKUP(D1424,Insumos!B:B,Insumos!C:$C)</f>
        <v>M</v>
      </c>
      <c r="F1424" s="14">
        <v>5.8277999999999999</v>
      </c>
      <c r="G1424" s="92">
        <f t="array" ref="G1424">IF(B1424="insumo",_xlfn.XLOOKUP($D1424,Insumos!$B$1:$B$996,Insumos!$D$1:$D$996),"")</f>
        <v>7.98</v>
      </c>
      <c r="H1424" s="92">
        <v>46.505844000000003</v>
      </c>
      <c r="I1424" s="13">
        <v>0</v>
      </c>
      <c r="J1424" s="13">
        <v>0</v>
      </c>
      <c r="K1424" s="13"/>
      <c r="L1424"/>
      <c r="M1424"/>
      <c r="N1424"/>
      <c r="O1424"/>
      <c r="P1424"/>
      <c r="Q1424"/>
      <c r="R1424"/>
      <c r="S1424"/>
      <c r="T1424"/>
      <c r="U1424"/>
      <c r="V1424"/>
      <c r="W1424"/>
      <c r="X1424"/>
      <c r="Y1424"/>
      <c r="Z1424"/>
      <c r="AA1424"/>
      <c r="AB1424"/>
      <c r="AC1424"/>
      <c r="AD1424"/>
      <c r="AE1424"/>
      <c r="AF1424"/>
      <c r="AG1424"/>
      <c r="AH1424"/>
      <c r="AI1424"/>
      <c r="AJ1424"/>
      <c r="AK1424"/>
      <c r="AL1424"/>
    </row>
    <row r="1425" spans="1:38" ht="15.75" customHeight="1" outlineLevel="3" x14ac:dyDescent="0.2">
      <c r="A1425" s="10">
        <v>95</v>
      </c>
      <c r="B1425" s="10" t="s">
        <v>71</v>
      </c>
      <c r="C1425" s="10" t="s">
        <v>2765</v>
      </c>
      <c r="D1425" s="10" t="s">
        <v>405</v>
      </c>
      <c r="E1425" s="11" t="str">
        <f t="array" ref="E1425">_xlfn.XLOOKUP(D1425,Insumos!B:B,Insumos!C:$C)</f>
        <v>KG</v>
      </c>
      <c r="F1425" s="14">
        <v>0.54890000000000005</v>
      </c>
      <c r="G1425" s="92">
        <f t="array" ref="G1425">IF(B1425="insumo",_xlfn.XLOOKUP($D1425,Insumos!$B$1:$B$996,Insumos!$D$1:$D$996),"")</f>
        <v>3.43</v>
      </c>
      <c r="H1425" s="92">
        <v>1.882727</v>
      </c>
      <c r="I1425" s="13">
        <v>0</v>
      </c>
      <c r="J1425" s="13">
        <v>0</v>
      </c>
      <c r="K1425" s="13"/>
      <c r="L1425"/>
      <c r="M1425"/>
      <c r="N1425"/>
      <c r="O1425"/>
      <c r="P1425"/>
      <c r="Q1425"/>
      <c r="R1425"/>
      <c r="S1425"/>
      <c r="T1425"/>
      <c r="U1425"/>
      <c r="V1425"/>
      <c r="W1425"/>
      <c r="X1425"/>
      <c r="Y1425"/>
      <c r="Z1425"/>
      <c r="AA1425"/>
      <c r="AB1425"/>
      <c r="AC1425"/>
      <c r="AD1425"/>
      <c r="AE1425"/>
      <c r="AF1425"/>
      <c r="AG1425"/>
      <c r="AH1425"/>
      <c r="AI1425"/>
      <c r="AJ1425"/>
      <c r="AK1425"/>
      <c r="AL1425"/>
    </row>
    <row r="1426" spans="1:38" ht="15.75" customHeight="1" outlineLevel="3" x14ac:dyDescent="0.2">
      <c r="A1426" s="10">
        <v>94</v>
      </c>
      <c r="B1426" s="10" t="s">
        <v>71</v>
      </c>
      <c r="C1426" s="10" t="s">
        <v>2765</v>
      </c>
      <c r="D1426" s="10" t="s">
        <v>412</v>
      </c>
      <c r="E1426" s="11" t="str">
        <f t="array" ref="E1426">_xlfn.XLOOKUP(D1426,Insumos!B:B,Insumos!C:$C)</f>
        <v>M</v>
      </c>
      <c r="F1426" s="14">
        <v>1.25135</v>
      </c>
      <c r="G1426" s="92">
        <f t="array" ref="G1426">IF(B1426="insumo",_xlfn.XLOOKUP($D1426,Insumos!$B$1:$B$996,Insumos!$D$1:$D$996),"")</f>
        <v>0.31</v>
      </c>
      <c r="H1426" s="92">
        <v>0.3879185</v>
      </c>
      <c r="I1426" s="13">
        <v>0</v>
      </c>
      <c r="J1426" s="13">
        <v>0</v>
      </c>
      <c r="K1426" s="13"/>
      <c r="L1426"/>
      <c r="M1426"/>
      <c r="N1426"/>
      <c r="O1426"/>
      <c r="P1426"/>
      <c r="Q1426"/>
      <c r="R1426"/>
      <c r="S1426"/>
      <c r="T1426"/>
      <c r="U1426"/>
      <c r="V1426"/>
      <c r="W1426"/>
      <c r="X1426"/>
      <c r="Y1426"/>
      <c r="Z1426"/>
      <c r="AA1426"/>
      <c r="AB1426"/>
      <c r="AC1426"/>
      <c r="AD1426"/>
      <c r="AE1426"/>
      <c r="AF1426"/>
      <c r="AG1426"/>
      <c r="AH1426"/>
      <c r="AI1426"/>
      <c r="AJ1426"/>
      <c r="AK1426"/>
      <c r="AL1426"/>
    </row>
    <row r="1427" spans="1:38" ht="15.75" customHeight="1" outlineLevel="3" x14ac:dyDescent="0.2">
      <c r="A1427" s="10">
        <v>94</v>
      </c>
      <c r="B1427" s="10" t="s">
        <v>71</v>
      </c>
      <c r="C1427" s="10" t="s">
        <v>2765</v>
      </c>
      <c r="D1427" s="10" t="s">
        <v>413</v>
      </c>
      <c r="E1427" s="11" t="str">
        <f t="array" ref="E1427">_xlfn.XLOOKUP(D1427,Insumos!B:B,Insumos!C:$C)</f>
        <v>M</v>
      </c>
      <c r="F1427" s="14">
        <v>0.79254999999999998</v>
      </c>
      <c r="G1427" s="92">
        <f t="array" ref="G1427">IF(B1427="insumo",_xlfn.XLOOKUP($D1427,Insumos!$B$1:$B$996,Insumos!$D$1:$D$996),"")</f>
        <v>2.74</v>
      </c>
      <c r="H1427" s="92">
        <v>2.1715870000000002</v>
      </c>
      <c r="I1427" s="13">
        <v>0</v>
      </c>
      <c r="J1427" s="13">
        <v>0</v>
      </c>
      <c r="K1427" s="13"/>
      <c r="L1427"/>
      <c r="M1427"/>
      <c r="N1427"/>
      <c r="O1427"/>
      <c r="P1427"/>
      <c r="Q1427"/>
      <c r="R1427"/>
      <c r="S1427"/>
      <c r="T1427"/>
      <c r="U1427"/>
      <c r="V1427"/>
      <c r="W1427"/>
      <c r="X1427"/>
      <c r="Y1427"/>
      <c r="Z1427"/>
      <c r="AA1427"/>
      <c r="AB1427"/>
      <c r="AC1427"/>
      <c r="AD1427"/>
      <c r="AE1427"/>
      <c r="AF1427"/>
      <c r="AG1427"/>
      <c r="AH1427"/>
      <c r="AI1427"/>
      <c r="AJ1427"/>
      <c r="AK1427"/>
      <c r="AL1427"/>
    </row>
    <row r="1428" spans="1:38" ht="15.75" customHeight="1" outlineLevel="3" x14ac:dyDescent="0.2">
      <c r="A1428" s="10">
        <v>97</v>
      </c>
      <c r="B1428" s="10" t="s">
        <v>71</v>
      </c>
      <c r="C1428" s="10" t="s">
        <v>2765</v>
      </c>
      <c r="D1428" s="10" t="s">
        <v>414</v>
      </c>
      <c r="E1428" s="11" t="str">
        <f t="array" ref="E1428">_xlfn.XLOOKUP(D1428,Insumos!B:B,Insumos!C:$C)</f>
        <v>UN</v>
      </c>
      <c r="F1428" s="14">
        <v>10.093400000000001</v>
      </c>
      <c r="G1428" s="92">
        <f t="array" ref="G1428">IF(B1428="insumo",_xlfn.XLOOKUP($D1428,Insumos!$B$1:$B$996,Insumos!$D$1:$D$996),"")</f>
        <v>0.09</v>
      </c>
      <c r="H1428" s="92">
        <v>0.90840600000000005</v>
      </c>
      <c r="I1428" s="13">
        <v>0</v>
      </c>
      <c r="J1428" s="13">
        <v>0</v>
      </c>
      <c r="K1428" s="13"/>
      <c r="L1428"/>
      <c r="M1428"/>
      <c r="N1428"/>
      <c r="O1428"/>
      <c r="P1428"/>
      <c r="Q1428"/>
      <c r="R1428"/>
      <c r="S1428"/>
      <c r="T1428"/>
      <c r="U1428"/>
      <c r="V1428"/>
      <c r="W1428"/>
      <c r="X1428"/>
      <c r="Y1428"/>
      <c r="Z1428"/>
      <c r="AA1428"/>
      <c r="AB1428"/>
      <c r="AC1428"/>
      <c r="AD1428"/>
      <c r="AE1428"/>
      <c r="AF1428"/>
      <c r="AG1428"/>
      <c r="AH1428"/>
      <c r="AI1428"/>
      <c r="AJ1428"/>
      <c r="AK1428"/>
      <c r="AL1428"/>
    </row>
    <row r="1429" spans="1:38" ht="15.75" customHeight="1" outlineLevel="3" x14ac:dyDescent="0.2">
      <c r="A1429" s="10">
        <v>95</v>
      </c>
      <c r="B1429" s="10" t="s">
        <v>71</v>
      </c>
      <c r="C1429" s="10" t="s">
        <v>2765</v>
      </c>
      <c r="D1429" s="10" t="s">
        <v>415</v>
      </c>
      <c r="E1429" s="11" t="str">
        <f t="array" ref="E1429">_xlfn.XLOOKUP(D1429,Insumos!B:B,Insumos!C:$C)</f>
        <v>UN</v>
      </c>
      <c r="F1429" s="14">
        <v>0.27205000000000001</v>
      </c>
      <c r="G1429" s="92">
        <f t="array" ref="G1429">IF(B1429="insumo",_xlfn.XLOOKUP($D1429,Insumos!$B$1:$B$996,Insumos!$D$1:$D$996),"")</f>
        <v>0.2</v>
      </c>
      <c r="H1429" s="92">
        <v>5.441E-2</v>
      </c>
      <c r="I1429" s="13">
        <v>0</v>
      </c>
      <c r="J1429" s="13">
        <v>0</v>
      </c>
      <c r="K1429" s="13"/>
      <c r="L1429"/>
      <c r="M1429"/>
      <c r="N1429"/>
      <c r="O1429"/>
      <c r="P1429"/>
      <c r="Q1429"/>
      <c r="R1429"/>
      <c r="S1429"/>
      <c r="T1429"/>
      <c r="U1429"/>
      <c r="V1429"/>
      <c r="W1429"/>
      <c r="X1429"/>
      <c r="Y1429"/>
      <c r="Z1429"/>
      <c r="AA1429"/>
      <c r="AB1429"/>
      <c r="AC1429"/>
      <c r="AD1429"/>
      <c r="AE1429"/>
      <c r="AF1429"/>
      <c r="AG1429"/>
      <c r="AH1429"/>
      <c r="AI1429"/>
      <c r="AJ1429"/>
      <c r="AK1429"/>
      <c r="AL1429"/>
    </row>
    <row r="1430" spans="1:38" ht="15.75" customHeight="1" outlineLevel="2" x14ac:dyDescent="0.2">
      <c r="A1430" s="1067">
        <v>1</v>
      </c>
      <c r="B1430" s="1067" t="s">
        <v>68</v>
      </c>
      <c r="C1430" s="1067" t="s">
        <v>2766</v>
      </c>
      <c r="D1430" s="1067" t="s">
        <v>2766</v>
      </c>
      <c r="E1430" s="1068" t="s">
        <v>70</v>
      </c>
      <c r="F1430" s="1067"/>
      <c r="G1430" s="1069" t="str">
        <f t="array" ref="G1430">IF(B1430="insumo",_xlfn.XLOOKUP($D1430,Insumos!$B$1:$B$996,Insumos!$D$1:$D$996),"")</f>
        <v/>
      </c>
      <c r="H1430" s="1069">
        <v>167.03343649999999</v>
      </c>
      <c r="I1430" s="1070">
        <v>0</v>
      </c>
      <c r="J1430" s="1070">
        <v>0</v>
      </c>
      <c r="K1430" s="1070"/>
      <c r="L1430"/>
      <c r="M1430"/>
      <c r="N1430"/>
      <c r="O1430"/>
      <c r="P1430"/>
      <c r="Q1430"/>
      <c r="R1430"/>
      <c r="S1430"/>
      <c r="T1430"/>
      <c r="U1430"/>
      <c r="V1430"/>
      <c r="W1430"/>
      <c r="X1430"/>
      <c r="Y1430"/>
      <c r="Z1430"/>
      <c r="AA1430"/>
      <c r="AB1430"/>
      <c r="AC1430"/>
      <c r="AD1430"/>
      <c r="AE1430"/>
      <c r="AF1430"/>
      <c r="AG1430"/>
      <c r="AH1430"/>
      <c r="AI1430"/>
      <c r="AJ1430"/>
      <c r="AK1430"/>
      <c r="AL1430"/>
    </row>
    <row r="1431" spans="1:38" ht="15.75" customHeight="1" outlineLevel="3" x14ac:dyDescent="0.2">
      <c r="A1431" s="10">
        <v>86</v>
      </c>
      <c r="B1431" s="10" t="s">
        <v>71</v>
      </c>
      <c r="C1431" s="10" t="s">
        <v>2766</v>
      </c>
      <c r="D1431" s="10" t="s">
        <v>407</v>
      </c>
      <c r="E1431" s="11" t="str">
        <f t="array" ref="E1431">_xlfn.XLOOKUP(D1431,Insumos!B:B,Insumos!C:$C)</f>
        <v>M2</v>
      </c>
      <c r="F1431" s="14">
        <v>1</v>
      </c>
      <c r="G1431" s="92">
        <f t="array" ref="G1431">IF(B1431="insumo",_xlfn.XLOOKUP($D1431,Insumos!$B$1:$B$996,Insumos!$D$1:$D$996),"")</f>
        <v>70</v>
      </c>
      <c r="H1431" s="92">
        <v>70</v>
      </c>
      <c r="I1431" s="13">
        <v>0</v>
      </c>
      <c r="J1431" s="13">
        <v>0</v>
      </c>
      <c r="K1431" s="13"/>
      <c r="L1431"/>
      <c r="M1431"/>
      <c r="N1431"/>
      <c r="O1431"/>
      <c r="P1431"/>
      <c r="Q1431"/>
      <c r="R1431"/>
      <c r="S1431"/>
      <c r="T1431"/>
      <c r="U1431"/>
      <c r="V1431"/>
      <c r="W1431"/>
      <c r="X1431"/>
      <c r="Y1431"/>
      <c r="Z1431"/>
      <c r="AA1431"/>
      <c r="AB1431"/>
      <c r="AC1431"/>
      <c r="AD1431"/>
      <c r="AE1431"/>
      <c r="AF1431"/>
      <c r="AG1431"/>
      <c r="AH1431"/>
      <c r="AI1431"/>
      <c r="AJ1431"/>
      <c r="AK1431"/>
      <c r="AL1431"/>
    </row>
    <row r="1432" spans="1:38" ht="15.75" customHeight="1" outlineLevel="3" x14ac:dyDescent="0.2">
      <c r="A1432" s="10">
        <v>49</v>
      </c>
      <c r="B1432" s="10" t="s">
        <v>71</v>
      </c>
      <c r="C1432" s="10" t="s">
        <v>2766</v>
      </c>
      <c r="D1432" s="10" t="s">
        <v>418</v>
      </c>
      <c r="E1432" s="11" t="str">
        <f t="array" ref="E1432">_xlfn.XLOOKUP(D1432,Insumos!B:B,Insumos!C:$C)</f>
        <v>M2</v>
      </c>
      <c r="F1432" s="14">
        <v>1.0529999999999999</v>
      </c>
      <c r="G1432" s="92">
        <f t="array" ref="G1432">IF(B1432="insumo",_xlfn.XLOOKUP($D1432,Insumos!$B$1:$B$996,Insumos!$D$1:$D$996),"")</f>
        <v>27.1</v>
      </c>
      <c r="H1432" s="92">
        <v>28.536300000000001</v>
      </c>
      <c r="I1432" s="13">
        <v>0</v>
      </c>
      <c r="J1432" s="13">
        <v>0</v>
      </c>
      <c r="K1432" s="13"/>
      <c r="L1432"/>
      <c r="M1432"/>
      <c r="N1432"/>
      <c r="O1432"/>
      <c r="P1432"/>
      <c r="Q1432"/>
      <c r="R1432"/>
      <c r="S1432"/>
      <c r="T1432"/>
      <c r="U1432"/>
      <c r="V1432"/>
      <c r="W1432"/>
      <c r="X1432"/>
      <c r="Y1432"/>
      <c r="Z1432"/>
      <c r="AA1432"/>
      <c r="AB1432"/>
      <c r="AC1432"/>
      <c r="AD1432"/>
      <c r="AE1432"/>
      <c r="AF1432"/>
      <c r="AG1432"/>
      <c r="AH1432"/>
      <c r="AI1432"/>
      <c r="AJ1432"/>
      <c r="AK1432"/>
      <c r="AL1432"/>
    </row>
    <row r="1433" spans="1:38" ht="15.75" customHeight="1" outlineLevel="3" x14ac:dyDescent="0.2">
      <c r="A1433" s="10">
        <v>95</v>
      </c>
      <c r="B1433" s="10" t="s">
        <v>71</v>
      </c>
      <c r="C1433" s="10" t="s">
        <v>2766</v>
      </c>
      <c r="D1433" s="10" t="s">
        <v>409</v>
      </c>
      <c r="E1433" s="11" t="str">
        <f t="array" ref="E1433">_xlfn.XLOOKUP(D1433,Insumos!B:B,Insumos!C:$C)</f>
        <v>UN</v>
      </c>
      <c r="F1433" s="14">
        <v>5.92</v>
      </c>
      <c r="G1433" s="92">
        <f t="array" ref="G1433">IF(B1433="insumo",_xlfn.XLOOKUP($D1433,Insumos!$B$1:$B$996,Insumos!$D$1:$D$996),"")</f>
        <v>0.504</v>
      </c>
      <c r="H1433" s="92">
        <v>2.9836800000000001</v>
      </c>
      <c r="I1433" s="13">
        <v>0</v>
      </c>
      <c r="J1433" s="13">
        <v>0</v>
      </c>
      <c r="K1433" s="13"/>
      <c r="L1433"/>
      <c r="M1433"/>
      <c r="N1433"/>
      <c r="O1433"/>
      <c r="P1433"/>
      <c r="Q1433"/>
      <c r="R1433"/>
      <c r="S1433"/>
      <c r="T1433"/>
      <c r="U1433"/>
      <c r="V1433"/>
      <c r="W1433"/>
      <c r="X1433"/>
      <c r="Y1433"/>
      <c r="Z1433"/>
      <c r="AA1433"/>
      <c r="AB1433"/>
      <c r="AC1433"/>
      <c r="AD1433"/>
      <c r="AE1433"/>
      <c r="AF1433"/>
      <c r="AG1433"/>
      <c r="AH1433"/>
      <c r="AI1433"/>
      <c r="AJ1433"/>
      <c r="AK1433"/>
      <c r="AL1433"/>
    </row>
    <row r="1434" spans="1:38" ht="15.75" customHeight="1" outlineLevel="3" x14ac:dyDescent="0.2">
      <c r="A1434" s="10">
        <v>43</v>
      </c>
      <c r="B1434" s="10" t="s">
        <v>71</v>
      </c>
      <c r="C1434" s="10" t="s">
        <v>2766</v>
      </c>
      <c r="D1434" s="10" t="s">
        <v>423</v>
      </c>
      <c r="E1434" s="11" t="str">
        <f t="array" ref="E1434">_xlfn.XLOOKUP(D1434,Insumos!B:B,Insumos!C:$C)</f>
        <v>M</v>
      </c>
      <c r="F1434" s="14">
        <v>1.8233999999999999</v>
      </c>
      <c r="G1434" s="92">
        <f t="array" ref="G1434">IF(B1434="insumo",_xlfn.XLOOKUP($D1434,Insumos!$B$1:$B$996,Insumos!$D$1:$D$996),"")</f>
        <v>7.46</v>
      </c>
      <c r="H1434" s="92">
        <v>13.602563999999999</v>
      </c>
      <c r="I1434" s="13">
        <v>0</v>
      </c>
      <c r="J1434" s="13">
        <v>0</v>
      </c>
      <c r="K1434" s="13"/>
      <c r="L1434"/>
      <c r="M1434"/>
      <c r="N1434"/>
      <c r="O1434"/>
      <c r="P1434"/>
      <c r="Q1434"/>
      <c r="R1434"/>
      <c r="S1434"/>
      <c r="T1434"/>
      <c r="U1434"/>
      <c r="V1434"/>
      <c r="W1434"/>
      <c r="X1434"/>
      <c r="Y1434"/>
      <c r="Z1434"/>
      <c r="AA1434"/>
      <c r="AB1434"/>
      <c r="AC1434"/>
      <c r="AD1434"/>
      <c r="AE1434"/>
      <c r="AF1434"/>
      <c r="AG1434"/>
      <c r="AH1434"/>
      <c r="AI1434"/>
      <c r="AJ1434"/>
      <c r="AK1434"/>
      <c r="AL1434"/>
    </row>
    <row r="1435" spans="1:38" ht="15.75" customHeight="1" outlineLevel="3" x14ac:dyDescent="0.2">
      <c r="A1435" s="10">
        <v>43</v>
      </c>
      <c r="B1435" s="10" t="s">
        <v>71</v>
      </c>
      <c r="C1435" s="10" t="s">
        <v>2766</v>
      </c>
      <c r="D1435" s="10" t="s">
        <v>424</v>
      </c>
      <c r="E1435" s="11" t="str">
        <f t="array" ref="E1435">_xlfn.XLOOKUP(D1435,Insumos!B:B,Insumos!C:$C)</f>
        <v>M</v>
      </c>
      <c r="F1435" s="14">
        <v>5.8277999999999999</v>
      </c>
      <c r="G1435" s="92">
        <f t="array" ref="G1435">IF(B1435="insumo",_xlfn.XLOOKUP($D1435,Insumos!$B$1:$B$996,Insumos!$D$1:$D$996),"")</f>
        <v>7.98</v>
      </c>
      <c r="H1435" s="92">
        <v>46.505844000000003</v>
      </c>
      <c r="I1435" s="13">
        <v>0</v>
      </c>
      <c r="J1435" s="13">
        <v>0</v>
      </c>
      <c r="K1435" s="13"/>
      <c r="L1435"/>
      <c r="M1435"/>
      <c r="N1435"/>
      <c r="O1435"/>
      <c r="P1435"/>
      <c r="Q1435"/>
      <c r="R1435"/>
      <c r="S1435"/>
      <c r="T1435"/>
      <c r="U1435"/>
      <c r="V1435"/>
      <c r="W1435"/>
      <c r="X1435"/>
      <c r="Y1435"/>
      <c r="Z1435"/>
      <c r="AA1435"/>
      <c r="AB1435"/>
      <c r="AC1435"/>
      <c r="AD1435"/>
      <c r="AE1435"/>
      <c r="AF1435"/>
      <c r="AG1435"/>
      <c r="AH1435"/>
      <c r="AI1435"/>
      <c r="AJ1435"/>
      <c r="AK1435"/>
      <c r="AL1435"/>
    </row>
    <row r="1436" spans="1:38" ht="15.75" customHeight="1" outlineLevel="3" x14ac:dyDescent="0.2">
      <c r="A1436" s="10">
        <v>95</v>
      </c>
      <c r="B1436" s="10" t="s">
        <v>71</v>
      </c>
      <c r="C1436" s="10" t="s">
        <v>2766</v>
      </c>
      <c r="D1436" s="10" t="s">
        <v>405</v>
      </c>
      <c r="E1436" s="11" t="str">
        <f t="array" ref="E1436">_xlfn.XLOOKUP(D1436,Insumos!B:B,Insumos!C:$C)</f>
        <v>KG</v>
      </c>
      <c r="F1436" s="14">
        <v>0.54890000000000005</v>
      </c>
      <c r="G1436" s="92">
        <f t="array" ref="G1436">IF(B1436="insumo",_xlfn.XLOOKUP($D1436,Insumos!$B$1:$B$996,Insumos!$D$1:$D$996),"")</f>
        <v>3.43</v>
      </c>
      <c r="H1436" s="92">
        <v>1.882727</v>
      </c>
      <c r="I1436" s="13">
        <v>0</v>
      </c>
      <c r="J1436" s="13">
        <v>0</v>
      </c>
      <c r="K1436" s="13"/>
      <c r="L1436"/>
      <c r="M1436"/>
      <c r="N1436"/>
      <c r="O1436"/>
      <c r="P1436"/>
      <c r="Q1436"/>
      <c r="R1436"/>
      <c r="S1436"/>
      <c r="T1436"/>
      <c r="U1436"/>
      <c r="V1436"/>
      <c r="W1436"/>
      <c r="X1436"/>
      <c r="Y1436"/>
      <c r="Z1436"/>
      <c r="AA1436"/>
      <c r="AB1436"/>
      <c r="AC1436"/>
      <c r="AD1436"/>
      <c r="AE1436"/>
      <c r="AF1436"/>
      <c r="AG1436"/>
      <c r="AH1436"/>
      <c r="AI1436"/>
      <c r="AJ1436"/>
      <c r="AK1436"/>
      <c r="AL1436"/>
    </row>
    <row r="1437" spans="1:38" ht="15.75" customHeight="1" outlineLevel="3" x14ac:dyDescent="0.2">
      <c r="A1437" s="10">
        <v>94</v>
      </c>
      <c r="B1437" s="10" t="s">
        <v>71</v>
      </c>
      <c r="C1437" s="10" t="s">
        <v>2766</v>
      </c>
      <c r="D1437" s="10" t="s">
        <v>412</v>
      </c>
      <c r="E1437" s="11" t="str">
        <f t="array" ref="E1437">_xlfn.XLOOKUP(D1437,Insumos!B:B,Insumos!C:$C)</f>
        <v>M</v>
      </c>
      <c r="F1437" s="14">
        <v>1.25135</v>
      </c>
      <c r="G1437" s="92">
        <f t="array" ref="G1437">IF(B1437="insumo",_xlfn.XLOOKUP($D1437,Insumos!$B$1:$B$996,Insumos!$D$1:$D$996),"")</f>
        <v>0.31</v>
      </c>
      <c r="H1437" s="92">
        <v>0.3879185</v>
      </c>
      <c r="I1437" s="13">
        <v>0</v>
      </c>
      <c r="J1437" s="13">
        <v>0</v>
      </c>
      <c r="K1437" s="13"/>
      <c r="L1437"/>
      <c r="M1437"/>
      <c r="N1437"/>
      <c r="O1437"/>
      <c r="P1437"/>
      <c r="Q1437"/>
      <c r="R1437"/>
      <c r="S1437"/>
      <c r="T1437"/>
      <c r="U1437"/>
      <c r="V1437"/>
      <c r="W1437"/>
      <c r="X1437"/>
      <c r="Y1437"/>
      <c r="Z1437"/>
      <c r="AA1437"/>
      <c r="AB1437"/>
      <c r="AC1437"/>
      <c r="AD1437"/>
      <c r="AE1437"/>
      <c r="AF1437"/>
      <c r="AG1437"/>
      <c r="AH1437"/>
      <c r="AI1437"/>
      <c r="AJ1437"/>
      <c r="AK1437"/>
      <c r="AL1437"/>
    </row>
    <row r="1438" spans="1:38" ht="15.75" customHeight="1" outlineLevel="3" x14ac:dyDescent="0.2">
      <c r="A1438" s="10">
        <v>94</v>
      </c>
      <c r="B1438" s="10" t="s">
        <v>71</v>
      </c>
      <c r="C1438" s="10" t="s">
        <v>2766</v>
      </c>
      <c r="D1438" s="10" t="s">
        <v>413</v>
      </c>
      <c r="E1438" s="11" t="str">
        <f t="array" ref="E1438">_xlfn.XLOOKUP(D1438,Insumos!B:B,Insumos!C:$C)</f>
        <v>M</v>
      </c>
      <c r="F1438" s="14">
        <v>0.79254999999999998</v>
      </c>
      <c r="G1438" s="92">
        <f t="array" ref="G1438">IF(B1438="insumo",_xlfn.XLOOKUP($D1438,Insumos!$B$1:$B$996,Insumos!$D$1:$D$996),"")</f>
        <v>2.74</v>
      </c>
      <c r="H1438" s="92">
        <v>2.1715870000000002</v>
      </c>
      <c r="I1438" s="13">
        <v>0</v>
      </c>
      <c r="J1438" s="13">
        <v>0</v>
      </c>
      <c r="K1438" s="13"/>
      <c r="L1438"/>
      <c r="M1438"/>
      <c r="N1438"/>
      <c r="O1438"/>
      <c r="P1438"/>
      <c r="Q1438"/>
      <c r="R1438"/>
      <c r="S1438"/>
      <c r="T1438"/>
      <c r="U1438"/>
      <c r="V1438"/>
      <c r="W1438"/>
      <c r="X1438"/>
      <c r="Y1438"/>
      <c r="Z1438"/>
      <c r="AA1438"/>
      <c r="AB1438"/>
      <c r="AC1438"/>
      <c r="AD1438"/>
      <c r="AE1438"/>
      <c r="AF1438"/>
      <c r="AG1438"/>
      <c r="AH1438"/>
      <c r="AI1438"/>
      <c r="AJ1438"/>
      <c r="AK1438"/>
      <c r="AL1438"/>
    </row>
    <row r="1439" spans="1:38" ht="15.75" customHeight="1" outlineLevel="3" x14ac:dyDescent="0.2">
      <c r="A1439" s="10">
        <v>97</v>
      </c>
      <c r="B1439" s="10" t="s">
        <v>71</v>
      </c>
      <c r="C1439" s="10" t="s">
        <v>2766</v>
      </c>
      <c r="D1439" s="10" t="s">
        <v>414</v>
      </c>
      <c r="E1439" s="11" t="str">
        <f t="array" ref="E1439">_xlfn.XLOOKUP(D1439,Insumos!B:B,Insumos!C:$C)</f>
        <v>UN</v>
      </c>
      <c r="F1439" s="14">
        <v>10.093400000000001</v>
      </c>
      <c r="G1439" s="92">
        <f t="array" ref="G1439">IF(B1439="insumo",_xlfn.XLOOKUP($D1439,Insumos!$B$1:$B$996,Insumos!$D$1:$D$996),"")</f>
        <v>0.09</v>
      </c>
      <c r="H1439" s="92">
        <v>0.90840600000000005</v>
      </c>
      <c r="I1439" s="13">
        <v>0</v>
      </c>
      <c r="J1439" s="13">
        <v>0</v>
      </c>
      <c r="K1439" s="13"/>
      <c r="L1439"/>
      <c r="M1439"/>
      <c r="N1439"/>
      <c r="O1439"/>
      <c r="P1439"/>
      <c r="Q1439"/>
      <c r="R1439"/>
      <c r="S1439"/>
      <c r="T1439"/>
      <c r="U1439"/>
      <c r="V1439"/>
      <c r="W1439"/>
      <c r="X1439"/>
      <c r="Y1439"/>
      <c r="Z1439"/>
      <c r="AA1439"/>
      <c r="AB1439"/>
      <c r="AC1439"/>
      <c r="AD1439"/>
      <c r="AE1439"/>
      <c r="AF1439"/>
      <c r="AG1439"/>
      <c r="AH1439"/>
      <c r="AI1439"/>
      <c r="AJ1439"/>
      <c r="AK1439"/>
      <c r="AL1439"/>
    </row>
    <row r="1440" spans="1:38" ht="15.75" customHeight="1" outlineLevel="3" x14ac:dyDescent="0.2">
      <c r="A1440" s="10">
        <v>95</v>
      </c>
      <c r="B1440" s="10" t="s">
        <v>71</v>
      </c>
      <c r="C1440" s="10" t="s">
        <v>2766</v>
      </c>
      <c r="D1440" s="10" t="s">
        <v>415</v>
      </c>
      <c r="E1440" s="11" t="str">
        <f t="array" ref="E1440">_xlfn.XLOOKUP(D1440,Insumos!B:B,Insumos!C:$C)</f>
        <v>UN</v>
      </c>
      <c r="F1440" s="14">
        <v>0.27205000000000001</v>
      </c>
      <c r="G1440" s="92">
        <f t="array" ref="G1440">IF(B1440="insumo",_xlfn.XLOOKUP($D1440,Insumos!$B$1:$B$996,Insumos!$D$1:$D$996),"")</f>
        <v>0.2</v>
      </c>
      <c r="H1440" s="92">
        <v>5.441E-2</v>
      </c>
      <c r="I1440" s="13">
        <v>0</v>
      </c>
      <c r="J1440" s="13">
        <v>0</v>
      </c>
      <c r="K1440" s="13"/>
      <c r="L1440"/>
      <c r="M1440"/>
      <c r="N1440"/>
      <c r="O1440"/>
      <c r="P1440"/>
      <c r="Q1440"/>
      <c r="R1440"/>
      <c r="S1440"/>
      <c r="T1440"/>
      <c r="U1440"/>
      <c r="V1440"/>
      <c r="W1440"/>
      <c r="X1440"/>
      <c r="Y1440"/>
      <c r="Z1440"/>
      <c r="AA1440"/>
      <c r="AB1440"/>
      <c r="AC1440"/>
      <c r="AD1440"/>
      <c r="AE1440"/>
      <c r="AF1440"/>
      <c r="AG1440"/>
      <c r="AH1440"/>
      <c r="AI1440"/>
      <c r="AJ1440"/>
      <c r="AK1440"/>
      <c r="AL1440"/>
    </row>
    <row r="1441" spans="1:38" ht="15.75" customHeight="1" outlineLevel="2" x14ac:dyDescent="0.2">
      <c r="A1441" s="1067">
        <v>1</v>
      </c>
      <c r="B1441" s="1067" t="s">
        <v>68</v>
      </c>
      <c r="C1441" s="1067" t="s">
        <v>2762</v>
      </c>
      <c r="D1441" s="1067" t="s">
        <v>2762</v>
      </c>
      <c r="E1441" s="1068" t="s">
        <v>70</v>
      </c>
      <c r="F1441" s="1067"/>
      <c r="G1441" s="1069" t="str">
        <f t="array" ref="G1441">IF(B1441="insumo",_xlfn.XLOOKUP($D1441,Insumos!$B$1:$B$996,Insumos!$D$1:$D$996),"")</f>
        <v/>
      </c>
      <c r="H1441" s="1069">
        <v>180.95409649999999</v>
      </c>
      <c r="I1441" s="1070">
        <v>0</v>
      </c>
      <c r="J1441" s="1070">
        <v>0</v>
      </c>
      <c r="K1441" s="1070"/>
      <c r="L1441"/>
      <c r="M1441"/>
      <c r="N1441"/>
      <c r="O1441"/>
      <c r="P1441"/>
      <c r="Q1441"/>
      <c r="R1441"/>
      <c r="S1441"/>
      <c r="T1441"/>
      <c r="U1441"/>
      <c r="V1441"/>
      <c r="W1441"/>
      <c r="X1441"/>
      <c r="Y1441"/>
      <c r="Z1441"/>
      <c r="AA1441"/>
      <c r="AB1441"/>
      <c r="AC1441"/>
      <c r="AD1441"/>
      <c r="AE1441"/>
      <c r="AF1441"/>
      <c r="AG1441"/>
      <c r="AH1441"/>
      <c r="AI1441"/>
      <c r="AJ1441"/>
      <c r="AK1441"/>
      <c r="AL1441"/>
    </row>
    <row r="1442" spans="1:38" ht="15.75" customHeight="1" outlineLevel="3" x14ac:dyDescent="0.2">
      <c r="A1442" s="10">
        <v>86</v>
      </c>
      <c r="B1442" s="10" t="s">
        <v>71</v>
      </c>
      <c r="C1442" s="10" t="s">
        <v>2762</v>
      </c>
      <c r="D1442" s="10" t="s">
        <v>407</v>
      </c>
      <c r="E1442" s="11" t="str">
        <f t="array" ref="E1442">_xlfn.XLOOKUP(D1442,Insumos!B:B,Insumos!C:$C)</f>
        <v>M2</v>
      </c>
      <c r="F1442" s="14">
        <v>1</v>
      </c>
      <c r="G1442" s="92">
        <f t="array" ref="G1442">IF(B1442="insumo",_xlfn.XLOOKUP($D1442,Insumos!$B$1:$B$996,Insumos!$D$1:$D$996),"")</f>
        <v>70</v>
      </c>
      <c r="H1442" s="92">
        <v>70</v>
      </c>
      <c r="I1442" s="13">
        <v>0</v>
      </c>
      <c r="J1442" s="13">
        <v>0</v>
      </c>
      <c r="K1442" s="13"/>
      <c r="L1442"/>
      <c r="M1442"/>
      <c r="N1442"/>
      <c r="O1442"/>
      <c r="P1442"/>
      <c r="Q1442"/>
      <c r="R1442"/>
      <c r="S1442"/>
      <c r="T1442"/>
      <c r="U1442"/>
      <c r="V1442"/>
      <c r="W1442"/>
      <c r="X1442"/>
      <c r="Y1442"/>
      <c r="Z1442"/>
      <c r="AA1442"/>
      <c r="AB1442"/>
      <c r="AC1442"/>
      <c r="AD1442"/>
      <c r="AE1442"/>
      <c r="AF1442"/>
      <c r="AG1442"/>
      <c r="AH1442"/>
      <c r="AI1442"/>
      <c r="AJ1442"/>
      <c r="AK1442"/>
      <c r="AL1442"/>
    </row>
    <row r="1443" spans="1:38" ht="15.75" customHeight="1" outlineLevel="3" x14ac:dyDescent="0.2">
      <c r="A1443" s="10">
        <v>47</v>
      </c>
      <c r="B1443" s="10" t="s">
        <v>71</v>
      </c>
      <c r="C1443" s="10" t="s">
        <v>2762</v>
      </c>
      <c r="D1443" s="10" t="s">
        <v>408</v>
      </c>
      <c r="E1443" s="11" t="str">
        <f t="array" ref="E1443">_xlfn.XLOOKUP(D1443,Insumos!B:B,Insumos!C:$C)</f>
        <v>M2</v>
      </c>
      <c r="F1443" s="14">
        <f>1.053*2</f>
        <v>2.1059999999999999</v>
      </c>
      <c r="G1443" s="92">
        <f t="array" ref="G1443">IF(B1443="insumo",_xlfn.XLOOKUP($D1443,Insumos!$B$1:$B$996,Insumos!$D$1:$D$996),"")</f>
        <v>20.16</v>
      </c>
      <c r="H1443" s="92">
        <v>42.456960000000002</v>
      </c>
      <c r="I1443" s="13">
        <v>0</v>
      </c>
      <c r="J1443" s="13">
        <v>0</v>
      </c>
      <c r="K1443" s="13"/>
      <c r="L1443"/>
      <c r="M1443"/>
      <c r="N1443"/>
      <c r="O1443"/>
      <c r="P1443"/>
      <c r="Q1443"/>
      <c r="R1443"/>
      <c r="S1443"/>
      <c r="T1443"/>
      <c r="U1443"/>
      <c r="V1443"/>
      <c r="W1443"/>
      <c r="X1443"/>
      <c r="Y1443"/>
      <c r="Z1443"/>
      <c r="AA1443"/>
      <c r="AB1443"/>
      <c r="AC1443"/>
      <c r="AD1443"/>
      <c r="AE1443"/>
      <c r="AF1443"/>
      <c r="AG1443"/>
      <c r="AH1443"/>
      <c r="AI1443"/>
      <c r="AJ1443"/>
      <c r="AK1443"/>
      <c r="AL1443"/>
    </row>
    <row r="1444" spans="1:38" ht="15.75" customHeight="1" outlineLevel="3" x14ac:dyDescent="0.2">
      <c r="A1444" s="10">
        <v>95</v>
      </c>
      <c r="B1444" s="10" t="s">
        <v>71</v>
      </c>
      <c r="C1444" s="10" t="s">
        <v>2762</v>
      </c>
      <c r="D1444" s="10" t="s">
        <v>409</v>
      </c>
      <c r="E1444" s="11" t="str">
        <f t="array" ref="E1444">_xlfn.XLOOKUP(D1444,Insumos!B:B,Insumos!C:$C)</f>
        <v>UN</v>
      </c>
      <c r="F1444" s="14">
        <v>5.92</v>
      </c>
      <c r="G1444" s="92">
        <f t="array" ref="G1444">IF(B1444="insumo",_xlfn.XLOOKUP($D1444,Insumos!$B$1:$B$996,Insumos!$D$1:$D$996),"")</f>
        <v>0.504</v>
      </c>
      <c r="H1444" s="92">
        <v>2.9836800000000001</v>
      </c>
      <c r="I1444" s="13">
        <v>0</v>
      </c>
      <c r="J1444" s="13">
        <v>0</v>
      </c>
      <c r="K1444" s="13"/>
      <c r="L1444"/>
      <c r="M1444"/>
      <c r="N1444"/>
      <c r="O1444"/>
      <c r="P1444"/>
      <c r="Q1444"/>
      <c r="R1444"/>
      <c r="S1444"/>
      <c r="T1444"/>
      <c r="U1444"/>
      <c r="V1444"/>
      <c r="W1444"/>
      <c r="X1444"/>
      <c r="Y1444"/>
      <c r="Z1444"/>
      <c r="AA1444"/>
      <c r="AB1444"/>
      <c r="AC1444"/>
      <c r="AD1444"/>
      <c r="AE1444"/>
      <c r="AF1444"/>
      <c r="AG1444"/>
      <c r="AH1444"/>
      <c r="AI1444"/>
      <c r="AJ1444"/>
      <c r="AK1444"/>
      <c r="AL1444"/>
    </row>
    <row r="1445" spans="1:38" ht="15.75" customHeight="1" outlineLevel="3" x14ac:dyDescent="0.2">
      <c r="A1445" s="10">
        <v>43</v>
      </c>
      <c r="B1445" s="10" t="s">
        <v>71</v>
      </c>
      <c r="C1445" s="10" t="s">
        <v>2762</v>
      </c>
      <c r="D1445" s="10" t="s">
        <v>423</v>
      </c>
      <c r="E1445" s="11" t="str">
        <f t="array" ref="E1445">_xlfn.XLOOKUP(D1445,Insumos!B:B,Insumos!C:$C)</f>
        <v>M</v>
      </c>
      <c r="F1445" s="14">
        <v>1.8233999999999999</v>
      </c>
      <c r="G1445" s="92">
        <f t="array" ref="G1445">IF(B1445="insumo",_xlfn.XLOOKUP($D1445,Insumos!$B$1:$B$996,Insumos!$D$1:$D$996),"")</f>
        <v>7.46</v>
      </c>
      <c r="H1445" s="92">
        <v>13.602563999999999</v>
      </c>
      <c r="I1445" s="13">
        <v>0</v>
      </c>
      <c r="J1445" s="13">
        <v>0</v>
      </c>
      <c r="K1445" s="13"/>
      <c r="L1445"/>
      <c r="M1445"/>
      <c r="N1445"/>
      <c r="O1445"/>
      <c r="P1445"/>
      <c r="Q1445"/>
      <c r="R1445"/>
      <c r="S1445"/>
      <c r="T1445"/>
      <c r="U1445"/>
      <c r="V1445"/>
      <c r="W1445"/>
      <c r="X1445"/>
      <c r="Y1445"/>
      <c r="Z1445"/>
      <c r="AA1445"/>
      <c r="AB1445"/>
      <c r="AC1445"/>
      <c r="AD1445"/>
      <c r="AE1445"/>
      <c r="AF1445"/>
      <c r="AG1445"/>
      <c r="AH1445"/>
      <c r="AI1445"/>
      <c r="AJ1445"/>
      <c r="AK1445"/>
      <c r="AL1445"/>
    </row>
    <row r="1446" spans="1:38" ht="15.75" customHeight="1" outlineLevel="3" x14ac:dyDescent="0.2">
      <c r="A1446" s="10">
        <v>43</v>
      </c>
      <c r="B1446" s="10" t="s">
        <v>71</v>
      </c>
      <c r="C1446" s="10" t="s">
        <v>2762</v>
      </c>
      <c r="D1446" s="10" t="s">
        <v>424</v>
      </c>
      <c r="E1446" s="11" t="str">
        <f t="array" ref="E1446">_xlfn.XLOOKUP(D1446,Insumos!B:B,Insumos!C:$C)</f>
        <v>M</v>
      </c>
      <c r="F1446" s="14">
        <v>5.8277999999999999</v>
      </c>
      <c r="G1446" s="92">
        <f t="array" ref="G1446">IF(B1446="insumo",_xlfn.XLOOKUP($D1446,Insumos!$B$1:$B$996,Insumos!$D$1:$D$996),"")</f>
        <v>7.98</v>
      </c>
      <c r="H1446" s="92">
        <v>46.505844000000003</v>
      </c>
      <c r="I1446" s="13">
        <v>0</v>
      </c>
      <c r="J1446" s="13">
        <v>0</v>
      </c>
      <c r="K1446" s="13"/>
      <c r="L1446"/>
      <c r="M1446"/>
      <c r="N1446"/>
      <c r="O1446"/>
      <c r="P1446"/>
      <c r="Q1446"/>
      <c r="R1446"/>
      <c r="S1446"/>
      <c r="T1446"/>
      <c r="U1446"/>
      <c r="V1446"/>
      <c r="W1446"/>
      <c r="X1446"/>
      <c r="Y1446"/>
      <c r="Z1446"/>
      <c r="AA1446"/>
      <c r="AB1446"/>
      <c r="AC1446"/>
      <c r="AD1446"/>
      <c r="AE1446"/>
      <c r="AF1446"/>
      <c r="AG1446"/>
      <c r="AH1446"/>
      <c r="AI1446"/>
      <c r="AJ1446"/>
      <c r="AK1446"/>
      <c r="AL1446"/>
    </row>
    <row r="1447" spans="1:38" ht="15.75" customHeight="1" outlineLevel="3" x14ac:dyDescent="0.2">
      <c r="A1447" s="10">
        <v>95</v>
      </c>
      <c r="B1447" s="10" t="s">
        <v>71</v>
      </c>
      <c r="C1447" s="10" t="s">
        <v>2762</v>
      </c>
      <c r="D1447" s="10" t="s">
        <v>405</v>
      </c>
      <c r="E1447" s="11" t="str">
        <f t="array" ref="E1447">_xlfn.XLOOKUP(D1447,Insumos!B:B,Insumos!C:$C)</f>
        <v>KG</v>
      </c>
      <c r="F1447" s="14">
        <v>0.54890000000000005</v>
      </c>
      <c r="G1447" s="92">
        <f t="array" ref="G1447">IF(B1447="insumo",_xlfn.XLOOKUP($D1447,Insumos!$B$1:$B$996,Insumos!$D$1:$D$996),"")</f>
        <v>3.43</v>
      </c>
      <c r="H1447" s="92">
        <v>1.882727</v>
      </c>
      <c r="I1447" s="13">
        <v>0</v>
      </c>
      <c r="J1447" s="13">
        <v>0</v>
      </c>
      <c r="K1447" s="13"/>
      <c r="L1447"/>
      <c r="M1447"/>
      <c r="N1447"/>
      <c r="O1447"/>
      <c r="P1447"/>
      <c r="Q1447"/>
      <c r="R1447"/>
      <c r="S1447"/>
      <c r="T1447"/>
      <c r="U1447"/>
      <c r="V1447"/>
      <c r="W1447"/>
      <c r="X1447"/>
      <c r="Y1447"/>
      <c r="Z1447"/>
      <c r="AA1447"/>
      <c r="AB1447"/>
      <c r="AC1447"/>
      <c r="AD1447"/>
      <c r="AE1447"/>
      <c r="AF1447"/>
      <c r="AG1447"/>
      <c r="AH1447"/>
      <c r="AI1447"/>
      <c r="AJ1447"/>
      <c r="AK1447"/>
      <c r="AL1447"/>
    </row>
    <row r="1448" spans="1:38" ht="15.75" customHeight="1" outlineLevel="3" x14ac:dyDescent="0.2">
      <c r="A1448" s="10">
        <v>94</v>
      </c>
      <c r="B1448" s="10" t="s">
        <v>71</v>
      </c>
      <c r="C1448" s="10" t="s">
        <v>2762</v>
      </c>
      <c r="D1448" s="10" t="s">
        <v>412</v>
      </c>
      <c r="E1448" s="11" t="str">
        <f t="array" ref="E1448">_xlfn.XLOOKUP(D1448,Insumos!B:B,Insumos!C:$C)</f>
        <v>M</v>
      </c>
      <c r="F1448" s="14">
        <v>1.25135</v>
      </c>
      <c r="G1448" s="92">
        <f t="array" ref="G1448">IF(B1448="insumo",_xlfn.XLOOKUP($D1448,Insumos!$B$1:$B$996,Insumos!$D$1:$D$996),"")</f>
        <v>0.31</v>
      </c>
      <c r="H1448" s="92">
        <v>0.3879185</v>
      </c>
      <c r="I1448" s="13">
        <v>0</v>
      </c>
      <c r="J1448" s="13">
        <v>0</v>
      </c>
      <c r="K1448" s="13"/>
      <c r="L1448"/>
      <c r="M1448"/>
      <c r="N1448"/>
      <c r="O1448"/>
      <c r="P1448"/>
      <c r="Q1448"/>
      <c r="R1448"/>
      <c r="S1448"/>
      <c r="T1448"/>
      <c r="U1448"/>
      <c r="V1448"/>
      <c r="W1448"/>
      <c r="X1448"/>
      <c r="Y1448"/>
      <c r="Z1448"/>
      <c r="AA1448"/>
      <c r="AB1448"/>
      <c r="AC1448"/>
      <c r="AD1448"/>
      <c r="AE1448"/>
      <c r="AF1448"/>
      <c r="AG1448"/>
      <c r="AH1448"/>
      <c r="AI1448"/>
      <c r="AJ1448"/>
      <c r="AK1448"/>
      <c r="AL1448"/>
    </row>
    <row r="1449" spans="1:38" ht="15.75" customHeight="1" outlineLevel="3" x14ac:dyDescent="0.2">
      <c r="A1449" s="10">
        <v>94</v>
      </c>
      <c r="B1449" s="10" t="s">
        <v>71</v>
      </c>
      <c r="C1449" s="10" t="s">
        <v>2762</v>
      </c>
      <c r="D1449" s="10" t="s">
        <v>413</v>
      </c>
      <c r="E1449" s="11" t="str">
        <f t="array" ref="E1449">_xlfn.XLOOKUP(D1449,Insumos!B:B,Insumos!C:$C)</f>
        <v>M</v>
      </c>
      <c r="F1449" s="14">
        <v>0.79254999999999998</v>
      </c>
      <c r="G1449" s="92">
        <f t="array" ref="G1449">IF(B1449="insumo",_xlfn.XLOOKUP($D1449,Insumos!$B$1:$B$996,Insumos!$D$1:$D$996),"")</f>
        <v>2.74</v>
      </c>
      <c r="H1449" s="92">
        <v>2.1715870000000002</v>
      </c>
      <c r="I1449" s="13">
        <v>0</v>
      </c>
      <c r="J1449" s="13">
        <v>0</v>
      </c>
      <c r="K1449" s="13"/>
      <c r="L1449"/>
      <c r="M1449"/>
      <c r="N1449"/>
      <c r="O1449"/>
      <c r="P1449"/>
      <c r="Q1449"/>
      <c r="R1449"/>
      <c r="S1449"/>
      <c r="T1449"/>
      <c r="U1449"/>
      <c r="V1449"/>
      <c r="W1449"/>
      <c r="X1449"/>
      <c r="Y1449"/>
      <c r="Z1449"/>
      <c r="AA1449"/>
      <c r="AB1449"/>
      <c r="AC1449"/>
      <c r="AD1449"/>
      <c r="AE1449"/>
      <c r="AF1449"/>
      <c r="AG1449"/>
      <c r="AH1449"/>
      <c r="AI1449"/>
      <c r="AJ1449"/>
      <c r="AK1449"/>
      <c r="AL1449"/>
    </row>
    <row r="1450" spans="1:38" ht="15.75" customHeight="1" outlineLevel="3" x14ac:dyDescent="0.2">
      <c r="A1450" s="10">
        <v>97</v>
      </c>
      <c r="B1450" s="10" t="s">
        <v>71</v>
      </c>
      <c r="C1450" s="10" t="s">
        <v>2762</v>
      </c>
      <c r="D1450" s="10" t="s">
        <v>414</v>
      </c>
      <c r="E1450" s="11" t="str">
        <f t="array" ref="E1450">_xlfn.XLOOKUP(D1450,Insumos!B:B,Insumos!C:$C)</f>
        <v>UN</v>
      </c>
      <c r="F1450" s="14">
        <v>10.093400000000001</v>
      </c>
      <c r="G1450" s="92">
        <f t="array" ref="G1450">IF(B1450="insumo",_xlfn.XLOOKUP($D1450,Insumos!$B$1:$B$996,Insumos!$D$1:$D$996),"")</f>
        <v>0.09</v>
      </c>
      <c r="H1450" s="92">
        <v>0.90840600000000005</v>
      </c>
      <c r="I1450" s="13">
        <v>0</v>
      </c>
      <c r="J1450" s="13">
        <v>0</v>
      </c>
      <c r="K1450" s="13"/>
      <c r="L1450"/>
      <c r="M1450"/>
      <c r="N1450"/>
      <c r="O1450"/>
      <c r="P1450"/>
      <c r="Q1450"/>
      <c r="R1450"/>
      <c r="S1450"/>
      <c r="T1450"/>
      <c r="U1450"/>
      <c r="V1450"/>
      <c r="W1450"/>
      <c r="X1450"/>
      <c r="Y1450"/>
      <c r="Z1450"/>
      <c r="AA1450"/>
      <c r="AB1450"/>
      <c r="AC1450"/>
      <c r="AD1450"/>
      <c r="AE1450"/>
      <c r="AF1450"/>
      <c r="AG1450"/>
      <c r="AH1450"/>
      <c r="AI1450"/>
      <c r="AJ1450"/>
      <c r="AK1450"/>
      <c r="AL1450"/>
    </row>
    <row r="1451" spans="1:38" ht="15.75" customHeight="1" outlineLevel="3" x14ac:dyDescent="0.2">
      <c r="A1451" s="10">
        <v>95</v>
      </c>
      <c r="B1451" s="10" t="s">
        <v>71</v>
      </c>
      <c r="C1451" s="10" t="s">
        <v>2762</v>
      </c>
      <c r="D1451" s="10" t="s">
        <v>415</v>
      </c>
      <c r="E1451" s="11" t="str">
        <f t="array" ref="E1451">_xlfn.XLOOKUP(D1451,Insumos!B:B,Insumos!C:$C)</f>
        <v>UN</v>
      </c>
      <c r="F1451" s="14">
        <v>0.27205000000000001</v>
      </c>
      <c r="G1451" s="92">
        <f t="array" ref="G1451">IF(B1451="insumo",_xlfn.XLOOKUP($D1451,Insumos!$B$1:$B$996,Insumos!$D$1:$D$996),"")</f>
        <v>0.2</v>
      </c>
      <c r="H1451" s="92">
        <v>5.441E-2</v>
      </c>
      <c r="I1451" s="13">
        <v>0</v>
      </c>
      <c r="J1451" s="13">
        <v>0</v>
      </c>
      <c r="K1451" s="13"/>
      <c r="L1451"/>
      <c r="M1451"/>
      <c r="N1451"/>
      <c r="O1451"/>
      <c r="P1451"/>
      <c r="Q1451"/>
      <c r="R1451"/>
      <c r="S1451"/>
      <c r="T1451"/>
      <c r="U1451"/>
      <c r="V1451"/>
      <c r="W1451"/>
      <c r="X1451"/>
      <c r="Y1451"/>
      <c r="Z1451"/>
      <c r="AA1451"/>
      <c r="AB1451"/>
      <c r="AC1451"/>
      <c r="AD1451"/>
      <c r="AE1451"/>
      <c r="AF1451"/>
      <c r="AG1451"/>
      <c r="AH1451"/>
      <c r="AI1451"/>
      <c r="AJ1451"/>
      <c r="AK1451"/>
      <c r="AL1451"/>
    </row>
    <row r="1452" spans="1:38" ht="15.75" customHeight="1" outlineLevel="2" x14ac:dyDescent="0.2">
      <c r="A1452" s="1067">
        <v>1</v>
      </c>
      <c r="B1452" s="1067" t="s">
        <v>68</v>
      </c>
      <c r="C1452" s="1067" t="s">
        <v>2767</v>
      </c>
      <c r="D1452" s="1067" t="s">
        <v>2767</v>
      </c>
      <c r="E1452" s="1068" t="s">
        <v>70</v>
      </c>
      <c r="F1452" s="1067"/>
      <c r="G1452" s="1069" t="str">
        <f t="array" ref="G1452">IF(B1452="insumo",_xlfn.XLOOKUP($D1452,Insumos!$B$1:$B$996,Insumos!$D$1:$D$996),"")</f>
        <v/>
      </c>
      <c r="H1452" s="1069">
        <v>195.5697365</v>
      </c>
      <c r="I1452" s="1070">
        <v>0</v>
      </c>
      <c r="J1452" s="1070">
        <v>0</v>
      </c>
      <c r="K1452" s="1070"/>
      <c r="L1452"/>
      <c r="M1452"/>
      <c r="N1452"/>
      <c r="O1452"/>
      <c r="P1452"/>
      <c r="Q1452"/>
      <c r="R1452"/>
      <c r="S1452"/>
      <c r="T1452"/>
      <c r="U1452"/>
      <c r="V1452"/>
      <c r="W1452"/>
      <c r="X1452"/>
      <c r="Y1452"/>
      <c r="Z1452"/>
      <c r="AA1452"/>
      <c r="AB1452"/>
      <c r="AC1452"/>
      <c r="AD1452"/>
      <c r="AE1452"/>
      <c r="AF1452"/>
      <c r="AG1452"/>
      <c r="AH1452"/>
      <c r="AI1452"/>
      <c r="AJ1452"/>
      <c r="AK1452"/>
      <c r="AL1452"/>
    </row>
    <row r="1453" spans="1:38" ht="15.75" customHeight="1" outlineLevel="3" x14ac:dyDescent="0.2">
      <c r="A1453" s="10">
        <v>86</v>
      </c>
      <c r="B1453" s="10" t="s">
        <v>71</v>
      </c>
      <c r="C1453" s="10" t="s">
        <v>2767</v>
      </c>
      <c r="D1453" s="10" t="s">
        <v>407</v>
      </c>
      <c r="E1453" s="11" t="str">
        <f t="array" ref="E1453">_xlfn.XLOOKUP(D1453,Insumos!B:B,Insumos!C:$C)</f>
        <v>M2</v>
      </c>
      <c r="F1453" s="14">
        <v>1</v>
      </c>
      <c r="G1453" s="92">
        <f t="array" ref="G1453">IF(B1453="insumo",_xlfn.XLOOKUP($D1453,Insumos!$B$1:$B$996,Insumos!$D$1:$D$996),"")</f>
        <v>70</v>
      </c>
      <c r="H1453" s="92">
        <v>70</v>
      </c>
      <c r="I1453" s="13">
        <v>0</v>
      </c>
      <c r="J1453" s="13">
        <v>0</v>
      </c>
      <c r="K1453" s="13"/>
      <c r="L1453"/>
      <c r="M1453"/>
      <c r="N1453"/>
      <c r="O1453"/>
      <c r="P1453"/>
      <c r="Q1453"/>
      <c r="R1453"/>
      <c r="S1453"/>
      <c r="T1453"/>
      <c r="U1453"/>
      <c r="V1453"/>
      <c r="W1453"/>
      <c r="X1453"/>
      <c r="Y1453"/>
      <c r="Z1453"/>
      <c r="AA1453"/>
      <c r="AB1453"/>
      <c r="AC1453"/>
      <c r="AD1453"/>
      <c r="AE1453"/>
      <c r="AF1453"/>
      <c r="AG1453"/>
      <c r="AH1453"/>
      <c r="AI1453"/>
      <c r="AJ1453"/>
      <c r="AK1453"/>
      <c r="AL1453"/>
    </row>
    <row r="1454" spans="1:38" ht="15.75" customHeight="1" outlineLevel="3" x14ac:dyDescent="0.2">
      <c r="A1454" s="10">
        <v>49</v>
      </c>
      <c r="B1454" s="10" t="s">
        <v>71</v>
      </c>
      <c r="C1454" s="10" t="s">
        <v>2767</v>
      </c>
      <c r="D1454" s="10" t="s">
        <v>418</v>
      </c>
      <c r="E1454" s="11" t="str">
        <f t="array" ref="E1454">_xlfn.XLOOKUP(D1454,Insumos!B:B,Insumos!C:$C)</f>
        <v>M2</v>
      </c>
      <c r="F1454" s="14">
        <f>1.053*2</f>
        <v>2.1059999999999999</v>
      </c>
      <c r="G1454" s="92">
        <f t="array" ref="G1454">IF(B1454="insumo",_xlfn.XLOOKUP($D1454,Insumos!$B$1:$B$996,Insumos!$D$1:$D$996),"")</f>
        <v>27.1</v>
      </c>
      <c r="H1454" s="92">
        <v>57.072600000000001</v>
      </c>
      <c r="I1454" s="13">
        <v>0</v>
      </c>
      <c r="J1454" s="13">
        <v>0</v>
      </c>
      <c r="K1454" s="13"/>
      <c r="L1454"/>
      <c r="M1454"/>
      <c r="N1454"/>
      <c r="O1454"/>
      <c r="P1454"/>
      <c r="Q1454"/>
      <c r="R1454"/>
      <c r="S1454"/>
      <c r="T1454"/>
      <c r="U1454"/>
      <c r="V1454"/>
      <c r="W1454"/>
      <c r="X1454"/>
      <c r="Y1454"/>
      <c r="Z1454"/>
      <c r="AA1454"/>
      <c r="AB1454"/>
      <c r="AC1454"/>
      <c r="AD1454"/>
      <c r="AE1454"/>
      <c r="AF1454"/>
      <c r="AG1454"/>
      <c r="AH1454"/>
      <c r="AI1454"/>
      <c r="AJ1454"/>
      <c r="AK1454"/>
      <c r="AL1454"/>
    </row>
    <row r="1455" spans="1:38" ht="15.75" customHeight="1" outlineLevel="3" x14ac:dyDescent="0.2">
      <c r="A1455" s="10">
        <v>95</v>
      </c>
      <c r="B1455" s="10" t="s">
        <v>71</v>
      </c>
      <c r="C1455" s="10" t="s">
        <v>2767</v>
      </c>
      <c r="D1455" s="10" t="s">
        <v>409</v>
      </c>
      <c r="E1455" s="11" t="str">
        <f t="array" ref="E1455">_xlfn.XLOOKUP(D1455,Insumos!B:B,Insumos!C:$C)</f>
        <v>UN</v>
      </c>
      <c r="F1455" s="14">
        <v>5.92</v>
      </c>
      <c r="G1455" s="92">
        <f t="array" ref="G1455">IF(B1455="insumo",_xlfn.XLOOKUP($D1455,Insumos!$B$1:$B$996,Insumos!$D$1:$D$996),"")</f>
        <v>0.504</v>
      </c>
      <c r="H1455" s="92">
        <v>2.9836800000000001</v>
      </c>
      <c r="I1455" s="13">
        <v>0</v>
      </c>
      <c r="J1455" s="13">
        <v>0</v>
      </c>
      <c r="K1455" s="13"/>
      <c r="L1455"/>
      <c r="M1455"/>
      <c r="N1455"/>
      <c r="O1455"/>
      <c r="P1455"/>
      <c r="Q1455"/>
      <c r="R1455"/>
      <c r="S1455"/>
      <c r="T1455"/>
      <c r="U1455"/>
      <c r="V1455"/>
      <c r="W1455"/>
      <c r="X1455"/>
      <c r="Y1455"/>
      <c r="Z1455"/>
      <c r="AA1455"/>
      <c r="AB1455"/>
      <c r="AC1455"/>
      <c r="AD1455"/>
      <c r="AE1455"/>
      <c r="AF1455"/>
      <c r="AG1455"/>
      <c r="AH1455"/>
      <c r="AI1455"/>
      <c r="AJ1455"/>
      <c r="AK1455"/>
      <c r="AL1455"/>
    </row>
    <row r="1456" spans="1:38" ht="15.75" customHeight="1" outlineLevel="3" x14ac:dyDescent="0.2">
      <c r="A1456" s="10">
        <v>43</v>
      </c>
      <c r="B1456" s="10" t="s">
        <v>71</v>
      </c>
      <c r="C1456" s="10" t="s">
        <v>2767</v>
      </c>
      <c r="D1456" s="10" t="s">
        <v>423</v>
      </c>
      <c r="E1456" s="11" t="str">
        <f t="array" ref="E1456">_xlfn.XLOOKUP(D1456,Insumos!B:B,Insumos!C:$C)</f>
        <v>M</v>
      </c>
      <c r="F1456" s="14">
        <v>1.8233999999999999</v>
      </c>
      <c r="G1456" s="92">
        <f t="array" ref="G1456">IF(B1456="insumo",_xlfn.XLOOKUP($D1456,Insumos!$B$1:$B$996,Insumos!$D$1:$D$996),"")</f>
        <v>7.46</v>
      </c>
      <c r="H1456" s="92">
        <v>13.602563999999999</v>
      </c>
      <c r="I1456" s="13">
        <v>0</v>
      </c>
      <c r="J1456" s="13">
        <v>0</v>
      </c>
      <c r="K1456" s="13"/>
      <c r="L1456"/>
      <c r="M1456"/>
      <c r="N1456"/>
      <c r="O1456"/>
      <c r="P1456"/>
      <c r="Q1456"/>
      <c r="R1456"/>
      <c r="S1456"/>
      <c r="T1456"/>
      <c r="U1456"/>
      <c r="V1456"/>
      <c r="W1456"/>
      <c r="X1456"/>
      <c r="Y1456"/>
      <c r="Z1456"/>
      <c r="AA1456"/>
      <c r="AB1456"/>
      <c r="AC1456"/>
      <c r="AD1456"/>
      <c r="AE1456"/>
      <c r="AF1456"/>
      <c r="AG1456"/>
      <c r="AH1456"/>
      <c r="AI1456"/>
      <c r="AJ1456"/>
      <c r="AK1456"/>
      <c r="AL1456"/>
    </row>
    <row r="1457" spans="1:38" ht="15.75" customHeight="1" outlineLevel="3" x14ac:dyDescent="0.2">
      <c r="A1457" s="10">
        <v>43</v>
      </c>
      <c r="B1457" s="10" t="s">
        <v>71</v>
      </c>
      <c r="C1457" s="10" t="s">
        <v>2767</v>
      </c>
      <c r="D1457" s="10" t="s">
        <v>424</v>
      </c>
      <c r="E1457" s="11" t="str">
        <f t="array" ref="E1457">_xlfn.XLOOKUP(D1457,Insumos!B:B,Insumos!C:$C)</f>
        <v>M</v>
      </c>
      <c r="F1457" s="14">
        <v>5.8277999999999999</v>
      </c>
      <c r="G1457" s="92">
        <f t="array" ref="G1457">IF(B1457="insumo",_xlfn.XLOOKUP($D1457,Insumos!$B$1:$B$996,Insumos!$D$1:$D$996),"")</f>
        <v>7.98</v>
      </c>
      <c r="H1457" s="92">
        <v>46.505844000000003</v>
      </c>
      <c r="I1457" s="13">
        <v>0</v>
      </c>
      <c r="J1457" s="13">
        <v>0</v>
      </c>
      <c r="K1457" s="13"/>
      <c r="L1457"/>
      <c r="M1457"/>
      <c r="N1457"/>
      <c r="O1457"/>
      <c r="P1457"/>
      <c r="Q1457"/>
      <c r="R1457"/>
      <c r="S1457"/>
      <c r="T1457"/>
      <c r="U1457"/>
      <c r="V1457"/>
      <c r="W1457"/>
      <c r="X1457"/>
      <c r="Y1457"/>
      <c r="Z1457"/>
      <c r="AA1457"/>
      <c r="AB1457"/>
      <c r="AC1457"/>
      <c r="AD1457"/>
      <c r="AE1457"/>
      <c r="AF1457"/>
      <c r="AG1457"/>
      <c r="AH1457"/>
      <c r="AI1457"/>
      <c r="AJ1457"/>
      <c r="AK1457"/>
      <c r="AL1457"/>
    </row>
    <row r="1458" spans="1:38" ht="15.75" customHeight="1" outlineLevel="3" x14ac:dyDescent="0.2">
      <c r="A1458" s="10">
        <v>95</v>
      </c>
      <c r="B1458" s="10" t="s">
        <v>71</v>
      </c>
      <c r="C1458" s="10" t="s">
        <v>2767</v>
      </c>
      <c r="D1458" s="10" t="s">
        <v>405</v>
      </c>
      <c r="E1458" s="11" t="str">
        <f t="array" ref="E1458">_xlfn.XLOOKUP(D1458,Insumos!B:B,Insumos!C:$C)</f>
        <v>KG</v>
      </c>
      <c r="F1458" s="14">
        <v>0.54890000000000005</v>
      </c>
      <c r="G1458" s="92">
        <f t="array" ref="G1458">IF(B1458="insumo",_xlfn.XLOOKUP($D1458,Insumos!$B$1:$B$996,Insumos!$D$1:$D$996),"")</f>
        <v>3.43</v>
      </c>
      <c r="H1458" s="92">
        <v>1.882727</v>
      </c>
      <c r="I1458" s="13">
        <v>0</v>
      </c>
      <c r="J1458" s="13">
        <v>0</v>
      </c>
      <c r="K1458" s="13"/>
      <c r="L1458"/>
      <c r="M1458"/>
      <c r="N1458"/>
      <c r="O1458"/>
      <c r="P1458"/>
      <c r="Q1458"/>
      <c r="R1458"/>
      <c r="S1458"/>
      <c r="T1458"/>
      <c r="U1458"/>
      <c r="V1458"/>
      <c r="W1458"/>
      <c r="X1458"/>
      <c r="Y1458"/>
      <c r="Z1458"/>
      <c r="AA1458"/>
      <c r="AB1458"/>
      <c r="AC1458"/>
      <c r="AD1458"/>
      <c r="AE1458"/>
      <c r="AF1458"/>
      <c r="AG1458"/>
      <c r="AH1458"/>
      <c r="AI1458"/>
      <c r="AJ1458"/>
      <c r="AK1458"/>
      <c r="AL1458"/>
    </row>
    <row r="1459" spans="1:38" ht="15.75" customHeight="1" outlineLevel="3" x14ac:dyDescent="0.2">
      <c r="A1459" s="10">
        <v>94</v>
      </c>
      <c r="B1459" s="10" t="s">
        <v>71</v>
      </c>
      <c r="C1459" s="10" t="s">
        <v>2767</v>
      </c>
      <c r="D1459" s="10" t="s">
        <v>412</v>
      </c>
      <c r="E1459" s="11" t="str">
        <f t="array" ref="E1459">_xlfn.XLOOKUP(D1459,Insumos!B:B,Insumos!C:$C)</f>
        <v>M</v>
      </c>
      <c r="F1459" s="14">
        <v>1.25135</v>
      </c>
      <c r="G1459" s="92">
        <f t="array" ref="G1459">IF(B1459="insumo",_xlfn.XLOOKUP($D1459,Insumos!$B$1:$B$996,Insumos!$D$1:$D$996),"")</f>
        <v>0.31</v>
      </c>
      <c r="H1459" s="92">
        <v>0.3879185</v>
      </c>
      <c r="I1459" s="13">
        <v>0</v>
      </c>
      <c r="J1459" s="13">
        <v>0</v>
      </c>
      <c r="K1459" s="13"/>
      <c r="L1459"/>
      <c r="M1459"/>
      <c r="N1459"/>
      <c r="O1459"/>
      <c r="P1459"/>
      <c r="Q1459"/>
      <c r="R1459"/>
      <c r="S1459"/>
      <c r="T1459"/>
      <c r="U1459"/>
      <c r="V1459"/>
      <c r="W1459"/>
      <c r="X1459"/>
      <c r="Y1459"/>
      <c r="Z1459"/>
      <c r="AA1459"/>
      <c r="AB1459"/>
      <c r="AC1459"/>
      <c r="AD1459"/>
      <c r="AE1459"/>
      <c r="AF1459"/>
      <c r="AG1459"/>
      <c r="AH1459"/>
      <c r="AI1459"/>
      <c r="AJ1459"/>
      <c r="AK1459"/>
      <c r="AL1459"/>
    </row>
    <row r="1460" spans="1:38" ht="15.75" customHeight="1" outlineLevel="3" x14ac:dyDescent="0.2">
      <c r="A1460" s="10">
        <v>94</v>
      </c>
      <c r="B1460" s="10" t="s">
        <v>71</v>
      </c>
      <c r="C1460" s="10" t="s">
        <v>2767</v>
      </c>
      <c r="D1460" s="10" t="s">
        <v>413</v>
      </c>
      <c r="E1460" s="11" t="str">
        <f t="array" ref="E1460">_xlfn.XLOOKUP(D1460,Insumos!B:B,Insumos!C:$C)</f>
        <v>M</v>
      </c>
      <c r="F1460" s="14">
        <v>0.79254999999999998</v>
      </c>
      <c r="G1460" s="92">
        <f t="array" ref="G1460">IF(B1460="insumo",_xlfn.XLOOKUP($D1460,Insumos!$B$1:$B$996,Insumos!$D$1:$D$996),"")</f>
        <v>2.74</v>
      </c>
      <c r="H1460" s="92">
        <v>2.1715870000000002</v>
      </c>
      <c r="I1460" s="13">
        <v>0</v>
      </c>
      <c r="J1460" s="13">
        <v>0</v>
      </c>
      <c r="K1460" s="13"/>
      <c r="L1460"/>
      <c r="M1460"/>
      <c r="N1460"/>
      <c r="O1460"/>
      <c r="P1460"/>
      <c r="Q1460"/>
      <c r="R1460"/>
      <c r="S1460"/>
      <c r="T1460"/>
      <c r="U1460"/>
      <c r="V1460"/>
      <c r="W1460"/>
      <c r="X1460"/>
      <c r="Y1460"/>
      <c r="Z1460"/>
      <c r="AA1460"/>
      <c r="AB1460"/>
      <c r="AC1460"/>
      <c r="AD1460"/>
      <c r="AE1460"/>
      <c r="AF1460"/>
      <c r="AG1460"/>
      <c r="AH1460"/>
      <c r="AI1460"/>
      <c r="AJ1460"/>
      <c r="AK1460"/>
      <c r="AL1460"/>
    </row>
    <row r="1461" spans="1:38" ht="15.75" customHeight="1" outlineLevel="3" x14ac:dyDescent="0.2">
      <c r="A1461" s="10">
        <v>97</v>
      </c>
      <c r="B1461" s="10" t="s">
        <v>71</v>
      </c>
      <c r="C1461" s="10" t="s">
        <v>2767</v>
      </c>
      <c r="D1461" s="10" t="s">
        <v>414</v>
      </c>
      <c r="E1461" s="11" t="str">
        <f t="array" ref="E1461">_xlfn.XLOOKUP(D1461,Insumos!B:B,Insumos!C:$C)</f>
        <v>UN</v>
      </c>
      <c r="F1461" s="14">
        <v>10.093400000000001</v>
      </c>
      <c r="G1461" s="92">
        <f t="array" ref="G1461">IF(B1461="insumo",_xlfn.XLOOKUP($D1461,Insumos!$B$1:$B$996,Insumos!$D$1:$D$996),"")</f>
        <v>0.09</v>
      </c>
      <c r="H1461" s="92">
        <v>0.90840600000000005</v>
      </c>
      <c r="I1461" s="13">
        <v>0</v>
      </c>
      <c r="J1461" s="13">
        <v>0</v>
      </c>
      <c r="K1461" s="13"/>
      <c r="L1461"/>
      <c r="M1461"/>
      <c r="N1461"/>
      <c r="O1461"/>
      <c r="P1461"/>
      <c r="Q1461"/>
      <c r="R1461"/>
      <c r="S1461"/>
      <c r="T1461"/>
      <c r="U1461"/>
      <c r="V1461"/>
      <c r="W1461"/>
      <c r="X1461"/>
      <c r="Y1461"/>
      <c r="Z1461"/>
      <c r="AA1461"/>
      <c r="AB1461"/>
      <c r="AC1461"/>
      <c r="AD1461"/>
      <c r="AE1461"/>
      <c r="AF1461"/>
      <c r="AG1461"/>
      <c r="AH1461"/>
      <c r="AI1461"/>
      <c r="AJ1461"/>
      <c r="AK1461"/>
      <c r="AL1461"/>
    </row>
    <row r="1462" spans="1:38" ht="15.75" customHeight="1" outlineLevel="3" x14ac:dyDescent="0.2">
      <c r="A1462" s="10">
        <v>95</v>
      </c>
      <c r="B1462" s="10" t="s">
        <v>71</v>
      </c>
      <c r="C1462" s="10" t="s">
        <v>2767</v>
      </c>
      <c r="D1462" s="10" t="s">
        <v>415</v>
      </c>
      <c r="E1462" s="11" t="str">
        <f t="array" ref="E1462">_xlfn.XLOOKUP(D1462,Insumos!B:B,Insumos!C:$C)</f>
        <v>UN</v>
      </c>
      <c r="F1462" s="14">
        <v>0.27205000000000001</v>
      </c>
      <c r="G1462" s="92">
        <f t="array" ref="G1462">IF(B1462="insumo",_xlfn.XLOOKUP($D1462,Insumos!$B$1:$B$996,Insumos!$D$1:$D$996),"")</f>
        <v>0.2</v>
      </c>
      <c r="H1462" s="92">
        <v>5.441E-2</v>
      </c>
      <c r="I1462" s="13">
        <v>0</v>
      </c>
      <c r="J1462" s="13">
        <v>0</v>
      </c>
      <c r="K1462" s="13"/>
      <c r="L1462"/>
      <c r="M1462"/>
      <c r="N1462"/>
      <c r="O1462"/>
      <c r="P1462"/>
      <c r="Q1462"/>
      <c r="R1462"/>
      <c r="S1462"/>
      <c r="T1462"/>
      <c r="U1462"/>
      <c r="V1462"/>
      <c r="W1462"/>
      <c r="X1462"/>
      <c r="Y1462"/>
      <c r="Z1462"/>
      <c r="AA1462"/>
      <c r="AB1462"/>
      <c r="AC1462"/>
      <c r="AD1462"/>
      <c r="AE1462"/>
      <c r="AF1462"/>
      <c r="AG1462"/>
      <c r="AH1462"/>
      <c r="AI1462"/>
      <c r="AJ1462"/>
      <c r="AK1462"/>
      <c r="AL1462"/>
    </row>
    <row r="1463" spans="1:38" ht="15.75" customHeight="1" outlineLevel="2" x14ac:dyDescent="0.2">
      <c r="A1463" s="1067">
        <v>1</v>
      </c>
      <c r="B1463" s="1067" t="s">
        <v>68</v>
      </c>
      <c r="C1463" s="1067" t="s">
        <v>2764</v>
      </c>
      <c r="D1463" s="1067" t="s">
        <v>2764</v>
      </c>
      <c r="E1463" s="1068" t="s">
        <v>70</v>
      </c>
      <c r="F1463" s="1067"/>
      <c r="G1463" s="1069" t="str">
        <f t="array" ref="G1463">IF(B1463="insumo",_xlfn.XLOOKUP($D1463,Insumos!$B$1:$B$996,Insumos!$D$1:$D$996),"")</f>
        <v/>
      </c>
      <c r="H1463" s="1069">
        <v>223.4110565</v>
      </c>
      <c r="I1463" s="1070">
        <v>0</v>
      </c>
      <c r="J1463" s="1070">
        <v>0</v>
      </c>
      <c r="K1463" s="1070"/>
      <c r="L1463"/>
      <c r="M1463"/>
      <c r="N1463"/>
      <c r="O1463"/>
      <c r="P1463"/>
      <c r="Q1463"/>
      <c r="R1463"/>
      <c r="S1463"/>
      <c r="T1463"/>
      <c r="U1463"/>
      <c r="V1463"/>
      <c r="W1463"/>
      <c r="X1463"/>
      <c r="Y1463"/>
      <c r="Z1463"/>
      <c r="AA1463"/>
      <c r="AB1463"/>
      <c r="AC1463"/>
      <c r="AD1463"/>
      <c r="AE1463"/>
      <c r="AF1463"/>
      <c r="AG1463"/>
      <c r="AH1463"/>
      <c r="AI1463"/>
      <c r="AJ1463"/>
      <c r="AK1463"/>
      <c r="AL1463"/>
    </row>
    <row r="1464" spans="1:38" ht="15.75" customHeight="1" outlineLevel="3" x14ac:dyDescent="0.2">
      <c r="A1464" s="10">
        <v>86</v>
      </c>
      <c r="B1464" s="10" t="s">
        <v>71</v>
      </c>
      <c r="C1464" s="10" t="s">
        <v>2764</v>
      </c>
      <c r="D1464" s="10" t="s">
        <v>407</v>
      </c>
      <c r="E1464" s="11" t="str">
        <f t="array" ref="E1464">_xlfn.XLOOKUP(D1464,Insumos!B:B,Insumos!C:$C)</f>
        <v>M2</v>
      </c>
      <c r="F1464" s="14">
        <v>1</v>
      </c>
      <c r="G1464" s="92">
        <f t="array" ref="G1464">IF(B1464="insumo",_xlfn.XLOOKUP($D1464,Insumos!$B$1:$B$996,Insumos!$D$1:$D$996),"")</f>
        <v>70</v>
      </c>
      <c r="H1464" s="92">
        <v>70</v>
      </c>
      <c r="I1464" s="13">
        <v>0</v>
      </c>
      <c r="J1464" s="13">
        <v>0</v>
      </c>
      <c r="K1464" s="13"/>
      <c r="L1464"/>
      <c r="M1464"/>
      <c r="N1464"/>
      <c r="O1464"/>
      <c r="P1464"/>
      <c r="Q1464"/>
      <c r="R1464"/>
      <c r="S1464"/>
      <c r="T1464"/>
      <c r="U1464"/>
      <c r="V1464"/>
      <c r="W1464"/>
      <c r="X1464"/>
      <c r="Y1464"/>
      <c r="Z1464"/>
      <c r="AA1464"/>
      <c r="AB1464"/>
      <c r="AC1464"/>
      <c r="AD1464"/>
      <c r="AE1464"/>
      <c r="AF1464"/>
      <c r="AG1464"/>
      <c r="AH1464"/>
      <c r="AI1464"/>
      <c r="AJ1464"/>
      <c r="AK1464"/>
      <c r="AL1464"/>
    </row>
    <row r="1465" spans="1:38" ht="15.75" customHeight="1" outlineLevel="3" x14ac:dyDescent="0.2">
      <c r="A1465" s="10">
        <v>47</v>
      </c>
      <c r="B1465" s="10" t="s">
        <v>71</v>
      </c>
      <c r="C1465" s="10" t="s">
        <v>2764</v>
      </c>
      <c r="D1465" s="10" t="s">
        <v>408</v>
      </c>
      <c r="E1465" s="11" t="str">
        <f t="array" ref="E1465">_xlfn.XLOOKUP(D1465,Insumos!B:B,Insumos!C:$C)</f>
        <v>M2</v>
      </c>
      <c r="F1465" s="14">
        <f>1.053*4</f>
        <v>4.2119999999999997</v>
      </c>
      <c r="G1465" s="92">
        <f t="array" ref="G1465">IF(B1465="insumo",_xlfn.XLOOKUP($D1465,Insumos!$B$1:$B$996,Insumos!$D$1:$D$996),"")</f>
        <v>20.16</v>
      </c>
      <c r="H1465" s="92">
        <v>84.913920000000005</v>
      </c>
      <c r="I1465" s="13">
        <v>0</v>
      </c>
      <c r="J1465" s="13">
        <v>0</v>
      </c>
      <c r="K1465" s="13"/>
      <c r="L1465"/>
      <c r="M1465"/>
      <c r="N1465"/>
      <c r="O1465"/>
      <c r="P1465"/>
      <c r="Q1465"/>
      <c r="R1465"/>
      <c r="S1465"/>
      <c r="T1465"/>
      <c r="U1465"/>
      <c r="V1465"/>
      <c r="W1465"/>
      <c r="X1465"/>
      <c r="Y1465"/>
      <c r="Z1465"/>
      <c r="AA1465"/>
      <c r="AB1465"/>
      <c r="AC1465"/>
      <c r="AD1465"/>
      <c r="AE1465"/>
      <c r="AF1465"/>
      <c r="AG1465"/>
      <c r="AH1465"/>
      <c r="AI1465"/>
      <c r="AJ1465"/>
      <c r="AK1465"/>
      <c r="AL1465"/>
    </row>
    <row r="1466" spans="1:38" ht="15.75" customHeight="1" outlineLevel="3" x14ac:dyDescent="0.2">
      <c r="A1466" s="10">
        <v>95</v>
      </c>
      <c r="B1466" s="10" t="s">
        <v>71</v>
      </c>
      <c r="C1466" s="10" t="s">
        <v>2764</v>
      </c>
      <c r="D1466" s="10" t="s">
        <v>409</v>
      </c>
      <c r="E1466" s="11" t="str">
        <f t="array" ref="E1466">_xlfn.XLOOKUP(D1466,Insumos!B:B,Insumos!C:$C)</f>
        <v>UN</v>
      </c>
      <c r="F1466" s="14">
        <v>5.92</v>
      </c>
      <c r="G1466" s="92">
        <f t="array" ref="G1466">IF(B1466="insumo",_xlfn.XLOOKUP($D1466,Insumos!$B$1:$B$996,Insumos!$D$1:$D$996),"")</f>
        <v>0.504</v>
      </c>
      <c r="H1466" s="92">
        <v>2.9836800000000001</v>
      </c>
      <c r="I1466" s="13">
        <v>0</v>
      </c>
      <c r="J1466" s="13">
        <v>0</v>
      </c>
      <c r="K1466" s="13"/>
      <c r="L1466"/>
      <c r="M1466"/>
      <c r="N1466"/>
      <c r="O1466"/>
      <c r="P1466"/>
      <c r="Q1466"/>
      <c r="R1466"/>
      <c r="S1466"/>
      <c r="T1466"/>
      <c r="U1466"/>
      <c r="V1466"/>
      <c r="W1466"/>
      <c r="X1466"/>
      <c r="Y1466"/>
      <c r="Z1466"/>
      <c r="AA1466"/>
      <c r="AB1466"/>
      <c r="AC1466"/>
      <c r="AD1466"/>
      <c r="AE1466"/>
      <c r="AF1466"/>
      <c r="AG1466"/>
      <c r="AH1466"/>
      <c r="AI1466"/>
      <c r="AJ1466"/>
      <c r="AK1466"/>
      <c r="AL1466"/>
    </row>
    <row r="1467" spans="1:38" ht="15.75" customHeight="1" outlineLevel="3" x14ac:dyDescent="0.2">
      <c r="A1467" s="10">
        <v>43</v>
      </c>
      <c r="B1467" s="10" t="s">
        <v>71</v>
      </c>
      <c r="C1467" s="10" t="s">
        <v>2764</v>
      </c>
      <c r="D1467" s="10" t="s">
        <v>423</v>
      </c>
      <c r="E1467" s="11" t="str">
        <f t="array" ref="E1467">_xlfn.XLOOKUP(D1467,Insumos!B:B,Insumos!C:$C)</f>
        <v>M</v>
      </c>
      <c r="F1467" s="14">
        <v>1.8233999999999999</v>
      </c>
      <c r="G1467" s="92">
        <f t="array" ref="G1467">IF(B1467="insumo",_xlfn.XLOOKUP($D1467,Insumos!$B$1:$B$996,Insumos!$D$1:$D$996),"")</f>
        <v>7.46</v>
      </c>
      <c r="H1467" s="92">
        <v>13.602563999999999</v>
      </c>
      <c r="I1467" s="13">
        <v>0</v>
      </c>
      <c r="J1467" s="13">
        <v>0</v>
      </c>
      <c r="K1467" s="13"/>
      <c r="L1467"/>
      <c r="M1467"/>
      <c r="N1467"/>
      <c r="O1467"/>
      <c r="P1467"/>
      <c r="Q1467"/>
      <c r="R1467"/>
      <c r="S1467"/>
      <c r="T1467"/>
      <c r="U1467"/>
      <c r="V1467"/>
      <c r="W1467"/>
      <c r="X1467"/>
      <c r="Y1467"/>
      <c r="Z1467"/>
      <c r="AA1467"/>
      <c r="AB1467"/>
      <c r="AC1467"/>
      <c r="AD1467"/>
      <c r="AE1467"/>
      <c r="AF1467"/>
      <c r="AG1467"/>
      <c r="AH1467"/>
      <c r="AI1467"/>
      <c r="AJ1467"/>
      <c r="AK1467"/>
      <c r="AL1467"/>
    </row>
    <row r="1468" spans="1:38" ht="15.75" customHeight="1" outlineLevel="3" x14ac:dyDescent="0.2">
      <c r="A1468" s="10">
        <v>43</v>
      </c>
      <c r="B1468" s="10" t="s">
        <v>71</v>
      </c>
      <c r="C1468" s="10" t="s">
        <v>2764</v>
      </c>
      <c r="D1468" s="10" t="s">
        <v>424</v>
      </c>
      <c r="E1468" s="11" t="str">
        <f t="array" ref="E1468">_xlfn.XLOOKUP(D1468,Insumos!B:B,Insumos!C:$C)</f>
        <v>M</v>
      </c>
      <c r="F1468" s="14">
        <v>5.8277999999999999</v>
      </c>
      <c r="G1468" s="92">
        <f t="array" ref="G1468">IF(B1468="insumo",_xlfn.XLOOKUP($D1468,Insumos!$B$1:$B$996,Insumos!$D$1:$D$996),"")</f>
        <v>7.98</v>
      </c>
      <c r="H1468" s="92">
        <v>46.505844000000003</v>
      </c>
      <c r="I1468" s="13">
        <v>0</v>
      </c>
      <c r="J1468" s="13">
        <v>0</v>
      </c>
      <c r="K1468" s="13"/>
      <c r="L1468"/>
      <c r="M1468"/>
      <c r="N1468"/>
      <c r="O1468"/>
      <c r="P1468"/>
      <c r="Q1468"/>
      <c r="R1468"/>
      <c r="S1468"/>
      <c r="T1468"/>
      <c r="U1468"/>
      <c r="V1468"/>
      <c r="W1468"/>
      <c r="X1468"/>
      <c r="Y1468"/>
      <c r="Z1468"/>
      <c r="AA1468"/>
      <c r="AB1468"/>
      <c r="AC1468"/>
      <c r="AD1468"/>
      <c r="AE1468"/>
      <c r="AF1468"/>
      <c r="AG1468"/>
      <c r="AH1468"/>
      <c r="AI1468"/>
      <c r="AJ1468"/>
      <c r="AK1468"/>
      <c r="AL1468"/>
    </row>
    <row r="1469" spans="1:38" ht="15.75" customHeight="1" outlineLevel="3" x14ac:dyDescent="0.2">
      <c r="A1469" s="10">
        <v>95</v>
      </c>
      <c r="B1469" s="10" t="s">
        <v>71</v>
      </c>
      <c r="C1469" s="10" t="s">
        <v>2764</v>
      </c>
      <c r="D1469" s="10" t="s">
        <v>405</v>
      </c>
      <c r="E1469" s="11" t="str">
        <f t="array" ref="E1469">_xlfn.XLOOKUP(D1469,Insumos!B:B,Insumos!C:$C)</f>
        <v>KG</v>
      </c>
      <c r="F1469" s="14">
        <v>0.54890000000000005</v>
      </c>
      <c r="G1469" s="92">
        <f t="array" ref="G1469">IF(B1469="insumo",_xlfn.XLOOKUP($D1469,Insumos!$B$1:$B$996,Insumos!$D$1:$D$996),"")</f>
        <v>3.43</v>
      </c>
      <c r="H1469" s="92">
        <v>1.882727</v>
      </c>
      <c r="I1469" s="13">
        <v>0</v>
      </c>
      <c r="J1469" s="13">
        <v>0</v>
      </c>
      <c r="K1469" s="13"/>
      <c r="L1469"/>
      <c r="M1469"/>
      <c r="N1469"/>
      <c r="O1469"/>
      <c r="P1469"/>
      <c r="Q1469"/>
      <c r="R1469"/>
      <c r="S1469"/>
      <c r="T1469"/>
      <c r="U1469"/>
      <c r="V1469"/>
      <c r="W1469"/>
      <c r="X1469"/>
      <c r="Y1469"/>
      <c r="Z1469"/>
      <c r="AA1469"/>
      <c r="AB1469"/>
      <c r="AC1469"/>
      <c r="AD1469"/>
      <c r="AE1469"/>
      <c r="AF1469"/>
      <c r="AG1469"/>
      <c r="AH1469"/>
      <c r="AI1469"/>
      <c r="AJ1469"/>
      <c r="AK1469"/>
      <c r="AL1469"/>
    </row>
    <row r="1470" spans="1:38" ht="15.75" customHeight="1" outlineLevel="3" x14ac:dyDescent="0.2">
      <c r="A1470" s="10">
        <v>94</v>
      </c>
      <c r="B1470" s="10" t="s">
        <v>71</v>
      </c>
      <c r="C1470" s="10" t="s">
        <v>2764</v>
      </c>
      <c r="D1470" s="10" t="s">
        <v>412</v>
      </c>
      <c r="E1470" s="11" t="str">
        <f t="array" ref="E1470">_xlfn.XLOOKUP(D1470,Insumos!B:B,Insumos!C:$C)</f>
        <v>M</v>
      </c>
      <c r="F1470" s="14">
        <v>1.25135</v>
      </c>
      <c r="G1470" s="92">
        <f t="array" ref="G1470">IF(B1470="insumo",_xlfn.XLOOKUP($D1470,Insumos!$B$1:$B$996,Insumos!$D$1:$D$996),"")</f>
        <v>0.31</v>
      </c>
      <c r="H1470" s="92">
        <v>0.3879185</v>
      </c>
      <c r="I1470" s="13">
        <v>0</v>
      </c>
      <c r="J1470" s="13">
        <v>0</v>
      </c>
      <c r="K1470" s="13"/>
      <c r="L1470"/>
      <c r="M1470"/>
      <c r="N1470"/>
      <c r="O1470"/>
      <c r="P1470"/>
      <c r="Q1470"/>
      <c r="R1470"/>
      <c r="S1470"/>
      <c r="T1470"/>
      <c r="U1470"/>
      <c r="V1470"/>
      <c r="W1470"/>
      <c r="X1470"/>
      <c r="Y1470"/>
      <c r="Z1470"/>
      <c r="AA1470"/>
      <c r="AB1470"/>
      <c r="AC1470"/>
      <c r="AD1470"/>
      <c r="AE1470"/>
      <c r="AF1470"/>
      <c r="AG1470"/>
      <c r="AH1470"/>
      <c r="AI1470"/>
      <c r="AJ1470"/>
      <c r="AK1470"/>
      <c r="AL1470"/>
    </row>
    <row r="1471" spans="1:38" ht="15.75" customHeight="1" outlineLevel="3" x14ac:dyDescent="0.2">
      <c r="A1471" s="10">
        <v>94</v>
      </c>
      <c r="B1471" s="10" t="s">
        <v>71</v>
      </c>
      <c r="C1471" s="10" t="s">
        <v>2764</v>
      </c>
      <c r="D1471" s="10" t="s">
        <v>413</v>
      </c>
      <c r="E1471" s="11" t="str">
        <f t="array" ref="E1471">_xlfn.XLOOKUP(D1471,Insumos!B:B,Insumos!C:$C)</f>
        <v>M</v>
      </c>
      <c r="F1471" s="14">
        <v>0.79254999999999998</v>
      </c>
      <c r="G1471" s="92">
        <f t="array" ref="G1471">IF(B1471="insumo",_xlfn.XLOOKUP($D1471,Insumos!$B$1:$B$996,Insumos!$D$1:$D$996),"")</f>
        <v>2.74</v>
      </c>
      <c r="H1471" s="92">
        <v>2.1715870000000002</v>
      </c>
      <c r="I1471" s="13">
        <v>0</v>
      </c>
      <c r="J1471" s="13">
        <v>0</v>
      </c>
      <c r="K1471" s="13"/>
      <c r="L1471"/>
      <c r="M1471"/>
      <c r="N1471"/>
      <c r="O1471"/>
      <c r="P1471"/>
      <c r="Q1471"/>
      <c r="R1471"/>
      <c r="S1471"/>
      <c r="T1471"/>
      <c r="U1471"/>
      <c r="V1471"/>
      <c r="W1471"/>
      <c r="X1471"/>
      <c r="Y1471"/>
      <c r="Z1471"/>
      <c r="AA1471"/>
      <c r="AB1471"/>
      <c r="AC1471"/>
      <c r="AD1471"/>
      <c r="AE1471"/>
      <c r="AF1471"/>
      <c r="AG1471"/>
      <c r="AH1471"/>
      <c r="AI1471"/>
      <c r="AJ1471"/>
      <c r="AK1471"/>
      <c r="AL1471"/>
    </row>
    <row r="1472" spans="1:38" ht="15.75" customHeight="1" outlineLevel="3" x14ac:dyDescent="0.2">
      <c r="A1472" s="10">
        <v>97</v>
      </c>
      <c r="B1472" s="10" t="s">
        <v>71</v>
      </c>
      <c r="C1472" s="10" t="s">
        <v>2764</v>
      </c>
      <c r="D1472" s="10" t="s">
        <v>414</v>
      </c>
      <c r="E1472" s="11" t="str">
        <f t="array" ref="E1472">_xlfn.XLOOKUP(D1472,Insumos!B:B,Insumos!C:$C)</f>
        <v>UN</v>
      </c>
      <c r="F1472" s="14">
        <v>10.093400000000001</v>
      </c>
      <c r="G1472" s="92">
        <f t="array" ref="G1472">IF(B1472="insumo",_xlfn.XLOOKUP($D1472,Insumos!$B$1:$B$996,Insumos!$D$1:$D$996),"")</f>
        <v>0.09</v>
      </c>
      <c r="H1472" s="92">
        <v>0.90840600000000005</v>
      </c>
      <c r="I1472" s="13">
        <v>0</v>
      </c>
      <c r="J1472" s="13">
        <v>0</v>
      </c>
      <c r="K1472" s="13"/>
      <c r="L1472"/>
      <c r="M1472"/>
      <c r="N1472"/>
      <c r="O1472"/>
      <c r="P1472"/>
      <c r="Q1472"/>
      <c r="R1472"/>
      <c r="S1472"/>
      <c r="T1472"/>
      <c r="U1472"/>
      <c r="V1472"/>
      <c r="W1472"/>
      <c r="X1472"/>
      <c r="Y1472"/>
      <c r="Z1472"/>
      <c r="AA1472"/>
      <c r="AB1472"/>
      <c r="AC1472"/>
      <c r="AD1472"/>
      <c r="AE1472"/>
      <c r="AF1472"/>
      <c r="AG1472"/>
      <c r="AH1472"/>
      <c r="AI1472"/>
      <c r="AJ1472"/>
      <c r="AK1472"/>
      <c r="AL1472"/>
    </row>
    <row r="1473" spans="1:38" ht="15.75" customHeight="1" outlineLevel="3" x14ac:dyDescent="0.2">
      <c r="A1473" s="10">
        <v>95</v>
      </c>
      <c r="B1473" s="10" t="s">
        <v>71</v>
      </c>
      <c r="C1473" s="10" t="s">
        <v>2764</v>
      </c>
      <c r="D1473" s="10" t="s">
        <v>415</v>
      </c>
      <c r="E1473" s="11" t="str">
        <f t="array" ref="E1473">_xlfn.XLOOKUP(D1473,Insumos!B:B,Insumos!C:$C)</f>
        <v>UN</v>
      </c>
      <c r="F1473" s="14">
        <v>0.27205000000000001</v>
      </c>
      <c r="G1473" s="92">
        <f t="array" ref="G1473">IF(B1473="insumo",_xlfn.XLOOKUP($D1473,Insumos!$B$1:$B$996,Insumos!$D$1:$D$996),"")</f>
        <v>0.2</v>
      </c>
      <c r="H1473" s="92">
        <v>5.441E-2</v>
      </c>
      <c r="I1473" s="13">
        <v>0</v>
      </c>
      <c r="J1473" s="13">
        <v>0</v>
      </c>
      <c r="K1473" s="13"/>
      <c r="L1473"/>
      <c r="M1473"/>
      <c r="N1473"/>
      <c r="O1473"/>
      <c r="P1473"/>
      <c r="Q1473"/>
      <c r="R1473"/>
      <c r="S1473"/>
      <c r="T1473"/>
      <c r="U1473"/>
      <c r="V1473"/>
      <c r="W1473"/>
      <c r="X1473"/>
      <c r="Y1473"/>
      <c r="Z1473"/>
      <c r="AA1473"/>
      <c r="AB1473"/>
      <c r="AC1473"/>
      <c r="AD1473"/>
      <c r="AE1473"/>
      <c r="AF1473"/>
      <c r="AG1473"/>
      <c r="AH1473"/>
      <c r="AI1473"/>
      <c r="AJ1473"/>
      <c r="AK1473"/>
      <c r="AL1473"/>
    </row>
    <row r="1474" spans="1:38" ht="15.75" customHeight="1" outlineLevel="2" x14ac:dyDescent="0.2">
      <c r="A1474" s="1067">
        <v>1</v>
      </c>
      <c r="B1474" s="1067" t="s">
        <v>68</v>
      </c>
      <c r="C1474" s="1067" t="s">
        <v>2758</v>
      </c>
      <c r="D1474" s="1067" t="s">
        <v>2758</v>
      </c>
      <c r="E1474" s="1068" t="s">
        <v>70</v>
      </c>
      <c r="F1474" s="1067"/>
      <c r="G1474" s="1069" t="str">
        <f t="array" ref="G1474">IF(B1474="insumo",_xlfn.XLOOKUP($D1474,Insumos!$B$1:$B$996,Insumos!$D$1:$D$996),"")</f>
        <v/>
      </c>
      <c r="H1474" s="1069">
        <v>274.34158366666702</v>
      </c>
      <c r="I1474" s="1070">
        <v>0</v>
      </c>
      <c r="J1474" s="1070">
        <v>0</v>
      </c>
      <c r="K1474" s="1070"/>
      <c r="L1474"/>
      <c r="M1474"/>
      <c r="N1474"/>
      <c r="O1474"/>
      <c r="P1474"/>
      <c r="Q1474"/>
      <c r="R1474"/>
      <c r="S1474"/>
      <c r="T1474"/>
      <c r="U1474"/>
      <c r="V1474"/>
      <c r="W1474"/>
      <c r="X1474"/>
      <c r="Y1474"/>
      <c r="Z1474"/>
      <c r="AA1474"/>
      <c r="AB1474"/>
      <c r="AC1474"/>
      <c r="AD1474"/>
      <c r="AE1474"/>
      <c r="AF1474"/>
      <c r="AG1474"/>
      <c r="AH1474"/>
      <c r="AI1474"/>
      <c r="AJ1474"/>
      <c r="AK1474"/>
      <c r="AL1474"/>
    </row>
    <row r="1475" spans="1:38" ht="15.75" customHeight="1" outlineLevel="3" x14ac:dyDescent="0.2">
      <c r="A1475" s="10">
        <v>86</v>
      </c>
      <c r="B1475" s="10" t="s">
        <v>71</v>
      </c>
      <c r="C1475" s="10" t="s">
        <v>2758</v>
      </c>
      <c r="D1475" s="10" t="s">
        <v>407</v>
      </c>
      <c r="E1475" s="11" t="str">
        <f t="array" ref="E1475">_xlfn.XLOOKUP(D1475,Insumos!B:B,Insumos!C:$C)</f>
        <v>M2</v>
      </c>
      <c r="F1475" s="14">
        <v>1</v>
      </c>
      <c r="G1475" s="92">
        <f t="array" ref="G1475">IF(B1475="insumo",_xlfn.XLOOKUP($D1475,Insumos!$B$1:$B$996,Insumos!$D$1:$D$996),"")</f>
        <v>70</v>
      </c>
      <c r="H1475" s="92">
        <v>70</v>
      </c>
      <c r="I1475" s="13">
        <v>0</v>
      </c>
      <c r="J1475" s="13">
        <v>0</v>
      </c>
      <c r="K1475" s="13"/>
      <c r="L1475"/>
      <c r="M1475"/>
      <c r="N1475"/>
      <c r="O1475"/>
      <c r="P1475"/>
      <c r="Q1475"/>
      <c r="R1475"/>
      <c r="S1475"/>
      <c r="T1475"/>
      <c r="U1475"/>
      <c r="V1475"/>
      <c r="W1475"/>
      <c r="X1475"/>
      <c r="Y1475"/>
      <c r="Z1475"/>
      <c r="AA1475"/>
      <c r="AB1475"/>
      <c r="AC1475"/>
      <c r="AD1475"/>
      <c r="AE1475"/>
      <c r="AF1475"/>
      <c r="AG1475"/>
      <c r="AH1475"/>
      <c r="AI1475"/>
      <c r="AJ1475"/>
      <c r="AK1475"/>
      <c r="AL1475"/>
    </row>
    <row r="1476" spans="1:38" ht="15.75" customHeight="1" outlineLevel="3" x14ac:dyDescent="0.2">
      <c r="A1476" s="10">
        <v>47</v>
      </c>
      <c r="B1476" s="10" t="s">
        <v>71</v>
      </c>
      <c r="C1476" s="10" t="s">
        <v>2758</v>
      </c>
      <c r="D1476" s="10" t="s">
        <v>408</v>
      </c>
      <c r="E1476" s="11" t="str">
        <f t="array" ref="E1476">_xlfn.XLOOKUP(D1476,Insumos!B:B,Insumos!C:$C)</f>
        <v>M2</v>
      </c>
      <c r="F1476" s="14">
        <f>1.053*2</f>
        <v>2.1059999999999999</v>
      </c>
      <c r="G1476" s="92">
        <f t="array" ref="G1476">IF(B1476="insumo",_xlfn.XLOOKUP($D1476,Insumos!$B$1:$B$996,Insumos!$D$1:$D$996),"")</f>
        <v>20.16</v>
      </c>
      <c r="H1476" s="92">
        <v>42.456960000000002</v>
      </c>
      <c r="I1476" s="13">
        <v>0</v>
      </c>
      <c r="J1476" s="13">
        <v>0</v>
      </c>
      <c r="K1476" s="13"/>
      <c r="L1476"/>
      <c r="M1476"/>
      <c r="N1476"/>
      <c r="O1476"/>
      <c r="P1476"/>
      <c r="Q1476"/>
      <c r="R1476"/>
      <c r="S1476"/>
      <c r="T1476"/>
      <c r="U1476"/>
      <c r="V1476"/>
      <c r="W1476"/>
      <c r="X1476"/>
      <c r="Y1476"/>
      <c r="Z1476"/>
      <c r="AA1476"/>
      <c r="AB1476"/>
      <c r="AC1476"/>
      <c r="AD1476"/>
      <c r="AE1476"/>
      <c r="AF1476"/>
      <c r="AG1476"/>
      <c r="AH1476"/>
      <c r="AI1476"/>
      <c r="AJ1476"/>
      <c r="AK1476"/>
      <c r="AL1476"/>
    </row>
    <row r="1477" spans="1:38" ht="15.75" customHeight="1" outlineLevel="3" x14ac:dyDescent="0.2">
      <c r="A1477" s="10">
        <v>11</v>
      </c>
      <c r="B1477" s="10" t="s">
        <v>71</v>
      </c>
      <c r="C1477" s="10" t="s">
        <v>2758</v>
      </c>
      <c r="D1477" s="10" t="s">
        <v>1390</v>
      </c>
      <c r="E1477" s="11" t="str">
        <f t="array" ref="E1477">_xlfn.XLOOKUP(D1477,Insumos!B:B,Insumos!C:$C)</f>
        <v>M2</v>
      </c>
      <c r="F1477" s="14">
        <v>1.1060000000000001</v>
      </c>
      <c r="G1477" s="92">
        <f t="array" ref="G1477">IF(B1477="insumo",_xlfn.XLOOKUP($D1477,Insumos!$B$1:$B$996,Insumos!$D$1:$D$996),"")</f>
        <v>30.089583333333337</v>
      </c>
      <c r="H1477" s="92">
        <v>33.279079166666698</v>
      </c>
      <c r="I1477" s="13">
        <v>0</v>
      </c>
      <c r="J1477" s="13">
        <v>0</v>
      </c>
      <c r="K1477" s="13"/>
      <c r="L1477"/>
      <c r="M1477"/>
      <c r="N1477"/>
      <c r="O1477"/>
      <c r="P1477"/>
      <c r="Q1477"/>
      <c r="R1477"/>
      <c r="S1477"/>
      <c r="T1477"/>
      <c r="U1477"/>
      <c r="V1477"/>
      <c r="W1477"/>
      <c r="X1477"/>
      <c r="Y1477"/>
      <c r="Z1477"/>
      <c r="AA1477"/>
      <c r="AB1477"/>
      <c r="AC1477"/>
      <c r="AD1477"/>
      <c r="AE1477"/>
      <c r="AF1477"/>
      <c r="AG1477"/>
      <c r="AH1477"/>
      <c r="AI1477"/>
      <c r="AJ1477"/>
      <c r="AK1477"/>
      <c r="AL1477"/>
    </row>
    <row r="1478" spans="1:38" ht="15.75" customHeight="1" outlineLevel="3" x14ac:dyDescent="0.2">
      <c r="A1478" s="10">
        <v>95</v>
      </c>
      <c r="B1478" s="10" t="s">
        <v>71</v>
      </c>
      <c r="C1478" s="10" t="s">
        <v>2758</v>
      </c>
      <c r="D1478" s="10" t="s">
        <v>409</v>
      </c>
      <c r="E1478" s="11" t="str">
        <f t="array" ref="E1478">_xlfn.XLOOKUP(D1478,Insumos!B:B,Insumos!C:$C)</f>
        <v>UN</v>
      </c>
      <c r="F1478" s="14">
        <v>5.92</v>
      </c>
      <c r="G1478" s="92">
        <f t="array" ref="G1478">IF(B1478="insumo",_xlfn.XLOOKUP($D1478,Insumos!$B$1:$B$996,Insumos!$D$1:$D$996),"")</f>
        <v>0.504</v>
      </c>
      <c r="H1478" s="92">
        <v>2.9836800000000001</v>
      </c>
      <c r="I1478" s="13">
        <v>0</v>
      </c>
      <c r="J1478" s="13">
        <v>0</v>
      </c>
      <c r="K1478" s="13"/>
      <c r="L1478"/>
      <c r="M1478"/>
      <c r="N1478"/>
      <c r="O1478"/>
      <c r="P1478"/>
      <c r="Q1478"/>
      <c r="R1478"/>
      <c r="S1478"/>
      <c r="T1478"/>
      <c r="U1478"/>
      <c r="V1478"/>
      <c r="W1478"/>
      <c r="X1478"/>
      <c r="Y1478"/>
      <c r="Z1478"/>
      <c r="AA1478"/>
      <c r="AB1478"/>
      <c r="AC1478"/>
      <c r="AD1478"/>
      <c r="AE1478"/>
      <c r="AF1478"/>
      <c r="AG1478"/>
      <c r="AH1478"/>
      <c r="AI1478"/>
      <c r="AJ1478"/>
      <c r="AK1478"/>
      <c r="AL1478"/>
    </row>
    <row r="1479" spans="1:38" ht="15.75" customHeight="1" outlineLevel="3" x14ac:dyDescent="0.2">
      <c r="A1479" s="10">
        <v>43</v>
      </c>
      <c r="B1479" s="10" t="s">
        <v>71</v>
      </c>
      <c r="C1479" s="10" t="s">
        <v>2758</v>
      </c>
      <c r="D1479" s="10" t="s">
        <v>423</v>
      </c>
      <c r="E1479" s="11" t="str">
        <f t="array" ref="E1479">_xlfn.XLOOKUP(D1479,Insumos!B:B,Insumos!C:$C)</f>
        <v>M</v>
      </c>
      <c r="F1479" s="14">
        <f>1.8234*2</f>
        <v>3.6467999999999998</v>
      </c>
      <c r="G1479" s="92">
        <f t="array" ref="G1479">IF(B1479="insumo",_xlfn.XLOOKUP($D1479,Insumos!$B$1:$B$996,Insumos!$D$1:$D$996),"")</f>
        <v>7.46</v>
      </c>
      <c r="H1479" s="92">
        <v>27.205127999999998</v>
      </c>
      <c r="I1479" s="13">
        <v>0</v>
      </c>
      <c r="J1479" s="13">
        <v>0</v>
      </c>
      <c r="K1479" s="13"/>
      <c r="L1479"/>
      <c r="M1479"/>
      <c r="N1479"/>
      <c r="O1479"/>
      <c r="P1479"/>
      <c r="Q1479"/>
      <c r="R1479"/>
      <c r="S1479"/>
      <c r="T1479"/>
      <c r="U1479"/>
      <c r="V1479"/>
      <c r="W1479"/>
      <c r="X1479"/>
      <c r="Y1479"/>
      <c r="Z1479"/>
      <c r="AA1479"/>
      <c r="AB1479"/>
      <c r="AC1479"/>
      <c r="AD1479"/>
      <c r="AE1479"/>
      <c r="AF1479"/>
      <c r="AG1479"/>
      <c r="AH1479"/>
      <c r="AI1479"/>
      <c r="AJ1479"/>
      <c r="AK1479"/>
      <c r="AL1479"/>
    </row>
    <row r="1480" spans="1:38" ht="15.75" customHeight="1" outlineLevel="3" x14ac:dyDescent="0.2">
      <c r="A1480" s="10">
        <v>43</v>
      </c>
      <c r="B1480" s="10" t="s">
        <v>71</v>
      </c>
      <c r="C1480" s="10" t="s">
        <v>2758</v>
      </c>
      <c r="D1480" s="10" t="s">
        <v>424</v>
      </c>
      <c r="E1480" s="11" t="str">
        <f t="array" ref="E1480">_xlfn.XLOOKUP(D1480,Insumos!B:B,Insumos!C:$C)</f>
        <v>M</v>
      </c>
      <c r="F1480" s="14">
        <f>5.8278*2</f>
        <v>11.6556</v>
      </c>
      <c r="G1480" s="92">
        <f t="array" ref="G1480">IF(B1480="insumo",_xlfn.XLOOKUP($D1480,Insumos!$B$1:$B$996,Insumos!$D$1:$D$996),"")</f>
        <v>7.98</v>
      </c>
      <c r="H1480" s="92">
        <v>93.011688000000007</v>
      </c>
      <c r="I1480" s="13">
        <v>0</v>
      </c>
      <c r="J1480" s="13">
        <v>0</v>
      </c>
      <c r="K1480" s="13"/>
      <c r="L1480"/>
      <c r="M1480"/>
      <c r="N1480"/>
      <c r="O1480"/>
      <c r="P1480"/>
      <c r="Q1480"/>
      <c r="R1480"/>
      <c r="S1480"/>
      <c r="T1480"/>
      <c r="U1480"/>
      <c r="V1480"/>
      <c r="W1480"/>
      <c r="X1480"/>
      <c r="Y1480"/>
      <c r="Z1480"/>
      <c r="AA1480"/>
      <c r="AB1480"/>
      <c r="AC1480"/>
      <c r="AD1480"/>
      <c r="AE1480"/>
      <c r="AF1480"/>
      <c r="AG1480"/>
      <c r="AH1480"/>
      <c r="AI1480"/>
      <c r="AJ1480"/>
      <c r="AK1480"/>
      <c r="AL1480"/>
    </row>
    <row r="1481" spans="1:38" ht="15.75" customHeight="1" outlineLevel="3" x14ac:dyDescent="0.2">
      <c r="A1481" s="10">
        <v>95</v>
      </c>
      <c r="B1481" s="10" t="s">
        <v>71</v>
      </c>
      <c r="C1481" s="10" t="s">
        <v>2758</v>
      </c>
      <c r="D1481" s="10" t="s">
        <v>405</v>
      </c>
      <c r="E1481" s="11" t="str">
        <f t="array" ref="E1481">_xlfn.XLOOKUP(D1481,Insumos!B:B,Insumos!C:$C)</f>
        <v>KG</v>
      </c>
      <c r="F1481" s="14">
        <v>0.54890000000000005</v>
      </c>
      <c r="G1481" s="92">
        <f t="array" ref="G1481">IF(B1481="insumo",_xlfn.XLOOKUP($D1481,Insumos!$B$1:$B$996,Insumos!$D$1:$D$996),"")</f>
        <v>3.43</v>
      </c>
      <c r="H1481" s="92">
        <v>1.882727</v>
      </c>
      <c r="I1481" s="13">
        <v>0</v>
      </c>
      <c r="J1481" s="13">
        <v>0</v>
      </c>
      <c r="K1481" s="13"/>
      <c r="L1481"/>
      <c r="M1481"/>
      <c r="N1481"/>
      <c r="O1481"/>
      <c r="P1481"/>
      <c r="Q1481"/>
      <c r="R1481"/>
      <c r="S1481"/>
      <c r="T1481"/>
      <c r="U1481"/>
      <c r="V1481"/>
      <c r="W1481"/>
      <c r="X1481"/>
      <c r="Y1481"/>
      <c r="Z1481"/>
      <c r="AA1481"/>
      <c r="AB1481"/>
      <c r="AC1481"/>
      <c r="AD1481"/>
      <c r="AE1481"/>
      <c r="AF1481"/>
      <c r="AG1481"/>
      <c r="AH1481"/>
      <c r="AI1481"/>
      <c r="AJ1481"/>
      <c r="AK1481"/>
      <c r="AL1481"/>
    </row>
    <row r="1482" spans="1:38" ht="15.75" customHeight="1" outlineLevel="3" x14ac:dyDescent="0.2">
      <c r="A1482" s="10">
        <v>94</v>
      </c>
      <c r="B1482" s="10" t="s">
        <v>71</v>
      </c>
      <c r="C1482" s="10" t="s">
        <v>2758</v>
      </c>
      <c r="D1482" s="10" t="s">
        <v>412</v>
      </c>
      <c r="E1482" s="11" t="str">
        <f t="array" ref="E1482">_xlfn.XLOOKUP(D1482,Insumos!B:B,Insumos!C:$C)</f>
        <v>M</v>
      </c>
      <c r="F1482" s="14">
        <v>1.25135</v>
      </c>
      <c r="G1482" s="92">
        <f t="array" ref="G1482">IF(B1482="insumo",_xlfn.XLOOKUP($D1482,Insumos!$B$1:$B$996,Insumos!$D$1:$D$996),"")</f>
        <v>0.31</v>
      </c>
      <c r="H1482" s="92">
        <v>0.3879185</v>
      </c>
      <c r="I1482" s="13">
        <v>0</v>
      </c>
      <c r="J1482" s="13">
        <v>0</v>
      </c>
      <c r="K1482" s="13"/>
      <c r="L1482"/>
      <c r="M1482"/>
      <c r="N1482"/>
      <c r="O1482"/>
      <c r="P1482"/>
      <c r="Q1482"/>
      <c r="R1482"/>
      <c r="S1482"/>
      <c r="T1482"/>
      <c r="U1482"/>
      <c r="V1482"/>
      <c r="W1482"/>
      <c r="X1482"/>
      <c r="Y1482"/>
      <c r="Z1482"/>
      <c r="AA1482"/>
      <c r="AB1482"/>
      <c r="AC1482"/>
      <c r="AD1482"/>
      <c r="AE1482"/>
      <c r="AF1482"/>
      <c r="AG1482"/>
      <c r="AH1482"/>
      <c r="AI1482"/>
      <c r="AJ1482"/>
      <c r="AK1482"/>
      <c r="AL1482"/>
    </row>
    <row r="1483" spans="1:38" ht="15.75" customHeight="1" outlineLevel="3" x14ac:dyDescent="0.2">
      <c r="A1483" s="10">
        <v>94</v>
      </c>
      <c r="B1483" s="10" t="s">
        <v>71</v>
      </c>
      <c r="C1483" s="10" t="s">
        <v>2758</v>
      </c>
      <c r="D1483" s="10" t="s">
        <v>413</v>
      </c>
      <c r="E1483" s="11" t="str">
        <f t="array" ref="E1483">_xlfn.XLOOKUP(D1483,Insumos!B:B,Insumos!C:$C)</f>
        <v>M</v>
      </c>
      <c r="F1483" s="14">
        <v>0.79254999999999998</v>
      </c>
      <c r="G1483" s="92">
        <f t="array" ref="G1483">IF(B1483="insumo",_xlfn.XLOOKUP($D1483,Insumos!$B$1:$B$996,Insumos!$D$1:$D$996),"")</f>
        <v>2.74</v>
      </c>
      <c r="H1483" s="92">
        <v>2.1715870000000002</v>
      </c>
      <c r="I1483" s="13">
        <v>0</v>
      </c>
      <c r="J1483" s="13">
        <v>0</v>
      </c>
      <c r="K1483" s="13"/>
      <c r="L1483"/>
      <c r="M1483"/>
      <c r="N1483"/>
      <c r="O1483"/>
      <c r="P1483"/>
      <c r="Q1483"/>
      <c r="R1483"/>
      <c r="S1483"/>
      <c r="T1483"/>
      <c r="U1483"/>
      <c r="V1483"/>
      <c r="W1483"/>
      <c r="X1483"/>
      <c r="Y1483"/>
      <c r="Z1483"/>
      <c r="AA1483"/>
      <c r="AB1483"/>
      <c r="AC1483"/>
      <c r="AD1483"/>
      <c r="AE1483"/>
      <c r="AF1483"/>
      <c r="AG1483"/>
      <c r="AH1483"/>
      <c r="AI1483"/>
      <c r="AJ1483"/>
      <c r="AK1483"/>
      <c r="AL1483"/>
    </row>
    <row r="1484" spans="1:38" ht="15.75" customHeight="1" outlineLevel="3" x14ac:dyDescent="0.2">
      <c r="A1484" s="10">
        <v>97</v>
      </c>
      <c r="B1484" s="10" t="s">
        <v>71</v>
      </c>
      <c r="C1484" s="10" t="s">
        <v>2758</v>
      </c>
      <c r="D1484" s="10" t="s">
        <v>414</v>
      </c>
      <c r="E1484" s="11" t="str">
        <f t="array" ref="E1484">_xlfn.XLOOKUP(D1484,Insumos!B:B,Insumos!C:$C)</f>
        <v>UN</v>
      </c>
      <c r="F1484" s="14">
        <v>10.093400000000001</v>
      </c>
      <c r="G1484" s="92">
        <f t="array" ref="G1484">IF(B1484="insumo",_xlfn.XLOOKUP($D1484,Insumos!$B$1:$B$996,Insumos!$D$1:$D$996),"")</f>
        <v>0.09</v>
      </c>
      <c r="H1484" s="92">
        <v>0.90840600000000005</v>
      </c>
      <c r="I1484" s="13">
        <v>0</v>
      </c>
      <c r="J1484" s="13">
        <v>0</v>
      </c>
      <c r="K1484" s="13"/>
      <c r="L1484"/>
      <c r="M1484"/>
      <c r="N1484"/>
      <c r="O1484"/>
      <c r="P1484"/>
      <c r="Q1484"/>
      <c r="R1484"/>
      <c r="S1484"/>
      <c r="T1484"/>
      <c r="U1484"/>
      <c r="V1484"/>
      <c r="W1484"/>
      <c r="X1484"/>
      <c r="Y1484"/>
      <c r="Z1484"/>
      <c r="AA1484"/>
      <c r="AB1484"/>
      <c r="AC1484"/>
      <c r="AD1484"/>
      <c r="AE1484"/>
      <c r="AF1484"/>
      <c r="AG1484"/>
      <c r="AH1484"/>
      <c r="AI1484"/>
      <c r="AJ1484"/>
      <c r="AK1484"/>
      <c r="AL1484"/>
    </row>
    <row r="1485" spans="1:38" ht="15.75" customHeight="1" outlineLevel="3" x14ac:dyDescent="0.2">
      <c r="A1485" s="10">
        <v>95</v>
      </c>
      <c r="B1485" s="10" t="s">
        <v>71</v>
      </c>
      <c r="C1485" s="10" t="s">
        <v>2758</v>
      </c>
      <c r="D1485" s="10" t="s">
        <v>415</v>
      </c>
      <c r="E1485" s="11" t="str">
        <f t="array" ref="E1485">_xlfn.XLOOKUP(D1485,Insumos!B:B,Insumos!C:$C)</f>
        <v>UN</v>
      </c>
      <c r="F1485" s="14">
        <v>0.27205000000000001</v>
      </c>
      <c r="G1485" s="92">
        <f t="array" ref="G1485">IF(B1485="insumo",_xlfn.XLOOKUP($D1485,Insumos!$B$1:$B$996,Insumos!$D$1:$D$996),"")</f>
        <v>0.2</v>
      </c>
      <c r="H1485" s="92">
        <v>5.441E-2</v>
      </c>
      <c r="I1485" s="13">
        <v>0</v>
      </c>
      <c r="J1485" s="13">
        <v>0</v>
      </c>
      <c r="K1485" s="13"/>
      <c r="L1485"/>
      <c r="M1485"/>
      <c r="N1485"/>
      <c r="O1485"/>
      <c r="P1485"/>
      <c r="Q1485"/>
      <c r="R1485"/>
      <c r="S1485"/>
      <c r="T1485"/>
      <c r="U1485"/>
      <c r="V1485"/>
      <c r="W1485"/>
      <c r="X1485"/>
      <c r="Y1485"/>
      <c r="Z1485"/>
      <c r="AA1485"/>
      <c r="AB1485"/>
      <c r="AC1485"/>
      <c r="AD1485"/>
      <c r="AE1485"/>
      <c r="AF1485"/>
      <c r="AG1485"/>
      <c r="AH1485"/>
      <c r="AI1485"/>
      <c r="AJ1485"/>
      <c r="AK1485"/>
      <c r="AL1485"/>
    </row>
    <row r="1486" spans="1:38" ht="15.75" customHeight="1" outlineLevel="2" x14ac:dyDescent="0.2">
      <c r="A1486" s="1067">
        <v>1</v>
      </c>
      <c r="B1486" s="1067" t="s">
        <v>68</v>
      </c>
      <c r="C1486" s="1067" t="s">
        <v>2759</v>
      </c>
      <c r="D1486" s="1067" t="s">
        <v>2759</v>
      </c>
      <c r="E1486" s="1068" t="s">
        <v>70</v>
      </c>
      <c r="F1486" s="1067"/>
      <c r="G1486" s="1069" t="str">
        <f t="array" ref="G1486">IF(B1486="insumo",_xlfn.XLOOKUP($D1486,Insumos!$B$1:$B$996,Insumos!$D$1:$D$996),"")</f>
        <v/>
      </c>
      <c r="H1486" s="1069">
        <v>264.17223616666701</v>
      </c>
      <c r="I1486" s="1070">
        <v>0</v>
      </c>
      <c r="J1486" s="1070">
        <v>0</v>
      </c>
      <c r="K1486" s="1070"/>
      <c r="L1486"/>
      <c r="M1486"/>
      <c r="N1486"/>
      <c r="O1486"/>
      <c r="P1486"/>
      <c r="Q1486"/>
      <c r="R1486"/>
      <c r="S1486"/>
      <c r="T1486"/>
      <c r="U1486"/>
      <c r="V1486"/>
      <c r="W1486"/>
      <c r="X1486"/>
      <c r="Y1486"/>
      <c r="Z1486"/>
      <c r="AA1486"/>
      <c r="AB1486"/>
      <c r="AC1486"/>
      <c r="AD1486"/>
      <c r="AE1486"/>
      <c r="AF1486"/>
      <c r="AG1486"/>
      <c r="AH1486"/>
      <c r="AI1486"/>
      <c r="AJ1486"/>
      <c r="AK1486"/>
      <c r="AL1486"/>
    </row>
    <row r="1487" spans="1:38" ht="15.75" customHeight="1" outlineLevel="3" x14ac:dyDescent="0.2">
      <c r="A1487" s="10">
        <v>86</v>
      </c>
      <c r="B1487" s="10" t="s">
        <v>71</v>
      </c>
      <c r="C1487" s="10" t="s">
        <v>2759</v>
      </c>
      <c r="D1487" s="10" t="s">
        <v>407</v>
      </c>
      <c r="E1487" s="11" t="str">
        <f t="array" ref="E1487">_xlfn.XLOOKUP(D1487,Insumos!B:B,Insumos!C:$C)</f>
        <v>M2</v>
      </c>
      <c r="F1487" s="14">
        <v>1</v>
      </c>
      <c r="G1487" s="92">
        <f t="array" ref="G1487">IF(B1487="insumo",_xlfn.XLOOKUP($D1487,Insumos!$B$1:$B$996,Insumos!$D$1:$D$996),"")</f>
        <v>70</v>
      </c>
      <c r="H1487" s="92">
        <v>70</v>
      </c>
      <c r="I1487" s="13">
        <v>0</v>
      </c>
      <c r="J1487" s="13">
        <v>0</v>
      </c>
      <c r="K1487" s="13"/>
      <c r="L1487"/>
      <c r="M1487"/>
      <c r="N1487"/>
      <c r="O1487"/>
      <c r="P1487"/>
      <c r="Q1487"/>
      <c r="R1487"/>
      <c r="S1487"/>
      <c r="T1487"/>
      <c r="U1487"/>
      <c r="V1487"/>
      <c r="W1487"/>
      <c r="X1487"/>
      <c r="Y1487"/>
      <c r="Z1487"/>
      <c r="AA1487"/>
      <c r="AB1487"/>
      <c r="AC1487"/>
      <c r="AD1487"/>
      <c r="AE1487"/>
      <c r="AF1487"/>
      <c r="AG1487"/>
      <c r="AH1487"/>
      <c r="AI1487"/>
      <c r="AJ1487"/>
      <c r="AK1487"/>
      <c r="AL1487"/>
    </row>
    <row r="1488" spans="1:38" ht="15.75" customHeight="1" outlineLevel="3" x14ac:dyDescent="0.2">
      <c r="A1488" s="10">
        <v>3</v>
      </c>
      <c r="B1488" s="10" t="s">
        <v>71</v>
      </c>
      <c r="C1488" s="10" t="s">
        <v>2759</v>
      </c>
      <c r="D1488" s="10" t="s">
        <v>2771</v>
      </c>
      <c r="E1488" s="11" t="str">
        <f t="array" ref="E1488">_xlfn.XLOOKUP(D1488,Insumos!B:B,Insumos!C:$C)</f>
        <v>M2</v>
      </c>
      <c r="F1488" s="14">
        <f>1.053*1</f>
        <v>1.0529999999999999</v>
      </c>
      <c r="G1488" s="92">
        <f t="array" ref="G1488">IF(B1488="insumo",_xlfn.XLOOKUP($D1488,Insumos!$B$1:$B$996,Insumos!$D$1:$D$996),"")</f>
        <v>30.662500000000001</v>
      </c>
      <c r="H1488" s="92">
        <v>32.287612500000002</v>
      </c>
      <c r="I1488" s="13">
        <v>0</v>
      </c>
      <c r="J1488" s="13">
        <v>0</v>
      </c>
      <c r="K1488" s="13"/>
      <c r="L1488"/>
      <c r="M1488"/>
      <c r="N1488"/>
      <c r="O1488"/>
      <c r="P1488"/>
      <c r="Q1488"/>
      <c r="R1488"/>
      <c r="S1488"/>
      <c r="T1488"/>
      <c r="U1488"/>
      <c r="V1488"/>
      <c r="W1488"/>
      <c r="X1488"/>
      <c r="Y1488"/>
      <c r="Z1488"/>
      <c r="AA1488"/>
      <c r="AB1488"/>
      <c r="AC1488"/>
      <c r="AD1488"/>
      <c r="AE1488"/>
      <c r="AF1488"/>
      <c r="AG1488"/>
      <c r="AH1488"/>
      <c r="AI1488"/>
      <c r="AJ1488"/>
      <c r="AK1488"/>
      <c r="AL1488"/>
    </row>
    <row r="1489" spans="1:38" ht="15.75" customHeight="1" outlineLevel="3" x14ac:dyDescent="0.2">
      <c r="A1489" s="10">
        <v>11</v>
      </c>
      <c r="B1489" s="10" t="s">
        <v>71</v>
      </c>
      <c r="C1489" s="10" t="s">
        <v>2759</v>
      </c>
      <c r="D1489" s="10" t="s">
        <v>1390</v>
      </c>
      <c r="E1489" s="11" t="str">
        <f t="array" ref="E1489">_xlfn.XLOOKUP(D1489,Insumos!B:B,Insumos!C:$C)</f>
        <v>M2</v>
      </c>
      <c r="F1489" s="14">
        <v>1.1060000000000001</v>
      </c>
      <c r="G1489" s="92">
        <f t="array" ref="G1489">IF(B1489="insumo",_xlfn.XLOOKUP($D1489,Insumos!$B$1:$B$996,Insumos!$D$1:$D$996),"")</f>
        <v>30.089583333333337</v>
      </c>
      <c r="H1489" s="92">
        <v>33.279079166666698</v>
      </c>
      <c r="I1489" s="13">
        <v>0</v>
      </c>
      <c r="J1489" s="13">
        <v>0</v>
      </c>
      <c r="K1489" s="13"/>
      <c r="L1489"/>
      <c r="M1489"/>
      <c r="N1489"/>
      <c r="O1489"/>
      <c r="P1489"/>
      <c r="Q1489"/>
      <c r="R1489"/>
      <c r="S1489"/>
      <c r="T1489"/>
      <c r="U1489"/>
      <c r="V1489"/>
      <c r="W1489"/>
      <c r="X1489"/>
      <c r="Y1489"/>
      <c r="Z1489"/>
      <c r="AA1489"/>
      <c r="AB1489"/>
      <c r="AC1489"/>
      <c r="AD1489"/>
      <c r="AE1489"/>
      <c r="AF1489"/>
      <c r="AG1489"/>
      <c r="AH1489"/>
      <c r="AI1489"/>
      <c r="AJ1489"/>
      <c r="AK1489"/>
      <c r="AL1489"/>
    </row>
    <row r="1490" spans="1:38" ht="15.75" customHeight="1" outlineLevel="3" x14ac:dyDescent="0.2">
      <c r="A1490" s="10">
        <v>95</v>
      </c>
      <c r="B1490" s="10" t="s">
        <v>71</v>
      </c>
      <c r="C1490" s="10" t="s">
        <v>2759</v>
      </c>
      <c r="D1490" s="10" t="s">
        <v>409</v>
      </c>
      <c r="E1490" s="11" t="str">
        <f t="array" ref="E1490">_xlfn.XLOOKUP(D1490,Insumos!B:B,Insumos!C:$C)</f>
        <v>UN</v>
      </c>
      <c r="F1490" s="14">
        <v>5.92</v>
      </c>
      <c r="G1490" s="92">
        <f t="array" ref="G1490">IF(B1490="insumo",_xlfn.XLOOKUP($D1490,Insumos!$B$1:$B$996,Insumos!$D$1:$D$996),"")</f>
        <v>0.504</v>
      </c>
      <c r="H1490" s="92">
        <v>2.9836800000000001</v>
      </c>
      <c r="I1490" s="13">
        <v>0</v>
      </c>
      <c r="J1490" s="13">
        <v>0</v>
      </c>
      <c r="K1490" s="13"/>
      <c r="L1490"/>
      <c r="M1490"/>
      <c r="N1490"/>
      <c r="O1490"/>
      <c r="P1490"/>
      <c r="Q1490"/>
      <c r="R1490"/>
      <c r="S1490"/>
      <c r="T1490"/>
      <c r="U1490"/>
      <c r="V1490"/>
      <c r="W1490"/>
      <c r="X1490"/>
      <c r="Y1490"/>
      <c r="Z1490"/>
      <c r="AA1490"/>
      <c r="AB1490"/>
      <c r="AC1490"/>
      <c r="AD1490"/>
      <c r="AE1490"/>
      <c r="AF1490"/>
      <c r="AG1490"/>
      <c r="AH1490"/>
      <c r="AI1490"/>
      <c r="AJ1490"/>
      <c r="AK1490"/>
      <c r="AL1490"/>
    </row>
    <row r="1491" spans="1:38" ht="15.75" customHeight="1" outlineLevel="3" x14ac:dyDescent="0.2">
      <c r="A1491" s="10">
        <v>43</v>
      </c>
      <c r="B1491" s="10" t="s">
        <v>71</v>
      </c>
      <c r="C1491" s="10" t="s">
        <v>2759</v>
      </c>
      <c r="D1491" s="10" t="s">
        <v>423</v>
      </c>
      <c r="E1491" s="11" t="str">
        <f t="array" ref="E1491">_xlfn.XLOOKUP(D1491,Insumos!B:B,Insumos!C:$C)</f>
        <v>M</v>
      </c>
      <c r="F1491" s="14">
        <f>1.8234*2</f>
        <v>3.6467999999999998</v>
      </c>
      <c r="G1491" s="92">
        <f t="array" ref="G1491">IF(B1491="insumo",_xlfn.XLOOKUP($D1491,Insumos!$B$1:$B$996,Insumos!$D$1:$D$996),"")</f>
        <v>7.46</v>
      </c>
      <c r="H1491" s="92">
        <v>27.205127999999998</v>
      </c>
      <c r="I1491" s="13">
        <v>0</v>
      </c>
      <c r="J1491" s="13">
        <v>0</v>
      </c>
      <c r="K1491" s="13"/>
      <c r="L1491"/>
      <c r="M1491"/>
      <c r="N1491"/>
      <c r="O1491"/>
      <c r="P1491"/>
      <c r="Q1491"/>
      <c r="R1491"/>
      <c r="S1491"/>
      <c r="T1491"/>
      <c r="U1491"/>
      <c r="V1491"/>
      <c r="W1491"/>
      <c r="X1491"/>
      <c r="Y1491"/>
      <c r="Z1491"/>
      <c r="AA1491"/>
      <c r="AB1491"/>
      <c r="AC1491"/>
      <c r="AD1491"/>
      <c r="AE1491"/>
      <c r="AF1491"/>
      <c r="AG1491"/>
      <c r="AH1491"/>
      <c r="AI1491"/>
      <c r="AJ1491"/>
      <c r="AK1491"/>
      <c r="AL1491"/>
    </row>
    <row r="1492" spans="1:38" ht="15.75" customHeight="1" outlineLevel="3" x14ac:dyDescent="0.2">
      <c r="A1492" s="10">
        <v>43</v>
      </c>
      <c r="B1492" s="10" t="s">
        <v>71</v>
      </c>
      <c r="C1492" s="10" t="s">
        <v>2759</v>
      </c>
      <c r="D1492" s="10" t="s">
        <v>424</v>
      </c>
      <c r="E1492" s="11" t="str">
        <f t="array" ref="E1492">_xlfn.XLOOKUP(D1492,Insumos!B:B,Insumos!C:$C)</f>
        <v>M</v>
      </c>
      <c r="F1492" s="14">
        <f>5.8278*2</f>
        <v>11.6556</v>
      </c>
      <c r="G1492" s="92">
        <f t="array" ref="G1492">IF(B1492="insumo",_xlfn.XLOOKUP($D1492,Insumos!$B$1:$B$996,Insumos!$D$1:$D$996),"")</f>
        <v>7.98</v>
      </c>
      <c r="H1492" s="92">
        <v>93.011688000000007</v>
      </c>
      <c r="I1492" s="13">
        <v>0</v>
      </c>
      <c r="J1492" s="13">
        <v>0</v>
      </c>
      <c r="K1492" s="13"/>
      <c r="L1492"/>
      <c r="M1492"/>
      <c r="N1492"/>
      <c r="O1492"/>
      <c r="P1492"/>
      <c r="Q1492"/>
      <c r="R1492"/>
      <c r="S1492"/>
      <c r="T1492"/>
      <c r="U1492"/>
      <c r="V1492"/>
      <c r="W1492"/>
      <c r="X1492"/>
      <c r="Y1492"/>
      <c r="Z1492"/>
      <c r="AA1492"/>
      <c r="AB1492"/>
      <c r="AC1492"/>
      <c r="AD1492"/>
      <c r="AE1492"/>
      <c r="AF1492"/>
      <c r="AG1492"/>
      <c r="AH1492"/>
      <c r="AI1492"/>
      <c r="AJ1492"/>
      <c r="AK1492"/>
      <c r="AL1492"/>
    </row>
    <row r="1493" spans="1:38" ht="15.75" customHeight="1" outlineLevel="3" x14ac:dyDescent="0.2">
      <c r="A1493" s="10">
        <v>95</v>
      </c>
      <c r="B1493" s="10" t="s">
        <v>71</v>
      </c>
      <c r="C1493" s="10" t="s">
        <v>2759</v>
      </c>
      <c r="D1493" s="10" t="s">
        <v>405</v>
      </c>
      <c r="E1493" s="11" t="str">
        <f t="array" ref="E1493">_xlfn.XLOOKUP(D1493,Insumos!B:B,Insumos!C:$C)</f>
        <v>KG</v>
      </c>
      <c r="F1493" s="14">
        <v>0.54890000000000005</v>
      </c>
      <c r="G1493" s="92">
        <f t="array" ref="G1493">IF(B1493="insumo",_xlfn.XLOOKUP($D1493,Insumos!$B$1:$B$996,Insumos!$D$1:$D$996),"")</f>
        <v>3.43</v>
      </c>
      <c r="H1493" s="92">
        <v>1.882727</v>
      </c>
      <c r="I1493" s="13">
        <v>0</v>
      </c>
      <c r="J1493" s="13">
        <v>0</v>
      </c>
      <c r="K1493" s="13"/>
      <c r="L1493"/>
      <c r="M1493"/>
      <c r="N1493"/>
      <c r="O1493"/>
      <c r="P1493"/>
      <c r="Q1493"/>
      <c r="R1493"/>
      <c r="S1493"/>
      <c r="T1493"/>
      <c r="U1493"/>
      <c r="V1493"/>
      <c r="W1493"/>
      <c r="X1493"/>
      <c r="Y1493"/>
      <c r="Z1493"/>
      <c r="AA1493"/>
      <c r="AB1493"/>
      <c r="AC1493"/>
      <c r="AD1493"/>
      <c r="AE1493"/>
      <c r="AF1493"/>
      <c r="AG1493"/>
      <c r="AH1493"/>
      <c r="AI1493"/>
      <c r="AJ1493"/>
      <c r="AK1493"/>
      <c r="AL1493"/>
    </row>
    <row r="1494" spans="1:38" ht="15.75" customHeight="1" outlineLevel="3" x14ac:dyDescent="0.2">
      <c r="A1494" s="10">
        <v>94</v>
      </c>
      <c r="B1494" s="10" t="s">
        <v>71</v>
      </c>
      <c r="C1494" s="10" t="s">
        <v>2759</v>
      </c>
      <c r="D1494" s="10" t="s">
        <v>412</v>
      </c>
      <c r="E1494" s="11" t="str">
        <f t="array" ref="E1494">_xlfn.XLOOKUP(D1494,Insumos!B:B,Insumos!C:$C)</f>
        <v>M</v>
      </c>
      <c r="F1494" s="14">
        <v>1.25135</v>
      </c>
      <c r="G1494" s="92">
        <f t="array" ref="G1494">IF(B1494="insumo",_xlfn.XLOOKUP($D1494,Insumos!$B$1:$B$996,Insumos!$D$1:$D$996),"")</f>
        <v>0.31</v>
      </c>
      <c r="H1494" s="92">
        <v>0.3879185</v>
      </c>
      <c r="I1494" s="13">
        <v>0</v>
      </c>
      <c r="J1494" s="13">
        <v>0</v>
      </c>
      <c r="K1494" s="13"/>
      <c r="L1494"/>
      <c r="M1494"/>
      <c r="N1494"/>
      <c r="O1494"/>
      <c r="P1494"/>
      <c r="Q1494"/>
      <c r="R1494"/>
      <c r="S1494"/>
      <c r="T1494"/>
      <c r="U1494"/>
      <c r="V1494"/>
      <c r="W1494"/>
      <c r="X1494"/>
      <c r="Y1494"/>
      <c r="Z1494"/>
      <c r="AA1494"/>
      <c r="AB1494"/>
      <c r="AC1494"/>
      <c r="AD1494"/>
      <c r="AE1494"/>
      <c r="AF1494"/>
      <c r="AG1494"/>
      <c r="AH1494"/>
      <c r="AI1494"/>
      <c r="AJ1494"/>
      <c r="AK1494"/>
      <c r="AL1494"/>
    </row>
    <row r="1495" spans="1:38" ht="15.75" customHeight="1" outlineLevel="3" x14ac:dyDescent="0.2">
      <c r="A1495" s="10">
        <v>94</v>
      </c>
      <c r="B1495" s="10" t="s">
        <v>71</v>
      </c>
      <c r="C1495" s="10" t="s">
        <v>2759</v>
      </c>
      <c r="D1495" s="10" t="s">
        <v>413</v>
      </c>
      <c r="E1495" s="11" t="str">
        <f t="array" ref="E1495">_xlfn.XLOOKUP(D1495,Insumos!B:B,Insumos!C:$C)</f>
        <v>M</v>
      </c>
      <c r="F1495" s="14">
        <v>0.79254999999999998</v>
      </c>
      <c r="G1495" s="92">
        <f t="array" ref="G1495">IF(B1495="insumo",_xlfn.XLOOKUP($D1495,Insumos!$B$1:$B$996,Insumos!$D$1:$D$996),"")</f>
        <v>2.74</v>
      </c>
      <c r="H1495" s="92">
        <v>2.1715870000000002</v>
      </c>
      <c r="I1495" s="13">
        <v>0</v>
      </c>
      <c r="J1495" s="13">
        <v>0</v>
      </c>
      <c r="K1495" s="13"/>
      <c r="L1495"/>
      <c r="M1495"/>
      <c r="N1495"/>
      <c r="O1495"/>
      <c r="P1495"/>
      <c r="Q1495"/>
      <c r="R1495"/>
      <c r="S1495"/>
      <c r="T1495"/>
      <c r="U1495"/>
      <c r="V1495"/>
      <c r="W1495"/>
      <c r="X1495"/>
      <c r="Y1495"/>
      <c r="Z1495"/>
      <c r="AA1495"/>
      <c r="AB1495"/>
      <c r="AC1495"/>
      <c r="AD1495"/>
      <c r="AE1495"/>
      <c r="AF1495"/>
      <c r="AG1495"/>
      <c r="AH1495"/>
      <c r="AI1495"/>
      <c r="AJ1495"/>
      <c r="AK1495"/>
      <c r="AL1495"/>
    </row>
    <row r="1496" spans="1:38" ht="15.75" customHeight="1" outlineLevel="3" x14ac:dyDescent="0.2">
      <c r="A1496" s="10">
        <v>97</v>
      </c>
      <c r="B1496" s="10" t="s">
        <v>71</v>
      </c>
      <c r="C1496" s="10" t="s">
        <v>2759</v>
      </c>
      <c r="D1496" s="10" t="s">
        <v>414</v>
      </c>
      <c r="E1496" s="11" t="str">
        <f t="array" ref="E1496">_xlfn.XLOOKUP(D1496,Insumos!B:B,Insumos!C:$C)</f>
        <v>UN</v>
      </c>
      <c r="F1496" s="14">
        <v>10.093400000000001</v>
      </c>
      <c r="G1496" s="92">
        <f t="array" ref="G1496">IF(B1496="insumo",_xlfn.XLOOKUP($D1496,Insumos!$B$1:$B$996,Insumos!$D$1:$D$996),"")</f>
        <v>0.09</v>
      </c>
      <c r="H1496" s="92">
        <v>0.90840600000000005</v>
      </c>
      <c r="I1496" s="13">
        <v>0</v>
      </c>
      <c r="J1496" s="13">
        <v>0</v>
      </c>
      <c r="K1496" s="13"/>
      <c r="L1496"/>
      <c r="M1496"/>
      <c r="N1496"/>
      <c r="O1496"/>
      <c r="P1496"/>
      <c r="Q1496"/>
      <c r="R1496"/>
      <c r="S1496"/>
      <c r="T1496"/>
      <c r="U1496"/>
      <c r="V1496"/>
      <c r="W1496"/>
      <c r="X1496"/>
      <c r="Y1496"/>
      <c r="Z1496"/>
      <c r="AA1496"/>
      <c r="AB1496"/>
      <c r="AC1496"/>
      <c r="AD1496"/>
      <c r="AE1496"/>
      <c r="AF1496"/>
      <c r="AG1496"/>
      <c r="AH1496"/>
      <c r="AI1496"/>
      <c r="AJ1496"/>
      <c r="AK1496"/>
      <c r="AL1496"/>
    </row>
    <row r="1497" spans="1:38" ht="15.75" customHeight="1" outlineLevel="3" x14ac:dyDescent="0.2">
      <c r="A1497" s="10">
        <v>95</v>
      </c>
      <c r="B1497" s="10" t="s">
        <v>71</v>
      </c>
      <c r="C1497" s="10" t="s">
        <v>2759</v>
      </c>
      <c r="D1497" s="10" t="s">
        <v>415</v>
      </c>
      <c r="E1497" s="11" t="str">
        <f t="array" ref="E1497">_xlfn.XLOOKUP(D1497,Insumos!B:B,Insumos!C:$C)</f>
        <v>UN</v>
      </c>
      <c r="F1497" s="14">
        <v>0.27205000000000001</v>
      </c>
      <c r="G1497" s="92">
        <f t="array" ref="G1497">IF(B1497="insumo",_xlfn.XLOOKUP($D1497,Insumos!$B$1:$B$996,Insumos!$D$1:$D$996),"")</f>
        <v>0.2</v>
      </c>
      <c r="H1497" s="92">
        <v>5.441E-2</v>
      </c>
      <c r="I1497" s="13">
        <v>0</v>
      </c>
      <c r="J1497" s="13">
        <v>0</v>
      </c>
      <c r="K1497" s="13"/>
      <c r="L1497"/>
      <c r="M1497"/>
      <c r="N1497"/>
      <c r="O1497"/>
      <c r="P1497"/>
      <c r="Q1497"/>
      <c r="R1497"/>
      <c r="S1497"/>
      <c r="T1497"/>
      <c r="U1497"/>
      <c r="V1497"/>
      <c r="W1497"/>
      <c r="X1497"/>
      <c r="Y1497"/>
      <c r="Z1497"/>
      <c r="AA1497"/>
      <c r="AB1497"/>
      <c r="AC1497"/>
      <c r="AD1497"/>
      <c r="AE1497"/>
      <c r="AF1497"/>
      <c r="AG1497"/>
      <c r="AH1497"/>
      <c r="AI1497"/>
      <c r="AJ1497"/>
      <c r="AK1497"/>
      <c r="AL1497"/>
    </row>
    <row r="1498" spans="1:38" ht="14.25" customHeight="1" outlineLevel="2" x14ac:dyDescent="0.2">
      <c r="A1498" s="1067">
        <v>1</v>
      </c>
      <c r="B1498" s="1067" t="s">
        <v>68</v>
      </c>
      <c r="C1498" s="1067" t="s">
        <v>2760</v>
      </c>
      <c r="D1498" s="1067" t="s">
        <v>2760</v>
      </c>
      <c r="E1498" s="1068" t="s">
        <v>70</v>
      </c>
      <c r="F1498" s="1067"/>
      <c r="G1498" s="1069" t="str">
        <f t="array" ref="G1498">IF(B1498="insumo",_xlfn.XLOOKUP($D1498,Insumos!$B$1:$B$996,Insumos!$D$1:$D$996),"")</f>
        <v/>
      </c>
      <c r="H1498" s="1069">
        <v>452.492188666667</v>
      </c>
      <c r="I1498" s="1070">
        <v>0</v>
      </c>
      <c r="J1498" s="1070">
        <v>0</v>
      </c>
      <c r="K1498" s="1070"/>
      <c r="L1498"/>
      <c r="M1498"/>
      <c r="N1498"/>
      <c r="O1498"/>
      <c r="P1498"/>
      <c r="Q1498"/>
      <c r="R1498"/>
      <c r="S1498"/>
      <c r="T1498"/>
      <c r="U1498"/>
      <c r="V1498"/>
      <c r="W1498"/>
      <c r="X1498"/>
      <c r="Y1498"/>
      <c r="Z1498"/>
      <c r="AA1498"/>
      <c r="AB1498"/>
      <c r="AC1498"/>
      <c r="AD1498"/>
      <c r="AE1498"/>
      <c r="AF1498"/>
      <c r="AG1498"/>
      <c r="AH1498"/>
      <c r="AI1498"/>
      <c r="AJ1498"/>
      <c r="AK1498"/>
      <c r="AL1498"/>
    </row>
    <row r="1499" spans="1:38" ht="15.75" customHeight="1" outlineLevel="3" x14ac:dyDescent="0.2">
      <c r="A1499" s="10">
        <v>86</v>
      </c>
      <c r="B1499" s="10" t="s">
        <v>71</v>
      </c>
      <c r="C1499" s="10" t="s">
        <v>2760</v>
      </c>
      <c r="D1499" s="10" t="s">
        <v>407</v>
      </c>
      <c r="E1499" s="11" t="str">
        <f t="array" ref="E1499">_xlfn.XLOOKUP(D1499,Insumos!B:B,Insumos!C:$C)</f>
        <v>M2</v>
      </c>
      <c r="F1499" s="14">
        <v>1</v>
      </c>
      <c r="G1499" s="92">
        <f t="array" ref="G1499">IF(B1499="insumo",_xlfn.XLOOKUP($D1499,Insumos!$B$1:$B$996,Insumos!$D$1:$D$996),"")</f>
        <v>70</v>
      </c>
      <c r="H1499" s="92">
        <v>70</v>
      </c>
      <c r="I1499" s="13">
        <v>0</v>
      </c>
      <c r="J1499" s="13">
        <v>0</v>
      </c>
      <c r="K1499" s="13"/>
      <c r="L1499"/>
      <c r="M1499"/>
      <c r="N1499"/>
      <c r="O1499"/>
      <c r="P1499"/>
      <c r="Q1499"/>
      <c r="R1499"/>
      <c r="S1499"/>
      <c r="T1499"/>
      <c r="U1499"/>
      <c r="V1499"/>
      <c r="W1499"/>
      <c r="X1499"/>
      <c r="Y1499"/>
      <c r="Z1499"/>
      <c r="AA1499"/>
      <c r="AB1499"/>
      <c r="AC1499"/>
      <c r="AD1499"/>
      <c r="AE1499"/>
      <c r="AF1499"/>
      <c r="AG1499"/>
      <c r="AH1499"/>
      <c r="AI1499"/>
      <c r="AJ1499"/>
      <c r="AK1499"/>
      <c r="AL1499"/>
    </row>
    <row r="1500" spans="1:38" ht="15.75" customHeight="1" outlineLevel="3" x14ac:dyDescent="0.2">
      <c r="A1500" s="10">
        <v>3</v>
      </c>
      <c r="B1500" s="10" t="s">
        <v>71</v>
      </c>
      <c r="C1500" s="10" t="s">
        <v>2760</v>
      </c>
      <c r="D1500" s="10" t="s">
        <v>2771</v>
      </c>
      <c r="E1500" s="11" t="str">
        <f t="array" ref="E1500">_xlfn.XLOOKUP(D1500,Insumos!B:B,Insumos!C:$C)</f>
        <v>M2</v>
      </c>
      <c r="F1500" s="14">
        <f>1.053*1</f>
        <v>1.0529999999999999</v>
      </c>
      <c r="G1500" s="92">
        <f t="array" ref="G1500">IF(B1500="insumo",_xlfn.XLOOKUP($D1500,Insumos!$B$1:$B$996,Insumos!$D$1:$D$996),"")</f>
        <v>30.662500000000001</v>
      </c>
      <c r="H1500" s="92">
        <v>32.287612500000002</v>
      </c>
      <c r="I1500" s="13">
        <v>0</v>
      </c>
      <c r="J1500" s="13">
        <v>0</v>
      </c>
      <c r="K1500" s="13"/>
      <c r="L1500"/>
      <c r="M1500"/>
      <c r="N1500"/>
      <c r="O1500"/>
      <c r="P1500"/>
      <c r="Q1500"/>
      <c r="R1500"/>
      <c r="S1500"/>
      <c r="T1500"/>
      <c r="U1500"/>
      <c r="V1500"/>
      <c r="W1500"/>
      <c r="X1500"/>
      <c r="Y1500"/>
      <c r="Z1500"/>
      <c r="AA1500"/>
      <c r="AB1500"/>
      <c r="AC1500"/>
      <c r="AD1500"/>
      <c r="AE1500"/>
      <c r="AF1500"/>
      <c r="AG1500"/>
      <c r="AH1500"/>
      <c r="AI1500"/>
      <c r="AJ1500"/>
      <c r="AK1500"/>
      <c r="AL1500"/>
    </row>
    <row r="1501" spans="1:38" ht="15.75" customHeight="1" outlineLevel="3" x14ac:dyDescent="0.2">
      <c r="A1501" s="10">
        <v>2</v>
      </c>
      <c r="B1501" s="10" t="s">
        <v>71</v>
      </c>
      <c r="C1501" s="10" t="s">
        <v>2760</v>
      </c>
      <c r="D1501" s="10" t="s">
        <v>2770</v>
      </c>
      <c r="E1501" s="11" t="str">
        <f t="array" ref="E1501">_xlfn.XLOOKUP(D1501,Insumos!B:B,Insumos!C:$C)</f>
        <v>M2</v>
      </c>
      <c r="F1501" s="14">
        <f>1.053*1</f>
        <v>1.0529999999999999</v>
      </c>
      <c r="G1501" s="92">
        <f t="array" ref="G1501">IF(B1501="insumo",_xlfn.XLOOKUP($D1501,Insumos!$B$1:$B$996,Insumos!$D$1:$D$996),"")</f>
        <v>62.847685185185185</v>
      </c>
      <c r="H1501" s="92">
        <v>66.1786125</v>
      </c>
      <c r="I1501" s="13">
        <v>0</v>
      </c>
      <c r="J1501" s="13">
        <v>0</v>
      </c>
      <c r="K1501" s="13"/>
      <c r="L1501"/>
      <c r="M1501"/>
      <c r="N1501"/>
      <c r="O1501"/>
      <c r="P1501"/>
      <c r="Q1501"/>
      <c r="R1501"/>
      <c r="S1501"/>
      <c r="T1501"/>
      <c r="U1501"/>
      <c r="V1501"/>
      <c r="W1501"/>
      <c r="X1501"/>
      <c r="Y1501"/>
      <c r="Z1501"/>
      <c r="AA1501"/>
      <c r="AB1501"/>
      <c r="AC1501"/>
      <c r="AD1501"/>
      <c r="AE1501"/>
      <c r="AF1501"/>
      <c r="AG1501"/>
      <c r="AH1501"/>
      <c r="AI1501"/>
      <c r="AJ1501"/>
      <c r="AK1501"/>
      <c r="AL1501"/>
    </row>
    <row r="1502" spans="1:38" ht="15.75" customHeight="1" outlineLevel="3" x14ac:dyDescent="0.2">
      <c r="A1502" s="10">
        <v>11</v>
      </c>
      <c r="B1502" s="10" t="s">
        <v>71</v>
      </c>
      <c r="C1502" s="10" t="s">
        <v>2760</v>
      </c>
      <c r="D1502" s="10" t="s">
        <v>1390</v>
      </c>
      <c r="E1502" s="11" t="str">
        <f t="array" ref="E1502">_xlfn.XLOOKUP(D1502,Insumos!B:B,Insumos!C:$C)</f>
        <v>M2</v>
      </c>
      <c r="F1502" s="14">
        <v>1.1060000000000001</v>
      </c>
      <c r="G1502" s="92">
        <f t="array" ref="G1502">IF(B1502="insumo",_xlfn.XLOOKUP($D1502,Insumos!$B$1:$B$996,Insumos!$D$1:$D$996),"")</f>
        <v>30.089583333333337</v>
      </c>
      <c r="H1502" s="92">
        <v>33.279079166666698</v>
      </c>
      <c r="I1502" s="13">
        <v>0</v>
      </c>
      <c r="J1502" s="13">
        <v>0</v>
      </c>
      <c r="K1502" s="13"/>
      <c r="L1502"/>
      <c r="M1502"/>
      <c r="N1502"/>
      <c r="O1502"/>
      <c r="P1502"/>
      <c r="Q1502"/>
      <c r="R1502"/>
      <c r="S1502"/>
      <c r="T1502"/>
      <c r="U1502"/>
      <c r="V1502"/>
      <c r="W1502"/>
      <c r="X1502"/>
      <c r="Y1502"/>
      <c r="Z1502"/>
      <c r="AA1502"/>
      <c r="AB1502"/>
      <c r="AC1502"/>
      <c r="AD1502"/>
      <c r="AE1502"/>
      <c r="AF1502"/>
      <c r="AG1502"/>
      <c r="AH1502"/>
      <c r="AI1502"/>
      <c r="AJ1502"/>
      <c r="AK1502"/>
      <c r="AL1502"/>
    </row>
    <row r="1503" spans="1:38" ht="15.75" customHeight="1" outlineLevel="3" x14ac:dyDescent="0.2">
      <c r="A1503" s="10">
        <v>95</v>
      </c>
      <c r="B1503" s="10" t="s">
        <v>71</v>
      </c>
      <c r="C1503" s="10" t="s">
        <v>2760</v>
      </c>
      <c r="D1503" s="10" t="s">
        <v>409</v>
      </c>
      <c r="E1503" s="11" t="str">
        <f t="array" ref="E1503">_xlfn.XLOOKUP(D1503,Insumos!B:B,Insumos!C:$C)</f>
        <v>UN</v>
      </c>
      <c r="F1503" s="14">
        <v>5.92</v>
      </c>
      <c r="G1503" s="92">
        <f t="array" ref="G1503">IF(B1503="insumo",_xlfn.XLOOKUP($D1503,Insumos!$B$1:$B$996,Insumos!$D$1:$D$996),"")</f>
        <v>0.504</v>
      </c>
      <c r="H1503" s="92">
        <v>2.9836800000000001</v>
      </c>
      <c r="I1503" s="13">
        <v>0</v>
      </c>
      <c r="J1503" s="13">
        <v>0</v>
      </c>
      <c r="K1503" s="13"/>
      <c r="L1503"/>
      <c r="M1503"/>
      <c r="N1503"/>
      <c r="O1503"/>
      <c r="P1503"/>
      <c r="Q1503"/>
      <c r="R1503"/>
      <c r="S1503"/>
      <c r="T1503"/>
      <c r="U1503"/>
      <c r="V1503"/>
      <c r="W1503"/>
      <c r="X1503"/>
      <c r="Y1503"/>
      <c r="Z1503"/>
      <c r="AA1503"/>
      <c r="AB1503"/>
      <c r="AC1503"/>
      <c r="AD1503"/>
      <c r="AE1503"/>
      <c r="AF1503"/>
      <c r="AG1503"/>
      <c r="AH1503"/>
      <c r="AI1503"/>
      <c r="AJ1503"/>
      <c r="AK1503"/>
      <c r="AL1503"/>
    </row>
    <row r="1504" spans="1:38" ht="15.75" customHeight="1" outlineLevel="3" x14ac:dyDescent="0.2">
      <c r="A1504" s="10">
        <v>26</v>
      </c>
      <c r="B1504" s="10" t="s">
        <v>71</v>
      </c>
      <c r="C1504" s="10" t="s">
        <v>2760</v>
      </c>
      <c r="D1504" s="10" t="s">
        <v>420</v>
      </c>
      <c r="E1504" s="11" t="str">
        <f t="array" ref="E1504">_xlfn.XLOOKUP(D1504,Insumos!B:B,Insumos!C:$C)</f>
        <v>M</v>
      </c>
      <c r="F1504" s="14">
        <f>1.8234*2</f>
        <v>3.6467999999999998</v>
      </c>
      <c r="G1504" s="92">
        <f t="array" ref="G1504">IF(B1504="insumo",_xlfn.XLOOKUP($D1504,Insumos!$B$1:$B$996,Insumos!$D$1:$D$996),"")</f>
        <v>8.64</v>
      </c>
      <c r="H1504" s="92">
        <v>31.508351999999999</v>
      </c>
      <c r="I1504" s="13">
        <v>0</v>
      </c>
      <c r="J1504" s="13">
        <v>0</v>
      </c>
      <c r="K1504" s="13"/>
      <c r="L1504"/>
      <c r="M1504"/>
      <c r="N1504"/>
      <c r="O1504"/>
      <c r="P1504"/>
      <c r="Q1504"/>
      <c r="R1504"/>
      <c r="S1504"/>
      <c r="T1504"/>
      <c r="U1504"/>
      <c r="V1504"/>
      <c r="W1504"/>
      <c r="X1504"/>
      <c r="Y1504"/>
      <c r="Z1504"/>
      <c r="AA1504"/>
      <c r="AB1504"/>
      <c r="AC1504"/>
      <c r="AD1504"/>
      <c r="AE1504"/>
      <c r="AF1504"/>
      <c r="AG1504"/>
      <c r="AH1504"/>
      <c r="AI1504"/>
      <c r="AJ1504"/>
      <c r="AK1504"/>
      <c r="AL1504"/>
    </row>
    <row r="1505" spans="1:38" ht="15.75" customHeight="1" outlineLevel="3" x14ac:dyDescent="0.2">
      <c r="A1505" s="10">
        <v>26</v>
      </c>
      <c r="B1505" s="10" t="s">
        <v>71</v>
      </c>
      <c r="C1505" s="10" t="s">
        <v>2760</v>
      </c>
      <c r="D1505" s="10" t="s">
        <v>421</v>
      </c>
      <c r="E1505" s="11" t="str">
        <f t="array" ref="E1505">_xlfn.XLOOKUP(D1505,Insumos!B:B,Insumos!C:$C)</f>
        <v>M</v>
      </c>
      <c r="F1505" s="14">
        <f>5.8278*2</f>
        <v>11.6556</v>
      </c>
      <c r="G1505" s="92">
        <f t="array" ref="G1505">IF(B1505="insumo",_xlfn.XLOOKUP($D1505,Insumos!$B$1:$B$996,Insumos!$D$1:$D$996),"")</f>
        <v>18.09</v>
      </c>
      <c r="H1505" s="92">
        <v>210.84980400000001</v>
      </c>
      <c r="I1505" s="13">
        <v>0</v>
      </c>
      <c r="J1505" s="13">
        <v>0</v>
      </c>
      <c r="K1505" s="13"/>
      <c r="L1505"/>
      <c r="M1505"/>
      <c r="N1505"/>
      <c r="O1505"/>
      <c r="P1505"/>
      <c r="Q1505"/>
      <c r="R1505"/>
      <c r="S1505"/>
      <c r="T1505"/>
      <c r="U1505"/>
      <c r="V1505"/>
      <c r="W1505"/>
      <c r="X1505"/>
      <c r="Y1505"/>
      <c r="Z1505"/>
      <c r="AA1505"/>
      <c r="AB1505"/>
      <c r="AC1505"/>
      <c r="AD1505"/>
      <c r="AE1505"/>
      <c r="AF1505"/>
      <c r="AG1505"/>
      <c r="AH1505"/>
      <c r="AI1505"/>
      <c r="AJ1505"/>
      <c r="AK1505"/>
      <c r="AL1505"/>
    </row>
    <row r="1506" spans="1:38" ht="15.75" customHeight="1" outlineLevel="3" x14ac:dyDescent="0.2">
      <c r="A1506" s="10">
        <v>95</v>
      </c>
      <c r="B1506" s="10" t="s">
        <v>71</v>
      </c>
      <c r="C1506" s="10" t="s">
        <v>2760</v>
      </c>
      <c r="D1506" s="10" t="s">
        <v>405</v>
      </c>
      <c r="E1506" s="11" t="str">
        <f t="array" ref="E1506">_xlfn.XLOOKUP(D1506,Insumos!B:B,Insumos!C:$C)</f>
        <v>KG</v>
      </c>
      <c r="F1506" s="14">
        <v>0.54890000000000005</v>
      </c>
      <c r="G1506" s="92">
        <f t="array" ref="G1506">IF(B1506="insumo",_xlfn.XLOOKUP($D1506,Insumos!$B$1:$B$996,Insumos!$D$1:$D$996),"")</f>
        <v>3.43</v>
      </c>
      <c r="H1506" s="92">
        <v>1.882727</v>
      </c>
      <c r="I1506" s="13">
        <v>0</v>
      </c>
      <c r="J1506" s="13">
        <v>0</v>
      </c>
      <c r="K1506" s="13"/>
      <c r="L1506"/>
      <c r="M1506"/>
      <c r="N1506"/>
      <c r="O1506"/>
      <c r="P1506"/>
      <c r="Q1506"/>
      <c r="R1506"/>
      <c r="S1506"/>
      <c r="T1506"/>
      <c r="U1506"/>
      <c r="V1506"/>
      <c r="W1506"/>
      <c r="X1506"/>
      <c r="Y1506"/>
      <c r="Z1506"/>
      <c r="AA1506"/>
      <c r="AB1506"/>
      <c r="AC1506"/>
      <c r="AD1506"/>
      <c r="AE1506"/>
      <c r="AF1506"/>
      <c r="AG1506"/>
      <c r="AH1506"/>
      <c r="AI1506"/>
      <c r="AJ1506"/>
      <c r="AK1506"/>
      <c r="AL1506"/>
    </row>
    <row r="1507" spans="1:38" ht="15.75" customHeight="1" outlineLevel="3" x14ac:dyDescent="0.2">
      <c r="A1507" s="10">
        <v>94</v>
      </c>
      <c r="B1507" s="10" t="s">
        <v>71</v>
      </c>
      <c r="C1507" s="10" t="s">
        <v>2760</v>
      </c>
      <c r="D1507" s="10" t="s">
        <v>412</v>
      </c>
      <c r="E1507" s="11" t="str">
        <f t="array" ref="E1507">_xlfn.XLOOKUP(D1507,Insumos!B:B,Insumos!C:$C)</f>
        <v>M</v>
      </c>
      <c r="F1507" s="14">
        <v>1.25135</v>
      </c>
      <c r="G1507" s="92">
        <f t="array" ref="G1507">IF(B1507="insumo",_xlfn.XLOOKUP($D1507,Insumos!$B$1:$B$996,Insumos!$D$1:$D$996),"")</f>
        <v>0.31</v>
      </c>
      <c r="H1507" s="92">
        <v>0.3879185</v>
      </c>
      <c r="I1507" s="13">
        <v>0</v>
      </c>
      <c r="J1507" s="13">
        <v>0</v>
      </c>
      <c r="K1507" s="13"/>
      <c r="L1507"/>
      <c r="M1507"/>
      <c r="N1507"/>
      <c r="O1507"/>
      <c r="P1507"/>
      <c r="Q1507"/>
      <c r="R1507"/>
      <c r="S1507"/>
      <c r="T1507"/>
      <c r="U1507"/>
      <c r="V1507"/>
      <c r="W1507"/>
      <c r="X1507"/>
      <c r="Y1507"/>
      <c r="Z1507"/>
      <c r="AA1507"/>
      <c r="AB1507"/>
      <c r="AC1507"/>
      <c r="AD1507"/>
      <c r="AE1507"/>
      <c r="AF1507"/>
      <c r="AG1507"/>
      <c r="AH1507"/>
      <c r="AI1507"/>
      <c r="AJ1507"/>
      <c r="AK1507"/>
      <c r="AL1507"/>
    </row>
    <row r="1508" spans="1:38" ht="15.75" customHeight="1" outlineLevel="3" x14ac:dyDescent="0.2">
      <c r="A1508" s="10">
        <v>94</v>
      </c>
      <c r="B1508" s="10" t="s">
        <v>71</v>
      </c>
      <c r="C1508" s="10" t="s">
        <v>2760</v>
      </c>
      <c r="D1508" s="10" t="s">
        <v>413</v>
      </c>
      <c r="E1508" s="11" t="str">
        <f t="array" ref="E1508">_xlfn.XLOOKUP(D1508,Insumos!B:B,Insumos!C:$C)</f>
        <v>M</v>
      </c>
      <c r="F1508" s="14">
        <v>0.79254999999999998</v>
      </c>
      <c r="G1508" s="92">
        <f t="array" ref="G1508">IF(B1508="insumo",_xlfn.XLOOKUP($D1508,Insumos!$B$1:$B$996,Insumos!$D$1:$D$996),"")</f>
        <v>2.74</v>
      </c>
      <c r="H1508" s="92">
        <v>2.1715870000000002</v>
      </c>
      <c r="I1508" s="13">
        <v>0</v>
      </c>
      <c r="J1508" s="13">
        <v>0</v>
      </c>
      <c r="K1508" s="13"/>
      <c r="L1508"/>
      <c r="M1508"/>
      <c r="N1508"/>
      <c r="O1508"/>
      <c r="P1508"/>
      <c r="Q1508"/>
      <c r="R1508"/>
      <c r="S1508"/>
      <c r="T1508"/>
      <c r="U1508"/>
      <c r="V1508"/>
      <c r="W1508"/>
      <c r="X1508"/>
      <c r="Y1508"/>
      <c r="Z1508"/>
      <c r="AA1508"/>
      <c r="AB1508"/>
      <c r="AC1508"/>
      <c r="AD1508"/>
      <c r="AE1508"/>
      <c r="AF1508"/>
      <c r="AG1508"/>
      <c r="AH1508"/>
      <c r="AI1508"/>
      <c r="AJ1508"/>
      <c r="AK1508"/>
      <c r="AL1508"/>
    </row>
    <row r="1509" spans="1:38" ht="15.75" customHeight="1" outlineLevel="3" x14ac:dyDescent="0.2">
      <c r="A1509" s="10">
        <v>97</v>
      </c>
      <c r="B1509" s="10" t="s">
        <v>71</v>
      </c>
      <c r="C1509" s="10" t="s">
        <v>2760</v>
      </c>
      <c r="D1509" s="10" t="s">
        <v>414</v>
      </c>
      <c r="E1509" s="11" t="str">
        <f t="array" ref="E1509">_xlfn.XLOOKUP(D1509,Insumos!B:B,Insumos!C:$C)</f>
        <v>UN</v>
      </c>
      <c r="F1509" s="14">
        <v>10.093400000000001</v>
      </c>
      <c r="G1509" s="92">
        <f t="array" ref="G1509">IF(B1509="insumo",_xlfn.XLOOKUP($D1509,Insumos!$B$1:$B$996,Insumos!$D$1:$D$996),"")</f>
        <v>0.09</v>
      </c>
      <c r="H1509" s="92">
        <v>0.90840600000000005</v>
      </c>
      <c r="I1509" s="13">
        <v>0</v>
      </c>
      <c r="J1509" s="13">
        <v>0</v>
      </c>
      <c r="K1509" s="13"/>
      <c r="L1509"/>
      <c r="M1509"/>
      <c r="N1509"/>
      <c r="O1509"/>
      <c r="P1509"/>
      <c r="Q1509"/>
      <c r="R1509"/>
      <c r="S1509"/>
      <c r="T1509"/>
      <c r="U1509"/>
      <c r="V1509"/>
      <c r="W1509"/>
      <c r="X1509"/>
      <c r="Y1509"/>
      <c r="Z1509"/>
      <c r="AA1509"/>
      <c r="AB1509"/>
      <c r="AC1509"/>
      <c r="AD1509"/>
      <c r="AE1509"/>
      <c r="AF1509"/>
      <c r="AG1509"/>
      <c r="AH1509"/>
      <c r="AI1509"/>
      <c r="AJ1509"/>
      <c r="AK1509"/>
      <c r="AL1509"/>
    </row>
    <row r="1510" spans="1:38" ht="15.75" customHeight="1" outlineLevel="3" x14ac:dyDescent="0.2">
      <c r="A1510" s="10">
        <v>95</v>
      </c>
      <c r="B1510" s="10" t="s">
        <v>71</v>
      </c>
      <c r="C1510" s="10" t="s">
        <v>2760</v>
      </c>
      <c r="D1510" s="10" t="s">
        <v>415</v>
      </c>
      <c r="E1510" s="11" t="str">
        <f t="array" ref="E1510">_xlfn.XLOOKUP(D1510,Insumos!B:B,Insumos!C:$C)</f>
        <v>UN</v>
      </c>
      <c r="F1510" s="14">
        <v>0.27205000000000001</v>
      </c>
      <c r="G1510" s="92">
        <f t="array" ref="G1510">IF(B1510="insumo",_xlfn.XLOOKUP($D1510,Insumos!$B$1:$B$996,Insumos!$D$1:$D$996),"")</f>
        <v>0.2</v>
      </c>
      <c r="H1510" s="92">
        <v>5.441E-2</v>
      </c>
      <c r="I1510" s="13">
        <v>0</v>
      </c>
      <c r="J1510" s="13">
        <v>0</v>
      </c>
      <c r="K1510" s="13"/>
      <c r="L1510"/>
      <c r="M1510"/>
      <c r="N1510"/>
      <c r="O1510"/>
      <c r="P1510"/>
      <c r="Q1510"/>
      <c r="R1510"/>
      <c r="S1510"/>
      <c r="T1510"/>
      <c r="U1510"/>
      <c r="V1510"/>
      <c r="W1510"/>
      <c r="X1510"/>
      <c r="Y1510"/>
      <c r="Z1510"/>
      <c r="AA1510"/>
      <c r="AB1510"/>
      <c r="AC1510"/>
      <c r="AD1510"/>
      <c r="AE1510"/>
      <c r="AF1510"/>
      <c r="AG1510"/>
      <c r="AH1510"/>
      <c r="AI1510"/>
      <c r="AJ1510"/>
      <c r="AK1510"/>
      <c r="AL1510"/>
    </row>
    <row r="1511" spans="1:38" ht="14.25" customHeight="1" outlineLevel="2" x14ac:dyDescent="0.2">
      <c r="A1511" s="1067">
        <v>1</v>
      </c>
      <c r="B1511" s="1067" t="s">
        <v>68</v>
      </c>
      <c r="C1511" s="1067" t="s">
        <v>2761</v>
      </c>
      <c r="D1511" s="1067" t="s">
        <v>2761</v>
      </c>
      <c r="E1511" s="1068" t="s">
        <v>70</v>
      </c>
      <c r="F1511" s="1067"/>
      <c r="G1511" s="1069" t="str">
        <f t="array" ref="G1511">IF(B1511="insumo",_xlfn.XLOOKUP($D1511,Insumos!$B$1:$B$996,Insumos!$D$1:$D$996),"")</f>
        <v/>
      </c>
      <c r="H1511" s="1069">
        <v>452.492188666667</v>
      </c>
      <c r="I1511" s="1070">
        <v>0</v>
      </c>
      <c r="J1511" s="1070">
        <v>0</v>
      </c>
      <c r="K1511" s="1070"/>
      <c r="L1511"/>
      <c r="M1511"/>
      <c r="N1511"/>
      <c r="O1511"/>
      <c r="P1511"/>
      <c r="Q1511"/>
      <c r="R1511"/>
      <c r="S1511"/>
      <c r="T1511"/>
      <c r="U1511"/>
      <c r="V1511"/>
      <c r="W1511"/>
      <c r="X1511"/>
      <c r="Y1511"/>
      <c r="Z1511"/>
      <c r="AA1511"/>
      <c r="AB1511"/>
      <c r="AC1511"/>
      <c r="AD1511"/>
      <c r="AE1511"/>
      <c r="AF1511"/>
      <c r="AG1511"/>
      <c r="AH1511"/>
      <c r="AI1511"/>
      <c r="AJ1511"/>
      <c r="AK1511"/>
      <c r="AL1511"/>
    </row>
    <row r="1512" spans="1:38" ht="15.75" customHeight="1" outlineLevel="3" x14ac:dyDescent="0.2">
      <c r="A1512" s="10">
        <v>86</v>
      </c>
      <c r="B1512" s="10" t="s">
        <v>71</v>
      </c>
      <c r="C1512" s="10" t="s">
        <v>2761</v>
      </c>
      <c r="D1512" s="10" t="s">
        <v>407</v>
      </c>
      <c r="E1512" s="11" t="str">
        <f t="array" ref="E1512">_xlfn.XLOOKUP(D1512,Insumos!B:B,Insumos!C:$C)</f>
        <v>M2</v>
      </c>
      <c r="F1512" s="14">
        <v>1</v>
      </c>
      <c r="G1512" s="92">
        <f t="array" ref="G1512">IF(B1512="insumo",_xlfn.XLOOKUP($D1512,Insumos!$B$1:$B$996,Insumos!$D$1:$D$996),"")</f>
        <v>70</v>
      </c>
      <c r="H1512" s="92">
        <v>70</v>
      </c>
      <c r="I1512" s="13">
        <v>0</v>
      </c>
      <c r="J1512" s="13">
        <v>0</v>
      </c>
      <c r="K1512" s="13"/>
      <c r="L1512"/>
      <c r="M1512"/>
      <c r="N1512"/>
      <c r="O1512"/>
      <c r="P1512"/>
      <c r="Q1512"/>
      <c r="R1512"/>
      <c r="S1512"/>
      <c r="T1512"/>
      <c r="U1512"/>
      <c r="V1512"/>
      <c r="W1512"/>
      <c r="X1512"/>
      <c r="Y1512"/>
      <c r="Z1512"/>
      <c r="AA1512"/>
      <c r="AB1512"/>
      <c r="AC1512"/>
      <c r="AD1512"/>
      <c r="AE1512"/>
      <c r="AF1512"/>
      <c r="AG1512"/>
      <c r="AH1512"/>
      <c r="AI1512"/>
      <c r="AJ1512"/>
      <c r="AK1512"/>
      <c r="AL1512"/>
    </row>
    <row r="1513" spans="1:38" ht="15.75" customHeight="1" outlineLevel="3" x14ac:dyDescent="0.2">
      <c r="A1513" s="10">
        <v>3</v>
      </c>
      <c r="B1513" s="10" t="s">
        <v>71</v>
      </c>
      <c r="C1513" s="10" t="s">
        <v>2761</v>
      </c>
      <c r="D1513" s="10" t="s">
        <v>2771</v>
      </c>
      <c r="E1513" s="11" t="str">
        <f t="array" ref="E1513">_xlfn.XLOOKUP(D1513,Insumos!B:B,Insumos!C:$C)</f>
        <v>M2</v>
      </c>
      <c r="F1513" s="14">
        <f>1.053*1</f>
        <v>1.0529999999999999</v>
      </c>
      <c r="G1513" s="92">
        <f t="array" ref="G1513">IF(B1513="insumo",_xlfn.XLOOKUP($D1513,Insumos!$B$1:$B$996,Insumos!$D$1:$D$996),"")</f>
        <v>30.662500000000001</v>
      </c>
      <c r="H1513" s="92">
        <v>32.287612500000002</v>
      </c>
      <c r="I1513" s="13">
        <v>0</v>
      </c>
      <c r="J1513" s="13">
        <v>0</v>
      </c>
      <c r="K1513" s="13"/>
      <c r="L1513"/>
      <c r="M1513"/>
      <c r="N1513"/>
      <c r="O1513"/>
      <c r="P1513"/>
      <c r="Q1513"/>
      <c r="R1513"/>
      <c r="S1513"/>
      <c r="T1513"/>
      <c r="U1513"/>
      <c r="V1513"/>
      <c r="W1513"/>
      <c r="X1513"/>
      <c r="Y1513"/>
      <c r="Z1513"/>
      <c r="AA1513"/>
      <c r="AB1513"/>
      <c r="AC1513"/>
      <c r="AD1513"/>
      <c r="AE1513"/>
      <c r="AF1513"/>
      <c r="AG1513"/>
      <c r="AH1513"/>
      <c r="AI1513"/>
      <c r="AJ1513"/>
      <c r="AK1513"/>
      <c r="AL1513"/>
    </row>
    <row r="1514" spans="1:38" ht="15.75" customHeight="1" outlineLevel="3" x14ac:dyDescent="0.2">
      <c r="A1514" s="10">
        <v>2</v>
      </c>
      <c r="B1514" s="10" t="s">
        <v>71</v>
      </c>
      <c r="C1514" s="10" t="s">
        <v>2761</v>
      </c>
      <c r="D1514" s="10" t="s">
        <v>2770</v>
      </c>
      <c r="E1514" s="11" t="str">
        <f t="array" ref="E1514">_xlfn.XLOOKUP(D1514,Insumos!B:B,Insumos!C:$C)</f>
        <v>M2</v>
      </c>
      <c r="F1514" s="14">
        <f>1.053*1</f>
        <v>1.0529999999999999</v>
      </c>
      <c r="G1514" s="92">
        <f t="array" ref="G1514">IF(B1514="insumo",_xlfn.XLOOKUP($D1514,Insumos!$B$1:$B$996,Insumos!$D$1:$D$996),"")</f>
        <v>62.847685185185185</v>
      </c>
      <c r="H1514" s="92">
        <v>66.1786125</v>
      </c>
      <c r="I1514" s="13">
        <v>0</v>
      </c>
      <c r="J1514" s="13">
        <v>0</v>
      </c>
      <c r="K1514" s="13"/>
      <c r="L1514"/>
      <c r="M1514"/>
      <c r="N1514"/>
      <c r="O1514"/>
      <c r="P1514"/>
      <c r="Q1514"/>
      <c r="R1514"/>
      <c r="S1514"/>
      <c r="T1514"/>
      <c r="U1514"/>
      <c r="V1514"/>
      <c r="W1514"/>
      <c r="X1514"/>
      <c r="Y1514"/>
      <c r="Z1514"/>
      <c r="AA1514"/>
      <c r="AB1514"/>
      <c r="AC1514"/>
      <c r="AD1514"/>
      <c r="AE1514"/>
      <c r="AF1514"/>
      <c r="AG1514"/>
      <c r="AH1514"/>
      <c r="AI1514"/>
      <c r="AJ1514"/>
      <c r="AK1514"/>
      <c r="AL1514"/>
    </row>
    <row r="1515" spans="1:38" ht="15.75" customHeight="1" outlineLevel="3" x14ac:dyDescent="0.2">
      <c r="A1515" s="10">
        <v>11</v>
      </c>
      <c r="B1515" s="10" t="s">
        <v>71</v>
      </c>
      <c r="C1515" s="10" t="s">
        <v>2761</v>
      </c>
      <c r="D1515" s="10" t="s">
        <v>1390</v>
      </c>
      <c r="E1515" s="11" t="str">
        <f t="array" ref="E1515">_xlfn.XLOOKUP(D1515,Insumos!B:B,Insumos!C:$C)</f>
        <v>M2</v>
      </c>
      <c r="F1515" s="14">
        <v>1.1060000000000001</v>
      </c>
      <c r="G1515" s="92">
        <f t="array" ref="G1515">IF(B1515="insumo",_xlfn.XLOOKUP($D1515,Insumos!$B$1:$B$996,Insumos!$D$1:$D$996),"")</f>
        <v>30.089583333333337</v>
      </c>
      <c r="H1515" s="92">
        <v>33.279079166666698</v>
      </c>
      <c r="I1515" s="13">
        <v>0</v>
      </c>
      <c r="J1515" s="13">
        <v>0</v>
      </c>
      <c r="K1515" s="13"/>
      <c r="L1515"/>
      <c r="M1515"/>
      <c r="N1515"/>
      <c r="O1515"/>
      <c r="P1515"/>
      <c r="Q1515"/>
      <c r="R1515"/>
      <c r="S1515"/>
      <c r="T1515"/>
      <c r="U1515"/>
      <c r="V1515"/>
      <c r="W1515"/>
      <c r="X1515"/>
      <c r="Y1515"/>
      <c r="Z1515"/>
      <c r="AA1515"/>
      <c r="AB1515"/>
      <c r="AC1515"/>
      <c r="AD1515"/>
      <c r="AE1515"/>
      <c r="AF1515"/>
      <c r="AG1515"/>
      <c r="AH1515"/>
      <c r="AI1515"/>
      <c r="AJ1515"/>
      <c r="AK1515"/>
      <c r="AL1515"/>
    </row>
    <row r="1516" spans="1:38" ht="15.75" customHeight="1" outlineLevel="3" x14ac:dyDescent="0.2">
      <c r="A1516" s="10">
        <v>95</v>
      </c>
      <c r="B1516" s="10" t="s">
        <v>71</v>
      </c>
      <c r="C1516" s="10" t="s">
        <v>2761</v>
      </c>
      <c r="D1516" s="10" t="s">
        <v>409</v>
      </c>
      <c r="E1516" s="11" t="str">
        <f t="array" ref="E1516">_xlfn.XLOOKUP(D1516,Insumos!B:B,Insumos!C:$C)</f>
        <v>UN</v>
      </c>
      <c r="F1516" s="14">
        <v>5.92</v>
      </c>
      <c r="G1516" s="92">
        <f t="array" ref="G1516">IF(B1516="insumo",_xlfn.XLOOKUP($D1516,Insumos!$B$1:$B$996,Insumos!$D$1:$D$996),"")</f>
        <v>0.504</v>
      </c>
      <c r="H1516" s="92">
        <v>2.9836800000000001</v>
      </c>
      <c r="I1516" s="13">
        <v>0</v>
      </c>
      <c r="J1516" s="13">
        <v>0</v>
      </c>
      <c r="K1516" s="13"/>
      <c r="L1516"/>
      <c r="M1516"/>
      <c r="N1516"/>
      <c r="O1516"/>
      <c r="P1516"/>
      <c r="Q1516"/>
      <c r="R1516"/>
      <c r="S1516"/>
      <c r="T1516"/>
      <c r="U1516"/>
      <c r="V1516"/>
      <c r="W1516"/>
      <c r="X1516"/>
      <c r="Y1516"/>
      <c r="Z1516"/>
      <c r="AA1516"/>
      <c r="AB1516"/>
      <c r="AC1516"/>
      <c r="AD1516"/>
      <c r="AE1516"/>
      <c r="AF1516"/>
      <c r="AG1516"/>
      <c r="AH1516"/>
      <c r="AI1516"/>
      <c r="AJ1516"/>
      <c r="AK1516"/>
      <c r="AL1516"/>
    </row>
    <row r="1517" spans="1:38" ht="15.75" customHeight="1" outlineLevel="3" x14ac:dyDescent="0.2">
      <c r="A1517" s="10">
        <v>26</v>
      </c>
      <c r="B1517" s="10" t="s">
        <v>71</v>
      </c>
      <c r="C1517" s="10" t="s">
        <v>2761</v>
      </c>
      <c r="D1517" s="10" t="s">
        <v>420</v>
      </c>
      <c r="E1517" s="11" t="str">
        <f t="array" ref="E1517">_xlfn.XLOOKUP(D1517,Insumos!B:B,Insumos!C:$C)</f>
        <v>M</v>
      </c>
      <c r="F1517" s="14">
        <f>1.8234*2</f>
        <v>3.6467999999999998</v>
      </c>
      <c r="G1517" s="92">
        <f t="array" ref="G1517">IF(B1517="insumo",_xlfn.XLOOKUP($D1517,Insumos!$B$1:$B$996,Insumos!$D$1:$D$996),"")</f>
        <v>8.64</v>
      </c>
      <c r="H1517" s="92">
        <v>31.508351999999999</v>
      </c>
      <c r="I1517" s="13">
        <v>0</v>
      </c>
      <c r="J1517" s="13">
        <v>0</v>
      </c>
      <c r="K1517" s="13"/>
      <c r="L1517"/>
      <c r="M1517"/>
      <c r="N1517"/>
      <c r="O1517"/>
      <c r="P1517"/>
      <c r="Q1517"/>
      <c r="R1517"/>
      <c r="S1517"/>
      <c r="T1517"/>
      <c r="U1517"/>
      <c r="V1517"/>
      <c r="W1517"/>
      <c r="X1517"/>
      <c r="Y1517"/>
      <c r="Z1517"/>
      <c r="AA1517"/>
      <c r="AB1517"/>
      <c r="AC1517"/>
      <c r="AD1517"/>
      <c r="AE1517"/>
      <c r="AF1517"/>
      <c r="AG1517"/>
      <c r="AH1517"/>
      <c r="AI1517"/>
      <c r="AJ1517"/>
      <c r="AK1517"/>
      <c r="AL1517"/>
    </row>
    <row r="1518" spans="1:38" ht="15.75" customHeight="1" outlineLevel="3" x14ac:dyDescent="0.2">
      <c r="A1518" s="10">
        <v>26</v>
      </c>
      <c r="B1518" s="10" t="s">
        <v>71</v>
      </c>
      <c r="C1518" s="10" t="s">
        <v>2761</v>
      </c>
      <c r="D1518" s="10" t="s">
        <v>421</v>
      </c>
      <c r="E1518" s="11" t="str">
        <f t="array" ref="E1518">_xlfn.XLOOKUP(D1518,Insumos!B:B,Insumos!C:$C)</f>
        <v>M</v>
      </c>
      <c r="F1518" s="14">
        <f>5.8278*2</f>
        <v>11.6556</v>
      </c>
      <c r="G1518" s="92">
        <f t="array" ref="G1518">IF(B1518="insumo",_xlfn.XLOOKUP($D1518,Insumos!$B$1:$B$996,Insumos!$D$1:$D$996),"")</f>
        <v>18.09</v>
      </c>
      <c r="H1518" s="92">
        <v>210.84980400000001</v>
      </c>
      <c r="I1518" s="13">
        <v>0</v>
      </c>
      <c r="J1518" s="13">
        <v>0</v>
      </c>
      <c r="K1518" s="13"/>
      <c r="L1518"/>
      <c r="M1518"/>
      <c r="N1518"/>
      <c r="O1518"/>
      <c r="P1518"/>
      <c r="Q1518"/>
      <c r="R1518"/>
      <c r="S1518"/>
      <c r="T1518"/>
      <c r="U1518"/>
      <c r="V1518"/>
      <c r="W1518"/>
      <c r="X1518"/>
      <c r="Y1518"/>
      <c r="Z1518"/>
      <c r="AA1518"/>
      <c r="AB1518"/>
      <c r="AC1518"/>
      <c r="AD1518"/>
      <c r="AE1518"/>
      <c r="AF1518"/>
      <c r="AG1518"/>
      <c r="AH1518"/>
      <c r="AI1518"/>
      <c r="AJ1518"/>
      <c r="AK1518"/>
      <c r="AL1518"/>
    </row>
    <row r="1519" spans="1:38" ht="15.75" customHeight="1" outlineLevel="3" x14ac:dyDescent="0.2">
      <c r="A1519" s="10">
        <v>95</v>
      </c>
      <c r="B1519" s="10" t="s">
        <v>71</v>
      </c>
      <c r="C1519" s="10" t="s">
        <v>2761</v>
      </c>
      <c r="D1519" s="10" t="s">
        <v>405</v>
      </c>
      <c r="E1519" s="11" t="str">
        <f t="array" ref="E1519">_xlfn.XLOOKUP(D1519,Insumos!B:B,Insumos!C:$C)</f>
        <v>KG</v>
      </c>
      <c r="F1519" s="14">
        <v>0.54890000000000005</v>
      </c>
      <c r="G1519" s="92">
        <f t="array" ref="G1519">IF(B1519="insumo",_xlfn.XLOOKUP($D1519,Insumos!$B$1:$B$996,Insumos!$D$1:$D$996),"")</f>
        <v>3.43</v>
      </c>
      <c r="H1519" s="92">
        <v>1.882727</v>
      </c>
      <c r="I1519" s="13">
        <v>0</v>
      </c>
      <c r="J1519" s="13">
        <v>0</v>
      </c>
      <c r="K1519" s="13"/>
      <c r="L1519"/>
      <c r="M1519"/>
      <c r="N1519"/>
      <c r="O1519"/>
      <c r="P1519"/>
      <c r="Q1519"/>
      <c r="R1519"/>
      <c r="S1519"/>
      <c r="T1519"/>
      <c r="U1519"/>
      <c r="V1519"/>
      <c r="W1519"/>
      <c r="X1519"/>
      <c r="Y1519"/>
      <c r="Z1519"/>
      <c r="AA1519"/>
      <c r="AB1519"/>
      <c r="AC1519"/>
      <c r="AD1519"/>
      <c r="AE1519"/>
      <c r="AF1519"/>
      <c r="AG1519"/>
      <c r="AH1519"/>
      <c r="AI1519"/>
      <c r="AJ1519"/>
      <c r="AK1519"/>
      <c r="AL1519"/>
    </row>
    <row r="1520" spans="1:38" ht="15.75" customHeight="1" outlineLevel="3" x14ac:dyDescent="0.2">
      <c r="A1520" s="10">
        <v>94</v>
      </c>
      <c r="B1520" s="10" t="s">
        <v>71</v>
      </c>
      <c r="C1520" s="10" t="s">
        <v>2761</v>
      </c>
      <c r="D1520" s="10" t="s">
        <v>412</v>
      </c>
      <c r="E1520" s="11" t="str">
        <f t="array" ref="E1520">_xlfn.XLOOKUP(D1520,Insumos!B:B,Insumos!C:$C)</f>
        <v>M</v>
      </c>
      <c r="F1520" s="14">
        <v>1.25135</v>
      </c>
      <c r="G1520" s="92">
        <f t="array" ref="G1520">IF(B1520="insumo",_xlfn.XLOOKUP($D1520,Insumos!$B$1:$B$996,Insumos!$D$1:$D$996),"")</f>
        <v>0.31</v>
      </c>
      <c r="H1520" s="92">
        <v>0.3879185</v>
      </c>
      <c r="I1520" s="13">
        <v>0</v>
      </c>
      <c r="J1520" s="13">
        <v>0</v>
      </c>
      <c r="K1520" s="13"/>
      <c r="L1520"/>
      <c r="M1520"/>
      <c r="N1520"/>
      <c r="O1520"/>
      <c r="P1520"/>
      <c r="Q1520"/>
      <c r="R1520"/>
      <c r="S1520"/>
      <c r="T1520"/>
      <c r="U1520"/>
      <c r="V1520"/>
      <c r="W1520"/>
      <c r="X1520"/>
      <c r="Y1520"/>
      <c r="Z1520"/>
      <c r="AA1520"/>
      <c r="AB1520"/>
      <c r="AC1520"/>
      <c r="AD1520"/>
      <c r="AE1520"/>
      <c r="AF1520"/>
      <c r="AG1520"/>
      <c r="AH1520"/>
      <c r="AI1520"/>
      <c r="AJ1520"/>
      <c r="AK1520"/>
      <c r="AL1520"/>
    </row>
    <row r="1521" spans="1:38" ht="15.75" customHeight="1" outlineLevel="3" x14ac:dyDescent="0.2">
      <c r="A1521" s="10">
        <v>94</v>
      </c>
      <c r="B1521" s="10" t="s">
        <v>71</v>
      </c>
      <c r="C1521" s="10" t="s">
        <v>2761</v>
      </c>
      <c r="D1521" s="10" t="s">
        <v>413</v>
      </c>
      <c r="E1521" s="11" t="str">
        <f t="array" ref="E1521">_xlfn.XLOOKUP(D1521,Insumos!B:B,Insumos!C:$C)</f>
        <v>M</v>
      </c>
      <c r="F1521" s="14">
        <v>0.79254999999999998</v>
      </c>
      <c r="G1521" s="92">
        <f t="array" ref="G1521">IF(B1521="insumo",_xlfn.XLOOKUP($D1521,Insumos!$B$1:$B$996,Insumos!$D$1:$D$996),"")</f>
        <v>2.74</v>
      </c>
      <c r="H1521" s="92">
        <v>2.1715870000000002</v>
      </c>
      <c r="I1521" s="13">
        <v>0</v>
      </c>
      <c r="J1521" s="13">
        <v>0</v>
      </c>
      <c r="K1521" s="13"/>
      <c r="L1521"/>
      <c r="M1521"/>
      <c r="N1521"/>
      <c r="O1521"/>
      <c r="P1521"/>
      <c r="Q1521"/>
      <c r="R1521"/>
      <c r="S1521"/>
      <c r="T1521"/>
      <c r="U1521"/>
      <c r="V1521"/>
      <c r="W1521"/>
      <c r="X1521"/>
      <c r="Y1521"/>
      <c r="Z1521"/>
      <c r="AA1521"/>
      <c r="AB1521"/>
      <c r="AC1521"/>
      <c r="AD1521"/>
      <c r="AE1521"/>
      <c r="AF1521"/>
      <c r="AG1521"/>
      <c r="AH1521"/>
      <c r="AI1521"/>
      <c r="AJ1521"/>
      <c r="AK1521"/>
      <c r="AL1521"/>
    </row>
    <row r="1522" spans="1:38" ht="15.75" customHeight="1" outlineLevel="3" x14ac:dyDescent="0.2">
      <c r="A1522" s="10">
        <v>97</v>
      </c>
      <c r="B1522" s="10" t="s">
        <v>71</v>
      </c>
      <c r="C1522" s="10" t="s">
        <v>2761</v>
      </c>
      <c r="D1522" s="10" t="s">
        <v>414</v>
      </c>
      <c r="E1522" s="11" t="str">
        <f t="array" ref="E1522">_xlfn.XLOOKUP(D1522,Insumos!B:B,Insumos!C:$C)</f>
        <v>UN</v>
      </c>
      <c r="F1522" s="14">
        <v>10.093400000000001</v>
      </c>
      <c r="G1522" s="92">
        <f t="array" ref="G1522">IF(B1522="insumo",_xlfn.XLOOKUP($D1522,Insumos!$B$1:$B$996,Insumos!$D$1:$D$996),"")</f>
        <v>0.09</v>
      </c>
      <c r="H1522" s="92">
        <v>0.90840600000000005</v>
      </c>
      <c r="I1522" s="13">
        <v>0</v>
      </c>
      <c r="J1522" s="13">
        <v>0</v>
      </c>
      <c r="K1522" s="13"/>
      <c r="L1522"/>
      <c r="M1522"/>
      <c r="N1522"/>
      <c r="O1522"/>
      <c r="P1522"/>
      <c r="Q1522"/>
      <c r="R1522"/>
      <c r="S1522"/>
      <c r="T1522"/>
      <c r="U1522"/>
      <c r="V1522"/>
      <c r="W1522"/>
      <c r="X1522"/>
      <c r="Y1522"/>
      <c r="Z1522"/>
      <c r="AA1522"/>
      <c r="AB1522"/>
      <c r="AC1522"/>
      <c r="AD1522"/>
      <c r="AE1522"/>
      <c r="AF1522"/>
      <c r="AG1522"/>
      <c r="AH1522"/>
      <c r="AI1522"/>
      <c r="AJ1522"/>
      <c r="AK1522"/>
      <c r="AL1522"/>
    </row>
    <row r="1523" spans="1:38" ht="15.75" customHeight="1" outlineLevel="3" x14ac:dyDescent="0.2">
      <c r="A1523" s="10">
        <v>95</v>
      </c>
      <c r="B1523" s="10" t="s">
        <v>71</v>
      </c>
      <c r="C1523" s="10" t="s">
        <v>2761</v>
      </c>
      <c r="D1523" s="10" t="s">
        <v>415</v>
      </c>
      <c r="E1523" s="11" t="str">
        <f t="array" ref="E1523">_xlfn.XLOOKUP(D1523,Insumos!B:B,Insumos!C:$C)</f>
        <v>UN</v>
      </c>
      <c r="F1523" s="14">
        <v>0.27205000000000001</v>
      </c>
      <c r="G1523" s="92">
        <f t="array" ref="G1523">IF(B1523="insumo",_xlfn.XLOOKUP($D1523,Insumos!$B$1:$B$996,Insumos!$D$1:$D$996),"")</f>
        <v>0.2</v>
      </c>
      <c r="H1523" s="92">
        <v>5.441E-2</v>
      </c>
      <c r="I1523" s="13">
        <v>0</v>
      </c>
      <c r="J1523" s="13">
        <v>0</v>
      </c>
      <c r="K1523" s="13"/>
      <c r="L1523"/>
      <c r="M1523"/>
      <c r="N1523"/>
      <c r="O1523"/>
      <c r="P1523"/>
      <c r="Q1523"/>
      <c r="R1523"/>
      <c r="S1523"/>
      <c r="T1523"/>
      <c r="U1523"/>
      <c r="V1523"/>
      <c r="W1523"/>
      <c r="X1523"/>
      <c r="Y1523"/>
      <c r="Z1523"/>
      <c r="AA1523"/>
      <c r="AB1523"/>
      <c r="AC1523"/>
      <c r="AD1523"/>
      <c r="AE1523"/>
      <c r="AF1523"/>
      <c r="AG1523"/>
      <c r="AH1523"/>
      <c r="AI1523"/>
      <c r="AJ1523"/>
      <c r="AK1523"/>
      <c r="AL1523"/>
    </row>
    <row r="1524" spans="1:38" ht="15.75" customHeight="1" outlineLevel="2" x14ac:dyDescent="0.2">
      <c r="A1524" s="1067">
        <v>1</v>
      </c>
      <c r="B1524" s="1067" t="s">
        <v>68</v>
      </c>
      <c r="C1524" s="1067" t="s">
        <v>2763</v>
      </c>
      <c r="D1524" s="1067" t="s">
        <v>2763</v>
      </c>
      <c r="E1524" s="1068" t="s">
        <v>70</v>
      </c>
      <c r="F1524" s="1067"/>
      <c r="G1524" s="1069" t="str">
        <f t="array" ref="G1524">IF(B1524="insumo",_xlfn.XLOOKUP($D1524,Insumos!$B$1:$B$996,Insumos!$D$1:$D$996),"")</f>
        <v/>
      </c>
      <c r="H1524" s="1069">
        <v>180.95409649999999</v>
      </c>
      <c r="I1524" s="1070">
        <v>0</v>
      </c>
      <c r="J1524" s="1070">
        <v>0</v>
      </c>
      <c r="K1524" s="1070"/>
      <c r="L1524"/>
      <c r="M1524"/>
      <c r="N1524"/>
      <c r="O1524"/>
      <c r="P1524"/>
      <c r="Q1524"/>
      <c r="R1524"/>
      <c r="S1524"/>
      <c r="T1524"/>
      <c r="U1524"/>
      <c r="V1524"/>
      <c r="W1524"/>
      <c r="X1524"/>
      <c r="Y1524"/>
      <c r="Z1524"/>
      <c r="AA1524"/>
      <c r="AB1524"/>
      <c r="AC1524"/>
      <c r="AD1524"/>
      <c r="AE1524"/>
      <c r="AF1524"/>
      <c r="AG1524"/>
      <c r="AH1524"/>
      <c r="AI1524"/>
      <c r="AJ1524"/>
      <c r="AK1524"/>
      <c r="AL1524"/>
    </row>
    <row r="1525" spans="1:38" ht="15.75" customHeight="1" outlineLevel="3" x14ac:dyDescent="0.2">
      <c r="A1525" s="10">
        <v>86</v>
      </c>
      <c r="B1525" s="10" t="s">
        <v>71</v>
      </c>
      <c r="C1525" s="10" t="s">
        <v>2763</v>
      </c>
      <c r="D1525" s="10" t="s">
        <v>407</v>
      </c>
      <c r="E1525" s="11" t="str">
        <f t="array" ref="E1525">_xlfn.XLOOKUP(D1525,Insumos!B:B,Insumos!C:$C)</f>
        <v>M2</v>
      </c>
      <c r="F1525" s="14">
        <v>1</v>
      </c>
      <c r="G1525" s="92">
        <f t="array" ref="G1525">IF(B1525="insumo",_xlfn.XLOOKUP($D1525,Insumos!$B$1:$B$996,Insumos!$D$1:$D$996),"")</f>
        <v>70</v>
      </c>
      <c r="H1525" s="92">
        <v>70</v>
      </c>
      <c r="I1525" s="13">
        <v>0</v>
      </c>
      <c r="J1525" s="13">
        <v>0</v>
      </c>
      <c r="K1525" s="13"/>
      <c r="L1525"/>
      <c r="M1525"/>
      <c r="N1525"/>
      <c r="O1525"/>
      <c r="P1525"/>
      <c r="Q1525"/>
      <c r="R1525"/>
      <c r="S1525"/>
      <c r="T1525"/>
      <c r="U1525"/>
      <c r="V1525"/>
      <c r="W1525"/>
      <c r="X1525"/>
      <c r="Y1525"/>
      <c r="Z1525"/>
      <c r="AA1525"/>
      <c r="AB1525"/>
      <c r="AC1525"/>
      <c r="AD1525"/>
      <c r="AE1525"/>
      <c r="AF1525"/>
      <c r="AG1525"/>
      <c r="AH1525"/>
      <c r="AI1525"/>
      <c r="AJ1525"/>
      <c r="AK1525"/>
      <c r="AL1525"/>
    </row>
    <row r="1526" spans="1:38" ht="15.75" customHeight="1" outlineLevel="3" x14ac:dyDescent="0.2">
      <c r="A1526" s="10">
        <v>47</v>
      </c>
      <c r="B1526" s="10" t="s">
        <v>71</v>
      </c>
      <c r="C1526" s="10" t="s">
        <v>2763</v>
      </c>
      <c r="D1526" s="10" t="s">
        <v>408</v>
      </c>
      <c r="E1526" s="11" t="str">
        <f t="array" ref="E1526">_xlfn.XLOOKUP(D1526,Insumos!B:B,Insumos!C:$C)</f>
        <v>M2</v>
      </c>
      <c r="F1526" s="14">
        <f>1.053*2</f>
        <v>2.1059999999999999</v>
      </c>
      <c r="G1526" s="92">
        <f t="array" ref="G1526">IF(B1526="insumo",_xlfn.XLOOKUP($D1526,Insumos!$B$1:$B$996,Insumos!$D$1:$D$996),"")</f>
        <v>20.16</v>
      </c>
      <c r="H1526" s="92">
        <v>42.456960000000002</v>
      </c>
      <c r="I1526" s="13">
        <v>0</v>
      </c>
      <c r="J1526" s="13">
        <v>0</v>
      </c>
      <c r="K1526" s="13"/>
      <c r="L1526"/>
      <c r="M1526"/>
      <c r="N1526"/>
      <c r="O1526"/>
      <c r="P1526"/>
      <c r="Q1526"/>
      <c r="R1526"/>
      <c r="S1526"/>
      <c r="T1526"/>
      <c r="U1526"/>
      <c r="V1526"/>
      <c r="W1526"/>
      <c r="X1526"/>
      <c r="Y1526"/>
      <c r="Z1526"/>
      <c r="AA1526"/>
      <c r="AB1526"/>
      <c r="AC1526"/>
      <c r="AD1526"/>
      <c r="AE1526"/>
      <c r="AF1526"/>
      <c r="AG1526"/>
      <c r="AH1526"/>
      <c r="AI1526"/>
      <c r="AJ1526"/>
      <c r="AK1526"/>
      <c r="AL1526"/>
    </row>
    <row r="1527" spans="1:38" ht="15.75" customHeight="1" outlineLevel="3" x14ac:dyDescent="0.2">
      <c r="A1527" s="10">
        <v>95</v>
      </c>
      <c r="B1527" s="10" t="s">
        <v>71</v>
      </c>
      <c r="C1527" s="10" t="s">
        <v>2763</v>
      </c>
      <c r="D1527" s="10" t="s">
        <v>409</v>
      </c>
      <c r="E1527" s="11" t="str">
        <f t="array" ref="E1527">_xlfn.XLOOKUP(D1527,Insumos!B:B,Insumos!C:$C)</f>
        <v>UN</v>
      </c>
      <c r="F1527" s="14">
        <v>5.92</v>
      </c>
      <c r="G1527" s="92">
        <f t="array" ref="G1527">IF(B1527="insumo",_xlfn.XLOOKUP($D1527,Insumos!$B$1:$B$996,Insumos!$D$1:$D$996),"")</f>
        <v>0.504</v>
      </c>
      <c r="H1527" s="92">
        <v>2.9836800000000001</v>
      </c>
      <c r="I1527" s="13">
        <v>0</v>
      </c>
      <c r="J1527" s="13">
        <v>0</v>
      </c>
      <c r="K1527" s="13"/>
      <c r="L1527"/>
      <c r="M1527"/>
      <c r="N1527"/>
      <c r="O1527"/>
      <c r="P1527"/>
      <c r="Q1527"/>
      <c r="R1527"/>
      <c r="S1527"/>
      <c r="T1527"/>
      <c r="U1527"/>
      <c r="V1527"/>
      <c r="W1527"/>
      <c r="X1527"/>
      <c r="Y1527"/>
      <c r="Z1527"/>
      <c r="AA1527"/>
      <c r="AB1527"/>
      <c r="AC1527"/>
      <c r="AD1527"/>
      <c r="AE1527"/>
      <c r="AF1527"/>
      <c r="AG1527"/>
      <c r="AH1527"/>
      <c r="AI1527"/>
      <c r="AJ1527"/>
      <c r="AK1527"/>
      <c r="AL1527"/>
    </row>
    <row r="1528" spans="1:38" ht="15.75" customHeight="1" outlineLevel="3" x14ac:dyDescent="0.2">
      <c r="A1528" s="10">
        <v>43</v>
      </c>
      <c r="B1528" s="10" t="s">
        <v>71</v>
      </c>
      <c r="C1528" s="10" t="s">
        <v>2763</v>
      </c>
      <c r="D1528" s="10" t="s">
        <v>423</v>
      </c>
      <c r="E1528" s="11" t="str">
        <f t="array" ref="E1528">_xlfn.XLOOKUP(D1528,Insumos!B:B,Insumos!C:$C)</f>
        <v>M</v>
      </c>
      <c r="F1528" s="14">
        <v>1.8233999999999999</v>
      </c>
      <c r="G1528" s="92">
        <f t="array" ref="G1528">IF(B1528="insumo",_xlfn.XLOOKUP($D1528,Insumos!$B$1:$B$996,Insumos!$D$1:$D$996),"")</f>
        <v>7.46</v>
      </c>
      <c r="H1528" s="92">
        <v>13.602563999999999</v>
      </c>
      <c r="I1528" s="13">
        <v>0</v>
      </c>
      <c r="J1528" s="13">
        <v>0</v>
      </c>
      <c r="K1528" s="13"/>
      <c r="L1528"/>
      <c r="M1528"/>
      <c r="N1528"/>
      <c r="O1528"/>
      <c r="P1528"/>
      <c r="Q1528"/>
      <c r="R1528"/>
      <c r="S1528"/>
      <c r="T1528"/>
      <c r="U1528"/>
      <c r="V1528"/>
      <c r="W1528"/>
      <c r="X1528"/>
      <c r="Y1528"/>
      <c r="Z1528"/>
      <c r="AA1528"/>
      <c r="AB1528"/>
      <c r="AC1528"/>
      <c r="AD1528"/>
      <c r="AE1528"/>
      <c r="AF1528"/>
      <c r="AG1528"/>
      <c r="AH1528"/>
      <c r="AI1528"/>
      <c r="AJ1528"/>
      <c r="AK1528"/>
      <c r="AL1528"/>
    </row>
    <row r="1529" spans="1:38" ht="15.75" customHeight="1" outlineLevel="3" x14ac:dyDescent="0.2">
      <c r="A1529" s="10">
        <v>43</v>
      </c>
      <c r="B1529" s="10" t="s">
        <v>71</v>
      </c>
      <c r="C1529" s="10" t="s">
        <v>2763</v>
      </c>
      <c r="D1529" s="10" t="s">
        <v>424</v>
      </c>
      <c r="E1529" s="11" t="str">
        <f t="array" ref="E1529">_xlfn.XLOOKUP(D1529,Insumos!B:B,Insumos!C:$C)</f>
        <v>M</v>
      </c>
      <c r="F1529" s="14">
        <v>5.8277999999999999</v>
      </c>
      <c r="G1529" s="92">
        <f t="array" ref="G1529">IF(B1529="insumo",_xlfn.XLOOKUP($D1529,Insumos!$B$1:$B$996,Insumos!$D$1:$D$996),"")</f>
        <v>7.98</v>
      </c>
      <c r="H1529" s="92">
        <v>46.505844000000003</v>
      </c>
      <c r="I1529" s="13">
        <v>0</v>
      </c>
      <c r="J1529" s="13">
        <v>0</v>
      </c>
      <c r="K1529" s="13"/>
      <c r="L1529"/>
      <c r="M1529"/>
      <c r="N1529"/>
      <c r="O1529"/>
      <c r="P1529"/>
      <c r="Q1529"/>
      <c r="R1529"/>
      <c r="S1529"/>
      <c r="T1529"/>
      <c r="U1529"/>
      <c r="V1529"/>
      <c r="W1529"/>
      <c r="X1529"/>
      <c r="Y1529"/>
      <c r="Z1529"/>
      <c r="AA1529"/>
      <c r="AB1529"/>
      <c r="AC1529"/>
      <c r="AD1529"/>
      <c r="AE1529"/>
      <c r="AF1529"/>
      <c r="AG1529"/>
      <c r="AH1529"/>
      <c r="AI1529"/>
      <c r="AJ1529"/>
      <c r="AK1529"/>
      <c r="AL1529"/>
    </row>
    <row r="1530" spans="1:38" ht="15.75" customHeight="1" outlineLevel="3" x14ac:dyDescent="0.2">
      <c r="A1530" s="10">
        <v>95</v>
      </c>
      <c r="B1530" s="10" t="s">
        <v>71</v>
      </c>
      <c r="C1530" s="10" t="s">
        <v>2763</v>
      </c>
      <c r="D1530" s="10" t="s">
        <v>405</v>
      </c>
      <c r="E1530" s="11" t="str">
        <f t="array" ref="E1530">_xlfn.XLOOKUP(D1530,Insumos!B:B,Insumos!C:$C)</f>
        <v>KG</v>
      </c>
      <c r="F1530" s="14">
        <v>0.54890000000000005</v>
      </c>
      <c r="G1530" s="92">
        <f t="array" ref="G1530">IF(B1530="insumo",_xlfn.XLOOKUP($D1530,Insumos!$B$1:$B$996,Insumos!$D$1:$D$996),"")</f>
        <v>3.43</v>
      </c>
      <c r="H1530" s="92">
        <v>1.882727</v>
      </c>
      <c r="I1530" s="13">
        <v>0</v>
      </c>
      <c r="J1530" s="13">
        <v>0</v>
      </c>
      <c r="K1530" s="13"/>
      <c r="L1530"/>
      <c r="M1530"/>
      <c r="N1530"/>
      <c r="O1530"/>
      <c r="P1530"/>
      <c r="Q1530"/>
      <c r="R1530"/>
      <c r="S1530"/>
      <c r="T1530"/>
      <c r="U1530"/>
      <c r="V1530"/>
      <c r="W1530"/>
      <c r="X1530"/>
      <c r="Y1530"/>
      <c r="Z1530"/>
      <c r="AA1530"/>
      <c r="AB1530"/>
      <c r="AC1530"/>
      <c r="AD1530"/>
      <c r="AE1530"/>
      <c r="AF1530"/>
      <c r="AG1530"/>
      <c r="AH1530"/>
      <c r="AI1530"/>
      <c r="AJ1530"/>
      <c r="AK1530"/>
      <c r="AL1530"/>
    </row>
    <row r="1531" spans="1:38" ht="15.75" customHeight="1" outlineLevel="3" x14ac:dyDescent="0.2">
      <c r="A1531" s="10">
        <v>94</v>
      </c>
      <c r="B1531" s="10" t="s">
        <v>71</v>
      </c>
      <c r="C1531" s="10" t="s">
        <v>2763</v>
      </c>
      <c r="D1531" s="10" t="s">
        <v>412</v>
      </c>
      <c r="E1531" s="11" t="str">
        <f t="array" ref="E1531">_xlfn.XLOOKUP(D1531,Insumos!B:B,Insumos!C:$C)</f>
        <v>M</v>
      </c>
      <c r="F1531" s="14">
        <v>1.25135</v>
      </c>
      <c r="G1531" s="92">
        <f t="array" ref="G1531">IF(B1531="insumo",_xlfn.XLOOKUP($D1531,Insumos!$B$1:$B$996,Insumos!$D$1:$D$996),"")</f>
        <v>0.31</v>
      </c>
      <c r="H1531" s="92">
        <v>0.3879185</v>
      </c>
      <c r="I1531" s="13">
        <v>0</v>
      </c>
      <c r="J1531" s="13">
        <v>0</v>
      </c>
      <c r="K1531" s="13"/>
      <c r="L1531"/>
      <c r="M1531"/>
      <c r="N1531"/>
      <c r="O1531"/>
      <c r="P1531"/>
      <c r="Q1531"/>
      <c r="R1531"/>
      <c r="S1531"/>
      <c r="T1531"/>
      <c r="U1531"/>
      <c r="V1531"/>
      <c r="W1531"/>
      <c r="X1531"/>
      <c r="Y1531"/>
      <c r="Z1531"/>
      <c r="AA1531"/>
      <c r="AB1531"/>
      <c r="AC1531"/>
      <c r="AD1531"/>
      <c r="AE1531"/>
      <c r="AF1531"/>
      <c r="AG1531"/>
      <c r="AH1531"/>
      <c r="AI1531"/>
      <c r="AJ1531"/>
      <c r="AK1531"/>
      <c r="AL1531"/>
    </row>
    <row r="1532" spans="1:38" ht="15.75" customHeight="1" outlineLevel="3" x14ac:dyDescent="0.2">
      <c r="A1532" s="10">
        <v>94</v>
      </c>
      <c r="B1532" s="10" t="s">
        <v>71</v>
      </c>
      <c r="C1532" s="10" t="s">
        <v>2763</v>
      </c>
      <c r="D1532" s="10" t="s">
        <v>413</v>
      </c>
      <c r="E1532" s="11" t="str">
        <f t="array" ref="E1532">_xlfn.XLOOKUP(D1532,Insumos!B:B,Insumos!C:$C)</f>
        <v>M</v>
      </c>
      <c r="F1532" s="14">
        <v>0.79254999999999998</v>
      </c>
      <c r="G1532" s="92">
        <f t="array" ref="G1532">IF(B1532="insumo",_xlfn.XLOOKUP($D1532,Insumos!$B$1:$B$996,Insumos!$D$1:$D$996),"")</f>
        <v>2.74</v>
      </c>
      <c r="H1532" s="92">
        <v>2.1715870000000002</v>
      </c>
      <c r="I1532" s="13">
        <v>0</v>
      </c>
      <c r="J1532" s="13">
        <v>0</v>
      </c>
      <c r="K1532" s="13"/>
      <c r="L1532"/>
      <c r="M1532"/>
      <c r="N1532"/>
      <c r="O1532"/>
      <c r="P1532"/>
      <c r="Q1532"/>
      <c r="R1532"/>
      <c r="S1532"/>
      <c r="T1532"/>
      <c r="U1532"/>
      <c r="V1532"/>
      <c r="W1532"/>
      <c r="X1532"/>
      <c r="Y1532"/>
      <c r="Z1532"/>
      <c r="AA1532"/>
      <c r="AB1532"/>
      <c r="AC1532"/>
      <c r="AD1532"/>
      <c r="AE1532"/>
      <c r="AF1532"/>
      <c r="AG1532"/>
      <c r="AH1532"/>
      <c r="AI1532"/>
      <c r="AJ1532"/>
      <c r="AK1532"/>
      <c r="AL1532"/>
    </row>
    <row r="1533" spans="1:38" ht="15.75" customHeight="1" outlineLevel="3" x14ac:dyDescent="0.2">
      <c r="A1533" s="10">
        <v>97</v>
      </c>
      <c r="B1533" s="10" t="s">
        <v>71</v>
      </c>
      <c r="C1533" s="10" t="s">
        <v>2763</v>
      </c>
      <c r="D1533" s="10" t="s">
        <v>414</v>
      </c>
      <c r="E1533" s="11" t="str">
        <f t="array" ref="E1533">_xlfn.XLOOKUP(D1533,Insumos!B:B,Insumos!C:$C)</f>
        <v>UN</v>
      </c>
      <c r="F1533" s="14">
        <v>10.093400000000001</v>
      </c>
      <c r="G1533" s="92">
        <f t="array" ref="G1533">IF(B1533="insumo",_xlfn.XLOOKUP($D1533,Insumos!$B$1:$B$996,Insumos!$D$1:$D$996),"")</f>
        <v>0.09</v>
      </c>
      <c r="H1533" s="92">
        <v>0.90840600000000005</v>
      </c>
      <c r="I1533" s="13">
        <v>0</v>
      </c>
      <c r="J1533" s="13">
        <v>0</v>
      </c>
      <c r="K1533" s="13"/>
      <c r="L1533"/>
      <c r="M1533"/>
      <c r="N1533"/>
      <c r="O1533"/>
      <c r="P1533"/>
      <c r="Q1533"/>
      <c r="R1533"/>
      <c r="S1533"/>
      <c r="T1533"/>
      <c r="U1533"/>
      <c r="V1533"/>
      <c r="W1533"/>
      <c r="X1533"/>
      <c r="Y1533"/>
      <c r="Z1533"/>
      <c r="AA1533"/>
      <c r="AB1533"/>
      <c r="AC1533"/>
      <c r="AD1533"/>
      <c r="AE1533"/>
      <c r="AF1533"/>
      <c r="AG1533"/>
      <c r="AH1533"/>
      <c r="AI1533"/>
      <c r="AJ1533"/>
      <c r="AK1533"/>
      <c r="AL1533"/>
    </row>
    <row r="1534" spans="1:38" ht="15.75" customHeight="1" outlineLevel="3" x14ac:dyDescent="0.2">
      <c r="A1534" s="10">
        <v>95</v>
      </c>
      <c r="B1534" s="10" t="s">
        <v>71</v>
      </c>
      <c r="C1534" s="10" t="s">
        <v>2763</v>
      </c>
      <c r="D1534" s="10" t="s">
        <v>415</v>
      </c>
      <c r="E1534" s="11" t="str">
        <f t="array" ref="E1534">_xlfn.XLOOKUP(D1534,Insumos!B:B,Insumos!C:$C)</f>
        <v>UN</v>
      </c>
      <c r="F1534" s="14">
        <v>0.27205000000000001</v>
      </c>
      <c r="G1534" s="92">
        <f t="array" ref="G1534">IF(B1534="insumo",_xlfn.XLOOKUP($D1534,Insumos!$B$1:$B$996,Insumos!$D$1:$D$996),"")</f>
        <v>0.2</v>
      </c>
      <c r="H1534" s="92">
        <v>5.441E-2</v>
      </c>
      <c r="I1534" s="13">
        <v>0</v>
      </c>
      <c r="J1534" s="13">
        <v>0</v>
      </c>
      <c r="K1534" s="13"/>
      <c r="L1534"/>
      <c r="M1534"/>
      <c r="N1534"/>
      <c r="O1534"/>
      <c r="P1534"/>
      <c r="Q1534"/>
      <c r="R1534"/>
      <c r="S1534"/>
      <c r="T1534"/>
      <c r="U1534"/>
      <c r="V1534"/>
      <c r="W1534"/>
      <c r="X1534"/>
      <c r="Y1534"/>
      <c r="Z1534"/>
      <c r="AA1534"/>
      <c r="AB1534"/>
      <c r="AC1534"/>
      <c r="AD1534"/>
      <c r="AE1534"/>
      <c r="AF1534"/>
      <c r="AG1534"/>
      <c r="AH1534"/>
      <c r="AI1534"/>
      <c r="AJ1534"/>
      <c r="AK1534"/>
      <c r="AL1534"/>
    </row>
    <row r="1535" spans="1:38" ht="15.75" customHeight="1" outlineLevel="2" x14ac:dyDescent="0.2">
      <c r="A1535" s="1067">
        <v>1</v>
      </c>
      <c r="B1535" s="1067" t="s">
        <v>68</v>
      </c>
      <c r="C1535" s="1067" t="s">
        <v>1331</v>
      </c>
      <c r="D1535" s="1067" t="s">
        <v>1331</v>
      </c>
      <c r="E1535" s="1068" t="s">
        <v>70</v>
      </c>
      <c r="F1535" s="1067"/>
      <c r="G1535" s="1069" t="str">
        <f t="array" ref="G1535">IF(B1535="insumo",_xlfn.XLOOKUP($D1535,Insumos!$B$1:$B$996,Insumos!$D$1:$D$996),"")</f>
        <v/>
      </c>
      <c r="H1535" s="1069">
        <v>132.41684599999999</v>
      </c>
      <c r="I1535" s="1070">
        <v>0</v>
      </c>
      <c r="J1535" s="1070">
        <v>0</v>
      </c>
      <c r="K1535" s="1070"/>
      <c r="L1535"/>
      <c r="M1535"/>
      <c r="N1535"/>
      <c r="O1535"/>
      <c r="P1535"/>
      <c r="Q1535"/>
      <c r="R1535"/>
      <c r="S1535"/>
      <c r="T1535"/>
      <c r="U1535"/>
      <c r="V1535"/>
      <c r="W1535"/>
      <c r="X1535"/>
      <c r="Y1535"/>
      <c r="Z1535"/>
      <c r="AA1535"/>
      <c r="AB1535"/>
      <c r="AC1535"/>
      <c r="AD1535"/>
      <c r="AE1535"/>
      <c r="AF1535"/>
      <c r="AG1535"/>
      <c r="AH1535"/>
      <c r="AI1535"/>
      <c r="AJ1535"/>
      <c r="AK1535"/>
      <c r="AL1535"/>
    </row>
    <row r="1536" spans="1:38" ht="15.75" customHeight="1" outlineLevel="3" x14ac:dyDescent="0.2">
      <c r="A1536" s="10">
        <v>86</v>
      </c>
      <c r="B1536" s="10" t="s">
        <v>71</v>
      </c>
      <c r="C1536" s="10" t="s">
        <v>1331</v>
      </c>
      <c r="D1536" s="10" t="s">
        <v>407</v>
      </c>
      <c r="E1536" s="11" t="str">
        <f t="array" ref="E1536">_xlfn.XLOOKUP(D1536,Insumos!B:B,Insumos!C:$C)</f>
        <v>M2</v>
      </c>
      <c r="F1536" s="14">
        <v>1</v>
      </c>
      <c r="G1536" s="92">
        <f t="array" ref="G1536">IF(B1536="insumo",_xlfn.XLOOKUP($D1536,Insumos!$B$1:$B$996,Insumos!$D$1:$D$996),"")</f>
        <v>70</v>
      </c>
      <c r="H1536" s="92">
        <v>70</v>
      </c>
      <c r="I1536" s="13">
        <v>0</v>
      </c>
      <c r="J1536" s="13">
        <v>0</v>
      </c>
      <c r="K1536" s="13"/>
      <c r="L1536"/>
      <c r="M1536"/>
      <c r="N1536"/>
      <c r="O1536"/>
      <c r="P1536"/>
      <c r="Q1536"/>
      <c r="R1536"/>
      <c r="S1536"/>
      <c r="T1536"/>
      <c r="U1536"/>
      <c r="V1536"/>
      <c r="W1536"/>
      <c r="X1536"/>
      <c r="Y1536"/>
      <c r="Z1536"/>
      <c r="AA1536"/>
      <c r="AB1536"/>
      <c r="AC1536"/>
      <c r="AD1536"/>
      <c r="AE1536"/>
      <c r="AF1536"/>
      <c r="AG1536"/>
      <c r="AH1536"/>
      <c r="AI1536"/>
      <c r="AJ1536"/>
      <c r="AK1536"/>
      <c r="AL1536"/>
    </row>
    <row r="1537" spans="1:38" ht="15.75" customHeight="1" outlineLevel="3" x14ac:dyDescent="0.2">
      <c r="A1537" s="10">
        <v>95</v>
      </c>
      <c r="B1537" s="10" t="s">
        <v>71</v>
      </c>
      <c r="C1537" s="10" t="s">
        <v>1331</v>
      </c>
      <c r="D1537" s="10" t="s">
        <v>409</v>
      </c>
      <c r="E1537" s="11" t="str">
        <f t="array" ref="E1537">_xlfn.XLOOKUP(D1537,Insumos!B:B,Insumos!C:$C)</f>
        <v>UN</v>
      </c>
      <c r="F1537" s="14">
        <v>5.92</v>
      </c>
      <c r="G1537" s="92">
        <f t="array" ref="G1537">IF(B1537="insumo",_xlfn.XLOOKUP($D1537,Insumos!$B$1:$B$996,Insumos!$D$1:$D$996),"")</f>
        <v>0.504</v>
      </c>
      <c r="H1537" s="92">
        <v>2.9836800000000001</v>
      </c>
      <c r="I1537" s="13">
        <v>0</v>
      </c>
      <c r="J1537" s="13">
        <v>0</v>
      </c>
      <c r="K1537" s="13"/>
      <c r="L1537"/>
      <c r="M1537"/>
      <c r="N1537"/>
      <c r="O1537"/>
      <c r="P1537"/>
      <c r="Q1537"/>
      <c r="R1537"/>
      <c r="S1537"/>
      <c r="T1537"/>
      <c r="U1537"/>
      <c r="V1537"/>
      <c r="W1537"/>
      <c r="X1537"/>
      <c r="Y1537"/>
      <c r="Z1537"/>
      <c r="AA1537"/>
      <c r="AB1537"/>
      <c r="AC1537"/>
      <c r="AD1537"/>
      <c r="AE1537"/>
      <c r="AF1537"/>
      <c r="AG1537"/>
      <c r="AH1537"/>
      <c r="AI1537"/>
      <c r="AJ1537"/>
      <c r="AK1537"/>
      <c r="AL1537"/>
    </row>
    <row r="1538" spans="1:38" ht="15.75" customHeight="1" outlineLevel="3" x14ac:dyDescent="0.2">
      <c r="A1538" s="10">
        <v>26</v>
      </c>
      <c r="B1538" s="10" t="s">
        <v>71</v>
      </c>
      <c r="C1538" s="10" t="s">
        <v>1331</v>
      </c>
      <c r="D1538" s="10" t="s">
        <v>410</v>
      </c>
      <c r="E1538" s="11" t="str">
        <f t="array" ref="E1538">_xlfn.XLOOKUP(D1538,Insumos!B:B,Insumos!C:$C)</f>
        <v>M</v>
      </c>
      <c r="F1538" s="14">
        <v>1.8233999999999999</v>
      </c>
      <c r="G1538" s="92">
        <f t="array" ref="G1538">IF(B1538="insumo",_xlfn.XLOOKUP($D1538,Insumos!$B$1:$B$996,Insumos!$D$1:$D$996),"")</f>
        <v>7.03</v>
      </c>
      <c r="H1538" s="92">
        <v>12.818502000000001</v>
      </c>
      <c r="I1538" s="13">
        <v>0</v>
      </c>
      <c r="J1538" s="13">
        <v>0</v>
      </c>
      <c r="K1538" s="13"/>
      <c r="L1538"/>
      <c r="M1538"/>
      <c r="N1538"/>
      <c r="O1538"/>
      <c r="P1538"/>
      <c r="Q1538"/>
      <c r="R1538"/>
      <c r="S1538"/>
      <c r="T1538"/>
      <c r="U1538"/>
      <c r="V1538"/>
      <c r="W1538"/>
      <c r="X1538"/>
      <c r="Y1538"/>
      <c r="Z1538"/>
      <c r="AA1538"/>
      <c r="AB1538"/>
      <c r="AC1538"/>
      <c r="AD1538"/>
      <c r="AE1538"/>
      <c r="AF1538"/>
      <c r="AG1538"/>
      <c r="AH1538"/>
      <c r="AI1538"/>
      <c r="AJ1538"/>
      <c r="AK1538"/>
      <c r="AL1538"/>
    </row>
    <row r="1539" spans="1:38" ht="15.75" customHeight="1" outlineLevel="3" x14ac:dyDescent="0.2">
      <c r="A1539" s="10">
        <v>26</v>
      </c>
      <c r="B1539" s="10" t="s">
        <v>71</v>
      </c>
      <c r="C1539" s="10" t="s">
        <v>1331</v>
      </c>
      <c r="D1539" s="10" t="s">
        <v>411</v>
      </c>
      <c r="E1539" s="11" t="str">
        <f t="array" ref="E1539">_xlfn.XLOOKUP(D1539,Insumos!B:B,Insumos!C:$C)</f>
        <v>M</v>
      </c>
      <c r="F1539" s="14">
        <v>5.8277999999999999</v>
      </c>
      <c r="G1539" s="92">
        <f t="array" ref="G1539">IF(B1539="insumo",_xlfn.XLOOKUP($D1539,Insumos!$B$1:$B$996,Insumos!$D$1:$D$996),"")</f>
        <v>7.98</v>
      </c>
      <c r="H1539" s="92">
        <v>46.505844000000003</v>
      </c>
      <c r="I1539" s="13">
        <v>0</v>
      </c>
      <c r="J1539" s="13">
        <v>0</v>
      </c>
      <c r="K1539" s="13"/>
      <c r="L1539"/>
      <c r="M1539"/>
      <c r="N1539"/>
      <c r="O1539"/>
      <c r="P1539"/>
      <c r="Q1539"/>
      <c r="R1539"/>
      <c r="S1539"/>
      <c r="T1539"/>
      <c r="U1539"/>
      <c r="V1539"/>
      <c r="W1539"/>
      <c r="X1539"/>
      <c r="Y1539"/>
      <c r="Z1539"/>
      <c r="AA1539"/>
      <c r="AB1539"/>
      <c r="AC1539"/>
      <c r="AD1539"/>
      <c r="AE1539"/>
      <c r="AF1539"/>
      <c r="AG1539"/>
      <c r="AH1539"/>
      <c r="AI1539"/>
      <c r="AJ1539"/>
      <c r="AK1539"/>
      <c r="AL1539"/>
    </row>
    <row r="1540" spans="1:38" ht="15.75" customHeight="1" outlineLevel="3" x14ac:dyDescent="0.2">
      <c r="A1540" s="10">
        <v>95</v>
      </c>
      <c r="B1540" s="10" t="s">
        <v>71</v>
      </c>
      <c r="C1540" s="10" t="s">
        <v>1331</v>
      </c>
      <c r="D1540" s="10" t="s">
        <v>415</v>
      </c>
      <c r="E1540" s="11" t="str">
        <f t="array" ref="E1540">_xlfn.XLOOKUP(D1540,Insumos!B:B,Insumos!C:$C)</f>
        <v>UN</v>
      </c>
      <c r="F1540" s="14">
        <v>0.54410000000000003</v>
      </c>
      <c r="G1540" s="92">
        <f t="array" ref="G1540">IF(B1540="insumo",_xlfn.XLOOKUP($D1540,Insumos!$B$1:$B$996,Insumos!$D$1:$D$996),"")</f>
        <v>0.2</v>
      </c>
      <c r="H1540" s="92">
        <v>0.10882</v>
      </c>
      <c r="I1540" s="13">
        <v>0</v>
      </c>
      <c r="J1540" s="13">
        <v>0</v>
      </c>
      <c r="K1540" s="13"/>
      <c r="L1540"/>
      <c r="M1540"/>
      <c r="N1540"/>
      <c r="O1540"/>
      <c r="P1540"/>
      <c r="Q1540"/>
      <c r="R1540"/>
      <c r="S1540"/>
      <c r="T1540"/>
      <c r="U1540"/>
      <c r="V1540"/>
      <c r="W1540"/>
      <c r="X1540"/>
      <c r="Y1540"/>
      <c r="Z1540"/>
      <c r="AA1540"/>
      <c r="AB1540"/>
      <c r="AC1540"/>
      <c r="AD1540"/>
      <c r="AE1540"/>
      <c r="AF1540"/>
      <c r="AG1540"/>
      <c r="AH1540"/>
      <c r="AI1540"/>
      <c r="AJ1540"/>
      <c r="AK1540"/>
      <c r="AL1540"/>
    </row>
    <row r="1541" spans="1:38" ht="15.75" customHeight="1" outlineLevel="2" x14ac:dyDescent="0.2">
      <c r="A1541" s="1067">
        <v>1</v>
      </c>
      <c r="B1541" s="1067" t="s">
        <v>68</v>
      </c>
      <c r="C1541" s="1067" t="s">
        <v>1333</v>
      </c>
      <c r="D1541" s="1067" t="s">
        <v>1333</v>
      </c>
      <c r="E1541" s="1068" t="s">
        <v>70</v>
      </c>
      <c r="F1541" s="1067"/>
      <c r="G1541" s="1069" t="str">
        <f t="array" ref="G1541">IF(B1541="insumo",_xlfn.XLOOKUP($D1541,Insumos!$B$1:$B$996,Insumos!$D$1:$D$996),"")</f>
        <v/>
      </c>
      <c r="H1541" s="1069">
        <v>146.73811266666701</v>
      </c>
      <c r="I1541" s="1070">
        <v>0</v>
      </c>
      <c r="J1541" s="1070">
        <v>0</v>
      </c>
      <c r="K1541" s="1070"/>
      <c r="L1541"/>
      <c r="M1541"/>
      <c r="N1541"/>
      <c r="O1541"/>
      <c r="P1541"/>
      <c r="Q1541"/>
      <c r="R1541"/>
      <c r="S1541"/>
      <c r="T1541"/>
      <c r="U1541"/>
      <c r="V1541"/>
      <c r="W1541"/>
      <c r="X1541"/>
      <c r="Y1541"/>
      <c r="Z1541"/>
      <c r="AA1541"/>
      <c r="AB1541"/>
      <c r="AC1541"/>
      <c r="AD1541"/>
      <c r="AE1541"/>
      <c r="AF1541"/>
      <c r="AG1541"/>
      <c r="AH1541"/>
      <c r="AI1541"/>
      <c r="AJ1541"/>
      <c r="AK1541"/>
      <c r="AL1541"/>
    </row>
    <row r="1542" spans="1:38" ht="15.75" customHeight="1" outlineLevel="3" x14ac:dyDescent="0.2">
      <c r="A1542" s="10">
        <v>86</v>
      </c>
      <c r="B1542" s="10" t="s">
        <v>71</v>
      </c>
      <c r="C1542" s="10" t="s">
        <v>1333</v>
      </c>
      <c r="D1542" s="10" t="s">
        <v>407</v>
      </c>
      <c r="E1542" s="11" t="str">
        <f t="array" ref="E1542">_xlfn.XLOOKUP(D1542,Insumos!B:B,Insumos!C:$C)</f>
        <v>M2</v>
      </c>
      <c r="F1542" s="14">
        <v>1</v>
      </c>
      <c r="G1542" s="92">
        <f t="array" ref="G1542">IF(B1542="insumo",_xlfn.XLOOKUP($D1542,Insumos!$B$1:$B$996,Insumos!$D$1:$D$996),"")</f>
        <v>70</v>
      </c>
      <c r="H1542" s="92">
        <v>70</v>
      </c>
      <c r="I1542" s="13">
        <v>0</v>
      </c>
      <c r="J1542" s="13">
        <v>0</v>
      </c>
      <c r="K1542" s="13"/>
      <c r="L1542"/>
      <c r="M1542"/>
      <c r="N1542"/>
      <c r="O1542"/>
      <c r="P1542"/>
      <c r="Q1542"/>
      <c r="R1542"/>
      <c r="S1542"/>
      <c r="T1542"/>
      <c r="U1542"/>
      <c r="V1542"/>
      <c r="W1542"/>
      <c r="X1542"/>
      <c r="Y1542"/>
      <c r="Z1542"/>
      <c r="AA1542"/>
      <c r="AB1542"/>
      <c r="AC1542"/>
      <c r="AD1542"/>
      <c r="AE1542"/>
      <c r="AF1542"/>
      <c r="AG1542"/>
      <c r="AH1542"/>
      <c r="AI1542"/>
      <c r="AJ1542"/>
      <c r="AK1542"/>
      <c r="AL1542"/>
    </row>
    <row r="1543" spans="1:38" ht="15.75" customHeight="1" outlineLevel="3" x14ac:dyDescent="0.2">
      <c r="A1543" s="10">
        <v>95</v>
      </c>
      <c r="B1543" s="10" t="s">
        <v>71</v>
      </c>
      <c r="C1543" s="10" t="s">
        <v>1333</v>
      </c>
      <c r="D1543" s="10" t="s">
        <v>409</v>
      </c>
      <c r="E1543" s="11" t="str">
        <f t="array" ref="E1543">_xlfn.XLOOKUP(D1543,Insumos!B:B,Insumos!C:$C)</f>
        <v>UN</v>
      </c>
      <c r="F1543" s="14">
        <v>5.92</v>
      </c>
      <c r="G1543" s="92">
        <f t="array" ref="G1543">IF(B1543="insumo",_xlfn.XLOOKUP($D1543,Insumos!$B$1:$B$996,Insumos!$D$1:$D$996),"")</f>
        <v>0.504</v>
      </c>
      <c r="H1543" s="92">
        <v>2.9836800000000001</v>
      </c>
      <c r="I1543" s="13">
        <v>0</v>
      </c>
      <c r="J1543" s="13">
        <v>0</v>
      </c>
      <c r="K1543" s="13"/>
      <c r="L1543"/>
      <c r="M1543"/>
      <c r="N1543"/>
      <c r="O1543"/>
      <c r="P1543"/>
      <c r="Q1543"/>
      <c r="R1543"/>
      <c r="S1543"/>
      <c r="T1543"/>
      <c r="U1543"/>
      <c r="V1543"/>
      <c r="W1543"/>
      <c r="X1543"/>
      <c r="Y1543"/>
      <c r="Z1543"/>
      <c r="AA1543"/>
      <c r="AB1543"/>
      <c r="AC1543"/>
      <c r="AD1543"/>
      <c r="AE1543"/>
      <c r="AF1543"/>
      <c r="AG1543"/>
      <c r="AH1543"/>
      <c r="AI1543"/>
      <c r="AJ1543"/>
      <c r="AK1543"/>
      <c r="AL1543"/>
    </row>
    <row r="1544" spans="1:38" ht="15.75" customHeight="1" outlineLevel="3" x14ac:dyDescent="0.2">
      <c r="A1544" s="10">
        <v>26</v>
      </c>
      <c r="B1544" s="10" t="s">
        <v>71</v>
      </c>
      <c r="C1544" s="10" t="s">
        <v>1333</v>
      </c>
      <c r="D1544" s="10" t="s">
        <v>410</v>
      </c>
      <c r="E1544" s="11" t="str">
        <f t="array" ref="E1544">_xlfn.XLOOKUP(D1544,Insumos!B:B,Insumos!C:$C)</f>
        <v>M</v>
      </c>
      <c r="F1544" s="14">
        <v>1.8233999999999999</v>
      </c>
      <c r="G1544" s="92">
        <f t="array" ref="G1544">IF(B1544="insumo",_xlfn.XLOOKUP($D1544,Insumos!$B$1:$B$996,Insumos!$D$1:$D$996),"")</f>
        <v>7.03</v>
      </c>
      <c r="H1544" s="92">
        <v>12.818502000000001</v>
      </c>
      <c r="I1544" s="13">
        <v>0</v>
      </c>
      <c r="J1544" s="13">
        <v>0</v>
      </c>
      <c r="K1544" s="13"/>
      <c r="L1544"/>
      <c r="M1544"/>
      <c r="N1544"/>
      <c r="O1544"/>
      <c r="P1544"/>
      <c r="Q1544"/>
      <c r="R1544"/>
      <c r="S1544"/>
      <c r="T1544"/>
      <c r="U1544"/>
      <c r="V1544"/>
      <c r="W1544"/>
      <c r="X1544"/>
      <c r="Y1544"/>
      <c r="Z1544"/>
      <c r="AA1544"/>
      <c r="AB1544"/>
      <c r="AC1544"/>
      <c r="AD1544"/>
      <c r="AE1544"/>
      <c r="AF1544"/>
      <c r="AG1544"/>
      <c r="AH1544"/>
      <c r="AI1544"/>
      <c r="AJ1544"/>
      <c r="AK1544"/>
      <c r="AL1544"/>
    </row>
    <row r="1545" spans="1:38" ht="15.75" customHeight="1" outlineLevel="3" x14ac:dyDescent="0.2">
      <c r="A1545" s="10">
        <v>26</v>
      </c>
      <c r="B1545" s="10" t="s">
        <v>71</v>
      </c>
      <c r="C1545" s="10" t="s">
        <v>1333</v>
      </c>
      <c r="D1545" s="10" t="s">
        <v>411</v>
      </c>
      <c r="E1545" s="11" t="str">
        <f t="array" ref="E1545">_xlfn.XLOOKUP(D1545,Insumos!B:B,Insumos!C:$C)</f>
        <v>M</v>
      </c>
      <c r="F1545" s="14">
        <v>5.8277999999999999</v>
      </c>
      <c r="G1545" s="92">
        <f t="array" ref="G1545">IF(B1545="insumo",_xlfn.XLOOKUP($D1545,Insumos!$B$1:$B$996,Insumos!$D$1:$D$996),"")</f>
        <v>7.98</v>
      </c>
      <c r="H1545" s="92">
        <v>46.505844000000003</v>
      </c>
      <c r="I1545" s="13">
        <v>0</v>
      </c>
      <c r="J1545" s="13">
        <v>0</v>
      </c>
      <c r="K1545" s="13"/>
      <c r="L1545"/>
      <c r="M1545"/>
      <c r="N1545"/>
      <c r="O1545"/>
      <c r="P1545"/>
      <c r="Q1545"/>
      <c r="R1545"/>
      <c r="S1545"/>
      <c r="T1545"/>
      <c r="U1545"/>
      <c r="V1545"/>
      <c r="W1545"/>
      <c r="X1545"/>
      <c r="Y1545"/>
      <c r="Z1545"/>
      <c r="AA1545"/>
      <c r="AB1545"/>
      <c r="AC1545"/>
      <c r="AD1545"/>
      <c r="AE1545"/>
      <c r="AF1545"/>
      <c r="AG1545"/>
      <c r="AH1545"/>
      <c r="AI1545"/>
      <c r="AJ1545"/>
      <c r="AK1545"/>
      <c r="AL1545"/>
    </row>
    <row r="1546" spans="1:38" ht="15.75" customHeight="1" outlineLevel="3" x14ac:dyDescent="0.2">
      <c r="A1546" s="10">
        <v>95</v>
      </c>
      <c r="B1546" s="10" t="s">
        <v>71</v>
      </c>
      <c r="C1546" s="10" t="s">
        <v>1333</v>
      </c>
      <c r="D1546" s="10" t="s">
        <v>415</v>
      </c>
      <c r="E1546" s="11" t="str">
        <f t="array" ref="E1546">_xlfn.XLOOKUP(D1546,Insumos!B:B,Insumos!C:$C)</f>
        <v>UN</v>
      </c>
      <c r="F1546" s="14">
        <v>0.54410000000000003</v>
      </c>
      <c r="G1546" s="92">
        <f t="array" ref="G1546">IF(B1546="insumo",_xlfn.XLOOKUP($D1546,Insumos!$B$1:$B$996,Insumos!$D$1:$D$996),"")</f>
        <v>0.2</v>
      </c>
      <c r="H1546" s="92">
        <v>0.10882</v>
      </c>
      <c r="I1546" s="13">
        <v>0</v>
      </c>
      <c r="J1546" s="13">
        <v>0</v>
      </c>
      <c r="K1546" s="13"/>
      <c r="L1546"/>
      <c r="M1546"/>
      <c r="N1546"/>
      <c r="O1546"/>
      <c r="P1546"/>
      <c r="Q1546"/>
      <c r="R1546"/>
      <c r="S1546"/>
      <c r="T1546"/>
      <c r="U1546"/>
      <c r="V1546"/>
      <c r="W1546"/>
      <c r="X1546"/>
      <c r="Y1546"/>
      <c r="Z1546"/>
      <c r="AA1546"/>
      <c r="AB1546"/>
      <c r="AC1546"/>
      <c r="AD1546"/>
      <c r="AE1546"/>
      <c r="AF1546"/>
      <c r="AG1546"/>
      <c r="AH1546"/>
      <c r="AI1546"/>
      <c r="AJ1546"/>
      <c r="AK1546"/>
      <c r="AL1546"/>
    </row>
    <row r="1547" spans="1:38" ht="15.75" customHeight="1" outlineLevel="3" x14ac:dyDescent="0.2">
      <c r="A1547" s="10">
        <v>35</v>
      </c>
      <c r="B1547" s="10" t="s">
        <v>71</v>
      </c>
      <c r="C1547" s="10" t="s">
        <v>1333</v>
      </c>
      <c r="D1547" s="10" t="s">
        <v>1595</v>
      </c>
      <c r="E1547" s="11" t="str">
        <f t="array" ref="E1547">_xlfn.XLOOKUP(D1547,Insumos!B:B,Insumos!C:$C)</f>
        <v>M2</v>
      </c>
      <c r="F1547" s="14">
        <v>1.1000000000000001</v>
      </c>
      <c r="G1547" s="92">
        <f t="array" ref="G1547">IF(B1547="insumo",_xlfn.XLOOKUP($D1547,Insumos!$B$1:$B$996,Insumos!$D$1:$D$996),"")</f>
        <v>13.019333333333332</v>
      </c>
      <c r="H1547" s="92">
        <v>14.3212666666667</v>
      </c>
      <c r="I1547" s="13">
        <v>0</v>
      </c>
      <c r="J1547" s="13">
        <v>0</v>
      </c>
      <c r="K1547" s="13"/>
      <c r="L1547"/>
      <c r="M1547"/>
      <c r="N1547"/>
      <c r="O1547"/>
      <c r="P1547"/>
      <c r="Q1547"/>
      <c r="R1547"/>
      <c r="S1547"/>
      <c r="T1547"/>
      <c r="U1547"/>
      <c r="V1547"/>
      <c r="W1547"/>
      <c r="X1547"/>
      <c r="Y1547"/>
      <c r="Z1547"/>
      <c r="AA1547"/>
      <c r="AB1547"/>
      <c r="AC1547"/>
      <c r="AD1547"/>
      <c r="AE1547"/>
      <c r="AF1547"/>
      <c r="AG1547"/>
      <c r="AH1547"/>
      <c r="AI1547"/>
      <c r="AJ1547"/>
      <c r="AK1547"/>
      <c r="AL1547"/>
    </row>
    <row r="1548" spans="1:38" ht="15.75" customHeight="1" outlineLevel="2" x14ac:dyDescent="0.2">
      <c r="A1548" s="1067">
        <v>1</v>
      </c>
      <c r="B1548" s="1067" t="s">
        <v>68</v>
      </c>
      <c r="C1548" s="1067" t="s">
        <v>1334</v>
      </c>
      <c r="D1548" s="1067" t="s">
        <v>1334</v>
      </c>
      <c r="E1548" s="1068" t="s">
        <v>70</v>
      </c>
      <c r="F1548" s="1067"/>
      <c r="G1548" s="1069" t="str">
        <f t="array" ref="G1548">IF(B1548="insumo",_xlfn.XLOOKUP($D1548,Insumos!$B$1:$B$996,Insumos!$D$1:$D$996),"")</f>
        <v/>
      </c>
      <c r="H1548" s="1069">
        <v>167.74008449999999</v>
      </c>
      <c r="I1548" s="1070">
        <v>0</v>
      </c>
      <c r="J1548" s="1070">
        <v>0</v>
      </c>
      <c r="K1548" s="1070"/>
      <c r="L1548"/>
      <c r="M1548"/>
      <c r="N1548"/>
      <c r="O1548"/>
      <c r="P1548"/>
      <c r="Q1548"/>
      <c r="R1548"/>
      <c r="S1548"/>
      <c r="T1548"/>
      <c r="U1548"/>
      <c r="V1548"/>
      <c r="W1548"/>
      <c r="X1548"/>
      <c r="Y1548"/>
      <c r="Z1548"/>
      <c r="AA1548"/>
      <c r="AB1548"/>
      <c r="AC1548"/>
      <c r="AD1548"/>
      <c r="AE1548"/>
      <c r="AF1548"/>
      <c r="AG1548"/>
      <c r="AH1548"/>
      <c r="AI1548"/>
      <c r="AJ1548"/>
      <c r="AK1548"/>
      <c r="AL1548"/>
    </row>
    <row r="1549" spans="1:38" ht="15.75" customHeight="1" outlineLevel="3" x14ac:dyDescent="0.2">
      <c r="A1549" s="10">
        <v>86</v>
      </c>
      <c r="B1549" s="10" t="s">
        <v>71</v>
      </c>
      <c r="C1549" s="10" t="s">
        <v>1334</v>
      </c>
      <c r="D1549" s="10" t="s">
        <v>407</v>
      </c>
      <c r="E1549" s="11" t="str">
        <f t="array" ref="E1549">_xlfn.XLOOKUP(D1549,Insumos!B:B,Insumos!C:$C)</f>
        <v>M2</v>
      </c>
      <c r="F1549" s="14">
        <v>1</v>
      </c>
      <c r="G1549" s="92">
        <f t="array" ref="G1549">IF(B1549="insumo",_xlfn.XLOOKUP($D1549,Insumos!$B$1:$B$996,Insumos!$D$1:$D$996),"")</f>
        <v>70</v>
      </c>
      <c r="H1549" s="92">
        <v>70</v>
      </c>
      <c r="I1549" s="13">
        <v>0</v>
      </c>
      <c r="J1549" s="13">
        <v>0</v>
      </c>
      <c r="K1549" s="13"/>
      <c r="L1549"/>
      <c r="M1549"/>
      <c r="N1549"/>
      <c r="O1549"/>
      <c r="P1549"/>
      <c r="Q1549"/>
      <c r="R1549"/>
      <c r="S1549"/>
      <c r="T1549"/>
      <c r="U1549"/>
      <c r="V1549"/>
      <c r="W1549"/>
      <c r="X1549"/>
      <c r="Y1549"/>
      <c r="Z1549"/>
      <c r="AA1549"/>
      <c r="AB1549"/>
      <c r="AC1549"/>
      <c r="AD1549"/>
      <c r="AE1549"/>
      <c r="AF1549"/>
      <c r="AG1549"/>
      <c r="AH1549"/>
      <c r="AI1549"/>
      <c r="AJ1549"/>
      <c r="AK1549"/>
      <c r="AL1549"/>
    </row>
    <row r="1550" spans="1:38" ht="15.75" customHeight="1" outlineLevel="3" x14ac:dyDescent="0.2">
      <c r="A1550" s="10">
        <v>49</v>
      </c>
      <c r="B1550" s="10" t="s">
        <v>71</v>
      </c>
      <c r="C1550" s="10" t="s">
        <v>1334</v>
      </c>
      <c r="D1550" s="10" t="s">
        <v>418</v>
      </c>
      <c r="E1550" s="11" t="str">
        <f t="array" ref="E1550">_xlfn.XLOOKUP(D1550,Insumos!B:B,Insumos!C:$C)</f>
        <v>M2</v>
      </c>
      <c r="F1550" s="14">
        <v>1.1060000000000001</v>
      </c>
      <c r="G1550" s="92">
        <f t="array" ref="G1550">IF(B1550="insumo",_xlfn.XLOOKUP($D1550,Insumos!$B$1:$B$996,Insumos!$D$1:$D$996),"")</f>
        <v>27.1</v>
      </c>
      <c r="H1550" s="92">
        <v>29.9726</v>
      </c>
      <c r="I1550" s="13">
        <v>0</v>
      </c>
      <c r="J1550" s="13">
        <v>0</v>
      </c>
      <c r="K1550" s="13"/>
      <c r="L1550"/>
      <c r="M1550"/>
      <c r="N1550"/>
      <c r="O1550"/>
      <c r="P1550"/>
      <c r="Q1550"/>
      <c r="R1550"/>
      <c r="S1550"/>
      <c r="T1550"/>
      <c r="U1550"/>
      <c r="V1550"/>
      <c r="W1550"/>
      <c r="X1550"/>
      <c r="Y1550"/>
      <c r="Z1550"/>
      <c r="AA1550"/>
      <c r="AB1550"/>
      <c r="AC1550"/>
      <c r="AD1550"/>
      <c r="AE1550"/>
      <c r="AF1550"/>
      <c r="AG1550"/>
      <c r="AH1550"/>
      <c r="AI1550"/>
      <c r="AJ1550"/>
      <c r="AK1550"/>
      <c r="AL1550"/>
    </row>
    <row r="1551" spans="1:38" ht="15.75" customHeight="1" outlineLevel="3" x14ac:dyDescent="0.2">
      <c r="A1551" s="10">
        <v>95</v>
      </c>
      <c r="B1551" s="10" t="s">
        <v>71</v>
      </c>
      <c r="C1551" s="10" t="s">
        <v>1334</v>
      </c>
      <c r="D1551" s="10" t="s">
        <v>409</v>
      </c>
      <c r="E1551" s="11" t="str">
        <f t="array" ref="E1551">_xlfn.XLOOKUP(D1551,Insumos!B:B,Insumos!C:$C)</f>
        <v>UN</v>
      </c>
      <c r="F1551" s="14">
        <v>5.92</v>
      </c>
      <c r="G1551" s="92">
        <f t="array" ref="G1551">IF(B1551="insumo",_xlfn.XLOOKUP($D1551,Insumos!$B$1:$B$996,Insumos!$D$1:$D$996),"")</f>
        <v>0.504</v>
      </c>
      <c r="H1551" s="92">
        <v>2.9836800000000001</v>
      </c>
      <c r="I1551" s="13">
        <v>0</v>
      </c>
      <c r="J1551" s="13">
        <v>0</v>
      </c>
      <c r="K1551" s="13"/>
      <c r="L1551"/>
      <c r="M1551"/>
      <c r="N1551"/>
      <c r="O1551"/>
      <c r="P1551"/>
      <c r="Q1551"/>
      <c r="R1551"/>
      <c r="S1551"/>
      <c r="T1551"/>
      <c r="U1551"/>
      <c r="V1551"/>
      <c r="W1551"/>
      <c r="X1551"/>
      <c r="Y1551"/>
      <c r="Z1551"/>
      <c r="AA1551"/>
      <c r="AB1551"/>
      <c r="AC1551"/>
      <c r="AD1551"/>
      <c r="AE1551"/>
      <c r="AF1551"/>
      <c r="AG1551"/>
      <c r="AH1551"/>
      <c r="AI1551"/>
      <c r="AJ1551"/>
      <c r="AK1551"/>
      <c r="AL1551"/>
    </row>
    <row r="1552" spans="1:38" ht="15.75" customHeight="1" outlineLevel="3" x14ac:dyDescent="0.2">
      <c r="A1552" s="10">
        <v>26</v>
      </c>
      <c r="B1552" s="10" t="s">
        <v>71</v>
      </c>
      <c r="C1552" s="10" t="s">
        <v>1334</v>
      </c>
      <c r="D1552" s="10" t="s">
        <v>410</v>
      </c>
      <c r="E1552" s="11" t="str">
        <f t="array" ref="E1552">_xlfn.XLOOKUP(D1552,Insumos!B:B,Insumos!C:$C)</f>
        <v>M</v>
      </c>
      <c r="F1552" s="14">
        <v>1.8233999999999999</v>
      </c>
      <c r="G1552" s="92">
        <f t="array" ref="G1552">IF(B1552="insumo",_xlfn.XLOOKUP($D1552,Insumos!$B$1:$B$996,Insumos!$D$1:$D$996),"")</f>
        <v>7.03</v>
      </c>
      <c r="H1552" s="92">
        <v>12.818502000000001</v>
      </c>
      <c r="I1552" s="13">
        <v>0</v>
      </c>
      <c r="J1552" s="13">
        <v>0</v>
      </c>
      <c r="K1552" s="13"/>
      <c r="L1552"/>
      <c r="M1552"/>
      <c r="N1552"/>
      <c r="O1552"/>
      <c r="P1552"/>
      <c r="Q1552"/>
      <c r="R1552"/>
      <c r="S1552"/>
      <c r="T1552"/>
      <c r="U1552"/>
      <c r="V1552"/>
      <c r="W1552"/>
      <c r="X1552"/>
      <c r="Y1552"/>
      <c r="Z1552"/>
      <c r="AA1552"/>
      <c r="AB1552"/>
      <c r="AC1552"/>
      <c r="AD1552"/>
      <c r="AE1552"/>
      <c r="AF1552"/>
      <c r="AG1552"/>
      <c r="AH1552"/>
      <c r="AI1552"/>
      <c r="AJ1552"/>
      <c r="AK1552"/>
      <c r="AL1552"/>
    </row>
    <row r="1553" spans="1:38" ht="15.75" customHeight="1" outlineLevel="3" x14ac:dyDescent="0.2">
      <c r="A1553" s="10">
        <v>26</v>
      </c>
      <c r="B1553" s="10" t="s">
        <v>71</v>
      </c>
      <c r="C1553" s="10" t="s">
        <v>1334</v>
      </c>
      <c r="D1553" s="10" t="s">
        <v>411</v>
      </c>
      <c r="E1553" s="11" t="str">
        <f t="array" ref="E1553">_xlfn.XLOOKUP(D1553,Insumos!B:B,Insumos!C:$C)</f>
        <v>M</v>
      </c>
      <c r="F1553" s="14">
        <v>5.8277999999999999</v>
      </c>
      <c r="G1553" s="92">
        <f t="array" ref="G1553">IF(B1553="insumo",_xlfn.XLOOKUP($D1553,Insumos!$B$1:$B$996,Insumos!$D$1:$D$996),"")</f>
        <v>7.98</v>
      </c>
      <c r="H1553" s="92">
        <v>46.505844000000003</v>
      </c>
      <c r="I1553" s="13">
        <v>0</v>
      </c>
      <c r="J1553" s="13">
        <v>0</v>
      </c>
      <c r="K1553" s="13"/>
      <c r="L1553"/>
      <c r="M1553"/>
      <c r="N1553"/>
      <c r="O1553"/>
      <c r="P1553"/>
      <c r="Q1553"/>
      <c r="R1553"/>
      <c r="S1553"/>
      <c r="T1553"/>
      <c r="U1553"/>
      <c r="V1553"/>
      <c r="W1553"/>
      <c r="X1553"/>
      <c r="Y1553"/>
      <c r="Z1553"/>
      <c r="AA1553"/>
      <c r="AB1553"/>
      <c r="AC1553"/>
      <c r="AD1553"/>
      <c r="AE1553"/>
      <c r="AF1553"/>
      <c r="AG1553"/>
      <c r="AH1553"/>
      <c r="AI1553"/>
      <c r="AJ1553"/>
      <c r="AK1553"/>
      <c r="AL1553"/>
    </row>
    <row r="1554" spans="1:38" ht="15.75" customHeight="1" outlineLevel="3" x14ac:dyDescent="0.2">
      <c r="A1554" s="10">
        <v>95</v>
      </c>
      <c r="B1554" s="10" t="s">
        <v>71</v>
      </c>
      <c r="C1554" s="10" t="s">
        <v>1334</v>
      </c>
      <c r="D1554" s="10" t="s">
        <v>405</v>
      </c>
      <c r="E1554" s="11" t="str">
        <f t="array" ref="E1554">_xlfn.XLOOKUP(D1554,Insumos!B:B,Insumos!C:$C)</f>
        <v>KG</v>
      </c>
      <c r="F1554" s="14">
        <f>1.0978/2</f>
        <v>0.54890000000000005</v>
      </c>
      <c r="G1554" s="92">
        <f t="array" ref="G1554">IF(B1554="insumo",_xlfn.XLOOKUP($D1554,Insumos!$B$1:$B$996,Insumos!$D$1:$D$996),"")</f>
        <v>3.43</v>
      </c>
      <c r="H1554" s="92">
        <v>1.882727</v>
      </c>
      <c r="I1554" s="13">
        <v>0</v>
      </c>
      <c r="J1554" s="13">
        <v>0</v>
      </c>
      <c r="K1554" s="13"/>
      <c r="L1554"/>
      <c r="M1554"/>
      <c r="N1554"/>
      <c r="O1554"/>
      <c r="P1554"/>
      <c r="Q1554"/>
      <c r="R1554"/>
      <c r="S1554"/>
      <c r="T1554"/>
      <c r="U1554"/>
      <c r="V1554"/>
      <c r="W1554"/>
      <c r="X1554"/>
      <c r="Y1554"/>
      <c r="Z1554"/>
      <c r="AA1554"/>
      <c r="AB1554"/>
      <c r="AC1554"/>
      <c r="AD1554"/>
      <c r="AE1554"/>
      <c r="AF1554"/>
      <c r="AG1554"/>
      <c r="AH1554"/>
      <c r="AI1554"/>
      <c r="AJ1554"/>
      <c r="AK1554"/>
      <c r="AL1554"/>
    </row>
    <row r="1555" spans="1:38" ht="15.75" customHeight="1" outlineLevel="3" x14ac:dyDescent="0.2">
      <c r="A1555" s="10">
        <v>94</v>
      </c>
      <c r="B1555" s="10" t="s">
        <v>71</v>
      </c>
      <c r="C1555" s="10" t="s">
        <v>1334</v>
      </c>
      <c r="D1555" s="10" t="s">
        <v>412</v>
      </c>
      <c r="E1555" s="11" t="str">
        <f t="array" ref="E1555">_xlfn.XLOOKUP(D1555,Insumos!B:B,Insumos!C:$C)</f>
        <v>M</v>
      </c>
      <c r="F1555" s="14">
        <f>2.5027/2</f>
        <v>1.25135</v>
      </c>
      <c r="G1555" s="92">
        <f t="array" ref="G1555">IF(B1555="insumo",_xlfn.XLOOKUP($D1555,Insumos!$B$1:$B$996,Insumos!$D$1:$D$996),"")</f>
        <v>0.31</v>
      </c>
      <c r="H1555" s="92">
        <v>0.3879185</v>
      </c>
      <c r="I1555" s="13">
        <v>0</v>
      </c>
      <c r="J1555" s="13">
        <v>0</v>
      </c>
      <c r="K1555" s="13"/>
      <c r="L1555"/>
      <c r="M1555"/>
      <c r="N1555"/>
      <c r="O1555"/>
      <c r="P1555"/>
      <c r="Q1555"/>
      <c r="R1555"/>
      <c r="S1555"/>
      <c r="T1555"/>
      <c r="U1555"/>
      <c r="V1555"/>
      <c r="W1555"/>
      <c r="X1555"/>
      <c r="Y1555"/>
      <c r="Z1555"/>
      <c r="AA1555"/>
      <c r="AB1555"/>
      <c r="AC1555"/>
      <c r="AD1555"/>
      <c r="AE1555"/>
      <c r="AF1555"/>
      <c r="AG1555"/>
      <c r="AH1555"/>
      <c r="AI1555"/>
      <c r="AJ1555"/>
      <c r="AK1555"/>
      <c r="AL1555"/>
    </row>
    <row r="1556" spans="1:38" ht="15.75" customHeight="1" outlineLevel="3" x14ac:dyDescent="0.2">
      <c r="A1556" s="10">
        <v>94</v>
      </c>
      <c r="B1556" s="10" t="s">
        <v>71</v>
      </c>
      <c r="C1556" s="10" t="s">
        <v>1334</v>
      </c>
      <c r="D1556" s="10" t="s">
        <v>413</v>
      </c>
      <c r="E1556" s="11" t="str">
        <f t="array" ref="E1556">_xlfn.XLOOKUP(D1556,Insumos!B:B,Insumos!C:$C)</f>
        <v>M</v>
      </c>
      <c r="F1556" s="14">
        <f>1.5851/2</f>
        <v>0.79254999999999998</v>
      </c>
      <c r="G1556" s="92">
        <f t="array" ref="G1556">IF(B1556="insumo",_xlfn.XLOOKUP($D1556,Insumos!$B$1:$B$996,Insumos!$D$1:$D$996),"")</f>
        <v>2.74</v>
      </c>
      <c r="H1556" s="92">
        <v>2.1715870000000002</v>
      </c>
      <c r="I1556" s="13">
        <v>0</v>
      </c>
      <c r="J1556" s="13">
        <v>0</v>
      </c>
      <c r="K1556" s="13"/>
      <c r="L1556"/>
      <c r="M1556"/>
      <c r="N1556"/>
      <c r="O1556"/>
      <c r="P1556"/>
      <c r="Q1556"/>
      <c r="R1556"/>
      <c r="S1556"/>
      <c r="T1556"/>
      <c r="U1556"/>
      <c r="V1556"/>
      <c r="W1556"/>
      <c r="X1556"/>
      <c r="Y1556"/>
      <c r="Z1556"/>
      <c r="AA1556"/>
      <c r="AB1556"/>
      <c r="AC1556"/>
      <c r="AD1556"/>
      <c r="AE1556"/>
      <c r="AF1556"/>
      <c r="AG1556"/>
      <c r="AH1556"/>
      <c r="AI1556"/>
      <c r="AJ1556"/>
      <c r="AK1556"/>
      <c r="AL1556"/>
    </row>
    <row r="1557" spans="1:38" ht="15.75" customHeight="1" outlineLevel="3" x14ac:dyDescent="0.2">
      <c r="A1557" s="10">
        <v>97</v>
      </c>
      <c r="B1557" s="10" t="s">
        <v>71</v>
      </c>
      <c r="C1557" s="10" t="s">
        <v>1334</v>
      </c>
      <c r="D1557" s="10" t="s">
        <v>414</v>
      </c>
      <c r="E1557" s="11" t="str">
        <f t="array" ref="E1557">_xlfn.XLOOKUP(D1557,Insumos!B:B,Insumos!C:$C)</f>
        <v>UN</v>
      </c>
      <c r="F1557" s="14">
        <f>20.1868/2</f>
        <v>10.093400000000001</v>
      </c>
      <c r="G1557" s="92">
        <f t="array" ref="G1557">IF(B1557="insumo",_xlfn.XLOOKUP($D1557,Insumos!$B$1:$B$996,Insumos!$D$1:$D$996),"")</f>
        <v>0.09</v>
      </c>
      <c r="H1557" s="92">
        <v>0.90840600000000005</v>
      </c>
      <c r="I1557" s="13">
        <v>0</v>
      </c>
      <c r="J1557" s="13">
        <v>0</v>
      </c>
      <c r="K1557" s="13"/>
      <c r="L1557"/>
      <c r="M1557"/>
      <c r="N1557"/>
      <c r="O1557"/>
      <c r="P1557"/>
      <c r="Q1557"/>
      <c r="R1557"/>
      <c r="S1557"/>
      <c r="T1557"/>
      <c r="U1557"/>
      <c r="V1557"/>
      <c r="W1557"/>
      <c r="X1557"/>
      <c r="Y1557"/>
      <c r="Z1557"/>
      <c r="AA1557"/>
      <c r="AB1557"/>
      <c r="AC1557"/>
      <c r="AD1557"/>
      <c r="AE1557"/>
      <c r="AF1557"/>
      <c r="AG1557"/>
      <c r="AH1557"/>
      <c r="AI1557"/>
      <c r="AJ1557"/>
      <c r="AK1557"/>
      <c r="AL1557"/>
    </row>
    <row r="1558" spans="1:38" ht="15.75" customHeight="1" outlineLevel="3" x14ac:dyDescent="0.2">
      <c r="A1558" s="10">
        <v>95</v>
      </c>
      <c r="B1558" s="10" t="s">
        <v>71</v>
      </c>
      <c r="C1558" s="10" t="s">
        <v>1334</v>
      </c>
      <c r="D1558" s="10" t="s">
        <v>415</v>
      </c>
      <c r="E1558" s="11" t="str">
        <f t="array" ref="E1558">_xlfn.XLOOKUP(D1558,Insumos!B:B,Insumos!C:$C)</f>
        <v>UN</v>
      </c>
      <c r="F1558" s="14">
        <v>0.54410000000000003</v>
      </c>
      <c r="G1558" s="92">
        <f t="array" ref="G1558">IF(B1558="insumo",_xlfn.XLOOKUP($D1558,Insumos!$B$1:$B$996,Insumos!$D$1:$D$996),"")</f>
        <v>0.2</v>
      </c>
      <c r="H1558" s="92">
        <v>0.10882</v>
      </c>
      <c r="I1558" s="13">
        <v>0</v>
      </c>
      <c r="J1558" s="13">
        <v>0</v>
      </c>
      <c r="K1558" s="13"/>
      <c r="L1558"/>
      <c r="M1558"/>
      <c r="N1558"/>
      <c r="O1558"/>
      <c r="P1558"/>
      <c r="Q1558"/>
      <c r="R1558"/>
      <c r="S1558"/>
      <c r="T1558"/>
      <c r="U1558"/>
      <c r="V1558"/>
      <c r="W1558"/>
      <c r="X1558"/>
      <c r="Y1558"/>
      <c r="Z1558"/>
      <c r="AA1558"/>
      <c r="AB1558"/>
      <c r="AC1558"/>
      <c r="AD1558"/>
      <c r="AE1558"/>
      <c r="AF1558"/>
      <c r="AG1558"/>
      <c r="AH1558"/>
      <c r="AI1558"/>
      <c r="AJ1558"/>
      <c r="AK1558"/>
      <c r="AL1558"/>
    </row>
    <row r="1559" spans="1:38" ht="15.75" customHeight="1" outlineLevel="2" x14ac:dyDescent="0.2">
      <c r="A1559" s="1067">
        <v>1</v>
      </c>
      <c r="B1559" s="1067" t="s">
        <v>68</v>
      </c>
      <c r="C1559" s="1067" t="s">
        <v>1335</v>
      </c>
      <c r="D1559" s="1067" t="s">
        <v>1335</v>
      </c>
      <c r="E1559" s="1068" t="s">
        <v>70</v>
      </c>
      <c r="F1559" s="1067"/>
      <c r="G1559" s="1069" t="str">
        <f t="array" ref="G1559">IF(B1559="insumo",_xlfn.XLOOKUP($D1559,Insumos!$B$1:$B$996,Insumos!$D$1:$D$996),"")</f>
        <v/>
      </c>
      <c r="H1559" s="1069">
        <v>167.74008449999999</v>
      </c>
      <c r="I1559" s="1070">
        <v>0</v>
      </c>
      <c r="J1559" s="1070">
        <v>0</v>
      </c>
      <c r="K1559" s="1070"/>
      <c r="L1559"/>
      <c r="M1559"/>
      <c r="N1559"/>
      <c r="O1559"/>
      <c r="P1559"/>
      <c r="Q1559"/>
      <c r="R1559"/>
      <c r="S1559"/>
      <c r="T1559"/>
      <c r="U1559"/>
      <c r="V1559"/>
      <c r="W1559"/>
      <c r="X1559"/>
      <c r="Y1559"/>
      <c r="Z1559"/>
      <c r="AA1559"/>
      <c r="AB1559"/>
      <c r="AC1559"/>
      <c r="AD1559"/>
      <c r="AE1559"/>
      <c r="AF1559"/>
      <c r="AG1559"/>
      <c r="AH1559"/>
      <c r="AI1559"/>
      <c r="AJ1559"/>
      <c r="AK1559"/>
      <c r="AL1559"/>
    </row>
    <row r="1560" spans="1:38" ht="15.75" customHeight="1" outlineLevel="3" x14ac:dyDescent="0.2">
      <c r="A1560" s="10">
        <v>86</v>
      </c>
      <c r="B1560" s="10" t="s">
        <v>71</v>
      </c>
      <c r="C1560" s="10" t="s">
        <v>1335</v>
      </c>
      <c r="D1560" s="10" t="s">
        <v>407</v>
      </c>
      <c r="E1560" s="11" t="str">
        <f t="array" ref="E1560">_xlfn.XLOOKUP(D1560,Insumos!B:B,Insumos!C:$C)</f>
        <v>M2</v>
      </c>
      <c r="F1560" s="14">
        <v>1</v>
      </c>
      <c r="G1560" s="92">
        <f t="array" ref="G1560">IF(B1560="insumo",_xlfn.XLOOKUP($D1560,Insumos!$B$1:$B$996,Insumos!$D$1:$D$996),"")</f>
        <v>70</v>
      </c>
      <c r="H1560" s="92">
        <v>70</v>
      </c>
      <c r="I1560" s="13">
        <v>0</v>
      </c>
      <c r="J1560" s="13">
        <v>0</v>
      </c>
      <c r="K1560" s="13"/>
      <c r="L1560"/>
      <c r="M1560"/>
      <c r="N1560"/>
      <c r="O1560"/>
      <c r="P1560"/>
      <c r="Q1560"/>
      <c r="R1560"/>
      <c r="S1560"/>
      <c r="T1560"/>
      <c r="U1560"/>
      <c r="V1560"/>
      <c r="W1560"/>
      <c r="X1560"/>
      <c r="Y1560"/>
      <c r="Z1560"/>
      <c r="AA1560"/>
      <c r="AB1560"/>
      <c r="AC1560"/>
      <c r="AD1560"/>
      <c r="AE1560"/>
      <c r="AF1560"/>
      <c r="AG1560"/>
      <c r="AH1560"/>
      <c r="AI1560"/>
      <c r="AJ1560"/>
      <c r="AK1560"/>
      <c r="AL1560"/>
    </row>
    <row r="1561" spans="1:38" ht="15.75" customHeight="1" outlineLevel="3" x14ac:dyDescent="0.2">
      <c r="A1561" s="10">
        <v>49</v>
      </c>
      <c r="B1561" s="10" t="s">
        <v>71</v>
      </c>
      <c r="C1561" s="10" t="s">
        <v>1335</v>
      </c>
      <c r="D1561" s="10" t="s">
        <v>418</v>
      </c>
      <c r="E1561" s="11" t="str">
        <f t="array" ref="E1561">_xlfn.XLOOKUP(D1561,Insumos!B:B,Insumos!C:$C)</f>
        <v>M2</v>
      </c>
      <c r="F1561" s="14">
        <v>1.1060000000000001</v>
      </c>
      <c r="G1561" s="92">
        <f t="array" ref="G1561">IF(B1561="insumo",_xlfn.XLOOKUP($D1561,Insumos!$B$1:$B$996,Insumos!$D$1:$D$996),"")</f>
        <v>27.1</v>
      </c>
      <c r="H1561" s="92">
        <v>29.9726</v>
      </c>
      <c r="I1561" s="13">
        <v>0</v>
      </c>
      <c r="J1561" s="13">
        <v>0</v>
      </c>
      <c r="K1561" s="13"/>
      <c r="L1561"/>
      <c r="M1561"/>
      <c r="N1561"/>
      <c r="O1561"/>
      <c r="P1561"/>
      <c r="Q1561"/>
      <c r="R1561"/>
      <c r="S1561"/>
      <c r="T1561"/>
      <c r="U1561"/>
      <c r="V1561"/>
      <c r="W1561"/>
      <c r="X1561"/>
      <c r="Y1561"/>
      <c r="Z1561"/>
      <c r="AA1561"/>
      <c r="AB1561"/>
      <c r="AC1561"/>
      <c r="AD1561"/>
      <c r="AE1561"/>
      <c r="AF1561"/>
      <c r="AG1561"/>
      <c r="AH1561"/>
      <c r="AI1561"/>
      <c r="AJ1561"/>
      <c r="AK1561"/>
      <c r="AL1561"/>
    </row>
    <row r="1562" spans="1:38" ht="15.75" customHeight="1" outlineLevel="3" x14ac:dyDescent="0.2">
      <c r="A1562" s="10">
        <v>95</v>
      </c>
      <c r="B1562" s="10" t="s">
        <v>71</v>
      </c>
      <c r="C1562" s="10" t="s">
        <v>1335</v>
      </c>
      <c r="D1562" s="10" t="s">
        <v>409</v>
      </c>
      <c r="E1562" s="11" t="str">
        <f t="array" ref="E1562">_xlfn.XLOOKUP(D1562,Insumos!B:B,Insumos!C:$C)</f>
        <v>UN</v>
      </c>
      <c r="F1562" s="14">
        <v>5.92</v>
      </c>
      <c r="G1562" s="92">
        <f t="array" ref="G1562">IF(B1562="insumo",_xlfn.XLOOKUP($D1562,Insumos!$B$1:$B$996,Insumos!$D$1:$D$996),"")</f>
        <v>0.504</v>
      </c>
      <c r="H1562" s="92">
        <v>2.9836800000000001</v>
      </c>
      <c r="I1562" s="13">
        <v>0</v>
      </c>
      <c r="J1562" s="13">
        <v>0</v>
      </c>
      <c r="K1562" s="13"/>
      <c r="L1562"/>
      <c r="M1562"/>
      <c r="N1562"/>
      <c r="O1562"/>
      <c r="P1562"/>
      <c r="Q1562"/>
      <c r="R1562"/>
      <c r="S1562"/>
      <c r="T1562"/>
      <c r="U1562"/>
      <c r="V1562"/>
      <c r="W1562"/>
      <c r="X1562"/>
      <c r="Y1562"/>
      <c r="Z1562"/>
      <c r="AA1562"/>
      <c r="AB1562"/>
      <c r="AC1562"/>
      <c r="AD1562"/>
      <c r="AE1562"/>
      <c r="AF1562"/>
      <c r="AG1562"/>
      <c r="AH1562"/>
      <c r="AI1562"/>
      <c r="AJ1562"/>
      <c r="AK1562"/>
      <c r="AL1562"/>
    </row>
    <row r="1563" spans="1:38" ht="15.75" customHeight="1" outlineLevel="3" x14ac:dyDescent="0.2">
      <c r="A1563" s="10">
        <v>26</v>
      </c>
      <c r="B1563" s="10" t="s">
        <v>71</v>
      </c>
      <c r="C1563" s="10" t="s">
        <v>1335</v>
      </c>
      <c r="D1563" s="10" t="s">
        <v>410</v>
      </c>
      <c r="E1563" s="11" t="str">
        <f t="array" ref="E1563">_xlfn.XLOOKUP(D1563,Insumos!B:B,Insumos!C:$C)</f>
        <v>M</v>
      </c>
      <c r="F1563" s="14">
        <v>1.8233999999999999</v>
      </c>
      <c r="G1563" s="92">
        <f t="array" ref="G1563">IF(B1563="insumo",_xlfn.XLOOKUP($D1563,Insumos!$B$1:$B$996,Insumos!$D$1:$D$996),"")</f>
        <v>7.03</v>
      </c>
      <c r="H1563" s="92">
        <v>12.818502000000001</v>
      </c>
      <c r="I1563" s="13">
        <v>0</v>
      </c>
      <c r="J1563" s="13">
        <v>0</v>
      </c>
      <c r="K1563" s="13"/>
      <c r="L1563"/>
      <c r="M1563"/>
      <c r="N1563"/>
      <c r="O1563"/>
      <c r="P1563"/>
      <c r="Q1563"/>
      <c r="R1563"/>
      <c r="S1563"/>
      <c r="T1563"/>
      <c r="U1563"/>
      <c r="V1563"/>
      <c r="W1563"/>
      <c r="X1563"/>
      <c r="Y1563"/>
      <c r="Z1563"/>
      <c r="AA1563"/>
      <c r="AB1563"/>
      <c r="AC1563"/>
      <c r="AD1563"/>
      <c r="AE1563"/>
      <c r="AF1563"/>
      <c r="AG1563"/>
      <c r="AH1563"/>
      <c r="AI1563"/>
      <c r="AJ1563"/>
      <c r="AK1563"/>
      <c r="AL1563"/>
    </row>
    <row r="1564" spans="1:38" ht="15.75" customHeight="1" outlineLevel="3" x14ac:dyDescent="0.2">
      <c r="A1564" s="10">
        <v>26</v>
      </c>
      <c r="B1564" s="10" t="s">
        <v>71</v>
      </c>
      <c r="C1564" s="10" t="s">
        <v>1335</v>
      </c>
      <c r="D1564" s="10" t="s">
        <v>411</v>
      </c>
      <c r="E1564" s="11" t="str">
        <f t="array" ref="E1564">_xlfn.XLOOKUP(D1564,Insumos!B:B,Insumos!C:$C)</f>
        <v>M</v>
      </c>
      <c r="F1564" s="14">
        <v>5.8277999999999999</v>
      </c>
      <c r="G1564" s="92">
        <f t="array" ref="G1564">IF(B1564="insumo",_xlfn.XLOOKUP($D1564,Insumos!$B$1:$B$996,Insumos!$D$1:$D$996),"")</f>
        <v>7.98</v>
      </c>
      <c r="H1564" s="92">
        <v>46.505844000000003</v>
      </c>
      <c r="I1564" s="13">
        <v>0</v>
      </c>
      <c r="J1564" s="13">
        <v>0</v>
      </c>
      <c r="K1564" s="13"/>
      <c r="L1564"/>
      <c r="M1564"/>
      <c r="N1564"/>
      <c r="O1564"/>
      <c r="P1564"/>
      <c r="Q1564"/>
      <c r="R1564"/>
      <c r="S1564"/>
      <c r="T1564"/>
      <c r="U1564"/>
      <c r="V1564"/>
      <c r="W1564"/>
      <c r="X1564"/>
      <c r="Y1564"/>
      <c r="Z1564"/>
      <c r="AA1564"/>
      <c r="AB1564"/>
      <c r="AC1564"/>
      <c r="AD1564"/>
      <c r="AE1564"/>
      <c r="AF1564"/>
      <c r="AG1564"/>
      <c r="AH1564"/>
      <c r="AI1564"/>
      <c r="AJ1564"/>
      <c r="AK1564"/>
      <c r="AL1564"/>
    </row>
    <row r="1565" spans="1:38" ht="15.75" customHeight="1" outlineLevel="3" x14ac:dyDescent="0.2">
      <c r="A1565" s="10">
        <v>95</v>
      </c>
      <c r="B1565" s="10" t="s">
        <v>71</v>
      </c>
      <c r="C1565" s="10" t="s">
        <v>1335</v>
      </c>
      <c r="D1565" s="10" t="s">
        <v>405</v>
      </c>
      <c r="E1565" s="11" t="str">
        <f t="array" ref="E1565">_xlfn.XLOOKUP(D1565,Insumos!B:B,Insumos!C:$C)</f>
        <v>KG</v>
      </c>
      <c r="F1565" s="14">
        <f>1.0978/2</f>
        <v>0.54890000000000005</v>
      </c>
      <c r="G1565" s="92">
        <f t="array" ref="G1565">IF(B1565="insumo",_xlfn.XLOOKUP($D1565,Insumos!$B$1:$B$996,Insumos!$D$1:$D$996),"")</f>
        <v>3.43</v>
      </c>
      <c r="H1565" s="92">
        <v>1.882727</v>
      </c>
      <c r="I1565" s="13">
        <v>0</v>
      </c>
      <c r="J1565" s="13">
        <v>0</v>
      </c>
      <c r="K1565" s="13"/>
      <c r="L1565"/>
      <c r="M1565"/>
      <c r="N1565"/>
      <c r="O1565"/>
      <c r="P1565"/>
      <c r="Q1565"/>
      <c r="R1565"/>
      <c r="S1565"/>
      <c r="T1565"/>
      <c r="U1565"/>
      <c r="V1565"/>
      <c r="W1565"/>
      <c r="X1565"/>
      <c r="Y1565"/>
      <c r="Z1565"/>
      <c r="AA1565"/>
      <c r="AB1565"/>
      <c r="AC1565"/>
      <c r="AD1565"/>
      <c r="AE1565"/>
      <c r="AF1565"/>
      <c r="AG1565"/>
      <c r="AH1565"/>
      <c r="AI1565"/>
      <c r="AJ1565"/>
      <c r="AK1565"/>
      <c r="AL1565"/>
    </row>
    <row r="1566" spans="1:38" ht="15.75" customHeight="1" outlineLevel="3" x14ac:dyDescent="0.2">
      <c r="A1566" s="10">
        <v>94</v>
      </c>
      <c r="B1566" s="10" t="s">
        <v>71</v>
      </c>
      <c r="C1566" s="10" t="s">
        <v>1335</v>
      </c>
      <c r="D1566" s="10" t="s">
        <v>412</v>
      </c>
      <c r="E1566" s="11" t="str">
        <f t="array" ref="E1566">_xlfn.XLOOKUP(D1566,Insumos!B:B,Insumos!C:$C)</f>
        <v>M</v>
      </c>
      <c r="F1566" s="14">
        <f>2.5027/2</f>
        <v>1.25135</v>
      </c>
      <c r="G1566" s="92">
        <f t="array" ref="G1566">IF(B1566="insumo",_xlfn.XLOOKUP($D1566,Insumos!$B$1:$B$996,Insumos!$D$1:$D$996),"")</f>
        <v>0.31</v>
      </c>
      <c r="H1566" s="92">
        <v>0.3879185</v>
      </c>
      <c r="I1566" s="13">
        <v>0</v>
      </c>
      <c r="J1566" s="13">
        <v>0</v>
      </c>
      <c r="K1566" s="13"/>
      <c r="L1566"/>
      <c r="M1566"/>
      <c r="N1566"/>
      <c r="O1566"/>
      <c r="P1566"/>
      <c r="Q1566"/>
      <c r="R1566"/>
      <c r="S1566"/>
      <c r="T1566"/>
      <c r="U1566"/>
      <c r="V1566"/>
      <c r="W1566"/>
      <c r="X1566"/>
      <c r="Y1566"/>
      <c r="Z1566"/>
      <c r="AA1566"/>
      <c r="AB1566"/>
      <c r="AC1566"/>
      <c r="AD1566"/>
      <c r="AE1566"/>
      <c r="AF1566"/>
      <c r="AG1566"/>
      <c r="AH1566"/>
      <c r="AI1566"/>
      <c r="AJ1566"/>
      <c r="AK1566"/>
      <c r="AL1566"/>
    </row>
    <row r="1567" spans="1:38" ht="15.75" customHeight="1" outlineLevel="3" x14ac:dyDescent="0.2">
      <c r="A1567" s="10">
        <v>94</v>
      </c>
      <c r="B1567" s="10" t="s">
        <v>71</v>
      </c>
      <c r="C1567" s="10" t="s">
        <v>1335</v>
      </c>
      <c r="D1567" s="10" t="s">
        <v>413</v>
      </c>
      <c r="E1567" s="11" t="str">
        <f t="array" ref="E1567">_xlfn.XLOOKUP(D1567,Insumos!B:B,Insumos!C:$C)</f>
        <v>M</v>
      </c>
      <c r="F1567" s="14">
        <f>1.5851/2</f>
        <v>0.79254999999999998</v>
      </c>
      <c r="G1567" s="92">
        <f t="array" ref="G1567">IF(B1567="insumo",_xlfn.XLOOKUP($D1567,Insumos!$B$1:$B$996,Insumos!$D$1:$D$996),"")</f>
        <v>2.74</v>
      </c>
      <c r="H1567" s="92">
        <v>2.1715870000000002</v>
      </c>
      <c r="I1567" s="13">
        <v>0</v>
      </c>
      <c r="J1567" s="13">
        <v>0</v>
      </c>
      <c r="K1567" s="13"/>
      <c r="L1567"/>
      <c r="M1567"/>
      <c r="N1567"/>
      <c r="O1567"/>
      <c r="P1567"/>
      <c r="Q1567"/>
      <c r="R1567"/>
      <c r="S1567"/>
      <c r="T1567"/>
      <c r="U1567"/>
      <c r="V1567"/>
      <c r="W1567"/>
      <c r="X1567"/>
      <c r="Y1567"/>
      <c r="Z1567"/>
      <c r="AA1567"/>
      <c r="AB1567"/>
      <c r="AC1567"/>
      <c r="AD1567"/>
      <c r="AE1567"/>
      <c r="AF1567"/>
      <c r="AG1567"/>
      <c r="AH1567"/>
      <c r="AI1567"/>
      <c r="AJ1567"/>
      <c r="AK1567"/>
      <c r="AL1567"/>
    </row>
    <row r="1568" spans="1:38" ht="15.75" customHeight="1" outlineLevel="3" x14ac:dyDescent="0.2">
      <c r="A1568" s="10">
        <v>97</v>
      </c>
      <c r="B1568" s="10" t="s">
        <v>71</v>
      </c>
      <c r="C1568" s="10" t="s">
        <v>1335</v>
      </c>
      <c r="D1568" s="10" t="s">
        <v>414</v>
      </c>
      <c r="E1568" s="11" t="str">
        <f t="array" ref="E1568">_xlfn.XLOOKUP(D1568,Insumos!B:B,Insumos!C:$C)</f>
        <v>UN</v>
      </c>
      <c r="F1568" s="14">
        <f>20.1868/2</f>
        <v>10.093400000000001</v>
      </c>
      <c r="G1568" s="92">
        <f t="array" ref="G1568">IF(B1568="insumo",_xlfn.XLOOKUP($D1568,Insumos!$B$1:$B$996,Insumos!$D$1:$D$996),"")</f>
        <v>0.09</v>
      </c>
      <c r="H1568" s="92">
        <v>0.90840600000000005</v>
      </c>
      <c r="I1568" s="13">
        <v>0</v>
      </c>
      <c r="J1568" s="13">
        <v>0</v>
      </c>
      <c r="K1568" s="13"/>
      <c r="L1568"/>
      <c r="M1568"/>
      <c r="N1568"/>
      <c r="O1568"/>
      <c r="P1568"/>
      <c r="Q1568"/>
      <c r="R1568"/>
      <c r="S1568"/>
      <c r="T1568"/>
      <c r="U1568"/>
      <c r="V1568"/>
      <c r="W1568"/>
      <c r="X1568"/>
      <c r="Y1568"/>
      <c r="Z1568"/>
      <c r="AA1568"/>
      <c r="AB1568"/>
      <c r="AC1568"/>
      <c r="AD1568"/>
      <c r="AE1568"/>
      <c r="AF1568"/>
      <c r="AG1568"/>
      <c r="AH1568"/>
      <c r="AI1568"/>
      <c r="AJ1568"/>
      <c r="AK1568"/>
      <c r="AL1568"/>
    </row>
    <row r="1569" spans="1:38" ht="15.75" customHeight="1" outlineLevel="3" x14ac:dyDescent="0.2">
      <c r="A1569" s="10">
        <v>95</v>
      </c>
      <c r="B1569" s="10" t="s">
        <v>71</v>
      </c>
      <c r="C1569" s="10" t="s">
        <v>1335</v>
      </c>
      <c r="D1569" s="10" t="s">
        <v>415</v>
      </c>
      <c r="E1569" s="11" t="str">
        <f t="array" ref="E1569">_xlfn.XLOOKUP(D1569,Insumos!B:B,Insumos!C:$C)</f>
        <v>UN</v>
      </c>
      <c r="F1569" s="14">
        <v>0.54410000000000003</v>
      </c>
      <c r="G1569" s="92">
        <f t="array" ref="G1569">IF(B1569="insumo",_xlfn.XLOOKUP($D1569,Insumos!$B$1:$B$996,Insumos!$D$1:$D$996),"")</f>
        <v>0.2</v>
      </c>
      <c r="H1569" s="92">
        <v>0.10882</v>
      </c>
      <c r="I1569" s="13">
        <v>0</v>
      </c>
      <c r="J1569" s="13">
        <v>0</v>
      </c>
      <c r="K1569" s="13"/>
      <c r="L1569"/>
      <c r="M1569"/>
      <c r="N1569"/>
      <c r="O1569"/>
      <c r="P1569"/>
      <c r="Q1569"/>
      <c r="R1569"/>
      <c r="S1569"/>
      <c r="T1569"/>
      <c r="U1569"/>
      <c r="V1569"/>
      <c r="W1569"/>
      <c r="X1569"/>
      <c r="Y1569"/>
      <c r="Z1569"/>
      <c r="AA1569"/>
      <c r="AB1569"/>
      <c r="AC1569"/>
      <c r="AD1569"/>
      <c r="AE1569"/>
      <c r="AF1569"/>
      <c r="AG1569"/>
      <c r="AH1569"/>
      <c r="AI1569"/>
      <c r="AJ1569"/>
      <c r="AK1569"/>
      <c r="AL1569"/>
    </row>
    <row r="1570" spans="1:38" ht="15.75" customHeight="1" outlineLevel="2" x14ac:dyDescent="0.2">
      <c r="A1570" s="1067">
        <v>1</v>
      </c>
      <c r="B1570" s="1067" t="s">
        <v>68</v>
      </c>
      <c r="C1570" s="1067" t="s">
        <v>1336</v>
      </c>
      <c r="D1570" s="1067" t="s">
        <v>1336</v>
      </c>
      <c r="E1570" s="1068" t="s">
        <v>70</v>
      </c>
      <c r="F1570" s="1067"/>
      <c r="G1570" s="1069" t="str">
        <f t="array" ref="G1570">IF(B1570="insumo",_xlfn.XLOOKUP($D1570,Insumos!$B$1:$B$996,Insumos!$D$1:$D$996),"")</f>
        <v/>
      </c>
      <c r="H1570" s="1069">
        <v>160.06444450000001</v>
      </c>
      <c r="I1570" s="1070">
        <v>0</v>
      </c>
      <c r="J1570" s="1070">
        <v>0</v>
      </c>
      <c r="K1570" s="1070"/>
      <c r="L1570"/>
      <c r="M1570"/>
      <c r="N1570"/>
      <c r="O1570"/>
      <c r="P1570"/>
      <c r="Q1570"/>
      <c r="R1570"/>
      <c r="S1570"/>
      <c r="T1570"/>
      <c r="U1570"/>
      <c r="V1570"/>
      <c r="W1570"/>
      <c r="X1570"/>
      <c r="Y1570"/>
      <c r="Z1570"/>
      <c r="AA1570"/>
      <c r="AB1570"/>
      <c r="AC1570"/>
      <c r="AD1570"/>
      <c r="AE1570"/>
      <c r="AF1570"/>
      <c r="AG1570"/>
      <c r="AH1570"/>
      <c r="AI1570"/>
      <c r="AJ1570"/>
      <c r="AK1570"/>
      <c r="AL1570"/>
    </row>
    <row r="1571" spans="1:38" ht="15.75" customHeight="1" outlineLevel="3" x14ac:dyDescent="0.2">
      <c r="A1571" s="10">
        <v>86</v>
      </c>
      <c r="B1571" s="10" t="s">
        <v>71</v>
      </c>
      <c r="C1571" s="10" t="s">
        <v>1336</v>
      </c>
      <c r="D1571" s="10" t="s">
        <v>407</v>
      </c>
      <c r="E1571" s="11" t="str">
        <f t="array" ref="E1571">_xlfn.XLOOKUP(D1571,Insumos!B:B,Insumos!C:$C)</f>
        <v>M2</v>
      </c>
      <c r="F1571" s="14">
        <v>1</v>
      </c>
      <c r="G1571" s="92">
        <f t="array" ref="G1571">IF(B1571="insumo",_xlfn.XLOOKUP($D1571,Insumos!$B$1:$B$996,Insumos!$D$1:$D$996),"")</f>
        <v>70</v>
      </c>
      <c r="H1571" s="92">
        <v>70</v>
      </c>
      <c r="I1571" s="13">
        <v>0</v>
      </c>
      <c r="J1571" s="13">
        <v>0</v>
      </c>
      <c r="K1571" s="13"/>
      <c r="L1571"/>
      <c r="M1571"/>
      <c r="N1571"/>
      <c r="O1571"/>
      <c r="P1571"/>
      <c r="Q1571"/>
      <c r="R1571"/>
      <c r="S1571"/>
      <c r="T1571"/>
      <c r="U1571"/>
      <c r="V1571"/>
      <c r="W1571"/>
      <c r="X1571"/>
      <c r="Y1571"/>
      <c r="Z1571"/>
      <c r="AA1571"/>
      <c r="AB1571"/>
      <c r="AC1571"/>
      <c r="AD1571"/>
      <c r="AE1571"/>
      <c r="AF1571"/>
      <c r="AG1571"/>
      <c r="AH1571"/>
      <c r="AI1571"/>
      <c r="AJ1571"/>
      <c r="AK1571"/>
      <c r="AL1571"/>
    </row>
    <row r="1572" spans="1:38" ht="15.75" customHeight="1" outlineLevel="3" x14ac:dyDescent="0.2">
      <c r="A1572" s="10">
        <v>47</v>
      </c>
      <c r="B1572" s="10" t="s">
        <v>71</v>
      </c>
      <c r="C1572" s="10" t="s">
        <v>1336</v>
      </c>
      <c r="D1572" s="10" t="s">
        <v>408</v>
      </c>
      <c r="E1572" s="11" t="str">
        <f t="array" ref="E1572">_xlfn.XLOOKUP(D1572,Insumos!B:B,Insumos!C:$C)</f>
        <v>M2</v>
      </c>
      <c r="F1572" s="14">
        <v>1.1060000000000001</v>
      </c>
      <c r="G1572" s="92">
        <f t="array" ref="G1572">IF(B1572="insumo",_xlfn.XLOOKUP($D1572,Insumos!$B$1:$B$996,Insumos!$D$1:$D$996),"")</f>
        <v>20.16</v>
      </c>
      <c r="H1572" s="92">
        <v>22.296959999999999</v>
      </c>
      <c r="I1572" s="13">
        <v>0</v>
      </c>
      <c r="J1572" s="13">
        <v>0</v>
      </c>
      <c r="K1572" s="13"/>
      <c r="L1572"/>
      <c r="M1572"/>
      <c r="N1572"/>
      <c r="O1572"/>
      <c r="P1572"/>
      <c r="Q1572"/>
      <c r="R1572"/>
      <c r="S1572"/>
      <c r="T1572"/>
      <c r="U1572"/>
      <c r="V1572"/>
      <c r="W1572"/>
      <c r="X1572"/>
      <c r="Y1572"/>
      <c r="Z1572"/>
      <c r="AA1572"/>
      <c r="AB1572"/>
      <c r="AC1572"/>
      <c r="AD1572"/>
      <c r="AE1572"/>
      <c r="AF1572"/>
      <c r="AG1572"/>
      <c r="AH1572"/>
      <c r="AI1572"/>
      <c r="AJ1572"/>
      <c r="AK1572"/>
      <c r="AL1572"/>
    </row>
    <row r="1573" spans="1:38" ht="15.75" customHeight="1" outlineLevel="3" x14ac:dyDescent="0.2">
      <c r="A1573" s="10">
        <v>95</v>
      </c>
      <c r="B1573" s="10" t="s">
        <v>71</v>
      </c>
      <c r="C1573" s="10" t="s">
        <v>1336</v>
      </c>
      <c r="D1573" s="10" t="s">
        <v>409</v>
      </c>
      <c r="E1573" s="11" t="str">
        <f t="array" ref="E1573">_xlfn.XLOOKUP(D1573,Insumos!B:B,Insumos!C:$C)</f>
        <v>UN</v>
      </c>
      <c r="F1573" s="14">
        <v>5.92</v>
      </c>
      <c r="G1573" s="92">
        <f t="array" ref="G1573">IF(B1573="insumo",_xlfn.XLOOKUP($D1573,Insumos!$B$1:$B$996,Insumos!$D$1:$D$996),"")</f>
        <v>0.504</v>
      </c>
      <c r="H1573" s="92">
        <v>2.9836800000000001</v>
      </c>
      <c r="I1573" s="13">
        <v>0</v>
      </c>
      <c r="J1573" s="13">
        <v>0</v>
      </c>
      <c r="K1573" s="13"/>
      <c r="L1573"/>
      <c r="M1573"/>
      <c r="N1573"/>
      <c r="O1573"/>
      <c r="P1573"/>
      <c r="Q1573"/>
      <c r="R1573"/>
      <c r="S1573"/>
      <c r="T1573"/>
      <c r="U1573"/>
      <c r="V1573"/>
      <c r="W1573"/>
      <c r="X1573"/>
      <c r="Y1573"/>
      <c r="Z1573"/>
      <c r="AA1573"/>
      <c r="AB1573"/>
      <c r="AC1573"/>
      <c r="AD1573"/>
      <c r="AE1573"/>
      <c r="AF1573"/>
      <c r="AG1573"/>
      <c r="AH1573"/>
      <c r="AI1573"/>
      <c r="AJ1573"/>
      <c r="AK1573"/>
      <c r="AL1573"/>
    </row>
    <row r="1574" spans="1:38" ht="15.75" customHeight="1" outlineLevel="3" x14ac:dyDescent="0.2">
      <c r="A1574" s="10">
        <v>26</v>
      </c>
      <c r="B1574" s="10" t="s">
        <v>71</v>
      </c>
      <c r="C1574" s="10" t="s">
        <v>1336</v>
      </c>
      <c r="D1574" s="10" t="s">
        <v>410</v>
      </c>
      <c r="E1574" s="11" t="str">
        <f t="array" ref="E1574">_xlfn.XLOOKUP(D1574,Insumos!B:B,Insumos!C:$C)</f>
        <v>M</v>
      </c>
      <c r="F1574" s="14">
        <v>1.8233999999999999</v>
      </c>
      <c r="G1574" s="92">
        <f t="array" ref="G1574">IF(B1574="insumo",_xlfn.XLOOKUP($D1574,Insumos!$B$1:$B$996,Insumos!$D$1:$D$996),"")</f>
        <v>7.03</v>
      </c>
      <c r="H1574" s="92">
        <v>12.818502000000001</v>
      </c>
      <c r="I1574" s="13">
        <v>0</v>
      </c>
      <c r="J1574" s="13">
        <v>0</v>
      </c>
      <c r="K1574" s="13"/>
      <c r="L1574"/>
      <c r="M1574"/>
      <c r="N1574"/>
      <c r="O1574"/>
      <c r="P1574"/>
      <c r="Q1574"/>
      <c r="R1574"/>
      <c r="S1574"/>
      <c r="T1574"/>
      <c r="U1574"/>
      <c r="V1574"/>
      <c r="W1574"/>
      <c r="X1574"/>
      <c r="Y1574"/>
      <c r="Z1574"/>
      <c r="AA1574"/>
      <c r="AB1574"/>
      <c r="AC1574"/>
      <c r="AD1574"/>
      <c r="AE1574"/>
      <c r="AF1574"/>
      <c r="AG1574"/>
      <c r="AH1574"/>
      <c r="AI1574"/>
      <c r="AJ1574"/>
      <c r="AK1574"/>
      <c r="AL1574"/>
    </row>
    <row r="1575" spans="1:38" ht="15.75" customHeight="1" outlineLevel="3" x14ac:dyDescent="0.2">
      <c r="A1575" s="10">
        <v>26</v>
      </c>
      <c r="B1575" s="10" t="s">
        <v>71</v>
      </c>
      <c r="C1575" s="10" t="s">
        <v>1336</v>
      </c>
      <c r="D1575" s="10" t="s">
        <v>411</v>
      </c>
      <c r="E1575" s="11" t="str">
        <f t="array" ref="E1575">_xlfn.XLOOKUP(D1575,Insumos!B:B,Insumos!C:$C)</f>
        <v>M</v>
      </c>
      <c r="F1575" s="14">
        <v>5.8277999999999999</v>
      </c>
      <c r="G1575" s="92">
        <f t="array" ref="G1575">IF(B1575="insumo",_xlfn.XLOOKUP($D1575,Insumos!$B$1:$B$996,Insumos!$D$1:$D$996),"")</f>
        <v>7.98</v>
      </c>
      <c r="H1575" s="92">
        <v>46.505844000000003</v>
      </c>
      <c r="I1575" s="13">
        <v>0</v>
      </c>
      <c r="J1575" s="13">
        <v>0</v>
      </c>
      <c r="K1575" s="13"/>
      <c r="L1575"/>
      <c r="M1575"/>
      <c r="N1575"/>
      <c r="O1575"/>
      <c r="P1575"/>
      <c r="Q1575"/>
      <c r="R1575"/>
      <c r="S1575"/>
      <c r="T1575"/>
      <c r="U1575"/>
      <c r="V1575"/>
      <c r="W1575"/>
      <c r="X1575"/>
      <c r="Y1575"/>
      <c r="Z1575"/>
      <c r="AA1575"/>
      <c r="AB1575"/>
      <c r="AC1575"/>
      <c r="AD1575"/>
      <c r="AE1575"/>
      <c r="AF1575"/>
      <c r="AG1575"/>
      <c r="AH1575"/>
      <c r="AI1575"/>
      <c r="AJ1575"/>
      <c r="AK1575"/>
      <c r="AL1575"/>
    </row>
    <row r="1576" spans="1:38" ht="15.75" customHeight="1" outlineLevel="3" x14ac:dyDescent="0.2">
      <c r="A1576" s="10">
        <v>95</v>
      </c>
      <c r="B1576" s="10" t="s">
        <v>71</v>
      </c>
      <c r="C1576" s="10" t="s">
        <v>1336</v>
      </c>
      <c r="D1576" s="10" t="s">
        <v>405</v>
      </c>
      <c r="E1576" s="11" t="str">
        <f t="array" ref="E1576">_xlfn.XLOOKUP(D1576,Insumos!B:B,Insumos!C:$C)</f>
        <v>KG</v>
      </c>
      <c r="F1576" s="14">
        <f>1.0978/2</f>
        <v>0.54890000000000005</v>
      </c>
      <c r="G1576" s="92">
        <f t="array" ref="G1576">IF(B1576="insumo",_xlfn.XLOOKUP($D1576,Insumos!$B$1:$B$996,Insumos!$D$1:$D$996),"")</f>
        <v>3.43</v>
      </c>
      <c r="H1576" s="92">
        <v>1.882727</v>
      </c>
      <c r="I1576" s="13">
        <v>0</v>
      </c>
      <c r="J1576" s="13">
        <v>0</v>
      </c>
      <c r="K1576" s="13"/>
      <c r="L1576"/>
      <c r="M1576"/>
      <c r="N1576"/>
      <c r="O1576"/>
      <c r="P1576"/>
      <c r="Q1576"/>
      <c r="R1576"/>
      <c r="S1576"/>
      <c r="T1576"/>
      <c r="U1576"/>
      <c r="V1576"/>
      <c r="W1576"/>
      <c r="X1576"/>
      <c r="Y1576"/>
      <c r="Z1576"/>
      <c r="AA1576"/>
      <c r="AB1576"/>
      <c r="AC1576"/>
      <c r="AD1576"/>
      <c r="AE1576"/>
      <c r="AF1576"/>
      <c r="AG1576"/>
      <c r="AH1576"/>
      <c r="AI1576"/>
      <c r="AJ1576"/>
      <c r="AK1576"/>
      <c r="AL1576"/>
    </row>
    <row r="1577" spans="1:38" ht="15.75" customHeight="1" outlineLevel="3" x14ac:dyDescent="0.2">
      <c r="A1577" s="10">
        <v>94</v>
      </c>
      <c r="B1577" s="10" t="s">
        <v>71</v>
      </c>
      <c r="C1577" s="10" t="s">
        <v>1336</v>
      </c>
      <c r="D1577" s="10" t="s">
        <v>412</v>
      </c>
      <c r="E1577" s="11" t="str">
        <f t="array" ref="E1577">_xlfn.XLOOKUP(D1577,Insumos!B:B,Insumos!C:$C)</f>
        <v>M</v>
      </c>
      <c r="F1577" s="14">
        <f>2.5027/2</f>
        <v>1.25135</v>
      </c>
      <c r="G1577" s="92">
        <f t="array" ref="G1577">IF(B1577="insumo",_xlfn.XLOOKUP($D1577,Insumos!$B$1:$B$996,Insumos!$D$1:$D$996),"")</f>
        <v>0.31</v>
      </c>
      <c r="H1577" s="92">
        <v>0.3879185</v>
      </c>
      <c r="I1577" s="13">
        <v>0</v>
      </c>
      <c r="J1577" s="13">
        <v>0</v>
      </c>
      <c r="K1577" s="13"/>
      <c r="L1577"/>
      <c r="M1577"/>
      <c r="N1577"/>
      <c r="O1577"/>
      <c r="P1577"/>
      <c r="Q1577"/>
      <c r="R1577"/>
      <c r="S1577"/>
      <c r="T1577"/>
      <c r="U1577"/>
      <c r="V1577"/>
      <c r="W1577"/>
      <c r="X1577"/>
      <c r="Y1577"/>
      <c r="Z1577"/>
      <c r="AA1577"/>
      <c r="AB1577"/>
      <c r="AC1577"/>
      <c r="AD1577"/>
      <c r="AE1577"/>
      <c r="AF1577"/>
      <c r="AG1577"/>
      <c r="AH1577"/>
      <c r="AI1577"/>
      <c r="AJ1577"/>
      <c r="AK1577"/>
      <c r="AL1577"/>
    </row>
    <row r="1578" spans="1:38" ht="15.75" customHeight="1" outlineLevel="3" x14ac:dyDescent="0.2">
      <c r="A1578" s="10">
        <v>94</v>
      </c>
      <c r="B1578" s="10" t="s">
        <v>71</v>
      </c>
      <c r="C1578" s="10" t="s">
        <v>1336</v>
      </c>
      <c r="D1578" s="10" t="s">
        <v>413</v>
      </c>
      <c r="E1578" s="11" t="str">
        <f t="array" ref="E1578">_xlfn.XLOOKUP(D1578,Insumos!B:B,Insumos!C:$C)</f>
        <v>M</v>
      </c>
      <c r="F1578" s="14">
        <f>1.5851/2</f>
        <v>0.79254999999999998</v>
      </c>
      <c r="G1578" s="92">
        <f t="array" ref="G1578">IF(B1578="insumo",_xlfn.XLOOKUP($D1578,Insumos!$B$1:$B$996,Insumos!$D$1:$D$996),"")</f>
        <v>2.74</v>
      </c>
      <c r="H1578" s="92">
        <v>2.1715870000000002</v>
      </c>
      <c r="I1578" s="13">
        <v>0</v>
      </c>
      <c r="J1578" s="13">
        <v>0</v>
      </c>
      <c r="K1578" s="13"/>
      <c r="L1578"/>
      <c r="M1578"/>
      <c r="N1578"/>
      <c r="O1578"/>
      <c r="P1578"/>
      <c r="Q1578"/>
      <c r="R1578"/>
      <c r="S1578"/>
      <c r="T1578"/>
      <c r="U1578"/>
      <c r="V1578"/>
      <c r="W1578"/>
      <c r="X1578"/>
      <c r="Y1578"/>
      <c r="Z1578"/>
      <c r="AA1578"/>
      <c r="AB1578"/>
      <c r="AC1578"/>
      <c r="AD1578"/>
      <c r="AE1578"/>
      <c r="AF1578"/>
      <c r="AG1578"/>
      <c r="AH1578"/>
      <c r="AI1578"/>
      <c r="AJ1578"/>
      <c r="AK1578"/>
      <c r="AL1578"/>
    </row>
    <row r="1579" spans="1:38" ht="15.75" customHeight="1" outlineLevel="3" x14ac:dyDescent="0.2">
      <c r="A1579" s="10">
        <v>97</v>
      </c>
      <c r="B1579" s="10" t="s">
        <v>71</v>
      </c>
      <c r="C1579" s="10" t="s">
        <v>1336</v>
      </c>
      <c r="D1579" s="10" t="s">
        <v>414</v>
      </c>
      <c r="E1579" s="11" t="str">
        <f t="array" ref="E1579">_xlfn.XLOOKUP(D1579,Insumos!B:B,Insumos!C:$C)</f>
        <v>UN</v>
      </c>
      <c r="F1579" s="14">
        <f>20.1868/2</f>
        <v>10.093400000000001</v>
      </c>
      <c r="G1579" s="92">
        <f t="array" ref="G1579">IF(B1579="insumo",_xlfn.XLOOKUP($D1579,Insumos!$B$1:$B$996,Insumos!$D$1:$D$996),"")</f>
        <v>0.09</v>
      </c>
      <c r="H1579" s="92">
        <v>0.90840600000000005</v>
      </c>
      <c r="I1579" s="13">
        <v>0</v>
      </c>
      <c r="J1579" s="13">
        <v>0</v>
      </c>
      <c r="K1579" s="13"/>
      <c r="L1579"/>
      <c r="M1579"/>
      <c r="N1579"/>
      <c r="O1579"/>
      <c r="P1579"/>
      <c r="Q1579"/>
      <c r="R1579"/>
      <c r="S1579"/>
      <c r="T1579"/>
      <c r="U1579"/>
      <c r="V1579"/>
      <c r="W1579"/>
      <c r="X1579"/>
      <c r="Y1579"/>
      <c r="Z1579"/>
      <c r="AA1579"/>
      <c r="AB1579"/>
      <c r="AC1579"/>
      <c r="AD1579"/>
      <c r="AE1579"/>
      <c r="AF1579"/>
      <c r="AG1579"/>
      <c r="AH1579"/>
      <c r="AI1579"/>
      <c r="AJ1579"/>
      <c r="AK1579"/>
      <c r="AL1579"/>
    </row>
    <row r="1580" spans="1:38" ht="15.75" customHeight="1" outlineLevel="3" x14ac:dyDescent="0.2">
      <c r="A1580" s="10">
        <v>95</v>
      </c>
      <c r="B1580" s="10" t="s">
        <v>71</v>
      </c>
      <c r="C1580" s="10" t="s">
        <v>1336</v>
      </c>
      <c r="D1580" s="10" t="s">
        <v>415</v>
      </c>
      <c r="E1580" s="11" t="str">
        <f t="array" ref="E1580">_xlfn.XLOOKUP(D1580,Insumos!B:B,Insumos!C:$C)</f>
        <v>UN</v>
      </c>
      <c r="F1580" s="14">
        <v>0.54410000000000003</v>
      </c>
      <c r="G1580" s="92">
        <f t="array" ref="G1580">IF(B1580="insumo",_xlfn.XLOOKUP($D1580,Insumos!$B$1:$B$996,Insumos!$D$1:$D$996),"")</f>
        <v>0.2</v>
      </c>
      <c r="H1580" s="92">
        <v>0.10882</v>
      </c>
      <c r="I1580" s="13">
        <v>0</v>
      </c>
      <c r="J1580" s="13">
        <v>0</v>
      </c>
      <c r="K1580" s="13"/>
      <c r="L1580"/>
      <c r="M1580"/>
      <c r="N1580"/>
      <c r="O1580"/>
      <c r="P1580"/>
      <c r="Q1580"/>
      <c r="R1580"/>
      <c r="S1580"/>
      <c r="T1580"/>
      <c r="U1580"/>
      <c r="V1580"/>
      <c r="W1580"/>
      <c r="X1580"/>
      <c r="Y1580"/>
      <c r="Z1580"/>
      <c r="AA1580"/>
      <c r="AB1580"/>
      <c r="AC1580"/>
      <c r="AD1580"/>
      <c r="AE1580"/>
      <c r="AF1580"/>
      <c r="AG1580"/>
      <c r="AH1580"/>
      <c r="AI1580"/>
      <c r="AJ1580"/>
      <c r="AK1580"/>
      <c r="AL1580"/>
    </row>
    <row r="1581" spans="1:38" ht="15.75" customHeight="1" outlineLevel="2" x14ac:dyDescent="0.2">
      <c r="A1581" s="1067">
        <v>1</v>
      </c>
      <c r="B1581" s="1067" t="s">
        <v>68</v>
      </c>
      <c r="C1581" s="1067" t="s">
        <v>1353</v>
      </c>
      <c r="D1581" s="1067" t="s">
        <v>1353</v>
      </c>
      <c r="E1581" s="1068" t="s">
        <v>70</v>
      </c>
      <c r="F1581" s="1067"/>
      <c r="G1581" s="1069" t="str">
        <f t="array" ref="G1581">IF(B1581="insumo",_xlfn.XLOOKUP($D1581,Insumos!$B$1:$B$996,Insumos!$D$1:$D$996),"")</f>
        <v/>
      </c>
      <c r="H1581" s="1069">
        <v>160.06444450000001</v>
      </c>
      <c r="I1581" s="1070">
        <v>0</v>
      </c>
      <c r="J1581" s="1070">
        <v>0</v>
      </c>
      <c r="K1581" s="1070"/>
      <c r="L1581"/>
      <c r="M1581"/>
      <c r="N1581"/>
      <c r="O1581"/>
      <c r="P1581"/>
      <c r="Q1581"/>
      <c r="R1581"/>
      <c r="S1581"/>
      <c r="T1581"/>
      <c r="U1581"/>
      <c r="V1581"/>
      <c r="W1581"/>
      <c r="X1581"/>
      <c r="Y1581"/>
      <c r="Z1581"/>
      <c r="AA1581"/>
      <c r="AB1581"/>
      <c r="AC1581"/>
      <c r="AD1581"/>
      <c r="AE1581"/>
      <c r="AF1581"/>
      <c r="AG1581"/>
      <c r="AH1581"/>
      <c r="AI1581"/>
      <c r="AJ1581"/>
      <c r="AK1581"/>
      <c r="AL1581"/>
    </row>
    <row r="1582" spans="1:38" ht="15.75" customHeight="1" outlineLevel="3" x14ac:dyDescent="0.2">
      <c r="A1582" s="10">
        <v>86</v>
      </c>
      <c r="B1582" s="10" t="s">
        <v>71</v>
      </c>
      <c r="C1582" s="10" t="s">
        <v>1353</v>
      </c>
      <c r="D1582" s="10" t="s">
        <v>407</v>
      </c>
      <c r="E1582" s="11" t="str">
        <f t="array" ref="E1582">_xlfn.XLOOKUP(D1582,Insumos!B:B,Insumos!C:$C)</f>
        <v>M2</v>
      </c>
      <c r="F1582" s="14">
        <v>1</v>
      </c>
      <c r="G1582" s="92">
        <f t="array" ref="G1582">IF(B1582="insumo",_xlfn.XLOOKUP($D1582,Insumos!$B$1:$B$996,Insumos!$D$1:$D$996),"")</f>
        <v>70</v>
      </c>
      <c r="H1582" s="92">
        <v>70</v>
      </c>
      <c r="I1582" s="13">
        <v>0</v>
      </c>
      <c r="J1582" s="13">
        <v>0</v>
      </c>
      <c r="K1582" s="13"/>
      <c r="L1582"/>
      <c r="M1582"/>
      <c r="N1582"/>
      <c r="O1582"/>
      <c r="P1582"/>
      <c r="Q1582"/>
      <c r="R1582"/>
      <c r="S1582"/>
      <c r="T1582"/>
      <c r="U1582"/>
      <c r="V1582"/>
      <c r="W1582"/>
      <c r="X1582"/>
      <c r="Y1582"/>
      <c r="Z1582"/>
      <c r="AA1582"/>
      <c r="AB1582"/>
      <c r="AC1582"/>
      <c r="AD1582"/>
      <c r="AE1582"/>
      <c r="AF1582"/>
      <c r="AG1582"/>
      <c r="AH1582"/>
      <c r="AI1582"/>
      <c r="AJ1582"/>
      <c r="AK1582"/>
      <c r="AL1582"/>
    </row>
    <row r="1583" spans="1:38" ht="15.75" customHeight="1" outlineLevel="3" x14ac:dyDescent="0.2">
      <c r="A1583" s="10">
        <v>47</v>
      </c>
      <c r="B1583" s="10" t="s">
        <v>71</v>
      </c>
      <c r="C1583" s="10" t="s">
        <v>1353</v>
      </c>
      <c r="D1583" s="10" t="s">
        <v>408</v>
      </c>
      <c r="E1583" s="11" t="str">
        <f t="array" ref="E1583">_xlfn.XLOOKUP(D1583,Insumos!B:B,Insumos!C:$C)</f>
        <v>M2</v>
      </c>
      <c r="F1583" s="14">
        <v>1.1060000000000001</v>
      </c>
      <c r="G1583" s="92">
        <f t="array" ref="G1583">IF(B1583="insumo",_xlfn.XLOOKUP($D1583,Insumos!$B$1:$B$996,Insumos!$D$1:$D$996),"")</f>
        <v>20.16</v>
      </c>
      <c r="H1583" s="92">
        <v>22.296959999999999</v>
      </c>
      <c r="I1583" s="13">
        <v>0</v>
      </c>
      <c r="J1583" s="13">
        <v>0</v>
      </c>
      <c r="K1583" s="13"/>
      <c r="L1583"/>
      <c r="M1583"/>
      <c r="N1583"/>
      <c r="O1583"/>
      <c r="P1583"/>
      <c r="Q1583"/>
      <c r="R1583"/>
      <c r="S1583"/>
      <c r="T1583"/>
      <c r="U1583"/>
      <c r="V1583"/>
      <c r="W1583"/>
      <c r="X1583"/>
      <c r="Y1583"/>
      <c r="Z1583"/>
      <c r="AA1583"/>
      <c r="AB1583"/>
      <c r="AC1583"/>
      <c r="AD1583"/>
      <c r="AE1583"/>
      <c r="AF1583"/>
      <c r="AG1583"/>
      <c r="AH1583"/>
      <c r="AI1583"/>
      <c r="AJ1583"/>
      <c r="AK1583"/>
      <c r="AL1583"/>
    </row>
    <row r="1584" spans="1:38" ht="15.75" customHeight="1" outlineLevel="3" x14ac:dyDescent="0.2">
      <c r="A1584" s="10">
        <v>95</v>
      </c>
      <c r="B1584" s="10" t="s">
        <v>71</v>
      </c>
      <c r="C1584" s="10" t="s">
        <v>1353</v>
      </c>
      <c r="D1584" s="10" t="s">
        <v>409</v>
      </c>
      <c r="E1584" s="11" t="str">
        <f t="array" ref="E1584">_xlfn.XLOOKUP(D1584,Insumos!B:B,Insumos!C:$C)</f>
        <v>UN</v>
      </c>
      <c r="F1584" s="14">
        <v>5.92</v>
      </c>
      <c r="G1584" s="92">
        <f t="array" ref="G1584">IF(B1584="insumo",_xlfn.XLOOKUP($D1584,Insumos!$B$1:$B$996,Insumos!$D$1:$D$996),"")</f>
        <v>0.504</v>
      </c>
      <c r="H1584" s="92">
        <v>2.9836800000000001</v>
      </c>
      <c r="I1584" s="13">
        <v>0</v>
      </c>
      <c r="J1584" s="13">
        <v>0</v>
      </c>
      <c r="K1584" s="13"/>
      <c r="L1584"/>
      <c r="M1584"/>
      <c r="N1584"/>
      <c r="O1584"/>
      <c r="P1584"/>
      <c r="Q1584"/>
      <c r="R1584"/>
      <c r="S1584"/>
      <c r="T1584"/>
      <c r="U1584"/>
      <c r="V1584"/>
      <c r="W1584"/>
      <c r="X1584"/>
      <c r="Y1584"/>
      <c r="Z1584"/>
      <c r="AA1584"/>
      <c r="AB1584"/>
      <c r="AC1584"/>
      <c r="AD1584"/>
      <c r="AE1584"/>
      <c r="AF1584"/>
      <c r="AG1584"/>
      <c r="AH1584"/>
      <c r="AI1584"/>
      <c r="AJ1584"/>
      <c r="AK1584"/>
      <c r="AL1584"/>
    </row>
    <row r="1585" spans="1:38" ht="15.75" customHeight="1" outlineLevel="3" x14ac:dyDescent="0.2">
      <c r="A1585" s="10">
        <v>26</v>
      </c>
      <c r="B1585" s="10" t="s">
        <v>71</v>
      </c>
      <c r="C1585" s="10" t="s">
        <v>1353</v>
      </c>
      <c r="D1585" s="10" t="s">
        <v>410</v>
      </c>
      <c r="E1585" s="11" t="str">
        <f t="array" ref="E1585">_xlfn.XLOOKUP(D1585,Insumos!B:B,Insumos!C:$C)</f>
        <v>M</v>
      </c>
      <c r="F1585" s="14">
        <v>1.8233999999999999</v>
      </c>
      <c r="G1585" s="92">
        <f t="array" ref="G1585">IF(B1585="insumo",_xlfn.XLOOKUP($D1585,Insumos!$B$1:$B$996,Insumos!$D$1:$D$996),"")</f>
        <v>7.03</v>
      </c>
      <c r="H1585" s="92">
        <v>12.818502000000001</v>
      </c>
      <c r="I1585" s="13">
        <v>0</v>
      </c>
      <c r="J1585" s="13">
        <v>0</v>
      </c>
      <c r="K1585" s="13"/>
      <c r="L1585"/>
      <c r="M1585"/>
      <c r="N1585"/>
      <c r="O1585"/>
      <c r="P1585"/>
      <c r="Q1585"/>
      <c r="R1585"/>
      <c r="S1585"/>
      <c r="T1585"/>
      <c r="U1585"/>
      <c r="V1585"/>
      <c r="W1585"/>
      <c r="X1585"/>
      <c r="Y1585"/>
      <c r="Z1585"/>
      <c r="AA1585"/>
      <c r="AB1585"/>
      <c r="AC1585"/>
      <c r="AD1585"/>
      <c r="AE1585"/>
      <c r="AF1585"/>
      <c r="AG1585"/>
      <c r="AH1585"/>
      <c r="AI1585"/>
      <c r="AJ1585"/>
      <c r="AK1585"/>
      <c r="AL1585"/>
    </row>
    <row r="1586" spans="1:38" ht="15.75" customHeight="1" outlineLevel="3" x14ac:dyDescent="0.2">
      <c r="A1586" s="10">
        <v>26</v>
      </c>
      <c r="B1586" s="10" t="s">
        <v>71</v>
      </c>
      <c r="C1586" s="10" t="s">
        <v>1353</v>
      </c>
      <c r="D1586" s="10" t="s">
        <v>411</v>
      </c>
      <c r="E1586" s="11" t="str">
        <f t="array" ref="E1586">_xlfn.XLOOKUP(D1586,Insumos!B:B,Insumos!C:$C)</f>
        <v>M</v>
      </c>
      <c r="F1586" s="14">
        <v>5.8277999999999999</v>
      </c>
      <c r="G1586" s="92">
        <f t="array" ref="G1586">IF(B1586="insumo",_xlfn.XLOOKUP($D1586,Insumos!$B$1:$B$996,Insumos!$D$1:$D$996),"")</f>
        <v>7.98</v>
      </c>
      <c r="H1586" s="92">
        <v>46.505844000000003</v>
      </c>
      <c r="I1586" s="13">
        <v>0</v>
      </c>
      <c r="J1586" s="13">
        <v>0</v>
      </c>
      <c r="K1586" s="13"/>
      <c r="L1586"/>
      <c r="M1586"/>
      <c r="N1586"/>
      <c r="O1586"/>
      <c r="P1586"/>
      <c r="Q1586"/>
      <c r="R1586"/>
      <c r="S1586"/>
      <c r="T1586"/>
      <c r="U1586"/>
      <c r="V1586"/>
      <c r="W1586"/>
      <c r="X1586"/>
      <c r="Y1586"/>
      <c r="Z1586"/>
      <c r="AA1586"/>
      <c r="AB1586"/>
      <c r="AC1586"/>
      <c r="AD1586"/>
      <c r="AE1586"/>
      <c r="AF1586"/>
      <c r="AG1586"/>
      <c r="AH1586"/>
      <c r="AI1586"/>
      <c r="AJ1586"/>
      <c r="AK1586"/>
      <c r="AL1586"/>
    </row>
    <row r="1587" spans="1:38" ht="15.75" customHeight="1" outlineLevel="3" x14ac:dyDescent="0.2">
      <c r="A1587" s="10">
        <v>95</v>
      </c>
      <c r="B1587" s="10" t="s">
        <v>71</v>
      </c>
      <c r="C1587" s="10" t="s">
        <v>1353</v>
      </c>
      <c r="D1587" s="10" t="s">
        <v>405</v>
      </c>
      <c r="E1587" s="11" t="str">
        <f t="array" ref="E1587">_xlfn.XLOOKUP(D1587,Insumos!B:B,Insumos!C:$C)</f>
        <v>KG</v>
      </c>
      <c r="F1587" s="14">
        <f>1.0978/2</f>
        <v>0.54890000000000005</v>
      </c>
      <c r="G1587" s="92">
        <f t="array" ref="G1587">IF(B1587="insumo",_xlfn.XLOOKUP($D1587,Insumos!$B$1:$B$996,Insumos!$D$1:$D$996),"")</f>
        <v>3.43</v>
      </c>
      <c r="H1587" s="92">
        <v>1.882727</v>
      </c>
      <c r="I1587" s="13">
        <v>0</v>
      </c>
      <c r="J1587" s="13">
        <v>0</v>
      </c>
      <c r="K1587" s="13"/>
      <c r="L1587"/>
      <c r="M1587"/>
      <c r="N1587"/>
      <c r="O1587"/>
      <c r="P1587"/>
      <c r="Q1587"/>
      <c r="R1587"/>
      <c r="S1587"/>
      <c r="T1587"/>
      <c r="U1587"/>
      <c r="V1587"/>
      <c r="W1587"/>
      <c r="X1587"/>
      <c r="Y1587"/>
      <c r="Z1587"/>
      <c r="AA1587"/>
      <c r="AB1587"/>
      <c r="AC1587"/>
      <c r="AD1587"/>
      <c r="AE1587"/>
      <c r="AF1587"/>
      <c r="AG1587"/>
      <c r="AH1587"/>
      <c r="AI1587"/>
      <c r="AJ1587"/>
      <c r="AK1587"/>
      <c r="AL1587"/>
    </row>
    <row r="1588" spans="1:38" ht="15.75" customHeight="1" outlineLevel="3" x14ac:dyDescent="0.2">
      <c r="A1588" s="10">
        <v>94</v>
      </c>
      <c r="B1588" s="10" t="s">
        <v>71</v>
      </c>
      <c r="C1588" s="10" t="s">
        <v>1353</v>
      </c>
      <c r="D1588" s="10" t="s">
        <v>412</v>
      </c>
      <c r="E1588" s="11" t="str">
        <f t="array" ref="E1588">_xlfn.XLOOKUP(D1588,Insumos!B:B,Insumos!C:$C)</f>
        <v>M</v>
      </c>
      <c r="F1588" s="14">
        <f>2.5027/2</f>
        <v>1.25135</v>
      </c>
      <c r="G1588" s="92">
        <f t="array" ref="G1588">IF(B1588="insumo",_xlfn.XLOOKUP($D1588,Insumos!$B$1:$B$996,Insumos!$D$1:$D$996),"")</f>
        <v>0.31</v>
      </c>
      <c r="H1588" s="92">
        <v>0.3879185</v>
      </c>
      <c r="I1588" s="13">
        <v>0</v>
      </c>
      <c r="J1588" s="13">
        <v>0</v>
      </c>
      <c r="K1588" s="13"/>
      <c r="L1588"/>
      <c r="M1588"/>
      <c r="N1588"/>
      <c r="O1588"/>
      <c r="P1588"/>
      <c r="Q1588"/>
      <c r="R1588"/>
      <c r="S1588"/>
      <c r="T1588"/>
      <c r="U1588"/>
      <c r="V1588"/>
      <c r="W1588"/>
      <c r="X1588"/>
      <c r="Y1588"/>
      <c r="Z1588"/>
      <c r="AA1588"/>
      <c r="AB1588"/>
      <c r="AC1588"/>
      <c r="AD1588"/>
      <c r="AE1588"/>
      <c r="AF1588"/>
      <c r="AG1588"/>
      <c r="AH1588"/>
      <c r="AI1588"/>
      <c r="AJ1588"/>
      <c r="AK1588"/>
      <c r="AL1588"/>
    </row>
    <row r="1589" spans="1:38" ht="15.75" customHeight="1" outlineLevel="3" x14ac:dyDescent="0.2">
      <c r="A1589" s="10">
        <v>94</v>
      </c>
      <c r="B1589" s="10" t="s">
        <v>71</v>
      </c>
      <c r="C1589" s="10" t="s">
        <v>1353</v>
      </c>
      <c r="D1589" s="10" t="s">
        <v>413</v>
      </c>
      <c r="E1589" s="11" t="str">
        <f t="array" ref="E1589">_xlfn.XLOOKUP(D1589,Insumos!B:B,Insumos!C:$C)</f>
        <v>M</v>
      </c>
      <c r="F1589" s="14">
        <f>1.5851/2</f>
        <v>0.79254999999999998</v>
      </c>
      <c r="G1589" s="92">
        <f t="array" ref="G1589">IF(B1589="insumo",_xlfn.XLOOKUP($D1589,Insumos!$B$1:$B$996,Insumos!$D$1:$D$996),"")</f>
        <v>2.74</v>
      </c>
      <c r="H1589" s="92">
        <v>2.1715870000000002</v>
      </c>
      <c r="I1589" s="13">
        <v>0</v>
      </c>
      <c r="J1589" s="13">
        <v>0</v>
      </c>
      <c r="K1589" s="13"/>
      <c r="L1589"/>
      <c r="M1589"/>
      <c r="N1589"/>
      <c r="O1589"/>
      <c r="P1589"/>
      <c r="Q1589"/>
      <c r="R1589"/>
      <c r="S1589"/>
      <c r="T1589"/>
      <c r="U1589"/>
      <c r="V1589"/>
      <c r="W1589"/>
      <c r="X1589"/>
      <c r="Y1589"/>
      <c r="Z1589"/>
      <c r="AA1589"/>
      <c r="AB1589"/>
      <c r="AC1589"/>
      <c r="AD1589"/>
      <c r="AE1589"/>
      <c r="AF1589"/>
      <c r="AG1589"/>
      <c r="AH1589"/>
      <c r="AI1589"/>
      <c r="AJ1589"/>
      <c r="AK1589"/>
      <c r="AL1589"/>
    </row>
    <row r="1590" spans="1:38" ht="15.75" customHeight="1" outlineLevel="3" x14ac:dyDescent="0.2">
      <c r="A1590" s="10">
        <v>97</v>
      </c>
      <c r="B1590" s="10" t="s">
        <v>71</v>
      </c>
      <c r="C1590" s="10" t="s">
        <v>1353</v>
      </c>
      <c r="D1590" s="10" t="s">
        <v>414</v>
      </c>
      <c r="E1590" s="11" t="str">
        <f t="array" ref="E1590">_xlfn.XLOOKUP(D1590,Insumos!B:B,Insumos!C:$C)</f>
        <v>UN</v>
      </c>
      <c r="F1590" s="14">
        <f>20.1868/2</f>
        <v>10.093400000000001</v>
      </c>
      <c r="G1590" s="92">
        <f t="array" ref="G1590">IF(B1590="insumo",_xlfn.XLOOKUP($D1590,Insumos!$B$1:$B$996,Insumos!$D$1:$D$996),"")</f>
        <v>0.09</v>
      </c>
      <c r="H1590" s="92">
        <v>0.90840600000000005</v>
      </c>
      <c r="I1590" s="13">
        <v>0</v>
      </c>
      <c r="J1590" s="13">
        <v>0</v>
      </c>
      <c r="K1590" s="13"/>
      <c r="L1590"/>
      <c r="M1590"/>
      <c r="N1590"/>
      <c r="O1590"/>
      <c r="P1590"/>
      <c r="Q1590"/>
      <c r="R1590"/>
      <c r="S1590"/>
      <c r="T1590"/>
      <c r="U1590"/>
      <c r="V1590"/>
      <c r="W1590"/>
      <c r="X1590"/>
      <c r="Y1590"/>
      <c r="Z1590"/>
      <c r="AA1590"/>
      <c r="AB1590"/>
      <c r="AC1590"/>
      <c r="AD1590"/>
      <c r="AE1590"/>
      <c r="AF1590"/>
      <c r="AG1590"/>
      <c r="AH1590"/>
      <c r="AI1590"/>
      <c r="AJ1590"/>
      <c r="AK1590"/>
      <c r="AL1590"/>
    </row>
    <row r="1591" spans="1:38" ht="15.75" customHeight="1" outlineLevel="3" x14ac:dyDescent="0.2">
      <c r="A1591" s="10">
        <v>95</v>
      </c>
      <c r="B1591" s="10" t="s">
        <v>71</v>
      </c>
      <c r="C1591" s="10" t="s">
        <v>1353</v>
      </c>
      <c r="D1591" s="10" t="s">
        <v>415</v>
      </c>
      <c r="E1591" s="11" t="str">
        <f t="array" ref="E1591">_xlfn.XLOOKUP(D1591,Insumos!B:B,Insumos!C:$C)</f>
        <v>UN</v>
      </c>
      <c r="F1591" s="14">
        <v>0.54410000000000003</v>
      </c>
      <c r="G1591" s="92">
        <f t="array" ref="G1591">IF(B1591="insumo",_xlfn.XLOOKUP($D1591,Insumos!$B$1:$B$996,Insumos!$D$1:$D$996),"")</f>
        <v>0.2</v>
      </c>
      <c r="H1591" s="92">
        <v>0.10882</v>
      </c>
      <c r="I1591" s="13">
        <v>0</v>
      </c>
      <c r="J1591" s="13">
        <v>0</v>
      </c>
      <c r="K1591" s="13"/>
      <c r="L1591"/>
      <c r="M1591"/>
      <c r="N1591"/>
      <c r="O1591"/>
      <c r="P1591"/>
      <c r="Q1591"/>
      <c r="R1591"/>
      <c r="S1591"/>
      <c r="T1591"/>
      <c r="U1591"/>
      <c r="V1591"/>
      <c r="W1591"/>
      <c r="X1591"/>
      <c r="Y1591"/>
      <c r="Z1591"/>
      <c r="AA1591"/>
      <c r="AB1591"/>
      <c r="AC1591"/>
      <c r="AD1591"/>
      <c r="AE1591"/>
      <c r="AF1591"/>
      <c r="AG1591"/>
      <c r="AH1591"/>
      <c r="AI1591"/>
      <c r="AJ1591"/>
      <c r="AK1591"/>
      <c r="AL1591"/>
    </row>
    <row r="1592" spans="1:38" ht="15.75" customHeight="1" outlineLevel="2" x14ac:dyDescent="0.2">
      <c r="A1592" s="1067">
        <v>1</v>
      </c>
      <c r="B1592" s="1067" t="s">
        <v>68</v>
      </c>
      <c r="C1592" s="1067" t="s">
        <v>1354</v>
      </c>
      <c r="D1592" s="1067" t="s">
        <v>1354</v>
      </c>
      <c r="E1592" s="1068" t="s">
        <v>70</v>
      </c>
      <c r="F1592" s="1067"/>
      <c r="G1592" s="1069" t="str">
        <f t="array" ref="G1592">IF(B1592="insumo",_xlfn.XLOOKUP($D1592,Insumos!$B$1:$B$996,Insumos!$D$1:$D$996),"")</f>
        <v/>
      </c>
      <c r="H1592" s="1069">
        <v>160.06444450000001</v>
      </c>
      <c r="I1592" s="1070">
        <v>0</v>
      </c>
      <c r="J1592" s="1070">
        <v>0</v>
      </c>
      <c r="K1592" s="1070"/>
      <c r="L1592"/>
      <c r="M1592"/>
      <c r="N1592"/>
      <c r="O1592"/>
      <c r="P1592"/>
      <c r="Q1592"/>
      <c r="R1592"/>
      <c r="S1592"/>
      <c r="T1592"/>
      <c r="U1592"/>
      <c r="V1592"/>
      <c r="W1592"/>
      <c r="X1592"/>
      <c r="Y1592"/>
      <c r="Z1592"/>
      <c r="AA1592"/>
      <c r="AB1592"/>
      <c r="AC1592"/>
      <c r="AD1592"/>
      <c r="AE1592"/>
      <c r="AF1592"/>
      <c r="AG1592"/>
      <c r="AH1592"/>
      <c r="AI1592"/>
      <c r="AJ1592"/>
      <c r="AK1592"/>
      <c r="AL1592"/>
    </row>
    <row r="1593" spans="1:38" ht="15.75" customHeight="1" outlineLevel="3" x14ac:dyDescent="0.2">
      <c r="A1593" s="10">
        <v>86</v>
      </c>
      <c r="B1593" s="10" t="s">
        <v>71</v>
      </c>
      <c r="C1593" s="10" t="s">
        <v>1354</v>
      </c>
      <c r="D1593" s="10" t="s">
        <v>407</v>
      </c>
      <c r="E1593" s="11" t="str">
        <f t="array" ref="E1593">_xlfn.XLOOKUP(D1593,Insumos!B:B,Insumos!C:$C)</f>
        <v>M2</v>
      </c>
      <c r="F1593" s="14">
        <v>1</v>
      </c>
      <c r="G1593" s="92">
        <f t="array" ref="G1593">IF(B1593="insumo",_xlfn.XLOOKUP($D1593,Insumos!$B$1:$B$996,Insumos!$D$1:$D$996),"")</f>
        <v>70</v>
      </c>
      <c r="H1593" s="92">
        <v>70</v>
      </c>
      <c r="I1593" s="13">
        <v>0</v>
      </c>
      <c r="J1593" s="13">
        <v>0</v>
      </c>
      <c r="K1593" s="13"/>
      <c r="L1593"/>
      <c r="M1593"/>
      <c r="N1593"/>
      <c r="O1593"/>
      <c r="P1593"/>
      <c r="Q1593"/>
      <c r="R1593"/>
      <c r="S1593"/>
      <c r="T1593"/>
      <c r="U1593"/>
      <c r="V1593"/>
      <c r="W1593"/>
      <c r="X1593"/>
      <c r="Y1593"/>
      <c r="Z1593"/>
      <c r="AA1593"/>
      <c r="AB1593"/>
      <c r="AC1593"/>
      <c r="AD1593"/>
      <c r="AE1593"/>
      <c r="AF1593"/>
      <c r="AG1593"/>
      <c r="AH1593"/>
      <c r="AI1593"/>
      <c r="AJ1593"/>
      <c r="AK1593"/>
      <c r="AL1593"/>
    </row>
    <row r="1594" spans="1:38" ht="15.75" customHeight="1" outlineLevel="3" x14ac:dyDescent="0.2">
      <c r="A1594" s="10">
        <v>47</v>
      </c>
      <c r="B1594" s="10" t="s">
        <v>71</v>
      </c>
      <c r="C1594" s="10" t="s">
        <v>1354</v>
      </c>
      <c r="D1594" s="10" t="s">
        <v>408</v>
      </c>
      <c r="E1594" s="11" t="str">
        <f t="array" ref="E1594">_xlfn.XLOOKUP(D1594,Insumos!B:B,Insumos!C:$C)</f>
        <v>M2</v>
      </c>
      <c r="F1594" s="14">
        <v>1.1060000000000001</v>
      </c>
      <c r="G1594" s="92">
        <f t="array" ref="G1594">IF(B1594="insumo",_xlfn.XLOOKUP($D1594,Insumos!$B$1:$B$996,Insumos!$D$1:$D$996),"")</f>
        <v>20.16</v>
      </c>
      <c r="H1594" s="92">
        <v>22.296959999999999</v>
      </c>
      <c r="I1594" s="13">
        <v>0</v>
      </c>
      <c r="J1594" s="13">
        <v>0</v>
      </c>
      <c r="K1594" s="13"/>
      <c r="L1594"/>
      <c r="M1594"/>
      <c r="N1594"/>
      <c r="O1594"/>
      <c r="P1594"/>
      <c r="Q1594"/>
      <c r="R1594"/>
      <c r="S1594"/>
      <c r="T1594"/>
      <c r="U1594"/>
      <c r="V1594"/>
      <c r="W1594"/>
      <c r="X1594"/>
      <c r="Y1594"/>
      <c r="Z1594"/>
      <c r="AA1594"/>
      <c r="AB1594"/>
      <c r="AC1594"/>
      <c r="AD1594"/>
      <c r="AE1594"/>
      <c r="AF1594"/>
      <c r="AG1594"/>
      <c r="AH1594"/>
      <c r="AI1594"/>
      <c r="AJ1594"/>
      <c r="AK1594"/>
      <c r="AL1594"/>
    </row>
    <row r="1595" spans="1:38" ht="15.75" customHeight="1" outlineLevel="3" x14ac:dyDescent="0.2">
      <c r="A1595" s="10">
        <v>95</v>
      </c>
      <c r="B1595" s="10" t="s">
        <v>71</v>
      </c>
      <c r="C1595" s="10" t="s">
        <v>1354</v>
      </c>
      <c r="D1595" s="10" t="s">
        <v>409</v>
      </c>
      <c r="E1595" s="11" t="str">
        <f t="array" ref="E1595">_xlfn.XLOOKUP(D1595,Insumos!B:B,Insumos!C:$C)</f>
        <v>UN</v>
      </c>
      <c r="F1595" s="14">
        <v>5.92</v>
      </c>
      <c r="G1595" s="92">
        <f t="array" ref="G1595">IF(B1595="insumo",_xlfn.XLOOKUP($D1595,Insumos!$B$1:$B$996,Insumos!$D$1:$D$996),"")</f>
        <v>0.504</v>
      </c>
      <c r="H1595" s="92">
        <v>2.9836800000000001</v>
      </c>
      <c r="I1595" s="13">
        <v>0</v>
      </c>
      <c r="J1595" s="13">
        <v>0</v>
      </c>
      <c r="K1595" s="13"/>
      <c r="L1595"/>
      <c r="M1595"/>
      <c r="N1595"/>
      <c r="O1595"/>
      <c r="P1595"/>
      <c r="Q1595"/>
      <c r="R1595"/>
      <c r="S1595"/>
      <c r="T1595"/>
      <c r="U1595"/>
      <c r="V1595"/>
      <c r="W1595"/>
      <c r="X1595"/>
      <c r="Y1595"/>
      <c r="Z1595"/>
      <c r="AA1595"/>
      <c r="AB1595"/>
      <c r="AC1595"/>
      <c r="AD1595"/>
      <c r="AE1595"/>
      <c r="AF1595"/>
      <c r="AG1595"/>
      <c r="AH1595"/>
      <c r="AI1595"/>
      <c r="AJ1595"/>
      <c r="AK1595"/>
      <c r="AL1595"/>
    </row>
    <row r="1596" spans="1:38" ht="15.75" customHeight="1" outlineLevel="3" x14ac:dyDescent="0.2">
      <c r="A1596" s="10">
        <v>26</v>
      </c>
      <c r="B1596" s="10" t="s">
        <v>71</v>
      </c>
      <c r="C1596" s="10" t="s">
        <v>1354</v>
      </c>
      <c r="D1596" s="10" t="s">
        <v>410</v>
      </c>
      <c r="E1596" s="11" t="str">
        <f t="array" ref="E1596">_xlfn.XLOOKUP(D1596,Insumos!B:B,Insumos!C:$C)</f>
        <v>M</v>
      </c>
      <c r="F1596" s="14">
        <v>1.8233999999999999</v>
      </c>
      <c r="G1596" s="92">
        <f t="array" ref="G1596">IF(B1596="insumo",_xlfn.XLOOKUP($D1596,Insumos!$B$1:$B$996,Insumos!$D$1:$D$996),"")</f>
        <v>7.03</v>
      </c>
      <c r="H1596" s="92">
        <v>12.818502000000001</v>
      </c>
      <c r="I1596" s="13">
        <v>0</v>
      </c>
      <c r="J1596" s="13">
        <v>0</v>
      </c>
      <c r="K1596" s="13"/>
      <c r="L1596"/>
      <c r="M1596"/>
      <c r="N1596"/>
      <c r="O1596"/>
      <c r="P1596"/>
      <c r="Q1596"/>
      <c r="R1596"/>
      <c r="S1596"/>
      <c r="T1596"/>
      <c r="U1596"/>
      <c r="V1596"/>
      <c r="W1596"/>
      <c r="X1596"/>
      <c r="Y1596"/>
      <c r="Z1596"/>
      <c r="AA1596"/>
      <c r="AB1596"/>
      <c r="AC1596"/>
      <c r="AD1596"/>
      <c r="AE1596"/>
      <c r="AF1596"/>
      <c r="AG1596"/>
      <c r="AH1596"/>
      <c r="AI1596"/>
      <c r="AJ1596"/>
      <c r="AK1596"/>
      <c r="AL1596"/>
    </row>
    <row r="1597" spans="1:38" ht="15.75" customHeight="1" outlineLevel="3" x14ac:dyDescent="0.2">
      <c r="A1597" s="10">
        <v>26</v>
      </c>
      <c r="B1597" s="10" t="s">
        <v>71</v>
      </c>
      <c r="C1597" s="10" t="s">
        <v>1354</v>
      </c>
      <c r="D1597" s="10" t="s">
        <v>411</v>
      </c>
      <c r="E1597" s="11" t="str">
        <f t="array" ref="E1597">_xlfn.XLOOKUP(D1597,Insumos!B:B,Insumos!C:$C)</f>
        <v>M</v>
      </c>
      <c r="F1597" s="14">
        <v>5.8277999999999999</v>
      </c>
      <c r="G1597" s="92">
        <f t="array" ref="G1597">IF(B1597="insumo",_xlfn.XLOOKUP($D1597,Insumos!$B$1:$B$996,Insumos!$D$1:$D$996),"")</f>
        <v>7.98</v>
      </c>
      <c r="H1597" s="92">
        <v>46.505844000000003</v>
      </c>
      <c r="I1597" s="13">
        <v>0</v>
      </c>
      <c r="J1597" s="13">
        <v>0</v>
      </c>
      <c r="K1597" s="13"/>
      <c r="L1597"/>
      <c r="M1597"/>
      <c r="N1597"/>
      <c r="O1597"/>
      <c r="P1597"/>
      <c r="Q1597"/>
      <c r="R1597"/>
      <c r="S1597"/>
      <c r="T1597"/>
      <c r="U1597"/>
      <c r="V1597"/>
      <c r="W1597"/>
      <c r="X1597"/>
      <c r="Y1597"/>
      <c r="Z1597"/>
      <c r="AA1597"/>
      <c r="AB1597"/>
      <c r="AC1597"/>
      <c r="AD1597"/>
      <c r="AE1597"/>
      <c r="AF1597"/>
      <c r="AG1597"/>
      <c r="AH1597"/>
      <c r="AI1597"/>
      <c r="AJ1597"/>
      <c r="AK1597"/>
      <c r="AL1597"/>
    </row>
    <row r="1598" spans="1:38" ht="15.75" customHeight="1" outlineLevel="3" x14ac:dyDescent="0.2">
      <c r="A1598" s="10">
        <v>95</v>
      </c>
      <c r="B1598" s="10" t="s">
        <v>71</v>
      </c>
      <c r="C1598" s="10" t="s">
        <v>1354</v>
      </c>
      <c r="D1598" s="10" t="s">
        <v>405</v>
      </c>
      <c r="E1598" s="11" t="str">
        <f t="array" ref="E1598">_xlfn.XLOOKUP(D1598,Insumos!B:B,Insumos!C:$C)</f>
        <v>KG</v>
      </c>
      <c r="F1598" s="14">
        <f>1.0978/2</f>
        <v>0.54890000000000005</v>
      </c>
      <c r="G1598" s="92">
        <f t="array" ref="G1598">IF(B1598="insumo",_xlfn.XLOOKUP($D1598,Insumos!$B$1:$B$996,Insumos!$D$1:$D$996),"")</f>
        <v>3.43</v>
      </c>
      <c r="H1598" s="92">
        <v>1.882727</v>
      </c>
      <c r="I1598" s="13">
        <v>0</v>
      </c>
      <c r="J1598" s="13">
        <v>0</v>
      </c>
      <c r="K1598" s="13"/>
      <c r="L1598"/>
      <c r="M1598"/>
      <c r="N1598"/>
      <c r="O1598"/>
      <c r="P1598"/>
      <c r="Q1598"/>
      <c r="R1598"/>
      <c r="S1598"/>
      <c r="T1598"/>
      <c r="U1598"/>
      <c r="V1598"/>
      <c r="W1598"/>
      <c r="X1598"/>
      <c r="Y1598"/>
      <c r="Z1598"/>
      <c r="AA1598"/>
      <c r="AB1598"/>
      <c r="AC1598"/>
      <c r="AD1598"/>
      <c r="AE1598"/>
      <c r="AF1598"/>
      <c r="AG1598"/>
      <c r="AH1598"/>
      <c r="AI1598"/>
      <c r="AJ1598"/>
      <c r="AK1598"/>
      <c r="AL1598"/>
    </row>
    <row r="1599" spans="1:38" ht="15.75" customHeight="1" outlineLevel="3" x14ac:dyDescent="0.2">
      <c r="A1599" s="10">
        <v>94</v>
      </c>
      <c r="B1599" s="10" t="s">
        <v>71</v>
      </c>
      <c r="C1599" s="10" t="s">
        <v>1354</v>
      </c>
      <c r="D1599" s="10" t="s">
        <v>412</v>
      </c>
      <c r="E1599" s="11" t="str">
        <f t="array" ref="E1599">_xlfn.XLOOKUP(D1599,Insumos!B:B,Insumos!C:$C)</f>
        <v>M</v>
      </c>
      <c r="F1599" s="14">
        <f>2.5027/2</f>
        <v>1.25135</v>
      </c>
      <c r="G1599" s="92">
        <f t="array" ref="G1599">IF(B1599="insumo",_xlfn.XLOOKUP($D1599,Insumos!$B$1:$B$996,Insumos!$D$1:$D$996),"")</f>
        <v>0.31</v>
      </c>
      <c r="H1599" s="92">
        <v>0.3879185</v>
      </c>
      <c r="I1599" s="13">
        <v>0</v>
      </c>
      <c r="J1599" s="13">
        <v>0</v>
      </c>
      <c r="K1599" s="13"/>
      <c r="L1599"/>
      <c r="M1599"/>
      <c r="N1599"/>
      <c r="O1599"/>
      <c r="P1599"/>
      <c r="Q1599"/>
      <c r="R1599"/>
      <c r="S1599"/>
      <c r="T1599"/>
      <c r="U1599"/>
      <c r="V1599"/>
      <c r="W1599"/>
      <c r="X1599"/>
      <c r="Y1599"/>
      <c r="Z1599"/>
      <c r="AA1599"/>
      <c r="AB1599"/>
      <c r="AC1599"/>
      <c r="AD1599"/>
      <c r="AE1599"/>
      <c r="AF1599"/>
      <c r="AG1599"/>
      <c r="AH1599"/>
      <c r="AI1599"/>
      <c r="AJ1599"/>
      <c r="AK1599"/>
      <c r="AL1599"/>
    </row>
    <row r="1600" spans="1:38" ht="15.75" customHeight="1" outlineLevel="3" x14ac:dyDescent="0.2">
      <c r="A1600" s="10">
        <v>94</v>
      </c>
      <c r="B1600" s="10" t="s">
        <v>71</v>
      </c>
      <c r="C1600" s="10" t="s">
        <v>1354</v>
      </c>
      <c r="D1600" s="10" t="s">
        <v>413</v>
      </c>
      <c r="E1600" s="11" t="str">
        <f t="array" ref="E1600">_xlfn.XLOOKUP(D1600,Insumos!B:B,Insumos!C:$C)</f>
        <v>M</v>
      </c>
      <c r="F1600" s="14">
        <f>1.5851/2</f>
        <v>0.79254999999999998</v>
      </c>
      <c r="G1600" s="92">
        <f t="array" ref="G1600">IF(B1600="insumo",_xlfn.XLOOKUP($D1600,Insumos!$B$1:$B$996,Insumos!$D$1:$D$996),"")</f>
        <v>2.74</v>
      </c>
      <c r="H1600" s="92">
        <v>2.1715870000000002</v>
      </c>
      <c r="I1600" s="13">
        <v>0</v>
      </c>
      <c r="J1600" s="13">
        <v>0</v>
      </c>
      <c r="K1600" s="13"/>
      <c r="L1600"/>
      <c r="M1600"/>
      <c r="N1600"/>
      <c r="O1600"/>
      <c r="P1600"/>
      <c r="Q1600"/>
      <c r="R1600"/>
      <c r="S1600"/>
      <c r="T1600"/>
      <c r="U1600"/>
      <c r="V1600"/>
      <c r="W1600"/>
      <c r="X1600"/>
      <c r="Y1600"/>
      <c r="Z1600"/>
      <c r="AA1600"/>
      <c r="AB1600"/>
      <c r="AC1600"/>
      <c r="AD1600"/>
      <c r="AE1600"/>
      <c r="AF1600"/>
      <c r="AG1600"/>
      <c r="AH1600"/>
      <c r="AI1600"/>
      <c r="AJ1600"/>
      <c r="AK1600"/>
      <c r="AL1600"/>
    </row>
    <row r="1601" spans="1:38" ht="15.75" customHeight="1" outlineLevel="3" x14ac:dyDescent="0.2">
      <c r="A1601" s="10">
        <v>97</v>
      </c>
      <c r="B1601" s="10" t="s">
        <v>71</v>
      </c>
      <c r="C1601" s="10" t="s">
        <v>1354</v>
      </c>
      <c r="D1601" s="10" t="s">
        <v>414</v>
      </c>
      <c r="E1601" s="11" t="str">
        <f t="array" ref="E1601">_xlfn.XLOOKUP(D1601,Insumos!B:B,Insumos!C:$C)</f>
        <v>UN</v>
      </c>
      <c r="F1601" s="14">
        <f>20.1868/2</f>
        <v>10.093400000000001</v>
      </c>
      <c r="G1601" s="92">
        <f t="array" ref="G1601">IF(B1601="insumo",_xlfn.XLOOKUP($D1601,Insumos!$B$1:$B$996,Insumos!$D$1:$D$996),"")</f>
        <v>0.09</v>
      </c>
      <c r="H1601" s="92">
        <v>0.90840600000000005</v>
      </c>
      <c r="I1601" s="13">
        <v>0</v>
      </c>
      <c r="J1601" s="13">
        <v>0</v>
      </c>
      <c r="K1601" s="13"/>
      <c r="L1601"/>
      <c r="M1601"/>
      <c r="N1601"/>
      <c r="O1601"/>
      <c r="P1601"/>
      <c r="Q1601"/>
      <c r="R1601"/>
      <c r="S1601"/>
      <c r="T1601"/>
      <c r="U1601"/>
      <c r="V1601"/>
      <c r="W1601"/>
      <c r="X1601"/>
      <c r="Y1601"/>
      <c r="Z1601"/>
      <c r="AA1601"/>
      <c r="AB1601"/>
      <c r="AC1601"/>
      <c r="AD1601"/>
      <c r="AE1601"/>
      <c r="AF1601"/>
      <c r="AG1601"/>
      <c r="AH1601"/>
      <c r="AI1601"/>
      <c r="AJ1601"/>
      <c r="AK1601"/>
      <c r="AL1601"/>
    </row>
    <row r="1602" spans="1:38" ht="15.75" customHeight="1" outlineLevel="3" x14ac:dyDescent="0.2">
      <c r="A1602" s="10">
        <v>95</v>
      </c>
      <c r="B1602" s="10" t="s">
        <v>71</v>
      </c>
      <c r="C1602" s="10" t="s">
        <v>1354</v>
      </c>
      <c r="D1602" s="10" t="s">
        <v>415</v>
      </c>
      <c r="E1602" s="11" t="str">
        <f t="array" ref="E1602">_xlfn.XLOOKUP(D1602,Insumos!B:B,Insumos!C:$C)</f>
        <v>UN</v>
      </c>
      <c r="F1602" s="14">
        <v>0.54410000000000003</v>
      </c>
      <c r="G1602" s="92">
        <f t="array" ref="G1602">IF(B1602="insumo",_xlfn.XLOOKUP($D1602,Insumos!$B$1:$B$996,Insumos!$D$1:$D$996),"")</f>
        <v>0.2</v>
      </c>
      <c r="H1602" s="92">
        <v>0.10882</v>
      </c>
      <c r="I1602" s="13">
        <v>0</v>
      </c>
      <c r="J1602" s="13">
        <v>0</v>
      </c>
      <c r="K1602" s="13"/>
      <c r="L1602"/>
      <c r="M1602"/>
      <c r="N1602"/>
      <c r="O1602"/>
      <c r="P1602"/>
      <c r="Q1602"/>
      <c r="R1602"/>
      <c r="S1602"/>
      <c r="T1602"/>
      <c r="U1602"/>
      <c r="V1602"/>
      <c r="W1602"/>
      <c r="X1602"/>
      <c r="Y1602"/>
      <c r="Z1602"/>
      <c r="AA1602"/>
      <c r="AB1602"/>
      <c r="AC1602"/>
      <c r="AD1602"/>
      <c r="AE1602"/>
      <c r="AF1602"/>
      <c r="AG1602"/>
      <c r="AH1602"/>
      <c r="AI1602"/>
      <c r="AJ1602"/>
      <c r="AK1602"/>
      <c r="AL1602"/>
    </row>
    <row r="1603" spans="1:38" ht="15.75" customHeight="1" outlineLevel="2" x14ac:dyDescent="0.2">
      <c r="A1603" s="1067">
        <v>1</v>
      </c>
      <c r="B1603" s="1067" t="s">
        <v>68</v>
      </c>
      <c r="C1603" s="1067" t="s">
        <v>1363</v>
      </c>
      <c r="D1603" s="1067" t="s">
        <v>1363</v>
      </c>
      <c r="E1603" s="1068" t="s">
        <v>70</v>
      </c>
      <c r="F1603" s="1067"/>
      <c r="G1603" s="1069" t="str">
        <f t="array" ref="G1603">IF(B1603="insumo",_xlfn.XLOOKUP($D1603,Insumos!$B$1:$B$996,Insumos!$D$1:$D$996),"")</f>
        <v/>
      </c>
      <c r="H1603" s="1069">
        <v>160.06444450000001</v>
      </c>
      <c r="I1603" s="1070">
        <v>0</v>
      </c>
      <c r="J1603" s="1070">
        <v>0</v>
      </c>
      <c r="K1603" s="1070"/>
      <c r="L1603"/>
      <c r="M1603"/>
      <c r="N1603"/>
      <c r="O1603"/>
      <c r="P1603"/>
      <c r="Q1603"/>
      <c r="R1603"/>
      <c r="S1603"/>
      <c r="T1603"/>
      <c r="U1603"/>
      <c r="V1603"/>
      <c r="W1603"/>
      <c r="X1603"/>
      <c r="Y1603"/>
      <c r="Z1603"/>
      <c r="AA1603"/>
      <c r="AB1603"/>
      <c r="AC1603"/>
      <c r="AD1603"/>
      <c r="AE1603"/>
      <c r="AF1603"/>
      <c r="AG1603"/>
      <c r="AH1603"/>
      <c r="AI1603"/>
      <c r="AJ1603"/>
      <c r="AK1603"/>
      <c r="AL1603"/>
    </row>
    <row r="1604" spans="1:38" ht="15.75" customHeight="1" outlineLevel="3" x14ac:dyDescent="0.2">
      <c r="A1604" s="10">
        <v>86</v>
      </c>
      <c r="B1604" s="10" t="s">
        <v>71</v>
      </c>
      <c r="C1604" s="10" t="s">
        <v>1363</v>
      </c>
      <c r="D1604" s="10" t="s">
        <v>407</v>
      </c>
      <c r="E1604" s="11" t="str">
        <f t="array" ref="E1604">_xlfn.XLOOKUP(D1604,Insumos!B:B,Insumos!C:$C)</f>
        <v>M2</v>
      </c>
      <c r="F1604" s="14">
        <v>1</v>
      </c>
      <c r="G1604" s="92">
        <f t="array" ref="G1604">IF(B1604="insumo",_xlfn.XLOOKUP($D1604,Insumos!$B$1:$B$996,Insumos!$D$1:$D$996),"")</f>
        <v>70</v>
      </c>
      <c r="H1604" s="92">
        <v>70</v>
      </c>
      <c r="I1604" s="13">
        <v>0</v>
      </c>
      <c r="J1604" s="13">
        <v>0</v>
      </c>
      <c r="K1604" s="13"/>
      <c r="L1604"/>
      <c r="M1604"/>
      <c r="N1604"/>
      <c r="O1604"/>
      <c r="P1604"/>
      <c r="Q1604"/>
      <c r="R1604"/>
      <c r="S1604"/>
      <c r="T1604"/>
      <c r="U1604"/>
      <c r="V1604"/>
      <c r="W1604"/>
      <c r="X1604"/>
      <c r="Y1604"/>
      <c r="Z1604"/>
      <c r="AA1604"/>
      <c r="AB1604"/>
      <c r="AC1604"/>
      <c r="AD1604"/>
      <c r="AE1604"/>
      <c r="AF1604"/>
      <c r="AG1604"/>
      <c r="AH1604"/>
      <c r="AI1604"/>
      <c r="AJ1604"/>
      <c r="AK1604"/>
      <c r="AL1604"/>
    </row>
    <row r="1605" spans="1:38" ht="15.75" customHeight="1" outlineLevel="3" x14ac:dyDescent="0.2">
      <c r="A1605" s="10">
        <v>47</v>
      </c>
      <c r="B1605" s="10" t="s">
        <v>71</v>
      </c>
      <c r="C1605" s="10" t="s">
        <v>1363</v>
      </c>
      <c r="D1605" s="10" t="s">
        <v>408</v>
      </c>
      <c r="E1605" s="11" t="str">
        <f t="array" ref="E1605">_xlfn.XLOOKUP(D1605,Insumos!B:B,Insumos!C:$C)</f>
        <v>M2</v>
      </c>
      <c r="F1605" s="14">
        <v>1.1060000000000001</v>
      </c>
      <c r="G1605" s="92">
        <f t="array" ref="G1605">IF(B1605="insumo",_xlfn.XLOOKUP($D1605,Insumos!$B$1:$B$996,Insumos!$D$1:$D$996),"")</f>
        <v>20.16</v>
      </c>
      <c r="H1605" s="92">
        <v>22.296959999999999</v>
      </c>
      <c r="I1605" s="13">
        <v>0</v>
      </c>
      <c r="J1605" s="13">
        <v>0</v>
      </c>
      <c r="K1605" s="13"/>
      <c r="L1605"/>
      <c r="M1605"/>
      <c r="N1605"/>
      <c r="O1605"/>
      <c r="P1605"/>
      <c r="Q1605"/>
      <c r="R1605"/>
      <c r="S1605"/>
      <c r="T1605"/>
      <c r="U1605"/>
      <c r="V1605"/>
      <c r="W1605"/>
      <c r="X1605"/>
      <c r="Y1605"/>
      <c r="Z1605"/>
      <c r="AA1605"/>
      <c r="AB1605"/>
      <c r="AC1605"/>
      <c r="AD1605"/>
      <c r="AE1605"/>
      <c r="AF1605"/>
      <c r="AG1605"/>
      <c r="AH1605"/>
      <c r="AI1605"/>
      <c r="AJ1605"/>
      <c r="AK1605"/>
      <c r="AL1605"/>
    </row>
    <row r="1606" spans="1:38" ht="15.75" customHeight="1" outlineLevel="3" x14ac:dyDescent="0.2">
      <c r="A1606" s="10">
        <v>95</v>
      </c>
      <c r="B1606" s="10" t="s">
        <v>71</v>
      </c>
      <c r="C1606" s="10" t="s">
        <v>1363</v>
      </c>
      <c r="D1606" s="10" t="s">
        <v>409</v>
      </c>
      <c r="E1606" s="11" t="str">
        <f t="array" ref="E1606">_xlfn.XLOOKUP(D1606,Insumos!B:B,Insumos!C:$C)</f>
        <v>UN</v>
      </c>
      <c r="F1606" s="14">
        <v>5.92</v>
      </c>
      <c r="G1606" s="92">
        <f t="array" ref="G1606">IF(B1606="insumo",_xlfn.XLOOKUP($D1606,Insumos!$B$1:$B$996,Insumos!$D$1:$D$996),"")</f>
        <v>0.504</v>
      </c>
      <c r="H1606" s="92">
        <v>2.9836800000000001</v>
      </c>
      <c r="I1606" s="13">
        <v>0</v>
      </c>
      <c r="J1606" s="13">
        <v>0</v>
      </c>
      <c r="K1606" s="13"/>
      <c r="L1606"/>
      <c r="M1606"/>
      <c r="N1606"/>
      <c r="O1606"/>
      <c r="P1606"/>
      <c r="Q1606"/>
      <c r="R1606"/>
      <c r="S1606"/>
      <c r="T1606"/>
      <c r="U1606"/>
      <c r="V1606"/>
      <c r="W1606"/>
      <c r="X1606"/>
      <c r="Y1606"/>
      <c r="Z1606"/>
      <c r="AA1606"/>
      <c r="AB1606"/>
      <c r="AC1606"/>
      <c r="AD1606"/>
      <c r="AE1606"/>
      <c r="AF1606"/>
      <c r="AG1606"/>
      <c r="AH1606"/>
      <c r="AI1606"/>
      <c r="AJ1606"/>
      <c r="AK1606"/>
      <c r="AL1606"/>
    </row>
    <row r="1607" spans="1:38" ht="15.75" customHeight="1" outlineLevel="3" x14ac:dyDescent="0.2">
      <c r="A1607" s="10">
        <v>26</v>
      </c>
      <c r="B1607" s="10" t="s">
        <v>71</v>
      </c>
      <c r="C1607" s="10" t="s">
        <v>1363</v>
      </c>
      <c r="D1607" s="10" t="s">
        <v>410</v>
      </c>
      <c r="E1607" s="11" t="str">
        <f t="array" ref="E1607">_xlfn.XLOOKUP(D1607,Insumos!B:B,Insumos!C:$C)</f>
        <v>M</v>
      </c>
      <c r="F1607" s="14">
        <v>1.8233999999999999</v>
      </c>
      <c r="G1607" s="92">
        <f t="array" ref="G1607">IF(B1607="insumo",_xlfn.XLOOKUP($D1607,Insumos!$B$1:$B$996,Insumos!$D$1:$D$996),"")</f>
        <v>7.03</v>
      </c>
      <c r="H1607" s="92">
        <v>12.818502000000001</v>
      </c>
      <c r="I1607" s="13">
        <v>0</v>
      </c>
      <c r="J1607" s="13">
        <v>0</v>
      </c>
      <c r="K1607" s="13"/>
      <c r="L1607"/>
      <c r="M1607"/>
      <c r="N1607"/>
      <c r="O1607"/>
      <c r="P1607"/>
      <c r="Q1607"/>
      <c r="R1607"/>
      <c r="S1607"/>
      <c r="T1607"/>
      <c r="U1607"/>
      <c r="V1607"/>
      <c r="W1607"/>
      <c r="X1607"/>
      <c r="Y1607"/>
      <c r="Z1607"/>
      <c r="AA1607"/>
      <c r="AB1607"/>
      <c r="AC1607"/>
      <c r="AD1607"/>
      <c r="AE1607"/>
      <c r="AF1607"/>
      <c r="AG1607"/>
      <c r="AH1607"/>
      <c r="AI1607"/>
      <c r="AJ1607"/>
      <c r="AK1607"/>
      <c r="AL1607"/>
    </row>
    <row r="1608" spans="1:38" ht="15.75" customHeight="1" outlineLevel="3" x14ac:dyDescent="0.2">
      <c r="A1608" s="10">
        <v>26</v>
      </c>
      <c r="B1608" s="10" t="s">
        <v>71</v>
      </c>
      <c r="C1608" s="10" t="s">
        <v>1363</v>
      </c>
      <c r="D1608" s="10" t="s">
        <v>411</v>
      </c>
      <c r="E1608" s="11" t="str">
        <f t="array" ref="E1608">_xlfn.XLOOKUP(D1608,Insumos!B:B,Insumos!C:$C)</f>
        <v>M</v>
      </c>
      <c r="F1608" s="14">
        <v>5.8277999999999999</v>
      </c>
      <c r="G1608" s="92">
        <f t="array" ref="G1608">IF(B1608="insumo",_xlfn.XLOOKUP($D1608,Insumos!$B$1:$B$996,Insumos!$D$1:$D$996),"")</f>
        <v>7.98</v>
      </c>
      <c r="H1608" s="92">
        <v>46.505844000000003</v>
      </c>
      <c r="I1608" s="13">
        <v>0</v>
      </c>
      <c r="J1608" s="13">
        <v>0</v>
      </c>
      <c r="K1608" s="13"/>
      <c r="L1608"/>
      <c r="M1608"/>
      <c r="N1608"/>
      <c r="O1608"/>
      <c r="P1608"/>
      <c r="Q1608"/>
      <c r="R1608"/>
      <c r="S1608"/>
      <c r="T1608"/>
      <c r="U1608"/>
      <c r="V1608"/>
      <c r="W1608"/>
      <c r="X1608"/>
      <c r="Y1608"/>
      <c r="Z1608"/>
      <c r="AA1608"/>
      <c r="AB1608"/>
      <c r="AC1608"/>
      <c r="AD1608"/>
      <c r="AE1608"/>
      <c r="AF1608"/>
      <c r="AG1608"/>
      <c r="AH1608"/>
      <c r="AI1608"/>
      <c r="AJ1608"/>
      <c r="AK1608"/>
      <c r="AL1608"/>
    </row>
    <row r="1609" spans="1:38" ht="15.75" customHeight="1" outlineLevel="3" x14ac:dyDescent="0.2">
      <c r="A1609" s="10">
        <v>95</v>
      </c>
      <c r="B1609" s="10" t="s">
        <v>71</v>
      </c>
      <c r="C1609" s="10" t="s">
        <v>1363</v>
      </c>
      <c r="D1609" s="10" t="s">
        <v>405</v>
      </c>
      <c r="E1609" s="11" t="str">
        <f t="array" ref="E1609">_xlfn.XLOOKUP(D1609,Insumos!B:B,Insumos!C:$C)</f>
        <v>KG</v>
      </c>
      <c r="F1609" s="14">
        <f>1.0978/2</f>
        <v>0.54890000000000005</v>
      </c>
      <c r="G1609" s="92">
        <f t="array" ref="G1609">IF(B1609="insumo",_xlfn.XLOOKUP($D1609,Insumos!$B$1:$B$996,Insumos!$D$1:$D$996),"")</f>
        <v>3.43</v>
      </c>
      <c r="H1609" s="92">
        <v>1.882727</v>
      </c>
      <c r="I1609" s="13">
        <v>0</v>
      </c>
      <c r="J1609" s="13">
        <v>0</v>
      </c>
      <c r="K1609" s="13"/>
      <c r="L1609"/>
      <c r="M1609"/>
      <c r="N1609"/>
      <c r="O1609"/>
      <c r="P1609"/>
      <c r="Q1609"/>
      <c r="R1609"/>
      <c r="S1609"/>
      <c r="T1609"/>
      <c r="U1609"/>
      <c r="V1609"/>
      <c r="W1609"/>
      <c r="X1609"/>
      <c r="Y1609"/>
      <c r="Z1609"/>
      <c r="AA1609"/>
      <c r="AB1609"/>
      <c r="AC1609"/>
      <c r="AD1609"/>
      <c r="AE1609"/>
      <c r="AF1609"/>
      <c r="AG1609"/>
      <c r="AH1609"/>
      <c r="AI1609"/>
      <c r="AJ1609"/>
      <c r="AK1609"/>
      <c r="AL1609"/>
    </row>
    <row r="1610" spans="1:38" ht="15.75" customHeight="1" outlineLevel="3" x14ac:dyDescent="0.2">
      <c r="A1610" s="10">
        <v>94</v>
      </c>
      <c r="B1610" s="10" t="s">
        <v>71</v>
      </c>
      <c r="C1610" s="10" t="s">
        <v>1363</v>
      </c>
      <c r="D1610" s="10" t="s">
        <v>412</v>
      </c>
      <c r="E1610" s="11" t="str">
        <f t="array" ref="E1610">_xlfn.XLOOKUP(D1610,Insumos!B:B,Insumos!C:$C)</f>
        <v>M</v>
      </c>
      <c r="F1610" s="14">
        <f>2.5027/2</f>
        <v>1.25135</v>
      </c>
      <c r="G1610" s="92">
        <f t="array" ref="G1610">IF(B1610="insumo",_xlfn.XLOOKUP($D1610,Insumos!$B$1:$B$996,Insumos!$D$1:$D$996),"")</f>
        <v>0.31</v>
      </c>
      <c r="H1610" s="92">
        <v>0.3879185</v>
      </c>
      <c r="I1610" s="13">
        <v>0</v>
      </c>
      <c r="J1610" s="13">
        <v>0</v>
      </c>
      <c r="K1610" s="13"/>
      <c r="L1610"/>
      <c r="M1610"/>
      <c r="N1610"/>
      <c r="O1610"/>
      <c r="P1610"/>
      <c r="Q1610"/>
      <c r="R1610"/>
      <c r="S1610"/>
      <c r="T1610"/>
      <c r="U1610"/>
      <c r="V1610"/>
      <c r="W1610"/>
      <c r="X1610"/>
      <c r="Y1610"/>
      <c r="Z1610"/>
      <c r="AA1610"/>
      <c r="AB1610"/>
      <c r="AC1610"/>
      <c r="AD1610"/>
      <c r="AE1610"/>
      <c r="AF1610"/>
      <c r="AG1610"/>
      <c r="AH1610"/>
      <c r="AI1610"/>
      <c r="AJ1610"/>
      <c r="AK1610"/>
      <c r="AL1610"/>
    </row>
    <row r="1611" spans="1:38" ht="15.75" customHeight="1" outlineLevel="3" x14ac:dyDescent="0.2">
      <c r="A1611" s="10">
        <v>94</v>
      </c>
      <c r="B1611" s="10" t="s">
        <v>71</v>
      </c>
      <c r="C1611" s="10" t="s">
        <v>1363</v>
      </c>
      <c r="D1611" s="10" t="s">
        <v>413</v>
      </c>
      <c r="E1611" s="11" t="str">
        <f t="array" ref="E1611">_xlfn.XLOOKUP(D1611,Insumos!B:B,Insumos!C:$C)</f>
        <v>M</v>
      </c>
      <c r="F1611" s="14">
        <f>1.5851/2</f>
        <v>0.79254999999999998</v>
      </c>
      <c r="G1611" s="92">
        <f t="array" ref="G1611">IF(B1611="insumo",_xlfn.XLOOKUP($D1611,Insumos!$B$1:$B$996,Insumos!$D$1:$D$996),"")</f>
        <v>2.74</v>
      </c>
      <c r="H1611" s="92">
        <v>2.1715870000000002</v>
      </c>
      <c r="I1611" s="13">
        <v>0</v>
      </c>
      <c r="J1611" s="13">
        <v>0</v>
      </c>
      <c r="K1611" s="13"/>
      <c r="L1611"/>
      <c r="M1611"/>
      <c r="N1611"/>
      <c r="O1611"/>
      <c r="P1611"/>
      <c r="Q1611"/>
      <c r="R1611"/>
      <c r="S1611"/>
      <c r="T1611"/>
      <c r="U1611"/>
      <c r="V1611"/>
      <c r="W1611"/>
      <c r="X1611"/>
      <c r="Y1611"/>
      <c r="Z1611"/>
      <c r="AA1611"/>
      <c r="AB1611"/>
      <c r="AC1611"/>
      <c r="AD1611"/>
      <c r="AE1611"/>
      <c r="AF1611"/>
      <c r="AG1611"/>
      <c r="AH1611"/>
      <c r="AI1611"/>
      <c r="AJ1611"/>
      <c r="AK1611"/>
      <c r="AL1611"/>
    </row>
    <row r="1612" spans="1:38" ht="15.75" customHeight="1" outlineLevel="3" x14ac:dyDescent="0.2">
      <c r="A1612" s="10">
        <v>97</v>
      </c>
      <c r="B1612" s="10" t="s">
        <v>71</v>
      </c>
      <c r="C1612" s="10" t="s">
        <v>1363</v>
      </c>
      <c r="D1612" s="10" t="s">
        <v>414</v>
      </c>
      <c r="E1612" s="11" t="str">
        <f t="array" ref="E1612">_xlfn.XLOOKUP(D1612,Insumos!B:B,Insumos!C:$C)</f>
        <v>UN</v>
      </c>
      <c r="F1612" s="14">
        <f>20.1868/2</f>
        <v>10.093400000000001</v>
      </c>
      <c r="G1612" s="92">
        <f t="array" ref="G1612">IF(B1612="insumo",_xlfn.XLOOKUP($D1612,Insumos!$B$1:$B$996,Insumos!$D$1:$D$996),"")</f>
        <v>0.09</v>
      </c>
      <c r="H1612" s="92">
        <v>0.90840600000000005</v>
      </c>
      <c r="I1612" s="13">
        <v>0</v>
      </c>
      <c r="J1612" s="13">
        <v>0</v>
      </c>
      <c r="K1612" s="13"/>
      <c r="L1612"/>
      <c r="M1612"/>
      <c r="N1612"/>
      <c r="O1612"/>
      <c r="P1612"/>
      <c r="Q1612"/>
      <c r="R1612"/>
      <c r="S1612"/>
      <c r="T1612"/>
      <c r="U1612"/>
      <c r="V1612"/>
      <c r="W1612"/>
      <c r="X1612"/>
      <c r="Y1612"/>
      <c r="Z1612"/>
      <c r="AA1612"/>
      <c r="AB1612"/>
      <c r="AC1612"/>
      <c r="AD1612"/>
      <c r="AE1612"/>
      <c r="AF1612"/>
      <c r="AG1612"/>
      <c r="AH1612"/>
      <c r="AI1612"/>
      <c r="AJ1612"/>
      <c r="AK1612"/>
      <c r="AL1612"/>
    </row>
    <row r="1613" spans="1:38" ht="15.75" customHeight="1" outlineLevel="3" x14ac:dyDescent="0.2">
      <c r="A1613" s="10">
        <v>95</v>
      </c>
      <c r="B1613" s="10" t="s">
        <v>71</v>
      </c>
      <c r="C1613" s="10" t="s">
        <v>1363</v>
      </c>
      <c r="D1613" s="10" t="s">
        <v>415</v>
      </c>
      <c r="E1613" s="11" t="str">
        <f t="array" ref="E1613">_xlfn.XLOOKUP(D1613,Insumos!B:B,Insumos!C:$C)</f>
        <v>UN</v>
      </c>
      <c r="F1613" s="14">
        <v>0.54410000000000003</v>
      </c>
      <c r="G1613" s="92">
        <f t="array" ref="G1613">IF(B1613="insumo",_xlfn.XLOOKUP($D1613,Insumos!$B$1:$B$996,Insumos!$D$1:$D$996),"")</f>
        <v>0.2</v>
      </c>
      <c r="H1613" s="92">
        <v>0.10882</v>
      </c>
      <c r="I1613" s="13">
        <v>0</v>
      </c>
      <c r="J1613" s="13">
        <v>0</v>
      </c>
      <c r="K1613" s="13"/>
      <c r="L1613"/>
      <c r="M1613"/>
      <c r="N1613"/>
      <c r="O1613"/>
      <c r="P1613"/>
      <c r="Q1613"/>
      <c r="R1613"/>
      <c r="S1613"/>
      <c r="T1613"/>
      <c r="U1613"/>
      <c r="V1613"/>
      <c r="W1613"/>
      <c r="X1613"/>
      <c r="Y1613"/>
      <c r="Z1613"/>
      <c r="AA1613"/>
      <c r="AB1613"/>
      <c r="AC1613"/>
      <c r="AD1613"/>
      <c r="AE1613"/>
      <c r="AF1613"/>
      <c r="AG1613"/>
      <c r="AH1613"/>
      <c r="AI1613"/>
      <c r="AJ1613"/>
      <c r="AK1613"/>
      <c r="AL1613"/>
    </row>
    <row r="1614" spans="1:38" ht="15.75" customHeight="1" outlineLevel="2" x14ac:dyDescent="0.2">
      <c r="A1614" s="1067">
        <v>1</v>
      </c>
      <c r="B1614" s="1067" t="s">
        <v>68</v>
      </c>
      <c r="C1614" s="1067" t="s">
        <v>1365</v>
      </c>
      <c r="D1614" s="1067" t="s">
        <v>1365</v>
      </c>
      <c r="E1614" s="1068" t="s">
        <v>70</v>
      </c>
      <c r="F1614" s="1067"/>
      <c r="G1614" s="1069" t="str">
        <f t="array" ref="G1614">IF(B1614="insumo",_xlfn.XLOOKUP($D1614,Insumos!$B$1:$B$996,Insumos!$D$1:$D$996),"")</f>
        <v/>
      </c>
      <c r="H1614" s="1069">
        <v>174.38571116666699</v>
      </c>
      <c r="I1614" s="1070">
        <v>0</v>
      </c>
      <c r="J1614" s="1070">
        <v>0</v>
      </c>
      <c r="K1614" s="1070"/>
      <c r="L1614"/>
      <c r="M1614"/>
      <c r="N1614"/>
      <c r="O1614"/>
      <c r="P1614"/>
      <c r="Q1614"/>
      <c r="R1614"/>
      <c r="S1614"/>
      <c r="T1614"/>
      <c r="U1614"/>
      <c r="V1614"/>
      <c r="W1614"/>
      <c r="X1614"/>
      <c r="Y1614"/>
      <c r="Z1614"/>
      <c r="AA1614"/>
      <c r="AB1614"/>
      <c r="AC1614"/>
      <c r="AD1614"/>
      <c r="AE1614"/>
      <c r="AF1614"/>
      <c r="AG1614"/>
      <c r="AH1614"/>
      <c r="AI1614"/>
      <c r="AJ1614"/>
      <c r="AK1614"/>
      <c r="AL1614"/>
    </row>
    <row r="1615" spans="1:38" ht="15.75" customHeight="1" outlineLevel="3" x14ac:dyDescent="0.2">
      <c r="A1615" s="10">
        <v>86</v>
      </c>
      <c r="B1615" s="10" t="s">
        <v>71</v>
      </c>
      <c r="C1615" s="10" t="s">
        <v>1365</v>
      </c>
      <c r="D1615" s="10" t="s">
        <v>407</v>
      </c>
      <c r="E1615" s="11" t="str">
        <f t="array" ref="E1615">_xlfn.XLOOKUP(D1615,Insumos!B:B,Insumos!C:$C)</f>
        <v>M2</v>
      </c>
      <c r="F1615" s="14">
        <v>1</v>
      </c>
      <c r="G1615" s="92">
        <f t="array" ref="G1615">IF(B1615="insumo",_xlfn.XLOOKUP($D1615,Insumos!$B$1:$B$996,Insumos!$D$1:$D$996),"")</f>
        <v>70</v>
      </c>
      <c r="H1615" s="92">
        <v>70</v>
      </c>
      <c r="I1615" s="13">
        <v>0</v>
      </c>
      <c r="J1615" s="13">
        <v>0</v>
      </c>
      <c r="K1615" s="13"/>
      <c r="L1615"/>
      <c r="M1615"/>
      <c r="N1615"/>
      <c r="O1615"/>
      <c r="P1615"/>
      <c r="Q1615"/>
      <c r="R1615"/>
      <c r="S1615"/>
      <c r="T1615"/>
      <c r="U1615"/>
      <c r="V1615"/>
      <c r="W1615"/>
      <c r="X1615"/>
      <c r="Y1615"/>
      <c r="Z1615"/>
      <c r="AA1615"/>
      <c r="AB1615"/>
      <c r="AC1615"/>
      <c r="AD1615"/>
      <c r="AE1615"/>
      <c r="AF1615"/>
      <c r="AG1615"/>
      <c r="AH1615"/>
      <c r="AI1615"/>
      <c r="AJ1615"/>
      <c r="AK1615"/>
      <c r="AL1615"/>
    </row>
    <row r="1616" spans="1:38" ht="15.75" customHeight="1" outlineLevel="3" x14ac:dyDescent="0.2">
      <c r="A1616" s="10">
        <v>47</v>
      </c>
      <c r="B1616" s="10" t="s">
        <v>71</v>
      </c>
      <c r="C1616" s="10" t="s">
        <v>1365</v>
      </c>
      <c r="D1616" s="10" t="s">
        <v>408</v>
      </c>
      <c r="E1616" s="11" t="str">
        <f t="array" ref="E1616">_xlfn.XLOOKUP(D1616,Insumos!B:B,Insumos!C:$C)</f>
        <v>M2</v>
      </c>
      <c r="F1616" s="14">
        <v>1.1060000000000001</v>
      </c>
      <c r="G1616" s="92">
        <f t="array" ref="G1616">IF(B1616="insumo",_xlfn.XLOOKUP($D1616,Insumos!$B$1:$B$996,Insumos!$D$1:$D$996),"")</f>
        <v>20.16</v>
      </c>
      <c r="H1616" s="92">
        <v>22.296959999999999</v>
      </c>
      <c r="I1616" s="13">
        <v>0</v>
      </c>
      <c r="J1616" s="13">
        <v>0</v>
      </c>
      <c r="K1616" s="13"/>
      <c r="L1616"/>
      <c r="M1616"/>
      <c r="N1616"/>
      <c r="O1616"/>
      <c r="P1616"/>
      <c r="Q1616"/>
      <c r="R1616"/>
      <c r="S1616"/>
      <c r="T1616"/>
      <c r="U1616"/>
      <c r="V1616"/>
      <c r="W1616"/>
      <c r="X1616"/>
      <c r="Y1616"/>
      <c r="Z1616"/>
      <c r="AA1616"/>
      <c r="AB1616"/>
      <c r="AC1616"/>
      <c r="AD1616"/>
      <c r="AE1616"/>
      <c r="AF1616"/>
      <c r="AG1616"/>
      <c r="AH1616"/>
      <c r="AI1616"/>
      <c r="AJ1616"/>
      <c r="AK1616"/>
      <c r="AL1616"/>
    </row>
    <row r="1617" spans="1:38" ht="15.75" customHeight="1" outlineLevel="3" x14ac:dyDescent="0.2">
      <c r="A1617" s="10">
        <v>95</v>
      </c>
      <c r="B1617" s="10" t="s">
        <v>71</v>
      </c>
      <c r="C1617" s="10" t="s">
        <v>1365</v>
      </c>
      <c r="D1617" s="10" t="s">
        <v>409</v>
      </c>
      <c r="E1617" s="11" t="str">
        <f t="array" ref="E1617">_xlfn.XLOOKUP(D1617,Insumos!B:B,Insumos!C:$C)</f>
        <v>UN</v>
      </c>
      <c r="F1617" s="14">
        <v>5.92</v>
      </c>
      <c r="G1617" s="92">
        <f t="array" ref="G1617">IF(B1617="insumo",_xlfn.XLOOKUP($D1617,Insumos!$B$1:$B$996,Insumos!$D$1:$D$996),"")</f>
        <v>0.504</v>
      </c>
      <c r="H1617" s="92">
        <v>2.9836800000000001</v>
      </c>
      <c r="I1617" s="13">
        <v>0</v>
      </c>
      <c r="J1617" s="13">
        <v>0</v>
      </c>
      <c r="K1617" s="13"/>
      <c r="L1617"/>
      <c r="M1617"/>
      <c r="N1617"/>
      <c r="O1617"/>
      <c r="P1617"/>
      <c r="Q1617"/>
      <c r="R1617"/>
      <c r="S1617"/>
      <c r="T1617"/>
      <c r="U1617"/>
      <c r="V1617"/>
      <c r="W1617"/>
      <c r="X1617"/>
      <c r="Y1617"/>
      <c r="Z1617"/>
      <c r="AA1617"/>
      <c r="AB1617"/>
      <c r="AC1617"/>
      <c r="AD1617"/>
      <c r="AE1617"/>
      <c r="AF1617"/>
      <c r="AG1617"/>
      <c r="AH1617"/>
      <c r="AI1617"/>
      <c r="AJ1617"/>
      <c r="AK1617"/>
      <c r="AL1617"/>
    </row>
    <row r="1618" spans="1:38" ht="15.75" customHeight="1" outlineLevel="3" x14ac:dyDescent="0.2">
      <c r="A1618" s="10">
        <v>26</v>
      </c>
      <c r="B1618" s="10" t="s">
        <v>71</v>
      </c>
      <c r="C1618" s="10" t="s">
        <v>1365</v>
      </c>
      <c r="D1618" s="10" t="s">
        <v>410</v>
      </c>
      <c r="E1618" s="11" t="str">
        <f t="array" ref="E1618">_xlfn.XLOOKUP(D1618,Insumos!B:B,Insumos!C:$C)</f>
        <v>M</v>
      </c>
      <c r="F1618" s="14">
        <v>1.8233999999999999</v>
      </c>
      <c r="G1618" s="92">
        <f t="array" ref="G1618">IF(B1618="insumo",_xlfn.XLOOKUP($D1618,Insumos!$B$1:$B$996,Insumos!$D$1:$D$996),"")</f>
        <v>7.03</v>
      </c>
      <c r="H1618" s="92">
        <v>12.818502000000001</v>
      </c>
      <c r="I1618" s="13">
        <v>0</v>
      </c>
      <c r="J1618" s="13">
        <v>0</v>
      </c>
      <c r="K1618" s="13"/>
      <c r="L1618"/>
      <c r="M1618"/>
      <c r="N1618"/>
      <c r="O1618"/>
      <c r="P1618"/>
      <c r="Q1618"/>
      <c r="R1618"/>
      <c r="S1618"/>
      <c r="T1618"/>
      <c r="U1618"/>
      <c r="V1618"/>
      <c r="W1618"/>
      <c r="X1618"/>
      <c r="Y1618"/>
      <c r="Z1618"/>
      <c r="AA1618"/>
      <c r="AB1618"/>
      <c r="AC1618"/>
      <c r="AD1618"/>
      <c r="AE1618"/>
      <c r="AF1618"/>
      <c r="AG1618"/>
      <c r="AH1618"/>
      <c r="AI1618"/>
      <c r="AJ1618"/>
      <c r="AK1618"/>
      <c r="AL1618"/>
    </row>
    <row r="1619" spans="1:38" ht="15.75" customHeight="1" outlineLevel="3" x14ac:dyDescent="0.2">
      <c r="A1619" s="10">
        <v>26</v>
      </c>
      <c r="B1619" s="10" t="s">
        <v>71</v>
      </c>
      <c r="C1619" s="10" t="s">
        <v>1365</v>
      </c>
      <c r="D1619" s="10" t="s">
        <v>411</v>
      </c>
      <c r="E1619" s="11" t="str">
        <f t="array" ref="E1619">_xlfn.XLOOKUP(D1619,Insumos!B:B,Insumos!C:$C)</f>
        <v>M</v>
      </c>
      <c r="F1619" s="14">
        <v>5.8277999999999999</v>
      </c>
      <c r="G1619" s="92">
        <f t="array" ref="G1619">IF(B1619="insumo",_xlfn.XLOOKUP($D1619,Insumos!$B$1:$B$996,Insumos!$D$1:$D$996),"")</f>
        <v>7.98</v>
      </c>
      <c r="H1619" s="92">
        <v>46.505844000000003</v>
      </c>
      <c r="I1619" s="13">
        <v>0</v>
      </c>
      <c r="J1619" s="13">
        <v>0</v>
      </c>
      <c r="K1619" s="13"/>
      <c r="L1619"/>
      <c r="M1619"/>
      <c r="N1619"/>
      <c r="O1619"/>
      <c r="P1619"/>
      <c r="Q1619"/>
      <c r="R1619"/>
      <c r="S1619"/>
      <c r="T1619"/>
      <c r="U1619"/>
      <c r="V1619"/>
      <c r="W1619"/>
      <c r="X1619"/>
      <c r="Y1619"/>
      <c r="Z1619"/>
      <c r="AA1619"/>
      <c r="AB1619"/>
      <c r="AC1619"/>
      <c r="AD1619"/>
      <c r="AE1619"/>
      <c r="AF1619"/>
      <c r="AG1619"/>
      <c r="AH1619"/>
      <c r="AI1619"/>
      <c r="AJ1619"/>
      <c r="AK1619"/>
      <c r="AL1619"/>
    </row>
    <row r="1620" spans="1:38" ht="15.75" customHeight="1" outlineLevel="3" x14ac:dyDescent="0.2">
      <c r="A1620" s="10">
        <v>95</v>
      </c>
      <c r="B1620" s="10" t="s">
        <v>71</v>
      </c>
      <c r="C1620" s="10" t="s">
        <v>1365</v>
      </c>
      <c r="D1620" s="10" t="s">
        <v>405</v>
      </c>
      <c r="E1620" s="11" t="str">
        <f t="array" ref="E1620">_xlfn.XLOOKUP(D1620,Insumos!B:B,Insumos!C:$C)</f>
        <v>KG</v>
      </c>
      <c r="F1620" s="14">
        <f>1.0978/2</f>
        <v>0.54890000000000005</v>
      </c>
      <c r="G1620" s="92">
        <f t="array" ref="G1620">IF(B1620="insumo",_xlfn.XLOOKUP($D1620,Insumos!$B$1:$B$996,Insumos!$D$1:$D$996),"")</f>
        <v>3.43</v>
      </c>
      <c r="H1620" s="92">
        <v>1.882727</v>
      </c>
      <c r="I1620" s="13">
        <v>0</v>
      </c>
      <c r="J1620" s="13">
        <v>0</v>
      </c>
      <c r="K1620" s="13"/>
      <c r="L1620"/>
      <c r="M1620"/>
      <c r="N1620"/>
      <c r="O1620"/>
      <c r="P1620"/>
      <c r="Q1620"/>
      <c r="R1620"/>
      <c r="S1620"/>
      <c r="T1620"/>
      <c r="U1620"/>
      <c r="V1620"/>
      <c r="W1620"/>
      <c r="X1620"/>
      <c r="Y1620"/>
      <c r="Z1620"/>
      <c r="AA1620"/>
      <c r="AB1620"/>
      <c r="AC1620"/>
      <c r="AD1620"/>
      <c r="AE1620"/>
      <c r="AF1620"/>
      <c r="AG1620"/>
      <c r="AH1620"/>
      <c r="AI1620"/>
      <c r="AJ1620"/>
      <c r="AK1620"/>
      <c r="AL1620"/>
    </row>
    <row r="1621" spans="1:38" ht="15.75" customHeight="1" outlineLevel="3" x14ac:dyDescent="0.2">
      <c r="A1621" s="10">
        <v>94</v>
      </c>
      <c r="B1621" s="10" t="s">
        <v>71</v>
      </c>
      <c r="C1621" s="10" t="s">
        <v>1365</v>
      </c>
      <c r="D1621" s="10" t="s">
        <v>412</v>
      </c>
      <c r="E1621" s="11" t="str">
        <f t="array" ref="E1621">_xlfn.XLOOKUP(D1621,Insumos!B:B,Insumos!C:$C)</f>
        <v>M</v>
      </c>
      <c r="F1621" s="14">
        <f>2.5027/2</f>
        <v>1.25135</v>
      </c>
      <c r="G1621" s="92">
        <f t="array" ref="G1621">IF(B1621="insumo",_xlfn.XLOOKUP($D1621,Insumos!$B$1:$B$996,Insumos!$D$1:$D$996),"")</f>
        <v>0.31</v>
      </c>
      <c r="H1621" s="92">
        <v>0.3879185</v>
      </c>
      <c r="I1621" s="13">
        <v>0</v>
      </c>
      <c r="J1621" s="13">
        <v>0</v>
      </c>
      <c r="K1621" s="13"/>
      <c r="L1621"/>
      <c r="M1621"/>
      <c r="N1621"/>
      <c r="O1621"/>
      <c r="P1621"/>
      <c r="Q1621"/>
      <c r="R1621"/>
      <c r="S1621"/>
      <c r="T1621"/>
      <c r="U1621"/>
      <c r="V1621"/>
      <c r="W1621"/>
      <c r="X1621"/>
      <c r="Y1621"/>
      <c r="Z1621"/>
      <c r="AA1621"/>
      <c r="AB1621"/>
      <c r="AC1621"/>
      <c r="AD1621"/>
      <c r="AE1621"/>
      <c r="AF1621"/>
      <c r="AG1621"/>
      <c r="AH1621"/>
      <c r="AI1621"/>
      <c r="AJ1621"/>
      <c r="AK1621"/>
      <c r="AL1621"/>
    </row>
    <row r="1622" spans="1:38" ht="15.75" customHeight="1" outlineLevel="3" x14ac:dyDescent="0.2">
      <c r="A1622" s="10">
        <v>94</v>
      </c>
      <c r="B1622" s="10" t="s">
        <v>71</v>
      </c>
      <c r="C1622" s="10" t="s">
        <v>1365</v>
      </c>
      <c r="D1622" s="10" t="s">
        <v>413</v>
      </c>
      <c r="E1622" s="11" t="str">
        <f t="array" ref="E1622">_xlfn.XLOOKUP(D1622,Insumos!B:B,Insumos!C:$C)</f>
        <v>M</v>
      </c>
      <c r="F1622" s="14">
        <f>1.5851/2</f>
        <v>0.79254999999999998</v>
      </c>
      <c r="G1622" s="92">
        <f t="array" ref="G1622">IF(B1622="insumo",_xlfn.XLOOKUP($D1622,Insumos!$B$1:$B$996,Insumos!$D$1:$D$996),"")</f>
        <v>2.74</v>
      </c>
      <c r="H1622" s="92">
        <v>2.1715870000000002</v>
      </c>
      <c r="I1622" s="13">
        <v>0</v>
      </c>
      <c r="J1622" s="13">
        <v>0</v>
      </c>
      <c r="K1622" s="13"/>
      <c r="L1622"/>
      <c r="M1622"/>
      <c r="N1622"/>
      <c r="O1622"/>
      <c r="P1622"/>
      <c r="Q1622"/>
      <c r="R1622"/>
      <c r="S1622"/>
      <c r="T1622"/>
      <c r="U1622"/>
      <c r="V1622"/>
      <c r="W1622"/>
      <c r="X1622"/>
      <c r="Y1622"/>
      <c r="Z1622"/>
      <c r="AA1622"/>
      <c r="AB1622"/>
      <c r="AC1622"/>
      <c r="AD1622"/>
      <c r="AE1622"/>
      <c r="AF1622"/>
      <c r="AG1622"/>
      <c r="AH1622"/>
      <c r="AI1622"/>
      <c r="AJ1622"/>
      <c r="AK1622"/>
      <c r="AL1622"/>
    </row>
    <row r="1623" spans="1:38" ht="15.75" customHeight="1" outlineLevel="3" x14ac:dyDescent="0.2">
      <c r="A1623" s="10">
        <v>97</v>
      </c>
      <c r="B1623" s="10" t="s">
        <v>71</v>
      </c>
      <c r="C1623" s="10" t="s">
        <v>1365</v>
      </c>
      <c r="D1623" s="10" t="s">
        <v>414</v>
      </c>
      <c r="E1623" s="11" t="str">
        <f t="array" ref="E1623">_xlfn.XLOOKUP(D1623,Insumos!B:B,Insumos!C:$C)</f>
        <v>UN</v>
      </c>
      <c r="F1623" s="14">
        <f>20.1868/2</f>
        <v>10.093400000000001</v>
      </c>
      <c r="G1623" s="92">
        <f t="array" ref="G1623">IF(B1623="insumo",_xlfn.XLOOKUP($D1623,Insumos!$B$1:$B$996,Insumos!$D$1:$D$996),"")</f>
        <v>0.09</v>
      </c>
      <c r="H1623" s="92">
        <v>0.90840600000000005</v>
      </c>
      <c r="I1623" s="13">
        <v>0</v>
      </c>
      <c r="J1623" s="13">
        <v>0</v>
      </c>
      <c r="K1623" s="13"/>
      <c r="L1623"/>
      <c r="M1623"/>
      <c r="N1623"/>
      <c r="O1623"/>
      <c r="P1623"/>
      <c r="Q1623"/>
      <c r="R1623"/>
      <c r="S1623"/>
      <c r="T1623"/>
      <c r="U1623"/>
      <c r="V1623"/>
      <c r="W1623"/>
      <c r="X1623"/>
      <c r="Y1623"/>
      <c r="Z1623"/>
      <c r="AA1623"/>
      <c r="AB1623"/>
      <c r="AC1623"/>
      <c r="AD1623"/>
      <c r="AE1623"/>
      <c r="AF1623"/>
      <c r="AG1623"/>
      <c r="AH1623"/>
      <c r="AI1623"/>
      <c r="AJ1623"/>
      <c r="AK1623"/>
      <c r="AL1623"/>
    </row>
    <row r="1624" spans="1:38" ht="15.75" customHeight="1" outlineLevel="3" x14ac:dyDescent="0.2">
      <c r="A1624" s="10">
        <v>95</v>
      </c>
      <c r="B1624" s="10" t="s">
        <v>71</v>
      </c>
      <c r="C1624" s="10" t="s">
        <v>1365</v>
      </c>
      <c r="D1624" s="10" t="s">
        <v>415</v>
      </c>
      <c r="E1624" s="11" t="str">
        <f t="array" ref="E1624">_xlfn.XLOOKUP(D1624,Insumos!B:B,Insumos!C:$C)</f>
        <v>UN</v>
      </c>
      <c r="F1624" s="14">
        <v>0.54410000000000003</v>
      </c>
      <c r="G1624" s="92">
        <f t="array" ref="G1624">IF(B1624="insumo",_xlfn.XLOOKUP($D1624,Insumos!$B$1:$B$996,Insumos!$D$1:$D$996),"")</f>
        <v>0.2</v>
      </c>
      <c r="H1624" s="92">
        <v>0.10882</v>
      </c>
      <c r="I1624" s="13">
        <v>0</v>
      </c>
      <c r="J1624" s="13">
        <v>0</v>
      </c>
      <c r="K1624" s="13"/>
      <c r="L1624"/>
      <c r="M1624"/>
      <c r="N1624"/>
      <c r="O1624"/>
      <c r="P1624"/>
      <c r="Q1624"/>
      <c r="R1624"/>
      <c r="S1624"/>
      <c r="T1624"/>
      <c r="U1624"/>
      <c r="V1624"/>
      <c r="W1624"/>
      <c r="X1624"/>
      <c r="Y1624"/>
      <c r="Z1624"/>
      <c r="AA1624"/>
      <c r="AB1624"/>
      <c r="AC1624"/>
      <c r="AD1624"/>
      <c r="AE1624"/>
      <c r="AF1624"/>
      <c r="AG1624"/>
      <c r="AH1624"/>
      <c r="AI1624"/>
      <c r="AJ1624"/>
      <c r="AK1624"/>
      <c r="AL1624"/>
    </row>
    <row r="1625" spans="1:38" ht="15.75" customHeight="1" outlineLevel="3" x14ac:dyDescent="0.2">
      <c r="A1625" s="10">
        <v>35</v>
      </c>
      <c r="B1625" s="10" t="s">
        <v>71</v>
      </c>
      <c r="C1625" s="10" t="s">
        <v>1365</v>
      </c>
      <c r="D1625" s="10" t="s">
        <v>1595</v>
      </c>
      <c r="E1625" s="11" t="str">
        <f t="array" ref="E1625">_xlfn.XLOOKUP(D1625,Insumos!B:B,Insumos!C:$C)</f>
        <v>M2</v>
      </c>
      <c r="F1625" s="14">
        <v>1.1000000000000001</v>
      </c>
      <c r="G1625" s="92">
        <f t="array" ref="G1625">IF(B1625="insumo",_xlfn.XLOOKUP($D1625,Insumos!$B$1:$B$996,Insumos!$D$1:$D$996),"")</f>
        <v>13.019333333333332</v>
      </c>
      <c r="H1625" s="92">
        <v>14.3212666666667</v>
      </c>
      <c r="I1625" s="13">
        <v>0</v>
      </c>
      <c r="J1625" s="13">
        <v>0</v>
      </c>
      <c r="K1625" s="13"/>
      <c r="L1625"/>
      <c r="M1625"/>
      <c r="N1625"/>
      <c r="O1625"/>
      <c r="P1625"/>
      <c r="Q1625"/>
      <c r="R1625"/>
      <c r="S1625"/>
      <c r="T1625"/>
      <c r="U1625"/>
      <c r="V1625"/>
      <c r="W1625"/>
      <c r="X1625"/>
      <c r="Y1625"/>
      <c r="Z1625"/>
      <c r="AA1625"/>
      <c r="AB1625"/>
      <c r="AC1625"/>
      <c r="AD1625"/>
      <c r="AE1625"/>
      <c r="AF1625"/>
      <c r="AG1625"/>
      <c r="AH1625"/>
      <c r="AI1625"/>
      <c r="AJ1625"/>
      <c r="AK1625"/>
      <c r="AL1625"/>
    </row>
    <row r="1626" spans="1:38" ht="15.75" customHeight="1" outlineLevel="2" x14ac:dyDescent="0.2">
      <c r="A1626" s="1067">
        <v>1</v>
      </c>
      <c r="B1626" s="1067" t="s">
        <v>68</v>
      </c>
      <c r="C1626" s="1067" t="s">
        <v>1369</v>
      </c>
      <c r="D1626" s="1067" t="s">
        <v>1369</v>
      </c>
      <c r="E1626" s="1068" t="s">
        <v>70</v>
      </c>
      <c r="F1626" s="1067"/>
      <c r="G1626" s="1069" t="str">
        <f t="array" ref="G1626">IF(B1626="insumo",_xlfn.XLOOKUP($D1626,Insumos!$B$1:$B$996,Insumos!$D$1:$D$996),"")</f>
        <v/>
      </c>
      <c r="H1626" s="1069">
        <v>182.06135116666701</v>
      </c>
      <c r="I1626" s="1070">
        <v>0</v>
      </c>
      <c r="J1626" s="1070">
        <v>0</v>
      </c>
      <c r="K1626" s="1070"/>
      <c r="L1626"/>
      <c r="M1626"/>
      <c r="N1626"/>
      <c r="O1626"/>
      <c r="P1626"/>
      <c r="Q1626"/>
      <c r="R1626"/>
      <c r="S1626"/>
      <c r="T1626"/>
      <c r="U1626"/>
      <c r="V1626"/>
      <c r="W1626"/>
      <c r="X1626"/>
      <c r="Y1626"/>
      <c r="Z1626"/>
      <c r="AA1626"/>
      <c r="AB1626"/>
      <c r="AC1626"/>
      <c r="AD1626"/>
      <c r="AE1626"/>
      <c r="AF1626"/>
      <c r="AG1626"/>
      <c r="AH1626"/>
      <c r="AI1626"/>
      <c r="AJ1626"/>
      <c r="AK1626"/>
      <c r="AL1626"/>
    </row>
    <row r="1627" spans="1:38" ht="15.75" customHeight="1" outlineLevel="3" x14ac:dyDescent="0.2">
      <c r="A1627" s="10">
        <v>86</v>
      </c>
      <c r="B1627" s="10" t="s">
        <v>71</v>
      </c>
      <c r="C1627" s="10" t="s">
        <v>1369</v>
      </c>
      <c r="D1627" s="10" t="s">
        <v>407</v>
      </c>
      <c r="E1627" s="11" t="str">
        <f t="array" ref="E1627">_xlfn.XLOOKUP(D1627,Insumos!B:B,Insumos!C:$C)</f>
        <v>M2</v>
      </c>
      <c r="F1627" s="14">
        <v>1</v>
      </c>
      <c r="G1627" s="92">
        <f t="array" ref="G1627">IF(B1627="insumo",_xlfn.XLOOKUP($D1627,Insumos!$B$1:$B$996,Insumos!$D$1:$D$996),"")</f>
        <v>70</v>
      </c>
      <c r="H1627" s="92">
        <v>70</v>
      </c>
      <c r="I1627" s="13">
        <v>0</v>
      </c>
      <c r="J1627" s="13">
        <v>0</v>
      </c>
      <c r="K1627" s="13"/>
      <c r="L1627"/>
      <c r="M1627"/>
      <c r="N1627"/>
      <c r="O1627"/>
      <c r="P1627"/>
      <c r="Q1627"/>
      <c r="R1627"/>
      <c r="S1627"/>
      <c r="T1627"/>
      <c r="U1627"/>
      <c r="V1627"/>
      <c r="W1627"/>
      <c r="X1627"/>
      <c r="Y1627"/>
      <c r="Z1627"/>
      <c r="AA1627"/>
      <c r="AB1627"/>
      <c r="AC1627"/>
      <c r="AD1627"/>
      <c r="AE1627"/>
      <c r="AF1627"/>
      <c r="AG1627"/>
      <c r="AH1627"/>
      <c r="AI1627"/>
      <c r="AJ1627"/>
      <c r="AK1627"/>
      <c r="AL1627"/>
    </row>
    <row r="1628" spans="1:38" ht="15.75" customHeight="1" outlineLevel="3" x14ac:dyDescent="0.2">
      <c r="A1628" s="10">
        <v>49</v>
      </c>
      <c r="B1628" s="10" t="s">
        <v>71</v>
      </c>
      <c r="C1628" s="10" t="s">
        <v>1369</v>
      </c>
      <c r="D1628" s="10" t="s">
        <v>418</v>
      </c>
      <c r="E1628" s="11" t="str">
        <f t="array" ref="E1628">_xlfn.XLOOKUP(D1628,Insumos!B:B,Insumos!C:$C)</f>
        <v>M2</v>
      </c>
      <c r="F1628" s="14">
        <v>1.1060000000000001</v>
      </c>
      <c r="G1628" s="92">
        <f t="array" ref="G1628">IF(B1628="insumo",_xlfn.XLOOKUP($D1628,Insumos!$B$1:$B$996,Insumos!$D$1:$D$996),"")</f>
        <v>27.1</v>
      </c>
      <c r="H1628" s="92">
        <v>29.9726</v>
      </c>
      <c r="I1628" s="13">
        <v>0</v>
      </c>
      <c r="J1628" s="13">
        <v>0</v>
      </c>
      <c r="K1628" s="13"/>
      <c r="L1628"/>
      <c r="M1628"/>
      <c r="N1628"/>
      <c r="O1628"/>
      <c r="P1628"/>
      <c r="Q1628"/>
      <c r="R1628"/>
      <c r="S1628"/>
      <c r="T1628"/>
      <c r="U1628"/>
      <c r="V1628"/>
      <c r="W1628"/>
      <c r="X1628"/>
      <c r="Y1628"/>
      <c r="Z1628"/>
      <c r="AA1628"/>
      <c r="AB1628"/>
      <c r="AC1628"/>
      <c r="AD1628"/>
      <c r="AE1628"/>
      <c r="AF1628"/>
      <c r="AG1628"/>
      <c r="AH1628"/>
      <c r="AI1628"/>
      <c r="AJ1628"/>
      <c r="AK1628"/>
      <c r="AL1628"/>
    </row>
    <row r="1629" spans="1:38" ht="15.75" customHeight="1" outlineLevel="3" x14ac:dyDescent="0.2">
      <c r="A1629" s="10">
        <v>95</v>
      </c>
      <c r="B1629" s="10" t="s">
        <v>71</v>
      </c>
      <c r="C1629" s="10" t="s">
        <v>1369</v>
      </c>
      <c r="D1629" s="10" t="s">
        <v>409</v>
      </c>
      <c r="E1629" s="11" t="str">
        <f t="array" ref="E1629">_xlfn.XLOOKUP(D1629,Insumos!B:B,Insumos!C:$C)</f>
        <v>UN</v>
      </c>
      <c r="F1629" s="14">
        <v>5.92</v>
      </c>
      <c r="G1629" s="92">
        <f t="array" ref="G1629">IF(B1629="insumo",_xlfn.XLOOKUP($D1629,Insumos!$B$1:$B$996,Insumos!$D$1:$D$996),"")</f>
        <v>0.504</v>
      </c>
      <c r="H1629" s="92">
        <v>2.9836800000000001</v>
      </c>
      <c r="I1629" s="13">
        <v>0</v>
      </c>
      <c r="J1629" s="13">
        <v>0</v>
      </c>
      <c r="K1629" s="13"/>
      <c r="L1629"/>
      <c r="M1629"/>
      <c r="N1629"/>
      <c r="O1629"/>
      <c r="P1629"/>
      <c r="Q1629"/>
      <c r="R1629"/>
      <c r="S1629"/>
      <c r="T1629"/>
      <c r="U1629"/>
      <c r="V1629"/>
      <c r="W1629"/>
      <c r="X1629"/>
      <c r="Y1629"/>
      <c r="Z1629"/>
      <c r="AA1629"/>
      <c r="AB1629"/>
      <c r="AC1629"/>
      <c r="AD1629"/>
      <c r="AE1629"/>
      <c r="AF1629"/>
      <c r="AG1629"/>
      <c r="AH1629"/>
      <c r="AI1629"/>
      <c r="AJ1629"/>
      <c r="AK1629"/>
      <c r="AL1629"/>
    </row>
    <row r="1630" spans="1:38" ht="15.75" customHeight="1" outlineLevel="3" x14ac:dyDescent="0.2">
      <c r="A1630" s="10">
        <v>26</v>
      </c>
      <c r="B1630" s="10" t="s">
        <v>71</v>
      </c>
      <c r="C1630" s="10" t="s">
        <v>1369</v>
      </c>
      <c r="D1630" s="10" t="s">
        <v>410</v>
      </c>
      <c r="E1630" s="11" t="str">
        <f t="array" ref="E1630">_xlfn.XLOOKUP(D1630,Insumos!B:B,Insumos!C:$C)</f>
        <v>M</v>
      </c>
      <c r="F1630" s="14">
        <v>1.8233999999999999</v>
      </c>
      <c r="G1630" s="92">
        <f t="array" ref="G1630">IF(B1630="insumo",_xlfn.XLOOKUP($D1630,Insumos!$B$1:$B$996,Insumos!$D$1:$D$996),"")</f>
        <v>7.03</v>
      </c>
      <c r="H1630" s="92">
        <v>12.818502000000001</v>
      </c>
      <c r="I1630" s="13">
        <v>0</v>
      </c>
      <c r="J1630" s="13">
        <v>0</v>
      </c>
      <c r="K1630" s="13"/>
      <c r="L1630"/>
      <c r="M1630"/>
      <c r="N1630"/>
      <c r="O1630"/>
      <c r="P1630"/>
      <c r="Q1630"/>
      <c r="R1630"/>
      <c r="S1630"/>
      <c r="T1630"/>
      <c r="U1630"/>
      <c r="V1630"/>
      <c r="W1630"/>
      <c r="X1630"/>
      <c r="Y1630"/>
      <c r="Z1630"/>
      <c r="AA1630"/>
      <c r="AB1630"/>
      <c r="AC1630"/>
      <c r="AD1630"/>
      <c r="AE1630"/>
      <c r="AF1630"/>
      <c r="AG1630"/>
      <c r="AH1630"/>
      <c r="AI1630"/>
      <c r="AJ1630"/>
      <c r="AK1630"/>
      <c r="AL1630"/>
    </row>
    <row r="1631" spans="1:38" ht="15.75" customHeight="1" outlineLevel="3" x14ac:dyDescent="0.2">
      <c r="A1631" s="10">
        <v>26</v>
      </c>
      <c r="B1631" s="10" t="s">
        <v>71</v>
      </c>
      <c r="C1631" s="10" t="s">
        <v>1369</v>
      </c>
      <c r="D1631" s="10" t="s">
        <v>411</v>
      </c>
      <c r="E1631" s="11" t="str">
        <f t="array" ref="E1631">_xlfn.XLOOKUP(D1631,Insumos!B:B,Insumos!C:$C)</f>
        <v>M</v>
      </c>
      <c r="F1631" s="14">
        <v>5.8277999999999999</v>
      </c>
      <c r="G1631" s="92">
        <f t="array" ref="G1631">IF(B1631="insumo",_xlfn.XLOOKUP($D1631,Insumos!$B$1:$B$996,Insumos!$D$1:$D$996),"")</f>
        <v>7.98</v>
      </c>
      <c r="H1631" s="92">
        <v>46.505844000000003</v>
      </c>
      <c r="I1631" s="13">
        <v>0</v>
      </c>
      <c r="J1631" s="13">
        <v>0</v>
      </c>
      <c r="K1631" s="13"/>
      <c r="L1631"/>
      <c r="M1631"/>
      <c r="N1631"/>
      <c r="O1631"/>
      <c r="P1631"/>
      <c r="Q1631"/>
      <c r="R1631"/>
      <c r="S1631"/>
      <c r="T1631"/>
      <c r="U1631"/>
      <c r="V1631"/>
      <c r="W1631"/>
      <c r="X1631"/>
      <c r="Y1631"/>
      <c r="Z1631"/>
      <c r="AA1631"/>
      <c r="AB1631"/>
      <c r="AC1631"/>
      <c r="AD1631"/>
      <c r="AE1631"/>
      <c r="AF1631"/>
      <c r="AG1631"/>
      <c r="AH1631"/>
      <c r="AI1631"/>
      <c r="AJ1631"/>
      <c r="AK1631"/>
      <c r="AL1631"/>
    </row>
    <row r="1632" spans="1:38" ht="15.75" customHeight="1" outlineLevel="3" x14ac:dyDescent="0.2">
      <c r="A1632" s="10">
        <v>95</v>
      </c>
      <c r="B1632" s="10" t="s">
        <v>71</v>
      </c>
      <c r="C1632" s="10" t="s">
        <v>1369</v>
      </c>
      <c r="D1632" s="10" t="s">
        <v>405</v>
      </c>
      <c r="E1632" s="11" t="str">
        <f t="array" ref="E1632">_xlfn.XLOOKUP(D1632,Insumos!B:B,Insumos!C:$C)</f>
        <v>KG</v>
      </c>
      <c r="F1632" s="14">
        <f>1.0978/2</f>
        <v>0.54890000000000005</v>
      </c>
      <c r="G1632" s="92">
        <f t="array" ref="G1632">IF(B1632="insumo",_xlfn.XLOOKUP($D1632,Insumos!$B$1:$B$996,Insumos!$D$1:$D$996),"")</f>
        <v>3.43</v>
      </c>
      <c r="H1632" s="92">
        <v>1.882727</v>
      </c>
      <c r="I1632" s="13">
        <v>0</v>
      </c>
      <c r="J1632" s="13">
        <v>0</v>
      </c>
      <c r="K1632" s="13"/>
      <c r="L1632"/>
      <c r="M1632"/>
      <c r="N1632"/>
      <c r="O1632"/>
      <c r="P1632"/>
      <c r="Q1632"/>
      <c r="R1632"/>
      <c r="S1632"/>
      <c r="T1632"/>
      <c r="U1632"/>
      <c r="V1632"/>
      <c r="W1632"/>
      <c r="X1632"/>
      <c r="Y1632"/>
      <c r="Z1632"/>
      <c r="AA1632"/>
      <c r="AB1632"/>
      <c r="AC1632"/>
      <c r="AD1632"/>
      <c r="AE1632"/>
      <c r="AF1632"/>
      <c r="AG1632"/>
      <c r="AH1632"/>
      <c r="AI1632"/>
      <c r="AJ1632"/>
      <c r="AK1632"/>
      <c r="AL1632"/>
    </row>
    <row r="1633" spans="1:38" ht="15.75" customHeight="1" outlineLevel="3" x14ac:dyDescent="0.2">
      <c r="A1633" s="10">
        <v>94</v>
      </c>
      <c r="B1633" s="10" t="s">
        <v>71</v>
      </c>
      <c r="C1633" s="10" t="s">
        <v>1369</v>
      </c>
      <c r="D1633" s="10" t="s">
        <v>412</v>
      </c>
      <c r="E1633" s="11" t="str">
        <f t="array" ref="E1633">_xlfn.XLOOKUP(D1633,Insumos!B:B,Insumos!C:$C)</f>
        <v>M</v>
      </c>
      <c r="F1633" s="14">
        <f>2.5027/2</f>
        <v>1.25135</v>
      </c>
      <c r="G1633" s="92">
        <f t="array" ref="G1633">IF(B1633="insumo",_xlfn.XLOOKUP($D1633,Insumos!$B$1:$B$996,Insumos!$D$1:$D$996),"")</f>
        <v>0.31</v>
      </c>
      <c r="H1633" s="92">
        <v>0.3879185</v>
      </c>
      <c r="I1633" s="13">
        <v>0</v>
      </c>
      <c r="J1633" s="13">
        <v>0</v>
      </c>
      <c r="K1633" s="13"/>
      <c r="L1633"/>
      <c r="M1633"/>
      <c r="N1633"/>
      <c r="O1633"/>
      <c r="P1633"/>
      <c r="Q1633"/>
      <c r="R1633"/>
      <c r="S1633"/>
      <c r="T1633"/>
      <c r="U1633"/>
      <c r="V1633"/>
      <c r="W1633"/>
      <c r="X1633"/>
      <c r="Y1633"/>
      <c r="Z1633"/>
      <c r="AA1633"/>
      <c r="AB1633"/>
      <c r="AC1633"/>
      <c r="AD1633"/>
      <c r="AE1633"/>
      <c r="AF1633"/>
      <c r="AG1633"/>
      <c r="AH1633"/>
      <c r="AI1633"/>
      <c r="AJ1633"/>
      <c r="AK1633"/>
      <c r="AL1633"/>
    </row>
    <row r="1634" spans="1:38" ht="15.75" customHeight="1" outlineLevel="3" x14ac:dyDescent="0.2">
      <c r="A1634" s="10">
        <v>94</v>
      </c>
      <c r="B1634" s="10" t="s">
        <v>71</v>
      </c>
      <c r="C1634" s="10" t="s">
        <v>1369</v>
      </c>
      <c r="D1634" s="10" t="s">
        <v>413</v>
      </c>
      <c r="E1634" s="11" t="str">
        <f t="array" ref="E1634">_xlfn.XLOOKUP(D1634,Insumos!B:B,Insumos!C:$C)</f>
        <v>M</v>
      </c>
      <c r="F1634" s="14">
        <f>1.5851/2</f>
        <v>0.79254999999999998</v>
      </c>
      <c r="G1634" s="92">
        <f t="array" ref="G1634">IF(B1634="insumo",_xlfn.XLOOKUP($D1634,Insumos!$B$1:$B$996,Insumos!$D$1:$D$996),"")</f>
        <v>2.74</v>
      </c>
      <c r="H1634" s="92">
        <v>2.1715870000000002</v>
      </c>
      <c r="I1634" s="13">
        <v>0</v>
      </c>
      <c r="J1634" s="13">
        <v>0</v>
      </c>
      <c r="K1634" s="13"/>
      <c r="L1634"/>
      <c r="M1634"/>
      <c r="N1634"/>
      <c r="O1634"/>
      <c r="P1634"/>
      <c r="Q1634"/>
      <c r="R1634"/>
      <c r="S1634"/>
      <c r="T1634"/>
      <c r="U1634"/>
      <c r="V1634"/>
      <c r="W1634"/>
      <c r="X1634"/>
      <c r="Y1634"/>
      <c r="Z1634"/>
      <c r="AA1634"/>
      <c r="AB1634"/>
      <c r="AC1634"/>
      <c r="AD1634"/>
      <c r="AE1634"/>
      <c r="AF1634"/>
      <c r="AG1634"/>
      <c r="AH1634"/>
      <c r="AI1634"/>
      <c r="AJ1634"/>
      <c r="AK1634"/>
      <c r="AL1634"/>
    </row>
    <row r="1635" spans="1:38" ht="15.75" customHeight="1" outlineLevel="3" x14ac:dyDescent="0.2">
      <c r="A1635" s="10">
        <v>97</v>
      </c>
      <c r="B1635" s="10" t="s">
        <v>71</v>
      </c>
      <c r="C1635" s="10" t="s">
        <v>1369</v>
      </c>
      <c r="D1635" s="10" t="s">
        <v>414</v>
      </c>
      <c r="E1635" s="11" t="str">
        <f t="array" ref="E1635">_xlfn.XLOOKUP(D1635,Insumos!B:B,Insumos!C:$C)</f>
        <v>UN</v>
      </c>
      <c r="F1635" s="14">
        <f>20.1868/2</f>
        <v>10.093400000000001</v>
      </c>
      <c r="G1635" s="92">
        <f t="array" ref="G1635">IF(B1635="insumo",_xlfn.XLOOKUP($D1635,Insumos!$B$1:$B$996,Insumos!$D$1:$D$996),"")</f>
        <v>0.09</v>
      </c>
      <c r="H1635" s="92">
        <v>0.90840600000000005</v>
      </c>
      <c r="I1635" s="13">
        <v>0</v>
      </c>
      <c r="J1635" s="13">
        <v>0</v>
      </c>
      <c r="K1635" s="13"/>
      <c r="L1635"/>
      <c r="M1635"/>
      <c r="N1635"/>
      <c r="O1635"/>
      <c r="P1635"/>
      <c r="Q1635"/>
      <c r="R1635"/>
      <c r="S1635"/>
      <c r="T1635"/>
      <c r="U1635"/>
      <c r="V1635"/>
      <c r="W1635"/>
      <c r="X1635"/>
      <c r="Y1635"/>
      <c r="Z1635"/>
      <c r="AA1635"/>
      <c r="AB1635"/>
      <c r="AC1635"/>
      <c r="AD1635"/>
      <c r="AE1635"/>
      <c r="AF1635"/>
      <c r="AG1635"/>
      <c r="AH1635"/>
      <c r="AI1635"/>
      <c r="AJ1635"/>
      <c r="AK1635"/>
      <c r="AL1635"/>
    </row>
    <row r="1636" spans="1:38" ht="15.75" customHeight="1" outlineLevel="3" x14ac:dyDescent="0.2">
      <c r="A1636" s="10">
        <v>95</v>
      </c>
      <c r="B1636" s="10" t="s">
        <v>71</v>
      </c>
      <c r="C1636" s="10" t="s">
        <v>1369</v>
      </c>
      <c r="D1636" s="10" t="s">
        <v>415</v>
      </c>
      <c r="E1636" s="11" t="str">
        <f t="array" ref="E1636">_xlfn.XLOOKUP(D1636,Insumos!B:B,Insumos!C:$C)</f>
        <v>UN</v>
      </c>
      <c r="F1636" s="14">
        <v>0.54410000000000003</v>
      </c>
      <c r="G1636" s="92">
        <f t="array" ref="G1636">IF(B1636="insumo",_xlfn.XLOOKUP($D1636,Insumos!$B$1:$B$996,Insumos!$D$1:$D$996),"")</f>
        <v>0.2</v>
      </c>
      <c r="H1636" s="92">
        <v>0.10882</v>
      </c>
      <c r="I1636" s="13">
        <v>0</v>
      </c>
      <c r="J1636" s="13">
        <v>0</v>
      </c>
      <c r="K1636" s="13"/>
      <c r="L1636"/>
      <c r="M1636"/>
      <c r="N1636"/>
      <c r="O1636"/>
      <c r="P1636"/>
      <c r="Q1636"/>
      <c r="R1636"/>
      <c r="S1636"/>
      <c r="T1636"/>
      <c r="U1636"/>
      <c r="V1636"/>
      <c r="W1636"/>
      <c r="X1636"/>
      <c r="Y1636"/>
      <c r="Z1636"/>
      <c r="AA1636"/>
      <c r="AB1636"/>
      <c r="AC1636"/>
      <c r="AD1636"/>
      <c r="AE1636"/>
      <c r="AF1636"/>
      <c r="AG1636"/>
      <c r="AH1636"/>
      <c r="AI1636"/>
      <c r="AJ1636"/>
      <c r="AK1636"/>
      <c r="AL1636"/>
    </row>
    <row r="1637" spans="1:38" ht="15.75" customHeight="1" outlineLevel="3" x14ac:dyDescent="0.2">
      <c r="A1637" s="10">
        <v>35</v>
      </c>
      <c r="B1637" s="10" t="s">
        <v>71</v>
      </c>
      <c r="C1637" s="10" t="s">
        <v>1369</v>
      </c>
      <c r="D1637" s="10" t="s">
        <v>1595</v>
      </c>
      <c r="E1637" s="11" t="str">
        <f t="array" ref="E1637">_xlfn.XLOOKUP(D1637,Insumos!B:B,Insumos!C:$C)</f>
        <v>M2</v>
      </c>
      <c r="F1637" s="14">
        <v>1.1000000000000001</v>
      </c>
      <c r="G1637" s="92">
        <f t="array" ref="G1637">IF(B1637="insumo",_xlfn.XLOOKUP($D1637,Insumos!$B$1:$B$996,Insumos!$D$1:$D$996),"")</f>
        <v>13.019333333333332</v>
      </c>
      <c r="H1637" s="92">
        <v>14.3212666666667</v>
      </c>
      <c r="I1637" s="13">
        <v>0</v>
      </c>
      <c r="J1637" s="13">
        <v>0</v>
      </c>
      <c r="K1637" s="13"/>
      <c r="L1637"/>
      <c r="M1637"/>
      <c r="N1637"/>
      <c r="O1637"/>
      <c r="P1637"/>
      <c r="Q1637"/>
      <c r="R1637"/>
      <c r="S1637"/>
      <c r="T1637"/>
      <c r="U1637"/>
      <c r="V1637"/>
      <c r="W1637"/>
      <c r="X1637"/>
      <c r="Y1637"/>
      <c r="Z1637"/>
      <c r="AA1637"/>
      <c r="AB1637"/>
      <c r="AC1637"/>
      <c r="AD1637"/>
      <c r="AE1637"/>
      <c r="AF1637"/>
      <c r="AG1637"/>
      <c r="AH1637"/>
      <c r="AI1637"/>
      <c r="AJ1637"/>
      <c r="AK1637"/>
      <c r="AL1637"/>
    </row>
    <row r="1638" spans="1:38" ht="15.75" customHeight="1" outlineLevel="2" x14ac:dyDescent="0.2">
      <c r="A1638" s="1067">
        <v>1</v>
      </c>
      <c r="B1638" s="1067" t="s">
        <v>68</v>
      </c>
      <c r="C1638" s="1067" t="s">
        <v>1378</v>
      </c>
      <c r="D1638" s="1067" t="s">
        <v>1378</v>
      </c>
      <c r="E1638" s="1068" t="s">
        <v>70</v>
      </c>
      <c r="F1638" s="1067"/>
      <c r="G1638" s="1069" t="str">
        <f t="array" ref="G1638">IF(B1638="insumo",_xlfn.XLOOKUP($D1638,Insumos!$B$1:$B$996,Insumos!$D$1:$D$996),"")</f>
        <v/>
      </c>
      <c r="H1638" s="1069">
        <v>174.38571116666699</v>
      </c>
      <c r="I1638" s="1070">
        <v>0</v>
      </c>
      <c r="J1638" s="1070">
        <v>0</v>
      </c>
      <c r="K1638" s="1070"/>
      <c r="L1638"/>
      <c r="M1638"/>
      <c r="N1638"/>
      <c r="O1638"/>
      <c r="P1638"/>
      <c r="Q1638"/>
      <c r="R1638"/>
      <c r="S1638"/>
      <c r="T1638"/>
      <c r="U1638"/>
      <c r="V1638"/>
      <c r="W1638"/>
      <c r="X1638"/>
      <c r="Y1638"/>
      <c r="Z1638"/>
      <c r="AA1638"/>
      <c r="AB1638"/>
      <c r="AC1638"/>
      <c r="AD1638"/>
      <c r="AE1638"/>
      <c r="AF1638"/>
      <c r="AG1638"/>
      <c r="AH1638"/>
      <c r="AI1638"/>
      <c r="AJ1638"/>
      <c r="AK1638"/>
      <c r="AL1638"/>
    </row>
    <row r="1639" spans="1:38" ht="15.75" customHeight="1" outlineLevel="3" x14ac:dyDescent="0.2">
      <c r="A1639" s="10">
        <v>86</v>
      </c>
      <c r="B1639" s="10" t="s">
        <v>71</v>
      </c>
      <c r="C1639" s="10" t="s">
        <v>1378</v>
      </c>
      <c r="D1639" s="10" t="s">
        <v>407</v>
      </c>
      <c r="E1639" s="11" t="str">
        <f t="array" ref="E1639">_xlfn.XLOOKUP(D1639,Insumos!B:B,Insumos!C:$C)</f>
        <v>M2</v>
      </c>
      <c r="F1639" s="14">
        <v>1</v>
      </c>
      <c r="G1639" s="92">
        <f t="array" ref="G1639">IF(B1639="insumo",_xlfn.XLOOKUP($D1639,Insumos!$B$1:$B$996,Insumos!$D$1:$D$996),"")</f>
        <v>70</v>
      </c>
      <c r="H1639" s="92">
        <v>70</v>
      </c>
      <c r="I1639" s="13">
        <v>0</v>
      </c>
      <c r="J1639" s="13">
        <v>0</v>
      </c>
      <c r="K1639" s="13"/>
      <c r="L1639"/>
      <c r="M1639"/>
      <c r="N1639"/>
      <c r="O1639"/>
      <c r="P1639"/>
      <c r="Q1639"/>
      <c r="R1639"/>
      <c r="S1639"/>
      <c r="T1639"/>
      <c r="U1639"/>
      <c r="V1639"/>
      <c r="W1639"/>
      <c r="X1639"/>
      <c r="Y1639"/>
      <c r="Z1639"/>
      <c r="AA1639"/>
      <c r="AB1639"/>
      <c r="AC1639"/>
      <c r="AD1639"/>
      <c r="AE1639"/>
      <c r="AF1639"/>
      <c r="AG1639"/>
      <c r="AH1639"/>
      <c r="AI1639"/>
      <c r="AJ1639"/>
      <c r="AK1639"/>
      <c r="AL1639"/>
    </row>
    <row r="1640" spans="1:38" ht="15.75" customHeight="1" outlineLevel="3" x14ac:dyDescent="0.2">
      <c r="A1640" s="10">
        <v>47</v>
      </c>
      <c r="B1640" s="10" t="s">
        <v>71</v>
      </c>
      <c r="C1640" s="10" t="s">
        <v>1378</v>
      </c>
      <c r="D1640" s="10" t="s">
        <v>408</v>
      </c>
      <c r="E1640" s="11" t="str">
        <f t="array" ref="E1640">_xlfn.XLOOKUP(D1640,Insumos!B:B,Insumos!C:$C)</f>
        <v>M2</v>
      </c>
      <c r="F1640" s="14">
        <v>1.1060000000000001</v>
      </c>
      <c r="G1640" s="92">
        <f t="array" ref="G1640">IF(B1640="insumo",_xlfn.XLOOKUP($D1640,Insumos!$B$1:$B$996,Insumos!$D$1:$D$996),"")</f>
        <v>20.16</v>
      </c>
      <c r="H1640" s="92">
        <v>22.296959999999999</v>
      </c>
      <c r="I1640" s="13">
        <v>0</v>
      </c>
      <c r="J1640" s="13">
        <v>0</v>
      </c>
      <c r="K1640" s="13"/>
      <c r="L1640"/>
      <c r="M1640"/>
      <c r="N1640"/>
      <c r="O1640"/>
      <c r="P1640"/>
      <c r="Q1640"/>
      <c r="R1640"/>
      <c r="S1640"/>
      <c r="T1640"/>
      <c r="U1640"/>
      <c r="V1640"/>
      <c r="W1640"/>
      <c r="X1640"/>
      <c r="Y1640"/>
      <c r="Z1640"/>
      <c r="AA1640"/>
      <c r="AB1640"/>
      <c r="AC1640"/>
      <c r="AD1640"/>
      <c r="AE1640"/>
      <c r="AF1640"/>
      <c r="AG1640"/>
      <c r="AH1640"/>
      <c r="AI1640"/>
      <c r="AJ1640"/>
      <c r="AK1640"/>
      <c r="AL1640"/>
    </row>
    <row r="1641" spans="1:38" ht="15.75" customHeight="1" outlineLevel="3" x14ac:dyDescent="0.2">
      <c r="A1641" s="10">
        <v>95</v>
      </c>
      <c r="B1641" s="10" t="s">
        <v>71</v>
      </c>
      <c r="C1641" s="10" t="s">
        <v>1378</v>
      </c>
      <c r="D1641" s="10" t="s">
        <v>409</v>
      </c>
      <c r="E1641" s="11" t="str">
        <f t="array" ref="E1641">_xlfn.XLOOKUP(D1641,Insumos!B:B,Insumos!C:$C)</f>
        <v>UN</v>
      </c>
      <c r="F1641" s="14">
        <v>5.92</v>
      </c>
      <c r="G1641" s="92">
        <f t="array" ref="G1641">IF(B1641="insumo",_xlfn.XLOOKUP($D1641,Insumos!$B$1:$B$996,Insumos!$D$1:$D$996),"")</f>
        <v>0.504</v>
      </c>
      <c r="H1641" s="92">
        <v>2.9836800000000001</v>
      </c>
      <c r="I1641" s="13">
        <v>0</v>
      </c>
      <c r="J1641" s="13">
        <v>0</v>
      </c>
      <c r="K1641" s="13"/>
      <c r="L1641"/>
      <c r="M1641"/>
      <c r="N1641"/>
      <c r="O1641"/>
      <c r="P1641"/>
      <c r="Q1641"/>
      <c r="R1641"/>
      <c r="S1641"/>
      <c r="T1641"/>
      <c r="U1641"/>
      <c r="V1641"/>
      <c r="W1641"/>
      <c r="X1641"/>
      <c r="Y1641"/>
      <c r="Z1641"/>
      <c r="AA1641"/>
      <c r="AB1641"/>
      <c r="AC1641"/>
      <c r="AD1641"/>
      <c r="AE1641"/>
      <c r="AF1641"/>
      <c r="AG1641"/>
      <c r="AH1641"/>
      <c r="AI1641"/>
      <c r="AJ1641"/>
      <c r="AK1641"/>
      <c r="AL1641"/>
    </row>
    <row r="1642" spans="1:38" ht="15.75" customHeight="1" outlineLevel="3" x14ac:dyDescent="0.2">
      <c r="A1642" s="10">
        <v>26</v>
      </c>
      <c r="B1642" s="10" t="s">
        <v>71</v>
      </c>
      <c r="C1642" s="10" t="s">
        <v>1378</v>
      </c>
      <c r="D1642" s="10" t="s">
        <v>410</v>
      </c>
      <c r="E1642" s="11" t="str">
        <f t="array" ref="E1642">_xlfn.XLOOKUP(D1642,Insumos!B:B,Insumos!C:$C)</f>
        <v>M</v>
      </c>
      <c r="F1642" s="14">
        <v>1.8233999999999999</v>
      </c>
      <c r="G1642" s="92">
        <f t="array" ref="G1642">IF(B1642="insumo",_xlfn.XLOOKUP($D1642,Insumos!$B$1:$B$996,Insumos!$D$1:$D$996),"")</f>
        <v>7.03</v>
      </c>
      <c r="H1642" s="92">
        <v>12.818502000000001</v>
      </c>
      <c r="I1642" s="13">
        <v>0</v>
      </c>
      <c r="J1642" s="13">
        <v>0</v>
      </c>
      <c r="K1642" s="13"/>
      <c r="L1642"/>
      <c r="M1642"/>
      <c r="N1642"/>
      <c r="O1642"/>
      <c r="P1642"/>
      <c r="Q1642"/>
      <c r="R1642"/>
      <c r="S1642"/>
      <c r="T1642"/>
      <c r="U1642"/>
      <c r="V1642"/>
      <c r="W1642"/>
      <c r="X1642"/>
      <c r="Y1642"/>
      <c r="Z1642"/>
      <c r="AA1642"/>
      <c r="AB1642"/>
      <c r="AC1642"/>
      <c r="AD1642"/>
      <c r="AE1642"/>
      <c r="AF1642"/>
      <c r="AG1642"/>
      <c r="AH1642"/>
      <c r="AI1642"/>
      <c r="AJ1642"/>
      <c r="AK1642"/>
      <c r="AL1642"/>
    </row>
    <row r="1643" spans="1:38" ht="15.75" customHeight="1" outlineLevel="3" x14ac:dyDescent="0.2">
      <c r="A1643" s="10">
        <v>26</v>
      </c>
      <c r="B1643" s="10" t="s">
        <v>71</v>
      </c>
      <c r="C1643" s="10" t="s">
        <v>1378</v>
      </c>
      <c r="D1643" s="10" t="s">
        <v>411</v>
      </c>
      <c r="E1643" s="11" t="str">
        <f t="array" ref="E1643">_xlfn.XLOOKUP(D1643,Insumos!B:B,Insumos!C:$C)</f>
        <v>M</v>
      </c>
      <c r="F1643" s="14">
        <v>5.8277999999999999</v>
      </c>
      <c r="G1643" s="92">
        <f t="array" ref="G1643">IF(B1643="insumo",_xlfn.XLOOKUP($D1643,Insumos!$B$1:$B$996,Insumos!$D$1:$D$996),"")</f>
        <v>7.98</v>
      </c>
      <c r="H1643" s="92">
        <v>46.505844000000003</v>
      </c>
      <c r="I1643" s="13">
        <v>0</v>
      </c>
      <c r="J1643" s="13">
        <v>0</v>
      </c>
      <c r="K1643" s="13"/>
      <c r="L1643"/>
      <c r="M1643"/>
      <c r="N1643"/>
      <c r="O1643"/>
      <c r="P1643"/>
      <c r="Q1643"/>
      <c r="R1643"/>
      <c r="S1643"/>
      <c r="T1643"/>
      <c r="U1643"/>
      <c r="V1643"/>
      <c r="W1643"/>
      <c r="X1643"/>
      <c r="Y1643"/>
      <c r="Z1643"/>
      <c r="AA1643"/>
      <c r="AB1643"/>
      <c r="AC1643"/>
      <c r="AD1643"/>
      <c r="AE1643"/>
      <c r="AF1643"/>
      <c r="AG1643"/>
      <c r="AH1643"/>
      <c r="AI1643"/>
      <c r="AJ1643"/>
      <c r="AK1643"/>
      <c r="AL1643"/>
    </row>
    <row r="1644" spans="1:38" ht="15.75" customHeight="1" outlineLevel="3" x14ac:dyDescent="0.2">
      <c r="A1644" s="10">
        <v>95</v>
      </c>
      <c r="B1644" s="10" t="s">
        <v>71</v>
      </c>
      <c r="C1644" s="10" t="s">
        <v>1378</v>
      </c>
      <c r="D1644" s="10" t="s">
        <v>405</v>
      </c>
      <c r="E1644" s="11" t="str">
        <f t="array" ref="E1644">_xlfn.XLOOKUP(D1644,Insumos!B:B,Insumos!C:$C)</f>
        <v>KG</v>
      </c>
      <c r="F1644" s="14">
        <f>1.0978/2</f>
        <v>0.54890000000000005</v>
      </c>
      <c r="G1644" s="92">
        <f t="array" ref="G1644">IF(B1644="insumo",_xlfn.XLOOKUP($D1644,Insumos!$B$1:$B$996,Insumos!$D$1:$D$996),"")</f>
        <v>3.43</v>
      </c>
      <c r="H1644" s="92">
        <v>1.882727</v>
      </c>
      <c r="I1644" s="13">
        <v>0</v>
      </c>
      <c r="J1644" s="13">
        <v>0</v>
      </c>
      <c r="K1644" s="13"/>
      <c r="L1644"/>
      <c r="M1644"/>
      <c r="N1644"/>
      <c r="O1644"/>
      <c r="P1644"/>
      <c r="Q1644"/>
      <c r="R1644"/>
      <c r="S1644"/>
      <c r="T1644"/>
      <c r="U1644"/>
      <c r="V1644"/>
      <c r="W1644"/>
      <c r="X1644"/>
      <c r="Y1644"/>
      <c r="Z1644"/>
      <c r="AA1644"/>
      <c r="AB1644"/>
      <c r="AC1644"/>
      <c r="AD1644"/>
      <c r="AE1644"/>
      <c r="AF1644"/>
      <c r="AG1644"/>
      <c r="AH1644"/>
      <c r="AI1644"/>
      <c r="AJ1644"/>
      <c r="AK1644"/>
      <c r="AL1644"/>
    </row>
    <row r="1645" spans="1:38" ht="15.75" customHeight="1" outlineLevel="3" x14ac:dyDescent="0.2">
      <c r="A1645" s="10">
        <v>94</v>
      </c>
      <c r="B1645" s="10" t="s">
        <v>71</v>
      </c>
      <c r="C1645" s="10" t="s">
        <v>1378</v>
      </c>
      <c r="D1645" s="10" t="s">
        <v>412</v>
      </c>
      <c r="E1645" s="11" t="str">
        <f t="array" ref="E1645">_xlfn.XLOOKUP(D1645,Insumos!B:B,Insumos!C:$C)</f>
        <v>M</v>
      </c>
      <c r="F1645" s="14">
        <f>2.5027/2</f>
        <v>1.25135</v>
      </c>
      <c r="G1645" s="92">
        <f t="array" ref="G1645">IF(B1645="insumo",_xlfn.XLOOKUP($D1645,Insumos!$B$1:$B$996,Insumos!$D$1:$D$996),"")</f>
        <v>0.31</v>
      </c>
      <c r="H1645" s="92">
        <v>0.3879185</v>
      </c>
      <c r="I1645" s="13">
        <v>0</v>
      </c>
      <c r="J1645" s="13">
        <v>0</v>
      </c>
      <c r="K1645" s="13"/>
      <c r="L1645"/>
      <c r="M1645"/>
      <c r="N1645"/>
      <c r="O1645"/>
      <c r="P1645"/>
      <c r="Q1645"/>
      <c r="R1645"/>
      <c r="S1645"/>
      <c r="T1645"/>
      <c r="U1645"/>
      <c r="V1645"/>
      <c r="W1645"/>
      <c r="X1645"/>
      <c r="Y1645"/>
      <c r="Z1645"/>
      <c r="AA1645"/>
      <c r="AB1645"/>
      <c r="AC1645"/>
      <c r="AD1645"/>
      <c r="AE1645"/>
      <c r="AF1645"/>
      <c r="AG1645"/>
      <c r="AH1645"/>
      <c r="AI1645"/>
      <c r="AJ1645"/>
      <c r="AK1645"/>
      <c r="AL1645"/>
    </row>
    <row r="1646" spans="1:38" ht="15.75" customHeight="1" outlineLevel="3" x14ac:dyDescent="0.2">
      <c r="A1646" s="10">
        <v>94</v>
      </c>
      <c r="B1646" s="10" t="s">
        <v>71</v>
      </c>
      <c r="C1646" s="10" t="s">
        <v>1378</v>
      </c>
      <c r="D1646" s="10" t="s">
        <v>413</v>
      </c>
      <c r="E1646" s="11" t="str">
        <f t="array" ref="E1646">_xlfn.XLOOKUP(D1646,Insumos!B:B,Insumos!C:$C)</f>
        <v>M</v>
      </c>
      <c r="F1646" s="14">
        <f>1.5851/2</f>
        <v>0.79254999999999998</v>
      </c>
      <c r="G1646" s="92">
        <f t="array" ref="G1646">IF(B1646="insumo",_xlfn.XLOOKUP($D1646,Insumos!$B$1:$B$996,Insumos!$D$1:$D$996),"")</f>
        <v>2.74</v>
      </c>
      <c r="H1646" s="92">
        <v>2.1715870000000002</v>
      </c>
      <c r="I1646" s="13">
        <v>0</v>
      </c>
      <c r="J1646" s="13">
        <v>0</v>
      </c>
      <c r="K1646" s="13"/>
      <c r="L1646"/>
      <c r="M1646"/>
      <c r="N1646"/>
      <c r="O1646"/>
      <c r="P1646"/>
      <c r="Q1646"/>
      <c r="R1646"/>
      <c r="S1646"/>
      <c r="T1646"/>
      <c r="U1646"/>
      <c r="V1646"/>
      <c r="W1646"/>
      <c r="X1646"/>
      <c r="Y1646"/>
      <c r="Z1646"/>
      <c r="AA1646"/>
      <c r="AB1646"/>
      <c r="AC1646"/>
      <c r="AD1646"/>
      <c r="AE1646"/>
      <c r="AF1646"/>
      <c r="AG1646"/>
      <c r="AH1646"/>
      <c r="AI1646"/>
      <c r="AJ1646"/>
      <c r="AK1646"/>
      <c r="AL1646"/>
    </row>
    <row r="1647" spans="1:38" ht="15.75" customHeight="1" outlineLevel="3" x14ac:dyDescent="0.2">
      <c r="A1647" s="10">
        <v>97</v>
      </c>
      <c r="B1647" s="10" t="s">
        <v>71</v>
      </c>
      <c r="C1647" s="10" t="s">
        <v>1378</v>
      </c>
      <c r="D1647" s="10" t="s">
        <v>414</v>
      </c>
      <c r="E1647" s="11" t="str">
        <f t="array" ref="E1647">_xlfn.XLOOKUP(D1647,Insumos!B:B,Insumos!C:$C)</f>
        <v>UN</v>
      </c>
      <c r="F1647" s="14">
        <f>20.1868/2</f>
        <v>10.093400000000001</v>
      </c>
      <c r="G1647" s="92">
        <f t="array" ref="G1647">IF(B1647="insumo",_xlfn.XLOOKUP($D1647,Insumos!$B$1:$B$996,Insumos!$D$1:$D$996),"")</f>
        <v>0.09</v>
      </c>
      <c r="H1647" s="92">
        <v>0.90840600000000005</v>
      </c>
      <c r="I1647" s="13">
        <v>0</v>
      </c>
      <c r="J1647" s="13">
        <v>0</v>
      </c>
      <c r="K1647" s="13"/>
      <c r="L1647"/>
      <c r="M1647"/>
      <c r="N1647"/>
      <c r="O1647"/>
      <c r="P1647"/>
      <c r="Q1647"/>
      <c r="R1647"/>
      <c r="S1647"/>
      <c r="T1647"/>
      <c r="U1647"/>
      <c r="V1647"/>
      <c r="W1647"/>
      <c r="X1647"/>
      <c r="Y1647"/>
      <c r="Z1647"/>
      <c r="AA1647"/>
      <c r="AB1647"/>
      <c r="AC1647"/>
      <c r="AD1647"/>
      <c r="AE1647"/>
      <c r="AF1647"/>
      <c r="AG1647"/>
      <c r="AH1647"/>
      <c r="AI1647"/>
      <c r="AJ1647"/>
      <c r="AK1647"/>
      <c r="AL1647"/>
    </row>
    <row r="1648" spans="1:38" ht="15.75" customHeight="1" outlineLevel="3" x14ac:dyDescent="0.2">
      <c r="A1648" s="10">
        <v>95</v>
      </c>
      <c r="B1648" s="10" t="s">
        <v>71</v>
      </c>
      <c r="C1648" s="10" t="s">
        <v>1378</v>
      </c>
      <c r="D1648" s="10" t="s">
        <v>415</v>
      </c>
      <c r="E1648" s="11" t="str">
        <f t="array" ref="E1648">_xlfn.XLOOKUP(D1648,Insumos!B:B,Insumos!C:$C)</f>
        <v>UN</v>
      </c>
      <c r="F1648" s="14">
        <v>0.54410000000000003</v>
      </c>
      <c r="G1648" s="92">
        <f t="array" ref="G1648">IF(B1648="insumo",_xlfn.XLOOKUP($D1648,Insumos!$B$1:$B$996,Insumos!$D$1:$D$996),"")</f>
        <v>0.2</v>
      </c>
      <c r="H1648" s="92">
        <v>0.10882</v>
      </c>
      <c r="I1648" s="13">
        <v>0</v>
      </c>
      <c r="J1648" s="13">
        <v>0</v>
      </c>
      <c r="K1648" s="13"/>
      <c r="L1648"/>
      <c r="M1648"/>
      <c r="N1648"/>
      <c r="O1648"/>
      <c r="P1648"/>
      <c r="Q1648"/>
      <c r="R1648"/>
      <c r="S1648"/>
      <c r="T1648"/>
      <c r="U1648"/>
      <c r="V1648"/>
      <c r="W1648"/>
      <c r="X1648"/>
      <c r="Y1648"/>
      <c r="Z1648"/>
      <c r="AA1648"/>
      <c r="AB1648"/>
      <c r="AC1648"/>
      <c r="AD1648"/>
      <c r="AE1648"/>
      <c r="AF1648"/>
      <c r="AG1648"/>
      <c r="AH1648"/>
      <c r="AI1648"/>
      <c r="AJ1648"/>
      <c r="AK1648"/>
      <c r="AL1648"/>
    </row>
    <row r="1649" spans="1:38" ht="15.75" customHeight="1" outlineLevel="3" x14ac:dyDescent="0.2">
      <c r="A1649" s="10">
        <v>35</v>
      </c>
      <c r="B1649" s="10" t="s">
        <v>71</v>
      </c>
      <c r="C1649" s="10" t="s">
        <v>1378</v>
      </c>
      <c r="D1649" s="10" t="s">
        <v>1595</v>
      </c>
      <c r="E1649" s="11" t="str">
        <f t="array" ref="E1649">_xlfn.XLOOKUP(D1649,Insumos!B:B,Insumos!C:$C)</f>
        <v>M2</v>
      </c>
      <c r="F1649" s="14">
        <v>1.1000000000000001</v>
      </c>
      <c r="G1649" s="92">
        <f t="array" ref="G1649">IF(B1649="insumo",_xlfn.XLOOKUP($D1649,Insumos!$B$1:$B$996,Insumos!$D$1:$D$996),"")</f>
        <v>13.019333333333332</v>
      </c>
      <c r="H1649" s="92">
        <v>14.3212666666667</v>
      </c>
      <c r="I1649" s="13">
        <v>0</v>
      </c>
      <c r="J1649" s="13">
        <v>0</v>
      </c>
      <c r="K1649" s="13"/>
      <c r="L1649"/>
      <c r="M1649"/>
      <c r="N1649"/>
      <c r="O1649"/>
      <c r="P1649"/>
      <c r="Q1649"/>
      <c r="R1649"/>
      <c r="S1649"/>
      <c r="T1649"/>
      <c r="U1649"/>
      <c r="V1649"/>
      <c r="W1649"/>
      <c r="X1649"/>
      <c r="Y1649"/>
      <c r="Z1649"/>
      <c r="AA1649"/>
      <c r="AB1649"/>
      <c r="AC1649"/>
      <c r="AD1649"/>
      <c r="AE1649"/>
      <c r="AF1649"/>
      <c r="AG1649"/>
      <c r="AH1649"/>
      <c r="AI1649"/>
      <c r="AJ1649"/>
      <c r="AK1649"/>
      <c r="AL1649"/>
    </row>
    <row r="1650" spans="1:38" ht="15.75" customHeight="1" outlineLevel="2" x14ac:dyDescent="0.2">
      <c r="A1650" s="1067">
        <v>1</v>
      </c>
      <c r="B1650" s="1067" t="s">
        <v>68</v>
      </c>
      <c r="C1650" s="1067" t="s">
        <v>422</v>
      </c>
      <c r="D1650" s="1067" t="s">
        <v>422</v>
      </c>
      <c r="E1650" s="1068" t="s">
        <v>70</v>
      </c>
      <c r="F1650" s="1067"/>
      <c r="G1650" s="1069" t="str">
        <f t="array" ref="G1650">IF(B1650="insumo",_xlfn.XLOOKUP($D1650,Insumos!$B$1:$B$996,Insumos!$D$1:$D$996),"")</f>
        <v/>
      </c>
      <c r="H1650" s="1069">
        <v>200.680411666667</v>
      </c>
      <c r="I1650" s="1070">
        <v>0</v>
      </c>
      <c r="J1650" s="1070">
        <v>0</v>
      </c>
      <c r="K1650" s="1070"/>
      <c r="L1650"/>
      <c r="M1650"/>
      <c r="N1650"/>
      <c r="O1650"/>
      <c r="P1650"/>
      <c r="Q1650"/>
      <c r="R1650"/>
      <c r="S1650"/>
      <c r="T1650"/>
      <c r="U1650"/>
      <c r="V1650"/>
      <c r="W1650"/>
      <c r="X1650"/>
      <c r="Y1650"/>
      <c r="Z1650"/>
      <c r="AA1650"/>
      <c r="AB1650"/>
      <c r="AC1650"/>
      <c r="AD1650"/>
      <c r="AE1650"/>
      <c r="AF1650"/>
      <c r="AG1650"/>
      <c r="AH1650"/>
      <c r="AI1650"/>
      <c r="AJ1650"/>
      <c r="AK1650"/>
      <c r="AL1650"/>
    </row>
    <row r="1651" spans="1:38" ht="15.75" customHeight="1" outlineLevel="3" x14ac:dyDescent="0.2">
      <c r="A1651" s="10">
        <v>86</v>
      </c>
      <c r="B1651" s="10" t="s">
        <v>71</v>
      </c>
      <c r="C1651" s="10" t="s">
        <v>422</v>
      </c>
      <c r="D1651" s="10" t="s">
        <v>407</v>
      </c>
      <c r="E1651" s="11" t="str">
        <f t="array" ref="E1651">_xlfn.XLOOKUP(D1651,Insumos!B:B,Insumos!C:$C)</f>
        <v>M2</v>
      </c>
      <c r="F1651" s="14">
        <v>1</v>
      </c>
      <c r="G1651" s="92">
        <f t="array" ref="G1651">IF(B1651="insumo",_xlfn.XLOOKUP($D1651,Insumos!$B$1:$B$996,Insumos!$D$1:$D$996),"")</f>
        <v>70</v>
      </c>
      <c r="H1651" s="92">
        <v>70</v>
      </c>
      <c r="I1651" s="13">
        <v>0</v>
      </c>
      <c r="J1651" s="13">
        <v>0</v>
      </c>
      <c r="K1651" s="13"/>
      <c r="L1651"/>
      <c r="M1651"/>
      <c r="N1651"/>
      <c r="O1651"/>
      <c r="P1651"/>
      <c r="Q1651"/>
      <c r="R1651"/>
      <c r="S1651"/>
      <c r="T1651"/>
      <c r="U1651"/>
      <c r="V1651"/>
      <c r="W1651"/>
      <c r="X1651"/>
      <c r="Y1651"/>
      <c r="Z1651"/>
      <c r="AA1651"/>
      <c r="AB1651"/>
      <c r="AC1651"/>
      <c r="AD1651"/>
      <c r="AE1651"/>
      <c r="AF1651"/>
      <c r="AG1651"/>
      <c r="AH1651"/>
      <c r="AI1651"/>
      <c r="AJ1651"/>
      <c r="AK1651"/>
      <c r="AL1651"/>
    </row>
    <row r="1652" spans="1:38" ht="15.75" customHeight="1" outlineLevel="3" x14ac:dyDescent="0.2">
      <c r="A1652" s="10">
        <v>47</v>
      </c>
      <c r="B1652" s="10" t="s">
        <v>71</v>
      </c>
      <c r="C1652" s="10" t="s">
        <v>422</v>
      </c>
      <c r="D1652" s="10" t="s">
        <v>408</v>
      </c>
      <c r="E1652" s="11" t="str">
        <f t="array" ref="E1652">_xlfn.XLOOKUP(D1652,Insumos!B:B,Insumos!C:$C)</f>
        <v>M2</v>
      </c>
      <c r="F1652" s="14">
        <v>2.1059999999999999</v>
      </c>
      <c r="G1652" s="92">
        <f t="array" ref="G1652">IF(B1652="insumo",_xlfn.XLOOKUP($D1652,Insumos!$B$1:$B$996,Insumos!$D$1:$D$996),"")</f>
        <v>20.16</v>
      </c>
      <c r="H1652" s="92">
        <v>42.456960000000002</v>
      </c>
      <c r="I1652" s="13">
        <v>0</v>
      </c>
      <c r="J1652" s="13">
        <v>0</v>
      </c>
      <c r="K1652" s="13"/>
      <c r="L1652"/>
      <c r="M1652"/>
      <c r="N1652"/>
      <c r="O1652"/>
      <c r="P1652"/>
      <c r="Q1652"/>
      <c r="R1652"/>
      <c r="S1652"/>
      <c r="T1652"/>
      <c r="U1652"/>
      <c r="V1652"/>
      <c r="W1652"/>
      <c r="X1652"/>
      <c r="Y1652"/>
      <c r="Z1652"/>
      <c r="AA1652"/>
      <c r="AB1652"/>
      <c r="AC1652"/>
      <c r="AD1652"/>
      <c r="AE1652"/>
      <c r="AF1652"/>
      <c r="AG1652"/>
      <c r="AH1652"/>
      <c r="AI1652"/>
      <c r="AJ1652"/>
      <c r="AK1652"/>
      <c r="AL1652"/>
    </row>
    <row r="1653" spans="1:38" ht="15.75" customHeight="1" outlineLevel="3" x14ac:dyDescent="0.2">
      <c r="A1653" s="10">
        <v>95</v>
      </c>
      <c r="B1653" s="10" t="s">
        <v>71</v>
      </c>
      <c r="C1653" s="10" t="s">
        <v>422</v>
      </c>
      <c r="D1653" s="10" t="s">
        <v>409</v>
      </c>
      <c r="E1653" s="11" t="str">
        <f t="array" ref="E1653">_xlfn.XLOOKUP(D1653,Insumos!B:B,Insumos!C:$C)</f>
        <v>UN</v>
      </c>
      <c r="F1653" s="14">
        <v>5.92</v>
      </c>
      <c r="G1653" s="92">
        <f t="array" ref="G1653">IF(B1653="insumo",_xlfn.XLOOKUP($D1653,Insumos!$B$1:$B$996,Insumos!$D$1:$D$996),"")</f>
        <v>0.504</v>
      </c>
      <c r="H1653" s="92">
        <v>2.9836800000000001</v>
      </c>
      <c r="I1653" s="13">
        <v>0</v>
      </c>
      <c r="J1653" s="13">
        <v>0</v>
      </c>
      <c r="K1653" s="13"/>
      <c r="L1653"/>
      <c r="M1653"/>
      <c r="N1653"/>
      <c r="O1653"/>
      <c r="P1653"/>
      <c r="Q1653"/>
      <c r="R1653"/>
      <c r="S1653"/>
      <c r="T1653"/>
      <c r="U1653"/>
      <c r="V1653"/>
      <c r="W1653"/>
      <c r="X1653"/>
      <c r="Y1653"/>
      <c r="Z1653"/>
      <c r="AA1653"/>
      <c r="AB1653"/>
      <c r="AC1653"/>
      <c r="AD1653"/>
      <c r="AE1653"/>
      <c r="AF1653"/>
      <c r="AG1653"/>
      <c r="AH1653"/>
      <c r="AI1653"/>
      <c r="AJ1653"/>
      <c r="AK1653"/>
      <c r="AL1653"/>
    </row>
    <row r="1654" spans="1:38" ht="15.75" customHeight="1" outlineLevel="3" x14ac:dyDescent="0.2">
      <c r="A1654" s="10">
        <v>43</v>
      </c>
      <c r="B1654" s="10" t="s">
        <v>71</v>
      </c>
      <c r="C1654" s="10" t="s">
        <v>422</v>
      </c>
      <c r="D1654" s="10" t="s">
        <v>423</v>
      </c>
      <c r="E1654" s="11" t="str">
        <f t="array" ref="E1654">_xlfn.XLOOKUP(D1654,Insumos!B:B,Insumos!C:$C)</f>
        <v>M</v>
      </c>
      <c r="F1654" s="14">
        <v>1.8233999999999999</v>
      </c>
      <c r="G1654" s="92">
        <f t="array" ref="G1654">IF(B1654="insumo",_xlfn.XLOOKUP($D1654,Insumos!$B$1:$B$996,Insumos!$D$1:$D$996),"")</f>
        <v>7.46</v>
      </c>
      <c r="H1654" s="92">
        <v>13.602563999999999</v>
      </c>
      <c r="I1654" s="13">
        <v>0</v>
      </c>
      <c r="J1654" s="13">
        <v>0</v>
      </c>
      <c r="K1654" s="13"/>
      <c r="L1654"/>
      <c r="M1654"/>
      <c r="N1654"/>
      <c r="O1654"/>
      <c r="P1654"/>
      <c r="Q1654"/>
      <c r="R1654"/>
      <c r="S1654"/>
      <c r="T1654"/>
      <c r="U1654"/>
      <c r="V1654"/>
      <c r="W1654"/>
      <c r="X1654"/>
      <c r="Y1654"/>
      <c r="Z1654"/>
      <c r="AA1654"/>
      <c r="AB1654"/>
      <c r="AC1654"/>
      <c r="AD1654"/>
      <c r="AE1654"/>
      <c r="AF1654"/>
      <c r="AG1654"/>
      <c r="AH1654"/>
      <c r="AI1654"/>
      <c r="AJ1654"/>
      <c r="AK1654"/>
      <c r="AL1654"/>
    </row>
    <row r="1655" spans="1:38" ht="15.75" customHeight="1" outlineLevel="3" x14ac:dyDescent="0.2">
      <c r="A1655" s="10">
        <v>43</v>
      </c>
      <c r="B1655" s="10" t="s">
        <v>71</v>
      </c>
      <c r="C1655" s="10" t="s">
        <v>422</v>
      </c>
      <c r="D1655" s="10" t="s">
        <v>424</v>
      </c>
      <c r="E1655" s="11" t="str">
        <f t="array" ref="E1655">_xlfn.XLOOKUP(D1655,Insumos!B:B,Insumos!C:$C)</f>
        <v>M</v>
      </c>
      <c r="F1655" s="14">
        <v>5.8277999999999999</v>
      </c>
      <c r="G1655" s="92">
        <f t="array" ref="G1655">IF(B1655="insumo",_xlfn.XLOOKUP($D1655,Insumos!$B$1:$B$996,Insumos!$D$1:$D$996),"")</f>
        <v>7.98</v>
      </c>
      <c r="H1655" s="92">
        <v>46.505844000000003</v>
      </c>
      <c r="I1655" s="13">
        <v>0</v>
      </c>
      <c r="J1655" s="13">
        <v>0</v>
      </c>
      <c r="K1655" s="13"/>
      <c r="L1655"/>
      <c r="M1655"/>
      <c r="N1655"/>
      <c r="O1655"/>
      <c r="P1655"/>
      <c r="Q1655"/>
      <c r="R1655"/>
      <c r="S1655"/>
      <c r="T1655"/>
      <c r="U1655"/>
      <c r="V1655"/>
      <c r="W1655"/>
      <c r="X1655"/>
      <c r="Y1655"/>
      <c r="Z1655"/>
      <c r="AA1655"/>
      <c r="AB1655"/>
      <c r="AC1655"/>
      <c r="AD1655"/>
      <c r="AE1655"/>
      <c r="AF1655"/>
      <c r="AG1655"/>
      <c r="AH1655"/>
      <c r="AI1655"/>
      <c r="AJ1655"/>
      <c r="AK1655"/>
      <c r="AL1655"/>
    </row>
    <row r="1656" spans="1:38" ht="15.75" customHeight="1" outlineLevel="3" x14ac:dyDescent="0.2">
      <c r="A1656" s="10">
        <v>95</v>
      </c>
      <c r="B1656" s="10" t="s">
        <v>71</v>
      </c>
      <c r="C1656" s="10" t="s">
        <v>422</v>
      </c>
      <c r="D1656" s="10" t="s">
        <v>405</v>
      </c>
      <c r="E1656" s="11" t="str">
        <f t="array" ref="E1656">_xlfn.XLOOKUP(D1656,Insumos!B:B,Insumos!C:$C)</f>
        <v>KG</v>
      </c>
      <c r="F1656" s="14">
        <v>1.0978000000000001</v>
      </c>
      <c r="G1656" s="92">
        <f t="array" ref="G1656">IF(B1656="insumo",_xlfn.XLOOKUP($D1656,Insumos!$B$1:$B$996,Insumos!$D$1:$D$996),"")</f>
        <v>3.43</v>
      </c>
      <c r="H1656" s="92">
        <v>3.7654540000000001</v>
      </c>
      <c r="I1656" s="13">
        <v>0</v>
      </c>
      <c r="J1656" s="13">
        <v>0</v>
      </c>
      <c r="K1656" s="13"/>
      <c r="L1656"/>
      <c r="M1656"/>
      <c r="N1656"/>
      <c r="O1656"/>
      <c r="P1656"/>
      <c r="Q1656"/>
      <c r="R1656"/>
      <c r="S1656"/>
      <c r="T1656"/>
      <c r="U1656"/>
      <c r="V1656"/>
      <c r="W1656"/>
      <c r="X1656"/>
      <c r="Y1656"/>
      <c r="Z1656"/>
      <c r="AA1656"/>
      <c r="AB1656"/>
      <c r="AC1656"/>
      <c r="AD1656"/>
      <c r="AE1656"/>
      <c r="AF1656"/>
      <c r="AG1656"/>
      <c r="AH1656"/>
      <c r="AI1656"/>
      <c r="AJ1656"/>
      <c r="AK1656"/>
      <c r="AL1656"/>
    </row>
    <row r="1657" spans="1:38" ht="15.75" customHeight="1" outlineLevel="3" x14ac:dyDescent="0.2">
      <c r="A1657" s="10">
        <v>94</v>
      </c>
      <c r="B1657" s="10" t="s">
        <v>71</v>
      </c>
      <c r="C1657" s="10" t="s">
        <v>422</v>
      </c>
      <c r="D1657" s="10" t="s">
        <v>412</v>
      </c>
      <c r="E1657" s="11" t="str">
        <f t="array" ref="E1657">_xlfn.XLOOKUP(D1657,Insumos!B:B,Insumos!C:$C)</f>
        <v>M</v>
      </c>
      <c r="F1657" s="14">
        <v>2.5026999999999999</v>
      </c>
      <c r="G1657" s="92">
        <f t="array" ref="G1657">IF(B1657="insumo",_xlfn.XLOOKUP($D1657,Insumos!$B$1:$B$996,Insumos!$D$1:$D$996),"")</f>
        <v>0.31</v>
      </c>
      <c r="H1657" s="92">
        <v>0.775837</v>
      </c>
      <c r="I1657" s="13">
        <v>0</v>
      </c>
      <c r="J1657" s="13">
        <v>0</v>
      </c>
      <c r="K1657" s="13"/>
      <c r="L1657"/>
      <c r="M1657"/>
      <c r="N1657"/>
      <c r="O1657"/>
      <c r="P1657"/>
      <c r="Q1657"/>
      <c r="R1657"/>
      <c r="S1657"/>
      <c r="T1657"/>
      <c r="U1657"/>
      <c r="V1657"/>
      <c r="W1657"/>
      <c r="X1657"/>
      <c r="Y1657"/>
      <c r="Z1657"/>
      <c r="AA1657"/>
      <c r="AB1657"/>
      <c r="AC1657"/>
      <c r="AD1657"/>
      <c r="AE1657"/>
      <c r="AF1657"/>
      <c r="AG1657"/>
      <c r="AH1657"/>
      <c r="AI1657"/>
      <c r="AJ1657"/>
      <c r="AK1657"/>
      <c r="AL1657"/>
    </row>
    <row r="1658" spans="1:38" ht="15.75" customHeight="1" outlineLevel="3" x14ac:dyDescent="0.2">
      <c r="A1658" s="10">
        <v>94</v>
      </c>
      <c r="B1658" s="10" t="s">
        <v>71</v>
      </c>
      <c r="C1658" s="10" t="s">
        <v>422</v>
      </c>
      <c r="D1658" s="10" t="s">
        <v>413</v>
      </c>
      <c r="E1658" s="11" t="str">
        <f t="array" ref="E1658">_xlfn.XLOOKUP(D1658,Insumos!B:B,Insumos!C:$C)</f>
        <v>M</v>
      </c>
      <c r="F1658" s="14">
        <v>1.5851</v>
      </c>
      <c r="G1658" s="92">
        <f t="array" ref="G1658">IF(B1658="insumo",_xlfn.XLOOKUP($D1658,Insumos!$B$1:$B$996,Insumos!$D$1:$D$996),"")</f>
        <v>2.74</v>
      </c>
      <c r="H1658" s="92">
        <v>4.3431740000000003</v>
      </c>
      <c r="I1658" s="13">
        <v>0</v>
      </c>
      <c r="J1658" s="13">
        <v>0</v>
      </c>
      <c r="K1658" s="13"/>
      <c r="L1658"/>
      <c r="M1658"/>
      <c r="N1658"/>
      <c r="O1658"/>
      <c r="P1658"/>
      <c r="Q1658"/>
      <c r="R1658"/>
      <c r="S1658"/>
      <c r="T1658"/>
      <c r="U1658"/>
      <c r="V1658"/>
      <c r="W1658"/>
      <c r="X1658"/>
      <c r="Y1658"/>
      <c r="Z1658"/>
      <c r="AA1658"/>
      <c r="AB1658"/>
      <c r="AC1658"/>
      <c r="AD1658"/>
      <c r="AE1658"/>
      <c r="AF1658"/>
      <c r="AG1658"/>
      <c r="AH1658"/>
      <c r="AI1658"/>
      <c r="AJ1658"/>
      <c r="AK1658"/>
      <c r="AL1658"/>
    </row>
    <row r="1659" spans="1:38" ht="15.75" customHeight="1" outlineLevel="3" x14ac:dyDescent="0.2">
      <c r="A1659" s="10">
        <v>97</v>
      </c>
      <c r="B1659" s="10" t="s">
        <v>71</v>
      </c>
      <c r="C1659" s="10" t="s">
        <v>422</v>
      </c>
      <c r="D1659" s="10" t="s">
        <v>414</v>
      </c>
      <c r="E1659" s="11" t="str">
        <f t="array" ref="E1659">_xlfn.XLOOKUP(D1659,Insumos!B:B,Insumos!C:$C)</f>
        <v>UN</v>
      </c>
      <c r="F1659" s="14">
        <v>20.186800000000002</v>
      </c>
      <c r="G1659" s="92">
        <f t="array" ref="G1659">IF(B1659="insumo",_xlfn.XLOOKUP($D1659,Insumos!$B$1:$B$996,Insumos!$D$1:$D$996),"")</f>
        <v>0.09</v>
      </c>
      <c r="H1659" s="92">
        <v>1.8168120000000001</v>
      </c>
      <c r="I1659" s="13">
        <v>0</v>
      </c>
      <c r="J1659" s="13">
        <v>0</v>
      </c>
      <c r="K1659" s="13"/>
      <c r="L1659"/>
      <c r="M1659"/>
      <c r="N1659"/>
      <c r="O1659"/>
      <c r="P1659"/>
      <c r="Q1659"/>
      <c r="R1659"/>
      <c r="S1659"/>
      <c r="T1659"/>
      <c r="U1659"/>
      <c r="V1659"/>
      <c r="W1659"/>
      <c r="X1659"/>
      <c r="Y1659"/>
      <c r="Z1659"/>
      <c r="AA1659"/>
      <c r="AB1659"/>
      <c r="AC1659"/>
      <c r="AD1659"/>
      <c r="AE1659"/>
      <c r="AF1659"/>
      <c r="AG1659"/>
      <c r="AH1659"/>
      <c r="AI1659"/>
      <c r="AJ1659"/>
      <c r="AK1659"/>
      <c r="AL1659"/>
    </row>
    <row r="1660" spans="1:38" ht="15.75" customHeight="1" outlineLevel="3" x14ac:dyDescent="0.2">
      <c r="A1660" s="10">
        <v>95</v>
      </c>
      <c r="B1660" s="10" t="s">
        <v>71</v>
      </c>
      <c r="C1660" s="10" t="s">
        <v>422</v>
      </c>
      <c r="D1660" s="10" t="s">
        <v>415</v>
      </c>
      <c r="E1660" s="11" t="str">
        <f t="array" ref="E1660">_xlfn.XLOOKUP(D1660,Insumos!B:B,Insumos!C:$C)</f>
        <v>UN</v>
      </c>
      <c r="F1660" s="14">
        <v>0.54410000000000003</v>
      </c>
      <c r="G1660" s="92">
        <f t="array" ref="G1660">IF(B1660="insumo",_xlfn.XLOOKUP($D1660,Insumos!$B$1:$B$996,Insumos!$D$1:$D$996),"")</f>
        <v>0.2</v>
      </c>
      <c r="H1660" s="92">
        <v>0.10882</v>
      </c>
      <c r="I1660" s="13">
        <v>0</v>
      </c>
      <c r="J1660" s="13">
        <v>0</v>
      </c>
      <c r="K1660" s="13"/>
      <c r="L1660"/>
      <c r="M1660"/>
      <c r="N1660"/>
      <c r="O1660"/>
      <c r="P1660"/>
      <c r="Q1660"/>
      <c r="R1660"/>
      <c r="S1660"/>
      <c r="T1660"/>
      <c r="U1660"/>
      <c r="V1660"/>
      <c r="W1660"/>
      <c r="X1660"/>
      <c r="Y1660"/>
      <c r="Z1660"/>
      <c r="AA1660"/>
      <c r="AB1660"/>
      <c r="AC1660"/>
      <c r="AD1660"/>
      <c r="AE1660"/>
      <c r="AF1660"/>
      <c r="AG1660"/>
      <c r="AH1660"/>
      <c r="AI1660"/>
      <c r="AJ1660"/>
      <c r="AK1660"/>
      <c r="AL1660"/>
    </row>
    <row r="1661" spans="1:38" ht="15.75" customHeight="1" outlineLevel="3" x14ac:dyDescent="0.2">
      <c r="A1661" s="10">
        <v>35</v>
      </c>
      <c r="B1661" s="10" t="s">
        <v>71</v>
      </c>
      <c r="C1661" s="10" t="s">
        <v>422</v>
      </c>
      <c r="D1661" s="10" t="s">
        <v>1595</v>
      </c>
      <c r="E1661" s="11" t="str">
        <f t="array" ref="E1661">_xlfn.XLOOKUP(D1661,Insumos!B:B,Insumos!C:$C)</f>
        <v>M2</v>
      </c>
      <c r="F1661" s="14">
        <v>1.1000000000000001</v>
      </c>
      <c r="G1661" s="92">
        <f t="array" ref="G1661">IF(B1661="insumo",_xlfn.XLOOKUP($D1661,Insumos!$B$1:$B$996,Insumos!$D$1:$D$996),"")</f>
        <v>13.019333333333332</v>
      </c>
      <c r="H1661" s="92">
        <v>14.3212666666667</v>
      </c>
      <c r="I1661" s="13">
        <v>0</v>
      </c>
      <c r="J1661" s="13">
        <v>0</v>
      </c>
      <c r="K1661" s="13"/>
      <c r="L1661"/>
      <c r="M1661"/>
      <c r="N1661"/>
      <c r="O1661"/>
      <c r="P1661"/>
      <c r="Q1661"/>
      <c r="R1661"/>
      <c r="S1661"/>
      <c r="T1661"/>
      <c r="U1661"/>
      <c r="V1661"/>
      <c r="W1661"/>
      <c r="X1661"/>
      <c r="Y1661"/>
      <c r="Z1661"/>
      <c r="AA1661"/>
      <c r="AB1661"/>
      <c r="AC1661"/>
      <c r="AD1661"/>
      <c r="AE1661"/>
      <c r="AF1661"/>
      <c r="AG1661"/>
      <c r="AH1661"/>
      <c r="AI1661"/>
      <c r="AJ1661"/>
      <c r="AK1661"/>
      <c r="AL1661"/>
    </row>
    <row r="1662" spans="1:38" ht="15.75" customHeight="1" outlineLevel="2" x14ac:dyDescent="0.2">
      <c r="A1662" s="1067">
        <v>1</v>
      </c>
      <c r="B1662" s="1067" t="s">
        <v>68</v>
      </c>
      <c r="C1662" s="1067" t="s">
        <v>426</v>
      </c>
      <c r="D1662" s="1067" t="s">
        <v>426</v>
      </c>
      <c r="E1662" s="1068" t="s">
        <v>70</v>
      </c>
      <c r="F1662" s="1067"/>
      <c r="G1662" s="1069" t="str">
        <f t="array" ref="G1662">IF(B1662="insumo",_xlfn.XLOOKUP($D1662,Insumos!$B$1:$B$996,Insumos!$D$1:$D$996),"")</f>
        <v/>
      </c>
      <c r="H1662" s="1069">
        <v>181.35470316666701</v>
      </c>
      <c r="I1662" s="1070">
        <v>0</v>
      </c>
      <c r="J1662" s="1070">
        <v>0</v>
      </c>
      <c r="K1662" s="1070"/>
      <c r="L1662"/>
      <c r="M1662"/>
      <c r="N1662"/>
      <c r="O1662"/>
      <c r="P1662"/>
      <c r="Q1662"/>
      <c r="R1662"/>
      <c r="S1662"/>
      <c r="T1662"/>
      <c r="U1662"/>
      <c r="V1662"/>
      <c r="W1662"/>
      <c r="X1662"/>
      <c r="Y1662"/>
      <c r="Z1662"/>
      <c r="AA1662"/>
      <c r="AB1662"/>
      <c r="AC1662"/>
      <c r="AD1662"/>
      <c r="AE1662"/>
      <c r="AF1662"/>
      <c r="AG1662"/>
      <c r="AH1662"/>
      <c r="AI1662"/>
      <c r="AJ1662"/>
      <c r="AK1662"/>
      <c r="AL1662"/>
    </row>
    <row r="1663" spans="1:38" ht="15.75" customHeight="1" outlineLevel="3" x14ac:dyDescent="0.2">
      <c r="A1663" s="10">
        <v>86</v>
      </c>
      <c r="B1663" s="10" t="s">
        <v>71</v>
      </c>
      <c r="C1663" s="10" t="s">
        <v>426</v>
      </c>
      <c r="D1663" s="10" t="s">
        <v>407</v>
      </c>
      <c r="E1663" s="11" t="str">
        <f t="array" ref="E1663">_xlfn.XLOOKUP(D1663,Insumos!B:B,Insumos!C:$C)</f>
        <v>M2</v>
      </c>
      <c r="F1663" s="14">
        <v>1</v>
      </c>
      <c r="G1663" s="92">
        <f t="array" ref="G1663">IF(B1663="insumo",_xlfn.XLOOKUP($D1663,Insumos!$B$1:$B$996,Insumos!$D$1:$D$996),"")</f>
        <v>70</v>
      </c>
      <c r="H1663" s="92">
        <v>70</v>
      </c>
      <c r="I1663" s="13">
        <v>0</v>
      </c>
      <c r="J1663" s="13">
        <v>0</v>
      </c>
      <c r="K1663" s="13"/>
      <c r="L1663"/>
      <c r="M1663"/>
      <c r="N1663"/>
      <c r="O1663"/>
      <c r="P1663"/>
      <c r="Q1663"/>
      <c r="R1663"/>
      <c r="S1663"/>
      <c r="T1663"/>
      <c r="U1663"/>
      <c r="V1663"/>
      <c r="W1663"/>
      <c r="X1663"/>
      <c r="Y1663"/>
      <c r="Z1663"/>
      <c r="AA1663"/>
      <c r="AB1663"/>
      <c r="AC1663"/>
      <c r="AD1663"/>
      <c r="AE1663"/>
      <c r="AF1663"/>
      <c r="AG1663"/>
      <c r="AH1663"/>
      <c r="AI1663"/>
      <c r="AJ1663"/>
      <c r="AK1663"/>
      <c r="AL1663"/>
    </row>
    <row r="1664" spans="1:38" ht="15.75" customHeight="1" outlineLevel="3" x14ac:dyDescent="0.2">
      <c r="A1664" s="10">
        <v>49</v>
      </c>
      <c r="B1664" s="10" t="s">
        <v>71</v>
      </c>
      <c r="C1664" s="10" t="s">
        <v>426</v>
      </c>
      <c r="D1664" s="10" t="s">
        <v>418</v>
      </c>
      <c r="E1664" s="11" t="str">
        <f t="array" ref="E1664">_xlfn.XLOOKUP(D1664,Insumos!B:B,Insumos!C:$C)</f>
        <v>M2</v>
      </c>
      <c r="F1664" s="14">
        <v>1.0529999999999999</v>
      </c>
      <c r="G1664" s="92">
        <f t="array" ref="G1664">IF(B1664="insumo",_xlfn.XLOOKUP($D1664,Insumos!$B$1:$B$996,Insumos!$D$1:$D$996),"")</f>
        <v>27.1</v>
      </c>
      <c r="H1664" s="92">
        <v>28.536300000000001</v>
      </c>
      <c r="I1664" s="13">
        <v>0</v>
      </c>
      <c r="J1664" s="13">
        <v>0</v>
      </c>
      <c r="K1664" s="13"/>
      <c r="L1664"/>
      <c r="M1664"/>
      <c r="N1664"/>
      <c r="O1664"/>
      <c r="P1664"/>
      <c r="Q1664"/>
      <c r="R1664"/>
      <c r="S1664"/>
      <c r="T1664"/>
      <c r="U1664"/>
      <c r="V1664"/>
      <c r="W1664"/>
      <c r="X1664"/>
      <c r="Y1664"/>
      <c r="Z1664"/>
      <c r="AA1664"/>
      <c r="AB1664"/>
      <c r="AC1664"/>
      <c r="AD1664"/>
      <c r="AE1664"/>
      <c r="AF1664"/>
      <c r="AG1664"/>
      <c r="AH1664"/>
      <c r="AI1664"/>
      <c r="AJ1664"/>
      <c r="AK1664"/>
      <c r="AL1664"/>
    </row>
    <row r="1665" spans="1:38" ht="15.75" customHeight="1" outlineLevel="3" x14ac:dyDescent="0.2">
      <c r="A1665" s="10">
        <v>95</v>
      </c>
      <c r="B1665" s="10" t="s">
        <v>71</v>
      </c>
      <c r="C1665" s="10" t="s">
        <v>426</v>
      </c>
      <c r="D1665" s="10" t="s">
        <v>409</v>
      </c>
      <c r="E1665" s="11" t="str">
        <f t="array" ref="E1665">_xlfn.XLOOKUP(D1665,Insumos!B:B,Insumos!C:$C)</f>
        <v>UN</v>
      </c>
      <c r="F1665" s="14">
        <v>5.92</v>
      </c>
      <c r="G1665" s="92">
        <f t="array" ref="G1665">IF(B1665="insumo",_xlfn.XLOOKUP($D1665,Insumos!$B$1:$B$996,Insumos!$D$1:$D$996),"")</f>
        <v>0.504</v>
      </c>
      <c r="H1665" s="92">
        <v>2.9836800000000001</v>
      </c>
      <c r="I1665" s="13">
        <v>0</v>
      </c>
      <c r="J1665" s="13">
        <v>0</v>
      </c>
      <c r="K1665" s="13"/>
      <c r="L1665"/>
      <c r="M1665"/>
      <c r="N1665"/>
      <c r="O1665"/>
      <c r="P1665"/>
      <c r="Q1665"/>
      <c r="R1665"/>
      <c r="S1665"/>
      <c r="T1665"/>
      <c r="U1665"/>
      <c r="V1665"/>
      <c r="W1665"/>
      <c r="X1665"/>
      <c r="Y1665"/>
      <c r="Z1665"/>
      <c r="AA1665"/>
      <c r="AB1665"/>
      <c r="AC1665"/>
      <c r="AD1665"/>
      <c r="AE1665"/>
      <c r="AF1665"/>
      <c r="AG1665"/>
      <c r="AH1665"/>
      <c r="AI1665"/>
      <c r="AJ1665"/>
      <c r="AK1665"/>
      <c r="AL1665"/>
    </row>
    <row r="1666" spans="1:38" ht="15.75" customHeight="1" outlineLevel="3" x14ac:dyDescent="0.2">
      <c r="A1666" s="10">
        <v>43</v>
      </c>
      <c r="B1666" s="10" t="s">
        <v>71</v>
      </c>
      <c r="C1666" s="10" t="s">
        <v>426</v>
      </c>
      <c r="D1666" s="10" t="s">
        <v>423</v>
      </c>
      <c r="E1666" s="11" t="str">
        <f t="array" ref="E1666">_xlfn.XLOOKUP(D1666,Insumos!B:B,Insumos!C:$C)</f>
        <v>M</v>
      </c>
      <c r="F1666" s="14">
        <v>1.8233999999999999</v>
      </c>
      <c r="G1666" s="92">
        <f t="array" ref="G1666">IF(B1666="insumo",_xlfn.XLOOKUP($D1666,Insumos!$B$1:$B$996,Insumos!$D$1:$D$996),"")</f>
        <v>7.46</v>
      </c>
      <c r="H1666" s="92">
        <v>13.602563999999999</v>
      </c>
      <c r="I1666" s="13">
        <v>0</v>
      </c>
      <c r="J1666" s="13">
        <v>0</v>
      </c>
      <c r="K1666" s="13"/>
      <c r="L1666"/>
      <c r="M1666"/>
      <c r="N1666"/>
      <c r="O1666"/>
      <c r="P1666"/>
      <c r="Q1666"/>
      <c r="R1666"/>
      <c r="S1666"/>
      <c r="T1666"/>
      <c r="U1666"/>
      <c r="V1666"/>
      <c r="W1666"/>
      <c r="X1666"/>
      <c r="Y1666"/>
      <c r="Z1666"/>
      <c r="AA1666"/>
      <c r="AB1666"/>
      <c r="AC1666"/>
      <c r="AD1666"/>
      <c r="AE1666"/>
      <c r="AF1666"/>
      <c r="AG1666"/>
      <c r="AH1666"/>
      <c r="AI1666"/>
      <c r="AJ1666"/>
      <c r="AK1666"/>
      <c r="AL1666"/>
    </row>
    <row r="1667" spans="1:38" ht="15.75" customHeight="1" outlineLevel="3" x14ac:dyDescent="0.2">
      <c r="A1667" s="10">
        <v>43</v>
      </c>
      <c r="B1667" s="10" t="s">
        <v>71</v>
      </c>
      <c r="C1667" s="10" t="s">
        <v>426</v>
      </c>
      <c r="D1667" s="10" t="s">
        <v>424</v>
      </c>
      <c r="E1667" s="11" t="str">
        <f t="array" ref="E1667">_xlfn.XLOOKUP(D1667,Insumos!B:B,Insumos!C:$C)</f>
        <v>M</v>
      </c>
      <c r="F1667" s="14">
        <v>5.8277999999999999</v>
      </c>
      <c r="G1667" s="92">
        <f t="array" ref="G1667">IF(B1667="insumo",_xlfn.XLOOKUP($D1667,Insumos!$B$1:$B$996,Insumos!$D$1:$D$996),"")</f>
        <v>7.98</v>
      </c>
      <c r="H1667" s="92">
        <v>46.505844000000003</v>
      </c>
      <c r="I1667" s="13">
        <v>0</v>
      </c>
      <c r="J1667" s="13">
        <v>0</v>
      </c>
      <c r="K1667" s="13"/>
      <c r="L1667"/>
      <c r="M1667"/>
      <c r="N1667"/>
      <c r="O1667"/>
      <c r="P1667"/>
      <c r="Q1667"/>
      <c r="R1667"/>
      <c r="S1667"/>
      <c r="T1667"/>
      <c r="U1667"/>
      <c r="V1667"/>
      <c r="W1667"/>
      <c r="X1667"/>
      <c r="Y1667"/>
      <c r="Z1667"/>
      <c r="AA1667"/>
      <c r="AB1667"/>
      <c r="AC1667"/>
      <c r="AD1667"/>
      <c r="AE1667"/>
      <c r="AF1667"/>
      <c r="AG1667"/>
      <c r="AH1667"/>
      <c r="AI1667"/>
      <c r="AJ1667"/>
      <c r="AK1667"/>
      <c r="AL1667"/>
    </row>
    <row r="1668" spans="1:38" ht="15.75" customHeight="1" outlineLevel="3" x14ac:dyDescent="0.2">
      <c r="A1668" s="10">
        <v>95</v>
      </c>
      <c r="B1668" s="10" t="s">
        <v>71</v>
      </c>
      <c r="C1668" s="10" t="s">
        <v>426</v>
      </c>
      <c r="D1668" s="10" t="s">
        <v>405</v>
      </c>
      <c r="E1668" s="11" t="str">
        <f t="array" ref="E1668">_xlfn.XLOOKUP(D1668,Insumos!B:B,Insumos!C:$C)</f>
        <v>KG</v>
      </c>
      <c r="F1668" s="14">
        <v>0.54890000000000005</v>
      </c>
      <c r="G1668" s="92">
        <f t="array" ref="G1668">IF(B1668="insumo",_xlfn.XLOOKUP($D1668,Insumos!$B$1:$B$996,Insumos!$D$1:$D$996),"")</f>
        <v>3.43</v>
      </c>
      <c r="H1668" s="92">
        <v>1.882727</v>
      </c>
      <c r="I1668" s="13">
        <v>0</v>
      </c>
      <c r="J1668" s="13">
        <v>0</v>
      </c>
      <c r="K1668" s="13"/>
      <c r="L1668"/>
      <c r="M1668"/>
      <c r="N1668"/>
      <c r="O1668"/>
      <c r="P1668"/>
      <c r="Q1668"/>
      <c r="R1668"/>
      <c r="S1668"/>
      <c r="T1668"/>
      <c r="U1668"/>
      <c r="V1668"/>
      <c r="W1668"/>
      <c r="X1668"/>
      <c r="Y1668"/>
      <c r="Z1668"/>
      <c r="AA1668"/>
      <c r="AB1668"/>
      <c r="AC1668"/>
      <c r="AD1668"/>
      <c r="AE1668"/>
      <c r="AF1668"/>
      <c r="AG1668"/>
      <c r="AH1668"/>
      <c r="AI1668"/>
      <c r="AJ1668"/>
      <c r="AK1668"/>
      <c r="AL1668"/>
    </row>
    <row r="1669" spans="1:38" ht="15.75" customHeight="1" outlineLevel="3" x14ac:dyDescent="0.2">
      <c r="A1669" s="10">
        <v>94</v>
      </c>
      <c r="B1669" s="10" t="s">
        <v>71</v>
      </c>
      <c r="C1669" s="10" t="s">
        <v>426</v>
      </c>
      <c r="D1669" s="10" t="s">
        <v>412</v>
      </c>
      <c r="E1669" s="11" t="str">
        <f t="array" ref="E1669">_xlfn.XLOOKUP(D1669,Insumos!B:B,Insumos!C:$C)</f>
        <v>M</v>
      </c>
      <c r="F1669" s="14">
        <v>1.25135</v>
      </c>
      <c r="G1669" s="92">
        <f t="array" ref="G1669">IF(B1669="insumo",_xlfn.XLOOKUP($D1669,Insumos!$B$1:$B$996,Insumos!$D$1:$D$996),"")</f>
        <v>0.31</v>
      </c>
      <c r="H1669" s="92">
        <v>0.3879185</v>
      </c>
      <c r="I1669" s="13">
        <v>0</v>
      </c>
      <c r="J1669" s="13">
        <v>0</v>
      </c>
      <c r="K1669" s="13"/>
      <c r="L1669"/>
      <c r="M1669"/>
      <c r="N1669"/>
      <c r="O1669"/>
      <c r="P1669"/>
      <c r="Q1669"/>
      <c r="R1669"/>
      <c r="S1669"/>
      <c r="T1669"/>
      <c r="U1669"/>
      <c r="V1669"/>
      <c r="W1669"/>
      <c r="X1669"/>
      <c r="Y1669"/>
      <c r="Z1669"/>
      <c r="AA1669"/>
      <c r="AB1669"/>
      <c r="AC1669"/>
      <c r="AD1669"/>
      <c r="AE1669"/>
      <c r="AF1669"/>
      <c r="AG1669"/>
      <c r="AH1669"/>
      <c r="AI1669"/>
      <c r="AJ1669"/>
      <c r="AK1669"/>
      <c r="AL1669"/>
    </row>
    <row r="1670" spans="1:38" ht="15.75" customHeight="1" outlineLevel="3" x14ac:dyDescent="0.2">
      <c r="A1670" s="10">
        <v>94</v>
      </c>
      <c r="B1670" s="10" t="s">
        <v>71</v>
      </c>
      <c r="C1670" s="10" t="s">
        <v>426</v>
      </c>
      <c r="D1670" s="10" t="s">
        <v>413</v>
      </c>
      <c r="E1670" s="11" t="str">
        <f t="array" ref="E1670">_xlfn.XLOOKUP(D1670,Insumos!B:B,Insumos!C:$C)</f>
        <v>M</v>
      </c>
      <c r="F1670" s="14">
        <v>0.79254999999999998</v>
      </c>
      <c r="G1670" s="92">
        <f t="array" ref="G1670">IF(B1670="insumo",_xlfn.XLOOKUP($D1670,Insumos!$B$1:$B$996,Insumos!$D$1:$D$996),"")</f>
        <v>2.74</v>
      </c>
      <c r="H1670" s="92">
        <v>2.1715870000000002</v>
      </c>
      <c r="I1670" s="13">
        <v>0</v>
      </c>
      <c r="J1670" s="13">
        <v>0</v>
      </c>
      <c r="K1670" s="13"/>
      <c r="L1670"/>
      <c r="M1670"/>
      <c r="N1670"/>
      <c r="O1670"/>
      <c r="P1670"/>
      <c r="Q1670"/>
      <c r="R1670"/>
      <c r="S1670"/>
      <c r="T1670"/>
      <c r="U1670"/>
      <c r="V1670"/>
      <c r="W1670"/>
      <c r="X1670"/>
      <c r="Y1670"/>
      <c r="Z1670"/>
      <c r="AA1670"/>
      <c r="AB1670"/>
      <c r="AC1670"/>
      <c r="AD1670"/>
      <c r="AE1670"/>
      <c r="AF1670"/>
      <c r="AG1670"/>
      <c r="AH1670"/>
      <c r="AI1670"/>
      <c r="AJ1670"/>
      <c r="AK1670"/>
      <c r="AL1670"/>
    </row>
    <row r="1671" spans="1:38" ht="15.75" customHeight="1" outlineLevel="3" x14ac:dyDescent="0.2">
      <c r="A1671" s="10">
        <v>97</v>
      </c>
      <c r="B1671" s="10" t="s">
        <v>71</v>
      </c>
      <c r="C1671" s="10" t="s">
        <v>426</v>
      </c>
      <c r="D1671" s="10" t="s">
        <v>414</v>
      </c>
      <c r="E1671" s="11" t="str">
        <f t="array" ref="E1671">_xlfn.XLOOKUP(D1671,Insumos!B:B,Insumos!C:$C)</f>
        <v>UN</v>
      </c>
      <c r="F1671" s="14">
        <v>10.093400000000001</v>
      </c>
      <c r="G1671" s="92">
        <f t="array" ref="G1671">IF(B1671="insumo",_xlfn.XLOOKUP($D1671,Insumos!$B$1:$B$996,Insumos!$D$1:$D$996),"")</f>
        <v>0.09</v>
      </c>
      <c r="H1671" s="92">
        <v>0.90840600000000005</v>
      </c>
      <c r="I1671" s="13">
        <v>0</v>
      </c>
      <c r="J1671" s="13">
        <v>0</v>
      </c>
      <c r="K1671" s="13"/>
      <c r="L1671"/>
      <c r="M1671"/>
      <c r="N1671"/>
      <c r="O1671"/>
      <c r="P1671"/>
      <c r="Q1671"/>
      <c r="R1671"/>
      <c r="S1671"/>
      <c r="T1671"/>
      <c r="U1671"/>
      <c r="V1671"/>
      <c r="W1671"/>
      <c r="X1671"/>
      <c r="Y1671"/>
      <c r="Z1671"/>
      <c r="AA1671"/>
      <c r="AB1671"/>
      <c r="AC1671"/>
      <c r="AD1671"/>
      <c r="AE1671"/>
      <c r="AF1671"/>
      <c r="AG1671"/>
      <c r="AH1671"/>
      <c r="AI1671"/>
      <c r="AJ1671"/>
      <c r="AK1671"/>
      <c r="AL1671"/>
    </row>
    <row r="1672" spans="1:38" ht="15.75" customHeight="1" outlineLevel="3" x14ac:dyDescent="0.2">
      <c r="A1672" s="10">
        <v>95</v>
      </c>
      <c r="B1672" s="10" t="s">
        <v>71</v>
      </c>
      <c r="C1672" s="10" t="s">
        <v>426</v>
      </c>
      <c r="D1672" s="10" t="s">
        <v>415</v>
      </c>
      <c r="E1672" s="11" t="str">
        <f t="array" ref="E1672">_xlfn.XLOOKUP(D1672,Insumos!B:B,Insumos!C:$C)</f>
        <v>UN</v>
      </c>
      <c r="F1672" s="14">
        <v>0.27205000000000001</v>
      </c>
      <c r="G1672" s="92">
        <f t="array" ref="G1672">IF(B1672="insumo",_xlfn.XLOOKUP($D1672,Insumos!$B$1:$B$996,Insumos!$D$1:$D$996),"")</f>
        <v>0.2</v>
      </c>
      <c r="H1672" s="92">
        <v>5.441E-2</v>
      </c>
      <c r="I1672" s="13">
        <v>0</v>
      </c>
      <c r="J1672" s="13">
        <v>0</v>
      </c>
      <c r="K1672" s="13"/>
      <c r="L1672"/>
      <c r="M1672"/>
      <c r="N1672"/>
      <c r="O1672"/>
      <c r="P1672"/>
      <c r="Q1672"/>
      <c r="R1672"/>
      <c r="S1672"/>
      <c r="T1672"/>
      <c r="U1672"/>
      <c r="V1672"/>
      <c r="W1672"/>
      <c r="X1672"/>
      <c r="Y1672"/>
      <c r="Z1672"/>
      <c r="AA1672"/>
      <c r="AB1672"/>
      <c r="AC1672"/>
      <c r="AD1672"/>
      <c r="AE1672"/>
      <c r="AF1672"/>
      <c r="AG1672"/>
      <c r="AH1672"/>
      <c r="AI1672"/>
      <c r="AJ1672"/>
      <c r="AK1672"/>
      <c r="AL1672"/>
    </row>
    <row r="1673" spans="1:38" ht="15.75" customHeight="1" outlineLevel="3" x14ac:dyDescent="0.2">
      <c r="A1673" s="10">
        <v>35</v>
      </c>
      <c r="B1673" s="10" t="s">
        <v>71</v>
      </c>
      <c r="C1673" s="10" t="s">
        <v>426</v>
      </c>
      <c r="D1673" s="10" t="s">
        <v>1595</v>
      </c>
      <c r="E1673" s="11" t="str">
        <f t="array" ref="E1673">_xlfn.XLOOKUP(D1673,Insumos!B:B,Insumos!C:$C)</f>
        <v>M2</v>
      </c>
      <c r="F1673" s="14">
        <v>1.1000000000000001</v>
      </c>
      <c r="G1673" s="92">
        <f t="array" ref="G1673">IF(B1673="insumo",_xlfn.XLOOKUP($D1673,Insumos!$B$1:$B$996,Insumos!$D$1:$D$996),"")</f>
        <v>13.019333333333332</v>
      </c>
      <c r="H1673" s="92">
        <v>14.3212666666667</v>
      </c>
      <c r="I1673" s="13">
        <v>0</v>
      </c>
      <c r="J1673" s="13">
        <v>0</v>
      </c>
      <c r="K1673" s="13"/>
      <c r="L1673"/>
      <c r="M1673"/>
      <c r="N1673"/>
      <c r="O1673"/>
      <c r="P1673"/>
      <c r="Q1673"/>
      <c r="R1673"/>
      <c r="S1673"/>
      <c r="T1673"/>
      <c r="U1673"/>
      <c r="V1673"/>
      <c r="W1673"/>
      <c r="X1673"/>
      <c r="Y1673"/>
      <c r="Z1673"/>
      <c r="AA1673"/>
      <c r="AB1673"/>
      <c r="AC1673"/>
      <c r="AD1673"/>
      <c r="AE1673"/>
      <c r="AF1673"/>
      <c r="AG1673"/>
      <c r="AH1673"/>
      <c r="AI1673"/>
      <c r="AJ1673"/>
      <c r="AK1673"/>
      <c r="AL1673"/>
    </row>
    <row r="1674" spans="1:38" ht="15.75" customHeight="1" outlineLevel="2" x14ac:dyDescent="0.2">
      <c r="A1674" s="1067">
        <v>1</v>
      </c>
      <c r="B1674" s="1067" t="s">
        <v>68</v>
      </c>
      <c r="C1674" s="1067" t="s">
        <v>427</v>
      </c>
      <c r="D1674" s="1067" t="s">
        <v>427</v>
      </c>
      <c r="E1674" s="1068" t="s">
        <v>70</v>
      </c>
      <c r="F1674" s="1067"/>
      <c r="G1674" s="1069" t="str">
        <f t="array" ref="G1674">IF(B1674="insumo",_xlfn.XLOOKUP($D1674,Insumos!$B$1:$B$996,Insumos!$D$1:$D$996),"")</f>
        <v/>
      </c>
      <c r="H1674" s="1069">
        <v>181.35470316666701</v>
      </c>
      <c r="I1674" s="1070">
        <v>0</v>
      </c>
      <c r="J1674" s="1070">
        <v>0</v>
      </c>
      <c r="K1674" s="1070"/>
      <c r="L1674"/>
      <c r="M1674"/>
      <c r="N1674"/>
      <c r="O1674"/>
      <c r="P1674"/>
      <c r="Q1674"/>
      <c r="R1674"/>
      <c r="S1674"/>
      <c r="T1674"/>
      <c r="U1674"/>
      <c r="V1674"/>
      <c r="W1674"/>
      <c r="X1674"/>
      <c r="Y1674"/>
      <c r="Z1674"/>
      <c r="AA1674"/>
      <c r="AB1674"/>
      <c r="AC1674"/>
      <c r="AD1674"/>
      <c r="AE1674"/>
      <c r="AF1674"/>
      <c r="AG1674"/>
      <c r="AH1674"/>
      <c r="AI1674"/>
      <c r="AJ1674"/>
      <c r="AK1674"/>
      <c r="AL1674"/>
    </row>
    <row r="1675" spans="1:38" ht="15.75" customHeight="1" outlineLevel="3" x14ac:dyDescent="0.2">
      <c r="A1675" s="10">
        <v>86</v>
      </c>
      <c r="B1675" s="10" t="s">
        <v>71</v>
      </c>
      <c r="C1675" s="10" t="s">
        <v>427</v>
      </c>
      <c r="D1675" s="10" t="s">
        <v>407</v>
      </c>
      <c r="E1675" s="11" t="str">
        <f t="array" ref="E1675">_xlfn.XLOOKUP(D1675,Insumos!B:B,Insumos!C:$C)</f>
        <v>M2</v>
      </c>
      <c r="F1675" s="14">
        <v>1</v>
      </c>
      <c r="G1675" s="92">
        <f t="array" ref="G1675">IF(B1675="insumo",_xlfn.XLOOKUP($D1675,Insumos!$B$1:$B$996,Insumos!$D$1:$D$996),"")</f>
        <v>70</v>
      </c>
      <c r="H1675" s="92">
        <v>70</v>
      </c>
      <c r="I1675" s="13">
        <v>0</v>
      </c>
      <c r="J1675" s="13">
        <v>0</v>
      </c>
      <c r="K1675" s="13"/>
      <c r="L1675"/>
      <c r="M1675"/>
      <c r="N1675"/>
      <c r="O1675"/>
      <c r="P1675"/>
      <c r="Q1675"/>
      <c r="R1675"/>
      <c r="S1675"/>
      <c r="T1675"/>
      <c r="U1675"/>
      <c r="V1675"/>
      <c r="W1675"/>
      <c r="X1675"/>
      <c r="Y1675"/>
      <c r="Z1675"/>
      <c r="AA1675"/>
      <c r="AB1675"/>
      <c r="AC1675"/>
      <c r="AD1675"/>
      <c r="AE1675"/>
      <c r="AF1675"/>
      <c r="AG1675"/>
      <c r="AH1675"/>
      <c r="AI1675"/>
      <c r="AJ1675"/>
      <c r="AK1675"/>
      <c r="AL1675"/>
    </row>
    <row r="1676" spans="1:38" ht="15.75" customHeight="1" outlineLevel="3" x14ac:dyDescent="0.2">
      <c r="A1676" s="10">
        <v>49</v>
      </c>
      <c r="B1676" s="10" t="s">
        <v>71</v>
      </c>
      <c r="C1676" s="10" t="s">
        <v>427</v>
      </c>
      <c r="D1676" s="10" t="s">
        <v>418</v>
      </c>
      <c r="E1676" s="11" t="str">
        <f t="array" ref="E1676">_xlfn.XLOOKUP(D1676,Insumos!B:B,Insumos!C:$C)</f>
        <v>M2</v>
      </c>
      <c r="F1676" s="14">
        <v>1.0529999999999999</v>
      </c>
      <c r="G1676" s="92">
        <f t="array" ref="G1676">IF(B1676="insumo",_xlfn.XLOOKUP($D1676,Insumos!$B$1:$B$996,Insumos!$D$1:$D$996),"")</f>
        <v>27.1</v>
      </c>
      <c r="H1676" s="92">
        <v>28.536300000000001</v>
      </c>
      <c r="I1676" s="13">
        <v>0</v>
      </c>
      <c r="J1676" s="13">
        <v>0</v>
      </c>
      <c r="K1676" s="13"/>
      <c r="L1676"/>
      <c r="M1676"/>
      <c r="N1676"/>
      <c r="O1676"/>
      <c r="P1676"/>
      <c r="Q1676"/>
      <c r="R1676"/>
      <c r="S1676"/>
      <c r="T1676"/>
      <c r="U1676"/>
      <c r="V1676"/>
      <c r="W1676"/>
      <c r="X1676"/>
      <c r="Y1676"/>
      <c r="Z1676"/>
      <c r="AA1676"/>
      <c r="AB1676"/>
      <c r="AC1676"/>
      <c r="AD1676"/>
      <c r="AE1676"/>
      <c r="AF1676"/>
      <c r="AG1676"/>
      <c r="AH1676"/>
      <c r="AI1676"/>
      <c r="AJ1676"/>
      <c r="AK1676"/>
      <c r="AL1676"/>
    </row>
    <row r="1677" spans="1:38" ht="15.75" customHeight="1" outlineLevel="3" x14ac:dyDescent="0.2">
      <c r="A1677" s="10">
        <v>95</v>
      </c>
      <c r="B1677" s="10" t="s">
        <v>71</v>
      </c>
      <c r="C1677" s="10" t="s">
        <v>427</v>
      </c>
      <c r="D1677" s="10" t="s">
        <v>409</v>
      </c>
      <c r="E1677" s="11" t="str">
        <f t="array" ref="E1677">_xlfn.XLOOKUP(D1677,Insumos!B:B,Insumos!C:$C)</f>
        <v>UN</v>
      </c>
      <c r="F1677" s="14">
        <v>5.92</v>
      </c>
      <c r="G1677" s="92">
        <f t="array" ref="G1677">IF(B1677="insumo",_xlfn.XLOOKUP($D1677,Insumos!$B$1:$B$996,Insumos!$D$1:$D$996),"")</f>
        <v>0.504</v>
      </c>
      <c r="H1677" s="92">
        <v>2.9836800000000001</v>
      </c>
      <c r="I1677" s="13">
        <v>0</v>
      </c>
      <c r="J1677" s="13">
        <v>0</v>
      </c>
      <c r="K1677" s="13"/>
      <c r="L1677"/>
      <c r="M1677"/>
      <c r="N1677"/>
      <c r="O1677"/>
      <c r="P1677"/>
      <c r="Q1677"/>
      <c r="R1677"/>
      <c r="S1677"/>
      <c r="T1677"/>
      <c r="U1677"/>
      <c r="V1677"/>
      <c r="W1677"/>
      <c r="X1677"/>
      <c r="Y1677"/>
      <c r="Z1677"/>
      <c r="AA1677"/>
      <c r="AB1677"/>
      <c r="AC1677"/>
      <c r="AD1677"/>
      <c r="AE1677"/>
      <c r="AF1677"/>
      <c r="AG1677"/>
      <c r="AH1677"/>
      <c r="AI1677"/>
      <c r="AJ1677"/>
      <c r="AK1677"/>
      <c r="AL1677"/>
    </row>
    <row r="1678" spans="1:38" ht="15.75" customHeight="1" outlineLevel="3" x14ac:dyDescent="0.2">
      <c r="A1678" s="10">
        <v>43</v>
      </c>
      <c r="B1678" s="10" t="s">
        <v>71</v>
      </c>
      <c r="C1678" s="10" t="s">
        <v>427</v>
      </c>
      <c r="D1678" s="10" t="s">
        <v>423</v>
      </c>
      <c r="E1678" s="11" t="str">
        <f t="array" ref="E1678">_xlfn.XLOOKUP(D1678,Insumos!B:B,Insumos!C:$C)</f>
        <v>M</v>
      </c>
      <c r="F1678" s="14">
        <v>1.8233999999999999</v>
      </c>
      <c r="G1678" s="92">
        <f t="array" ref="G1678">IF(B1678="insumo",_xlfn.XLOOKUP($D1678,Insumos!$B$1:$B$996,Insumos!$D$1:$D$996),"")</f>
        <v>7.46</v>
      </c>
      <c r="H1678" s="92">
        <v>13.602563999999999</v>
      </c>
      <c r="I1678" s="13">
        <v>0</v>
      </c>
      <c r="J1678" s="13">
        <v>0</v>
      </c>
      <c r="K1678" s="13"/>
      <c r="L1678"/>
      <c r="M1678"/>
      <c r="N1678"/>
      <c r="O1678"/>
      <c r="P1678"/>
      <c r="Q1678"/>
      <c r="R1678"/>
      <c r="S1678"/>
      <c r="T1678"/>
      <c r="U1678"/>
      <c r="V1678"/>
      <c r="W1678"/>
      <c r="X1678"/>
      <c r="Y1678"/>
      <c r="Z1678"/>
      <c r="AA1678"/>
      <c r="AB1678"/>
      <c r="AC1678"/>
      <c r="AD1678"/>
      <c r="AE1678"/>
      <c r="AF1678"/>
      <c r="AG1678"/>
      <c r="AH1678"/>
      <c r="AI1678"/>
      <c r="AJ1678"/>
      <c r="AK1678"/>
      <c r="AL1678"/>
    </row>
    <row r="1679" spans="1:38" ht="15.75" customHeight="1" outlineLevel="3" x14ac:dyDescent="0.2">
      <c r="A1679" s="10">
        <v>43</v>
      </c>
      <c r="B1679" s="10" t="s">
        <v>71</v>
      </c>
      <c r="C1679" s="10" t="s">
        <v>427</v>
      </c>
      <c r="D1679" s="10" t="s">
        <v>424</v>
      </c>
      <c r="E1679" s="11" t="str">
        <f t="array" ref="E1679">_xlfn.XLOOKUP(D1679,Insumos!B:B,Insumos!C:$C)</f>
        <v>M</v>
      </c>
      <c r="F1679" s="14">
        <v>5.8277999999999999</v>
      </c>
      <c r="G1679" s="92">
        <f t="array" ref="G1679">IF(B1679="insumo",_xlfn.XLOOKUP($D1679,Insumos!$B$1:$B$996,Insumos!$D$1:$D$996),"")</f>
        <v>7.98</v>
      </c>
      <c r="H1679" s="92">
        <v>46.505844000000003</v>
      </c>
      <c r="I1679" s="13">
        <v>0</v>
      </c>
      <c r="J1679" s="13">
        <v>0</v>
      </c>
      <c r="K1679" s="13"/>
      <c r="L1679"/>
      <c r="M1679"/>
      <c r="N1679"/>
      <c r="O1679"/>
      <c r="P1679"/>
      <c r="Q1679"/>
      <c r="R1679"/>
      <c r="S1679"/>
      <c r="T1679"/>
      <c r="U1679"/>
      <c r="V1679"/>
      <c r="W1679"/>
      <c r="X1679"/>
      <c r="Y1679"/>
      <c r="Z1679"/>
      <c r="AA1679"/>
      <c r="AB1679"/>
      <c r="AC1679"/>
      <c r="AD1679"/>
      <c r="AE1679"/>
      <c r="AF1679"/>
      <c r="AG1679"/>
      <c r="AH1679"/>
      <c r="AI1679"/>
      <c r="AJ1679"/>
      <c r="AK1679"/>
      <c r="AL1679"/>
    </row>
    <row r="1680" spans="1:38" ht="15.75" customHeight="1" outlineLevel="3" x14ac:dyDescent="0.2">
      <c r="A1680" s="10">
        <v>95</v>
      </c>
      <c r="B1680" s="10" t="s">
        <v>71</v>
      </c>
      <c r="C1680" s="10" t="s">
        <v>427</v>
      </c>
      <c r="D1680" s="10" t="s">
        <v>405</v>
      </c>
      <c r="E1680" s="11" t="str">
        <f t="array" ref="E1680">_xlfn.XLOOKUP(D1680,Insumos!B:B,Insumos!C:$C)</f>
        <v>KG</v>
      </c>
      <c r="F1680" s="14">
        <v>0.54890000000000005</v>
      </c>
      <c r="G1680" s="92">
        <f t="array" ref="G1680">IF(B1680="insumo",_xlfn.XLOOKUP($D1680,Insumos!$B$1:$B$996,Insumos!$D$1:$D$996),"")</f>
        <v>3.43</v>
      </c>
      <c r="H1680" s="92">
        <v>1.882727</v>
      </c>
      <c r="I1680" s="13">
        <v>0</v>
      </c>
      <c r="J1680" s="13">
        <v>0</v>
      </c>
      <c r="K1680" s="13"/>
      <c r="L1680"/>
      <c r="M1680"/>
      <c r="N1680"/>
      <c r="O1680"/>
      <c r="P1680"/>
      <c r="Q1680"/>
      <c r="R1680"/>
      <c r="S1680"/>
      <c r="T1680"/>
      <c r="U1680"/>
      <c r="V1680"/>
      <c r="W1680"/>
      <c r="X1680"/>
      <c r="Y1680"/>
      <c r="Z1680"/>
      <c r="AA1680"/>
      <c r="AB1680"/>
      <c r="AC1680"/>
      <c r="AD1680"/>
      <c r="AE1680"/>
      <c r="AF1680"/>
      <c r="AG1680"/>
      <c r="AH1680"/>
      <c r="AI1680"/>
      <c r="AJ1680"/>
      <c r="AK1680"/>
      <c r="AL1680"/>
    </row>
    <row r="1681" spans="1:38" ht="15.75" customHeight="1" outlineLevel="3" x14ac:dyDescent="0.2">
      <c r="A1681" s="10">
        <v>94</v>
      </c>
      <c r="B1681" s="10" t="s">
        <v>71</v>
      </c>
      <c r="C1681" s="10" t="s">
        <v>427</v>
      </c>
      <c r="D1681" s="10" t="s">
        <v>412</v>
      </c>
      <c r="E1681" s="11" t="str">
        <f t="array" ref="E1681">_xlfn.XLOOKUP(D1681,Insumos!B:B,Insumos!C:$C)</f>
        <v>M</v>
      </c>
      <c r="F1681" s="14">
        <v>1.25135</v>
      </c>
      <c r="G1681" s="92">
        <f t="array" ref="G1681">IF(B1681="insumo",_xlfn.XLOOKUP($D1681,Insumos!$B$1:$B$996,Insumos!$D$1:$D$996),"")</f>
        <v>0.31</v>
      </c>
      <c r="H1681" s="92">
        <v>0.3879185</v>
      </c>
      <c r="I1681" s="13">
        <v>0</v>
      </c>
      <c r="J1681" s="13">
        <v>0</v>
      </c>
      <c r="K1681" s="13"/>
      <c r="L1681"/>
      <c r="M1681"/>
      <c r="N1681"/>
      <c r="O1681"/>
      <c r="P1681"/>
      <c r="Q1681"/>
      <c r="R1681"/>
      <c r="S1681"/>
      <c r="T1681"/>
      <c r="U1681"/>
      <c r="V1681"/>
      <c r="W1681"/>
      <c r="X1681"/>
      <c r="Y1681"/>
      <c r="Z1681"/>
      <c r="AA1681"/>
      <c r="AB1681"/>
      <c r="AC1681"/>
      <c r="AD1681"/>
      <c r="AE1681"/>
      <c r="AF1681"/>
      <c r="AG1681"/>
      <c r="AH1681"/>
      <c r="AI1681"/>
      <c r="AJ1681"/>
      <c r="AK1681"/>
      <c r="AL1681"/>
    </row>
    <row r="1682" spans="1:38" ht="15.75" customHeight="1" outlineLevel="3" x14ac:dyDescent="0.2">
      <c r="A1682" s="10">
        <v>94</v>
      </c>
      <c r="B1682" s="10" t="s">
        <v>71</v>
      </c>
      <c r="C1682" s="10" t="s">
        <v>427</v>
      </c>
      <c r="D1682" s="10" t="s">
        <v>413</v>
      </c>
      <c r="E1682" s="11" t="str">
        <f t="array" ref="E1682">_xlfn.XLOOKUP(D1682,Insumos!B:B,Insumos!C:$C)</f>
        <v>M</v>
      </c>
      <c r="F1682" s="14">
        <v>0.79254999999999998</v>
      </c>
      <c r="G1682" s="92">
        <f t="array" ref="G1682">IF(B1682="insumo",_xlfn.XLOOKUP($D1682,Insumos!$B$1:$B$996,Insumos!$D$1:$D$996),"")</f>
        <v>2.74</v>
      </c>
      <c r="H1682" s="92">
        <v>2.1715870000000002</v>
      </c>
      <c r="I1682" s="13">
        <v>0</v>
      </c>
      <c r="J1682" s="13">
        <v>0</v>
      </c>
      <c r="K1682" s="13"/>
      <c r="L1682"/>
      <c r="M1682"/>
      <c r="N1682"/>
      <c r="O1682"/>
      <c r="P1682"/>
      <c r="Q1682"/>
      <c r="R1682"/>
      <c r="S1682"/>
      <c r="T1682"/>
      <c r="U1682"/>
      <c r="V1682"/>
      <c r="W1682"/>
      <c r="X1682"/>
      <c r="Y1682"/>
      <c r="Z1682"/>
      <c r="AA1682"/>
      <c r="AB1682"/>
      <c r="AC1682"/>
      <c r="AD1682"/>
      <c r="AE1682"/>
      <c r="AF1682"/>
      <c r="AG1682"/>
      <c r="AH1682"/>
      <c r="AI1682"/>
      <c r="AJ1682"/>
      <c r="AK1682"/>
      <c r="AL1682"/>
    </row>
    <row r="1683" spans="1:38" ht="15.75" customHeight="1" outlineLevel="3" x14ac:dyDescent="0.2">
      <c r="A1683" s="10">
        <v>97</v>
      </c>
      <c r="B1683" s="10" t="s">
        <v>71</v>
      </c>
      <c r="C1683" s="10" t="s">
        <v>427</v>
      </c>
      <c r="D1683" s="10" t="s">
        <v>414</v>
      </c>
      <c r="E1683" s="11" t="str">
        <f t="array" ref="E1683">_xlfn.XLOOKUP(D1683,Insumos!B:B,Insumos!C:$C)</f>
        <v>UN</v>
      </c>
      <c r="F1683" s="14">
        <v>10.093400000000001</v>
      </c>
      <c r="G1683" s="92">
        <f t="array" ref="G1683">IF(B1683="insumo",_xlfn.XLOOKUP($D1683,Insumos!$B$1:$B$996,Insumos!$D$1:$D$996),"")</f>
        <v>0.09</v>
      </c>
      <c r="H1683" s="92">
        <v>0.90840600000000005</v>
      </c>
      <c r="I1683" s="13">
        <v>0</v>
      </c>
      <c r="J1683" s="13">
        <v>0</v>
      </c>
      <c r="K1683" s="13"/>
      <c r="L1683"/>
      <c r="M1683"/>
      <c r="N1683"/>
      <c r="O1683"/>
      <c r="P1683"/>
      <c r="Q1683"/>
      <c r="R1683"/>
      <c r="S1683"/>
      <c r="T1683"/>
      <c r="U1683"/>
      <c r="V1683"/>
      <c r="W1683"/>
      <c r="X1683"/>
      <c r="Y1683"/>
      <c r="Z1683"/>
      <c r="AA1683"/>
      <c r="AB1683"/>
      <c r="AC1683"/>
      <c r="AD1683"/>
      <c r="AE1683"/>
      <c r="AF1683"/>
      <c r="AG1683"/>
      <c r="AH1683"/>
      <c r="AI1683"/>
      <c r="AJ1683"/>
      <c r="AK1683"/>
      <c r="AL1683"/>
    </row>
    <row r="1684" spans="1:38" ht="15.75" customHeight="1" outlineLevel="3" x14ac:dyDescent="0.2">
      <c r="A1684" s="10">
        <v>95</v>
      </c>
      <c r="B1684" s="10" t="s">
        <v>71</v>
      </c>
      <c r="C1684" s="10" t="s">
        <v>427</v>
      </c>
      <c r="D1684" s="10" t="s">
        <v>415</v>
      </c>
      <c r="E1684" s="11" t="str">
        <f t="array" ref="E1684">_xlfn.XLOOKUP(D1684,Insumos!B:B,Insumos!C:$C)</f>
        <v>UN</v>
      </c>
      <c r="F1684" s="14">
        <v>0.27205000000000001</v>
      </c>
      <c r="G1684" s="92">
        <f t="array" ref="G1684">IF(B1684="insumo",_xlfn.XLOOKUP($D1684,Insumos!$B$1:$B$996,Insumos!$D$1:$D$996),"")</f>
        <v>0.2</v>
      </c>
      <c r="H1684" s="92">
        <v>5.441E-2</v>
      </c>
      <c r="I1684" s="13">
        <v>0</v>
      </c>
      <c r="J1684" s="13">
        <v>0</v>
      </c>
      <c r="K1684" s="13"/>
      <c r="L1684"/>
      <c r="M1684"/>
      <c r="N1684"/>
      <c r="O1684"/>
      <c r="P1684"/>
      <c r="Q1684"/>
      <c r="R1684"/>
      <c r="S1684"/>
      <c r="T1684"/>
      <c r="U1684"/>
      <c r="V1684"/>
      <c r="W1684"/>
      <c r="X1684"/>
      <c r="Y1684"/>
      <c r="Z1684"/>
      <c r="AA1684"/>
      <c r="AB1684"/>
      <c r="AC1684"/>
      <c r="AD1684"/>
      <c r="AE1684"/>
      <c r="AF1684"/>
      <c r="AG1684"/>
      <c r="AH1684"/>
      <c r="AI1684"/>
      <c r="AJ1684"/>
      <c r="AK1684"/>
      <c r="AL1684"/>
    </row>
    <row r="1685" spans="1:38" ht="15.75" customHeight="1" outlineLevel="3" x14ac:dyDescent="0.2">
      <c r="A1685" s="10">
        <v>35</v>
      </c>
      <c r="B1685" s="10" t="s">
        <v>71</v>
      </c>
      <c r="C1685" s="10" t="s">
        <v>427</v>
      </c>
      <c r="D1685" s="10" t="s">
        <v>1595</v>
      </c>
      <c r="E1685" s="11" t="str">
        <f t="array" ref="E1685">_xlfn.XLOOKUP(D1685,Insumos!B:B,Insumos!C:$C)</f>
        <v>M2</v>
      </c>
      <c r="F1685" s="14">
        <v>1.1000000000000001</v>
      </c>
      <c r="G1685" s="92">
        <f t="array" ref="G1685">IF(B1685="insumo",_xlfn.XLOOKUP($D1685,Insumos!$B$1:$B$996,Insumos!$D$1:$D$996),"")</f>
        <v>13.019333333333332</v>
      </c>
      <c r="H1685" s="92">
        <v>14.3212666666667</v>
      </c>
      <c r="I1685" s="13">
        <v>0</v>
      </c>
      <c r="J1685" s="13">
        <v>0</v>
      </c>
      <c r="K1685" s="13"/>
      <c r="L1685"/>
      <c r="M1685"/>
      <c r="N1685"/>
      <c r="O1685"/>
      <c r="P1685"/>
      <c r="Q1685"/>
      <c r="R1685"/>
      <c r="S1685"/>
      <c r="T1685"/>
      <c r="U1685"/>
      <c r="V1685"/>
      <c r="W1685"/>
      <c r="X1685"/>
      <c r="Y1685"/>
      <c r="Z1685"/>
      <c r="AA1685"/>
      <c r="AB1685"/>
      <c r="AC1685"/>
      <c r="AD1685"/>
      <c r="AE1685"/>
      <c r="AF1685"/>
      <c r="AG1685"/>
      <c r="AH1685"/>
      <c r="AI1685"/>
      <c r="AJ1685"/>
      <c r="AK1685"/>
      <c r="AL1685"/>
    </row>
    <row r="1686" spans="1:38" ht="15.75" customHeight="1" outlineLevel="2" x14ac:dyDescent="0.2">
      <c r="A1686" s="1067">
        <v>1</v>
      </c>
      <c r="B1686" s="1067" t="s">
        <v>68</v>
      </c>
      <c r="C1686" s="1067" t="s">
        <v>428</v>
      </c>
      <c r="D1686" s="1067" t="s">
        <v>428</v>
      </c>
      <c r="E1686" s="1068" t="s">
        <v>70</v>
      </c>
      <c r="F1686" s="1067"/>
      <c r="G1686" s="1069" t="str">
        <f t="array" ref="G1686">IF(B1686="insumo",_xlfn.XLOOKUP($D1686,Insumos!$B$1:$B$996,Insumos!$D$1:$D$996),"")</f>
        <v/>
      </c>
      <c r="H1686" s="1069">
        <v>200.680411666667</v>
      </c>
      <c r="I1686" s="1070">
        <v>0</v>
      </c>
      <c r="J1686" s="1070">
        <v>0</v>
      </c>
      <c r="K1686" s="1070"/>
      <c r="L1686"/>
      <c r="M1686"/>
      <c r="N1686"/>
      <c r="O1686"/>
      <c r="P1686"/>
      <c r="Q1686"/>
      <c r="R1686"/>
      <c r="S1686"/>
      <c r="T1686"/>
      <c r="U1686"/>
      <c r="V1686"/>
      <c r="W1686"/>
      <c r="X1686"/>
      <c r="Y1686"/>
      <c r="Z1686"/>
      <c r="AA1686"/>
      <c r="AB1686"/>
      <c r="AC1686"/>
      <c r="AD1686"/>
      <c r="AE1686"/>
      <c r="AF1686"/>
      <c r="AG1686"/>
      <c r="AH1686"/>
      <c r="AI1686"/>
      <c r="AJ1686"/>
      <c r="AK1686"/>
      <c r="AL1686"/>
    </row>
    <row r="1687" spans="1:38" ht="15.75" customHeight="1" outlineLevel="3" x14ac:dyDescent="0.2">
      <c r="A1687" s="10">
        <v>86</v>
      </c>
      <c r="B1687" s="10" t="s">
        <v>71</v>
      </c>
      <c r="C1687" s="10" t="s">
        <v>428</v>
      </c>
      <c r="D1687" s="10" t="s">
        <v>407</v>
      </c>
      <c r="E1687" s="11" t="str">
        <f t="array" ref="E1687">_xlfn.XLOOKUP(D1687,Insumos!B:B,Insumos!C:$C)</f>
        <v>M2</v>
      </c>
      <c r="F1687" s="14">
        <v>1</v>
      </c>
      <c r="G1687" s="92">
        <f t="array" ref="G1687">IF(B1687="insumo",_xlfn.XLOOKUP($D1687,Insumos!$B$1:$B$996,Insumos!$D$1:$D$996),"")</f>
        <v>70</v>
      </c>
      <c r="H1687" s="92">
        <v>70</v>
      </c>
      <c r="I1687" s="13">
        <v>0</v>
      </c>
      <c r="J1687" s="13">
        <v>0</v>
      </c>
      <c r="K1687" s="13"/>
      <c r="L1687"/>
      <c r="M1687"/>
      <c r="N1687"/>
      <c r="O1687"/>
      <c r="P1687"/>
      <c r="Q1687"/>
      <c r="R1687"/>
      <c r="S1687"/>
      <c r="T1687"/>
      <c r="U1687"/>
      <c r="V1687"/>
      <c r="W1687"/>
      <c r="X1687"/>
      <c r="Y1687"/>
      <c r="Z1687"/>
      <c r="AA1687"/>
      <c r="AB1687"/>
      <c r="AC1687"/>
      <c r="AD1687"/>
      <c r="AE1687"/>
      <c r="AF1687"/>
      <c r="AG1687"/>
      <c r="AH1687"/>
      <c r="AI1687"/>
      <c r="AJ1687"/>
      <c r="AK1687"/>
      <c r="AL1687"/>
    </row>
    <row r="1688" spans="1:38" ht="15.75" customHeight="1" outlineLevel="3" x14ac:dyDescent="0.2">
      <c r="A1688" s="10">
        <v>47</v>
      </c>
      <c r="B1688" s="10" t="s">
        <v>71</v>
      </c>
      <c r="C1688" s="10" t="s">
        <v>428</v>
      </c>
      <c r="D1688" s="10" t="s">
        <v>408</v>
      </c>
      <c r="E1688" s="11" t="str">
        <f t="array" ref="E1688">_xlfn.XLOOKUP(D1688,Insumos!B:B,Insumos!C:$C)</f>
        <v>M2</v>
      </c>
      <c r="F1688" s="14">
        <v>2.1059999999999999</v>
      </c>
      <c r="G1688" s="92">
        <f t="array" ref="G1688">IF(B1688="insumo",_xlfn.XLOOKUP($D1688,Insumos!$B$1:$B$996,Insumos!$D$1:$D$996),"")</f>
        <v>20.16</v>
      </c>
      <c r="H1688" s="92">
        <v>42.456960000000002</v>
      </c>
      <c r="I1688" s="13">
        <v>0</v>
      </c>
      <c r="J1688" s="13">
        <v>0</v>
      </c>
      <c r="K1688" s="13"/>
      <c r="L1688"/>
      <c r="M1688"/>
      <c r="N1688"/>
      <c r="O1688"/>
      <c r="P1688"/>
      <c r="Q1688"/>
      <c r="R1688"/>
      <c r="S1688"/>
      <c r="T1688"/>
      <c r="U1688"/>
      <c r="V1688"/>
      <c r="W1688"/>
      <c r="X1688"/>
      <c r="Y1688"/>
      <c r="Z1688"/>
      <c r="AA1688"/>
      <c r="AB1688"/>
      <c r="AC1688"/>
      <c r="AD1688"/>
      <c r="AE1688"/>
      <c r="AF1688"/>
      <c r="AG1688"/>
      <c r="AH1688"/>
      <c r="AI1688"/>
      <c r="AJ1688"/>
      <c r="AK1688"/>
      <c r="AL1688"/>
    </row>
    <row r="1689" spans="1:38" ht="15.75" customHeight="1" outlineLevel="3" x14ac:dyDescent="0.2">
      <c r="A1689" s="10">
        <v>95</v>
      </c>
      <c r="B1689" s="10" t="s">
        <v>71</v>
      </c>
      <c r="C1689" s="10" t="s">
        <v>428</v>
      </c>
      <c r="D1689" s="10" t="s">
        <v>409</v>
      </c>
      <c r="E1689" s="11" t="str">
        <f t="array" ref="E1689">_xlfn.XLOOKUP(D1689,Insumos!B:B,Insumos!C:$C)</f>
        <v>UN</v>
      </c>
      <c r="F1689" s="14">
        <v>5.92</v>
      </c>
      <c r="G1689" s="92">
        <f t="array" ref="G1689">IF(B1689="insumo",_xlfn.XLOOKUP($D1689,Insumos!$B$1:$B$996,Insumos!$D$1:$D$996),"")</f>
        <v>0.504</v>
      </c>
      <c r="H1689" s="92">
        <v>2.9836800000000001</v>
      </c>
      <c r="I1689" s="13">
        <v>0</v>
      </c>
      <c r="J1689" s="13">
        <v>0</v>
      </c>
      <c r="K1689" s="13"/>
      <c r="L1689"/>
      <c r="M1689"/>
      <c r="N1689"/>
      <c r="O1689"/>
      <c r="P1689"/>
      <c r="Q1689"/>
      <c r="R1689"/>
      <c r="S1689"/>
      <c r="T1689"/>
      <c r="U1689"/>
      <c r="V1689"/>
      <c r="W1689"/>
      <c r="X1689"/>
      <c r="Y1689"/>
      <c r="Z1689"/>
      <c r="AA1689"/>
      <c r="AB1689"/>
      <c r="AC1689"/>
      <c r="AD1689"/>
      <c r="AE1689"/>
      <c r="AF1689"/>
      <c r="AG1689"/>
      <c r="AH1689"/>
      <c r="AI1689"/>
      <c r="AJ1689"/>
      <c r="AK1689"/>
      <c r="AL1689"/>
    </row>
    <row r="1690" spans="1:38" ht="15.75" customHeight="1" outlineLevel="3" x14ac:dyDescent="0.2">
      <c r="A1690" s="10">
        <v>43</v>
      </c>
      <c r="B1690" s="10" t="s">
        <v>71</v>
      </c>
      <c r="C1690" s="10" t="s">
        <v>428</v>
      </c>
      <c r="D1690" s="10" t="s">
        <v>423</v>
      </c>
      <c r="E1690" s="11" t="str">
        <f t="array" ref="E1690">_xlfn.XLOOKUP(D1690,Insumos!B:B,Insumos!C:$C)</f>
        <v>M</v>
      </c>
      <c r="F1690" s="14">
        <v>1.8233999999999999</v>
      </c>
      <c r="G1690" s="92">
        <f t="array" ref="G1690">IF(B1690="insumo",_xlfn.XLOOKUP($D1690,Insumos!$B$1:$B$996,Insumos!$D$1:$D$996),"")</f>
        <v>7.46</v>
      </c>
      <c r="H1690" s="92">
        <v>13.602563999999999</v>
      </c>
      <c r="I1690" s="13">
        <v>0</v>
      </c>
      <c r="J1690" s="13">
        <v>0</v>
      </c>
      <c r="K1690" s="13"/>
      <c r="L1690"/>
      <c r="M1690"/>
      <c r="N1690"/>
      <c r="O1690"/>
      <c r="P1690"/>
      <c r="Q1690"/>
      <c r="R1690"/>
      <c r="S1690"/>
      <c r="T1690"/>
      <c r="U1690"/>
      <c r="V1690"/>
      <c r="W1690"/>
      <c r="X1690"/>
      <c r="Y1690"/>
      <c r="Z1690"/>
      <c r="AA1690"/>
      <c r="AB1690"/>
      <c r="AC1690"/>
      <c r="AD1690"/>
      <c r="AE1690"/>
      <c r="AF1690"/>
      <c r="AG1690"/>
      <c r="AH1690"/>
      <c r="AI1690"/>
      <c r="AJ1690"/>
      <c r="AK1690"/>
      <c r="AL1690"/>
    </row>
    <row r="1691" spans="1:38" ht="15.75" customHeight="1" outlineLevel="3" x14ac:dyDescent="0.2">
      <c r="A1691" s="10">
        <v>43</v>
      </c>
      <c r="B1691" s="10" t="s">
        <v>71</v>
      </c>
      <c r="C1691" s="10" t="s">
        <v>428</v>
      </c>
      <c r="D1691" s="10" t="s">
        <v>424</v>
      </c>
      <c r="E1691" s="11" t="str">
        <f t="array" ref="E1691">_xlfn.XLOOKUP(D1691,Insumos!B:B,Insumos!C:$C)</f>
        <v>M</v>
      </c>
      <c r="F1691" s="14">
        <v>5.8277999999999999</v>
      </c>
      <c r="G1691" s="92">
        <f t="array" ref="G1691">IF(B1691="insumo",_xlfn.XLOOKUP($D1691,Insumos!$B$1:$B$996,Insumos!$D$1:$D$996),"")</f>
        <v>7.98</v>
      </c>
      <c r="H1691" s="92">
        <v>46.505844000000003</v>
      </c>
      <c r="I1691" s="13">
        <v>0</v>
      </c>
      <c r="J1691" s="13">
        <v>0</v>
      </c>
      <c r="K1691" s="13"/>
      <c r="L1691"/>
      <c r="M1691"/>
      <c r="N1691"/>
      <c r="O1691"/>
      <c r="P1691"/>
      <c r="Q1691"/>
      <c r="R1691"/>
      <c r="S1691"/>
      <c r="T1691"/>
      <c r="U1691"/>
      <c r="V1691"/>
      <c r="W1691"/>
      <c r="X1691"/>
      <c r="Y1691"/>
      <c r="Z1691"/>
      <c r="AA1691"/>
      <c r="AB1691"/>
      <c r="AC1691"/>
      <c r="AD1691"/>
      <c r="AE1691"/>
      <c r="AF1691"/>
      <c r="AG1691"/>
      <c r="AH1691"/>
      <c r="AI1691"/>
      <c r="AJ1691"/>
      <c r="AK1691"/>
      <c r="AL1691"/>
    </row>
    <row r="1692" spans="1:38" ht="15.75" customHeight="1" outlineLevel="3" x14ac:dyDescent="0.2">
      <c r="A1692" s="10">
        <v>95</v>
      </c>
      <c r="B1692" s="10" t="s">
        <v>71</v>
      </c>
      <c r="C1692" s="10" t="s">
        <v>428</v>
      </c>
      <c r="D1692" s="10" t="s">
        <v>405</v>
      </c>
      <c r="E1692" s="11" t="str">
        <f t="array" ref="E1692">_xlfn.XLOOKUP(D1692,Insumos!B:B,Insumos!C:$C)</f>
        <v>KG</v>
      </c>
      <c r="F1692" s="14">
        <v>1.0978000000000001</v>
      </c>
      <c r="G1692" s="92">
        <f t="array" ref="G1692">IF(B1692="insumo",_xlfn.XLOOKUP($D1692,Insumos!$B$1:$B$996,Insumos!$D$1:$D$996),"")</f>
        <v>3.43</v>
      </c>
      <c r="H1692" s="92">
        <v>3.7654540000000001</v>
      </c>
      <c r="I1692" s="13">
        <v>0</v>
      </c>
      <c r="J1692" s="13">
        <v>0</v>
      </c>
      <c r="K1692" s="13"/>
      <c r="L1692"/>
      <c r="M1692"/>
      <c r="N1692"/>
      <c r="O1692"/>
      <c r="P1692"/>
      <c r="Q1692"/>
      <c r="R1692"/>
      <c r="S1692"/>
      <c r="T1692"/>
      <c r="U1692"/>
      <c r="V1692"/>
      <c r="W1692"/>
      <c r="X1692"/>
      <c r="Y1692"/>
      <c r="Z1692"/>
      <c r="AA1692"/>
      <c r="AB1692"/>
      <c r="AC1692"/>
      <c r="AD1692"/>
      <c r="AE1692"/>
      <c r="AF1692"/>
      <c r="AG1692"/>
      <c r="AH1692"/>
      <c r="AI1692"/>
      <c r="AJ1692"/>
      <c r="AK1692"/>
      <c r="AL1692"/>
    </row>
    <row r="1693" spans="1:38" ht="15.75" customHeight="1" outlineLevel="3" x14ac:dyDescent="0.2">
      <c r="A1693" s="10">
        <v>94</v>
      </c>
      <c r="B1693" s="10" t="s">
        <v>71</v>
      </c>
      <c r="C1693" s="10" t="s">
        <v>428</v>
      </c>
      <c r="D1693" s="10" t="s">
        <v>412</v>
      </c>
      <c r="E1693" s="11" t="str">
        <f t="array" ref="E1693">_xlfn.XLOOKUP(D1693,Insumos!B:B,Insumos!C:$C)</f>
        <v>M</v>
      </c>
      <c r="F1693" s="14">
        <v>2.5026999999999999</v>
      </c>
      <c r="G1693" s="92">
        <f t="array" ref="G1693">IF(B1693="insumo",_xlfn.XLOOKUP($D1693,Insumos!$B$1:$B$996,Insumos!$D$1:$D$996),"")</f>
        <v>0.31</v>
      </c>
      <c r="H1693" s="92">
        <v>0.775837</v>
      </c>
      <c r="I1693" s="13">
        <v>0</v>
      </c>
      <c r="J1693" s="13">
        <v>0</v>
      </c>
      <c r="K1693" s="13"/>
      <c r="L1693"/>
      <c r="M1693"/>
      <c r="N1693"/>
      <c r="O1693"/>
      <c r="P1693"/>
      <c r="Q1693"/>
      <c r="R1693"/>
      <c r="S1693"/>
      <c r="T1693"/>
      <c r="U1693"/>
      <c r="V1693"/>
      <c r="W1693"/>
      <c r="X1693"/>
      <c r="Y1693"/>
      <c r="Z1693"/>
      <c r="AA1693"/>
      <c r="AB1693"/>
      <c r="AC1693"/>
      <c r="AD1693"/>
      <c r="AE1693"/>
      <c r="AF1693"/>
      <c r="AG1693"/>
      <c r="AH1693"/>
      <c r="AI1693"/>
      <c r="AJ1693"/>
      <c r="AK1693"/>
      <c r="AL1693"/>
    </row>
    <row r="1694" spans="1:38" ht="15.75" customHeight="1" outlineLevel="3" x14ac:dyDescent="0.2">
      <c r="A1694" s="10">
        <v>94</v>
      </c>
      <c r="B1694" s="10" t="s">
        <v>71</v>
      </c>
      <c r="C1694" s="10" t="s">
        <v>428</v>
      </c>
      <c r="D1694" s="10" t="s">
        <v>413</v>
      </c>
      <c r="E1694" s="11" t="str">
        <f t="array" ref="E1694">_xlfn.XLOOKUP(D1694,Insumos!B:B,Insumos!C:$C)</f>
        <v>M</v>
      </c>
      <c r="F1694" s="14">
        <v>1.5851</v>
      </c>
      <c r="G1694" s="92">
        <f t="array" ref="G1694">IF(B1694="insumo",_xlfn.XLOOKUP($D1694,Insumos!$B$1:$B$996,Insumos!$D$1:$D$996),"")</f>
        <v>2.74</v>
      </c>
      <c r="H1694" s="92">
        <v>4.3431740000000003</v>
      </c>
      <c r="I1694" s="13">
        <v>0</v>
      </c>
      <c r="J1694" s="13">
        <v>0</v>
      </c>
      <c r="K1694" s="13"/>
      <c r="L1694"/>
      <c r="M1694"/>
      <c r="N1694"/>
      <c r="O1694"/>
      <c r="P1694"/>
      <c r="Q1694"/>
      <c r="R1694"/>
      <c r="S1694"/>
      <c r="T1694"/>
      <c r="U1694"/>
      <c r="V1694"/>
      <c r="W1694"/>
      <c r="X1694"/>
      <c r="Y1694"/>
      <c r="Z1694"/>
      <c r="AA1694"/>
      <c r="AB1694"/>
      <c r="AC1694"/>
      <c r="AD1694"/>
      <c r="AE1694"/>
      <c r="AF1694"/>
      <c r="AG1694"/>
      <c r="AH1694"/>
      <c r="AI1694"/>
      <c r="AJ1694"/>
      <c r="AK1694"/>
      <c r="AL1694"/>
    </row>
    <row r="1695" spans="1:38" ht="15.75" customHeight="1" outlineLevel="3" x14ac:dyDescent="0.2">
      <c r="A1695" s="10">
        <v>97</v>
      </c>
      <c r="B1695" s="10" t="s">
        <v>71</v>
      </c>
      <c r="C1695" s="10" t="s">
        <v>428</v>
      </c>
      <c r="D1695" s="10" t="s">
        <v>414</v>
      </c>
      <c r="E1695" s="11" t="str">
        <f t="array" ref="E1695">_xlfn.XLOOKUP(D1695,Insumos!B:B,Insumos!C:$C)</f>
        <v>UN</v>
      </c>
      <c r="F1695" s="14">
        <v>20.186800000000002</v>
      </c>
      <c r="G1695" s="92">
        <f t="array" ref="G1695">IF(B1695="insumo",_xlfn.XLOOKUP($D1695,Insumos!$B$1:$B$996,Insumos!$D$1:$D$996),"")</f>
        <v>0.09</v>
      </c>
      <c r="H1695" s="92">
        <v>1.8168120000000001</v>
      </c>
      <c r="I1695" s="13">
        <v>0</v>
      </c>
      <c r="J1695" s="13">
        <v>0</v>
      </c>
      <c r="K1695" s="13"/>
      <c r="L1695"/>
      <c r="M1695"/>
      <c r="N1695"/>
      <c r="O1695"/>
      <c r="P1695"/>
      <c r="Q1695"/>
      <c r="R1695"/>
      <c r="S1695"/>
      <c r="T1695"/>
      <c r="U1695"/>
      <c r="V1695"/>
      <c r="W1695"/>
      <c r="X1695"/>
      <c r="Y1695"/>
      <c r="Z1695"/>
      <c r="AA1695"/>
      <c r="AB1695"/>
      <c r="AC1695"/>
      <c r="AD1695"/>
      <c r="AE1695"/>
      <c r="AF1695"/>
      <c r="AG1695"/>
      <c r="AH1695"/>
      <c r="AI1695"/>
      <c r="AJ1695"/>
      <c r="AK1695"/>
      <c r="AL1695"/>
    </row>
    <row r="1696" spans="1:38" ht="15.75" customHeight="1" outlineLevel="3" x14ac:dyDescent="0.2">
      <c r="A1696" s="10">
        <v>95</v>
      </c>
      <c r="B1696" s="10" t="s">
        <v>71</v>
      </c>
      <c r="C1696" s="10" t="s">
        <v>428</v>
      </c>
      <c r="D1696" s="10" t="s">
        <v>415</v>
      </c>
      <c r="E1696" s="11" t="str">
        <f t="array" ref="E1696">_xlfn.XLOOKUP(D1696,Insumos!B:B,Insumos!C:$C)</f>
        <v>UN</v>
      </c>
      <c r="F1696" s="14">
        <v>0.54410000000000003</v>
      </c>
      <c r="G1696" s="92">
        <f t="array" ref="G1696">IF(B1696="insumo",_xlfn.XLOOKUP($D1696,Insumos!$B$1:$B$996,Insumos!$D$1:$D$996),"")</f>
        <v>0.2</v>
      </c>
      <c r="H1696" s="92">
        <v>0.10882</v>
      </c>
      <c r="I1696" s="13">
        <v>0</v>
      </c>
      <c r="J1696" s="13">
        <v>0</v>
      </c>
      <c r="K1696" s="13"/>
      <c r="L1696"/>
      <c r="M1696"/>
      <c r="N1696"/>
      <c r="O1696"/>
      <c r="P1696"/>
      <c r="Q1696"/>
      <c r="R1696"/>
      <c r="S1696"/>
      <c r="T1696"/>
      <c r="U1696"/>
      <c r="V1696"/>
      <c r="W1696"/>
      <c r="X1696"/>
      <c r="Y1696"/>
      <c r="Z1696"/>
      <c r="AA1696"/>
      <c r="AB1696"/>
      <c r="AC1696"/>
      <c r="AD1696"/>
      <c r="AE1696"/>
      <c r="AF1696"/>
      <c r="AG1696"/>
      <c r="AH1696"/>
      <c r="AI1696"/>
      <c r="AJ1696"/>
      <c r="AK1696"/>
      <c r="AL1696"/>
    </row>
    <row r="1697" spans="1:38" ht="15.75" customHeight="1" outlineLevel="3" x14ac:dyDescent="0.2">
      <c r="A1697" s="10">
        <v>35</v>
      </c>
      <c r="B1697" s="10" t="s">
        <v>71</v>
      </c>
      <c r="C1697" s="10" t="s">
        <v>428</v>
      </c>
      <c r="D1697" s="10" t="s">
        <v>1595</v>
      </c>
      <c r="E1697" s="11" t="str">
        <f t="array" ref="E1697">_xlfn.XLOOKUP(D1697,Insumos!B:B,Insumos!C:$C)</f>
        <v>M2</v>
      </c>
      <c r="F1697" s="14">
        <v>1.1000000000000001</v>
      </c>
      <c r="G1697" s="92">
        <f t="array" ref="G1697">IF(B1697="insumo",_xlfn.XLOOKUP($D1697,Insumos!$B$1:$B$996,Insumos!$D$1:$D$996),"")</f>
        <v>13.019333333333332</v>
      </c>
      <c r="H1697" s="92">
        <v>14.3212666666667</v>
      </c>
      <c r="I1697" s="13">
        <v>0</v>
      </c>
      <c r="J1697" s="13">
        <v>0</v>
      </c>
      <c r="K1697" s="13"/>
      <c r="L1697"/>
      <c r="M1697"/>
      <c r="N1697"/>
      <c r="O1697"/>
      <c r="P1697"/>
      <c r="Q1697"/>
      <c r="R1697"/>
      <c r="S1697"/>
      <c r="T1697"/>
      <c r="U1697"/>
      <c r="V1697"/>
      <c r="W1697"/>
      <c r="X1697"/>
      <c r="Y1697"/>
      <c r="Z1697"/>
      <c r="AA1697"/>
      <c r="AB1697"/>
      <c r="AC1697"/>
      <c r="AD1697"/>
      <c r="AE1697"/>
      <c r="AF1697"/>
      <c r="AG1697"/>
      <c r="AH1697"/>
      <c r="AI1697"/>
      <c r="AJ1697"/>
      <c r="AK1697"/>
      <c r="AL1697"/>
    </row>
    <row r="1698" spans="1:38" ht="15.75" customHeight="1" outlineLevel="2" x14ac:dyDescent="0.2">
      <c r="A1698" s="1067">
        <v>1</v>
      </c>
      <c r="B1698" s="1067" t="s">
        <v>68</v>
      </c>
      <c r="C1698" s="1067" t="s">
        <v>1337</v>
      </c>
      <c r="D1698" s="1067" t="s">
        <v>1337</v>
      </c>
      <c r="E1698" s="1068" t="s">
        <v>70</v>
      </c>
      <c r="F1698" s="1067"/>
      <c r="G1698" s="1069" t="str">
        <f t="array" ref="G1698">IF(B1698="insumo",_xlfn.XLOOKUP($D1698,Insumos!$B$1:$B$996,Insumos!$D$1:$D$996),"")</f>
        <v/>
      </c>
      <c r="H1698" s="1069">
        <v>167.03343649999999</v>
      </c>
      <c r="I1698" s="1070">
        <v>0</v>
      </c>
      <c r="J1698" s="1070">
        <v>0</v>
      </c>
      <c r="K1698" s="1070"/>
      <c r="L1698"/>
      <c r="M1698"/>
      <c r="N1698"/>
      <c r="O1698"/>
      <c r="P1698"/>
      <c r="Q1698"/>
      <c r="R1698"/>
      <c r="S1698"/>
      <c r="T1698"/>
      <c r="U1698"/>
      <c r="V1698"/>
      <c r="W1698"/>
      <c r="X1698"/>
      <c r="Y1698"/>
      <c r="Z1698"/>
      <c r="AA1698"/>
      <c r="AB1698"/>
      <c r="AC1698"/>
      <c r="AD1698"/>
      <c r="AE1698"/>
      <c r="AF1698"/>
      <c r="AG1698"/>
      <c r="AH1698"/>
      <c r="AI1698"/>
      <c r="AJ1698"/>
      <c r="AK1698"/>
      <c r="AL1698"/>
    </row>
    <row r="1699" spans="1:38" ht="15.75" customHeight="1" outlineLevel="3" x14ac:dyDescent="0.2">
      <c r="A1699" s="10">
        <v>86</v>
      </c>
      <c r="B1699" s="10" t="s">
        <v>71</v>
      </c>
      <c r="C1699" s="10" t="s">
        <v>1337</v>
      </c>
      <c r="D1699" s="10" t="s">
        <v>407</v>
      </c>
      <c r="E1699" s="11" t="str">
        <f t="array" ref="E1699">_xlfn.XLOOKUP(D1699,Insumos!B:B,Insumos!C:$C)</f>
        <v>M2</v>
      </c>
      <c r="F1699" s="14">
        <v>1</v>
      </c>
      <c r="G1699" s="92">
        <f t="array" ref="G1699">IF(B1699="insumo",_xlfn.XLOOKUP($D1699,Insumos!$B$1:$B$996,Insumos!$D$1:$D$996),"")</f>
        <v>70</v>
      </c>
      <c r="H1699" s="92">
        <v>70</v>
      </c>
      <c r="I1699" s="13">
        <v>0</v>
      </c>
      <c r="J1699" s="13">
        <v>0</v>
      </c>
      <c r="K1699" s="13"/>
      <c r="L1699"/>
      <c r="M1699"/>
      <c r="N1699"/>
      <c r="O1699"/>
      <c r="P1699"/>
      <c r="Q1699"/>
      <c r="R1699"/>
      <c r="S1699"/>
      <c r="T1699"/>
      <c r="U1699"/>
      <c r="V1699"/>
      <c r="W1699"/>
      <c r="X1699"/>
      <c r="Y1699"/>
      <c r="Z1699"/>
      <c r="AA1699"/>
      <c r="AB1699"/>
      <c r="AC1699"/>
      <c r="AD1699"/>
      <c r="AE1699"/>
      <c r="AF1699"/>
      <c r="AG1699"/>
      <c r="AH1699"/>
      <c r="AI1699"/>
      <c r="AJ1699"/>
      <c r="AK1699"/>
      <c r="AL1699"/>
    </row>
    <row r="1700" spans="1:38" ht="15.75" customHeight="1" outlineLevel="3" x14ac:dyDescent="0.2">
      <c r="A1700" s="10">
        <v>49</v>
      </c>
      <c r="B1700" s="10" t="s">
        <v>71</v>
      </c>
      <c r="C1700" s="10" t="s">
        <v>1337</v>
      </c>
      <c r="D1700" s="10" t="s">
        <v>418</v>
      </c>
      <c r="E1700" s="11" t="str">
        <f t="array" ref="E1700">_xlfn.XLOOKUP(D1700,Insumos!B:B,Insumos!C:$C)</f>
        <v>M2</v>
      </c>
      <c r="F1700" s="14">
        <v>1.0529999999999999</v>
      </c>
      <c r="G1700" s="92">
        <f t="array" ref="G1700">IF(B1700="insumo",_xlfn.XLOOKUP($D1700,Insumos!$B$1:$B$996,Insumos!$D$1:$D$996),"")</f>
        <v>27.1</v>
      </c>
      <c r="H1700" s="92">
        <v>28.536300000000001</v>
      </c>
      <c r="I1700" s="13">
        <v>0</v>
      </c>
      <c r="J1700" s="13">
        <v>0</v>
      </c>
      <c r="K1700" s="13"/>
      <c r="L1700"/>
      <c r="M1700"/>
      <c r="N1700"/>
      <c r="O1700"/>
      <c r="P1700"/>
      <c r="Q1700"/>
      <c r="R1700"/>
      <c r="S1700"/>
      <c r="T1700"/>
      <c r="U1700"/>
      <c r="V1700"/>
      <c r="W1700"/>
      <c r="X1700"/>
      <c r="Y1700"/>
      <c r="Z1700"/>
      <c r="AA1700"/>
      <c r="AB1700"/>
      <c r="AC1700"/>
      <c r="AD1700"/>
      <c r="AE1700"/>
      <c r="AF1700"/>
      <c r="AG1700"/>
      <c r="AH1700"/>
      <c r="AI1700"/>
      <c r="AJ1700"/>
      <c r="AK1700"/>
      <c r="AL1700"/>
    </row>
    <row r="1701" spans="1:38" ht="15.75" customHeight="1" outlineLevel="3" x14ac:dyDescent="0.2">
      <c r="A1701" s="10">
        <v>95</v>
      </c>
      <c r="B1701" s="10" t="s">
        <v>71</v>
      </c>
      <c r="C1701" s="10" t="s">
        <v>1337</v>
      </c>
      <c r="D1701" s="10" t="s">
        <v>409</v>
      </c>
      <c r="E1701" s="11" t="str">
        <f t="array" ref="E1701">_xlfn.XLOOKUP(D1701,Insumos!B:B,Insumos!C:$C)</f>
        <v>UN</v>
      </c>
      <c r="F1701" s="14">
        <v>5.92</v>
      </c>
      <c r="G1701" s="92">
        <f t="array" ref="G1701">IF(B1701="insumo",_xlfn.XLOOKUP($D1701,Insumos!$B$1:$B$996,Insumos!$D$1:$D$996),"")</f>
        <v>0.504</v>
      </c>
      <c r="H1701" s="92">
        <v>2.9836800000000001</v>
      </c>
      <c r="I1701" s="13">
        <v>0</v>
      </c>
      <c r="J1701" s="13">
        <v>0</v>
      </c>
      <c r="K1701" s="13"/>
      <c r="L1701"/>
      <c r="M1701"/>
      <c r="N1701"/>
      <c r="O1701"/>
      <c r="P1701"/>
      <c r="Q1701"/>
      <c r="R1701"/>
      <c r="S1701"/>
      <c r="T1701"/>
      <c r="U1701"/>
      <c r="V1701"/>
      <c r="W1701"/>
      <c r="X1701"/>
      <c r="Y1701"/>
      <c r="Z1701"/>
      <c r="AA1701"/>
      <c r="AB1701"/>
      <c r="AC1701"/>
      <c r="AD1701"/>
      <c r="AE1701"/>
      <c r="AF1701"/>
      <c r="AG1701"/>
      <c r="AH1701"/>
      <c r="AI1701"/>
      <c r="AJ1701"/>
      <c r="AK1701"/>
      <c r="AL1701"/>
    </row>
    <row r="1702" spans="1:38" ht="15.75" customHeight="1" outlineLevel="3" x14ac:dyDescent="0.2">
      <c r="A1702" s="10">
        <v>43</v>
      </c>
      <c r="B1702" s="10" t="s">
        <v>71</v>
      </c>
      <c r="C1702" s="10" t="s">
        <v>1337</v>
      </c>
      <c r="D1702" s="10" t="s">
        <v>423</v>
      </c>
      <c r="E1702" s="11" t="str">
        <f t="array" ref="E1702">_xlfn.XLOOKUP(D1702,Insumos!B:B,Insumos!C:$C)</f>
        <v>M</v>
      </c>
      <c r="F1702" s="14">
        <v>1.8233999999999999</v>
      </c>
      <c r="G1702" s="92">
        <f t="array" ref="G1702">IF(B1702="insumo",_xlfn.XLOOKUP($D1702,Insumos!$B$1:$B$996,Insumos!$D$1:$D$996),"")</f>
        <v>7.46</v>
      </c>
      <c r="H1702" s="92">
        <v>13.602563999999999</v>
      </c>
      <c r="I1702" s="13">
        <v>0</v>
      </c>
      <c r="J1702" s="13">
        <v>0</v>
      </c>
      <c r="K1702" s="13"/>
      <c r="L1702"/>
      <c r="M1702"/>
      <c r="N1702"/>
      <c r="O1702"/>
      <c r="P1702"/>
      <c r="Q1702"/>
      <c r="R1702"/>
      <c r="S1702"/>
      <c r="T1702"/>
      <c r="U1702"/>
      <c r="V1702"/>
      <c r="W1702"/>
      <c r="X1702"/>
      <c r="Y1702"/>
      <c r="Z1702"/>
      <c r="AA1702"/>
      <c r="AB1702"/>
      <c r="AC1702"/>
      <c r="AD1702"/>
      <c r="AE1702"/>
      <c r="AF1702"/>
      <c r="AG1702"/>
      <c r="AH1702"/>
      <c r="AI1702"/>
      <c r="AJ1702"/>
      <c r="AK1702"/>
      <c r="AL1702"/>
    </row>
    <row r="1703" spans="1:38" ht="15.75" customHeight="1" outlineLevel="3" x14ac:dyDescent="0.2">
      <c r="A1703" s="10">
        <v>43</v>
      </c>
      <c r="B1703" s="10" t="s">
        <v>71</v>
      </c>
      <c r="C1703" s="10" t="s">
        <v>1337</v>
      </c>
      <c r="D1703" s="10" t="s">
        <v>424</v>
      </c>
      <c r="E1703" s="11" t="str">
        <f t="array" ref="E1703">_xlfn.XLOOKUP(D1703,Insumos!B:B,Insumos!C:$C)</f>
        <v>M</v>
      </c>
      <c r="F1703" s="14">
        <v>5.8277999999999999</v>
      </c>
      <c r="G1703" s="92">
        <f t="array" ref="G1703">IF(B1703="insumo",_xlfn.XLOOKUP($D1703,Insumos!$B$1:$B$996,Insumos!$D$1:$D$996),"")</f>
        <v>7.98</v>
      </c>
      <c r="H1703" s="92">
        <v>46.505844000000003</v>
      </c>
      <c r="I1703" s="13">
        <v>0</v>
      </c>
      <c r="J1703" s="13">
        <v>0</v>
      </c>
      <c r="K1703" s="13"/>
      <c r="L1703"/>
      <c r="M1703"/>
      <c r="N1703"/>
      <c r="O1703"/>
      <c r="P1703"/>
      <c r="Q1703"/>
      <c r="R1703"/>
      <c r="S1703"/>
      <c r="T1703"/>
      <c r="U1703"/>
      <c r="V1703"/>
      <c r="W1703"/>
      <c r="X1703"/>
      <c r="Y1703"/>
      <c r="Z1703"/>
      <c r="AA1703"/>
      <c r="AB1703"/>
      <c r="AC1703"/>
      <c r="AD1703"/>
      <c r="AE1703"/>
      <c r="AF1703"/>
      <c r="AG1703"/>
      <c r="AH1703"/>
      <c r="AI1703"/>
      <c r="AJ1703"/>
      <c r="AK1703"/>
      <c r="AL1703"/>
    </row>
    <row r="1704" spans="1:38" ht="15.75" customHeight="1" outlineLevel="3" x14ac:dyDescent="0.2">
      <c r="A1704" s="10">
        <v>95</v>
      </c>
      <c r="B1704" s="10" t="s">
        <v>71</v>
      </c>
      <c r="C1704" s="10" t="s">
        <v>1337</v>
      </c>
      <c r="D1704" s="10" t="s">
        <v>405</v>
      </c>
      <c r="E1704" s="11" t="str">
        <f t="array" ref="E1704">_xlfn.XLOOKUP(D1704,Insumos!B:B,Insumos!C:$C)</f>
        <v>KG</v>
      </c>
      <c r="F1704" s="14">
        <v>0.54890000000000005</v>
      </c>
      <c r="G1704" s="92">
        <f t="array" ref="G1704">IF(B1704="insumo",_xlfn.XLOOKUP($D1704,Insumos!$B$1:$B$996,Insumos!$D$1:$D$996),"")</f>
        <v>3.43</v>
      </c>
      <c r="H1704" s="92">
        <v>1.882727</v>
      </c>
      <c r="I1704" s="13">
        <v>0</v>
      </c>
      <c r="J1704" s="13">
        <v>0</v>
      </c>
      <c r="K1704" s="13"/>
      <c r="L1704"/>
      <c r="M1704"/>
      <c r="N1704"/>
      <c r="O1704"/>
      <c r="P1704"/>
      <c r="Q1704"/>
      <c r="R1704"/>
      <c r="S1704"/>
      <c r="T1704"/>
      <c r="U1704"/>
      <c r="V1704"/>
      <c r="W1704"/>
      <c r="X1704"/>
      <c r="Y1704"/>
      <c r="Z1704"/>
      <c r="AA1704"/>
      <c r="AB1704"/>
      <c r="AC1704"/>
      <c r="AD1704"/>
      <c r="AE1704"/>
      <c r="AF1704"/>
      <c r="AG1704"/>
      <c r="AH1704"/>
      <c r="AI1704"/>
      <c r="AJ1704"/>
      <c r="AK1704"/>
      <c r="AL1704"/>
    </row>
    <row r="1705" spans="1:38" ht="15.75" customHeight="1" outlineLevel="3" x14ac:dyDescent="0.2">
      <c r="A1705" s="10">
        <v>94</v>
      </c>
      <c r="B1705" s="10" t="s">
        <v>71</v>
      </c>
      <c r="C1705" s="10" t="s">
        <v>1337</v>
      </c>
      <c r="D1705" s="10" t="s">
        <v>412</v>
      </c>
      <c r="E1705" s="11" t="str">
        <f t="array" ref="E1705">_xlfn.XLOOKUP(D1705,Insumos!B:B,Insumos!C:$C)</f>
        <v>M</v>
      </c>
      <c r="F1705" s="14">
        <v>1.25135</v>
      </c>
      <c r="G1705" s="92">
        <f t="array" ref="G1705">IF(B1705="insumo",_xlfn.XLOOKUP($D1705,Insumos!$B$1:$B$996,Insumos!$D$1:$D$996),"")</f>
        <v>0.31</v>
      </c>
      <c r="H1705" s="92">
        <v>0.3879185</v>
      </c>
      <c r="I1705" s="13">
        <v>0</v>
      </c>
      <c r="J1705" s="13">
        <v>0</v>
      </c>
      <c r="K1705" s="13"/>
      <c r="L1705"/>
      <c r="M1705"/>
      <c r="N1705"/>
      <c r="O1705"/>
      <c r="P1705"/>
      <c r="Q1705"/>
      <c r="R1705"/>
      <c r="S1705"/>
      <c r="T1705"/>
      <c r="U1705"/>
      <c r="V1705"/>
      <c r="W1705"/>
      <c r="X1705"/>
      <c r="Y1705"/>
      <c r="Z1705"/>
      <c r="AA1705"/>
      <c r="AB1705"/>
      <c r="AC1705"/>
      <c r="AD1705"/>
      <c r="AE1705"/>
      <c r="AF1705"/>
      <c r="AG1705"/>
      <c r="AH1705"/>
      <c r="AI1705"/>
      <c r="AJ1705"/>
      <c r="AK1705"/>
      <c r="AL1705"/>
    </row>
    <row r="1706" spans="1:38" ht="15.75" customHeight="1" outlineLevel="3" x14ac:dyDescent="0.2">
      <c r="A1706" s="10">
        <v>94</v>
      </c>
      <c r="B1706" s="10" t="s">
        <v>71</v>
      </c>
      <c r="C1706" s="10" t="s">
        <v>1337</v>
      </c>
      <c r="D1706" s="10" t="s">
        <v>413</v>
      </c>
      <c r="E1706" s="11" t="str">
        <f t="array" ref="E1706">_xlfn.XLOOKUP(D1706,Insumos!B:B,Insumos!C:$C)</f>
        <v>M</v>
      </c>
      <c r="F1706" s="14">
        <v>0.79254999999999998</v>
      </c>
      <c r="G1706" s="92">
        <f t="array" ref="G1706">IF(B1706="insumo",_xlfn.XLOOKUP($D1706,Insumos!$B$1:$B$996,Insumos!$D$1:$D$996),"")</f>
        <v>2.74</v>
      </c>
      <c r="H1706" s="92">
        <v>2.1715870000000002</v>
      </c>
      <c r="I1706" s="13">
        <v>0</v>
      </c>
      <c r="J1706" s="13">
        <v>0</v>
      </c>
      <c r="K1706" s="13"/>
      <c r="L1706"/>
      <c r="M1706"/>
      <c r="N1706"/>
      <c r="O1706"/>
      <c r="P1706"/>
      <c r="Q1706"/>
      <c r="R1706"/>
      <c r="S1706"/>
      <c r="T1706"/>
      <c r="U1706"/>
      <c r="V1706"/>
      <c r="W1706"/>
      <c r="X1706"/>
      <c r="Y1706"/>
      <c r="Z1706"/>
      <c r="AA1706"/>
      <c r="AB1706"/>
      <c r="AC1706"/>
      <c r="AD1706"/>
      <c r="AE1706"/>
      <c r="AF1706"/>
      <c r="AG1706"/>
      <c r="AH1706"/>
      <c r="AI1706"/>
      <c r="AJ1706"/>
      <c r="AK1706"/>
      <c r="AL1706"/>
    </row>
    <row r="1707" spans="1:38" ht="15.75" customHeight="1" outlineLevel="3" x14ac:dyDescent="0.2">
      <c r="A1707" s="10">
        <v>97</v>
      </c>
      <c r="B1707" s="10" t="s">
        <v>71</v>
      </c>
      <c r="C1707" s="10" t="s">
        <v>1337</v>
      </c>
      <c r="D1707" s="10" t="s">
        <v>414</v>
      </c>
      <c r="E1707" s="11" t="str">
        <f t="array" ref="E1707">_xlfn.XLOOKUP(D1707,Insumos!B:B,Insumos!C:$C)</f>
        <v>UN</v>
      </c>
      <c r="F1707" s="14">
        <v>10.093400000000001</v>
      </c>
      <c r="G1707" s="92">
        <f t="array" ref="G1707">IF(B1707="insumo",_xlfn.XLOOKUP($D1707,Insumos!$B$1:$B$996,Insumos!$D$1:$D$996),"")</f>
        <v>0.09</v>
      </c>
      <c r="H1707" s="92">
        <v>0.90840600000000005</v>
      </c>
      <c r="I1707" s="13">
        <v>0</v>
      </c>
      <c r="J1707" s="13">
        <v>0</v>
      </c>
      <c r="K1707" s="13"/>
      <c r="L1707"/>
      <c r="M1707"/>
      <c r="N1707"/>
      <c r="O1707"/>
      <c r="P1707"/>
      <c r="Q1707"/>
      <c r="R1707"/>
      <c r="S1707"/>
      <c r="T1707"/>
      <c r="U1707"/>
      <c r="V1707"/>
      <c r="W1707"/>
      <c r="X1707"/>
      <c r="Y1707"/>
      <c r="Z1707"/>
      <c r="AA1707"/>
      <c r="AB1707"/>
      <c r="AC1707"/>
      <c r="AD1707"/>
      <c r="AE1707"/>
      <c r="AF1707"/>
      <c r="AG1707"/>
      <c r="AH1707"/>
      <c r="AI1707"/>
      <c r="AJ1707"/>
      <c r="AK1707"/>
      <c r="AL1707"/>
    </row>
    <row r="1708" spans="1:38" ht="15.75" customHeight="1" outlineLevel="3" x14ac:dyDescent="0.2">
      <c r="A1708" s="10">
        <v>95</v>
      </c>
      <c r="B1708" s="10" t="s">
        <v>71</v>
      </c>
      <c r="C1708" s="10" t="s">
        <v>1337</v>
      </c>
      <c r="D1708" s="10" t="s">
        <v>415</v>
      </c>
      <c r="E1708" s="11" t="str">
        <f t="array" ref="E1708">_xlfn.XLOOKUP(D1708,Insumos!B:B,Insumos!C:$C)</f>
        <v>UN</v>
      </c>
      <c r="F1708" s="14">
        <v>0.27205000000000001</v>
      </c>
      <c r="G1708" s="92">
        <f t="array" ref="G1708">IF(B1708="insumo",_xlfn.XLOOKUP($D1708,Insumos!$B$1:$B$996,Insumos!$D$1:$D$996),"")</f>
        <v>0.2</v>
      </c>
      <c r="H1708" s="92">
        <v>5.441E-2</v>
      </c>
      <c r="I1708" s="13">
        <v>0</v>
      </c>
      <c r="J1708" s="13">
        <v>0</v>
      </c>
      <c r="K1708" s="13"/>
      <c r="L1708"/>
      <c r="M1708"/>
      <c r="N1708"/>
      <c r="O1708"/>
      <c r="P1708"/>
      <c r="Q1708"/>
      <c r="R1708"/>
      <c r="S1708"/>
      <c r="T1708"/>
      <c r="U1708"/>
      <c r="V1708"/>
      <c r="W1708"/>
      <c r="X1708"/>
      <c r="Y1708"/>
      <c r="Z1708"/>
      <c r="AA1708"/>
      <c r="AB1708"/>
      <c r="AC1708"/>
      <c r="AD1708"/>
      <c r="AE1708"/>
      <c r="AF1708"/>
      <c r="AG1708"/>
      <c r="AH1708"/>
      <c r="AI1708"/>
      <c r="AJ1708"/>
      <c r="AK1708"/>
      <c r="AL1708"/>
    </row>
    <row r="1709" spans="1:38" ht="15.75" customHeight="1" outlineLevel="2" x14ac:dyDescent="0.2">
      <c r="A1709" s="1067">
        <v>1</v>
      </c>
      <c r="B1709" s="1067" t="s">
        <v>68</v>
      </c>
      <c r="C1709" s="1067" t="s">
        <v>1338</v>
      </c>
      <c r="D1709" s="1067" t="s">
        <v>1338</v>
      </c>
      <c r="E1709" s="1068" t="s">
        <v>70</v>
      </c>
      <c r="F1709" s="1067"/>
      <c r="G1709" s="1069" t="str">
        <f t="array" ref="G1709">IF(B1709="insumo",_xlfn.XLOOKUP($D1709,Insumos!$B$1:$B$996,Insumos!$D$1:$D$996),"")</f>
        <v/>
      </c>
      <c r="H1709" s="1069">
        <v>167.03343649999999</v>
      </c>
      <c r="I1709" s="1070">
        <v>0</v>
      </c>
      <c r="J1709" s="1070">
        <v>0</v>
      </c>
      <c r="K1709" s="1070"/>
      <c r="L1709"/>
      <c r="M1709"/>
      <c r="N1709"/>
      <c r="O1709"/>
      <c r="P1709"/>
      <c r="Q1709"/>
      <c r="R1709"/>
      <c r="S1709"/>
      <c r="T1709"/>
      <c r="U1709"/>
      <c r="V1709"/>
      <c r="W1709"/>
      <c r="X1709"/>
      <c r="Y1709"/>
      <c r="Z1709"/>
      <c r="AA1709"/>
      <c r="AB1709"/>
      <c r="AC1709"/>
      <c r="AD1709"/>
      <c r="AE1709"/>
      <c r="AF1709"/>
      <c r="AG1709"/>
      <c r="AH1709"/>
      <c r="AI1709"/>
      <c r="AJ1709"/>
      <c r="AK1709"/>
      <c r="AL1709"/>
    </row>
    <row r="1710" spans="1:38" ht="15.75" customHeight="1" outlineLevel="3" x14ac:dyDescent="0.2">
      <c r="A1710" s="10">
        <v>86</v>
      </c>
      <c r="B1710" s="10" t="s">
        <v>71</v>
      </c>
      <c r="C1710" s="10" t="s">
        <v>1338</v>
      </c>
      <c r="D1710" s="10" t="s">
        <v>407</v>
      </c>
      <c r="E1710" s="11" t="str">
        <f t="array" ref="E1710">_xlfn.XLOOKUP(D1710,Insumos!B:B,Insumos!C:$C)</f>
        <v>M2</v>
      </c>
      <c r="F1710" s="14">
        <v>1</v>
      </c>
      <c r="G1710" s="92">
        <f t="array" ref="G1710">IF(B1710="insumo",_xlfn.XLOOKUP($D1710,Insumos!$B$1:$B$996,Insumos!$D$1:$D$996),"")</f>
        <v>70</v>
      </c>
      <c r="H1710" s="92">
        <v>70</v>
      </c>
      <c r="I1710" s="13">
        <v>0</v>
      </c>
      <c r="J1710" s="13">
        <v>0</v>
      </c>
      <c r="K1710" s="13"/>
      <c r="L1710"/>
      <c r="M1710"/>
      <c r="N1710"/>
      <c r="O1710"/>
      <c r="P1710"/>
      <c r="Q1710"/>
      <c r="R1710"/>
      <c r="S1710"/>
      <c r="T1710"/>
      <c r="U1710"/>
      <c r="V1710"/>
      <c r="W1710"/>
      <c r="X1710"/>
      <c r="Y1710"/>
      <c r="Z1710"/>
      <c r="AA1710"/>
      <c r="AB1710"/>
      <c r="AC1710"/>
      <c r="AD1710"/>
      <c r="AE1710"/>
      <c r="AF1710"/>
      <c r="AG1710"/>
      <c r="AH1710"/>
      <c r="AI1710"/>
      <c r="AJ1710"/>
      <c r="AK1710"/>
      <c r="AL1710"/>
    </row>
    <row r="1711" spans="1:38" ht="15.75" customHeight="1" outlineLevel="3" x14ac:dyDescent="0.2">
      <c r="A1711" s="10">
        <v>49</v>
      </c>
      <c r="B1711" s="10" t="s">
        <v>71</v>
      </c>
      <c r="C1711" s="10" t="s">
        <v>1338</v>
      </c>
      <c r="D1711" s="10" t="s">
        <v>418</v>
      </c>
      <c r="E1711" s="11" t="str">
        <f t="array" ref="E1711">_xlfn.XLOOKUP(D1711,Insumos!B:B,Insumos!C:$C)</f>
        <v>M2</v>
      </c>
      <c r="F1711" s="14">
        <v>1.0529999999999999</v>
      </c>
      <c r="G1711" s="92">
        <f t="array" ref="G1711">IF(B1711="insumo",_xlfn.XLOOKUP($D1711,Insumos!$B$1:$B$996,Insumos!$D$1:$D$996),"")</f>
        <v>27.1</v>
      </c>
      <c r="H1711" s="92">
        <v>28.536300000000001</v>
      </c>
      <c r="I1711" s="13">
        <v>0</v>
      </c>
      <c r="J1711" s="13">
        <v>0</v>
      </c>
      <c r="K1711" s="13"/>
      <c r="L1711"/>
      <c r="M1711"/>
      <c r="N1711"/>
      <c r="O1711"/>
      <c r="P1711"/>
      <c r="Q1711"/>
      <c r="R1711"/>
      <c r="S1711"/>
      <c r="T1711"/>
      <c r="U1711"/>
      <c r="V1711"/>
      <c r="W1711"/>
      <c r="X1711"/>
      <c r="Y1711"/>
      <c r="Z1711"/>
      <c r="AA1711"/>
      <c r="AB1711"/>
      <c r="AC1711"/>
      <c r="AD1711"/>
      <c r="AE1711"/>
      <c r="AF1711"/>
      <c r="AG1711"/>
      <c r="AH1711"/>
      <c r="AI1711"/>
      <c r="AJ1711"/>
      <c r="AK1711"/>
      <c r="AL1711"/>
    </row>
    <row r="1712" spans="1:38" ht="15.75" customHeight="1" outlineLevel="3" x14ac:dyDescent="0.2">
      <c r="A1712" s="10">
        <v>95</v>
      </c>
      <c r="B1712" s="10" t="s">
        <v>71</v>
      </c>
      <c r="C1712" s="10" t="s">
        <v>1338</v>
      </c>
      <c r="D1712" s="10" t="s">
        <v>409</v>
      </c>
      <c r="E1712" s="11" t="str">
        <f t="array" ref="E1712">_xlfn.XLOOKUP(D1712,Insumos!B:B,Insumos!C:$C)</f>
        <v>UN</v>
      </c>
      <c r="F1712" s="14">
        <v>5.92</v>
      </c>
      <c r="G1712" s="92">
        <f t="array" ref="G1712">IF(B1712="insumo",_xlfn.XLOOKUP($D1712,Insumos!$B$1:$B$996,Insumos!$D$1:$D$996),"")</f>
        <v>0.504</v>
      </c>
      <c r="H1712" s="92">
        <v>2.9836800000000001</v>
      </c>
      <c r="I1712" s="13">
        <v>0</v>
      </c>
      <c r="J1712" s="13">
        <v>0</v>
      </c>
      <c r="K1712" s="13"/>
      <c r="L1712"/>
      <c r="M1712"/>
      <c r="N1712"/>
      <c r="O1712"/>
      <c r="P1712"/>
      <c r="Q1712"/>
      <c r="R1712"/>
      <c r="S1712"/>
      <c r="T1712"/>
      <c r="U1712"/>
      <c r="V1712"/>
      <c r="W1712"/>
      <c r="X1712"/>
      <c r="Y1712"/>
      <c r="Z1712"/>
      <c r="AA1712"/>
      <c r="AB1712"/>
      <c r="AC1712"/>
      <c r="AD1712"/>
      <c r="AE1712"/>
      <c r="AF1712"/>
      <c r="AG1712"/>
      <c r="AH1712"/>
      <c r="AI1712"/>
      <c r="AJ1712"/>
      <c r="AK1712"/>
      <c r="AL1712"/>
    </row>
    <row r="1713" spans="1:38" ht="15.75" customHeight="1" outlineLevel="3" x14ac:dyDescent="0.2">
      <c r="A1713" s="10">
        <v>43</v>
      </c>
      <c r="B1713" s="10" t="s">
        <v>71</v>
      </c>
      <c r="C1713" s="10" t="s">
        <v>1338</v>
      </c>
      <c r="D1713" s="10" t="s">
        <v>423</v>
      </c>
      <c r="E1713" s="11" t="str">
        <f t="array" ref="E1713">_xlfn.XLOOKUP(D1713,Insumos!B:B,Insumos!C:$C)</f>
        <v>M</v>
      </c>
      <c r="F1713" s="14">
        <v>1.8233999999999999</v>
      </c>
      <c r="G1713" s="92">
        <f t="array" ref="G1713">IF(B1713="insumo",_xlfn.XLOOKUP($D1713,Insumos!$B$1:$B$996,Insumos!$D$1:$D$996),"")</f>
        <v>7.46</v>
      </c>
      <c r="H1713" s="92">
        <v>13.602563999999999</v>
      </c>
      <c r="I1713" s="13">
        <v>0</v>
      </c>
      <c r="J1713" s="13">
        <v>0</v>
      </c>
      <c r="K1713" s="13"/>
      <c r="L1713"/>
      <c r="M1713"/>
      <c r="N1713"/>
      <c r="O1713"/>
      <c r="P1713"/>
      <c r="Q1713"/>
      <c r="R1713"/>
      <c r="S1713"/>
      <c r="T1713"/>
      <c r="U1713"/>
      <c r="V1713"/>
      <c r="W1713"/>
      <c r="X1713"/>
      <c r="Y1713"/>
      <c r="Z1713"/>
      <c r="AA1713"/>
      <c r="AB1713"/>
      <c r="AC1713"/>
      <c r="AD1713"/>
      <c r="AE1713"/>
      <c r="AF1713"/>
      <c r="AG1713"/>
      <c r="AH1713"/>
      <c r="AI1713"/>
      <c r="AJ1713"/>
      <c r="AK1713"/>
      <c r="AL1713"/>
    </row>
    <row r="1714" spans="1:38" ht="15.75" customHeight="1" outlineLevel="3" x14ac:dyDescent="0.2">
      <c r="A1714" s="10">
        <v>43</v>
      </c>
      <c r="B1714" s="10" t="s">
        <v>71</v>
      </c>
      <c r="C1714" s="10" t="s">
        <v>1338</v>
      </c>
      <c r="D1714" s="10" t="s">
        <v>424</v>
      </c>
      <c r="E1714" s="11" t="str">
        <f t="array" ref="E1714">_xlfn.XLOOKUP(D1714,Insumos!B:B,Insumos!C:$C)</f>
        <v>M</v>
      </c>
      <c r="F1714" s="14">
        <v>5.8277999999999999</v>
      </c>
      <c r="G1714" s="92">
        <f t="array" ref="G1714">IF(B1714="insumo",_xlfn.XLOOKUP($D1714,Insumos!$B$1:$B$996,Insumos!$D$1:$D$996),"")</f>
        <v>7.98</v>
      </c>
      <c r="H1714" s="92">
        <v>46.505844000000003</v>
      </c>
      <c r="I1714" s="13">
        <v>0</v>
      </c>
      <c r="J1714" s="13">
        <v>0</v>
      </c>
      <c r="K1714" s="13"/>
      <c r="L1714"/>
      <c r="M1714"/>
      <c r="N1714"/>
      <c r="O1714"/>
      <c r="P1714"/>
      <c r="Q1714"/>
      <c r="R1714"/>
      <c r="S1714"/>
      <c r="T1714"/>
      <c r="U1714"/>
      <c r="V1714"/>
      <c r="W1714"/>
      <c r="X1714"/>
      <c r="Y1714"/>
      <c r="Z1714"/>
      <c r="AA1714"/>
      <c r="AB1714"/>
      <c r="AC1714"/>
      <c r="AD1714"/>
      <c r="AE1714"/>
      <c r="AF1714"/>
      <c r="AG1714"/>
      <c r="AH1714"/>
      <c r="AI1714"/>
      <c r="AJ1714"/>
      <c r="AK1714"/>
      <c r="AL1714"/>
    </row>
    <row r="1715" spans="1:38" ht="15.75" customHeight="1" outlineLevel="3" x14ac:dyDescent="0.2">
      <c r="A1715" s="10">
        <v>95</v>
      </c>
      <c r="B1715" s="10" t="s">
        <v>71</v>
      </c>
      <c r="C1715" s="10" t="s">
        <v>1338</v>
      </c>
      <c r="D1715" s="10" t="s">
        <v>405</v>
      </c>
      <c r="E1715" s="11" t="str">
        <f t="array" ref="E1715">_xlfn.XLOOKUP(D1715,Insumos!B:B,Insumos!C:$C)</f>
        <v>KG</v>
      </c>
      <c r="F1715" s="14">
        <v>0.54890000000000005</v>
      </c>
      <c r="G1715" s="92">
        <f t="array" ref="G1715">IF(B1715="insumo",_xlfn.XLOOKUP($D1715,Insumos!$B$1:$B$996,Insumos!$D$1:$D$996),"")</f>
        <v>3.43</v>
      </c>
      <c r="H1715" s="92">
        <v>1.882727</v>
      </c>
      <c r="I1715" s="13">
        <v>0</v>
      </c>
      <c r="J1715" s="13">
        <v>0</v>
      </c>
      <c r="K1715" s="13"/>
      <c r="L1715"/>
      <c r="M1715"/>
      <c r="N1715"/>
      <c r="O1715"/>
      <c r="P1715"/>
      <c r="Q1715"/>
      <c r="R1715"/>
      <c r="S1715"/>
      <c r="T1715"/>
      <c r="U1715"/>
      <c r="V1715"/>
      <c r="W1715"/>
      <c r="X1715"/>
      <c r="Y1715"/>
      <c r="Z1715"/>
      <c r="AA1715"/>
      <c r="AB1715"/>
      <c r="AC1715"/>
      <c r="AD1715"/>
      <c r="AE1715"/>
      <c r="AF1715"/>
      <c r="AG1715"/>
      <c r="AH1715"/>
      <c r="AI1715"/>
      <c r="AJ1715"/>
      <c r="AK1715"/>
      <c r="AL1715"/>
    </row>
    <row r="1716" spans="1:38" ht="15.75" customHeight="1" outlineLevel="3" x14ac:dyDescent="0.2">
      <c r="A1716" s="10">
        <v>94</v>
      </c>
      <c r="B1716" s="10" t="s">
        <v>71</v>
      </c>
      <c r="C1716" s="10" t="s">
        <v>1338</v>
      </c>
      <c r="D1716" s="10" t="s">
        <v>412</v>
      </c>
      <c r="E1716" s="11" t="str">
        <f t="array" ref="E1716">_xlfn.XLOOKUP(D1716,Insumos!B:B,Insumos!C:$C)</f>
        <v>M</v>
      </c>
      <c r="F1716" s="14">
        <v>1.25135</v>
      </c>
      <c r="G1716" s="92">
        <f t="array" ref="G1716">IF(B1716="insumo",_xlfn.XLOOKUP($D1716,Insumos!$B$1:$B$996,Insumos!$D$1:$D$996),"")</f>
        <v>0.31</v>
      </c>
      <c r="H1716" s="92">
        <v>0.3879185</v>
      </c>
      <c r="I1716" s="13">
        <v>0</v>
      </c>
      <c r="J1716" s="13">
        <v>0</v>
      </c>
      <c r="K1716" s="13"/>
      <c r="L1716"/>
      <c r="M1716"/>
      <c r="N1716"/>
      <c r="O1716"/>
      <c r="P1716"/>
      <c r="Q1716"/>
      <c r="R1716"/>
      <c r="S1716"/>
      <c r="T1716"/>
      <c r="U1716"/>
      <c r="V1716"/>
      <c r="W1716"/>
      <c r="X1716"/>
      <c r="Y1716"/>
      <c r="Z1716"/>
      <c r="AA1716"/>
      <c r="AB1716"/>
      <c r="AC1716"/>
      <c r="AD1716"/>
      <c r="AE1716"/>
      <c r="AF1716"/>
      <c r="AG1716"/>
      <c r="AH1716"/>
      <c r="AI1716"/>
      <c r="AJ1716"/>
      <c r="AK1716"/>
      <c r="AL1716"/>
    </row>
    <row r="1717" spans="1:38" ht="15.75" customHeight="1" outlineLevel="3" x14ac:dyDescent="0.2">
      <c r="A1717" s="10">
        <v>94</v>
      </c>
      <c r="B1717" s="10" t="s">
        <v>71</v>
      </c>
      <c r="C1717" s="10" t="s">
        <v>1338</v>
      </c>
      <c r="D1717" s="10" t="s">
        <v>413</v>
      </c>
      <c r="E1717" s="11" t="str">
        <f t="array" ref="E1717">_xlfn.XLOOKUP(D1717,Insumos!B:B,Insumos!C:$C)</f>
        <v>M</v>
      </c>
      <c r="F1717" s="14">
        <v>0.79254999999999998</v>
      </c>
      <c r="G1717" s="92">
        <f t="array" ref="G1717">IF(B1717="insumo",_xlfn.XLOOKUP($D1717,Insumos!$B$1:$B$996,Insumos!$D$1:$D$996),"")</f>
        <v>2.74</v>
      </c>
      <c r="H1717" s="92">
        <v>2.1715870000000002</v>
      </c>
      <c r="I1717" s="13">
        <v>0</v>
      </c>
      <c r="J1717" s="13">
        <v>0</v>
      </c>
      <c r="K1717" s="13"/>
      <c r="L1717"/>
      <c r="M1717"/>
      <c r="N1717"/>
      <c r="O1717"/>
      <c r="P1717"/>
      <c r="Q1717"/>
      <c r="R1717"/>
      <c r="S1717"/>
      <c r="T1717"/>
      <c r="U1717"/>
      <c r="V1717"/>
      <c r="W1717"/>
      <c r="X1717"/>
      <c r="Y1717"/>
      <c r="Z1717"/>
      <c r="AA1717"/>
      <c r="AB1717"/>
      <c r="AC1717"/>
      <c r="AD1717"/>
      <c r="AE1717"/>
      <c r="AF1717"/>
      <c r="AG1717"/>
      <c r="AH1717"/>
      <c r="AI1717"/>
      <c r="AJ1717"/>
      <c r="AK1717"/>
      <c r="AL1717"/>
    </row>
    <row r="1718" spans="1:38" ht="15.75" customHeight="1" outlineLevel="3" x14ac:dyDescent="0.2">
      <c r="A1718" s="10">
        <v>97</v>
      </c>
      <c r="B1718" s="10" t="s">
        <v>71</v>
      </c>
      <c r="C1718" s="10" t="s">
        <v>1338</v>
      </c>
      <c r="D1718" s="10" t="s">
        <v>414</v>
      </c>
      <c r="E1718" s="11" t="str">
        <f t="array" ref="E1718">_xlfn.XLOOKUP(D1718,Insumos!B:B,Insumos!C:$C)</f>
        <v>UN</v>
      </c>
      <c r="F1718" s="14">
        <v>10.093400000000001</v>
      </c>
      <c r="G1718" s="92">
        <f t="array" ref="G1718">IF(B1718="insumo",_xlfn.XLOOKUP($D1718,Insumos!$B$1:$B$996,Insumos!$D$1:$D$996),"")</f>
        <v>0.09</v>
      </c>
      <c r="H1718" s="92">
        <v>0.90840600000000005</v>
      </c>
      <c r="I1718" s="13">
        <v>0</v>
      </c>
      <c r="J1718" s="13">
        <v>0</v>
      </c>
      <c r="K1718" s="13"/>
      <c r="L1718"/>
      <c r="M1718"/>
      <c r="N1718"/>
      <c r="O1718"/>
      <c r="P1718"/>
      <c r="Q1718"/>
      <c r="R1718"/>
      <c r="S1718"/>
      <c r="T1718"/>
      <c r="U1718"/>
      <c r="V1718"/>
      <c r="W1718"/>
      <c r="X1718"/>
      <c r="Y1718"/>
      <c r="Z1718"/>
      <c r="AA1718"/>
      <c r="AB1718"/>
      <c r="AC1718"/>
      <c r="AD1718"/>
      <c r="AE1718"/>
      <c r="AF1718"/>
      <c r="AG1718"/>
      <c r="AH1718"/>
      <c r="AI1718"/>
      <c r="AJ1718"/>
      <c r="AK1718"/>
      <c r="AL1718"/>
    </row>
    <row r="1719" spans="1:38" ht="15.75" customHeight="1" outlineLevel="3" x14ac:dyDescent="0.2">
      <c r="A1719" s="10">
        <v>95</v>
      </c>
      <c r="B1719" s="10" t="s">
        <v>71</v>
      </c>
      <c r="C1719" s="10" t="s">
        <v>1338</v>
      </c>
      <c r="D1719" s="10" t="s">
        <v>415</v>
      </c>
      <c r="E1719" s="11" t="str">
        <f t="array" ref="E1719">_xlfn.XLOOKUP(D1719,Insumos!B:B,Insumos!C:$C)</f>
        <v>UN</v>
      </c>
      <c r="F1719" s="14">
        <v>0.27205000000000001</v>
      </c>
      <c r="G1719" s="92">
        <f t="array" ref="G1719">IF(B1719="insumo",_xlfn.XLOOKUP($D1719,Insumos!$B$1:$B$996,Insumos!$D$1:$D$996),"")</f>
        <v>0.2</v>
      </c>
      <c r="H1719" s="92">
        <v>5.441E-2</v>
      </c>
      <c r="I1719" s="13">
        <v>0</v>
      </c>
      <c r="J1719" s="13">
        <v>0</v>
      </c>
      <c r="K1719" s="13"/>
      <c r="L1719"/>
      <c r="M1719"/>
      <c r="N1719"/>
      <c r="O1719"/>
      <c r="P1719"/>
      <c r="Q1719"/>
      <c r="R1719"/>
      <c r="S1719"/>
      <c r="T1719"/>
      <c r="U1719"/>
      <c r="V1719"/>
      <c r="W1719"/>
      <c r="X1719"/>
      <c r="Y1719"/>
      <c r="Z1719"/>
      <c r="AA1719"/>
      <c r="AB1719"/>
      <c r="AC1719"/>
      <c r="AD1719"/>
      <c r="AE1719"/>
      <c r="AF1719"/>
      <c r="AG1719"/>
      <c r="AH1719"/>
      <c r="AI1719"/>
      <c r="AJ1719"/>
      <c r="AK1719"/>
      <c r="AL1719"/>
    </row>
    <row r="1720" spans="1:38" ht="15.75" customHeight="1" outlineLevel="2" x14ac:dyDescent="0.2">
      <c r="A1720" s="1067">
        <v>1</v>
      </c>
      <c r="B1720" s="1067" t="s">
        <v>68</v>
      </c>
      <c r="C1720" s="1067" t="s">
        <v>1339</v>
      </c>
      <c r="D1720" s="1067" t="s">
        <v>1339</v>
      </c>
      <c r="E1720" s="1068" t="s">
        <v>70</v>
      </c>
      <c r="F1720" s="1067"/>
      <c r="G1720" s="1069" t="str">
        <f t="array" ref="G1720">IF(B1720="insumo",_xlfn.XLOOKUP($D1720,Insumos!$B$1:$B$996,Insumos!$D$1:$D$996),"")</f>
        <v/>
      </c>
      <c r="H1720" s="1069">
        <v>159.7256165</v>
      </c>
      <c r="I1720" s="1070">
        <v>0</v>
      </c>
      <c r="J1720" s="1070">
        <v>0</v>
      </c>
      <c r="K1720" s="1070"/>
      <c r="L1720"/>
      <c r="M1720"/>
      <c r="N1720"/>
      <c r="O1720"/>
      <c r="P1720"/>
      <c r="Q1720"/>
      <c r="R1720"/>
      <c r="S1720"/>
      <c r="T1720"/>
      <c r="U1720"/>
      <c r="V1720"/>
      <c r="W1720"/>
      <c r="X1720"/>
      <c r="Y1720"/>
      <c r="Z1720"/>
      <c r="AA1720"/>
      <c r="AB1720"/>
      <c r="AC1720"/>
      <c r="AD1720"/>
      <c r="AE1720"/>
      <c r="AF1720"/>
      <c r="AG1720"/>
      <c r="AH1720"/>
      <c r="AI1720"/>
      <c r="AJ1720"/>
      <c r="AK1720"/>
      <c r="AL1720"/>
    </row>
    <row r="1721" spans="1:38" ht="15.75" customHeight="1" outlineLevel="3" x14ac:dyDescent="0.2">
      <c r="A1721" s="10">
        <v>86</v>
      </c>
      <c r="B1721" s="10" t="s">
        <v>71</v>
      </c>
      <c r="C1721" s="10" t="s">
        <v>1339</v>
      </c>
      <c r="D1721" s="10" t="s">
        <v>407</v>
      </c>
      <c r="E1721" s="11" t="str">
        <f t="array" ref="E1721">_xlfn.XLOOKUP(D1721,Insumos!B:B,Insumos!C:$C)</f>
        <v>M2</v>
      </c>
      <c r="F1721" s="14">
        <v>1</v>
      </c>
      <c r="G1721" s="92">
        <f t="array" ref="G1721">IF(B1721="insumo",_xlfn.XLOOKUP($D1721,Insumos!$B$1:$B$996,Insumos!$D$1:$D$996),"")</f>
        <v>70</v>
      </c>
      <c r="H1721" s="92">
        <v>70</v>
      </c>
      <c r="I1721" s="13">
        <v>0</v>
      </c>
      <c r="J1721" s="13">
        <v>0</v>
      </c>
      <c r="K1721" s="13"/>
      <c r="L1721"/>
      <c r="M1721"/>
      <c r="N1721"/>
      <c r="O1721"/>
      <c r="P1721"/>
      <c r="Q1721"/>
      <c r="R1721"/>
      <c r="S1721"/>
      <c r="T1721"/>
      <c r="U1721"/>
      <c r="V1721"/>
      <c r="W1721"/>
      <c r="X1721"/>
      <c r="Y1721"/>
      <c r="Z1721"/>
      <c r="AA1721"/>
      <c r="AB1721"/>
      <c r="AC1721"/>
      <c r="AD1721"/>
      <c r="AE1721"/>
      <c r="AF1721"/>
      <c r="AG1721"/>
      <c r="AH1721"/>
      <c r="AI1721"/>
      <c r="AJ1721"/>
      <c r="AK1721"/>
      <c r="AL1721"/>
    </row>
    <row r="1722" spans="1:38" ht="15.75" customHeight="1" outlineLevel="3" x14ac:dyDescent="0.2">
      <c r="A1722" s="10">
        <v>47</v>
      </c>
      <c r="B1722" s="10" t="s">
        <v>71</v>
      </c>
      <c r="C1722" s="10" t="s">
        <v>1339</v>
      </c>
      <c r="D1722" s="10" t="s">
        <v>408</v>
      </c>
      <c r="E1722" s="11" t="str">
        <f t="array" ref="E1722">_xlfn.XLOOKUP(D1722,Insumos!B:B,Insumos!C:$C)</f>
        <v>M2</v>
      </c>
      <c r="F1722" s="14">
        <v>1.0529999999999999</v>
      </c>
      <c r="G1722" s="92">
        <f t="array" ref="G1722">IF(B1722="insumo",_xlfn.XLOOKUP($D1722,Insumos!$B$1:$B$996,Insumos!$D$1:$D$996),"")</f>
        <v>20.16</v>
      </c>
      <c r="H1722" s="92">
        <v>21.228480000000001</v>
      </c>
      <c r="I1722" s="13">
        <v>0</v>
      </c>
      <c r="J1722" s="13">
        <v>0</v>
      </c>
      <c r="K1722" s="13"/>
      <c r="L1722"/>
      <c r="M1722"/>
      <c r="N1722"/>
      <c r="O1722"/>
      <c r="P1722"/>
      <c r="Q1722"/>
      <c r="R1722"/>
      <c r="S1722"/>
      <c r="T1722"/>
      <c r="U1722"/>
      <c r="V1722"/>
      <c r="W1722"/>
      <c r="X1722"/>
      <c r="Y1722"/>
      <c r="Z1722"/>
      <c r="AA1722"/>
      <c r="AB1722"/>
      <c r="AC1722"/>
      <c r="AD1722"/>
      <c r="AE1722"/>
      <c r="AF1722"/>
      <c r="AG1722"/>
      <c r="AH1722"/>
      <c r="AI1722"/>
      <c r="AJ1722"/>
      <c r="AK1722"/>
      <c r="AL1722"/>
    </row>
    <row r="1723" spans="1:38" ht="15.75" customHeight="1" outlineLevel="3" x14ac:dyDescent="0.2">
      <c r="A1723" s="10">
        <v>95</v>
      </c>
      <c r="B1723" s="10" t="s">
        <v>71</v>
      </c>
      <c r="C1723" s="10" t="s">
        <v>1339</v>
      </c>
      <c r="D1723" s="10" t="s">
        <v>409</v>
      </c>
      <c r="E1723" s="11" t="str">
        <f t="array" ref="E1723">_xlfn.XLOOKUP(D1723,Insumos!B:B,Insumos!C:$C)</f>
        <v>UN</v>
      </c>
      <c r="F1723" s="14">
        <v>5.92</v>
      </c>
      <c r="G1723" s="92">
        <f t="array" ref="G1723">IF(B1723="insumo",_xlfn.XLOOKUP($D1723,Insumos!$B$1:$B$996,Insumos!$D$1:$D$996),"")</f>
        <v>0.504</v>
      </c>
      <c r="H1723" s="92">
        <v>2.9836800000000001</v>
      </c>
      <c r="I1723" s="13">
        <v>0</v>
      </c>
      <c r="J1723" s="13">
        <v>0</v>
      </c>
      <c r="K1723" s="13"/>
      <c r="L1723"/>
      <c r="M1723"/>
      <c r="N1723"/>
      <c r="O1723"/>
      <c r="P1723"/>
      <c r="Q1723"/>
      <c r="R1723"/>
      <c r="S1723"/>
      <c r="T1723"/>
      <c r="U1723"/>
      <c r="V1723"/>
      <c r="W1723"/>
      <c r="X1723"/>
      <c r="Y1723"/>
      <c r="Z1723"/>
      <c r="AA1723"/>
      <c r="AB1723"/>
      <c r="AC1723"/>
      <c r="AD1723"/>
      <c r="AE1723"/>
      <c r="AF1723"/>
      <c r="AG1723"/>
      <c r="AH1723"/>
      <c r="AI1723"/>
      <c r="AJ1723"/>
      <c r="AK1723"/>
      <c r="AL1723"/>
    </row>
    <row r="1724" spans="1:38" ht="15.75" customHeight="1" outlineLevel="3" x14ac:dyDescent="0.2">
      <c r="A1724" s="10">
        <v>43</v>
      </c>
      <c r="B1724" s="10" t="s">
        <v>71</v>
      </c>
      <c r="C1724" s="10" t="s">
        <v>1339</v>
      </c>
      <c r="D1724" s="10" t="s">
        <v>423</v>
      </c>
      <c r="E1724" s="11" t="str">
        <f t="array" ref="E1724">_xlfn.XLOOKUP(D1724,Insumos!B:B,Insumos!C:$C)</f>
        <v>M</v>
      </c>
      <c r="F1724" s="14">
        <v>1.8233999999999999</v>
      </c>
      <c r="G1724" s="92">
        <f t="array" ref="G1724">IF(B1724="insumo",_xlfn.XLOOKUP($D1724,Insumos!$B$1:$B$996,Insumos!$D$1:$D$996),"")</f>
        <v>7.46</v>
      </c>
      <c r="H1724" s="92">
        <v>13.602563999999999</v>
      </c>
      <c r="I1724" s="13">
        <v>0</v>
      </c>
      <c r="J1724" s="13">
        <v>0</v>
      </c>
      <c r="K1724" s="13"/>
      <c r="L1724"/>
      <c r="M1724"/>
      <c r="N1724"/>
      <c r="O1724"/>
      <c r="P1724"/>
      <c r="Q1724"/>
      <c r="R1724"/>
      <c r="S1724"/>
      <c r="T1724"/>
      <c r="U1724"/>
      <c r="V1724"/>
      <c r="W1724"/>
      <c r="X1724"/>
      <c r="Y1724"/>
      <c r="Z1724"/>
      <c r="AA1724"/>
      <c r="AB1724"/>
      <c r="AC1724"/>
      <c r="AD1724"/>
      <c r="AE1724"/>
      <c r="AF1724"/>
      <c r="AG1724"/>
      <c r="AH1724"/>
      <c r="AI1724"/>
      <c r="AJ1724"/>
      <c r="AK1724"/>
      <c r="AL1724"/>
    </row>
    <row r="1725" spans="1:38" ht="15.75" customHeight="1" outlineLevel="3" x14ac:dyDescent="0.2">
      <c r="A1725" s="10">
        <v>43</v>
      </c>
      <c r="B1725" s="10" t="s">
        <v>71</v>
      </c>
      <c r="C1725" s="10" t="s">
        <v>1339</v>
      </c>
      <c r="D1725" s="10" t="s">
        <v>424</v>
      </c>
      <c r="E1725" s="11" t="str">
        <f t="array" ref="E1725">_xlfn.XLOOKUP(D1725,Insumos!B:B,Insumos!C:$C)</f>
        <v>M</v>
      </c>
      <c r="F1725" s="14">
        <v>5.8277999999999999</v>
      </c>
      <c r="G1725" s="92">
        <f t="array" ref="G1725">IF(B1725="insumo",_xlfn.XLOOKUP($D1725,Insumos!$B$1:$B$996,Insumos!$D$1:$D$996),"")</f>
        <v>7.98</v>
      </c>
      <c r="H1725" s="92">
        <v>46.505844000000003</v>
      </c>
      <c r="I1725" s="13">
        <v>0</v>
      </c>
      <c r="J1725" s="13">
        <v>0</v>
      </c>
      <c r="K1725" s="13"/>
      <c r="L1725"/>
      <c r="M1725"/>
      <c r="N1725"/>
      <c r="O1725"/>
      <c r="P1725"/>
      <c r="Q1725"/>
      <c r="R1725"/>
      <c r="S1725"/>
      <c r="T1725"/>
      <c r="U1725"/>
      <c r="V1725"/>
      <c r="W1725"/>
      <c r="X1725"/>
      <c r="Y1725"/>
      <c r="Z1725"/>
      <c r="AA1725"/>
      <c r="AB1725"/>
      <c r="AC1725"/>
      <c r="AD1725"/>
      <c r="AE1725"/>
      <c r="AF1725"/>
      <c r="AG1725"/>
      <c r="AH1725"/>
      <c r="AI1725"/>
      <c r="AJ1725"/>
      <c r="AK1725"/>
      <c r="AL1725"/>
    </row>
    <row r="1726" spans="1:38" ht="15.75" customHeight="1" outlineLevel="3" x14ac:dyDescent="0.2">
      <c r="A1726" s="10">
        <v>95</v>
      </c>
      <c r="B1726" s="10" t="s">
        <v>71</v>
      </c>
      <c r="C1726" s="10" t="s">
        <v>1339</v>
      </c>
      <c r="D1726" s="10" t="s">
        <v>405</v>
      </c>
      <c r="E1726" s="11" t="str">
        <f t="array" ref="E1726">_xlfn.XLOOKUP(D1726,Insumos!B:B,Insumos!C:$C)</f>
        <v>KG</v>
      </c>
      <c r="F1726" s="14">
        <v>0.54890000000000005</v>
      </c>
      <c r="G1726" s="92">
        <f t="array" ref="G1726">IF(B1726="insumo",_xlfn.XLOOKUP($D1726,Insumos!$B$1:$B$996,Insumos!$D$1:$D$996),"")</f>
        <v>3.43</v>
      </c>
      <c r="H1726" s="92">
        <v>1.882727</v>
      </c>
      <c r="I1726" s="13">
        <v>0</v>
      </c>
      <c r="J1726" s="13">
        <v>0</v>
      </c>
      <c r="K1726" s="13"/>
      <c r="L1726"/>
      <c r="M1726"/>
      <c r="N1726"/>
      <c r="O1726"/>
      <c r="P1726"/>
      <c r="Q1726"/>
      <c r="R1726"/>
      <c r="S1726"/>
      <c r="T1726"/>
      <c r="U1726"/>
      <c r="V1726"/>
      <c r="W1726"/>
      <c r="X1726"/>
      <c r="Y1726"/>
      <c r="Z1726"/>
      <c r="AA1726"/>
      <c r="AB1726"/>
      <c r="AC1726"/>
      <c r="AD1726"/>
      <c r="AE1726"/>
      <c r="AF1726"/>
      <c r="AG1726"/>
      <c r="AH1726"/>
      <c r="AI1726"/>
      <c r="AJ1726"/>
      <c r="AK1726"/>
      <c r="AL1726"/>
    </row>
    <row r="1727" spans="1:38" ht="15.75" customHeight="1" outlineLevel="3" x14ac:dyDescent="0.2">
      <c r="A1727" s="10">
        <v>94</v>
      </c>
      <c r="B1727" s="10" t="s">
        <v>71</v>
      </c>
      <c r="C1727" s="10" t="s">
        <v>1339</v>
      </c>
      <c r="D1727" s="10" t="s">
        <v>412</v>
      </c>
      <c r="E1727" s="11" t="str">
        <f t="array" ref="E1727">_xlfn.XLOOKUP(D1727,Insumos!B:B,Insumos!C:$C)</f>
        <v>M</v>
      </c>
      <c r="F1727" s="14">
        <v>1.25135</v>
      </c>
      <c r="G1727" s="92">
        <f t="array" ref="G1727">IF(B1727="insumo",_xlfn.XLOOKUP($D1727,Insumos!$B$1:$B$996,Insumos!$D$1:$D$996),"")</f>
        <v>0.31</v>
      </c>
      <c r="H1727" s="92">
        <v>0.3879185</v>
      </c>
      <c r="I1727" s="13">
        <v>0</v>
      </c>
      <c r="J1727" s="13">
        <v>0</v>
      </c>
      <c r="K1727" s="13"/>
      <c r="L1727"/>
      <c r="M1727"/>
      <c r="N1727"/>
      <c r="O1727"/>
      <c r="P1727"/>
      <c r="Q1727"/>
      <c r="R1727"/>
      <c r="S1727"/>
      <c r="T1727"/>
      <c r="U1727"/>
      <c r="V1727"/>
      <c r="W1727"/>
      <c r="X1727"/>
      <c r="Y1727"/>
      <c r="Z1727"/>
      <c r="AA1727"/>
      <c r="AB1727"/>
      <c r="AC1727"/>
      <c r="AD1727"/>
      <c r="AE1727"/>
      <c r="AF1727"/>
      <c r="AG1727"/>
      <c r="AH1727"/>
      <c r="AI1727"/>
      <c r="AJ1727"/>
      <c r="AK1727"/>
      <c r="AL1727"/>
    </row>
    <row r="1728" spans="1:38" ht="15.75" customHeight="1" outlineLevel="3" x14ac:dyDescent="0.2">
      <c r="A1728" s="10">
        <v>94</v>
      </c>
      <c r="B1728" s="10" t="s">
        <v>71</v>
      </c>
      <c r="C1728" s="10" t="s">
        <v>1339</v>
      </c>
      <c r="D1728" s="10" t="s">
        <v>413</v>
      </c>
      <c r="E1728" s="11" t="str">
        <f t="array" ref="E1728">_xlfn.XLOOKUP(D1728,Insumos!B:B,Insumos!C:$C)</f>
        <v>M</v>
      </c>
      <c r="F1728" s="14">
        <v>0.79254999999999998</v>
      </c>
      <c r="G1728" s="92">
        <f t="array" ref="G1728">IF(B1728="insumo",_xlfn.XLOOKUP($D1728,Insumos!$B$1:$B$996,Insumos!$D$1:$D$996),"")</f>
        <v>2.74</v>
      </c>
      <c r="H1728" s="92">
        <v>2.1715870000000002</v>
      </c>
      <c r="I1728" s="13">
        <v>0</v>
      </c>
      <c r="J1728" s="13">
        <v>0</v>
      </c>
      <c r="K1728" s="13"/>
      <c r="L1728"/>
      <c r="M1728"/>
      <c r="N1728"/>
      <c r="O1728"/>
      <c r="P1728"/>
      <c r="Q1728"/>
      <c r="R1728"/>
      <c r="S1728"/>
      <c r="T1728"/>
      <c r="U1728"/>
      <c r="V1728"/>
      <c r="W1728"/>
      <c r="X1728"/>
      <c r="Y1728"/>
      <c r="Z1728"/>
      <c r="AA1728"/>
      <c r="AB1728"/>
      <c r="AC1728"/>
      <c r="AD1728"/>
      <c r="AE1728"/>
      <c r="AF1728"/>
      <c r="AG1728"/>
      <c r="AH1728"/>
      <c r="AI1728"/>
      <c r="AJ1728"/>
      <c r="AK1728"/>
      <c r="AL1728"/>
    </row>
    <row r="1729" spans="1:38" ht="15.75" customHeight="1" outlineLevel="3" x14ac:dyDescent="0.2">
      <c r="A1729" s="10">
        <v>97</v>
      </c>
      <c r="B1729" s="10" t="s">
        <v>71</v>
      </c>
      <c r="C1729" s="10" t="s">
        <v>1339</v>
      </c>
      <c r="D1729" s="10" t="s">
        <v>414</v>
      </c>
      <c r="E1729" s="11" t="str">
        <f t="array" ref="E1729">_xlfn.XLOOKUP(D1729,Insumos!B:B,Insumos!C:$C)</f>
        <v>UN</v>
      </c>
      <c r="F1729" s="14">
        <v>10.093400000000001</v>
      </c>
      <c r="G1729" s="92">
        <f t="array" ref="G1729">IF(B1729="insumo",_xlfn.XLOOKUP($D1729,Insumos!$B$1:$B$996,Insumos!$D$1:$D$996),"")</f>
        <v>0.09</v>
      </c>
      <c r="H1729" s="92">
        <v>0.90840600000000005</v>
      </c>
      <c r="I1729" s="13">
        <v>0</v>
      </c>
      <c r="J1729" s="13">
        <v>0</v>
      </c>
      <c r="K1729" s="13"/>
      <c r="L1729"/>
      <c r="M1729"/>
      <c r="N1729"/>
      <c r="O1729"/>
      <c r="P1729"/>
      <c r="Q1729"/>
      <c r="R1729"/>
      <c r="S1729"/>
      <c r="T1729"/>
      <c r="U1729"/>
      <c r="V1729"/>
      <c r="W1729"/>
      <c r="X1729"/>
      <c r="Y1729"/>
      <c r="Z1729"/>
      <c r="AA1729"/>
      <c r="AB1729"/>
      <c r="AC1729"/>
      <c r="AD1729"/>
      <c r="AE1729"/>
      <c r="AF1729"/>
      <c r="AG1729"/>
      <c r="AH1729"/>
      <c r="AI1729"/>
      <c r="AJ1729"/>
      <c r="AK1729"/>
      <c r="AL1729"/>
    </row>
    <row r="1730" spans="1:38" ht="15.75" customHeight="1" outlineLevel="3" x14ac:dyDescent="0.2">
      <c r="A1730" s="10">
        <v>95</v>
      </c>
      <c r="B1730" s="10" t="s">
        <v>71</v>
      </c>
      <c r="C1730" s="10" t="s">
        <v>1339</v>
      </c>
      <c r="D1730" s="10" t="s">
        <v>415</v>
      </c>
      <c r="E1730" s="11" t="str">
        <f t="array" ref="E1730">_xlfn.XLOOKUP(D1730,Insumos!B:B,Insumos!C:$C)</f>
        <v>UN</v>
      </c>
      <c r="F1730" s="14">
        <v>0.27205000000000001</v>
      </c>
      <c r="G1730" s="92">
        <f t="array" ref="G1730">IF(B1730="insumo",_xlfn.XLOOKUP($D1730,Insumos!$B$1:$B$996,Insumos!$D$1:$D$996),"")</f>
        <v>0.2</v>
      </c>
      <c r="H1730" s="92">
        <v>5.441E-2</v>
      </c>
      <c r="I1730" s="13">
        <v>0</v>
      </c>
      <c r="J1730" s="13">
        <v>0</v>
      </c>
      <c r="K1730" s="13"/>
      <c r="L1730"/>
      <c r="M1730"/>
      <c r="N1730"/>
      <c r="O1730"/>
      <c r="P1730"/>
      <c r="Q1730"/>
      <c r="R1730"/>
      <c r="S1730"/>
      <c r="T1730"/>
      <c r="U1730"/>
      <c r="V1730"/>
      <c r="W1730"/>
      <c r="X1730"/>
      <c r="Y1730"/>
      <c r="Z1730"/>
      <c r="AA1730"/>
      <c r="AB1730"/>
      <c r="AC1730"/>
      <c r="AD1730"/>
      <c r="AE1730"/>
      <c r="AF1730"/>
      <c r="AG1730"/>
      <c r="AH1730"/>
      <c r="AI1730"/>
      <c r="AJ1730"/>
      <c r="AK1730"/>
      <c r="AL1730"/>
    </row>
    <row r="1731" spans="1:38" ht="15.75" customHeight="1" outlineLevel="2" x14ac:dyDescent="0.2">
      <c r="A1731" s="1067">
        <v>1</v>
      </c>
      <c r="B1731" s="1067" t="s">
        <v>68</v>
      </c>
      <c r="C1731" s="1067" t="s">
        <v>1340</v>
      </c>
      <c r="D1731" s="1067" t="s">
        <v>1340</v>
      </c>
      <c r="E1731" s="1068" t="s">
        <v>70</v>
      </c>
      <c r="F1731" s="1067"/>
      <c r="G1731" s="1069" t="str">
        <f t="array" ref="G1731">IF(B1731="insumo",_xlfn.XLOOKUP($D1731,Insumos!$B$1:$B$996,Insumos!$D$1:$D$996),"")</f>
        <v/>
      </c>
      <c r="H1731" s="1069">
        <v>159.7256165</v>
      </c>
      <c r="I1731" s="1070">
        <v>0</v>
      </c>
      <c r="J1731" s="1070">
        <v>0</v>
      </c>
      <c r="K1731" s="1070"/>
      <c r="L1731"/>
      <c r="M1731"/>
      <c r="N1731"/>
      <c r="O1731"/>
      <c r="P1731"/>
      <c r="Q1731"/>
      <c r="R1731"/>
      <c r="S1731"/>
      <c r="T1731"/>
      <c r="U1731"/>
      <c r="V1731"/>
      <c r="W1731"/>
      <c r="X1731"/>
      <c r="Y1731"/>
      <c r="Z1731"/>
      <c r="AA1731"/>
      <c r="AB1731"/>
      <c r="AC1731"/>
      <c r="AD1731"/>
      <c r="AE1731"/>
      <c r="AF1731"/>
      <c r="AG1731"/>
      <c r="AH1731"/>
      <c r="AI1731"/>
      <c r="AJ1731"/>
      <c r="AK1731"/>
      <c r="AL1731"/>
    </row>
    <row r="1732" spans="1:38" ht="15.75" customHeight="1" outlineLevel="3" x14ac:dyDescent="0.2">
      <c r="A1732" s="10">
        <v>86</v>
      </c>
      <c r="B1732" s="10" t="s">
        <v>71</v>
      </c>
      <c r="C1732" s="10" t="s">
        <v>1340</v>
      </c>
      <c r="D1732" s="10" t="s">
        <v>407</v>
      </c>
      <c r="E1732" s="11" t="str">
        <f t="array" ref="E1732">_xlfn.XLOOKUP(D1732,Insumos!B:B,Insumos!C:$C)</f>
        <v>M2</v>
      </c>
      <c r="F1732" s="14">
        <v>1</v>
      </c>
      <c r="G1732" s="92">
        <f t="array" ref="G1732">IF(B1732="insumo",_xlfn.XLOOKUP($D1732,Insumos!$B$1:$B$996,Insumos!$D$1:$D$996),"")</f>
        <v>70</v>
      </c>
      <c r="H1732" s="92">
        <v>70</v>
      </c>
      <c r="I1732" s="13">
        <v>0</v>
      </c>
      <c r="J1732" s="13">
        <v>0</v>
      </c>
      <c r="K1732" s="13"/>
      <c r="L1732"/>
      <c r="M1732"/>
      <c r="N1732"/>
      <c r="O1732"/>
      <c r="P1732"/>
      <c r="Q1732"/>
      <c r="R1732"/>
      <c r="S1732"/>
      <c r="T1732"/>
      <c r="U1732"/>
      <c r="V1732"/>
      <c r="W1732"/>
      <c r="X1732"/>
      <c r="Y1732"/>
      <c r="Z1732"/>
      <c r="AA1732"/>
      <c r="AB1732"/>
      <c r="AC1732"/>
      <c r="AD1732"/>
      <c r="AE1732"/>
      <c r="AF1732"/>
      <c r="AG1732"/>
      <c r="AH1732"/>
      <c r="AI1732"/>
      <c r="AJ1732"/>
      <c r="AK1732"/>
      <c r="AL1732"/>
    </row>
    <row r="1733" spans="1:38" ht="15.75" customHeight="1" outlineLevel="3" x14ac:dyDescent="0.2">
      <c r="A1733" s="10">
        <v>47</v>
      </c>
      <c r="B1733" s="10" t="s">
        <v>71</v>
      </c>
      <c r="C1733" s="10" t="s">
        <v>1340</v>
      </c>
      <c r="D1733" s="10" t="s">
        <v>408</v>
      </c>
      <c r="E1733" s="11" t="str">
        <f t="array" ref="E1733">_xlfn.XLOOKUP(D1733,Insumos!B:B,Insumos!C:$C)</f>
        <v>M2</v>
      </c>
      <c r="F1733" s="14">
        <v>1.0529999999999999</v>
      </c>
      <c r="G1733" s="92">
        <f t="array" ref="G1733">IF(B1733="insumo",_xlfn.XLOOKUP($D1733,Insumos!$B$1:$B$996,Insumos!$D$1:$D$996),"")</f>
        <v>20.16</v>
      </c>
      <c r="H1733" s="92">
        <v>21.228480000000001</v>
      </c>
      <c r="I1733" s="13">
        <v>0</v>
      </c>
      <c r="J1733" s="13">
        <v>0</v>
      </c>
      <c r="K1733" s="13"/>
      <c r="L1733"/>
      <c r="M1733"/>
      <c r="N1733"/>
      <c r="O1733"/>
      <c r="P1733"/>
      <c r="Q1733"/>
      <c r="R1733"/>
      <c r="S1733"/>
      <c r="T1733"/>
      <c r="U1733"/>
      <c r="V1733"/>
      <c r="W1733"/>
      <c r="X1733"/>
      <c r="Y1733"/>
      <c r="Z1733"/>
      <c r="AA1733"/>
      <c r="AB1733"/>
      <c r="AC1733"/>
      <c r="AD1733"/>
      <c r="AE1733"/>
      <c r="AF1733"/>
      <c r="AG1733"/>
      <c r="AH1733"/>
      <c r="AI1733"/>
      <c r="AJ1733"/>
      <c r="AK1733"/>
      <c r="AL1733"/>
    </row>
    <row r="1734" spans="1:38" ht="15.75" customHeight="1" outlineLevel="3" x14ac:dyDescent="0.2">
      <c r="A1734" s="10">
        <v>95</v>
      </c>
      <c r="B1734" s="10" t="s">
        <v>71</v>
      </c>
      <c r="C1734" s="10" t="s">
        <v>1340</v>
      </c>
      <c r="D1734" s="10" t="s">
        <v>409</v>
      </c>
      <c r="E1734" s="11" t="str">
        <f t="array" ref="E1734">_xlfn.XLOOKUP(D1734,Insumos!B:B,Insumos!C:$C)</f>
        <v>UN</v>
      </c>
      <c r="F1734" s="14">
        <v>5.92</v>
      </c>
      <c r="G1734" s="92">
        <f t="array" ref="G1734">IF(B1734="insumo",_xlfn.XLOOKUP($D1734,Insumos!$B$1:$B$996,Insumos!$D$1:$D$996),"")</f>
        <v>0.504</v>
      </c>
      <c r="H1734" s="92">
        <v>2.9836800000000001</v>
      </c>
      <c r="I1734" s="13">
        <v>0</v>
      </c>
      <c r="J1734" s="13">
        <v>0</v>
      </c>
      <c r="K1734" s="13"/>
      <c r="L1734"/>
      <c r="M1734"/>
      <c r="N1734"/>
      <c r="O1734"/>
      <c r="P1734"/>
      <c r="Q1734"/>
      <c r="R1734"/>
      <c r="S1734"/>
      <c r="T1734"/>
      <c r="U1734"/>
      <c r="V1734"/>
      <c r="W1734"/>
      <c r="X1734"/>
      <c r="Y1734"/>
      <c r="Z1734"/>
      <c r="AA1734"/>
      <c r="AB1734"/>
      <c r="AC1734"/>
      <c r="AD1734"/>
      <c r="AE1734"/>
      <c r="AF1734"/>
      <c r="AG1734"/>
      <c r="AH1734"/>
      <c r="AI1734"/>
      <c r="AJ1734"/>
      <c r="AK1734"/>
      <c r="AL1734"/>
    </row>
    <row r="1735" spans="1:38" ht="15.75" customHeight="1" outlineLevel="3" x14ac:dyDescent="0.2">
      <c r="A1735" s="10">
        <v>43</v>
      </c>
      <c r="B1735" s="10" t="s">
        <v>71</v>
      </c>
      <c r="C1735" s="10" t="s">
        <v>1340</v>
      </c>
      <c r="D1735" s="10" t="s">
        <v>423</v>
      </c>
      <c r="E1735" s="11" t="str">
        <f t="array" ref="E1735">_xlfn.XLOOKUP(D1735,Insumos!B:B,Insumos!C:$C)</f>
        <v>M</v>
      </c>
      <c r="F1735" s="14">
        <v>1.8233999999999999</v>
      </c>
      <c r="G1735" s="92">
        <f t="array" ref="G1735">IF(B1735="insumo",_xlfn.XLOOKUP($D1735,Insumos!$B$1:$B$996,Insumos!$D$1:$D$996),"")</f>
        <v>7.46</v>
      </c>
      <c r="H1735" s="92">
        <v>13.602563999999999</v>
      </c>
      <c r="I1735" s="13">
        <v>0</v>
      </c>
      <c r="J1735" s="13">
        <v>0</v>
      </c>
      <c r="K1735" s="13"/>
      <c r="L1735"/>
      <c r="M1735"/>
      <c r="N1735"/>
      <c r="O1735"/>
      <c r="P1735"/>
      <c r="Q1735"/>
      <c r="R1735"/>
      <c r="S1735"/>
      <c r="T1735"/>
      <c r="U1735"/>
      <c r="V1735"/>
      <c r="W1735"/>
      <c r="X1735"/>
      <c r="Y1735"/>
      <c r="Z1735"/>
      <c r="AA1735"/>
      <c r="AB1735"/>
      <c r="AC1735"/>
      <c r="AD1735"/>
      <c r="AE1735"/>
      <c r="AF1735"/>
      <c r="AG1735"/>
      <c r="AH1735"/>
      <c r="AI1735"/>
      <c r="AJ1735"/>
      <c r="AK1735"/>
      <c r="AL1735"/>
    </row>
    <row r="1736" spans="1:38" ht="15.75" customHeight="1" outlineLevel="3" x14ac:dyDescent="0.2">
      <c r="A1736" s="10">
        <v>43</v>
      </c>
      <c r="B1736" s="10" t="s">
        <v>71</v>
      </c>
      <c r="C1736" s="10" t="s">
        <v>1340</v>
      </c>
      <c r="D1736" s="10" t="s">
        <v>424</v>
      </c>
      <c r="E1736" s="11" t="str">
        <f t="array" ref="E1736">_xlfn.XLOOKUP(D1736,Insumos!B:B,Insumos!C:$C)</f>
        <v>M</v>
      </c>
      <c r="F1736" s="14">
        <v>5.8277999999999999</v>
      </c>
      <c r="G1736" s="92">
        <f t="array" ref="G1736">IF(B1736="insumo",_xlfn.XLOOKUP($D1736,Insumos!$B$1:$B$996,Insumos!$D$1:$D$996),"")</f>
        <v>7.98</v>
      </c>
      <c r="H1736" s="92">
        <v>46.505844000000003</v>
      </c>
      <c r="I1736" s="13">
        <v>0</v>
      </c>
      <c r="J1736" s="13">
        <v>0</v>
      </c>
      <c r="K1736" s="13"/>
      <c r="L1736"/>
      <c r="M1736"/>
      <c r="N1736"/>
      <c r="O1736"/>
      <c r="P1736"/>
      <c r="Q1736"/>
      <c r="R1736"/>
      <c r="S1736"/>
      <c r="T1736"/>
      <c r="U1736"/>
      <c r="V1736"/>
      <c r="W1736"/>
      <c r="X1736"/>
      <c r="Y1736"/>
      <c r="Z1736"/>
      <c r="AA1736"/>
      <c r="AB1736"/>
      <c r="AC1736"/>
      <c r="AD1736"/>
      <c r="AE1736"/>
      <c r="AF1736"/>
      <c r="AG1736"/>
      <c r="AH1736"/>
      <c r="AI1736"/>
      <c r="AJ1736"/>
      <c r="AK1736"/>
      <c r="AL1736"/>
    </row>
    <row r="1737" spans="1:38" ht="15.75" customHeight="1" outlineLevel="3" x14ac:dyDescent="0.2">
      <c r="A1737" s="10">
        <v>95</v>
      </c>
      <c r="B1737" s="10" t="s">
        <v>71</v>
      </c>
      <c r="C1737" s="10" t="s">
        <v>1340</v>
      </c>
      <c r="D1737" s="10" t="s">
        <v>405</v>
      </c>
      <c r="E1737" s="11" t="str">
        <f t="array" ref="E1737">_xlfn.XLOOKUP(D1737,Insumos!B:B,Insumos!C:$C)</f>
        <v>KG</v>
      </c>
      <c r="F1737" s="14">
        <v>0.54890000000000005</v>
      </c>
      <c r="G1737" s="92">
        <f t="array" ref="G1737">IF(B1737="insumo",_xlfn.XLOOKUP($D1737,Insumos!$B$1:$B$996,Insumos!$D$1:$D$996),"")</f>
        <v>3.43</v>
      </c>
      <c r="H1737" s="92">
        <v>1.882727</v>
      </c>
      <c r="I1737" s="13">
        <v>0</v>
      </c>
      <c r="J1737" s="13">
        <v>0</v>
      </c>
      <c r="K1737" s="13"/>
      <c r="L1737"/>
      <c r="M1737"/>
      <c r="N1737"/>
      <c r="O1737"/>
      <c r="P1737"/>
      <c r="Q1737"/>
      <c r="R1737"/>
      <c r="S1737"/>
      <c r="T1737"/>
      <c r="U1737"/>
      <c r="V1737"/>
      <c r="W1737"/>
      <c r="X1737"/>
      <c r="Y1737"/>
      <c r="Z1737"/>
      <c r="AA1737"/>
      <c r="AB1737"/>
      <c r="AC1737"/>
      <c r="AD1737"/>
      <c r="AE1737"/>
      <c r="AF1737"/>
      <c r="AG1737"/>
      <c r="AH1737"/>
      <c r="AI1737"/>
      <c r="AJ1737"/>
      <c r="AK1737"/>
      <c r="AL1737"/>
    </row>
    <row r="1738" spans="1:38" ht="15.75" customHeight="1" outlineLevel="3" x14ac:dyDescent="0.2">
      <c r="A1738" s="10">
        <v>94</v>
      </c>
      <c r="B1738" s="10" t="s">
        <v>71</v>
      </c>
      <c r="C1738" s="10" t="s">
        <v>1340</v>
      </c>
      <c r="D1738" s="10" t="s">
        <v>412</v>
      </c>
      <c r="E1738" s="11" t="str">
        <f t="array" ref="E1738">_xlfn.XLOOKUP(D1738,Insumos!B:B,Insumos!C:$C)</f>
        <v>M</v>
      </c>
      <c r="F1738" s="14">
        <v>1.25135</v>
      </c>
      <c r="G1738" s="92">
        <f t="array" ref="G1738">IF(B1738="insumo",_xlfn.XLOOKUP($D1738,Insumos!$B$1:$B$996,Insumos!$D$1:$D$996),"")</f>
        <v>0.31</v>
      </c>
      <c r="H1738" s="92">
        <v>0.3879185</v>
      </c>
      <c r="I1738" s="13">
        <v>0</v>
      </c>
      <c r="J1738" s="13">
        <v>0</v>
      </c>
      <c r="K1738" s="13"/>
      <c r="L1738"/>
      <c r="M1738"/>
      <c r="N1738"/>
      <c r="O1738"/>
      <c r="P1738"/>
      <c r="Q1738"/>
      <c r="R1738"/>
      <c r="S1738"/>
      <c r="T1738"/>
      <c r="U1738"/>
      <c r="V1738"/>
      <c r="W1738"/>
      <c r="X1738"/>
      <c r="Y1738"/>
      <c r="Z1738"/>
      <c r="AA1738"/>
      <c r="AB1738"/>
      <c r="AC1738"/>
      <c r="AD1738"/>
      <c r="AE1738"/>
      <c r="AF1738"/>
      <c r="AG1738"/>
      <c r="AH1738"/>
      <c r="AI1738"/>
      <c r="AJ1738"/>
      <c r="AK1738"/>
      <c r="AL1738"/>
    </row>
    <row r="1739" spans="1:38" ht="15.75" customHeight="1" outlineLevel="3" x14ac:dyDescent="0.2">
      <c r="A1739" s="10">
        <v>94</v>
      </c>
      <c r="B1739" s="10" t="s">
        <v>71</v>
      </c>
      <c r="C1739" s="10" t="s">
        <v>1340</v>
      </c>
      <c r="D1739" s="10" t="s">
        <v>413</v>
      </c>
      <c r="E1739" s="11" t="str">
        <f t="array" ref="E1739">_xlfn.XLOOKUP(D1739,Insumos!B:B,Insumos!C:$C)</f>
        <v>M</v>
      </c>
      <c r="F1739" s="14">
        <v>0.79254999999999998</v>
      </c>
      <c r="G1739" s="92">
        <f t="array" ref="G1739">IF(B1739="insumo",_xlfn.XLOOKUP($D1739,Insumos!$B$1:$B$996,Insumos!$D$1:$D$996),"")</f>
        <v>2.74</v>
      </c>
      <c r="H1739" s="92">
        <v>2.1715870000000002</v>
      </c>
      <c r="I1739" s="13">
        <v>0</v>
      </c>
      <c r="J1739" s="13">
        <v>0</v>
      </c>
      <c r="K1739" s="13"/>
      <c r="L1739"/>
      <c r="M1739"/>
      <c r="N1739"/>
      <c r="O1739"/>
      <c r="P1739"/>
      <c r="Q1739"/>
      <c r="R1739"/>
      <c r="S1739"/>
      <c r="T1739"/>
      <c r="U1739"/>
      <c r="V1739"/>
      <c r="W1739"/>
      <c r="X1739"/>
      <c r="Y1739"/>
      <c r="Z1739"/>
      <c r="AA1739"/>
      <c r="AB1739"/>
      <c r="AC1739"/>
      <c r="AD1739"/>
      <c r="AE1739"/>
      <c r="AF1739"/>
      <c r="AG1739"/>
      <c r="AH1739"/>
      <c r="AI1739"/>
      <c r="AJ1739"/>
      <c r="AK1739"/>
      <c r="AL1739"/>
    </row>
    <row r="1740" spans="1:38" ht="15.75" customHeight="1" outlineLevel="3" x14ac:dyDescent="0.2">
      <c r="A1740" s="10">
        <v>97</v>
      </c>
      <c r="B1740" s="10" t="s">
        <v>71</v>
      </c>
      <c r="C1740" s="10" t="s">
        <v>1340</v>
      </c>
      <c r="D1740" s="10" t="s">
        <v>414</v>
      </c>
      <c r="E1740" s="11" t="str">
        <f t="array" ref="E1740">_xlfn.XLOOKUP(D1740,Insumos!B:B,Insumos!C:$C)</f>
        <v>UN</v>
      </c>
      <c r="F1740" s="14">
        <v>10.093400000000001</v>
      </c>
      <c r="G1740" s="92">
        <f t="array" ref="G1740">IF(B1740="insumo",_xlfn.XLOOKUP($D1740,Insumos!$B$1:$B$996,Insumos!$D$1:$D$996),"")</f>
        <v>0.09</v>
      </c>
      <c r="H1740" s="92">
        <v>0.90840600000000005</v>
      </c>
      <c r="I1740" s="13">
        <v>0</v>
      </c>
      <c r="J1740" s="13">
        <v>0</v>
      </c>
      <c r="K1740" s="13"/>
      <c r="L1740"/>
      <c r="M1740"/>
      <c r="N1740"/>
      <c r="O1740"/>
      <c r="P1740"/>
      <c r="Q1740"/>
      <c r="R1740"/>
      <c r="S1740"/>
      <c r="T1740"/>
      <c r="U1740"/>
      <c r="V1740"/>
      <c r="W1740"/>
      <c r="X1740"/>
      <c r="Y1740"/>
      <c r="Z1740"/>
      <c r="AA1740"/>
      <c r="AB1740"/>
      <c r="AC1740"/>
      <c r="AD1740"/>
      <c r="AE1740"/>
      <c r="AF1740"/>
      <c r="AG1740"/>
      <c r="AH1740"/>
      <c r="AI1740"/>
      <c r="AJ1740"/>
      <c r="AK1740"/>
      <c r="AL1740"/>
    </row>
    <row r="1741" spans="1:38" ht="15.75" customHeight="1" outlineLevel="3" x14ac:dyDescent="0.2">
      <c r="A1741" s="10">
        <v>95</v>
      </c>
      <c r="B1741" s="10" t="s">
        <v>71</v>
      </c>
      <c r="C1741" s="10" t="s">
        <v>1340</v>
      </c>
      <c r="D1741" s="10" t="s">
        <v>415</v>
      </c>
      <c r="E1741" s="11" t="str">
        <f t="array" ref="E1741">_xlfn.XLOOKUP(D1741,Insumos!B:B,Insumos!C:$C)</f>
        <v>UN</v>
      </c>
      <c r="F1741" s="14">
        <v>0.27205000000000001</v>
      </c>
      <c r="G1741" s="92">
        <f t="array" ref="G1741">IF(B1741="insumo",_xlfn.XLOOKUP($D1741,Insumos!$B$1:$B$996,Insumos!$D$1:$D$996),"")</f>
        <v>0.2</v>
      </c>
      <c r="H1741" s="92">
        <v>5.441E-2</v>
      </c>
      <c r="I1741" s="13">
        <v>0</v>
      </c>
      <c r="J1741" s="13">
        <v>0</v>
      </c>
      <c r="K1741" s="13"/>
      <c r="L1741"/>
      <c r="M1741"/>
      <c r="N1741"/>
      <c r="O1741"/>
      <c r="P1741"/>
      <c r="Q1741"/>
      <c r="R1741"/>
      <c r="S1741"/>
      <c r="T1741"/>
      <c r="U1741"/>
      <c r="V1741"/>
      <c r="W1741"/>
      <c r="X1741"/>
      <c r="Y1741"/>
      <c r="Z1741"/>
      <c r="AA1741"/>
      <c r="AB1741"/>
      <c r="AC1741"/>
      <c r="AD1741"/>
      <c r="AE1741"/>
      <c r="AF1741"/>
      <c r="AG1741"/>
      <c r="AH1741"/>
      <c r="AI1741"/>
      <c r="AJ1741"/>
      <c r="AK1741"/>
      <c r="AL1741"/>
    </row>
    <row r="1742" spans="1:38" ht="15.75" customHeight="1" outlineLevel="2" x14ac:dyDescent="0.2">
      <c r="A1742" s="1067">
        <v>1</v>
      </c>
      <c r="B1742" s="1067" t="s">
        <v>68</v>
      </c>
      <c r="C1742" s="1067" t="s">
        <v>1341</v>
      </c>
      <c r="D1742" s="1067" t="s">
        <v>1341</v>
      </c>
      <c r="E1742" s="1068" t="s">
        <v>70</v>
      </c>
      <c r="F1742" s="1067"/>
      <c r="G1742" s="1069" t="str">
        <f t="array" ref="G1742">IF(B1742="insumo",_xlfn.XLOOKUP($D1742,Insumos!$B$1:$B$996,Insumos!$D$1:$D$996),"")</f>
        <v/>
      </c>
      <c r="H1742" s="1069">
        <v>181.35470316666701</v>
      </c>
      <c r="I1742" s="1070">
        <v>0</v>
      </c>
      <c r="J1742" s="1070">
        <v>0</v>
      </c>
      <c r="K1742" s="1070"/>
      <c r="L1742"/>
      <c r="M1742"/>
      <c r="N1742"/>
      <c r="O1742"/>
      <c r="P1742"/>
      <c r="Q1742"/>
      <c r="R1742"/>
      <c r="S1742"/>
      <c r="T1742"/>
      <c r="U1742"/>
      <c r="V1742"/>
      <c r="W1742"/>
      <c r="X1742"/>
      <c r="Y1742"/>
      <c r="Z1742"/>
      <c r="AA1742"/>
      <c r="AB1742"/>
      <c r="AC1742"/>
      <c r="AD1742"/>
      <c r="AE1742"/>
      <c r="AF1742"/>
      <c r="AG1742"/>
      <c r="AH1742"/>
      <c r="AI1742"/>
      <c r="AJ1742"/>
      <c r="AK1742"/>
      <c r="AL1742"/>
    </row>
    <row r="1743" spans="1:38" ht="15.75" customHeight="1" outlineLevel="3" x14ac:dyDescent="0.2">
      <c r="A1743" s="10">
        <v>86</v>
      </c>
      <c r="B1743" s="10" t="s">
        <v>71</v>
      </c>
      <c r="C1743" s="10" t="s">
        <v>1341</v>
      </c>
      <c r="D1743" s="10" t="s">
        <v>407</v>
      </c>
      <c r="E1743" s="11" t="str">
        <f t="array" ref="E1743">_xlfn.XLOOKUP(D1743,Insumos!B:B,Insumos!C:$C)</f>
        <v>M2</v>
      </c>
      <c r="F1743" s="14">
        <v>1</v>
      </c>
      <c r="G1743" s="92">
        <f t="array" ref="G1743">IF(B1743="insumo",_xlfn.XLOOKUP($D1743,Insumos!$B$1:$B$996,Insumos!$D$1:$D$996),"")</f>
        <v>70</v>
      </c>
      <c r="H1743" s="92">
        <v>70</v>
      </c>
      <c r="I1743" s="13">
        <v>0</v>
      </c>
      <c r="J1743" s="13">
        <v>0</v>
      </c>
      <c r="K1743" s="13"/>
      <c r="L1743"/>
      <c r="M1743"/>
      <c r="N1743"/>
      <c r="O1743"/>
      <c r="P1743"/>
      <c r="Q1743"/>
      <c r="R1743"/>
      <c r="S1743"/>
      <c r="T1743"/>
      <c r="U1743"/>
      <c r="V1743"/>
      <c r="W1743"/>
      <c r="X1743"/>
      <c r="Y1743"/>
      <c r="Z1743"/>
      <c r="AA1743"/>
      <c r="AB1743"/>
      <c r="AC1743"/>
      <c r="AD1743"/>
      <c r="AE1743"/>
      <c r="AF1743"/>
      <c r="AG1743"/>
      <c r="AH1743"/>
      <c r="AI1743"/>
      <c r="AJ1743"/>
      <c r="AK1743"/>
      <c r="AL1743"/>
    </row>
    <row r="1744" spans="1:38" ht="15.75" customHeight="1" outlineLevel="3" x14ac:dyDescent="0.2">
      <c r="A1744" s="10">
        <v>49</v>
      </c>
      <c r="B1744" s="10" t="s">
        <v>71</v>
      </c>
      <c r="C1744" s="10" t="s">
        <v>1341</v>
      </c>
      <c r="D1744" s="10" t="s">
        <v>418</v>
      </c>
      <c r="E1744" s="11" t="str">
        <f t="array" ref="E1744">_xlfn.XLOOKUP(D1744,Insumos!B:B,Insumos!C:$C)</f>
        <v>M2</v>
      </c>
      <c r="F1744" s="14">
        <v>1.0529999999999999</v>
      </c>
      <c r="G1744" s="92">
        <f t="array" ref="G1744">IF(B1744="insumo",_xlfn.XLOOKUP($D1744,Insumos!$B$1:$B$996,Insumos!$D$1:$D$996),"")</f>
        <v>27.1</v>
      </c>
      <c r="H1744" s="92">
        <v>28.536300000000001</v>
      </c>
      <c r="I1744" s="13">
        <v>0</v>
      </c>
      <c r="J1744" s="13">
        <v>0</v>
      </c>
      <c r="K1744" s="13"/>
      <c r="L1744"/>
      <c r="M1744"/>
      <c r="N1744"/>
      <c r="O1744"/>
      <c r="P1744"/>
      <c r="Q1744"/>
      <c r="R1744"/>
      <c r="S1744"/>
      <c r="T1744"/>
      <c r="U1744"/>
      <c r="V1744"/>
      <c r="W1744"/>
      <c r="X1744"/>
      <c r="Y1744"/>
      <c r="Z1744"/>
      <c r="AA1744"/>
      <c r="AB1744"/>
      <c r="AC1744"/>
      <c r="AD1744"/>
      <c r="AE1744"/>
      <c r="AF1744"/>
      <c r="AG1744"/>
      <c r="AH1744"/>
      <c r="AI1744"/>
      <c r="AJ1744"/>
      <c r="AK1744"/>
      <c r="AL1744"/>
    </row>
    <row r="1745" spans="1:38" ht="15.75" customHeight="1" outlineLevel="3" x14ac:dyDescent="0.2">
      <c r="A1745" s="10">
        <v>95</v>
      </c>
      <c r="B1745" s="10" t="s">
        <v>71</v>
      </c>
      <c r="C1745" s="10" t="s">
        <v>1341</v>
      </c>
      <c r="D1745" s="10" t="s">
        <v>409</v>
      </c>
      <c r="E1745" s="11" t="str">
        <f t="array" ref="E1745">_xlfn.XLOOKUP(D1745,Insumos!B:B,Insumos!C:$C)</f>
        <v>UN</v>
      </c>
      <c r="F1745" s="14">
        <v>5.92</v>
      </c>
      <c r="G1745" s="92">
        <f t="array" ref="G1745">IF(B1745="insumo",_xlfn.XLOOKUP($D1745,Insumos!$B$1:$B$996,Insumos!$D$1:$D$996),"")</f>
        <v>0.504</v>
      </c>
      <c r="H1745" s="92">
        <v>2.9836800000000001</v>
      </c>
      <c r="I1745" s="13">
        <v>0</v>
      </c>
      <c r="J1745" s="13">
        <v>0</v>
      </c>
      <c r="K1745" s="13"/>
      <c r="L1745"/>
      <c r="M1745"/>
      <c r="N1745"/>
      <c r="O1745"/>
      <c r="P1745"/>
      <c r="Q1745"/>
      <c r="R1745"/>
      <c r="S1745"/>
      <c r="T1745"/>
      <c r="U1745"/>
      <c r="V1745"/>
      <c r="W1745"/>
      <c r="X1745"/>
      <c r="Y1745"/>
      <c r="Z1745"/>
      <c r="AA1745"/>
      <c r="AB1745"/>
      <c r="AC1745"/>
      <c r="AD1745"/>
      <c r="AE1745"/>
      <c r="AF1745"/>
      <c r="AG1745"/>
      <c r="AH1745"/>
      <c r="AI1745"/>
      <c r="AJ1745"/>
      <c r="AK1745"/>
      <c r="AL1745"/>
    </row>
    <row r="1746" spans="1:38" ht="15.75" customHeight="1" outlineLevel="3" x14ac:dyDescent="0.2">
      <c r="A1746" s="10">
        <v>43</v>
      </c>
      <c r="B1746" s="10" t="s">
        <v>71</v>
      </c>
      <c r="C1746" s="10" t="s">
        <v>1341</v>
      </c>
      <c r="D1746" s="10" t="s">
        <v>423</v>
      </c>
      <c r="E1746" s="11" t="str">
        <f t="array" ref="E1746">_xlfn.XLOOKUP(D1746,Insumos!B:B,Insumos!C:$C)</f>
        <v>M</v>
      </c>
      <c r="F1746" s="14">
        <v>1.8233999999999999</v>
      </c>
      <c r="G1746" s="92">
        <f t="array" ref="G1746">IF(B1746="insumo",_xlfn.XLOOKUP($D1746,Insumos!$B$1:$B$996,Insumos!$D$1:$D$996),"")</f>
        <v>7.46</v>
      </c>
      <c r="H1746" s="92">
        <v>13.602563999999999</v>
      </c>
      <c r="I1746" s="13">
        <v>0</v>
      </c>
      <c r="J1746" s="13">
        <v>0</v>
      </c>
      <c r="K1746" s="13"/>
      <c r="L1746"/>
      <c r="M1746"/>
      <c r="N1746"/>
      <c r="O1746"/>
      <c r="P1746"/>
      <c r="Q1746"/>
      <c r="R1746"/>
      <c r="S1746"/>
      <c r="T1746"/>
      <c r="U1746"/>
      <c r="V1746"/>
      <c r="W1746"/>
      <c r="X1746"/>
      <c r="Y1746"/>
      <c r="Z1746"/>
      <c r="AA1746"/>
      <c r="AB1746"/>
      <c r="AC1746"/>
      <c r="AD1746"/>
      <c r="AE1746"/>
      <c r="AF1746"/>
      <c r="AG1746"/>
      <c r="AH1746"/>
      <c r="AI1746"/>
      <c r="AJ1746"/>
      <c r="AK1746"/>
      <c r="AL1746"/>
    </row>
    <row r="1747" spans="1:38" ht="15.75" customHeight="1" outlineLevel="3" x14ac:dyDescent="0.2">
      <c r="A1747" s="10">
        <v>43</v>
      </c>
      <c r="B1747" s="10" t="s">
        <v>71</v>
      </c>
      <c r="C1747" s="10" t="s">
        <v>1341</v>
      </c>
      <c r="D1747" s="10" t="s">
        <v>424</v>
      </c>
      <c r="E1747" s="11" t="str">
        <f t="array" ref="E1747">_xlfn.XLOOKUP(D1747,Insumos!B:B,Insumos!C:$C)</f>
        <v>M</v>
      </c>
      <c r="F1747" s="14">
        <v>5.8277999999999999</v>
      </c>
      <c r="G1747" s="92">
        <f t="array" ref="G1747">IF(B1747="insumo",_xlfn.XLOOKUP($D1747,Insumos!$B$1:$B$996,Insumos!$D$1:$D$996),"")</f>
        <v>7.98</v>
      </c>
      <c r="H1747" s="92">
        <v>46.505844000000003</v>
      </c>
      <c r="I1747" s="13">
        <v>0</v>
      </c>
      <c r="J1747" s="13">
        <v>0</v>
      </c>
      <c r="K1747" s="13"/>
      <c r="L1747"/>
      <c r="M1747"/>
      <c r="N1747"/>
      <c r="O1747"/>
      <c r="P1747"/>
      <c r="Q1747"/>
      <c r="R1747"/>
      <c r="S1747"/>
      <c r="T1747"/>
      <c r="U1747"/>
      <c r="V1747"/>
      <c r="W1747"/>
      <c r="X1747"/>
      <c r="Y1747"/>
      <c r="Z1747"/>
      <c r="AA1747"/>
      <c r="AB1747"/>
      <c r="AC1747"/>
      <c r="AD1747"/>
      <c r="AE1747"/>
      <c r="AF1747"/>
      <c r="AG1747"/>
      <c r="AH1747"/>
      <c r="AI1747"/>
      <c r="AJ1747"/>
      <c r="AK1747"/>
      <c r="AL1747"/>
    </row>
    <row r="1748" spans="1:38" ht="15.75" customHeight="1" outlineLevel="3" x14ac:dyDescent="0.2">
      <c r="A1748" s="10">
        <v>95</v>
      </c>
      <c r="B1748" s="10" t="s">
        <v>71</v>
      </c>
      <c r="C1748" s="10" t="s">
        <v>1341</v>
      </c>
      <c r="D1748" s="10" t="s">
        <v>405</v>
      </c>
      <c r="E1748" s="11" t="str">
        <f t="array" ref="E1748">_xlfn.XLOOKUP(D1748,Insumos!B:B,Insumos!C:$C)</f>
        <v>KG</v>
      </c>
      <c r="F1748" s="14">
        <v>0.54890000000000005</v>
      </c>
      <c r="G1748" s="92">
        <f t="array" ref="G1748">IF(B1748="insumo",_xlfn.XLOOKUP($D1748,Insumos!$B$1:$B$996,Insumos!$D$1:$D$996),"")</f>
        <v>3.43</v>
      </c>
      <c r="H1748" s="92">
        <v>1.882727</v>
      </c>
      <c r="I1748" s="13">
        <v>0</v>
      </c>
      <c r="J1748" s="13">
        <v>0</v>
      </c>
      <c r="K1748" s="13"/>
      <c r="L1748"/>
      <c r="M1748"/>
      <c r="N1748"/>
      <c r="O1748"/>
      <c r="P1748"/>
      <c r="Q1748"/>
      <c r="R1748"/>
      <c r="S1748"/>
      <c r="T1748"/>
      <c r="U1748"/>
      <c r="V1748"/>
      <c r="W1748"/>
      <c r="X1748"/>
      <c r="Y1748"/>
      <c r="Z1748"/>
      <c r="AA1748"/>
      <c r="AB1748"/>
      <c r="AC1748"/>
      <c r="AD1748"/>
      <c r="AE1748"/>
      <c r="AF1748"/>
      <c r="AG1748"/>
      <c r="AH1748"/>
      <c r="AI1748"/>
      <c r="AJ1748"/>
      <c r="AK1748"/>
      <c r="AL1748"/>
    </row>
    <row r="1749" spans="1:38" ht="15.75" customHeight="1" outlineLevel="3" x14ac:dyDescent="0.2">
      <c r="A1749" s="10">
        <v>94</v>
      </c>
      <c r="B1749" s="10" t="s">
        <v>71</v>
      </c>
      <c r="C1749" s="10" t="s">
        <v>1341</v>
      </c>
      <c r="D1749" s="10" t="s">
        <v>412</v>
      </c>
      <c r="E1749" s="11" t="str">
        <f t="array" ref="E1749">_xlfn.XLOOKUP(D1749,Insumos!B:B,Insumos!C:$C)</f>
        <v>M</v>
      </c>
      <c r="F1749" s="14">
        <v>1.25135</v>
      </c>
      <c r="G1749" s="92">
        <f t="array" ref="G1749">IF(B1749="insumo",_xlfn.XLOOKUP($D1749,Insumos!$B$1:$B$996,Insumos!$D$1:$D$996),"")</f>
        <v>0.31</v>
      </c>
      <c r="H1749" s="92">
        <v>0.3879185</v>
      </c>
      <c r="I1749" s="13">
        <v>0</v>
      </c>
      <c r="J1749" s="13">
        <v>0</v>
      </c>
      <c r="K1749" s="13"/>
      <c r="L1749"/>
      <c r="M1749"/>
      <c r="N1749"/>
      <c r="O1749"/>
      <c r="P1749"/>
      <c r="Q1749"/>
      <c r="R1749"/>
      <c r="S1749"/>
      <c r="T1749"/>
      <c r="U1749"/>
      <c r="V1749"/>
      <c r="W1749"/>
      <c r="X1749"/>
      <c r="Y1749"/>
      <c r="Z1749"/>
      <c r="AA1749"/>
      <c r="AB1749"/>
      <c r="AC1749"/>
      <c r="AD1749"/>
      <c r="AE1749"/>
      <c r="AF1749"/>
      <c r="AG1749"/>
      <c r="AH1749"/>
      <c r="AI1749"/>
      <c r="AJ1749"/>
      <c r="AK1749"/>
      <c r="AL1749"/>
    </row>
    <row r="1750" spans="1:38" ht="15.75" customHeight="1" outlineLevel="3" x14ac:dyDescent="0.2">
      <c r="A1750" s="10">
        <v>94</v>
      </c>
      <c r="B1750" s="10" t="s">
        <v>71</v>
      </c>
      <c r="C1750" s="10" t="s">
        <v>1341</v>
      </c>
      <c r="D1750" s="10" t="s">
        <v>413</v>
      </c>
      <c r="E1750" s="11" t="str">
        <f t="array" ref="E1750">_xlfn.XLOOKUP(D1750,Insumos!B:B,Insumos!C:$C)</f>
        <v>M</v>
      </c>
      <c r="F1750" s="14">
        <v>0.79254999999999998</v>
      </c>
      <c r="G1750" s="92">
        <f t="array" ref="G1750">IF(B1750="insumo",_xlfn.XLOOKUP($D1750,Insumos!$B$1:$B$996,Insumos!$D$1:$D$996),"")</f>
        <v>2.74</v>
      </c>
      <c r="H1750" s="92">
        <v>2.1715870000000002</v>
      </c>
      <c r="I1750" s="13">
        <v>0</v>
      </c>
      <c r="J1750" s="13">
        <v>0</v>
      </c>
      <c r="K1750" s="13"/>
      <c r="L1750"/>
      <c r="M1750"/>
      <c r="N1750"/>
      <c r="O1750"/>
      <c r="P1750"/>
      <c r="Q1750"/>
      <c r="R1750"/>
      <c r="S1750"/>
      <c r="T1750"/>
      <c r="U1750"/>
      <c r="V1750"/>
      <c r="W1750"/>
      <c r="X1750"/>
      <c r="Y1750"/>
      <c r="Z1750"/>
      <c r="AA1750"/>
      <c r="AB1750"/>
      <c r="AC1750"/>
      <c r="AD1750"/>
      <c r="AE1750"/>
      <c r="AF1750"/>
      <c r="AG1750"/>
      <c r="AH1750"/>
      <c r="AI1750"/>
      <c r="AJ1750"/>
      <c r="AK1750"/>
      <c r="AL1750"/>
    </row>
    <row r="1751" spans="1:38" ht="15.75" customHeight="1" outlineLevel="3" x14ac:dyDescent="0.2">
      <c r="A1751" s="10">
        <v>97</v>
      </c>
      <c r="B1751" s="10" t="s">
        <v>71</v>
      </c>
      <c r="C1751" s="10" t="s">
        <v>1341</v>
      </c>
      <c r="D1751" s="10" t="s">
        <v>414</v>
      </c>
      <c r="E1751" s="11" t="str">
        <f t="array" ref="E1751">_xlfn.XLOOKUP(D1751,Insumos!B:B,Insumos!C:$C)</f>
        <v>UN</v>
      </c>
      <c r="F1751" s="14">
        <v>10.093400000000001</v>
      </c>
      <c r="G1751" s="92">
        <f t="array" ref="G1751">IF(B1751="insumo",_xlfn.XLOOKUP($D1751,Insumos!$B$1:$B$996,Insumos!$D$1:$D$996),"")</f>
        <v>0.09</v>
      </c>
      <c r="H1751" s="92">
        <v>0.90840600000000005</v>
      </c>
      <c r="I1751" s="13">
        <v>0</v>
      </c>
      <c r="J1751" s="13">
        <v>0</v>
      </c>
      <c r="K1751" s="13"/>
      <c r="L1751"/>
      <c r="M1751"/>
      <c r="N1751"/>
      <c r="O1751"/>
      <c r="P1751"/>
      <c r="Q1751"/>
      <c r="R1751"/>
      <c r="S1751"/>
      <c r="T1751"/>
      <c r="U1751"/>
      <c r="V1751"/>
      <c r="W1751"/>
      <c r="X1751"/>
      <c r="Y1751"/>
      <c r="Z1751"/>
      <c r="AA1751"/>
      <c r="AB1751"/>
      <c r="AC1751"/>
      <c r="AD1751"/>
      <c r="AE1751"/>
      <c r="AF1751"/>
      <c r="AG1751"/>
      <c r="AH1751"/>
      <c r="AI1751"/>
      <c r="AJ1751"/>
      <c r="AK1751"/>
      <c r="AL1751"/>
    </row>
    <row r="1752" spans="1:38" ht="15.75" customHeight="1" outlineLevel="3" x14ac:dyDescent="0.2">
      <c r="A1752" s="10">
        <v>95</v>
      </c>
      <c r="B1752" s="10" t="s">
        <v>71</v>
      </c>
      <c r="C1752" s="10" t="s">
        <v>1341</v>
      </c>
      <c r="D1752" s="10" t="s">
        <v>415</v>
      </c>
      <c r="E1752" s="11" t="str">
        <f t="array" ref="E1752">_xlfn.XLOOKUP(D1752,Insumos!B:B,Insumos!C:$C)</f>
        <v>UN</v>
      </c>
      <c r="F1752" s="14">
        <v>0.27205000000000001</v>
      </c>
      <c r="G1752" s="92">
        <f t="array" ref="G1752">IF(B1752="insumo",_xlfn.XLOOKUP($D1752,Insumos!$B$1:$B$996,Insumos!$D$1:$D$996),"")</f>
        <v>0.2</v>
      </c>
      <c r="H1752" s="92">
        <v>5.441E-2</v>
      </c>
      <c r="I1752" s="13">
        <v>0</v>
      </c>
      <c r="J1752" s="13">
        <v>0</v>
      </c>
      <c r="K1752" s="13"/>
      <c r="L1752"/>
      <c r="M1752"/>
      <c r="N1752"/>
      <c r="O1752"/>
      <c r="P1752"/>
      <c r="Q1752"/>
      <c r="R1752"/>
      <c r="S1752"/>
      <c r="T1752"/>
      <c r="U1752"/>
      <c r="V1752"/>
      <c r="W1752"/>
      <c r="X1752"/>
      <c r="Y1752"/>
      <c r="Z1752"/>
      <c r="AA1752"/>
      <c r="AB1752"/>
      <c r="AC1752"/>
      <c r="AD1752"/>
      <c r="AE1752"/>
      <c r="AF1752"/>
      <c r="AG1752"/>
      <c r="AH1752"/>
      <c r="AI1752"/>
      <c r="AJ1752"/>
      <c r="AK1752"/>
      <c r="AL1752"/>
    </row>
    <row r="1753" spans="1:38" ht="15.75" customHeight="1" outlineLevel="3" x14ac:dyDescent="0.2">
      <c r="A1753" s="10">
        <v>35</v>
      </c>
      <c r="B1753" s="10" t="s">
        <v>71</v>
      </c>
      <c r="C1753" s="10" t="s">
        <v>1341</v>
      </c>
      <c r="D1753" s="10" t="s">
        <v>1595</v>
      </c>
      <c r="E1753" s="11" t="str">
        <f t="array" ref="E1753">_xlfn.XLOOKUP(D1753,Insumos!B:B,Insumos!C:$C)</f>
        <v>M2</v>
      </c>
      <c r="F1753" s="14">
        <v>1.1000000000000001</v>
      </c>
      <c r="G1753" s="92">
        <f t="array" ref="G1753">IF(B1753="insumo",_xlfn.XLOOKUP($D1753,Insumos!$B$1:$B$996,Insumos!$D$1:$D$996),"")</f>
        <v>13.019333333333332</v>
      </c>
      <c r="H1753" s="92">
        <v>14.3212666666667</v>
      </c>
      <c r="I1753" s="13">
        <v>0</v>
      </c>
      <c r="J1753" s="13">
        <v>0</v>
      </c>
      <c r="K1753" s="13"/>
      <c r="L1753"/>
      <c r="M1753"/>
      <c r="N1753"/>
      <c r="O1753"/>
      <c r="P1753"/>
      <c r="Q1753"/>
      <c r="R1753"/>
      <c r="S1753"/>
      <c r="T1753"/>
      <c r="U1753"/>
      <c r="V1753"/>
      <c r="W1753"/>
      <c r="X1753"/>
      <c r="Y1753"/>
      <c r="Z1753"/>
      <c r="AA1753"/>
      <c r="AB1753"/>
      <c r="AC1753"/>
      <c r="AD1753"/>
      <c r="AE1753"/>
      <c r="AF1753"/>
      <c r="AG1753"/>
      <c r="AH1753"/>
      <c r="AI1753"/>
      <c r="AJ1753"/>
      <c r="AK1753"/>
      <c r="AL1753"/>
    </row>
    <row r="1754" spans="1:38" ht="15.75" customHeight="1" outlineLevel="2" x14ac:dyDescent="0.2">
      <c r="A1754" s="1067">
        <v>1</v>
      </c>
      <c r="B1754" s="1067" t="s">
        <v>68</v>
      </c>
      <c r="C1754" s="1067" t="s">
        <v>1342</v>
      </c>
      <c r="D1754" s="1067" t="s">
        <v>1342</v>
      </c>
      <c r="E1754" s="1068" t="s">
        <v>70</v>
      </c>
      <c r="F1754" s="1067"/>
      <c r="G1754" s="1069" t="str">
        <f t="array" ref="G1754">IF(B1754="insumo",_xlfn.XLOOKUP($D1754,Insumos!$B$1:$B$996,Insumos!$D$1:$D$996),"")</f>
        <v/>
      </c>
      <c r="H1754" s="1069">
        <v>174.04688316666699</v>
      </c>
      <c r="I1754" s="1070">
        <v>0</v>
      </c>
      <c r="J1754" s="1070">
        <v>0</v>
      </c>
      <c r="K1754" s="1070"/>
      <c r="L1754"/>
      <c r="M1754"/>
      <c r="N1754"/>
      <c r="O1754"/>
      <c r="P1754"/>
      <c r="Q1754"/>
      <c r="R1754"/>
      <c r="S1754"/>
      <c r="T1754"/>
      <c r="U1754"/>
      <c r="V1754"/>
      <c r="W1754"/>
      <c r="X1754"/>
      <c r="Y1754"/>
      <c r="Z1754"/>
      <c r="AA1754"/>
      <c r="AB1754"/>
      <c r="AC1754"/>
      <c r="AD1754"/>
      <c r="AE1754"/>
      <c r="AF1754"/>
      <c r="AG1754"/>
      <c r="AH1754"/>
      <c r="AI1754"/>
      <c r="AJ1754"/>
      <c r="AK1754"/>
      <c r="AL1754"/>
    </row>
    <row r="1755" spans="1:38" ht="15.75" customHeight="1" outlineLevel="3" x14ac:dyDescent="0.2">
      <c r="A1755" s="10">
        <v>86</v>
      </c>
      <c r="B1755" s="10" t="s">
        <v>71</v>
      </c>
      <c r="C1755" s="10" t="s">
        <v>1342</v>
      </c>
      <c r="D1755" s="10" t="s">
        <v>407</v>
      </c>
      <c r="E1755" s="11" t="str">
        <f t="array" ref="E1755">_xlfn.XLOOKUP(D1755,Insumos!B:B,Insumos!C:$C)</f>
        <v>M2</v>
      </c>
      <c r="F1755" s="14">
        <v>1</v>
      </c>
      <c r="G1755" s="92">
        <f t="array" ref="G1755">IF(B1755="insumo",_xlfn.XLOOKUP($D1755,Insumos!$B$1:$B$996,Insumos!$D$1:$D$996),"")</f>
        <v>70</v>
      </c>
      <c r="H1755" s="92">
        <v>70</v>
      </c>
      <c r="I1755" s="13">
        <v>0</v>
      </c>
      <c r="J1755" s="13">
        <v>0</v>
      </c>
      <c r="K1755" s="13"/>
      <c r="L1755"/>
      <c r="M1755"/>
      <c r="N1755"/>
      <c r="O1755"/>
      <c r="P1755"/>
      <c r="Q1755"/>
      <c r="R1755"/>
      <c r="S1755"/>
      <c r="T1755"/>
      <c r="U1755"/>
      <c r="V1755"/>
      <c r="W1755"/>
      <c r="X1755"/>
      <c r="Y1755"/>
      <c r="Z1755"/>
      <c r="AA1755"/>
      <c r="AB1755"/>
      <c r="AC1755"/>
      <c r="AD1755"/>
      <c r="AE1755"/>
      <c r="AF1755"/>
      <c r="AG1755"/>
      <c r="AH1755"/>
      <c r="AI1755"/>
      <c r="AJ1755"/>
      <c r="AK1755"/>
      <c r="AL1755"/>
    </row>
    <row r="1756" spans="1:38" ht="15.75" customHeight="1" outlineLevel="3" x14ac:dyDescent="0.2">
      <c r="A1756" s="10">
        <v>47</v>
      </c>
      <c r="B1756" s="10" t="s">
        <v>71</v>
      </c>
      <c r="C1756" s="10" t="s">
        <v>1342</v>
      </c>
      <c r="D1756" s="10" t="s">
        <v>408</v>
      </c>
      <c r="E1756" s="11" t="str">
        <f t="array" ref="E1756">_xlfn.XLOOKUP(D1756,Insumos!B:B,Insumos!C:$C)</f>
        <v>M2</v>
      </c>
      <c r="F1756" s="14">
        <v>1.0529999999999999</v>
      </c>
      <c r="G1756" s="92">
        <f t="array" ref="G1756">IF(B1756="insumo",_xlfn.XLOOKUP($D1756,Insumos!$B$1:$B$996,Insumos!$D$1:$D$996),"")</f>
        <v>20.16</v>
      </c>
      <c r="H1756" s="92">
        <v>21.228480000000001</v>
      </c>
      <c r="I1756" s="13">
        <v>0</v>
      </c>
      <c r="J1756" s="13">
        <v>0</v>
      </c>
      <c r="K1756" s="13"/>
      <c r="L1756"/>
      <c r="M1756"/>
      <c r="N1756"/>
      <c r="O1756"/>
      <c r="P1756"/>
      <c r="Q1756"/>
      <c r="R1756"/>
      <c r="S1756"/>
      <c r="T1756"/>
      <c r="U1756"/>
      <c r="V1756"/>
      <c r="W1756"/>
      <c r="X1756"/>
      <c r="Y1756"/>
      <c r="Z1756"/>
      <c r="AA1756"/>
      <c r="AB1756"/>
      <c r="AC1756"/>
      <c r="AD1756"/>
      <c r="AE1756"/>
      <c r="AF1756"/>
      <c r="AG1756"/>
      <c r="AH1756"/>
      <c r="AI1756"/>
      <c r="AJ1756"/>
      <c r="AK1756"/>
      <c r="AL1756"/>
    </row>
    <row r="1757" spans="1:38" ht="15.75" customHeight="1" outlineLevel="3" x14ac:dyDescent="0.2">
      <c r="A1757" s="10">
        <v>95</v>
      </c>
      <c r="B1757" s="10" t="s">
        <v>71</v>
      </c>
      <c r="C1757" s="10" t="s">
        <v>1342</v>
      </c>
      <c r="D1757" s="10" t="s">
        <v>409</v>
      </c>
      <c r="E1757" s="11" t="str">
        <f t="array" ref="E1757">_xlfn.XLOOKUP(D1757,Insumos!B:B,Insumos!C:$C)</f>
        <v>UN</v>
      </c>
      <c r="F1757" s="14">
        <v>5.92</v>
      </c>
      <c r="G1757" s="92">
        <f t="array" ref="G1757">IF(B1757="insumo",_xlfn.XLOOKUP($D1757,Insumos!$B$1:$B$996,Insumos!$D$1:$D$996),"")</f>
        <v>0.504</v>
      </c>
      <c r="H1757" s="92">
        <v>2.9836800000000001</v>
      </c>
      <c r="I1757" s="13">
        <v>0</v>
      </c>
      <c r="J1757" s="13">
        <v>0</v>
      </c>
      <c r="K1757" s="13"/>
      <c r="L1757"/>
      <c r="M1757"/>
      <c r="N1757"/>
      <c r="O1757"/>
      <c r="P1757"/>
      <c r="Q1757"/>
      <c r="R1757"/>
      <c r="S1757"/>
      <c r="T1757"/>
      <c r="U1757"/>
      <c r="V1757"/>
      <c r="W1757"/>
      <c r="X1757"/>
      <c r="Y1757"/>
      <c r="Z1757"/>
      <c r="AA1757"/>
      <c r="AB1757"/>
      <c r="AC1757"/>
      <c r="AD1757"/>
      <c r="AE1757"/>
      <c r="AF1757"/>
      <c r="AG1757"/>
      <c r="AH1757"/>
      <c r="AI1757"/>
      <c r="AJ1757"/>
      <c r="AK1757"/>
      <c r="AL1757"/>
    </row>
    <row r="1758" spans="1:38" ht="15.75" customHeight="1" outlineLevel="3" x14ac:dyDescent="0.2">
      <c r="A1758" s="10">
        <v>43</v>
      </c>
      <c r="B1758" s="10" t="s">
        <v>71</v>
      </c>
      <c r="C1758" s="10" t="s">
        <v>1342</v>
      </c>
      <c r="D1758" s="10" t="s">
        <v>423</v>
      </c>
      <c r="E1758" s="11" t="str">
        <f t="array" ref="E1758">_xlfn.XLOOKUP(D1758,Insumos!B:B,Insumos!C:$C)</f>
        <v>M</v>
      </c>
      <c r="F1758" s="14">
        <v>1.8233999999999999</v>
      </c>
      <c r="G1758" s="92">
        <f t="array" ref="G1758">IF(B1758="insumo",_xlfn.XLOOKUP($D1758,Insumos!$B$1:$B$996,Insumos!$D$1:$D$996),"")</f>
        <v>7.46</v>
      </c>
      <c r="H1758" s="92">
        <v>13.602563999999999</v>
      </c>
      <c r="I1758" s="13">
        <v>0</v>
      </c>
      <c r="J1758" s="13">
        <v>0</v>
      </c>
      <c r="K1758" s="13"/>
      <c r="L1758"/>
      <c r="M1758"/>
      <c r="N1758"/>
      <c r="O1758"/>
      <c r="P1758"/>
      <c r="Q1758"/>
      <c r="R1758"/>
      <c r="S1758"/>
      <c r="T1758"/>
      <c r="U1758"/>
      <c r="V1758"/>
      <c r="W1758"/>
      <c r="X1758"/>
      <c r="Y1758"/>
      <c r="Z1758"/>
      <c r="AA1758"/>
      <c r="AB1758"/>
      <c r="AC1758"/>
      <c r="AD1758"/>
      <c r="AE1758"/>
      <c r="AF1758"/>
      <c r="AG1758"/>
      <c r="AH1758"/>
      <c r="AI1758"/>
      <c r="AJ1758"/>
      <c r="AK1758"/>
      <c r="AL1758"/>
    </row>
    <row r="1759" spans="1:38" ht="15.75" customHeight="1" outlineLevel="3" x14ac:dyDescent="0.2">
      <c r="A1759" s="10">
        <v>43</v>
      </c>
      <c r="B1759" s="10" t="s">
        <v>71</v>
      </c>
      <c r="C1759" s="10" t="s">
        <v>1342</v>
      </c>
      <c r="D1759" s="10" t="s">
        <v>424</v>
      </c>
      <c r="E1759" s="11" t="str">
        <f t="array" ref="E1759">_xlfn.XLOOKUP(D1759,Insumos!B:B,Insumos!C:$C)</f>
        <v>M</v>
      </c>
      <c r="F1759" s="14">
        <v>5.8277999999999999</v>
      </c>
      <c r="G1759" s="92">
        <f t="array" ref="G1759">IF(B1759="insumo",_xlfn.XLOOKUP($D1759,Insumos!$B$1:$B$996,Insumos!$D$1:$D$996),"")</f>
        <v>7.98</v>
      </c>
      <c r="H1759" s="92">
        <v>46.505844000000003</v>
      </c>
      <c r="I1759" s="13">
        <v>0</v>
      </c>
      <c r="J1759" s="13">
        <v>0</v>
      </c>
      <c r="K1759" s="13"/>
      <c r="L1759"/>
      <c r="M1759"/>
      <c r="N1759"/>
      <c r="O1759"/>
      <c r="P1759"/>
      <c r="Q1759"/>
      <c r="R1759"/>
      <c r="S1759"/>
      <c r="T1759"/>
      <c r="U1759"/>
      <c r="V1759"/>
      <c r="W1759"/>
      <c r="X1759"/>
      <c r="Y1759"/>
      <c r="Z1759"/>
      <c r="AA1759"/>
      <c r="AB1759"/>
      <c r="AC1759"/>
      <c r="AD1759"/>
      <c r="AE1759"/>
      <c r="AF1759"/>
      <c r="AG1759"/>
      <c r="AH1759"/>
      <c r="AI1759"/>
      <c r="AJ1759"/>
      <c r="AK1759"/>
      <c r="AL1759"/>
    </row>
    <row r="1760" spans="1:38" ht="15.75" customHeight="1" outlineLevel="3" x14ac:dyDescent="0.2">
      <c r="A1760" s="10">
        <v>95</v>
      </c>
      <c r="B1760" s="10" t="s">
        <v>71</v>
      </c>
      <c r="C1760" s="10" t="s">
        <v>1342</v>
      </c>
      <c r="D1760" s="10" t="s">
        <v>405</v>
      </c>
      <c r="E1760" s="11" t="str">
        <f t="array" ref="E1760">_xlfn.XLOOKUP(D1760,Insumos!B:B,Insumos!C:$C)</f>
        <v>KG</v>
      </c>
      <c r="F1760" s="14">
        <v>0.54890000000000005</v>
      </c>
      <c r="G1760" s="92">
        <f t="array" ref="G1760">IF(B1760="insumo",_xlfn.XLOOKUP($D1760,Insumos!$B$1:$B$996,Insumos!$D$1:$D$996),"")</f>
        <v>3.43</v>
      </c>
      <c r="H1760" s="92">
        <v>1.882727</v>
      </c>
      <c r="I1760" s="13">
        <v>0</v>
      </c>
      <c r="J1760" s="13">
        <v>0</v>
      </c>
      <c r="K1760" s="13"/>
      <c r="L1760"/>
      <c r="M1760"/>
      <c r="N1760"/>
      <c r="O1760"/>
      <c r="P1760"/>
      <c r="Q1760"/>
      <c r="R1760"/>
      <c r="S1760"/>
      <c r="T1760"/>
      <c r="U1760"/>
      <c r="V1760"/>
      <c r="W1760"/>
      <c r="X1760"/>
      <c r="Y1760"/>
      <c r="Z1760"/>
      <c r="AA1760"/>
      <c r="AB1760"/>
      <c r="AC1760"/>
      <c r="AD1760"/>
      <c r="AE1760"/>
      <c r="AF1760"/>
      <c r="AG1760"/>
      <c r="AH1760"/>
      <c r="AI1760"/>
      <c r="AJ1760"/>
      <c r="AK1760"/>
      <c r="AL1760"/>
    </row>
    <row r="1761" spans="1:38" ht="15.75" customHeight="1" outlineLevel="3" x14ac:dyDescent="0.2">
      <c r="A1761" s="10">
        <v>94</v>
      </c>
      <c r="B1761" s="10" t="s">
        <v>71</v>
      </c>
      <c r="C1761" s="10" t="s">
        <v>1342</v>
      </c>
      <c r="D1761" s="10" t="s">
        <v>412</v>
      </c>
      <c r="E1761" s="11" t="str">
        <f t="array" ref="E1761">_xlfn.XLOOKUP(D1761,Insumos!B:B,Insumos!C:$C)</f>
        <v>M</v>
      </c>
      <c r="F1761" s="14">
        <v>1.25135</v>
      </c>
      <c r="G1761" s="92">
        <f t="array" ref="G1761">IF(B1761="insumo",_xlfn.XLOOKUP($D1761,Insumos!$B$1:$B$996,Insumos!$D$1:$D$996),"")</f>
        <v>0.31</v>
      </c>
      <c r="H1761" s="92">
        <v>0.3879185</v>
      </c>
      <c r="I1761" s="13">
        <v>0</v>
      </c>
      <c r="J1761" s="13">
        <v>0</v>
      </c>
      <c r="K1761" s="13"/>
      <c r="L1761"/>
      <c r="M1761"/>
      <c r="N1761"/>
      <c r="O1761"/>
      <c r="P1761"/>
      <c r="Q1761"/>
      <c r="R1761"/>
      <c r="S1761"/>
      <c r="T1761"/>
      <c r="U1761"/>
      <c r="V1761"/>
      <c r="W1761"/>
      <c r="X1761"/>
      <c r="Y1761"/>
      <c r="Z1761"/>
      <c r="AA1761"/>
      <c r="AB1761"/>
      <c r="AC1761"/>
      <c r="AD1761"/>
      <c r="AE1761"/>
      <c r="AF1761"/>
      <c r="AG1761"/>
      <c r="AH1761"/>
      <c r="AI1761"/>
      <c r="AJ1761"/>
      <c r="AK1761"/>
      <c r="AL1761"/>
    </row>
    <row r="1762" spans="1:38" ht="15.75" customHeight="1" outlineLevel="3" x14ac:dyDescent="0.2">
      <c r="A1762" s="10">
        <v>94</v>
      </c>
      <c r="B1762" s="10" t="s">
        <v>71</v>
      </c>
      <c r="C1762" s="10" t="s">
        <v>1342</v>
      </c>
      <c r="D1762" s="10" t="s">
        <v>413</v>
      </c>
      <c r="E1762" s="11" t="str">
        <f t="array" ref="E1762">_xlfn.XLOOKUP(D1762,Insumos!B:B,Insumos!C:$C)</f>
        <v>M</v>
      </c>
      <c r="F1762" s="14">
        <v>0.79254999999999998</v>
      </c>
      <c r="G1762" s="92">
        <f t="array" ref="G1762">IF(B1762="insumo",_xlfn.XLOOKUP($D1762,Insumos!$B$1:$B$996,Insumos!$D$1:$D$996),"")</f>
        <v>2.74</v>
      </c>
      <c r="H1762" s="92">
        <v>2.1715870000000002</v>
      </c>
      <c r="I1762" s="13">
        <v>0</v>
      </c>
      <c r="J1762" s="13">
        <v>0</v>
      </c>
      <c r="K1762" s="13"/>
      <c r="L1762"/>
      <c r="M1762"/>
      <c r="N1762"/>
      <c r="O1762"/>
      <c r="P1762"/>
      <c r="Q1762"/>
      <c r="R1762"/>
      <c r="S1762"/>
      <c r="T1762"/>
      <c r="U1762"/>
      <c r="V1762"/>
      <c r="W1762"/>
      <c r="X1762"/>
      <c r="Y1762"/>
      <c r="Z1762"/>
      <c r="AA1762"/>
      <c r="AB1762"/>
      <c r="AC1762"/>
      <c r="AD1762"/>
      <c r="AE1762"/>
      <c r="AF1762"/>
      <c r="AG1762"/>
      <c r="AH1762"/>
      <c r="AI1762"/>
      <c r="AJ1762"/>
      <c r="AK1762"/>
      <c r="AL1762"/>
    </row>
    <row r="1763" spans="1:38" ht="15.75" customHeight="1" outlineLevel="3" x14ac:dyDescent="0.2">
      <c r="A1763" s="10">
        <v>97</v>
      </c>
      <c r="B1763" s="10" t="s">
        <v>71</v>
      </c>
      <c r="C1763" s="10" t="s">
        <v>1342</v>
      </c>
      <c r="D1763" s="10" t="s">
        <v>414</v>
      </c>
      <c r="E1763" s="11" t="str">
        <f t="array" ref="E1763">_xlfn.XLOOKUP(D1763,Insumos!B:B,Insumos!C:$C)</f>
        <v>UN</v>
      </c>
      <c r="F1763" s="14">
        <v>10.093400000000001</v>
      </c>
      <c r="G1763" s="92">
        <f t="array" ref="G1763">IF(B1763="insumo",_xlfn.XLOOKUP($D1763,Insumos!$B$1:$B$996,Insumos!$D$1:$D$996),"")</f>
        <v>0.09</v>
      </c>
      <c r="H1763" s="92">
        <v>0.90840600000000005</v>
      </c>
      <c r="I1763" s="13">
        <v>0</v>
      </c>
      <c r="J1763" s="13">
        <v>0</v>
      </c>
      <c r="K1763" s="13"/>
      <c r="L1763"/>
      <c r="M1763"/>
      <c r="N1763"/>
      <c r="O1763"/>
      <c r="P1763"/>
      <c r="Q1763"/>
      <c r="R1763"/>
      <c r="S1763"/>
      <c r="T1763"/>
      <c r="U1763"/>
      <c r="V1763"/>
      <c r="W1763"/>
      <c r="X1763"/>
      <c r="Y1763"/>
      <c r="Z1763"/>
      <c r="AA1763"/>
      <c r="AB1763"/>
      <c r="AC1763"/>
      <c r="AD1763"/>
      <c r="AE1763"/>
      <c r="AF1763"/>
      <c r="AG1763"/>
      <c r="AH1763"/>
      <c r="AI1763"/>
      <c r="AJ1763"/>
      <c r="AK1763"/>
      <c r="AL1763"/>
    </row>
    <row r="1764" spans="1:38" ht="15.75" customHeight="1" outlineLevel="3" x14ac:dyDescent="0.2">
      <c r="A1764" s="10">
        <v>95</v>
      </c>
      <c r="B1764" s="10" t="s">
        <v>71</v>
      </c>
      <c r="C1764" s="10" t="s">
        <v>1342</v>
      </c>
      <c r="D1764" s="10" t="s">
        <v>415</v>
      </c>
      <c r="E1764" s="11" t="str">
        <f t="array" ref="E1764">_xlfn.XLOOKUP(D1764,Insumos!B:B,Insumos!C:$C)</f>
        <v>UN</v>
      </c>
      <c r="F1764" s="14">
        <v>0.27205000000000001</v>
      </c>
      <c r="G1764" s="92">
        <f t="array" ref="G1764">IF(B1764="insumo",_xlfn.XLOOKUP($D1764,Insumos!$B$1:$B$996,Insumos!$D$1:$D$996),"")</f>
        <v>0.2</v>
      </c>
      <c r="H1764" s="92">
        <v>5.441E-2</v>
      </c>
      <c r="I1764" s="13">
        <v>0</v>
      </c>
      <c r="J1764" s="13">
        <v>0</v>
      </c>
      <c r="K1764" s="13"/>
      <c r="L1764"/>
      <c r="M1764"/>
      <c r="N1764"/>
      <c r="O1764"/>
      <c r="P1764"/>
      <c r="Q1764"/>
      <c r="R1764"/>
      <c r="S1764"/>
      <c r="T1764"/>
      <c r="U1764"/>
      <c r="V1764"/>
      <c r="W1764"/>
      <c r="X1764"/>
      <c r="Y1764"/>
      <c r="Z1764"/>
      <c r="AA1764"/>
      <c r="AB1764"/>
      <c r="AC1764"/>
      <c r="AD1764"/>
      <c r="AE1764"/>
      <c r="AF1764"/>
      <c r="AG1764"/>
      <c r="AH1764"/>
      <c r="AI1764"/>
      <c r="AJ1764"/>
      <c r="AK1764"/>
      <c r="AL1764"/>
    </row>
    <row r="1765" spans="1:38" ht="15.75" customHeight="1" outlineLevel="3" x14ac:dyDescent="0.2">
      <c r="A1765" s="10">
        <v>35</v>
      </c>
      <c r="B1765" s="10" t="s">
        <v>71</v>
      </c>
      <c r="C1765" s="10" t="s">
        <v>1342</v>
      </c>
      <c r="D1765" s="10" t="s">
        <v>1595</v>
      </c>
      <c r="E1765" s="11" t="str">
        <f t="array" ref="E1765">_xlfn.XLOOKUP(D1765,Insumos!B:B,Insumos!C:$C)</f>
        <v>M2</v>
      </c>
      <c r="F1765" s="14">
        <v>1.1000000000000001</v>
      </c>
      <c r="G1765" s="92">
        <f t="array" ref="G1765">IF(B1765="insumo",_xlfn.XLOOKUP($D1765,Insumos!$B$1:$B$996,Insumos!$D$1:$D$996),"")</f>
        <v>13.019333333333332</v>
      </c>
      <c r="H1765" s="92">
        <v>14.3212666666667</v>
      </c>
      <c r="I1765" s="13">
        <v>0</v>
      </c>
      <c r="J1765" s="13">
        <v>0</v>
      </c>
      <c r="K1765" s="13"/>
      <c r="L1765"/>
      <c r="M1765"/>
      <c r="N1765"/>
      <c r="O1765"/>
      <c r="P1765"/>
      <c r="Q1765"/>
      <c r="R1765"/>
      <c r="S1765"/>
      <c r="T1765"/>
      <c r="U1765"/>
      <c r="V1765"/>
      <c r="W1765"/>
      <c r="X1765"/>
      <c r="Y1765"/>
      <c r="Z1765"/>
      <c r="AA1765"/>
      <c r="AB1765"/>
      <c r="AC1765"/>
      <c r="AD1765"/>
      <c r="AE1765"/>
      <c r="AF1765"/>
      <c r="AG1765"/>
      <c r="AH1765"/>
      <c r="AI1765"/>
      <c r="AJ1765"/>
      <c r="AK1765"/>
      <c r="AL1765"/>
    </row>
    <row r="1766" spans="1:38" ht="15.75" customHeight="1" outlineLevel="2" x14ac:dyDescent="0.2">
      <c r="A1766" s="1067">
        <v>1</v>
      </c>
      <c r="B1766" s="1067" t="s">
        <v>68</v>
      </c>
      <c r="C1766" s="1067" t="s">
        <v>1355</v>
      </c>
      <c r="D1766" s="1067" t="s">
        <v>1355</v>
      </c>
      <c r="E1766" s="1068" t="s">
        <v>70</v>
      </c>
      <c r="F1766" s="1067"/>
      <c r="G1766" s="1069" t="str">
        <f t="array" ref="G1766">IF(B1766="insumo",_xlfn.XLOOKUP($D1766,Insumos!$B$1:$B$996,Insumos!$D$1:$D$996),"")</f>
        <v/>
      </c>
      <c r="H1766" s="1069">
        <v>174.04688316666699</v>
      </c>
      <c r="I1766" s="1070">
        <v>0</v>
      </c>
      <c r="J1766" s="1070">
        <v>0</v>
      </c>
      <c r="K1766" s="1070"/>
      <c r="L1766"/>
      <c r="M1766"/>
      <c r="N1766"/>
      <c r="O1766"/>
      <c r="P1766"/>
      <c r="Q1766"/>
      <c r="R1766"/>
      <c r="S1766"/>
      <c r="T1766"/>
      <c r="U1766"/>
      <c r="V1766"/>
      <c r="W1766"/>
      <c r="X1766"/>
      <c r="Y1766"/>
      <c r="Z1766"/>
      <c r="AA1766"/>
      <c r="AB1766"/>
      <c r="AC1766"/>
      <c r="AD1766"/>
      <c r="AE1766"/>
      <c r="AF1766"/>
      <c r="AG1766"/>
      <c r="AH1766"/>
      <c r="AI1766"/>
      <c r="AJ1766"/>
      <c r="AK1766"/>
      <c r="AL1766"/>
    </row>
    <row r="1767" spans="1:38" ht="15.75" customHeight="1" outlineLevel="3" x14ac:dyDescent="0.2">
      <c r="A1767" s="10">
        <v>86</v>
      </c>
      <c r="B1767" s="10" t="s">
        <v>71</v>
      </c>
      <c r="C1767" s="10" t="s">
        <v>1355</v>
      </c>
      <c r="D1767" s="10" t="s">
        <v>407</v>
      </c>
      <c r="E1767" s="11" t="str">
        <f t="array" ref="E1767">_xlfn.XLOOKUP(D1767,Insumos!B:B,Insumos!C:$C)</f>
        <v>M2</v>
      </c>
      <c r="F1767" s="14">
        <v>1</v>
      </c>
      <c r="G1767" s="92">
        <f t="array" ref="G1767">IF(B1767="insumo",_xlfn.XLOOKUP($D1767,Insumos!$B$1:$B$996,Insumos!$D$1:$D$996),"")</f>
        <v>70</v>
      </c>
      <c r="H1767" s="92">
        <v>70</v>
      </c>
      <c r="I1767" s="13">
        <v>0</v>
      </c>
      <c r="J1767" s="13">
        <v>0</v>
      </c>
      <c r="K1767" s="13"/>
      <c r="L1767"/>
      <c r="M1767"/>
      <c r="N1767"/>
      <c r="O1767"/>
      <c r="P1767"/>
      <c r="Q1767"/>
      <c r="R1767"/>
      <c r="S1767"/>
      <c r="T1767"/>
      <c r="U1767"/>
      <c r="V1767"/>
      <c r="W1767"/>
      <c r="X1767"/>
      <c r="Y1767"/>
      <c r="Z1767"/>
      <c r="AA1767"/>
      <c r="AB1767"/>
      <c r="AC1767"/>
      <c r="AD1767"/>
      <c r="AE1767"/>
      <c r="AF1767"/>
      <c r="AG1767"/>
      <c r="AH1767"/>
      <c r="AI1767"/>
      <c r="AJ1767"/>
      <c r="AK1767"/>
      <c r="AL1767"/>
    </row>
    <row r="1768" spans="1:38" ht="15.75" customHeight="1" outlineLevel="3" x14ac:dyDescent="0.2">
      <c r="A1768" s="10">
        <v>47</v>
      </c>
      <c r="B1768" s="10" t="s">
        <v>71</v>
      </c>
      <c r="C1768" s="10" t="s">
        <v>1355</v>
      </c>
      <c r="D1768" s="10" t="s">
        <v>408</v>
      </c>
      <c r="E1768" s="11" t="str">
        <f t="array" ref="E1768">_xlfn.XLOOKUP(D1768,Insumos!B:B,Insumos!C:$C)</f>
        <v>M2</v>
      </c>
      <c r="F1768" s="14">
        <v>1.0529999999999999</v>
      </c>
      <c r="G1768" s="92">
        <f t="array" ref="G1768">IF(B1768="insumo",_xlfn.XLOOKUP($D1768,Insumos!$B$1:$B$996,Insumos!$D$1:$D$996),"")</f>
        <v>20.16</v>
      </c>
      <c r="H1768" s="92">
        <v>21.228480000000001</v>
      </c>
      <c r="I1768" s="13">
        <v>0</v>
      </c>
      <c r="J1768" s="13">
        <v>0</v>
      </c>
      <c r="K1768" s="13"/>
      <c r="L1768"/>
      <c r="M1768"/>
      <c r="N1768"/>
      <c r="O1768"/>
      <c r="P1768"/>
      <c r="Q1768"/>
      <c r="R1768"/>
      <c r="S1768"/>
      <c r="T1768"/>
      <c r="U1768"/>
      <c r="V1768"/>
      <c r="W1768"/>
      <c r="X1768"/>
      <c r="Y1768"/>
      <c r="Z1768"/>
      <c r="AA1768"/>
      <c r="AB1768"/>
      <c r="AC1768"/>
      <c r="AD1768"/>
      <c r="AE1768"/>
      <c r="AF1768"/>
      <c r="AG1768"/>
      <c r="AH1768"/>
      <c r="AI1768"/>
      <c r="AJ1768"/>
      <c r="AK1768"/>
      <c r="AL1768"/>
    </row>
    <row r="1769" spans="1:38" ht="15.75" customHeight="1" outlineLevel="3" x14ac:dyDescent="0.2">
      <c r="A1769" s="10">
        <v>95</v>
      </c>
      <c r="B1769" s="10" t="s">
        <v>71</v>
      </c>
      <c r="C1769" s="10" t="s">
        <v>1355</v>
      </c>
      <c r="D1769" s="10" t="s">
        <v>409</v>
      </c>
      <c r="E1769" s="11" t="str">
        <f t="array" ref="E1769">_xlfn.XLOOKUP(D1769,Insumos!B:B,Insumos!C:$C)</f>
        <v>UN</v>
      </c>
      <c r="F1769" s="14">
        <v>5.92</v>
      </c>
      <c r="G1769" s="92">
        <f t="array" ref="G1769">IF(B1769="insumo",_xlfn.XLOOKUP($D1769,Insumos!$B$1:$B$996,Insumos!$D$1:$D$996),"")</f>
        <v>0.504</v>
      </c>
      <c r="H1769" s="92">
        <v>2.9836800000000001</v>
      </c>
      <c r="I1769" s="13">
        <v>0</v>
      </c>
      <c r="J1769" s="13">
        <v>0</v>
      </c>
      <c r="K1769" s="13"/>
      <c r="L1769"/>
      <c r="M1769"/>
      <c r="N1769"/>
      <c r="O1769"/>
      <c r="P1769"/>
      <c r="Q1769"/>
      <c r="R1769"/>
      <c r="S1769"/>
      <c r="T1769"/>
      <c r="U1769"/>
      <c r="V1769"/>
      <c r="W1769"/>
      <c r="X1769"/>
      <c r="Y1769"/>
      <c r="Z1769"/>
      <c r="AA1769"/>
      <c r="AB1769"/>
      <c r="AC1769"/>
      <c r="AD1769"/>
      <c r="AE1769"/>
      <c r="AF1769"/>
      <c r="AG1769"/>
      <c r="AH1769"/>
      <c r="AI1769"/>
      <c r="AJ1769"/>
      <c r="AK1769"/>
      <c r="AL1769"/>
    </row>
    <row r="1770" spans="1:38" ht="15.75" customHeight="1" outlineLevel="3" x14ac:dyDescent="0.2">
      <c r="A1770" s="10">
        <v>43</v>
      </c>
      <c r="B1770" s="10" t="s">
        <v>71</v>
      </c>
      <c r="C1770" s="10" t="s">
        <v>1355</v>
      </c>
      <c r="D1770" s="10" t="s">
        <v>423</v>
      </c>
      <c r="E1770" s="11" t="str">
        <f t="array" ref="E1770">_xlfn.XLOOKUP(D1770,Insumos!B:B,Insumos!C:$C)</f>
        <v>M</v>
      </c>
      <c r="F1770" s="14">
        <v>1.8233999999999999</v>
      </c>
      <c r="G1770" s="92">
        <f t="array" ref="G1770">IF(B1770="insumo",_xlfn.XLOOKUP($D1770,Insumos!$B$1:$B$996,Insumos!$D$1:$D$996),"")</f>
        <v>7.46</v>
      </c>
      <c r="H1770" s="92">
        <v>13.602563999999999</v>
      </c>
      <c r="I1770" s="13">
        <v>0</v>
      </c>
      <c r="J1770" s="13">
        <v>0</v>
      </c>
      <c r="K1770" s="13"/>
      <c r="L1770"/>
      <c r="M1770"/>
      <c r="N1770"/>
      <c r="O1770"/>
      <c r="P1770"/>
      <c r="Q1770"/>
      <c r="R1770"/>
      <c r="S1770"/>
      <c r="T1770"/>
      <c r="U1770"/>
      <c r="V1770"/>
      <c r="W1770"/>
      <c r="X1770"/>
      <c r="Y1770"/>
      <c r="Z1770"/>
      <c r="AA1770"/>
      <c r="AB1770"/>
      <c r="AC1770"/>
      <c r="AD1770"/>
      <c r="AE1770"/>
      <c r="AF1770"/>
      <c r="AG1770"/>
      <c r="AH1770"/>
      <c r="AI1770"/>
      <c r="AJ1770"/>
      <c r="AK1770"/>
      <c r="AL1770"/>
    </row>
    <row r="1771" spans="1:38" ht="15.75" customHeight="1" outlineLevel="3" x14ac:dyDescent="0.2">
      <c r="A1771" s="10">
        <v>43</v>
      </c>
      <c r="B1771" s="10" t="s">
        <v>71</v>
      </c>
      <c r="C1771" s="10" t="s">
        <v>1355</v>
      </c>
      <c r="D1771" s="10" t="s">
        <v>424</v>
      </c>
      <c r="E1771" s="11" t="str">
        <f t="array" ref="E1771">_xlfn.XLOOKUP(D1771,Insumos!B:B,Insumos!C:$C)</f>
        <v>M</v>
      </c>
      <c r="F1771" s="14">
        <v>5.8277999999999999</v>
      </c>
      <c r="G1771" s="92">
        <f t="array" ref="G1771">IF(B1771="insumo",_xlfn.XLOOKUP($D1771,Insumos!$B$1:$B$996,Insumos!$D$1:$D$996),"")</f>
        <v>7.98</v>
      </c>
      <c r="H1771" s="92">
        <v>46.505844000000003</v>
      </c>
      <c r="I1771" s="13">
        <v>0</v>
      </c>
      <c r="J1771" s="13">
        <v>0</v>
      </c>
      <c r="K1771" s="13"/>
      <c r="L1771"/>
      <c r="M1771"/>
      <c r="N1771"/>
      <c r="O1771"/>
      <c r="P1771"/>
      <c r="Q1771"/>
      <c r="R1771"/>
      <c r="S1771"/>
      <c r="T1771"/>
      <c r="U1771"/>
      <c r="V1771"/>
      <c r="W1771"/>
      <c r="X1771"/>
      <c r="Y1771"/>
      <c r="Z1771"/>
      <c r="AA1771"/>
      <c r="AB1771"/>
      <c r="AC1771"/>
      <c r="AD1771"/>
      <c r="AE1771"/>
      <c r="AF1771"/>
      <c r="AG1771"/>
      <c r="AH1771"/>
      <c r="AI1771"/>
      <c r="AJ1771"/>
      <c r="AK1771"/>
      <c r="AL1771"/>
    </row>
    <row r="1772" spans="1:38" ht="15.75" customHeight="1" outlineLevel="3" x14ac:dyDescent="0.2">
      <c r="A1772" s="10">
        <v>95</v>
      </c>
      <c r="B1772" s="10" t="s">
        <v>71</v>
      </c>
      <c r="C1772" s="10" t="s">
        <v>1355</v>
      </c>
      <c r="D1772" s="10" t="s">
        <v>405</v>
      </c>
      <c r="E1772" s="11" t="str">
        <f t="array" ref="E1772">_xlfn.XLOOKUP(D1772,Insumos!B:B,Insumos!C:$C)</f>
        <v>KG</v>
      </c>
      <c r="F1772" s="14">
        <v>0.54890000000000005</v>
      </c>
      <c r="G1772" s="92">
        <f t="array" ref="G1772">IF(B1772="insumo",_xlfn.XLOOKUP($D1772,Insumos!$B$1:$B$996,Insumos!$D$1:$D$996),"")</f>
        <v>3.43</v>
      </c>
      <c r="H1772" s="92">
        <v>1.882727</v>
      </c>
      <c r="I1772" s="13">
        <v>0</v>
      </c>
      <c r="J1772" s="13">
        <v>0</v>
      </c>
      <c r="K1772" s="13"/>
      <c r="L1772"/>
      <c r="M1772"/>
      <c r="N1772"/>
      <c r="O1772"/>
      <c r="P1772"/>
      <c r="Q1772"/>
      <c r="R1772"/>
      <c r="S1772"/>
      <c r="T1772"/>
      <c r="U1772"/>
      <c r="V1772"/>
      <c r="W1772"/>
      <c r="X1772"/>
      <c r="Y1772"/>
      <c r="Z1772"/>
      <c r="AA1772"/>
      <c r="AB1772"/>
      <c r="AC1772"/>
      <c r="AD1772"/>
      <c r="AE1772"/>
      <c r="AF1772"/>
      <c r="AG1772"/>
      <c r="AH1772"/>
      <c r="AI1772"/>
      <c r="AJ1772"/>
      <c r="AK1772"/>
      <c r="AL1772"/>
    </row>
    <row r="1773" spans="1:38" ht="15.75" customHeight="1" outlineLevel="3" x14ac:dyDescent="0.2">
      <c r="A1773" s="10">
        <v>94</v>
      </c>
      <c r="B1773" s="10" t="s">
        <v>71</v>
      </c>
      <c r="C1773" s="10" t="s">
        <v>1355</v>
      </c>
      <c r="D1773" s="10" t="s">
        <v>412</v>
      </c>
      <c r="E1773" s="11" t="str">
        <f t="array" ref="E1773">_xlfn.XLOOKUP(D1773,Insumos!B:B,Insumos!C:$C)</f>
        <v>M</v>
      </c>
      <c r="F1773" s="14">
        <v>1.25135</v>
      </c>
      <c r="G1773" s="92">
        <f t="array" ref="G1773">IF(B1773="insumo",_xlfn.XLOOKUP($D1773,Insumos!$B$1:$B$996,Insumos!$D$1:$D$996),"")</f>
        <v>0.31</v>
      </c>
      <c r="H1773" s="92">
        <v>0.3879185</v>
      </c>
      <c r="I1773" s="13">
        <v>0</v>
      </c>
      <c r="J1773" s="13">
        <v>0</v>
      </c>
      <c r="K1773" s="13"/>
      <c r="L1773"/>
      <c r="M1773"/>
      <c r="N1773"/>
      <c r="O1773"/>
      <c r="P1773"/>
      <c r="Q1773"/>
      <c r="R1773"/>
      <c r="S1773"/>
      <c r="T1773"/>
      <c r="U1773"/>
      <c r="V1773"/>
      <c r="W1773"/>
      <c r="X1773"/>
      <c r="Y1773"/>
      <c r="Z1773"/>
      <c r="AA1773"/>
      <c r="AB1773"/>
      <c r="AC1773"/>
      <c r="AD1773"/>
      <c r="AE1773"/>
      <c r="AF1773"/>
      <c r="AG1773"/>
      <c r="AH1773"/>
      <c r="AI1773"/>
      <c r="AJ1773"/>
      <c r="AK1773"/>
      <c r="AL1773"/>
    </row>
    <row r="1774" spans="1:38" ht="15.75" customHeight="1" outlineLevel="3" x14ac:dyDescent="0.2">
      <c r="A1774" s="10">
        <v>94</v>
      </c>
      <c r="B1774" s="10" t="s">
        <v>71</v>
      </c>
      <c r="C1774" s="10" t="s">
        <v>1355</v>
      </c>
      <c r="D1774" s="10" t="s">
        <v>413</v>
      </c>
      <c r="E1774" s="11" t="str">
        <f t="array" ref="E1774">_xlfn.XLOOKUP(D1774,Insumos!B:B,Insumos!C:$C)</f>
        <v>M</v>
      </c>
      <c r="F1774" s="14">
        <v>0.79254999999999998</v>
      </c>
      <c r="G1774" s="92">
        <f t="array" ref="G1774">IF(B1774="insumo",_xlfn.XLOOKUP($D1774,Insumos!$B$1:$B$996,Insumos!$D$1:$D$996),"")</f>
        <v>2.74</v>
      </c>
      <c r="H1774" s="92">
        <v>2.1715870000000002</v>
      </c>
      <c r="I1774" s="13">
        <v>0</v>
      </c>
      <c r="J1774" s="13">
        <v>0</v>
      </c>
      <c r="K1774" s="13"/>
      <c r="L1774"/>
      <c r="M1774"/>
      <c r="N1774"/>
      <c r="O1774"/>
      <c r="P1774"/>
      <c r="Q1774"/>
      <c r="R1774"/>
      <c r="S1774"/>
      <c r="T1774"/>
      <c r="U1774"/>
      <c r="V1774"/>
      <c r="W1774"/>
      <c r="X1774"/>
      <c r="Y1774"/>
      <c r="Z1774"/>
      <c r="AA1774"/>
      <c r="AB1774"/>
      <c r="AC1774"/>
      <c r="AD1774"/>
      <c r="AE1774"/>
      <c r="AF1774"/>
      <c r="AG1774"/>
      <c r="AH1774"/>
      <c r="AI1774"/>
      <c r="AJ1774"/>
      <c r="AK1774"/>
      <c r="AL1774"/>
    </row>
    <row r="1775" spans="1:38" ht="15.75" customHeight="1" outlineLevel="3" x14ac:dyDescent="0.2">
      <c r="A1775" s="10">
        <v>97</v>
      </c>
      <c r="B1775" s="10" t="s">
        <v>71</v>
      </c>
      <c r="C1775" s="10" t="s">
        <v>1355</v>
      </c>
      <c r="D1775" s="10" t="s">
        <v>414</v>
      </c>
      <c r="E1775" s="11" t="str">
        <f t="array" ref="E1775">_xlfn.XLOOKUP(D1775,Insumos!B:B,Insumos!C:$C)</f>
        <v>UN</v>
      </c>
      <c r="F1775" s="14">
        <v>10.093400000000001</v>
      </c>
      <c r="G1775" s="92">
        <f t="array" ref="G1775">IF(B1775="insumo",_xlfn.XLOOKUP($D1775,Insumos!$B$1:$B$996,Insumos!$D$1:$D$996),"")</f>
        <v>0.09</v>
      </c>
      <c r="H1775" s="92">
        <v>0.90840600000000005</v>
      </c>
      <c r="I1775" s="13">
        <v>0</v>
      </c>
      <c r="J1775" s="13">
        <v>0</v>
      </c>
      <c r="K1775" s="13"/>
      <c r="L1775"/>
      <c r="M1775"/>
      <c r="N1775"/>
      <c r="O1775"/>
      <c r="P1775"/>
      <c r="Q1775"/>
      <c r="R1775"/>
      <c r="S1775"/>
      <c r="T1775"/>
      <c r="U1775"/>
      <c r="V1775"/>
      <c r="W1775"/>
      <c r="X1775"/>
      <c r="Y1775"/>
      <c r="Z1775"/>
      <c r="AA1775"/>
      <c r="AB1775"/>
      <c r="AC1775"/>
      <c r="AD1775"/>
      <c r="AE1775"/>
      <c r="AF1775"/>
      <c r="AG1775"/>
      <c r="AH1775"/>
      <c r="AI1775"/>
      <c r="AJ1775"/>
      <c r="AK1775"/>
      <c r="AL1775"/>
    </row>
    <row r="1776" spans="1:38" ht="15.75" customHeight="1" outlineLevel="3" x14ac:dyDescent="0.2">
      <c r="A1776" s="10">
        <v>95</v>
      </c>
      <c r="B1776" s="10" t="s">
        <v>71</v>
      </c>
      <c r="C1776" s="10" t="s">
        <v>1355</v>
      </c>
      <c r="D1776" s="10" t="s">
        <v>415</v>
      </c>
      <c r="E1776" s="11" t="str">
        <f t="array" ref="E1776">_xlfn.XLOOKUP(D1776,Insumos!B:B,Insumos!C:$C)</f>
        <v>UN</v>
      </c>
      <c r="F1776" s="14">
        <v>0.27205000000000001</v>
      </c>
      <c r="G1776" s="92">
        <f t="array" ref="G1776">IF(B1776="insumo",_xlfn.XLOOKUP($D1776,Insumos!$B$1:$B$996,Insumos!$D$1:$D$996),"")</f>
        <v>0.2</v>
      </c>
      <c r="H1776" s="92">
        <v>5.441E-2</v>
      </c>
      <c r="I1776" s="13">
        <v>0</v>
      </c>
      <c r="J1776" s="13">
        <v>0</v>
      </c>
      <c r="K1776" s="13"/>
      <c r="L1776"/>
      <c r="M1776"/>
      <c r="N1776"/>
      <c r="O1776"/>
      <c r="P1776"/>
      <c r="Q1776"/>
      <c r="R1776"/>
      <c r="S1776"/>
      <c r="T1776"/>
      <c r="U1776"/>
      <c r="V1776"/>
      <c r="W1776"/>
      <c r="X1776"/>
      <c r="Y1776"/>
      <c r="Z1776"/>
      <c r="AA1776"/>
      <c r="AB1776"/>
      <c r="AC1776"/>
      <c r="AD1776"/>
      <c r="AE1776"/>
      <c r="AF1776"/>
      <c r="AG1776"/>
      <c r="AH1776"/>
      <c r="AI1776"/>
      <c r="AJ1776"/>
      <c r="AK1776"/>
      <c r="AL1776"/>
    </row>
    <row r="1777" spans="1:38" ht="15.75" customHeight="1" outlineLevel="3" x14ac:dyDescent="0.2">
      <c r="A1777" s="10">
        <v>35</v>
      </c>
      <c r="B1777" s="10" t="s">
        <v>71</v>
      </c>
      <c r="C1777" s="10" t="s">
        <v>1355</v>
      </c>
      <c r="D1777" s="10" t="s">
        <v>1595</v>
      </c>
      <c r="E1777" s="11" t="str">
        <f t="array" ref="E1777">_xlfn.XLOOKUP(D1777,Insumos!B:B,Insumos!C:$C)</f>
        <v>M2</v>
      </c>
      <c r="F1777" s="14">
        <v>1.1000000000000001</v>
      </c>
      <c r="G1777" s="92">
        <f t="array" ref="G1777">IF(B1777="insumo",_xlfn.XLOOKUP($D1777,Insumos!$B$1:$B$996,Insumos!$D$1:$D$996),"")</f>
        <v>13.019333333333332</v>
      </c>
      <c r="H1777" s="92">
        <v>14.3212666666667</v>
      </c>
      <c r="I1777" s="13">
        <v>0</v>
      </c>
      <c r="J1777" s="13">
        <v>0</v>
      </c>
      <c r="K1777" s="13"/>
      <c r="L1777"/>
      <c r="M1777"/>
      <c r="N1777"/>
      <c r="O1777"/>
      <c r="P1777"/>
      <c r="Q1777"/>
      <c r="R1777"/>
      <c r="S1777"/>
      <c r="T1777"/>
      <c r="U1777"/>
      <c r="V1777"/>
      <c r="W1777"/>
      <c r="X1777"/>
      <c r="Y1777"/>
      <c r="Z1777"/>
      <c r="AA1777"/>
      <c r="AB1777"/>
      <c r="AC1777"/>
      <c r="AD1777"/>
      <c r="AE1777"/>
      <c r="AF1777"/>
      <c r="AG1777"/>
      <c r="AH1777"/>
      <c r="AI1777"/>
      <c r="AJ1777"/>
      <c r="AK1777"/>
      <c r="AL1777"/>
    </row>
    <row r="1778" spans="1:38" ht="15.75" customHeight="1" outlineLevel="2" x14ac:dyDescent="0.2">
      <c r="A1778" s="1067">
        <v>1</v>
      </c>
      <c r="B1778" s="1067" t="s">
        <v>68</v>
      </c>
      <c r="C1778" s="1067" t="s">
        <v>1364</v>
      </c>
      <c r="D1778" s="1067" t="s">
        <v>1364</v>
      </c>
      <c r="E1778" s="1068" t="s">
        <v>70</v>
      </c>
      <c r="F1778" s="1067"/>
      <c r="G1778" s="1069" t="str">
        <f t="array" ref="G1778">IF(B1778="insumo",_xlfn.XLOOKUP($D1778,Insumos!$B$1:$B$996,Insumos!$D$1:$D$996),"")</f>
        <v/>
      </c>
      <c r="H1778" s="1069">
        <v>167.03343649999999</v>
      </c>
      <c r="I1778" s="1070">
        <v>0</v>
      </c>
      <c r="J1778" s="1070">
        <v>0</v>
      </c>
      <c r="K1778" s="1070"/>
      <c r="L1778"/>
      <c r="M1778"/>
      <c r="N1778"/>
      <c r="O1778"/>
      <c r="P1778"/>
      <c r="Q1778"/>
      <c r="R1778"/>
      <c r="S1778"/>
      <c r="T1778"/>
      <c r="U1778"/>
      <c r="V1778"/>
      <c r="W1778"/>
      <c r="X1778"/>
      <c r="Y1778"/>
      <c r="Z1778"/>
      <c r="AA1778"/>
      <c r="AB1778"/>
      <c r="AC1778"/>
      <c r="AD1778"/>
      <c r="AE1778"/>
      <c r="AF1778"/>
      <c r="AG1778"/>
      <c r="AH1778"/>
      <c r="AI1778"/>
      <c r="AJ1778"/>
      <c r="AK1778"/>
      <c r="AL1778"/>
    </row>
    <row r="1779" spans="1:38" ht="15.75" customHeight="1" outlineLevel="3" x14ac:dyDescent="0.2">
      <c r="A1779" s="10">
        <v>86</v>
      </c>
      <c r="B1779" s="10" t="s">
        <v>71</v>
      </c>
      <c r="C1779" s="10" t="s">
        <v>1364</v>
      </c>
      <c r="D1779" s="10" t="s">
        <v>407</v>
      </c>
      <c r="E1779" s="11" t="str">
        <f t="array" ref="E1779">_xlfn.XLOOKUP(D1779,Insumos!B:B,Insumos!C:$C)</f>
        <v>M2</v>
      </c>
      <c r="F1779" s="14">
        <v>1</v>
      </c>
      <c r="G1779" s="92">
        <f t="array" ref="G1779">IF(B1779="insumo",_xlfn.XLOOKUP($D1779,Insumos!$B$1:$B$996,Insumos!$D$1:$D$996),"")</f>
        <v>70</v>
      </c>
      <c r="H1779" s="92">
        <v>70</v>
      </c>
      <c r="I1779" s="13">
        <v>0</v>
      </c>
      <c r="J1779" s="13">
        <v>0</v>
      </c>
      <c r="K1779" s="13"/>
      <c r="L1779"/>
      <c r="M1779"/>
      <c r="N1779"/>
      <c r="O1779"/>
      <c r="P1779"/>
      <c r="Q1779"/>
      <c r="R1779"/>
      <c r="S1779"/>
      <c r="T1779"/>
      <c r="U1779"/>
      <c r="V1779"/>
      <c r="W1779"/>
      <c r="X1779"/>
      <c r="Y1779"/>
      <c r="Z1779"/>
      <c r="AA1779"/>
      <c r="AB1779"/>
      <c r="AC1779"/>
      <c r="AD1779"/>
      <c r="AE1779"/>
      <c r="AF1779"/>
      <c r="AG1779"/>
      <c r="AH1779"/>
      <c r="AI1779"/>
      <c r="AJ1779"/>
      <c r="AK1779"/>
      <c r="AL1779"/>
    </row>
    <row r="1780" spans="1:38" ht="15.75" customHeight="1" outlineLevel="3" x14ac:dyDescent="0.2">
      <c r="A1780" s="10">
        <v>49</v>
      </c>
      <c r="B1780" s="10" t="s">
        <v>71</v>
      </c>
      <c r="C1780" s="10" t="s">
        <v>1364</v>
      </c>
      <c r="D1780" s="10" t="s">
        <v>418</v>
      </c>
      <c r="E1780" s="11" t="str">
        <f t="array" ref="E1780">_xlfn.XLOOKUP(D1780,Insumos!B:B,Insumos!C:$C)</f>
        <v>M2</v>
      </c>
      <c r="F1780" s="14">
        <v>1.0529999999999999</v>
      </c>
      <c r="G1780" s="92">
        <f t="array" ref="G1780">IF(B1780="insumo",_xlfn.XLOOKUP($D1780,Insumos!$B$1:$B$996,Insumos!$D$1:$D$996),"")</f>
        <v>27.1</v>
      </c>
      <c r="H1780" s="92">
        <v>28.536300000000001</v>
      </c>
      <c r="I1780" s="13">
        <v>0</v>
      </c>
      <c r="J1780" s="13">
        <v>0</v>
      </c>
      <c r="K1780" s="13"/>
      <c r="L1780"/>
      <c r="M1780"/>
      <c r="N1780"/>
      <c r="O1780"/>
      <c r="P1780"/>
      <c r="Q1780"/>
      <c r="R1780"/>
      <c r="S1780"/>
      <c r="T1780"/>
      <c r="U1780"/>
      <c r="V1780"/>
      <c r="W1780"/>
      <c r="X1780"/>
      <c r="Y1780"/>
      <c r="Z1780"/>
      <c r="AA1780"/>
      <c r="AB1780"/>
      <c r="AC1780"/>
      <c r="AD1780"/>
      <c r="AE1780"/>
      <c r="AF1780"/>
      <c r="AG1780"/>
      <c r="AH1780"/>
      <c r="AI1780"/>
      <c r="AJ1780"/>
      <c r="AK1780"/>
      <c r="AL1780"/>
    </row>
    <row r="1781" spans="1:38" ht="15.75" customHeight="1" outlineLevel="3" x14ac:dyDescent="0.2">
      <c r="A1781" s="10">
        <v>95</v>
      </c>
      <c r="B1781" s="10" t="s">
        <v>71</v>
      </c>
      <c r="C1781" s="10" t="s">
        <v>1364</v>
      </c>
      <c r="D1781" s="10" t="s">
        <v>409</v>
      </c>
      <c r="E1781" s="11" t="str">
        <f t="array" ref="E1781">_xlfn.XLOOKUP(D1781,Insumos!B:B,Insumos!C:$C)</f>
        <v>UN</v>
      </c>
      <c r="F1781" s="14">
        <v>5.92</v>
      </c>
      <c r="G1781" s="92">
        <f t="array" ref="G1781">IF(B1781="insumo",_xlfn.XLOOKUP($D1781,Insumos!$B$1:$B$996,Insumos!$D$1:$D$996),"")</f>
        <v>0.504</v>
      </c>
      <c r="H1781" s="92">
        <v>2.9836800000000001</v>
      </c>
      <c r="I1781" s="13">
        <v>0</v>
      </c>
      <c r="J1781" s="13">
        <v>0</v>
      </c>
      <c r="K1781" s="13"/>
      <c r="L1781"/>
      <c r="M1781"/>
      <c r="N1781"/>
      <c r="O1781"/>
      <c r="P1781"/>
      <c r="Q1781"/>
      <c r="R1781"/>
      <c r="S1781"/>
      <c r="T1781"/>
      <c r="U1781"/>
      <c r="V1781"/>
      <c r="W1781"/>
      <c r="X1781"/>
      <c r="Y1781"/>
      <c r="Z1781"/>
      <c r="AA1781"/>
      <c r="AB1781"/>
      <c r="AC1781"/>
      <c r="AD1781"/>
      <c r="AE1781"/>
      <c r="AF1781"/>
      <c r="AG1781"/>
      <c r="AH1781"/>
      <c r="AI1781"/>
      <c r="AJ1781"/>
      <c r="AK1781"/>
      <c r="AL1781"/>
    </row>
    <row r="1782" spans="1:38" ht="15.75" customHeight="1" outlineLevel="3" x14ac:dyDescent="0.2">
      <c r="A1782" s="10">
        <v>43</v>
      </c>
      <c r="B1782" s="10" t="s">
        <v>71</v>
      </c>
      <c r="C1782" s="10" t="s">
        <v>1364</v>
      </c>
      <c r="D1782" s="10" t="s">
        <v>423</v>
      </c>
      <c r="E1782" s="11" t="str">
        <f t="array" ref="E1782">_xlfn.XLOOKUP(D1782,Insumos!B:B,Insumos!C:$C)</f>
        <v>M</v>
      </c>
      <c r="F1782" s="14">
        <v>1.8233999999999999</v>
      </c>
      <c r="G1782" s="92">
        <f t="array" ref="G1782">IF(B1782="insumo",_xlfn.XLOOKUP($D1782,Insumos!$B$1:$B$996,Insumos!$D$1:$D$996),"")</f>
        <v>7.46</v>
      </c>
      <c r="H1782" s="92">
        <v>13.602563999999999</v>
      </c>
      <c r="I1782" s="13">
        <v>0</v>
      </c>
      <c r="J1782" s="13">
        <v>0</v>
      </c>
      <c r="K1782" s="13"/>
      <c r="L1782"/>
      <c r="M1782"/>
      <c r="N1782"/>
      <c r="O1782"/>
      <c r="P1782"/>
      <c r="Q1782"/>
      <c r="R1782"/>
      <c r="S1782"/>
      <c r="T1782"/>
      <c r="U1782"/>
      <c r="V1782"/>
      <c r="W1782"/>
      <c r="X1782"/>
      <c r="Y1782"/>
      <c r="Z1782"/>
      <c r="AA1782"/>
      <c r="AB1782"/>
      <c r="AC1782"/>
      <c r="AD1782"/>
      <c r="AE1782"/>
      <c r="AF1782"/>
      <c r="AG1782"/>
      <c r="AH1782"/>
      <c r="AI1782"/>
      <c r="AJ1782"/>
      <c r="AK1782"/>
      <c r="AL1782"/>
    </row>
    <row r="1783" spans="1:38" ht="15.75" customHeight="1" outlineLevel="3" x14ac:dyDescent="0.2">
      <c r="A1783" s="10">
        <v>43</v>
      </c>
      <c r="B1783" s="10" t="s">
        <v>71</v>
      </c>
      <c r="C1783" s="10" t="s">
        <v>1364</v>
      </c>
      <c r="D1783" s="10" t="s">
        <v>424</v>
      </c>
      <c r="E1783" s="11" t="str">
        <f t="array" ref="E1783">_xlfn.XLOOKUP(D1783,Insumos!B:B,Insumos!C:$C)</f>
        <v>M</v>
      </c>
      <c r="F1783" s="14">
        <v>5.8277999999999999</v>
      </c>
      <c r="G1783" s="92">
        <f t="array" ref="G1783">IF(B1783="insumo",_xlfn.XLOOKUP($D1783,Insumos!$B$1:$B$996,Insumos!$D$1:$D$996),"")</f>
        <v>7.98</v>
      </c>
      <c r="H1783" s="92">
        <v>46.505844000000003</v>
      </c>
      <c r="I1783" s="13">
        <v>0</v>
      </c>
      <c r="J1783" s="13">
        <v>0</v>
      </c>
      <c r="K1783" s="13"/>
      <c r="L1783"/>
      <c r="M1783"/>
      <c r="N1783"/>
      <c r="O1783"/>
      <c r="P1783"/>
      <c r="Q1783"/>
      <c r="R1783"/>
      <c r="S1783"/>
      <c r="T1783"/>
      <c r="U1783"/>
      <c r="V1783"/>
      <c r="W1783"/>
      <c r="X1783"/>
      <c r="Y1783"/>
      <c r="Z1783"/>
      <c r="AA1783"/>
      <c r="AB1783"/>
      <c r="AC1783"/>
      <c r="AD1783"/>
      <c r="AE1783"/>
      <c r="AF1783"/>
      <c r="AG1783"/>
      <c r="AH1783"/>
      <c r="AI1783"/>
      <c r="AJ1783"/>
      <c r="AK1783"/>
      <c r="AL1783"/>
    </row>
    <row r="1784" spans="1:38" ht="15.75" customHeight="1" outlineLevel="3" x14ac:dyDescent="0.2">
      <c r="A1784" s="10">
        <v>95</v>
      </c>
      <c r="B1784" s="10" t="s">
        <v>71</v>
      </c>
      <c r="C1784" s="10" t="s">
        <v>1364</v>
      </c>
      <c r="D1784" s="10" t="s">
        <v>405</v>
      </c>
      <c r="E1784" s="11" t="str">
        <f t="array" ref="E1784">_xlfn.XLOOKUP(D1784,Insumos!B:B,Insumos!C:$C)</f>
        <v>KG</v>
      </c>
      <c r="F1784" s="14">
        <v>0.54890000000000005</v>
      </c>
      <c r="G1784" s="92">
        <f t="array" ref="G1784">IF(B1784="insumo",_xlfn.XLOOKUP($D1784,Insumos!$B$1:$B$996,Insumos!$D$1:$D$996),"")</f>
        <v>3.43</v>
      </c>
      <c r="H1784" s="92">
        <v>1.882727</v>
      </c>
      <c r="I1784" s="13">
        <v>0</v>
      </c>
      <c r="J1784" s="13">
        <v>0</v>
      </c>
      <c r="K1784" s="13"/>
      <c r="L1784"/>
      <c r="M1784"/>
      <c r="N1784"/>
      <c r="O1784"/>
      <c r="P1784"/>
      <c r="Q1784"/>
      <c r="R1784"/>
      <c r="S1784"/>
      <c r="T1784"/>
      <c r="U1784"/>
      <c r="V1784"/>
      <c r="W1784"/>
      <c r="X1784"/>
      <c r="Y1784"/>
      <c r="Z1784"/>
      <c r="AA1784"/>
      <c r="AB1784"/>
      <c r="AC1784"/>
      <c r="AD1784"/>
      <c r="AE1784"/>
      <c r="AF1784"/>
      <c r="AG1784"/>
      <c r="AH1784"/>
      <c r="AI1784"/>
      <c r="AJ1784"/>
      <c r="AK1784"/>
      <c r="AL1784"/>
    </row>
    <row r="1785" spans="1:38" ht="15.75" customHeight="1" outlineLevel="3" x14ac:dyDescent="0.2">
      <c r="A1785" s="10">
        <v>94</v>
      </c>
      <c r="B1785" s="10" t="s">
        <v>71</v>
      </c>
      <c r="C1785" s="10" t="s">
        <v>1364</v>
      </c>
      <c r="D1785" s="10" t="s">
        <v>412</v>
      </c>
      <c r="E1785" s="11" t="str">
        <f t="array" ref="E1785">_xlfn.XLOOKUP(D1785,Insumos!B:B,Insumos!C:$C)</f>
        <v>M</v>
      </c>
      <c r="F1785" s="14">
        <v>1.25135</v>
      </c>
      <c r="G1785" s="92">
        <f t="array" ref="G1785">IF(B1785="insumo",_xlfn.XLOOKUP($D1785,Insumos!$B$1:$B$996,Insumos!$D$1:$D$996),"")</f>
        <v>0.31</v>
      </c>
      <c r="H1785" s="92">
        <v>0.3879185</v>
      </c>
      <c r="I1785" s="13">
        <v>0</v>
      </c>
      <c r="J1785" s="13">
        <v>0</v>
      </c>
      <c r="K1785" s="13"/>
      <c r="L1785"/>
      <c r="M1785"/>
      <c r="N1785"/>
      <c r="O1785"/>
      <c r="P1785"/>
      <c r="Q1785"/>
      <c r="R1785"/>
      <c r="S1785"/>
      <c r="T1785"/>
      <c r="U1785"/>
      <c r="V1785"/>
      <c r="W1785"/>
      <c r="X1785"/>
      <c r="Y1785"/>
      <c r="Z1785"/>
      <c r="AA1785"/>
      <c r="AB1785"/>
      <c r="AC1785"/>
      <c r="AD1785"/>
      <c r="AE1785"/>
      <c r="AF1785"/>
      <c r="AG1785"/>
      <c r="AH1785"/>
      <c r="AI1785"/>
      <c r="AJ1785"/>
      <c r="AK1785"/>
      <c r="AL1785"/>
    </row>
    <row r="1786" spans="1:38" ht="15.75" customHeight="1" outlineLevel="3" x14ac:dyDescent="0.2">
      <c r="A1786" s="10">
        <v>94</v>
      </c>
      <c r="B1786" s="10" t="s">
        <v>71</v>
      </c>
      <c r="C1786" s="10" t="s">
        <v>1364</v>
      </c>
      <c r="D1786" s="10" t="s">
        <v>413</v>
      </c>
      <c r="E1786" s="11" t="str">
        <f t="array" ref="E1786">_xlfn.XLOOKUP(D1786,Insumos!B:B,Insumos!C:$C)</f>
        <v>M</v>
      </c>
      <c r="F1786" s="14">
        <v>0.79254999999999998</v>
      </c>
      <c r="G1786" s="92">
        <f t="array" ref="G1786">IF(B1786="insumo",_xlfn.XLOOKUP($D1786,Insumos!$B$1:$B$996,Insumos!$D$1:$D$996),"")</f>
        <v>2.74</v>
      </c>
      <c r="H1786" s="92">
        <v>2.1715870000000002</v>
      </c>
      <c r="I1786" s="13">
        <v>0</v>
      </c>
      <c r="J1786" s="13">
        <v>0</v>
      </c>
      <c r="K1786" s="13"/>
      <c r="L1786"/>
      <c r="M1786"/>
      <c r="N1786"/>
      <c r="O1786"/>
      <c r="P1786"/>
      <c r="Q1786"/>
      <c r="R1786"/>
      <c r="S1786"/>
      <c r="T1786"/>
      <c r="U1786"/>
      <c r="V1786"/>
      <c r="W1786"/>
      <c r="X1786"/>
      <c r="Y1786"/>
      <c r="Z1786"/>
      <c r="AA1786"/>
      <c r="AB1786"/>
      <c r="AC1786"/>
      <c r="AD1786"/>
      <c r="AE1786"/>
      <c r="AF1786"/>
      <c r="AG1786"/>
      <c r="AH1786"/>
      <c r="AI1786"/>
      <c r="AJ1786"/>
      <c r="AK1786"/>
      <c r="AL1786"/>
    </row>
    <row r="1787" spans="1:38" ht="15.75" customHeight="1" outlineLevel="3" x14ac:dyDescent="0.2">
      <c r="A1787" s="10">
        <v>97</v>
      </c>
      <c r="B1787" s="10" t="s">
        <v>71</v>
      </c>
      <c r="C1787" s="10" t="s">
        <v>1364</v>
      </c>
      <c r="D1787" s="10" t="s">
        <v>414</v>
      </c>
      <c r="E1787" s="11" t="str">
        <f t="array" ref="E1787">_xlfn.XLOOKUP(D1787,Insumos!B:B,Insumos!C:$C)</f>
        <v>UN</v>
      </c>
      <c r="F1787" s="14">
        <v>10.093400000000001</v>
      </c>
      <c r="G1787" s="92">
        <f t="array" ref="G1787">IF(B1787="insumo",_xlfn.XLOOKUP($D1787,Insumos!$B$1:$B$996,Insumos!$D$1:$D$996),"")</f>
        <v>0.09</v>
      </c>
      <c r="H1787" s="92">
        <v>0.90840600000000005</v>
      </c>
      <c r="I1787" s="13">
        <v>0</v>
      </c>
      <c r="J1787" s="13">
        <v>0</v>
      </c>
      <c r="K1787" s="13"/>
      <c r="L1787"/>
      <c r="M1787"/>
      <c r="N1787"/>
      <c r="O1787"/>
      <c r="P1787"/>
      <c r="Q1787"/>
      <c r="R1787"/>
      <c r="S1787"/>
      <c r="T1787"/>
      <c r="U1787"/>
      <c r="V1787"/>
      <c r="W1787"/>
      <c r="X1787"/>
      <c r="Y1787"/>
      <c r="Z1787"/>
      <c r="AA1787"/>
      <c r="AB1787"/>
      <c r="AC1787"/>
      <c r="AD1787"/>
      <c r="AE1787"/>
      <c r="AF1787"/>
      <c r="AG1787"/>
      <c r="AH1787"/>
      <c r="AI1787"/>
      <c r="AJ1787"/>
      <c r="AK1787"/>
      <c r="AL1787"/>
    </row>
    <row r="1788" spans="1:38" ht="15.75" customHeight="1" outlineLevel="3" x14ac:dyDescent="0.2">
      <c r="A1788" s="10">
        <v>95</v>
      </c>
      <c r="B1788" s="10" t="s">
        <v>71</v>
      </c>
      <c r="C1788" s="10" t="s">
        <v>1364</v>
      </c>
      <c r="D1788" s="10" t="s">
        <v>415</v>
      </c>
      <c r="E1788" s="11" t="str">
        <f t="array" ref="E1788">_xlfn.XLOOKUP(D1788,Insumos!B:B,Insumos!C:$C)</f>
        <v>UN</v>
      </c>
      <c r="F1788" s="14">
        <v>0.27205000000000001</v>
      </c>
      <c r="G1788" s="92">
        <f t="array" ref="G1788">IF(B1788="insumo",_xlfn.XLOOKUP($D1788,Insumos!$B$1:$B$996,Insumos!$D$1:$D$996),"")</f>
        <v>0.2</v>
      </c>
      <c r="H1788" s="92">
        <v>5.441E-2</v>
      </c>
      <c r="I1788" s="13">
        <v>0</v>
      </c>
      <c r="J1788" s="13">
        <v>0</v>
      </c>
      <c r="K1788" s="13"/>
      <c r="L1788"/>
      <c r="M1788"/>
      <c r="N1788"/>
      <c r="O1788"/>
      <c r="P1788"/>
      <c r="Q1788"/>
      <c r="R1788"/>
      <c r="S1788"/>
      <c r="T1788"/>
      <c r="U1788"/>
      <c r="V1788"/>
      <c r="W1788"/>
      <c r="X1788"/>
      <c r="Y1788"/>
      <c r="Z1788"/>
      <c r="AA1788"/>
      <c r="AB1788"/>
      <c r="AC1788"/>
      <c r="AD1788"/>
      <c r="AE1788"/>
      <c r="AF1788"/>
      <c r="AG1788"/>
      <c r="AH1788"/>
      <c r="AI1788"/>
      <c r="AJ1788"/>
      <c r="AK1788"/>
      <c r="AL1788"/>
    </row>
    <row r="1789" spans="1:38" ht="15.75" customHeight="1" outlineLevel="2" x14ac:dyDescent="0.2">
      <c r="A1789" s="1067">
        <v>1</v>
      </c>
      <c r="B1789" s="1067" t="s">
        <v>68</v>
      </c>
      <c r="C1789" s="1067" t="s">
        <v>1366</v>
      </c>
      <c r="D1789" s="1067" t="s">
        <v>1366</v>
      </c>
      <c r="E1789" s="1068" t="s">
        <v>70</v>
      </c>
      <c r="F1789" s="1067"/>
      <c r="G1789" s="1069" t="str">
        <f t="array" ref="G1789">IF(B1789="insumo",_xlfn.XLOOKUP($D1789,Insumos!$B$1:$B$996,Insumos!$D$1:$D$996),"")</f>
        <v/>
      </c>
      <c r="H1789" s="1069">
        <v>181.35470316666701</v>
      </c>
      <c r="I1789" s="1070">
        <v>0</v>
      </c>
      <c r="J1789" s="1070">
        <v>0</v>
      </c>
      <c r="K1789" s="1070"/>
      <c r="L1789"/>
      <c r="M1789"/>
      <c r="N1789"/>
      <c r="O1789"/>
      <c r="P1789"/>
      <c r="Q1789"/>
      <c r="R1789"/>
      <c r="S1789"/>
      <c r="T1789"/>
      <c r="U1789"/>
      <c r="V1789"/>
      <c r="W1789"/>
      <c r="X1789"/>
      <c r="Y1789"/>
      <c r="Z1789"/>
      <c r="AA1789"/>
      <c r="AB1789"/>
      <c r="AC1789"/>
      <c r="AD1789"/>
      <c r="AE1789"/>
      <c r="AF1789"/>
      <c r="AG1789"/>
      <c r="AH1789"/>
      <c r="AI1789"/>
      <c r="AJ1789"/>
      <c r="AK1789"/>
      <c r="AL1789"/>
    </row>
    <row r="1790" spans="1:38" ht="15.75" customHeight="1" outlineLevel="3" x14ac:dyDescent="0.2">
      <c r="A1790" s="10">
        <v>86</v>
      </c>
      <c r="B1790" s="10" t="s">
        <v>71</v>
      </c>
      <c r="C1790" s="10" t="s">
        <v>1366</v>
      </c>
      <c r="D1790" s="10" t="s">
        <v>407</v>
      </c>
      <c r="E1790" s="11" t="str">
        <f t="array" ref="E1790">_xlfn.XLOOKUP(D1790,Insumos!B:B,Insumos!C:$C)</f>
        <v>M2</v>
      </c>
      <c r="F1790" s="14">
        <v>1</v>
      </c>
      <c r="G1790" s="92">
        <f t="array" ref="G1790">IF(B1790="insumo",_xlfn.XLOOKUP($D1790,Insumos!$B$1:$B$996,Insumos!$D$1:$D$996),"")</f>
        <v>70</v>
      </c>
      <c r="H1790" s="92">
        <v>70</v>
      </c>
      <c r="I1790" s="13">
        <v>0</v>
      </c>
      <c r="J1790" s="13">
        <v>0</v>
      </c>
      <c r="K1790" s="13"/>
      <c r="L1790"/>
      <c r="M1790"/>
      <c r="N1790"/>
      <c r="O1790"/>
      <c r="P1790"/>
      <c r="Q1790"/>
      <c r="R1790"/>
      <c r="S1790"/>
      <c r="T1790"/>
      <c r="U1790"/>
      <c r="V1790"/>
      <c r="W1790"/>
      <c r="X1790"/>
      <c r="Y1790"/>
      <c r="Z1790"/>
      <c r="AA1790"/>
      <c r="AB1790"/>
      <c r="AC1790"/>
      <c r="AD1790"/>
      <c r="AE1790"/>
      <c r="AF1790"/>
      <c r="AG1790"/>
      <c r="AH1790"/>
      <c r="AI1790"/>
      <c r="AJ1790"/>
      <c r="AK1790"/>
      <c r="AL1790"/>
    </row>
    <row r="1791" spans="1:38" ht="15.75" customHeight="1" outlineLevel="3" x14ac:dyDescent="0.2">
      <c r="A1791" s="10">
        <v>49</v>
      </c>
      <c r="B1791" s="10" t="s">
        <v>71</v>
      </c>
      <c r="C1791" s="10" t="s">
        <v>1366</v>
      </c>
      <c r="D1791" s="10" t="s">
        <v>418</v>
      </c>
      <c r="E1791" s="11" t="str">
        <f t="array" ref="E1791">_xlfn.XLOOKUP(D1791,Insumos!B:B,Insumos!C:$C)</f>
        <v>M2</v>
      </c>
      <c r="F1791" s="14">
        <v>1.0529999999999999</v>
      </c>
      <c r="G1791" s="92">
        <f t="array" ref="G1791">IF(B1791="insumo",_xlfn.XLOOKUP($D1791,Insumos!$B$1:$B$996,Insumos!$D$1:$D$996),"")</f>
        <v>27.1</v>
      </c>
      <c r="H1791" s="92">
        <v>28.536300000000001</v>
      </c>
      <c r="I1791" s="13">
        <v>0</v>
      </c>
      <c r="J1791" s="13">
        <v>0</v>
      </c>
      <c r="K1791" s="13"/>
      <c r="L1791"/>
      <c r="M1791"/>
      <c r="N1791"/>
      <c r="O1791"/>
      <c r="P1791"/>
      <c r="Q1791"/>
      <c r="R1791"/>
      <c r="S1791"/>
      <c r="T1791"/>
      <c r="U1791"/>
      <c r="V1791"/>
      <c r="W1791"/>
      <c r="X1791"/>
      <c r="Y1791"/>
      <c r="Z1791"/>
      <c r="AA1791"/>
      <c r="AB1791"/>
      <c r="AC1791"/>
      <c r="AD1791"/>
      <c r="AE1791"/>
      <c r="AF1791"/>
      <c r="AG1791"/>
      <c r="AH1791"/>
      <c r="AI1791"/>
      <c r="AJ1791"/>
      <c r="AK1791"/>
      <c r="AL1791"/>
    </row>
    <row r="1792" spans="1:38" ht="15.75" customHeight="1" outlineLevel="3" x14ac:dyDescent="0.2">
      <c r="A1792" s="10">
        <v>95</v>
      </c>
      <c r="B1792" s="10" t="s">
        <v>71</v>
      </c>
      <c r="C1792" s="10" t="s">
        <v>1366</v>
      </c>
      <c r="D1792" s="10" t="s">
        <v>409</v>
      </c>
      <c r="E1792" s="11" t="str">
        <f t="array" ref="E1792">_xlfn.XLOOKUP(D1792,Insumos!B:B,Insumos!C:$C)</f>
        <v>UN</v>
      </c>
      <c r="F1792" s="14">
        <v>5.92</v>
      </c>
      <c r="G1792" s="92">
        <f t="array" ref="G1792">IF(B1792="insumo",_xlfn.XLOOKUP($D1792,Insumos!$B$1:$B$996,Insumos!$D$1:$D$996),"")</f>
        <v>0.504</v>
      </c>
      <c r="H1792" s="92">
        <v>2.9836800000000001</v>
      </c>
      <c r="I1792" s="13">
        <v>0</v>
      </c>
      <c r="J1792" s="13">
        <v>0</v>
      </c>
      <c r="K1792" s="13"/>
      <c r="L1792"/>
      <c r="M1792"/>
      <c r="N1792"/>
      <c r="O1792"/>
      <c r="P1792"/>
      <c r="Q1792"/>
      <c r="R1792"/>
      <c r="S1792"/>
      <c r="T1792"/>
      <c r="U1792"/>
      <c r="V1792"/>
      <c r="W1792"/>
      <c r="X1792"/>
      <c r="Y1792"/>
      <c r="Z1792"/>
      <c r="AA1792"/>
      <c r="AB1792"/>
      <c r="AC1792"/>
      <c r="AD1792"/>
      <c r="AE1792"/>
      <c r="AF1792"/>
      <c r="AG1792"/>
      <c r="AH1792"/>
      <c r="AI1792"/>
      <c r="AJ1792"/>
      <c r="AK1792"/>
      <c r="AL1792"/>
    </row>
    <row r="1793" spans="1:38" ht="15.75" customHeight="1" outlineLevel="3" x14ac:dyDescent="0.2">
      <c r="A1793" s="10">
        <v>43</v>
      </c>
      <c r="B1793" s="10" t="s">
        <v>71</v>
      </c>
      <c r="C1793" s="10" t="s">
        <v>1366</v>
      </c>
      <c r="D1793" s="10" t="s">
        <v>423</v>
      </c>
      <c r="E1793" s="11" t="str">
        <f t="array" ref="E1793">_xlfn.XLOOKUP(D1793,Insumos!B:B,Insumos!C:$C)</f>
        <v>M</v>
      </c>
      <c r="F1793" s="14">
        <v>1.8233999999999999</v>
      </c>
      <c r="G1793" s="92">
        <f t="array" ref="G1793">IF(B1793="insumo",_xlfn.XLOOKUP($D1793,Insumos!$B$1:$B$996,Insumos!$D$1:$D$996),"")</f>
        <v>7.46</v>
      </c>
      <c r="H1793" s="92">
        <v>13.602563999999999</v>
      </c>
      <c r="I1793" s="13">
        <v>0</v>
      </c>
      <c r="J1793" s="13">
        <v>0</v>
      </c>
      <c r="K1793" s="13"/>
      <c r="L1793"/>
      <c r="M1793"/>
      <c r="N1793"/>
      <c r="O1793"/>
      <c r="P1793"/>
      <c r="Q1793"/>
      <c r="R1793"/>
      <c r="S1793"/>
      <c r="T1793"/>
      <c r="U1793"/>
      <c r="V1793"/>
      <c r="W1793"/>
      <c r="X1793"/>
      <c r="Y1793"/>
      <c r="Z1793"/>
      <c r="AA1793"/>
      <c r="AB1793"/>
      <c r="AC1793"/>
      <c r="AD1793"/>
      <c r="AE1793"/>
      <c r="AF1793"/>
      <c r="AG1793"/>
      <c r="AH1793"/>
      <c r="AI1793"/>
      <c r="AJ1793"/>
      <c r="AK1793"/>
      <c r="AL1793"/>
    </row>
    <row r="1794" spans="1:38" ht="15.75" customHeight="1" outlineLevel="3" x14ac:dyDescent="0.2">
      <c r="A1794" s="10">
        <v>43</v>
      </c>
      <c r="B1794" s="10" t="s">
        <v>71</v>
      </c>
      <c r="C1794" s="10" t="s">
        <v>1366</v>
      </c>
      <c r="D1794" s="10" t="s">
        <v>424</v>
      </c>
      <c r="E1794" s="11" t="str">
        <f t="array" ref="E1794">_xlfn.XLOOKUP(D1794,Insumos!B:B,Insumos!C:$C)</f>
        <v>M</v>
      </c>
      <c r="F1794" s="14">
        <v>5.8277999999999999</v>
      </c>
      <c r="G1794" s="92">
        <f t="array" ref="G1794">IF(B1794="insumo",_xlfn.XLOOKUP($D1794,Insumos!$B$1:$B$996,Insumos!$D$1:$D$996),"")</f>
        <v>7.98</v>
      </c>
      <c r="H1794" s="92">
        <v>46.505844000000003</v>
      </c>
      <c r="I1794" s="13">
        <v>0</v>
      </c>
      <c r="J1794" s="13">
        <v>0</v>
      </c>
      <c r="K1794" s="13"/>
      <c r="L1794"/>
      <c r="M1794"/>
      <c r="N1794"/>
      <c r="O1794"/>
      <c r="P1794"/>
      <c r="Q1794"/>
      <c r="R1794"/>
      <c r="S1794"/>
      <c r="T1794"/>
      <c r="U1794"/>
      <c r="V1794"/>
      <c r="W1794"/>
      <c r="X1794"/>
      <c r="Y1794"/>
      <c r="Z1794"/>
      <c r="AA1794"/>
      <c r="AB1794"/>
      <c r="AC1794"/>
      <c r="AD1794"/>
      <c r="AE1794"/>
      <c r="AF1794"/>
      <c r="AG1794"/>
      <c r="AH1794"/>
      <c r="AI1794"/>
      <c r="AJ1794"/>
      <c r="AK1794"/>
      <c r="AL1794"/>
    </row>
    <row r="1795" spans="1:38" ht="15.75" customHeight="1" outlineLevel="3" x14ac:dyDescent="0.2">
      <c r="A1795" s="10">
        <v>95</v>
      </c>
      <c r="B1795" s="10" t="s">
        <v>71</v>
      </c>
      <c r="C1795" s="10" t="s">
        <v>1366</v>
      </c>
      <c r="D1795" s="10" t="s">
        <v>405</v>
      </c>
      <c r="E1795" s="11" t="str">
        <f t="array" ref="E1795">_xlfn.XLOOKUP(D1795,Insumos!B:B,Insumos!C:$C)</f>
        <v>KG</v>
      </c>
      <c r="F1795" s="14">
        <v>0.54890000000000005</v>
      </c>
      <c r="G1795" s="92">
        <f t="array" ref="G1795">IF(B1795="insumo",_xlfn.XLOOKUP($D1795,Insumos!$B$1:$B$996,Insumos!$D$1:$D$996),"")</f>
        <v>3.43</v>
      </c>
      <c r="H1795" s="92">
        <v>1.882727</v>
      </c>
      <c r="I1795" s="13">
        <v>0</v>
      </c>
      <c r="J1795" s="13">
        <v>0</v>
      </c>
      <c r="K1795" s="13"/>
      <c r="L1795"/>
      <c r="M1795"/>
      <c r="N1795"/>
      <c r="O1795"/>
      <c r="P1795"/>
      <c r="Q1795"/>
      <c r="R1795"/>
      <c r="S1795"/>
      <c r="T1795"/>
      <c r="U1795"/>
      <c r="V1795"/>
      <c r="W1795"/>
      <c r="X1795"/>
      <c r="Y1795"/>
      <c r="Z1795"/>
      <c r="AA1795"/>
      <c r="AB1795"/>
      <c r="AC1795"/>
      <c r="AD1795"/>
      <c r="AE1795"/>
      <c r="AF1795"/>
      <c r="AG1795"/>
      <c r="AH1795"/>
      <c r="AI1795"/>
      <c r="AJ1795"/>
      <c r="AK1795"/>
      <c r="AL1795"/>
    </row>
    <row r="1796" spans="1:38" ht="15.75" customHeight="1" outlineLevel="3" x14ac:dyDescent="0.2">
      <c r="A1796" s="10">
        <v>94</v>
      </c>
      <c r="B1796" s="10" t="s">
        <v>71</v>
      </c>
      <c r="C1796" s="10" t="s">
        <v>1366</v>
      </c>
      <c r="D1796" s="10" t="s">
        <v>412</v>
      </c>
      <c r="E1796" s="11" t="str">
        <f t="array" ref="E1796">_xlfn.XLOOKUP(D1796,Insumos!B:B,Insumos!C:$C)</f>
        <v>M</v>
      </c>
      <c r="F1796" s="14">
        <v>1.25135</v>
      </c>
      <c r="G1796" s="92">
        <f t="array" ref="G1796">IF(B1796="insumo",_xlfn.XLOOKUP($D1796,Insumos!$B$1:$B$996,Insumos!$D$1:$D$996),"")</f>
        <v>0.31</v>
      </c>
      <c r="H1796" s="92">
        <v>0.3879185</v>
      </c>
      <c r="I1796" s="13">
        <v>0</v>
      </c>
      <c r="J1796" s="13">
        <v>0</v>
      </c>
      <c r="K1796" s="13"/>
      <c r="L1796"/>
      <c r="M1796"/>
      <c r="N1796"/>
      <c r="O1796"/>
      <c r="P1796"/>
      <c r="Q1796"/>
      <c r="R1796"/>
      <c r="S1796"/>
      <c r="T1796"/>
      <c r="U1796"/>
      <c r="V1796"/>
      <c r="W1796"/>
      <c r="X1796"/>
      <c r="Y1796"/>
      <c r="Z1796"/>
      <c r="AA1796"/>
      <c r="AB1796"/>
      <c r="AC1796"/>
      <c r="AD1796"/>
      <c r="AE1796"/>
      <c r="AF1796"/>
      <c r="AG1796"/>
      <c r="AH1796"/>
      <c r="AI1796"/>
      <c r="AJ1796"/>
      <c r="AK1796"/>
      <c r="AL1796"/>
    </row>
    <row r="1797" spans="1:38" ht="15.75" customHeight="1" outlineLevel="3" x14ac:dyDescent="0.2">
      <c r="A1797" s="10">
        <v>94</v>
      </c>
      <c r="B1797" s="10" t="s">
        <v>71</v>
      </c>
      <c r="C1797" s="10" t="s">
        <v>1366</v>
      </c>
      <c r="D1797" s="10" t="s">
        <v>413</v>
      </c>
      <c r="E1797" s="11" t="str">
        <f t="array" ref="E1797">_xlfn.XLOOKUP(D1797,Insumos!B:B,Insumos!C:$C)</f>
        <v>M</v>
      </c>
      <c r="F1797" s="14">
        <v>0.79254999999999998</v>
      </c>
      <c r="G1797" s="92">
        <f t="array" ref="G1797">IF(B1797="insumo",_xlfn.XLOOKUP($D1797,Insumos!$B$1:$B$996,Insumos!$D$1:$D$996),"")</f>
        <v>2.74</v>
      </c>
      <c r="H1797" s="92">
        <v>2.1715870000000002</v>
      </c>
      <c r="I1797" s="13">
        <v>0</v>
      </c>
      <c r="J1797" s="13">
        <v>0</v>
      </c>
      <c r="K1797" s="13"/>
      <c r="L1797"/>
      <c r="M1797"/>
      <c r="N1797"/>
      <c r="O1797"/>
      <c r="P1797"/>
      <c r="Q1797"/>
      <c r="R1797"/>
      <c r="S1797"/>
      <c r="T1797"/>
      <c r="U1797"/>
      <c r="V1797"/>
      <c r="W1797"/>
      <c r="X1797"/>
      <c r="Y1797"/>
      <c r="Z1797"/>
      <c r="AA1797"/>
      <c r="AB1797"/>
      <c r="AC1797"/>
      <c r="AD1797"/>
      <c r="AE1797"/>
      <c r="AF1797"/>
      <c r="AG1797"/>
      <c r="AH1797"/>
      <c r="AI1797"/>
      <c r="AJ1797"/>
      <c r="AK1797"/>
      <c r="AL1797"/>
    </row>
    <row r="1798" spans="1:38" ht="15.75" customHeight="1" outlineLevel="3" x14ac:dyDescent="0.2">
      <c r="A1798" s="10">
        <v>97</v>
      </c>
      <c r="B1798" s="10" t="s">
        <v>71</v>
      </c>
      <c r="C1798" s="10" t="s">
        <v>1366</v>
      </c>
      <c r="D1798" s="10" t="s">
        <v>414</v>
      </c>
      <c r="E1798" s="11" t="str">
        <f t="array" ref="E1798">_xlfn.XLOOKUP(D1798,Insumos!B:B,Insumos!C:$C)</f>
        <v>UN</v>
      </c>
      <c r="F1798" s="14">
        <v>10.093400000000001</v>
      </c>
      <c r="G1798" s="92">
        <f t="array" ref="G1798">IF(B1798="insumo",_xlfn.XLOOKUP($D1798,Insumos!$B$1:$B$996,Insumos!$D$1:$D$996),"")</f>
        <v>0.09</v>
      </c>
      <c r="H1798" s="92">
        <v>0.90840600000000005</v>
      </c>
      <c r="I1798" s="13">
        <v>0</v>
      </c>
      <c r="J1798" s="13">
        <v>0</v>
      </c>
      <c r="K1798" s="13"/>
      <c r="L1798"/>
      <c r="M1798"/>
      <c r="N1798"/>
      <c r="O1798"/>
      <c r="P1798"/>
      <c r="Q1798"/>
      <c r="R1798"/>
      <c r="S1798"/>
      <c r="T1798"/>
      <c r="U1798"/>
      <c r="V1798"/>
      <c r="W1798"/>
      <c r="X1798"/>
      <c r="Y1798"/>
      <c r="Z1798"/>
      <c r="AA1798"/>
      <c r="AB1798"/>
      <c r="AC1798"/>
      <c r="AD1798"/>
      <c r="AE1798"/>
      <c r="AF1798"/>
      <c r="AG1798"/>
      <c r="AH1798"/>
      <c r="AI1798"/>
      <c r="AJ1798"/>
      <c r="AK1798"/>
      <c r="AL1798"/>
    </row>
    <row r="1799" spans="1:38" ht="15.75" customHeight="1" outlineLevel="3" x14ac:dyDescent="0.2">
      <c r="A1799" s="10">
        <v>95</v>
      </c>
      <c r="B1799" s="10" t="s">
        <v>71</v>
      </c>
      <c r="C1799" s="10" t="s">
        <v>1366</v>
      </c>
      <c r="D1799" s="10" t="s">
        <v>415</v>
      </c>
      <c r="E1799" s="11" t="str">
        <f t="array" ref="E1799">_xlfn.XLOOKUP(D1799,Insumos!B:B,Insumos!C:$C)</f>
        <v>UN</v>
      </c>
      <c r="F1799" s="14">
        <v>0.27205000000000001</v>
      </c>
      <c r="G1799" s="92">
        <f t="array" ref="G1799">IF(B1799="insumo",_xlfn.XLOOKUP($D1799,Insumos!$B$1:$B$996,Insumos!$D$1:$D$996),"")</f>
        <v>0.2</v>
      </c>
      <c r="H1799" s="92">
        <v>5.441E-2</v>
      </c>
      <c r="I1799" s="13">
        <v>0</v>
      </c>
      <c r="J1799" s="13">
        <v>0</v>
      </c>
      <c r="K1799" s="13"/>
      <c r="L1799"/>
      <c r="M1799"/>
      <c r="N1799"/>
      <c r="O1799"/>
      <c r="P1799"/>
      <c r="Q1799"/>
      <c r="R1799"/>
      <c r="S1799"/>
      <c r="T1799"/>
      <c r="U1799"/>
      <c r="V1799"/>
      <c r="W1799"/>
      <c r="X1799"/>
      <c r="Y1799"/>
      <c r="Z1799"/>
      <c r="AA1799"/>
      <c r="AB1799"/>
      <c r="AC1799"/>
      <c r="AD1799"/>
      <c r="AE1799"/>
      <c r="AF1799"/>
      <c r="AG1799"/>
      <c r="AH1799"/>
      <c r="AI1799"/>
      <c r="AJ1799"/>
      <c r="AK1799"/>
      <c r="AL1799"/>
    </row>
    <row r="1800" spans="1:38" ht="15.75" customHeight="1" outlineLevel="3" x14ac:dyDescent="0.2">
      <c r="A1800" s="10">
        <v>35</v>
      </c>
      <c r="B1800" s="10" t="s">
        <v>71</v>
      </c>
      <c r="C1800" s="10" t="s">
        <v>1366</v>
      </c>
      <c r="D1800" s="10" t="s">
        <v>1595</v>
      </c>
      <c r="E1800" s="11" t="str">
        <f t="array" ref="E1800">_xlfn.XLOOKUP(D1800,Insumos!B:B,Insumos!C:$C)</f>
        <v>M2</v>
      </c>
      <c r="F1800" s="14">
        <v>1.1000000000000001</v>
      </c>
      <c r="G1800" s="92">
        <f t="array" ref="G1800">IF(B1800="insumo",_xlfn.XLOOKUP($D1800,Insumos!$B$1:$B$996,Insumos!$D$1:$D$996),"")</f>
        <v>13.019333333333332</v>
      </c>
      <c r="H1800" s="92">
        <v>14.3212666666667</v>
      </c>
      <c r="I1800" s="13">
        <v>0</v>
      </c>
      <c r="J1800" s="13">
        <v>0</v>
      </c>
      <c r="K1800" s="13"/>
      <c r="L1800"/>
      <c r="M1800"/>
      <c r="N1800"/>
      <c r="O1800"/>
      <c r="P1800"/>
      <c r="Q1800"/>
      <c r="R1800"/>
      <c r="S1800"/>
      <c r="T1800"/>
      <c r="U1800"/>
      <c r="V1800"/>
      <c r="W1800"/>
      <c r="X1800"/>
      <c r="Y1800"/>
      <c r="Z1800"/>
      <c r="AA1800"/>
      <c r="AB1800"/>
      <c r="AC1800"/>
      <c r="AD1800"/>
      <c r="AE1800"/>
      <c r="AF1800"/>
      <c r="AG1800"/>
      <c r="AH1800"/>
      <c r="AI1800"/>
      <c r="AJ1800"/>
      <c r="AK1800"/>
      <c r="AL1800"/>
    </row>
    <row r="1801" spans="1:38" ht="15.75" customHeight="1" outlineLevel="2" x14ac:dyDescent="0.2">
      <c r="A1801" s="1067">
        <v>1</v>
      </c>
      <c r="B1801" s="1067" t="s">
        <v>68</v>
      </c>
      <c r="C1801" s="1067" t="s">
        <v>1377</v>
      </c>
      <c r="D1801" s="1067" t="s">
        <v>1377</v>
      </c>
      <c r="E1801" s="1068" t="s">
        <v>70</v>
      </c>
      <c r="F1801" s="1067"/>
      <c r="G1801" s="1069" t="str">
        <f t="array" ref="G1801">IF(B1801="insumo",_xlfn.XLOOKUP($D1801,Insumos!$B$1:$B$996,Insumos!$D$1:$D$996),"")</f>
        <v/>
      </c>
      <c r="H1801" s="1069">
        <v>159.7256165</v>
      </c>
      <c r="I1801" s="1070">
        <v>0</v>
      </c>
      <c r="J1801" s="1070">
        <v>0</v>
      </c>
      <c r="K1801" s="1070"/>
      <c r="L1801"/>
      <c r="M1801"/>
      <c r="N1801"/>
      <c r="O1801"/>
      <c r="P1801"/>
      <c r="Q1801"/>
      <c r="R1801"/>
      <c r="S1801"/>
      <c r="T1801"/>
      <c r="U1801"/>
      <c r="V1801"/>
      <c r="W1801"/>
      <c r="X1801"/>
      <c r="Y1801"/>
      <c r="Z1801"/>
      <c r="AA1801"/>
      <c r="AB1801"/>
      <c r="AC1801"/>
      <c r="AD1801"/>
      <c r="AE1801"/>
      <c r="AF1801"/>
      <c r="AG1801"/>
      <c r="AH1801"/>
      <c r="AI1801"/>
      <c r="AJ1801"/>
      <c r="AK1801"/>
      <c r="AL1801"/>
    </row>
    <row r="1802" spans="1:38" ht="15.75" customHeight="1" outlineLevel="3" x14ac:dyDescent="0.2">
      <c r="A1802" s="10">
        <v>86</v>
      </c>
      <c r="B1802" s="10" t="s">
        <v>71</v>
      </c>
      <c r="C1802" s="10" t="s">
        <v>1377</v>
      </c>
      <c r="D1802" s="10" t="s">
        <v>407</v>
      </c>
      <c r="E1802" s="11" t="str">
        <f t="array" ref="E1802">_xlfn.XLOOKUP(D1802,Insumos!B:B,Insumos!C:$C)</f>
        <v>M2</v>
      </c>
      <c r="F1802" s="14">
        <v>1</v>
      </c>
      <c r="G1802" s="92">
        <f t="array" ref="G1802">IF(B1802="insumo",_xlfn.XLOOKUP($D1802,Insumos!$B$1:$B$996,Insumos!$D$1:$D$996),"")</f>
        <v>70</v>
      </c>
      <c r="H1802" s="92">
        <v>70</v>
      </c>
      <c r="I1802" s="13">
        <v>0</v>
      </c>
      <c r="J1802" s="13">
        <v>0</v>
      </c>
      <c r="K1802" s="13"/>
      <c r="L1802"/>
      <c r="M1802"/>
      <c r="N1802"/>
      <c r="O1802"/>
      <c r="P1802"/>
      <c r="Q1802"/>
      <c r="R1802"/>
      <c r="S1802"/>
      <c r="T1802"/>
      <c r="U1802"/>
      <c r="V1802"/>
      <c r="W1802"/>
      <c r="X1802"/>
      <c r="Y1802"/>
      <c r="Z1802"/>
      <c r="AA1802"/>
      <c r="AB1802"/>
      <c r="AC1802"/>
      <c r="AD1802"/>
      <c r="AE1802"/>
      <c r="AF1802"/>
      <c r="AG1802"/>
      <c r="AH1802"/>
      <c r="AI1802"/>
      <c r="AJ1802"/>
      <c r="AK1802"/>
      <c r="AL1802"/>
    </row>
    <row r="1803" spans="1:38" ht="15.75" customHeight="1" outlineLevel="3" x14ac:dyDescent="0.2">
      <c r="A1803" s="10">
        <v>47</v>
      </c>
      <c r="B1803" s="10" t="s">
        <v>71</v>
      </c>
      <c r="C1803" s="10" t="s">
        <v>1377</v>
      </c>
      <c r="D1803" s="10" t="s">
        <v>408</v>
      </c>
      <c r="E1803" s="11" t="str">
        <f t="array" ref="E1803">_xlfn.XLOOKUP(D1803,Insumos!B:B,Insumos!C:$C)</f>
        <v>M2</v>
      </c>
      <c r="F1803" s="14">
        <v>1.0529999999999999</v>
      </c>
      <c r="G1803" s="92">
        <f t="array" ref="G1803">IF(B1803="insumo",_xlfn.XLOOKUP($D1803,Insumos!$B$1:$B$996,Insumos!$D$1:$D$996),"")</f>
        <v>20.16</v>
      </c>
      <c r="H1803" s="92">
        <v>21.228480000000001</v>
      </c>
      <c r="I1803" s="13">
        <v>0</v>
      </c>
      <c r="J1803" s="13">
        <v>0</v>
      </c>
      <c r="K1803" s="13"/>
      <c r="L1803"/>
      <c r="M1803"/>
      <c r="N1803"/>
      <c r="O1803"/>
      <c r="P1803"/>
      <c r="Q1803"/>
      <c r="R1803"/>
      <c r="S1803"/>
      <c r="T1803"/>
      <c r="U1803"/>
      <c r="V1803"/>
      <c r="W1803"/>
      <c r="X1803"/>
      <c r="Y1803"/>
      <c r="Z1803"/>
      <c r="AA1803"/>
      <c r="AB1803"/>
      <c r="AC1803"/>
      <c r="AD1803"/>
      <c r="AE1803"/>
      <c r="AF1803"/>
      <c r="AG1803"/>
      <c r="AH1803"/>
      <c r="AI1803"/>
      <c r="AJ1803"/>
      <c r="AK1803"/>
      <c r="AL1803"/>
    </row>
    <row r="1804" spans="1:38" ht="15.75" customHeight="1" outlineLevel="3" x14ac:dyDescent="0.2">
      <c r="A1804" s="10">
        <v>95</v>
      </c>
      <c r="B1804" s="10" t="s">
        <v>71</v>
      </c>
      <c r="C1804" s="10" t="s">
        <v>1377</v>
      </c>
      <c r="D1804" s="10" t="s">
        <v>409</v>
      </c>
      <c r="E1804" s="11" t="str">
        <f t="array" ref="E1804">_xlfn.XLOOKUP(D1804,Insumos!B:B,Insumos!C:$C)</f>
        <v>UN</v>
      </c>
      <c r="F1804" s="14">
        <v>5.92</v>
      </c>
      <c r="G1804" s="92">
        <f t="array" ref="G1804">IF(B1804="insumo",_xlfn.XLOOKUP($D1804,Insumos!$B$1:$B$996,Insumos!$D$1:$D$996),"")</f>
        <v>0.504</v>
      </c>
      <c r="H1804" s="92">
        <v>2.9836800000000001</v>
      </c>
      <c r="I1804" s="13">
        <v>0</v>
      </c>
      <c r="J1804" s="13">
        <v>0</v>
      </c>
      <c r="K1804" s="13"/>
      <c r="L1804"/>
      <c r="M1804"/>
      <c r="N1804"/>
      <c r="O1804"/>
      <c r="P1804"/>
      <c r="Q1804"/>
      <c r="R1804"/>
      <c r="S1804"/>
      <c r="T1804"/>
      <c r="U1804"/>
      <c r="V1804"/>
      <c r="W1804"/>
      <c r="X1804"/>
      <c r="Y1804"/>
      <c r="Z1804"/>
      <c r="AA1804"/>
      <c r="AB1804"/>
      <c r="AC1804"/>
      <c r="AD1804"/>
      <c r="AE1804"/>
      <c r="AF1804"/>
      <c r="AG1804"/>
      <c r="AH1804"/>
      <c r="AI1804"/>
      <c r="AJ1804"/>
      <c r="AK1804"/>
      <c r="AL1804"/>
    </row>
    <row r="1805" spans="1:38" ht="15.75" customHeight="1" outlineLevel="3" x14ac:dyDescent="0.2">
      <c r="A1805" s="10">
        <v>43</v>
      </c>
      <c r="B1805" s="10" t="s">
        <v>71</v>
      </c>
      <c r="C1805" s="10" t="s">
        <v>1377</v>
      </c>
      <c r="D1805" s="10" t="s">
        <v>423</v>
      </c>
      <c r="E1805" s="11" t="str">
        <f t="array" ref="E1805">_xlfn.XLOOKUP(D1805,Insumos!B:B,Insumos!C:$C)</f>
        <v>M</v>
      </c>
      <c r="F1805" s="14">
        <v>1.8233999999999999</v>
      </c>
      <c r="G1805" s="92">
        <f t="array" ref="G1805">IF(B1805="insumo",_xlfn.XLOOKUP($D1805,Insumos!$B$1:$B$996,Insumos!$D$1:$D$996),"")</f>
        <v>7.46</v>
      </c>
      <c r="H1805" s="92">
        <v>13.602563999999999</v>
      </c>
      <c r="I1805" s="13">
        <v>0</v>
      </c>
      <c r="J1805" s="13">
        <v>0</v>
      </c>
      <c r="K1805" s="13"/>
      <c r="L1805"/>
      <c r="M1805"/>
      <c r="N1805"/>
      <c r="O1805"/>
      <c r="P1805"/>
      <c r="Q1805"/>
      <c r="R1805"/>
      <c r="S1805"/>
      <c r="T1805"/>
      <c r="U1805"/>
      <c r="V1805"/>
      <c r="W1805"/>
      <c r="X1805"/>
      <c r="Y1805"/>
      <c r="Z1805"/>
      <c r="AA1805"/>
      <c r="AB1805"/>
      <c r="AC1805"/>
      <c r="AD1805"/>
      <c r="AE1805"/>
      <c r="AF1805"/>
      <c r="AG1805"/>
      <c r="AH1805"/>
      <c r="AI1805"/>
      <c r="AJ1805"/>
      <c r="AK1805"/>
      <c r="AL1805"/>
    </row>
    <row r="1806" spans="1:38" ht="15.75" customHeight="1" outlineLevel="3" x14ac:dyDescent="0.2">
      <c r="A1806" s="10">
        <v>43</v>
      </c>
      <c r="B1806" s="10" t="s">
        <v>71</v>
      </c>
      <c r="C1806" s="10" t="s">
        <v>1377</v>
      </c>
      <c r="D1806" s="10" t="s">
        <v>424</v>
      </c>
      <c r="E1806" s="11" t="str">
        <f t="array" ref="E1806">_xlfn.XLOOKUP(D1806,Insumos!B:B,Insumos!C:$C)</f>
        <v>M</v>
      </c>
      <c r="F1806" s="14">
        <v>5.8277999999999999</v>
      </c>
      <c r="G1806" s="92">
        <f t="array" ref="G1806">IF(B1806="insumo",_xlfn.XLOOKUP($D1806,Insumos!$B$1:$B$996,Insumos!$D$1:$D$996),"")</f>
        <v>7.98</v>
      </c>
      <c r="H1806" s="92">
        <v>46.505844000000003</v>
      </c>
      <c r="I1806" s="13">
        <v>0</v>
      </c>
      <c r="J1806" s="13">
        <v>0</v>
      </c>
      <c r="K1806" s="13"/>
      <c r="L1806"/>
      <c r="M1806"/>
      <c r="N1806"/>
      <c r="O1806"/>
      <c r="P1806"/>
      <c r="Q1806"/>
      <c r="R1806"/>
      <c r="S1806"/>
      <c r="T1806"/>
      <c r="U1806"/>
      <c r="V1806"/>
      <c r="W1806"/>
      <c r="X1806"/>
      <c r="Y1806"/>
      <c r="Z1806"/>
      <c r="AA1806"/>
      <c r="AB1806"/>
      <c r="AC1806"/>
      <c r="AD1806"/>
      <c r="AE1806"/>
      <c r="AF1806"/>
      <c r="AG1806"/>
      <c r="AH1806"/>
      <c r="AI1806"/>
      <c r="AJ1806"/>
      <c r="AK1806"/>
      <c r="AL1806"/>
    </row>
    <row r="1807" spans="1:38" ht="15.75" customHeight="1" outlineLevel="3" x14ac:dyDescent="0.2">
      <c r="A1807" s="10">
        <v>95</v>
      </c>
      <c r="B1807" s="10" t="s">
        <v>71</v>
      </c>
      <c r="C1807" s="10" t="s">
        <v>1377</v>
      </c>
      <c r="D1807" s="10" t="s">
        <v>405</v>
      </c>
      <c r="E1807" s="11" t="str">
        <f t="array" ref="E1807">_xlfn.XLOOKUP(D1807,Insumos!B:B,Insumos!C:$C)</f>
        <v>KG</v>
      </c>
      <c r="F1807" s="14">
        <v>0.54890000000000005</v>
      </c>
      <c r="G1807" s="92">
        <f t="array" ref="G1807">IF(B1807="insumo",_xlfn.XLOOKUP($D1807,Insumos!$B$1:$B$996,Insumos!$D$1:$D$996),"")</f>
        <v>3.43</v>
      </c>
      <c r="H1807" s="92">
        <v>1.882727</v>
      </c>
      <c r="I1807" s="13">
        <v>0</v>
      </c>
      <c r="J1807" s="13">
        <v>0</v>
      </c>
      <c r="K1807" s="13"/>
      <c r="L1807"/>
      <c r="M1807"/>
      <c r="N1807"/>
      <c r="O1807"/>
      <c r="P1807"/>
      <c r="Q1807"/>
      <c r="R1807"/>
      <c r="S1807"/>
      <c r="T1807"/>
      <c r="U1807"/>
      <c r="V1807"/>
      <c r="W1807"/>
      <c r="X1807"/>
      <c r="Y1807"/>
      <c r="Z1807"/>
      <c r="AA1807"/>
      <c r="AB1807"/>
      <c r="AC1807"/>
      <c r="AD1807"/>
      <c r="AE1807"/>
      <c r="AF1807"/>
      <c r="AG1807"/>
      <c r="AH1807"/>
      <c r="AI1807"/>
      <c r="AJ1807"/>
      <c r="AK1807"/>
      <c r="AL1807"/>
    </row>
    <row r="1808" spans="1:38" ht="15.75" customHeight="1" outlineLevel="3" x14ac:dyDescent="0.2">
      <c r="A1808" s="10">
        <v>94</v>
      </c>
      <c r="B1808" s="10" t="s">
        <v>71</v>
      </c>
      <c r="C1808" s="10" t="s">
        <v>1377</v>
      </c>
      <c r="D1808" s="10" t="s">
        <v>412</v>
      </c>
      <c r="E1808" s="11" t="str">
        <f t="array" ref="E1808">_xlfn.XLOOKUP(D1808,Insumos!B:B,Insumos!C:$C)</f>
        <v>M</v>
      </c>
      <c r="F1808" s="14">
        <v>1.25135</v>
      </c>
      <c r="G1808" s="92">
        <f t="array" ref="G1808">IF(B1808="insumo",_xlfn.XLOOKUP($D1808,Insumos!$B$1:$B$996,Insumos!$D$1:$D$996),"")</f>
        <v>0.31</v>
      </c>
      <c r="H1808" s="92">
        <v>0.3879185</v>
      </c>
      <c r="I1808" s="13">
        <v>0</v>
      </c>
      <c r="J1808" s="13">
        <v>0</v>
      </c>
      <c r="K1808" s="13"/>
      <c r="L1808"/>
      <c r="M1808"/>
      <c r="N1808"/>
      <c r="O1808"/>
      <c r="P1808"/>
      <c r="Q1808"/>
      <c r="R1808"/>
      <c r="S1808"/>
      <c r="T1808"/>
      <c r="U1808"/>
      <c r="V1808"/>
      <c r="W1808"/>
      <c r="X1808"/>
      <c r="Y1808"/>
      <c r="Z1808"/>
      <c r="AA1808"/>
      <c r="AB1808"/>
      <c r="AC1808"/>
      <c r="AD1808"/>
      <c r="AE1808"/>
      <c r="AF1808"/>
      <c r="AG1808"/>
      <c r="AH1808"/>
      <c r="AI1808"/>
      <c r="AJ1808"/>
      <c r="AK1808"/>
      <c r="AL1808"/>
    </row>
    <row r="1809" spans="1:38" ht="15.75" customHeight="1" outlineLevel="3" x14ac:dyDescent="0.2">
      <c r="A1809" s="10">
        <v>94</v>
      </c>
      <c r="B1809" s="10" t="s">
        <v>71</v>
      </c>
      <c r="C1809" s="10" t="s">
        <v>1377</v>
      </c>
      <c r="D1809" s="10" t="s">
        <v>413</v>
      </c>
      <c r="E1809" s="11" t="str">
        <f t="array" ref="E1809">_xlfn.XLOOKUP(D1809,Insumos!B:B,Insumos!C:$C)</f>
        <v>M</v>
      </c>
      <c r="F1809" s="14">
        <v>0.79254999999999998</v>
      </c>
      <c r="G1809" s="92">
        <f t="array" ref="G1809">IF(B1809="insumo",_xlfn.XLOOKUP($D1809,Insumos!$B$1:$B$996,Insumos!$D$1:$D$996),"")</f>
        <v>2.74</v>
      </c>
      <c r="H1809" s="92">
        <v>2.1715870000000002</v>
      </c>
      <c r="I1809" s="13">
        <v>0</v>
      </c>
      <c r="J1809" s="13">
        <v>0</v>
      </c>
      <c r="K1809" s="13"/>
      <c r="L1809"/>
      <c r="M1809"/>
      <c r="N1809"/>
      <c r="O1809"/>
      <c r="P1809"/>
      <c r="Q1809"/>
      <c r="R1809"/>
      <c r="S1809"/>
      <c r="T1809"/>
      <c r="U1809"/>
      <c r="V1809"/>
      <c r="W1809"/>
      <c r="X1809"/>
      <c r="Y1809"/>
      <c r="Z1809"/>
      <c r="AA1809"/>
      <c r="AB1809"/>
      <c r="AC1809"/>
      <c r="AD1809"/>
      <c r="AE1809"/>
      <c r="AF1809"/>
      <c r="AG1809"/>
      <c r="AH1809"/>
      <c r="AI1809"/>
      <c r="AJ1809"/>
      <c r="AK1809"/>
      <c r="AL1809"/>
    </row>
    <row r="1810" spans="1:38" ht="15.75" customHeight="1" outlineLevel="3" x14ac:dyDescent="0.2">
      <c r="A1810" s="10">
        <v>97</v>
      </c>
      <c r="B1810" s="10" t="s">
        <v>71</v>
      </c>
      <c r="C1810" s="10" t="s">
        <v>1377</v>
      </c>
      <c r="D1810" s="10" t="s">
        <v>414</v>
      </c>
      <c r="E1810" s="11" t="str">
        <f t="array" ref="E1810">_xlfn.XLOOKUP(D1810,Insumos!B:B,Insumos!C:$C)</f>
        <v>UN</v>
      </c>
      <c r="F1810" s="14">
        <v>10.093400000000001</v>
      </c>
      <c r="G1810" s="92">
        <f t="array" ref="G1810">IF(B1810="insumo",_xlfn.XLOOKUP($D1810,Insumos!$B$1:$B$996,Insumos!$D$1:$D$996),"")</f>
        <v>0.09</v>
      </c>
      <c r="H1810" s="92">
        <v>0.90840600000000005</v>
      </c>
      <c r="I1810" s="13">
        <v>0</v>
      </c>
      <c r="J1810" s="13">
        <v>0</v>
      </c>
      <c r="K1810" s="13"/>
      <c r="L1810"/>
      <c r="M1810"/>
      <c r="N1810"/>
      <c r="O1810"/>
      <c r="P1810"/>
      <c r="Q1810"/>
      <c r="R1810"/>
      <c r="S1810"/>
      <c r="T1810"/>
      <c r="U1810"/>
      <c r="V1810"/>
      <c r="W1810"/>
      <c r="X1810"/>
      <c r="Y1810"/>
      <c r="Z1810"/>
      <c r="AA1810"/>
      <c r="AB1810"/>
      <c r="AC1810"/>
      <c r="AD1810"/>
      <c r="AE1810"/>
      <c r="AF1810"/>
      <c r="AG1810"/>
      <c r="AH1810"/>
      <c r="AI1810"/>
      <c r="AJ1810"/>
      <c r="AK1810"/>
      <c r="AL1810"/>
    </row>
    <row r="1811" spans="1:38" ht="15.75" customHeight="1" outlineLevel="3" x14ac:dyDescent="0.2">
      <c r="A1811" s="10">
        <v>95</v>
      </c>
      <c r="B1811" s="10" t="s">
        <v>71</v>
      </c>
      <c r="C1811" s="10" t="s">
        <v>1377</v>
      </c>
      <c r="D1811" s="10" t="s">
        <v>415</v>
      </c>
      <c r="E1811" s="11" t="str">
        <f t="array" ref="E1811">_xlfn.XLOOKUP(D1811,Insumos!B:B,Insumos!C:$C)</f>
        <v>UN</v>
      </c>
      <c r="F1811" s="14">
        <v>0.27205000000000001</v>
      </c>
      <c r="G1811" s="92">
        <f t="array" ref="G1811">IF(B1811="insumo",_xlfn.XLOOKUP($D1811,Insumos!$B$1:$B$996,Insumos!$D$1:$D$996),"")</f>
        <v>0.2</v>
      </c>
      <c r="H1811" s="92">
        <v>5.441E-2</v>
      </c>
      <c r="I1811" s="13">
        <v>0</v>
      </c>
      <c r="J1811" s="13">
        <v>0</v>
      </c>
      <c r="K1811" s="13"/>
      <c r="L1811"/>
      <c r="M1811"/>
      <c r="N1811"/>
      <c r="O1811"/>
      <c r="P1811"/>
      <c r="Q1811"/>
      <c r="R1811"/>
      <c r="S1811"/>
      <c r="T1811"/>
      <c r="U1811"/>
      <c r="V1811"/>
      <c r="W1811"/>
      <c r="X1811"/>
      <c r="Y1811"/>
      <c r="Z1811"/>
      <c r="AA1811"/>
      <c r="AB1811"/>
      <c r="AC1811"/>
      <c r="AD1811"/>
      <c r="AE1811"/>
      <c r="AF1811"/>
      <c r="AG1811"/>
      <c r="AH1811"/>
      <c r="AI1811"/>
      <c r="AJ1811"/>
      <c r="AK1811"/>
      <c r="AL1811"/>
    </row>
    <row r="1812" spans="1:38" ht="15.75" customHeight="1" outlineLevel="2" x14ac:dyDescent="0.2">
      <c r="A1812" s="1067">
        <v>1</v>
      </c>
      <c r="B1812" s="1067" t="s">
        <v>68</v>
      </c>
      <c r="C1812" s="1067" t="s">
        <v>419</v>
      </c>
      <c r="D1812" s="1067" t="s">
        <v>419</v>
      </c>
      <c r="E1812" s="1068" t="s">
        <v>70</v>
      </c>
      <c r="F1812" s="1067"/>
      <c r="G1812" s="1069" t="str">
        <f t="array" ref="G1812">IF(B1812="insumo",_xlfn.XLOOKUP($D1812,Insumos!$B$1:$B$996,Insumos!$D$1:$D$996),"")</f>
        <v/>
      </c>
      <c r="H1812" s="1069">
        <v>226.126174666667</v>
      </c>
      <c r="I1812" s="1070">
        <v>0</v>
      </c>
      <c r="J1812" s="1070">
        <v>0</v>
      </c>
      <c r="K1812" s="1070"/>
      <c r="L1812"/>
      <c r="M1812"/>
      <c r="N1812"/>
      <c r="O1812"/>
      <c r="P1812"/>
      <c r="Q1812"/>
      <c r="R1812"/>
      <c r="S1812"/>
      <c r="T1812"/>
      <c r="U1812"/>
      <c r="V1812"/>
      <c r="W1812"/>
      <c r="X1812"/>
      <c r="Y1812"/>
      <c r="Z1812"/>
      <c r="AA1812"/>
      <c r="AB1812"/>
      <c r="AC1812"/>
      <c r="AD1812"/>
      <c r="AE1812"/>
      <c r="AF1812"/>
      <c r="AG1812"/>
      <c r="AH1812"/>
      <c r="AI1812"/>
      <c r="AJ1812"/>
      <c r="AK1812"/>
      <c r="AL1812"/>
    </row>
    <row r="1813" spans="1:38" ht="15.75" customHeight="1" outlineLevel="3" x14ac:dyDescent="0.2">
      <c r="A1813" s="10">
        <v>86</v>
      </c>
      <c r="B1813" s="10" t="s">
        <v>71</v>
      </c>
      <c r="C1813" s="10" t="s">
        <v>419</v>
      </c>
      <c r="D1813" s="10" t="s">
        <v>407</v>
      </c>
      <c r="E1813" s="11" t="str">
        <f t="array" ref="E1813">_xlfn.XLOOKUP(D1813,Insumos!B:B,Insumos!C:$C)</f>
        <v>M2</v>
      </c>
      <c r="F1813" s="14">
        <v>1</v>
      </c>
      <c r="G1813" s="92">
        <f t="array" ref="G1813">IF(B1813="insumo",_xlfn.XLOOKUP($D1813,Insumos!$B$1:$B$996,Insumos!$D$1:$D$996),"")</f>
        <v>70</v>
      </c>
      <c r="H1813" s="92">
        <v>70</v>
      </c>
      <c r="I1813" s="13">
        <v>0</v>
      </c>
      <c r="J1813" s="13">
        <v>0</v>
      </c>
      <c r="K1813" s="13"/>
      <c r="L1813"/>
      <c r="M1813"/>
      <c r="N1813"/>
      <c r="O1813"/>
      <c r="P1813"/>
      <c r="Q1813"/>
      <c r="R1813"/>
      <c r="S1813"/>
      <c r="T1813"/>
      <c r="U1813"/>
      <c r="V1813"/>
      <c r="W1813"/>
      <c r="X1813"/>
      <c r="Y1813"/>
      <c r="Z1813"/>
      <c r="AA1813"/>
      <c r="AB1813"/>
      <c r="AC1813"/>
      <c r="AD1813"/>
      <c r="AE1813"/>
      <c r="AF1813"/>
      <c r="AG1813"/>
      <c r="AH1813"/>
      <c r="AI1813"/>
      <c r="AJ1813"/>
      <c r="AK1813"/>
      <c r="AL1813"/>
    </row>
    <row r="1814" spans="1:38" ht="15.75" customHeight="1" outlineLevel="3" x14ac:dyDescent="0.2">
      <c r="A1814" s="10">
        <v>47</v>
      </c>
      <c r="B1814" s="10" t="s">
        <v>71</v>
      </c>
      <c r="C1814" s="10" t="s">
        <v>419</v>
      </c>
      <c r="D1814" s="10" t="s">
        <v>408</v>
      </c>
      <c r="E1814" s="11" t="str">
        <f t="array" ref="E1814">_xlfn.XLOOKUP(D1814,Insumos!B:B,Insumos!C:$C)</f>
        <v>M2</v>
      </c>
      <c r="F1814" s="14">
        <v>2.1059999999999999</v>
      </c>
      <c r="G1814" s="92">
        <f t="array" ref="G1814">IF(B1814="insumo",_xlfn.XLOOKUP($D1814,Insumos!$B$1:$B$996,Insumos!$D$1:$D$996),"")</f>
        <v>20.16</v>
      </c>
      <c r="H1814" s="92">
        <v>42.456960000000002</v>
      </c>
      <c r="I1814" s="13">
        <v>0</v>
      </c>
      <c r="J1814" s="13">
        <v>0</v>
      </c>
      <c r="K1814" s="13"/>
      <c r="L1814"/>
      <c r="M1814"/>
      <c r="N1814"/>
      <c r="O1814"/>
      <c r="P1814"/>
      <c r="Q1814"/>
      <c r="R1814"/>
      <c r="S1814"/>
      <c r="T1814"/>
      <c r="U1814"/>
      <c r="V1814"/>
      <c r="W1814"/>
      <c r="X1814"/>
      <c r="Y1814"/>
      <c r="Z1814"/>
      <c r="AA1814"/>
      <c r="AB1814"/>
      <c r="AC1814"/>
      <c r="AD1814"/>
      <c r="AE1814"/>
      <c r="AF1814"/>
      <c r="AG1814"/>
      <c r="AH1814"/>
      <c r="AI1814"/>
      <c r="AJ1814"/>
      <c r="AK1814"/>
      <c r="AL1814"/>
    </row>
    <row r="1815" spans="1:38" ht="15.75" customHeight="1" outlineLevel="3" x14ac:dyDescent="0.2">
      <c r="A1815" s="10">
        <v>95</v>
      </c>
      <c r="B1815" s="10" t="s">
        <v>71</v>
      </c>
      <c r="C1815" s="10" t="s">
        <v>419</v>
      </c>
      <c r="D1815" s="10" t="s">
        <v>409</v>
      </c>
      <c r="E1815" s="11" t="str">
        <f t="array" ref="E1815">_xlfn.XLOOKUP(D1815,Insumos!B:B,Insumos!C:$C)</f>
        <v>UN</v>
      </c>
      <c r="F1815" s="14">
        <v>5.92</v>
      </c>
      <c r="G1815" s="92">
        <f t="array" ref="G1815">IF(B1815="insumo",_xlfn.XLOOKUP($D1815,Insumos!$B$1:$B$996,Insumos!$D$1:$D$996),"")</f>
        <v>0.504</v>
      </c>
      <c r="H1815" s="92">
        <v>2.9836800000000001</v>
      </c>
      <c r="I1815" s="13">
        <v>0</v>
      </c>
      <c r="J1815" s="13">
        <v>0</v>
      </c>
      <c r="K1815" s="13"/>
      <c r="L1815"/>
      <c r="M1815"/>
      <c r="N1815"/>
      <c r="O1815"/>
      <c r="P1815"/>
      <c r="Q1815"/>
      <c r="R1815"/>
      <c r="S1815"/>
      <c r="T1815"/>
      <c r="U1815"/>
      <c r="V1815"/>
      <c r="W1815"/>
      <c r="X1815"/>
      <c r="Y1815"/>
      <c r="Z1815"/>
      <c r="AA1815"/>
      <c r="AB1815"/>
      <c r="AC1815"/>
      <c r="AD1815"/>
      <c r="AE1815"/>
      <c r="AF1815"/>
      <c r="AG1815"/>
      <c r="AH1815"/>
      <c r="AI1815"/>
      <c r="AJ1815"/>
      <c r="AK1815"/>
      <c r="AL1815"/>
    </row>
    <row r="1816" spans="1:38" ht="15.75" customHeight="1" outlineLevel="3" x14ac:dyDescent="0.2">
      <c r="A1816" s="10">
        <v>26</v>
      </c>
      <c r="B1816" s="10" t="s">
        <v>71</v>
      </c>
      <c r="C1816" s="10" t="s">
        <v>419</v>
      </c>
      <c r="D1816" s="10" t="s">
        <v>420</v>
      </c>
      <c r="E1816" s="11" t="str">
        <f t="array" ref="E1816">_xlfn.XLOOKUP(D1816,Insumos!B:B,Insumos!C:$C)</f>
        <v>M</v>
      </c>
      <c r="F1816" s="14">
        <v>1.5247999999999999</v>
      </c>
      <c r="G1816" s="92">
        <f t="array" ref="G1816">IF(B1816="insumo",_xlfn.XLOOKUP($D1816,Insumos!$B$1:$B$996,Insumos!$D$1:$D$996),"")</f>
        <v>8.64</v>
      </c>
      <c r="H1816" s="92">
        <v>13.174272</v>
      </c>
      <c r="I1816" s="13">
        <v>0</v>
      </c>
      <c r="J1816" s="13">
        <v>0</v>
      </c>
      <c r="K1816" s="13"/>
      <c r="L1816"/>
      <c r="M1816"/>
      <c r="N1816"/>
      <c r="O1816"/>
      <c r="P1816"/>
      <c r="Q1816"/>
      <c r="R1816"/>
      <c r="S1816"/>
      <c r="T1816"/>
      <c r="U1816"/>
      <c r="V1816"/>
      <c r="W1816"/>
      <c r="X1816"/>
      <c r="Y1816"/>
      <c r="Z1816"/>
      <c r="AA1816"/>
      <c r="AB1816"/>
      <c r="AC1816"/>
      <c r="AD1816"/>
      <c r="AE1816"/>
      <c r="AF1816"/>
      <c r="AG1816"/>
      <c r="AH1816"/>
      <c r="AI1816"/>
      <c r="AJ1816"/>
      <c r="AK1816"/>
      <c r="AL1816"/>
    </row>
    <row r="1817" spans="1:38" ht="15.75" customHeight="1" outlineLevel="3" x14ac:dyDescent="0.2">
      <c r="A1817" s="10">
        <v>26</v>
      </c>
      <c r="B1817" s="10" t="s">
        <v>71</v>
      </c>
      <c r="C1817" s="10" t="s">
        <v>419</v>
      </c>
      <c r="D1817" s="10" t="s">
        <v>421</v>
      </c>
      <c r="E1817" s="11" t="str">
        <f t="array" ref="E1817">_xlfn.XLOOKUP(D1817,Insumos!B:B,Insumos!C:$C)</f>
        <v>M</v>
      </c>
      <c r="F1817" s="14">
        <v>4.0011000000000001</v>
      </c>
      <c r="G1817" s="92">
        <f t="array" ref="G1817">IF(B1817="insumo",_xlfn.XLOOKUP($D1817,Insumos!$B$1:$B$996,Insumos!$D$1:$D$996),"")</f>
        <v>18.09</v>
      </c>
      <c r="H1817" s="92">
        <v>72.379898999999995</v>
      </c>
      <c r="I1817" s="13">
        <v>0</v>
      </c>
      <c r="J1817" s="13">
        <v>0</v>
      </c>
      <c r="K1817" s="13"/>
      <c r="L1817"/>
      <c r="M1817"/>
      <c r="N1817"/>
      <c r="O1817"/>
      <c r="P1817"/>
      <c r="Q1817"/>
      <c r="R1817"/>
      <c r="S1817"/>
      <c r="T1817"/>
      <c r="U1817"/>
      <c r="V1817"/>
      <c r="W1817"/>
      <c r="X1817"/>
      <c r="Y1817"/>
      <c r="Z1817"/>
      <c r="AA1817"/>
      <c r="AB1817"/>
      <c r="AC1817"/>
      <c r="AD1817"/>
      <c r="AE1817"/>
      <c r="AF1817"/>
      <c r="AG1817"/>
      <c r="AH1817"/>
      <c r="AI1817"/>
      <c r="AJ1817"/>
      <c r="AK1817"/>
      <c r="AL1817"/>
    </row>
    <row r="1818" spans="1:38" ht="15.75" customHeight="1" outlineLevel="3" x14ac:dyDescent="0.2">
      <c r="A1818" s="10">
        <v>95</v>
      </c>
      <c r="B1818" s="10" t="s">
        <v>71</v>
      </c>
      <c r="C1818" s="10" t="s">
        <v>419</v>
      </c>
      <c r="D1818" s="10" t="s">
        <v>405</v>
      </c>
      <c r="E1818" s="11" t="str">
        <f t="array" ref="E1818">_xlfn.XLOOKUP(D1818,Insumos!B:B,Insumos!C:$C)</f>
        <v>KG</v>
      </c>
      <c r="F1818" s="14">
        <v>1.0978000000000001</v>
      </c>
      <c r="G1818" s="92">
        <f t="array" ref="G1818">IF(B1818="insumo",_xlfn.XLOOKUP($D1818,Insumos!$B$1:$B$996,Insumos!$D$1:$D$996),"")</f>
        <v>3.43</v>
      </c>
      <c r="H1818" s="92">
        <v>3.7654540000000001</v>
      </c>
      <c r="I1818" s="13">
        <v>0</v>
      </c>
      <c r="J1818" s="13">
        <v>0</v>
      </c>
      <c r="K1818" s="13"/>
      <c r="L1818"/>
      <c r="M1818"/>
      <c r="N1818"/>
      <c r="O1818"/>
      <c r="P1818"/>
      <c r="Q1818"/>
      <c r="R1818"/>
      <c r="S1818"/>
      <c r="T1818"/>
      <c r="U1818"/>
      <c r="V1818"/>
      <c r="W1818"/>
      <c r="X1818"/>
      <c r="Y1818"/>
      <c r="Z1818"/>
      <c r="AA1818"/>
      <c r="AB1818"/>
      <c r="AC1818"/>
      <c r="AD1818"/>
      <c r="AE1818"/>
      <c r="AF1818"/>
      <c r="AG1818"/>
      <c r="AH1818"/>
      <c r="AI1818"/>
      <c r="AJ1818"/>
      <c r="AK1818"/>
      <c r="AL1818"/>
    </row>
    <row r="1819" spans="1:38" ht="15.75" customHeight="1" outlineLevel="3" x14ac:dyDescent="0.2">
      <c r="A1819" s="10">
        <v>94</v>
      </c>
      <c r="B1819" s="10" t="s">
        <v>71</v>
      </c>
      <c r="C1819" s="10" t="s">
        <v>419</v>
      </c>
      <c r="D1819" s="10" t="s">
        <v>412</v>
      </c>
      <c r="E1819" s="11" t="str">
        <f t="array" ref="E1819">_xlfn.XLOOKUP(D1819,Insumos!B:B,Insumos!C:$C)</f>
        <v>M</v>
      </c>
      <c r="F1819" s="14">
        <v>2.5026999999999999</v>
      </c>
      <c r="G1819" s="92">
        <f t="array" ref="G1819">IF(B1819="insumo",_xlfn.XLOOKUP($D1819,Insumos!$B$1:$B$996,Insumos!$D$1:$D$996),"")</f>
        <v>0.31</v>
      </c>
      <c r="H1819" s="92">
        <v>0.775837</v>
      </c>
      <c r="I1819" s="13">
        <v>0</v>
      </c>
      <c r="J1819" s="13">
        <v>0</v>
      </c>
      <c r="K1819" s="13"/>
      <c r="L1819"/>
      <c r="M1819"/>
      <c r="N1819"/>
      <c r="O1819"/>
      <c r="P1819"/>
      <c r="Q1819"/>
      <c r="R1819"/>
      <c r="S1819"/>
      <c r="T1819"/>
      <c r="U1819"/>
      <c r="V1819"/>
      <c r="W1819"/>
      <c r="X1819"/>
      <c r="Y1819"/>
      <c r="Z1819"/>
      <c r="AA1819"/>
      <c r="AB1819"/>
      <c r="AC1819"/>
      <c r="AD1819"/>
      <c r="AE1819"/>
      <c r="AF1819"/>
      <c r="AG1819"/>
      <c r="AH1819"/>
      <c r="AI1819"/>
      <c r="AJ1819"/>
      <c r="AK1819"/>
      <c r="AL1819"/>
    </row>
    <row r="1820" spans="1:38" ht="15.75" customHeight="1" outlineLevel="3" x14ac:dyDescent="0.2">
      <c r="A1820" s="10">
        <v>94</v>
      </c>
      <c r="B1820" s="10" t="s">
        <v>71</v>
      </c>
      <c r="C1820" s="10" t="s">
        <v>419</v>
      </c>
      <c r="D1820" s="10" t="s">
        <v>413</v>
      </c>
      <c r="E1820" s="11" t="str">
        <f t="array" ref="E1820">_xlfn.XLOOKUP(D1820,Insumos!B:B,Insumos!C:$C)</f>
        <v>M</v>
      </c>
      <c r="F1820" s="14">
        <v>1.5851</v>
      </c>
      <c r="G1820" s="92">
        <f t="array" ref="G1820">IF(B1820="insumo",_xlfn.XLOOKUP($D1820,Insumos!$B$1:$B$996,Insumos!$D$1:$D$996),"")</f>
        <v>2.74</v>
      </c>
      <c r="H1820" s="92">
        <v>4.3431740000000003</v>
      </c>
      <c r="I1820" s="13">
        <v>0</v>
      </c>
      <c r="J1820" s="13">
        <v>0</v>
      </c>
      <c r="K1820" s="13"/>
      <c r="L1820"/>
      <c r="M1820"/>
      <c r="N1820"/>
      <c r="O1820"/>
      <c r="P1820"/>
      <c r="Q1820"/>
      <c r="R1820"/>
      <c r="S1820"/>
      <c r="T1820"/>
      <c r="U1820"/>
      <c r="V1820"/>
      <c r="W1820"/>
      <c r="X1820"/>
      <c r="Y1820"/>
      <c r="Z1820"/>
      <c r="AA1820"/>
      <c r="AB1820"/>
      <c r="AC1820"/>
      <c r="AD1820"/>
      <c r="AE1820"/>
      <c r="AF1820"/>
      <c r="AG1820"/>
      <c r="AH1820"/>
      <c r="AI1820"/>
      <c r="AJ1820"/>
      <c r="AK1820"/>
      <c r="AL1820"/>
    </row>
    <row r="1821" spans="1:38" ht="15.75" customHeight="1" outlineLevel="3" x14ac:dyDescent="0.2">
      <c r="A1821" s="10">
        <v>97</v>
      </c>
      <c r="B1821" s="10" t="s">
        <v>71</v>
      </c>
      <c r="C1821" s="10" t="s">
        <v>419</v>
      </c>
      <c r="D1821" s="10" t="s">
        <v>414</v>
      </c>
      <c r="E1821" s="11" t="str">
        <f t="array" ref="E1821">_xlfn.XLOOKUP(D1821,Insumos!B:B,Insumos!C:$C)</f>
        <v>UN</v>
      </c>
      <c r="F1821" s="14">
        <v>20.186800000000002</v>
      </c>
      <c r="G1821" s="92">
        <f t="array" ref="G1821">IF(B1821="insumo",_xlfn.XLOOKUP($D1821,Insumos!$B$1:$B$996,Insumos!$D$1:$D$996),"")</f>
        <v>0.09</v>
      </c>
      <c r="H1821" s="92">
        <v>1.8168120000000001</v>
      </c>
      <c r="I1821" s="13">
        <v>0</v>
      </c>
      <c r="J1821" s="13">
        <v>0</v>
      </c>
      <c r="K1821" s="13"/>
      <c r="L1821"/>
      <c r="M1821"/>
      <c r="N1821"/>
      <c r="O1821"/>
      <c r="P1821"/>
      <c r="Q1821"/>
      <c r="R1821"/>
      <c r="S1821"/>
      <c r="T1821"/>
      <c r="U1821"/>
      <c r="V1821"/>
      <c r="W1821"/>
      <c r="X1821"/>
      <c r="Y1821"/>
      <c r="Z1821"/>
      <c r="AA1821"/>
      <c r="AB1821"/>
      <c r="AC1821"/>
      <c r="AD1821"/>
      <c r="AE1821"/>
      <c r="AF1821"/>
      <c r="AG1821"/>
      <c r="AH1821"/>
      <c r="AI1821"/>
      <c r="AJ1821"/>
      <c r="AK1821"/>
      <c r="AL1821"/>
    </row>
    <row r="1822" spans="1:38" ht="15.75" customHeight="1" outlineLevel="3" x14ac:dyDescent="0.2">
      <c r="A1822" s="10">
        <v>95</v>
      </c>
      <c r="B1822" s="10" t="s">
        <v>71</v>
      </c>
      <c r="C1822" s="10" t="s">
        <v>419</v>
      </c>
      <c r="D1822" s="10" t="s">
        <v>415</v>
      </c>
      <c r="E1822" s="11" t="str">
        <f t="array" ref="E1822">_xlfn.XLOOKUP(D1822,Insumos!B:B,Insumos!C:$C)</f>
        <v>UN</v>
      </c>
      <c r="F1822" s="14">
        <v>0.54410000000000003</v>
      </c>
      <c r="G1822" s="92">
        <f t="array" ref="G1822">IF(B1822="insumo",_xlfn.XLOOKUP($D1822,Insumos!$B$1:$B$996,Insumos!$D$1:$D$996),"")</f>
        <v>0.2</v>
      </c>
      <c r="H1822" s="92">
        <v>0.10882</v>
      </c>
      <c r="I1822" s="13">
        <v>0</v>
      </c>
      <c r="J1822" s="13">
        <v>0</v>
      </c>
      <c r="K1822" s="13"/>
      <c r="L1822"/>
      <c r="M1822"/>
      <c r="N1822"/>
      <c r="O1822"/>
      <c r="P1822"/>
      <c r="Q1822"/>
      <c r="R1822"/>
      <c r="S1822"/>
      <c r="T1822"/>
      <c r="U1822"/>
      <c r="V1822"/>
      <c r="W1822"/>
      <c r="X1822"/>
      <c r="Y1822"/>
      <c r="Z1822"/>
      <c r="AA1822"/>
      <c r="AB1822"/>
      <c r="AC1822"/>
      <c r="AD1822"/>
      <c r="AE1822"/>
      <c r="AF1822"/>
      <c r="AG1822"/>
      <c r="AH1822"/>
      <c r="AI1822"/>
      <c r="AJ1822"/>
      <c r="AK1822"/>
      <c r="AL1822"/>
    </row>
    <row r="1823" spans="1:38" ht="15.75" customHeight="1" outlineLevel="3" x14ac:dyDescent="0.2">
      <c r="A1823" s="10">
        <v>35</v>
      </c>
      <c r="B1823" s="10" t="s">
        <v>71</v>
      </c>
      <c r="C1823" s="10" t="s">
        <v>419</v>
      </c>
      <c r="D1823" s="10" t="s">
        <v>1595</v>
      </c>
      <c r="E1823" s="11" t="str">
        <f t="array" ref="E1823">_xlfn.XLOOKUP(D1823,Insumos!B:B,Insumos!C:$C)</f>
        <v>M2</v>
      </c>
      <c r="F1823" s="14">
        <v>1.1000000000000001</v>
      </c>
      <c r="G1823" s="92">
        <f t="array" ref="G1823">IF(B1823="insumo",_xlfn.XLOOKUP($D1823,Insumos!$B$1:$B$996,Insumos!$D$1:$D$996),"")</f>
        <v>13.019333333333332</v>
      </c>
      <c r="H1823" s="92">
        <v>14.3212666666667</v>
      </c>
      <c r="I1823" s="13">
        <v>0</v>
      </c>
      <c r="J1823" s="13">
        <v>0</v>
      </c>
      <c r="K1823" s="13"/>
      <c r="L1823"/>
      <c r="M1823"/>
      <c r="N1823"/>
      <c r="O1823"/>
      <c r="P1823"/>
      <c r="Q1823"/>
      <c r="R1823"/>
      <c r="S1823"/>
      <c r="T1823"/>
      <c r="U1823"/>
      <c r="V1823"/>
      <c r="W1823"/>
      <c r="X1823"/>
      <c r="Y1823"/>
      <c r="Z1823"/>
      <c r="AA1823"/>
      <c r="AB1823"/>
      <c r="AC1823"/>
      <c r="AD1823"/>
      <c r="AE1823"/>
      <c r="AF1823"/>
      <c r="AG1823"/>
      <c r="AH1823"/>
      <c r="AI1823"/>
      <c r="AJ1823"/>
      <c r="AK1823"/>
      <c r="AL1823"/>
    </row>
    <row r="1824" spans="1:38" ht="15.75" customHeight="1" outlineLevel="2" x14ac:dyDescent="0.2">
      <c r="A1824" s="1067">
        <v>1</v>
      </c>
      <c r="B1824" s="1067" t="s">
        <v>68</v>
      </c>
      <c r="C1824" s="1067" t="s">
        <v>425</v>
      </c>
      <c r="D1824" s="1067" t="s">
        <v>425</v>
      </c>
      <c r="E1824" s="1068" t="s">
        <v>70</v>
      </c>
      <c r="F1824" s="1067"/>
      <c r="G1824" s="1069" t="str">
        <f t="array" ref="G1824">IF(B1824="insumo",_xlfn.XLOOKUP($D1824,Insumos!$B$1:$B$996,Insumos!$D$1:$D$996),"")</f>
        <v/>
      </c>
      <c r="H1824" s="1069">
        <v>240.74181466666701</v>
      </c>
      <c r="I1824" s="1070">
        <v>0</v>
      </c>
      <c r="J1824" s="1070">
        <v>0</v>
      </c>
      <c r="K1824" s="1070"/>
      <c r="L1824"/>
      <c r="M1824"/>
      <c r="N1824"/>
      <c r="O1824"/>
      <c r="P1824"/>
      <c r="Q1824"/>
      <c r="R1824"/>
      <c r="S1824"/>
      <c r="T1824"/>
      <c r="U1824"/>
      <c r="V1824"/>
      <c r="W1824"/>
      <c r="X1824"/>
      <c r="Y1824"/>
      <c r="Z1824"/>
      <c r="AA1824"/>
      <c r="AB1824"/>
      <c r="AC1824"/>
      <c r="AD1824"/>
      <c r="AE1824"/>
      <c r="AF1824"/>
      <c r="AG1824"/>
      <c r="AH1824"/>
      <c r="AI1824"/>
      <c r="AJ1824"/>
      <c r="AK1824"/>
      <c r="AL1824"/>
    </row>
    <row r="1825" spans="1:38" ht="15.75" customHeight="1" outlineLevel="3" x14ac:dyDescent="0.2">
      <c r="A1825" s="10">
        <v>86</v>
      </c>
      <c r="B1825" s="10" t="s">
        <v>71</v>
      </c>
      <c r="C1825" s="10" t="s">
        <v>425</v>
      </c>
      <c r="D1825" s="10" t="s">
        <v>407</v>
      </c>
      <c r="E1825" s="11" t="str">
        <f t="array" ref="E1825">_xlfn.XLOOKUP(D1825,Insumos!B:B,Insumos!C:$C)</f>
        <v>M2</v>
      </c>
      <c r="F1825" s="14">
        <v>1</v>
      </c>
      <c r="G1825" s="92">
        <f t="array" ref="G1825">IF(B1825="insumo",_xlfn.XLOOKUP($D1825,Insumos!$B$1:$B$996,Insumos!$D$1:$D$996),"")</f>
        <v>70</v>
      </c>
      <c r="H1825" s="92">
        <v>70</v>
      </c>
      <c r="I1825" s="13">
        <v>0</v>
      </c>
      <c r="J1825" s="13">
        <v>0</v>
      </c>
      <c r="K1825" s="13"/>
      <c r="L1825"/>
      <c r="M1825"/>
      <c r="N1825"/>
      <c r="O1825"/>
      <c r="P1825"/>
      <c r="Q1825"/>
      <c r="R1825"/>
      <c r="S1825"/>
      <c r="T1825"/>
      <c r="U1825"/>
      <c r="V1825"/>
      <c r="W1825"/>
      <c r="X1825"/>
      <c r="Y1825"/>
      <c r="Z1825"/>
      <c r="AA1825"/>
      <c r="AB1825"/>
      <c r="AC1825"/>
      <c r="AD1825"/>
      <c r="AE1825"/>
      <c r="AF1825"/>
      <c r="AG1825"/>
      <c r="AH1825"/>
      <c r="AI1825"/>
      <c r="AJ1825"/>
      <c r="AK1825"/>
      <c r="AL1825"/>
    </row>
    <row r="1826" spans="1:38" ht="15.75" customHeight="1" outlineLevel="3" x14ac:dyDescent="0.2">
      <c r="A1826" s="10">
        <v>49</v>
      </c>
      <c r="B1826" s="10" t="s">
        <v>71</v>
      </c>
      <c r="C1826" s="10" t="s">
        <v>425</v>
      </c>
      <c r="D1826" s="10" t="s">
        <v>418</v>
      </c>
      <c r="E1826" s="11" t="str">
        <f t="array" ref="E1826">_xlfn.XLOOKUP(D1826,Insumos!B:B,Insumos!C:$C)</f>
        <v>M2</v>
      </c>
      <c r="F1826" s="14">
        <v>2.1059999999999999</v>
      </c>
      <c r="G1826" s="92">
        <f t="array" ref="G1826">IF(B1826="insumo",_xlfn.XLOOKUP($D1826,Insumos!$B$1:$B$996,Insumos!$D$1:$D$996),"")</f>
        <v>27.1</v>
      </c>
      <c r="H1826" s="92">
        <v>57.072600000000001</v>
      </c>
      <c r="I1826" s="13">
        <v>0</v>
      </c>
      <c r="J1826" s="13">
        <v>0</v>
      </c>
      <c r="K1826" s="13"/>
      <c r="L1826"/>
      <c r="M1826"/>
      <c r="N1826"/>
      <c r="O1826"/>
      <c r="P1826"/>
      <c r="Q1826"/>
      <c r="R1826"/>
      <c r="S1826"/>
      <c r="T1826"/>
      <c r="U1826"/>
      <c r="V1826"/>
      <c r="W1826"/>
      <c r="X1826"/>
      <c r="Y1826"/>
      <c r="Z1826"/>
      <c r="AA1826"/>
      <c r="AB1826"/>
      <c r="AC1826"/>
      <c r="AD1826"/>
      <c r="AE1826"/>
      <c r="AF1826"/>
      <c r="AG1826"/>
      <c r="AH1826"/>
      <c r="AI1826"/>
      <c r="AJ1826"/>
      <c r="AK1826"/>
      <c r="AL1826"/>
    </row>
    <row r="1827" spans="1:38" ht="15.75" customHeight="1" outlineLevel="3" x14ac:dyDescent="0.2">
      <c r="A1827" s="10">
        <v>95</v>
      </c>
      <c r="B1827" s="10" t="s">
        <v>71</v>
      </c>
      <c r="C1827" s="10" t="s">
        <v>425</v>
      </c>
      <c r="D1827" s="10" t="s">
        <v>409</v>
      </c>
      <c r="E1827" s="11" t="str">
        <f t="array" ref="E1827">_xlfn.XLOOKUP(D1827,Insumos!B:B,Insumos!C:$C)</f>
        <v>UN</v>
      </c>
      <c r="F1827" s="14">
        <v>5.92</v>
      </c>
      <c r="G1827" s="92">
        <f t="array" ref="G1827">IF(B1827="insumo",_xlfn.XLOOKUP($D1827,Insumos!$B$1:$B$996,Insumos!$D$1:$D$996),"")</f>
        <v>0.504</v>
      </c>
      <c r="H1827" s="92">
        <v>2.9836800000000001</v>
      </c>
      <c r="I1827" s="13">
        <v>0</v>
      </c>
      <c r="J1827" s="13">
        <v>0</v>
      </c>
      <c r="K1827" s="13"/>
      <c r="L1827"/>
      <c r="M1827"/>
      <c r="N1827"/>
      <c r="O1827"/>
      <c r="P1827"/>
      <c r="Q1827"/>
      <c r="R1827"/>
      <c r="S1827"/>
      <c r="T1827"/>
      <c r="U1827"/>
      <c r="V1827"/>
      <c r="W1827"/>
      <c r="X1827"/>
      <c r="Y1827"/>
      <c r="Z1827"/>
      <c r="AA1827"/>
      <c r="AB1827"/>
      <c r="AC1827"/>
      <c r="AD1827"/>
      <c r="AE1827"/>
      <c r="AF1827"/>
      <c r="AG1827"/>
      <c r="AH1827"/>
      <c r="AI1827"/>
      <c r="AJ1827"/>
      <c r="AK1827"/>
      <c r="AL1827"/>
    </row>
    <row r="1828" spans="1:38" ht="15.75" customHeight="1" outlineLevel="3" x14ac:dyDescent="0.2">
      <c r="A1828" s="10">
        <v>26</v>
      </c>
      <c r="B1828" s="10" t="s">
        <v>71</v>
      </c>
      <c r="C1828" s="10" t="s">
        <v>425</v>
      </c>
      <c r="D1828" s="10" t="s">
        <v>420</v>
      </c>
      <c r="E1828" s="11" t="str">
        <f t="array" ref="E1828">_xlfn.XLOOKUP(D1828,Insumos!B:B,Insumos!C:$C)</f>
        <v>M</v>
      </c>
      <c r="F1828" s="14">
        <v>1.5247999999999999</v>
      </c>
      <c r="G1828" s="92">
        <f t="array" ref="G1828">IF(B1828="insumo",_xlfn.XLOOKUP($D1828,Insumos!$B$1:$B$996,Insumos!$D$1:$D$996),"")</f>
        <v>8.64</v>
      </c>
      <c r="H1828" s="92">
        <v>13.174272</v>
      </c>
      <c r="I1828" s="13">
        <v>0</v>
      </c>
      <c r="J1828" s="13">
        <v>0</v>
      </c>
      <c r="K1828" s="13"/>
      <c r="L1828"/>
      <c r="M1828"/>
      <c r="N1828"/>
      <c r="O1828"/>
      <c r="P1828"/>
      <c r="Q1828"/>
      <c r="R1828"/>
      <c r="S1828"/>
      <c r="T1828"/>
      <c r="U1828"/>
      <c r="V1828"/>
      <c r="W1828"/>
      <c r="X1828"/>
      <c r="Y1828"/>
      <c r="Z1828"/>
      <c r="AA1828"/>
      <c r="AB1828"/>
      <c r="AC1828"/>
      <c r="AD1828"/>
      <c r="AE1828"/>
      <c r="AF1828"/>
      <c r="AG1828"/>
      <c r="AH1828"/>
      <c r="AI1828"/>
      <c r="AJ1828"/>
      <c r="AK1828"/>
      <c r="AL1828"/>
    </row>
    <row r="1829" spans="1:38" ht="15.75" customHeight="1" outlineLevel="3" x14ac:dyDescent="0.2">
      <c r="A1829" s="10">
        <v>26</v>
      </c>
      <c r="B1829" s="10" t="s">
        <v>71</v>
      </c>
      <c r="C1829" s="10" t="s">
        <v>425</v>
      </c>
      <c r="D1829" s="10" t="s">
        <v>421</v>
      </c>
      <c r="E1829" s="11" t="str">
        <f t="array" ref="E1829">_xlfn.XLOOKUP(D1829,Insumos!B:B,Insumos!C:$C)</f>
        <v>M</v>
      </c>
      <c r="F1829" s="14">
        <v>4.0011000000000001</v>
      </c>
      <c r="G1829" s="92">
        <f t="array" ref="G1829">IF(B1829="insumo",_xlfn.XLOOKUP($D1829,Insumos!$B$1:$B$996,Insumos!$D$1:$D$996),"")</f>
        <v>18.09</v>
      </c>
      <c r="H1829" s="92">
        <v>72.379898999999995</v>
      </c>
      <c r="I1829" s="13">
        <v>0</v>
      </c>
      <c r="J1829" s="13">
        <v>0</v>
      </c>
      <c r="K1829" s="13"/>
      <c r="L1829"/>
      <c r="M1829"/>
      <c r="N1829"/>
      <c r="O1829"/>
      <c r="P1829"/>
      <c r="Q1829"/>
      <c r="R1829"/>
      <c r="S1829"/>
      <c r="T1829"/>
      <c r="U1829"/>
      <c r="V1829"/>
      <c r="W1829"/>
      <c r="X1829"/>
      <c r="Y1829"/>
      <c r="Z1829"/>
      <c r="AA1829"/>
      <c r="AB1829"/>
      <c r="AC1829"/>
      <c r="AD1829"/>
      <c r="AE1829"/>
      <c r="AF1829"/>
      <c r="AG1829"/>
      <c r="AH1829"/>
      <c r="AI1829"/>
      <c r="AJ1829"/>
      <c r="AK1829"/>
      <c r="AL1829"/>
    </row>
    <row r="1830" spans="1:38" ht="15.75" customHeight="1" outlineLevel="3" x14ac:dyDescent="0.2">
      <c r="A1830" s="10">
        <v>95</v>
      </c>
      <c r="B1830" s="10" t="s">
        <v>71</v>
      </c>
      <c r="C1830" s="10" t="s">
        <v>425</v>
      </c>
      <c r="D1830" s="10" t="s">
        <v>405</v>
      </c>
      <c r="E1830" s="11" t="str">
        <f t="array" ref="E1830">_xlfn.XLOOKUP(D1830,Insumos!B:B,Insumos!C:$C)</f>
        <v>KG</v>
      </c>
      <c r="F1830" s="14">
        <v>1.0978000000000001</v>
      </c>
      <c r="G1830" s="92">
        <f t="array" ref="G1830">IF(B1830="insumo",_xlfn.XLOOKUP($D1830,Insumos!$B$1:$B$996,Insumos!$D$1:$D$996),"")</f>
        <v>3.43</v>
      </c>
      <c r="H1830" s="92">
        <v>3.7654540000000001</v>
      </c>
      <c r="I1830" s="13">
        <v>0</v>
      </c>
      <c r="J1830" s="13">
        <v>0</v>
      </c>
      <c r="K1830" s="13"/>
      <c r="L1830"/>
      <c r="M1830"/>
      <c r="N1830"/>
      <c r="O1830"/>
      <c r="P1830"/>
      <c r="Q1830"/>
      <c r="R1830"/>
      <c r="S1830"/>
      <c r="T1830"/>
      <c r="U1830"/>
      <c r="V1830"/>
      <c r="W1830"/>
      <c r="X1830"/>
      <c r="Y1830"/>
      <c r="Z1830"/>
      <c r="AA1830"/>
      <c r="AB1830"/>
      <c r="AC1830"/>
      <c r="AD1830"/>
      <c r="AE1830"/>
      <c r="AF1830"/>
      <c r="AG1830"/>
      <c r="AH1830"/>
      <c r="AI1830"/>
      <c r="AJ1830"/>
      <c r="AK1830"/>
      <c r="AL1830"/>
    </row>
    <row r="1831" spans="1:38" ht="15.75" customHeight="1" outlineLevel="3" x14ac:dyDescent="0.2">
      <c r="A1831" s="10">
        <v>94</v>
      </c>
      <c r="B1831" s="10" t="s">
        <v>71</v>
      </c>
      <c r="C1831" s="10" t="s">
        <v>425</v>
      </c>
      <c r="D1831" s="10" t="s">
        <v>412</v>
      </c>
      <c r="E1831" s="11" t="str">
        <f t="array" ref="E1831">_xlfn.XLOOKUP(D1831,Insumos!B:B,Insumos!C:$C)</f>
        <v>M</v>
      </c>
      <c r="F1831" s="14">
        <v>2.5026999999999999</v>
      </c>
      <c r="G1831" s="92">
        <f t="array" ref="G1831">IF(B1831="insumo",_xlfn.XLOOKUP($D1831,Insumos!$B$1:$B$996,Insumos!$D$1:$D$996),"")</f>
        <v>0.31</v>
      </c>
      <c r="H1831" s="92">
        <v>0.775837</v>
      </c>
      <c r="I1831" s="13">
        <v>0</v>
      </c>
      <c r="J1831" s="13">
        <v>0</v>
      </c>
      <c r="K1831" s="13"/>
      <c r="L1831"/>
      <c r="M1831"/>
      <c r="N1831"/>
      <c r="O1831"/>
      <c r="P1831"/>
      <c r="Q1831"/>
      <c r="R1831"/>
      <c r="S1831"/>
      <c r="T1831"/>
      <c r="U1831"/>
      <c r="V1831"/>
      <c r="W1831"/>
      <c r="X1831"/>
      <c r="Y1831"/>
      <c r="Z1831"/>
      <c r="AA1831"/>
      <c r="AB1831"/>
      <c r="AC1831"/>
      <c r="AD1831"/>
      <c r="AE1831"/>
      <c r="AF1831"/>
      <c r="AG1831"/>
      <c r="AH1831"/>
      <c r="AI1831"/>
      <c r="AJ1831"/>
      <c r="AK1831"/>
      <c r="AL1831"/>
    </row>
    <row r="1832" spans="1:38" ht="15.75" customHeight="1" outlineLevel="3" x14ac:dyDescent="0.2">
      <c r="A1832" s="10">
        <v>94</v>
      </c>
      <c r="B1832" s="10" t="s">
        <v>71</v>
      </c>
      <c r="C1832" s="10" t="s">
        <v>425</v>
      </c>
      <c r="D1832" s="10" t="s">
        <v>413</v>
      </c>
      <c r="E1832" s="11" t="str">
        <f t="array" ref="E1832">_xlfn.XLOOKUP(D1832,Insumos!B:B,Insumos!C:$C)</f>
        <v>M</v>
      </c>
      <c r="F1832" s="14">
        <v>1.5851</v>
      </c>
      <c r="G1832" s="92">
        <f t="array" ref="G1832">IF(B1832="insumo",_xlfn.XLOOKUP($D1832,Insumos!$B$1:$B$996,Insumos!$D$1:$D$996),"")</f>
        <v>2.74</v>
      </c>
      <c r="H1832" s="92">
        <v>4.3431740000000003</v>
      </c>
      <c r="I1832" s="13">
        <v>0</v>
      </c>
      <c r="J1832" s="13">
        <v>0</v>
      </c>
      <c r="K1832" s="13"/>
      <c r="L1832"/>
      <c r="M1832"/>
      <c r="N1832"/>
      <c r="O1832"/>
      <c r="P1832"/>
      <c r="Q1832"/>
      <c r="R1832"/>
      <c r="S1832"/>
      <c r="T1832"/>
      <c r="U1832"/>
      <c r="V1832"/>
      <c r="W1832"/>
      <c r="X1832"/>
      <c r="Y1832"/>
      <c r="Z1832"/>
      <c r="AA1832"/>
      <c r="AB1832"/>
      <c r="AC1832"/>
      <c r="AD1832"/>
      <c r="AE1832"/>
      <c r="AF1832"/>
      <c r="AG1832"/>
      <c r="AH1832"/>
      <c r="AI1832"/>
      <c r="AJ1832"/>
      <c r="AK1832"/>
      <c r="AL1832"/>
    </row>
    <row r="1833" spans="1:38" ht="15.75" customHeight="1" outlineLevel="3" x14ac:dyDescent="0.2">
      <c r="A1833" s="10">
        <v>97</v>
      </c>
      <c r="B1833" s="10" t="s">
        <v>71</v>
      </c>
      <c r="C1833" s="10" t="s">
        <v>425</v>
      </c>
      <c r="D1833" s="10" t="s">
        <v>414</v>
      </c>
      <c r="E1833" s="11" t="str">
        <f t="array" ref="E1833">_xlfn.XLOOKUP(D1833,Insumos!B:B,Insumos!C:$C)</f>
        <v>UN</v>
      </c>
      <c r="F1833" s="14">
        <v>20.186800000000002</v>
      </c>
      <c r="G1833" s="92">
        <f t="array" ref="G1833">IF(B1833="insumo",_xlfn.XLOOKUP($D1833,Insumos!$B$1:$B$996,Insumos!$D$1:$D$996),"")</f>
        <v>0.09</v>
      </c>
      <c r="H1833" s="92">
        <v>1.8168120000000001</v>
      </c>
      <c r="I1833" s="13">
        <v>0</v>
      </c>
      <c r="J1833" s="13">
        <v>0</v>
      </c>
      <c r="K1833" s="13"/>
      <c r="L1833"/>
      <c r="M1833"/>
      <c r="N1833"/>
      <c r="O1833"/>
      <c r="P1833"/>
      <c r="Q1833"/>
      <c r="R1833"/>
      <c r="S1833"/>
      <c r="T1833"/>
      <c r="U1833"/>
      <c r="V1833"/>
      <c r="W1833"/>
      <c r="X1833"/>
      <c r="Y1833"/>
      <c r="Z1833"/>
      <c r="AA1833"/>
      <c r="AB1833"/>
      <c r="AC1833"/>
      <c r="AD1833"/>
      <c r="AE1833"/>
      <c r="AF1833"/>
      <c r="AG1833"/>
      <c r="AH1833"/>
      <c r="AI1833"/>
      <c r="AJ1833"/>
      <c r="AK1833"/>
      <c r="AL1833"/>
    </row>
    <row r="1834" spans="1:38" ht="15.75" customHeight="1" outlineLevel="3" x14ac:dyDescent="0.2">
      <c r="A1834" s="10">
        <v>95</v>
      </c>
      <c r="B1834" s="10" t="s">
        <v>71</v>
      </c>
      <c r="C1834" s="10" t="s">
        <v>425</v>
      </c>
      <c r="D1834" s="10" t="s">
        <v>415</v>
      </c>
      <c r="E1834" s="11" t="str">
        <f t="array" ref="E1834">_xlfn.XLOOKUP(D1834,Insumos!B:B,Insumos!C:$C)</f>
        <v>UN</v>
      </c>
      <c r="F1834" s="14">
        <v>0.54410000000000003</v>
      </c>
      <c r="G1834" s="92">
        <f t="array" ref="G1834">IF(B1834="insumo",_xlfn.XLOOKUP($D1834,Insumos!$B$1:$B$996,Insumos!$D$1:$D$996),"")</f>
        <v>0.2</v>
      </c>
      <c r="H1834" s="92">
        <v>0.10882</v>
      </c>
      <c r="I1834" s="13">
        <v>0</v>
      </c>
      <c r="J1834" s="13">
        <v>0</v>
      </c>
      <c r="K1834" s="13"/>
      <c r="L1834"/>
      <c r="M1834"/>
      <c r="N1834"/>
      <c r="O1834"/>
      <c r="P1834"/>
      <c r="Q1834"/>
      <c r="R1834"/>
      <c r="S1834"/>
      <c r="T1834"/>
      <c r="U1834"/>
      <c r="V1834"/>
      <c r="W1834"/>
      <c r="X1834"/>
      <c r="Y1834"/>
      <c r="Z1834"/>
      <c r="AA1834"/>
      <c r="AB1834"/>
      <c r="AC1834"/>
      <c r="AD1834"/>
      <c r="AE1834"/>
      <c r="AF1834"/>
      <c r="AG1834"/>
      <c r="AH1834"/>
      <c r="AI1834"/>
      <c r="AJ1834"/>
      <c r="AK1834"/>
      <c r="AL1834"/>
    </row>
    <row r="1835" spans="1:38" ht="15.75" customHeight="1" outlineLevel="3" x14ac:dyDescent="0.2">
      <c r="A1835" s="10">
        <v>35</v>
      </c>
      <c r="B1835" s="10" t="s">
        <v>71</v>
      </c>
      <c r="C1835" s="10" t="s">
        <v>425</v>
      </c>
      <c r="D1835" s="10" t="s">
        <v>1595</v>
      </c>
      <c r="E1835" s="11" t="str">
        <f t="array" ref="E1835">_xlfn.XLOOKUP(D1835,Insumos!B:B,Insumos!C:$C)</f>
        <v>M2</v>
      </c>
      <c r="F1835" s="14">
        <v>1.1000000000000001</v>
      </c>
      <c r="G1835" s="92">
        <f t="array" ref="G1835">IF(B1835="insumo",_xlfn.XLOOKUP($D1835,Insumos!$B$1:$B$996,Insumos!$D$1:$D$996),"")</f>
        <v>13.019333333333332</v>
      </c>
      <c r="H1835" s="92">
        <v>14.3212666666667</v>
      </c>
      <c r="I1835" s="13">
        <v>0</v>
      </c>
      <c r="J1835" s="13">
        <v>0</v>
      </c>
      <c r="K1835" s="13"/>
      <c r="L1835"/>
      <c r="M1835"/>
      <c r="N1835"/>
      <c r="O1835"/>
      <c r="P1835"/>
      <c r="Q1835"/>
      <c r="R1835"/>
      <c r="S1835"/>
      <c r="T1835"/>
      <c r="U1835"/>
      <c r="V1835"/>
      <c r="W1835"/>
      <c r="X1835"/>
      <c r="Y1835"/>
      <c r="Z1835"/>
      <c r="AA1835"/>
      <c r="AB1835"/>
      <c r="AC1835"/>
      <c r="AD1835"/>
      <c r="AE1835"/>
      <c r="AF1835"/>
      <c r="AG1835"/>
      <c r="AH1835"/>
      <c r="AI1835"/>
      <c r="AJ1835"/>
      <c r="AK1835"/>
      <c r="AL1835"/>
    </row>
    <row r="1836" spans="1:38" ht="15.75" customHeight="1" outlineLevel="2" x14ac:dyDescent="0.2">
      <c r="A1836" s="1067">
        <v>1</v>
      </c>
      <c r="B1836" s="1067" t="s">
        <v>68</v>
      </c>
      <c r="C1836" s="1067" t="s">
        <v>1332</v>
      </c>
      <c r="D1836" s="1067" t="s">
        <v>1332</v>
      </c>
      <c r="E1836" s="1068" t="s">
        <v>70</v>
      </c>
      <c r="F1836" s="1067"/>
      <c r="G1836" s="1069" t="str">
        <f t="array" ref="G1836">IF(B1836="insumo",_xlfn.XLOOKUP($D1836,Insumos!$B$1:$B$996,Insumos!$D$1:$D$996),"")</f>
        <v/>
      </c>
      <c r="H1836" s="1069">
        <v>172.96793766666701</v>
      </c>
      <c r="I1836" s="1070">
        <v>0</v>
      </c>
      <c r="J1836" s="1070">
        <v>0</v>
      </c>
      <c r="K1836" s="1070"/>
      <c r="L1836"/>
      <c r="M1836"/>
      <c r="N1836"/>
      <c r="O1836"/>
      <c r="P1836"/>
      <c r="Q1836"/>
      <c r="R1836"/>
      <c r="S1836"/>
      <c r="T1836"/>
      <c r="U1836"/>
      <c r="V1836"/>
      <c r="W1836"/>
      <c r="X1836"/>
      <c r="Y1836"/>
      <c r="Z1836"/>
      <c r="AA1836"/>
      <c r="AB1836"/>
      <c r="AC1836"/>
      <c r="AD1836"/>
      <c r="AE1836"/>
      <c r="AF1836"/>
      <c r="AG1836"/>
      <c r="AH1836"/>
      <c r="AI1836"/>
      <c r="AJ1836"/>
      <c r="AK1836"/>
      <c r="AL1836"/>
    </row>
    <row r="1837" spans="1:38" ht="15.75" customHeight="1" outlineLevel="3" x14ac:dyDescent="0.2">
      <c r="A1837" s="10">
        <v>86</v>
      </c>
      <c r="B1837" s="10" t="s">
        <v>71</v>
      </c>
      <c r="C1837" s="10" t="s">
        <v>1332</v>
      </c>
      <c r="D1837" s="10" t="s">
        <v>407</v>
      </c>
      <c r="E1837" s="11" t="str">
        <f t="array" ref="E1837">_xlfn.XLOOKUP(D1837,Insumos!B:B,Insumos!C:$C)</f>
        <v>M2</v>
      </c>
      <c r="F1837" s="14">
        <v>1</v>
      </c>
      <c r="G1837" s="92">
        <f t="array" ref="G1837">IF(B1837="insumo",_xlfn.XLOOKUP($D1837,Insumos!$B$1:$B$996,Insumos!$D$1:$D$996),"")</f>
        <v>70</v>
      </c>
      <c r="H1837" s="92">
        <v>70</v>
      </c>
      <c r="I1837" s="13">
        <v>0</v>
      </c>
      <c r="J1837" s="13">
        <v>0</v>
      </c>
      <c r="K1837" s="13"/>
      <c r="L1837"/>
      <c r="M1837"/>
      <c r="N1837"/>
      <c r="O1837"/>
      <c r="P1837"/>
      <c r="Q1837"/>
      <c r="R1837"/>
      <c r="S1837"/>
      <c r="T1837"/>
      <c r="U1837"/>
      <c r="V1837"/>
      <c r="W1837"/>
      <c r="X1837"/>
      <c r="Y1837"/>
      <c r="Z1837"/>
      <c r="AA1837"/>
      <c r="AB1837"/>
      <c r="AC1837"/>
      <c r="AD1837"/>
      <c r="AE1837"/>
      <c r="AF1837"/>
      <c r="AG1837"/>
      <c r="AH1837"/>
      <c r="AI1837"/>
      <c r="AJ1837"/>
      <c r="AK1837"/>
      <c r="AL1837"/>
    </row>
    <row r="1838" spans="1:38" ht="15.75" customHeight="1" outlineLevel="3" x14ac:dyDescent="0.2">
      <c r="A1838" s="10">
        <v>95</v>
      </c>
      <c r="B1838" s="10" t="s">
        <v>71</v>
      </c>
      <c r="C1838" s="10" t="s">
        <v>1332</v>
      </c>
      <c r="D1838" s="10" t="s">
        <v>409</v>
      </c>
      <c r="E1838" s="11" t="str">
        <f t="array" ref="E1838">_xlfn.XLOOKUP(D1838,Insumos!B:B,Insumos!C:$C)</f>
        <v>UN</v>
      </c>
      <c r="F1838" s="14">
        <v>5.92</v>
      </c>
      <c r="G1838" s="92">
        <f t="array" ref="G1838">IF(B1838="insumo",_xlfn.XLOOKUP($D1838,Insumos!$B$1:$B$996,Insumos!$D$1:$D$996),"")</f>
        <v>0.504</v>
      </c>
      <c r="H1838" s="92">
        <v>2.9836800000000001</v>
      </c>
      <c r="I1838" s="13">
        <v>0</v>
      </c>
      <c r="J1838" s="13">
        <v>0</v>
      </c>
      <c r="K1838" s="13"/>
      <c r="L1838"/>
      <c r="M1838"/>
      <c r="N1838"/>
      <c r="O1838"/>
      <c r="P1838"/>
      <c r="Q1838"/>
      <c r="R1838"/>
      <c r="S1838"/>
      <c r="T1838"/>
      <c r="U1838"/>
      <c r="V1838"/>
      <c r="W1838"/>
      <c r="X1838"/>
      <c r="Y1838"/>
      <c r="Z1838"/>
      <c r="AA1838"/>
      <c r="AB1838"/>
      <c r="AC1838"/>
      <c r="AD1838"/>
      <c r="AE1838"/>
      <c r="AF1838"/>
      <c r="AG1838"/>
      <c r="AH1838"/>
      <c r="AI1838"/>
      <c r="AJ1838"/>
      <c r="AK1838"/>
      <c r="AL1838"/>
    </row>
    <row r="1839" spans="1:38" ht="15.75" customHeight="1" outlineLevel="3" x14ac:dyDescent="0.2">
      <c r="A1839" s="10">
        <v>26</v>
      </c>
      <c r="B1839" s="10" t="s">
        <v>71</v>
      </c>
      <c r="C1839" s="10" t="s">
        <v>1332</v>
      </c>
      <c r="D1839" s="10" t="s">
        <v>420</v>
      </c>
      <c r="E1839" s="11" t="str">
        <f t="array" ref="E1839">_xlfn.XLOOKUP(D1839,Insumos!B:B,Insumos!C:$C)</f>
        <v>M</v>
      </c>
      <c r="F1839" s="14">
        <v>1.5247999999999999</v>
      </c>
      <c r="G1839" s="92">
        <f t="array" ref="G1839">IF(B1839="insumo",_xlfn.XLOOKUP($D1839,Insumos!$B$1:$B$996,Insumos!$D$1:$D$996),"")</f>
        <v>8.64</v>
      </c>
      <c r="H1839" s="92">
        <v>13.174272</v>
      </c>
      <c r="I1839" s="13">
        <v>0</v>
      </c>
      <c r="J1839" s="13">
        <v>0</v>
      </c>
      <c r="K1839" s="13"/>
      <c r="L1839"/>
      <c r="M1839"/>
      <c r="N1839"/>
      <c r="O1839"/>
      <c r="P1839"/>
      <c r="Q1839"/>
      <c r="R1839"/>
      <c r="S1839"/>
      <c r="T1839"/>
      <c r="U1839"/>
      <c r="V1839"/>
      <c r="W1839"/>
      <c r="X1839"/>
      <c r="Y1839"/>
      <c r="Z1839"/>
      <c r="AA1839"/>
      <c r="AB1839"/>
      <c r="AC1839"/>
      <c r="AD1839"/>
      <c r="AE1839"/>
      <c r="AF1839"/>
      <c r="AG1839"/>
      <c r="AH1839"/>
      <c r="AI1839"/>
      <c r="AJ1839"/>
      <c r="AK1839"/>
      <c r="AL1839"/>
    </row>
    <row r="1840" spans="1:38" ht="15.75" customHeight="1" outlineLevel="3" x14ac:dyDescent="0.2">
      <c r="A1840" s="10">
        <v>26</v>
      </c>
      <c r="B1840" s="10" t="s">
        <v>71</v>
      </c>
      <c r="C1840" s="10" t="s">
        <v>1332</v>
      </c>
      <c r="D1840" s="10" t="s">
        <v>421</v>
      </c>
      <c r="E1840" s="11" t="str">
        <f t="array" ref="E1840">_xlfn.XLOOKUP(D1840,Insumos!B:B,Insumos!C:$C)</f>
        <v>M</v>
      </c>
      <c r="F1840" s="14">
        <v>4.0011000000000001</v>
      </c>
      <c r="G1840" s="92">
        <f t="array" ref="G1840">IF(B1840="insumo",_xlfn.XLOOKUP($D1840,Insumos!$B$1:$B$996,Insumos!$D$1:$D$996),"")</f>
        <v>18.09</v>
      </c>
      <c r="H1840" s="92">
        <v>72.379898999999995</v>
      </c>
      <c r="I1840" s="13">
        <v>0</v>
      </c>
      <c r="J1840" s="13">
        <v>0</v>
      </c>
      <c r="K1840" s="13"/>
      <c r="L1840"/>
      <c r="M1840"/>
      <c r="N1840"/>
      <c r="O1840"/>
      <c r="P1840"/>
      <c r="Q1840"/>
      <c r="R1840"/>
      <c r="S1840"/>
      <c r="T1840"/>
      <c r="U1840"/>
      <c r="V1840"/>
      <c r="W1840"/>
      <c r="X1840"/>
      <c r="Y1840"/>
      <c r="Z1840"/>
      <c r="AA1840"/>
      <c r="AB1840"/>
      <c r="AC1840"/>
      <c r="AD1840"/>
      <c r="AE1840"/>
      <c r="AF1840"/>
      <c r="AG1840"/>
      <c r="AH1840"/>
      <c r="AI1840"/>
      <c r="AJ1840"/>
      <c r="AK1840"/>
      <c r="AL1840"/>
    </row>
    <row r="1841" spans="1:38" ht="15.75" customHeight="1" outlineLevel="3" x14ac:dyDescent="0.2">
      <c r="A1841" s="10">
        <v>95</v>
      </c>
      <c r="B1841" s="10" t="s">
        <v>71</v>
      </c>
      <c r="C1841" s="10" t="s">
        <v>1332</v>
      </c>
      <c r="D1841" s="10" t="s">
        <v>415</v>
      </c>
      <c r="E1841" s="11" t="str">
        <f t="array" ref="E1841">_xlfn.XLOOKUP(D1841,Insumos!B:B,Insumos!C:$C)</f>
        <v>UN</v>
      </c>
      <c r="F1841" s="14">
        <v>0.54410000000000003</v>
      </c>
      <c r="G1841" s="92">
        <f t="array" ref="G1841">IF(B1841="insumo",_xlfn.XLOOKUP($D1841,Insumos!$B$1:$B$996,Insumos!$D$1:$D$996),"")</f>
        <v>0.2</v>
      </c>
      <c r="H1841" s="92">
        <v>0.10882</v>
      </c>
      <c r="I1841" s="13">
        <v>0</v>
      </c>
      <c r="J1841" s="13">
        <v>0</v>
      </c>
      <c r="K1841" s="13"/>
      <c r="L1841"/>
      <c r="M1841"/>
      <c r="N1841"/>
      <c r="O1841"/>
      <c r="P1841"/>
      <c r="Q1841"/>
      <c r="R1841"/>
      <c r="S1841"/>
      <c r="T1841"/>
      <c r="U1841"/>
      <c r="V1841"/>
      <c r="W1841"/>
      <c r="X1841"/>
      <c r="Y1841"/>
      <c r="Z1841"/>
      <c r="AA1841"/>
      <c r="AB1841"/>
      <c r="AC1841"/>
      <c r="AD1841"/>
      <c r="AE1841"/>
      <c r="AF1841"/>
      <c r="AG1841"/>
      <c r="AH1841"/>
      <c r="AI1841"/>
      <c r="AJ1841"/>
      <c r="AK1841"/>
      <c r="AL1841"/>
    </row>
    <row r="1842" spans="1:38" ht="15.75" customHeight="1" outlineLevel="3" x14ac:dyDescent="0.2">
      <c r="A1842" s="10">
        <v>35</v>
      </c>
      <c r="B1842" s="10" t="s">
        <v>71</v>
      </c>
      <c r="C1842" s="10" t="s">
        <v>1332</v>
      </c>
      <c r="D1842" s="10" t="s">
        <v>1595</v>
      </c>
      <c r="E1842" s="11" t="str">
        <f t="array" ref="E1842">_xlfn.XLOOKUP(D1842,Insumos!B:B,Insumos!C:$C)</f>
        <v>M2</v>
      </c>
      <c r="F1842" s="14">
        <v>1.1000000000000001</v>
      </c>
      <c r="G1842" s="92">
        <f t="array" ref="G1842">IF(B1842="insumo",_xlfn.XLOOKUP($D1842,Insumos!$B$1:$B$996,Insumos!$D$1:$D$996),"")</f>
        <v>13.019333333333332</v>
      </c>
      <c r="H1842" s="92">
        <v>14.3212666666667</v>
      </c>
      <c r="I1842" s="13">
        <v>0</v>
      </c>
      <c r="J1842" s="13">
        <v>0</v>
      </c>
      <c r="K1842" s="13"/>
      <c r="L1842"/>
      <c r="M1842"/>
      <c r="N1842"/>
      <c r="O1842"/>
      <c r="P1842"/>
      <c r="Q1842"/>
      <c r="R1842"/>
      <c r="S1842"/>
      <c r="T1842"/>
      <c r="U1842"/>
      <c r="V1842"/>
      <c r="W1842"/>
      <c r="X1842"/>
      <c r="Y1842"/>
      <c r="Z1842"/>
      <c r="AA1842"/>
      <c r="AB1842"/>
      <c r="AC1842"/>
      <c r="AD1842"/>
      <c r="AE1842"/>
      <c r="AF1842"/>
      <c r="AG1842"/>
      <c r="AH1842"/>
      <c r="AI1842"/>
      <c r="AJ1842"/>
      <c r="AK1842"/>
      <c r="AL1842"/>
    </row>
    <row r="1843" spans="1:38" ht="15.75" customHeight="1" outlineLevel="2" x14ac:dyDescent="0.2">
      <c r="A1843" s="1067">
        <v>1</v>
      </c>
      <c r="B1843" s="1067" t="s">
        <v>68</v>
      </c>
      <c r="C1843" s="1067" t="s">
        <v>1343</v>
      </c>
      <c r="D1843" s="1067" t="s">
        <v>1343</v>
      </c>
      <c r="E1843" s="1068" t="s">
        <v>70</v>
      </c>
      <c r="F1843" s="1067"/>
      <c r="G1843" s="1069" t="str">
        <f t="array" ref="G1843">IF(B1843="insumo",_xlfn.XLOOKUP($D1843,Insumos!$B$1:$B$996,Insumos!$D$1:$D$996),"")</f>
        <v/>
      </c>
      <c r="H1843" s="1069">
        <v>240.74181466666701</v>
      </c>
      <c r="I1843" s="1070">
        <v>0</v>
      </c>
      <c r="J1843" s="1070">
        <v>0</v>
      </c>
      <c r="K1843" s="1070"/>
      <c r="L1843"/>
      <c r="M1843"/>
      <c r="N1843"/>
      <c r="O1843"/>
      <c r="P1843"/>
      <c r="Q1843"/>
      <c r="R1843"/>
      <c r="S1843"/>
      <c r="T1843"/>
      <c r="U1843"/>
      <c r="V1843"/>
      <c r="W1843"/>
      <c r="X1843"/>
      <c r="Y1843"/>
      <c r="Z1843"/>
      <c r="AA1843"/>
      <c r="AB1843"/>
      <c r="AC1843"/>
      <c r="AD1843"/>
      <c r="AE1843"/>
      <c r="AF1843"/>
      <c r="AG1843"/>
      <c r="AH1843"/>
      <c r="AI1843"/>
      <c r="AJ1843"/>
      <c r="AK1843"/>
      <c r="AL1843"/>
    </row>
    <row r="1844" spans="1:38" ht="15.75" customHeight="1" outlineLevel="3" x14ac:dyDescent="0.2">
      <c r="A1844" s="10">
        <v>86</v>
      </c>
      <c r="B1844" s="10" t="s">
        <v>71</v>
      </c>
      <c r="C1844" s="10" t="s">
        <v>1343</v>
      </c>
      <c r="D1844" s="10" t="s">
        <v>407</v>
      </c>
      <c r="E1844" s="11" t="str">
        <f t="array" ref="E1844">_xlfn.XLOOKUP(D1844,Insumos!B:B,Insumos!C:$C)</f>
        <v>M2</v>
      </c>
      <c r="F1844" s="14">
        <v>1</v>
      </c>
      <c r="G1844" s="92">
        <f t="array" ref="G1844">IF(B1844="insumo",_xlfn.XLOOKUP($D1844,Insumos!$B$1:$B$996,Insumos!$D$1:$D$996),"")</f>
        <v>70</v>
      </c>
      <c r="H1844" s="92">
        <v>70</v>
      </c>
      <c r="I1844" s="13">
        <v>0</v>
      </c>
      <c r="J1844" s="13">
        <v>0</v>
      </c>
      <c r="K1844" s="13"/>
      <c r="L1844"/>
      <c r="M1844"/>
      <c r="N1844"/>
      <c r="O1844"/>
      <c r="P1844"/>
      <c r="Q1844"/>
      <c r="R1844"/>
      <c r="S1844"/>
      <c r="T1844"/>
      <c r="U1844"/>
      <c r="V1844"/>
      <c r="W1844"/>
      <c r="X1844"/>
      <c r="Y1844"/>
      <c r="Z1844"/>
      <c r="AA1844"/>
      <c r="AB1844"/>
      <c r="AC1844"/>
      <c r="AD1844"/>
      <c r="AE1844"/>
      <c r="AF1844"/>
      <c r="AG1844"/>
      <c r="AH1844"/>
      <c r="AI1844"/>
      <c r="AJ1844"/>
      <c r="AK1844"/>
      <c r="AL1844"/>
    </row>
    <row r="1845" spans="1:38" ht="15.75" customHeight="1" outlineLevel="3" x14ac:dyDescent="0.2">
      <c r="A1845" s="10">
        <v>49</v>
      </c>
      <c r="B1845" s="10" t="s">
        <v>71</v>
      </c>
      <c r="C1845" s="10" t="s">
        <v>1343</v>
      </c>
      <c r="D1845" s="10" t="s">
        <v>418</v>
      </c>
      <c r="E1845" s="11" t="str">
        <f t="array" ref="E1845">_xlfn.XLOOKUP(D1845,Insumos!B:B,Insumos!C:$C)</f>
        <v>M2</v>
      </c>
      <c r="F1845" s="14">
        <v>2.1059999999999999</v>
      </c>
      <c r="G1845" s="92">
        <f t="array" ref="G1845">IF(B1845="insumo",_xlfn.XLOOKUP($D1845,Insumos!$B$1:$B$996,Insumos!$D$1:$D$996),"")</f>
        <v>27.1</v>
      </c>
      <c r="H1845" s="92">
        <v>57.072600000000001</v>
      </c>
      <c r="I1845" s="13">
        <v>0</v>
      </c>
      <c r="J1845" s="13">
        <v>0</v>
      </c>
      <c r="K1845" s="13"/>
      <c r="L1845"/>
      <c r="M1845"/>
      <c r="N1845"/>
      <c r="O1845"/>
      <c r="P1845"/>
      <c r="Q1845"/>
      <c r="R1845"/>
      <c r="S1845"/>
      <c r="T1845"/>
      <c r="U1845"/>
      <c r="V1845"/>
      <c r="W1845"/>
      <c r="X1845"/>
      <c r="Y1845"/>
      <c r="Z1845"/>
      <c r="AA1845"/>
      <c r="AB1845"/>
      <c r="AC1845"/>
      <c r="AD1845"/>
      <c r="AE1845"/>
      <c r="AF1845"/>
      <c r="AG1845"/>
      <c r="AH1845"/>
      <c r="AI1845"/>
      <c r="AJ1845"/>
      <c r="AK1845"/>
      <c r="AL1845"/>
    </row>
    <row r="1846" spans="1:38" ht="15.75" customHeight="1" outlineLevel="3" x14ac:dyDescent="0.2">
      <c r="A1846" s="10">
        <v>95</v>
      </c>
      <c r="B1846" s="10" t="s">
        <v>71</v>
      </c>
      <c r="C1846" s="10" t="s">
        <v>1343</v>
      </c>
      <c r="D1846" s="10" t="s">
        <v>409</v>
      </c>
      <c r="E1846" s="11" t="str">
        <f t="array" ref="E1846">_xlfn.XLOOKUP(D1846,Insumos!B:B,Insumos!C:$C)</f>
        <v>UN</v>
      </c>
      <c r="F1846" s="14">
        <v>5.92</v>
      </c>
      <c r="G1846" s="92">
        <f t="array" ref="G1846">IF(B1846="insumo",_xlfn.XLOOKUP($D1846,Insumos!$B$1:$B$996,Insumos!$D$1:$D$996),"")</f>
        <v>0.504</v>
      </c>
      <c r="H1846" s="92">
        <v>2.9836800000000001</v>
      </c>
      <c r="I1846" s="13">
        <v>0</v>
      </c>
      <c r="J1846" s="13">
        <v>0</v>
      </c>
      <c r="K1846" s="13"/>
      <c r="L1846"/>
      <c r="M1846"/>
      <c r="N1846"/>
      <c r="O1846"/>
      <c r="P1846"/>
      <c r="Q1846"/>
      <c r="R1846"/>
      <c r="S1846"/>
      <c r="T1846"/>
      <c r="U1846"/>
      <c r="V1846"/>
      <c r="W1846"/>
      <c r="X1846"/>
      <c r="Y1846"/>
      <c r="Z1846"/>
      <c r="AA1846"/>
      <c r="AB1846"/>
      <c r="AC1846"/>
      <c r="AD1846"/>
      <c r="AE1846"/>
      <c r="AF1846"/>
      <c r="AG1846"/>
      <c r="AH1846"/>
      <c r="AI1846"/>
      <c r="AJ1846"/>
      <c r="AK1846"/>
      <c r="AL1846"/>
    </row>
    <row r="1847" spans="1:38" ht="15.75" customHeight="1" outlineLevel="3" x14ac:dyDescent="0.2">
      <c r="A1847" s="10">
        <v>26</v>
      </c>
      <c r="B1847" s="10" t="s">
        <v>71</v>
      </c>
      <c r="C1847" s="10" t="s">
        <v>1343</v>
      </c>
      <c r="D1847" s="10" t="s">
        <v>420</v>
      </c>
      <c r="E1847" s="11" t="str">
        <f t="array" ref="E1847">_xlfn.XLOOKUP(D1847,Insumos!B:B,Insumos!C:$C)</f>
        <v>M</v>
      </c>
      <c r="F1847" s="14">
        <v>1.5247999999999999</v>
      </c>
      <c r="G1847" s="92">
        <f t="array" ref="G1847">IF(B1847="insumo",_xlfn.XLOOKUP($D1847,Insumos!$B$1:$B$996,Insumos!$D$1:$D$996),"")</f>
        <v>8.64</v>
      </c>
      <c r="H1847" s="92">
        <v>13.174272</v>
      </c>
      <c r="I1847" s="13">
        <v>0</v>
      </c>
      <c r="J1847" s="13">
        <v>0</v>
      </c>
      <c r="K1847" s="13"/>
      <c r="L1847"/>
      <c r="M1847"/>
      <c r="N1847"/>
      <c r="O1847"/>
      <c r="P1847"/>
      <c r="Q1847"/>
      <c r="R1847"/>
      <c r="S1847"/>
      <c r="T1847"/>
      <c r="U1847"/>
      <c r="V1847"/>
      <c r="W1847"/>
      <c r="X1847"/>
      <c r="Y1847"/>
      <c r="Z1847"/>
      <c r="AA1847"/>
      <c r="AB1847"/>
      <c r="AC1847"/>
      <c r="AD1847"/>
      <c r="AE1847"/>
      <c r="AF1847"/>
      <c r="AG1847"/>
      <c r="AH1847"/>
      <c r="AI1847"/>
      <c r="AJ1847"/>
      <c r="AK1847"/>
      <c r="AL1847"/>
    </row>
    <row r="1848" spans="1:38" ht="15.75" customHeight="1" outlineLevel="3" x14ac:dyDescent="0.2">
      <c r="A1848" s="10">
        <v>26</v>
      </c>
      <c r="B1848" s="10" t="s">
        <v>71</v>
      </c>
      <c r="C1848" s="10" t="s">
        <v>1343</v>
      </c>
      <c r="D1848" s="10" t="s">
        <v>421</v>
      </c>
      <c r="E1848" s="11" t="str">
        <f t="array" ref="E1848">_xlfn.XLOOKUP(D1848,Insumos!B:B,Insumos!C:$C)</f>
        <v>M</v>
      </c>
      <c r="F1848" s="14">
        <v>4.0011000000000001</v>
      </c>
      <c r="G1848" s="92">
        <f t="array" ref="G1848">IF(B1848="insumo",_xlfn.XLOOKUP($D1848,Insumos!$B$1:$B$996,Insumos!$D$1:$D$996),"")</f>
        <v>18.09</v>
      </c>
      <c r="H1848" s="92">
        <v>72.379898999999995</v>
      </c>
      <c r="I1848" s="13">
        <v>0</v>
      </c>
      <c r="J1848" s="13">
        <v>0</v>
      </c>
      <c r="K1848" s="13"/>
      <c r="L1848"/>
      <c r="M1848"/>
      <c r="N1848"/>
      <c r="O1848"/>
      <c r="P1848"/>
      <c r="Q1848"/>
      <c r="R1848"/>
      <c r="S1848"/>
      <c r="T1848"/>
      <c r="U1848"/>
      <c r="V1848"/>
      <c r="W1848"/>
      <c r="X1848"/>
      <c r="Y1848"/>
      <c r="Z1848"/>
      <c r="AA1848"/>
      <c r="AB1848"/>
      <c r="AC1848"/>
      <c r="AD1848"/>
      <c r="AE1848"/>
      <c r="AF1848"/>
      <c r="AG1848"/>
      <c r="AH1848"/>
      <c r="AI1848"/>
      <c r="AJ1848"/>
      <c r="AK1848"/>
      <c r="AL1848"/>
    </row>
    <row r="1849" spans="1:38" ht="15.75" customHeight="1" outlineLevel="3" x14ac:dyDescent="0.2">
      <c r="A1849" s="10">
        <v>95</v>
      </c>
      <c r="B1849" s="10" t="s">
        <v>71</v>
      </c>
      <c r="C1849" s="10" t="s">
        <v>1343</v>
      </c>
      <c r="D1849" s="10" t="s">
        <v>405</v>
      </c>
      <c r="E1849" s="11" t="str">
        <f t="array" ref="E1849">_xlfn.XLOOKUP(D1849,Insumos!B:B,Insumos!C:$C)</f>
        <v>KG</v>
      </c>
      <c r="F1849" s="14">
        <v>1.0978000000000001</v>
      </c>
      <c r="G1849" s="92">
        <f t="array" ref="G1849">IF(B1849="insumo",_xlfn.XLOOKUP($D1849,Insumos!$B$1:$B$996,Insumos!$D$1:$D$996),"")</f>
        <v>3.43</v>
      </c>
      <c r="H1849" s="92">
        <v>3.7654540000000001</v>
      </c>
      <c r="I1849" s="13">
        <v>0</v>
      </c>
      <c r="J1849" s="13">
        <v>0</v>
      </c>
      <c r="K1849" s="13"/>
      <c r="L1849"/>
      <c r="M1849"/>
      <c r="N1849"/>
      <c r="O1849"/>
      <c r="P1849"/>
      <c r="Q1849"/>
      <c r="R1849"/>
      <c r="S1849"/>
      <c r="T1849"/>
      <c r="U1849"/>
      <c r="V1849"/>
      <c r="W1849"/>
      <c r="X1849"/>
      <c r="Y1849"/>
      <c r="Z1849"/>
      <c r="AA1849"/>
      <c r="AB1849"/>
      <c r="AC1849"/>
      <c r="AD1849"/>
      <c r="AE1849"/>
      <c r="AF1849"/>
      <c r="AG1849"/>
      <c r="AH1849"/>
      <c r="AI1849"/>
      <c r="AJ1849"/>
      <c r="AK1849"/>
      <c r="AL1849"/>
    </row>
    <row r="1850" spans="1:38" ht="15.75" customHeight="1" outlineLevel="3" x14ac:dyDescent="0.2">
      <c r="A1850" s="10">
        <v>94</v>
      </c>
      <c r="B1850" s="10" t="s">
        <v>71</v>
      </c>
      <c r="C1850" s="10" t="s">
        <v>1343</v>
      </c>
      <c r="D1850" s="10" t="s">
        <v>412</v>
      </c>
      <c r="E1850" s="11" t="str">
        <f t="array" ref="E1850">_xlfn.XLOOKUP(D1850,Insumos!B:B,Insumos!C:$C)</f>
        <v>M</v>
      </c>
      <c r="F1850" s="14">
        <v>2.5026999999999999</v>
      </c>
      <c r="G1850" s="92">
        <f t="array" ref="G1850">IF(B1850="insumo",_xlfn.XLOOKUP($D1850,Insumos!$B$1:$B$996,Insumos!$D$1:$D$996),"")</f>
        <v>0.31</v>
      </c>
      <c r="H1850" s="92">
        <v>0.775837</v>
      </c>
      <c r="I1850" s="13">
        <v>0</v>
      </c>
      <c r="J1850" s="13">
        <v>0</v>
      </c>
      <c r="K1850" s="13"/>
      <c r="L1850"/>
      <c r="M1850"/>
      <c r="N1850"/>
      <c r="O1850"/>
      <c r="P1850"/>
      <c r="Q1850"/>
      <c r="R1850"/>
      <c r="S1850"/>
      <c r="T1850"/>
      <c r="U1850"/>
      <c r="V1850"/>
      <c r="W1850"/>
      <c r="X1850"/>
      <c r="Y1850"/>
      <c r="Z1850"/>
      <c r="AA1850"/>
      <c r="AB1850"/>
      <c r="AC1850"/>
      <c r="AD1850"/>
      <c r="AE1850"/>
      <c r="AF1850"/>
      <c r="AG1850"/>
      <c r="AH1850"/>
      <c r="AI1850"/>
      <c r="AJ1850"/>
      <c r="AK1850"/>
      <c r="AL1850"/>
    </row>
    <row r="1851" spans="1:38" ht="15.75" customHeight="1" outlineLevel="3" x14ac:dyDescent="0.2">
      <c r="A1851" s="10">
        <v>94</v>
      </c>
      <c r="B1851" s="10" t="s">
        <v>71</v>
      </c>
      <c r="C1851" s="10" t="s">
        <v>1343</v>
      </c>
      <c r="D1851" s="10" t="s">
        <v>413</v>
      </c>
      <c r="E1851" s="11" t="str">
        <f t="array" ref="E1851">_xlfn.XLOOKUP(D1851,Insumos!B:B,Insumos!C:$C)</f>
        <v>M</v>
      </c>
      <c r="F1851" s="14">
        <v>1.5851</v>
      </c>
      <c r="G1851" s="92">
        <f t="array" ref="G1851">IF(B1851="insumo",_xlfn.XLOOKUP($D1851,Insumos!$B$1:$B$996,Insumos!$D$1:$D$996),"")</f>
        <v>2.74</v>
      </c>
      <c r="H1851" s="92">
        <v>4.3431740000000003</v>
      </c>
      <c r="I1851" s="13">
        <v>0</v>
      </c>
      <c r="J1851" s="13">
        <v>0</v>
      </c>
      <c r="K1851" s="13"/>
      <c r="L1851"/>
      <c r="M1851"/>
      <c r="N1851"/>
      <c r="O1851"/>
      <c r="P1851"/>
      <c r="Q1851"/>
      <c r="R1851"/>
      <c r="S1851"/>
      <c r="T1851"/>
      <c r="U1851"/>
      <c r="V1851"/>
      <c r="W1851"/>
      <c r="X1851"/>
      <c r="Y1851"/>
      <c r="Z1851"/>
      <c r="AA1851"/>
      <c r="AB1851"/>
      <c r="AC1851"/>
      <c r="AD1851"/>
      <c r="AE1851"/>
      <c r="AF1851"/>
      <c r="AG1851"/>
      <c r="AH1851"/>
      <c r="AI1851"/>
      <c r="AJ1851"/>
      <c r="AK1851"/>
      <c r="AL1851"/>
    </row>
    <row r="1852" spans="1:38" ht="15.75" customHeight="1" outlineLevel="3" x14ac:dyDescent="0.2">
      <c r="A1852" s="10">
        <v>97</v>
      </c>
      <c r="B1852" s="10" t="s">
        <v>71</v>
      </c>
      <c r="C1852" s="10" t="s">
        <v>1343</v>
      </c>
      <c r="D1852" s="10" t="s">
        <v>414</v>
      </c>
      <c r="E1852" s="11" t="str">
        <f t="array" ref="E1852">_xlfn.XLOOKUP(D1852,Insumos!B:B,Insumos!C:$C)</f>
        <v>UN</v>
      </c>
      <c r="F1852" s="14">
        <v>20.186800000000002</v>
      </c>
      <c r="G1852" s="92">
        <f t="array" ref="G1852">IF(B1852="insumo",_xlfn.XLOOKUP($D1852,Insumos!$B$1:$B$996,Insumos!$D$1:$D$996),"")</f>
        <v>0.09</v>
      </c>
      <c r="H1852" s="92">
        <v>1.8168120000000001</v>
      </c>
      <c r="I1852" s="13">
        <v>0</v>
      </c>
      <c r="J1852" s="13">
        <v>0</v>
      </c>
      <c r="K1852" s="13"/>
      <c r="L1852"/>
      <c r="M1852"/>
      <c r="N1852"/>
      <c r="O1852"/>
      <c r="P1852"/>
      <c r="Q1852"/>
      <c r="R1852"/>
      <c r="S1852"/>
      <c r="T1852"/>
      <c r="U1852"/>
      <c r="V1852"/>
      <c r="W1852"/>
      <c r="X1852"/>
      <c r="Y1852"/>
      <c r="Z1852"/>
      <c r="AA1852"/>
      <c r="AB1852"/>
      <c r="AC1852"/>
      <c r="AD1852"/>
      <c r="AE1852"/>
      <c r="AF1852"/>
      <c r="AG1852"/>
      <c r="AH1852"/>
      <c r="AI1852"/>
      <c r="AJ1852"/>
      <c r="AK1852"/>
      <c r="AL1852"/>
    </row>
    <row r="1853" spans="1:38" ht="15.75" customHeight="1" outlineLevel="3" x14ac:dyDescent="0.2">
      <c r="A1853" s="10">
        <v>95</v>
      </c>
      <c r="B1853" s="10" t="s">
        <v>71</v>
      </c>
      <c r="C1853" s="10" t="s">
        <v>1343</v>
      </c>
      <c r="D1853" s="10" t="s">
        <v>415</v>
      </c>
      <c r="E1853" s="11" t="str">
        <f t="array" ref="E1853">_xlfn.XLOOKUP(D1853,Insumos!B:B,Insumos!C:$C)</f>
        <v>UN</v>
      </c>
      <c r="F1853" s="14">
        <v>0.54410000000000003</v>
      </c>
      <c r="G1853" s="92">
        <f t="array" ref="G1853">IF(B1853="insumo",_xlfn.XLOOKUP($D1853,Insumos!$B$1:$B$996,Insumos!$D$1:$D$996),"")</f>
        <v>0.2</v>
      </c>
      <c r="H1853" s="92">
        <v>0.10882</v>
      </c>
      <c r="I1853" s="13">
        <v>0</v>
      </c>
      <c r="J1853" s="13">
        <v>0</v>
      </c>
      <c r="K1853" s="13"/>
      <c r="L1853"/>
      <c r="M1853"/>
      <c r="N1853"/>
      <c r="O1853"/>
      <c r="P1853"/>
      <c r="Q1853"/>
      <c r="R1853"/>
      <c r="S1853"/>
      <c r="T1853"/>
      <c r="U1853"/>
      <c r="V1853"/>
      <c r="W1853"/>
      <c r="X1853"/>
      <c r="Y1853"/>
      <c r="Z1853"/>
      <c r="AA1853"/>
      <c r="AB1853"/>
      <c r="AC1853"/>
      <c r="AD1853"/>
      <c r="AE1853"/>
      <c r="AF1853"/>
      <c r="AG1853"/>
      <c r="AH1853"/>
      <c r="AI1853"/>
      <c r="AJ1853"/>
      <c r="AK1853"/>
      <c r="AL1853"/>
    </row>
    <row r="1854" spans="1:38" ht="15.75" customHeight="1" outlineLevel="3" x14ac:dyDescent="0.2">
      <c r="A1854" s="10">
        <v>35</v>
      </c>
      <c r="B1854" s="10" t="s">
        <v>71</v>
      </c>
      <c r="C1854" s="10" t="s">
        <v>1343</v>
      </c>
      <c r="D1854" s="10" t="s">
        <v>1595</v>
      </c>
      <c r="E1854" s="11" t="str">
        <f t="array" ref="E1854">_xlfn.XLOOKUP(D1854,Insumos!B:B,Insumos!C:$C)</f>
        <v>M2</v>
      </c>
      <c r="F1854" s="14">
        <v>1.1000000000000001</v>
      </c>
      <c r="G1854" s="92">
        <f t="array" ref="G1854">IF(B1854="insumo",_xlfn.XLOOKUP($D1854,Insumos!$B$1:$B$996,Insumos!$D$1:$D$996),"")</f>
        <v>13.019333333333332</v>
      </c>
      <c r="H1854" s="92">
        <v>14.3212666666667</v>
      </c>
      <c r="I1854" s="13">
        <v>0</v>
      </c>
      <c r="J1854" s="13">
        <v>0</v>
      </c>
      <c r="K1854" s="13"/>
      <c r="L1854"/>
      <c r="M1854"/>
      <c r="N1854"/>
      <c r="O1854"/>
      <c r="P1854"/>
      <c r="Q1854"/>
      <c r="R1854"/>
      <c r="S1854"/>
      <c r="T1854"/>
      <c r="U1854"/>
      <c r="V1854"/>
      <c r="W1854"/>
      <c r="X1854"/>
      <c r="Y1854"/>
      <c r="Z1854"/>
      <c r="AA1854"/>
      <c r="AB1854"/>
      <c r="AC1854"/>
      <c r="AD1854"/>
      <c r="AE1854"/>
      <c r="AF1854"/>
      <c r="AG1854"/>
      <c r="AH1854"/>
      <c r="AI1854"/>
      <c r="AJ1854"/>
      <c r="AK1854"/>
      <c r="AL1854"/>
    </row>
    <row r="1855" spans="1:38" ht="15.75" customHeight="1" outlineLevel="2" x14ac:dyDescent="0.2">
      <c r="A1855" s="1067">
        <v>1</v>
      </c>
      <c r="B1855" s="1067" t="s">
        <v>68</v>
      </c>
      <c r="C1855" s="1067" t="s">
        <v>1344</v>
      </c>
      <c r="D1855" s="1067" t="s">
        <v>1344</v>
      </c>
      <c r="E1855" s="1068" t="s">
        <v>70</v>
      </c>
      <c r="F1855" s="1067"/>
      <c r="G1855" s="1069" t="str">
        <f t="array" ref="G1855">IF(B1855="insumo",_xlfn.XLOOKUP($D1855,Insumos!$B$1:$B$996,Insumos!$D$1:$D$996),"")</f>
        <v/>
      </c>
      <c r="H1855" s="1069">
        <v>240.74181466666701</v>
      </c>
      <c r="I1855" s="1070">
        <v>0</v>
      </c>
      <c r="J1855" s="1070">
        <v>0</v>
      </c>
      <c r="K1855" s="1070"/>
      <c r="L1855"/>
      <c r="M1855"/>
      <c r="N1855"/>
      <c r="O1855"/>
      <c r="P1855"/>
      <c r="Q1855"/>
      <c r="R1855"/>
      <c r="S1855"/>
      <c r="T1855"/>
      <c r="U1855"/>
      <c r="V1855"/>
      <c r="W1855"/>
      <c r="X1855"/>
      <c r="Y1855"/>
      <c r="Z1855"/>
      <c r="AA1855"/>
      <c r="AB1855"/>
      <c r="AC1855"/>
      <c r="AD1855"/>
      <c r="AE1855"/>
      <c r="AF1855"/>
      <c r="AG1855"/>
      <c r="AH1855"/>
      <c r="AI1855"/>
      <c r="AJ1855"/>
      <c r="AK1855"/>
      <c r="AL1855"/>
    </row>
    <row r="1856" spans="1:38" ht="15.75" customHeight="1" outlineLevel="3" x14ac:dyDescent="0.2">
      <c r="A1856" s="10">
        <v>86</v>
      </c>
      <c r="B1856" s="10" t="s">
        <v>71</v>
      </c>
      <c r="C1856" s="10" t="s">
        <v>1344</v>
      </c>
      <c r="D1856" s="10" t="s">
        <v>407</v>
      </c>
      <c r="E1856" s="11" t="str">
        <f t="array" ref="E1856">_xlfn.XLOOKUP(D1856,Insumos!B:B,Insumos!C:$C)</f>
        <v>M2</v>
      </c>
      <c r="F1856" s="14">
        <v>1</v>
      </c>
      <c r="G1856" s="92">
        <f t="array" ref="G1856">IF(B1856="insumo",_xlfn.XLOOKUP($D1856,Insumos!$B$1:$B$996,Insumos!$D$1:$D$996),"")</f>
        <v>70</v>
      </c>
      <c r="H1856" s="92">
        <v>70</v>
      </c>
      <c r="I1856" s="13">
        <v>0</v>
      </c>
      <c r="J1856" s="13">
        <v>0</v>
      </c>
      <c r="K1856" s="13"/>
      <c r="L1856"/>
      <c r="M1856"/>
      <c r="N1856"/>
      <c r="O1856"/>
      <c r="P1856"/>
      <c r="Q1856"/>
      <c r="R1856"/>
      <c r="S1856"/>
      <c r="T1856"/>
      <c r="U1856"/>
      <c r="V1856"/>
      <c r="W1856"/>
      <c r="X1856"/>
      <c r="Y1856"/>
      <c r="Z1856"/>
      <c r="AA1856"/>
      <c r="AB1856"/>
      <c r="AC1856"/>
      <c r="AD1856"/>
      <c r="AE1856"/>
      <c r="AF1856"/>
      <c r="AG1856"/>
      <c r="AH1856"/>
      <c r="AI1856"/>
      <c r="AJ1856"/>
      <c r="AK1856"/>
      <c r="AL1856"/>
    </row>
    <row r="1857" spans="1:38" ht="15.75" customHeight="1" outlineLevel="3" x14ac:dyDescent="0.2">
      <c r="A1857" s="10">
        <v>49</v>
      </c>
      <c r="B1857" s="10" t="s">
        <v>71</v>
      </c>
      <c r="C1857" s="10" t="s">
        <v>1344</v>
      </c>
      <c r="D1857" s="10" t="s">
        <v>418</v>
      </c>
      <c r="E1857" s="11" t="str">
        <f t="array" ref="E1857">_xlfn.XLOOKUP(D1857,Insumos!B:B,Insumos!C:$C)</f>
        <v>M2</v>
      </c>
      <c r="F1857" s="14">
        <v>2.1059999999999999</v>
      </c>
      <c r="G1857" s="92">
        <f t="array" ref="G1857">IF(B1857="insumo",_xlfn.XLOOKUP($D1857,Insumos!$B$1:$B$996,Insumos!$D$1:$D$996),"")</f>
        <v>27.1</v>
      </c>
      <c r="H1857" s="92">
        <v>57.072600000000001</v>
      </c>
      <c r="I1857" s="13">
        <v>0</v>
      </c>
      <c r="J1857" s="13">
        <v>0</v>
      </c>
      <c r="K1857" s="13"/>
      <c r="L1857"/>
      <c r="M1857"/>
      <c r="N1857"/>
      <c r="O1857"/>
      <c r="P1857"/>
      <c r="Q1857"/>
      <c r="R1857"/>
      <c r="S1857"/>
      <c r="T1857"/>
      <c r="U1857"/>
      <c r="V1857"/>
      <c r="W1857"/>
      <c r="X1857"/>
      <c r="Y1857"/>
      <c r="Z1857"/>
      <c r="AA1857"/>
      <c r="AB1857"/>
      <c r="AC1857"/>
      <c r="AD1857"/>
      <c r="AE1857"/>
      <c r="AF1857"/>
      <c r="AG1857"/>
      <c r="AH1857"/>
      <c r="AI1857"/>
      <c r="AJ1857"/>
      <c r="AK1857"/>
      <c r="AL1857"/>
    </row>
    <row r="1858" spans="1:38" ht="15.75" customHeight="1" outlineLevel="3" x14ac:dyDescent="0.2">
      <c r="A1858" s="10">
        <v>95</v>
      </c>
      <c r="B1858" s="10" t="s">
        <v>71</v>
      </c>
      <c r="C1858" s="10" t="s">
        <v>1344</v>
      </c>
      <c r="D1858" s="10" t="s">
        <v>409</v>
      </c>
      <c r="E1858" s="11" t="str">
        <f t="array" ref="E1858">_xlfn.XLOOKUP(D1858,Insumos!B:B,Insumos!C:$C)</f>
        <v>UN</v>
      </c>
      <c r="F1858" s="14">
        <v>5.92</v>
      </c>
      <c r="G1858" s="92">
        <f t="array" ref="G1858">IF(B1858="insumo",_xlfn.XLOOKUP($D1858,Insumos!$B$1:$B$996,Insumos!$D$1:$D$996),"")</f>
        <v>0.504</v>
      </c>
      <c r="H1858" s="92">
        <v>2.9836800000000001</v>
      </c>
      <c r="I1858" s="13">
        <v>0</v>
      </c>
      <c r="J1858" s="13">
        <v>0</v>
      </c>
      <c r="K1858" s="13"/>
      <c r="L1858"/>
      <c r="M1858"/>
      <c r="N1858"/>
      <c r="O1858"/>
      <c r="P1858"/>
      <c r="Q1858"/>
      <c r="R1858"/>
      <c r="S1858"/>
      <c r="T1858"/>
      <c r="U1858"/>
      <c r="V1858"/>
      <c r="W1858"/>
      <c r="X1858"/>
      <c r="Y1858"/>
      <c r="Z1858"/>
      <c r="AA1858"/>
      <c r="AB1858"/>
      <c r="AC1858"/>
      <c r="AD1858"/>
      <c r="AE1858"/>
      <c r="AF1858"/>
      <c r="AG1858"/>
      <c r="AH1858"/>
      <c r="AI1858"/>
      <c r="AJ1858"/>
      <c r="AK1858"/>
      <c r="AL1858"/>
    </row>
    <row r="1859" spans="1:38" ht="15.75" customHeight="1" outlineLevel="3" x14ac:dyDescent="0.2">
      <c r="A1859" s="10">
        <v>26</v>
      </c>
      <c r="B1859" s="10" t="s">
        <v>71</v>
      </c>
      <c r="C1859" s="10" t="s">
        <v>1344</v>
      </c>
      <c r="D1859" s="10" t="s">
        <v>420</v>
      </c>
      <c r="E1859" s="11" t="str">
        <f t="array" ref="E1859">_xlfn.XLOOKUP(D1859,Insumos!B:B,Insumos!C:$C)</f>
        <v>M</v>
      </c>
      <c r="F1859" s="14">
        <v>1.5247999999999999</v>
      </c>
      <c r="G1859" s="92">
        <f t="array" ref="G1859">IF(B1859="insumo",_xlfn.XLOOKUP($D1859,Insumos!$B$1:$B$996,Insumos!$D$1:$D$996),"")</f>
        <v>8.64</v>
      </c>
      <c r="H1859" s="92">
        <v>13.174272</v>
      </c>
      <c r="I1859" s="13">
        <v>0</v>
      </c>
      <c r="J1859" s="13">
        <v>0</v>
      </c>
      <c r="K1859" s="13"/>
      <c r="L1859"/>
      <c r="M1859"/>
      <c r="N1859"/>
      <c r="O1859"/>
      <c r="P1859"/>
      <c r="Q1859"/>
      <c r="R1859"/>
      <c r="S1859"/>
      <c r="T1859"/>
      <c r="U1859"/>
      <c r="V1859"/>
      <c r="W1859"/>
      <c r="X1859"/>
      <c r="Y1859"/>
      <c r="Z1859"/>
      <c r="AA1859"/>
      <c r="AB1859"/>
      <c r="AC1859"/>
      <c r="AD1859"/>
      <c r="AE1859"/>
      <c r="AF1859"/>
      <c r="AG1859"/>
      <c r="AH1859"/>
      <c r="AI1859"/>
      <c r="AJ1859"/>
      <c r="AK1859"/>
      <c r="AL1859"/>
    </row>
    <row r="1860" spans="1:38" ht="15.75" customHeight="1" outlineLevel="3" x14ac:dyDescent="0.2">
      <c r="A1860" s="10">
        <v>26</v>
      </c>
      <c r="B1860" s="10" t="s">
        <v>71</v>
      </c>
      <c r="C1860" s="10" t="s">
        <v>1344</v>
      </c>
      <c r="D1860" s="10" t="s">
        <v>421</v>
      </c>
      <c r="E1860" s="11" t="str">
        <f t="array" ref="E1860">_xlfn.XLOOKUP(D1860,Insumos!B:B,Insumos!C:$C)</f>
        <v>M</v>
      </c>
      <c r="F1860" s="14">
        <v>4.0011000000000001</v>
      </c>
      <c r="G1860" s="92">
        <f t="array" ref="G1860">IF(B1860="insumo",_xlfn.XLOOKUP($D1860,Insumos!$B$1:$B$996,Insumos!$D$1:$D$996),"")</f>
        <v>18.09</v>
      </c>
      <c r="H1860" s="92">
        <v>72.379898999999995</v>
      </c>
      <c r="I1860" s="13">
        <v>0</v>
      </c>
      <c r="J1860" s="13">
        <v>0</v>
      </c>
      <c r="K1860" s="13"/>
      <c r="L1860"/>
      <c r="M1860"/>
      <c r="N1860"/>
      <c r="O1860"/>
      <c r="P1860"/>
      <c r="Q1860"/>
      <c r="R1860"/>
      <c r="S1860"/>
      <c r="T1860"/>
      <c r="U1860"/>
      <c r="V1860"/>
      <c r="W1860"/>
      <c r="X1860"/>
      <c r="Y1860"/>
      <c r="Z1860"/>
      <c r="AA1860"/>
      <c r="AB1860"/>
      <c r="AC1860"/>
      <c r="AD1860"/>
      <c r="AE1860"/>
      <c r="AF1860"/>
      <c r="AG1860"/>
      <c r="AH1860"/>
      <c r="AI1860"/>
      <c r="AJ1860"/>
      <c r="AK1860"/>
      <c r="AL1860"/>
    </row>
    <row r="1861" spans="1:38" ht="15.75" customHeight="1" outlineLevel="3" x14ac:dyDescent="0.2">
      <c r="A1861" s="10">
        <v>95</v>
      </c>
      <c r="B1861" s="10" t="s">
        <v>71</v>
      </c>
      <c r="C1861" s="10" t="s">
        <v>1344</v>
      </c>
      <c r="D1861" s="10" t="s">
        <v>405</v>
      </c>
      <c r="E1861" s="11" t="str">
        <f t="array" ref="E1861">_xlfn.XLOOKUP(D1861,Insumos!B:B,Insumos!C:$C)</f>
        <v>KG</v>
      </c>
      <c r="F1861" s="14">
        <v>1.0978000000000001</v>
      </c>
      <c r="G1861" s="92">
        <f t="array" ref="G1861">IF(B1861="insumo",_xlfn.XLOOKUP($D1861,Insumos!$B$1:$B$996,Insumos!$D$1:$D$996),"")</f>
        <v>3.43</v>
      </c>
      <c r="H1861" s="92">
        <v>3.7654540000000001</v>
      </c>
      <c r="I1861" s="13">
        <v>0</v>
      </c>
      <c r="J1861" s="13">
        <v>0</v>
      </c>
      <c r="K1861" s="13"/>
      <c r="L1861"/>
      <c r="M1861"/>
      <c r="N1861"/>
      <c r="O1861"/>
      <c r="P1861"/>
      <c r="Q1861"/>
      <c r="R1861"/>
      <c r="S1861"/>
      <c r="T1861"/>
      <c r="U1861"/>
      <c r="V1861"/>
      <c r="W1861"/>
      <c r="X1861"/>
      <c r="Y1861"/>
      <c r="Z1861"/>
      <c r="AA1861"/>
      <c r="AB1861"/>
      <c r="AC1861"/>
      <c r="AD1861"/>
      <c r="AE1861"/>
      <c r="AF1861"/>
      <c r="AG1861"/>
      <c r="AH1861"/>
      <c r="AI1861"/>
      <c r="AJ1861"/>
      <c r="AK1861"/>
      <c r="AL1861"/>
    </row>
    <row r="1862" spans="1:38" ht="15.75" customHeight="1" outlineLevel="3" x14ac:dyDescent="0.2">
      <c r="A1862" s="10">
        <v>94</v>
      </c>
      <c r="B1862" s="10" t="s">
        <v>71</v>
      </c>
      <c r="C1862" s="10" t="s">
        <v>1344</v>
      </c>
      <c r="D1862" s="10" t="s">
        <v>412</v>
      </c>
      <c r="E1862" s="11" t="str">
        <f t="array" ref="E1862">_xlfn.XLOOKUP(D1862,Insumos!B:B,Insumos!C:$C)</f>
        <v>M</v>
      </c>
      <c r="F1862" s="14">
        <v>2.5026999999999999</v>
      </c>
      <c r="G1862" s="92">
        <f t="array" ref="G1862">IF(B1862="insumo",_xlfn.XLOOKUP($D1862,Insumos!$B$1:$B$996,Insumos!$D$1:$D$996),"")</f>
        <v>0.31</v>
      </c>
      <c r="H1862" s="92">
        <v>0.775837</v>
      </c>
      <c r="I1862" s="13">
        <v>0</v>
      </c>
      <c r="J1862" s="13">
        <v>0</v>
      </c>
      <c r="K1862" s="13"/>
      <c r="L1862"/>
      <c r="M1862"/>
      <c r="N1862"/>
      <c r="O1862"/>
      <c r="P1862"/>
      <c r="Q1862"/>
      <c r="R1862"/>
      <c r="S1862"/>
      <c r="T1862"/>
      <c r="U1862"/>
      <c r="V1862"/>
      <c r="W1862"/>
      <c r="X1862"/>
      <c r="Y1862"/>
      <c r="Z1862"/>
      <c r="AA1862"/>
      <c r="AB1862"/>
      <c r="AC1862"/>
      <c r="AD1862"/>
      <c r="AE1862"/>
      <c r="AF1862"/>
      <c r="AG1862"/>
      <c r="AH1862"/>
      <c r="AI1862"/>
      <c r="AJ1862"/>
      <c r="AK1862"/>
      <c r="AL1862"/>
    </row>
    <row r="1863" spans="1:38" ht="15.75" customHeight="1" outlineLevel="3" x14ac:dyDescent="0.2">
      <c r="A1863" s="10">
        <v>94</v>
      </c>
      <c r="B1863" s="10" t="s">
        <v>71</v>
      </c>
      <c r="C1863" s="10" t="s">
        <v>1344</v>
      </c>
      <c r="D1863" s="10" t="s">
        <v>413</v>
      </c>
      <c r="E1863" s="11" t="str">
        <f t="array" ref="E1863">_xlfn.XLOOKUP(D1863,Insumos!B:B,Insumos!C:$C)</f>
        <v>M</v>
      </c>
      <c r="F1863" s="14">
        <v>1.5851</v>
      </c>
      <c r="G1863" s="92">
        <f t="array" ref="G1863">IF(B1863="insumo",_xlfn.XLOOKUP($D1863,Insumos!$B$1:$B$996,Insumos!$D$1:$D$996),"")</f>
        <v>2.74</v>
      </c>
      <c r="H1863" s="92">
        <v>4.3431740000000003</v>
      </c>
      <c r="I1863" s="13">
        <v>0</v>
      </c>
      <c r="J1863" s="13">
        <v>0</v>
      </c>
      <c r="K1863" s="13"/>
      <c r="L1863"/>
      <c r="M1863"/>
      <c r="N1863"/>
      <c r="O1863"/>
      <c r="P1863"/>
      <c r="Q1863"/>
      <c r="R1863"/>
      <c r="S1863"/>
      <c r="T1863"/>
      <c r="U1863"/>
      <c r="V1863"/>
      <c r="W1863"/>
      <c r="X1863"/>
      <c r="Y1863"/>
      <c r="Z1863"/>
      <c r="AA1863"/>
      <c r="AB1863"/>
      <c r="AC1863"/>
      <c r="AD1863"/>
      <c r="AE1863"/>
      <c r="AF1863"/>
      <c r="AG1863"/>
      <c r="AH1863"/>
      <c r="AI1863"/>
      <c r="AJ1863"/>
      <c r="AK1863"/>
      <c r="AL1863"/>
    </row>
    <row r="1864" spans="1:38" ht="15.75" customHeight="1" outlineLevel="3" x14ac:dyDescent="0.2">
      <c r="A1864" s="10">
        <v>97</v>
      </c>
      <c r="B1864" s="10" t="s">
        <v>71</v>
      </c>
      <c r="C1864" s="10" t="s">
        <v>1344</v>
      </c>
      <c r="D1864" s="10" t="s">
        <v>414</v>
      </c>
      <c r="E1864" s="11" t="str">
        <f t="array" ref="E1864">_xlfn.XLOOKUP(D1864,Insumos!B:B,Insumos!C:$C)</f>
        <v>UN</v>
      </c>
      <c r="F1864" s="14">
        <v>20.186800000000002</v>
      </c>
      <c r="G1864" s="92">
        <f t="array" ref="G1864">IF(B1864="insumo",_xlfn.XLOOKUP($D1864,Insumos!$B$1:$B$996,Insumos!$D$1:$D$996),"")</f>
        <v>0.09</v>
      </c>
      <c r="H1864" s="92">
        <v>1.8168120000000001</v>
      </c>
      <c r="I1864" s="13">
        <v>0</v>
      </c>
      <c r="J1864" s="13">
        <v>0</v>
      </c>
      <c r="K1864" s="13"/>
      <c r="L1864"/>
      <c r="M1864"/>
      <c r="N1864"/>
      <c r="O1864"/>
      <c r="P1864"/>
      <c r="Q1864"/>
      <c r="R1864"/>
      <c r="S1864"/>
      <c r="T1864"/>
      <c r="U1864"/>
      <c r="V1864"/>
      <c r="W1864"/>
      <c r="X1864"/>
      <c r="Y1864"/>
      <c r="Z1864"/>
      <c r="AA1864"/>
      <c r="AB1864"/>
      <c r="AC1864"/>
      <c r="AD1864"/>
      <c r="AE1864"/>
      <c r="AF1864"/>
      <c r="AG1864"/>
      <c r="AH1864"/>
      <c r="AI1864"/>
      <c r="AJ1864"/>
      <c r="AK1864"/>
      <c r="AL1864"/>
    </row>
    <row r="1865" spans="1:38" ht="15.75" customHeight="1" outlineLevel="3" x14ac:dyDescent="0.2">
      <c r="A1865" s="10">
        <v>95</v>
      </c>
      <c r="B1865" s="10" t="s">
        <v>71</v>
      </c>
      <c r="C1865" s="10" t="s">
        <v>1344</v>
      </c>
      <c r="D1865" s="10" t="s">
        <v>415</v>
      </c>
      <c r="E1865" s="11" t="str">
        <f t="array" ref="E1865">_xlfn.XLOOKUP(D1865,Insumos!B:B,Insumos!C:$C)</f>
        <v>UN</v>
      </c>
      <c r="F1865" s="14">
        <v>0.54410000000000003</v>
      </c>
      <c r="G1865" s="92">
        <f t="array" ref="G1865">IF(B1865="insumo",_xlfn.XLOOKUP($D1865,Insumos!$B$1:$B$996,Insumos!$D$1:$D$996),"")</f>
        <v>0.2</v>
      </c>
      <c r="H1865" s="92">
        <v>0.10882</v>
      </c>
      <c r="I1865" s="13">
        <v>0</v>
      </c>
      <c r="J1865" s="13">
        <v>0</v>
      </c>
      <c r="K1865" s="13"/>
      <c r="L1865"/>
      <c r="M1865"/>
      <c r="N1865"/>
      <c r="O1865"/>
      <c r="P1865"/>
      <c r="Q1865"/>
      <c r="R1865"/>
      <c r="S1865"/>
      <c r="T1865"/>
      <c r="U1865"/>
      <c r="V1865"/>
      <c r="W1865"/>
      <c r="X1865"/>
      <c r="Y1865"/>
      <c r="Z1865"/>
      <c r="AA1865"/>
      <c r="AB1865"/>
      <c r="AC1865"/>
      <c r="AD1865"/>
      <c r="AE1865"/>
      <c r="AF1865"/>
      <c r="AG1865"/>
      <c r="AH1865"/>
      <c r="AI1865"/>
      <c r="AJ1865"/>
      <c r="AK1865"/>
      <c r="AL1865"/>
    </row>
    <row r="1866" spans="1:38" ht="15.75" customHeight="1" outlineLevel="3" x14ac:dyDescent="0.2">
      <c r="A1866" s="10">
        <v>35</v>
      </c>
      <c r="B1866" s="10" t="s">
        <v>71</v>
      </c>
      <c r="C1866" s="10" t="s">
        <v>1344</v>
      </c>
      <c r="D1866" s="10" t="s">
        <v>1595</v>
      </c>
      <c r="E1866" s="11" t="str">
        <f t="array" ref="E1866">_xlfn.XLOOKUP(D1866,Insumos!B:B,Insumos!C:$C)</f>
        <v>M2</v>
      </c>
      <c r="F1866" s="14">
        <v>1.1000000000000001</v>
      </c>
      <c r="G1866" s="92">
        <f t="array" ref="G1866">IF(B1866="insumo",_xlfn.XLOOKUP($D1866,Insumos!$B$1:$B$996,Insumos!$D$1:$D$996),"")</f>
        <v>13.019333333333332</v>
      </c>
      <c r="H1866" s="92">
        <v>14.3212666666667</v>
      </c>
      <c r="I1866" s="13">
        <v>0</v>
      </c>
      <c r="J1866" s="13">
        <v>0</v>
      </c>
      <c r="K1866" s="13"/>
      <c r="L1866"/>
      <c r="M1866"/>
      <c r="N1866"/>
      <c r="O1866"/>
      <c r="P1866"/>
      <c r="Q1866"/>
      <c r="R1866"/>
      <c r="S1866"/>
      <c r="T1866"/>
      <c r="U1866"/>
      <c r="V1866"/>
      <c r="W1866"/>
      <c r="X1866"/>
      <c r="Y1866"/>
      <c r="Z1866"/>
      <c r="AA1866"/>
      <c r="AB1866"/>
      <c r="AC1866"/>
      <c r="AD1866"/>
      <c r="AE1866"/>
      <c r="AF1866"/>
      <c r="AG1866"/>
      <c r="AH1866"/>
      <c r="AI1866"/>
      <c r="AJ1866"/>
      <c r="AK1866"/>
      <c r="AL1866"/>
    </row>
    <row r="1867" spans="1:38" ht="15.75" customHeight="1" outlineLevel="2" x14ac:dyDescent="0.2">
      <c r="A1867" s="1067">
        <v>1</v>
      </c>
      <c r="B1867" s="1067" t="s">
        <v>68</v>
      </c>
      <c r="C1867" s="1067" t="s">
        <v>1345</v>
      </c>
      <c r="D1867" s="1067" t="s">
        <v>1345</v>
      </c>
      <c r="E1867" s="1068" t="s">
        <v>70</v>
      </c>
      <c r="F1867" s="1067"/>
      <c r="G1867" s="1069" t="str">
        <f t="array" ref="G1867">IF(B1867="insumo",_xlfn.XLOOKUP($D1867,Insumos!$B$1:$B$996,Insumos!$D$1:$D$996),"")</f>
        <v/>
      </c>
      <c r="H1867" s="1069">
        <v>235.938774666667</v>
      </c>
      <c r="I1867" s="1070">
        <v>0</v>
      </c>
      <c r="J1867" s="1070">
        <v>0</v>
      </c>
      <c r="K1867" s="1070"/>
      <c r="L1867"/>
      <c r="M1867"/>
      <c r="N1867"/>
      <c r="O1867"/>
      <c r="P1867"/>
      <c r="Q1867"/>
      <c r="R1867"/>
      <c r="S1867"/>
      <c r="T1867"/>
      <c r="U1867"/>
      <c r="V1867"/>
      <c r="W1867"/>
      <c r="X1867"/>
      <c r="Y1867"/>
      <c r="Z1867"/>
      <c r="AA1867"/>
      <c r="AB1867"/>
      <c r="AC1867"/>
      <c r="AD1867"/>
      <c r="AE1867"/>
      <c r="AF1867"/>
      <c r="AG1867"/>
      <c r="AH1867"/>
      <c r="AI1867"/>
      <c r="AJ1867"/>
      <c r="AK1867"/>
      <c r="AL1867"/>
    </row>
    <row r="1868" spans="1:38" ht="15.75" customHeight="1" outlineLevel="3" x14ac:dyDescent="0.2">
      <c r="A1868" s="10">
        <v>86</v>
      </c>
      <c r="B1868" s="10" t="s">
        <v>71</v>
      </c>
      <c r="C1868" s="10" t="s">
        <v>1345</v>
      </c>
      <c r="D1868" s="10" t="s">
        <v>407</v>
      </c>
      <c r="E1868" s="11" t="str">
        <f t="array" ref="E1868">_xlfn.XLOOKUP(D1868,Insumos!B:B,Insumos!C:$C)</f>
        <v>M2</v>
      </c>
      <c r="F1868" s="14">
        <v>1</v>
      </c>
      <c r="G1868" s="92">
        <f t="array" ref="G1868">IF(B1868="insumo",_xlfn.XLOOKUP($D1868,Insumos!$B$1:$B$996,Insumos!$D$1:$D$996),"")</f>
        <v>70</v>
      </c>
      <c r="H1868" s="92">
        <v>70</v>
      </c>
      <c r="I1868" s="13">
        <v>0</v>
      </c>
      <c r="J1868" s="13">
        <v>0</v>
      </c>
      <c r="K1868" s="13"/>
      <c r="L1868"/>
      <c r="M1868"/>
      <c r="N1868"/>
      <c r="O1868"/>
      <c r="P1868"/>
      <c r="Q1868"/>
      <c r="R1868"/>
      <c r="S1868"/>
      <c r="T1868"/>
      <c r="U1868"/>
      <c r="V1868"/>
      <c r="W1868"/>
      <c r="X1868"/>
      <c r="Y1868"/>
      <c r="Z1868"/>
      <c r="AA1868"/>
      <c r="AB1868"/>
      <c r="AC1868"/>
      <c r="AD1868"/>
      <c r="AE1868"/>
      <c r="AF1868"/>
      <c r="AG1868"/>
      <c r="AH1868"/>
      <c r="AI1868"/>
      <c r="AJ1868"/>
      <c r="AK1868"/>
      <c r="AL1868"/>
    </row>
    <row r="1869" spans="1:38" ht="15.75" customHeight="1" outlineLevel="3" x14ac:dyDescent="0.2">
      <c r="A1869" s="10">
        <v>49</v>
      </c>
      <c r="B1869" s="10" t="s">
        <v>71</v>
      </c>
      <c r="C1869" s="10" t="s">
        <v>1345</v>
      </c>
      <c r="D1869" s="10" t="s">
        <v>418</v>
      </c>
      <c r="E1869" s="11" t="str">
        <f t="array" ref="E1869">_xlfn.XLOOKUP(D1869,Insumos!B:B,Insumos!C:$C)</f>
        <v>M2</v>
      </c>
      <c r="F1869" s="14">
        <f>1.106</f>
        <v>1.1060000000000001</v>
      </c>
      <c r="G1869" s="92">
        <f t="array" ref="G1869">IF(B1869="insumo",_xlfn.XLOOKUP($D1869,Insumos!$B$1:$B$996,Insumos!$D$1:$D$996),"")</f>
        <v>27.1</v>
      </c>
      <c r="H1869" s="92">
        <v>29.9726</v>
      </c>
      <c r="I1869" s="13">
        <v>0</v>
      </c>
      <c r="J1869" s="13">
        <v>0</v>
      </c>
      <c r="K1869" s="13"/>
      <c r="L1869"/>
      <c r="M1869"/>
      <c r="N1869"/>
      <c r="O1869"/>
      <c r="P1869"/>
      <c r="Q1869"/>
      <c r="R1869"/>
      <c r="S1869"/>
      <c r="T1869"/>
      <c r="U1869"/>
      <c r="V1869"/>
      <c r="W1869"/>
      <c r="X1869"/>
      <c r="Y1869"/>
      <c r="Z1869"/>
      <c r="AA1869"/>
      <c r="AB1869"/>
      <c r="AC1869"/>
      <c r="AD1869"/>
      <c r="AE1869"/>
      <c r="AF1869"/>
      <c r="AG1869"/>
      <c r="AH1869"/>
      <c r="AI1869"/>
      <c r="AJ1869"/>
      <c r="AK1869"/>
      <c r="AL1869"/>
    </row>
    <row r="1870" spans="1:38" ht="15.75" customHeight="1" outlineLevel="3" x14ac:dyDescent="0.2">
      <c r="A1870" s="10">
        <v>47</v>
      </c>
      <c r="B1870" s="10" t="s">
        <v>71</v>
      </c>
      <c r="C1870" s="10" t="s">
        <v>1345</v>
      </c>
      <c r="D1870" s="10" t="s">
        <v>408</v>
      </c>
      <c r="E1870" s="11" t="str">
        <f t="array" ref="E1870">_xlfn.XLOOKUP(D1870,Insumos!B:B,Insumos!C:$C)</f>
        <v>M2</v>
      </c>
      <c r="F1870" s="14">
        <v>1.1060000000000001</v>
      </c>
      <c r="G1870" s="92">
        <f t="array" ref="G1870">IF(B1870="insumo",_xlfn.XLOOKUP($D1870,Insumos!$B$1:$B$996,Insumos!$D$1:$D$996),"")</f>
        <v>20.16</v>
      </c>
      <c r="H1870" s="92">
        <v>22.296959999999999</v>
      </c>
      <c r="I1870" s="13">
        <v>0</v>
      </c>
      <c r="J1870" s="13">
        <v>0</v>
      </c>
      <c r="K1870" s="13"/>
      <c r="L1870"/>
      <c r="M1870"/>
      <c r="N1870"/>
      <c r="O1870"/>
      <c r="P1870"/>
      <c r="Q1870"/>
      <c r="R1870"/>
      <c r="S1870"/>
      <c r="T1870"/>
      <c r="U1870"/>
      <c r="V1870"/>
      <c r="W1870"/>
      <c r="X1870"/>
      <c r="Y1870"/>
      <c r="Z1870"/>
      <c r="AA1870"/>
      <c r="AB1870"/>
      <c r="AC1870"/>
      <c r="AD1870"/>
      <c r="AE1870"/>
      <c r="AF1870"/>
      <c r="AG1870"/>
      <c r="AH1870"/>
      <c r="AI1870"/>
      <c r="AJ1870"/>
      <c r="AK1870"/>
      <c r="AL1870"/>
    </row>
    <row r="1871" spans="1:38" ht="15.75" customHeight="1" outlineLevel="3" x14ac:dyDescent="0.2">
      <c r="A1871" s="10">
        <v>95</v>
      </c>
      <c r="B1871" s="10" t="s">
        <v>71</v>
      </c>
      <c r="C1871" s="10" t="s">
        <v>1345</v>
      </c>
      <c r="D1871" s="10" t="s">
        <v>409</v>
      </c>
      <c r="E1871" s="11" t="str">
        <f t="array" ref="E1871">_xlfn.XLOOKUP(D1871,Insumos!B:B,Insumos!C:$C)</f>
        <v>UN</v>
      </c>
      <c r="F1871" s="14">
        <v>5.92</v>
      </c>
      <c r="G1871" s="92">
        <f t="array" ref="G1871">IF(B1871="insumo",_xlfn.XLOOKUP($D1871,Insumos!$B$1:$B$996,Insumos!$D$1:$D$996),"")</f>
        <v>0.504</v>
      </c>
      <c r="H1871" s="92">
        <v>2.9836800000000001</v>
      </c>
      <c r="I1871" s="13">
        <v>0</v>
      </c>
      <c r="J1871" s="13">
        <v>0</v>
      </c>
      <c r="K1871" s="13"/>
      <c r="L1871"/>
      <c r="M1871"/>
      <c r="N1871"/>
      <c r="O1871"/>
      <c r="P1871"/>
      <c r="Q1871"/>
      <c r="R1871"/>
      <c r="S1871"/>
      <c r="T1871"/>
      <c r="U1871"/>
      <c r="V1871"/>
      <c r="W1871"/>
      <c r="X1871"/>
      <c r="Y1871"/>
      <c r="Z1871"/>
      <c r="AA1871"/>
      <c r="AB1871"/>
      <c r="AC1871"/>
      <c r="AD1871"/>
      <c r="AE1871"/>
      <c r="AF1871"/>
      <c r="AG1871"/>
      <c r="AH1871"/>
      <c r="AI1871"/>
      <c r="AJ1871"/>
      <c r="AK1871"/>
      <c r="AL1871"/>
    </row>
    <row r="1872" spans="1:38" ht="15.75" customHeight="1" outlineLevel="3" x14ac:dyDescent="0.2">
      <c r="A1872" s="10">
        <v>26</v>
      </c>
      <c r="B1872" s="10" t="s">
        <v>71</v>
      </c>
      <c r="C1872" s="10" t="s">
        <v>1345</v>
      </c>
      <c r="D1872" s="10" t="s">
        <v>420</v>
      </c>
      <c r="E1872" s="11" t="str">
        <f t="array" ref="E1872">_xlfn.XLOOKUP(D1872,Insumos!B:B,Insumos!C:$C)</f>
        <v>M</v>
      </c>
      <c r="F1872" s="14">
        <v>1.5247999999999999</v>
      </c>
      <c r="G1872" s="92">
        <f t="array" ref="G1872">IF(B1872="insumo",_xlfn.XLOOKUP($D1872,Insumos!$B$1:$B$996,Insumos!$D$1:$D$996),"")</f>
        <v>8.64</v>
      </c>
      <c r="H1872" s="92">
        <v>13.174272</v>
      </c>
      <c r="I1872" s="13">
        <v>0</v>
      </c>
      <c r="J1872" s="13">
        <v>0</v>
      </c>
      <c r="K1872" s="13"/>
      <c r="L1872"/>
      <c r="M1872"/>
      <c r="N1872"/>
      <c r="O1872"/>
      <c r="P1872"/>
      <c r="Q1872"/>
      <c r="R1872"/>
      <c r="S1872"/>
      <c r="T1872"/>
      <c r="U1872"/>
      <c r="V1872"/>
      <c r="W1872"/>
      <c r="X1872"/>
      <c r="Y1872"/>
      <c r="Z1872"/>
      <c r="AA1872"/>
      <c r="AB1872"/>
      <c r="AC1872"/>
      <c r="AD1872"/>
      <c r="AE1872"/>
      <c r="AF1872"/>
      <c r="AG1872"/>
      <c r="AH1872"/>
      <c r="AI1872"/>
      <c r="AJ1872"/>
      <c r="AK1872"/>
      <c r="AL1872"/>
    </row>
    <row r="1873" spans="1:38" ht="15.75" customHeight="1" outlineLevel="3" x14ac:dyDescent="0.2">
      <c r="A1873" s="10">
        <v>26</v>
      </c>
      <c r="B1873" s="10" t="s">
        <v>71</v>
      </c>
      <c r="C1873" s="10" t="s">
        <v>1345</v>
      </c>
      <c r="D1873" s="10" t="s">
        <v>421</v>
      </c>
      <c r="E1873" s="11" t="str">
        <f t="array" ref="E1873">_xlfn.XLOOKUP(D1873,Insumos!B:B,Insumos!C:$C)</f>
        <v>M</v>
      </c>
      <c r="F1873" s="14">
        <v>4.0011000000000001</v>
      </c>
      <c r="G1873" s="92">
        <f t="array" ref="G1873">IF(B1873="insumo",_xlfn.XLOOKUP($D1873,Insumos!$B$1:$B$996,Insumos!$D$1:$D$996),"")</f>
        <v>18.09</v>
      </c>
      <c r="H1873" s="92">
        <v>72.379898999999995</v>
      </c>
      <c r="I1873" s="13">
        <v>0</v>
      </c>
      <c r="J1873" s="13">
        <v>0</v>
      </c>
      <c r="K1873" s="13"/>
      <c r="L1873"/>
      <c r="M1873"/>
      <c r="N1873"/>
      <c r="O1873"/>
      <c r="P1873"/>
      <c r="Q1873"/>
      <c r="R1873"/>
      <c r="S1873"/>
      <c r="T1873"/>
      <c r="U1873"/>
      <c r="V1873"/>
      <c r="W1873"/>
      <c r="X1873"/>
      <c r="Y1873"/>
      <c r="Z1873"/>
      <c r="AA1873"/>
      <c r="AB1873"/>
      <c r="AC1873"/>
      <c r="AD1873"/>
      <c r="AE1873"/>
      <c r="AF1873"/>
      <c r="AG1873"/>
      <c r="AH1873"/>
      <c r="AI1873"/>
      <c r="AJ1873"/>
      <c r="AK1873"/>
      <c r="AL1873"/>
    </row>
    <row r="1874" spans="1:38" ht="15.75" customHeight="1" outlineLevel="3" x14ac:dyDescent="0.2">
      <c r="A1874" s="10">
        <v>95</v>
      </c>
      <c r="B1874" s="10" t="s">
        <v>71</v>
      </c>
      <c r="C1874" s="10" t="s">
        <v>1345</v>
      </c>
      <c r="D1874" s="10" t="s">
        <v>405</v>
      </c>
      <c r="E1874" s="11" t="str">
        <f t="array" ref="E1874">_xlfn.XLOOKUP(D1874,Insumos!B:B,Insumos!C:$C)</f>
        <v>KG</v>
      </c>
      <c r="F1874" s="14">
        <v>1.0978000000000001</v>
      </c>
      <c r="G1874" s="92">
        <f t="array" ref="G1874">IF(B1874="insumo",_xlfn.XLOOKUP($D1874,Insumos!$B$1:$B$996,Insumos!$D$1:$D$996),"")</f>
        <v>3.43</v>
      </c>
      <c r="H1874" s="92">
        <v>3.7654540000000001</v>
      </c>
      <c r="I1874" s="13">
        <v>0</v>
      </c>
      <c r="J1874" s="13">
        <v>0</v>
      </c>
      <c r="K1874" s="13"/>
      <c r="L1874"/>
      <c r="M1874"/>
      <c r="N1874"/>
      <c r="O1874"/>
      <c r="P1874"/>
      <c r="Q1874"/>
      <c r="R1874"/>
      <c r="S1874"/>
      <c r="T1874"/>
      <c r="U1874"/>
      <c r="V1874"/>
      <c r="W1874"/>
      <c r="X1874"/>
      <c r="Y1874"/>
      <c r="Z1874"/>
      <c r="AA1874"/>
      <c r="AB1874"/>
      <c r="AC1874"/>
      <c r="AD1874"/>
      <c r="AE1874"/>
      <c r="AF1874"/>
      <c r="AG1874"/>
      <c r="AH1874"/>
      <c r="AI1874"/>
      <c r="AJ1874"/>
      <c r="AK1874"/>
      <c r="AL1874"/>
    </row>
    <row r="1875" spans="1:38" ht="15.75" customHeight="1" outlineLevel="3" x14ac:dyDescent="0.2">
      <c r="A1875" s="10">
        <v>94</v>
      </c>
      <c r="B1875" s="10" t="s">
        <v>71</v>
      </c>
      <c r="C1875" s="10" t="s">
        <v>1345</v>
      </c>
      <c r="D1875" s="10" t="s">
        <v>412</v>
      </c>
      <c r="E1875" s="11" t="str">
        <f t="array" ref="E1875">_xlfn.XLOOKUP(D1875,Insumos!B:B,Insumos!C:$C)</f>
        <v>M</v>
      </c>
      <c r="F1875" s="14">
        <v>2.5026999999999999</v>
      </c>
      <c r="G1875" s="92">
        <f t="array" ref="G1875">IF(B1875="insumo",_xlfn.XLOOKUP($D1875,Insumos!$B$1:$B$996,Insumos!$D$1:$D$996),"")</f>
        <v>0.31</v>
      </c>
      <c r="H1875" s="92">
        <v>0.775837</v>
      </c>
      <c r="I1875" s="13">
        <v>0</v>
      </c>
      <c r="J1875" s="13">
        <v>0</v>
      </c>
      <c r="K1875" s="13"/>
      <c r="L1875"/>
      <c r="M1875"/>
      <c r="N1875"/>
      <c r="O1875"/>
      <c r="P1875"/>
      <c r="Q1875"/>
      <c r="R1875"/>
      <c r="S1875"/>
      <c r="T1875"/>
      <c r="U1875"/>
      <c r="V1875"/>
      <c r="W1875"/>
      <c r="X1875"/>
      <c r="Y1875"/>
      <c r="Z1875"/>
      <c r="AA1875"/>
      <c r="AB1875"/>
      <c r="AC1875"/>
      <c r="AD1875"/>
      <c r="AE1875"/>
      <c r="AF1875"/>
      <c r="AG1875"/>
      <c r="AH1875"/>
      <c r="AI1875"/>
      <c r="AJ1875"/>
      <c r="AK1875"/>
      <c r="AL1875"/>
    </row>
    <row r="1876" spans="1:38" ht="15.75" customHeight="1" outlineLevel="3" x14ac:dyDescent="0.2">
      <c r="A1876" s="10">
        <v>94</v>
      </c>
      <c r="B1876" s="10" t="s">
        <v>71</v>
      </c>
      <c r="C1876" s="10" t="s">
        <v>1345</v>
      </c>
      <c r="D1876" s="10" t="s">
        <v>413</v>
      </c>
      <c r="E1876" s="11" t="str">
        <f t="array" ref="E1876">_xlfn.XLOOKUP(D1876,Insumos!B:B,Insumos!C:$C)</f>
        <v>M</v>
      </c>
      <c r="F1876" s="14">
        <v>1.5851</v>
      </c>
      <c r="G1876" s="92">
        <f t="array" ref="G1876">IF(B1876="insumo",_xlfn.XLOOKUP($D1876,Insumos!$B$1:$B$996,Insumos!$D$1:$D$996),"")</f>
        <v>2.74</v>
      </c>
      <c r="H1876" s="92">
        <v>4.3431740000000003</v>
      </c>
      <c r="I1876" s="13">
        <v>0</v>
      </c>
      <c r="J1876" s="13">
        <v>0</v>
      </c>
      <c r="K1876" s="13"/>
      <c r="L1876"/>
      <c r="M1876"/>
      <c r="N1876"/>
      <c r="O1876"/>
      <c r="P1876"/>
      <c r="Q1876"/>
      <c r="R1876"/>
      <c r="S1876"/>
      <c r="T1876"/>
      <c r="U1876"/>
      <c r="V1876"/>
      <c r="W1876"/>
      <c r="X1876"/>
      <c r="Y1876"/>
      <c r="Z1876"/>
      <c r="AA1876"/>
      <c r="AB1876"/>
      <c r="AC1876"/>
      <c r="AD1876"/>
      <c r="AE1876"/>
      <c r="AF1876"/>
      <c r="AG1876"/>
      <c r="AH1876"/>
      <c r="AI1876"/>
      <c r="AJ1876"/>
      <c r="AK1876"/>
      <c r="AL1876"/>
    </row>
    <row r="1877" spans="1:38" ht="15.75" customHeight="1" outlineLevel="3" x14ac:dyDescent="0.2">
      <c r="A1877" s="10">
        <v>97</v>
      </c>
      <c r="B1877" s="10" t="s">
        <v>71</v>
      </c>
      <c r="C1877" s="10" t="s">
        <v>1345</v>
      </c>
      <c r="D1877" s="10" t="s">
        <v>414</v>
      </c>
      <c r="E1877" s="11" t="str">
        <f t="array" ref="E1877">_xlfn.XLOOKUP(D1877,Insumos!B:B,Insumos!C:$C)</f>
        <v>UN</v>
      </c>
      <c r="F1877" s="14">
        <v>20.186800000000002</v>
      </c>
      <c r="G1877" s="92">
        <f t="array" ref="G1877">IF(B1877="insumo",_xlfn.XLOOKUP($D1877,Insumos!$B$1:$B$996,Insumos!$D$1:$D$996),"")</f>
        <v>0.09</v>
      </c>
      <c r="H1877" s="92">
        <v>1.8168120000000001</v>
      </c>
      <c r="I1877" s="13">
        <v>0</v>
      </c>
      <c r="J1877" s="13">
        <v>0</v>
      </c>
      <c r="K1877" s="13"/>
      <c r="L1877"/>
      <c r="M1877"/>
      <c r="N1877"/>
      <c r="O1877"/>
      <c r="P1877"/>
      <c r="Q1877"/>
      <c r="R1877"/>
      <c r="S1877"/>
      <c r="T1877"/>
      <c r="U1877"/>
      <c r="V1877"/>
      <c r="W1877"/>
      <c r="X1877"/>
      <c r="Y1877"/>
      <c r="Z1877"/>
      <c r="AA1877"/>
      <c r="AB1877"/>
      <c r="AC1877"/>
      <c r="AD1877"/>
      <c r="AE1877"/>
      <c r="AF1877"/>
      <c r="AG1877"/>
      <c r="AH1877"/>
      <c r="AI1877"/>
      <c r="AJ1877"/>
      <c r="AK1877"/>
      <c r="AL1877"/>
    </row>
    <row r="1878" spans="1:38" ht="15.75" customHeight="1" outlineLevel="3" x14ac:dyDescent="0.2">
      <c r="A1878" s="10">
        <v>95</v>
      </c>
      <c r="B1878" s="10" t="s">
        <v>71</v>
      </c>
      <c r="C1878" s="10" t="s">
        <v>1345</v>
      </c>
      <c r="D1878" s="10" t="s">
        <v>415</v>
      </c>
      <c r="E1878" s="11" t="str">
        <f t="array" ref="E1878">_xlfn.XLOOKUP(D1878,Insumos!B:B,Insumos!C:$C)</f>
        <v>UN</v>
      </c>
      <c r="F1878" s="14">
        <v>0.54410000000000003</v>
      </c>
      <c r="G1878" s="92">
        <f t="array" ref="G1878">IF(B1878="insumo",_xlfn.XLOOKUP($D1878,Insumos!$B$1:$B$996,Insumos!$D$1:$D$996),"")</f>
        <v>0.2</v>
      </c>
      <c r="H1878" s="92">
        <v>0.10882</v>
      </c>
      <c r="I1878" s="13">
        <v>0</v>
      </c>
      <c r="J1878" s="13">
        <v>0</v>
      </c>
      <c r="K1878" s="13"/>
      <c r="L1878"/>
      <c r="M1878"/>
      <c r="N1878"/>
      <c r="O1878"/>
      <c r="P1878"/>
      <c r="Q1878"/>
      <c r="R1878"/>
      <c r="S1878"/>
      <c r="T1878"/>
      <c r="U1878"/>
      <c r="V1878"/>
      <c r="W1878"/>
      <c r="X1878"/>
      <c r="Y1878"/>
      <c r="Z1878"/>
      <c r="AA1878"/>
      <c r="AB1878"/>
      <c r="AC1878"/>
      <c r="AD1878"/>
      <c r="AE1878"/>
      <c r="AF1878"/>
      <c r="AG1878"/>
      <c r="AH1878"/>
      <c r="AI1878"/>
      <c r="AJ1878"/>
      <c r="AK1878"/>
      <c r="AL1878"/>
    </row>
    <row r="1879" spans="1:38" ht="15.75" customHeight="1" outlineLevel="3" x14ac:dyDescent="0.2">
      <c r="A1879" s="10">
        <v>35</v>
      </c>
      <c r="B1879" s="10" t="s">
        <v>71</v>
      </c>
      <c r="C1879" s="10" t="s">
        <v>1345</v>
      </c>
      <c r="D1879" s="10" t="s">
        <v>1595</v>
      </c>
      <c r="E1879" s="11" t="str">
        <f t="array" ref="E1879">_xlfn.XLOOKUP(D1879,Insumos!B:B,Insumos!C:$C)</f>
        <v>M2</v>
      </c>
      <c r="F1879" s="14">
        <v>1.1000000000000001</v>
      </c>
      <c r="G1879" s="92">
        <f t="array" ref="G1879">IF(B1879="insumo",_xlfn.XLOOKUP($D1879,Insumos!$B$1:$B$996,Insumos!$D$1:$D$996),"")</f>
        <v>13.019333333333332</v>
      </c>
      <c r="H1879" s="92">
        <v>14.3212666666667</v>
      </c>
      <c r="I1879" s="13">
        <v>0</v>
      </c>
      <c r="J1879" s="13">
        <v>0</v>
      </c>
      <c r="K1879" s="13"/>
      <c r="L1879"/>
      <c r="M1879"/>
      <c r="N1879"/>
      <c r="O1879"/>
      <c r="P1879"/>
      <c r="Q1879"/>
      <c r="R1879"/>
      <c r="S1879"/>
      <c r="T1879"/>
      <c r="U1879"/>
      <c r="V1879"/>
      <c r="W1879"/>
      <c r="X1879"/>
      <c r="Y1879"/>
      <c r="Z1879"/>
      <c r="AA1879"/>
      <c r="AB1879"/>
      <c r="AC1879"/>
      <c r="AD1879"/>
      <c r="AE1879"/>
      <c r="AF1879"/>
      <c r="AG1879"/>
      <c r="AH1879"/>
      <c r="AI1879"/>
      <c r="AJ1879"/>
      <c r="AK1879"/>
      <c r="AL1879"/>
    </row>
    <row r="1880" spans="1:38" ht="15.75" customHeight="1" outlineLevel="2" x14ac:dyDescent="0.2">
      <c r="A1880" s="1067">
        <v>1</v>
      </c>
      <c r="B1880" s="1067" t="s">
        <v>68</v>
      </c>
      <c r="C1880" s="1067" t="s">
        <v>1346</v>
      </c>
      <c r="D1880" s="1067" t="s">
        <v>1346</v>
      </c>
      <c r="E1880" s="1068" t="s">
        <v>70</v>
      </c>
      <c r="F1880" s="1067"/>
      <c r="G1880" s="1069" t="str">
        <f t="array" ref="G1880">IF(B1880="insumo",_xlfn.XLOOKUP($D1880,Insumos!$B$1:$B$996,Insumos!$D$1:$D$996),"")</f>
        <v/>
      </c>
      <c r="H1880" s="1069">
        <v>240.74181466666701</v>
      </c>
      <c r="I1880" s="1070">
        <v>0</v>
      </c>
      <c r="J1880" s="1070">
        <v>0</v>
      </c>
      <c r="K1880" s="1070"/>
      <c r="L1880"/>
      <c r="M1880"/>
      <c r="N1880"/>
      <c r="O1880"/>
      <c r="P1880"/>
      <c r="Q1880"/>
      <c r="R1880"/>
      <c r="S1880"/>
      <c r="T1880"/>
      <c r="U1880"/>
      <c r="V1880"/>
      <c r="W1880"/>
      <c r="X1880"/>
      <c r="Y1880"/>
      <c r="Z1880"/>
      <c r="AA1880"/>
      <c r="AB1880"/>
      <c r="AC1880"/>
      <c r="AD1880"/>
      <c r="AE1880"/>
      <c r="AF1880"/>
      <c r="AG1880"/>
      <c r="AH1880"/>
      <c r="AI1880"/>
      <c r="AJ1880"/>
      <c r="AK1880"/>
      <c r="AL1880"/>
    </row>
    <row r="1881" spans="1:38" ht="15.75" customHeight="1" outlineLevel="3" x14ac:dyDescent="0.2">
      <c r="A1881" s="10">
        <v>86</v>
      </c>
      <c r="B1881" s="10" t="s">
        <v>71</v>
      </c>
      <c r="C1881" s="10" t="s">
        <v>1346</v>
      </c>
      <c r="D1881" s="10" t="s">
        <v>407</v>
      </c>
      <c r="E1881" s="11" t="str">
        <f t="array" ref="E1881">_xlfn.XLOOKUP(D1881,Insumos!B:B,Insumos!C:$C)</f>
        <v>M2</v>
      </c>
      <c r="F1881" s="14">
        <v>1</v>
      </c>
      <c r="G1881" s="92">
        <f t="array" ref="G1881">IF(B1881="insumo",_xlfn.XLOOKUP($D1881,Insumos!$B$1:$B$996,Insumos!$D$1:$D$996),"")</f>
        <v>70</v>
      </c>
      <c r="H1881" s="92">
        <v>70</v>
      </c>
      <c r="I1881" s="13">
        <v>0</v>
      </c>
      <c r="J1881" s="13">
        <v>0</v>
      </c>
      <c r="K1881" s="13"/>
      <c r="L1881"/>
      <c r="M1881"/>
      <c r="N1881"/>
      <c r="O1881"/>
      <c r="P1881"/>
      <c r="Q1881"/>
      <c r="R1881"/>
      <c r="S1881"/>
      <c r="T1881"/>
      <c r="U1881"/>
      <c r="V1881"/>
      <c r="W1881"/>
      <c r="X1881"/>
      <c r="Y1881"/>
      <c r="Z1881"/>
      <c r="AA1881"/>
      <c r="AB1881"/>
      <c r="AC1881"/>
      <c r="AD1881"/>
      <c r="AE1881"/>
      <c r="AF1881"/>
      <c r="AG1881"/>
      <c r="AH1881"/>
      <c r="AI1881"/>
      <c r="AJ1881"/>
      <c r="AK1881"/>
      <c r="AL1881"/>
    </row>
    <row r="1882" spans="1:38" ht="15.75" customHeight="1" outlineLevel="3" x14ac:dyDescent="0.2">
      <c r="A1882" s="10">
        <v>49</v>
      </c>
      <c r="B1882" s="10" t="s">
        <v>71</v>
      </c>
      <c r="C1882" s="10" t="s">
        <v>1346</v>
      </c>
      <c r="D1882" s="10" t="s">
        <v>418</v>
      </c>
      <c r="E1882" s="11" t="str">
        <f t="array" ref="E1882">_xlfn.XLOOKUP(D1882,Insumos!B:B,Insumos!C:$C)</f>
        <v>M2</v>
      </c>
      <c r="F1882" s="14">
        <v>2.1059999999999999</v>
      </c>
      <c r="G1882" s="92">
        <f t="array" ref="G1882">IF(B1882="insumo",_xlfn.XLOOKUP($D1882,Insumos!$B$1:$B$996,Insumos!$D$1:$D$996),"")</f>
        <v>27.1</v>
      </c>
      <c r="H1882" s="92">
        <v>57.072600000000001</v>
      </c>
      <c r="I1882" s="13">
        <v>0</v>
      </c>
      <c r="J1882" s="13">
        <v>0</v>
      </c>
      <c r="K1882" s="13"/>
      <c r="L1882"/>
      <c r="M1882"/>
      <c r="N1882"/>
      <c r="O1882"/>
      <c r="P1882"/>
      <c r="Q1882"/>
      <c r="R1882"/>
      <c r="S1882"/>
      <c r="T1882"/>
      <c r="U1882"/>
      <c r="V1882"/>
      <c r="W1882"/>
      <c r="X1882"/>
      <c r="Y1882"/>
      <c r="Z1882"/>
      <c r="AA1882"/>
      <c r="AB1882"/>
      <c r="AC1882"/>
      <c r="AD1882"/>
      <c r="AE1882"/>
      <c r="AF1882"/>
      <c r="AG1882"/>
      <c r="AH1882"/>
      <c r="AI1882"/>
      <c r="AJ1882"/>
      <c r="AK1882"/>
      <c r="AL1882"/>
    </row>
    <row r="1883" spans="1:38" ht="15.75" customHeight="1" outlineLevel="3" x14ac:dyDescent="0.2">
      <c r="A1883" s="10">
        <v>95</v>
      </c>
      <c r="B1883" s="10" t="s">
        <v>71</v>
      </c>
      <c r="C1883" s="10" t="s">
        <v>1346</v>
      </c>
      <c r="D1883" s="10" t="s">
        <v>409</v>
      </c>
      <c r="E1883" s="11" t="str">
        <f t="array" ref="E1883">_xlfn.XLOOKUP(D1883,Insumos!B:B,Insumos!C:$C)</f>
        <v>UN</v>
      </c>
      <c r="F1883" s="14">
        <v>5.92</v>
      </c>
      <c r="G1883" s="92">
        <f t="array" ref="G1883">IF(B1883="insumo",_xlfn.XLOOKUP($D1883,Insumos!$B$1:$B$996,Insumos!$D$1:$D$996),"")</f>
        <v>0.504</v>
      </c>
      <c r="H1883" s="92">
        <v>2.9836800000000001</v>
      </c>
      <c r="I1883" s="13">
        <v>0</v>
      </c>
      <c r="J1883" s="13">
        <v>0</v>
      </c>
      <c r="K1883" s="13"/>
      <c r="L1883"/>
      <c r="M1883"/>
      <c r="N1883"/>
      <c r="O1883"/>
      <c r="P1883"/>
      <c r="Q1883"/>
      <c r="R1883"/>
      <c r="S1883"/>
      <c r="T1883"/>
      <c r="U1883"/>
      <c r="V1883"/>
      <c r="W1883"/>
      <c r="X1883"/>
      <c r="Y1883"/>
      <c r="Z1883"/>
      <c r="AA1883"/>
      <c r="AB1883"/>
      <c r="AC1883"/>
      <c r="AD1883"/>
      <c r="AE1883"/>
      <c r="AF1883"/>
      <c r="AG1883"/>
      <c r="AH1883"/>
      <c r="AI1883"/>
      <c r="AJ1883"/>
      <c r="AK1883"/>
      <c r="AL1883"/>
    </row>
    <row r="1884" spans="1:38" ht="15.75" customHeight="1" outlineLevel="3" x14ac:dyDescent="0.2">
      <c r="A1884" s="10">
        <v>26</v>
      </c>
      <c r="B1884" s="10" t="s">
        <v>71</v>
      </c>
      <c r="C1884" s="10" t="s">
        <v>1346</v>
      </c>
      <c r="D1884" s="10" t="s">
        <v>420</v>
      </c>
      <c r="E1884" s="11" t="str">
        <f t="array" ref="E1884">_xlfn.XLOOKUP(D1884,Insumos!B:B,Insumos!C:$C)</f>
        <v>M</v>
      </c>
      <c r="F1884" s="14">
        <v>1.5247999999999999</v>
      </c>
      <c r="G1884" s="92">
        <f t="array" ref="G1884">IF(B1884="insumo",_xlfn.XLOOKUP($D1884,Insumos!$B$1:$B$996,Insumos!$D$1:$D$996),"")</f>
        <v>8.64</v>
      </c>
      <c r="H1884" s="92">
        <v>13.174272</v>
      </c>
      <c r="I1884" s="13">
        <v>0</v>
      </c>
      <c r="J1884" s="13">
        <v>0</v>
      </c>
      <c r="K1884" s="13"/>
      <c r="L1884"/>
      <c r="M1884"/>
      <c r="N1884"/>
      <c r="O1884"/>
      <c r="P1884"/>
      <c r="Q1884"/>
      <c r="R1884"/>
      <c r="S1884"/>
      <c r="T1884"/>
      <c r="U1884"/>
      <c r="V1884"/>
      <c r="W1884"/>
      <c r="X1884"/>
      <c r="Y1884"/>
      <c r="Z1884"/>
      <c r="AA1884"/>
      <c r="AB1884"/>
      <c r="AC1884"/>
      <c r="AD1884"/>
      <c r="AE1884"/>
      <c r="AF1884"/>
      <c r="AG1884"/>
      <c r="AH1884"/>
      <c r="AI1884"/>
      <c r="AJ1884"/>
      <c r="AK1884"/>
      <c r="AL1884"/>
    </row>
    <row r="1885" spans="1:38" ht="15.75" customHeight="1" outlineLevel="3" x14ac:dyDescent="0.2">
      <c r="A1885" s="10">
        <v>26</v>
      </c>
      <c r="B1885" s="10" t="s">
        <v>71</v>
      </c>
      <c r="C1885" s="10" t="s">
        <v>1346</v>
      </c>
      <c r="D1885" s="10" t="s">
        <v>421</v>
      </c>
      <c r="E1885" s="11" t="str">
        <f t="array" ref="E1885">_xlfn.XLOOKUP(D1885,Insumos!B:B,Insumos!C:$C)</f>
        <v>M</v>
      </c>
      <c r="F1885" s="14">
        <v>4.0011000000000001</v>
      </c>
      <c r="G1885" s="92">
        <f t="array" ref="G1885">IF(B1885="insumo",_xlfn.XLOOKUP($D1885,Insumos!$B$1:$B$996,Insumos!$D$1:$D$996),"")</f>
        <v>18.09</v>
      </c>
      <c r="H1885" s="92">
        <v>72.379898999999995</v>
      </c>
      <c r="I1885" s="13">
        <v>0</v>
      </c>
      <c r="J1885" s="13">
        <v>0</v>
      </c>
      <c r="K1885" s="13"/>
      <c r="L1885"/>
      <c r="M1885"/>
      <c r="N1885"/>
      <c r="O1885"/>
      <c r="P1885"/>
      <c r="Q1885"/>
      <c r="R1885"/>
      <c r="S1885"/>
      <c r="T1885"/>
      <c r="U1885"/>
      <c r="V1885"/>
      <c r="W1885"/>
      <c r="X1885"/>
      <c r="Y1885"/>
      <c r="Z1885"/>
      <c r="AA1885"/>
      <c r="AB1885"/>
      <c r="AC1885"/>
      <c r="AD1885"/>
      <c r="AE1885"/>
      <c r="AF1885"/>
      <c r="AG1885"/>
      <c r="AH1885"/>
      <c r="AI1885"/>
      <c r="AJ1885"/>
      <c r="AK1885"/>
      <c r="AL1885"/>
    </row>
    <row r="1886" spans="1:38" ht="15.75" customHeight="1" outlineLevel="3" x14ac:dyDescent="0.2">
      <c r="A1886" s="10">
        <v>95</v>
      </c>
      <c r="B1886" s="10" t="s">
        <v>71</v>
      </c>
      <c r="C1886" s="10" t="s">
        <v>1346</v>
      </c>
      <c r="D1886" s="10" t="s">
        <v>405</v>
      </c>
      <c r="E1886" s="11" t="str">
        <f t="array" ref="E1886">_xlfn.XLOOKUP(D1886,Insumos!B:B,Insumos!C:$C)</f>
        <v>KG</v>
      </c>
      <c r="F1886" s="14">
        <v>1.0978000000000001</v>
      </c>
      <c r="G1886" s="92">
        <f t="array" ref="G1886">IF(B1886="insumo",_xlfn.XLOOKUP($D1886,Insumos!$B$1:$B$996,Insumos!$D$1:$D$996),"")</f>
        <v>3.43</v>
      </c>
      <c r="H1886" s="92">
        <v>3.7654540000000001</v>
      </c>
      <c r="I1886" s="13">
        <v>0</v>
      </c>
      <c r="J1886" s="13">
        <v>0</v>
      </c>
      <c r="K1886" s="13"/>
      <c r="L1886"/>
      <c r="M1886"/>
      <c r="N1886"/>
      <c r="O1886"/>
      <c r="P1886"/>
      <c r="Q1886"/>
      <c r="R1886"/>
      <c r="S1886"/>
      <c r="T1886"/>
      <c r="U1886"/>
      <c r="V1886"/>
      <c r="W1886"/>
      <c r="X1886"/>
      <c r="Y1886"/>
      <c r="Z1886"/>
      <c r="AA1886"/>
      <c r="AB1886"/>
      <c r="AC1886"/>
      <c r="AD1886"/>
      <c r="AE1886"/>
      <c r="AF1886"/>
      <c r="AG1886"/>
      <c r="AH1886"/>
      <c r="AI1886"/>
      <c r="AJ1886"/>
      <c r="AK1886"/>
      <c r="AL1886"/>
    </row>
    <row r="1887" spans="1:38" ht="15.75" customHeight="1" outlineLevel="3" x14ac:dyDescent="0.2">
      <c r="A1887" s="10">
        <v>94</v>
      </c>
      <c r="B1887" s="10" t="s">
        <v>71</v>
      </c>
      <c r="C1887" s="10" t="s">
        <v>1346</v>
      </c>
      <c r="D1887" s="10" t="s">
        <v>412</v>
      </c>
      <c r="E1887" s="11" t="str">
        <f t="array" ref="E1887">_xlfn.XLOOKUP(D1887,Insumos!B:B,Insumos!C:$C)</f>
        <v>M</v>
      </c>
      <c r="F1887" s="14">
        <v>2.5026999999999999</v>
      </c>
      <c r="G1887" s="92">
        <f t="array" ref="G1887">IF(B1887="insumo",_xlfn.XLOOKUP($D1887,Insumos!$B$1:$B$996,Insumos!$D$1:$D$996),"")</f>
        <v>0.31</v>
      </c>
      <c r="H1887" s="92">
        <v>0.775837</v>
      </c>
      <c r="I1887" s="13">
        <v>0</v>
      </c>
      <c r="J1887" s="13">
        <v>0</v>
      </c>
      <c r="K1887" s="13"/>
      <c r="L1887"/>
      <c r="M1887"/>
      <c r="N1887"/>
      <c r="O1887"/>
      <c r="P1887"/>
      <c r="Q1887"/>
      <c r="R1887"/>
      <c r="S1887"/>
      <c r="T1887"/>
      <c r="U1887"/>
      <c r="V1887"/>
      <c r="W1887"/>
      <c r="X1887"/>
      <c r="Y1887"/>
      <c r="Z1887"/>
      <c r="AA1887"/>
      <c r="AB1887"/>
      <c r="AC1887"/>
      <c r="AD1887"/>
      <c r="AE1887"/>
      <c r="AF1887"/>
      <c r="AG1887"/>
      <c r="AH1887"/>
      <c r="AI1887"/>
      <c r="AJ1887"/>
      <c r="AK1887"/>
      <c r="AL1887"/>
    </row>
    <row r="1888" spans="1:38" ht="15.75" customHeight="1" outlineLevel="3" x14ac:dyDescent="0.2">
      <c r="A1888" s="10">
        <v>94</v>
      </c>
      <c r="B1888" s="10" t="s">
        <v>71</v>
      </c>
      <c r="C1888" s="10" t="s">
        <v>1346</v>
      </c>
      <c r="D1888" s="10" t="s">
        <v>413</v>
      </c>
      <c r="E1888" s="11" t="str">
        <f t="array" ref="E1888">_xlfn.XLOOKUP(D1888,Insumos!B:B,Insumos!C:$C)</f>
        <v>M</v>
      </c>
      <c r="F1888" s="14">
        <v>1.5851</v>
      </c>
      <c r="G1888" s="92">
        <f t="array" ref="G1888">IF(B1888="insumo",_xlfn.XLOOKUP($D1888,Insumos!$B$1:$B$996,Insumos!$D$1:$D$996),"")</f>
        <v>2.74</v>
      </c>
      <c r="H1888" s="92">
        <v>4.3431740000000003</v>
      </c>
      <c r="I1888" s="13">
        <v>0</v>
      </c>
      <c r="J1888" s="13">
        <v>0</v>
      </c>
      <c r="K1888" s="13"/>
      <c r="L1888"/>
      <c r="M1888"/>
      <c r="N1888"/>
      <c r="O1888"/>
      <c r="P1888"/>
      <c r="Q1888"/>
      <c r="R1888"/>
      <c r="S1888"/>
      <c r="T1888"/>
      <c r="U1888"/>
      <c r="V1888"/>
      <c r="W1888"/>
      <c r="X1888"/>
      <c r="Y1888"/>
      <c r="Z1888"/>
      <c r="AA1888"/>
      <c r="AB1888"/>
      <c r="AC1888"/>
      <c r="AD1888"/>
      <c r="AE1888"/>
      <c r="AF1888"/>
      <c r="AG1888"/>
      <c r="AH1888"/>
      <c r="AI1888"/>
      <c r="AJ1888"/>
      <c r="AK1888"/>
      <c r="AL1888"/>
    </row>
    <row r="1889" spans="1:38" ht="15.75" customHeight="1" outlineLevel="3" x14ac:dyDescent="0.2">
      <c r="A1889" s="10">
        <v>97</v>
      </c>
      <c r="B1889" s="10" t="s">
        <v>71</v>
      </c>
      <c r="C1889" s="10" t="s">
        <v>1346</v>
      </c>
      <c r="D1889" s="10" t="s">
        <v>414</v>
      </c>
      <c r="E1889" s="11" t="str">
        <f t="array" ref="E1889">_xlfn.XLOOKUP(D1889,Insumos!B:B,Insumos!C:$C)</f>
        <v>UN</v>
      </c>
      <c r="F1889" s="14">
        <v>20.186800000000002</v>
      </c>
      <c r="G1889" s="92">
        <f t="array" ref="G1889">IF(B1889="insumo",_xlfn.XLOOKUP($D1889,Insumos!$B$1:$B$996,Insumos!$D$1:$D$996),"")</f>
        <v>0.09</v>
      </c>
      <c r="H1889" s="92">
        <v>1.8168120000000001</v>
      </c>
      <c r="I1889" s="13">
        <v>0</v>
      </c>
      <c r="J1889" s="13">
        <v>0</v>
      </c>
      <c r="K1889" s="13"/>
      <c r="L1889"/>
      <c r="M1889"/>
      <c r="N1889"/>
      <c r="O1889"/>
      <c r="P1889"/>
      <c r="Q1889"/>
      <c r="R1889"/>
      <c r="S1889"/>
      <c r="T1889"/>
      <c r="U1889"/>
      <c r="V1889"/>
      <c r="W1889"/>
      <c r="X1889"/>
      <c r="Y1889"/>
      <c r="Z1889"/>
      <c r="AA1889"/>
      <c r="AB1889"/>
      <c r="AC1889"/>
      <c r="AD1889"/>
      <c r="AE1889"/>
      <c r="AF1889"/>
      <c r="AG1889"/>
      <c r="AH1889"/>
      <c r="AI1889"/>
      <c r="AJ1889"/>
      <c r="AK1889"/>
      <c r="AL1889"/>
    </row>
    <row r="1890" spans="1:38" ht="15.75" customHeight="1" outlineLevel="3" x14ac:dyDescent="0.2">
      <c r="A1890" s="10">
        <v>95</v>
      </c>
      <c r="B1890" s="10" t="s">
        <v>71</v>
      </c>
      <c r="C1890" s="10" t="s">
        <v>1346</v>
      </c>
      <c r="D1890" s="10" t="s">
        <v>415</v>
      </c>
      <c r="E1890" s="11" t="str">
        <f t="array" ref="E1890">_xlfn.XLOOKUP(D1890,Insumos!B:B,Insumos!C:$C)</f>
        <v>UN</v>
      </c>
      <c r="F1890" s="14">
        <v>0.54410000000000003</v>
      </c>
      <c r="G1890" s="92">
        <f t="array" ref="G1890">IF(B1890="insumo",_xlfn.XLOOKUP($D1890,Insumos!$B$1:$B$996,Insumos!$D$1:$D$996),"")</f>
        <v>0.2</v>
      </c>
      <c r="H1890" s="92">
        <v>0.10882</v>
      </c>
      <c r="I1890" s="13">
        <v>0</v>
      </c>
      <c r="J1890" s="13">
        <v>0</v>
      </c>
      <c r="K1890" s="13"/>
      <c r="L1890"/>
      <c r="M1890"/>
      <c r="N1890"/>
      <c r="O1890"/>
      <c r="P1890"/>
      <c r="Q1890"/>
      <c r="R1890"/>
      <c r="S1890"/>
      <c r="T1890"/>
      <c r="U1890"/>
      <c r="V1890"/>
      <c r="W1890"/>
      <c r="X1890"/>
      <c r="Y1890"/>
      <c r="Z1890"/>
      <c r="AA1890"/>
      <c r="AB1890"/>
      <c r="AC1890"/>
      <c r="AD1890"/>
      <c r="AE1890"/>
      <c r="AF1890"/>
      <c r="AG1890"/>
      <c r="AH1890"/>
      <c r="AI1890"/>
      <c r="AJ1890"/>
      <c r="AK1890"/>
      <c r="AL1890"/>
    </row>
    <row r="1891" spans="1:38" ht="15.75" customHeight="1" outlineLevel="3" x14ac:dyDescent="0.2">
      <c r="A1891" s="10">
        <v>35</v>
      </c>
      <c r="B1891" s="10" t="s">
        <v>71</v>
      </c>
      <c r="C1891" s="10" t="s">
        <v>1346</v>
      </c>
      <c r="D1891" s="10" t="s">
        <v>1595</v>
      </c>
      <c r="E1891" s="11" t="str">
        <f t="array" ref="E1891">_xlfn.XLOOKUP(D1891,Insumos!B:B,Insumos!C:$C)</f>
        <v>M2</v>
      </c>
      <c r="F1891" s="14">
        <v>1.1000000000000001</v>
      </c>
      <c r="G1891" s="92">
        <f t="array" ref="G1891">IF(B1891="insumo",_xlfn.XLOOKUP($D1891,Insumos!$B$1:$B$996,Insumos!$D$1:$D$996),"")</f>
        <v>13.019333333333332</v>
      </c>
      <c r="H1891" s="92">
        <v>14.3212666666667</v>
      </c>
      <c r="I1891" s="13">
        <v>0</v>
      </c>
      <c r="J1891" s="13">
        <v>0</v>
      </c>
      <c r="K1891" s="13"/>
      <c r="L1891"/>
      <c r="M1891"/>
      <c r="N1891"/>
      <c r="O1891"/>
      <c r="P1891"/>
      <c r="Q1891"/>
      <c r="R1891"/>
      <c r="S1891"/>
      <c r="T1891"/>
      <c r="U1891"/>
      <c r="V1891"/>
      <c r="W1891"/>
      <c r="X1891"/>
      <c r="Y1891"/>
      <c r="Z1891"/>
      <c r="AA1891"/>
      <c r="AB1891"/>
      <c r="AC1891"/>
      <c r="AD1891"/>
      <c r="AE1891"/>
      <c r="AF1891"/>
      <c r="AG1891"/>
      <c r="AH1891"/>
      <c r="AI1891"/>
      <c r="AJ1891"/>
      <c r="AK1891"/>
      <c r="AL1891"/>
    </row>
    <row r="1892" spans="1:38" ht="15.75" customHeight="1" outlineLevel="2" x14ac:dyDescent="0.2">
      <c r="A1892" s="1067">
        <v>1</v>
      </c>
      <c r="B1892" s="1067" t="s">
        <v>68</v>
      </c>
      <c r="C1892" s="1067" t="s">
        <v>1347</v>
      </c>
      <c r="D1892" s="1067" t="s">
        <v>1347</v>
      </c>
      <c r="E1892" s="1068" t="s">
        <v>70</v>
      </c>
      <c r="F1892" s="1067"/>
      <c r="G1892" s="1069" t="str">
        <f t="array" ref="G1892">IF(B1892="insumo",_xlfn.XLOOKUP($D1892,Insumos!$B$1:$B$996,Insumos!$D$1:$D$996),"")</f>
        <v/>
      </c>
      <c r="H1892" s="1069">
        <v>235.938774666667</v>
      </c>
      <c r="I1892" s="1070">
        <v>0</v>
      </c>
      <c r="J1892" s="1070">
        <v>0</v>
      </c>
      <c r="K1892" s="1070"/>
      <c r="L1892"/>
      <c r="M1892"/>
      <c r="N1892"/>
      <c r="O1892"/>
      <c r="P1892"/>
      <c r="Q1892"/>
      <c r="R1892"/>
      <c r="S1892"/>
      <c r="T1892"/>
      <c r="U1892"/>
      <c r="V1892"/>
      <c r="W1892"/>
      <c r="X1892"/>
      <c r="Y1892"/>
      <c r="Z1892"/>
      <c r="AA1892"/>
      <c r="AB1892"/>
      <c r="AC1892"/>
      <c r="AD1892"/>
      <c r="AE1892"/>
      <c r="AF1892"/>
      <c r="AG1892"/>
      <c r="AH1892"/>
      <c r="AI1892"/>
      <c r="AJ1892"/>
      <c r="AK1892"/>
      <c r="AL1892"/>
    </row>
    <row r="1893" spans="1:38" ht="15.75" customHeight="1" outlineLevel="3" x14ac:dyDescent="0.2">
      <c r="A1893" s="10">
        <v>86</v>
      </c>
      <c r="B1893" s="10" t="s">
        <v>71</v>
      </c>
      <c r="C1893" s="10" t="s">
        <v>1347</v>
      </c>
      <c r="D1893" s="10" t="s">
        <v>407</v>
      </c>
      <c r="E1893" s="11" t="str">
        <f t="array" ref="E1893">_xlfn.XLOOKUP(D1893,Insumos!B:B,Insumos!C:$C)</f>
        <v>M2</v>
      </c>
      <c r="F1893" s="14">
        <v>1</v>
      </c>
      <c r="G1893" s="92">
        <f t="array" ref="G1893">IF(B1893="insumo",_xlfn.XLOOKUP($D1893,Insumos!$B$1:$B$996,Insumos!$D$1:$D$996),"")</f>
        <v>70</v>
      </c>
      <c r="H1893" s="92">
        <v>70</v>
      </c>
      <c r="I1893" s="13">
        <v>0</v>
      </c>
      <c r="J1893" s="13">
        <v>0</v>
      </c>
      <c r="K1893" s="13"/>
      <c r="L1893"/>
      <c r="M1893"/>
      <c r="N1893"/>
      <c r="O1893"/>
      <c r="P1893"/>
      <c r="Q1893"/>
      <c r="R1893"/>
      <c r="S1893"/>
      <c r="T1893"/>
      <c r="U1893"/>
      <c r="V1893"/>
      <c r="W1893"/>
      <c r="X1893"/>
      <c r="Y1893"/>
      <c r="Z1893"/>
      <c r="AA1893"/>
      <c r="AB1893"/>
      <c r="AC1893"/>
      <c r="AD1893"/>
      <c r="AE1893"/>
      <c r="AF1893"/>
      <c r="AG1893"/>
      <c r="AH1893"/>
      <c r="AI1893"/>
      <c r="AJ1893"/>
      <c r="AK1893"/>
      <c r="AL1893"/>
    </row>
    <row r="1894" spans="1:38" ht="15.75" customHeight="1" outlineLevel="3" x14ac:dyDescent="0.2">
      <c r="A1894" s="10">
        <v>49</v>
      </c>
      <c r="B1894" s="10" t="s">
        <v>71</v>
      </c>
      <c r="C1894" s="10" t="s">
        <v>1347</v>
      </c>
      <c r="D1894" s="10" t="s">
        <v>418</v>
      </c>
      <c r="E1894" s="11" t="str">
        <f t="array" ref="E1894">_xlfn.XLOOKUP(D1894,Insumos!B:B,Insumos!C:$C)</f>
        <v>M2</v>
      </c>
      <c r="F1894" s="14">
        <f>1.106</f>
        <v>1.1060000000000001</v>
      </c>
      <c r="G1894" s="92">
        <f t="array" ref="G1894">IF(B1894="insumo",_xlfn.XLOOKUP($D1894,Insumos!$B$1:$B$996,Insumos!$D$1:$D$996),"")</f>
        <v>27.1</v>
      </c>
      <c r="H1894" s="92">
        <v>29.9726</v>
      </c>
      <c r="I1894" s="13">
        <v>0</v>
      </c>
      <c r="J1894" s="13">
        <v>0</v>
      </c>
      <c r="K1894" s="13"/>
      <c r="L1894"/>
      <c r="M1894"/>
      <c r="N1894"/>
      <c r="O1894"/>
      <c r="P1894"/>
      <c r="Q1894"/>
      <c r="R1894"/>
      <c r="S1894"/>
      <c r="T1894"/>
      <c r="U1894"/>
      <c r="V1894"/>
      <c r="W1894"/>
      <c r="X1894"/>
      <c r="Y1894"/>
      <c r="Z1894"/>
      <c r="AA1894"/>
      <c r="AB1894"/>
      <c r="AC1894"/>
      <c r="AD1894"/>
      <c r="AE1894"/>
      <c r="AF1894"/>
      <c r="AG1894"/>
      <c r="AH1894"/>
      <c r="AI1894"/>
      <c r="AJ1894"/>
      <c r="AK1894"/>
      <c r="AL1894"/>
    </row>
    <row r="1895" spans="1:38" ht="15.75" customHeight="1" outlineLevel="3" x14ac:dyDescent="0.2">
      <c r="A1895" s="10">
        <v>47</v>
      </c>
      <c r="B1895" s="10" t="s">
        <v>71</v>
      </c>
      <c r="C1895" s="10" t="s">
        <v>1347</v>
      </c>
      <c r="D1895" s="10" t="s">
        <v>408</v>
      </c>
      <c r="E1895" s="11" t="str">
        <f t="array" ref="E1895">_xlfn.XLOOKUP(D1895,Insumos!B:B,Insumos!C:$C)</f>
        <v>M2</v>
      </c>
      <c r="F1895" s="14">
        <v>1.1060000000000001</v>
      </c>
      <c r="G1895" s="92">
        <f t="array" ref="G1895">IF(B1895="insumo",_xlfn.XLOOKUP($D1895,Insumos!$B$1:$B$996,Insumos!$D$1:$D$996),"")</f>
        <v>20.16</v>
      </c>
      <c r="H1895" s="92">
        <v>22.296959999999999</v>
      </c>
      <c r="I1895" s="13">
        <v>0</v>
      </c>
      <c r="J1895" s="13">
        <v>0</v>
      </c>
      <c r="K1895" s="13"/>
      <c r="L1895"/>
      <c r="M1895"/>
      <c r="N1895"/>
      <c r="O1895"/>
      <c r="P1895"/>
      <c r="Q1895"/>
      <c r="R1895"/>
      <c r="S1895"/>
      <c r="T1895"/>
      <c r="U1895"/>
      <c r="V1895"/>
      <c r="W1895"/>
      <c r="X1895"/>
      <c r="Y1895"/>
      <c r="Z1895"/>
      <c r="AA1895"/>
      <c r="AB1895"/>
      <c r="AC1895"/>
      <c r="AD1895"/>
      <c r="AE1895"/>
      <c r="AF1895"/>
      <c r="AG1895"/>
      <c r="AH1895"/>
      <c r="AI1895"/>
      <c r="AJ1895"/>
      <c r="AK1895"/>
      <c r="AL1895"/>
    </row>
    <row r="1896" spans="1:38" ht="15.75" customHeight="1" outlineLevel="3" x14ac:dyDescent="0.2">
      <c r="A1896" s="10">
        <v>95</v>
      </c>
      <c r="B1896" s="10" t="s">
        <v>71</v>
      </c>
      <c r="C1896" s="10" t="s">
        <v>1347</v>
      </c>
      <c r="D1896" s="10" t="s">
        <v>409</v>
      </c>
      <c r="E1896" s="11" t="str">
        <f t="array" ref="E1896">_xlfn.XLOOKUP(D1896,Insumos!B:B,Insumos!C:$C)</f>
        <v>UN</v>
      </c>
      <c r="F1896" s="14">
        <v>5.92</v>
      </c>
      <c r="G1896" s="92">
        <f t="array" ref="G1896">IF(B1896="insumo",_xlfn.XLOOKUP($D1896,Insumos!$B$1:$B$996,Insumos!$D$1:$D$996),"")</f>
        <v>0.504</v>
      </c>
      <c r="H1896" s="92">
        <v>2.9836800000000001</v>
      </c>
      <c r="I1896" s="13">
        <v>0</v>
      </c>
      <c r="J1896" s="13">
        <v>0</v>
      </c>
      <c r="K1896" s="13"/>
      <c r="L1896"/>
      <c r="M1896"/>
      <c r="N1896"/>
      <c r="O1896"/>
      <c r="P1896"/>
      <c r="Q1896"/>
      <c r="R1896"/>
      <c r="S1896"/>
      <c r="T1896"/>
      <c r="U1896"/>
      <c r="V1896"/>
      <c r="W1896"/>
      <c r="X1896"/>
      <c r="Y1896"/>
      <c r="Z1896"/>
      <c r="AA1896"/>
      <c r="AB1896"/>
      <c r="AC1896"/>
      <c r="AD1896"/>
      <c r="AE1896"/>
      <c r="AF1896"/>
      <c r="AG1896"/>
      <c r="AH1896"/>
      <c r="AI1896"/>
      <c r="AJ1896"/>
      <c r="AK1896"/>
      <c r="AL1896"/>
    </row>
    <row r="1897" spans="1:38" ht="15.75" customHeight="1" outlineLevel="3" x14ac:dyDescent="0.2">
      <c r="A1897" s="10">
        <v>26</v>
      </c>
      <c r="B1897" s="10" t="s">
        <v>71</v>
      </c>
      <c r="C1897" s="10" t="s">
        <v>1347</v>
      </c>
      <c r="D1897" s="10" t="s">
        <v>420</v>
      </c>
      <c r="E1897" s="11" t="str">
        <f t="array" ref="E1897">_xlfn.XLOOKUP(D1897,Insumos!B:B,Insumos!C:$C)</f>
        <v>M</v>
      </c>
      <c r="F1897" s="14">
        <v>1.5247999999999999</v>
      </c>
      <c r="G1897" s="92">
        <f t="array" ref="G1897">IF(B1897="insumo",_xlfn.XLOOKUP($D1897,Insumos!$B$1:$B$996,Insumos!$D$1:$D$996),"")</f>
        <v>8.64</v>
      </c>
      <c r="H1897" s="92">
        <v>13.174272</v>
      </c>
      <c r="I1897" s="13">
        <v>0</v>
      </c>
      <c r="J1897" s="13">
        <v>0</v>
      </c>
      <c r="K1897" s="13"/>
      <c r="L1897"/>
      <c r="M1897"/>
      <c r="N1897"/>
      <c r="O1897"/>
      <c r="P1897"/>
      <c r="Q1897"/>
      <c r="R1897"/>
      <c r="S1897"/>
      <c r="T1897"/>
      <c r="U1897"/>
      <c r="V1897"/>
      <c r="W1897"/>
      <c r="X1897"/>
      <c r="Y1897"/>
      <c r="Z1897"/>
      <c r="AA1897"/>
      <c r="AB1897"/>
      <c r="AC1897"/>
      <c r="AD1897"/>
      <c r="AE1897"/>
      <c r="AF1897"/>
      <c r="AG1897"/>
      <c r="AH1897"/>
      <c r="AI1897"/>
      <c r="AJ1897"/>
      <c r="AK1897"/>
      <c r="AL1897"/>
    </row>
    <row r="1898" spans="1:38" ht="15.75" customHeight="1" outlineLevel="3" x14ac:dyDescent="0.2">
      <c r="A1898" s="10">
        <v>26</v>
      </c>
      <c r="B1898" s="10" t="s">
        <v>71</v>
      </c>
      <c r="C1898" s="10" t="s">
        <v>1347</v>
      </c>
      <c r="D1898" s="10" t="s">
        <v>421</v>
      </c>
      <c r="E1898" s="11" t="str">
        <f t="array" ref="E1898">_xlfn.XLOOKUP(D1898,Insumos!B:B,Insumos!C:$C)</f>
        <v>M</v>
      </c>
      <c r="F1898" s="14">
        <v>4.0011000000000001</v>
      </c>
      <c r="G1898" s="92">
        <f t="array" ref="G1898">IF(B1898="insumo",_xlfn.XLOOKUP($D1898,Insumos!$B$1:$B$996,Insumos!$D$1:$D$996),"")</f>
        <v>18.09</v>
      </c>
      <c r="H1898" s="92">
        <v>72.379898999999995</v>
      </c>
      <c r="I1898" s="13">
        <v>0</v>
      </c>
      <c r="J1898" s="13">
        <v>0</v>
      </c>
      <c r="K1898" s="13"/>
      <c r="L1898"/>
      <c r="M1898"/>
      <c r="N1898"/>
      <c r="O1898"/>
      <c r="P1898"/>
      <c r="Q1898"/>
      <c r="R1898"/>
      <c r="S1898"/>
      <c r="T1898"/>
      <c r="U1898"/>
      <c r="V1898"/>
      <c r="W1898"/>
      <c r="X1898"/>
      <c r="Y1898"/>
      <c r="Z1898"/>
      <c r="AA1898"/>
      <c r="AB1898"/>
      <c r="AC1898"/>
      <c r="AD1898"/>
      <c r="AE1898"/>
      <c r="AF1898"/>
      <c r="AG1898"/>
      <c r="AH1898"/>
      <c r="AI1898"/>
      <c r="AJ1898"/>
      <c r="AK1898"/>
      <c r="AL1898"/>
    </row>
    <row r="1899" spans="1:38" ht="15.75" customHeight="1" outlineLevel="3" x14ac:dyDescent="0.2">
      <c r="A1899" s="10">
        <v>95</v>
      </c>
      <c r="B1899" s="10" t="s">
        <v>71</v>
      </c>
      <c r="C1899" s="10" t="s">
        <v>1347</v>
      </c>
      <c r="D1899" s="10" t="s">
        <v>405</v>
      </c>
      <c r="E1899" s="11" t="str">
        <f t="array" ref="E1899">_xlfn.XLOOKUP(D1899,Insumos!B:B,Insumos!C:$C)</f>
        <v>KG</v>
      </c>
      <c r="F1899" s="14">
        <v>1.0978000000000001</v>
      </c>
      <c r="G1899" s="92">
        <f t="array" ref="G1899">IF(B1899="insumo",_xlfn.XLOOKUP($D1899,Insumos!$B$1:$B$996,Insumos!$D$1:$D$996),"")</f>
        <v>3.43</v>
      </c>
      <c r="H1899" s="92">
        <v>3.7654540000000001</v>
      </c>
      <c r="I1899" s="13">
        <v>0</v>
      </c>
      <c r="J1899" s="13">
        <v>0</v>
      </c>
      <c r="K1899" s="13"/>
      <c r="L1899"/>
      <c r="M1899"/>
      <c r="N1899"/>
      <c r="O1899"/>
      <c r="P1899"/>
      <c r="Q1899"/>
      <c r="R1899"/>
      <c r="S1899"/>
      <c r="T1899"/>
      <c r="U1899"/>
      <c r="V1899"/>
      <c r="W1899"/>
      <c r="X1899"/>
      <c r="Y1899"/>
      <c r="Z1899"/>
      <c r="AA1899"/>
      <c r="AB1899"/>
      <c r="AC1899"/>
      <c r="AD1899"/>
      <c r="AE1899"/>
      <c r="AF1899"/>
      <c r="AG1899"/>
      <c r="AH1899"/>
      <c r="AI1899"/>
      <c r="AJ1899"/>
      <c r="AK1899"/>
      <c r="AL1899"/>
    </row>
    <row r="1900" spans="1:38" ht="15.75" customHeight="1" outlineLevel="3" x14ac:dyDescent="0.2">
      <c r="A1900" s="10">
        <v>94</v>
      </c>
      <c r="B1900" s="10" t="s">
        <v>71</v>
      </c>
      <c r="C1900" s="10" t="s">
        <v>1347</v>
      </c>
      <c r="D1900" s="10" t="s">
        <v>412</v>
      </c>
      <c r="E1900" s="11" t="str">
        <f t="array" ref="E1900">_xlfn.XLOOKUP(D1900,Insumos!B:B,Insumos!C:$C)</f>
        <v>M</v>
      </c>
      <c r="F1900" s="14">
        <v>2.5026999999999999</v>
      </c>
      <c r="G1900" s="92">
        <f t="array" ref="G1900">IF(B1900="insumo",_xlfn.XLOOKUP($D1900,Insumos!$B$1:$B$996,Insumos!$D$1:$D$996),"")</f>
        <v>0.31</v>
      </c>
      <c r="H1900" s="92">
        <v>0.775837</v>
      </c>
      <c r="I1900" s="13">
        <v>0</v>
      </c>
      <c r="J1900" s="13">
        <v>0</v>
      </c>
      <c r="K1900" s="13"/>
      <c r="L1900"/>
      <c r="M1900"/>
      <c r="N1900"/>
      <c r="O1900"/>
      <c r="P1900"/>
      <c r="Q1900"/>
      <c r="R1900"/>
      <c r="S1900"/>
      <c r="T1900"/>
      <c r="U1900"/>
      <c r="V1900"/>
      <c r="W1900"/>
      <c r="X1900"/>
      <c r="Y1900"/>
      <c r="Z1900"/>
      <c r="AA1900"/>
      <c r="AB1900"/>
      <c r="AC1900"/>
      <c r="AD1900"/>
      <c r="AE1900"/>
      <c r="AF1900"/>
      <c r="AG1900"/>
      <c r="AH1900"/>
      <c r="AI1900"/>
      <c r="AJ1900"/>
      <c r="AK1900"/>
      <c r="AL1900"/>
    </row>
    <row r="1901" spans="1:38" ht="15.75" customHeight="1" outlineLevel="3" x14ac:dyDescent="0.2">
      <c r="A1901" s="10">
        <v>94</v>
      </c>
      <c r="B1901" s="10" t="s">
        <v>71</v>
      </c>
      <c r="C1901" s="10" t="s">
        <v>1347</v>
      </c>
      <c r="D1901" s="10" t="s">
        <v>413</v>
      </c>
      <c r="E1901" s="11" t="str">
        <f t="array" ref="E1901">_xlfn.XLOOKUP(D1901,Insumos!B:B,Insumos!C:$C)</f>
        <v>M</v>
      </c>
      <c r="F1901" s="14">
        <v>1.5851</v>
      </c>
      <c r="G1901" s="92">
        <f t="array" ref="G1901">IF(B1901="insumo",_xlfn.XLOOKUP($D1901,Insumos!$B$1:$B$996,Insumos!$D$1:$D$996),"")</f>
        <v>2.74</v>
      </c>
      <c r="H1901" s="92">
        <v>4.3431740000000003</v>
      </c>
      <c r="I1901" s="13">
        <v>0</v>
      </c>
      <c r="J1901" s="13">
        <v>0</v>
      </c>
      <c r="K1901" s="13"/>
      <c r="L1901"/>
      <c r="M1901"/>
      <c r="N1901"/>
      <c r="O1901"/>
      <c r="P1901"/>
      <c r="Q1901"/>
      <c r="R1901"/>
      <c r="S1901"/>
      <c r="T1901"/>
      <c r="U1901"/>
      <c r="V1901"/>
      <c r="W1901"/>
      <c r="X1901"/>
      <c r="Y1901"/>
      <c r="Z1901"/>
      <c r="AA1901"/>
      <c r="AB1901"/>
      <c r="AC1901"/>
      <c r="AD1901"/>
      <c r="AE1901"/>
      <c r="AF1901"/>
      <c r="AG1901"/>
      <c r="AH1901"/>
      <c r="AI1901"/>
      <c r="AJ1901"/>
      <c r="AK1901"/>
      <c r="AL1901"/>
    </row>
    <row r="1902" spans="1:38" ht="15.75" customHeight="1" outlineLevel="3" x14ac:dyDescent="0.2">
      <c r="A1902" s="10">
        <v>97</v>
      </c>
      <c r="B1902" s="10" t="s">
        <v>71</v>
      </c>
      <c r="C1902" s="10" t="s">
        <v>1347</v>
      </c>
      <c r="D1902" s="10" t="s">
        <v>414</v>
      </c>
      <c r="E1902" s="11" t="str">
        <f t="array" ref="E1902">_xlfn.XLOOKUP(D1902,Insumos!B:B,Insumos!C:$C)</f>
        <v>UN</v>
      </c>
      <c r="F1902" s="14">
        <v>20.186800000000002</v>
      </c>
      <c r="G1902" s="92">
        <f t="array" ref="G1902">IF(B1902="insumo",_xlfn.XLOOKUP($D1902,Insumos!$B$1:$B$996,Insumos!$D$1:$D$996),"")</f>
        <v>0.09</v>
      </c>
      <c r="H1902" s="92">
        <v>1.8168120000000001</v>
      </c>
      <c r="I1902" s="13">
        <v>0</v>
      </c>
      <c r="J1902" s="13">
        <v>0</v>
      </c>
      <c r="K1902" s="13"/>
      <c r="L1902"/>
      <c r="M1902"/>
      <c r="N1902"/>
      <c r="O1902"/>
      <c r="P1902"/>
      <c r="Q1902"/>
      <c r="R1902"/>
      <c r="S1902"/>
      <c r="T1902"/>
      <c r="U1902"/>
      <c r="V1902"/>
      <c r="W1902"/>
      <c r="X1902"/>
      <c r="Y1902"/>
      <c r="Z1902"/>
      <c r="AA1902"/>
      <c r="AB1902"/>
      <c r="AC1902"/>
      <c r="AD1902"/>
      <c r="AE1902"/>
      <c r="AF1902"/>
      <c r="AG1902"/>
      <c r="AH1902"/>
      <c r="AI1902"/>
      <c r="AJ1902"/>
      <c r="AK1902"/>
      <c r="AL1902"/>
    </row>
    <row r="1903" spans="1:38" ht="15.75" customHeight="1" outlineLevel="3" x14ac:dyDescent="0.2">
      <c r="A1903" s="10">
        <v>95</v>
      </c>
      <c r="B1903" s="10" t="s">
        <v>71</v>
      </c>
      <c r="C1903" s="10" t="s">
        <v>1347</v>
      </c>
      <c r="D1903" s="10" t="s">
        <v>415</v>
      </c>
      <c r="E1903" s="11" t="str">
        <f t="array" ref="E1903">_xlfn.XLOOKUP(D1903,Insumos!B:B,Insumos!C:$C)</f>
        <v>UN</v>
      </c>
      <c r="F1903" s="14">
        <v>0.54410000000000003</v>
      </c>
      <c r="G1903" s="92">
        <f t="array" ref="G1903">IF(B1903="insumo",_xlfn.XLOOKUP($D1903,Insumos!$B$1:$B$996,Insumos!$D$1:$D$996),"")</f>
        <v>0.2</v>
      </c>
      <c r="H1903" s="92">
        <v>0.10882</v>
      </c>
      <c r="I1903" s="13">
        <v>0</v>
      </c>
      <c r="J1903" s="13">
        <v>0</v>
      </c>
      <c r="K1903" s="13"/>
      <c r="L1903"/>
      <c r="M1903"/>
      <c r="N1903"/>
      <c r="O1903"/>
      <c r="P1903"/>
      <c r="Q1903"/>
      <c r="R1903"/>
      <c r="S1903"/>
      <c r="T1903"/>
      <c r="U1903"/>
      <c r="V1903"/>
      <c r="W1903"/>
      <c r="X1903"/>
      <c r="Y1903"/>
      <c r="Z1903"/>
      <c r="AA1903"/>
      <c r="AB1903"/>
      <c r="AC1903"/>
      <c r="AD1903"/>
      <c r="AE1903"/>
      <c r="AF1903"/>
      <c r="AG1903"/>
      <c r="AH1903"/>
      <c r="AI1903"/>
      <c r="AJ1903"/>
      <c r="AK1903"/>
      <c r="AL1903"/>
    </row>
    <row r="1904" spans="1:38" ht="15.75" customHeight="1" outlineLevel="3" x14ac:dyDescent="0.2">
      <c r="A1904" s="10">
        <v>35</v>
      </c>
      <c r="B1904" s="10" t="s">
        <v>71</v>
      </c>
      <c r="C1904" s="10" t="s">
        <v>1347</v>
      </c>
      <c r="D1904" s="10" t="s">
        <v>1595</v>
      </c>
      <c r="E1904" s="11" t="str">
        <f t="array" ref="E1904">_xlfn.XLOOKUP(D1904,Insumos!B:B,Insumos!C:$C)</f>
        <v>M2</v>
      </c>
      <c r="F1904" s="14">
        <v>1.1000000000000001</v>
      </c>
      <c r="G1904" s="92">
        <f t="array" ref="G1904">IF(B1904="insumo",_xlfn.XLOOKUP($D1904,Insumos!$B$1:$B$996,Insumos!$D$1:$D$996),"")</f>
        <v>13.019333333333332</v>
      </c>
      <c r="H1904" s="92">
        <v>14.3212666666667</v>
      </c>
      <c r="I1904" s="13">
        <v>0</v>
      </c>
      <c r="J1904" s="13">
        <v>0</v>
      </c>
      <c r="K1904" s="13"/>
      <c r="L1904"/>
      <c r="M1904"/>
      <c r="N1904"/>
      <c r="O1904"/>
      <c r="P1904"/>
      <c r="Q1904"/>
      <c r="R1904"/>
      <c r="S1904"/>
      <c r="T1904"/>
      <c r="U1904"/>
      <c r="V1904"/>
      <c r="W1904"/>
      <c r="X1904"/>
      <c r="Y1904"/>
      <c r="Z1904"/>
      <c r="AA1904"/>
      <c r="AB1904"/>
      <c r="AC1904"/>
      <c r="AD1904"/>
      <c r="AE1904"/>
      <c r="AF1904"/>
      <c r="AG1904"/>
      <c r="AH1904"/>
      <c r="AI1904"/>
      <c r="AJ1904"/>
      <c r="AK1904"/>
      <c r="AL1904"/>
    </row>
    <row r="1905" spans="1:38" ht="15.75" customHeight="1" outlineLevel="2" x14ac:dyDescent="0.2">
      <c r="A1905" s="1067">
        <v>1</v>
      </c>
      <c r="B1905" s="1067" t="s">
        <v>68</v>
      </c>
      <c r="C1905" s="1067" t="s">
        <v>1348</v>
      </c>
      <c r="D1905" s="1067" t="s">
        <v>1348</v>
      </c>
      <c r="E1905" s="1068" t="s">
        <v>70</v>
      </c>
      <c r="F1905" s="1067"/>
      <c r="G1905" s="1069" t="str">
        <f t="array" ref="G1905">IF(B1905="insumo",_xlfn.XLOOKUP($D1905,Insumos!$B$1:$B$996,Insumos!$D$1:$D$996),"")</f>
        <v/>
      </c>
      <c r="H1905" s="1069">
        <v>226.126174666667</v>
      </c>
      <c r="I1905" s="1070">
        <v>0</v>
      </c>
      <c r="J1905" s="1070">
        <v>0</v>
      </c>
      <c r="K1905" s="1070"/>
      <c r="L1905"/>
      <c r="M1905"/>
      <c r="N1905"/>
      <c r="O1905"/>
      <c r="P1905"/>
      <c r="Q1905"/>
      <c r="R1905"/>
      <c r="S1905"/>
      <c r="T1905"/>
      <c r="U1905"/>
      <c r="V1905"/>
      <c r="W1905"/>
      <c r="X1905"/>
      <c r="Y1905"/>
      <c r="Z1905"/>
      <c r="AA1905"/>
      <c r="AB1905"/>
      <c r="AC1905"/>
      <c r="AD1905"/>
      <c r="AE1905"/>
      <c r="AF1905"/>
      <c r="AG1905"/>
      <c r="AH1905"/>
      <c r="AI1905"/>
      <c r="AJ1905"/>
      <c r="AK1905"/>
      <c r="AL1905"/>
    </row>
    <row r="1906" spans="1:38" ht="15.75" customHeight="1" outlineLevel="3" x14ac:dyDescent="0.2">
      <c r="A1906" s="10">
        <v>86</v>
      </c>
      <c r="B1906" s="10" t="s">
        <v>71</v>
      </c>
      <c r="C1906" s="10" t="s">
        <v>1348</v>
      </c>
      <c r="D1906" s="10" t="s">
        <v>407</v>
      </c>
      <c r="E1906" s="11" t="str">
        <f t="array" ref="E1906">_xlfn.XLOOKUP(D1906,Insumos!B:B,Insumos!C:$C)</f>
        <v>M2</v>
      </c>
      <c r="F1906" s="14">
        <v>1</v>
      </c>
      <c r="G1906" s="92">
        <f t="array" ref="G1906">IF(B1906="insumo",_xlfn.XLOOKUP($D1906,Insumos!$B$1:$B$996,Insumos!$D$1:$D$996),"")</f>
        <v>70</v>
      </c>
      <c r="H1906" s="92">
        <v>70</v>
      </c>
      <c r="I1906" s="13">
        <v>0</v>
      </c>
      <c r="J1906" s="13">
        <v>0</v>
      </c>
      <c r="K1906" s="13"/>
      <c r="L1906"/>
      <c r="M1906"/>
      <c r="N1906"/>
      <c r="O1906"/>
      <c r="P1906"/>
      <c r="Q1906"/>
      <c r="R1906"/>
      <c r="S1906"/>
      <c r="T1906"/>
      <c r="U1906"/>
      <c r="V1906"/>
      <c r="W1906"/>
      <c r="X1906"/>
      <c r="Y1906"/>
      <c r="Z1906"/>
      <c r="AA1906"/>
      <c r="AB1906"/>
      <c r="AC1906"/>
      <c r="AD1906"/>
      <c r="AE1906"/>
      <c r="AF1906"/>
      <c r="AG1906"/>
      <c r="AH1906"/>
      <c r="AI1906"/>
      <c r="AJ1906"/>
      <c r="AK1906"/>
      <c r="AL1906"/>
    </row>
    <row r="1907" spans="1:38" ht="15.75" customHeight="1" outlineLevel="3" x14ac:dyDescent="0.2">
      <c r="A1907" s="10">
        <v>47</v>
      </c>
      <c r="B1907" s="10" t="s">
        <v>71</v>
      </c>
      <c r="C1907" s="10" t="s">
        <v>1348</v>
      </c>
      <c r="D1907" s="10" t="s">
        <v>408</v>
      </c>
      <c r="E1907" s="11" t="str">
        <f t="array" ref="E1907">_xlfn.XLOOKUP(D1907,Insumos!B:B,Insumos!C:$C)</f>
        <v>M2</v>
      </c>
      <c r="F1907" s="14">
        <v>2.1059999999999999</v>
      </c>
      <c r="G1907" s="92">
        <f t="array" ref="G1907">IF(B1907="insumo",_xlfn.XLOOKUP($D1907,Insumos!$B$1:$B$996,Insumos!$D$1:$D$996),"")</f>
        <v>20.16</v>
      </c>
      <c r="H1907" s="92">
        <v>42.456960000000002</v>
      </c>
      <c r="I1907" s="13">
        <v>0</v>
      </c>
      <c r="J1907" s="13">
        <v>0</v>
      </c>
      <c r="K1907" s="13"/>
      <c r="L1907"/>
      <c r="M1907"/>
      <c r="N1907"/>
      <c r="O1907"/>
      <c r="P1907"/>
      <c r="Q1907"/>
      <c r="R1907"/>
      <c r="S1907"/>
      <c r="T1907"/>
      <c r="U1907"/>
      <c r="V1907"/>
      <c r="W1907"/>
      <c r="X1907"/>
      <c r="Y1907"/>
      <c r="Z1907"/>
      <c r="AA1907"/>
      <c r="AB1907"/>
      <c r="AC1907"/>
      <c r="AD1907"/>
      <c r="AE1907"/>
      <c r="AF1907"/>
      <c r="AG1907"/>
      <c r="AH1907"/>
      <c r="AI1907"/>
      <c r="AJ1907"/>
      <c r="AK1907"/>
      <c r="AL1907"/>
    </row>
    <row r="1908" spans="1:38" ht="15.75" customHeight="1" outlineLevel="3" x14ac:dyDescent="0.2">
      <c r="A1908" s="10">
        <v>95</v>
      </c>
      <c r="B1908" s="10" t="s">
        <v>71</v>
      </c>
      <c r="C1908" s="10" t="s">
        <v>1348</v>
      </c>
      <c r="D1908" s="10" t="s">
        <v>409</v>
      </c>
      <c r="E1908" s="11" t="str">
        <f t="array" ref="E1908">_xlfn.XLOOKUP(D1908,Insumos!B:B,Insumos!C:$C)</f>
        <v>UN</v>
      </c>
      <c r="F1908" s="14">
        <v>5.92</v>
      </c>
      <c r="G1908" s="92">
        <f t="array" ref="G1908">IF(B1908="insumo",_xlfn.XLOOKUP($D1908,Insumos!$B$1:$B$996,Insumos!$D$1:$D$996),"")</f>
        <v>0.504</v>
      </c>
      <c r="H1908" s="92">
        <v>2.9836800000000001</v>
      </c>
      <c r="I1908" s="13">
        <v>0</v>
      </c>
      <c r="J1908" s="13">
        <v>0</v>
      </c>
      <c r="K1908" s="13"/>
      <c r="L1908"/>
      <c r="M1908"/>
      <c r="N1908"/>
      <c r="O1908"/>
      <c r="P1908"/>
      <c r="Q1908"/>
      <c r="R1908"/>
      <c r="S1908"/>
      <c r="T1908"/>
      <c r="U1908"/>
      <c r="V1908"/>
      <c r="W1908"/>
      <c r="X1908"/>
      <c r="Y1908"/>
      <c r="Z1908"/>
      <c r="AA1908"/>
      <c r="AB1908"/>
      <c r="AC1908"/>
      <c r="AD1908"/>
      <c r="AE1908"/>
      <c r="AF1908"/>
      <c r="AG1908"/>
      <c r="AH1908"/>
      <c r="AI1908"/>
      <c r="AJ1908"/>
      <c r="AK1908"/>
      <c r="AL1908"/>
    </row>
    <row r="1909" spans="1:38" ht="15.75" customHeight="1" outlineLevel="3" x14ac:dyDescent="0.2">
      <c r="A1909" s="10">
        <v>26</v>
      </c>
      <c r="B1909" s="10" t="s">
        <v>71</v>
      </c>
      <c r="C1909" s="10" t="s">
        <v>1348</v>
      </c>
      <c r="D1909" s="10" t="s">
        <v>420</v>
      </c>
      <c r="E1909" s="11" t="str">
        <f t="array" ref="E1909">_xlfn.XLOOKUP(D1909,Insumos!B:B,Insumos!C:$C)</f>
        <v>M</v>
      </c>
      <c r="F1909" s="14">
        <v>1.5247999999999999</v>
      </c>
      <c r="G1909" s="92">
        <f t="array" ref="G1909">IF(B1909="insumo",_xlfn.XLOOKUP($D1909,Insumos!$B$1:$B$996,Insumos!$D$1:$D$996),"")</f>
        <v>8.64</v>
      </c>
      <c r="H1909" s="92">
        <v>13.174272</v>
      </c>
      <c r="I1909" s="13">
        <v>0</v>
      </c>
      <c r="J1909" s="13">
        <v>0</v>
      </c>
      <c r="K1909" s="13"/>
      <c r="L1909"/>
      <c r="M1909"/>
      <c r="N1909"/>
      <c r="O1909"/>
      <c r="P1909"/>
      <c r="Q1909"/>
      <c r="R1909"/>
      <c r="S1909"/>
      <c r="T1909"/>
      <c r="U1909"/>
      <c r="V1909"/>
      <c r="W1909"/>
      <c r="X1909"/>
      <c r="Y1909"/>
      <c r="Z1909"/>
      <c r="AA1909"/>
      <c r="AB1909"/>
      <c r="AC1909"/>
      <c r="AD1909"/>
      <c r="AE1909"/>
      <c r="AF1909"/>
      <c r="AG1909"/>
      <c r="AH1909"/>
      <c r="AI1909"/>
      <c r="AJ1909"/>
      <c r="AK1909"/>
      <c r="AL1909"/>
    </row>
    <row r="1910" spans="1:38" ht="15.75" customHeight="1" outlineLevel="3" x14ac:dyDescent="0.2">
      <c r="A1910" s="10">
        <v>26</v>
      </c>
      <c r="B1910" s="10" t="s">
        <v>71</v>
      </c>
      <c r="C1910" s="10" t="s">
        <v>1348</v>
      </c>
      <c r="D1910" s="10" t="s">
        <v>421</v>
      </c>
      <c r="E1910" s="11" t="str">
        <f t="array" ref="E1910">_xlfn.XLOOKUP(D1910,Insumos!B:B,Insumos!C:$C)</f>
        <v>M</v>
      </c>
      <c r="F1910" s="14">
        <v>4.0011000000000001</v>
      </c>
      <c r="G1910" s="92">
        <f t="array" ref="G1910">IF(B1910="insumo",_xlfn.XLOOKUP($D1910,Insumos!$B$1:$B$996,Insumos!$D$1:$D$996),"")</f>
        <v>18.09</v>
      </c>
      <c r="H1910" s="92">
        <v>72.379898999999995</v>
      </c>
      <c r="I1910" s="13">
        <v>0</v>
      </c>
      <c r="J1910" s="13">
        <v>0</v>
      </c>
      <c r="K1910" s="13"/>
      <c r="L1910"/>
      <c r="M1910"/>
      <c r="N1910"/>
      <c r="O1910"/>
      <c r="P1910"/>
      <c r="Q1910"/>
      <c r="R1910"/>
      <c r="S1910"/>
      <c r="T1910"/>
      <c r="U1910"/>
      <c r="V1910"/>
      <c r="W1910"/>
      <c r="X1910"/>
      <c r="Y1910"/>
      <c r="Z1910"/>
      <c r="AA1910"/>
      <c r="AB1910"/>
      <c r="AC1910"/>
      <c r="AD1910"/>
      <c r="AE1910"/>
      <c r="AF1910"/>
      <c r="AG1910"/>
      <c r="AH1910"/>
      <c r="AI1910"/>
      <c r="AJ1910"/>
      <c r="AK1910"/>
      <c r="AL1910"/>
    </row>
    <row r="1911" spans="1:38" ht="15.75" customHeight="1" outlineLevel="3" x14ac:dyDescent="0.2">
      <c r="A1911" s="10">
        <v>95</v>
      </c>
      <c r="B1911" s="10" t="s">
        <v>71</v>
      </c>
      <c r="C1911" s="10" t="s">
        <v>1348</v>
      </c>
      <c r="D1911" s="10" t="s">
        <v>405</v>
      </c>
      <c r="E1911" s="11" t="str">
        <f t="array" ref="E1911">_xlfn.XLOOKUP(D1911,Insumos!B:B,Insumos!C:$C)</f>
        <v>KG</v>
      </c>
      <c r="F1911" s="14">
        <v>1.0978000000000001</v>
      </c>
      <c r="G1911" s="92">
        <f t="array" ref="G1911">IF(B1911="insumo",_xlfn.XLOOKUP($D1911,Insumos!$B$1:$B$996,Insumos!$D$1:$D$996),"")</f>
        <v>3.43</v>
      </c>
      <c r="H1911" s="92">
        <v>3.7654540000000001</v>
      </c>
      <c r="I1911" s="13">
        <v>0</v>
      </c>
      <c r="J1911" s="13">
        <v>0</v>
      </c>
      <c r="K1911" s="13"/>
      <c r="L1911"/>
      <c r="M1911"/>
      <c r="N1911"/>
      <c r="O1911"/>
      <c r="P1911"/>
      <c r="Q1911"/>
      <c r="R1911"/>
      <c r="S1911"/>
      <c r="T1911"/>
      <c r="U1911"/>
      <c r="V1911"/>
      <c r="W1911"/>
      <c r="X1911"/>
      <c r="Y1911"/>
      <c r="Z1911"/>
      <c r="AA1911"/>
      <c r="AB1911"/>
      <c r="AC1911"/>
      <c r="AD1911"/>
      <c r="AE1911"/>
      <c r="AF1911"/>
      <c r="AG1911"/>
      <c r="AH1911"/>
      <c r="AI1911"/>
      <c r="AJ1911"/>
      <c r="AK1911"/>
      <c r="AL1911"/>
    </row>
    <row r="1912" spans="1:38" ht="15.75" customHeight="1" outlineLevel="3" x14ac:dyDescent="0.2">
      <c r="A1912" s="10">
        <v>94</v>
      </c>
      <c r="B1912" s="10" t="s">
        <v>71</v>
      </c>
      <c r="C1912" s="10" t="s">
        <v>1348</v>
      </c>
      <c r="D1912" s="10" t="s">
        <v>412</v>
      </c>
      <c r="E1912" s="11" t="str">
        <f t="array" ref="E1912">_xlfn.XLOOKUP(D1912,Insumos!B:B,Insumos!C:$C)</f>
        <v>M</v>
      </c>
      <c r="F1912" s="14">
        <v>2.5026999999999999</v>
      </c>
      <c r="G1912" s="92">
        <f t="array" ref="G1912">IF(B1912="insumo",_xlfn.XLOOKUP($D1912,Insumos!$B$1:$B$996,Insumos!$D$1:$D$996),"")</f>
        <v>0.31</v>
      </c>
      <c r="H1912" s="92">
        <v>0.775837</v>
      </c>
      <c r="I1912" s="13">
        <v>0</v>
      </c>
      <c r="J1912" s="13">
        <v>0</v>
      </c>
      <c r="K1912" s="13"/>
      <c r="L1912"/>
      <c r="M1912"/>
      <c r="N1912"/>
      <c r="O1912"/>
      <c r="P1912"/>
      <c r="Q1912"/>
      <c r="R1912"/>
      <c r="S1912"/>
      <c r="T1912"/>
      <c r="U1912"/>
      <c r="V1912"/>
      <c r="W1912"/>
      <c r="X1912"/>
      <c r="Y1912"/>
      <c r="Z1912"/>
      <c r="AA1912"/>
      <c r="AB1912"/>
      <c r="AC1912"/>
      <c r="AD1912"/>
      <c r="AE1912"/>
      <c r="AF1912"/>
      <c r="AG1912"/>
      <c r="AH1912"/>
      <c r="AI1912"/>
      <c r="AJ1912"/>
      <c r="AK1912"/>
      <c r="AL1912"/>
    </row>
    <row r="1913" spans="1:38" ht="15.75" customHeight="1" outlineLevel="3" x14ac:dyDescent="0.2">
      <c r="A1913" s="10">
        <v>94</v>
      </c>
      <c r="B1913" s="10" t="s">
        <v>71</v>
      </c>
      <c r="C1913" s="10" t="s">
        <v>1348</v>
      </c>
      <c r="D1913" s="10" t="s">
        <v>413</v>
      </c>
      <c r="E1913" s="11" t="str">
        <f t="array" ref="E1913">_xlfn.XLOOKUP(D1913,Insumos!B:B,Insumos!C:$C)</f>
        <v>M</v>
      </c>
      <c r="F1913" s="14">
        <v>1.5851</v>
      </c>
      <c r="G1913" s="92">
        <f t="array" ref="G1913">IF(B1913="insumo",_xlfn.XLOOKUP($D1913,Insumos!$B$1:$B$996,Insumos!$D$1:$D$996),"")</f>
        <v>2.74</v>
      </c>
      <c r="H1913" s="92">
        <v>4.3431740000000003</v>
      </c>
      <c r="I1913" s="13">
        <v>0</v>
      </c>
      <c r="J1913" s="13">
        <v>0</v>
      </c>
      <c r="K1913" s="13"/>
      <c r="L1913"/>
      <c r="M1913"/>
      <c r="N1913"/>
      <c r="O1913"/>
      <c r="P1913"/>
      <c r="Q1913"/>
      <c r="R1913"/>
      <c r="S1913"/>
      <c r="T1913"/>
      <c r="U1913"/>
      <c r="V1913"/>
      <c r="W1913"/>
      <c r="X1913"/>
      <c r="Y1913"/>
      <c r="Z1913"/>
      <c r="AA1913"/>
      <c r="AB1913"/>
      <c r="AC1913"/>
      <c r="AD1913"/>
      <c r="AE1913"/>
      <c r="AF1913"/>
      <c r="AG1913"/>
      <c r="AH1913"/>
      <c r="AI1913"/>
      <c r="AJ1913"/>
      <c r="AK1913"/>
      <c r="AL1913"/>
    </row>
    <row r="1914" spans="1:38" ht="15.75" customHeight="1" outlineLevel="3" x14ac:dyDescent="0.2">
      <c r="A1914" s="10">
        <v>97</v>
      </c>
      <c r="B1914" s="10" t="s">
        <v>71</v>
      </c>
      <c r="C1914" s="10" t="s">
        <v>1348</v>
      </c>
      <c r="D1914" s="10" t="s">
        <v>414</v>
      </c>
      <c r="E1914" s="11" t="str">
        <f t="array" ref="E1914">_xlfn.XLOOKUP(D1914,Insumos!B:B,Insumos!C:$C)</f>
        <v>UN</v>
      </c>
      <c r="F1914" s="14">
        <v>20.186800000000002</v>
      </c>
      <c r="G1914" s="92">
        <f t="array" ref="G1914">IF(B1914="insumo",_xlfn.XLOOKUP($D1914,Insumos!$B$1:$B$996,Insumos!$D$1:$D$996),"")</f>
        <v>0.09</v>
      </c>
      <c r="H1914" s="92">
        <v>1.8168120000000001</v>
      </c>
      <c r="I1914" s="13">
        <v>0</v>
      </c>
      <c r="J1914" s="13">
        <v>0</v>
      </c>
      <c r="K1914" s="13"/>
      <c r="L1914"/>
      <c r="M1914"/>
      <c r="N1914"/>
      <c r="O1914"/>
      <c r="P1914"/>
      <c r="Q1914"/>
      <c r="R1914"/>
      <c r="S1914"/>
      <c r="T1914"/>
      <c r="U1914"/>
      <c r="V1914"/>
      <c r="W1914"/>
      <c r="X1914"/>
      <c r="Y1914"/>
      <c r="Z1914"/>
      <c r="AA1914"/>
      <c r="AB1914"/>
      <c r="AC1914"/>
      <c r="AD1914"/>
      <c r="AE1914"/>
      <c r="AF1914"/>
      <c r="AG1914"/>
      <c r="AH1914"/>
      <c r="AI1914"/>
      <c r="AJ1914"/>
      <c r="AK1914"/>
      <c r="AL1914"/>
    </row>
    <row r="1915" spans="1:38" ht="15.75" customHeight="1" outlineLevel="3" x14ac:dyDescent="0.2">
      <c r="A1915" s="10">
        <v>95</v>
      </c>
      <c r="B1915" s="10" t="s">
        <v>71</v>
      </c>
      <c r="C1915" s="10" t="s">
        <v>1348</v>
      </c>
      <c r="D1915" s="10" t="s">
        <v>415</v>
      </c>
      <c r="E1915" s="11" t="str">
        <f t="array" ref="E1915">_xlfn.XLOOKUP(D1915,Insumos!B:B,Insumos!C:$C)</f>
        <v>UN</v>
      </c>
      <c r="F1915" s="14">
        <v>0.54410000000000003</v>
      </c>
      <c r="G1915" s="92">
        <f t="array" ref="G1915">IF(B1915="insumo",_xlfn.XLOOKUP($D1915,Insumos!$B$1:$B$996,Insumos!$D$1:$D$996),"")</f>
        <v>0.2</v>
      </c>
      <c r="H1915" s="92">
        <v>0.10882</v>
      </c>
      <c r="I1915" s="13">
        <v>0</v>
      </c>
      <c r="J1915" s="13">
        <v>0</v>
      </c>
      <c r="K1915" s="13"/>
      <c r="L1915"/>
      <c r="M1915"/>
      <c r="N1915"/>
      <c r="O1915"/>
      <c r="P1915"/>
      <c r="Q1915"/>
      <c r="R1915"/>
      <c r="S1915"/>
      <c r="T1915"/>
      <c r="U1915"/>
      <c r="V1915"/>
      <c r="W1915"/>
      <c r="X1915"/>
      <c r="Y1915"/>
      <c r="Z1915"/>
      <c r="AA1915"/>
      <c r="AB1915"/>
      <c r="AC1915"/>
      <c r="AD1915"/>
      <c r="AE1915"/>
      <c r="AF1915"/>
      <c r="AG1915"/>
      <c r="AH1915"/>
      <c r="AI1915"/>
      <c r="AJ1915"/>
      <c r="AK1915"/>
      <c r="AL1915"/>
    </row>
    <row r="1916" spans="1:38" ht="15.75" customHeight="1" outlineLevel="3" x14ac:dyDescent="0.2">
      <c r="A1916" s="10">
        <v>35</v>
      </c>
      <c r="B1916" s="10" t="s">
        <v>71</v>
      </c>
      <c r="C1916" s="10" t="s">
        <v>1348</v>
      </c>
      <c r="D1916" s="10" t="s">
        <v>1595</v>
      </c>
      <c r="E1916" s="11" t="str">
        <f t="array" ref="E1916">_xlfn.XLOOKUP(D1916,Insumos!B:B,Insumos!C:$C)</f>
        <v>M2</v>
      </c>
      <c r="F1916" s="14">
        <v>1.1000000000000001</v>
      </c>
      <c r="G1916" s="92">
        <f t="array" ref="G1916">IF(B1916="insumo",_xlfn.XLOOKUP($D1916,Insumos!$B$1:$B$996,Insumos!$D$1:$D$996),"")</f>
        <v>13.019333333333332</v>
      </c>
      <c r="H1916" s="92">
        <v>14.3212666666667</v>
      </c>
      <c r="I1916" s="13">
        <v>0</v>
      </c>
      <c r="J1916" s="13">
        <v>0</v>
      </c>
      <c r="K1916" s="13"/>
      <c r="L1916"/>
      <c r="M1916"/>
      <c r="N1916"/>
      <c r="O1916"/>
      <c r="P1916"/>
      <c r="Q1916"/>
      <c r="R1916"/>
      <c r="S1916"/>
      <c r="T1916"/>
      <c r="U1916"/>
      <c r="V1916"/>
      <c r="W1916"/>
      <c r="X1916"/>
      <c r="Y1916"/>
      <c r="Z1916"/>
      <c r="AA1916"/>
      <c r="AB1916"/>
      <c r="AC1916"/>
      <c r="AD1916"/>
      <c r="AE1916"/>
      <c r="AF1916"/>
      <c r="AG1916"/>
      <c r="AH1916"/>
      <c r="AI1916"/>
      <c r="AJ1916"/>
      <c r="AK1916"/>
      <c r="AL1916"/>
    </row>
    <row r="1917" spans="1:38" ht="15.75" customHeight="1" outlineLevel="2" x14ac:dyDescent="0.2">
      <c r="A1917" s="1067">
        <v>1</v>
      </c>
      <c r="B1917" s="1067" t="s">
        <v>68</v>
      </c>
      <c r="C1917" s="1067" t="s">
        <v>1356</v>
      </c>
      <c r="D1917" s="1067" t="s">
        <v>1356</v>
      </c>
      <c r="E1917" s="1068" t="s">
        <v>70</v>
      </c>
      <c r="F1917" s="1067"/>
      <c r="G1917" s="1069" t="str">
        <f t="array" ref="G1917">IF(B1917="insumo",_xlfn.XLOOKUP($D1917,Insumos!$B$1:$B$996,Insumos!$D$1:$D$996),"")</f>
        <v/>
      </c>
      <c r="H1917" s="1069">
        <v>200.615536166667</v>
      </c>
      <c r="I1917" s="1070">
        <v>0</v>
      </c>
      <c r="J1917" s="1070">
        <v>0</v>
      </c>
      <c r="K1917" s="1070"/>
      <c r="L1917"/>
      <c r="M1917"/>
      <c r="N1917"/>
      <c r="O1917"/>
      <c r="P1917"/>
      <c r="Q1917"/>
      <c r="R1917"/>
      <c r="S1917"/>
      <c r="T1917"/>
      <c r="U1917"/>
      <c r="V1917"/>
      <c r="W1917"/>
      <c r="X1917"/>
      <c r="Y1917"/>
      <c r="Z1917"/>
      <c r="AA1917"/>
      <c r="AB1917"/>
      <c r="AC1917"/>
      <c r="AD1917"/>
      <c r="AE1917"/>
      <c r="AF1917"/>
      <c r="AG1917"/>
      <c r="AH1917"/>
      <c r="AI1917"/>
      <c r="AJ1917"/>
      <c r="AK1917"/>
      <c r="AL1917"/>
    </row>
    <row r="1918" spans="1:38" ht="15.75" customHeight="1" outlineLevel="3" x14ac:dyDescent="0.2">
      <c r="A1918" s="10">
        <v>86</v>
      </c>
      <c r="B1918" s="10" t="s">
        <v>71</v>
      </c>
      <c r="C1918" s="10" t="s">
        <v>1356</v>
      </c>
      <c r="D1918" s="10" t="s">
        <v>407</v>
      </c>
      <c r="E1918" s="11" t="str">
        <f t="array" ref="E1918">_xlfn.XLOOKUP(D1918,Insumos!B:B,Insumos!C:$C)</f>
        <v>M2</v>
      </c>
      <c r="F1918" s="14">
        <v>1</v>
      </c>
      <c r="G1918" s="92">
        <f t="array" ref="G1918">IF(B1918="insumo",_xlfn.XLOOKUP($D1918,Insumos!$B$1:$B$996,Insumos!$D$1:$D$996),"")</f>
        <v>70</v>
      </c>
      <c r="H1918" s="92">
        <v>70</v>
      </c>
      <c r="I1918" s="13">
        <v>0</v>
      </c>
      <c r="J1918" s="13">
        <v>0</v>
      </c>
      <c r="K1918" s="13"/>
      <c r="L1918"/>
      <c r="M1918"/>
      <c r="N1918"/>
      <c r="O1918"/>
      <c r="P1918"/>
      <c r="Q1918"/>
      <c r="R1918"/>
      <c r="S1918"/>
      <c r="T1918"/>
      <c r="U1918"/>
      <c r="V1918"/>
      <c r="W1918"/>
      <c r="X1918"/>
      <c r="Y1918"/>
      <c r="Z1918"/>
      <c r="AA1918"/>
      <c r="AB1918"/>
      <c r="AC1918"/>
      <c r="AD1918"/>
      <c r="AE1918"/>
      <c r="AF1918"/>
      <c r="AG1918"/>
      <c r="AH1918"/>
      <c r="AI1918"/>
      <c r="AJ1918"/>
      <c r="AK1918"/>
      <c r="AL1918"/>
    </row>
    <row r="1919" spans="1:38" ht="15.75" customHeight="1" outlineLevel="3" x14ac:dyDescent="0.2">
      <c r="A1919" s="10">
        <v>47</v>
      </c>
      <c r="B1919" s="10" t="s">
        <v>71</v>
      </c>
      <c r="C1919" s="10" t="s">
        <v>1356</v>
      </c>
      <c r="D1919" s="10" t="s">
        <v>408</v>
      </c>
      <c r="E1919" s="11" t="str">
        <f t="array" ref="E1919">_xlfn.XLOOKUP(D1919,Insumos!B:B,Insumos!C:$C)</f>
        <v>M2</v>
      </c>
      <c r="F1919" s="14">
        <v>1.1060000000000001</v>
      </c>
      <c r="G1919" s="92">
        <f t="array" ref="G1919">IF(B1919="insumo",_xlfn.XLOOKUP($D1919,Insumos!$B$1:$B$996,Insumos!$D$1:$D$996),"")</f>
        <v>20.16</v>
      </c>
      <c r="H1919" s="92">
        <v>22.296959999999999</v>
      </c>
      <c r="I1919" s="13">
        <v>0</v>
      </c>
      <c r="J1919" s="13">
        <v>0</v>
      </c>
      <c r="K1919" s="13"/>
      <c r="L1919"/>
      <c r="M1919"/>
      <c r="N1919"/>
      <c r="O1919"/>
      <c r="P1919"/>
      <c r="Q1919"/>
      <c r="R1919"/>
      <c r="S1919"/>
      <c r="T1919"/>
      <c r="U1919"/>
      <c r="V1919"/>
      <c r="W1919"/>
      <c r="X1919"/>
      <c r="Y1919"/>
      <c r="Z1919"/>
      <c r="AA1919"/>
      <c r="AB1919"/>
      <c r="AC1919"/>
      <c r="AD1919"/>
      <c r="AE1919"/>
      <c r="AF1919"/>
      <c r="AG1919"/>
      <c r="AH1919"/>
      <c r="AI1919"/>
      <c r="AJ1919"/>
      <c r="AK1919"/>
      <c r="AL1919"/>
    </row>
    <row r="1920" spans="1:38" ht="15.75" customHeight="1" outlineLevel="3" x14ac:dyDescent="0.2">
      <c r="A1920" s="10">
        <v>95</v>
      </c>
      <c r="B1920" s="10" t="s">
        <v>71</v>
      </c>
      <c r="C1920" s="10" t="s">
        <v>1356</v>
      </c>
      <c r="D1920" s="10" t="s">
        <v>409</v>
      </c>
      <c r="E1920" s="11" t="str">
        <f t="array" ref="E1920">_xlfn.XLOOKUP(D1920,Insumos!B:B,Insumos!C:$C)</f>
        <v>UN</v>
      </c>
      <c r="F1920" s="14">
        <v>5.92</v>
      </c>
      <c r="G1920" s="92">
        <f t="array" ref="G1920">IF(B1920="insumo",_xlfn.XLOOKUP($D1920,Insumos!$B$1:$B$996,Insumos!$D$1:$D$996),"")</f>
        <v>0.504</v>
      </c>
      <c r="H1920" s="92">
        <v>2.9836800000000001</v>
      </c>
      <c r="I1920" s="13">
        <v>0</v>
      </c>
      <c r="J1920" s="13">
        <v>0</v>
      </c>
      <c r="K1920" s="13"/>
      <c r="L1920"/>
      <c r="M1920"/>
      <c r="N1920"/>
      <c r="O1920"/>
      <c r="P1920"/>
      <c r="Q1920"/>
      <c r="R1920"/>
      <c r="S1920"/>
      <c r="T1920"/>
      <c r="U1920"/>
      <c r="V1920"/>
      <c r="W1920"/>
      <c r="X1920"/>
      <c r="Y1920"/>
      <c r="Z1920"/>
      <c r="AA1920"/>
      <c r="AB1920"/>
      <c r="AC1920"/>
      <c r="AD1920"/>
      <c r="AE1920"/>
      <c r="AF1920"/>
      <c r="AG1920"/>
      <c r="AH1920"/>
      <c r="AI1920"/>
      <c r="AJ1920"/>
      <c r="AK1920"/>
      <c r="AL1920"/>
    </row>
    <row r="1921" spans="1:38" ht="15.75" customHeight="1" outlineLevel="3" x14ac:dyDescent="0.2">
      <c r="A1921" s="10">
        <v>26</v>
      </c>
      <c r="B1921" s="10" t="s">
        <v>71</v>
      </c>
      <c r="C1921" s="10" t="s">
        <v>1356</v>
      </c>
      <c r="D1921" s="10" t="s">
        <v>420</v>
      </c>
      <c r="E1921" s="11" t="str">
        <f t="array" ref="E1921">_xlfn.XLOOKUP(D1921,Insumos!B:B,Insumos!C:$C)</f>
        <v>M</v>
      </c>
      <c r="F1921" s="14">
        <v>1.5247999999999999</v>
      </c>
      <c r="G1921" s="92">
        <f t="array" ref="G1921">IF(B1921="insumo",_xlfn.XLOOKUP($D1921,Insumos!$B$1:$B$996,Insumos!$D$1:$D$996),"")</f>
        <v>8.64</v>
      </c>
      <c r="H1921" s="92">
        <v>13.174272</v>
      </c>
      <c r="I1921" s="13">
        <v>0</v>
      </c>
      <c r="J1921" s="13">
        <v>0</v>
      </c>
      <c r="K1921" s="13"/>
      <c r="L1921"/>
      <c r="M1921"/>
      <c r="N1921"/>
      <c r="O1921"/>
      <c r="P1921"/>
      <c r="Q1921"/>
      <c r="R1921"/>
      <c r="S1921"/>
      <c r="T1921"/>
      <c r="U1921"/>
      <c r="V1921"/>
      <c r="W1921"/>
      <c r="X1921"/>
      <c r="Y1921"/>
      <c r="Z1921"/>
      <c r="AA1921"/>
      <c r="AB1921"/>
      <c r="AC1921"/>
      <c r="AD1921"/>
      <c r="AE1921"/>
      <c r="AF1921"/>
      <c r="AG1921"/>
      <c r="AH1921"/>
      <c r="AI1921"/>
      <c r="AJ1921"/>
      <c r="AK1921"/>
      <c r="AL1921"/>
    </row>
    <row r="1922" spans="1:38" ht="15.75" customHeight="1" outlineLevel="3" x14ac:dyDescent="0.2">
      <c r="A1922" s="10">
        <v>26</v>
      </c>
      <c r="B1922" s="10" t="s">
        <v>71</v>
      </c>
      <c r="C1922" s="10" t="s">
        <v>1356</v>
      </c>
      <c r="D1922" s="10" t="s">
        <v>421</v>
      </c>
      <c r="E1922" s="11" t="str">
        <f t="array" ref="E1922">_xlfn.XLOOKUP(D1922,Insumos!B:B,Insumos!C:$C)</f>
        <v>M</v>
      </c>
      <c r="F1922" s="14">
        <v>4.0011000000000001</v>
      </c>
      <c r="G1922" s="92">
        <f t="array" ref="G1922">IF(B1922="insumo",_xlfn.XLOOKUP($D1922,Insumos!$B$1:$B$996,Insumos!$D$1:$D$996),"")</f>
        <v>18.09</v>
      </c>
      <c r="H1922" s="92">
        <v>72.379898999999995</v>
      </c>
      <c r="I1922" s="13">
        <v>0</v>
      </c>
      <c r="J1922" s="13">
        <v>0</v>
      </c>
      <c r="K1922" s="13"/>
      <c r="L1922"/>
      <c r="M1922"/>
      <c r="N1922"/>
      <c r="O1922"/>
      <c r="P1922"/>
      <c r="Q1922"/>
      <c r="R1922"/>
      <c r="S1922"/>
      <c r="T1922"/>
      <c r="U1922"/>
      <c r="V1922"/>
      <c r="W1922"/>
      <c r="X1922"/>
      <c r="Y1922"/>
      <c r="Z1922"/>
      <c r="AA1922"/>
      <c r="AB1922"/>
      <c r="AC1922"/>
      <c r="AD1922"/>
      <c r="AE1922"/>
      <c r="AF1922"/>
      <c r="AG1922"/>
      <c r="AH1922"/>
      <c r="AI1922"/>
      <c r="AJ1922"/>
      <c r="AK1922"/>
      <c r="AL1922"/>
    </row>
    <row r="1923" spans="1:38" ht="15.75" customHeight="1" outlineLevel="3" x14ac:dyDescent="0.2">
      <c r="A1923" s="10">
        <v>95</v>
      </c>
      <c r="B1923" s="10" t="s">
        <v>71</v>
      </c>
      <c r="C1923" s="10" t="s">
        <v>1356</v>
      </c>
      <c r="D1923" s="10" t="s">
        <v>405</v>
      </c>
      <c r="E1923" s="11" t="str">
        <f t="array" ref="E1923">_xlfn.XLOOKUP(D1923,Insumos!B:B,Insumos!C:$C)</f>
        <v>KG</v>
      </c>
      <c r="F1923" s="14">
        <f>1.0978/2</f>
        <v>0.54890000000000005</v>
      </c>
      <c r="G1923" s="92">
        <f t="array" ref="G1923">IF(B1923="insumo",_xlfn.XLOOKUP($D1923,Insumos!$B$1:$B$996,Insumos!$D$1:$D$996),"")</f>
        <v>3.43</v>
      </c>
      <c r="H1923" s="92">
        <v>1.882727</v>
      </c>
      <c r="I1923" s="13">
        <v>0</v>
      </c>
      <c r="J1923" s="13">
        <v>0</v>
      </c>
      <c r="K1923" s="13"/>
      <c r="L1923"/>
      <c r="M1923"/>
      <c r="N1923"/>
      <c r="O1923"/>
      <c r="P1923"/>
      <c r="Q1923"/>
      <c r="R1923"/>
      <c r="S1923"/>
      <c r="T1923"/>
      <c r="U1923"/>
      <c r="V1923"/>
      <c r="W1923"/>
      <c r="X1923"/>
      <c r="Y1923"/>
      <c r="Z1923"/>
      <c r="AA1923"/>
      <c r="AB1923"/>
      <c r="AC1923"/>
      <c r="AD1923"/>
      <c r="AE1923"/>
      <c r="AF1923"/>
      <c r="AG1923"/>
      <c r="AH1923"/>
      <c r="AI1923"/>
      <c r="AJ1923"/>
      <c r="AK1923"/>
      <c r="AL1923"/>
    </row>
    <row r="1924" spans="1:38" ht="15.75" customHeight="1" outlineLevel="3" x14ac:dyDescent="0.2">
      <c r="A1924" s="10">
        <v>94</v>
      </c>
      <c r="B1924" s="10" t="s">
        <v>71</v>
      </c>
      <c r="C1924" s="10" t="s">
        <v>1356</v>
      </c>
      <c r="D1924" s="10" t="s">
        <v>412</v>
      </c>
      <c r="E1924" s="11" t="str">
        <f t="array" ref="E1924">_xlfn.XLOOKUP(D1924,Insumos!B:B,Insumos!C:$C)</f>
        <v>M</v>
      </c>
      <c r="F1924" s="14">
        <f>2.5027/2</f>
        <v>1.25135</v>
      </c>
      <c r="G1924" s="92">
        <f t="array" ref="G1924">IF(B1924="insumo",_xlfn.XLOOKUP($D1924,Insumos!$B$1:$B$996,Insumos!$D$1:$D$996),"")</f>
        <v>0.31</v>
      </c>
      <c r="H1924" s="92">
        <v>0.3879185</v>
      </c>
      <c r="I1924" s="13">
        <v>0</v>
      </c>
      <c r="J1924" s="13">
        <v>0</v>
      </c>
      <c r="K1924" s="13"/>
      <c r="L1924"/>
      <c r="M1924"/>
      <c r="N1924"/>
      <c r="O1924"/>
      <c r="P1924"/>
      <c r="Q1924"/>
      <c r="R1924"/>
      <c r="S1924"/>
      <c r="T1924"/>
      <c r="U1924"/>
      <c r="V1924"/>
      <c r="W1924"/>
      <c r="X1924"/>
      <c r="Y1924"/>
      <c r="Z1924"/>
      <c r="AA1924"/>
      <c r="AB1924"/>
      <c r="AC1924"/>
      <c r="AD1924"/>
      <c r="AE1924"/>
      <c r="AF1924"/>
      <c r="AG1924"/>
      <c r="AH1924"/>
      <c r="AI1924"/>
      <c r="AJ1924"/>
      <c r="AK1924"/>
      <c r="AL1924"/>
    </row>
    <row r="1925" spans="1:38" ht="15.75" customHeight="1" outlineLevel="3" x14ac:dyDescent="0.2">
      <c r="A1925" s="10">
        <v>94</v>
      </c>
      <c r="B1925" s="10" t="s">
        <v>71</v>
      </c>
      <c r="C1925" s="10" t="s">
        <v>1356</v>
      </c>
      <c r="D1925" s="10" t="s">
        <v>413</v>
      </c>
      <c r="E1925" s="11" t="str">
        <f t="array" ref="E1925">_xlfn.XLOOKUP(D1925,Insumos!B:B,Insumos!C:$C)</f>
        <v>M</v>
      </c>
      <c r="F1925" s="14">
        <f>1.5851/2</f>
        <v>0.79254999999999998</v>
      </c>
      <c r="G1925" s="92">
        <f t="array" ref="G1925">IF(B1925="insumo",_xlfn.XLOOKUP($D1925,Insumos!$B$1:$B$996,Insumos!$D$1:$D$996),"")</f>
        <v>2.74</v>
      </c>
      <c r="H1925" s="92">
        <v>2.1715870000000002</v>
      </c>
      <c r="I1925" s="13">
        <v>0</v>
      </c>
      <c r="J1925" s="13">
        <v>0</v>
      </c>
      <c r="K1925" s="13"/>
      <c r="L1925"/>
      <c r="M1925"/>
      <c r="N1925"/>
      <c r="O1925"/>
      <c r="P1925"/>
      <c r="Q1925"/>
      <c r="R1925"/>
      <c r="S1925"/>
      <c r="T1925"/>
      <c r="U1925"/>
      <c r="V1925"/>
      <c r="W1925"/>
      <c r="X1925"/>
      <c r="Y1925"/>
      <c r="Z1925"/>
      <c r="AA1925"/>
      <c r="AB1925"/>
      <c r="AC1925"/>
      <c r="AD1925"/>
      <c r="AE1925"/>
      <c r="AF1925"/>
      <c r="AG1925"/>
      <c r="AH1925"/>
      <c r="AI1925"/>
      <c r="AJ1925"/>
      <c r="AK1925"/>
      <c r="AL1925"/>
    </row>
    <row r="1926" spans="1:38" ht="15.75" customHeight="1" outlineLevel="3" x14ac:dyDescent="0.2">
      <c r="A1926" s="10">
        <v>97</v>
      </c>
      <c r="B1926" s="10" t="s">
        <v>71</v>
      </c>
      <c r="C1926" s="10" t="s">
        <v>1356</v>
      </c>
      <c r="D1926" s="10" t="s">
        <v>414</v>
      </c>
      <c r="E1926" s="11" t="str">
        <f t="array" ref="E1926">_xlfn.XLOOKUP(D1926,Insumos!B:B,Insumos!C:$C)</f>
        <v>UN</v>
      </c>
      <c r="F1926" s="14">
        <f>20.1868/2</f>
        <v>10.093400000000001</v>
      </c>
      <c r="G1926" s="92">
        <f t="array" ref="G1926">IF(B1926="insumo",_xlfn.XLOOKUP($D1926,Insumos!$B$1:$B$996,Insumos!$D$1:$D$996),"")</f>
        <v>0.09</v>
      </c>
      <c r="H1926" s="92">
        <v>0.90840600000000005</v>
      </c>
      <c r="I1926" s="13">
        <v>0</v>
      </c>
      <c r="J1926" s="13">
        <v>0</v>
      </c>
      <c r="K1926" s="13"/>
      <c r="L1926"/>
      <c r="M1926"/>
      <c r="N1926"/>
      <c r="O1926"/>
      <c r="P1926"/>
      <c r="Q1926"/>
      <c r="R1926"/>
      <c r="S1926"/>
      <c r="T1926"/>
      <c r="U1926"/>
      <c r="V1926"/>
      <c r="W1926"/>
      <c r="X1926"/>
      <c r="Y1926"/>
      <c r="Z1926"/>
      <c r="AA1926"/>
      <c r="AB1926"/>
      <c r="AC1926"/>
      <c r="AD1926"/>
      <c r="AE1926"/>
      <c r="AF1926"/>
      <c r="AG1926"/>
      <c r="AH1926"/>
      <c r="AI1926"/>
      <c r="AJ1926"/>
      <c r="AK1926"/>
      <c r="AL1926"/>
    </row>
    <row r="1927" spans="1:38" ht="15.75" customHeight="1" outlineLevel="3" x14ac:dyDescent="0.2">
      <c r="A1927" s="10">
        <v>95</v>
      </c>
      <c r="B1927" s="10" t="s">
        <v>71</v>
      </c>
      <c r="C1927" s="10" t="s">
        <v>1356</v>
      </c>
      <c r="D1927" s="10" t="s">
        <v>415</v>
      </c>
      <c r="E1927" s="11" t="str">
        <f t="array" ref="E1927">_xlfn.XLOOKUP(D1927,Insumos!B:B,Insumos!C:$C)</f>
        <v>UN</v>
      </c>
      <c r="F1927" s="14">
        <v>0.54410000000000003</v>
      </c>
      <c r="G1927" s="92">
        <f t="array" ref="G1927">IF(B1927="insumo",_xlfn.XLOOKUP($D1927,Insumos!$B$1:$B$996,Insumos!$D$1:$D$996),"")</f>
        <v>0.2</v>
      </c>
      <c r="H1927" s="92">
        <v>0.10882</v>
      </c>
      <c r="I1927" s="13">
        <v>0</v>
      </c>
      <c r="J1927" s="13">
        <v>0</v>
      </c>
      <c r="K1927" s="13"/>
      <c r="L1927"/>
      <c r="M1927"/>
      <c r="N1927"/>
      <c r="O1927"/>
      <c r="P1927"/>
      <c r="Q1927"/>
      <c r="R1927"/>
      <c r="S1927"/>
      <c r="T1927"/>
      <c r="U1927"/>
      <c r="V1927"/>
      <c r="W1927"/>
      <c r="X1927"/>
      <c r="Y1927"/>
      <c r="Z1927"/>
      <c r="AA1927"/>
      <c r="AB1927"/>
      <c r="AC1927"/>
      <c r="AD1927"/>
      <c r="AE1927"/>
      <c r="AF1927"/>
      <c r="AG1927"/>
      <c r="AH1927"/>
      <c r="AI1927"/>
      <c r="AJ1927"/>
      <c r="AK1927"/>
      <c r="AL1927"/>
    </row>
    <row r="1928" spans="1:38" ht="15.75" customHeight="1" outlineLevel="3" x14ac:dyDescent="0.2">
      <c r="A1928" s="10">
        <v>35</v>
      </c>
      <c r="B1928" s="10" t="s">
        <v>71</v>
      </c>
      <c r="C1928" s="10" t="s">
        <v>1356</v>
      </c>
      <c r="D1928" s="10" t="s">
        <v>1595</v>
      </c>
      <c r="E1928" s="11" t="str">
        <f t="array" ref="E1928">_xlfn.XLOOKUP(D1928,Insumos!B:B,Insumos!C:$C)</f>
        <v>M2</v>
      </c>
      <c r="F1928" s="14">
        <v>1.1000000000000001</v>
      </c>
      <c r="G1928" s="92">
        <f t="array" ref="G1928">IF(B1928="insumo",_xlfn.XLOOKUP($D1928,Insumos!$B$1:$B$996,Insumos!$D$1:$D$996),"")</f>
        <v>13.019333333333332</v>
      </c>
      <c r="H1928" s="92">
        <v>14.3212666666667</v>
      </c>
      <c r="I1928" s="13">
        <v>0</v>
      </c>
      <c r="J1928" s="13">
        <v>0</v>
      </c>
      <c r="K1928" s="13"/>
      <c r="L1928"/>
      <c r="M1928"/>
      <c r="N1928"/>
      <c r="O1928"/>
      <c r="P1928"/>
      <c r="Q1928"/>
      <c r="R1928"/>
      <c r="S1928"/>
      <c r="T1928"/>
      <c r="U1928"/>
      <c r="V1928"/>
      <c r="W1928"/>
      <c r="X1928"/>
      <c r="Y1928"/>
      <c r="Z1928"/>
      <c r="AA1928"/>
      <c r="AB1928"/>
      <c r="AC1928"/>
      <c r="AD1928"/>
      <c r="AE1928"/>
      <c r="AF1928"/>
      <c r="AG1928"/>
      <c r="AH1928"/>
      <c r="AI1928"/>
      <c r="AJ1928"/>
      <c r="AK1928"/>
      <c r="AL1928"/>
    </row>
    <row r="1929" spans="1:38" ht="15.75" customHeight="1" outlineLevel="2" x14ac:dyDescent="0.2">
      <c r="A1929" s="1067">
        <v>1</v>
      </c>
      <c r="B1929" s="1067" t="s">
        <v>68</v>
      </c>
      <c r="C1929" s="1067" t="s">
        <v>1357</v>
      </c>
      <c r="D1929" s="1067" t="s">
        <v>1357</v>
      </c>
      <c r="E1929" s="1068" t="s">
        <v>70</v>
      </c>
      <c r="F1929" s="1067"/>
      <c r="G1929" s="1069" t="str">
        <f t="array" ref="G1929">IF(B1929="insumo",_xlfn.XLOOKUP($D1929,Insumos!$B$1:$B$996,Insumos!$D$1:$D$996),"")</f>
        <v/>
      </c>
      <c r="H1929" s="1069">
        <v>246.920893833333</v>
      </c>
      <c r="I1929" s="1070">
        <v>0</v>
      </c>
      <c r="J1929" s="1070">
        <v>0</v>
      </c>
      <c r="K1929" s="1070"/>
      <c r="L1929"/>
      <c r="M1929"/>
      <c r="N1929"/>
      <c r="O1929"/>
      <c r="P1929"/>
      <c r="Q1929"/>
      <c r="R1929"/>
      <c r="S1929"/>
      <c r="T1929"/>
      <c r="U1929"/>
      <c r="V1929"/>
      <c r="W1929"/>
      <c r="X1929"/>
      <c r="Y1929"/>
      <c r="Z1929"/>
      <c r="AA1929"/>
      <c r="AB1929"/>
      <c r="AC1929"/>
      <c r="AD1929"/>
      <c r="AE1929"/>
      <c r="AF1929"/>
      <c r="AG1929"/>
      <c r="AH1929"/>
      <c r="AI1929"/>
      <c r="AJ1929"/>
      <c r="AK1929"/>
      <c r="AL1929"/>
    </row>
    <row r="1930" spans="1:38" ht="15.75" customHeight="1" outlineLevel="3" x14ac:dyDescent="0.2">
      <c r="A1930" s="10">
        <v>86</v>
      </c>
      <c r="B1930" s="10" t="s">
        <v>71</v>
      </c>
      <c r="C1930" s="10" t="s">
        <v>1357</v>
      </c>
      <c r="D1930" s="10" t="s">
        <v>407</v>
      </c>
      <c r="E1930" s="11" t="str">
        <f t="array" ref="E1930">_xlfn.XLOOKUP(D1930,Insumos!B:B,Insumos!C:$C)</f>
        <v>M2</v>
      </c>
      <c r="F1930" s="14">
        <v>1</v>
      </c>
      <c r="G1930" s="92">
        <f t="array" ref="G1930">IF(B1930="insumo",_xlfn.XLOOKUP($D1930,Insumos!$B$1:$B$996,Insumos!$D$1:$D$996),"")</f>
        <v>70</v>
      </c>
      <c r="H1930" s="92">
        <v>70</v>
      </c>
      <c r="I1930" s="13">
        <v>0</v>
      </c>
      <c r="J1930" s="13">
        <v>0</v>
      </c>
      <c r="K1930" s="13"/>
      <c r="L1930"/>
      <c r="M1930"/>
      <c r="N1930"/>
      <c r="O1930"/>
      <c r="P1930"/>
      <c r="Q1930"/>
      <c r="R1930"/>
      <c r="S1930"/>
      <c r="T1930"/>
      <c r="U1930"/>
      <c r="V1930"/>
      <c r="W1930"/>
      <c r="X1930"/>
      <c r="Y1930"/>
      <c r="Z1930"/>
      <c r="AA1930"/>
      <c r="AB1930"/>
      <c r="AC1930"/>
      <c r="AD1930"/>
      <c r="AE1930"/>
      <c r="AF1930"/>
      <c r="AG1930"/>
      <c r="AH1930"/>
      <c r="AI1930"/>
      <c r="AJ1930"/>
      <c r="AK1930"/>
      <c r="AL1930"/>
    </row>
    <row r="1931" spans="1:38" ht="15.75" customHeight="1" outlineLevel="3" x14ac:dyDescent="0.2">
      <c r="A1931" s="10">
        <v>49</v>
      </c>
      <c r="B1931" s="10" t="s">
        <v>71</v>
      </c>
      <c r="C1931" s="10" t="s">
        <v>1357</v>
      </c>
      <c r="D1931" s="10" t="s">
        <v>418</v>
      </c>
      <c r="E1931" s="11" t="str">
        <f t="array" ref="E1931">_xlfn.XLOOKUP(D1931,Insumos!B:B,Insumos!C:$C)</f>
        <v>M2</v>
      </c>
      <c r="F1931" s="14">
        <f>1.106</f>
        <v>1.1060000000000001</v>
      </c>
      <c r="G1931" s="92">
        <f t="array" ref="G1931">IF(B1931="insumo",_xlfn.XLOOKUP($D1931,Insumos!$B$1:$B$996,Insumos!$D$1:$D$996),"")</f>
        <v>27.1</v>
      </c>
      <c r="H1931" s="92">
        <v>29.9726</v>
      </c>
      <c r="I1931" s="13">
        <v>0</v>
      </c>
      <c r="J1931" s="13">
        <v>0</v>
      </c>
      <c r="K1931" s="13"/>
      <c r="L1931"/>
      <c r="M1931"/>
      <c r="N1931"/>
      <c r="O1931"/>
      <c r="P1931"/>
      <c r="Q1931"/>
      <c r="R1931"/>
      <c r="S1931"/>
      <c r="T1931"/>
      <c r="U1931"/>
      <c r="V1931"/>
      <c r="W1931"/>
      <c r="X1931"/>
      <c r="Y1931"/>
      <c r="Z1931"/>
      <c r="AA1931"/>
      <c r="AB1931"/>
      <c r="AC1931"/>
      <c r="AD1931"/>
      <c r="AE1931"/>
      <c r="AF1931"/>
      <c r="AG1931"/>
      <c r="AH1931"/>
      <c r="AI1931"/>
      <c r="AJ1931"/>
      <c r="AK1931"/>
      <c r="AL1931"/>
    </row>
    <row r="1932" spans="1:38" ht="15.75" customHeight="1" outlineLevel="3" x14ac:dyDescent="0.2">
      <c r="A1932" s="10">
        <v>11</v>
      </c>
      <c r="B1932" s="10" t="s">
        <v>71</v>
      </c>
      <c r="C1932" s="10" t="s">
        <v>1357</v>
      </c>
      <c r="D1932" s="10" t="s">
        <v>1390</v>
      </c>
      <c r="E1932" s="11" t="str">
        <f t="array" ref="E1932">_xlfn.XLOOKUP(D1932,Insumos!B:B,Insumos!C:$C)</f>
        <v>M2</v>
      </c>
      <c r="F1932" s="14">
        <v>1.1060000000000001</v>
      </c>
      <c r="G1932" s="92">
        <f t="array" ref="G1932">IF(B1932="insumo",_xlfn.XLOOKUP($D1932,Insumos!$B$1:$B$996,Insumos!$D$1:$D$996),"")</f>
        <v>30.089583333333337</v>
      </c>
      <c r="H1932" s="92">
        <v>33.279079166666698</v>
      </c>
      <c r="I1932" s="13">
        <v>0</v>
      </c>
      <c r="J1932" s="13">
        <v>0</v>
      </c>
      <c r="K1932" s="13"/>
      <c r="L1932"/>
      <c r="M1932"/>
      <c r="N1932"/>
      <c r="O1932"/>
      <c r="P1932"/>
      <c r="Q1932"/>
      <c r="R1932"/>
      <c r="S1932"/>
      <c r="T1932"/>
      <c r="U1932"/>
      <c r="V1932"/>
      <c r="W1932"/>
      <c r="X1932"/>
      <c r="Y1932"/>
      <c r="Z1932"/>
      <c r="AA1932"/>
      <c r="AB1932"/>
      <c r="AC1932"/>
      <c r="AD1932"/>
      <c r="AE1932"/>
      <c r="AF1932"/>
      <c r="AG1932"/>
      <c r="AH1932"/>
      <c r="AI1932"/>
      <c r="AJ1932"/>
      <c r="AK1932"/>
      <c r="AL1932"/>
    </row>
    <row r="1933" spans="1:38" ht="15.75" customHeight="1" outlineLevel="3" x14ac:dyDescent="0.2">
      <c r="A1933" s="10">
        <v>95</v>
      </c>
      <c r="B1933" s="10" t="s">
        <v>71</v>
      </c>
      <c r="C1933" s="10" t="s">
        <v>1357</v>
      </c>
      <c r="D1933" s="10" t="s">
        <v>409</v>
      </c>
      <c r="E1933" s="11" t="str">
        <f t="array" ref="E1933">_xlfn.XLOOKUP(D1933,Insumos!B:B,Insumos!C:$C)</f>
        <v>UN</v>
      </c>
      <c r="F1933" s="14">
        <v>5.92</v>
      </c>
      <c r="G1933" s="92">
        <f t="array" ref="G1933">IF(B1933="insumo",_xlfn.XLOOKUP($D1933,Insumos!$B$1:$B$996,Insumos!$D$1:$D$996),"")</f>
        <v>0.504</v>
      </c>
      <c r="H1933" s="92">
        <v>2.9836800000000001</v>
      </c>
      <c r="I1933" s="13">
        <v>0</v>
      </c>
      <c r="J1933" s="13">
        <v>0</v>
      </c>
      <c r="K1933" s="13"/>
      <c r="L1933"/>
      <c r="M1933"/>
      <c r="N1933"/>
      <c r="O1933"/>
      <c r="P1933"/>
      <c r="Q1933"/>
      <c r="R1933"/>
      <c r="S1933"/>
      <c r="T1933"/>
      <c r="U1933"/>
      <c r="V1933"/>
      <c r="W1933"/>
      <c r="X1933"/>
      <c r="Y1933"/>
      <c r="Z1933"/>
      <c r="AA1933"/>
      <c r="AB1933"/>
      <c r="AC1933"/>
      <c r="AD1933"/>
      <c r="AE1933"/>
      <c r="AF1933"/>
      <c r="AG1933"/>
      <c r="AH1933"/>
      <c r="AI1933"/>
      <c r="AJ1933"/>
      <c r="AK1933"/>
      <c r="AL1933"/>
    </row>
    <row r="1934" spans="1:38" ht="15.75" customHeight="1" outlineLevel="3" x14ac:dyDescent="0.2">
      <c r="A1934" s="10">
        <v>26</v>
      </c>
      <c r="B1934" s="10" t="s">
        <v>71</v>
      </c>
      <c r="C1934" s="10" t="s">
        <v>1357</v>
      </c>
      <c r="D1934" s="10" t="s">
        <v>420</v>
      </c>
      <c r="E1934" s="11" t="str">
        <f t="array" ref="E1934">_xlfn.XLOOKUP(D1934,Insumos!B:B,Insumos!C:$C)</f>
        <v>M</v>
      </c>
      <c r="F1934" s="14">
        <v>1.5247999999999999</v>
      </c>
      <c r="G1934" s="92">
        <f t="array" ref="G1934">IF(B1934="insumo",_xlfn.XLOOKUP($D1934,Insumos!$B$1:$B$996,Insumos!$D$1:$D$996),"")</f>
        <v>8.64</v>
      </c>
      <c r="H1934" s="92">
        <v>13.174272</v>
      </c>
      <c r="I1934" s="13">
        <v>0</v>
      </c>
      <c r="J1934" s="13">
        <v>0</v>
      </c>
      <c r="K1934" s="13"/>
      <c r="L1934"/>
      <c r="M1934"/>
      <c r="N1934"/>
      <c r="O1934"/>
      <c r="P1934"/>
      <c r="Q1934"/>
      <c r="R1934"/>
      <c r="S1934"/>
      <c r="T1934"/>
      <c r="U1934"/>
      <c r="V1934"/>
      <c r="W1934"/>
      <c r="X1934"/>
      <c r="Y1934"/>
      <c r="Z1934"/>
      <c r="AA1934"/>
      <c r="AB1934"/>
      <c r="AC1934"/>
      <c r="AD1934"/>
      <c r="AE1934"/>
      <c r="AF1934"/>
      <c r="AG1934"/>
      <c r="AH1934"/>
      <c r="AI1934"/>
      <c r="AJ1934"/>
      <c r="AK1934"/>
      <c r="AL1934"/>
    </row>
    <row r="1935" spans="1:38" ht="15.75" customHeight="1" outlineLevel="3" x14ac:dyDescent="0.2">
      <c r="A1935" s="10">
        <v>26</v>
      </c>
      <c r="B1935" s="10" t="s">
        <v>71</v>
      </c>
      <c r="C1935" s="10" t="s">
        <v>1357</v>
      </c>
      <c r="D1935" s="10" t="s">
        <v>421</v>
      </c>
      <c r="E1935" s="11" t="str">
        <f t="array" ref="E1935">_xlfn.XLOOKUP(D1935,Insumos!B:B,Insumos!C:$C)</f>
        <v>M</v>
      </c>
      <c r="F1935" s="14">
        <v>4.0011000000000001</v>
      </c>
      <c r="G1935" s="92">
        <f t="array" ref="G1935">IF(B1935="insumo",_xlfn.XLOOKUP($D1935,Insumos!$B$1:$B$996,Insumos!$D$1:$D$996),"")</f>
        <v>18.09</v>
      </c>
      <c r="H1935" s="92">
        <v>72.379898999999995</v>
      </c>
      <c r="I1935" s="13">
        <v>0</v>
      </c>
      <c r="J1935" s="13">
        <v>0</v>
      </c>
      <c r="K1935" s="13"/>
      <c r="L1935"/>
      <c r="M1935"/>
      <c r="N1935"/>
      <c r="O1935"/>
      <c r="P1935"/>
      <c r="Q1935"/>
      <c r="R1935"/>
      <c r="S1935"/>
      <c r="T1935"/>
      <c r="U1935"/>
      <c r="V1935"/>
      <c r="W1935"/>
      <c r="X1935"/>
      <c r="Y1935"/>
      <c r="Z1935"/>
      <c r="AA1935"/>
      <c r="AB1935"/>
      <c r="AC1935"/>
      <c r="AD1935"/>
      <c r="AE1935"/>
      <c r="AF1935"/>
      <c r="AG1935"/>
      <c r="AH1935"/>
      <c r="AI1935"/>
      <c r="AJ1935"/>
      <c r="AK1935"/>
      <c r="AL1935"/>
    </row>
    <row r="1936" spans="1:38" ht="15.75" customHeight="1" outlineLevel="3" x14ac:dyDescent="0.2">
      <c r="A1936" s="10">
        <v>95</v>
      </c>
      <c r="B1936" s="10" t="s">
        <v>71</v>
      </c>
      <c r="C1936" s="10" t="s">
        <v>1357</v>
      </c>
      <c r="D1936" s="10" t="s">
        <v>405</v>
      </c>
      <c r="E1936" s="11" t="str">
        <f t="array" ref="E1936">_xlfn.XLOOKUP(D1936,Insumos!B:B,Insumos!C:$C)</f>
        <v>KG</v>
      </c>
      <c r="F1936" s="14">
        <v>1.0978000000000001</v>
      </c>
      <c r="G1936" s="92">
        <f t="array" ref="G1936">IF(B1936="insumo",_xlfn.XLOOKUP($D1936,Insumos!$B$1:$B$996,Insumos!$D$1:$D$996),"")</f>
        <v>3.43</v>
      </c>
      <c r="H1936" s="92">
        <v>3.7654540000000001</v>
      </c>
      <c r="I1936" s="13">
        <v>0</v>
      </c>
      <c r="J1936" s="13">
        <v>0</v>
      </c>
      <c r="K1936" s="13"/>
      <c r="L1936"/>
      <c r="M1936"/>
      <c r="N1936"/>
      <c r="O1936"/>
      <c r="P1936"/>
      <c r="Q1936"/>
      <c r="R1936"/>
      <c r="S1936"/>
      <c r="T1936"/>
      <c r="U1936"/>
      <c r="V1936"/>
      <c r="W1936"/>
      <c r="X1936"/>
      <c r="Y1936"/>
      <c r="Z1936"/>
      <c r="AA1936"/>
      <c r="AB1936"/>
      <c r="AC1936"/>
      <c r="AD1936"/>
      <c r="AE1936"/>
      <c r="AF1936"/>
      <c r="AG1936"/>
      <c r="AH1936"/>
      <c r="AI1936"/>
      <c r="AJ1936"/>
      <c r="AK1936"/>
      <c r="AL1936"/>
    </row>
    <row r="1937" spans="1:38" ht="15.75" customHeight="1" outlineLevel="3" x14ac:dyDescent="0.2">
      <c r="A1937" s="10">
        <v>94</v>
      </c>
      <c r="B1937" s="10" t="s">
        <v>71</v>
      </c>
      <c r="C1937" s="10" t="s">
        <v>1357</v>
      </c>
      <c r="D1937" s="10" t="s">
        <v>412</v>
      </c>
      <c r="E1937" s="11" t="str">
        <f t="array" ref="E1937">_xlfn.XLOOKUP(D1937,Insumos!B:B,Insumos!C:$C)</f>
        <v>M</v>
      </c>
      <c r="F1937" s="14">
        <v>2.5026999999999999</v>
      </c>
      <c r="G1937" s="92">
        <f t="array" ref="G1937">IF(B1937="insumo",_xlfn.XLOOKUP($D1937,Insumos!$B$1:$B$996,Insumos!$D$1:$D$996),"")</f>
        <v>0.31</v>
      </c>
      <c r="H1937" s="92">
        <v>0.775837</v>
      </c>
      <c r="I1937" s="13">
        <v>0</v>
      </c>
      <c r="J1937" s="13">
        <v>0</v>
      </c>
      <c r="K1937" s="13"/>
      <c r="L1937"/>
      <c r="M1937"/>
      <c r="N1937"/>
      <c r="O1937"/>
      <c r="P1937"/>
      <c r="Q1937"/>
      <c r="R1937"/>
      <c r="S1937"/>
      <c r="T1937"/>
      <c r="U1937"/>
      <c r="V1937"/>
      <c r="W1937"/>
      <c r="X1937"/>
      <c r="Y1937"/>
      <c r="Z1937"/>
      <c r="AA1937"/>
      <c r="AB1937"/>
      <c r="AC1937"/>
      <c r="AD1937"/>
      <c r="AE1937"/>
      <c r="AF1937"/>
      <c r="AG1937"/>
      <c r="AH1937"/>
      <c r="AI1937"/>
      <c r="AJ1937"/>
      <c r="AK1937"/>
      <c r="AL1937"/>
    </row>
    <row r="1938" spans="1:38" ht="15.75" customHeight="1" outlineLevel="3" x14ac:dyDescent="0.2">
      <c r="A1938" s="10">
        <v>94</v>
      </c>
      <c r="B1938" s="10" t="s">
        <v>71</v>
      </c>
      <c r="C1938" s="10" t="s">
        <v>1357</v>
      </c>
      <c r="D1938" s="10" t="s">
        <v>413</v>
      </c>
      <c r="E1938" s="11" t="str">
        <f t="array" ref="E1938">_xlfn.XLOOKUP(D1938,Insumos!B:B,Insumos!C:$C)</f>
        <v>M</v>
      </c>
      <c r="F1938" s="14">
        <v>1.5851</v>
      </c>
      <c r="G1938" s="92">
        <f t="array" ref="G1938">IF(B1938="insumo",_xlfn.XLOOKUP($D1938,Insumos!$B$1:$B$996,Insumos!$D$1:$D$996),"")</f>
        <v>2.74</v>
      </c>
      <c r="H1938" s="92">
        <v>4.3431740000000003</v>
      </c>
      <c r="I1938" s="13">
        <v>0</v>
      </c>
      <c r="J1938" s="13">
        <v>0</v>
      </c>
      <c r="K1938" s="13"/>
      <c r="L1938"/>
      <c r="M1938"/>
      <c r="N1938"/>
      <c r="O1938"/>
      <c r="P1938"/>
      <c r="Q1938"/>
      <c r="R1938"/>
      <c r="S1938"/>
      <c r="T1938"/>
      <c r="U1938"/>
      <c r="V1938"/>
      <c r="W1938"/>
      <c r="X1938"/>
      <c r="Y1938"/>
      <c r="Z1938"/>
      <c r="AA1938"/>
      <c r="AB1938"/>
      <c r="AC1938"/>
      <c r="AD1938"/>
      <c r="AE1938"/>
      <c r="AF1938"/>
      <c r="AG1938"/>
      <c r="AH1938"/>
      <c r="AI1938"/>
      <c r="AJ1938"/>
      <c r="AK1938"/>
      <c r="AL1938"/>
    </row>
    <row r="1939" spans="1:38" ht="15.75" customHeight="1" outlineLevel="3" x14ac:dyDescent="0.2">
      <c r="A1939" s="10">
        <v>97</v>
      </c>
      <c r="B1939" s="10" t="s">
        <v>71</v>
      </c>
      <c r="C1939" s="10" t="s">
        <v>1357</v>
      </c>
      <c r="D1939" s="10" t="s">
        <v>414</v>
      </c>
      <c r="E1939" s="11" t="str">
        <f t="array" ref="E1939">_xlfn.XLOOKUP(D1939,Insumos!B:B,Insumos!C:$C)</f>
        <v>UN</v>
      </c>
      <c r="F1939" s="14">
        <v>20.186800000000002</v>
      </c>
      <c r="G1939" s="92">
        <f t="array" ref="G1939">IF(B1939="insumo",_xlfn.XLOOKUP($D1939,Insumos!$B$1:$B$996,Insumos!$D$1:$D$996),"")</f>
        <v>0.09</v>
      </c>
      <c r="H1939" s="92">
        <v>1.8168120000000001</v>
      </c>
      <c r="I1939" s="13">
        <v>0</v>
      </c>
      <c r="J1939" s="13">
        <v>0</v>
      </c>
      <c r="K1939" s="13"/>
      <c r="L1939"/>
      <c r="M1939"/>
      <c r="N1939"/>
      <c r="O1939"/>
      <c r="P1939"/>
      <c r="Q1939"/>
      <c r="R1939"/>
      <c r="S1939"/>
      <c r="T1939"/>
      <c r="U1939"/>
      <c r="V1939"/>
      <c r="W1939"/>
      <c r="X1939"/>
      <c r="Y1939"/>
      <c r="Z1939"/>
      <c r="AA1939"/>
      <c r="AB1939"/>
      <c r="AC1939"/>
      <c r="AD1939"/>
      <c r="AE1939"/>
      <c r="AF1939"/>
      <c r="AG1939"/>
      <c r="AH1939"/>
      <c r="AI1939"/>
      <c r="AJ1939"/>
      <c r="AK1939"/>
      <c r="AL1939"/>
    </row>
    <row r="1940" spans="1:38" ht="15.75" customHeight="1" outlineLevel="3" x14ac:dyDescent="0.2">
      <c r="A1940" s="10">
        <v>95</v>
      </c>
      <c r="B1940" s="10" t="s">
        <v>71</v>
      </c>
      <c r="C1940" s="10" t="s">
        <v>1357</v>
      </c>
      <c r="D1940" s="10" t="s">
        <v>415</v>
      </c>
      <c r="E1940" s="11" t="str">
        <f t="array" ref="E1940">_xlfn.XLOOKUP(D1940,Insumos!B:B,Insumos!C:$C)</f>
        <v>UN</v>
      </c>
      <c r="F1940" s="14">
        <v>0.54410000000000003</v>
      </c>
      <c r="G1940" s="92">
        <f t="array" ref="G1940">IF(B1940="insumo",_xlfn.XLOOKUP($D1940,Insumos!$B$1:$B$996,Insumos!$D$1:$D$996),"")</f>
        <v>0.2</v>
      </c>
      <c r="H1940" s="92">
        <v>0.10882</v>
      </c>
      <c r="I1940" s="13">
        <v>0</v>
      </c>
      <c r="J1940" s="13">
        <v>0</v>
      </c>
      <c r="K1940" s="13"/>
      <c r="L1940"/>
      <c r="M1940"/>
      <c r="N1940"/>
      <c r="O1940"/>
      <c r="P1940"/>
      <c r="Q1940"/>
      <c r="R1940"/>
      <c r="S1940"/>
      <c r="T1940"/>
      <c r="U1940"/>
      <c r="V1940"/>
      <c r="W1940"/>
      <c r="X1940"/>
      <c r="Y1940"/>
      <c r="Z1940"/>
      <c r="AA1940"/>
      <c r="AB1940"/>
      <c r="AC1940"/>
      <c r="AD1940"/>
      <c r="AE1940"/>
      <c r="AF1940"/>
      <c r="AG1940"/>
      <c r="AH1940"/>
      <c r="AI1940"/>
      <c r="AJ1940"/>
      <c r="AK1940"/>
      <c r="AL1940"/>
    </row>
    <row r="1941" spans="1:38" ht="15.75" customHeight="1" outlineLevel="3" x14ac:dyDescent="0.2">
      <c r="A1941" s="10">
        <v>35</v>
      </c>
      <c r="B1941" s="10" t="s">
        <v>71</v>
      </c>
      <c r="C1941" s="10" t="s">
        <v>1357</v>
      </c>
      <c r="D1941" s="10" t="s">
        <v>1595</v>
      </c>
      <c r="E1941" s="11" t="str">
        <f t="array" ref="E1941">_xlfn.XLOOKUP(D1941,Insumos!B:B,Insumos!C:$C)</f>
        <v>M2</v>
      </c>
      <c r="F1941" s="14">
        <v>1.1000000000000001</v>
      </c>
      <c r="G1941" s="92">
        <f t="array" ref="G1941">IF(B1941="insumo",_xlfn.XLOOKUP($D1941,Insumos!$B$1:$B$996,Insumos!$D$1:$D$996),"")</f>
        <v>13.019333333333332</v>
      </c>
      <c r="H1941" s="92">
        <v>14.3212666666667</v>
      </c>
      <c r="I1941" s="13">
        <v>0</v>
      </c>
      <c r="J1941" s="13">
        <v>0</v>
      </c>
      <c r="K1941" s="13"/>
      <c r="L1941"/>
      <c r="M1941"/>
      <c r="N1941"/>
      <c r="O1941"/>
      <c r="P1941"/>
      <c r="Q1941"/>
      <c r="R1941"/>
      <c r="S1941"/>
      <c r="T1941"/>
      <c r="U1941"/>
      <c r="V1941"/>
      <c r="W1941"/>
      <c r="X1941"/>
      <c r="Y1941"/>
      <c r="Z1941"/>
      <c r="AA1941"/>
      <c r="AB1941"/>
      <c r="AC1941"/>
      <c r="AD1941"/>
      <c r="AE1941"/>
      <c r="AF1941"/>
      <c r="AG1941"/>
      <c r="AH1941"/>
      <c r="AI1941"/>
      <c r="AJ1941"/>
      <c r="AK1941"/>
      <c r="AL1941"/>
    </row>
    <row r="1942" spans="1:38" ht="15.75" customHeight="1" outlineLevel="2" x14ac:dyDescent="0.2">
      <c r="A1942" s="1067">
        <v>1</v>
      </c>
      <c r="B1942" s="1067" t="s">
        <v>68</v>
      </c>
      <c r="C1942" s="1067" t="s">
        <v>1358</v>
      </c>
      <c r="D1942" s="1067" t="s">
        <v>1358</v>
      </c>
      <c r="E1942" s="1068" t="s">
        <v>70</v>
      </c>
      <c r="F1942" s="1067"/>
      <c r="G1942" s="1069" t="str">
        <f t="array" ref="G1942">IF(B1942="insumo",_xlfn.XLOOKUP($D1942,Insumos!$B$1:$B$996,Insumos!$D$1:$D$996),"")</f>
        <v/>
      </c>
      <c r="H1942" s="1069">
        <v>246.920893833333</v>
      </c>
      <c r="I1942" s="1070">
        <v>0</v>
      </c>
      <c r="J1942" s="1070">
        <v>0</v>
      </c>
      <c r="K1942" s="1070"/>
      <c r="L1942"/>
      <c r="M1942"/>
      <c r="N1942"/>
      <c r="O1942"/>
      <c r="P1942"/>
      <c r="Q1942"/>
      <c r="R1942"/>
      <c r="S1942"/>
      <c r="T1942"/>
      <c r="U1942"/>
      <c r="V1942"/>
      <c r="W1942"/>
      <c r="X1942"/>
      <c r="Y1942"/>
      <c r="Z1942"/>
      <c r="AA1942"/>
      <c r="AB1942"/>
      <c r="AC1942"/>
      <c r="AD1942"/>
      <c r="AE1942"/>
      <c r="AF1942"/>
      <c r="AG1942"/>
      <c r="AH1942"/>
      <c r="AI1942"/>
      <c r="AJ1942"/>
      <c r="AK1942"/>
      <c r="AL1942"/>
    </row>
    <row r="1943" spans="1:38" ht="15.75" customHeight="1" outlineLevel="3" x14ac:dyDescent="0.2">
      <c r="A1943" s="10">
        <v>86</v>
      </c>
      <c r="B1943" s="10" t="s">
        <v>71</v>
      </c>
      <c r="C1943" s="10" t="s">
        <v>1358</v>
      </c>
      <c r="D1943" s="10" t="s">
        <v>407</v>
      </c>
      <c r="E1943" s="11" t="str">
        <f t="array" ref="E1943">_xlfn.XLOOKUP(D1943,Insumos!B:B,Insumos!C:$C)</f>
        <v>M2</v>
      </c>
      <c r="F1943" s="14">
        <v>1</v>
      </c>
      <c r="G1943" s="92">
        <f t="array" ref="G1943">IF(B1943="insumo",_xlfn.XLOOKUP($D1943,Insumos!$B$1:$B$996,Insumos!$D$1:$D$996),"")</f>
        <v>70</v>
      </c>
      <c r="H1943" s="92">
        <v>70</v>
      </c>
      <c r="I1943" s="13">
        <v>0</v>
      </c>
      <c r="J1943" s="13">
        <v>0</v>
      </c>
      <c r="K1943" s="13"/>
      <c r="L1943"/>
      <c r="M1943"/>
      <c r="N1943"/>
      <c r="O1943"/>
      <c r="P1943"/>
      <c r="Q1943"/>
      <c r="R1943"/>
      <c r="S1943"/>
      <c r="T1943"/>
      <c r="U1943"/>
      <c r="V1943"/>
      <c r="W1943"/>
      <c r="X1943"/>
      <c r="Y1943"/>
      <c r="Z1943"/>
      <c r="AA1943"/>
      <c r="AB1943"/>
      <c r="AC1943"/>
      <c r="AD1943"/>
      <c r="AE1943"/>
      <c r="AF1943"/>
      <c r="AG1943"/>
      <c r="AH1943"/>
      <c r="AI1943"/>
      <c r="AJ1943"/>
      <c r="AK1943"/>
      <c r="AL1943"/>
    </row>
    <row r="1944" spans="1:38" ht="15.75" customHeight="1" outlineLevel="3" x14ac:dyDescent="0.2">
      <c r="A1944" s="10">
        <v>49</v>
      </c>
      <c r="B1944" s="10" t="s">
        <v>71</v>
      </c>
      <c r="C1944" s="10" t="s">
        <v>1358</v>
      </c>
      <c r="D1944" s="10" t="s">
        <v>418</v>
      </c>
      <c r="E1944" s="11" t="str">
        <f t="array" ref="E1944">_xlfn.XLOOKUP(D1944,Insumos!B:B,Insumos!C:$C)</f>
        <v>M2</v>
      </c>
      <c r="F1944" s="14">
        <f>1.106</f>
        <v>1.1060000000000001</v>
      </c>
      <c r="G1944" s="92">
        <f t="array" ref="G1944">IF(B1944="insumo",_xlfn.XLOOKUP($D1944,Insumos!$B$1:$B$996,Insumos!$D$1:$D$996),"")</f>
        <v>27.1</v>
      </c>
      <c r="H1944" s="92">
        <v>29.9726</v>
      </c>
      <c r="I1944" s="13">
        <v>0</v>
      </c>
      <c r="J1944" s="13">
        <v>0</v>
      </c>
      <c r="K1944" s="13"/>
      <c r="L1944"/>
      <c r="M1944"/>
      <c r="N1944"/>
      <c r="O1944"/>
      <c r="P1944"/>
      <c r="Q1944"/>
      <c r="R1944"/>
      <c r="S1944"/>
      <c r="T1944"/>
      <c r="U1944"/>
      <c r="V1944"/>
      <c r="W1944"/>
      <c r="X1944"/>
      <c r="Y1944"/>
      <c r="Z1944"/>
      <c r="AA1944"/>
      <c r="AB1944"/>
      <c r="AC1944"/>
      <c r="AD1944"/>
      <c r="AE1944"/>
      <c r="AF1944"/>
      <c r="AG1944"/>
      <c r="AH1944"/>
      <c r="AI1944"/>
      <c r="AJ1944"/>
      <c r="AK1944"/>
      <c r="AL1944"/>
    </row>
    <row r="1945" spans="1:38" ht="15.75" customHeight="1" outlineLevel="3" x14ac:dyDescent="0.2">
      <c r="A1945" s="10">
        <v>11</v>
      </c>
      <c r="B1945" s="10" t="s">
        <v>71</v>
      </c>
      <c r="C1945" s="10" t="s">
        <v>1358</v>
      </c>
      <c r="D1945" s="10" t="s">
        <v>1390</v>
      </c>
      <c r="E1945" s="11" t="str">
        <f t="array" ref="E1945">_xlfn.XLOOKUP(D1945,Insumos!B:B,Insumos!C:$C)</f>
        <v>M2</v>
      </c>
      <c r="F1945" s="14">
        <v>1.1060000000000001</v>
      </c>
      <c r="G1945" s="92">
        <f t="array" ref="G1945">IF(B1945="insumo",_xlfn.XLOOKUP($D1945,Insumos!$B$1:$B$996,Insumos!$D$1:$D$996),"")</f>
        <v>30.089583333333337</v>
      </c>
      <c r="H1945" s="92">
        <v>33.279079166666698</v>
      </c>
      <c r="I1945" s="13">
        <v>0</v>
      </c>
      <c r="J1945" s="13">
        <v>0</v>
      </c>
      <c r="K1945" s="13"/>
      <c r="L1945"/>
      <c r="M1945"/>
      <c r="N1945"/>
      <c r="O1945"/>
      <c r="P1945"/>
      <c r="Q1945"/>
      <c r="R1945"/>
      <c r="S1945"/>
      <c r="T1945"/>
      <c r="U1945"/>
      <c r="V1945"/>
      <c r="W1945"/>
      <c r="X1945"/>
      <c r="Y1945"/>
      <c r="Z1945"/>
      <c r="AA1945"/>
      <c r="AB1945"/>
      <c r="AC1945"/>
      <c r="AD1945"/>
      <c r="AE1945"/>
      <c r="AF1945"/>
      <c r="AG1945"/>
      <c r="AH1945"/>
      <c r="AI1945"/>
      <c r="AJ1945"/>
      <c r="AK1945"/>
      <c r="AL1945"/>
    </row>
    <row r="1946" spans="1:38" ht="15.75" customHeight="1" outlineLevel="3" x14ac:dyDescent="0.2">
      <c r="A1946" s="10">
        <v>95</v>
      </c>
      <c r="B1946" s="10" t="s">
        <v>71</v>
      </c>
      <c r="C1946" s="10" t="s">
        <v>1358</v>
      </c>
      <c r="D1946" s="10" t="s">
        <v>409</v>
      </c>
      <c r="E1946" s="11" t="str">
        <f t="array" ref="E1946">_xlfn.XLOOKUP(D1946,Insumos!B:B,Insumos!C:$C)</f>
        <v>UN</v>
      </c>
      <c r="F1946" s="14">
        <v>5.92</v>
      </c>
      <c r="G1946" s="92">
        <f t="array" ref="G1946">IF(B1946="insumo",_xlfn.XLOOKUP($D1946,Insumos!$B$1:$B$996,Insumos!$D$1:$D$996),"")</f>
        <v>0.504</v>
      </c>
      <c r="H1946" s="92">
        <v>2.9836800000000001</v>
      </c>
      <c r="I1946" s="13">
        <v>0</v>
      </c>
      <c r="J1946" s="13">
        <v>0</v>
      </c>
      <c r="K1946" s="13"/>
      <c r="L1946"/>
      <c r="M1946"/>
      <c r="N1946"/>
      <c r="O1946"/>
      <c r="P1946"/>
      <c r="Q1946"/>
      <c r="R1946"/>
      <c r="S1946"/>
      <c r="T1946"/>
      <c r="U1946"/>
      <c r="V1946"/>
      <c r="W1946"/>
      <c r="X1946"/>
      <c r="Y1946"/>
      <c r="Z1946"/>
      <c r="AA1946"/>
      <c r="AB1946"/>
      <c r="AC1946"/>
      <c r="AD1946"/>
      <c r="AE1946"/>
      <c r="AF1946"/>
      <c r="AG1946"/>
      <c r="AH1946"/>
      <c r="AI1946"/>
      <c r="AJ1946"/>
      <c r="AK1946"/>
      <c r="AL1946"/>
    </row>
    <row r="1947" spans="1:38" ht="15.75" customHeight="1" outlineLevel="3" x14ac:dyDescent="0.2">
      <c r="A1947" s="10">
        <v>26</v>
      </c>
      <c r="B1947" s="10" t="s">
        <v>71</v>
      </c>
      <c r="C1947" s="10" t="s">
        <v>1358</v>
      </c>
      <c r="D1947" s="10" t="s">
        <v>420</v>
      </c>
      <c r="E1947" s="11" t="str">
        <f t="array" ref="E1947">_xlfn.XLOOKUP(D1947,Insumos!B:B,Insumos!C:$C)</f>
        <v>M</v>
      </c>
      <c r="F1947" s="14">
        <v>1.5247999999999999</v>
      </c>
      <c r="G1947" s="92">
        <f t="array" ref="G1947">IF(B1947="insumo",_xlfn.XLOOKUP($D1947,Insumos!$B$1:$B$996,Insumos!$D$1:$D$996),"")</f>
        <v>8.64</v>
      </c>
      <c r="H1947" s="92">
        <v>13.174272</v>
      </c>
      <c r="I1947" s="13">
        <v>0</v>
      </c>
      <c r="J1947" s="13">
        <v>0</v>
      </c>
      <c r="K1947" s="13"/>
      <c r="L1947"/>
      <c r="M1947"/>
      <c r="N1947"/>
      <c r="O1947"/>
      <c r="P1947"/>
      <c r="Q1947"/>
      <c r="R1947"/>
      <c r="S1947"/>
      <c r="T1947"/>
      <c r="U1947"/>
      <c r="V1947"/>
      <c r="W1947"/>
      <c r="X1947"/>
      <c r="Y1947"/>
      <c r="Z1947"/>
      <c r="AA1947"/>
      <c r="AB1947"/>
      <c r="AC1947"/>
      <c r="AD1947"/>
      <c r="AE1947"/>
      <c r="AF1947"/>
      <c r="AG1947"/>
      <c r="AH1947"/>
      <c r="AI1947"/>
      <c r="AJ1947"/>
      <c r="AK1947"/>
      <c r="AL1947"/>
    </row>
    <row r="1948" spans="1:38" ht="15.75" customHeight="1" outlineLevel="3" x14ac:dyDescent="0.2">
      <c r="A1948" s="10">
        <v>26</v>
      </c>
      <c r="B1948" s="10" t="s">
        <v>71</v>
      </c>
      <c r="C1948" s="10" t="s">
        <v>1358</v>
      </c>
      <c r="D1948" s="10" t="s">
        <v>421</v>
      </c>
      <c r="E1948" s="11" t="str">
        <f t="array" ref="E1948">_xlfn.XLOOKUP(D1948,Insumos!B:B,Insumos!C:$C)</f>
        <v>M</v>
      </c>
      <c r="F1948" s="14">
        <v>4.0011000000000001</v>
      </c>
      <c r="G1948" s="92">
        <f t="array" ref="G1948">IF(B1948="insumo",_xlfn.XLOOKUP($D1948,Insumos!$B$1:$B$996,Insumos!$D$1:$D$996),"")</f>
        <v>18.09</v>
      </c>
      <c r="H1948" s="92">
        <v>72.379898999999995</v>
      </c>
      <c r="I1948" s="13">
        <v>0</v>
      </c>
      <c r="J1948" s="13">
        <v>0</v>
      </c>
      <c r="K1948" s="13"/>
      <c r="L1948"/>
      <c r="M1948"/>
      <c r="N1948"/>
      <c r="O1948"/>
      <c r="P1948"/>
      <c r="Q1948"/>
      <c r="R1948"/>
      <c r="S1948"/>
      <c r="T1948"/>
      <c r="U1948"/>
      <c r="V1948"/>
      <c r="W1948"/>
      <c r="X1948"/>
      <c r="Y1948"/>
      <c r="Z1948"/>
      <c r="AA1948"/>
      <c r="AB1948"/>
      <c r="AC1948"/>
      <c r="AD1948"/>
      <c r="AE1948"/>
      <c r="AF1948"/>
      <c r="AG1948"/>
      <c r="AH1948"/>
      <c r="AI1948"/>
      <c r="AJ1948"/>
      <c r="AK1948"/>
      <c r="AL1948"/>
    </row>
    <row r="1949" spans="1:38" ht="15.75" customHeight="1" outlineLevel="3" x14ac:dyDescent="0.2">
      <c r="A1949" s="10">
        <v>95</v>
      </c>
      <c r="B1949" s="10" t="s">
        <v>71</v>
      </c>
      <c r="C1949" s="10" t="s">
        <v>1358</v>
      </c>
      <c r="D1949" s="10" t="s">
        <v>405</v>
      </c>
      <c r="E1949" s="11" t="str">
        <f t="array" ref="E1949">_xlfn.XLOOKUP(D1949,Insumos!B:B,Insumos!C:$C)</f>
        <v>KG</v>
      </c>
      <c r="F1949" s="14">
        <v>1.0978000000000001</v>
      </c>
      <c r="G1949" s="92">
        <f t="array" ref="G1949">IF(B1949="insumo",_xlfn.XLOOKUP($D1949,Insumos!$B$1:$B$996,Insumos!$D$1:$D$996),"")</f>
        <v>3.43</v>
      </c>
      <c r="H1949" s="92">
        <v>3.7654540000000001</v>
      </c>
      <c r="I1949" s="13">
        <v>0</v>
      </c>
      <c r="J1949" s="13">
        <v>0</v>
      </c>
      <c r="K1949" s="13"/>
      <c r="L1949"/>
      <c r="M1949"/>
      <c r="N1949"/>
      <c r="O1949"/>
      <c r="P1949"/>
      <c r="Q1949"/>
      <c r="R1949"/>
      <c r="S1949"/>
      <c r="T1949"/>
      <c r="U1949"/>
      <c r="V1949"/>
      <c r="W1949"/>
      <c r="X1949"/>
      <c r="Y1949"/>
      <c r="Z1949"/>
      <c r="AA1949"/>
      <c r="AB1949"/>
      <c r="AC1949"/>
      <c r="AD1949"/>
      <c r="AE1949"/>
      <c r="AF1949"/>
      <c r="AG1949"/>
      <c r="AH1949"/>
      <c r="AI1949"/>
      <c r="AJ1949"/>
      <c r="AK1949"/>
      <c r="AL1949"/>
    </row>
    <row r="1950" spans="1:38" ht="15.75" customHeight="1" outlineLevel="3" x14ac:dyDescent="0.2">
      <c r="A1950" s="10">
        <v>94</v>
      </c>
      <c r="B1950" s="10" t="s">
        <v>71</v>
      </c>
      <c r="C1950" s="10" t="s">
        <v>1358</v>
      </c>
      <c r="D1950" s="10" t="s">
        <v>412</v>
      </c>
      <c r="E1950" s="11" t="str">
        <f t="array" ref="E1950">_xlfn.XLOOKUP(D1950,Insumos!B:B,Insumos!C:$C)</f>
        <v>M</v>
      </c>
      <c r="F1950" s="14">
        <v>2.5026999999999999</v>
      </c>
      <c r="G1950" s="92">
        <f t="array" ref="G1950">IF(B1950="insumo",_xlfn.XLOOKUP($D1950,Insumos!$B$1:$B$996,Insumos!$D$1:$D$996),"")</f>
        <v>0.31</v>
      </c>
      <c r="H1950" s="92">
        <v>0.775837</v>
      </c>
      <c r="I1950" s="13">
        <v>0</v>
      </c>
      <c r="J1950" s="13">
        <v>0</v>
      </c>
      <c r="K1950" s="13"/>
      <c r="L1950"/>
      <c r="M1950"/>
      <c r="N1950"/>
      <c r="O1950"/>
      <c r="P1950"/>
      <c r="Q1950"/>
      <c r="R1950"/>
      <c r="S1950"/>
      <c r="T1950"/>
      <c r="U1950"/>
      <c r="V1950"/>
      <c r="W1950"/>
      <c r="X1950"/>
      <c r="Y1950"/>
      <c r="Z1950"/>
      <c r="AA1950"/>
      <c r="AB1950"/>
      <c r="AC1950"/>
      <c r="AD1950"/>
      <c r="AE1950"/>
      <c r="AF1950"/>
      <c r="AG1950"/>
      <c r="AH1950"/>
      <c r="AI1950"/>
      <c r="AJ1950"/>
      <c r="AK1950"/>
      <c r="AL1950"/>
    </row>
    <row r="1951" spans="1:38" ht="15.75" customHeight="1" outlineLevel="3" x14ac:dyDescent="0.2">
      <c r="A1951" s="10">
        <v>94</v>
      </c>
      <c r="B1951" s="10" t="s">
        <v>71</v>
      </c>
      <c r="C1951" s="10" t="s">
        <v>1358</v>
      </c>
      <c r="D1951" s="10" t="s">
        <v>413</v>
      </c>
      <c r="E1951" s="11" t="str">
        <f t="array" ref="E1951">_xlfn.XLOOKUP(D1951,Insumos!B:B,Insumos!C:$C)</f>
        <v>M</v>
      </c>
      <c r="F1951" s="14">
        <v>1.5851</v>
      </c>
      <c r="G1951" s="92">
        <f t="array" ref="G1951">IF(B1951="insumo",_xlfn.XLOOKUP($D1951,Insumos!$B$1:$B$996,Insumos!$D$1:$D$996),"")</f>
        <v>2.74</v>
      </c>
      <c r="H1951" s="92">
        <v>4.3431740000000003</v>
      </c>
      <c r="I1951" s="13">
        <v>0</v>
      </c>
      <c r="J1951" s="13">
        <v>0</v>
      </c>
      <c r="K1951" s="13"/>
      <c r="L1951"/>
      <c r="M1951"/>
      <c r="N1951"/>
      <c r="O1951"/>
      <c r="P1951"/>
      <c r="Q1951"/>
      <c r="R1951"/>
      <c r="S1951"/>
      <c r="T1951"/>
      <c r="U1951"/>
      <c r="V1951"/>
      <c r="W1951"/>
      <c r="X1951"/>
      <c r="Y1951"/>
      <c r="Z1951"/>
      <c r="AA1951"/>
      <c r="AB1951"/>
      <c r="AC1951"/>
      <c r="AD1951"/>
      <c r="AE1951"/>
      <c r="AF1951"/>
      <c r="AG1951"/>
      <c r="AH1951"/>
      <c r="AI1951"/>
      <c r="AJ1951"/>
      <c r="AK1951"/>
      <c r="AL1951"/>
    </row>
    <row r="1952" spans="1:38" ht="15.75" customHeight="1" outlineLevel="3" x14ac:dyDescent="0.2">
      <c r="A1952" s="10">
        <v>97</v>
      </c>
      <c r="B1952" s="10" t="s">
        <v>71</v>
      </c>
      <c r="C1952" s="10" t="s">
        <v>1358</v>
      </c>
      <c r="D1952" s="10" t="s">
        <v>414</v>
      </c>
      <c r="E1952" s="11" t="str">
        <f t="array" ref="E1952">_xlfn.XLOOKUP(D1952,Insumos!B:B,Insumos!C:$C)</f>
        <v>UN</v>
      </c>
      <c r="F1952" s="14">
        <v>20.186800000000002</v>
      </c>
      <c r="G1952" s="92">
        <f t="array" ref="G1952">IF(B1952="insumo",_xlfn.XLOOKUP($D1952,Insumos!$B$1:$B$996,Insumos!$D$1:$D$996),"")</f>
        <v>0.09</v>
      </c>
      <c r="H1952" s="92">
        <v>1.8168120000000001</v>
      </c>
      <c r="I1952" s="13">
        <v>0</v>
      </c>
      <c r="J1952" s="13">
        <v>0</v>
      </c>
      <c r="K1952" s="13"/>
      <c r="L1952"/>
      <c r="M1952"/>
      <c r="N1952"/>
      <c r="O1952"/>
      <c r="P1952"/>
      <c r="Q1952"/>
      <c r="R1952"/>
      <c r="S1952"/>
      <c r="T1952"/>
      <c r="U1952"/>
      <c r="V1952"/>
      <c r="W1952"/>
      <c r="X1952"/>
      <c r="Y1952"/>
      <c r="Z1952"/>
      <c r="AA1952"/>
      <c r="AB1952"/>
      <c r="AC1952"/>
      <c r="AD1952"/>
      <c r="AE1952"/>
      <c r="AF1952"/>
      <c r="AG1952"/>
      <c r="AH1952"/>
      <c r="AI1952"/>
      <c r="AJ1952"/>
      <c r="AK1952"/>
      <c r="AL1952"/>
    </row>
    <row r="1953" spans="1:38" ht="15.75" customHeight="1" outlineLevel="3" x14ac:dyDescent="0.2">
      <c r="A1953" s="10">
        <v>95</v>
      </c>
      <c r="B1953" s="10" t="s">
        <v>71</v>
      </c>
      <c r="C1953" s="10" t="s">
        <v>1358</v>
      </c>
      <c r="D1953" s="10" t="s">
        <v>415</v>
      </c>
      <c r="E1953" s="11" t="str">
        <f t="array" ref="E1953">_xlfn.XLOOKUP(D1953,Insumos!B:B,Insumos!C:$C)</f>
        <v>UN</v>
      </c>
      <c r="F1953" s="14">
        <v>0.54410000000000003</v>
      </c>
      <c r="G1953" s="92">
        <f t="array" ref="G1953">IF(B1953="insumo",_xlfn.XLOOKUP($D1953,Insumos!$B$1:$B$996,Insumos!$D$1:$D$996),"")</f>
        <v>0.2</v>
      </c>
      <c r="H1953" s="92">
        <v>0.10882</v>
      </c>
      <c r="I1953" s="13">
        <v>0</v>
      </c>
      <c r="J1953" s="13">
        <v>0</v>
      </c>
      <c r="K1953" s="13"/>
      <c r="L1953"/>
      <c r="M1953"/>
      <c r="N1953"/>
      <c r="O1953"/>
      <c r="P1953"/>
      <c r="Q1953"/>
      <c r="R1953"/>
      <c r="S1953"/>
      <c r="T1953"/>
      <c r="U1953"/>
      <c r="V1953"/>
      <c r="W1953"/>
      <c r="X1953"/>
      <c r="Y1953"/>
      <c r="Z1953"/>
      <c r="AA1953"/>
      <c r="AB1953"/>
      <c r="AC1953"/>
      <c r="AD1953"/>
      <c r="AE1953"/>
      <c r="AF1953"/>
      <c r="AG1953"/>
      <c r="AH1953"/>
      <c r="AI1953"/>
      <c r="AJ1953"/>
      <c r="AK1953"/>
      <c r="AL1953"/>
    </row>
    <row r="1954" spans="1:38" ht="15.75" customHeight="1" outlineLevel="3" x14ac:dyDescent="0.2">
      <c r="A1954" s="10">
        <v>35</v>
      </c>
      <c r="B1954" s="10" t="s">
        <v>71</v>
      </c>
      <c r="C1954" s="10" t="s">
        <v>1358</v>
      </c>
      <c r="D1954" s="10" t="s">
        <v>1595</v>
      </c>
      <c r="E1954" s="11" t="str">
        <f t="array" ref="E1954">_xlfn.XLOOKUP(D1954,Insumos!B:B,Insumos!C:$C)</f>
        <v>M2</v>
      </c>
      <c r="F1954" s="14">
        <v>1.1000000000000001</v>
      </c>
      <c r="G1954" s="92">
        <f t="array" ref="G1954">IF(B1954="insumo",_xlfn.XLOOKUP($D1954,Insumos!$B$1:$B$996,Insumos!$D$1:$D$996),"")</f>
        <v>13.019333333333332</v>
      </c>
      <c r="H1954" s="92">
        <v>14.3212666666667</v>
      </c>
      <c r="I1954" s="13">
        <v>0</v>
      </c>
      <c r="J1954" s="13">
        <v>0</v>
      </c>
      <c r="K1954" s="13"/>
      <c r="L1954"/>
      <c r="M1954"/>
      <c r="N1954"/>
      <c r="O1954"/>
      <c r="P1954"/>
      <c r="Q1954"/>
      <c r="R1954"/>
      <c r="S1954"/>
      <c r="T1954"/>
      <c r="U1954"/>
      <c r="V1954"/>
      <c r="W1954"/>
      <c r="X1954"/>
      <c r="Y1954"/>
      <c r="Z1954"/>
      <c r="AA1954"/>
      <c r="AB1954"/>
      <c r="AC1954"/>
      <c r="AD1954"/>
      <c r="AE1954"/>
      <c r="AF1954"/>
      <c r="AG1954"/>
      <c r="AH1954"/>
      <c r="AI1954"/>
      <c r="AJ1954"/>
      <c r="AK1954"/>
      <c r="AL1954"/>
    </row>
    <row r="1955" spans="1:38" ht="15.75" customHeight="1" outlineLevel="2" x14ac:dyDescent="0.2">
      <c r="A1955" s="1067">
        <v>1</v>
      </c>
      <c r="B1955" s="1067" t="s">
        <v>68</v>
      </c>
      <c r="C1955" s="1067" t="s">
        <v>1359</v>
      </c>
      <c r="D1955" s="1067" t="s">
        <v>1359</v>
      </c>
      <c r="E1955" s="1068" t="s">
        <v>70</v>
      </c>
      <c r="F1955" s="1067"/>
      <c r="G1955" s="1069" t="str">
        <f t="array" ref="G1955">IF(B1955="insumo",_xlfn.XLOOKUP($D1955,Insumos!$B$1:$B$996,Insumos!$D$1:$D$996),"")</f>
        <v/>
      </c>
      <c r="H1955" s="1069">
        <v>235.938774666667</v>
      </c>
      <c r="I1955" s="1070">
        <v>0</v>
      </c>
      <c r="J1955" s="1070">
        <v>0</v>
      </c>
      <c r="K1955" s="1070"/>
      <c r="L1955"/>
      <c r="M1955"/>
      <c r="N1955"/>
      <c r="O1955"/>
      <c r="P1955"/>
      <c r="Q1955"/>
      <c r="R1955"/>
      <c r="S1955"/>
      <c r="T1955"/>
      <c r="U1955"/>
      <c r="V1955"/>
      <c r="W1955"/>
      <c r="X1955"/>
      <c r="Y1955"/>
      <c r="Z1955"/>
      <c r="AA1955"/>
      <c r="AB1955"/>
      <c r="AC1955"/>
      <c r="AD1955"/>
      <c r="AE1955"/>
      <c r="AF1955"/>
      <c r="AG1955"/>
      <c r="AH1955"/>
      <c r="AI1955"/>
      <c r="AJ1955"/>
      <c r="AK1955"/>
      <c r="AL1955"/>
    </row>
    <row r="1956" spans="1:38" ht="15.75" customHeight="1" outlineLevel="3" x14ac:dyDescent="0.2">
      <c r="A1956" s="10">
        <v>86</v>
      </c>
      <c r="B1956" s="10" t="s">
        <v>71</v>
      </c>
      <c r="C1956" s="10" t="s">
        <v>1359</v>
      </c>
      <c r="D1956" s="10" t="s">
        <v>407</v>
      </c>
      <c r="E1956" s="11" t="str">
        <f t="array" ref="E1956">_xlfn.XLOOKUP(D1956,Insumos!B:B,Insumos!C:$C)</f>
        <v>M2</v>
      </c>
      <c r="F1956" s="14">
        <v>1</v>
      </c>
      <c r="G1956" s="92">
        <f t="array" ref="G1956">IF(B1956="insumo",_xlfn.XLOOKUP($D1956,Insumos!$B$1:$B$996,Insumos!$D$1:$D$996),"")</f>
        <v>70</v>
      </c>
      <c r="H1956" s="92">
        <v>70</v>
      </c>
      <c r="I1956" s="13">
        <v>0</v>
      </c>
      <c r="J1956" s="13">
        <v>0</v>
      </c>
      <c r="K1956" s="13"/>
      <c r="L1956"/>
      <c r="M1956"/>
      <c r="N1956"/>
      <c r="O1956"/>
      <c r="P1956"/>
      <c r="Q1956"/>
      <c r="R1956"/>
      <c r="S1956"/>
      <c r="T1956"/>
      <c r="U1956"/>
      <c r="V1956"/>
      <c r="W1956"/>
      <c r="X1956"/>
      <c r="Y1956"/>
      <c r="Z1956"/>
      <c r="AA1956"/>
      <c r="AB1956"/>
      <c r="AC1956"/>
      <c r="AD1956"/>
      <c r="AE1956"/>
      <c r="AF1956"/>
      <c r="AG1956"/>
      <c r="AH1956"/>
      <c r="AI1956"/>
      <c r="AJ1956"/>
      <c r="AK1956"/>
      <c r="AL1956"/>
    </row>
    <row r="1957" spans="1:38" ht="15.75" customHeight="1" outlineLevel="3" x14ac:dyDescent="0.2">
      <c r="A1957" s="10">
        <v>49</v>
      </c>
      <c r="B1957" s="10" t="s">
        <v>71</v>
      </c>
      <c r="C1957" s="10" t="s">
        <v>1359</v>
      </c>
      <c r="D1957" s="10" t="s">
        <v>418</v>
      </c>
      <c r="E1957" s="11" t="str">
        <f t="array" ref="E1957">_xlfn.XLOOKUP(D1957,Insumos!B:B,Insumos!C:$C)</f>
        <v>M2</v>
      </c>
      <c r="F1957" s="14">
        <f>1.106</f>
        <v>1.1060000000000001</v>
      </c>
      <c r="G1957" s="92">
        <f t="array" ref="G1957">IF(B1957="insumo",_xlfn.XLOOKUP($D1957,Insumos!$B$1:$B$996,Insumos!$D$1:$D$996),"")</f>
        <v>27.1</v>
      </c>
      <c r="H1957" s="92">
        <v>29.9726</v>
      </c>
      <c r="I1957" s="13">
        <v>0</v>
      </c>
      <c r="J1957" s="13">
        <v>0</v>
      </c>
      <c r="K1957" s="13"/>
      <c r="L1957"/>
      <c r="M1957"/>
      <c r="N1957"/>
      <c r="O1957"/>
      <c r="P1957"/>
      <c r="Q1957"/>
      <c r="R1957"/>
      <c r="S1957"/>
      <c r="T1957"/>
      <c r="U1957"/>
      <c r="V1957"/>
      <c r="W1957"/>
      <c r="X1957"/>
      <c r="Y1957"/>
      <c r="Z1957"/>
      <c r="AA1957"/>
      <c r="AB1957"/>
      <c r="AC1957"/>
      <c r="AD1957"/>
      <c r="AE1957"/>
      <c r="AF1957"/>
      <c r="AG1957"/>
      <c r="AH1957"/>
      <c r="AI1957"/>
      <c r="AJ1957"/>
      <c r="AK1957"/>
      <c r="AL1957"/>
    </row>
    <row r="1958" spans="1:38" ht="15.75" customHeight="1" outlineLevel="3" x14ac:dyDescent="0.2">
      <c r="A1958" s="10">
        <v>47</v>
      </c>
      <c r="B1958" s="10" t="s">
        <v>71</v>
      </c>
      <c r="C1958" s="10" t="s">
        <v>1359</v>
      </c>
      <c r="D1958" s="10" t="s">
        <v>408</v>
      </c>
      <c r="E1958" s="11" t="str">
        <f t="array" ref="E1958">_xlfn.XLOOKUP(D1958,Insumos!B:B,Insumos!C:$C)</f>
        <v>M2</v>
      </c>
      <c r="F1958" s="14">
        <v>1.1060000000000001</v>
      </c>
      <c r="G1958" s="92">
        <f t="array" ref="G1958">IF(B1958="insumo",_xlfn.XLOOKUP($D1958,Insumos!$B$1:$B$996,Insumos!$D$1:$D$996),"")</f>
        <v>20.16</v>
      </c>
      <c r="H1958" s="92">
        <v>22.296959999999999</v>
      </c>
      <c r="I1958" s="13">
        <v>0</v>
      </c>
      <c r="J1958" s="13">
        <v>0</v>
      </c>
      <c r="K1958" s="13"/>
      <c r="L1958"/>
      <c r="M1958"/>
      <c r="N1958"/>
      <c r="O1958"/>
      <c r="P1958"/>
      <c r="Q1958"/>
      <c r="R1958"/>
      <c r="S1958"/>
      <c r="T1958"/>
      <c r="U1958"/>
      <c r="V1958"/>
      <c r="W1958"/>
      <c r="X1958"/>
      <c r="Y1958"/>
      <c r="Z1958"/>
      <c r="AA1958"/>
      <c r="AB1958"/>
      <c r="AC1958"/>
      <c r="AD1958"/>
      <c r="AE1958"/>
      <c r="AF1958"/>
      <c r="AG1958"/>
      <c r="AH1958"/>
      <c r="AI1958"/>
      <c r="AJ1958"/>
      <c r="AK1958"/>
      <c r="AL1958"/>
    </row>
    <row r="1959" spans="1:38" ht="15.75" customHeight="1" outlineLevel="3" x14ac:dyDescent="0.2">
      <c r="A1959" s="10">
        <v>95</v>
      </c>
      <c r="B1959" s="10" t="s">
        <v>71</v>
      </c>
      <c r="C1959" s="10" t="s">
        <v>1359</v>
      </c>
      <c r="D1959" s="10" t="s">
        <v>409</v>
      </c>
      <c r="E1959" s="11" t="str">
        <f t="array" ref="E1959">_xlfn.XLOOKUP(D1959,Insumos!B:B,Insumos!C:$C)</f>
        <v>UN</v>
      </c>
      <c r="F1959" s="14">
        <v>5.92</v>
      </c>
      <c r="G1959" s="92">
        <f t="array" ref="G1959">IF(B1959="insumo",_xlfn.XLOOKUP($D1959,Insumos!$B$1:$B$996,Insumos!$D$1:$D$996),"")</f>
        <v>0.504</v>
      </c>
      <c r="H1959" s="92">
        <v>2.9836800000000001</v>
      </c>
      <c r="I1959" s="13">
        <v>0</v>
      </c>
      <c r="J1959" s="13">
        <v>0</v>
      </c>
      <c r="K1959" s="13"/>
      <c r="L1959"/>
      <c r="M1959"/>
      <c r="N1959"/>
      <c r="O1959"/>
      <c r="P1959"/>
      <c r="Q1959"/>
      <c r="R1959"/>
      <c r="S1959"/>
      <c r="T1959"/>
      <c r="U1959"/>
      <c r="V1959"/>
      <c r="W1959"/>
      <c r="X1959"/>
      <c r="Y1959"/>
      <c r="Z1959"/>
      <c r="AA1959"/>
      <c r="AB1959"/>
      <c r="AC1959"/>
      <c r="AD1959"/>
      <c r="AE1959"/>
      <c r="AF1959"/>
      <c r="AG1959"/>
      <c r="AH1959"/>
      <c r="AI1959"/>
      <c r="AJ1959"/>
      <c r="AK1959"/>
      <c r="AL1959"/>
    </row>
    <row r="1960" spans="1:38" ht="15.75" customHeight="1" outlineLevel="3" x14ac:dyDescent="0.2">
      <c r="A1960" s="10">
        <v>26</v>
      </c>
      <c r="B1960" s="10" t="s">
        <v>71</v>
      </c>
      <c r="C1960" s="10" t="s">
        <v>1359</v>
      </c>
      <c r="D1960" s="10" t="s">
        <v>420</v>
      </c>
      <c r="E1960" s="11" t="str">
        <f t="array" ref="E1960">_xlfn.XLOOKUP(D1960,Insumos!B:B,Insumos!C:$C)</f>
        <v>M</v>
      </c>
      <c r="F1960" s="14">
        <v>1.5247999999999999</v>
      </c>
      <c r="G1960" s="92">
        <f t="array" ref="G1960">IF(B1960="insumo",_xlfn.XLOOKUP($D1960,Insumos!$B$1:$B$996,Insumos!$D$1:$D$996),"")</f>
        <v>8.64</v>
      </c>
      <c r="H1960" s="92">
        <v>13.174272</v>
      </c>
      <c r="I1960" s="13">
        <v>0</v>
      </c>
      <c r="J1960" s="13">
        <v>0</v>
      </c>
      <c r="K1960" s="13"/>
      <c r="L1960"/>
      <c r="M1960"/>
      <c r="N1960"/>
      <c r="O1960"/>
      <c r="P1960"/>
      <c r="Q1960"/>
      <c r="R1960"/>
      <c r="S1960"/>
      <c r="T1960"/>
      <c r="U1960"/>
      <c r="V1960"/>
      <c r="W1960"/>
      <c r="X1960"/>
      <c r="Y1960"/>
      <c r="Z1960"/>
      <c r="AA1960"/>
      <c r="AB1960"/>
      <c r="AC1960"/>
      <c r="AD1960"/>
      <c r="AE1960"/>
      <c r="AF1960"/>
      <c r="AG1960"/>
      <c r="AH1960"/>
      <c r="AI1960"/>
      <c r="AJ1960"/>
      <c r="AK1960"/>
      <c r="AL1960"/>
    </row>
    <row r="1961" spans="1:38" ht="15.75" customHeight="1" outlineLevel="3" x14ac:dyDescent="0.2">
      <c r="A1961" s="10">
        <v>26</v>
      </c>
      <c r="B1961" s="10" t="s">
        <v>71</v>
      </c>
      <c r="C1961" s="10" t="s">
        <v>1359</v>
      </c>
      <c r="D1961" s="10" t="s">
        <v>421</v>
      </c>
      <c r="E1961" s="11" t="str">
        <f t="array" ref="E1961">_xlfn.XLOOKUP(D1961,Insumos!B:B,Insumos!C:$C)</f>
        <v>M</v>
      </c>
      <c r="F1961" s="14">
        <v>4.0011000000000001</v>
      </c>
      <c r="G1961" s="92">
        <f t="array" ref="G1961">IF(B1961="insumo",_xlfn.XLOOKUP($D1961,Insumos!$B$1:$B$996,Insumos!$D$1:$D$996),"")</f>
        <v>18.09</v>
      </c>
      <c r="H1961" s="92">
        <v>72.379898999999995</v>
      </c>
      <c r="I1961" s="13">
        <v>0</v>
      </c>
      <c r="J1961" s="13">
        <v>0</v>
      </c>
      <c r="K1961" s="13"/>
      <c r="L1961"/>
      <c r="M1961"/>
      <c r="N1961"/>
      <c r="O1961"/>
      <c r="P1961"/>
      <c r="Q1961"/>
      <c r="R1961"/>
      <c r="S1961"/>
      <c r="T1961"/>
      <c r="U1961"/>
      <c r="V1961"/>
      <c r="W1961"/>
      <c r="X1961"/>
      <c r="Y1961"/>
      <c r="Z1961"/>
      <c r="AA1961"/>
      <c r="AB1961"/>
      <c r="AC1961"/>
      <c r="AD1961"/>
      <c r="AE1961"/>
      <c r="AF1961"/>
      <c r="AG1961"/>
      <c r="AH1961"/>
      <c r="AI1961"/>
      <c r="AJ1961"/>
      <c r="AK1961"/>
      <c r="AL1961"/>
    </row>
    <row r="1962" spans="1:38" ht="15.75" customHeight="1" outlineLevel="3" x14ac:dyDescent="0.2">
      <c r="A1962" s="10">
        <v>95</v>
      </c>
      <c r="B1962" s="10" t="s">
        <v>71</v>
      </c>
      <c r="C1962" s="10" t="s">
        <v>1359</v>
      </c>
      <c r="D1962" s="10" t="s">
        <v>405</v>
      </c>
      <c r="E1962" s="11" t="str">
        <f t="array" ref="E1962">_xlfn.XLOOKUP(D1962,Insumos!B:B,Insumos!C:$C)</f>
        <v>KG</v>
      </c>
      <c r="F1962" s="14">
        <v>1.0978000000000001</v>
      </c>
      <c r="G1962" s="92">
        <f t="array" ref="G1962">IF(B1962="insumo",_xlfn.XLOOKUP($D1962,Insumos!$B$1:$B$996,Insumos!$D$1:$D$996),"")</f>
        <v>3.43</v>
      </c>
      <c r="H1962" s="92">
        <v>3.7654540000000001</v>
      </c>
      <c r="I1962" s="13">
        <v>0</v>
      </c>
      <c r="J1962" s="13">
        <v>0</v>
      </c>
      <c r="K1962" s="13"/>
      <c r="L1962"/>
      <c r="M1962"/>
      <c r="N1962"/>
      <c r="O1962"/>
      <c r="P1962"/>
      <c r="Q1962"/>
      <c r="R1962"/>
      <c r="S1962"/>
      <c r="T1962"/>
      <c r="U1962"/>
      <c r="V1962"/>
      <c r="W1962"/>
      <c r="X1962"/>
      <c r="Y1962"/>
      <c r="Z1962"/>
      <c r="AA1962"/>
      <c r="AB1962"/>
      <c r="AC1962"/>
      <c r="AD1962"/>
      <c r="AE1962"/>
      <c r="AF1962"/>
      <c r="AG1962"/>
      <c r="AH1962"/>
      <c r="AI1962"/>
      <c r="AJ1962"/>
      <c r="AK1962"/>
      <c r="AL1962"/>
    </row>
    <row r="1963" spans="1:38" ht="15.75" customHeight="1" outlineLevel="3" x14ac:dyDescent="0.2">
      <c r="A1963" s="10">
        <v>94</v>
      </c>
      <c r="B1963" s="10" t="s">
        <v>71</v>
      </c>
      <c r="C1963" s="10" t="s">
        <v>1359</v>
      </c>
      <c r="D1963" s="10" t="s">
        <v>412</v>
      </c>
      <c r="E1963" s="11" t="str">
        <f t="array" ref="E1963">_xlfn.XLOOKUP(D1963,Insumos!B:B,Insumos!C:$C)</f>
        <v>M</v>
      </c>
      <c r="F1963" s="14">
        <v>2.5026999999999999</v>
      </c>
      <c r="G1963" s="92">
        <f t="array" ref="G1963">IF(B1963="insumo",_xlfn.XLOOKUP($D1963,Insumos!$B$1:$B$996,Insumos!$D$1:$D$996),"")</f>
        <v>0.31</v>
      </c>
      <c r="H1963" s="92">
        <v>0.775837</v>
      </c>
      <c r="I1963" s="13">
        <v>0</v>
      </c>
      <c r="J1963" s="13">
        <v>0</v>
      </c>
      <c r="K1963" s="13"/>
      <c r="L1963"/>
      <c r="M1963"/>
      <c r="N1963"/>
      <c r="O1963"/>
      <c r="P1963"/>
      <c r="Q1963"/>
      <c r="R1963"/>
      <c r="S1963"/>
      <c r="T1963"/>
      <c r="U1963"/>
      <c r="V1963"/>
      <c r="W1963"/>
      <c r="X1963"/>
      <c r="Y1963"/>
      <c r="Z1963"/>
      <c r="AA1963"/>
      <c r="AB1963"/>
      <c r="AC1963"/>
      <c r="AD1963"/>
      <c r="AE1963"/>
      <c r="AF1963"/>
      <c r="AG1963"/>
      <c r="AH1963"/>
      <c r="AI1963"/>
      <c r="AJ1963"/>
      <c r="AK1963"/>
      <c r="AL1963"/>
    </row>
    <row r="1964" spans="1:38" ht="15.75" customHeight="1" outlineLevel="3" x14ac:dyDescent="0.2">
      <c r="A1964" s="10">
        <v>94</v>
      </c>
      <c r="B1964" s="10" t="s">
        <v>71</v>
      </c>
      <c r="C1964" s="10" t="s">
        <v>1359</v>
      </c>
      <c r="D1964" s="10" t="s">
        <v>413</v>
      </c>
      <c r="E1964" s="11" t="str">
        <f t="array" ref="E1964">_xlfn.XLOOKUP(D1964,Insumos!B:B,Insumos!C:$C)</f>
        <v>M</v>
      </c>
      <c r="F1964" s="14">
        <v>1.5851</v>
      </c>
      <c r="G1964" s="92">
        <f t="array" ref="G1964">IF(B1964="insumo",_xlfn.XLOOKUP($D1964,Insumos!$B$1:$B$996,Insumos!$D$1:$D$996),"")</f>
        <v>2.74</v>
      </c>
      <c r="H1964" s="92">
        <v>4.3431740000000003</v>
      </c>
      <c r="I1964" s="13">
        <v>0</v>
      </c>
      <c r="J1964" s="13">
        <v>0</v>
      </c>
      <c r="K1964" s="13"/>
      <c r="L1964"/>
      <c r="M1964"/>
      <c r="N1964"/>
      <c r="O1964"/>
      <c r="P1964"/>
      <c r="Q1964"/>
      <c r="R1964"/>
      <c r="S1964"/>
      <c r="T1964"/>
      <c r="U1964"/>
      <c r="V1964"/>
      <c r="W1964"/>
      <c r="X1964"/>
      <c r="Y1964"/>
      <c r="Z1964"/>
      <c r="AA1964"/>
      <c r="AB1964"/>
      <c r="AC1964"/>
      <c r="AD1964"/>
      <c r="AE1964"/>
      <c r="AF1964"/>
      <c r="AG1964"/>
      <c r="AH1964"/>
      <c r="AI1964"/>
      <c r="AJ1964"/>
      <c r="AK1964"/>
      <c r="AL1964"/>
    </row>
    <row r="1965" spans="1:38" ht="15.75" customHeight="1" outlineLevel="3" x14ac:dyDescent="0.2">
      <c r="A1965" s="10">
        <v>97</v>
      </c>
      <c r="B1965" s="10" t="s">
        <v>71</v>
      </c>
      <c r="C1965" s="10" t="s">
        <v>1359</v>
      </c>
      <c r="D1965" s="10" t="s">
        <v>414</v>
      </c>
      <c r="E1965" s="11" t="str">
        <f t="array" ref="E1965">_xlfn.XLOOKUP(D1965,Insumos!B:B,Insumos!C:$C)</f>
        <v>UN</v>
      </c>
      <c r="F1965" s="14">
        <v>20.186800000000002</v>
      </c>
      <c r="G1965" s="92">
        <f t="array" ref="G1965">IF(B1965="insumo",_xlfn.XLOOKUP($D1965,Insumos!$B$1:$B$996,Insumos!$D$1:$D$996),"")</f>
        <v>0.09</v>
      </c>
      <c r="H1965" s="92">
        <v>1.8168120000000001</v>
      </c>
      <c r="I1965" s="13">
        <v>0</v>
      </c>
      <c r="J1965" s="13">
        <v>0</v>
      </c>
      <c r="K1965" s="13"/>
      <c r="L1965"/>
      <c r="M1965"/>
      <c r="N1965"/>
      <c r="O1965"/>
      <c r="P1965"/>
      <c r="Q1965"/>
      <c r="R1965"/>
      <c r="S1965"/>
      <c r="T1965"/>
      <c r="U1965"/>
      <c r="V1965"/>
      <c r="W1965"/>
      <c r="X1965"/>
      <c r="Y1965"/>
      <c r="Z1965"/>
      <c r="AA1965"/>
      <c r="AB1965"/>
      <c r="AC1965"/>
      <c r="AD1965"/>
      <c r="AE1965"/>
      <c r="AF1965"/>
      <c r="AG1965"/>
      <c r="AH1965"/>
      <c r="AI1965"/>
      <c r="AJ1965"/>
      <c r="AK1965"/>
      <c r="AL1965"/>
    </row>
    <row r="1966" spans="1:38" ht="15.75" customHeight="1" outlineLevel="3" x14ac:dyDescent="0.2">
      <c r="A1966" s="10">
        <v>95</v>
      </c>
      <c r="B1966" s="10" t="s">
        <v>71</v>
      </c>
      <c r="C1966" s="10" t="s">
        <v>1359</v>
      </c>
      <c r="D1966" s="10" t="s">
        <v>415</v>
      </c>
      <c r="E1966" s="11" t="str">
        <f t="array" ref="E1966">_xlfn.XLOOKUP(D1966,Insumos!B:B,Insumos!C:$C)</f>
        <v>UN</v>
      </c>
      <c r="F1966" s="14">
        <v>0.54410000000000003</v>
      </c>
      <c r="G1966" s="92">
        <f t="array" ref="G1966">IF(B1966="insumo",_xlfn.XLOOKUP($D1966,Insumos!$B$1:$B$996,Insumos!$D$1:$D$996),"")</f>
        <v>0.2</v>
      </c>
      <c r="H1966" s="92">
        <v>0.10882</v>
      </c>
      <c r="I1966" s="13">
        <v>0</v>
      </c>
      <c r="J1966" s="13">
        <v>0</v>
      </c>
      <c r="K1966" s="13"/>
      <c r="L1966"/>
      <c r="M1966"/>
      <c r="N1966"/>
      <c r="O1966"/>
      <c r="P1966"/>
      <c r="Q1966"/>
      <c r="R1966"/>
      <c r="S1966"/>
      <c r="T1966"/>
      <c r="U1966"/>
      <c r="V1966"/>
      <c r="W1966"/>
      <c r="X1966"/>
      <c r="Y1966"/>
      <c r="Z1966"/>
      <c r="AA1966"/>
      <c r="AB1966"/>
      <c r="AC1966"/>
      <c r="AD1966"/>
      <c r="AE1966"/>
      <c r="AF1966"/>
      <c r="AG1966"/>
      <c r="AH1966"/>
      <c r="AI1966"/>
      <c r="AJ1966"/>
      <c r="AK1966"/>
      <c r="AL1966"/>
    </row>
    <row r="1967" spans="1:38" ht="15.75" customHeight="1" outlineLevel="3" x14ac:dyDescent="0.2">
      <c r="A1967" s="10">
        <v>35</v>
      </c>
      <c r="B1967" s="10" t="s">
        <v>71</v>
      </c>
      <c r="C1967" s="10" t="s">
        <v>1359</v>
      </c>
      <c r="D1967" s="10" t="s">
        <v>1595</v>
      </c>
      <c r="E1967" s="11" t="str">
        <f t="array" ref="E1967">_xlfn.XLOOKUP(D1967,Insumos!B:B,Insumos!C:$C)</f>
        <v>M2</v>
      </c>
      <c r="F1967" s="14">
        <v>1.1000000000000001</v>
      </c>
      <c r="G1967" s="92">
        <f t="array" ref="G1967">IF(B1967="insumo",_xlfn.XLOOKUP($D1967,Insumos!$B$1:$B$996,Insumos!$D$1:$D$996),"")</f>
        <v>13.019333333333332</v>
      </c>
      <c r="H1967" s="92">
        <v>14.3212666666667</v>
      </c>
      <c r="I1967" s="13">
        <v>0</v>
      </c>
      <c r="J1967" s="13">
        <v>0</v>
      </c>
      <c r="K1967" s="13"/>
      <c r="L1967"/>
      <c r="M1967"/>
      <c r="N1967"/>
      <c r="O1967"/>
      <c r="P1967"/>
      <c r="Q1967"/>
      <c r="R1967"/>
      <c r="S1967"/>
      <c r="T1967"/>
      <c r="U1967"/>
      <c r="V1967"/>
      <c r="W1967"/>
      <c r="X1967"/>
      <c r="Y1967"/>
      <c r="Z1967"/>
      <c r="AA1967"/>
      <c r="AB1967"/>
      <c r="AC1967"/>
      <c r="AD1967"/>
      <c r="AE1967"/>
      <c r="AF1967"/>
      <c r="AG1967"/>
      <c r="AH1967"/>
      <c r="AI1967"/>
      <c r="AJ1967"/>
      <c r="AK1967"/>
      <c r="AL1967"/>
    </row>
    <row r="1968" spans="1:38" ht="15.75" customHeight="1" outlineLevel="2" x14ac:dyDescent="0.2">
      <c r="A1968" s="1067">
        <v>1</v>
      </c>
      <c r="B1968" s="1067" t="s">
        <v>68</v>
      </c>
      <c r="C1968" s="1067" t="s">
        <v>1367</v>
      </c>
      <c r="D1968" s="1067" t="s">
        <v>1367</v>
      </c>
      <c r="E1968" s="1068" t="s">
        <v>70</v>
      </c>
      <c r="F1968" s="1067"/>
      <c r="G1968" s="1069" t="str">
        <f t="array" ref="G1968">IF(B1968="insumo",_xlfn.XLOOKUP($D1968,Insumos!$B$1:$B$996,Insumos!$D$1:$D$996),"")</f>
        <v/>
      </c>
      <c r="H1968" s="1069">
        <v>280.532694666667</v>
      </c>
      <c r="I1968" s="1070">
        <v>0</v>
      </c>
      <c r="J1968" s="1070">
        <v>0</v>
      </c>
      <c r="K1968" s="1070"/>
      <c r="L1968"/>
      <c r="M1968"/>
      <c r="N1968"/>
      <c r="O1968"/>
      <c r="P1968"/>
      <c r="Q1968"/>
      <c r="R1968"/>
      <c r="S1968"/>
      <c r="T1968"/>
      <c r="U1968"/>
      <c r="V1968"/>
      <c r="W1968"/>
      <c r="X1968"/>
      <c r="Y1968"/>
      <c r="Z1968"/>
      <c r="AA1968"/>
      <c r="AB1968"/>
      <c r="AC1968"/>
      <c r="AD1968"/>
      <c r="AE1968"/>
      <c r="AF1968"/>
      <c r="AG1968"/>
      <c r="AH1968"/>
      <c r="AI1968"/>
      <c r="AJ1968"/>
      <c r="AK1968"/>
      <c r="AL1968"/>
    </row>
    <row r="1969" spans="1:38" ht="15.75" customHeight="1" outlineLevel="3" x14ac:dyDescent="0.2">
      <c r="A1969" s="10">
        <v>86</v>
      </c>
      <c r="B1969" s="10" t="s">
        <v>71</v>
      </c>
      <c r="C1969" s="10" t="s">
        <v>1367</v>
      </c>
      <c r="D1969" s="10" t="s">
        <v>407</v>
      </c>
      <c r="E1969" s="11" t="str">
        <f t="array" ref="E1969">_xlfn.XLOOKUP(D1969,Insumos!B:B,Insumos!C:$C)</f>
        <v>M2</v>
      </c>
      <c r="F1969" s="14">
        <v>1</v>
      </c>
      <c r="G1969" s="92">
        <f t="array" ref="G1969">IF(B1969="insumo",_xlfn.XLOOKUP($D1969,Insumos!$B$1:$B$996,Insumos!$D$1:$D$996),"")</f>
        <v>70</v>
      </c>
      <c r="H1969" s="92">
        <v>70</v>
      </c>
      <c r="I1969" s="13">
        <v>0</v>
      </c>
      <c r="J1969" s="13">
        <v>0</v>
      </c>
      <c r="K1969" s="13"/>
      <c r="L1969"/>
      <c r="M1969"/>
      <c r="N1969"/>
      <c r="O1969"/>
      <c r="P1969"/>
      <c r="Q1969"/>
      <c r="R1969"/>
      <c r="S1969"/>
      <c r="T1969"/>
      <c r="U1969"/>
      <c r="V1969"/>
      <c r="W1969"/>
      <c r="X1969"/>
      <c r="Y1969"/>
      <c r="Z1969"/>
      <c r="AA1969"/>
      <c r="AB1969"/>
      <c r="AC1969"/>
      <c r="AD1969"/>
      <c r="AE1969"/>
      <c r="AF1969"/>
      <c r="AG1969"/>
      <c r="AH1969"/>
      <c r="AI1969"/>
      <c r="AJ1969"/>
      <c r="AK1969"/>
      <c r="AL1969"/>
    </row>
    <row r="1970" spans="1:38" ht="15.75" customHeight="1" outlineLevel="3" x14ac:dyDescent="0.2">
      <c r="A1970" s="10">
        <v>49</v>
      </c>
      <c r="B1970" s="10" t="s">
        <v>71</v>
      </c>
      <c r="C1970" s="10" t="s">
        <v>1367</v>
      </c>
      <c r="D1970" s="10" t="s">
        <v>418</v>
      </c>
      <c r="E1970" s="11" t="str">
        <f t="array" ref="E1970">_xlfn.XLOOKUP(D1970,Insumos!B:B,Insumos!C:$C)</f>
        <v>M2</v>
      </c>
      <c r="F1970" s="14">
        <f>1.106</f>
        <v>1.1060000000000001</v>
      </c>
      <c r="G1970" s="92">
        <f t="array" ref="G1970">IF(B1970="insumo",_xlfn.XLOOKUP($D1970,Insumos!$B$1:$B$996,Insumos!$D$1:$D$996),"")</f>
        <v>27.1</v>
      </c>
      <c r="H1970" s="92">
        <v>29.9726</v>
      </c>
      <c r="I1970" s="13">
        <v>0</v>
      </c>
      <c r="J1970" s="13">
        <v>0</v>
      </c>
      <c r="K1970" s="13"/>
      <c r="L1970"/>
      <c r="M1970"/>
      <c r="N1970"/>
      <c r="O1970"/>
      <c r="P1970"/>
      <c r="Q1970"/>
      <c r="R1970"/>
      <c r="S1970"/>
      <c r="T1970"/>
      <c r="U1970"/>
      <c r="V1970"/>
      <c r="W1970"/>
      <c r="X1970"/>
      <c r="Y1970"/>
      <c r="Z1970"/>
      <c r="AA1970"/>
      <c r="AB1970"/>
      <c r="AC1970"/>
      <c r="AD1970"/>
      <c r="AE1970"/>
      <c r="AF1970"/>
      <c r="AG1970"/>
      <c r="AH1970"/>
      <c r="AI1970"/>
      <c r="AJ1970"/>
      <c r="AK1970"/>
      <c r="AL1970"/>
    </row>
    <row r="1971" spans="1:38" ht="15.75" customHeight="1" outlineLevel="3" x14ac:dyDescent="0.2">
      <c r="A1971" s="10">
        <v>47</v>
      </c>
      <c r="B1971" s="10" t="s">
        <v>71</v>
      </c>
      <c r="C1971" s="10" t="s">
        <v>1367</v>
      </c>
      <c r="D1971" s="10" t="s">
        <v>408</v>
      </c>
      <c r="E1971" s="11" t="str">
        <f t="array" ref="E1971">_xlfn.XLOOKUP(D1971,Insumos!B:B,Insumos!C:$C)</f>
        <v>M2</v>
      </c>
      <c r="F1971" s="14">
        <f>1.106*3</f>
        <v>3.3180000000000005</v>
      </c>
      <c r="G1971" s="92">
        <f t="array" ref="G1971">IF(B1971="insumo",_xlfn.XLOOKUP($D1971,Insumos!$B$1:$B$996,Insumos!$D$1:$D$996),"")</f>
        <v>20.16</v>
      </c>
      <c r="H1971" s="92">
        <v>66.890879999999996</v>
      </c>
      <c r="I1971" s="13">
        <v>0</v>
      </c>
      <c r="J1971" s="13">
        <v>0</v>
      </c>
      <c r="K1971" s="13"/>
      <c r="L1971"/>
      <c r="M1971"/>
      <c r="N1971"/>
      <c r="O1971"/>
      <c r="P1971"/>
      <c r="Q1971"/>
      <c r="R1971"/>
      <c r="S1971"/>
      <c r="T1971"/>
      <c r="U1971"/>
      <c r="V1971"/>
      <c r="W1971"/>
      <c r="X1971"/>
      <c r="Y1971"/>
      <c r="Z1971"/>
      <c r="AA1971"/>
      <c r="AB1971"/>
      <c r="AC1971"/>
      <c r="AD1971"/>
      <c r="AE1971"/>
      <c r="AF1971"/>
      <c r="AG1971"/>
      <c r="AH1971"/>
      <c r="AI1971"/>
      <c r="AJ1971"/>
      <c r="AK1971"/>
      <c r="AL1971"/>
    </row>
    <row r="1972" spans="1:38" ht="15.75" customHeight="1" outlineLevel="3" x14ac:dyDescent="0.2">
      <c r="A1972" s="10">
        <v>95</v>
      </c>
      <c r="B1972" s="10" t="s">
        <v>71</v>
      </c>
      <c r="C1972" s="10" t="s">
        <v>1367</v>
      </c>
      <c r="D1972" s="10" t="s">
        <v>409</v>
      </c>
      <c r="E1972" s="11" t="str">
        <f t="array" ref="E1972">_xlfn.XLOOKUP(D1972,Insumos!B:B,Insumos!C:$C)</f>
        <v>UN</v>
      </c>
      <c r="F1972" s="14">
        <v>5.92</v>
      </c>
      <c r="G1972" s="92">
        <f t="array" ref="G1972">IF(B1972="insumo",_xlfn.XLOOKUP($D1972,Insumos!$B$1:$B$996,Insumos!$D$1:$D$996),"")</f>
        <v>0.504</v>
      </c>
      <c r="H1972" s="92">
        <v>2.9836800000000001</v>
      </c>
      <c r="I1972" s="13">
        <v>0</v>
      </c>
      <c r="J1972" s="13">
        <v>0</v>
      </c>
      <c r="K1972" s="13"/>
      <c r="L1972"/>
      <c r="M1972"/>
      <c r="N1972"/>
      <c r="O1972"/>
      <c r="P1972"/>
      <c r="Q1972"/>
      <c r="R1972"/>
      <c r="S1972"/>
      <c r="T1972"/>
      <c r="U1972"/>
      <c r="V1972"/>
      <c r="W1972"/>
      <c r="X1972"/>
      <c r="Y1972"/>
      <c r="Z1972"/>
      <c r="AA1972"/>
      <c r="AB1972"/>
      <c r="AC1972"/>
      <c r="AD1972"/>
      <c r="AE1972"/>
      <c r="AF1972"/>
      <c r="AG1972"/>
      <c r="AH1972"/>
      <c r="AI1972"/>
      <c r="AJ1972"/>
      <c r="AK1972"/>
      <c r="AL1972"/>
    </row>
    <row r="1973" spans="1:38" ht="15.75" customHeight="1" outlineLevel="3" x14ac:dyDescent="0.2">
      <c r="A1973" s="10">
        <v>26</v>
      </c>
      <c r="B1973" s="10" t="s">
        <v>71</v>
      </c>
      <c r="C1973" s="10" t="s">
        <v>1367</v>
      </c>
      <c r="D1973" s="10" t="s">
        <v>420</v>
      </c>
      <c r="E1973" s="11" t="str">
        <f t="array" ref="E1973">_xlfn.XLOOKUP(D1973,Insumos!B:B,Insumos!C:$C)</f>
        <v>M</v>
      </c>
      <c r="F1973" s="14">
        <v>1.5247999999999999</v>
      </c>
      <c r="G1973" s="92">
        <f t="array" ref="G1973">IF(B1973="insumo",_xlfn.XLOOKUP($D1973,Insumos!$B$1:$B$996,Insumos!$D$1:$D$996),"")</f>
        <v>8.64</v>
      </c>
      <c r="H1973" s="92">
        <v>13.174272</v>
      </c>
      <c r="I1973" s="13">
        <v>0</v>
      </c>
      <c r="J1973" s="13">
        <v>0</v>
      </c>
      <c r="K1973" s="13"/>
      <c r="L1973"/>
      <c r="M1973"/>
      <c r="N1973"/>
      <c r="O1973"/>
      <c r="P1973"/>
      <c r="Q1973"/>
      <c r="R1973"/>
      <c r="S1973"/>
      <c r="T1973"/>
      <c r="U1973"/>
      <c r="V1973"/>
      <c r="W1973"/>
      <c r="X1973"/>
      <c r="Y1973"/>
      <c r="Z1973"/>
      <c r="AA1973"/>
      <c r="AB1973"/>
      <c r="AC1973"/>
      <c r="AD1973"/>
      <c r="AE1973"/>
      <c r="AF1973"/>
      <c r="AG1973"/>
      <c r="AH1973"/>
      <c r="AI1973"/>
      <c r="AJ1973"/>
      <c r="AK1973"/>
      <c r="AL1973"/>
    </row>
    <row r="1974" spans="1:38" ht="15.75" customHeight="1" outlineLevel="3" x14ac:dyDescent="0.2">
      <c r="A1974" s="10">
        <v>26</v>
      </c>
      <c r="B1974" s="10" t="s">
        <v>71</v>
      </c>
      <c r="C1974" s="10" t="s">
        <v>1367</v>
      </c>
      <c r="D1974" s="10" t="s">
        <v>421</v>
      </c>
      <c r="E1974" s="11" t="str">
        <f t="array" ref="E1974">_xlfn.XLOOKUP(D1974,Insumos!B:B,Insumos!C:$C)</f>
        <v>M</v>
      </c>
      <c r="F1974" s="14">
        <v>4.0011000000000001</v>
      </c>
      <c r="G1974" s="92">
        <f t="array" ref="G1974">IF(B1974="insumo",_xlfn.XLOOKUP($D1974,Insumos!$B$1:$B$996,Insumos!$D$1:$D$996),"")</f>
        <v>18.09</v>
      </c>
      <c r="H1974" s="92">
        <v>72.379898999999995</v>
      </c>
      <c r="I1974" s="13">
        <v>0</v>
      </c>
      <c r="J1974" s="13">
        <v>0</v>
      </c>
      <c r="K1974" s="13"/>
      <c r="L1974"/>
      <c r="M1974"/>
      <c r="N1974"/>
      <c r="O1974"/>
      <c r="P1974"/>
      <c r="Q1974"/>
      <c r="R1974"/>
      <c r="S1974"/>
      <c r="T1974"/>
      <c r="U1974"/>
      <c r="V1974"/>
      <c r="W1974"/>
      <c r="X1974"/>
      <c r="Y1974"/>
      <c r="Z1974"/>
      <c r="AA1974"/>
      <c r="AB1974"/>
      <c r="AC1974"/>
      <c r="AD1974"/>
      <c r="AE1974"/>
      <c r="AF1974"/>
      <c r="AG1974"/>
      <c r="AH1974"/>
      <c r="AI1974"/>
      <c r="AJ1974"/>
      <c r="AK1974"/>
      <c r="AL1974"/>
    </row>
    <row r="1975" spans="1:38" ht="15.75" customHeight="1" outlineLevel="3" x14ac:dyDescent="0.2">
      <c r="A1975" s="10">
        <v>95</v>
      </c>
      <c r="B1975" s="10" t="s">
        <v>71</v>
      </c>
      <c r="C1975" s="10" t="s">
        <v>1367</v>
      </c>
      <c r="D1975" s="10" t="s">
        <v>405</v>
      </c>
      <c r="E1975" s="11" t="str">
        <f t="array" ref="E1975">_xlfn.XLOOKUP(D1975,Insumos!B:B,Insumos!C:$C)</f>
        <v>KG</v>
      </c>
      <c r="F1975" s="14">
        <v>1.0978000000000001</v>
      </c>
      <c r="G1975" s="92">
        <f t="array" ref="G1975">IF(B1975="insumo",_xlfn.XLOOKUP($D1975,Insumos!$B$1:$B$996,Insumos!$D$1:$D$996),"")</f>
        <v>3.43</v>
      </c>
      <c r="H1975" s="92">
        <v>3.7654540000000001</v>
      </c>
      <c r="I1975" s="13">
        <v>0</v>
      </c>
      <c r="J1975" s="13">
        <v>0</v>
      </c>
      <c r="K1975" s="13"/>
      <c r="L1975"/>
      <c r="M1975"/>
      <c r="N1975"/>
      <c r="O1975"/>
      <c r="P1975"/>
      <c r="Q1975"/>
      <c r="R1975"/>
      <c r="S1975"/>
      <c r="T1975"/>
      <c r="U1975"/>
      <c r="V1975"/>
      <c r="W1975"/>
      <c r="X1975"/>
      <c r="Y1975"/>
      <c r="Z1975"/>
      <c r="AA1975"/>
      <c r="AB1975"/>
      <c r="AC1975"/>
      <c r="AD1975"/>
      <c r="AE1975"/>
      <c r="AF1975"/>
      <c r="AG1975"/>
      <c r="AH1975"/>
      <c r="AI1975"/>
      <c r="AJ1975"/>
      <c r="AK1975"/>
      <c r="AL1975"/>
    </row>
    <row r="1976" spans="1:38" ht="15.75" customHeight="1" outlineLevel="3" x14ac:dyDescent="0.2">
      <c r="A1976" s="10">
        <v>94</v>
      </c>
      <c r="B1976" s="10" t="s">
        <v>71</v>
      </c>
      <c r="C1976" s="10" t="s">
        <v>1367</v>
      </c>
      <c r="D1976" s="10" t="s">
        <v>412</v>
      </c>
      <c r="E1976" s="11" t="str">
        <f t="array" ref="E1976">_xlfn.XLOOKUP(D1976,Insumos!B:B,Insumos!C:$C)</f>
        <v>M</v>
      </c>
      <c r="F1976" s="14">
        <v>2.5026999999999999</v>
      </c>
      <c r="G1976" s="92">
        <f t="array" ref="G1976">IF(B1976="insumo",_xlfn.XLOOKUP($D1976,Insumos!$B$1:$B$996,Insumos!$D$1:$D$996),"")</f>
        <v>0.31</v>
      </c>
      <c r="H1976" s="92">
        <v>0.775837</v>
      </c>
      <c r="I1976" s="13">
        <v>0</v>
      </c>
      <c r="J1976" s="13">
        <v>0</v>
      </c>
      <c r="K1976" s="13"/>
      <c r="L1976"/>
      <c r="M1976"/>
      <c r="N1976"/>
      <c r="O1976"/>
      <c r="P1976"/>
      <c r="Q1976"/>
      <c r="R1976"/>
      <c r="S1976"/>
      <c r="T1976"/>
      <c r="U1976"/>
      <c r="V1976"/>
      <c r="W1976"/>
      <c r="X1976"/>
      <c r="Y1976"/>
      <c r="Z1976"/>
      <c r="AA1976"/>
      <c r="AB1976"/>
      <c r="AC1976"/>
      <c r="AD1976"/>
      <c r="AE1976"/>
      <c r="AF1976"/>
      <c r="AG1976"/>
      <c r="AH1976"/>
      <c r="AI1976"/>
      <c r="AJ1976"/>
      <c r="AK1976"/>
      <c r="AL1976"/>
    </row>
    <row r="1977" spans="1:38" ht="15.75" customHeight="1" outlineLevel="3" x14ac:dyDescent="0.2">
      <c r="A1977" s="10">
        <v>94</v>
      </c>
      <c r="B1977" s="10" t="s">
        <v>71</v>
      </c>
      <c r="C1977" s="10" t="s">
        <v>1367</v>
      </c>
      <c r="D1977" s="10" t="s">
        <v>413</v>
      </c>
      <c r="E1977" s="11" t="str">
        <f t="array" ref="E1977">_xlfn.XLOOKUP(D1977,Insumos!B:B,Insumos!C:$C)</f>
        <v>M</v>
      </c>
      <c r="F1977" s="14">
        <v>1.5851</v>
      </c>
      <c r="G1977" s="92">
        <f t="array" ref="G1977">IF(B1977="insumo",_xlfn.XLOOKUP($D1977,Insumos!$B$1:$B$996,Insumos!$D$1:$D$996),"")</f>
        <v>2.74</v>
      </c>
      <c r="H1977" s="92">
        <v>4.3431740000000003</v>
      </c>
      <c r="I1977" s="13">
        <v>0</v>
      </c>
      <c r="J1977" s="13">
        <v>0</v>
      </c>
      <c r="K1977" s="13"/>
      <c r="L1977"/>
      <c r="M1977"/>
      <c r="N1977"/>
      <c r="O1977"/>
      <c r="P1977"/>
      <c r="Q1977"/>
      <c r="R1977"/>
      <c r="S1977"/>
      <c r="T1977"/>
      <c r="U1977"/>
      <c r="V1977"/>
      <c r="W1977"/>
      <c r="X1977"/>
      <c r="Y1977"/>
      <c r="Z1977"/>
      <c r="AA1977"/>
      <c r="AB1977"/>
      <c r="AC1977"/>
      <c r="AD1977"/>
      <c r="AE1977"/>
      <c r="AF1977"/>
      <c r="AG1977"/>
      <c r="AH1977"/>
      <c r="AI1977"/>
      <c r="AJ1977"/>
      <c r="AK1977"/>
      <c r="AL1977"/>
    </row>
    <row r="1978" spans="1:38" ht="15.75" customHeight="1" outlineLevel="3" x14ac:dyDescent="0.2">
      <c r="A1978" s="10">
        <v>97</v>
      </c>
      <c r="B1978" s="10" t="s">
        <v>71</v>
      </c>
      <c r="C1978" s="10" t="s">
        <v>1367</v>
      </c>
      <c r="D1978" s="10" t="s">
        <v>414</v>
      </c>
      <c r="E1978" s="11" t="str">
        <f t="array" ref="E1978">_xlfn.XLOOKUP(D1978,Insumos!B:B,Insumos!C:$C)</f>
        <v>UN</v>
      </c>
      <c r="F1978" s="14">
        <v>20.186800000000002</v>
      </c>
      <c r="G1978" s="92">
        <f t="array" ref="G1978">IF(B1978="insumo",_xlfn.XLOOKUP($D1978,Insumos!$B$1:$B$996,Insumos!$D$1:$D$996),"")</f>
        <v>0.09</v>
      </c>
      <c r="H1978" s="92">
        <v>1.8168120000000001</v>
      </c>
      <c r="I1978" s="13">
        <v>0</v>
      </c>
      <c r="J1978" s="13">
        <v>0</v>
      </c>
      <c r="K1978" s="13"/>
      <c r="L1978"/>
      <c r="M1978"/>
      <c r="N1978"/>
      <c r="O1978"/>
      <c r="P1978"/>
      <c r="Q1978"/>
      <c r="R1978"/>
      <c r="S1978"/>
      <c r="T1978"/>
      <c r="U1978"/>
      <c r="V1978"/>
      <c r="W1978"/>
      <c r="X1978"/>
      <c r="Y1978"/>
      <c r="Z1978"/>
      <c r="AA1978"/>
      <c r="AB1978"/>
      <c r="AC1978"/>
      <c r="AD1978"/>
      <c r="AE1978"/>
      <c r="AF1978"/>
      <c r="AG1978"/>
      <c r="AH1978"/>
      <c r="AI1978"/>
      <c r="AJ1978"/>
      <c r="AK1978"/>
      <c r="AL1978"/>
    </row>
    <row r="1979" spans="1:38" ht="15.75" customHeight="1" outlineLevel="3" x14ac:dyDescent="0.2">
      <c r="A1979" s="10">
        <v>95</v>
      </c>
      <c r="B1979" s="10" t="s">
        <v>71</v>
      </c>
      <c r="C1979" s="10" t="s">
        <v>1367</v>
      </c>
      <c r="D1979" s="10" t="s">
        <v>415</v>
      </c>
      <c r="E1979" s="11" t="str">
        <f t="array" ref="E1979">_xlfn.XLOOKUP(D1979,Insumos!B:B,Insumos!C:$C)</f>
        <v>UN</v>
      </c>
      <c r="F1979" s="14">
        <v>0.54410000000000003</v>
      </c>
      <c r="G1979" s="92">
        <f t="array" ref="G1979">IF(B1979="insumo",_xlfn.XLOOKUP($D1979,Insumos!$B$1:$B$996,Insumos!$D$1:$D$996),"")</f>
        <v>0.2</v>
      </c>
      <c r="H1979" s="92">
        <v>0.10882</v>
      </c>
      <c r="I1979" s="13">
        <v>0</v>
      </c>
      <c r="J1979" s="13">
        <v>0</v>
      </c>
      <c r="K1979" s="13"/>
      <c r="L1979"/>
      <c r="M1979"/>
      <c r="N1979"/>
      <c r="O1979"/>
      <c r="P1979"/>
      <c r="Q1979"/>
      <c r="R1979"/>
      <c r="S1979"/>
      <c r="T1979"/>
      <c r="U1979"/>
      <c r="V1979"/>
      <c r="W1979"/>
      <c r="X1979"/>
      <c r="Y1979"/>
      <c r="Z1979"/>
      <c r="AA1979"/>
      <c r="AB1979"/>
      <c r="AC1979"/>
      <c r="AD1979"/>
      <c r="AE1979"/>
      <c r="AF1979"/>
      <c r="AG1979"/>
      <c r="AH1979"/>
      <c r="AI1979"/>
      <c r="AJ1979"/>
      <c r="AK1979"/>
      <c r="AL1979"/>
    </row>
    <row r="1980" spans="1:38" ht="15.75" customHeight="1" outlineLevel="3" x14ac:dyDescent="0.2">
      <c r="A1980" s="10">
        <v>35</v>
      </c>
      <c r="B1980" s="10" t="s">
        <v>71</v>
      </c>
      <c r="C1980" s="10" t="s">
        <v>1367</v>
      </c>
      <c r="D1980" s="10" t="s">
        <v>1595</v>
      </c>
      <c r="E1980" s="11" t="str">
        <f t="array" ref="E1980">_xlfn.XLOOKUP(D1980,Insumos!B:B,Insumos!C:$C)</f>
        <v>M2</v>
      </c>
      <c r="F1980" s="14">
        <v>1.1000000000000001</v>
      </c>
      <c r="G1980" s="92">
        <f t="array" ref="G1980">IF(B1980="insumo",_xlfn.XLOOKUP($D1980,Insumos!$B$1:$B$996,Insumos!$D$1:$D$996),"")</f>
        <v>13.019333333333332</v>
      </c>
      <c r="H1980" s="92">
        <v>14.3212666666667</v>
      </c>
      <c r="I1980" s="13">
        <v>0</v>
      </c>
      <c r="J1980" s="13">
        <v>0</v>
      </c>
      <c r="K1980" s="13"/>
      <c r="L1980"/>
      <c r="M1980"/>
      <c r="N1980"/>
      <c r="O1980"/>
      <c r="P1980"/>
      <c r="Q1980"/>
      <c r="R1980"/>
      <c r="S1980"/>
      <c r="T1980"/>
      <c r="U1980"/>
      <c r="V1980"/>
      <c r="W1980"/>
      <c r="X1980"/>
      <c r="Y1980"/>
      <c r="Z1980"/>
      <c r="AA1980"/>
      <c r="AB1980"/>
      <c r="AC1980"/>
      <c r="AD1980"/>
      <c r="AE1980"/>
      <c r="AF1980"/>
      <c r="AG1980"/>
      <c r="AH1980"/>
      <c r="AI1980"/>
      <c r="AJ1980"/>
      <c r="AK1980"/>
      <c r="AL1980"/>
    </row>
    <row r="1981" spans="1:38" ht="15.75" customHeight="1" outlineLevel="2" x14ac:dyDescent="0.2">
      <c r="A1981" s="1067">
        <v>1</v>
      </c>
      <c r="B1981" s="1067" t="s">
        <v>68</v>
      </c>
      <c r="C1981" s="1067" t="s">
        <v>1370</v>
      </c>
      <c r="D1981" s="1067" t="s">
        <v>1370</v>
      </c>
      <c r="E1981" s="1068" t="s">
        <v>70</v>
      </c>
      <c r="F1981" s="1067"/>
      <c r="G1981" s="1069" t="str">
        <f t="array" ref="G1981">IF(B1981="insumo",_xlfn.XLOOKUP($D1981,Insumos!$B$1:$B$996,Insumos!$D$1:$D$996),"")</f>
        <v/>
      </c>
      <c r="H1981" s="1069">
        <v>208.29117616666699</v>
      </c>
      <c r="I1981" s="1070">
        <v>0</v>
      </c>
      <c r="J1981" s="1070">
        <v>0</v>
      </c>
      <c r="K1981" s="1070"/>
      <c r="L1981"/>
      <c r="M1981"/>
      <c r="N1981"/>
      <c r="O1981"/>
      <c r="P1981"/>
      <c r="Q1981"/>
      <c r="R1981"/>
      <c r="S1981"/>
      <c r="T1981"/>
      <c r="U1981"/>
      <c r="V1981"/>
      <c r="W1981"/>
      <c r="X1981"/>
      <c r="Y1981"/>
      <c r="Z1981"/>
      <c r="AA1981"/>
      <c r="AB1981"/>
      <c r="AC1981"/>
      <c r="AD1981"/>
      <c r="AE1981"/>
      <c r="AF1981"/>
      <c r="AG1981"/>
      <c r="AH1981"/>
      <c r="AI1981"/>
      <c r="AJ1981"/>
      <c r="AK1981"/>
      <c r="AL1981"/>
    </row>
    <row r="1982" spans="1:38" ht="15.75" customHeight="1" outlineLevel="3" x14ac:dyDescent="0.2">
      <c r="A1982" s="10">
        <v>86</v>
      </c>
      <c r="B1982" s="10" t="s">
        <v>71</v>
      </c>
      <c r="C1982" s="10" t="s">
        <v>1370</v>
      </c>
      <c r="D1982" s="10" t="s">
        <v>407</v>
      </c>
      <c r="E1982" s="11" t="str">
        <f t="array" ref="E1982">_xlfn.XLOOKUP(D1982,Insumos!B:B,Insumos!C:$C)</f>
        <v>M2</v>
      </c>
      <c r="F1982" s="14">
        <v>1</v>
      </c>
      <c r="G1982" s="92">
        <f t="array" ref="G1982">IF(B1982="insumo",_xlfn.XLOOKUP($D1982,Insumos!$B$1:$B$996,Insumos!$D$1:$D$996),"")</f>
        <v>70</v>
      </c>
      <c r="H1982" s="92">
        <v>70</v>
      </c>
      <c r="I1982" s="13">
        <v>0</v>
      </c>
      <c r="J1982" s="13">
        <v>0</v>
      </c>
      <c r="K1982" s="13"/>
      <c r="L1982"/>
      <c r="M1982"/>
      <c r="N1982"/>
      <c r="O1982"/>
      <c r="P1982"/>
      <c r="Q1982"/>
      <c r="R1982"/>
      <c r="S1982"/>
      <c r="T1982"/>
      <c r="U1982"/>
      <c r="V1982"/>
      <c r="W1982"/>
      <c r="X1982"/>
      <c r="Y1982"/>
      <c r="Z1982"/>
      <c r="AA1982"/>
      <c r="AB1982"/>
      <c r="AC1982"/>
      <c r="AD1982"/>
      <c r="AE1982"/>
      <c r="AF1982"/>
      <c r="AG1982"/>
      <c r="AH1982"/>
      <c r="AI1982"/>
      <c r="AJ1982"/>
      <c r="AK1982"/>
      <c r="AL1982"/>
    </row>
    <row r="1983" spans="1:38" ht="15.75" customHeight="1" outlineLevel="3" x14ac:dyDescent="0.2">
      <c r="A1983" s="10">
        <v>49</v>
      </c>
      <c r="B1983" s="10" t="s">
        <v>71</v>
      </c>
      <c r="C1983" s="10" t="s">
        <v>1370</v>
      </c>
      <c r="D1983" s="10" t="s">
        <v>418</v>
      </c>
      <c r="E1983" s="11" t="str">
        <f t="array" ref="E1983">_xlfn.XLOOKUP(D1983,Insumos!B:B,Insumos!C:$C)</f>
        <v>M2</v>
      </c>
      <c r="F1983" s="14">
        <v>1.1060000000000001</v>
      </c>
      <c r="G1983" s="92">
        <f t="array" ref="G1983">IF(B1983="insumo",_xlfn.XLOOKUP($D1983,Insumos!$B$1:$B$996,Insumos!$D$1:$D$996),"")</f>
        <v>27.1</v>
      </c>
      <c r="H1983" s="92">
        <v>29.9726</v>
      </c>
      <c r="I1983" s="13">
        <v>0</v>
      </c>
      <c r="J1983" s="13">
        <v>0</v>
      </c>
      <c r="K1983" s="13"/>
      <c r="L1983"/>
      <c r="M1983"/>
      <c r="N1983"/>
      <c r="O1983"/>
      <c r="P1983"/>
      <c r="Q1983"/>
      <c r="R1983"/>
      <c r="S1983"/>
      <c r="T1983"/>
      <c r="U1983"/>
      <c r="V1983"/>
      <c r="W1983"/>
      <c r="X1983"/>
      <c r="Y1983"/>
      <c r="Z1983"/>
      <c r="AA1983"/>
      <c r="AB1983"/>
      <c r="AC1983"/>
      <c r="AD1983"/>
      <c r="AE1983"/>
      <c r="AF1983"/>
      <c r="AG1983"/>
      <c r="AH1983"/>
      <c r="AI1983"/>
      <c r="AJ1983"/>
      <c r="AK1983"/>
      <c r="AL1983"/>
    </row>
    <row r="1984" spans="1:38" ht="15.75" customHeight="1" outlineLevel="3" x14ac:dyDescent="0.2">
      <c r="A1984" s="10">
        <v>95</v>
      </c>
      <c r="B1984" s="10" t="s">
        <v>71</v>
      </c>
      <c r="C1984" s="10" t="s">
        <v>1370</v>
      </c>
      <c r="D1984" s="10" t="s">
        <v>409</v>
      </c>
      <c r="E1984" s="11" t="str">
        <f t="array" ref="E1984">_xlfn.XLOOKUP(D1984,Insumos!B:B,Insumos!C:$C)</f>
        <v>UN</v>
      </c>
      <c r="F1984" s="14">
        <v>5.92</v>
      </c>
      <c r="G1984" s="92">
        <f t="array" ref="G1984">IF(B1984="insumo",_xlfn.XLOOKUP($D1984,Insumos!$B$1:$B$996,Insumos!$D$1:$D$996),"")</f>
        <v>0.504</v>
      </c>
      <c r="H1984" s="92">
        <v>2.9836800000000001</v>
      </c>
      <c r="I1984" s="13">
        <v>0</v>
      </c>
      <c r="J1984" s="13">
        <v>0</v>
      </c>
      <c r="K1984" s="13"/>
      <c r="L1984"/>
      <c r="M1984"/>
      <c r="N1984"/>
      <c r="O1984"/>
      <c r="P1984"/>
      <c r="Q1984"/>
      <c r="R1984"/>
      <c r="S1984"/>
      <c r="T1984"/>
      <c r="U1984"/>
      <c r="V1984"/>
      <c r="W1984"/>
      <c r="X1984"/>
      <c r="Y1984"/>
      <c r="Z1984"/>
      <c r="AA1984"/>
      <c r="AB1984"/>
      <c r="AC1984"/>
      <c r="AD1984"/>
      <c r="AE1984"/>
      <c r="AF1984"/>
      <c r="AG1984"/>
      <c r="AH1984"/>
      <c r="AI1984"/>
      <c r="AJ1984"/>
      <c r="AK1984"/>
      <c r="AL1984"/>
    </row>
    <row r="1985" spans="1:38" ht="15.75" customHeight="1" outlineLevel="3" x14ac:dyDescent="0.2">
      <c r="A1985" s="10">
        <v>26</v>
      </c>
      <c r="B1985" s="10" t="s">
        <v>71</v>
      </c>
      <c r="C1985" s="10" t="s">
        <v>1370</v>
      </c>
      <c r="D1985" s="10" t="s">
        <v>420</v>
      </c>
      <c r="E1985" s="11" t="str">
        <f t="array" ref="E1985">_xlfn.XLOOKUP(D1985,Insumos!B:B,Insumos!C:$C)</f>
        <v>M</v>
      </c>
      <c r="F1985" s="14">
        <v>1.5247999999999999</v>
      </c>
      <c r="G1985" s="92">
        <f t="array" ref="G1985">IF(B1985="insumo",_xlfn.XLOOKUP($D1985,Insumos!$B$1:$B$996,Insumos!$D$1:$D$996),"")</f>
        <v>8.64</v>
      </c>
      <c r="H1985" s="92">
        <v>13.174272</v>
      </c>
      <c r="I1985" s="13">
        <v>0</v>
      </c>
      <c r="J1985" s="13">
        <v>0</v>
      </c>
      <c r="K1985" s="13"/>
      <c r="L1985"/>
      <c r="M1985"/>
      <c r="N1985"/>
      <c r="O1985"/>
      <c r="P1985"/>
      <c r="Q1985"/>
      <c r="R1985"/>
      <c r="S1985"/>
      <c r="T1985"/>
      <c r="U1985"/>
      <c r="V1985"/>
      <c r="W1985"/>
      <c r="X1985"/>
      <c r="Y1985"/>
      <c r="Z1985"/>
      <c r="AA1985"/>
      <c r="AB1985"/>
      <c r="AC1985"/>
      <c r="AD1985"/>
      <c r="AE1985"/>
      <c r="AF1985"/>
      <c r="AG1985"/>
      <c r="AH1985"/>
      <c r="AI1985"/>
      <c r="AJ1985"/>
      <c r="AK1985"/>
      <c r="AL1985"/>
    </row>
    <row r="1986" spans="1:38" ht="15.75" customHeight="1" outlineLevel="3" x14ac:dyDescent="0.2">
      <c r="A1986" s="10">
        <v>26</v>
      </c>
      <c r="B1986" s="10" t="s">
        <v>71</v>
      </c>
      <c r="C1986" s="10" t="s">
        <v>1370</v>
      </c>
      <c r="D1986" s="10" t="s">
        <v>421</v>
      </c>
      <c r="E1986" s="11" t="str">
        <f t="array" ref="E1986">_xlfn.XLOOKUP(D1986,Insumos!B:B,Insumos!C:$C)</f>
        <v>M</v>
      </c>
      <c r="F1986" s="14">
        <v>4.0011000000000001</v>
      </c>
      <c r="G1986" s="92">
        <f t="array" ref="G1986">IF(B1986="insumo",_xlfn.XLOOKUP($D1986,Insumos!$B$1:$B$996,Insumos!$D$1:$D$996),"")</f>
        <v>18.09</v>
      </c>
      <c r="H1986" s="92">
        <v>72.379898999999995</v>
      </c>
      <c r="I1986" s="13">
        <v>0</v>
      </c>
      <c r="J1986" s="13">
        <v>0</v>
      </c>
      <c r="K1986" s="13"/>
      <c r="L1986"/>
      <c r="M1986"/>
      <c r="N1986"/>
      <c r="O1986"/>
      <c r="P1986"/>
      <c r="Q1986"/>
      <c r="R1986"/>
      <c r="S1986"/>
      <c r="T1986"/>
      <c r="U1986"/>
      <c r="V1986"/>
      <c r="W1986"/>
      <c r="X1986"/>
      <c r="Y1986"/>
      <c r="Z1986"/>
      <c r="AA1986"/>
      <c r="AB1986"/>
      <c r="AC1986"/>
      <c r="AD1986"/>
      <c r="AE1986"/>
      <c r="AF1986"/>
      <c r="AG1986"/>
      <c r="AH1986"/>
      <c r="AI1986"/>
      <c r="AJ1986"/>
      <c r="AK1986"/>
      <c r="AL1986"/>
    </row>
    <row r="1987" spans="1:38" ht="15.75" customHeight="1" outlineLevel="3" x14ac:dyDescent="0.2">
      <c r="A1987" s="10">
        <v>95</v>
      </c>
      <c r="B1987" s="10" t="s">
        <v>71</v>
      </c>
      <c r="C1987" s="10" t="s">
        <v>1370</v>
      </c>
      <c r="D1987" s="10" t="s">
        <v>405</v>
      </c>
      <c r="E1987" s="11" t="str">
        <f t="array" ref="E1987">_xlfn.XLOOKUP(D1987,Insumos!B:B,Insumos!C:$C)</f>
        <v>KG</v>
      </c>
      <c r="F1987" s="14">
        <f>1.0978/2</f>
        <v>0.54890000000000005</v>
      </c>
      <c r="G1987" s="92">
        <f t="array" ref="G1987">IF(B1987="insumo",_xlfn.XLOOKUP($D1987,Insumos!$B$1:$B$996,Insumos!$D$1:$D$996),"")</f>
        <v>3.43</v>
      </c>
      <c r="H1987" s="92">
        <v>1.882727</v>
      </c>
      <c r="I1987" s="13">
        <v>0</v>
      </c>
      <c r="J1987" s="13">
        <v>0</v>
      </c>
      <c r="K1987" s="13"/>
      <c r="L1987"/>
      <c r="M1987"/>
      <c r="N1987"/>
      <c r="O1987"/>
      <c r="P1987"/>
      <c r="Q1987"/>
      <c r="R1987"/>
      <c r="S1987"/>
      <c r="T1987"/>
      <c r="U1987"/>
      <c r="V1987"/>
      <c r="W1987"/>
      <c r="X1987"/>
      <c r="Y1987"/>
      <c r="Z1987"/>
      <c r="AA1987"/>
      <c r="AB1987"/>
      <c r="AC1987"/>
      <c r="AD1987"/>
      <c r="AE1987"/>
      <c r="AF1987"/>
      <c r="AG1987"/>
      <c r="AH1987"/>
      <c r="AI1987"/>
      <c r="AJ1987"/>
      <c r="AK1987"/>
      <c r="AL1987"/>
    </row>
    <row r="1988" spans="1:38" ht="15.75" customHeight="1" outlineLevel="3" x14ac:dyDescent="0.2">
      <c r="A1988" s="10">
        <v>94</v>
      </c>
      <c r="B1988" s="10" t="s">
        <v>71</v>
      </c>
      <c r="C1988" s="10" t="s">
        <v>1370</v>
      </c>
      <c r="D1988" s="10" t="s">
        <v>412</v>
      </c>
      <c r="E1988" s="11" t="str">
        <f t="array" ref="E1988">_xlfn.XLOOKUP(D1988,Insumos!B:B,Insumos!C:$C)</f>
        <v>M</v>
      </c>
      <c r="F1988" s="14">
        <f>2.5027/2</f>
        <v>1.25135</v>
      </c>
      <c r="G1988" s="92">
        <f t="array" ref="G1988">IF(B1988="insumo",_xlfn.XLOOKUP($D1988,Insumos!$B$1:$B$996,Insumos!$D$1:$D$996),"")</f>
        <v>0.31</v>
      </c>
      <c r="H1988" s="92">
        <v>0.3879185</v>
      </c>
      <c r="I1988" s="13">
        <v>0</v>
      </c>
      <c r="J1988" s="13">
        <v>0</v>
      </c>
      <c r="K1988" s="13"/>
      <c r="L1988"/>
      <c r="M1988"/>
      <c r="N1988"/>
      <c r="O1988"/>
      <c r="P1988"/>
      <c r="Q1988"/>
      <c r="R1988"/>
      <c r="S1988"/>
      <c r="T1988"/>
      <c r="U1988"/>
      <c r="V1988"/>
      <c r="W1988"/>
      <c r="X1988"/>
      <c r="Y1988"/>
      <c r="Z1988"/>
      <c r="AA1988"/>
      <c r="AB1988"/>
      <c r="AC1988"/>
      <c r="AD1988"/>
      <c r="AE1988"/>
      <c r="AF1988"/>
      <c r="AG1988"/>
      <c r="AH1988"/>
      <c r="AI1988"/>
      <c r="AJ1988"/>
      <c r="AK1988"/>
      <c r="AL1988"/>
    </row>
    <row r="1989" spans="1:38" ht="15.75" customHeight="1" outlineLevel="3" x14ac:dyDescent="0.2">
      <c r="A1989" s="10">
        <v>94</v>
      </c>
      <c r="B1989" s="10" t="s">
        <v>71</v>
      </c>
      <c r="C1989" s="10" t="s">
        <v>1370</v>
      </c>
      <c r="D1989" s="10" t="s">
        <v>413</v>
      </c>
      <c r="E1989" s="11" t="str">
        <f t="array" ref="E1989">_xlfn.XLOOKUP(D1989,Insumos!B:B,Insumos!C:$C)</f>
        <v>M</v>
      </c>
      <c r="F1989" s="14">
        <f>1.5851/2</f>
        <v>0.79254999999999998</v>
      </c>
      <c r="G1989" s="92">
        <f t="array" ref="G1989">IF(B1989="insumo",_xlfn.XLOOKUP($D1989,Insumos!$B$1:$B$996,Insumos!$D$1:$D$996),"")</f>
        <v>2.74</v>
      </c>
      <c r="H1989" s="92">
        <v>2.1715870000000002</v>
      </c>
      <c r="I1989" s="13">
        <v>0</v>
      </c>
      <c r="J1989" s="13">
        <v>0</v>
      </c>
      <c r="K1989" s="13"/>
      <c r="L1989"/>
      <c r="M1989"/>
      <c r="N1989"/>
      <c r="O1989"/>
      <c r="P1989"/>
      <c r="Q1989"/>
      <c r="R1989"/>
      <c r="S1989"/>
      <c r="T1989"/>
      <c r="U1989"/>
      <c r="V1989"/>
      <c r="W1989"/>
      <c r="X1989"/>
      <c r="Y1989"/>
      <c r="Z1989"/>
      <c r="AA1989"/>
      <c r="AB1989"/>
      <c r="AC1989"/>
      <c r="AD1989"/>
      <c r="AE1989"/>
      <c r="AF1989"/>
      <c r="AG1989"/>
      <c r="AH1989"/>
      <c r="AI1989"/>
      <c r="AJ1989"/>
      <c r="AK1989"/>
      <c r="AL1989"/>
    </row>
    <row r="1990" spans="1:38" ht="15.75" customHeight="1" outlineLevel="3" x14ac:dyDescent="0.2">
      <c r="A1990" s="10">
        <v>97</v>
      </c>
      <c r="B1990" s="10" t="s">
        <v>71</v>
      </c>
      <c r="C1990" s="10" t="s">
        <v>1370</v>
      </c>
      <c r="D1990" s="10" t="s">
        <v>414</v>
      </c>
      <c r="E1990" s="11" t="str">
        <f t="array" ref="E1990">_xlfn.XLOOKUP(D1990,Insumos!B:B,Insumos!C:$C)</f>
        <v>UN</v>
      </c>
      <c r="F1990" s="14">
        <f>20.1868/2</f>
        <v>10.093400000000001</v>
      </c>
      <c r="G1990" s="92">
        <f t="array" ref="G1990">IF(B1990="insumo",_xlfn.XLOOKUP($D1990,Insumos!$B$1:$B$996,Insumos!$D$1:$D$996),"")</f>
        <v>0.09</v>
      </c>
      <c r="H1990" s="92">
        <v>0.90840600000000005</v>
      </c>
      <c r="I1990" s="13">
        <v>0</v>
      </c>
      <c r="J1990" s="13">
        <v>0</v>
      </c>
      <c r="K1990" s="13"/>
      <c r="L1990"/>
      <c r="M1990"/>
      <c r="N1990"/>
      <c r="O1990"/>
      <c r="P1990"/>
      <c r="Q1990"/>
      <c r="R1990"/>
      <c r="S1990"/>
      <c r="T1990"/>
      <c r="U1990"/>
      <c r="V1990"/>
      <c r="W1990"/>
      <c r="X1990"/>
      <c r="Y1990"/>
      <c r="Z1990"/>
      <c r="AA1990"/>
      <c r="AB1990"/>
      <c r="AC1990"/>
      <c r="AD1990"/>
      <c r="AE1990"/>
      <c r="AF1990"/>
      <c r="AG1990"/>
      <c r="AH1990"/>
      <c r="AI1990"/>
      <c r="AJ1990"/>
      <c r="AK1990"/>
      <c r="AL1990"/>
    </row>
    <row r="1991" spans="1:38" ht="15.75" customHeight="1" outlineLevel="3" x14ac:dyDescent="0.2">
      <c r="A1991" s="10">
        <v>95</v>
      </c>
      <c r="B1991" s="10" t="s">
        <v>71</v>
      </c>
      <c r="C1991" s="10" t="s">
        <v>1370</v>
      </c>
      <c r="D1991" s="10" t="s">
        <v>415</v>
      </c>
      <c r="E1991" s="11" t="str">
        <f t="array" ref="E1991">_xlfn.XLOOKUP(D1991,Insumos!B:B,Insumos!C:$C)</f>
        <v>UN</v>
      </c>
      <c r="F1991" s="14">
        <v>0.54410000000000003</v>
      </c>
      <c r="G1991" s="92">
        <f t="array" ref="G1991">IF(B1991="insumo",_xlfn.XLOOKUP($D1991,Insumos!$B$1:$B$996,Insumos!$D$1:$D$996),"")</f>
        <v>0.2</v>
      </c>
      <c r="H1991" s="92">
        <v>0.10882</v>
      </c>
      <c r="I1991" s="13">
        <v>0</v>
      </c>
      <c r="J1991" s="13">
        <v>0</v>
      </c>
      <c r="K1991" s="13"/>
      <c r="L1991"/>
      <c r="M1991"/>
      <c r="N1991"/>
      <c r="O1991"/>
      <c r="P1991"/>
      <c r="Q1991"/>
      <c r="R1991"/>
      <c r="S1991"/>
      <c r="T1991"/>
      <c r="U1991"/>
      <c r="V1991"/>
      <c r="W1991"/>
      <c r="X1991"/>
      <c r="Y1991"/>
      <c r="Z1991"/>
      <c r="AA1991"/>
      <c r="AB1991"/>
      <c r="AC1991"/>
      <c r="AD1991"/>
      <c r="AE1991"/>
      <c r="AF1991"/>
      <c r="AG1991"/>
      <c r="AH1991"/>
      <c r="AI1991"/>
      <c r="AJ1991"/>
      <c r="AK1991"/>
      <c r="AL1991"/>
    </row>
    <row r="1992" spans="1:38" ht="15.75" customHeight="1" outlineLevel="3" x14ac:dyDescent="0.2">
      <c r="A1992" s="10">
        <v>35</v>
      </c>
      <c r="B1992" s="10" t="s">
        <v>71</v>
      </c>
      <c r="C1992" s="10" t="s">
        <v>1370</v>
      </c>
      <c r="D1992" s="10" t="s">
        <v>1595</v>
      </c>
      <c r="E1992" s="11" t="str">
        <f t="array" ref="E1992">_xlfn.XLOOKUP(D1992,Insumos!B:B,Insumos!C:$C)</f>
        <v>M2</v>
      </c>
      <c r="F1992" s="14">
        <v>1.1000000000000001</v>
      </c>
      <c r="G1992" s="92">
        <f t="array" ref="G1992">IF(B1992="insumo",_xlfn.XLOOKUP($D1992,Insumos!$B$1:$B$996,Insumos!$D$1:$D$996),"")</f>
        <v>13.019333333333332</v>
      </c>
      <c r="H1992" s="92">
        <v>14.3212666666667</v>
      </c>
      <c r="I1992" s="13">
        <v>0</v>
      </c>
      <c r="J1992" s="13">
        <v>0</v>
      </c>
      <c r="K1992" s="13"/>
      <c r="L1992"/>
      <c r="M1992"/>
      <c r="N1992"/>
      <c r="O1992"/>
      <c r="P1992"/>
      <c r="Q1992"/>
      <c r="R1992"/>
      <c r="S1992"/>
      <c r="T1992"/>
      <c r="U1992"/>
      <c r="V1992"/>
      <c r="W1992"/>
      <c r="X1992"/>
      <c r="Y1992"/>
      <c r="Z1992"/>
      <c r="AA1992"/>
      <c r="AB1992"/>
      <c r="AC1992"/>
      <c r="AD1992"/>
      <c r="AE1992"/>
      <c r="AF1992"/>
      <c r="AG1992"/>
      <c r="AH1992"/>
      <c r="AI1992"/>
      <c r="AJ1992"/>
      <c r="AK1992"/>
      <c r="AL1992"/>
    </row>
    <row r="1993" spans="1:38" ht="15.75" customHeight="1" outlineLevel="2" x14ac:dyDescent="0.2">
      <c r="A1993" s="1067">
        <v>1</v>
      </c>
      <c r="B1993" s="1067" t="s">
        <v>68</v>
      </c>
      <c r="C1993" s="1067" t="s">
        <v>1371</v>
      </c>
      <c r="D1993" s="1067" t="s">
        <v>1371</v>
      </c>
      <c r="E1993" s="1068" t="s">
        <v>70</v>
      </c>
      <c r="F1993" s="1067"/>
      <c r="G1993" s="1069" t="str">
        <f t="array" ref="G1993">IF(B1993="insumo",_xlfn.XLOOKUP($D1993,Insumos!$B$1:$B$996,Insumos!$D$1:$D$996),"")</f>
        <v/>
      </c>
      <c r="H1993" s="1069">
        <v>271.25329838888899</v>
      </c>
      <c r="I1993" s="1070">
        <v>0</v>
      </c>
      <c r="J1993" s="1070">
        <v>0</v>
      </c>
      <c r="K1993" s="1070"/>
      <c r="L1993"/>
      <c r="M1993"/>
      <c r="N1993"/>
      <c r="O1993"/>
      <c r="P1993"/>
      <c r="Q1993"/>
      <c r="R1993"/>
      <c r="S1993"/>
      <c r="T1993"/>
      <c r="U1993"/>
      <c r="V1993"/>
      <c r="W1993"/>
      <c r="X1993"/>
      <c r="Y1993"/>
      <c r="Z1993"/>
      <c r="AA1993"/>
      <c r="AB1993"/>
      <c r="AC1993"/>
      <c r="AD1993"/>
      <c r="AE1993"/>
      <c r="AF1993"/>
      <c r="AG1993"/>
      <c r="AH1993"/>
      <c r="AI1993"/>
      <c r="AJ1993"/>
      <c r="AK1993"/>
      <c r="AL1993"/>
    </row>
    <row r="1994" spans="1:38" ht="15.75" customHeight="1" outlineLevel="3" x14ac:dyDescent="0.2">
      <c r="A1994" s="10">
        <v>86</v>
      </c>
      <c r="B1994" s="10" t="s">
        <v>71</v>
      </c>
      <c r="C1994" s="10" t="s">
        <v>1371</v>
      </c>
      <c r="D1994" s="10" t="s">
        <v>407</v>
      </c>
      <c r="E1994" s="11" t="str">
        <f t="array" ref="E1994">_xlfn.XLOOKUP(D1994,Insumos!B:B,Insumos!C:$C)</f>
        <v>M2</v>
      </c>
      <c r="F1994" s="14">
        <v>1</v>
      </c>
      <c r="G1994" s="92">
        <f t="array" ref="G1994">IF(B1994="insumo",_xlfn.XLOOKUP($D1994,Insumos!$B$1:$B$996,Insumos!$D$1:$D$996),"")</f>
        <v>70</v>
      </c>
      <c r="H1994" s="92">
        <v>70</v>
      </c>
      <c r="I1994" s="13">
        <v>0</v>
      </c>
      <c r="J1994" s="13">
        <v>0</v>
      </c>
      <c r="K1994" s="13"/>
      <c r="L1994"/>
      <c r="M1994"/>
      <c r="N1994"/>
      <c r="O1994"/>
      <c r="P1994"/>
      <c r="Q1994"/>
      <c r="R1994"/>
      <c r="S1994"/>
      <c r="T1994"/>
      <c r="U1994"/>
      <c r="V1994"/>
      <c r="W1994"/>
      <c r="X1994"/>
      <c r="Y1994"/>
      <c r="Z1994"/>
      <c r="AA1994"/>
      <c r="AB1994"/>
      <c r="AC1994"/>
      <c r="AD1994"/>
      <c r="AE1994"/>
      <c r="AF1994"/>
      <c r="AG1994"/>
      <c r="AH1994"/>
      <c r="AI1994"/>
      <c r="AJ1994"/>
      <c r="AK1994"/>
      <c r="AL1994"/>
    </row>
    <row r="1995" spans="1:38" ht="15.75" customHeight="1" outlineLevel="3" x14ac:dyDescent="0.2">
      <c r="A1995" s="10">
        <v>4</v>
      </c>
      <c r="B1995" s="10" t="s">
        <v>71</v>
      </c>
      <c r="C1995" s="10" t="s">
        <v>1371</v>
      </c>
      <c r="D1995" s="10" t="s">
        <v>1392</v>
      </c>
      <c r="E1995" s="11" t="str">
        <f t="array" ref="E1995">_xlfn.XLOOKUP(D1995,Insumos!B:B,Insumos!C:$C)</f>
        <v>M2</v>
      </c>
      <c r="F1995" s="14">
        <v>1.1060000000000001</v>
      </c>
      <c r="G1995" s="92">
        <f t="array" ref="G1995">IF(B1995="insumo",_xlfn.XLOOKUP($D1995,Insumos!$B$1:$B$996,Insumos!$D$1:$D$996),"")</f>
        <v>84.027777777777786</v>
      </c>
      <c r="H1995" s="92">
        <v>92.934722222222206</v>
      </c>
      <c r="I1995" s="13">
        <v>0</v>
      </c>
      <c r="J1995" s="13">
        <v>0</v>
      </c>
      <c r="K1995" s="13"/>
      <c r="L1995"/>
      <c r="M1995"/>
      <c r="N1995"/>
      <c r="O1995"/>
      <c r="P1995"/>
      <c r="Q1995"/>
      <c r="R1995"/>
      <c r="S1995"/>
      <c r="T1995"/>
      <c r="U1995"/>
      <c r="V1995"/>
      <c r="W1995"/>
      <c r="X1995"/>
      <c r="Y1995"/>
      <c r="Z1995"/>
      <c r="AA1995"/>
      <c r="AB1995"/>
      <c r="AC1995"/>
      <c r="AD1995"/>
      <c r="AE1995"/>
      <c r="AF1995"/>
      <c r="AG1995"/>
      <c r="AH1995"/>
      <c r="AI1995"/>
      <c r="AJ1995"/>
      <c r="AK1995"/>
      <c r="AL1995"/>
    </row>
    <row r="1996" spans="1:38" ht="15.75" customHeight="1" outlineLevel="3" x14ac:dyDescent="0.2">
      <c r="A1996" s="10">
        <v>95</v>
      </c>
      <c r="B1996" s="10" t="s">
        <v>71</v>
      </c>
      <c r="C1996" s="10" t="s">
        <v>1371</v>
      </c>
      <c r="D1996" s="10" t="s">
        <v>409</v>
      </c>
      <c r="E1996" s="11" t="str">
        <f t="array" ref="E1996">_xlfn.XLOOKUP(D1996,Insumos!B:B,Insumos!C:$C)</f>
        <v>UN</v>
      </c>
      <c r="F1996" s="14">
        <v>5.92</v>
      </c>
      <c r="G1996" s="92">
        <f t="array" ref="G1996">IF(B1996="insumo",_xlfn.XLOOKUP($D1996,Insumos!$B$1:$B$996,Insumos!$D$1:$D$996),"")</f>
        <v>0.504</v>
      </c>
      <c r="H1996" s="92">
        <v>2.9836800000000001</v>
      </c>
      <c r="I1996" s="13">
        <v>0</v>
      </c>
      <c r="J1996" s="13">
        <v>0</v>
      </c>
      <c r="K1996" s="13"/>
      <c r="L1996"/>
      <c r="M1996"/>
      <c r="N1996"/>
      <c r="O1996"/>
      <c r="P1996"/>
      <c r="Q1996"/>
      <c r="R1996"/>
      <c r="S1996"/>
      <c r="T1996"/>
      <c r="U1996"/>
      <c r="V1996"/>
      <c r="W1996"/>
      <c r="X1996"/>
      <c r="Y1996"/>
      <c r="Z1996"/>
      <c r="AA1996"/>
      <c r="AB1996"/>
      <c r="AC1996"/>
      <c r="AD1996"/>
      <c r="AE1996"/>
      <c r="AF1996"/>
      <c r="AG1996"/>
      <c r="AH1996"/>
      <c r="AI1996"/>
      <c r="AJ1996"/>
      <c r="AK1996"/>
      <c r="AL1996"/>
    </row>
    <row r="1997" spans="1:38" ht="15.75" customHeight="1" outlineLevel="3" x14ac:dyDescent="0.2">
      <c r="A1997" s="10">
        <v>26</v>
      </c>
      <c r="B1997" s="10" t="s">
        <v>71</v>
      </c>
      <c r="C1997" s="10" t="s">
        <v>1371</v>
      </c>
      <c r="D1997" s="10" t="s">
        <v>420</v>
      </c>
      <c r="E1997" s="11" t="str">
        <f t="array" ref="E1997">_xlfn.XLOOKUP(D1997,Insumos!B:B,Insumos!C:$C)</f>
        <v>M</v>
      </c>
      <c r="F1997" s="14">
        <v>1.5247999999999999</v>
      </c>
      <c r="G1997" s="92">
        <f t="array" ref="G1997">IF(B1997="insumo",_xlfn.XLOOKUP($D1997,Insumos!$B$1:$B$996,Insumos!$D$1:$D$996),"")</f>
        <v>8.64</v>
      </c>
      <c r="H1997" s="92">
        <v>13.174272</v>
      </c>
      <c r="I1997" s="13">
        <v>0</v>
      </c>
      <c r="J1997" s="13">
        <v>0</v>
      </c>
      <c r="K1997" s="13"/>
      <c r="L1997"/>
      <c r="M1997"/>
      <c r="N1997"/>
      <c r="O1997"/>
      <c r="P1997"/>
      <c r="Q1997"/>
      <c r="R1997"/>
      <c r="S1997"/>
      <c r="T1997"/>
      <c r="U1997"/>
      <c r="V1997"/>
      <c r="W1997"/>
      <c r="X1997"/>
      <c r="Y1997"/>
      <c r="Z1997"/>
      <c r="AA1997"/>
      <c r="AB1997"/>
      <c r="AC1997"/>
      <c r="AD1997"/>
      <c r="AE1997"/>
      <c r="AF1997"/>
      <c r="AG1997"/>
      <c r="AH1997"/>
      <c r="AI1997"/>
      <c r="AJ1997"/>
      <c r="AK1997"/>
      <c r="AL1997"/>
    </row>
    <row r="1998" spans="1:38" ht="15.75" customHeight="1" outlineLevel="3" x14ac:dyDescent="0.2">
      <c r="A1998" s="10">
        <v>26</v>
      </c>
      <c r="B1998" s="10" t="s">
        <v>71</v>
      </c>
      <c r="C1998" s="10" t="s">
        <v>1371</v>
      </c>
      <c r="D1998" s="10" t="s">
        <v>421</v>
      </c>
      <c r="E1998" s="11" t="str">
        <f t="array" ref="E1998">_xlfn.XLOOKUP(D1998,Insumos!B:B,Insumos!C:$C)</f>
        <v>M</v>
      </c>
      <c r="F1998" s="14">
        <v>4.0011000000000001</v>
      </c>
      <c r="G1998" s="92">
        <f t="array" ref="G1998">IF(B1998="insumo",_xlfn.XLOOKUP($D1998,Insumos!$B$1:$B$996,Insumos!$D$1:$D$996),"")</f>
        <v>18.09</v>
      </c>
      <c r="H1998" s="92">
        <v>72.379898999999995</v>
      </c>
      <c r="I1998" s="13">
        <v>0</v>
      </c>
      <c r="J1998" s="13">
        <v>0</v>
      </c>
      <c r="K1998" s="13"/>
      <c r="L1998"/>
      <c r="M1998"/>
      <c r="N1998"/>
      <c r="O1998"/>
      <c r="P1998"/>
      <c r="Q1998"/>
      <c r="R1998"/>
      <c r="S1998"/>
      <c r="T1998"/>
      <c r="U1998"/>
      <c r="V1998"/>
      <c r="W1998"/>
      <c r="X1998"/>
      <c r="Y1998"/>
      <c r="Z1998"/>
      <c r="AA1998"/>
      <c r="AB1998"/>
      <c r="AC1998"/>
      <c r="AD1998"/>
      <c r="AE1998"/>
      <c r="AF1998"/>
      <c r="AG1998"/>
      <c r="AH1998"/>
      <c r="AI1998"/>
      <c r="AJ1998"/>
      <c r="AK1998"/>
      <c r="AL1998"/>
    </row>
    <row r="1999" spans="1:38" ht="15.75" customHeight="1" outlineLevel="3" x14ac:dyDescent="0.2">
      <c r="A1999" s="10">
        <v>95</v>
      </c>
      <c r="B1999" s="10" t="s">
        <v>71</v>
      </c>
      <c r="C1999" s="10" t="s">
        <v>1371</v>
      </c>
      <c r="D1999" s="10" t="s">
        <v>405</v>
      </c>
      <c r="E1999" s="11" t="str">
        <f t="array" ref="E1999">_xlfn.XLOOKUP(D1999,Insumos!B:B,Insumos!C:$C)</f>
        <v>KG</v>
      </c>
      <c r="F1999" s="14">
        <f>1.0978/2</f>
        <v>0.54890000000000005</v>
      </c>
      <c r="G1999" s="92">
        <f t="array" ref="G1999">IF(B1999="insumo",_xlfn.XLOOKUP($D1999,Insumos!$B$1:$B$996,Insumos!$D$1:$D$996),"")</f>
        <v>3.43</v>
      </c>
      <c r="H1999" s="92">
        <v>1.882727</v>
      </c>
      <c r="I1999" s="13">
        <v>0</v>
      </c>
      <c r="J1999" s="13">
        <v>0</v>
      </c>
      <c r="K1999" s="13"/>
      <c r="L1999"/>
      <c r="M1999"/>
      <c r="N1999"/>
      <c r="O1999"/>
      <c r="P1999"/>
      <c r="Q1999"/>
      <c r="R1999"/>
      <c r="S1999"/>
      <c r="T1999"/>
      <c r="U1999"/>
      <c r="V1999"/>
      <c r="W1999"/>
      <c r="X1999"/>
      <c r="Y1999"/>
      <c r="Z1999"/>
      <c r="AA1999"/>
      <c r="AB1999"/>
      <c r="AC1999"/>
      <c r="AD1999"/>
      <c r="AE1999"/>
      <c r="AF1999"/>
      <c r="AG1999"/>
      <c r="AH1999"/>
      <c r="AI1999"/>
      <c r="AJ1999"/>
      <c r="AK1999"/>
      <c r="AL1999"/>
    </row>
    <row r="2000" spans="1:38" ht="15.75" customHeight="1" outlineLevel="3" x14ac:dyDescent="0.2">
      <c r="A2000" s="10">
        <v>94</v>
      </c>
      <c r="B2000" s="10" t="s">
        <v>71</v>
      </c>
      <c r="C2000" s="10" t="s">
        <v>1371</v>
      </c>
      <c r="D2000" s="10" t="s">
        <v>412</v>
      </c>
      <c r="E2000" s="11" t="str">
        <f t="array" ref="E2000">_xlfn.XLOOKUP(D2000,Insumos!B:B,Insumos!C:$C)</f>
        <v>M</v>
      </c>
      <c r="F2000" s="14">
        <f>2.5027/2</f>
        <v>1.25135</v>
      </c>
      <c r="G2000" s="92">
        <f t="array" ref="G2000">IF(B2000="insumo",_xlfn.XLOOKUP($D2000,Insumos!$B$1:$B$996,Insumos!$D$1:$D$996),"")</f>
        <v>0.31</v>
      </c>
      <c r="H2000" s="92">
        <v>0.3879185</v>
      </c>
      <c r="I2000" s="13">
        <v>0</v>
      </c>
      <c r="J2000" s="13">
        <v>0</v>
      </c>
      <c r="K2000" s="13"/>
      <c r="L2000"/>
      <c r="M2000"/>
      <c r="N2000"/>
      <c r="O2000"/>
      <c r="P2000"/>
      <c r="Q2000"/>
      <c r="R2000"/>
      <c r="S2000"/>
      <c r="T2000"/>
      <c r="U2000"/>
      <c r="V2000"/>
      <c r="W2000"/>
      <c r="X2000"/>
      <c r="Y2000"/>
      <c r="Z2000"/>
      <c r="AA2000"/>
      <c r="AB2000"/>
      <c r="AC2000"/>
      <c r="AD2000"/>
      <c r="AE2000"/>
      <c r="AF2000"/>
      <c r="AG2000"/>
      <c r="AH2000"/>
      <c r="AI2000"/>
      <c r="AJ2000"/>
      <c r="AK2000"/>
      <c r="AL2000"/>
    </row>
    <row r="2001" spans="1:38" ht="15.75" customHeight="1" outlineLevel="3" x14ac:dyDescent="0.2">
      <c r="A2001" s="10">
        <v>94</v>
      </c>
      <c r="B2001" s="10" t="s">
        <v>71</v>
      </c>
      <c r="C2001" s="10" t="s">
        <v>1371</v>
      </c>
      <c r="D2001" s="10" t="s">
        <v>413</v>
      </c>
      <c r="E2001" s="11" t="str">
        <f t="array" ref="E2001">_xlfn.XLOOKUP(D2001,Insumos!B:B,Insumos!C:$C)</f>
        <v>M</v>
      </c>
      <c r="F2001" s="14">
        <f>1.5851/2</f>
        <v>0.79254999999999998</v>
      </c>
      <c r="G2001" s="92">
        <f t="array" ref="G2001">IF(B2001="insumo",_xlfn.XLOOKUP($D2001,Insumos!$B$1:$B$996,Insumos!$D$1:$D$996),"")</f>
        <v>2.74</v>
      </c>
      <c r="H2001" s="92">
        <v>2.1715870000000002</v>
      </c>
      <c r="I2001" s="13">
        <v>0</v>
      </c>
      <c r="J2001" s="13">
        <v>0</v>
      </c>
      <c r="K2001" s="13"/>
      <c r="L2001"/>
      <c r="M2001"/>
      <c r="N2001"/>
      <c r="O2001"/>
      <c r="P2001"/>
      <c r="Q2001"/>
      <c r="R2001"/>
      <c r="S2001"/>
      <c r="T2001"/>
      <c r="U2001"/>
      <c r="V2001"/>
      <c r="W2001"/>
      <c r="X2001"/>
      <c r="Y2001"/>
      <c r="Z2001"/>
      <c r="AA2001"/>
      <c r="AB2001"/>
      <c r="AC2001"/>
      <c r="AD2001"/>
      <c r="AE2001"/>
      <c r="AF2001"/>
      <c r="AG2001"/>
      <c r="AH2001"/>
      <c r="AI2001"/>
      <c r="AJ2001"/>
      <c r="AK2001"/>
      <c r="AL2001"/>
    </row>
    <row r="2002" spans="1:38" ht="15.75" customHeight="1" outlineLevel="3" x14ac:dyDescent="0.2">
      <c r="A2002" s="10">
        <v>97</v>
      </c>
      <c r="B2002" s="10" t="s">
        <v>71</v>
      </c>
      <c r="C2002" s="10" t="s">
        <v>1371</v>
      </c>
      <c r="D2002" s="10" t="s">
        <v>414</v>
      </c>
      <c r="E2002" s="11" t="str">
        <f t="array" ref="E2002">_xlfn.XLOOKUP(D2002,Insumos!B:B,Insumos!C:$C)</f>
        <v>UN</v>
      </c>
      <c r="F2002" s="14">
        <f>20.1868/2</f>
        <v>10.093400000000001</v>
      </c>
      <c r="G2002" s="92">
        <f t="array" ref="G2002">IF(B2002="insumo",_xlfn.XLOOKUP($D2002,Insumos!$B$1:$B$996,Insumos!$D$1:$D$996),"")</f>
        <v>0.09</v>
      </c>
      <c r="H2002" s="92">
        <v>0.90840600000000005</v>
      </c>
      <c r="I2002" s="13">
        <v>0</v>
      </c>
      <c r="J2002" s="13">
        <v>0</v>
      </c>
      <c r="K2002" s="13"/>
      <c r="L2002"/>
      <c r="M2002"/>
      <c r="N2002"/>
      <c r="O2002"/>
      <c r="P2002"/>
      <c r="Q2002"/>
      <c r="R2002"/>
      <c r="S2002"/>
      <c r="T2002"/>
      <c r="U2002"/>
      <c r="V2002"/>
      <c r="W2002"/>
      <c r="X2002"/>
      <c r="Y2002"/>
      <c r="Z2002"/>
      <c r="AA2002"/>
      <c r="AB2002"/>
      <c r="AC2002"/>
      <c r="AD2002"/>
      <c r="AE2002"/>
      <c r="AF2002"/>
      <c r="AG2002"/>
      <c r="AH2002"/>
      <c r="AI2002"/>
      <c r="AJ2002"/>
      <c r="AK2002"/>
      <c r="AL2002"/>
    </row>
    <row r="2003" spans="1:38" ht="15.75" customHeight="1" outlineLevel="3" x14ac:dyDescent="0.2">
      <c r="A2003" s="10">
        <v>95</v>
      </c>
      <c r="B2003" s="10" t="s">
        <v>71</v>
      </c>
      <c r="C2003" s="10" t="s">
        <v>1371</v>
      </c>
      <c r="D2003" s="10" t="s">
        <v>415</v>
      </c>
      <c r="E2003" s="11" t="str">
        <f t="array" ref="E2003">_xlfn.XLOOKUP(D2003,Insumos!B:B,Insumos!C:$C)</f>
        <v>UN</v>
      </c>
      <c r="F2003" s="14">
        <v>0.54410000000000003</v>
      </c>
      <c r="G2003" s="92">
        <f t="array" ref="G2003">IF(B2003="insumo",_xlfn.XLOOKUP($D2003,Insumos!$B$1:$B$996,Insumos!$D$1:$D$996),"")</f>
        <v>0.2</v>
      </c>
      <c r="H2003" s="92">
        <v>0.10882</v>
      </c>
      <c r="I2003" s="13">
        <v>0</v>
      </c>
      <c r="J2003" s="13">
        <v>0</v>
      </c>
      <c r="K2003" s="13"/>
      <c r="L2003"/>
      <c r="M2003"/>
      <c r="N2003"/>
      <c r="O2003"/>
      <c r="P2003"/>
      <c r="Q2003"/>
      <c r="R2003"/>
      <c r="S2003"/>
      <c r="T2003"/>
      <c r="U2003"/>
      <c r="V2003"/>
      <c r="W2003"/>
      <c r="X2003"/>
      <c r="Y2003"/>
      <c r="Z2003"/>
      <c r="AA2003"/>
      <c r="AB2003"/>
      <c r="AC2003"/>
      <c r="AD2003"/>
      <c r="AE2003"/>
      <c r="AF2003"/>
      <c r="AG2003"/>
      <c r="AH2003"/>
      <c r="AI2003"/>
      <c r="AJ2003"/>
      <c r="AK2003"/>
      <c r="AL2003"/>
    </row>
    <row r="2004" spans="1:38" ht="15.75" customHeight="1" outlineLevel="3" x14ac:dyDescent="0.2">
      <c r="A2004" s="10">
        <v>35</v>
      </c>
      <c r="B2004" s="10" t="s">
        <v>71</v>
      </c>
      <c r="C2004" s="10" t="s">
        <v>1371</v>
      </c>
      <c r="D2004" s="10" t="s">
        <v>1595</v>
      </c>
      <c r="E2004" s="11" t="str">
        <f t="array" ref="E2004">_xlfn.XLOOKUP(D2004,Insumos!B:B,Insumos!C:$C)</f>
        <v>M2</v>
      </c>
      <c r="F2004" s="14">
        <v>1.1000000000000001</v>
      </c>
      <c r="G2004" s="92">
        <f t="array" ref="G2004">IF(B2004="insumo",_xlfn.XLOOKUP($D2004,Insumos!$B$1:$B$996,Insumos!$D$1:$D$996),"")</f>
        <v>13.019333333333332</v>
      </c>
      <c r="H2004" s="92">
        <v>14.3212666666667</v>
      </c>
      <c r="I2004" s="13">
        <v>0</v>
      </c>
      <c r="J2004" s="13">
        <v>0</v>
      </c>
      <c r="K2004" s="13"/>
      <c r="L2004"/>
      <c r="M2004"/>
      <c r="N2004"/>
      <c r="O2004"/>
      <c r="P2004"/>
      <c r="Q2004"/>
      <c r="R2004"/>
      <c r="S2004"/>
      <c r="T2004"/>
      <c r="U2004"/>
      <c r="V2004"/>
      <c r="W2004"/>
      <c r="X2004"/>
      <c r="Y2004"/>
      <c r="Z2004"/>
      <c r="AA2004"/>
      <c r="AB2004"/>
      <c r="AC2004"/>
      <c r="AD2004"/>
      <c r="AE2004"/>
      <c r="AF2004"/>
      <c r="AG2004"/>
      <c r="AH2004"/>
      <c r="AI2004"/>
      <c r="AJ2004"/>
      <c r="AK2004"/>
      <c r="AL2004"/>
    </row>
    <row r="2005" spans="1:38" ht="15.75" customHeight="1" outlineLevel="2" x14ac:dyDescent="0.2">
      <c r="A2005" s="1067">
        <v>1</v>
      </c>
      <c r="B2005" s="1067" t="s">
        <v>68</v>
      </c>
      <c r="C2005" s="1067" t="s">
        <v>1372</v>
      </c>
      <c r="D2005" s="1067" t="s">
        <v>1372</v>
      </c>
      <c r="E2005" s="1068" t="s">
        <v>70</v>
      </c>
      <c r="F2005" s="1067"/>
      <c r="G2005" s="1069" t="str">
        <f t="array" ref="G2005">IF(B2005="insumo",_xlfn.XLOOKUP($D2005,Insumos!$B$1:$B$996,Insumos!$D$1:$D$996),"")</f>
        <v/>
      </c>
      <c r="H2005" s="1069">
        <v>268.58313466666698</v>
      </c>
      <c r="I2005" s="1070">
        <v>0</v>
      </c>
      <c r="J2005" s="1070">
        <v>0</v>
      </c>
      <c r="K2005" s="1070"/>
      <c r="L2005"/>
      <c r="M2005"/>
      <c r="N2005"/>
      <c r="O2005"/>
      <c r="P2005"/>
      <c r="Q2005"/>
      <c r="R2005"/>
      <c r="S2005"/>
      <c r="T2005"/>
      <c r="U2005"/>
      <c r="V2005"/>
      <c r="W2005"/>
      <c r="X2005"/>
      <c r="Y2005"/>
      <c r="Z2005"/>
      <c r="AA2005"/>
      <c r="AB2005"/>
      <c r="AC2005"/>
      <c r="AD2005"/>
      <c r="AE2005"/>
      <c r="AF2005"/>
      <c r="AG2005"/>
      <c r="AH2005"/>
      <c r="AI2005"/>
      <c r="AJ2005"/>
      <c r="AK2005"/>
      <c r="AL2005"/>
    </row>
    <row r="2006" spans="1:38" ht="15.75" customHeight="1" outlineLevel="3" x14ac:dyDescent="0.2">
      <c r="A2006" s="10">
        <v>86</v>
      </c>
      <c r="B2006" s="10" t="s">
        <v>71</v>
      </c>
      <c r="C2006" s="10" t="s">
        <v>1372</v>
      </c>
      <c r="D2006" s="10" t="s">
        <v>407</v>
      </c>
      <c r="E2006" s="11" t="str">
        <f t="array" ref="E2006">_xlfn.XLOOKUP(D2006,Insumos!B:B,Insumos!C:$C)</f>
        <v>M2</v>
      </c>
      <c r="F2006" s="14">
        <v>1</v>
      </c>
      <c r="G2006" s="92">
        <f t="array" ref="G2006">IF(B2006="insumo",_xlfn.XLOOKUP($D2006,Insumos!$B$1:$B$996,Insumos!$D$1:$D$996),"")</f>
        <v>70</v>
      </c>
      <c r="H2006" s="92">
        <v>70</v>
      </c>
      <c r="I2006" s="13">
        <v>0</v>
      </c>
      <c r="J2006" s="13">
        <v>0</v>
      </c>
      <c r="K2006" s="13"/>
      <c r="L2006"/>
      <c r="M2006"/>
      <c r="N2006"/>
      <c r="O2006"/>
      <c r="P2006"/>
      <c r="Q2006"/>
      <c r="R2006"/>
      <c r="S2006"/>
      <c r="T2006"/>
      <c r="U2006"/>
      <c r="V2006"/>
      <c r="W2006"/>
      <c r="X2006"/>
      <c r="Y2006"/>
      <c r="Z2006"/>
      <c r="AA2006"/>
      <c r="AB2006"/>
      <c r="AC2006"/>
      <c r="AD2006"/>
      <c r="AE2006"/>
      <c r="AF2006"/>
      <c r="AG2006"/>
      <c r="AH2006"/>
      <c r="AI2006"/>
      <c r="AJ2006"/>
      <c r="AK2006"/>
      <c r="AL2006"/>
    </row>
    <row r="2007" spans="1:38" ht="15.75" customHeight="1" outlineLevel="3" x14ac:dyDescent="0.2">
      <c r="A2007" s="10">
        <v>47</v>
      </c>
      <c r="B2007" s="10" t="s">
        <v>71</v>
      </c>
      <c r="C2007" s="10" t="s">
        <v>1372</v>
      </c>
      <c r="D2007" s="10" t="s">
        <v>408</v>
      </c>
      <c r="E2007" s="11" t="str">
        <f t="array" ref="E2007">_xlfn.XLOOKUP(D2007,Insumos!B:B,Insumos!C:$C)</f>
        <v>M2</v>
      </c>
      <c r="F2007" s="14">
        <f>2.106*2</f>
        <v>4.2119999999999997</v>
      </c>
      <c r="G2007" s="92">
        <f t="array" ref="G2007">IF(B2007="insumo",_xlfn.XLOOKUP($D2007,Insumos!$B$1:$B$996,Insumos!$D$1:$D$996),"")</f>
        <v>20.16</v>
      </c>
      <c r="H2007" s="92">
        <v>84.913920000000005</v>
      </c>
      <c r="I2007" s="13">
        <v>0</v>
      </c>
      <c r="J2007" s="13">
        <v>0</v>
      </c>
      <c r="K2007" s="13"/>
      <c r="L2007"/>
      <c r="M2007"/>
      <c r="N2007"/>
      <c r="O2007"/>
      <c r="P2007"/>
      <c r="Q2007"/>
      <c r="R2007"/>
      <c r="S2007"/>
      <c r="T2007"/>
      <c r="U2007"/>
      <c r="V2007"/>
      <c r="W2007"/>
      <c r="X2007"/>
      <c r="Y2007"/>
      <c r="Z2007"/>
      <c r="AA2007"/>
      <c r="AB2007"/>
      <c r="AC2007"/>
      <c r="AD2007"/>
      <c r="AE2007"/>
      <c r="AF2007"/>
      <c r="AG2007"/>
      <c r="AH2007"/>
      <c r="AI2007"/>
      <c r="AJ2007"/>
      <c r="AK2007"/>
      <c r="AL2007"/>
    </row>
    <row r="2008" spans="1:38" ht="15.75" customHeight="1" outlineLevel="3" x14ac:dyDescent="0.2">
      <c r="A2008" s="10">
        <v>95</v>
      </c>
      <c r="B2008" s="10" t="s">
        <v>71</v>
      </c>
      <c r="C2008" s="10" t="s">
        <v>1372</v>
      </c>
      <c r="D2008" s="10" t="s">
        <v>409</v>
      </c>
      <c r="E2008" s="11" t="str">
        <f t="array" ref="E2008">_xlfn.XLOOKUP(D2008,Insumos!B:B,Insumos!C:$C)</f>
        <v>UN</v>
      </c>
      <c r="F2008" s="14">
        <v>5.92</v>
      </c>
      <c r="G2008" s="92">
        <f t="array" ref="G2008">IF(B2008="insumo",_xlfn.XLOOKUP($D2008,Insumos!$B$1:$B$996,Insumos!$D$1:$D$996),"")</f>
        <v>0.504</v>
      </c>
      <c r="H2008" s="92">
        <v>2.9836800000000001</v>
      </c>
      <c r="I2008" s="13">
        <v>0</v>
      </c>
      <c r="J2008" s="13">
        <v>0</v>
      </c>
      <c r="K2008" s="13"/>
      <c r="L2008"/>
      <c r="M2008"/>
      <c r="N2008"/>
      <c r="O2008"/>
      <c r="P2008"/>
      <c r="Q2008"/>
      <c r="R2008"/>
      <c r="S2008"/>
      <c r="T2008"/>
      <c r="U2008"/>
      <c r="V2008"/>
      <c r="W2008"/>
      <c r="X2008"/>
      <c r="Y2008"/>
      <c r="Z2008"/>
      <c r="AA2008"/>
      <c r="AB2008"/>
      <c r="AC2008"/>
      <c r="AD2008"/>
      <c r="AE2008"/>
      <c r="AF2008"/>
      <c r="AG2008"/>
      <c r="AH2008"/>
      <c r="AI2008"/>
      <c r="AJ2008"/>
      <c r="AK2008"/>
      <c r="AL2008"/>
    </row>
    <row r="2009" spans="1:38" ht="15.75" customHeight="1" outlineLevel="3" x14ac:dyDescent="0.2">
      <c r="A2009" s="10">
        <v>26</v>
      </c>
      <c r="B2009" s="10" t="s">
        <v>71</v>
      </c>
      <c r="C2009" s="10" t="s">
        <v>1372</v>
      </c>
      <c r="D2009" s="10" t="s">
        <v>420</v>
      </c>
      <c r="E2009" s="11" t="str">
        <f t="array" ref="E2009">_xlfn.XLOOKUP(D2009,Insumos!B:B,Insumos!C:$C)</f>
        <v>M</v>
      </c>
      <c r="F2009" s="14">
        <v>1.5247999999999999</v>
      </c>
      <c r="G2009" s="92">
        <f t="array" ref="G2009">IF(B2009="insumo",_xlfn.XLOOKUP($D2009,Insumos!$B$1:$B$996,Insumos!$D$1:$D$996),"")</f>
        <v>8.64</v>
      </c>
      <c r="H2009" s="92">
        <v>13.174272</v>
      </c>
      <c r="I2009" s="13">
        <v>0</v>
      </c>
      <c r="J2009" s="13">
        <v>0</v>
      </c>
      <c r="K2009" s="13"/>
      <c r="L2009"/>
      <c r="M2009"/>
      <c r="N2009"/>
      <c r="O2009"/>
      <c r="P2009"/>
      <c r="Q2009"/>
      <c r="R2009"/>
      <c r="S2009"/>
      <c r="T2009"/>
      <c r="U2009"/>
      <c r="V2009"/>
      <c r="W2009"/>
      <c r="X2009"/>
      <c r="Y2009"/>
      <c r="Z2009"/>
      <c r="AA2009"/>
      <c r="AB2009"/>
      <c r="AC2009"/>
      <c r="AD2009"/>
      <c r="AE2009"/>
      <c r="AF2009"/>
      <c r="AG2009"/>
      <c r="AH2009"/>
      <c r="AI2009"/>
      <c r="AJ2009"/>
      <c r="AK2009"/>
      <c r="AL2009"/>
    </row>
    <row r="2010" spans="1:38" ht="15.75" customHeight="1" outlineLevel="3" x14ac:dyDescent="0.2">
      <c r="A2010" s="10">
        <v>26</v>
      </c>
      <c r="B2010" s="10" t="s">
        <v>71</v>
      </c>
      <c r="C2010" s="10" t="s">
        <v>1372</v>
      </c>
      <c r="D2010" s="10" t="s">
        <v>421</v>
      </c>
      <c r="E2010" s="11" t="str">
        <f t="array" ref="E2010">_xlfn.XLOOKUP(D2010,Insumos!B:B,Insumos!C:$C)</f>
        <v>M</v>
      </c>
      <c r="F2010" s="14">
        <v>4.0011000000000001</v>
      </c>
      <c r="G2010" s="92">
        <f t="array" ref="G2010">IF(B2010="insumo",_xlfn.XLOOKUP($D2010,Insumos!$B$1:$B$996,Insumos!$D$1:$D$996),"")</f>
        <v>18.09</v>
      </c>
      <c r="H2010" s="92">
        <v>72.379898999999995</v>
      </c>
      <c r="I2010" s="13">
        <v>0</v>
      </c>
      <c r="J2010" s="13">
        <v>0</v>
      </c>
      <c r="K2010" s="13"/>
      <c r="L2010"/>
      <c r="M2010"/>
      <c r="N2010"/>
      <c r="O2010"/>
      <c r="P2010"/>
      <c r="Q2010"/>
      <c r="R2010"/>
      <c r="S2010"/>
      <c r="T2010"/>
      <c r="U2010"/>
      <c r="V2010"/>
      <c r="W2010"/>
      <c r="X2010"/>
      <c r="Y2010"/>
      <c r="Z2010"/>
      <c r="AA2010"/>
      <c r="AB2010"/>
      <c r="AC2010"/>
      <c r="AD2010"/>
      <c r="AE2010"/>
      <c r="AF2010"/>
      <c r="AG2010"/>
      <c r="AH2010"/>
      <c r="AI2010"/>
      <c r="AJ2010"/>
      <c r="AK2010"/>
      <c r="AL2010"/>
    </row>
    <row r="2011" spans="1:38" ht="15.75" customHeight="1" outlineLevel="3" x14ac:dyDescent="0.2">
      <c r="A2011" s="10">
        <v>95</v>
      </c>
      <c r="B2011" s="10" t="s">
        <v>71</v>
      </c>
      <c r="C2011" s="10" t="s">
        <v>1372</v>
      </c>
      <c r="D2011" s="10" t="s">
        <v>405</v>
      </c>
      <c r="E2011" s="11" t="str">
        <f t="array" ref="E2011">_xlfn.XLOOKUP(D2011,Insumos!B:B,Insumos!C:$C)</f>
        <v>KG</v>
      </c>
      <c r="F2011" s="14">
        <v>1.0978000000000001</v>
      </c>
      <c r="G2011" s="92">
        <f t="array" ref="G2011">IF(B2011="insumo",_xlfn.XLOOKUP($D2011,Insumos!$B$1:$B$996,Insumos!$D$1:$D$996),"")</f>
        <v>3.43</v>
      </c>
      <c r="H2011" s="92">
        <v>3.7654540000000001</v>
      </c>
      <c r="I2011" s="13">
        <v>0</v>
      </c>
      <c r="J2011" s="13">
        <v>0</v>
      </c>
      <c r="K2011" s="13"/>
      <c r="L2011"/>
      <c r="M2011"/>
      <c r="N2011"/>
      <c r="O2011"/>
      <c r="P2011"/>
      <c r="Q2011"/>
      <c r="R2011"/>
      <c r="S2011"/>
      <c r="T2011"/>
      <c r="U2011"/>
      <c r="V2011"/>
      <c r="W2011"/>
      <c r="X2011"/>
      <c r="Y2011"/>
      <c r="Z2011"/>
      <c r="AA2011"/>
      <c r="AB2011"/>
      <c r="AC2011"/>
      <c r="AD2011"/>
      <c r="AE2011"/>
      <c r="AF2011"/>
      <c r="AG2011"/>
      <c r="AH2011"/>
      <c r="AI2011"/>
      <c r="AJ2011"/>
      <c r="AK2011"/>
      <c r="AL2011"/>
    </row>
    <row r="2012" spans="1:38" ht="15.75" customHeight="1" outlineLevel="3" x14ac:dyDescent="0.2">
      <c r="A2012" s="10">
        <v>94</v>
      </c>
      <c r="B2012" s="10" t="s">
        <v>71</v>
      </c>
      <c r="C2012" s="10" t="s">
        <v>1372</v>
      </c>
      <c r="D2012" s="10" t="s">
        <v>412</v>
      </c>
      <c r="E2012" s="11" t="str">
        <f t="array" ref="E2012">_xlfn.XLOOKUP(D2012,Insumos!B:B,Insumos!C:$C)</f>
        <v>M</v>
      </c>
      <c r="F2012" s="14">
        <v>2.5026999999999999</v>
      </c>
      <c r="G2012" s="92">
        <f t="array" ref="G2012">IF(B2012="insumo",_xlfn.XLOOKUP($D2012,Insumos!$B$1:$B$996,Insumos!$D$1:$D$996),"")</f>
        <v>0.31</v>
      </c>
      <c r="H2012" s="92">
        <v>0.775837</v>
      </c>
      <c r="I2012" s="13">
        <v>0</v>
      </c>
      <c r="J2012" s="13">
        <v>0</v>
      </c>
      <c r="K2012" s="13"/>
      <c r="L2012"/>
      <c r="M2012"/>
      <c r="N2012"/>
      <c r="O2012"/>
      <c r="P2012"/>
      <c r="Q2012"/>
      <c r="R2012"/>
      <c r="S2012"/>
      <c r="T2012"/>
      <c r="U2012"/>
      <c r="V2012"/>
      <c r="W2012"/>
      <c r="X2012"/>
      <c r="Y2012"/>
      <c r="Z2012"/>
      <c r="AA2012"/>
      <c r="AB2012"/>
      <c r="AC2012"/>
      <c r="AD2012"/>
      <c r="AE2012"/>
      <c r="AF2012"/>
      <c r="AG2012"/>
      <c r="AH2012"/>
      <c r="AI2012"/>
      <c r="AJ2012"/>
      <c r="AK2012"/>
      <c r="AL2012"/>
    </row>
    <row r="2013" spans="1:38" ht="15.75" customHeight="1" outlineLevel="3" x14ac:dyDescent="0.2">
      <c r="A2013" s="10">
        <v>94</v>
      </c>
      <c r="B2013" s="10" t="s">
        <v>71</v>
      </c>
      <c r="C2013" s="10" t="s">
        <v>1372</v>
      </c>
      <c r="D2013" s="10" t="s">
        <v>413</v>
      </c>
      <c r="E2013" s="11" t="str">
        <f t="array" ref="E2013">_xlfn.XLOOKUP(D2013,Insumos!B:B,Insumos!C:$C)</f>
        <v>M</v>
      </c>
      <c r="F2013" s="14">
        <v>1.5851</v>
      </c>
      <c r="G2013" s="92">
        <f t="array" ref="G2013">IF(B2013="insumo",_xlfn.XLOOKUP($D2013,Insumos!$B$1:$B$996,Insumos!$D$1:$D$996),"")</f>
        <v>2.74</v>
      </c>
      <c r="H2013" s="92">
        <v>4.3431740000000003</v>
      </c>
      <c r="I2013" s="13">
        <v>0</v>
      </c>
      <c r="J2013" s="13">
        <v>0</v>
      </c>
      <c r="K2013" s="13"/>
      <c r="L2013"/>
      <c r="M2013"/>
      <c r="N2013"/>
      <c r="O2013"/>
      <c r="P2013"/>
      <c r="Q2013"/>
      <c r="R2013"/>
      <c r="S2013"/>
      <c r="T2013"/>
      <c r="U2013"/>
      <c r="V2013"/>
      <c r="W2013"/>
      <c r="X2013"/>
      <c r="Y2013"/>
      <c r="Z2013"/>
      <c r="AA2013"/>
      <c r="AB2013"/>
      <c r="AC2013"/>
      <c r="AD2013"/>
      <c r="AE2013"/>
      <c r="AF2013"/>
      <c r="AG2013"/>
      <c r="AH2013"/>
      <c r="AI2013"/>
      <c r="AJ2013"/>
      <c r="AK2013"/>
      <c r="AL2013"/>
    </row>
    <row r="2014" spans="1:38" ht="15.75" customHeight="1" outlineLevel="3" x14ac:dyDescent="0.2">
      <c r="A2014" s="10">
        <v>97</v>
      </c>
      <c r="B2014" s="10" t="s">
        <v>71</v>
      </c>
      <c r="C2014" s="10" t="s">
        <v>1372</v>
      </c>
      <c r="D2014" s="10" t="s">
        <v>414</v>
      </c>
      <c r="E2014" s="11" t="str">
        <f t="array" ref="E2014">_xlfn.XLOOKUP(D2014,Insumos!B:B,Insumos!C:$C)</f>
        <v>UN</v>
      </c>
      <c r="F2014" s="14">
        <v>20.186800000000002</v>
      </c>
      <c r="G2014" s="92">
        <f t="array" ref="G2014">IF(B2014="insumo",_xlfn.XLOOKUP($D2014,Insumos!$B$1:$B$996,Insumos!$D$1:$D$996),"")</f>
        <v>0.09</v>
      </c>
      <c r="H2014" s="92">
        <v>1.8168120000000001</v>
      </c>
      <c r="I2014" s="13">
        <v>0</v>
      </c>
      <c r="J2014" s="13">
        <v>0</v>
      </c>
      <c r="K2014" s="13"/>
      <c r="L2014"/>
      <c r="M2014"/>
      <c r="N2014"/>
      <c r="O2014"/>
      <c r="P2014"/>
      <c r="Q2014"/>
      <c r="R2014"/>
      <c r="S2014"/>
      <c r="T2014"/>
      <c r="U2014"/>
      <c r="V2014"/>
      <c r="W2014"/>
      <c r="X2014"/>
      <c r="Y2014"/>
      <c r="Z2014"/>
      <c r="AA2014"/>
      <c r="AB2014"/>
      <c r="AC2014"/>
      <c r="AD2014"/>
      <c r="AE2014"/>
      <c r="AF2014"/>
      <c r="AG2014"/>
      <c r="AH2014"/>
      <c r="AI2014"/>
      <c r="AJ2014"/>
      <c r="AK2014"/>
      <c r="AL2014"/>
    </row>
    <row r="2015" spans="1:38" ht="15.75" customHeight="1" outlineLevel="3" x14ac:dyDescent="0.2">
      <c r="A2015" s="10">
        <v>95</v>
      </c>
      <c r="B2015" s="10" t="s">
        <v>71</v>
      </c>
      <c r="C2015" s="10" t="s">
        <v>1372</v>
      </c>
      <c r="D2015" s="10" t="s">
        <v>415</v>
      </c>
      <c r="E2015" s="11" t="str">
        <f t="array" ref="E2015">_xlfn.XLOOKUP(D2015,Insumos!B:B,Insumos!C:$C)</f>
        <v>UN</v>
      </c>
      <c r="F2015" s="14">
        <v>0.54410000000000003</v>
      </c>
      <c r="G2015" s="92">
        <f t="array" ref="G2015">IF(B2015="insumo",_xlfn.XLOOKUP($D2015,Insumos!$B$1:$B$996,Insumos!$D$1:$D$996),"")</f>
        <v>0.2</v>
      </c>
      <c r="H2015" s="92">
        <v>0.10882</v>
      </c>
      <c r="I2015" s="13">
        <v>0</v>
      </c>
      <c r="J2015" s="13">
        <v>0</v>
      </c>
      <c r="K2015" s="13"/>
      <c r="L2015"/>
      <c r="M2015"/>
      <c r="N2015"/>
      <c r="O2015"/>
      <c r="P2015"/>
      <c r="Q2015"/>
      <c r="R2015"/>
      <c r="S2015"/>
      <c r="T2015"/>
      <c r="U2015"/>
      <c r="V2015"/>
      <c r="W2015"/>
      <c r="X2015"/>
      <c r="Y2015"/>
      <c r="Z2015"/>
      <c r="AA2015"/>
      <c r="AB2015"/>
      <c r="AC2015"/>
      <c r="AD2015"/>
      <c r="AE2015"/>
      <c r="AF2015"/>
      <c r="AG2015"/>
      <c r="AH2015"/>
      <c r="AI2015"/>
      <c r="AJ2015"/>
      <c r="AK2015"/>
      <c r="AL2015"/>
    </row>
    <row r="2016" spans="1:38" ht="15.75" customHeight="1" outlineLevel="3" x14ac:dyDescent="0.2">
      <c r="A2016" s="10">
        <v>35</v>
      </c>
      <c r="B2016" s="10" t="s">
        <v>71</v>
      </c>
      <c r="C2016" s="10" t="s">
        <v>1372</v>
      </c>
      <c r="D2016" s="10" t="s">
        <v>1595</v>
      </c>
      <c r="E2016" s="11" t="str">
        <f t="array" ref="E2016">_xlfn.XLOOKUP(D2016,Insumos!B:B,Insumos!C:$C)</f>
        <v>M2</v>
      </c>
      <c r="F2016" s="14">
        <v>1.1000000000000001</v>
      </c>
      <c r="G2016" s="92">
        <f t="array" ref="G2016">IF(B2016="insumo",_xlfn.XLOOKUP($D2016,Insumos!$B$1:$B$996,Insumos!$D$1:$D$996),"")</f>
        <v>13.019333333333332</v>
      </c>
      <c r="H2016" s="92">
        <v>14.3212666666667</v>
      </c>
      <c r="I2016" s="13">
        <v>0</v>
      </c>
      <c r="J2016" s="13">
        <v>0</v>
      </c>
      <c r="K2016" s="13"/>
      <c r="L2016"/>
      <c r="M2016"/>
      <c r="N2016"/>
      <c r="O2016"/>
      <c r="P2016"/>
      <c r="Q2016"/>
      <c r="R2016"/>
      <c r="S2016"/>
      <c r="T2016"/>
      <c r="U2016"/>
      <c r="V2016"/>
      <c r="W2016"/>
      <c r="X2016"/>
      <c r="Y2016"/>
      <c r="Z2016"/>
      <c r="AA2016"/>
      <c r="AB2016"/>
      <c r="AC2016"/>
      <c r="AD2016"/>
      <c r="AE2016"/>
      <c r="AF2016"/>
      <c r="AG2016"/>
      <c r="AH2016"/>
      <c r="AI2016"/>
      <c r="AJ2016"/>
      <c r="AK2016"/>
      <c r="AL2016"/>
    </row>
    <row r="2017" spans="1:38" ht="15.75" customHeight="1" outlineLevel="2" x14ac:dyDescent="0.2">
      <c r="A2017" s="1067">
        <v>1</v>
      </c>
      <c r="B2017" s="1067" t="s">
        <v>68</v>
      </c>
      <c r="C2017" s="1067" t="s">
        <v>1376</v>
      </c>
      <c r="D2017" s="1067" t="s">
        <v>1376</v>
      </c>
      <c r="E2017" s="1068" t="s">
        <v>70</v>
      </c>
      <c r="F2017" s="1067"/>
      <c r="G2017" s="1069" t="str">
        <f t="array" ref="G2017">IF(B2017="insumo",_xlfn.XLOOKUP($D2017,Insumos!$B$1:$B$996,Insumos!$D$1:$D$996),"")</f>
        <v/>
      </c>
      <c r="H2017" s="1069">
        <v>334.94562461839701</v>
      </c>
      <c r="I2017" s="1070">
        <v>0</v>
      </c>
      <c r="J2017" s="1070">
        <v>0</v>
      </c>
      <c r="K2017" s="1070"/>
      <c r="L2017"/>
      <c r="M2017"/>
      <c r="N2017"/>
      <c r="O2017"/>
      <c r="P2017"/>
      <c r="Q2017"/>
      <c r="R2017"/>
      <c r="S2017"/>
      <c r="T2017"/>
      <c r="U2017"/>
      <c r="V2017"/>
      <c r="W2017"/>
      <c r="X2017"/>
      <c r="Y2017"/>
      <c r="Z2017"/>
      <c r="AA2017"/>
      <c r="AB2017"/>
      <c r="AC2017"/>
      <c r="AD2017"/>
      <c r="AE2017"/>
      <c r="AF2017"/>
      <c r="AG2017"/>
      <c r="AH2017"/>
      <c r="AI2017"/>
      <c r="AJ2017"/>
      <c r="AK2017"/>
      <c r="AL2017"/>
    </row>
    <row r="2018" spans="1:38" ht="15.75" customHeight="1" outlineLevel="3" x14ac:dyDescent="0.2">
      <c r="A2018" s="10">
        <v>86</v>
      </c>
      <c r="B2018" s="10" t="s">
        <v>71</v>
      </c>
      <c r="C2018" s="10" t="s">
        <v>1376</v>
      </c>
      <c r="D2018" s="10" t="s">
        <v>407</v>
      </c>
      <c r="E2018" s="11" t="str">
        <f t="array" ref="E2018">_xlfn.XLOOKUP(D2018,Insumos!B:B,Insumos!C:$C)</f>
        <v>M2</v>
      </c>
      <c r="F2018" s="14">
        <v>1</v>
      </c>
      <c r="G2018" s="92">
        <f t="array" ref="G2018">IF(B2018="insumo",_xlfn.XLOOKUP($D2018,Insumos!$B$1:$B$996,Insumos!$D$1:$D$996),"")</f>
        <v>70</v>
      </c>
      <c r="H2018" s="92">
        <v>70</v>
      </c>
      <c r="I2018" s="13">
        <v>0</v>
      </c>
      <c r="J2018" s="13">
        <v>0</v>
      </c>
      <c r="K2018" s="13"/>
      <c r="L2018"/>
      <c r="M2018"/>
      <c r="N2018"/>
      <c r="O2018"/>
      <c r="P2018"/>
      <c r="Q2018"/>
      <c r="R2018"/>
      <c r="S2018"/>
      <c r="T2018"/>
      <c r="U2018"/>
      <c r="V2018"/>
      <c r="W2018"/>
      <c r="X2018"/>
      <c r="Y2018"/>
      <c r="Z2018"/>
      <c r="AA2018"/>
      <c r="AB2018"/>
      <c r="AC2018"/>
      <c r="AD2018"/>
      <c r="AE2018"/>
      <c r="AF2018"/>
      <c r="AG2018"/>
      <c r="AH2018"/>
      <c r="AI2018"/>
      <c r="AJ2018"/>
      <c r="AK2018"/>
      <c r="AL2018"/>
    </row>
    <row r="2019" spans="1:38" ht="15.75" customHeight="1" outlineLevel="3" x14ac:dyDescent="0.2">
      <c r="A2019" s="10">
        <v>3</v>
      </c>
      <c r="B2019" s="10" t="s">
        <v>71</v>
      </c>
      <c r="C2019" s="10" t="s">
        <v>1376</v>
      </c>
      <c r="D2019" s="10" t="s">
        <v>1391</v>
      </c>
      <c r="E2019" s="11" t="str">
        <f t="array" ref="E2019">_xlfn.XLOOKUP(D2019,Insumos!B:B,Insumos!C:$C)</f>
        <v>M2</v>
      </c>
      <c r="F2019" s="14">
        <v>1.1000000000000001</v>
      </c>
      <c r="G2019" s="92">
        <f t="array" ref="G2019">IF(B2019="insumo",_xlfn.XLOOKUP($D2019,Insumos!$B$1:$B$996,Insumos!$D$1:$D$996),"")</f>
        <v>38.19444444444445</v>
      </c>
      <c r="H2019" s="92">
        <v>42.0138888888889</v>
      </c>
      <c r="I2019" s="13">
        <v>0</v>
      </c>
      <c r="J2019" s="13">
        <v>0</v>
      </c>
      <c r="K2019" s="13"/>
      <c r="L2019"/>
      <c r="M2019"/>
      <c r="N2019"/>
      <c r="O2019"/>
      <c r="P2019"/>
      <c r="Q2019"/>
      <c r="R2019"/>
      <c r="S2019"/>
      <c r="T2019"/>
      <c r="U2019"/>
      <c r="V2019"/>
      <c r="W2019"/>
      <c r="X2019"/>
      <c r="Y2019"/>
      <c r="Z2019"/>
      <c r="AA2019"/>
      <c r="AB2019"/>
      <c r="AC2019"/>
      <c r="AD2019"/>
      <c r="AE2019"/>
      <c r="AF2019"/>
      <c r="AG2019"/>
      <c r="AH2019"/>
      <c r="AI2019"/>
      <c r="AJ2019"/>
      <c r="AK2019"/>
      <c r="AL2019"/>
    </row>
    <row r="2020" spans="1:38" ht="15.75" customHeight="1" outlineLevel="3" x14ac:dyDescent="0.2">
      <c r="A2020" s="10">
        <v>95</v>
      </c>
      <c r="B2020" s="10" t="s">
        <v>71</v>
      </c>
      <c r="C2020" s="10" t="s">
        <v>1376</v>
      </c>
      <c r="D2020" s="10" t="s">
        <v>409</v>
      </c>
      <c r="E2020" s="11" t="str">
        <f t="array" ref="E2020">_xlfn.XLOOKUP(D2020,Insumos!B:B,Insumos!C:$C)</f>
        <v>UN</v>
      </c>
      <c r="F2020" s="14">
        <v>5.92</v>
      </c>
      <c r="G2020" s="92">
        <f t="array" ref="G2020">IF(B2020="insumo",_xlfn.XLOOKUP($D2020,Insumos!$B$1:$B$996,Insumos!$D$1:$D$996),"")</f>
        <v>0.504</v>
      </c>
      <c r="H2020" s="92">
        <v>2.9836800000000001</v>
      </c>
      <c r="I2020" s="13">
        <v>0</v>
      </c>
      <c r="J2020" s="13">
        <v>0</v>
      </c>
      <c r="K2020" s="13"/>
      <c r="L2020"/>
      <c r="M2020"/>
      <c r="N2020"/>
      <c r="O2020"/>
      <c r="P2020"/>
      <c r="Q2020"/>
      <c r="R2020"/>
      <c r="S2020"/>
      <c r="T2020"/>
      <c r="U2020"/>
      <c r="V2020"/>
      <c r="W2020"/>
      <c r="X2020"/>
      <c r="Y2020"/>
      <c r="Z2020"/>
      <c r="AA2020"/>
      <c r="AB2020"/>
      <c r="AC2020"/>
      <c r="AD2020"/>
      <c r="AE2020"/>
      <c r="AF2020"/>
      <c r="AG2020"/>
      <c r="AH2020"/>
      <c r="AI2020"/>
      <c r="AJ2020"/>
      <c r="AK2020"/>
      <c r="AL2020"/>
    </row>
    <row r="2021" spans="1:38" ht="15.75" customHeight="1" outlineLevel="3" x14ac:dyDescent="0.2">
      <c r="A2021" s="10">
        <v>26</v>
      </c>
      <c r="B2021" s="10" t="s">
        <v>71</v>
      </c>
      <c r="C2021" s="10" t="s">
        <v>1376</v>
      </c>
      <c r="D2021" s="10" t="s">
        <v>420</v>
      </c>
      <c r="E2021" s="11" t="str">
        <f t="array" ref="E2021">_xlfn.XLOOKUP(D2021,Insumos!B:B,Insumos!C:$C)</f>
        <v>M</v>
      </c>
      <c r="F2021" s="14">
        <v>1.5247999999999999</v>
      </c>
      <c r="G2021" s="92">
        <f t="array" ref="G2021">IF(B2021="insumo",_xlfn.XLOOKUP($D2021,Insumos!$B$1:$B$996,Insumos!$D$1:$D$996),"")</f>
        <v>8.64</v>
      </c>
      <c r="H2021" s="92">
        <v>13.174272</v>
      </c>
      <c r="I2021" s="13">
        <v>0</v>
      </c>
      <c r="J2021" s="13">
        <v>0</v>
      </c>
      <c r="K2021" s="13"/>
      <c r="L2021"/>
      <c r="M2021"/>
      <c r="N2021"/>
      <c r="O2021"/>
      <c r="P2021"/>
      <c r="Q2021"/>
      <c r="R2021"/>
      <c r="S2021"/>
      <c r="T2021"/>
      <c r="U2021"/>
      <c r="V2021"/>
      <c r="W2021"/>
      <c r="X2021"/>
      <c r="Y2021"/>
      <c r="Z2021"/>
      <c r="AA2021"/>
      <c r="AB2021"/>
      <c r="AC2021"/>
      <c r="AD2021"/>
      <c r="AE2021"/>
      <c r="AF2021"/>
      <c r="AG2021"/>
      <c r="AH2021"/>
      <c r="AI2021"/>
      <c r="AJ2021"/>
      <c r="AK2021"/>
      <c r="AL2021"/>
    </row>
    <row r="2022" spans="1:38" ht="15.75" customHeight="1" outlineLevel="3" x14ac:dyDescent="0.2">
      <c r="A2022" s="10">
        <v>26</v>
      </c>
      <c r="B2022" s="10" t="s">
        <v>71</v>
      </c>
      <c r="C2022" s="10" t="s">
        <v>1376</v>
      </c>
      <c r="D2022" s="10" t="s">
        <v>421</v>
      </c>
      <c r="E2022" s="11" t="str">
        <f t="array" ref="E2022">_xlfn.XLOOKUP(D2022,Insumos!B:B,Insumos!C:$C)</f>
        <v>M</v>
      </c>
      <c r="F2022" s="14">
        <v>4.0011000000000001</v>
      </c>
      <c r="G2022" s="92">
        <f t="array" ref="G2022">IF(B2022="insumo",_xlfn.XLOOKUP($D2022,Insumos!$B$1:$B$996,Insumos!$D$1:$D$996),"")</f>
        <v>18.09</v>
      </c>
      <c r="H2022" s="92">
        <v>72.379898999999995</v>
      </c>
      <c r="I2022" s="13">
        <v>0</v>
      </c>
      <c r="J2022" s="13">
        <v>0</v>
      </c>
      <c r="K2022" s="13"/>
      <c r="L2022"/>
      <c r="M2022"/>
      <c r="N2022"/>
      <c r="O2022"/>
      <c r="P2022"/>
      <c r="Q2022"/>
      <c r="R2022"/>
      <c r="S2022"/>
      <c r="T2022"/>
      <c r="U2022"/>
      <c r="V2022"/>
      <c r="W2022"/>
      <c r="X2022"/>
      <c r="Y2022"/>
      <c r="Z2022"/>
      <c r="AA2022"/>
      <c r="AB2022"/>
      <c r="AC2022"/>
      <c r="AD2022"/>
      <c r="AE2022"/>
      <c r="AF2022"/>
      <c r="AG2022"/>
      <c r="AH2022"/>
      <c r="AI2022"/>
      <c r="AJ2022"/>
      <c r="AK2022"/>
      <c r="AL2022"/>
    </row>
    <row r="2023" spans="1:38" ht="15.75" customHeight="1" outlineLevel="3" x14ac:dyDescent="0.2">
      <c r="A2023" s="10">
        <v>95</v>
      </c>
      <c r="B2023" s="10" t="s">
        <v>71</v>
      </c>
      <c r="C2023" s="10" t="s">
        <v>1376</v>
      </c>
      <c r="D2023" s="10" t="s">
        <v>405</v>
      </c>
      <c r="E2023" s="11" t="str">
        <f t="array" ref="E2023">_xlfn.XLOOKUP(D2023,Insumos!B:B,Insumos!C:$C)</f>
        <v>KG</v>
      </c>
      <c r="F2023" s="14">
        <f>1.0978/2</f>
        <v>0.54890000000000005</v>
      </c>
      <c r="G2023" s="92">
        <f t="array" ref="G2023">IF(B2023="insumo",_xlfn.XLOOKUP($D2023,Insumos!$B$1:$B$996,Insumos!$D$1:$D$996),"")</f>
        <v>3.43</v>
      </c>
      <c r="H2023" s="92">
        <v>1.882727</v>
      </c>
      <c r="I2023" s="13">
        <v>0</v>
      </c>
      <c r="J2023" s="13">
        <v>0</v>
      </c>
      <c r="K2023" s="13"/>
      <c r="L2023"/>
      <c r="M2023"/>
      <c r="N2023"/>
      <c r="O2023"/>
      <c r="P2023"/>
      <c r="Q2023"/>
      <c r="R2023"/>
      <c r="S2023"/>
      <c r="T2023"/>
      <c r="U2023"/>
      <c r="V2023"/>
      <c r="W2023"/>
      <c r="X2023"/>
      <c r="Y2023"/>
      <c r="Z2023"/>
      <c r="AA2023"/>
      <c r="AB2023"/>
      <c r="AC2023"/>
      <c r="AD2023"/>
      <c r="AE2023"/>
      <c r="AF2023"/>
      <c r="AG2023"/>
      <c r="AH2023"/>
      <c r="AI2023"/>
      <c r="AJ2023"/>
      <c r="AK2023"/>
      <c r="AL2023"/>
    </row>
    <row r="2024" spans="1:38" ht="15.75" customHeight="1" outlineLevel="3" x14ac:dyDescent="0.2">
      <c r="A2024" s="10">
        <v>94</v>
      </c>
      <c r="B2024" s="10" t="s">
        <v>71</v>
      </c>
      <c r="C2024" s="10" t="s">
        <v>1376</v>
      </c>
      <c r="D2024" s="10" t="s">
        <v>412</v>
      </c>
      <c r="E2024" s="11" t="str">
        <f t="array" ref="E2024">_xlfn.XLOOKUP(D2024,Insumos!B:B,Insumos!C:$C)</f>
        <v>M</v>
      </c>
      <c r="F2024" s="14">
        <f>2.5027/2</f>
        <v>1.25135</v>
      </c>
      <c r="G2024" s="92">
        <f t="array" ref="G2024">IF(B2024="insumo",_xlfn.XLOOKUP($D2024,Insumos!$B$1:$B$996,Insumos!$D$1:$D$996),"")</f>
        <v>0.31</v>
      </c>
      <c r="H2024" s="92">
        <v>0.3879185</v>
      </c>
      <c r="I2024" s="13">
        <v>0</v>
      </c>
      <c r="J2024" s="13">
        <v>0</v>
      </c>
      <c r="K2024" s="13"/>
      <c r="L2024"/>
      <c r="M2024"/>
      <c r="N2024"/>
      <c r="O2024"/>
      <c r="P2024"/>
      <c r="Q2024"/>
      <c r="R2024"/>
      <c r="S2024"/>
      <c r="T2024"/>
      <c r="U2024"/>
      <c r="V2024"/>
      <c r="W2024"/>
      <c r="X2024"/>
      <c r="Y2024"/>
      <c r="Z2024"/>
      <c r="AA2024"/>
      <c r="AB2024"/>
      <c r="AC2024"/>
      <c r="AD2024"/>
      <c r="AE2024"/>
      <c r="AF2024"/>
      <c r="AG2024"/>
      <c r="AH2024"/>
      <c r="AI2024"/>
      <c r="AJ2024"/>
      <c r="AK2024"/>
      <c r="AL2024"/>
    </row>
    <row r="2025" spans="1:38" ht="15.75" customHeight="1" outlineLevel="3" x14ac:dyDescent="0.2">
      <c r="A2025" s="10">
        <v>94</v>
      </c>
      <c r="B2025" s="10" t="s">
        <v>71</v>
      </c>
      <c r="C2025" s="10" t="s">
        <v>1376</v>
      </c>
      <c r="D2025" s="10" t="s">
        <v>413</v>
      </c>
      <c r="E2025" s="11" t="str">
        <f t="array" ref="E2025">_xlfn.XLOOKUP(D2025,Insumos!B:B,Insumos!C:$C)</f>
        <v>M</v>
      </c>
      <c r="F2025" s="14">
        <f>1.5851/2</f>
        <v>0.79254999999999998</v>
      </c>
      <c r="G2025" s="92">
        <f t="array" ref="G2025">IF(B2025="insumo",_xlfn.XLOOKUP($D2025,Insumos!$B$1:$B$996,Insumos!$D$1:$D$996),"")</f>
        <v>2.74</v>
      </c>
      <c r="H2025" s="92">
        <v>2.1715870000000002</v>
      </c>
      <c r="I2025" s="13">
        <v>0</v>
      </c>
      <c r="J2025" s="13">
        <v>0</v>
      </c>
      <c r="K2025" s="13"/>
      <c r="L2025"/>
      <c r="M2025"/>
      <c r="N2025"/>
      <c r="O2025"/>
      <c r="P2025"/>
      <c r="Q2025"/>
      <c r="R2025"/>
      <c r="S2025"/>
      <c r="T2025"/>
      <c r="U2025"/>
      <c r="V2025"/>
      <c r="W2025"/>
      <c r="X2025"/>
      <c r="Y2025"/>
      <c r="Z2025"/>
      <c r="AA2025"/>
      <c r="AB2025"/>
      <c r="AC2025"/>
      <c r="AD2025"/>
      <c r="AE2025"/>
      <c r="AF2025"/>
      <c r="AG2025"/>
      <c r="AH2025"/>
      <c r="AI2025"/>
      <c r="AJ2025"/>
      <c r="AK2025"/>
      <c r="AL2025"/>
    </row>
    <row r="2026" spans="1:38" ht="15.75" customHeight="1" outlineLevel="3" x14ac:dyDescent="0.2">
      <c r="A2026" s="10">
        <v>97</v>
      </c>
      <c r="B2026" s="10" t="s">
        <v>71</v>
      </c>
      <c r="C2026" s="10" t="s">
        <v>1376</v>
      </c>
      <c r="D2026" s="10" t="s">
        <v>414</v>
      </c>
      <c r="E2026" s="11" t="str">
        <f t="array" ref="E2026">_xlfn.XLOOKUP(D2026,Insumos!B:B,Insumos!C:$C)</f>
        <v>UN</v>
      </c>
      <c r="F2026" s="14">
        <f>20.1868/2</f>
        <v>10.093400000000001</v>
      </c>
      <c r="G2026" s="92">
        <f t="array" ref="G2026">IF(B2026="insumo",_xlfn.XLOOKUP($D2026,Insumos!$B$1:$B$996,Insumos!$D$1:$D$996),"")</f>
        <v>0.09</v>
      </c>
      <c r="H2026" s="92">
        <v>0.90840600000000005</v>
      </c>
      <c r="I2026" s="13">
        <v>0</v>
      </c>
      <c r="J2026" s="13">
        <v>0</v>
      </c>
      <c r="K2026" s="13"/>
      <c r="L2026"/>
      <c r="M2026"/>
      <c r="N2026"/>
      <c r="O2026"/>
      <c r="P2026"/>
      <c r="Q2026"/>
      <c r="R2026"/>
      <c r="S2026"/>
      <c r="T2026"/>
      <c r="U2026"/>
      <c r="V2026"/>
      <c r="W2026"/>
      <c r="X2026"/>
      <c r="Y2026"/>
      <c r="Z2026"/>
      <c r="AA2026"/>
      <c r="AB2026"/>
      <c r="AC2026"/>
      <c r="AD2026"/>
      <c r="AE2026"/>
      <c r="AF2026"/>
      <c r="AG2026"/>
      <c r="AH2026"/>
      <c r="AI2026"/>
      <c r="AJ2026"/>
      <c r="AK2026"/>
      <c r="AL2026"/>
    </row>
    <row r="2027" spans="1:38" ht="15.75" customHeight="1" outlineLevel="3" x14ac:dyDescent="0.2">
      <c r="A2027" s="10">
        <v>95</v>
      </c>
      <c r="B2027" s="10" t="s">
        <v>71</v>
      </c>
      <c r="C2027" s="10" t="s">
        <v>1376</v>
      </c>
      <c r="D2027" s="10" t="s">
        <v>415</v>
      </c>
      <c r="E2027" s="11" t="str">
        <f t="array" ref="E2027">_xlfn.XLOOKUP(D2027,Insumos!B:B,Insumos!C:$C)</f>
        <v>UN</v>
      </c>
      <c r="F2027" s="14">
        <v>0.54410000000000003</v>
      </c>
      <c r="G2027" s="92">
        <f t="array" ref="G2027">IF(B2027="insumo",_xlfn.XLOOKUP($D2027,Insumos!$B$1:$B$996,Insumos!$D$1:$D$996),"")</f>
        <v>0.2</v>
      </c>
      <c r="H2027" s="92">
        <v>0.10882</v>
      </c>
      <c r="I2027" s="13">
        <v>0</v>
      </c>
      <c r="J2027" s="13">
        <v>0</v>
      </c>
      <c r="K2027" s="13"/>
      <c r="L2027"/>
      <c r="M2027"/>
      <c r="N2027"/>
      <c r="O2027"/>
      <c r="P2027"/>
      <c r="Q2027"/>
      <c r="R2027"/>
      <c r="S2027"/>
      <c r="T2027"/>
      <c r="U2027"/>
      <c r="V2027"/>
      <c r="W2027"/>
      <c r="X2027"/>
      <c r="Y2027"/>
      <c r="Z2027"/>
      <c r="AA2027"/>
      <c r="AB2027"/>
      <c r="AC2027"/>
      <c r="AD2027"/>
      <c r="AE2027"/>
      <c r="AF2027"/>
      <c r="AG2027"/>
      <c r="AH2027"/>
      <c r="AI2027"/>
      <c r="AJ2027"/>
      <c r="AK2027"/>
      <c r="AL2027"/>
    </row>
    <row r="2028" spans="1:38" ht="15.75" customHeight="1" outlineLevel="3" x14ac:dyDescent="0.2">
      <c r="A2028" s="10">
        <v>1</v>
      </c>
      <c r="B2028" s="10" t="s">
        <v>71</v>
      </c>
      <c r="C2028" s="10" t="s">
        <v>1376</v>
      </c>
      <c r="D2028" s="10" t="s">
        <v>1393</v>
      </c>
      <c r="E2028" s="11" t="str">
        <f t="array" ref="E2028">_xlfn.XLOOKUP(D2028,Insumos!B:B,Insumos!C:$C)</f>
        <v>M2</v>
      </c>
      <c r="F2028" s="14">
        <v>1.1000000000000001</v>
      </c>
      <c r="G2028" s="92">
        <f t="array" ref="G2028">IF(B2028="insumo",_xlfn.XLOOKUP($D2028,Insumos!$B$1:$B$996,Insumos!$D$1:$D$996),"")</f>
        <v>117.21311475409837</v>
      </c>
      <c r="H2028" s="92">
        <v>128.93442622950801</v>
      </c>
      <c r="I2028" s="13">
        <v>0</v>
      </c>
      <c r="J2028" s="13">
        <v>0</v>
      </c>
      <c r="K2028" s="13"/>
      <c r="L2028"/>
      <c r="M2028"/>
      <c r="N2028"/>
      <c r="O2028"/>
      <c r="P2028"/>
      <c r="Q2028"/>
      <c r="R2028"/>
      <c r="S2028"/>
      <c r="T2028"/>
      <c r="U2028"/>
      <c r="V2028"/>
      <c r="W2028"/>
      <c r="X2028"/>
      <c r="Y2028"/>
      <c r="Z2028"/>
      <c r="AA2028"/>
      <c r="AB2028"/>
      <c r="AC2028"/>
      <c r="AD2028"/>
      <c r="AE2028"/>
      <c r="AF2028"/>
      <c r="AG2028"/>
      <c r="AH2028"/>
      <c r="AI2028"/>
      <c r="AJ2028"/>
      <c r="AK2028"/>
      <c r="AL2028"/>
    </row>
    <row r="2029" spans="1:38" ht="15.75" customHeight="1" outlineLevel="2" x14ac:dyDescent="0.2">
      <c r="A2029" s="1067">
        <v>1</v>
      </c>
      <c r="B2029" s="1067" t="s">
        <v>68</v>
      </c>
      <c r="C2029" s="1067" t="s">
        <v>1349</v>
      </c>
      <c r="D2029" s="1067" t="s">
        <v>1349</v>
      </c>
      <c r="E2029" s="1068" t="s">
        <v>70</v>
      </c>
      <c r="F2029" s="1067"/>
      <c r="G2029" s="1069" t="str">
        <f t="array" ref="G2029">IF(B2029="insumo",_xlfn.XLOOKUP($D2029,Insumos!$B$1:$B$996,Insumos!$D$1:$D$996),"")</f>
        <v/>
      </c>
      <c r="H2029" s="1069">
        <v>241.79521566666699</v>
      </c>
      <c r="I2029" s="1070">
        <v>0</v>
      </c>
      <c r="J2029" s="1070">
        <v>0</v>
      </c>
      <c r="K2029" s="1070"/>
      <c r="L2029"/>
      <c r="M2029"/>
      <c r="N2029"/>
      <c r="O2029"/>
      <c r="P2029"/>
      <c r="Q2029"/>
      <c r="R2029"/>
      <c r="S2029"/>
      <c r="T2029"/>
      <c r="U2029"/>
      <c r="V2029"/>
      <c r="W2029"/>
      <c r="X2029"/>
      <c r="Y2029"/>
      <c r="Z2029"/>
      <c r="AA2029"/>
      <c r="AB2029"/>
      <c r="AC2029"/>
      <c r="AD2029"/>
      <c r="AE2029"/>
      <c r="AF2029"/>
      <c r="AG2029"/>
      <c r="AH2029"/>
      <c r="AI2029"/>
      <c r="AJ2029"/>
      <c r="AK2029"/>
      <c r="AL2029"/>
    </row>
    <row r="2030" spans="1:38" ht="15.75" customHeight="1" outlineLevel="3" x14ac:dyDescent="0.2">
      <c r="A2030" s="10">
        <v>86</v>
      </c>
      <c r="B2030" s="10" t="s">
        <v>71</v>
      </c>
      <c r="C2030" s="10" t="s">
        <v>1349</v>
      </c>
      <c r="D2030" s="10" t="s">
        <v>407</v>
      </c>
      <c r="E2030" s="11" t="str">
        <f t="array" ref="E2030">_xlfn.XLOOKUP(D2030,Insumos!B:B,Insumos!C:$C)</f>
        <v>M2</v>
      </c>
      <c r="F2030" s="14">
        <v>1</v>
      </c>
      <c r="G2030" s="92">
        <f t="array" ref="G2030">IF(B2030="insumo",_xlfn.XLOOKUP($D2030,Insumos!$B$1:$B$996,Insumos!$D$1:$D$996),"")</f>
        <v>70</v>
      </c>
      <c r="H2030" s="92">
        <v>70</v>
      </c>
      <c r="I2030" s="13">
        <v>0</v>
      </c>
      <c r="J2030" s="13">
        <v>0</v>
      </c>
      <c r="K2030" s="13"/>
      <c r="L2030"/>
      <c r="M2030"/>
      <c r="N2030"/>
      <c r="O2030"/>
      <c r="P2030"/>
      <c r="Q2030"/>
      <c r="R2030"/>
      <c r="S2030"/>
      <c r="T2030"/>
      <c r="U2030"/>
      <c r="V2030"/>
      <c r="W2030"/>
      <c r="X2030"/>
      <c r="Y2030"/>
      <c r="Z2030"/>
      <c r="AA2030"/>
      <c r="AB2030"/>
      <c r="AC2030"/>
      <c r="AD2030"/>
      <c r="AE2030"/>
      <c r="AF2030"/>
      <c r="AG2030"/>
      <c r="AH2030"/>
      <c r="AI2030"/>
      <c r="AJ2030"/>
      <c r="AK2030"/>
      <c r="AL2030"/>
    </row>
    <row r="2031" spans="1:38" ht="15.75" customHeight="1" outlineLevel="3" x14ac:dyDescent="0.2">
      <c r="A2031" s="10">
        <v>49</v>
      </c>
      <c r="B2031" s="10" t="s">
        <v>71</v>
      </c>
      <c r="C2031" s="10" t="s">
        <v>1349</v>
      </c>
      <c r="D2031" s="10" t="s">
        <v>418</v>
      </c>
      <c r="E2031" s="11" t="str">
        <f t="array" ref="E2031">_xlfn.XLOOKUP(D2031,Insumos!B:B,Insumos!C:$C)</f>
        <v>M2</v>
      </c>
      <c r="F2031" s="14">
        <v>2.1059999999999999</v>
      </c>
      <c r="G2031" s="92">
        <f t="array" ref="G2031">IF(B2031="insumo",_xlfn.XLOOKUP($D2031,Insumos!$B$1:$B$996,Insumos!$D$1:$D$996),"")</f>
        <v>27.1</v>
      </c>
      <c r="H2031" s="92">
        <v>57.072600000000001</v>
      </c>
      <c r="I2031" s="13">
        <v>0</v>
      </c>
      <c r="J2031" s="13">
        <v>0</v>
      </c>
      <c r="K2031" s="13"/>
      <c r="L2031"/>
      <c r="M2031"/>
      <c r="N2031"/>
      <c r="O2031"/>
      <c r="P2031"/>
      <c r="Q2031"/>
      <c r="R2031"/>
      <c r="S2031"/>
      <c r="T2031"/>
      <c r="U2031"/>
      <c r="V2031"/>
      <c r="W2031"/>
      <c r="X2031"/>
      <c r="Y2031"/>
      <c r="Z2031"/>
      <c r="AA2031"/>
      <c r="AB2031"/>
      <c r="AC2031"/>
      <c r="AD2031"/>
      <c r="AE2031"/>
      <c r="AF2031"/>
      <c r="AG2031"/>
      <c r="AH2031"/>
      <c r="AI2031"/>
      <c r="AJ2031"/>
      <c r="AK2031"/>
      <c r="AL2031"/>
    </row>
    <row r="2032" spans="1:38" ht="15.75" customHeight="1" outlineLevel="3" x14ac:dyDescent="0.2">
      <c r="A2032" s="10">
        <v>95</v>
      </c>
      <c r="B2032" s="10" t="s">
        <v>71</v>
      </c>
      <c r="C2032" s="10" t="s">
        <v>1349</v>
      </c>
      <c r="D2032" s="10" t="s">
        <v>409</v>
      </c>
      <c r="E2032" s="11" t="str">
        <f t="array" ref="E2032">_xlfn.XLOOKUP(D2032,Insumos!B:B,Insumos!C:$C)</f>
        <v>UN</v>
      </c>
      <c r="F2032" s="14">
        <v>5.92</v>
      </c>
      <c r="G2032" s="92">
        <f t="array" ref="G2032">IF(B2032="insumo",_xlfn.XLOOKUP($D2032,Insumos!$B$1:$B$996,Insumos!$D$1:$D$996),"")</f>
        <v>0.504</v>
      </c>
      <c r="H2032" s="92">
        <v>2.9836800000000001</v>
      </c>
      <c r="I2032" s="13">
        <v>0</v>
      </c>
      <c r="J2032" s="13">
        <v>0</v>
      </c>
      <c r="K2032" s="13"/>
      <c r="L2032"/>
      <c r="M2032"/>
      <c r="N2032"/>
      <c r="O2032"/>
      <c r="P2032"/>
      <c r="Q2032"/>
      <c r="R2032"/>
      <c r="S2032"/>
      <c r="T2032"/>
      <c r="U2032"/>
      <c r="V2032"/>
      <c r="W2032"/>
      <c r="X2032"/>
      <c r="Y2032"/>
      <c r="Z2032"/>
      <c r="AA2032"/>
      <c r="AB2032"/>
      <c r="AC2032"/>
      <c r="AD2032"/>
      <c r="AE2032"/>
      <c r="AF2032"/>
      <c r="AG2032"/>
      <c r="AH2032"/>
      <c r="AI2032"/>
      <c r="AJ2032"/>
      <c r="AK2032"/>
      <c r="AL2032"/>
    </row>
    <row r="2033" spans="1:38" ht="15.75" customHeight="1" outlineLevel="3" x14ac:dyDescent="0.2">
      <c r="A2033" s="10">
        <v>43</v>
      </c>
      <c r="B2033" s="10" t="s">
        <v>71</v>
      </c>
      <c r="C2033" s="10" t="s">
        <v>1349</v>
      </c>
      <c r="D2033" s="10" t="s">
        <v>423</v>
      </c>
      <c r="E2033" s="11" t="str">
        <f t="array" ref="E2033">_xlfn.XLOOKUP(D2033,Insumos!B:B,Insumos!C:$C)</f>
        <v>M</v>
      </c>
      <c r="F2033" s="14">
        <f>1.5248*2</f>
        <v>3.0495999999999999</v>
      </c>
      <c r="G2033" s="92">
        <f t="array" ref="G2033">IF(B2033="insumo",_xlfn.XLOOKUP($D2033,Insumos!$B$1:$B$996,Insumos!$D$1:$D$996),"")</f>
        <v>7.46</v>
      </c>
      <c r="H2033" s="92">
        <v>22.750015999999999</v>
      </c>
      <c r="I2033" s="13">
        <v>0</v>
      </c>
      <c r="J2033" s="13">
        <v>0</v>
      </c>
      <c r="K2033" s="13"/>
      <c r="L2033"/>
      <c r="M2033"/>
      <c r="N2033"/>
      <c r="O2033"/>
      <c r="P2033"/>
      <c r="Q2033"/>
      <c r="R2033"/>
      <c r="S2033"/>
      <c r="T2033"/>
      <c r="U2033"/>
      <c r="V2033"/>
      <c r="W2033"/>
      <c r="X2033"/>
      <c r="Y2033"/>
      <c r="Z2033"/>
      <c r="AA2033"/>
      <c r="AB2033"/>
      <c r="AC2033"/>
      <c r="AD2033"/>
      <c r="AE2033"/>
      <c r="AF2033"/>
      <c r="AG2033"/>
      <c r="AH2033"/>
      <c r="AI2033"/>
      <c r="AJ2033"/>
      <c r="AK2033"/>
      <c r="AL2033"/>
    </row>
    <row r="2034" spans="1:38" ht="15.75" customHeight="1" outlineLevel="3" x14ac:dyDescent="0.2">
      <c r="A2034" s="10">
        <v>43</v>
      </c>
      <c r="B2034" s="10" t="s">
        <v>71</v>
      </c>
      <c r="C2034" s="10" t="s">
        <v>1349</v>
      </c>
      <c r="D2034" s="10" t="s">
        <v>424</v>
      </c>
      <c r="E2034" s="11" t="str">
        <f t="array" ref="E2034">_xlfn.XLOOKUP(D2034,Insumos!B:B,Insumos!C:$C)</f>
        <v>M</v>
      </c>
      <c r="F2034" s="14">
        <f>4.0011*2</f>
        <v>8.0022000000000002</v>
      </c>
      <c r="G2034" s="92">
        <f t="array" ref="G2034">IF(B2034="insumo",_xlfn.XLOOKUP($D2034,Insumos!$B$1:$B$996,Insumos!$D$1:$D$996),"")</f>
        <v>7.98</v>
      </c>
      <c r="H2034" s="92">
        <v>63.857556000000002</v>
      </c>
      <c r="I2034" s="13">
        <v>0</v>
      </c>
      <c r="J2034" s="13">
        <v>0</v>
      </c>
      <c r="K2034" s="13"/>
      <c r="L2034"/>
      <c r="M2034"/>
      <c r="N2034"/>
      <c r="O2034"/>
      <c r="P2034"/>
      <c r="Q2034"/>
      <c r="R2034"/>
      <c r="S2034"/>
      <c r="T2034"/>
      <c r="U2034"/>
      <c r="V2034"/>
      <c r="W2034"/>
      <c r="X2034"/>
      <c r="Y2034"/>
      <c r="Z2034"/>
      <c r="AA2034"/>
      <c r="AB2034"/>
      <c r="AC2034"/>
      <c r="AD2034"/>
      <c r="AE2034"/>
      <c r="AF2034"/>
      <c r="AG2034"/>
      <c r="AH2034"/>
      <c r="AI2034"/>
      <c r="AJ2034"/>
      <c r="AK2034"/>
      <c r="AL2034"/>
    </row>
    <row r="2035" spans="1:38" ht="15.75" customHeight="1" outlineLevel="3" x14ac:dyDescent="0.2">
      <c r="A2035" s="10">
        <v>95</v>
      </c>
      <c r="B2035" s="10" t="s">
        <v>71</v>
      </c>
      <c r="C2035" s="10" t="s">
        <v>1349</v>
      </c>
      <c r="D2035" s="10" t="s">
        <v>405</v>
      </c>
      <c r="E2035" s="11" t="str">
        <f t="array" ref="E2035">_xlfn.XLOOKUP(D2035,Insumos!B:B,Insumos!C:$C)</f>
        <v>KG</v>
      </c>
      <c r="F2035" s="14">
        <v>1.0978000000000001</v>
      </c>
      <c r="G2035" s="92">
        <f t="array" ref="G2035">IF(B2035="insumo",_xlfn.XLOOKUP($D2035,Insumos!$B$1:$B$996,Insumos!$D$1:$D$996),"")</f>
        <v>3.43</v>
      </c>
      <c r="H2035" s="92">
        <v>3.7654540000000001</v>
      </c>
      <c r="I2035" s="13">
        <v>0</v>
      </c>
      <c r="J2035" s="13">
        <v>0</v>
      </c>
      <c r="K2035" s="13"/>
      <c r="L2035"/>
      <c r="M2035"/>
      <c r="N2035"/>
      <c r="O2035"/>
      <c r="P2035"/>
      <c r="Q2035"/>
      <c r="R2035"/>
      <c r="S2035"/>
      <c r="T2035"/>
      <c r="U2035"/>
      <c r="V2035"/>
      <c r="W2035"/>
      <c r="X2035"/>
      <c r="Y2035"/>
      <c r="Z2035"/>
      <c r="AA2035"/>
      <c r="AB2035"/>
      <c r="AC2035"/>
      <c r="AD2035"/>
      <c r="AE2035"/>
      <c r="AF2035"/>
      <c r="AG2035"/>
      <c r="AH2035"/>
      <c r="AI2035"/>
      <c r="AJ2035"/>
      <c r="AK2035"/>
      <c r="AL2035"/>
    </row>
    <row r="2036" spans="1:38" ht="15.75" customHeight="1" outlineLevel="3" x14ac:dyDescent="0.2">
      <c r="A2036" s="10">
        <v>94</v>
      </c>
      <c r="B2036" s="10" t="s">
        <v>71</v>
      </c>
      <c r="C2036" s="10" t="s">
        <v>1349</v>
      </c>
      <c r="D2036" s="10" t="s">
        <v>412</v>
      </c>
      <c r="E2036" s="11" t="str">
        <f t="array" ref="E2036">_xlfn.XLOOKUP(D2036,Insumos!B:B,Insumos!C:$C)</f>
        <v>M</v>
      </c>
      <c r="F2036" s="14">
        <v>2.5026999999999999</v>
      </c>
      <c r="G2036" s="92">
        <f t="array" ref="G2036">IF(B2036="insumo",_xlfn.XLOOKUP($D2036,Insumos!$B$1:$B$996,Insumos!$D$1:$D$996),"")</f>
        <v>0.31</v>
      </c>
      <c r="H2036" s="92">
        <v>0.775837</v>
      </c>
      <c r="I2036" s="13">
        <v>0</v>
      </c>
      <c r="J2036" s="13">
        <v>0</v>
      </c>
      <c r="K2036" s="13"/>
      <c r="L2036"/>
      <c r="M2036"/>
      <c r="N2036"/>
      <c r="O2036"/>
      <c r="P2036"/>
      <c r="Q2036"/>
      <c r="R2036"/>
      <c r="S2036"/>
      <c r="T2036"/>
      <c r="U2036"/>
      <c r="V2036"/>
      <c r="W2036"/>
      <c r="X2036"/>
      <c r="Y2036"/>
      <c r="Z2036"/>
      <c r="AA2036"/>
      <c r="AB2036"/>
      <c r="AC2036"/>
      <c r="AD2036"/>
      <c r="AE2036"/>
      <c r="AF2036"/>
      <c r="AG2036"/>
      <c r="AH2036"/>
      <c r="AI2036"/>
      <c r="AJ2036"/>
      <c r="AK2036"/>
      <c r="AL2036"/>
    </row>
    <row r="2037" spans="1:38" ht="15.75" customHeight="1" outlineLevel="3" x14ac:dyDescent="0.2">
      <c r="A2037" s="10">
        <v>94</v>
      </c>
      <c r="B2037" s="10" t="s">
        <v>71</v>
      </c>
      <c r="C2037" s="10" t="s">
        <v>1349</v>
      </c>
      <c r="D2037" s="10" t="s">
        <v>413</v>
      </c>
      <c r="E2037" s="11" t="str">
        <f t="array" ref="E2037">_xlfn.XLOOKUP(D2037,Insumos!B:B,Insumos!C:$C)</f>
        <v>M</v>
      </c>
      <c r="F2037" s="14">
        <v>1.5851</v>
      </c>
      <c r="G2037" s="92">
        <f t="array" ref="G2037">IF(B2037="insumo",_xlfn.XLOOKUP($D2037,Insumos!$B$1:$B$996,Insumos!$D$1:$D$996),"")</f>
        <v>2.74</v>
      </c>
      <c r="H2037" s="92">
        <v>4.3431740000000003</v>
      </c>
      <c r="I2037" s="13">
        <v>0</v>
      </c>
      <c r="J2037" s="13">
        <v>0</v>
      </c>
      <c r="K2037" s="13"/>
      <c r="L2037"/>
      <c r="M2037"/>
      <c r="N2037"/>
      <c r="O2037"/>
      <c r="P2037"/>
      <c r="Q2037"/>
      <c r="R2037"/>
      <c r="S2037"/>
      <c r="T2037"/>
      <c r="U2037"/>
      <c r="V2037"/>
      <c r="W2037"/>
      <c r="X2037"/>
      <c r="Y2037"/>
      <c r="Z2037"/>
      <c r="AA2037"/>
      <c r="AB2037"/>
      <c r="AC2037"/>
      <c r="AD2037"/>
      <c r="AE2037"/>
      <c r="AF2037"/>
      <c r="AG2037"/>
      <c r="AH2037"/>
      <c r="AI2037"/>
      <c r="AJ2037"/>
      <c r="AK2037"/>
      <c r="AL2037"/>
    </row>
    <row r="2038" spans="1:38" ht="15.75" customHeight="1" outlineLevel="3" x14ac:dyDescent="0.2">
      <c r="A2038" s="10">
        <v>97</v>
      </c>
      <c r="B2038" s="10" t="s">
        <v>71</v>
      </c>
      <c r="C2038" s="10" t="s">
        <v>1349</v>
      </c>
      <c r="D2038" s="10" t="s">
        <v>414</v>
      </c>
      <c r="E2038" s="11" t="str">
        <f t="array" ref="E2038">_xlfn.XLOOKUP(D2038,Insumos!B:B,Insumos!C:$C)</f>
        <v>UN</v>
      </c>
      <c r="F2038" s="14">
        <v>20.186800000000002</v>
      </c>
      <c r="G2038" s="92">
        <f t="array" ref="G2038">IF(B2038="insumo",_xlfn.XLOOKUP($D2038,Insumos!$B$1:$B$996,Insumos!$D$1:$D$996),"")</f>
        <v>0.09</v>
      </c>
      <c r="H2038" s="92">
        <v>1.8168120000000001</v>
      </c>
      <c r="I2038" s="13">
        <v>0</v>
      </c>
      <c r="J2038" s="13">
        <v>0</v>
      </c>
      <c r="K2038" s="13"/>
      <c r="L2038"/>
      <c r="M2038"/>
      <c r="N2038"/>
      <c r="O2038"/>
      <c r="P2038"/>
      <c r="Q2038"/>
      <c r="R2038"/>
      <c r="S2038"/>
      <c r="T2038"/>
      <c r="U2038"/>
      <c r="V2038"/>
      <c r="W2038"/>
      <c r="X2038"/>
      <c r="Y2038"/>
      <c r="Z2038"/>
      <c r="AA2038"/>
      <c r="AB2038"/>
      <c r="AC2038"/>
      <c r="AD2038"/>
      <c r="AE2038"/>
      <c r="AF2038"/>
      <c r="AG2038"/>
      <c r="AH2038"/>
      <c r="AI2038"/>
      <c r="AJ2038"/>
      <c r="AK2038"/>
      <c r="AL2038"/>
    </row>
    <row r="2039" spans="1:38" ht="15.75" customHeight="1" outlineLevel="3" x14ac:dyDescent="0.2">
      <c r="A2039" s="10">
        <v>95</v>
      </c>
      <c r="B2039" s="10" t="s">
        <v>71</v>
      </c>
      <c r="C2039" s="10" t="s">
        <v>1349</v>
      </c>
      <c r="D2039" s="10" t="s">
        <v>415</v>
      </c>
      <c r="E2039" s="11" t="str">
        <f t="array" ref="E2039">_xlfn.XLOOKUP(D2039,Insumos!B:B,Insumos!C:$C)</f>
        <v>UN</v>
      </c>
      <c r="F2039" s="14">
        <v>0.54410000000000003</v>
      </c>
      <c r="G2039" s="92">
        <f t="array" ref="G2039">IF(B2039="insumo",_xlfn.XLOOKUP($D2039,Insumos!$B$1:$B$996,Insumos!$D$1:$D$996),"")</f>
        <v>0.2</v>
      </c>
      <c r="H2039" s="92">
        <v>0.10882</v>
      </c>
      <c r="I2039" s="13">
        <v>0</v>
      </c>
      <c r="J2039" s="13">
        <v>0</v>
      </c>
      <c r="K2039" s="13"/>
      <c r="L2039"/>
      <c r="M2039"/>
      <c r="N2039"/>
      <c r="O2039"/>
      <c r="P2039"/>
      <c r="Q2039"/>
      <c r="R2039"/>
      <c r="S2039"/>
      <c r="T2039"/>
      <c r="U2039"/>
      <c r="V2039"/>
      <c r="W2039"/>
      <c r="X2039"/>
      <c r="Y2039"/>
      <c r="Z2039"/>
      <c r="AA2039"/>
      <c r="AB2039"/>
      <c r="AC2039"/>
      <c r="AD2039"/>
      <c r="AE2039"/>
      <c r="AF2039"/>
      <c r="AG2039"/>
      <c r="AH2039"/>
      <c r="AI2039"/>
      <c r="AJ2039"/>
      <c r="AK2039"/>
      <c r="AL2039"/>
    </row>
    <row r="2040" spans="1:38" ht="15.75" customHeight="1" outlineLevel="3" x14ac:dyDescent="0.2">
      <c r="A2040" s="10">
        <v>35</v>
      </c>
      <c r="B2040" s="10" t="s">
        <v>71</v>
      </c>
      <c r="C2040" s="10" t="s">
        <v>1349</v>
      </c>
      <c r="D2040" s="10" t="s">
        <v>1595</v>
      </c>
      <c r="E2040" s="11" t="str">
        <f t="array" ref="E2040">_xlfn.XLOOKUP(D2040,Insumos!B:B,Insumos!C:$C)</f>
        <v>M2</v>
      </c>
      <c r="F2040" s="14">
        <v>1.1000000000000001</v>
      </c>
      <c r="G2040" s="92">
        <f t="array" ref="G2040">IF(B2040="insumo",_xlfn.XLOOKUP($D2040,Insumos!$B$1:$B$996,Insumos!$D$1:$D$996),"")</f>
        <v>13.019333333333332</v>
      </c>
      <c r="H2040" s="92">
        <v>14.3212666666667</v>
      </c>
      <c r="I2040" s="13">
        <v>0</v>
      </c>
      <c r="J2040" s="13">
        <v>0</v>
      </c>
      <c r="K2040" s="13"/>
      <c r="L2040"/>
      <c r="M2040"/>
      <c r="N2040"/>
      <c r="O2040"/>
      <c r="P2040"/>
      <c r="Q2040"/>
      <c r="R2040"/>
      <c r="S2040"/>
      <c r="T2040"/>
      <c r="U2040"/>
      <c r="V2040"/>
      <c r="W2040"/>
      <c r="X2040"/>
      <c r="Y2040"/>
      <c r="Z2040"/>
      <c r="AA2040"/>
      <c r="AB2040"/>
      <c r="AC2040"/>
      <c r="AD2040"/>
      <c r="AE2040"/>
      <c r="AF2040"/>
      <c r="AG2040"/>
      <c r="AH2040"/>
      <c r="AI2040"/>
      <c r="AJ2040"/>
      <c r="AK2040"/>
      <c r="AL2040"/>
    </row>
    <row r="2041" spans="1:38" ht="15.75" customHeight="1" outlineLevel="2" x14ac:dyDescent="0.2">
      <c r="A2041" s="1067">
        <v>1</v>
      </c>
      <c r="B2041" s="1067" t="s">
        <v>68</v>
      </c>
      <c r="C2041" s="1067" t="s">
        <v>1350</v>
      </c>
      <c r="D2041" s="1067" t="s">
        <v>1350</v>
      </c>
      <c r="E2041" s="1068" t="s">
        <v>70</v>
      </c>
      <c r="F2041" s="1067"/>
      <c r="G2041" s="1069" t="str">
        <f t="array" ref="G2041">IF(B2041="insumo",_xlfn.XLOOKUP($D2041,Insumos!$B$1:$B$996,Insumos!$D$1:$D$996),"")</f>
        <v/>
      </c>
      <c r="H2041" s="1069">
        <v>241.79521566666699</v>
      </c>
      <c r="I2041" s="1070">
        <v>0</v>
      </c>
      <c r="J2041" s="1070">
        <v>0</v>
      </c>
      <c r="K2041" s="1070"/>
      <c r="L2041"/>
      <c r="M2041"/>
      <c r="N2041"/>
      <c r="O2041"/>
      <c r="P2041"/>
      <c r="Q2041"/>
      <c r="R2041"/>
      <c r="S2041"/>
      <c r="T2041"/>
      <c r="U2041"/>
      <c r="V2041"/>
      <c r="W2041"/>
      <c r="X2041"/>
      <c r="Y2041"/>
      <c r="Z2041"/>
      <c r="AA2041"/>
      <c r="AB2041"/>
      <c r="AC2041"/>
      <c r="AD2041"/>
      <c r="AE2041"/>
      <c r="AF2041"/>
      <c r="AG2041"/>
      <c r="AH2041"/>
      <c r="AI2041"/>
      <c r="AJ2041"/>
      <c r="AK2041"/>
      <c r="AL2041"/>
    </row>
    <row r="2042" spans="1:38" ht="15.75" customHeight="1" outlineLevel="3" x14ac:dyDescent="0.2">
      <c r="A2042" s="10">
        <v>86</v>
      </c>
      <c r="B2042" s="10" t="s">
        <v>71</v>
      </c>
      <c r="C2042" s="10" t="s">
        <v>1350</v>
      </c>
      <c r="D2042" s="10" t="s">
        <v>407</v>
      </c>
      <c r="E2042" s="11" t="str">
        <f t="array" ref="E2042">_xlfn.XLOOKUP(D2042,Insumos!B:B,Insumos!C:$C)</f>
        <v>M2</v>
      </c>
      <c r="F2042" s="14">
        <v>1</v>
      </c>
      <c r="G2042" s="92">
        <f t="array" ref="G2042">IF(B2042="insumo",_xlfn.XLOOKUP($D2042,Insumos!$B$1:$B$996,Insumos!$D$1:$D$996),"")</f>
        <v>70</v>
      </c>
      <c r="H2042" s="92">
        <v>70</v>
      </c>
      <c r="I2042" s="13">
        <v>0</v>
      </c>
      <c r="J2042" s="13">
        <v>0</v>
      </c>
      <c r="K2042" s="13"/>
      <c r="L2042"/>
      <c r="M2042"/>
      <c r="N2042"/>
      <c r="O2042"/>
      <c r="P2042"/>
      <c r="Q2042"/>
      <c r="R2042"/>
      <c r="S2042"/>
      <c r="T2042"/>
      <c r="U2042"/>
      <c r="V2042"/>
      <c r="W2042"/>
      <c r="X2042"/>
      <c r="Y2042"/>
      <c r="Z2042"/>
      <c r="AA2042"/>
      <c r="AB2042"/>
      <c r="AC2042"/>
      <c r="AD2042"/>
      <c r="AE2042"/>
      <c r="AF2042"/>
      <c r="AG2042"/>
      <c r="AH2042"/>
      <c r="AI2042"/>
      <c r="AJ2042"/>
      <c r="AK2042"/>
      <c r="AL2042"/>
    </row>
    <row r="2043" spans="1:38" ht="15.75" customHeight="1" outlineLevel="3" x14ac:dyDescent="0.2">
      <c r="A2043" s="10">
        <v>49</v>
      </c>
      <c r="B2043" s="10" t="s">
        <v>71</v>
      </c>
      <c r="C2043" s="10" t="s">
        <v>1350</v>
      </c>
      <c r="D2043" s="10" t="s">
        <v>418</v>
      </c>
      <c r="E2043" s="11" t="str">
        <f t="array" ref="E2043">_xlfn.XLOOKUP(D2043,Insumos!B:B,Insumos!C:$C)</f>
        <v>M2</v>
      </c>
      <c r="F2043" s="14">
        <v>2.1059999999999999</v>
      </c>
      <c r="G2043" s="92">
        <f t="array" ref="G2043">IF(B2043="insumo",_xlfn.XLOOKUP($D2043,Insumos!$B$1:$B$996,Insumos!$D$1:$D$996),"")</f>
        <v>27.1</v>
      </c>
      <c r="H2043" s="92">
        <v>57.072600000000001</v>
      </c>
      <c r="I2043" s="13">
        <v>0</v>
      </c>
      <c r="J2043" s="13">
        <v>0</v>
      </c>
      <c r="K2043" s="13"/>
      <c r="L2043"/>
      <c r="M2043"/>
      <c r="N2043"/>
      <c r="O2043"/>
      <c r="P2043"/>
      <c r="Q2043"/>
      <c r="R2043"/>
      <c r="S2043"/>
      <c r="T2043"/>
      <c r="U2043"/>
      <c r="V2043"/>
      <c r="W2043"/>
      <c r="X2043"/>
      <c r="Y2043"/>
      <c r="Z2043"/>
      <c r="AA2043"/>
      <c r="AB2043"/>
      <c r="AC2043"/>
      <c r="AD2043"/>
      <c r="AE2043"/>
      <c r="AF2043"/>
      <c r="AG2043"/>
      <c r="AH2043"/>
      <c r="AI2043"/>
      <c r="AJ2043"/>
      <c r="AK2043"/>
      <c r="AL2043"/>
    </row>
    <row r="2044" spans="1:38" ht="15.75" customHeight="1" outlineLevel="3" x14ac:dyDescent="0.2">
      <c r="A2044" s="10">
        <v>95</v>
      </c>
      <c r="B2044" s="10" t="s">
        <v>71</v>
      </c>
      <c r="C2044" s="10" t="s">
        <v>1350</v>
      </c>
      <c r="D2044" s="10" t="s">
        <v>409</v>
      </c>
      <c r="E2044" s="11" t="str">
        <f t="array" ref="E2044">_xlfn.XLOOKUP(D2044,Insumos!B:B,Insumos!C:$C)</f>
        <v>UN</v>
      </c>
      <c r="F2044" s="14">
        <v>5.92</v>
      </c>
      <c r="G2044" s="92">
        <f t="array" ref="G2044">IF(B2044="insumo",_xlfn.XLOOKUP($D2044,Insumos!$B$1:$B$996,Insumos!$D$1:$D$996),"")</f>
        <v>0.504</v>
      </c>
      <c r="H2044" s="92">
        <v>2.9836800000000001</v>
      </c>
      <c r="I2044" s="13">
        <v>0</v>
      </c>
      <c r="J2044" s="13">
        <v>0</v>
      </c>
      <c r="K2044" s="13"/>
      <c r="L2044"/>
      <c r="M2044"/>
      <c r="N2044"/>
      <c r="O2044"/>
      <c r="P2044"/>
      <c r="Q2044"/>
      <c r="R2044"/>
      <c r="S2044"/>
      <c r="T2044"/>
      <c r="U2044"/>
      <c r="V2044"/>
      <c r="W2044"/>
      <c r="X2044"/>
      <c r="Y2044"/>
      <c r="Z2044"/>
      <c r="AA2044"/>
      <c r="AB2044"/>
      <c r="AC2044"/>
      <c r="AD2044"/>
      <c r="AE2044"/>
      <c r="AF2044"/>
      <c r="AG2044"/>
      <c r="AH2044"/>
      <c r="AI2044"/>
      <c r="AJ2044"/>
      <c r="AK2044"/>
      <c r="AL2044"/>
    </row>
    <row r="2045" spans="1:38" ht="15.75" customHeight="1" outlineLevel="3" x14ac:dyDescent="0.2">
      <c r="A2045" s="10">
        <v>43</v>
      </c>
      <c r="B2045" s="10" t="s">
        <v>71</v>
      </c>
      <c r="C2045" s="10" t="s">
        <v>1350</v>
      </c>
      <c r="D2045" s="10" t="s">
        <v>423</v>
      </c>
      <c r="E2045" s="11" t="str">
        <f t="array" ref="E2045">_xlfn.XLOOKUP(D2045,Insumos!B:B,Insumos!C:$C)</f>
        <v>M</v>
      </c>
      <c r="F2045" s="14">
        <f>1.5248*2</f>
        <v>3.0495999999999999</v>
      </c>
      <c r="G2045" s="92">
        <f t="array" ref="G2045">IF(B2045="insumo",_xlfn.XLOOKUP($D2045,Insumos!$B$1:$B$996,Insumos!$D$1:$D$996),"")</f>
        <v>7.46</v>
      </c>
      <c r="H2045" s="92">
        <v>22.750015999999999</v>
      </c>
      <c r="I2045" s="13">
        <v>0</v>
      </c>
      <c r="J2045" s="13">
        <v>0</v>
      </c>
      <c r="K2045" s="13"/>
      <c r="L2045"/>
      <c r="M2045"/>
      <c r="N2045"/>
      <c r="O2045"/>
      <c r="P2045"/>
      <c r="Q2045"/>
      <c r="R2045"/>
      <c r="S2045"/>
      <c r="T2045"/>
      <c r="U2045"/>
      <c r="V2045"/>
      <c r="W2045"/>
      <c r="X2045"/>
      <c r="Y2045"/>
      <c r="Z2045"/>
      <c r="AA2045"/>
      <c r="AB2045"/>
      <c r="AC2045"/>
      <c r="AD2045"/>
      <c r="AE2045"/>
      <c r="AF2045"/>
      <c r="AG2045"/>
      <c r="AH2045"/>
      <c r="AI2045"/>
      <c r="AJ2045"/>
      <c r="AK2045"/>
      <c r="AL2045"/>
    </row>
    <row r="2046" spans="1:38" ht="15.75" customHeight="1" outlineLevel="3" x14ac:dyDescent="0.2">
      <c r="A2046" s="10">
        <v>43</v>
      </c>
      <c r="B2046" s="10" t="s">
        <v>71</v>
      </c>
      <c r="C2046" s="10" t="s">
        <v>1350</v>
      </c>
      <c r="D2046" s="10" t="s">
        <v>424</v>
      </c>
      <c r="E2046" s="11" t="str">
        <f t="array" ref="E2046">_xlfn.XLOOKUP(D2046,Insumos!B:B,Insumos!C:$C)</f>
        <v>M</v>
      </c>
      <c r="F2046" s="14">
        <f>4.0011*2</f>
        <v>8.0022000000000002</v>
      </c>
      <c r="G2046" s="92">
        <f t="array" ref="G2046">IF(B2046="insumo",_xlfn.XLOOKUP($D2046,Insumos!$B$1:$B$996,Insumos!$D$1:$D$996),"")</f>
        <v>7.98</v>
      </c>
      <c r="H2046" s="92">
        <v>63.857556000000002</v>
      </c>
      <c r="I2046" s="13">
        <v>0</v>
      </c>
      <c r="J2046" s="13">
        <v>0</v>
      </c>
      <c r="K2046" s="13"/>
      <c r="L2046"/>
      <c r="M2046"/>
      <c r="N2046"/>
      <c r="O2046"/>
      <c r="P2046"/>
      <c r="Q2046"/>
      <c r="R2046"/>
      <c r="S2046"/>
      <c r="T2046"/>
      <c r="U2046"/>
      <c r="V2046"/>
      <c r="W2046"/>
      <c r="X2046"/>
      <c r="Y2046"/>
      <c r="Z2046"/>
      <c r="AA2046"/>
      <c r="AB2046"/>
      <c r="AC2046"/>
      <c r="AD2046"/>
      <c r="AE2046"/>
      <c r="AF2046"/>
      <c r="AG2046"/>
      <c r="AH2046"/>
      <c r="AI2046"/>
      <c r="AJ2046"/>
      <c r="AK2046"/>
      <c r="AL2046"/>
    </row>
    <row r="2047" spans="1:38" ht="15.75" customHeight="1" outlineLevel="3" x14ac:dyDescent="0.2">
      <c r="A2047" s="10">
        <v>95</v>
      </c>
      <c r="B2047" s="10" t="s">
        <v>71</v>
      </c>
      <c r="C2047" s="10" t="s">
        <v>1350</v>
      </c>
      <c r="D2047" s="10" t="s">
        <v>405</v>
      </c>
      <c r="E2047" s="11" t="str">
        <f t="array" ref="E2047">_xlfn.XLOOKUP(D2047,Insumos!B:B,Insumos!C:$C)</f>
        <v>KG</v>
      </c>
      <c r="F2047" s="14">
        <v>1.0978000000000001</v>
      </c>
      <c r="G2047" s="92">
        <f t="array" ref="G2047">IF(B2047="insumo",_xlfn.XLOOKUP($D2047,Insumos!$B$1:$B$996,Insumos!$D$1:$D$996),"")</f>
        <v>3.43</v>
      </c>
      <c r="H2047" s="92">
        <v>3.7654540000000001</v>
      </c>
      <c r="I2047" s="13">
        <v>0</v>
      </c>
      <c r="J2047" s="13">
        <v>0</v>
      </c>
      <c r="K2047" s="13"/>
      <c r="L2047"/>
      <c r="M2047"/>
      <c r="N2047"/>
      <c r="O2047"/>
      <c r="P2047"/>
      <c r="Q2047"/>
      <c r="R2047"/>
      <c r="S2047"/>
      <c r="T2047"/>
      <c r="U2047"/>
      <c r="V2047"/>
      <c r="W2047"/>
      <c r="X2047"/>
      <c r="Y2047"/>
      <c r="Z2047"/>
      <c r="AA2047"/>
      <c r="AB2047"/>
      <c r="AC2047"/>
      <c r="AD2047"/>
      <c r="AE2047"/>
      <c r="AF2047"/>
      <c r="AG2047"/>
      <c r="AH2047"/>
      <c r="AI2047"/>
      <c r="AJ2047"/>
      <c r="AK2047"/>
      <c r="AL2047"/>
    </row>
    <row r="2048" spans="1:38" ht="15.75" customHeight="1" outlineLevel="3" x14ac:dyDescent="0.2">
      <c r="A2048" s="10">
        <v>94</v>
      </c>
      <c r="B2048" s="10" t="s">
        <v>71</v>
      </c>
      <c r="C2048" s="10" t="s">
        <v>1350</v>
      </c>
      <c r="D2048" s="10" t="s">
        <v>412</v>
      </c>
      <c r="E2048" s="11" t="str">
        <f t="array" ref="E2048">_xlfn.XLOOKUP(D2048,Insumos!B:B,Insumos!C:$C)</f>
        <v>M</v>
      </c>
      <c r="F2048" s="14">
        <v>2.5026999999999999</v>
      </c>
      <c r="G2048" s="92">
        <f t="array" ref="G2048">IF(B2048="insumo",_xlfn.XLOOKUP($D2048,Insumos!$B$1:$B$996,Insumos!$D$1:$D$996),"")</f>
        <v>0.31</v>
      </c>
      <c r="H2048" s="92">
        <v>0.775837</v>
      </c>
      <c r="I2048" s="13">
        <v>0</v>
      </c>
      <c r="J2048" s="13">
        <v>0</v>
      </c>
      <c r="K2048" s="13"/>
      <c r="L2048"/>
      <c r="M2048"/>
      <c r="N2048"/>
      <c r="O2048"/>
      <c r="P2048"/>
      <c r="Q2048"/>
      <c r="R2048"/>
      <c r="S2048"/>
      <c r="T2048"/>
      <c r="U2048"/>
      <c r="V2048"/>
      <c r="W2048"/>
      <c r="X2048"/>
      <c r="Y2048"/>
      <c r="Z2048"/>
      <c r="AA2048"/>
      <c r="AB2048"/>
      <c r="AC2048"/>
      <c r="AD2048"/>
      <c r="AE2048"/>
      <c r="AF2048"/>
      <c r="AG2048"/>
      <c r="AH2048"/>
      <c r="AI2048"/>
      <c r="AJ2048"/>
      <c r="AK2048"/>
      <c r="AL2048"/>
    </row>
    <row r="2049" spans="1:38" ht="15.75" customHeight="1" outlineLevel="3" x14ac:dyDescent="0.2">
      <c r="A2049" s="10">
        <v>94</v>
      </c>
      <c r="B2049" s="10" t="s">
        <v>71</v>
      </c>
      <c r="C2049" s="10" t="s">
        <v>1350</v>
      </c>
      <c r="D2049" s="10" t="s">
        <v>413</v>
      </c>
      <c r="E2049" s="11" t="str">
        <f t="array" ref="E2049">_xlfn.XLOOKUP(D2049,Insumos!B:B,Insumos!C:$C)</f>
        <v>M</v>
      </c>
      <c r="F2049" s="14">
        <v>1.5851</v>
      </c>
      <c r="G2049" s="92">
        <f t="array" ref="G2049">IF(B2049="insumo",_xlfn.XLOOKUP($D2049,Insumos!$B$1:$B$996,Insumos!$D$1:$D$996),"")</f>
        <v>2.74</v>
      </c>
      <c r="H2049" s="92">
        <v>4.3431740000000003</v>
      </c>
      <c r="I2049" s="13">
        <v>0</v>
      </c>
      <c r="J2049" s="13">
        <v>0</v>
      </c>
      <c r="K2049" s="13"/>
      <c r="L2049"/>
      <c r="M2049"/>
      <c r="N2049"/>
      <c r="O2049"/>
      <c r="P2049"/>
      <c r="Q2049"/>
      <c r="R2049"/>
      <c r="S2049"/>
      <c r="T2049"/>
      <c r="U2049"/>
      <c r="V2049"/>
      <c r="W2049"/>
      <c r="X2049"/>
      <c r="Y2049"/>
      <c r="Z2049"/>
      <c r="AA2049"/>
      <c r="AB2049"/>
      <c r="AC2049"/>
      <c r="AD2049"/>
      <c r="AE2049"/>
      <c r="AF2049"/>
      <c r="AG2049"/>
      <c r="AH2049"/>
      <c r="AI2049"/>
      <c r="AJ2049"/>
      <c r="AK2049"/>
      <c r="AL2049"/>
    </row>
    <row r="2050" spans="1:38" ht="15.75" customHeight="1" outlineLevel="3" x14ac:dyDescent="0.2">
      <c r="A2050" s="10">
        <v>97</v>
      </c>
      <c r="B2050" s="10" t="s">
        <v>71</v>
      </c>
      <c r="C2050" s="10" t="s">
        <v>1350</v>
      </c>
      <c r="D2050" s="10" t="s">
        <v>414</v>
      </c>
      <c r="E2050" s="11" t="str">
        <f t="array" ref="E2050">_xlfn.XLOOKUP(D2050,Insumos!B:B,Insumos!C:$C)</f>
        <v>UN</v>
      </c>
      <c r="F2050" s="14">
        <v>20.186800000000002</v>
      </c>
      <c r="G2050" s="92">
        <f t="array" ref="G2050">IF(B2050="insumo",_xlfn.XLOOKUP($D2050,Insumos!$B$1:$B$996,Insumos!$D$1:$D$996),"")</f>
        <v>0.09</v>
      </c>
      <c r="H2050" s="92">
        <v>1.8168120000000001</v>
      </c>
      <c r="I2050" s="13">
        <v>0</v>
      </c>
      <c r="J2050" s="13">
        <v>0</v>
      </c>
      <c r="K2050" s="13"/>
      <c r="L2050"/>
      <c r="M2050"/>
      <c r="N2050"/>
      <c r="O2050"/>
      <c r="P2050"/>
      <c r="Q2050"/>
      <c r="R2050"/>
      <c r="S2050"/>
      <c r="T2050"/>
      <c r="U2050"/>
      <c r="V2050"/>
      <c r="W2050"/>
      <c r="X2050"/>
      <c r="Y2050"/>
      <c r="Z2050"/>
      <c r="AA2050"/>
      <c r="AB2050"/>
      <c r="AC2050"/>
      <c r="AD2050"/>
      <c r="AE2050"/>
      <c r="AF2050"/>
      <c r="AG2050"/>
      <c r="AH2050"/>
      <c r="AI2050"/>
      <c r="AJ2050"/>
      <c r="AK2050"/>
      <c r="AL2050"/>
    </row>
    <row r="2051" spans="1:38" ht="15.75" customHeight="1" outlineLevel="3" x14ac:dyDescent="0.2">
      <c r="A2051" s="10">
        <v>95</v>
      </c>
      <c r="B2051" s="10" t="s">
        <v>71</v>
      </c>
      <c r="C2051" s="10" t="s">
        <v>1350</v>
      </c>
      <c r="D2051" s="10" t="s">
        <v>415</v>
      </c>
      <c r="E2051" s="11" t="str">
        <f t="array" ref="E2051">_xlfn.XLOOKUP(D2051,Insumos!B:B,Insumos!C:$C)</f>
        <v>UN</v>
      </c>
      <c r="F2051" s="14">
        <v>0.54410000000000003</v>
      </c>
      <c r="G2051" s="92">
        <f t="array" ref="G2051">IF(B2051="insumo",_xlfn.XLOOKUP($D2051,Insumos!$B$1:$B$996,Insumos!$D$1:$D$996),"")</f>
        <v>0.2</v>
      </c>
      <c r="H2051" s="92">
        <v>0.10882</v>
      </c>
      <c r="I2051" s="13">
        <v>0</v>
      </c>
      <c r="J2051" s="13">
        <v>0</v>
      </c>
      <c r="K2051" s="13"/>
      <c r="L2051"/>
      <c r="M2051"/>
      <c r="N2051"/>
      <c r="O2051"/>
      <c r="P2051"/>
      <c r="Q2051"/>
      <c r="R2051"/>
      <c r="S2051"/>
      <c r="T2051"/>
      <c r="U2051"/>
      <c r="V2051"/>
      <c r="W2051"/>
      <c r="X2051"/>
      <c r="Y2051"/>
      <c r="Z2051"/>
      <c r="AA2051"/>
      <c r="AB2051"/>
      <c r="AC2051"/>
      <c r="AD2051"/>
      <c r="AE2051"/>
      <c r="AF2051"/>
      <c r="AG2051"/>
      <c r="AH2051"/>
      <c r="AI2051"/>
      <c r="AJ2051"/>
      <c r="AK2051"/>
      <c r="AL2051"/>
    </row>
    <row r="2052" spans="1:38" ht="15.75" customHeight="1" outlineLevel="3" x14ac:dyDescent="0.2">
      <c r="A2052" s="10">
        <v>35</v>
      </c>
      <c r="B2052" s="10" t="s">
        <v>71</v>
      </c>
      <c r="C2052" s="10" t="s">
        <v>1350</v>
      </c>
      <c r="D2052" s="10" t="s">
        <v>1595</v>
      </c>
      <c r="E2052" s="11" t="str">
        <f t="array" ref="E2052">_xlfn.XLOOKUP(D2052,Insumos!B:B,Insumos!C:$C)</f>
        <v>M2</v>
      </c>
      <c r="F2052" s="14">
        <v>1.1000000000000001</v>
      </c>
      <c r="G2052" s="92">
        <f t="array" ref="G2052">IF(B2052="insumo",_xlfn.XLOOKUP($D2052,Insumos!$B$1:$B$996,Insumos!$D$1:$D$996),"")</f>
        <v>13.019333333333332</v>
      </c>
      <c r="H2052" s="92">
        <v>14.3212666666667</v>
      </c>
      <c r="I2052" s="13">
        <v>0</v>
      </c>
      <c r="J2052" s="13">
        <v>0</v>
      </c>
      <c r="K2052" s="13"/>
      <c r="L2052"/>
      <c r="M2052"/>
      <c r="N2052"/>
      <c r="O2052"/>
      <c r="P2052"/>
      <c r="Q2052"/>
      <c r="R2052"/>
      <c r="S2052"/>
      <c r="T2052"/>
      <c r="U2052"/>
      <c r="V2052"/>
      <c r="W2052"/>
      <c r="X2052"/>
      <c r="Y2052"/>
      <c r="Z2052"/>
      <c r="AA2052"/>
      <c r="AB2052"/>
      <c r="AC2052"/>
      <c r="AD2052"/>
      <c r="AE2052"/>
      <c r="AF2052"/>
      <c r="AG2052"/>
      <c r="AH2052"/>
      <c r="AI2052"/>
      <c r="AJ2052"/>
      <c r="AK2052"/>
      <c r="AL2052"/>
    </row>
    <row r="2053" spans="1:38" ht="15.75" customHeight="1" outlineLevel="2" x14ac:dyDescent="0.2">
      <c r="A2053" s="1067">
        <v>1</v>
      </c>
      <c r="B2053" s="1067" t="s">
        <v>68</v>
      </c>
      <c r="C2053" s="1067" t="s">
        <v>1360</v>
      </c>
      <c r="D2053" s="1067" t="s">
        <v>1360</v>
      </c>
      <c r="E2053" s="1068" t="s">
        <v>70</v>
      </c>
      <c r="F2053" s="1067"/>
      <c r="G2053" s="1069" t="str">
        <f t="array" ref="G2053">IF(B2053="insumo",_xlfn.XLOOKUP($D2053,Insumos!$B$1:$B$996,Insumos!$D$1:$D$996),"")</f>
        <v/>
      </c>
      <c r="H2053" s="1069">
        <v>247.974294833333</v>
      </c>
      <c r="I2053" s="1070">
        <v>0</v>
      </c>
      <c r="J2053" s="1070">
        <v>0</v>
      </c>
      <c r="K2053" s="1070"/>
      <c r="L2053"/>
      <c r="M2053"/>
      <c r="N2053"/>
      <c r="O2053"/>
      <c r="P2053"/>
      <c r="Q2053"/>
      <c r="R2053"/>
      <c r="S2053"/>
      <c r="T2053"/>
      <c r="U2053"/>
      <c r="V2053"/>
      <c r="W2053"/>
      <c r="X2053"/>
      <c r="Y2053"/>
      <c r="Z2053"/>
      <c r="AA2053"/>
      <c r="AB2053"/>
      <c r="AC2053"/>
      <c r="AD2053"/>
      <c r="AE2053"/>
      <c r="AF2053"/>
      <c r="AG2053"/>
      <c r="AH2053"/>
      <c r="AI2053"/>
      <c r="AJ2053"/>
      <c r="AK2053"/>
      <c r="AL2053"/>
    </row>
    <row r="2054" spans="1:38" ht="15.75" customHeight="1" outlineLevel="3" x14ac:dyDescent="0.2">
      <c r="A2054" s="10">
        <v>86</v>
      </c>
      <c r="B2054" s="10" t="s">
        <v>71</v>
      </c>
      <c r="C2054" s="10" t="s">
        <v>1360</v>
      </c>
      <c r="D2054" s="10" t="s">
        <v>407</v>
      </c>
      <c r="E2054" s="11" t="str">
        <f t="array" ref="E2054">_xlfn.XLOOKUP(D2054,Insumos!B:B,Insumos!C:$C)</f>
        <v>M2</v>
      </c>
      <c r="F2054" s="14">
        <v>1</v>
      </c>
      <c r="G2054" s="92">
        <f t="array" ref="G2054">IF(B2054="insumo",_xlfn.XLOOKUP($D2054,Insumos!$B$1:$B$996,Insumos!$D$1:$D$996),"")</f>
        <v>70</v>
      </c>
      <c r="H2054" s="92">
        <v>70</v>
      </c>
      <c r="I2054" s="13">
        <v>0</v>
      </c>
      <c r="J2054" s="13">
        <v>0</v>
      </c>
      <c r="K2054" s="13"/>
      <c r="L2054"/>
      <c r="M2054"/>
      <c r="N2054"/>
      <c r="O2054"/>
      <c r="P2054"/>
      <c r="Q2054"/>
      <c r="R2054"/>
      <c r="S2054"/>
      <c r="T2054"/>
      <c r="U2054"/>
      <c r="V2054"/>
      <c r="W2054"/>
      <c r="X2054"/>
      <c r="Y2054"/>
      <c r="Z2054"/>
      <c r="AA2054"/>
      <c r="AB2054"/>
      <c r="AC2054"/>
      <c r="AD2054"/>
      <c r="AE2054"/>
      <c r="AF2054"/>
      <c r="AG2054"/>
      <c r="AH2054"/>
      <c r="AI2054"/>
      <c r="AJ2054"/>
      <c r="AK2054"/>
      <c r="AL2054"/>
    </row>
    <row r="2055" spans="1:38" ht="15.75" customHeight="1" outlineLevel="3" x14ac:dyDescent="0.2">
      <c r="A2055" s="10">
        <v>49</v>
      </c>
      <c r="B2055" s="10" t="s">
        <v>71</v>
      </c>
      <c r="C2055" s="10" t="s">
        <v>1360</v>
      </c>
      <c r="D2055" s="10" t="s">
        <v>418</v>
      </c>
      <c r="E2055" s="11" t="str">
        <f t="array" ref="E2055">_xlfn.XLOOKUP(D2055,Insumos!B:B,Insumos!C:$C)</f>
        <v>M2</v>
      </c>
      <c r="F2055" s="14">
        <v>1.1060000000000001</v>
      </c>
      <c r="G2055" s="92">
        <f t="array" ref="G2055">IF(B2055="insumo",_xlfn.XLOOKUP($D2055,Insumos!$B$1:$B$996,Insumos!$D$1:$D$996),"")</f>
        <v>27.1</v>
      </c>
      <c r="H2055" s="92">
        <v>29.9726</v>
      </c>
      <c r="I2055" s="13">
        <v>0</v>
      </c>
      <c r="J2055" s="13">
        <v>0</v>
      </c>
      <c r="K2055" s="13"/>
      <c r="L2055"/>
      <c r="M2055"/>
      <c r="N2055"/>
      <c r="O2055"/>
      <c r="P2055"/>
      <c r="Q2055"/>
      <c r="R2055"/>
      <c r="S2055"/>
      <c r="T2055"/>
      <c r="U2055"/>
      <c r="V2055"/>
      <c r="W2055"/>
      <c r="X2055"/>
      <c r="Y2055"/>
      <c r="Z2055"/>
      <c r="AA2055"/>
      <c r="AB2055"/>
      <c r="AC2055"/>
      <c r="AD2055"/>
      <c r="AE2055"/>
      <c r="AF2055"/>
      <c r="AG2055"/>
      <c r="AH2055"/>
      <c r="AI2055"/>
      <c r="AJ2055"/>
      <c r="AK2055"/>
      <c r="AL2055"/>
    </row>
    <row r="2056" spans="1:38" ht="15.75" customHeight="1" outlineLevel="3" x14ac:dyDescent="0.2">
      <c r="A2056" s="10">
        <v>11</v>
      </c>
      <c r="B2056" s="10" t="s">
        <v>71</v>
      </c>
      <c r="C2056" s="10" t="s">
        <v>1360</v>
      </c>
      <c r="D2056" s="10" t="s">
        <v>1390</v>
      </c>
      <c r="E2056" s="11" t="str">
        <f t="array" ref="E2056">_xlfn.XLOOKUP(D2056,Insumos!B:B,Insumos!C:$C)</f>
        <v>M2</v>
      </c>
      <c r="F2056" s="14">
        <v>1.1060000000000001</v>
      </c>
      <c r="G2056" s="92">
        <f t="array" ref="G2056">IF(B2056="insumo",_xlfn.XLOOKUP($D2056,Insumos!$B$1:$B$996,Insumos!$D$1:$D$996),"")</f>
        <v>30.089583333333337</v>
      </c>
      <c r="H2056" s="92">
        <v>33.279079166666698</v>
      </c>
      <c r="I2056" s="13">
        <v>0</v>
      </c>
      <c r="J2056" s="13">
        <v>0</v>
      </c>
      <c r="K2056" s="13"/>
      <c r="L2056"/>
      <c r="M2056"/>
      <c r="N2056"/>
      <c r="O2056"/>
      <c r="P2056"/>
      <c r="Q2056"/>
      <c r="R2056"/>
      <c r="S2056"/>
      <c r="T2056"/>
      <c r="U2056"/>
      <c r="V2056"/>
      <c r="W2056"/>
      <c r="X2056"/>
      <c r="Y2056"/>
      <c r="Z2056"/>
      <c r="AA2056"/>
      <c r="AB2056"/>
      <c r="AC2056"/>
      <c r="AD2056"/>
      <c r="AE2056"/>
      <c r="AF2056"/>
      <c r="AG2056"/>
      <c r="AH2056"/>
      <c r="AI2056"/>
      <c r="AJ2056"/>
      <c r="AK2056"/>
      <c r="AL2056"/>
    </row>
    <row r="2057" spans="1:38" ht="15.75" customHeight="1" outlineLevel="3" x14ac:dyDescent="0.2">
      <c r="A2057" s="10">
        <v>95</v>
      </c>
      <c r="B2057" s="10" t="s">
        <v>71</v>
      </c>
      <c r="C2057" s="10" t="s">
        <v>1360</v>
      </c>
      <c r="D2057" s="10" t="s">
        <v>409</v>
      </c>
      <c r="E2057" s="11" t="str">
        <f t="array" ref="E2057">_xlfn.XLOOKUP(D2057,Insumos!B:B,Insumos!C:$C)</f>
        <v>UN</v>
      </c>
      <c r="F2057" s="14">
        <v>5.92</v>
      </c>
      <c r="G2057" s="92">
        <f t="array" ref="G2057">IF(B2057="insumo",_xlfn.XLOOKUP($D2057,Insumos!$B$1:$B$996,Insumos!$D$1:$D$996),"")</f>
        <v>0.504</v>
      </c>
      <c r="H2057" s="92">
        <v>2.9836800000000001</v>
      </c>
      <c r="I2057" s="13">
        <v>0</v>
      </c>
      <c r="J2057" s="13">
        <v>0</v>
      </c>
      <c r="K2057" s="13"/>
      <c r="L2057"/>
      <c r="M2057"/>
      <c r="N2057"/>
      <c r="O2057"/>
      <c r="P2057"/>
      <c r="Q2057"/>
      <c r="R2057"/>
      <c r="S2057"/>
      <c r="T2057"/>
      <c r="U2057"/>
      <c r="V2057"/>
      <c r="W2057"/>
      <c r="X2057"/>
      <c r="Y2057"/>
      <c r="Z2057"/>
      <c r="AA2057"/>
      <c r="AB2057"/>
      <c r="AC2057"/>
      <c r="AD2057"/>
      <c r="AE2057"/>
      <c r="AF2057"/>
      <c r="AG2057"/>
      <c r="AH2057"/>
      <c r="AI2057"/>
      <c r="AJ2057"/>
      <c r="AK2057"/>
      <c r="AL2057"/>
    </row>
    <row r="2058" spans="1:38" ht="15.75" customHeight="1" outlineLevel="3" x14ac:dyDescent="0.2">
      <c r="A2058" s="10">
        <v>43</v>
      </c>
      <c r="B2058" s="10" t="s">
        <v>71</v>
      </c>
      <c r="C2058" s="10" t="s">
        <v>1360</v>
      </c>
      <c r="D2058" s="10" t="s">
        <v>423</v>
      </c>
      <c r="E2058" s="11" t="str">
        <f t="array" ref="E2058">_xlfn.XLOOKUP(D2058,Insumos!B:B,Insumos!C:$C)</f>
        <v>M</v>
      </c>
      <c r="F2058" s="14">
        <f>1.5248*2</f>
        <v>3.0495999999999999</v>
      </c>
      <c r="G2058" s="92">
        <f t="array" ref="G2058">IF(B2058="insumo",_xlfn.XLOOKUP($D2058,Insumos!$B$1:$B$996,Insumos!$D$1:$D$996),"")</f>
        <v>7.46</v>
      </c>
      <c r="H2058" s="92">
        <v>22.750015999999999</v>
      </c>
      <c r="I2058" s="13">
        <v>0</v>
      </c>
      <c r="J2058" s="13">
        <v>0</v>
      </c>
      <c r="K2058" s="13"/>
      <c r="L2058"/>
      <c r="M2058"/>
      <c r="N2058"/>
      <c r="O2058"/>
      <c r="P2058"/>
      <c r="Q2058"/>
      <c r="R2058"/>
      <c r="S2058"/>
      <c r="T2058"/>
      <c r="U2058"/>
      <c r="V2058"/>
      <c r="W2058"/>
      <c r="X2058"/>
      <c r="Y2058"/>
      <c r="Z2058"/>
      <c r="AA2058"/>
      <c r="AB2058"/>
      <c r="AC2058"/>
      <c r="AD2058"/>
      <c r="AE2058"/>
      <c r="AF2058"/>
      <c r="AG2058"/>
      <c r="AH2058"/>
      <c r="AI2058"/>
      <c r="AJ2058"/>
      <c r="AK2058"/>
      <c r="AL2058"/>
    </row>
    <row r="2059" spans="1:38" ht="15.75" customHeight="1" outlineLevel="3" x14ac:dyDescent="0.2">
      <c r="A2059" s="10">
        <v>43</v>
      </c>
      <c r="B2059" s="10" t="s">
        <v>71</v>
      </c>
      <c r="C2059" s="10" t="s">
        <v>1360</v>
      </c>
      <c r="D2059" s="10" t="s">
        <v>424</v>
      </c>
      <c r="E2059" s="11" t="str">
        <f t="array" ref="E2059">_xlfn.XLOOKUP(D2059,Insumos!B:B,Insumos!C:$C)</f>
        <v>M</v>
      </c>
      <c r="F2059" s="14">
        <f>4.0011*2</f>
        <v>8.0022000000000002</v>
      </c>
      <c r="G2059" s="92">
        <f t="array" ref="G2059">IF(B2059="insumo",_xlfn.XLOOKUP($D2059,Insumos!$B$1:$B$996,Insumos!$D$1:$D$996),"")</f>
        <v>7.98</v>
      </c>
      <c r="H2059" s="92">
        <v>63.857556000000002</v>
      </c>
      <c r="I2059" s="13">
        <v>0</v>
      </c>
      <c r="J2059" s="13">
        <v>0</v>
      </c>
      <c r="K2059" s="13"/>
      <c r="L2059"/>
      <c r="M2059"/>
      <c r="N2059"/>
      <c r="O2059"/>
      <c r="P2059"/>
      <c r="Q2059"/>
      <c r="R2059"/>
      <c r="S2059"/>
      <c r="T2059"/>
      <c r="U2059"/>
      <c r="V2059"/>
      <c r="W2059"/>
      <c r="X2059"/>
      <c r="Y2059"/>
      <c r="Z2059"/>
      <c r="AA2059"/>
      <c r="AB2059"/>
      <c r="AC2059"/>
      <c r="AD2059"/>
      <c r="AE2059"/>
      <c r="AF2059"/>
      <c r="AG2059"/>
      <c r="AH2059"/>
      <c r="AI2059"/>
      <c r="AJ2059"/>
      <c r="AK2059"/>
      <c r="AL2059"/>
    </row>
    <row r="2060" spans="1:38" ht="15.75" customHeight="1" outlineLevel="3" x14ac:dyDescent="0.2">
      <c r="A2060" s="10">
        <v>95</v>
      </c>
      <c r="B2060" s="10" t="s">
        <v>71</v>
      </c>
      <c r="C2060" s="10" t="s">
        <v>1360</v>
      </c>
      <c r="D2060" s="10" t="s">
        <v>405</v>
      </c>
      <c r="E2060" s="11" t="str">
        <f t="array" ref="E2060">_xlfn.XLOOKUP(D2060,Insumos!B:B,Insumos!C:$C)</f>
        <v>KG</v>
      </c>
      <c r="F2060" s="14">
        <v>1.0978000000000001</v>
      </c>
      <c r="G2060" s="92">
        <f t="array" ref="G2060">IF(B2060="insumo",_xlfn.XLOOKUP($D2060,Insumos!$B$1:$B$996,Insumos!$D$1:$D$996),"")</f>
        <v>3.43</v>
      </c>
      <c r="H2060" s="92">
        <v>3.7654540000000001</v>
      </c>
      <c r="I2060" s="13">
        <v>0</v>
      </c>
      <c r="J2060" s="13">
        <v>0</v>
      </c>
      <c r="K2060" s="13"/>
      <c r="L2060"/>
      <c r="M2060"/>
      <c r="N2060"/>
      <c r="O2060"/>
      <c r="P2060"/>
      <c r="Q2060"/>
      <c r="R2060"/>
      <c r="S2060"/>
      <c r="T2060"/>
      <c r="U2060"/>
      <c r="V2060"/>
      <c r="W2060"/>
      <c r="X2060"/>
      <c r="Y2060"/>
      <c r="Z2060"/>
      <c r="AA2060"/>
      <c r="AB2060"/>
      <c r="AC2060"/>
      <c r="AD2060"/>
      <c r="AE2060"/>
      <c r="AF2060"/>
      <c r="AG2060"/>
      <c r="AH2060"/>
      <c r="AI2060"/>
      <c r="AJ2060"/>
      <c r="AK2060"/>
      <c r="AL2060"/>
    </row>
    <row r="2061" spans="1:38" ht="15.75" customHeight="1" outlineLevel="3" x14ac:dyDescent="0.2">
      <c r="A2061" s="10">
        <v>94</v>
      </c>
      <c r="B2061" s="10" t="s">
        <v>71</v>
      </c>
      <c r="C2061" s="10" t="s">
        <v>1360</v>
      </c>
      <c r="D2061" s="10" t="s">
        <v>412</v>
      </c>
      <c r="E2061" s="11" t="str">
        <f t="array" ref="E2061">_xlfn.XLOOKUP(D2061,Insumos!B:B,Insumos!C:$C)</f>
        <v>M</v>
      </c>
      <c r="F2061" s="14">
        <v>2.5026999999999999</v>
      </c>
      <c r="G2061" s="92">
        <f t="array" ref="G2061">IF(B2061="insumo",_xlfn.XLOOKUP($D2061,Insumos!$B$1:$B$996,Insumos!$D$1:$D$996),"")</f>
        <v>0.31</v>
      </c>
      <c r="H2061" s="92">
        <v>0.775837</v>
      </c>
      <c r="I2061" s="13">
        <v>0</v>
      </c>
      <c r="J2061" s="13">
        <v>0</v>
      </c>
      <c r="K2061" s="13"/>
      <c r="L2061"/>
      <c r="M2061"/>
      <c r="N2061"/>
      <c r="O2061"/>
      <c r="P2061"/>
      <c r="Q2061"/>
      <c r="R2061"/>
      <c r="S2061"/>
      <c r="T2061"/>
      <c r="U2061"/>
      <c r="V2061"/>
      <c r="W2061"/>
      <c r="X2061"/>
      <c r="Y2061"/>
      <c r="Z2061"/>
      <c r="AA2061"/>
      <c r="AB2061"/>
      <c r="AC2061"/>
      <c r="AD2061"/>
      <c r="AE2061"/>
      <c r="AF2061"/>
      <c r="AG2061"/>
      <c r="AH2061"/>
      <c r="AI2061"/>
      <c r="AJ2061"/>
      <c r="AK2061"/>
      <c r="AL2061"/>
    </row>
    <row r="2062" spans="1:38" ht="15.75" customHeight="1" outlineLevel="3" x14ac:dyDescent="0.2">
      <c r="A2062" s="10">
        <v>94</v>
      </c>
      <c r="B2062" s="10" t="s">
        <v>71</v>
      </c>
      <c r="C2062" s="10" t="s">
        <v>1360</v>
      </c>
      <c r="D2062" s="10" t="s">
        <v>413</v>
      </c>
      <c r="E2062" s="11" t="str">
        <f t="array" ref="E2062">_xlfn.XLOOKUP(D2062,Insumos!B:B,Insumos!C:$C)</f>
        <v>M</v>
      </c>
      <c r="F2062" s="14">
        <v>1.5851</v>
      </c>
      <c r="G2062" s="92">
        <f t="array" ref="G2062">IF(B2062="insumo",_xlfn.XLOOKUP($D2062,Insumos!$B$1:$B$996,Insumos!$D$1:$D$996),"")</f>
        <v>2.74</v>
      </c>
      <c r="H2062" s="92">
        <v>4.3431740000000003</v>
      </c>
      <c r="I2062" s="13">
        <v>0</v>
      </c>
      <c r="J2062" s="13">
        <v>0</v>
      </c>
      <c r="K2062" s="13"/>
      <c r="L2062"/>
      <c r="M2062"/>
      <c r="N2062"/>
      <c r="O2062"/>
      <c r="P2062"/>
      <c r="Q2062"/>
      <c r="R2062"/>
      <c r="S2062"/>
      <c r="T2062"/>
      <c r="U2062"/>
      <c r="V2062"/>
      <c r="W2062"/>
      <c r="X2062"/>
      <c r="Y2062"/>
      <c r="Z2062"/>
      <c r="AA2062"/>
      <c r="AB2062"/>
      <c r="AC2062"/>
      <c r="AD2062"/>
      <c r="AE2062"/>
      <c r="AF2062"/>
      <c r="AG2062"/>
      <c r="AH2062"/>
      <c r="AI2062"/>
      <c r="AJ2062"/>
      <c r="AK2062"/>
      <c r="AL2062"/>
    </row>
    <row r="2063" spans="1:38" ht="15.75" customHeight="1" outlineLevel="3" x14ac:dyDescent="0.2">
      <c r="A2063" s="10">
        <v>97</v>
      </c>
      <c r="B2063" s="10" t="s">
        <v>71</v>
      </c>
      <c r="C2063" s="10" t="s">
        <v>1360</v>
      </c>
      <c r="D2063" s="10" t="s">
        <v>414</v>
      </c>
      <c r="E2063" s="11" t="str">
        <f t="array" ref="E2063">_xlfn.XLOOKUP(D2063,Insumos!B:B,Insumos!C:$C)</f>
        <v>UN</v>
      </c>
      <c r="F2063" s="14">
        <v>20.186800000000002</v>
      </c>
      <c r="G2063" s="92">
        <f t="array" ref="G2063">IF(B2063="insumo",_xlfn.XLOOKUP($D2063,Insumos!$B$1:$B$996,Insumos!$D$1:$D$996),"")</f>
        <v>0.09</v>
      </c>
      <c r="H2063" s="92">
        <v>1.8168120000000001</v>
      </c>
      <c r="I2063" s="13">
        <v>0</v>
      </c>
      <c r="J2063" s="13">
        <v>0</v>
      </c>
      <c r="K2063" s="13"/>
      <c r="L2063"/>
      <c r="M2063"/>
      <c r="N2063"/>
      <c r="O2063"/>
      <c r="P2063"/>
      <c r="Q2063"/>
      <c r="R2063"/>
      <c r="S2063"/>
      <c r="T2063"/>
      <c r="U2063"/>
      <c r="V2063"/>
      <c r="W2063"/>
      <c r="X2063"/>
      <c r="Y2063"/>
      <c r="Z2063"/>
      <c r="AA2063"/>
      <c r="AB2063"/>
      <c r="AC2063"/>
      <c r="AD2063"/>
      <c r="AE2063"/>
      <c r="AF2063"/>
      <c r="AG2063"/>
      <c r="AH2063"/>
      <c r="AI2063"/>
      <c r="AJ2063"/>
      <c r="AK2063"/>
      <c r="AL2063"/>
    </row>
    <row r="2064" spans="1:38" ht="15.75" customHeight="1" outlineLevel="3" x14ac:dyDescent="0.2">
      <c r="A2064" s="10">
        <v>95</v>
      </c>
      <c r="B2064" s="10" t="s">
        <v>71</v>
      </c>
      <c r="C2064" s="10" t="s">
        <v>1360</v>
      </c>
      <c r="D2064" s="10" t="s">
        <v>415</v>
      </c>
      <c r="E2064" s="11" t="str">
        <f t="array" ref="E2064">_xlfn.XLOOKUP(D2064,Insumos!B:B,Insumos!C:$C)</f>
        <v>UN</v>
      </c>
      <c r="F2064" s="14">
        <v>0.54410000000000003</v>
      </c>
      <c r="G2064" s="92">
        <f t="array" ref="G2064">IF(B2064="insumo",_xlfn.XLOOKUP($D2064,Insumos!$B$1:$B$996,Insumos!$D$1:$D$996),"")</f>
        <v>0.2</v>
      </c>
      <c r="H2064" s="92">
        <v>0.10882</v>
      </c>
      <c r="I2064" s="13">
        <v>0</v>
      </c>
      <c r="J2064" s="13">
        <v>0</v>
      </c>
      <c r="K2064" s="13"/>
      <c r="L2064"/>
      <c r="M2064"/>
      <c r="N2064"/>
      <c r="O2064"/>
      <c r="P2064"/>
      <c r="Q2064"/>
      <c r="R2064"/>
      <c r="S2064"/>
      <c r="T2064"/>
      <c r="U2064"/>
      <c r="V2064"/>
      <c r="W2064"/>
      <c r="X2064"/>
      <c r="Y2064"/>
      <c r="Z2064"/>
      <c r="AA2064"/>
      <c r="AB2064"/>
      <c r="AC2064"/>
      <c r="AD2064"/>
      <c r="AE2064"/>
      <c r="AF2064"/>
      <c r="AG2064"/>
      <c r="AH2064"/>
      <c r="AI2064"/>
      <c r="AJ2064"/>
      <c r="AK2064"/>
      <c r="AL2064"/>
    </row>
    <row r="2065" spans="1:38" ht="15.75" customHeight="1" outlineLevel="3" x14ac:dyDescent="0.2">
      <c r="A2065" s="10">
        <v>35</v>
      </c>
      <c r="B2065" s="10" t="s">
        <v>71</v>
      </c>
      <c r="C2065" s="10" t="s">
        <v>1360</v>
      </c>
      <c r="D2065" s="10" t="s">
        <v>1595</v>
      </c>
      <c r="E2065" s="11" t="str">
        <f t="array" ref="E2065">_xlfn.XLOOKUP(D2065,Insumos!B:B,Insumos!C:$C)</f>
        <v>M2</v>
      </c>
      <c r="F2065" s="14">
        <v>1.1000000000000001</v>
      </c>
      <c r="G2065" s="92">
        <f t="array" ref="G2065">IF(B2065="insumo",_xlfn.XLOOKUP($D2065,Insumos!$B$1:$B$996,Insumos!$D$1:$D$996),"")</f>
        <v>13.019333333333332</v>
      </c>
      <c r="H2065" s="92">
        <v>14.3212666666667</v>
      </c>
      <c r="I2065" s="13">
        <v>0</v>
      </c>
      <c r="J2065" s="13">
        <v>0</v>
      </c>
      <c r="K2065" s="13"/>
      <c r="L2065"/>
      <c r="M2065"/>
      <c r="N2065"/>
      <c r="O2065"/>
      <c r="P2065"/>
      <c r="Q2065"/>
      <c r="R2065"/>
      <c r="S2065"/>
      <c r="T2065"/>
      <c r="U2065"/>
      <c r="V2065"/>
      <c r="W2065"/>
      <c r="X2065"/>
      <c r="Y2065"/>
      <c r="Z2065"/>
      <c r="AA2065"/>
      <c r="AB2065"/>
      <c r="AC2065"/>
      <c r="AD2065"/>
      <c r="AE2065"/>
      <c r="AF2065"/>
      <c r="AG2065"/>
      <c r="AH2065"/>
      <c r="AI2065"/>
      <c r="AJ2065"/>
      <c r="AK2065"/>
      <c r="AL2065"/>
    </row>
    <row r="2066" spans="1:38" ht="15.75" customHeight="1" outlineLevel="2" x14ac:dyDescent="0.2">
      <c r="A2066" s="1067">
        <v>1</v>
      </c>
      <c r="B2066" s="1067" t="s">
        <v>68</v>
      </c>
      <c r="C2066" s="1067" t="s">
        <v>1373</v>
      </c>
      <c r="D2066" s="1067" t="s">
        <v>1373</v>
      </c>
      <c r="E2066" s="1068" t="s">
        <v>70</v>
      </c>
      <c r="F2066" s="1067"/>
      <c r="G2066" s="1069" t="str">
        <f t="array" ref="G2066">IF(B2066="insumo",_xlfn.XLOOKUP($D2066,Insumos!$B$1:$B$996,Insumos!$D$1:$D$996),"")</f>
        <v/>
      </c>
      <c r="H2066" s="1069">
        <v>307.629937888889</v>
      </c>
      <c r="I2066" s="1070">
        <v>0</v>
      </c>
      <c r="J2066" s="1070">
        <v>0</v>
      </c>
      <c r="K2066" s="1070"/>
      <c r="L2066"/>
      <c r="M2066"/>
      <c r="N2066"/>
      <c r="O2066"/>
      <c r="P2066"/>
      <c r="Q2066"/>
      <c r="R2066"/>
      <c r="S2066"/>
      <c r="T2066"/>
      <c r="U2066"/>
      <c r="V2066"/>
      <c r="W2066"/>
      <c r="X2066"/>
      <c r="Y2066"/>
      <c r="Z2066"/>
      <c r="AA2066"/>
      <c r="AB2066"/>
      <c r="AC2066"/>
      <c r="AD2066"/>
      <c r="AE2066"/>
      <c r="AF2066"/>
      <c r="AG2066"/>
      <c r="AH2066"/>
      <c r="AI2066"/>
      <c r="AJ2066"/>
      <c r="AK2066"/>
      <c r="AL2066"/>
    </row>
    <row r="2067" spans="1:38" ht="15.75" customHeight="1" outlineLevel="3" x14ac:dyDescent="0.2">
      <c r="A2067" s="10">
        <v>86</v>
      </c>
      <c r="B2067" s="10" t="s">
        <v>71</v>
      </c>
      <c r="C2067" s="10" t="s">
        <v>1373</v>
      </c>
      <c r="D2067" s="10" t="s">
        <v>407</v>
      </c>
      <c r="E2067" s="11" t="str">
        <f t="array" ref="E2067">_xlfn.XLOOKUP(D2067,Insumos!B:B,Insumos!C:$C)</f>
        <v>M2</v>
      </c>
      <c r="F2067" s="14">
        <v>1</v>
      </c>
      <c r="G2067" s="92">
        <f t="array" ref="G2067">IF(B2067="insumo",_xlfn.XLOOKUP($D2067,Insumos!$B$1:$B$996,Insumos!$D$1:$D$996),"")</f>
        <v>70</v>
      </c>
      <c r="H2067" s="92">
        <v>70</v>
      </c>
      <c r="I2067" s="13">
        <v>0</v>
      </c>
      <c r="J2067" s="13">
        <v>0</v>
      </c>
      <c r="K2067" s="13"/>
      <c r="L2067"/>
      <c r="M2067"/>
      <c r="N2067"/>
      <c r="O2067"/>
      <c r="P2067"/>
      <c r="Q2067"/>
      <c r="R2067"/>
      <c r="S2067"/>
      <c r="T2067"/>
      <c r="U2067"/>
      <c r="V2067"/>
      <c r="W2067"/>
      <c r="X2067"/>
      <c r="Y2067"/>
      <c r="Z2067"/>
      <c r="AA2067"/>
      <c r="AB2067"/>
      <c r="AC2067"/>
      <c r="AD2067"/>
      <c r="AE2067"/>
      <c r="AF2067"/>
      <c r="AG2067"/>
      <c r="AH2067"/>
      <c r="AI2067"/>
      <c r="AJ2067"/>
      <c r="AK2067"/>
      <c r="AL2067"/>
    </row>
    <row r="2068" spans="1:38" ht="15.75" customHeight="1" outlineLevel="3" x14ac:dyDescent="0.2">
      <c r="A2068" s="10">
        <v>49</v>
      </c>
      <c r="B2068" s="10" t="s">
        <v>71</v>
      </c>
      <c r="C2068" s="10" t="s">
        <v>1373</v>
      </c>
      <c r="D2068" s="10" t="s">
        <v>418</v>
      </c>
      <c r="E2068" s="11" t="str">
        <f t="array" ref="E2068">_xlfn.XLOOKUP(D2068,Insumos!B:B,Insumos!C:$C)</f>
        <v>M2</v>
      </c>
      <c r="F2068" s="14">
        <v>1.1060000000000001</v>
      </c>
      <c r="G2068" s="92">
        <f t="array" ref="G2068">IF(B2068="insumo",_xlfn.XLOOKUP($D2068,Insumos!$B$1:$B$996,Insumos!$D$1:$D$996),"")</f>
        <v>27.1</v>
      </c>
      <c r="H2068" s="92">
        <v>29.9726</v>
      </c>
      <c r="I2068" s="13">
        <v>0</v>
      </c>
      <c r="J2068" s="13">
        <v>0</v>
      </c>
      <c r="K2068" s="13"/>
      <c r="L2068"/>
      <c r="M2068"/>
      <c r="N2068"/>
      <c r="O2068"/>
      <c r="P2068"/>
      <c r="Q2068"/>
      <c r="R2068"/>
      <c r="S2068"/>
      <c r="T2068"/>
      <c r="U2068"/>
      <c r="V2068"/>
      <c r="W2068"/>
      <c r="X2068"/>
      <c r="Y2068"/>
      <c r="Z2068"/>
      <c r="AA2068"/>
      <c r="AB2068"/>
      <c r="AC2068"/>
      <c r="AD2068"/>
      <c r="AE2068"/>
      <c r="AF2068"/>
      <c r="AG2068"/>
      <c r="AH2068"/>
      <c r="AI2068"/>
      <c r="AJ2068"/>
      <c r="AK2068"/>
      <c r="AL2068"/>
    </row>
    <row r="2069" spans="1:38" ht="15.75" customHeight="1" outlineLevel="3" x14ac:dyDescent="0.2">
      <c r="A2069" s="10">
        <v>4</v>
      </c>
      <c r="B2069" s="10" t="s">
        <v>71</v>
      </c>
      <c r="C2069" s="10" t="s">
        <v>1373</v>
      </c>
      <c r="D2069" s="10" t="s">
        <v>1392</v>
      </c>
      <c r="E2069" s="11" t="str">
        <f t="array" ref="E2069">_xlfn.XLOOKUP(D2069,Insumos!B:B,Insumos!C:$C)</f>
        <v>M2</v>
      </c>
      <c r="F2069" s="14">
        <v>1.1060000000000001</v>
      </c>
      <c r="G2069" s="92">
        <f t="array" ref="G2069">IF(B2069="insumo",_xlfn.XLOOKUP($D2069,Insumos!$B$1:$B$996,Insumos!$D$1:$D$996),"")</f>
        <v>84.027777777777786</v>
      </c>
      <c r="H2069" s="92">
        <v>92.934722222222206</v>
      </c>
      <c r="I2069" s="13">
        <v>0</v>
      </c>
      <c r="J2069" s="13">
        <v>0</v>
      </c>
      <c r="K2069" s="13"/>
      <c r="L2069"/>
      <c r="M2069"/>
      <c r="N2069"/>
      <c r="O2069"/>
      <c r="P2069"/>
      <c r="Q2069"/>
      <c r="R2069"/>
      <c r="S2069"/>
      <c r="T2069"/>
      <c r="U2069"/>
      <c r="V2069"/>
      <c r="W2069"/>
      <c r="X2069"/>
      <c r="Y2069"/>
      <c r="Z2069"/>
      <c r="AA2069"/>
      <c r="AB2069"/>
      <c r="AC2069"/>
      <c r="AD2069"/>
      <c r="AE2069"/>
      <c r="AF2069"/>
      <c r="AG2069"/>
      <c r="AH2069"/>
      <c r="AI2069"/>
      <c r="AJ2069"/>
      <c r="AK2069"/>
      <c r="AL2069"/>
    </row>
    <row r="2070" spans="1:38" ht="15.75" customHeight="1" outlineLevel="3" x14ac:dyDescent="0.2">
      <c r="A2070" s="10">
        <v>95</v>
      </c>
      <c r="B2070" s="10" t="s">
        <v>71</v>
      </c>
      <c r="C2070" s="10" t="s">
        <v>1373</v>
      </c>
      <c r="D2070" s="10" t="s">
        <v>409</v>
      </c>
      <c r="E2070" s="11" t="str">
        <f t="array" ref="E2070">_xlfn.XLOOKUP(D2070,Insumos!B:B,Insumos!C:$C)</f>
        <v>UN</v>
      </c>
      <c r="F2070" s="14">
        <v>5.92</v>
      </c>
      <c r="G2070" s="92">
        <f t="array" ref="G2070">IF(B2070="insumo",_xlfn.XLOOKUP($D2070,Insumos!$B$1:$B$996,Insumos!$D$1:$D$996),"")</f>
        <v>0.504</v>
      </c>
      <c r="H2070" s="92">
        <v>2.9836800000000001</v>
      </c>
      <c r="I2070" s="13">
        <v>0</v>
      </c>
      <c r="J2070" s="13">
        <v>0</v>
      </c>
      <c r="K2070" s="13"/>
      <c r="L2070"/>
      <c r="M2070"/>
      <c r="N2070"/>
      <c r="O2070"/>
      <c r="P2070"/>
      <c r="Q2070"/>
      <c r="R2070"/>
      <c r="S2070"/>
      <c r="T2070"/>
      <c r="U2070"/>
      <c r="V2070"/>
      <c r="W2070"/>
      <c r="X2070"/>
      <c r="Y2070"/>
      <c r="Z2070"/>
      <c r="AA2070"/>
      <c r="AB2070"/>
      <c r="AC2070"/>
      <c r="AD2070"/>
      <c r="AE2070"/>
      <c r="AF2070"/>
      <c r="AG2070"/>
      <c r="AH2070"/>
      <c r="AI2070"/>
      <c r="AJ2070"/>
      <c r="AK2070"/>
      <c r="AL2070"/>
    </row>
    <row r="2071" spans="1:38" ht="15.75" customHeight="1" outlineLevel="3" x14ac:dyDescent="0.2">
      <c r="A2071" s="10">
        <v>43</v>
      </c>
      <c r="B2071" s="10" t="s">
        <v>71</v>
      </c>
      <c r="C2071" s="10" t="s">
        <v>1373</v>
      </c>
      <c r="D2071" s="10" t="s">
        <v>423</v>
      </c>
      <c r="E2071" s="11" t="str">
        <f t="array" ref="E2071">_xlfn.XLOOKUP(D2071,Insumos!B:B,Insumos!C:$C)</f>
        <v>M</v>
      </c>
      <c r="F2071" s="14">
        <f>1.5248*2</f>
        <v>3.0495999999999999</v>
      </c>
      <c r="G2071" s="92">
        <f t="array" ref="G2071">IF(B2071="insumo",_xlfn.XLOOKUP($D2071,Insumos!$B$1:$B$996,Insumos!$D$1:$D$996),"")</f>
        <v>7.46</v>
      </c>
      <c r="H2071" s="92">
        <v>22.750015999999999</v>
      </c>
      <c r="I2071" s="13">
        <v>0</v>
      </c>
      <c r="J2071" s="13">
        <v>0</v>
      </c>
      <c r="K2071" s="13"/>
      <c r="L2071"/>
      <c r="M2071"/>
      <c r="N2071"/>
      <c r="O2071"/>
      <c r="P2071"/>
      <c r="Q2071"/>
      <c r="R2071"/>
      <c r="S2071"/>
      <c r="T2071"/>
      <c r="U2071"/>
      <c r="V2071"/>
      <c r="W2071"/>
      <c r="X2071"/>
      <c r="Y2071"/>
      <c r="Z2071"/>
      <c r="AA2071"/>
      <c r="AB2071"/>
      <c r="AC2071"/>
      <c r="AD2071"/>
      <c r="AE2071"/>
      <c r="AF2071"/>
      <c r="AG2071"/>
      <c r="AH2071"/>
      <c r="AI2071"/>
      <c r="AJ2071"/>
      <c r="AK2071"/>
      <c r="AL2071"/>
    </row>
    <row r="2072" spans="1:38" ht="15.75" customHeight="1" outlineLevel="3" x14ac:dyDescent="0.2">
      <c r="A2072" s="10">
        <v>43</v>
      </c>
      <c r="B2072" s="10" t="s">
        <v>71</v>
      </c>
      <c r="C2072" s="10" t="s">
        <v>1373</v>
      </c>
      <c r="D2072" s="10" t="s">
        <v>424</v>
      </c>
      <c r="E2072" s="11" t="str">
        <f t="array" ref="E2072">_xlfn.XLOOKUP(D2072,Insumos!B:B,Insumos!C:$C)</f>
        <v>M</v>
      </c>
      <c r="F2072" s="14">
        <f>4.0011*2</f>
        <v>8.0022000000000002</v>
      </c>
      <c r="G2072" s="92">
        <f t="array" ref="G2072">IF(B2072="insumo",_xlfn.XLOOKUP($D2072,Insumos!$B$1:$B$996,Insumos!$D$1:$D$996),"")</f>
        <v>7.98</v>
      </c>
      <c r="H2072" s="92">
        <v>63.857556000000002</v>
      </c>
      <c r="I2072" s="13">
        <v>0</v>
      </c>
      <c r="J2072" s="13">
        <v>0</v>
      </c>
      <c r="K2072" s="13"/>
      <c r="L2072"/>
      <c r="M2072"/>
      <c r="N2072"/>
      <c r="O2072"/>
      <c r="P2072"/>
      <c r="Q2072"/>
      <c r="R2072"/>
      <c r="S2072"/>
      <c r="T2072"/>
      <c r="U2072"/>
      <c r="V2072"/>
      <c r="W2072"/>
      <c r="X2072"/>
      <c r="Y2072"/>
      <c r="Z2072"/>
      <c r="AA2072"/>
      <c r="AB2072"/>
      <c r="AC2072"/>
      <c r="AD2072"/>
      <c r="AE2072"/>
      <c r="AF2072"/>
      <c r="AG2072"/>
      <c r="AH2072"/>
      <c r="AI2072"/>
      <c r="AJ2072"/>
      <c r="AK2072"/>
      <c r="AL2072"/>
    </row>
    <row r="2073" spans="1:38" ht="15.75" customHeight="1" outlineLevel="3" x14ac:dyDescent="0.2">
      <c r="A2073" s="10">
        <v>95</v>
      </c>
      <c r="B2073" s="10" t="s">
        <v>71</v>
      </c>
      <c r="C2073" s="10" t="s">
        <v>1373</v>
      </c>
      <c r="D2073" s="10" t="s">
        <v>405</v>
      </c>
      <c r="E2073" s="11" t="str">
        <f t="array" ref="E2073">_xlfn.XLOOKUP(D2073,Insumos!B:B,Insumos!C:$C)</f>
        <v>KG</v>
      </c>
      <c r="F2073" s="14">
        <v>1.0978000000000001</v>
      </c>
      <c r="G2073" s="92">
        <f t="array" ref="G2073">IF(B2073="insumo",_xlfn.XLOOKUP($D2073,Insumos!$B$1:$B$996,Insumos!$D$1:$D$996),"")</f>
        <v>3.43</v>
      </c>
      <c r="H2073" s="92">
        <v>3.7654540000000001</v>
      </c>
      <c r="I2073" s="13">
        <v>0</v>
      </c>
      <c r="J2073" s="13">
        <v>0</v>
      </c>
      <c r="K2073" s="13"/>
      <c r="L2073"/>
      <c r="M2073"/>
      <c r="N2073"/>
      <c r="O2073"/>
      <c r="P2073"/>
      <c r="Q2073"/>
      <c r="R2073"/>
      <c r="S2073"/>
      <c r="T2073"/>
      <c r="U2073"/>
      <c r="V2073"/>
      <c r="W2073"/>
      <c r="X2073"/>
      <c r="Y2073"/>
      <c r="Z2073"/>
      <c r="AA2073"/>
      <c r="AB2073"/>
      <c r="AC2073"/>
      <c r="AD2073"/>
      <c r="AE2073"/>
      <c r="AF2073"/>
      <c r="AG2073"/>
      <c r="AH2073"/>
      <c r="AI2073"/>
      <c r="AJ2073"/>
      <c r="AK2073"/>
      <c r="AL2073"/>
    </row>
    <row r="2074" spans="1:38" ht="15.75" customHeight="1" outlineLevel="3" x14ac:dyDescent="0.2">
      <c r="A2074" s="10">
        <v>94</v>
      </c>
      <c r="B2074" s="10" t="s">
        <v>71</v>
      </c>
      <c r="C2074" s="10" t="s">
        <v>1373</v>
      </c>
      <c r="D2074" s="10" t="s">
        <v>412</v>
      </c>
      <c r="E2074" s="11" t="str">
        <f t="array" ref="E2074">_xlfn.XLOOKUP(D2074,Insumos!B:B,Insumos!C:$C)</f>
        <v>M</v>
      </c>
      <c r="F2074" s="14">
        <v>2.5026999999999999</v>
      </c>
      <c r="G2074" s="92">
        <f t="array" ref="G2074">IF(B2074="insumo",_xlfn.XLOOKUP($D2074,Insumos!$B$1:$B$996,Insumos!$D$1:$D$996),"")</f>
        <v>0.31</v>
      </c>
      <c r="H2074" s="92">
        <v>0.775837</v>
      </c>
      <c r="I2074" s="13">
        <v>0</v>
      </c>
      <c r="J2074" s="13">
        <v>0</v>
      </c>
      <c r="K2074" s="13"/>
      <c r="L2074"/>
      <c r="M2074"/>
      <c r="N2074"/>
      <c r="O2074"/>
      <c r="P2074"/>
      <c r="Q2074"/>
      <c r="R2074"/>
      <c r="S2074"/>
      <c r="T2074"/>
      <c r="U2074"/>
      <c r="V2074"/>
      <c r="W2074"/>
      <c r="X2074"/>
      <c r="Y2074"/>
      <c r="Z2074"/>
      <c r="AA2074"/>
      <c r="AB2074"/>
      <c r="AC2074"/>
      <c r="AD2074"/>
      <c r="AE2074"/>
      <c r="AF2074"/>
      <c r="AG2074"/>
      <c r="AH2074"/>
      <c r="AI2074"/>
      <c r="AJ2074"/>
      <c r="AK2074"/>
      <c r="AL2074"/>
    </row>
    <row r="2075" spans="1:38" ht="15.75" customHeight="1" outlineLevel="3" x14ac:dyDescent="0.2">
      <c r="A2075" s="10">
        <v>94</v>
      </c>
      <c r="B2075" s="10" t="s">
        <v>71</v>
      </c>
      <c r="C2075" s="10" t="s">
        <v>1373</v>
      </c>
      <c r="D2075" s="10" t="s">
        <v>413</v>
      </c>
      <c r="E2075" s="11" t="str">
        <f t="array" ref="E2075">_xlfn.XLOOKUP(D2075,Insumos!B:B,Insumos!C:$C)</f>
        <v>M</v>
      </c>
      <c r="F2075" s="14">
        <v>1.5851</v>
      </c>
      <c r="G2075" s="92">
        <f t="array" ref="G2075">IF(B2075="insumo",_xlfn.XLOOKUP($D2075,Insumos!$B$1:$B$996,Insumos!$D$1:$D$996),"")</f>
        <v>2.74</v>
      </c>
      <c r="H2075" s="92">
        <v>4.3431740000000003</v>
      </c>
      <c r="I2075" s="13">
        <v>0</v>
      </c>
      <c r="J2075" s="13">
        <v>0</v>
      </c>
      <c r="K2075" s="13"/>
      <c r="L2075"/>
      <c r="M2075"/>
      <c r="N2075"/>
      <c r="O2075"/>
      <c r="P2075"/>
      <c r="Q2075"/>
      <c r="R2075"/>
      <c r="S2075"/>
      <c r="T2075"/>
      <c r="U2075"/>
      <c r="V2075"/>
      <c r="W2075"/>
      <c r="X2075"/>
      <c r="Y2075"/>
      <c r="Z2075"/>
      <c r="AA2075"/>
      <c r="AB2075"/>
      <c r="AC2075"/>
      <c r="AD2075"/>
      <c r="AE2075"/>
      <c r="AF2075"/>
      <c r="AG2075"/>
      <c r="AH2075"/>
      <c r="AI2075"/>
      <c r="AJ2075"/>
      <c r="AK2075"/>
      <c r="AL2075"/>
    </row>
    <row r="2076" spans="1:38" ht="15.75" customHeight="1" outlineLevel="3" x14ac:dyDescent="0.2">
      <c r="A2076" s="10">
        <v>97</v>
      </c>
      <c r="B2076" s="10" t="s">
        <v>71</v>
      </c>
      <c r="C2076" s="10" t="s">
        <v>1373</v>
      </c>
      <c r="D2076" s="10" t="s">
        <v>414</v>
      </c>
      <c r="E2076" s="11" t="str">
        <f t="array" ref="E2076">_xlfn.XLOOKUP(D2076,Insumos!B:B,Insumos!C:$C)</f>
        <v>UN</v>
      </c>
      <c r="F2076" s="14">
        <v>20.186800000000002</v>
      </c>
      <c r="G2076" s="92">
        <f t="array" ref="G2076">IF(B2076="insumo",_xlfn.XLOOKUP($D2076,Insumos!$B$1:$B$996,Insumos!$D$1:$D$996),"")</f>
        <v>0.09</v>
      </c>
      <c r="H2076" s="92">
        <v>1.8168120000000001</v>
      </c>
      <c r="I2076" s="13">
        <v>0</v>
      </c>
      <c r="J2076" s="13">
        <v>0</v>
      </c>
      <c r="K2076" s="13"/>
      <c r="L2076"/>
      <c r="M2076"/>
      <c r="N2076"/>
      <c r="O2076"/>
      <c r="P2076"/>
      <c r="Q2076"/>
      <c r="R2076"/>
      <c r="S2076"/>
      <c r="T2076"/>
      <c r="U2076"/>
      <c r="V2076"/>
      <c r="W2076"/>
      <c r="X2076"/>
      <c r="Y2076"/>
      <c r="Z2076"/>
      <c r="AA2076"/>
      <c r="AB2076"/>
      <c r="AC2076"/>
      <c r="AD2076"/>
      <c r="AE2076"/>
      <c r="AF2076"/>
      <c r="AG2076"/>
      <c r="AH2076"/>
      <c r="AI2076"/>
      <c r="AJ2076"/>
      <c r="AK2076"/>
      <c r="AL2076"/>
    </row>
    <row r="2077" spans="1:38" ht="15.75" customHeight="1" outlineLevel="3" x14ac:dyDescent="0.2">
      <c r="A2077" s="10">
        <v>95</v>
      </c>
      <c r="B2077" s="10" t="s">
        <v>71</v>
      </c>
      <c r="C2077" s="10" t="s">
        <v>1373</v>
      </c>
      <c r="D2077" s="10" t="s">
        <v>415</v>
      </c>
      <c r="E2077" s="11" t="str">
        <f t="array" ref="E2077">_xlfn.XLOOKUP(D2077,Insumos!B:B,Insumos!C:$C)</f>
        <v>UN</v>
      </c>
      <c r="F2077" s="14">
        <v>0.54410000000000003</v>
      </c>
      <c r="G2077" s="92">
        <f t="array" ref="G2077">IF(B2077="insumo",_xlfn.XLOOKUP($D2077,Insumos!$B$1:$B$996,Insumos!$D$1:$D$996),"")</f>
        <v>0.2</v>
      </c>
      <c r="H2077" s="92">
        <v>0.10882</v>
      </c>
      <c r="I2077" s="13">
        <v>0</v>
      </c>
      <c r="J2077" s="13">
        <v>0</v>
      </c>
      <c r="K2077" s="13"/>
      <c r="L2077"/>
      <c r="M2077"/>
      <c r="N2077"/>
      <c r="O2077"/>
      <c r="P2077"/>
      <c r="Q2077"/>
      <c r="R2077"/>
      <c r="S2077"/>
      <c r="T2077"/>
      <c r="U2077"/>
      <c r="V2077"/>
      <c r="W2077"/>
      <c r="X2077"/>
      <c r="Y2077"/>
      <c r="Z2077"/>
      <c r="AA2077"/>
      <c r="AB2077"/>
      <c r="AC2077"/>
      <c r="AD2077"/>
      <c r="AE2077"/>
      <c r="AF2077"/>
      <c r="AG2077"/>
      <c r="AH2077"/>
      <c r="AI2077"/>
      <c r="AJ2077"/>
      <c r="AK2077"/>
      <c r="AL2077"/>
    </row>
    <row r="2078" spans="1:38" ht="15.75" customHeight="1" outlineLevel="3" x14ac:dyDescent="0.2">
      <c r="A2078" s="10">
        <v>35</v>
      </c>
      <c r="B2078" s="10" t="s">
        <v>71</v>
      </c>
      <c r="C2078" s="10" t="s">
        <v>1373</v>
      </c>
      <c r="D2078" s="10" t="s">
        <v>1595</v>
      </c>
      <c r="E2078" s="11" t="str">
        <f t="array" ref="E2078">_xlfn.XLOOKUP(D2078,Insumos!B:B,Insumos!C:$C)</f>
        <v>M2</v>
      </c>
      <c r="F2078" s="14">
        <v>1.1000000000000001</v>
      </c>
      <c r="G2078" s="92">
        <f t="array" ref="G2078">IF(B2078="insumo",_xlfn.XLOOKUP($D2078,Insumos!$B$1:$B$996,Insumos!$D$1:$D$996),"")</f>
        <v>13.019333333333332</v>
      </c>
      <c r="H2078" s="92">
        <v>14.3212666666667</v>
      </c>
      <c r="I2078" s="13">
        <v>0</v>
      </c>
      <c r="J2078" s="13">
        <v>0</v>
      </c>
      <c r="K2078" s="13"/>
      <c r="L2078"/>
      <c r="M2078"/>
      <c r="N2078"/>
      <c r="O2078"/>
      <c r="P2078"/>
      <c r="Q2078"/>
      <c r="R2078"/>
      <c r="S2078"/>
      <c r="T2078"/>
      <c r="U2078"/>
      <c r="V2078"/>
      <c r="W2078"/>
      <c r="X2078"/>
      <c r="Y2078"/>
      <c r="Z2078"/>
      <c r="AA2078"/>
      <c r="AB2078"/>
      <c r="AC2078"/>
      <c r="AD2078"/>
      <c r="AE2078"/>
      <c r="AF2078"/>
      <c r="AG2078"/>
      <c r="AH2078"/>
      <c r="AI2078"/>
      <c r="AJ2078"/>
      <c r="AK2078"/>
      <c r="AL2078"/>
    </row>
    <row r="2079" spans="1:38" ht="15.75" customHeight="1" outlineLevel="2" x14ac:dyDescent="0.2">
      <c r="A2079" s="1067">
        <v>1</v>
      </c>
      <c r="B2079" s="1067" t="s">
        <v>68</v>
      </c>
      <c r="C2079" s="1067" t="s">
        <v>1374</v>
      </c>
      <c r="D2079" s="1067" t="s">
        <v>1374</v>
      </c>
      <c r="E2079" s="1068" t="s">
        <v>70</v>
      </c>
      <c r="F2079" s="1067"/>
      <c r="G2079" s="1069" t="str">
        <f t="array" ref="G2079">IF(B2079="insumo",_xlfn.XLOOKUP($D2079,Insumos!$B$1:$B$996,Insumos!$D$1:$D$996),"")</f>
        <v/>
      </c>
      <c r="H2079" s="1069">
        <v>358.094837888889</v>
      </c>
      <c r="I2079" s="1070">
        <v>0</v>
      </c>
      <c r="J2079" s="1070">
        <v>0</v>
      </c>
      <c r="K2079" s="1070"/>
      <c r="L2079"/>
      <c r="M2079"/>
      <c r="N2079"/>
      <c r="O2079"/>
      <c r="P2079"/>
      <c r="Q2079"/>
      <c r="R2079"/>
      <c r="S2079"/>
      <c r="T2079"/>
      <c r="U2079"/>
      <c r="V2079"/>
      <c r="W2079"/>
      <c r="X2079"/>
      <c r="Y2079"/>
      <c r="Z2079"/>
      <c r="AA2079"/>
      <c r="AB2079"/>
      <c r="AC2079"/>
      <c r="AD2079"/>
      <c r="AE2079"/>
      <c r="AF2079"/>
      <c r="AG2079"/>
      <c r="AH2079"/>
      <c r="AI2079"/>
      <c r="AJ2079"/>
      <c r="AK2079"/>
      <c r="AL2079"/>
    </row>
    <row r="2080" spans="1:38" ht="15.75" customHeight="1" outlineLevel="3" x14ac:dyDescent="0.2">
      <c r="A2080" s="10">
        <v>86</v>
      </c>
      <c r="B2080" s="10" t="s">
        <v>71</v>
      </c>
      <c r="C2080" s="10" t="s">
        <v>1374</v>
      </c>
      <c r="D2080" s="10" t="s">
        <v>407</v>
      </c>
      <c r="E2080" s="11" t="str">
        <f t="array" ref="E2080">_xlfn.XLOOKUP(D2080,Insumos!B:B,Insumos!C:$C)</f>
        <v>M2</v>
      </c>
      <c r="F2080" s="14">
        <v>1</v>
      </c>
      <c r="G2080" s="92">
        <f t="array" ref="G2080">IF(B2080="insumo",_xlfn.XLOOKUP($D2080,Insumos!$B$1:$B$996,Insumos!$D$1:$D$996),"")</f>
        <v>70</v>
      </c>
      <c r="H2080" s="92">
        <v>70</v>
      </c>
      <c r="I2080" s="13">
        <v>0</v>
      </c>
      <c r="J2080" s="13">
        <v>0</v>
      </c>
      <c r="K2080" s="13"/>
      <c r="L2080"/>
      <c r="M2080"/>
      <c r="N2080"/>
      <c r="O2080"/>
      <c r="P2080"/>
      <c r="Q2080"/>
      <c r="R2080"/>
      <c r="S2080"/>
      <c r="T2080"/>
      <c r="U2080"/>
      <c r="V2080"/>
      <c r="W2080"/>
      <c r="X2080"/>
      <c r="Y2080"/>
      <c r="Z2080"/>
      <c r="AA2080"/>
      <c r="AB2080"/>
      <c r="AC2080"/>
      <c r="AD2080"/>
      <c r="AE2080"/>
      <c r="AF2080"/>
      <c r="AG2080"/>
      <c r="AH2080"/>
      <c r="AI2080"/>
      <c r="AJ2080"/>
      <c r="AK2080"/>
      <c r="AL2080"/>
    </row>
    <row r="2081" spans="1:38" ht="15.75" customHeight="1" outlineLevel="3" x14ac:dyDescent="0.2">
      <c r="A2081" s="10">
        <v>3</v>
      </c>
      <c r="B2081" s="10" t="s">
        <v>71</v>
      </c>
      <c r="C2081" s="10" t="s">
        <v>1374</v>
      </c>
      <c r="D2081" s="10" t="s">
        <v>1391</v>
      </c>
      <c r="E2081" s="11" t="str">
        <f t="array" ref="E2081">_xlfn.XLOOKUP(D2081,Insumos!B:B,Insumos!C:$C)</f>
        <v>M2</v>
      </c>
      <c r="F2081" s="14">
        <v>2.1059999999999999</v>
      </c>
      <c r="G2081" s="92">
        <f t="array" ref="G2081">IF(B2081="insumo",_xlfn.XLOOKUP($D2081,Insumos!$B$1:$B$996,Insumos!$D$1:$D$996),"")</f>
        <v>38.19444444444445</v>
      </c>
      <c r="H2081" s="92">
        <v>80.4375</v>
      </c>
      <c r="I2081" s="13">
        <v>0</v>
      </c>
      <c r="J2081" s="13">
        <v>0</v>
      </c>
      <c r="K2081" s="13"/>
      <c r="L2081"/>
      <c r="M2081"/>
      <c r="N2081"/>
      <c r="O2081"/>
      <c r="P2081"/>
      <c r="Q2081"/>
      <c r="R2081"/>
      <c r="S2081"/>
      <c r="T2081"/>
      <c r="U2081"/>
      <c r="V2081"/>
      <c r="W2081"/>
      <c r="X2081"/>
      <c r="Y2081"/>
      <c r="Z2081"/>
      <c r="AA2081"/>
      <c r="AB2081"/>
      <c r="AC2081"/>
      <c r="AD2081"/>
      <c r="AE2081"/>
      <c r="AF2081"/>
      <c r="AG2081"/>
      <c r="AH2081"/>
      <c r="AI2081"/>
      <c r="AJ2081"/>
      <c r="AK2081"/>
      <c r="AL2081"/>
    </row>
    <row r="2082" spans="1:38" ht="15.75" customHeight="1" outlineLevel="3" x14ac:dyDescent="0.2">
      <c r="A2082" s="10">
        <v>4</v>
      </c>
      <c r="B2082" s="10" t="s">
        <v>71</v>
      </c>
      <c r="C2082" s="10" t="s">
        <v>1374</v>
      </c>
      <c r="D2082" s="10" t="s">
        <v>1392</v>
      </c>
      <c r="E2082" s="11" t="str">
        <f t="array" ref="E2082">_xlfn.XLOOKUP(D2082,Insumos!B:B,Insumos!C:$C)</f>
        <v>M2</v>
      </c>
      <c r="F2082" s="14">
        <v>1.1060000000000001</v>
      </c>
      <c r="G2082" s="92">
        <f t="array" ref="G2082">IF(B2082="insumo",_xlfn.XLOOKUP($D2082,Insumos!$B$1:$B$996,Insumos!$D$1:$D$996),"")</f>
        <v>84.027777777777786</v>
      </c>
      <c r="H2082" s="92">
        <v>92.934722222222206</v>
      </c>
      <c r="I2082" s="13">
        <v>0</v>
      </c>
      <c r="J2082" s="13">
        <v>0</v>
      </c>
      <c r="K2082" s="13"/>
      <c r="L2082"/>
      <c r="M2082"/>
      <c r="N2082"/>
      <c r="O2082"/>
      <c r="P2082"/>
      <c r="Q2082"/>
      <c r="R2082"/>
      <c r="S2082"/>
      <c r="T2082"/>
      <c r="U2082"/>
      <c r="V2082"/>
      <c r="W2082"/>
      <c r="X2082"/>
      <c r="Y2082"/>
      <c r="Z2082"/>
      <c r="AA2082"/>
      <c r="AB2082"/>
      <c r="AC2082"/>
      <c r="AD2082"/>
      <c r="AE2082"/>
      <c r="AF2082"/>
      <c r="AG2082"/>
      <c r="AH2082"/>
      <c r="AI2082"/>
      <c r="AJ2082"/>
      <c r="AK2082"/>
      <c r="AL2082"/>
    </row>
    <row r="2083" spans="1:38" ht="15.75" customHeight="1" outlineLevel="3" x14ac:dyDescent="0.2">
      <c r="A2083" s="10">
        <v>95</v>
      </c>
      <c r="B2083" s="10" t="s">
        <v>71</v>
      </c>
      <c r="C2083" s="10" t="s">
        <v>1374</v>
      </c>
      <c r="D2083" s="10" t="s">
        <v>409</v>
      </c>
      <c r="E2083" s="11" t="str">
        <f t="array" ref="E2083">_xlfn.XLOOKUP(D2083,Insumos!B:B,Insumos!C:$C)</f>
        <v>UN</v>
      </c>
      <c r="F2083" s="14">
        <v>5.92</v>
      </c>
      <c r="G2083" s="92">
        <f t="array" ref="G2083">IF(B2083="insumo",_xlfn.XLOOKUP($D2083,Insumos!$B$1:$B$996,Insumos!$D$1:$D$996),"")</f>
        <v>0.504</v>
      </c>
      <c r="H2083" s="92">
        <v>2.9836800000000001</v>
      </c>
      <c r="I2083" s="13">
        <v>0</v>
      </c>
      <c r="J2083" s="13">
        <v>0</v>
      </c>
      <c r="K2083" s="13"/>
      <c r="L2083"/>
      <c r="M2083"/>
      <c r="N2083"/>
      <c r="O2083"/>
      <c r="P2083"/>
      <c r="Q2083"/>
      <c r="R2083"/>
      <c r="S2083"/>
      <c r="T2083"/>
      <c r="U2083"/>
      <c r="V2083"/>
      <c r="W2083"/>
      <c r="X2083"/>
      <c r="Y2083"/>
      <c r="Z2083"/>
      <c r="AA2083"/>
      <c r="AB2083"/>
      <c r="AC2083"/>
      <c r="AD2083"/>
      <c r="AE2083"/>
      <c r="AF2083"/>
      <c r="AG2083"/>
      <c r="AH2083"/>
      <c r="AI2083"/>
      <c r="AJ2083"/>
      <c r="AK2083"/>
      <c r="AL2083"/>
    </row>
    <row r="2084" spans="1:38" ht="15.75" customHeight="1" outlineLevel="3" x14ac:dyDescent="0.2">
      <c r="A2084" s="10">
        <v>43</v>
      </c>
      <c r="B2084" s="10" t="s">
        <v>71</v>
      </c>
      <c r="C2084" s="10" t="s">
        <v>1374</v>
      </c>
      <c r="D2084" s="10" t="s">
        <v>423</v>
      </c>
      <c r="E2084" s="11" t="str">
        <f t="array" ref="E2084">_xlfn.XLOOKUP(D2084,Insumos!B:B,Insumos!C:$C)</f>
        <v>M</v>
      </c>
      <c r="F2084" s="14">
        <f>1.5248*2</f>
        <v>3.0495999999999999</v>
      </c>
      <c r="G2084" s="92">
        <f t="array" ref="G2084">IF(B2084="insumo",_xlfn.XLOOKUP($D2084,Insumos!$B$1:$B$996,Insumos!$D$1:$D$996),"")</f>
        <v>7.46</v>
      </c>
      <c r="H2084" s="92">
        <v>22.750015999999999</v>
      </c>
      <c r="I2084" s="13">
        <v>0</v>
      </c>
      <c r="J2084" s="13">
        <v>0</v>
      </c>
      <c r="K2084" s="13"/>
      <c r="L2084"/>
      <c r="M2084"/>
      <c r="N2084"/>
      <c r="O2084"/>
      <c r="P2084"/>
      <c r="Q2084"/>
      <c r="R2084"/>
      <c r="S2084"/>
      <c r="T2084"/>
      <c r="U2084"/>
      <c r="V2084"/>
      <c r="W2084"/>
      <c r="X2084"/>
      <c r="Y2084"/>
      <c r="Z2084"/>
      <c r="AA2084"/>
      <c r="AB2084"/>
      <c r="AC2084"/>
      <c r="AD2084"/>
      <c r="AE2084"/>
      <c r="AF2084"/>
      <c r="AG2084"/>
      <c r="AH2084"/>
      <c r="AI2084"/>
      <c r="AJ2084"/>
      <c r="AK2084"/>
      <c r="AL2084"/>
    </row>
    <row r="2085" spans="1:38" ht="15.75" customHeight="1" outlineLevel="3" x14ac:dyDescent="0.2">
      <c r="A2085" s="10">
        <v>43</v>
      </c>
      <c r="B2085" s="10" t="s">
        <v>71</v>
      </c>
      <c r="C2085" s="10" t="s">
        <v>1374</v>
      </c>
      <c r="D2085" s="10" t="s">
        <v>424</v>
      </c>
      <c r="E2085" s="11" t="str">
        <f t="array" ref="E2085">_xlfn.XLOOKUP(D2085,Insumos!B:B,Insumos!C:$C)</f>
        <v>M</v>
      </c>
      <c r="F2085" s="14">
        <f>4.0011*2</f>
        <v>8.0022000000000002</v>
      </c>
      <c r="G2085" s="92">
        <f t="array" ref="G2085">IF(B2085="insumo",_xlfn.XLOOKUP($D2085,Insumos!$B$1:$B$996,Insumos!$D$1:$D$996),"")</f>
        <v>7.98</v>
      </c>
      <c r="H2085" s="92">
        <v>63.857556000000002</v>
      </c>
      <c r="I2085" s="13">
        <v>0</v>
      </c>
      <c r="J2085" s="13">
        <v>0</v>
      </c>
      <c r="K2085" s="13"/>
      <c r="L2085"/>
      <c r="M2085"/>
      <c r="N2085"/>
      <c r="O2085"/>
      <c r="P2085"/>
      <c r="Q2085"/>
      <c r="R2085"/>
      <c r="S2085"/>
      <c r="T2085"/>
      <c r="U2085"/>
      <c r="V2085"/>
      <c r="W2085"/>
      <c r="X2085"/>
      <c r="Y2085"/>
      <c r="Z2085"/>
      <c r="AA2085"/>
      <c r="AB2085"/>
      <c r="AC2085"/>
      <c r="AD2085"/>
      <c r="AE2085"/>
      <c r="AF2085"/>
      <c r="AG2085"/>
      <c r="AH2085"/>
      <c r="AI2085"/>
      <c r="AJ2085"/>
      <c r="AK2085"/>
      <c r="AL2085"/>
    </row>
    <row r="2086" spans="1:38" ht="15.75" customHeight="1" outlineLevel="3" x14ac:dyDescent="0.2">
      <c r="A2086" s="10">
        <v>95</v>
      </c>
      <c r="B2086" s="10" t="s">
        <v>71</v>
      </c>
      <c r="C2086" s="10" t="s">
        <v>1374</v>
      </c>
      <c r="D2086" s="10" t="s">
        <v>405</v>
      </c>
      <c r="E2086" s="11" t="str">
        <f t="array" ref="E2086">_xlfn.XLOOKUP(D2086,Insumos!B:B,Insumos!C:$C)</f>
        <v>KG</v>
      </c>
      <c r="F2086" s="14">
        <v>1.0978000000000001</v>
      </c>
      <c r="G2086" s="92">
        <f t="array" ref="G2086">IF(B2086="insumo",_xlfn.XLOOKUP($D2086,Insumos!$B$1:$B$996,Insumos!$D$1:$D$996),"")</f>
        <v>3.43</v>
      </c>
      <c r="H2086" s="92">
        <v>3.7654540000000001</v>
      </c>
      <c r="I2086" s="13">
        <v>0</v>
      </c>
      <c r="J2086" s="13">
        <v>0</v>
      </c>
      <c r="K2086" s="13"/>
      <c r="L2086"/>
      <c r="M2086"/>
      <c r="N2086"/>
      <c r="O2086"/>
      <c r="P2086"/>
      <c r="Q2086"/>
      <c r="R2086"/>
      <c r="S2086"/>
      <c r="T2086"/>
      <c r="U2086"/>
      <c r="V2086"/>
      <c r="W2086"/>
      <c r="X2086"/>
      <c r="Y2086"/>
      <c r="Z2086"/>
      <c r="AA2086"/>
      <c r="AB2086"/>
      <c r="AC2086"/>
      <c r="AD2086"/>
      <c r="AE2086"/>
      <c r="AF2086"/>
      <c r="AG2086"/>
      <c r="AH2086"/>
      <c r="AI2086"/>
      <c r="AJ2086"/>
      <c r="AK2086"/>
      <c r="AL2086"/>
    </row>
    <row r="2087" spans="1:38" ht="15.75" customHeight="1" outlineLevel="3" x14ac:dyDescent="0.2">
      <c r="A2087" s="10">
        <v>94</v>
      </c>
      <c r="B2087" s="10" t="s">
        <v>71</v>
      </c>
      <c r="C2087" s="10" t="s">
        <v>1374</v>
      </c>
      <c r="D2087" s="10" t="s">
        <v>412</v>
      </c>
      <c r="E2087" s="11" t="str">
        <f t="array" ref="E2087">_xlfn.XLOOKUP(D2087,Insumos!B:B,Insumos!C:$C)</f>
        <v>M</v>
      </c>
      <c r="F2087" s="14">
        <v>2.5026999999999999</v>
      </c>
      <c r="G2087" s="92">
        <f t="array" ref="G2087">IF(B2087="insumo",_xlfn.XLOOKUP($D2087,Insumos!$B$1:$B$996,Insumos!$D$1:$D$996),"")</f>
        <v>0.31</v>
      </c>
      <c r="H2087" s="92">
        <v>0.775837</v>
      </c>
      <c r="I2087" s="13">
        <v>0</v>
      </c>
      <c r="J2087" s="13">
        <v>0</v>
      </c>
      <c r="K2087" s="13"/>
      <c r="L2087"/>
      <c r="M2087"/>
      <c r="N2087"/>
      <c r="O2087"/>
      <c r="P2087"/>
      <c r="Q2087"/>
      <c r="R2087"/>
      <c r="S2087"/>
      <c r="T2087"/>
      <c r="U2087"/>
      <c r="V2087"/>
      <c r="W2087"/>
      <c r="X2087"/>
      <c r="Y2087"/>
      <c r="Z2087"/>
      <c r="AA2087"/>
      <c r="AB2087"/>
      <c r="AC2087"/>
      <c r="AD2087"/>
      <c r="AE2087"/>
      <c r="AF2087"/>
      <c r="AG2087"/>
      <c r="AH2087"/>
      <c r="AI2087"/>
      <c r="AJ2087"/>
      <c r="AK2087"/>
      <c r="AL2087"/>
    </row>
    <row r="2088" spans="1:38" ht="15.75" customHeight="1" outlineLevel="3" x14ac:dyDescent="0.2">
      <c r="A2088" s="10">
        <v>94</v>
      </c>
      <c r="B2088" s="10" t="s">
        <v>71</v>
      </c>
      <c r="C2088" s="10" t="s">
        <v>1374</v>
      </c>
      <c r="D2088" s="10" t="s">
        <v>413</v>
      </c>
      <c r="E2088" s="11" t="str">
        <f t="array" ref="E2088">_xlfn.XLOOKUP(D2088,Insumos!B:B,Insumos!C:$C)</f>
        <v>M</v>
      </c>
      <c r="F2088" s="14">
        <v>1.5851</v>
      </c>
      <c r="G2088" s="92">
        <f t="array" ref="G2088">IF(B2088="insumo",_xlfn.XLOOKUP($D2088,Insumos!$B$1:$B$996,Insumos!$D$1:$D$996),"")</f>
        <v>2.74</v>
      </c>
      <c r="H2088" s="92">
        <v>4.3431740000000003</v>
      </c>
      <c r="I2088" s="13">
        <v>0</v>
      </c>
      <c r="J2088" s="13">
        <v>0</v>
      </c>
      <c r="K2088" s="13"/>
      <c r="L2088"/>
      <c r="M2088"/>
      <c r="N2088"/>
      <c r="O2088"/>
      <c r="P2088"/>
      <c r="Q2088"/>
      <c r="R2088"/>
      <c r="S2088"/>
      <c r="T2088"/>
      <c r="U2088"/>
      <c r="V2088"/>
      <c r="W2088"/>
      <c r="X2088"/>
      <c r="Y2088"/>
      <c r="Z2088"/>
      <c r="AA2088"/>
      <c r="AB2088"/>
      <c r="AC2088"/>
      <c r="AD2088"/>
      <c r="AE2088"/>
      <c r="AF2088"/>
      <c r="AG2088"/>
      <c r="AH2088"/>
      <c r="AI2088"/>
      <c r="AJ2088"/>
      <c r="AK2088"/>
      <c r="AL2088"/>
    </row>
    <row r="2089" spans="1:38" ht="15.75" customHeight="1" outlineLevel="3" x14ac:dyDescent="0.2">
      <c r="A2089" s="10">
        <v>97</v>
      </c>
      <c r="B2089" s="10" t="s">
        <v>71</v>
      </c>
      <c r="C2089" s="10" t="s">
        <v>1374</v>
      </c>
      <c r="D2089" s="10" t="s">
        <v>414</v>
      </c>
      <c r="E2089" s="11" t="str">
        <f t="array" ref="E2089">_xlfn.XLOOKUP(D2089,Insumos!B:B,Insumos!C:$C)</f>
        <v>UN</v>
      </c>
      <c r="F2089" s="14">
        <v>20.186800000000002</v>
      </c>
      <c r="G2089" s="92">
        <f t="array" ref="G2089">IF(B2089="insumo",_xlfn.XLOOKUP($D2089,Insumos!$B$1:$B$996,Insumos!$D$1:$D$996),"")</f>
        <v>0.09</v>
      </c>
      <c r="H2089" s="92">
        <v>1.8168120000000001</v>
      </c>
      <c r="I2089" s="13">
        <v>0</v>
      </c>
      <c r="J2089" s="13">
        <v>0</v>
      </c>
      <c r="K2089" s="13"/>
      <c r="L2089"/>
      <c r="M2089"/>
      <c r="N2089"/>
      <c r="O2089"/>
      <c r="P2089"/>
      <c r="Q2089"/>
      <c r="R2089"/>
      <c r="S2089"/>
      <c r="T2089"/>
      <c r="U2089"/>
      <c r="V2089"/>
      <c r="W2089"/>
      <c r="X2089"/>
      <c r="Y2089"/>
      <c r="Z2089"/>
      <c r="AA2089"/>
      <c r="AB2089"/>
      <c r="AC2089"/>
      <c r="AD2089"/>
      <c r="AE2089"/>
      <c r="AF2089"/>
      <c r="AG2089"/>
      <c r="AH2089"/>
      <c r="AI2089"/>
      <c r="AJ2089"/>
      <c r="AK2089"/>
      <c r="AL2089"/>
    </row>
    <row r="2090" spans="1:38" ht="15.75" customHeight="1" outlineLevel="3" x14ac:dyDescent="0.2">
      <c r="A2090" s="10">
        <v>95</v>
      </c>
      <c r="B2090" s="10" t="s">
        <v>71</v>
      </c>
      <c r="C2090" s="10" t="s">
        <v>1374</v>
      </c>
      <c r="D2090" s="10" t="s">
        <v>415</v>
      </c>
      <c r="E2090" s="11" t="str">
        <f t="array" ref="E2090">_xlfn.XLOOKUP(D2090,Insumos!B:B,Insumos!C:$C)</f>
        <v>UN</v>
      </c>
      <c r="F2090" s="14">
        <v>0.54410000000000003</v>
      </c>
      <c r="G2090" s="92">
        <f t="array" ref="G2090">IF(B2090="insumo",_xlfn.XLOOKUP($D2090,Insumos!$B$1:$B$996,Insumos!$D$1:$D$996),"")</f>
        <v>0.2</v>
      </c>
      <c r="H2090" s="92">
        <v>0.10882</v>
      </c>
      <c r="I2090" s="13">
        <v>0</v>
      </c>
      <c r="J2090" s="13">
        <v>0</v>
      </c>
      <c r="K2090" s="13"/>
      <c r="L2090"/>
      <c r="M2090"/>
      <c r="N2090"/>
      <c r="O2090"/>
      <c r="P2090"/>
      <c r="Q2090"/>
      <c r="R2090"/>
      <c r="S2090"/>
      <c r="T2090"/>
      <c r="U2090"/>
      <c r="V2090"/>
      <c r="W2090"/>
      <c r="X2090"/>
      <c r="Y2090"/>
      <c r="Z2090"/>
      <c r="AA2090"/>
      <c r="AB2090"/>
      <c r="AC2090"/>
      <c r="AD2090"/>
      <c r="AE2090"/>
      <c r="AF2090"/>
      <c r="AG2090"/>
      <c r="AH2090"/>
      <c r="AI2090"/>
      <c r="AJ2090"/>
      <c r="AK2090"/>
      <c r="AL2090"/>
    </row>
    <row r="2091" spans="1:38" ht="15.75" customHeight="1" outlineLevel="3" x14ac:dyDescent="0.2">
      <c r="A2091" s="10">
        <v>35</v>
      </c>
      <c r="B2091" s="10" t="s">
        <v>71</v>
      </c>
      <c r="C2091" s="10" t="s">
        <v>1374</v>
      </c>
      <c r="D2091" s="10" t="s">
        <v>1595</v>
      </c>
      <c r="E2091" s="11" t="str">
        <f t="array" ref="E2091">_xlfn.XLOOKUP(D2091,Insumos!B:B,Insumos!C:$C)</f>
        <v>M2</v>
      </c>
      <c r="F2091" s="14">
        <v>1.1000000000000001</v>
      </c>
      <c r="G2091" s="92">
        <f t="array" ref="G2091">IF(B2091="insumo",_xlfn.XLOOKUP($D2091,Insumos!$B$1:$B$996,Insumos!$D$1:$D$996),"")</f>
        <v>13.019333333333332</v>
      </c>
      <c r="H2091" s="92">
        <v>14.3212666666667</v>
      </c>
      <c r="I2091" s="13">
        <v>0</v>
      </c>
      <c r="J2091" s="13">
        <v>0</v>
      </c>
      <c r="K2091" s="13"/>
      <c r="L2091"/>
      <c r="M2091"/>
      <c r="N2091"/>
      <c r="O2091"/>
      <c r="P2091"/>
      <c r="Q2091"/>
      <c r="R2091"/>
      <c r="S2091"/>
      <c r="T2091"/>
      <c r="U2091"/>
      <c r="V2091"/>
      <c r="W2091"/>
      <c r="X2091"/>
      <c r="Y2091"/>
      <c r="Z2091"/>
      <c r="AA2091"/>
      <c r="AB2091"/>
      <c r="AC2091"/>
      <c r="AD2091"/>
      <c r="AE2091"/>
      <c r="AF2091"/>
      <c r="AG2091"/>
      <c r="AH2091"/>
      <c r="AI2091"/>
      <c r="AJ2091"/>
      <c r="AK2091"/>
      <c r="AL2091"/>
    </row>
    <row r="2092" spans="1:38" ht="15.75" customHeight="1" outlineLevel="2" x14ac:dyDescent="0.2">
      <c r="A2092" s="1067">
        <v>1</v>
      </c>
      <c r="B2092" s="1067" t="s">
        <v>68</v>
      </c>
      <c r="C2092" s="1067" t="s">
        <v>1375</v>
      </c>
      <c r="D2092" s="1067" t="s">
        <v>1375</v>
      </c>
      <c r="E2092" s="1068" t="s">
        <v>70</v>
      </c>
      <c r="F2092" s="1067"/>
      <c r="G2092" s="1069" t="str">
        <f t="array" ref="G2092">IF(B2092="insumo",_xlfn.XLOOKUP($D2092,Insumos!$B$1:$B$996,Insumos!$D$1:$D$996),"")</f>
        <v/>
      </c>
      <c r="H2092" s="1069">
        <v>358.094837888889</v>
      </c>
      <c r="I2092" s="1070">
        <v>0</v>
      </c>
      <c r="J2092" s="1070">
        <v>0</v>
      </c>
      <c r="K2092" s="1070"/>
      <c r="L2092"/>
      <c r="M2092"/>
      <c r="N2092"/>
      <c r="O2092"/>
      <c r="P2092"/>
      <c r="Q2092"/>
      <c r="R2092"/>
      <c r="S2092"/>
      <c r="T2092"/>
      <c r="U2092"/>
      <c r="V2092"/>
      <c r="W2092"/>
      <c r="X2092"/>
      <c r="Y2092"/>
      <c r="Z2092"/>
      <c r="AA2092"/>
      <c r="AB2092"/>
      <c r="AC2092"/>
      <c r="AD2092"/>
      <c r="AE2092"/>
      <c r="AF2092"/>
      <c r="AG2092"/>
      <c r="AH2092"/>
      <c r="AI2092"/>
      <c r="AJ2092"/>
      <c r="AK2092"/>
      <c r="AL2092"/>
    </row>
    <row r="2093" spans="1:38" ht="15.75" customHeight="1" outlineLevel="3" x14ac:dyDescent="0.2">
      <c r="A2093" s="10">
        <v>86</v>
      </c>
      <c r="B2093" s="10" t="s">
        <v>71</v>
      </c>
      <c r="C2093" s="10" t="s">
        <v>1375</v>
      </c>
      <c r="D2093" s="10" t="s">
        <v>407</v>
      </c>
      <c r="E2093" s="11" t="str">
        <f t="array" ref="E2093">_xlfn.XLOOKUP(D2093,Insumos!B:B,Insumos!C:$C)</f>
        <v>M2</v>
      </c>
      <c r="F2093" s="14">
        <v>1</v>
      </c>
      <c r="G2093" s="92">
        <f t="array" ref="G2093">IF(B2093="insumo",_xlfn.XLOOKUP($D2093,Insumos!$B$1:$B$996,Insumos!$D$1:$D$996),"")</f>
        <v>70</v>
      </c>
      <c r="H2093" s="92">
        <v>70</v>
      </c>
      <c r="I2093" s="13">
        <v>0</v>
      </c>
      <c r="J2093" s="13">
        <v>0</v>
      </c>
      <c r="K2093" s="13"/>
      <c r="L2093"/>
      <c r="M2093"/>
      <c r="N2093"/>
      <c r="O2093"/>
      <c r="P2093"/>
      <c r="Q2093"/>
      <c r="R2093"/>
      <c r="S2093"/>
      <c r="T2093"/>
      <c r="U2093"/>
      <c r="V2093"/>
      <c r="W2093"/>
      <c r="X2093"/>
      <c r="Y2093"/>
      <c r="Z2093"/>
      <c r="AA2093"/>
      <c r="AB2093"/>
      <c r="AC2093"/>
      <c r="AD2093"/>
      <c r="AE2093"/>
      <c r="AF2093"/>
      <c r="AG2093"/>
      <c r="AH2093"/>
      <c r="AI2093"/>
      <c r="AJ2093"/>
      <c r="AK2093"/>
      <c r="AL2093"/>
    </row>
    <row r="2094" spans="1:38" ht="15.75" customHeight="1" outlineLevel="3" x14ac:dyDescent="0.2">
      <c r="A2094" s="10">
        <v>3</v>
      </c>
      <c r="B2094" s="10" t="s">
        <v>71</v>
      </c>
      <c r="C2094" s="10" t="s">
        <v>1375</v>
      </c>
      <c r="D2094" s="10" t="s">
        <v>1391</v>
      </c>
      <c r="E2094" s="11" t="str">
        <f t="array" ref="E2094">_xlfn.XLOOKUP(D2094,Insumos!B:B,Insumos!C:$C)</f>
        <v>M2</v>
      </c>
      <c r="F2094" s="14">
        <v>2.1059999999999999</v>
      </c>
      <c r="G2094" s="92">
        <f t="array" ref="G2094">IF(B2094="insumo",_xlfn.XLOOKUP($D2094,Insumos!$B$1:$B$996,Insumos!$D$1:$D$996),"")</f>
        <v>38.19444444444445</v>
      </c>
      <c r="H2094" s="92">
        <v>80.4375</v>
      </c>
      <c r="I2094" s="13">
        <v>0</v>
      </c>
      <c r="J2094" s="13">
        <v>0</v>
      </c>
      <c r="K2094" s="13"/>
      <c r="L2094"/>
      <c r="M2094"/>
      <c r="N2094"/>
      <c r="O2094"/>
      <c r="P2094"/>
      <c r="Q2094"/>
      <c r="R2094"/>
      <c r="S2094"/>
      <c r="T2094"/>
      <c r="U2094"/>
      <c r="V2094"/>
      <c r="W2094"/>
      <c r="X2094"/>
      <c r="Y2094"/>
      <c r="Z2094"/>
      <c r="AA2094"/>
      <c r="AB2094"/>
      <c r="AC2094"/>
      <c r="AD2094"/>
      <c r="AE2094"/>
      <c r="AF2094"/>
      <c r="AG2094"/>
      <c r="AH2094"/>
      <c r="AI2094"/>
      <c r="AJ2094"/>
      <c r="AK2094"/>
      <c r="AL2094"/>
    </row>
    <row r="2095" spans="1:38" ht="15.75" customHeight="1" outlineLevel="3" x14ac:dyDescent="0.2">
      <c r="A2095" s="10">
        <v>4</v>
      </c>
      <c r="B2095" s="10" t="s">
        <v>71</v>
      </c>
      <c r="C2095" s="10" t="s">
        <v>1375</v>
      </c>
      <c r="D2095" s="10" t="s">
        <v>1392</v>
      </c>
      <c r="E2095" s="11" t="str">
        <f t="array" ref="E2095">_xlfn.XLOOKUP(D2095,Insumos!B:B,Insumos!C:$C)</f>
        <v>M2</v>
      </c>
      <c r="F2095" s="14">
        <v>1.1060000000000001</v>
      </c>
      <c r="G2095" s="92">
        <f t="array" ref="G2095">IF(B2095="insumo",_xlfn.XLOOKUP($D2095,Insumos!$B$1:$B$996,Insumos!$D$1:$D$996),"")</f>
        <v>84.027777777777786</v>
      </c>
      <c r="H2095" s="92">
        <v>92.934722222222206</v>
      </c>
      <c r="I2095" s="13">
        <v>0</v>
      </c>
      <c r="J2095" s="13">
        <v>0</v>
      </c>
      <c r="K2095" s="13"/>
      <c r="L2095"/>
      <c r="M2095"/>
      <c r="N2095"/>
      <c r="O2095"/>
      <c r="P2095"/>
      <c r="Q2095"/>
      <c r="R2095"/>
      <c r="S2095"/>
      <c r="T2095"/>
      <c r="U2095"/>
      <c r="V2095"/>
      <c r="W2095"/>
      <c r="X2095"/>
      <c r="Y2095"/>
      <c r="Z2095"/>
      <c r="AA2095"/>
      <c r="AB2095"/>
      <c r="AC2095"/>
      <c r="AD2095"/>
      <c r="AE2095"/>
      <c r="AF2095"/>
      <c r="AG2095"/>
      <c r="AH2095"/>
      <c r="AI2095"/>
      <c r="AJ2095"/>
      <c r="AK2095"/>
      <c r="AL2095"/>
    </row>
    <row r="2096" spans="1:38" ht="15.75" customHeight="1" outlineLevel="3" x14ac:dyDescent="0.2">
      <c r="A2096" s="10">
        <v>95</v>
      </c>
      <c r="B2096" s="10" t="s">
        <v>71</v>
      </c>
      <c r="C2096" s="10" t="s">
        <v>1375</v>
      </c>
      <c r="D2096" s="10" t="s">
        <v>409</v>
      </c>
      <c r="E2096" s="11" t="str">
        <f t="array" ref="E2096">_xlfn.XLOOKUP(D2096,Insumos!B:B,Insumos!C:$C)</f>
        <v>UN</v>
      </c>
      <c r="F2096" s="14">
        <v>5.92</v>
      </c>
      <c r="G2096" s="92">
        <f t="array" ref="G2096">IF(B2096="insumo",_xlfn.XLOOKUP($D2096,Insumos!$B$1:$B$996,Insumos!$D$1:$D$996),"")</f>
        <v>0.504</v>
      </c>
      <c r="H2096" s="92">
        <v>2.9836800000000001</v>
      </c>
      <c r="I2096" s="13">
        <v>0</v>
      </c>
      <c r="J2096" s="13">
        <v>0</v>
      </c>
      <c r="K2096" s="13"/>
      <c r="L2096"/>
      <c r="M2096"/>
      <c r="N2096"/>
      <c r="O2096"/>
      <c r="P2096"/>
      <c r="Q2096"/>
      <c r="R2096"/>
      <c r="S2096"/>
      <c r="T2096"/>
      <c r="U2096"/>
      <c r="V2096"/>
      <c r="W2096"/>
      <c r="X2096"/>
      <c r="Y2096"/>
      <c r="Z2096"/>
      <c r="AA2096"/>
      <c r="AB2096"/>
      <c r="AC2096"/>
      <c r="AD2096"/>
      <c r="AE2096"/>
      <c r="AF2096"/>
      <c r="AG2096"/>
      <c r="AH2096"/>
      <c r="AI2096"/>
      <c r="AJ2096"/>
      <c r="AK2096"/>
      <c r="AL2096"/>
    </row>
    <row r="2097" spans="1:38" ht="15.75" customHeight="1" outlineLevel="3" x14ac:dyDescent="0.2">
      <c r="A2097" s="10">
        <v>43</v>
      </c>
      <c r="B2097" s="10" t="s">
        <v>71</v>
      </c>
      <c r="C2097" s="10" t="s">
        <v>1375</v>
      </c>
      <c r="D2097" s="10" t="s">
        <v>423</v>
      </c>
      <c r="E2097" s="11" t="str">
        <f t="array" ref="E2097">_xlfn.XLOOKUP(D2097,Insumos!B:B,Insumos!C:$C)</f>
        <v>M</v>
      </c>
      <c r="F2097" s="14">
        <f>1.5248*2</f>
        <v>3.0495999999999999</v>
      </c>
      <c r="G2097" s="92">
        <f t="array" ref="G2097">IF(B2097="insumo",_xlfn.XLOOKUP($D2097,Insumos!$B$1:$B$996,Insumos!$D$1:$D$996),"")</f>
        <v>7.46</v>
      </c>
      <c r="H2097" s="92">
        <v>22.750015999999999</v>
      </c>
      <c r="I2097" s="13">
        <v>0</v>
      </c>
      <c r="J2097" s="13">
        <v>0</v>
      </c>
      <c r="K2097" s="13"/>
      <c r="L2097"/>
      <c r="M2097"/>
      <c r="N2097"/>
      <c r="O2097"/>
      <c r="P2097"/>
      <c r="Q2097"/>
      <c r="R2097"/>
      <c r="S2097"/>
      <c r="T2097"/>
      <c r="U2097"/>
      <c r="V2097"/>
      <c r="W2097"/>
      <c r="X2097"/>
      <c r="Y2097"/>
      <c r="Z2097"/>
      <c r="AA2097"/>
      <c r="AB2097"/>
      <c r="AC2097"/>
      <c r="AD2097"/>
      <c r="AE2097"/>
      <c r="AF2097"/>
      <c r="AG2097"/>
      <c r="AH2097"/>
      <c r="AI2097"/>
      <c r="AJ2097"/>
      <c r="AK2097"/>
      <c r="AL2097"/>
    </row>
    <row r="2098" spans="1:38" ht="15.75" customHeight="1" outlineLevel="3" x14ac:dyDescent="0.2">
      <c r="A2098" s="10">
        <v>43</v>
      </c>
      <c r="B2098" s="10" t="s">
        <v>71</v>
      </c>
      <c r="C2098" s="10" t="s">
        <v>1375</v>
      </c>
      <c r="D2098" s="10" t="s">
        <v>424</v>
      </c>
      <c r="E2098" s="11" t="str">
        <f t="array" ref="E2098">_xlfn.XLOOKUP(D2098,Insumos!B:B,Insumos!C:$C)</f>
        <v>M</v>
      </c>
      <c r="F2098" s="14">
        <f>4.0011*2</f>
        <v>8.0022000000000002</v>
      </c>
      <c r="G2098" s="92">
        <f t="array" ref="G2098">IF(B2098="insumo",_xlfn.XLOOKUP($D2098,Insumos!$B$1:$B$996,Insumos!$D$1:$D$996),"")</f>
        <v>7.98</v>
      </c>
      <c r="H2098" s="92">
        <v>63.857556000000002</v>
      </c>
      <c r="I2098" s="13">
        <v>0</v>
      </c>
      <c r="J2098" s="13">
        <v>0</v>
      </c>
      <c r="K2098" s="13"/>
      <c r="L2098"/>
      <c r="M2098"/>
      <c r="N2098"/>
      <c r="O2098"/>
      <c r="P2098"/>
      <c r="Q2098"/>
      <c r="R2098"/>
      <c r="S2098"/>
      <c r="T2098"/>
      <c r="U2098"/>
      <c r="V2098"/>
      <c r="W2098"/>
      <c r="X2098"/>
      <c r="Y2098"/>
      <c r="Z2098"/>
      <c r="AA2098"/>
      <c r="AB2098"/>
      <c r="AC2098"/>
      <c r="AD2098"/>
      <c r="AE2098"/>
      <c r="AF2098"/>
      <c r="AG2098"/>
      <c r="AH2098"/>
      <c r="AI2098"/>
      <c r="AJ2098"/>
      <c r="AK2098"/>
      <c r="AL2098"/>
    </row>
    <row r="2099" spans="1:38" ht="15.75" customHeight="1" outlineLevel="3" x14ac:dyDescent="0.2">
      <c r="A2099" s="10">
        <v>95</v>
      </c>
      <c r="B2099" s="10" t="s">
        <v>71</v>
      </c>
      <c r="C2099" s="10" t="s">
        <v>1375</v>
      </c>
      <c r="D2099" s="10" t="s">
        <v>405</v>
      </c>
      <c r="E2099" s="11" t="str">
        <f t="array" ref="E2099">_xlfn.XLOOKUP(D2099,Insumos!B:B,Insumos!C:$C)</f>
        <v>KG</v>
      </c>
      <c r="F2099" s="14">
        <v>1.0978000000000001</v>
      </c>
      <c r="G2099" s="92">
        <f t="array" ref="G2099">IF(B2099="insumo",_xlfn.XLOOKUP($D2099,Insumos!$B$1:$B$996,Insumos!$D$1:$D$996),"")</f>
        <v>3.43</v>
      </c>
      <c r="H2099" s="92">
        <v>3.7654540000000001</v>
      </c>
      <c r="I2099" s="13">
        <v>0</v>
      </c>
      <c r="J2099" s="13">
        <v>0</v>
      </c>
      <c r="K2099" s="13"/>
      <c r="L2099"/>
      <c r="M2099"/>
      <c r="N2099"/>
      <c r="O2099"/>
      <c r="P2099"/>
      <c r="Q2099"/>
      <c r="R2099"/>
      <c r="S2099"/>
      <c r="T2099"/>
      <c r="U2099"/>
      <c r="V2099"/>
      <c r="W2099"/>
      <c r="X2099"/>
      <c r="Y2099"/>
      <c r="Z2099"/>
      <c r="AA2099"/>
      <c r="AB2099"/>
      <c r="AC2099"/>
      <c r="AD2099"/>
      <c r="AE2099"/>
      <c r="AF2099"/>
      <c r="AG2099"/>
      <c r="AH2099"/>
      <c r="AI2099"/>
      <c r="AJ2099"/>
      <c r="AK2099"/>
      <c r="AL2099"/>
    </row>
    <row r="2100" spans="1:38" ht="15.75" customHeight="1" outlineLevel="3" x14ac:dyDescent="0.2">
      <c r="A2100" s="10">
        <v>94</v>
      </c>
      <c r="B2100" s="10" t="s">
        <v>71</v>
      </c>
      <c r="C2100" s="10" t="s">
        <v>1375</v>
      </c>
      <c r="D2100" s="10" t="s">
        <v>412</v>
      </c>
      <c r="E2100" s="11" t="str">
        <f t="array" ref="E2100">_xlfn.XLOOKUP(D2100,Insumos!B:B,Insumos!C:$C)</f>
        <v>M</v>
      </c>
      <c r="F2100" s="14">
        <v>2.5026999999999999</v>
      </c>
      <c r="G2100" s="92">
        <f t="array" ref="G2100">IF(B2100="insumo",_xlfn.XLOOKUP($D2100,Insumos!$B$1:$B$996,Insumos!$D$1:$D$996),"")</f>
        <v>0.31</v>
      </c>
      <c r="H2100" s="92">
        <v>0.775837</v>
      </c>
      <c r="I2100" s="13">
        <v>0</v>
      </c>
      <c r="J2100" s="13">
        <v>0</v>
      </c>
      <c r="K2100" s="13"/>
      <c r="L2100"/>
      <c r="M2100"/>
      <c r="N2100"/>
      <c r="O2100"/>
      <c r="P2100"/>
      <c r="Q2100"/>
      <c r="R2100"/>
      <c r="S2100"/>
      <c r="T2100"/>
      <c r="U2100"/>
      <c r="V2100"/>
      <c r="W2100"/>
      <c r="X2100"/>
      <c r="Y2100"/>
      <c r="Z2100"/>
      <c r="AA2100"/>
      <c r="AB2100"/>
      <c r="AC2100"/>
      <c r="AD2100"/>
      <c r="AE2100"/>
      <c r="AF2100"/>
      <c r="AG2100"/>
      <c r="AH2100"/>
      <c r="AI2100"/>
      <c r="AJ2100"/>
      <c r="AK2100"/>
      <c r="AL2100"/>
    </row>
    <row r="2101" spans="1:38" ht="15.75" customHeight="1" outlineLevel="3" x14ac:dyDescent="0.2">
      <c r="A2101" s="10">
        <v>94</v>
      </c>
      <c r="B2101" s="10" t="s">
        <v>71</v>
      </c>
      <c r="C2101" s="10" t="s">
        <v>1375</v>
      </c>
      <c r="D2101" s="10" t="s">
        <v>413</v>
      </c>
      <c r="E2101" s="11" t="str">
        <f t="array" ref="E2101">_xlfn.XLOOKUP(D2101,Insumos!B:B,Insumos!C:$C)</f>
        <v>M</v>
      </c>
      <c r="F2101" s="14">
        <v>1.5851</v>
      </c>
      <c r="G2101" s="92">
        <f t="array" ref="G2101">IF(B2101="insumo",_xlfn.XLOOKUP($D2101,Insumos!$B$1:$B$996,Insumos!$D$1:$D$996),"")</f>
        <v>2.74</v>
      </c>
      <c r="H2101" s="92">
        <v>4.3431740000000003</v>
      </c>
      <c r="I2101" s="13">
        <v>0</v>
      </c>
      <c r="J2101" s="13">
        <v>0</v>
      </c>
      <c r="K2101" s="13"/>
      <c r="L2101"/>
      <c r="M2101"/>
      <c r="N2101"/>
      <c r="O2101"/>
      <c r="P2101"/>
      <c r="Q2101"/>
      <c r="R2101"/>
      <c r="S2101"/>
      <c r="T2101"/>
      <c r="U2101"/>
      <c r="V2101"/>
      <c r="W2101"/>
      <c r="X2101"/>
      <c r="Y2101"/>
      <c r="Z2101"/>
      <c r="AA2101"/>
      <c r="AB2101"/>
      <c r="AC2101"/>
      <c r="AD2101"/>
      <c r="AE2101"/>
      <c r="AF2101"/>
      <c r="AG2101"/>
      <c r="AH2101"/>
      <c r="AI2101"/>
      <c r="AJ2101"/>
      <c r="AK2101"/>
      <c r="AL2101"/>
    </row>
    <row r="2102" spans="1:38" ht="15.75" customHeight="1" outlineLevel="3" x14ac:dyDescent="0.2">
      <c r="A2102" s="10">
        <v>97</v>
      </c>
      <c r="B2102" s="10" t="s">
        <v>71</v>
      </c>
      <c r="C2102" s="10" t="s">
        <v>1375</v>
      </c>
      <c r="D2102" s="10" t="s">
        <v>414</v>
      </c>
      <c r="E2102" s="11" t="str">
        <f t="array" ref="E2102">_xlfn.XLOOKUP(D2102,Insumos!B:B,Insumos!C:$C)</f>
        <v>UN</v>
      </c>
      <c r="F2102" s="14">
        <v>20.186800000000002</v>
      </c>
      <c r="G2102" s="92">
        <f t="array" ref="G2102">IF(B2102="insumo",_xlfn.XLOOKUP($D2102,Insumos!$B$1:$B$996,Insumos!$D$1:$D$996),"")</f>
        <v>0.09</v>
      </c>
      <c r="H2102" s="92">
        <v>1.8168120000000001</v>
      </c>
      <c r="I2102" s="13">
        <v>0</v>
      </c>
      <c r="J2102" s="13">
        <v>0</v>
      </c>
      <c r="K2102" s="13"/>
      <c r="L2102"/>
      <c r="M2102"/>
      <c r="N2102"/>
      <c r="O2102"/>
      <c r="P2102"/>
      <c r="Q2102"/>
      <c r="R2102"/>
      <c r="S2102"/>
      <c r="T2102"/>
      <c r="U2102"/>
      <c r="V2102"/>
      <c r="W2102"/>
      <c r="X2102"/>
      <c r="Y2102"/>
      <c r="Z2102"/>
      <c r="AA2102"/>
      <c r="AB2102"/>
      <c r="AC2102"/>
      <c r="AD2102"/>
      <c r="AE2102"/>
      <c r="AF2102"/>
      <c r="AG2102"/>
      <c r="AH2102"/>
      <c r="AI2102"/>
      <c r="AJ2102"/>
      <c r="AK2102"/>
      <c r="AL2102"/>
    </row>
    <row r="2103" spans="1:38" ht="15.75" customHeight="1" outlineLevel="3" x14ac:dyDescent="0.2">
      <c r="A2103" s="10">
        <v>95</v>
      </c>
      <c r="B2103" s="10" t="s">
        <v>71</v>
      </c>
      <c r="C2103" s="10" t="s">
        <v>1375</v>
      </c>
      <c r="D2103" s="10" t="s">
        <v>415</v>
      </c>
      <c r="E2103" s="11" t="str">
        <f t="array" ref="E2103">_xlfn.XLOOKUP(D2103,Insumos!B:B,Insumos!C:$C)</f>
        <v>UN</v>
      </c>
      <c r="F2103" s="14">
        <v>0.54410000000000003</v>
      </c>
      <c r="G2103" s="92">
        <f t="array" ref="G2103">IF(B2103="insumo",_xlfn.XLOOKUP($D2103,Insumos!$B$1:$B$996,Insumos!$D$1:$D$996),"")</f>
        <v>0.2</v>
      </c>
      <c r="H2103" s="92">
        <v>0.10882</v>
      </c>
      <c r="I2103" s="13">
        <v>0</v>
      </c>
      <c r="J2103" s="13">
        <v>0</v>
      </c>
      <c r="K2103" s="13"/>
      <c r="L2103"/>
      <c r="M2103"/>
      <c r="N2103"/>
      <c r="O2103"/>
      <c r="P2103"/>
      <c r="Q2103"/>
      <c r="R2103"/>
      <c r="S2103"/>
      <c r="T2103"/>
      <c r="U2103"/>
      <c r="V2103"/>
      <c r="W2103"/>
      <c r="X2103"/>
      <c r="Y2103"/>
      <c r="Z2103"/>
      <c r="AA2103"/>
      <c r="AB2103"/>
      <c r="AC2103"/>
      <c r="AD2103"/>
      <c r="AE2103"/>
      <c r="AF2103"/>
      <c r="AG2103"/>
      <c r="AH2103"/>
      <c r="AI2103"/>
      <c r="AJ2103"/>
      <c r="AK2103"/>
      <c r="AL2103"/>
    </row>
    <row r="2104" spans="1:38" ht="15.75" customHeight="1" outlineLevel="3" x14ac:dyDescent="0.2">
      <c r="A2104" s="10">
        <v>35</v>
      </c>
      <c r="B2104" s="10" t="s">
        <v>71</v>
      </c>
      <c r="C2104" s="10" t="s">
        <v>1375</v>
      </c>
      <c r="D2104" s="10" t="s">
        <v>1595</v>
      </c>
      <c r="E2104" s="11" t="str">
        <f t="array" ref="E2104">_xlfn.XLOOKUP(D2104,Insumos!B:B,Insumos!C:$C)</f>
        <v>M2</v>
      </c>
      <c r="F2104" s="14">
        <v>1.1000000000000001</v>
      </c>
      <c r="G2104" s="92">
        <f t="array" ref="G2104">IF(B2104="insumo",_xlfn.XLOOKUP($D2104,Insumos!$B$1:$B$996,Insumos!$D$1:$D$996),"")</f>
        <v>13.019333333333332</v>
      </c>
      <c r="H2104" s="92">
        <v>14.3212666666667</v>
      </c>
      <c r="I2104" s="13">
        <v>0</v>
      </c>
      <c r="J2104" s="13">
        <v>0</v>
      </c>
      <c r="K2104" s="13"/>
      <c r="L2104"/>
      <c r="M2104"/>
      <c r="N2104"/>
      <c r="O2104"/>
      <c r="P2104"/>
      <c r="Q2104"/>
      <c r="R2104"/>
      <c r="S2104"/>
      <c r="T2104"/>
      <c r="U2104"/>
      <c r="V2104"/>
      <c r="W2104"/>
      <c r="X2104"/>
      <c r="Y2104"/>
      <c r="Z2104"/>
      <c r="AA2104"/>
      <c r="AB2104"/>
      <c r="AC2104"/>
      <c r="AD2104"/>
      <c r="AE2104"/>
      <c r="AF2104"/>
      <c r="AG2104"/>
      <c r="AH2104"/>
      <c r="AI2104"/>
      <c r="AJ2104"/>
      <c r="AK2104"/>
      <c r="AL2104"/>
    </row>
    <row r="2105" spans="1:38" ht="15.75" customHeight="1" outlineLevel="2" x14ac:dyDescent="0.2">
      <c r="A2105" s="1067">
        <v>1</v>
      </c>
      <c r="B2105" s="1067" t="s">
        <v>68</v>
      </c>
      <c r="C2105" s="1067" t="s">
        <v>1351</v>
      </c>
      <c r="D2105" s="1067" t="s">
        <v>1351</v>
      </c>
      <c r="E2105" s="1068" t="s">
        <v>70</v>
      </c>
      <c r="F2105" s="1067"/>
      <c r="G2105" s="1069" t="str">
        <f t="array" ref="G2105">IF(B2105="insumo",_xlfn.XLOOKUP($D2105,Insumos!$B$1:$B$996,Insumos!$D$1:$D$996),"")</f>
        <v/>
      </c>
      <c r="H2105" s="1069">
        <v>105.3232385</v>
      </c>
      <c r="I2105" s="1070">
        <v>0</v>
      </c>
      <c r="J2105" s="1070">
        <v>0</v>
      </c>
      <c r="K2105" s="1070"/>
      <c r="L2105"/>
      <c r="M2105"/>
      <c r="N2105"/>
      <c r="O2105"/>
      <c r="P2105"/>
      <c r="Q2105"/>
      <c r="R2105"/>
      <c r="S2105"/>
      <c r="T2105"/>
      <c r="U2105"/>
      <c r="V2105"/>
      <c r="W2105"/>
      <c r="X2105"/>
      <c r="Y2105"/>
      <c r="Z2105"/>
      <c r="AA2105"/>
      <c r="AB2105"/>
      <c r="AC2105"/>
      <c r="AD2105"/>
      <c r="AE2105"/>
      <c r="AF2105"/>
      <c r="AG2105"/>
      <c r="AH2105"/>
      <c r="AI2105"/>
      <c r="AJ2105"/>
      <c r="AK2105"/>
      <c r="AL2105"/>
    </row>
    <row r="2106" spans="1:38" ht="15.75" customHeight="1" outlineLevel="3" x14ac:dyDescent="0.2">
      <c r="A2106" s="10">
        <v>86</v>
      </c>
      <c r="B2106" s="10" t="s">
        <v>71</v>
      </c>
      <c r="C2106" s="10" t="s">
        <v>1351</v>
      </c>
      <c r="D2106" s="10" t="s">
        <v>407</v>
      </c>
      <c r="E2106" s="11" t="str">
        <f t="array" ref="E2106">_xlfn.XLOOKUP(D2106,Insumos!B:B,Insumos!C:$C)</f>
        <v>M2</v>
      </c>
      <c r="F2106" s="14">
        <v>1</v>
      </c>
      <c r="G2106" s="92">
        <f t="array" ref="G2106">IF(B2106="insumo",_xlfn.XLOOKUP($D2106,Insumos!$B$1:$B$996,Insumos!$D$1:$D$996),"")</f>
        <v>70</v>
      </c>
      <c r="H2106" s="92">
        <v>70</v>
      </c>
      <c r="I2106" s="13">
        <v>0</v>
      </c>
      <c r="J2106" s="13">
        <v>0</v>
      </c>
      <c r="K2106" s="13"/>
      <c r="L2106"/>
      <c r="M2106"/>
      <c r="N2106"/>
      <c r="O2106"/>
      <c r="P2106"/>
      <c r="Q2106"/>
      <c r="R2106"/>
      <c r="S2106"/>
      <c r="T2106"/>
      <c r="U2106"/>
      <c r="V2106"/>
      <c r="W2106"/>
      <c r="X2106"/>
      <c r="Y2106"/>
      <c r="Z2106"/>
      <c r="AA2106"/>
      <c r="AB2106"/>
      <c r="AC2106"/>
      <c r="AD2106"/>
      <c r="AE2106"/>
      <c r="AF2106"/>
      <c r="AG2106"/>
      <c r="AH2106"/>
      <c r="AI2106"/>
      <c r="AJ2106"/>
      <c r="AK2106"/>
      <c r="AL2106"/>
    </row>
    <row r="2107" spans="1:38" ht="15.75" customHeight="1" outlineLevel="3" x14ac:dyDescent="0.2">
      <c r="A2107" s="10">
        <v>49</v>
      </c>
      <c r="B2107" s="10" t="s">
        <v>71</v>
      </c>
      <c r="C2107" s="10" t="s">
        <v>1351</v>
      </c>
      <c r="D2107" s="10" t="s">
        <v>418</v>
      </c>
      <c r="E2107" s="11" t="str">
        <f t="array" ref="E2107">_xlfn.XLOOKUP(D2107,Insumos!B:B,Insumos!C:$C)</f>
        <v>M2</v>
      </c>
      <c r="F2107" s="14">
        <v>1.1060000000000001</v>
      </c>
      <c r="G2107" s="92">
        <f t="array" ref="G2107">IF(B2107="insumo",_xlfn.XLOOKUP($D2107,Insumos!$B$1:$B$996,Insumos!$D$1:$D$996),"")</f>
        <v>27.1</v>
      </c>
      <c r="H2107" s="92">
        <v>29.9726</v>
      </c>
      <c r="I2107" s="13">
        <v>0</v>
      </c>
      <c r="J2107" s="13">
        <v>0</v>
      </c>
      <c r="K2107" s="13"/>
      <c r="L2107"/>
      <c r="M2107"/>
      <c r="N2107"/>
      <c r="O2107"/>
      <c r="P2107"/>
      <c r="Q2107"/>
      <c r="R2107"/>
      <c r="S2107"/>
      <c r="T2107"/>
      <c r="U2107"/>
      <c r="V2107"/>
      <c r="W2107"/>
      <c r="X2107"/>
      <c r="Y2107"/>
      <c r="Z2107"/>
      <c r="AA2107"/>
      <c r="AB2107"/>
      <c r="AC2107"/>
      <c r="AD2107"/>
      <c r="AE2107"/>
      <c r="AF2107"/>
      <c r="AG2107"/>
      <c r="AH2107"/>
      <c r="AI2107"/>
      <c r="AJ2107"/>
      <c r="AK2107"/>
      <c r="AL2107"/>
    </row>
    <row r="2108" spans="1:38" ht="15.75" customHeight="1" outlineLevel="3" x14ac:dyDescent="0.2">
      <c r="A2108" s="10">
        <v>95</v>
      </c>
      <c r="B2108" s="10" t="s">
        <v>71</v>
      </c>
      <c r="C2108" s="10" t="s">
        <v>1351</v>
      </c>
      <c r="D2108" s="10" t="s">
        <v>405</v>
      </c>
      <c r="E2108" s="11" t="str">
        <f t="array" ref="E2108">_xlfn.XLOOKUP(D2108,Insumos!B:B,Insumos!C:$C)</f>
        <v>KG</v>
      </c>
      <c r="F2108" s="14">
        <f>1.0978/2</f>
        <v>0.54890000000000005</v>
      </c>
      <c r="G2108" s="92">
        <f t="array" ref="G2108">IF(B2108="insumo",_xlfn.XLOOKUP($D2108,Insumos!$B$1:$B$996,Insumos!$D$1:$D$996),"")</f>
        <v>3.43</v>
      </c>
      <c r="H2108" s="92">
        <v>1.882727</v>
      </c>
      <c r="I2108" s="13">
        <v>0</v>
      </c>
      <c r="J2108" s="13">
        <v>0</v>
      </c>
      <c r="K2108" s="13"/>
      <c r="L2108"/>
      <c r="M2108"/>
      <c r="N2108"/>
      <c r="O2108"/>
      <c r="P2108"/>
      <c r="Q2108"/>
      <c r="R2108"/>
      <c r="S2108"/>
      <c r="T2108"/>
      <c r="U2108"/>
      <c r="V2108"/>
      <c r="W2108"/>
      <c r="X2108"/>
      <c r="Y2108"/>
      <c r="Z2108"/>
      <c r="AA2108"/>
      <c r="AB2108"/>
      <c r="AC2108"/>
      <c r="AD2108"/>
      <c r="AE2108"/>
      <c r="AF2108"/>
      <c r="AG2108"/>
      <c r="AH2108"/>
      <c r="AI2108"/>
      <c r="AJ2108"/>
      <c r="AK2108"/>
      <c r="AL2108"/>
    </row>
    <row r="2109" spans="1:38" ht="15.75" customHeight="1" outlineLevel="3" x14ac:dyDescent="0.2">
      <c r="A2109" s="10">
        <v>94</v>
      </c>
      <c r="B2109" s="10" t="s">
        <v>71</v>
      </c>
      <c r="C2109" s="10" t="s">
        <v>1351</v>
      </c>
      <c r="D2109" s="10" t="s">
        <v>412</v>
      </c>
      <c r="E2109" s="11" t="str">
        <f t="array" ref="E2109">_xlfn.XLOOKUP(D2109,Insumos!B:B,Insumos!C:$C)</f>
        <v>M</v>
      </c>
      <c r="F2109" s="14">
        <f>2.5027/2</f>
        <v>1.25135</v>
      </c>
      <c r="G2109" s="92">
        <f t="array" ref="G2109">IF(B2109="insumo",_xlfn.XLOOKUP($D2109,Insumos!$B$1:$B$996,Insumos!$D$1:$D$996),"")</f>
        <v>0.31</v>
      </c>
      <c r="H2109" s="92">
        <v>0.3879185</v>
      </c>
      <c r="I2109" s="13">
        <v>0</v>
      </c>
      <c r="J2109" s="13">
        <v>0</v>
      </c>
      <c r="K2109" s="13"/>
      <c r="L2109"/>
      <c r="M2109"/>
      <c r="N2109"/>
      <c r="O2109"/>
      <c r="P2109"/>
      <c r="Q2109"/>
      <c r="R2109"/>
      <c r="S2109"/>
      <c r="T2109"/>
      <c r="U2109"/>
      <c r="V2109"/>
      <c r="W2109"/>
      <c r="X2109"/>
      <c r="Y2109"/>
      <c r="Z2109"/>
      <c r="AA2109"/>
      <c r="AB2109"/>
      <c r="AC2109"/>
      <c r="AD2109"/>
      <c r="AE2109"/>
      <c r="AF2109"/>
      <c r="AG2109"/>
      <c r="AH2109"/>
      <c r="AI2109"/>
      <c r="AJ2109"/>
      <c r="AK2109"/>
      <c r="AL2109"/>
    </row>
    <row r="2110" spans="1:38" ht="15.75" customHeight="1" outlineLevel="3" x14ac:dyDescent="0.2">
      <c r="A2110" s="10">
        <v>94</v>
      </c>
      <c r="B2110" s="10" t="s">
        <v>71</v>
      </c>
      <c r="C2110" s="10" t="s">
        <v>1351</v>
      </c>
      <c r="D2110" s="10" t="s">
        <v>413</v>
      </c>
      <c r="E2110" s="11" t="str">
        <f t="array" ref="E2110">_xlfn.XLOOKUP(D2110,Insumos!B:B,Insumos!C:$C)</f>
        <v>M</v>
      </c>
      <c r="F2110" s="14">
        <f>1.5851/2</f>
        <v>0.79254999999999998</v>
      </c>
      <c r="G2110" s="92">
        <f t="array" ref="G2110">IF(B2110="insumo",_xlfn.XLOOKUP($D2110,Insumos!$B$1:$B$996,Insumos!$D$1:$D$996),"")</f>
        <v>2.74</v>
      </c>
      <c r="H2110" s="92">
        <v>2.1715870000000002</v>
      </c>
      <c r="I2110" s="13">
        <v>0</v>
      </c>
      <c r="J2110" s="13">
        <v>0</v>
      </c>
      <c r="K2110" s="13"/>
      <c r="L2110"/>
      <c r="M2110"/>
      <c r="N2110"/>
      <c r="O2110"/>
      <c r="P2110"/>
      <c r="Q2110"/>
      <c r="R2110"/>
      <c r="S2110"/>
      <c r="T2110"/>
      <c r="U2110"/>
      <c r="V2110"/>
      <c r="W2110"/>
      <c r="X2110"/>
      <c r="Y2110"/>
      <c r="Z2110"/>
      <c r="AA2110"/>
      <c r="AB2110"/>
      <c r="AC2110"/>
      <c r="AD2110"/>
      <c r="AE2110"/>
      <c r="AF2110"/>
      <c r="AG2110"/>
      <c r="AH2110"/>
      <c r="AI2110"/>
      <c r="AJ2110"/>
      <c r="AK2110"/>
      <c r="AL2110"/>
    </row>
    <row r="2111" spans="1:38" ht="15.75" customHeight="1" outlineLevel="3" x14ac:dyDescent="0.2">
      <c r="A2111" s="10">
        <v>97</v>
      </c>
      <c r="B2111" s="10" t="s">
        <v>71</v>
      </c>
      <c r="C2111" s="10" t="s">
        <v>1351</v>
      </c>
      <c r="D2111" s="10" t="s">
        <v>414</v>
      </c>
      <c r="E2111" s="11" t="str">
        <f t="array" ref="E2111">_xlfn.XLOOKUP(D2111,Insumos!B:B,Insumos!C:$C)</f>
        <v>UN</v>
      </c>
      <c r="F2111" s="14">
        <f>20.1868/2</f>
        <v>10.093400000000001</v>
      </c>
      <c r="G2111" s="92">
        <f t="array" ref="G2111">IF(B2111="insumo",_xlfn.XLOOKUP($D2111,Insumos!$B$1:$B$996,Insumos!$D$1:$D$996),"")</f>
        <v>0.09</v>
      </c>
      <c r="H2111" s="92">
        <v>0.90840600000000005</v>
      </c>
      <c r="I2111" s="13">
        <v>0</v>
      </c>
      <c r="J2111" s="13">
        <v>0</v>
      </c>
      <c r="K2111" s="13"/>
      <c r="L2111"/>
      <c r="M2111"/>
      <c r="N2111"/>
      <c r="O2111"/>
      <c r="P2111"/>
      <c r="Q2111"/>
      <c r="R2111"/>
      <c r="S2111"/>
      <c r="T2111"/>
      <c r="U2111"/>
      <c r="V2111"/>
      <c r="W2111"/>
      <c r="X2111"/>
      <c r="Y2111"/>
      <c r="Z2111"/>
      <c r="AA2111"/>
      <c r="AB2111"/>
      <c r="AC2111"/>
      <c r="AD2111"/>
      <c r="AE2111"/>
      <c r="AF2111"/>
      <c r="AG2111"/>
      <c r="AH2111"/>
      <c r="AI2111"/>
      <c r="AJ2111"/>
      <c r="AK2111"/>
      <c r="AL2111"/>
    </row>
    <row r="2112" spans="1:38" ht="15.75" customHeight="1" outlineLevel="2" x14ac:dyDescent="0.2">
      <c r="A2112" s="1067">
        <v>1</v>
      </c>
      <c r="B2112" s="1067" t="s">
        <v>68</v>
      </c>
      <c r="C2112" s="1067" t="s">
        <v>1352</v>
      </c>
      <c r="D2112" s="1067" t="s">
        <v>1352</v>
      </c>
      <c r="E2112" s="1068" t="s">
        <v>70</v>
      </c>
      <c r="F2112" s="1067"/>
      <c r="G2112" s="1069" t="str">
        <f t="array" ref="G2112">IF(B2112="insumo",_xlfn.XLOOKUP($D2112,Insumos!$B$1:$B$996,Insumos!$D$1:$D$996),"")</f>
        <v/>
      </c>
      <c r="H2112" s="1069">
        <v>97.647598500000001</v>
      </c>
      <c r="I2112" s="1070">
        <v>0</v>
      </c>
      <c r="J2112" s="1070">
        <v>0</v>
      </c>
      <c r="K2112" s="1070"/>
      <c r="L2112"/>
      <c r="M2112"/>
      <c r="N2112"/>
      <c r="O2112"/>
      <c r="P2112"/>
      <c r="Q2112"/>
      <c r="R2112"/>
      <c r="S2112"/>
      <c r="T2112"/>
      <c r="U2112"/>
      <c r="V2112"/>
      <c r="W2112"/>
      <c r="X2112"/>
      <c r="Y2112"/>
      <c r="Z2112"/>
      <c r="AA2112"/>
      <c r="AB2112"/>
      <c r="AC2112"/>
      <c r="AD2112"/>
      <c r="AE2112"/>
      <c r="AF2112"/>
      <c r="AG2112"/>
      <c r="AH2112"/>
      <c r="AI2112"/>
      <c r="AJ2112"/>
      <c r="AK2112"/>
      <c r="AL2112"/>
    </row>
    <row r="2113" spans="1:38" ht="15.75" customHeight="1" outlineLevel="3" x14ac:dyDescent="0.2">
      <c r="A2113" s="10">
        <v>86</v>
      </c>
      <c r="B2113" s="10" t="s">
        <v>71</v>
      </c>
      <c r="C2113" s="10" t="s">
        <v>1352</v>
      </c>
      <c r="D2113" s="10" t="s">
        <v>407</v>
      </c>
      <c r="E2113" s="11" t="str">
        <f t="array" ref="E2113">_xlfn.XLOOKUP(D2113,Insumos!B:B,Insumos!C:$C)</f>
        <v>M2</v>
      </c>
      <c r="F2113" s="14">
        <v>1</v>
      </c>
      <c r="G2113" s="92">
        <f t="array" ref="G2113">IF(B2113="insumo",_xlfn.XLOOKUP($D2113,Insumos!$B$1:$B$996,Insumos!$D$1:$D$996),"")</f>
        <v>70</v>
      </c>
      <c r="H2113" s="92">
        <v>70</v>
      </c>
      <c r="I2113" s="13">
        <v>0</v>
      </c>
      <c r="J2113" s="13">
        <v>0</v>
      </c>
      <c r="K2113" s="13"/>
      <c r="L2113"/>
      <c r="M2113"/>
      <c r="N2113"/>
      <c r="O2113"/>
      <c r="P2113"/>
      <c r="Q2113"/>
      <c r="R2113"/>
      <c r="S2113"/>
      <c r="T2113"/>
      <c r="U2113"/>
      <c r="V2113"/>
      <c r="W2113"/>
      <c r="X2113"/>
      <c r="Y2113"/>
      <c r="Z2113"/>
      <c r="AA2113"/>
      <c r="AB2113"/>
      <c r="AC2113"/>
      <c r="AD2113"/>
      <c r="AE2113"/>
      <c r="AF2113"/>
      <c r="AG2113"/>
      <c r="AH2113"/>
      <c r="AI2113"/>
      <c r="AJ2113"/>
      <c r="AK2113"/>
      <c r="AL2113"/>
    </row>
    <row r="2114" spans="1:38" ht="15.75" customHeight="1" outlineLevel="3" x14ac:dyDescent="0.2">
      <c r="A2114" s="10">
        <v>47</v>
      </c>
      <c r="B2114" s="10" t="s">
        <v>71</v>
      </c>
      <c r="C2114" s="10" t="s">
        <v>1352</v>
      </c>
      <c r="D2114" s="10" t="s">
        <v>408</v>
      </c>
      <c r="E2114" s="11" t="str">
        <f t="array" ref="E2114">_xlfn.XLOOKUP(D2114,Insumos!B:B,Insumos!C:$C)</f>
        <v>M2</v>
      </c>
      <c r="F2114" s="14">
        <v>1.1060000000000001</v>
      </c>
      <c r="G2114" s="92">
        <f t="array" ref="G2114">IF(B2114="insumo",_xlfn.XLOOKUP($D2114,Insumos!$B$1:$B$996,Insumos!$D$1:$D$996),"")</f>
        <v>20.16</v>
      </c>
      <c r="H2114" s="92">
        <v>22.296959999999999</v>
      </c>
      <c r="I2114" s="13">
        <v>0</v>
      </c>
      <c r="J2114" s="13">
        <v>0</v>
      </c>
      <c r="K2114" s="13"/>
      <c r="L2114"/>
      <c r="M2114"/>
      <c r="N2114"/>
      <c r="O2114"/>
      <c r="P2114"/>
      <c r="Q2114"/>
      <c r="R2114"/>
      <c r="S2114"/>
      <c r="T2114"/>
      <c r="U2114"/>
      <c r="V2114"/>
      <c r="W2114"/>
      <c r="X2114"/>
      <c r="Y2114"/>
      <c r="Z2114"/>
      <c r="AA2114"/>
      <c r="AB2114"/>
      <c r="AC2114"/>
      <c r="AD2114"/>
      <c r="AE2114"/>
      <c r="AF2114"/>
      <c r="AG2114"/>
      <c r="AH2114"/>
      <c r="AI2114"/>
      <c r="AJ2114"/>
      <c r="AK2114"/>
      <c r="AL2114"/>
    </row>
    <row r="2115" spans="1:38" ht="15.75" customHeight="1" outlineLevel="3" x14ac:dyDescent="0.2">
      <c r="A2115" s="10">
        <v>95</v>
      </c>
      <c r="B2115" s="10" t="s">
        <v>71</v>
      </c>
      <c r="C2115" s="10" t="s">
        <v>1352</v>
      </c>
      <c r="D2115" s="10" t="s">
        <v>405</v>
      </c>
      <c r="E2115" s="11" t="str">
        <f t="array" ref="E2115">_xlfn.XLOOKUP(D2115,Insumos!B:B,Insumos!C:$C)</f>
        <v>KG</v>
      </c>
      <c r="F2115" s="14">
        <f>1.0978/2</f>
        <v>0.54890000000000005</v>
      </c>
      <c r="G2115" s="92">
        <f t="array" ref="G2115">IF(B2115="insumo",_xlfn.XLOOKUP($D2115,Insumos!$B$1:$B$996,Insumos!$D$1:$D$996),"")</f>
        <v>3.43</v>
      </c>
      <c r="H2115" s="92">
        <v>1.882727</v>
      </c>
      <c r="I2115" s="13">
        <v>0</v>
      </c>
      <c r="J2115" s="13">
        <v>0</v>
      </c>
      <c r="K2115" s="13"/>
      <c r="L2115"/>
      <c r="M2115"/>
      <c r="N2115"/>
      <c r="O2115"/>
      <c r="P2115"/>
      <c r="Q2115"/>
      <c r="R2115"/>
      <c r="S2115"/>
      <c r="T2115"/>
      <c r="U2115"/>
      <c r="V2115"/>
      <c r="W2115"/>
      <c r="X2115"/>
      <c r="Y2115"/>
      <c r="Z2115"/>
      <c r="AA2115"/>
      <c r="AB2115"/>
      <c r="AC2115"/>
      <c r="AD2115"/>
      <c r="AE2115"/>
      <c r="AF2115"/>
      <c r="AG2115"/>
      <c r="AH2115"/>
      <c r="AI2115"/>
      <c r="AJ2115"/>
      <c r="AK2115"/>
      <c r="AL2115"/>
    </row>
    <row r="2116" spans="1:38" ht="15.75" customHeight="1" outlineLevel="3" x14ac:dyDescent="0.2">
      <c r="A2116" s="10">
        <v>94</v>
      </c>
      <c r="B2116" s="10" t="s">
        <v>71</v>
      </c>
      <c r="C2116" s="10" t="s">
        <v>1352</v>
      </c>
      <c r="D2116" s="10" t="s">
        <v>412</v>
      </c>
      <c r="E2116" s="11" t="str">
        <f t="array" ref="E2116">_xlfn.XLOOKUP(D2116,Insumos!B:B,Insumos!C:$C)</f>
        <v>M</v>
      </c>
      <c r="F2116" s="14">
        <f>2.5027/2</f>
        <v>1.25135</v>
      </c>
      <c r="G2116" s="92">
        <f t="array" ref="G2116">IF(B2116="insumo",_xlfn.XLOOKUP($D2116,Insumos!$B$1:$B$996,Insumos!$D$1:$D$996),"")</f>
        <v>0.31</v>
      </c>
      <c r="H2116" s="92">
        <v>0.3879185</v>
      </c>
      <c r="I2116" s="13">
        <v>0</v>
      </c>
      <c r="J2116" s="13">
        <v>0</v>
      </c>
      <c r="K2116" s="13"/>
      <c r="L2116"/>
      <c r="M2116"/>
      <c r="N2116"/>
      <c r="O2116"/>
      <c r="P2116"/>
      <c r="Q2116"/>
      <c r="R2116"/>
      <c r="S2116"/>
      <c r="T2116"/>
      <c r="U2116"/>
      <c r="V2116"/>
      <c r="W2116"/>
      <c r="X2116"/>
      <c r="Y2116"/>
      <c r="Z2116"/>
      <c r="AA2116"/>
      <c r="AB2116"/>
      <c r="AC2116"/>
      <c r="AD2116"/>
      <c r="AE2116"/>
      <c r="AF2116"/>
      <c r="AG2116"/>
      <c r="AH2116"/>
      <c r="AI2116"/>
      <c r="AJ2116"/>
      <c r="AK2116"/>
      <c r="AL2116"/>
    </row>
    <row r="2117" spans="1:38" ht="15.75" customHeight="1" outlineLevel="3" x14ac:dyDescent="0.2">
      <c r="A2117" s="10">
        <v>94</v>
      </c>
      <c r="B2117" s="10" t="s">
        <v>71</v>
      </c>
      <c r="C2117" s="10" t="s">
        <v>1352</v>
      </c>
      <c r="D2117" s="10" t="s">
        <v>413</v>
      </c>
      <c r="E2117" s="11" t="str">
        <f t="array" ref="E2117">_xlfn.XLOOKUP(D2117,Insumos!B:B,Insumos!C:$C)</f>
        <v>M</v>
      </c>
      <c r="F2117" s="14">
        <f>1.5851/2</f>
        <v>0.79254999999999998</v>
      </c>
      <c r="G2117" s="92">
        <f t="array" ref="G2117">IF(B2117="insumo",_xlfn.XLOOKUP($D2117,Insumos!$B$1:$B$996,Insumos!$D$1:$D$996),"")</f>
        <v>2.74</v>
      </c>
      <c r="H2117" s="92">
        <v>2.1715870000000002</v>
      </c>
      <c r="I2117" s="13">
        <v>0</v>
      </c>
      <c r="J2117" s="13">
        <v>0</v>
      </c>
      <c r="K2117" s="13"/>
      <c r="L2117"/>
      <c r="M2117"/>
      <c r="N2117"/>
      <c r="O2117"/>
      <c r="P2117"/>
      <c r="Q2117"/>
      <c r="R2117"/>
      <c r="S2117"/>
      <c r="T2117"/>
      <c r="U2117"/>
      <c r="V2117"/>
      <c r="W2117"/>
      <c r="X2117"/>
      <c r="Y2117"/>
      <c r="Z2117"/>
      <c r="AA2117"/>
      <c r="AB2117"/>
      <c r="AC2117"/>
      <c r="AD2117"/>
      <c r="AE2117"/>
      <c r="AF2117"/>
      <c r="AG2117"/>
      <c r="AH2117"/>
      <c r="AI2117"/>
      <c r="AJ2117"/>
      <c r="AK2117"/>
      <c r="AL2117"/>
    </row>
    <row r="2118" spans="1:38" ht="15.75" customHeight="1" outlineLevel="3" x14ac:dyDescent="0.2">
      <c r="A2118" s="10">
        <v>97</v>
      </c>
      <c r="B2118" s="10" t="s">
        <v>71</v>
      </c>
      <c r="C2118" s="10" t="s">
        <v>1352</v>
      </c>
      <c r="D2118" s="10" t="s">
        <v>414</v>
      </c>
      <c r="E2118" s="11" t="str">
        <f t="array" ref="E2118">_xlfn.XLOOKUP(D2118,Insumos!B:B,Insumos!C:$C)</f>
        <v>UN</v>
      </c>
      <c r="F2118" s="14">
        <f>20.1868/2</f>
        <v>10.093400000000001</v>
      </c>
      <c r="G2118" s="92">
        <f t="array" ref="G2118">IF(B2118="insumo",_xlfn.XLOOKUP($D2118,Insumos!$B$1:$B$996,Insumos!$D$1:$D$996),"")</f>
        <v>0.09</v>
      </c>
      <c r="H2118" s="92">
        <v>0.90840600000000005</v>
      </c>
      <c r="I2118" s="13">
        <v>0</v>
      </c>
      <c r="J2118" s="13">
        <v>0</v>
      </c>
      <c r="K2118" s="13"/>
      <c r="L2118"/>
      <c r="M2118"/>
      <c r="N2118"/>
      <c r="O2118"/>
      <c r="P2118"/>
      <c r="Q2118"/>
      <c r="R2118"/>
      <c r="S2118"/>
      <c r="T2118"/>
      <c r="U2118"/>
      <c r="V2118"/>
      <c r="W2118"/>
      <c r="X2118"/>
      <c r="Y2118"/>
      <c r="Z2118"/>
      <c r="AA2118"/>
      <c r="AB2118"/>
      <c r="AC2118"/>
      <c r="AD2118"/>
      <c r="AE2118"/>
      <c r="AF2118"/>
      <c r="AG2118"/>
      <c r="AH2118"/>
      <c r="AI2118"/>
      <c r="AJ2118"/>
      <c r="AK2118"/>
      <c r="AL2118"/>
    </row>
    <row r="2119" spans="1:38" ht="15.75" customHeight="1" outlineLevel="2" x14ac:dyDescent="0.2">
      <c r="A2119" s="1067">
        <v>1</v>
      </c>
      <c r="B2119" s="1067" t="s">
        <v>68</v>
      </c>
      <c r="C2119" s="1067" t="s">
        <v>1361</v>
      </c>
      <c r="D2119" s="1067" t="s">
        <v>1361</v>
      </c>
      <c r="E2119" s="1068" t="s">
        <v>70</v>
      </c>
      <c r="F2119" s="1067"/>
      <c r="G2119" s="1069" t="str">
        <f t="array" ref="G2119">IF(B2119="insumo",_xlfn.XLOOKUP($D2119,Insumos!$B$1:$B$996,Insumos!$D$1:$D$996),"")</f>
        <v/>
      </c>
      <c r="H2119" s="1069">
        <v>97.647598500000001</v>
      </c>
      <c r="I2119" s="1070">
        <v>0</v>
      </c>
      <c r="J2119" s="1070">
        <v>0</v>
      </c>
      <c r="K2119" s="1070"/>
      <c r="L2119"/>
      <c r="M2119"/>
      <c r="N2119"/>
      <c r="O2119"/>
      <c r="P2119"/>
      <c r="Q2119"/>
      <c r="R2119"/>
      <c r="S2119"/>
      <c r="T2119"/>
      <c r="U2119"/>
      <c r="V2119"/>
      <c r="W2119"/>
      <c r="X2119"/>
      <c r="Y2119"/>
      <c r="Z2119"/>
      <c r="AA2119"/>
      <c r="AB2119"/>
      <c r="AC2119"/>
      <c r="AD2119"/>
      <c r="AE2119"/>
      <c r="AF2119"/>
      <c r="AG2119"/>
      <c r="AH2119"/>
      <c r="AI2119"/>
      <c r="AJ2119"/>
      <c r="AK2119"/>
      <c r="AL2119"/>
    </row>
    <row r="2120" spans="1:38" ht="15.75" customHeight="1" outlineLevel="3" x14ac:dyDescent="0.2">
      <c r="A2120" s="10">
        <v>86</v>
      </c>
      <c r="B2120" s="10" t="s">
        <v>71</v>
      </c>
      <c r="C2120" s="10" t="s">
        <v>1361</v>
      </c>
      <c r="D2120" s="10" t="s">
        <v>407</v>
      </c>
      <c r="E2120" s="11" t="str">
        <f t="array" ref="E2120">_xlfn.XLOOKUP(D2120,Insumos!B:B,Insumos!C:$C)</f>
        <v>M2</v>
      </c>
      <c r="F2120" s="14">
        <v>1</v>
      </c>
      <c r="G2120" s="92">
        <f t="array" ref="G2120">IF(B2120="insumo",_xlfn.XLOOKUP($D2120,Insumos!$B$1:$B$996,Insumos!$D$1:$D$996),"")</f>
        <v>70</v>
      </c>
      <c r="H2120" s="92">
        <v>70</v>
      </c>
      <c r="I2120" s="13">
        <v>0</v>
      </c>
      <c r="J2120" s="13">
        <v>0</v>
      </c>
      <c r="K2120" s="13"/>
      <c r="L2120"/>
      <c r="M2120"/>
      <c r="N2120"/>
      <c r="O2120"/>
      <c r="P2120"/>
      <c r="Q2120"/>
      <c r="R2120"/>
      <c r="S2120"/>
      <c r="T2120"/>
      <c r="U2120"/>
      <c r="V2120"/>
      <c r="W2120"/>
      <c r="X2120"/>
      <c r="Y2120"/>
      <c r="Z2120"/>
      <c r="AA2120"/>
      <c r="AB2120"/>
      <c r="AC2120"/>
      <c r="AD2120"/>
      <c r="AE2120"/>
      <c r="AF2120"/>
      <c r="AG2120"/>
      <c r="AH2120"/>
      <c r="AI2120"/>
      <c r="AJ2120"/>
      <c r="AK2120"/>
      <c r="AL2120"/>
    </row>
    <row r="2121" spans="1:38" ht="15.75" customHeight="1" outlineLevel="3" x14ac:dyDescent="0.2">
      <c r="A2121" s="10">
        <v>47</v>
      </c>
      <c r="B2121" s="10" t="s">
        <v>71</v>
      </c>
      <c r="C2121" s="10" t="s">
        <v>1361</v>
      </c>
      <c r="D2121" s="10" t="s">
        <v>408</v>
      </c>
      <c r="E2121" s="11" t="str">
        <f t="array" ref="E2121">_xlfn.XLOOKUP(D2121,Insumos!B:B,Insumos!C:$C)</f>
        <v>M2</v>
      </c>
      <c r="F2121" s="14">
        <v>1.1060000000000001</v>
      </c>
      <c r="G2121" s="92">
        <f t="array" ref="G2121">IF(B2121="insumo",_xlfn.XLOOKUP($D2121,Insumos!$B$1:$B$996,Insumos!$D$1:$D$996),"")</f>
        <v>20.16</v>
      </c>
      <c r="H2121" s="92">
        <v>22.296959999999999</v>
      </c>
      <c r="I2121" s="13">
        <v>0</v>
      </c>
      <c r="J2121" s="13">
        <v>0</v>
      </c>
      <c r="K2121" s="13"/>
      <c r="L2121"/>
      <c r="M2121"/>
      <c r="N2121"/>
      <c r="O2121"/>
      <c r="P2121"/>
      <c r="Q2121"/>
      <c r="R2121"/>
      <c r="S2121"/>
      <c r="T2121"/>
      <c r="U2121"/>
      <c r="V2121"/>
      <c r="W2121"/>
      <c r="X2121"/>
      <c r="Y2121"/>
      <c r="Z2121"/>
      <c r="AA2121"/>
      <c r="AB2121"/>
      <c r="AC2121"/>
      <c r="AD2121"/>
      <c r="AE2121"/>
      <c r="AF2121"/>
      <c r="AG2121"/>
      <c r="AH2121"/>
      <c r="AI2121"/>
      <c r="AJ2121"/>
      <c r="AK2121"/>
      <c r="AL2121"/>
    </row>
    <row r="2122" spans="1:38" ht="15.75" customHeight="1" outlineLevel="3" x14ac:dyDescent="0.2">
      <c r="A2122" s="10">
        <v>95</v>
      </c>
      <c r="B2122" s="10" t="s">
        <v>71</v>
      </c>
      <c r="C2122" s="10" t="s">
        <v>1361</v>
      </c>
      <c r="D2122" s="10" t="s">
        <v>405</v>
      </c>
      <c r="E2122" s="11" t="str">
        <f t="array" ref="E2122">_xlfn.XLOOKUP(D2122,Insumos!B:B,Insumos!C:$C)</f>
        <v>KG</v>
      </c>
      <c r="F2122" s="14">
        <f>1.0978/2</f>
        <v>0.54890000000000005</v>
      </c>
      <c r="G2122" s="92">
        <f t="array" ref="G2122">IF(B2122="insumo",_xlfn.XLOOKUP($D2122,Insumos!$B$1:$B$996,Insumos!$D$1:$D$996),"")</f>
        <v>3.43</v>
      </c>
      <c r="H2122" s="92">
        <v>1.882727</v>
      </c>
      <c r="I2122" s="13">
        <v>0</v>
      </c>
      <c r="J2122" s="13">
        <v>0</v>
      </c>
      <c r="K2122" s="13"/>
      <c r="L2122"/>
      <c r="M2122"/>
      <c r="N2122"/>
      <c r="O2122"/>
      <c r="P2122"/>
      <c r="Q2122"/>
      <c r="R2122"/>
      <c r="S2122"/>
      <c r="T2122"/>
      <c r="U2122"/>
      <c r="V2122"/>
      <c r="W2122"/>
      <c r="X2122"/>
      <c r="Y2122"/>
      <c r="Z2122"/>
      <c r="AA2122"/>
      <c r="AB2122"/>
      <c r="AC2122"/>
      <c r="AD2122"/>
      <c r="AE2122"/>
      <c r="AF2122"/>
      <c r="AG2122"/>
      <c r="AH2122"/>
      <c r="AI2122"/>
      <c r="AJ2122"/>
      <c r="AK2122"/>
      <c r="AL2122"/>
    </row>
    <row r="2123" spans="1:38" ht="15.75" customHeight="1" outlineLevel="3" x14ac:dyDescent="0.2">
      <c r="A2123" s="10">
        <v>94</v>
      </c>
      <c r="B2123" s="10" t="s">
        <v>71</v>
      </c>
      <c r="C2123" s="10" t="s">
        <v>1361</v>
      </c>
      <c r="D2123" s="10" t="s">
        <v>412</v>
      </c>
      <c r="E2123" s="11" t="str">
        <f t="array" ref="E2123">_xlfn.XLOOKUP(D2123,Insumos!B:B,Insumos!C:$C)</f>
        <v>M</v>
      </c>
      <c r="F2123" s="14">
        <f>2.5027/2</f>
        <v>1.25135</v>
      </c>
      <c r="G2123" s="92">
        <f t="array" ref="G2123">IF(B2123="insumo",_xlfn.XLOOKUP($D2123,Insumos!$B$1:$B$996,Insumos!$D$1:$D$996),"")</f>
        <v>0.31</v>
      </c>
      <c r="H2123" s="92">
        <v>0.3879185</v>
      </c>
      <c r="I2123" s="13">
        <v>0</v>
      </c>
      <c r="J2123" s="13">
        <v>0</v>
      </c>
      <c r="K2123" s="13"/>
      <c r="L2123"/>
      <c r="M2123"/>
      <c r="N2123"/>
      <c r="O2123"/>
      <c r="P2123"/>
      <c r="Q2123"/>
      <c r="R2123"/>
      <c r="S2123"/>
      <c r="T2123"/>
      <c r="U2123"/>
      <c r="V2123"/>
      <c r="W2123"/>
      <c r="X2123"/>
      <c r="Y2123"/>
      <c r="Z2123"/>
      <c r="AA2123"/>
      <c r="AB2123"/>
      <c r="AC2123"/>
      <c r="AD2123"/>
      <c r="AE2123"/>
      <c r="AF2123"/>
      <c r="AG2123"/>
      <c r="AH2123"/>
      <c r="AI2123"/>
      <c r="AJ2123"/>
      <c r="AK2123"/>
      <c r="AL2123"/>
    </row>
    <row r="2124" spans="1:38" ht="15.75" customHeight="1" outlineLevel="3" x14ac:dyDescent="0.2">
      <c r="A2124" s="10">
        <v>94</v>
      </c>
      <c r="B2124" s="10" t="s">
        <v>71</v>
      </c>
      <c r="C2124" s="10" t="s">
        <v>1361</v>
      </c>
      <c r="D2124" s="10" t="s">
        <v>413</v>
      </c>
      <c r="E2124" s="11" t="str">
        <f t="array" ref="E2124">_xlfn.XLOOKUP(D2124,Insumos!B:B,Insumos!C:$C)</f>
        <v>M</v>
      </c>
      <c r="F2124" s="14">
        <f>1.5851/2</f>
        <v>0.79254999999999998</v>
      </c>
      <c r="G2124" s="92">
        <f t="array" ref="G2124">IF(B2124="insumo",_xlfn.XLOOKUP($D2124,Insumos!$B$1:$B$996,Insumos!$D$1:$D$996),"")</f>
        <v>2.74</v>
      </c>
      <c r="H2124" s="92">
        <v>2.1715870000000002</v>
      </c>
      <c r="I2124" s="13">
        <v>0</v>
      </c>
      <c r="J2124" s="13">
        <v>0</v>
      </c>
      <c r="K2124" s="13"/>
      <c r="L2124"/>
      <c r="M2124"/>
      <c r="N2124"/>
      <c r="O2124"/>
      <c r="P2124"/>
      <c r="Q2124"/>
      <c r="R2124"/>
      <c r="S2124"/>
      <c r="T2124"/>
      <c r="U2124"/>
      <c r="V2124"/>
      <c r="W2124"/>
      <c r="X2124"/>
      <c r="Y2124"/>
      <c r="Z2124"/>
      <c r="AA2124"/>
      <c r="AB2124"/>
      <c r="AC2124"/>
      <c r="AD2124"/>
      <c r="AE2124"/>
      <c r="AF2124"/>
      <c r="AG2124"/>
      <c r="AH2124"/>
      <c r="AI2124"/>
      <c r="AJ2124"/>
      <c r="AK2124"/>
      <c r="AL2124"/>
    </row>
    <row r="2125" spans="1:38" ht="15.75" customHeight="1" outlineLevel="3" x14ac:dyDescent="0.2">
      <c r="A2125" s="10">
        <v>97</v>
      </c>
      <c r="B2125" s="10" t="s">
        <v>71</v>
      </c>
      <c r="C2125" s="10" t="s">
        <v>1361</v>
      </c>
      <c r="D2125" s="10" t="s">
        <v>414</v>
      </c>
      <c r="E2125" s="11" t="str">
        <f t="array" ref="E2125">_xlfn.XLOOKUP(D2125,Insumos!B:B,Insumos!C:$C)</f>
        <v>UN</v>
      </c>
      <c r="F2125" s="14">
        <f>20.1868/2</f>
        <v>10.093400000000001</v>
      </c>
      <c r="G2125" s="92">
        <f t="array" ref="G2125">IF(B2125="insumo",_xlfn.XLOOKUP($D2125,Insumos!$B$1:$B$996,Insumos!$D$1:$D$996),"")</f>
        <v>0.09</v>
      </c>
      <c r="H2125" s="92">
        <v>0.90840600000000005</v>
      </c>
      <c r="I2125" s="13">
        <v>0</v>
      </c>
      <c r="J2125" s="13">
        <v>0</v>
      </c>
      <c r="K2125" s="13"/>
      <c r="L2125"/>
      <c r="M2125"/>
      <c r="N2125"/>
      <c r="O2125"/>
      <c r="P2125"/>
      <c r="Q2125"/>
      <c r="R2125"/>
      <c r="S2125"/>
      <c r="T2125"/>
      <c r="U2125"/>
      <c r="V2125"/>
      <c r="W2125"/>
      <c r="X2125"/>
      <c r="Y2125"/>
      <c r="Z2125"/>
      <c r="AA2125"/>
      <c r="AB2125"/>
      <c r="AC2125"/>
      <c r="AD2125"/>
      <c r="AE2125"/>
      <c r="AF2125"/>
      <c r="AG2125"/>
      <c r="AH2125"/>
      <c r="AI2125"/>
      <c r="AJ2125"/>
      <c r="AK2125"/>
      <c r="AL2125"/>
    </row>
    <row r="2126" spans="1:38" ht="15.75" customHeight="1" outlineLevel="2" x14ac:dyDescent="0.2">
      <c r="A2126" s="1067">
        <v>1</v>
      </c>
      <c r="B2126" s="1067" t="s">
        <v>68</v>
      </c>
      <c r="C2126" s="1067" t="s">
        <v>1362</v>
      </c>
      <c r="D2126" s="1067" t="s">
        <v>1362</v>
      </c>
      <c r="E2126" s="1068" t="s">
        <v>70</v>
      </c>
      <c r="F2126" s="1067"/>
      <c r="G2126" s="1069" t="str">
        <f t="array" ref="G2126">IF(B2126="insumo",_xlfn.XLOOKUP($D2126,Insumos!$B$1:$B$996,Insumos!$D$1:$D$996),"")</f>
        <v/>
      </c>
      <c r="H2126" s="1069">
        <v>105.3232385</v>
      </c>
      <c r="I2126" s="1070">
        <v>0</v>
      </c>
      <c r="J2126" s="1070">
        <v>0</v>
      </c>
      <c r="K2126" s="1070"/>
      <c r="L2126"/>
      <c r="M2126"/>
      <c r="N2126"/>
      <c r="O2126"/>
      <c r="P2126"/>
      <c r="Q2126"/>
      <c r="R2126"/>
      <c r="S2126"/>
      <c r="T2126"/>
      <c r="U2126"/>
      <c r="V2126"/>
      <c r="W2126"/>
      <c r="X2126"/>
      <c r="Y2126"/>
      <c r="Z2126"/>
      <c r="AA2126"/>
      <c r="AB2126"/>
      <c r="AC2126"/>
      <c r="AD2126"/>
      <c r="AE2126"/>
      <c r="AF2126"/>
      <c r="AG2126"/>
      <c r="AH2126"/>
      <c r="AI2126"/>
      <c r="AJ2126"/>
      <c r="AK2126"/>
      <c r="AL2126"/>
    </row>
    <row r="2127" spans="1:38" ht="15.75" customHeight="1" outlineLevel="3" x14ac:dyDescent="0.2">
      <c r="A2127" s="10">
        <v>86</v>
      </c>
      <c r="B2127" s="10" t="s">
        <v>71</v>
      </c>
      <c r="C2127" s="10" t="s">
        <v>1362</v>
      </c>
      <c r="D2127" s="10" t="s">
        <v>407</v>
      </c>
      <c r="E2127" s="11" t="str">
        <f t="array" ref="E2127">_xlfn.XLOOKUP(D2127,Insumos!B:B,Insumos!C:$C)</f>
        <v>M2</v>
      </c>
      <c r="F2127" s="14">
        <v>1</v>
      </c>
      <c r="G2127" s="92">
        <f t="array" ref="G2127">IF(B2127="insumo",_xlfn.XLOOKUP($D2127,Insumos!$B$1:$B$996,Insumos!$D$1:$D$996),"")</f>
        <v>70</v>
      </c>
      <c r="H2127" s="92">
        <v>70</v>
      </c>
      <c r="I2127" s="13">
        <v>0</v>
      </c>
      <c r="J2127" s="13">
        <v>0</v>
      </c>
      <c r="K2127" s="13"/>
      <c r="L2127"/>
      <c r="M2127"/>
      <c r="N2127"/>
      <c r="O2127"/>
      <c r="P2127"/>
      <c r="Q2127"/>
      <c r="R2127"/>
      <c r="S2127"/>
      <c r="T2127"/>
      <c r="U2127"/>
      <c r="V2127"/>
      <c r="W2127"/>
      <c r="X2127"/>
      <c r="Y2127"/>
      <c r="Z2127"/>
      <c r="AA2127"/>
      <c r="AB2127"/>
      <c r="AC2127"/>
      <c r="AD2127"/>
      <c r="AE2127"/>
      <c r="AF2127"/>
      <c r="AG2127"/>
      <c r="AH2127"/>
      <c r="AI2127"/>
      <c r="AJ2127"/>
      <c r="AK2127"/>
      <c r="AL2127"/>
    </row>
    <row r="2128" spans="1:38" ht="15.75" customHeight="1" outlineLevel="3" x14ac:dyDescent="0.2">
      <c r="A2128" s="10">
        <v>49</v>
      </c>
      <c r="B2128" s="10" t="s">
        <v>71</v>
      </c>
      <c r="C2128" s="10" t="s">
        <v>1362</v>
      </c>
      <c r="D2128" s="10" t="s">
        <v>418</v>
      </c>
      <c r="E2128" s="11" t="str">
        <f t="array" ref="E2128">_xlfn.XLOOKUP(D2128,Insumos!B:B,Insumos!C:$C)</f>
        <v>M2</v>
      </c>
      <c r="F2128" s="14">
        <v>1.1060000000000001</v>
      </c>
      <c r="G2128" s="92">
        <f t="array" ref="G2128">IF(B2128="insumo",_xlfn.XLOOKUP($D2128,Insumos!$B$1:$B$996,Insumos!$D$1:$D$996),"")</f>
        <v>27.1</v>
      </c>
      <c r="H2128" s="92">
        <v>29.9726</v>
      </c>
      <c r="I2128" s="13">
        <v>0</v>
      </c>
      <c r="J2128" s="13">
        <v>0</v>
      </c>
      <c r="K2128" s="13"/>
      <c r="L2128"/>
      <c r="M2128"/>
      <c r="N2128"/>
      <c r="O2128"/>
      <c r="P2128"/>
      <c r="Q2128"/>
      <c r="R2128"/>
      <c r="S2128"/>
      <c r="T2128"/>
      <c r="U2128"/>
      <c r="V2128"/>
      <c r="W2128"/>
      <c r="X2128"/>
      <c r="Y2128"/>
      <c r="Z2128"/>
      <c r="AA2128"/>
      <c r="AB2128"/>
      <c r="AC2128"/>
      <c r="AD2128"/>
      <c r="AE2128"/>
      <c r="AF2128"/>
      <c r="AG2128"/>
      <c r="AH2128"/>
      <c r="AI2128"/>
      <c r="AJ2128"/>
      <c r="AK2128"/>
      <c r="AL2128"/>
    </row>
    <row r="2129" spans="1:38" ht="15.75" customHeight="1" outlineLevel="3" x14ac:dyDescent="0.2">
      <c r="A2129" s="10">
        <v>95</v>
      </c>
      <c r="B2129" s="10" t="s">
        <v>71</v>
      </c>
      <c r="C2129" s="10" t="s">
        <v>1362</v>
      </c>
      <c r="D2129" s="10" t="s">
        <v>405</v>
      </c>
      <c r="E2129" s="11" t="str">
        <f t="array" ref="E2129">_xlfn.XLOOKUP(D2129,Insumos!B:B,Insumos!C:$C)</f>
        <v>KG</v>
      </c>
      <c r="F2129" s="14">
        <f>1.0978/2</f>
        <v>0.54890000000000005</v>
      </c>
      <c r="G2129" s="92">
        <f t="array" ref="G2129">IF(B2129="insumo",_xlfn.XLOOKUP($D2129,Insumos!$B$1:$B$996,Insumos!$D$1:$D$996),"")</f>
        <v>3.43</v>
      </c>
      <c r="H2129" s="92">
        <v>1.882727</v>
      </c>
      <c r="I2129" s="13">
        <v>0</v>
      </c>
      <c r="J2129" s="13">
        <v>0</v>
      </c>
      <c r="K2129" s="13"/>
      <c r="L2129"/>
      <c r="M2129"/>
      <c r="N2129"/>
      <c r="O2129"/>
      <c r="P2129"/>
      <c r="Q2129"/>
      <c r="R2129"/>
      <c r="S2129"/>
      <c r="T2129"/>
      <c r="U2129"/>
      <c r="V2129"/>
      <c r="W2129"/>
      <c r="X2129"/>
      <c r="Y2129"/>
      <c r="Z2129"/>
      <c r="AA2129"/>
      <c r="AB2129"/>
      <c r="AC2129"/>
      <c r="AD2129"/>
      <c r="AE2129"/>
      <c r="AF2129"/>
      <c r="AG2129"/>
      <c r="AH2129"/>
      <c r="AI2129"/>
      <c r="AJ2129"/>
      <c r="AK2129"/>
      <c r="AL2129"/>
    </row>
    <row r="2130" spans="1:38" ht="15.75" customHeight="1" outlineLevel="3" x14ac:dyDescent="0.2">
      <c r="A2130" s="10">
        <v>94</v>
      </c>
      <c r="B2130" s="10" t="s">
        <v>71</v>
      </c>
      <c r="C2130" s="10" t="s">
        <v>1362</v>
      </c>
      <c r="D2130" s="10" t="s">
        <v>412</v>
      </c>
      <c r="E2130" s="11" t="str">
        <f t="array" ref="E2130">_xlfn.XLOOKUP(D2130,Insumos!B:B,Insumos!C:$C)</f>
        <v>M</v>
      </c>
      <c r="F2130" s="14">
        <f>2.5027/2</f>
        <v>1.25135</v>
      </c>
      <c r="G2130" s="92">
        <f t="array" ref="G2130">IF(B2130="insumo",_xlfn.XLOOKUP($D2130,Insumos!$B$1:$B$996,Insumos!$D$1:$D$996),"")</f>
        <v>0.31</v>
      </c>
      <c r="H2130" s="92">
        <v>0.3879185</v>
      </c>
      <c r="I2130" s="13">
        <v>0</v>
      </c>
      <c r="J2130" s="13">
        <v>0</v>
      </c>
      <c r="K2130" s="13"/>
      <c r="L2130"/>
      <c r="M2130"/>
      <c r="N2130"/>
      <c r="O2130"/>
      <c r="P2130"/>
      <c r="Q2130"/>
      <c r="R2130"/>
      <c r="S2130"/>
      <c r="T2130"/>
      <c r="U2130"/>
      <c r="V2130"/>
      <c r="W2130"/>
      <c r="X2130"/>
      <c r="Y2130"/>
      <c r="Z2130"/>
      <c r="AA2130"/>
      <c r="AB2130"/>
      <c r="AC2130"/>
      <c r="AD2130"/>
      <c r="AE2130"/>
      <c r="AF2130"/>
      <c r="AG2130"/>
      <c r="AH2130"/>
      <c r="AI2130"/>
      <c r="AJ2130"/>
      <c r="AK2130"/>
      <c r="AL2130"/>
    </row>
    <row r="2131" spans="1:38" ht="15.75" customHeight="1" outlineLevel="3" x14ac:dyDescent="0.2">
      <c r="A2131" s="10">
        <v>94</v>
      </c>
      <c r="B2131" s="10" t="s">
        <v>71</v>
      </c>
      <c r="C2131" s="10" t="s">
        <v>1362</v>
      </c>
      <c r="D2131" s="10" t="s">
        <v>413</v>
      </c>
      <c r="E2131" s="11" t="str">
        <f t="array" ref="E2131">_xlfn.XLOOKUP(D2131,Insumos!B:B,Insumos!C:$C)</f>
        <v>M</v>
      </c>
      <c r="F2131" s="14">
        <f>1.5851/2</f>
        <v>0.79254999999999998</v>
      </c>
      <c r="G2131" s="92">
        <f t="array" ref="G2131">IF(B2131="insumo",_xlfn.XLOOKUP($D2131,Insumos!$B$1:$B$996,Insumos!$D$1:$D$996),"")</f>
        <v>2.74</v>
      </c>
      <c r="H2131" s="92">
        <v>2.1715870000000002</v>
      </c>
      <c r="I2131" s="13">
        <v>0</v>
      </c>
      <c r="J2131" s="13">
        <v>0</v>
      </c>
      <c r="K2131" s="13"/>
      <c r="L2131"/>
      <c r="M2131"/>
      <c r="N2131"/>
      <c r="O2131"/>
      <c r="P2131"/>
      <c r="Q2131"/>
      <c r="R2131"/>
      <c r="S2131"/>
      <c r="T2131"/>
      <c r="U2131"/>
      <c r="V2131"/>
      <c r="W2131"/>
      <c r="X2131"/>
      <c r="Y2131"/>
      <c r="Z2131"/>
      <c r="AA2131"/>
      <c r="AB2131"/>
      <c r="AC2131"/>
      <c r="AD2131"/>
      <c r="AE2131"/>
      <c r="AF2131"/>
      <c r="AG2131"/>
      <c r="AH2131"/>
      <c r="AI2131"/>
      <c r="AJ2131"/>
      <c r="AK2131"/>
      <c r="AL2131"/>
    </row>
    <row r="2132" spans="1:38" ht="15.75" customHeight="1" outlineLevel="3" x14ac:dyDescent="0.2">
      <c r="A2132" s="10">
        <v>97</v>
      </c>
      <c r="B2132" s="10" t="s">
        <v>71</v>
      </c>
      <c r="C2132" s="10" t="s">
        <v>1362</v>
      </c>
      <c r="D2132" s="10" t="s">
        <v>414</v>
      </c>
      <c r="E2132" s="11" t="str">
        <f t="array" ref="E2132">_xlfn.XLOOKUP(D2132,Insumos!B:B,Insumos!C:$C)</f>
        <v>UN</v>
      </c>
      <c r="F2132" s="14">
        <f>20.1868/2</f>
        <v>10.093400000000001</v>
      </c>
      <c r="G2132" s="92">
        <f t="array" ref="G2132">IF(B2132="insumo",_xlfn.XLOOKUP($D2132,Insumos!$B$1:$B$996,Insumos!$D$1:$D$996),"")</f>
        <v>0.09</v>
      </c>
      <c r="H2132" s="92">
        <v>0.90840600000000005</v>
      </c>
      <c r="I2132" s="13">
        <v>0</v>
      </c>
      <c r="J2132" s="13">
        <v>0</v>
      </c>
      <c r="K2132" s="13"/>
      <c r="L2132"/>
      <c r="M2132"/>
      <c r="N2132"/>
      <c r="O2132"/>
      <c r="P2132"/>
      <c r="Q2132"/>
      <c r="R2132"/>
      <c r="S2132"/>
      <c r="T2132"/>
      <c r="U2132"/>
      <c r="V2132"/>
      <c r="W2132"/>
      <c r="X2132"/>
      <c r="Y2132"/>
      <c r="Z2132"/>
      <c r="AA2132"/>
      <c r="AB2132"/>
      <c r="AC2132"/>
      <c r="AD2132"/>
      <c r="AE2132"/>
      <c r="AF2132"/>
      <c r="AG2132"/>
      <c r="AH2132"/>
      <c r="AI2132"/>
      <c r="AJ2132"/>
      <c r="AK2132"/>
      <c r="AL2132"/>
    </row>
    <row r="2133" spans="1:38" ht="15.75" customHeight="1" outlineLevel="2" x14ac:dyDescent="0.2">
      <c r="A2133" s="1067">
        <v>1</v>
      </c>
      <c r="B2133" s="1067" t="s">
        <v>68</v>
      </c>
      <c r="C2133" s="1067" t="s">
        <v>1368</v>
      </c>
      <c r="D2133" s="1067" t="s">
        <v>1368</v>
      </c>
      <c r="E2133" s="1068" t="s">
        <v>70</v>
      </c>
      <c r="F2133" s="1067"/>
      <c r="G2133" s="1069" t="str">
        <f t="array" ref="G2133">IF(B2133="insumo",_xlfn.XLOOKUP($D2133,Insumos!$B$1:$B$996,Insumos!$D$1:$D$996),"")</f>
        <v/>
      </c>
      <c r="H2133" s="1069">
        <v>105.3232385</v>
      </c>
      <c r="I2133" s="1070">
        <v>0</v>
      </c>
      <c r="J2133" s="1070">
        <v>0</v>
      </c>
      <c r="K2133" s="1070"/>
      <c r="L2133"/>
      <c r="M2133"/>
      <c r="N2133"/>
      <c r="O2133"/>
      <c r="P2133"/>
      <c r="Q2133"/>
      <c r="R2133"/>
      <c r="S2133"/>
      <c r="T2133"/>
      <c r="U2133"/>
      <c r="V2133"/>
      <c r="W2133"/>
      <c r="X2133"/>
      <c r="Y2133"/>
      <c r="Z2133"/>
      <c r="AA2133"/>
      <c r="AB2133"/>
      <c r="AC2133"/>
      <c r="AD2133"/>
      <c r="AE2133"/>
      <c r="AF2133"/>
      <c r="AG2133"/>
      <c r="AH2133"/>
      <c r="AI2133"/>
      <c r="AJ2133"/>
      <c r="AK2133"/>
      <c r="AL2133"/>
    </row>
    <row r="2134" spans="1:38" ht="15.75" customHeight="1" outlineLevel="3" x14ac:dyDescent="0.2">
      <c r="A2134" s="10">
        <v>86</v>
      </c>
      <c r="B2134" s="10" t="s">
        <v>71</v>
      </c>
      <c r="C2134" s="10" t="s">
        <v>1368</v>
      </c>
      <c r="D2134" s="10" t="s">
        <v>407</v>
      </c>
      <c r="E2134" s="11" t="str">
        <f t="array" ref="E2134">_xlfn.XLOOKUP(D2134,Insumos!B:B,Insumos!C:$C)</f>
        <v>M2</v>
      </c>
      <c r="F2134" s="14">
        <v>1</v>
      </c>
      <c r="G2134" s="92">
        <f t="array" ref="G2134">IF(B2134="insumo",_xlfn.XLOOKUP($D2134,Insumos!$B$1:$B$996,Insumos!$D$1:$D$996),"")</f>
        <v>70</v>
      </c>
      <c r="H2134" s="92">
        <v>70</v>
      </c>
      <c r="I2134" s="13">
        <v>0</v>
      </c>
      <c r="J2134" s="13">
        <v>0</v>
      </c>
      <c r="K2134" s="13"/>
      <c r="L2134"/>
      <c r="M2134"/>
      <c r="N2134"/>
      <c r="O2134"/>
      <c r="P2134"/>
      <c r="Q2134"/>
      <c r="R2134"/>
      <c r="S2134"/>
      <c r="T2134"/>
      <c r="U2134"/>
      <c r="V2134"/>
      <c r="W2134"/>
      <c r="X2134"/>
      <c r="Y2134"/>
      <c r="Z2134"/>
      <c r="AA2134"/>
      <c r="AB2134"/>
      <c r="AC2134"/>
      <c r="AD2134"/>
      <c r="AE2134"/>
      <c r="AF2134"/>
      <c r="AG2134"/>
      <c r="AH2134"/>
      <c r="AI2134"/>
      <c r="AJ2134"/>
      <c r="AK2134"/>
      <c r="AL2134"/>
    </row>
    <row r="2135" spans="1:38" ht="15.75" customHeight="1" outlineLevel="3" x14ac:dyDescent="0.2">
      <c r="A2135" s="10">
        <v>49</v>
      </c>
      <c r="B2135" s="10" t="s">
        <v>71</v>
      </c>
      <c r="C2135" s="10" t="s">
        <v>1368</v>
      </c>
      <c r="D2135" s="10" t="s">
        <v>418</v>
      </c>
      <c r="E2135" s="11" t="str">
        <f t="array" ref="E2135">_xlfn.XLOOKUP(D2135,Insumos!B:B,Insumos!C:$C)</f>
        <v>M2</v>
      </c>
      <c r="F2135" s="14">
        <v>1.1060000000000001</v>
      </c>
      <c r="G2135" s="92">
        <f t="array" ref="G2135">IF(B2135="insumo",_xlfn.XLOOKUP($D2135,Insumos!$B$1:$B$996,Insumos!$D$1:$D$996),"")</f>
        <v>27.1</v>
      </c>
      <c r="H2135" s="92">
        <v>29.9726</v>
      </c>
      <c r="I2135" s="13">
        <v>0</v>
      </c>
      <c r="J2135" s="13">
        <v>0</v>
      </c>
      <c r="K2135" s="13"/>
      <c r="L2135"/>
      <c r="M2135"/>
      <c r="N2135"/>
      <c r="O2135"/>
      <c r="P2135"/>
      <c r="Q2135"/>
      <c r="R2135"/>
      <c r="S2135"/>
      <c r="T2135"/>
      <c r="U2135"/>
      <c r="V2135"/>
      <c r="W2135"/>
      <c r="X2135"/>
      <c r="Y2135"/>
      <c r="Z2135"/>
      <c r="AA2135"/>
      <c r="AB2135"/>
      <c r="AC2135"/>
      <c r="AD2135"/>
      <c r="AE2135"/>
      <c r="AF2135"/>
      <c r="AG2135"/>
      <c r="AH2135"/>
      <c r="AI2135"/>
      <c r="AJ2135"/>
      <c r="AK2135"/>
      <c r="AL2135"/>
    </row>
    <row r="2136" spans="1:38" ht="15.75" customHeight="1" outlineLevel="3" x14ac:dyDescent="0.2">
      <c r="A2136" s="10">
        <v>95</v>
      </c>
      <c r="B2136" s="10" t="s">
        <v>71</v>
      </c>
      <c r="C2136" s="10" t="s">
        <v>1368</v>
      </c>
      <c r="D2136" s="10" t="s">
        <v>405</v>
      </c>
      <c r="E2136" s="11" t="str">
        <f t="array" ref="E2136">_xlfn.XLOOKUP(D2136,Insumos!B:B,Insumos!C:$C)</f>
        <v>KG</v>
      </c>
      <c r="F2136" s="14">
        <f>1.0978/2</f>
        <v>0.54890000000000005</v>
      </c>
      <c r="G2136" s="92">
        <f t="array" ref="G2136">IF(B2136="insumo",_xlfn.XLOOKUP($D2136,Insumos!$B$1:$B$996,Insumos!$D$1:$D$996),"")</f>
        <v>3.43</v>
      </c>
      <c r="H2136" s="92">
        <v>1.882727</v>
      </c>
      <c r="I2136" s="13">
        <v>0</v>
      </c>
      <c r="J2136" s="13">
        <v>0</v>
      </c>
      <c r="K2136" s="13"/>
      <c r="L2136"/>
      <c r="M2136"/>
      <c r="N2136"/>
      <c r="O2136"/>
      <c r="P2136"/>
      <c r="Q2136"/>
      <c r="R2136"/>
      <c r="S2136"/>
      <c r="T2136"/>
      <c r="U2136"/>
      <c r="V2136"/>
      <c r="W2136"/>
      <c r="X2136"/>
      <c r="Y2136"/>
      <c r="Z2136"/>
      <c r="AA2136"/>
      <c r="AB2136"/>
      <c r="AC2136"/>
      <c r="AD2136"/>
      <c r="AE2136"/>
      <c r="AF2136"/>
      <c r="AG2136"/>
      <c r="AH2136"/>
      <c r="AI2136"/>
      <c r="AJ2136"/>
      <c r="AK2136"/>
      <c r="AL2136"/>
    </row>
    <row r="2137" spans="1:38" ht="15.75" customHeight="1" outlineLevel="3" x14ac:dyDescent="0.2">
      <c r="A2137" s="10">
        <v>94</v>
      </c>
      <c r="B2137" s="10" t="s">
        <v>71</v>
      </c>
      <c r="C2137" s="10" t="s">
        <v>1368</v>
      </c>
      <c r="D2137" s="10" t="s">
        <v>412</v>
      </c>
      <c r="E2137" s="11" t="str">
        <f t="array" ref="E2137">_xlfn.XLOOKUP(D2137,Insumos!B:B,Insumos!C:$C)</f>
        <v>M</v>
      </c>
      <c r="F2137" s="14">
        <f>2.5027/2</f>
        <v>1.25135</v>
      </c>
      <c r="G2137" s="92">
        <f t="array" ref="G2137">IF(B2137="insumo",_xlfn.XLOOKUP($D2137,Insumos!$B$1:$B$996,Insumos!$D$1:$D$996),"")</f>
        <v>0.31</v>
      </c>
      <c r="H2137" s="92">
        <v>0.3879185</v>
      </c>
      <c r="I2137" s="13">
        <v>0</v>
      </c>
      <c r="J2137" s="13">
        <v>0</v>
      </c>
      <c r="K2137" s="13"/>
      <c r="L2137"/>
      <c r="M2137"/>
      <c r="N2137"/>
      <c r="O2137"/>
      <c r="P2137"/>
      <c r="Q2137"/>
      <c r="R2137"/>
      <c r="S2137"/>
      <c r="T2137"/>
      <c r="U2137"/>
      <c r="V2137"/>
      <c r="W2137"/>
      <c r="X2137"/>
      <c r="Y2137"/>
      <c r="Z2137"/>
      <c r="AA2137"/>
      <c r="AB2137"/>
      <c r="AC2137"/>
      <c r="AD2137"/>
      <c r="AE2137"/>
      <c r="AF2137"/>
      <c r="AG2137"/>
      <c r="AH2137"/>
      <c r="AI2137"/>
      <c r="AJ2137"/>
      <c r="AK2137"/>
      <c r="AL2137"/>
    </row>
    <row r="2138" spans="1:38" ht="15.75" customHeight="1" outlineLevel="3" x14ac:dyDescent="0.2">
      <c r="A2138" s="10">
        <v>94</v>
      </c>
      <c r="B2138" s="10" t="s">
        <v>71</v>
      </c>
      <c r="C2138" s="10" t="s">
        <v>1368</v>
      </c>
      <c r="D2138" s="10" t="s">
        <v>413</v>
      </c>
      <c r="E2138" s="11" t="str">
        <f t="array" ref="E2138">_xlfn.XLOOKUP(D2138,Insumos!B:B,Insumos!C:$C)</f>
        <v>M</v>
      </c>
      <c r="F2138" s="14">
        <f>1.5851/2</f>
        <v>0.79254999999999998</v>
      </c>
      <c r="G2138" s="92">
        <f t="array" ref="G2138">IF(B2138="insumo",_xlfn.XLOOKUP($D2138,Insumos!$B$1:$B$996,Insumos!$D$1:$D$996),"")</f>
        <v>2.74</v>
      </c>
      <c r="H2138" s="92">
        <v>2.1715870000000002</v>
      </c>
      <c r="I2138" s="13">
        <v>0</v>
      </c>
      <c r="J2138" s="13">
        <v>0</v>
      </c>
      <c r="K2138" s="13"/>
      <c r="L2138"/>
      <c r="M2138"/>
      <c r="N2138"/>
      <c r="O2138"/>
      <c r="P2138"/>
      <c r="Q2138"/>
      <c r="R2138"/>
      <c r="S2138"/>
      <c r="T2138"/>
      <c r="U2138"/>
      <c r="V2138"/>
      <c r="W2138"/>
      <c r="X2138"/>
      <c r="Y2138"/>
      <c r="Z2138"/>
      <c r="AA2138"/>
      <c r="AB2138"/>
      <c r="AC2138"/>
      <c r="AD2138"/>
      <c r="AE2138"/>
      <c r="AF2138"/>
      <c r="AG2138"/>
      <c r="AH2138"/>
      <c r="AI2138"/>
      <c r="AJ2138"/>
      <c r="AK2138"/>
      <c r="AL2138"/>
    </row>
    <row r="2139" spans="1:38" ht="15.75" customHeight="1" outlineLevel="3" x14ac:dyDescent="0.2">
      <c r="A2139" s="10">
        <v>97</v>
      </c>
      <c r="B2139" s="10" t="s">
        <v>71</v>
      </c>
      <c r="C2139" s="10" t="s">
        <v>1368</v>
      </c>
      <c r="D2139" s="10" t="s">
        <v>414</v>
      </c>
      <c r="E2139" s="11" t="str">
        <f t="array" ref="E2139">_xlfn.XLOOKUP(D2139,Insumos!B:B,Insumos!C:$C)</f>
        <v>UN</v>
      </c>
      <c r="F2139" s="14">
        <f>20.1868/2</f>
        <v>10.093400000000001</v>
      </c>
      <c r="G2139" s="92">
        <f t="array" ref="G2139">IF(B2139="insumo",_xlfn.XLOOKUP($D2139,Insumos!$B$1:$B$996,Insumos!$D$1:$D$996),"")</f>
        <v>0.09</v>
      </c>
      <c r="H2139" s="92">
        <v>0.90840600000000005</v>
      </c>
      <c r="I2139" s="13">
        <v>0</v>
      </c>
      <c r="J2139" s="13">
        <v>0</v>
      </c>
      <c r="K2139" s="13"/>
      <c r="L2139"/>
      <c r="M2139"/>
      <c r="N2139"/>
      <c r="O2139"/>
      <c r="P2139"/>
      <c r="Q2139"/>
      <c r="R2139"/>
      <c r="S2139"/>
      <c r="T2139"/>
      <c r="U2139"/>
      <c r="V2139"/>
      <c r="W2139"/>
      <c r="X2139"/>
      <c r="Y2139"/>
      <c r="Z2139"/>
      <c r="AA2139"/>
      <c r="AB2139"/>
      <c r="AC2139"/>
      <c r="AD2139"/>
      <c r="AE2139"/>
      <c r="AF2139"/>
      <c r="AG2139"/>
      <c r="AH2139"/>
      <c r="AI2139"/>
      <c r="AJ2139"/>
      <c r="AK2139"/>
      <c r="AL2139"/>
    </row>
    <row r="2140" spans="1:38" ht="15.75" customHeight="1" outlineLevel="2" x14ac:dyDescent="0.2">
      <c r="A2140" s="1067">
        <v>1</v>
      </c>
      <c r="B2140" s="1067" t="s">
        <v>68</v>
      </c>
      <c r="C2140" s="1067" t="s">
        <v>429</v>
      </c>
      <c r="D2140" s="1067" t="s">
        <v>429</v>
      </c>
      <c r="E2140" s="1068" t="s">
        <v>70</v>
      </c>
      <c r="F2140" s="1067"/>
      <c r="G2140" s="1069" t="str">
        <f t="array" ref="G2140">IF(B2140="insumo",_xlfn.XLOOKUP($D2140,Insumos!$B$1:$B$996,Insumos!$D$1:$D$996),"")</f>
        <v/>
      </c>
      <c r="H2140" s="1069">
        <v>14.1115333333333</v>
      </c>
      <c r="I2140" s="1070">
        <v>0</v>
      </c>
      <c r="J2140" s="1070">
        <v>0</v>
      </c>
      <c r="K2140" s="1070"/>
      <c r="L2140"/>
      <c r="M2140"/>
      <c r="N2140"/>
      <c r="O2140"/>
      <c r="P2140"/>
      <c r="Q2140"/>
      <c r="R2140"/>
      <c r="S2140"/>
      <c r="T2140"/>
      <c r="U2140"/>
      <c r="V2140"/>
      <c r="W2140"/>
      <c r="X2140"/>
      <c r="Y2140"/>
      <c r="Z2140"/>
      <c r="AA2140"/>
      <c r="AB2140"/>
      <c r="AC2140"/>
      <c r="AD2140"/>
      <c r="AE2140"/>
      <c r="AF2140"/>
      <c r="AG2140"/>
      <c r="AH2140"/>
      <c r="AI2140"/>
      <c r="AJ2140"/>
      <c r="AK2140"/>
      <c r="AL2140"/>
    </row>
    <row r="2141" spans="1:38" ht="15.75" customHeight="1" outlineLevel="3" x14ac:dyDescent="0.2">
      <c r="A2141" s="10">
        <v>5</v>
      </c>
      <c r="B2141" s="10" t="s">
        <v>71</v>
      </c>
      <c r="C2141" s="10" t="s">
        <v>429</v>
      </c>
      <c r="D2141" s="10" t="s">
        <v>416</v>
      </c>
      <c r="E2141" s="11" t="str">
        <f t="array" ref="E2141">_xlfn.XLOOKUP(D2141,Insumos!B:B,Insumos!C:$C)</f>
        <v>M2</v>
      </c>
      <c r="F2141" s="14">
        <v>1.1000000000000001</v>
      </c>
      <c r="G2141" s="92">
        <f t="array" ref="G2141">IF(B2141="insumo",_xlfn.XLOOKUP($D2141,Insumos!$B$1:$B$996,Insumos!$D$1:$D$996),"")</f>
        <v>12.828666666666667</v>
      </c>
      <c r="H2141" s="92">
        <v>14.1115333333333</v>
      </c>
      <c r="I2141" s="13">
        <v>0</v>
      </c>
      <c r="J2141" s="13">
        <v>0</v>
      </c>
      <c r="K2141" s="13"/>
      <c r="L2141"/>
      <c r="M2141"/>
      <c r="N2141"/>
      <c r="O2141"/>
      <c r="P2141"/>
      <c r="Q2141"/>
      <c r="R2141"/>
      <c r="S2141"/>
      <c r="T2141"/>
      <c r="U2141"/>
      <c r="V2141"/>
      <c r="W2141"/>
      <c r="X2141"/>
      <c r="Y2141"/>
      <c r="Z2141"/>
      <c r="AA2141"/>
      <c r="AB2141"/>
      <c r="AC2141"/>
      <c r="AD2141"/>
      <c r="AE2141"/>
      <c r="AF2141"/>
      <c r="AG2141"/>
      <c r="AH2141"/>
      <c r="AI2141"/>
      <c r="AJ2141"/>
      <c r="AK2141"/>
      <c r="AL2141"/>
    </row>
    <row r="2142" spans="1:38" ht="15.75" customHeight="1" outlineLevel="2" x14ac:dyDescent="0.2">
      <c r="A2142" s="1067">
        <v>1</v>
      </c>
      <c r="B2142" s="1067" t="s">
        <v>68</v>
      </c>
      <c r="C2142" s="1067" t="s">
        <v>430</v>
      </c>
      <c r="D2142" s="1067" t="s">
        <v>430</v>
      </c>
      <c r="E2142" s="1068" t="s">
        <v>70</v>
      </c>
      <c r="F2142" s="1067"/>
      <c r="G2142" s="1069" t="str">
        <f t="array" ref="G2142">IF(B2142="insumo",_xlfn.XLOOKUP($D2142,Insumos!$B$1:$B$996,Insumos!$D$1:$D$996),"")</f>
        <v/>
      </c>
      <c r="H2142" s="1069">
        <v>142.12333333333299</v>
      </c>
      <c r="I2142" s="1070">
        <v>0</v>
      </c>
      <c r="J2142" s="1070">
        <v>0</v>
      </c>
      <c r="K2142" s="1070"/>
      <c r="L2142"/>
      <c r="M2142"/>
      <c r="N2142"/>
      <c r="O2142"/>
      <c r="P2142"/>
      <c r="Q2142"/>
      <c r="R2142"/>
      <c r="S2142"/>
      <c r="T2142"/>
      <c r="U2142"/>
      <c r="V2142"/>
      <c r="W2142"/>
      <c r="X2142"/>
      <c r="Y2142"/>
      <c r="Z2142"/>
      <c r="AA2142"/>
      <c r="AB2142"/>
      <c r="AC2142"/>
      <c r="AD2142"/>
      <c r="AE2142"/>
      <c r="AF2142"/>
      <c r="AG2142"/>
      <c r="AH2142"/>
      <c r="AI2142"/>
      <c r="AJ2142"/>
      <c r="AK2142"/>
      <c r="AL2142"/>
    </row>
    <row r="2143" spans="1:38" ht="15.75" customHeight="1" outlineLevel="3" x14ac:dyDescent="0.2">
      <c r="A2143" s="10">
        <v>1</v>
      </c>
      <c r="B2143" s="10" t="s">
        <v>71</v>
      </c>
      <c r="C2143" s="10" t="s">
        <v>430</v>
      </c>
      <c r="D2143" s="10" t="s">
        <v>431</v>
      </c>
      <c r="E2143" s="11" t="str">
        <f t="array" ref="E2143">_xlfn.XLOOKUP(D2143,Insumos!B:B,Insumos!C:$C)</f>
        <v>M2</v>
      </c>
      <c r="F2143" s="14">
        <v>1.05</v>
      </c>
      <c r="G2143" s="92">
        <f t="array" ref="G2143">IF(B2143="insumo",_xlfn.XLOOKUP($D2143,Insumos!$B$1:$B$996,Insumos!$D$1:$D$996),"")</f>
        <v>135.35555555555555</v>
      </c>
      <c r="H2143" s="92">
        <v>142.12333333333299</v>
      </c>
      <c r="I2143" s="13">
        <v>0</v>
      </c>
      <c r="J2143" s="13">
        <v>0</v>
      </c>
      <c r="K2143" s="13"/>
      <c r="L2143"/>
      <c r="M2143"/>
      <c r="N2143"/>
      <c r="O2143"/>
      <c r="P2143"/>
      <c r="Q2143"/>
      <c r="R2143"/>
      <c r="S2143"/>
      <c r="T2143"/>
      <c r="U2143"/>
      <c r="V2143"/>
      <c r="W2143"/>
      <c r="X2143"/>
      <c r="Y2143"/>
      <c r="Z2143"/>
      <c r="AA2143"/>
      <c r="AB2143"/>
      <c r="AC2143"/>
      <c r="AD2143"/>
      <c r="AE2143"/>
      <c r="AF2143"/>
      <c r="AG2143"/>
      <c r="AH2143"/>
      <c r="AI2143"/>
      <c r="AJ2143"/>
      <c r="AK2143"/>
      <c r="AL2143"/>
    </row>
    <row r="2144" spans="1:38" ht="15.75" customHeight="1" outlineLevel="1" x14ac:dyDescent="0.2">
      <c r="A2144" s="1090">
        <v>1</v>
      </c>
      <c r="B2144" s="1090" t="s">
        <v>1228</v>
      </c>
      <c r="C2144" s="1090" t="s">
        <v>430</v>
      </c>
      <c r="D2144" s="1090" t="s">
        <v>1389</v>
      </c>
      <c r="E2144" s="1091"/>
      <c r="F2144" s="1092"/>
      <c r="G2144" s="1091"/>
      <c r="H2144" s="1091">
        <v>0</v>
      </c>
      <c r="I2144" s="1092">
        <v>0</v>
      </c>
      <c r="J2144" s="1092">
        <v>0</v>
      </c>
      <c r="K2144" s="1092"/>
      <c r="L2144"/>
      <c r="M2144"/>
      <c r="N2144"/>
      <c r="O2144"/>
      <c r="P2144"/>
      <c r="Q2144"/>
      <c r="R2144"/>
      <c r="S2144"/>
      <c r="T2144"/>
      <c r="U2144"/>
      <c r="V2144"/>
      <c r="W2144"/>
      <c r="X2144"/>
      <c r="Y2144"/>
      <c r="Z2144"/>
      <c r="AA2144"/>
      <c r="AB2144"/>
      <c r="AC2144"/>
      <c r="AD2144"/>
      <c r="AE2144"/>
      <c r="AF2144"/>
      <c r="AG2144"/>
      <c r="AH2144"/>
      <c r="AI2144"/>
      <c r="AJ2144"/>
      <c r="AK2144"/>
      <c r="AL2144"/>
    </row>
    <row r="2145" spans="1:38" ht="15.75" customHeight="1" outlineLevel="2" x14ac:dyDescent="0.2">
      <c r="A2145" s="1067">
        <v>1</v>
      </c>
      <c r="B2145" s="1067" t="s">
        <v>68</v>
      </c>
      <c r="C2145" s="1067" t="s">
        <v>432</v>
      </c>
      <c r="D2145" s="1067" t="s">
        <v>432</v>
      </c>
      <c r="E2145" s="1068" t="s">
        <v>70</v>
      </c>
      <c r="F2145" s="1067"/>
      <c r="G2145" s="1069" t="str">
        <f t="array" ref="G2145">IF(B2145="insumo",_xlfn.XLOOKUP($D2145,Insumos!$B$1:$B$996,Insumos!$D$1:$D$996),"")</f>
        <v/>
      </c>
      <c r="H2145" s="1069">
        <v>47</v>
      </c>
      <c r="I2145" s="1070" t="e">
        <v>#REF!</v>
      </c>
      <c r="J2145" s="1070" t="e">
        <v>#REF!</v>
      </c>
      <c r="K2145" s="1070"/>
      <c r="L2145"/>
      <c r="M2145"/>
      <c r="N2145"/>
      <c r="O2145"/>
      <c r="P2145"/>
      <c r="Q2145"/>
      <c r="R2145"/>
      <c r="S2145"/>
      <c r="T2145"/>
      <c r="U2145"/>
      <c r="V2145"/>
      <c r="W2145"/>
      <c r="X2145"/>
      <c r="Y2145"/>
      <c r="Z2145"/>
      <c r="AA2145"/>
      <c r="AB2145"/>
      <c r="AC2145"/>
      <c r="AD2145"/>
      <c r="AE2145"/>
      <c r="AF2145"/>
      <c r="AG2145"/>
      <c r="AH2145"/>
      <c r="AI2145"/>
      <c r="AJ2145"/>
      <c r="AK2145"/>
      <c r="AL2145"/>
    </row>
    <row r="2146" spans="1:38" ht="15.75" customHeight="1" outlineLevel="3" x14ac:dyDescent="0.2">
      <c r="A2146" s="10">
        <v>1</v>
      </c>
      <c r="B2146" s="10" t="s">
        <v>71</v>
      </c>
      <c r="C2146" s="10" t="s">
        <v>432</v>
      </c>
      <c r="D2146" s="10" t="s">
        <v>432</v>
      </c>
      <c r="E2146" s="11" t="str">
        <f t="array" ref="E2146">_xlfn.XLOOKUP(D2146,Insumos!B:B,Insumos!C:$C)</f>
        <v>M2</v>
      </c>
      <c r="F2146" s="14">
        <v>1</v>
      </c>
      <c r="G2146" s="92">
        <f t="array" ref="G2146">IF(B2146="insumo",_xlfn.XLOOKUP($D2146,Insumos!$B$1:$B$996,Insumos!$D$1:$D$996),"")</f>
        <v>47</v>
      </c>
      <c r="H2146" s="92">
        <v>47</v>
      </c>
      <c r="I2146" s="13" t="e">
        <v>#REF!</v>
      </c>
      <c r="J2146" s="13" t="e">
        <v>#REF!</v>
      </c>
      <c r="K2146" s="13"/>
      <c r="L2146"/>
      <c r="M2146"/>
      <c r="N2146"/>
      <c r="O2146"/>
      <c r="P2146"/>
      <c r="Q2146"/>
      <c r="R2146"/>
      <c r="S2146"/>
      <c r="T2146"/>
      <c r="U2146"/>
      <c r="V2146"/>
      <c r="W2146"/>
      <c r="X2146"/>
      <c r="Y2146"/>
      <c r="Z2146"/>
      <c r="AA2146"/>
      <c r="AB2146"/>
      <c r="AC2146"/>
      <c r="AD2146"/>
      <c r="AE2146"/>
      <c r="AF2146"/>
      <c r="AG2146"/>
      <c r="AH2146"/>
      <c r="AI2146"/>
      <c r="AJ2146"/>
      <c r="AK2146"/>
      <c r="AL2146"/>
    </row>
    <row r="2147" spans="1:38" ht="15.75" customHeight="1" outlineLevel="2" x14ac:dyDescent="0.2">
      <c r="A2147" s="1067">
        <v>1</v>
      </c>
      <c r="B2147" s="1067" t="s">
        <v>68</v>
      </c>
      <c r="C2147" s="1067" t="s">
        <v>433</v>
      </c>
      <c r="D2147" s="1067" t="s">
        <v>433</v>
      </c>
      <c r="E2147" s="1068" t="s">
        <v>70</v>
      </c>
      <c r="F2147" s="1075"/>
      <c r="G2147" s="1069" t="str">
        <f t="array" ref="G2147">IF(B2147="insumo",_xlfn.XLOOKUP($D2147,Insumos!$B$1:$B$996,Insumos!$D$1:$D$996),"")</f>
        <v/>
      </c>
      <c r="H2147" s="1069">
        <v>48</v>
      </c>
      <c r="I2147" s="1070">
        <v>0</v>
      </c>
      <c r="J2147" s="1070">
        <v>0</v>
      </c>
      <c r="K2147" s="1070"/>
      <c r="L2147"/>
      <c r="M2147"/>
      <c r="N2147"/>
      <c r="O2147"/>
      <c r="P2147"/>
      <c r="Q2147"/>
      <c r="R2147"/>
      <c r="S2147"/>
      <c r="T2147"/>
      <c r="U2147"/>
      <c r="V2147"/>
      <c r="W2147"/>
      <c r="X2147"/>
      <c r="Y2147"/>
      <c r="Z2147"/>
      <c r="AA2147"/>
      <c r="AB2147"/>
      <c r="AC2147"/>
      <c r="AD2147"/>
      <c r="AE2147"/>
      <c r="AF2147"/>
      <c r="AG2147"/>
      <c r="AH2147"/>
      <c r="AI2147"/>
      <c r="AJ2147"/>
      <c r="AK2147"/>
      <c r="AL2147"/>
    </row>
    <row r="2148" spans="1:38" ht="15.75" customHeight="1" outlineLevel="3" x14ac:dyDescent="0.2">
      <c r="A2148" s="10">
        <v>1</v>
      </c>
      <c r="B2148" s="10" t="s">
        <v>71</v>
      </c>
      <c r="C2148" s="10" t="s">
        <v>433</v>
      </c>
      <c r="D2148" s="10" t="s">
        <v>433</v>
      </c>
      <c r="E2148" s="11" t="str">
        <f t="array" ref="E2148">_xlfn.XLOOKUP(D2148,Insumos!B:B,Insumos!C:$C)</f>
        <v>UN</v>
      </c>
      <c r="F2148" s="14">
        <v>1</v>
      </c>
      <c r="G2148" s="92">
        <f t="array" ref="G2148">IF(B2148="insumo",_xlfn.XLOOKUP($D2148,Insumos!$B$1:$B$996,Insumos!$D$1:$D$996),"")</f>
        <v>48</v>
      </c>
      <c r="H2148" s="92">
        <v>48</v>
      </c>
      <c r="I2148" s="13">
        <v>0</v>
      </c>
      <c r="J2148" s="13">
        <v>0</v>
      </c>
      <c r="K2148" s="13"/>
      <c r="L2148"/>
      <c r="M2148"/>
      <c r="N2148"/>
      <c r="O2148"/>
      <c r="P2148"/>
      <c r="Q2148"/>
      <c r="R2148"/>
      <c r="S2148"/>
      <c r="T2148"/>
      <c r="U2148"/>
      <c r="V2148"/>
      <c r="W2148"/>
      <c r="X2148"/>
      <c r="Y2148"/>
      <c r="Z2148"/>
      <c r="AA2148"/>
      <c r="AB2148"/>
      <c r="AC2148"/>
      <c r="AD2148"/>
      <c r="AE2148"/>
      <c r="AF2148"/>
      <c r="AG2148"/>
      <c r="AH2148"/>
      <c r="AI2148"/>
      <c r="AJ2148"/>
      <c r="AK2148"/>
      <c r="AL2148"/>
    </row>
    <row r="2149" spans="1:38" ht="15.75" customHeight="1" outlineLevel="2" x14ac:dyDescent="0.2">
      <c r="A2149" s="1067">
        <v>1</v>
      </c>
      <c r="B2149" s="1067" t="s">
        <v>68</v>
      </c>
      <c r="C2149" s="1067" t="s">
        <v>434</v>
      </c>
      <c r="D2149" s="1067" t="s">
        <v>434</v>
      </c>
      <c r="E2149" s="1068" t="s">
        <v>70</v>
      </c>
      <c r="F2149" s="1075"/>
      <c r="G2149" s="1069" t="str">
        <f t="array" ref="G2149">IF(B2149="insumo",_xlfn.XLOOKUP($D2149,Insumos!$B$1:$B$996,Insumos!$D$1:$D$996),"")</f>
        <v/>
      </c>
      <c r="H2149" s="1069">
        <v>47</v>
      </c>
      <c r="I2149" s="1070" t="e">
        <v>#REF!</v>
      </c>
      <c r="J2149" s="1070" t="e">
        <v>#REF!</v>
      </c>
      <c r="K2149" s="1070"/>
      <c r="L2149"/>
      <c r="M2149"/>
      <c r="N2149"/>
      <c r="O2149"/>
      <c r="P2149"/>
      <c r="Q2149"/>
      <c r="R2149"/>
      <c r="S2149"/>
      <c r="T2149"/>
      <c r="U2149"/>
      <c r="V2149"/>
      <c r="W2149"/>
      <c r="X2149"/>
      <c r="Y2149"/>
      <c r="Z2149"/>
      <c r="AA2149"/>
      <c r="AB2149"/>
      <c r="AC2149"/>
      <c r="AD2149"/>
      <c r="AE2149"/>
      <c r="AF2149"/>
      <c r="AG2149"/>
      <c r="AH2149"/>
      <c r="AI2149"/>
      <c r="AJ2149"/>
      <c r="AK2149"/>
      <c r="AL2149"/>
    </row>
    <row r="2150" spans="1:38" ht="15.75" customHeight="1" outlineLevel="3" x14ac:dyDescent="0.2">
      <c r="A2150" s="10">
        <v>1</v>
      </c>
      <c r="B2150" s="10" t="s">
        <v>71</v>
      </c>
      <c r="C2150" s="10" t="s">
        <v>434</v>
      </c>
      <c r="D2150" s="10" t="s">
        <v>434</v>
      </c>
      <c r="E2150" s="11" t="str">
        <f t="array" ref="E2150">_xlfn.XLOOKUP(D2150,Insumos!B:B,Insumos!C:$C)</f>
        <v>UN</v>
      </c>
      <c r="F2150" s="14">
        <v>1</v>
      </c>
      <c r="G2150" s="92">
        <f t="array" ref="G2150">IF(B2150="insumo",_xlfn.XLOOKUP($D2150,Insumos!$B$1:$B$996,Insumos!$D$1:$D$996),"")</f>
        <v>47</v>
      </c>
      <c r="H2150" s="92">
        <v>47</v>
      </c>
      <c r="I2150" s="13" t="e">
        <v>#REF!</v>
      </c>
      <c r="J2150" s="13" t="e">
        <v>#REF!</v>
      </c>
      <c r="K2150" s="13"/>
      <c r="L2150"/>
      <c r="M2150"/>
      <c r="N2150"/>
      <c r="O2150"/>
      <c r="P2150"/>
      <c r="Q2150"/>
      <c r="R2150"/>
      <c r="S2150"/>
      <c r="T2150"/>
      <c r="U2150"/>
      <c r="V2150"/>
      <c r="W2150"/>
      <c r="X2150"/>
      <c r="Y2150"/>
      <c r="Z2150"/>
      <c r="AA2150"/>
      <c r="AB2150"/>
      <c r="AC2150"/>
      <c r="AD2150"/>
      <c r="AE2150"/>
      <c r="AF2150"/>
      <c r="AG2150"/>
      <c r="AH2150"/>
      <c r="AI2150"/>
      <c r="AJ2150"/>
      <c r="AK2150"/>
      <c r="AL2150"/>
    </row>
    <row r="2151" spans="1:38" ht="15.75" customHeight="1" outlineLevel="2" x14ac:dyDescent="0.2">
      <c r="A2151" s="1067">
        <v>1</v>
      </c>
      <c r="B2151" s="1067" t="s">
        <v>68</v>
      </c>
      <c r="C2151" s="1067" t="s">
        <v>435</v>
      </c>
      <c r="D2151" s="1067" t="s">
        <v>435</v>
      </c>
      <c r="E2151" s="1068" t="s">
        <v>70</v>
      </c>
      <c r="F2151" s="1075"/>
      <c r="G2151" s="1069" t="str">
        <f t="array" ref="G2151">IF(B2151="insumo",_xlfn.XLOOKUP($D2151,Insumos!$B$1:$B$996,Insumos!$D$1:$D$996),"")</f>
        <v/>
      </c>
      <c r="H2151" s="1069">
        <v>47</v>
      </c>
      <c r="I2151" s="1070">
        <v>0</v>
      </c>
      <c r="J2151" s="1070">
        <v>0</v>
      </c>
      <c r="K2151" s="1070"/>
      <c r="L2151"/>
      <c r="M2151"/>
      <c r="N2151"/>
      <c r="O2151"/>
      <c r="P2151"/>
      <c r="Q2151"/>
      <c r="R2151"/>
      <c r="S2151"/>
      <c r="T2151"/>
      <c r="U2151"/>
      <c r="V2151"/>
      <c r="W2151"/>
      <c r="X2151"/>
      <c r="Y2151"/>
      <c r="Z2151"/>
      <c r="AA2151"/>
      <c r="AB2151"/>
      <c r="AC2151"/>
      <c r="AD2151"/>
      <c r="AE2151"/>
      <c r="AF2151"/>
      <c r="AG2151"/>
      <c r="AH2151"/>
      <c r="AI2151"/>
      <c r="AJ2151"/>
      <c r="AK2151"/>
      <c r="AL2151"/>
    </row>
    <row r="2152" spans="1:38" ht="15.75" customHeight="1" outlineLevel="3" x14ac:dyDescent="0.2">
      <c r="A2152" s="10">
        <v>1</v>
      </c>
      <c r="B2152" s="10" t="s">
        <v>71</v>
      </c>
      <c r="C2152" s="10" t="s">
        <v>435</v>
      </c>
      <c r="D2152" s="10" t="s">
        <v>435</v>
      </c>
      <c r="E2152" s="11" t="str">
        <f t="array" ref="E2152">_xlfn.XLOOKUP(D2152,Insumos!B:B,Insumos!C:$C)</f>
        <v>UN</v>
      </c>
      <c r="F2152" s="14">
        <v>1</v>
      </c>
      <c r="G2152" s="92">
        <f t="array" ref="G2152">IF(B2152="insumo",_xlfn.XLOOKUP($D2152,Insumos!$B$1:$B$996,Insumos!$D$1:$D$996),"")</f>
        <v>47</v>
      </c>
      <c r="H2152" s="92">
        <v>47</v>
      </c>
      <c r="I2152" s="13">
        <v>0</v>
      </c>
      <c r="J2152" s="13">
        <v>0</v>
      </c>
      <c r="K2152" s="13"/>
      <c r="L2152"/>
      <c r="M2152"/>
      <c r="N2152"/>
      <c r="O2152"/>
      <c r="P2152"/>
      <c r="Q2152"/>
      <c r="R2152"/>
      <c r="S2152"/>
      <c r="T2152"/>
      <c r="U2152"/>
      <c r="V2152"/>
      <c r="W2152"/>
      <c r="X2152"/>
      <c r="Y2152"/>
      <c r="Z2152"/>
      <c r="AA2152"/>
      <c r="AB2152"/>
      <c r="AC2152"/>
      <c r="AD2152"/>
      <c r="AE2152"/>
      <c r="AF2152"/>
      <c r="AG2152"/>
      <c r="AH2152"/>
      <c r="AI2152"/>
      <c r="AJ2152"/>
      <c r="AK2152"/>
      <c r="AL2152"/>
    </row>
    <row r="2153" spans="1:38" ht="15.75" customHeight="1" outlineLevel="2" x14ac:dyDescent="0.2">
      <c r="A2153" s="1067">
        <v>1</v>
      </c>
      <c r="B2153" s="1067" t="s">
        <v>68</v>
      </c>
      <c r="C2153" s="1067" t="s">
        <v>3522</v>
      </c>
      <c r="D2153" s="1067" t="s">
        <v>3522</v>
      </c>
      <c r="E2153" s="1068" t="s">
        <v>70</v>
      </c>
      <c r="F2153" s="1067"/>
      <c r="G2153" s="1069" t="str">
        <f t="array" ref="G2153">IF(B2153="insumo",_xlfn.XLOOKUP($D2153,Insumos!$B$1:$B$996,Insumos!$D$1:$D$996),"")</f>
        <v/>
      </c>
      <c r="H2153" s="1069" t="e">
        <v>#REF!</v>
      </c>
      <c r="I2153" s="1070" t="e">
        <v>#REF!</v>
      </c>
      <c r="J2153" s="1070" t="e">
        <v>#REF!</v>
      </c>
      <c r="K2153" s="1070"/>
      <c r="L2153"/>
      <c r="M2153"/>
      <c r="N2153"/>
      <c r="O2153"/>
      <c r="P2153"/>
      <c r="Q2153"/>
      <c r="R2153"/>
      <c r="S2153"/>
      <c r="T2153"/>
      <c r="U2153"/>
      <c r="V2153"/>
      <c r="W2153"/>
      <c r="X2153"/>
      <c r="Y2153"/>
      <c r="Z2153"/>
      <c r="AA2153"/>
      <c r="AB2153"/>
      <c r="AC2153"/>
      <c r="AD2153"/>
      <c r="AE2153"/>
      <c r="AF2153"/>
      <c r="AG2153"/>
      <c r="AH2153"/>
      <c r="AI2153"/>
      <c r="AJ2153"/>
      <c r="AK2153"/>
      <c r="AL2153"/>
    </row>
    <row r="2154" spans="1:38" ht="15.75" customHeight="1" outlineLevel="3" x14ac:dyDescent="0.2">
      <c r="A2154" s="10">
        <v>1</v>
      </c>
      <c r="B2154" s="10" t="s">
        <v>71</v>
      </c>
      <c r="C2154" s="10" t="s">
        <v>3522</v>
      </c>
      <c r="D2154" s="10" t="s">
        <v>3522</v>
      </c>
      <c r="E2154" s="11" t="str">
        <f t="array" ref="E2154">_xlfn.XLOOKUP(D2154,Insumos!B:B,Insumos!C:$C)</f>
        <v>M2</v>
      </c>
      <c r="F2154" s="14">
        <v>1</v>
      </c>
      <c r="G2154" s="92" t="e">
        <f t="array" ref="G2154">IF(B2154="insumo",_xlfn.XLOOKUP($D2154,Insumos!$B$1:$B$996,Insumos!$D$1:$D$996),"")</f>
        <v>#REF!</v>
      </c>
      <c r="H2154" s="92" t="e">
        <v>#REF!</v>
      </c>
      <c r="I2154" s="13" t="e">
        <v>#REF!</v>
      </c>
      <c r="J2154" s="13" t="e">
        <v>#REF!</v>
      </c>
      <c r="K2154" s="13"/>
      <c r="L2154"/>
      <c r="M2154"/>
      <c r="N2154"/>
      <c r="O2154"/>
      <c r="P2154"/>
      <c r="Q2154"/>
      <c r="R2154"/>
      <c r="S2154"/>
      <c r="T2154"/>
      <c r="U2154"/>
      <c r="V2154"/>
      <c r="W2154"/>
      <c r="X2154"/>
      <c r="Y2154"/>
      <c r="Z2154"/>
      <c r="AA2154"/>
      <c r="AB2154"/>
      <c r="AC2154"/>
      <c r="AD2154"/>
      <c r="AE2154"/>
      <c r="AF2154"/>
      <c r="AG2154"/>
      <c r="AH2154"/>
      <c r="AI2154"/>
      <c r="AJ2154"/>
      <c r="AK2154"/>
      <c r="AL2154"/>
    </row>
    <row r="2155" spans="1:38" ht="15.75" customHeight="1" outlineLevel="2" x14ac:dyDescent="0.2">
      <c r="A2155" s="1067">
        <v>1</v>
      </c>
      <c r="B2155" s="1067" t="s">
        <v>68</v>
      </c>
      <c r="C2155" s="1067" t="s">
        <v>436</v>
      </c>
      <c r="D2155" s="1067" t="s">
        <v>436</v>
      </c>
      <c r="E2155" s="1068" t="s">
        <v>70</v>
      </c>
      <c r="F2155" s="1075"/>
      <c r="G2155" s="1069" t="str">
        <f t="array" ref="G2155">IF(B2155="insumo",_xlfn.XLOOKUP($D2155,Insumos!$B$1:$B$996,Insumos!$D$1:$D$996),"")</f>
        <v/>
      </c>
      <c r="H2155" s="1069">
        <v>48</v>
      </c>
      <c r="I2155" s="1070">
        <v>0</v>
      </c>
      <c r="J2155" s="1070">
        <v>0</v>
      </c>
      <c r="K2155" s="1070"/>
      <c r="L2155"/>
      <c r="M2155"/>
      <c r="N2155"/>
      <c r="O2155"/>
      <c r="P2155"/>
      <c r="Q2155"/>
      <c r="R2155"/>
      <c r="S2155"/>
      <c r="T2155"/>
      <c r="U2155"/>
      <c r="V2155"/>
      <c r="W2155"/>
      <c r="X2155"/>
      <c r="Y2155"/>
      <c r="Z2155"/>
      <c r="AA2155"/>
      <c r="AB2155"/>
      <c r="AC2155"/>
      <c r="AD2155"/>
      <c r="AE2155"/>
      <c r="AF2155"/>
      <c r="AG2155"/>
      <c r="AH2155"/>
      <c r="AI2155"/>
      <c r="AJ2155"/>
      <c r="AK2155"/>
      <c r="AL2155"/>
    </row>
    <row r="2156" spans="1:38" ht="15.75" customHeight="1" outlineLevel="3" x14ac:dyDescent="0.2">
      <c r="A2156" s="10">
        <v>1</v>
      </c>
      <c r="B2156" s="10" t="s">
        <v>71</v>
      </c>
      <c r="C2156" s="10" t="s">
        <v>436</v>
      </c>
      <c r="D2156" s="10" t="s">
        <v>436</v>
      </c>
      <c r="E2156" s="11" t="str">
        <f t="array" ref="E2156">_xlfn.XLOOKUP(D2156,Insumos!B:B,Insumos!C:$C)</f>
        <v>UN</v>
      </c>
      <c r="F2156" s="14">
        <v>1</v>
      </c>
      <c r="G2156" s="92">
        <f t="array" ref="G2156">IF(B2156="insumo",_xlfn.XLOOKUP($D2156,Insumos!$B$1:$B$996,Insumos!$D$1:$D$996),"")</f>
        <v>48</v>
      </c>
      <c r="H2156" s="92">
        <v>48</v>
      </c>
      <c r="I2156" s="13">
        <v>0</v>
      </c>
      <c r="J2156" s="13">
        <v>0</v>
      </c>
      <c r="K2156" s="13"/>
      <c r="L2156"/>
      <c r="M2156"/>
      <c r="N2156"/>
      <c r="O2156"/>
      <c r="P2156"/>
      <c r="Q2156"/>
      <c r="R2156"/>
      <c r="S2156"/>
      <c r="T2156"/>
      <c r="U2156"/>
      <c r="V2156"/>
      <c r="W2156"/>
      <c r="X2156"/>
      <c r="Y2156"/>
      <c r="Z2156"/>
      <c r="AA2156"/>
      <c r="AB2156"/>
      <c r="AC2156"/>
      <c r="AD2156"/>
      <c r="AE2156"/>
      <c r="AF2156"/>
      <c r="AG2156"/>
      <c r="AH2156"/>
      <c r="AI2156"/>
      <c r="AJ2156"/>
      <c r="AK2156"/>
      <c r="AL2156"/>
    </row>
    <row r="2157" spans="1:38" ht="15.75" customHeight="1" x14ac:dyDescent="0.2">
      <c r="A2157" s="7">
        <v>1</v>
      </c>
      <c r="B2157" s="7" t="s">
        <v>66</v>
      </c>
      <c r="C2157" s="7" t="s">
        <v>436</v>
      </c>
      <c r="D2157" s="7" t="s">
        <v>18</v>
      </c>
      <c r="E2157" s="8"/>
      <c r="F2157" s="9"/>
      <c r="G2157" s="91" t="str">
        <f t="array" ref="G2157">IF(B2157="insumo",_xlfn.XLOOKUP($D2157,Insumos!$B$1:$B$996,Insumos!$D$1:$D$996),"")</f>
        <v/>
      </c>
      <c r="H2157" s="91">
        <v>0</v>
      </c>
      <c r="I2157" s="9">
        <v>0</v>
      </c>
      <c r="J2157" s="9">
        <v>0</v>
      </c>
      <c r="K2157" s="9"/>
      <c r="L2157"/>
      <c r="M2157"/>
      <c r="N2157"/>
      <c r="O2157"/>
      <c r="P2157"/>
      <c r="Q2157"/>
      <c r="R2157"/>
      <c r="S2157"/>
      <c r="T2157"/>
      <c r="U2157"/>
      <c r="V2157"/>
      <c r="W2157"/>
      <c r="X2157"/>
      <c r="Y2157"/>
      <c r="Z2157"/>
      <c r="AA2157"/>
      <c r="AB2157"/>
      <c r="AC2157"/>
      <c r="AD2157"/>
      <c r="AE2157"/>
      <c r="AF2157"/>
      <c r="AG2157"/>
      <c r="AH2157"/>
      <c r="AI2157"/>
      <c r="AJ2157"/>
      <c r="AK2157"/>
      <c r="AL2157"/>
    </row>
    <row r="2158" spans="1:38" ht="15.75" customHeight="1" x14ac:dyDescent="0.2">
      <c r="A2158" s="7">
        <v>1</v>
      </c>
      <c r="B2158" s="7" t="s">
        <v>66</v>
      </c>
      <c r="C2158" s="7" t="s">
        <v>436</v>
      </c>
      <c r="D2158" s="7" t="s">
        <v>17</v>
      </c>
      <c r="E2158" s="8"/>
      <c r="F2158" s="9"/>
      <c r="G2158" s="91" t="str">
        <f t="array" ref="G2158">IF(B2158="insumo",_xlfn.XLOOKUP($D2158,Insumos!$B$1:$B$996,Insumos!$D$1:$D$996),"")</f>
        <v/>
      </c>
      <c r="H2158" s="91">
        <v>0</v>
      </c>
      <c r="I2158" s="9">
        <v>0</v>
      </c>
      <c r="J2158" s="9">
        <v>0</v>
      </c>
      <c r="K2158" s="9"/>
      <c r="L2158"/>
      <c r="M2158"/>
      <c r="N2158"/>
      <c r="O2158"/>
      <c r="P2158"/>
      <c r="Q2158"/>
      <c r="R2158"/>
      <c r="S2158"/>
      <c r="T2158"/>
      <c r="U2158"/>
      <c r="V2158"/>
      <c r="W2158"/>
      <c r="X2158"/>
      <c r="Y2158"/>
      <c r="Z2158"/>
      <c r="AA2158"/>
      <c r="AB2158"/>
      <c r="AC2158"/>
      <c r="AD2158"/>
      <c r="AE2158"/>
      <c r="AF2158"/>
      <c r="AG2158"/>
      <c r="AH2158"/>
      <c r="AI2158"/>
      <c r="AJ2158"/>
      <c r="AK2158"/>
      <c r="AL2158"/>
    </row>
    <row r="2159" spans="1:38" ht="15.75" customHeight="1" x14ac:dyDescent="0.2">
      <c r="A2159" s="7">
        <v>1</v>
      </c>
      <c r="B2159" s="7" t="s">
        <v>66</v>
      </c>
      <c r="C2159" s="7" t="s">
        <v>436</v>
      </c>
      <c r="D2159" s="7" t="s">
        <v>437</v>
      </c>
      <c r="E2159" s="8"/>
      <c r="F2159" s="9"/>
      <c r="G2159" s="91" t="str">
        <f t="array" ref="G2159">IF(B2159="insumo",_xlfn.XLOOKUP($D2159,Insumos!$B$1:$B$996,Insumos!$D$1:$D$996),"")</f>
        <v/>
      </c>
      <c r="H2159" s="91">
        <v>0</v>
      </c>
      <c r="I2159" s="9">
        <v>0</v>
      </c>
      <c r="J2159" s="9">
        <v>0</v>
      </c>
      <c r="K2159" s="9"/>
      <c r="L2159"/>
      <c r="M2159"/>
      <c r="N2159"/>
      <c r="O2159"/>
      <c r="P2159"/>
      <c r="Q2159"/>
      <c r="R2159"/>
      <c r="S2159"/>
      <c r="T2159"/>
      <c r="U2159"/>
      <c r="V2159"/>
      <c r="W2159"/>
      <c r="X2159"/>
      <c r="Y2159"/>
      <c r="Z2159"/>
      <c r="AA2159"/>
      <c r="AB2159"/>
      <c r="AC2159"/>
      <c r="AD2159"/>
      <c r="AE2159"/>
      <c r="AF2159"/>
      <c r="AG2159"/>
      <c r="AH2159"/>
      <c r="AI2159"/>
      <c r="AJ2159"/>
      <c r="AK2159"/>
      <c r="AL2159"/>
    </row>
    <row r="2160" spans="1:38" ht="15.75" customHeight="1" x14ac:dyDescent="0.2">
      <c r="A2160" s="7">
        <v>1</v>
      </c>
      <c r="B2160" s="7" t="s">
        <v>66</v>
      </c>
      <c r="C2160" s="7" t="s">
        <v>436</v>
      </c>
      <c r="D2160" s="7" t="s">
        <v>20</v>
      </c>
      <c r="E2160" s="8"/>
      <c r="F2160" s="9"/>
      <c r="G2160" s="91" t="str">
        <f t="array" ref="G2160">IF(B2160="insumo",_xlfn.XLOOKUP($D2160,Insumos!$B$1:$B$996,Insumos!$D$1:$D$996),"")</f>
        <v/>
      </c>
      <c r="H2160" s="91">
        <v>0</v>
      </c>
      <c r="I2160" s="9">
        <v>0</v>
      </c>
      <c r="J2160" s="9">
        <v>0</v>
      </c>
      <c r="K2160" s="9"/>
      <c r="L2160"/>
      <c r="M2160"/>
      <c r="N2160"/>
      <c r="O2160"/>
      <c r="P2160"/>
      <c r="Q2160"/>
      <c r="R2160"/>
      <c r="S2160"/>
      <c r="T2160"/>
      <c r="U2160"/>
      <c r="V2160"/>
      <c r="W2160"/>
      <c r="X2160"/>
      <c r="Y2160"/>
      <c r="Z2160"/>
      <c r="AA2160"/>
      <c r="AB2160"/>
      <c r="AC2160"/>
      <c r="AD2160"/>
      <c r="AE2160"/>
      <c r="AF2160"/>
      <c r="AG2160"/>
      <c r="AH2160"/>
      <c r="AI2160"/>
      <c r="AJ2160"/>
      <c r="AK2160"/>
      <c r="AL2160"/>
    </row>
    <row r="2161" spans="1:38" ht="15.75" customHeight="1" outlineLevel="1" x14ac:dyDescent="0.2">
      <c r="A2161" s="1090">
        <v>1</v>
      </c>
      <c r="B2161" s="1090" t="s">
        <v>1228</v>
      </c>
      <c r="C2161" s="1090" t="s">
        <v>436</v>
      </c>
      <c r="D2161" s="1090" t="s">
        <v>9</v>
      </c>
      <c r="E2161" s="1091"/>
      <c r="F2161" s="1092"/>
      <c r="G2161" s="1091"/>
      <c r="H2161" s="1091">
        <v>0</v>
      </c>
      <c r="I2161" s="1092">
        <v>0</v>
      </c>
      <c r="J2161" s="1092">
        <v>0</v>
      </c>
      <c r="K2161" s="1092"/>
      <c r="L2161"/>
      <c r="M2161"/>
      <c r="N2161"/>
      <c r="O2161"/>
      <c r="P2161"/>
      <c r="Q2161"/>
      <c r="R2161"/>
      <c r="S2161"/>
      <c r="T2161"/>
      <c r="U2161"/>
      <c r="V2161"/>
      <c r="W2161"/>
      <c r="X2161"/>
      <c r="Y2161"/>
      <c r="Z2161"/>
      <c r="AA2161"/>
      <c r="AB2161"/>
      <c r="AC2161"/>
      <c r="AD2161"/>
      <c r="AE2161"/>
      <c r="AF2161"/>
      <c r="AG2161"/>
      <c r="AH2161"/>
      <c r="AI2161"/>
      <c r="AJ2161"/>
      <c r="AK2161"/>
      <c r="AL2161"/>
    </row>
    <row r="2162" spans="1:38" ht="15.75" customHeight="1" outlineLevel="2" x14ac:dyDescent="0.2">
      <c r="A2162" s="1067">
        <v>1</v>
      </c>
      <c r="B2162" s="1067" t="s">
        <v>68</v>
      </c>
      <c r="C2162" s="1067" t="s">
        <v>438</v>
      </c>
      <c r="D2162" s="1067" t="s">
        <v>438</v>
      </c>
      <c r="E2162" s="1068" t="s">
        <v>197</v>
      </c>
      <c r="F2162" s="1067"/>
      <c r="G2162" s="1069" t="str">
        <f t="array" ref="G2162">IF(B2162="insumo",_xlfn.XLOOKUP($D2162,Insumos!$B$1:$B$996,Insumos!$D$1:$D$996),"")</f>
        <v/>
      </c>
      <c r="H2162" s="1069">
        <v>6600</v>
      </c>
      <c r="I2162" s="1070">
        <v>0</v>
      </c>
      <c r="J2162" s="1070">
        <v>0</v>
      </c>
      <c r="K2162" s="1070"/>
      <c r="L2162"/>
      <c r="M2162"/>
      <c r="N2162"/>
      <c r="O2162"/>
      <c r="P2162"/>
      <c r="Q2162"/>
      <c r="R2162"/>
      <c r="S2162"/>
      <c r="T2162"/>
      <c r="U2162"/>
      <c r="V2162"/>
      <c r="W2162"/>
      <c r="X2162"/>
      <c r="Y2162"/>
      <c r="Z2162"/>
      <c r="AA2162"/>
      <c r="AB2162"/>
      <c r="AC2162"/>
      <c r="AD2162"/>
      <c r="AE2162"/>
      <c r="AF2162"/>
      <c r="AG2162"/>
      <c r="AH2162"/>
      <c r="AI2162"/>
      <c r="AJ2162"/>
      <c r="AK2162"/>
      <c r="AL2162"/>
    </row>
    <row r="2163" spans="1:38" ht="15.75" customHeight="1" outlineLevel="3" x14ac:dyDescent="0.2">
      <c r="A2163" s="10">
        <v>2</v>
      </c>
      <c r="B2163" s="10" t="s">
        <v>71</v>
      </c>
      <c r="C2163" s="10" t="s">
        <v>438</v>
      </c>
      <c r="D2163" s="10" t="s">
        <v>439</v>
      </c>
      <c r="E2163" s="11" t="str">
        <f t="array" ref="E2163">_xlfn.XLOOKUP(D2163,Insumos!B:B,Insumos!C:$C)</f>
        <v>UN</v>
      </c>
      <c r="F2163" s="14">
        <v>1</v>
      </c>
      <c r="G2163" s="92">
        <f t="array" ref="G2163">IF(B2163="insumo",_xlfn.XLOOKUP($D2163,Insumos!$B$1:$B$996,Insumos!$D$1:$D$996),"")</f>
        <v>400</v>
      </c>
      <c r="H2163" s="92">
        <v>400</v>
      </c>
      <c r="I2163" s="13">
        <v>0</v>
      </c>
      <c r="J2163" s="13">
        <v>0</v>
      </c>
      <c r="K2163" s="13"/>
      <c r="L2163"/>
      <c r="M2163"/>
      <c r="N2163"/>
      <c r="O2163"/>
      <c r="P2163"/>
      <c r="Q2163"/>
      <c r="R2163"/>
      <c r="S2163"/>
      <c r="T2163"/>
      <c r="U2163"/>
      <c r="V2163"/>
      <c r="W2163"/>
      <c r="X2163"/>
      <c r="Y2163"/>
      <c r="Z2163"/>
      <c r="AA2163"/>
      <c r="AB2163"/>
      <c r="AC2163"/>
      <c r="AD2163"/>
      <c r="AE2163"/>
      <c r="AF2163"/>
      <c r="AG2163"/>
      <c r="AH2163"/>
      <c r="AI2163"/>
      <c r="AJ2163"/>
      <c r="AK2163"/>
      <c r="AL2163"/>
    </row>
    <row r="2164" spans="1:38" ht="15.75" customHeight="1" outlineLevel="3" x14ac:dyDescent="0.2">
      <c r="A2164" s="10">
        <v>1</v>
      </c>
      <c r="B2164" s="10" t="s">
        <v>71</v>
      </c>
      <c r="C2164" s="10" t="s">
        <v>438</v>
      </c>
      <c r="D2164" s="10" t="s">
        <v>438</v>
      </c>
      <c r="E2164" s="11" t="str">
        <f t="array" ref="E2164">_xlfn.XLOOKUP(D2164,Insumos!B:B,Insumos!C:$C)</f>
        <v>UN</v>
      </c>
      <c r="F2164" s="14">
        <v>1</v>
      </c>
      <c r="G2164" s="92">
        <f t="array" ref="G2164">IF(B2164="insumo",_xlfn.XLOOKUP($D2164,Insumos!$B$1:$B$996,Insumos!$D$1:$D$996),"")</f>
        <v>6200</v>
      </c>
      <c r="H2164" s="92">
        <v>6200</v>
      </c>
      <c r="I2164" s="13">
        <v>0</v>
      </c>
      <c r="J2164" s="13">
        <v>0</v>
      </c>
      <c r="K2164" s="13"/>
      <c r="L2164"/>
      <c r="M2164"/>
      <c r="N2164"/>
      <c r="O2164"/>
      <c r="P2164"/>
      <c r="Q2164"/>
      <c r="R2164"/>
      <c r="S2164"/>
      <c r="T2164"/>
      <c r="U2164"/>
      <c r="V2164"/>
      <c r="W2164"/>
      <c r="X2164"/>
      <c r="Y2164"/>
      <c r="Z2164"/>
      <c r="AA2164"/>
      <c r="AB2164"/>
      <c r="AC2164"/>
      <c r="AD2164"/>
      <c r="AE2164"/>
      <c r="AF2164"/>
      <c r="AG2164"/>
      <c r="AH2164"/>
      <c r="AI2164"/>
      <c r="AJ2164"/>
      <c r="AK2164"/>
      <c r="AL2164"/>
    </row>
    <row r="2165" spans="1:38" ht="15.75" customHeight="1" outlineLevel="2" x14ac:dyDescent="0.2">
      <c r="A2165" s="1067">
        <v>1</v>
      </c>
      <c r="B2165" s="1067" t="s">
        <v>68</v>
      </c>
      <c r="C2165" s="1067" t="s">
        <v>440</v>
      </c>
      <c r="D2165" s="1067" t="s">
        <v>440</v>
      </c>
      <c r="E2165" s="1068" t="s">
        <v>197</v>
      </c>
      <c r="F2165" s="1067"/>
      <c r="G2165" s="1069" t="str">
        <f t="array" ref="G2165">IF(B2165="insumo",_xlfn.XLOOKUP($D2165,Insumos!$B$1:$B$996,Insumos!$D$1:$D$996),"")</f>
        <v/>
      </c>
      <c r="H2165" s="1069">
        <v>1800</v>
      </c>
      <c r="I2165" s="1070">
        <v>42</v>
      </c>
      <c r="J2165" s="1070">
        <v>75600</v>
      </c>
      <c r="K2165" s="1070"/>
      <c r="L2165"/>
      <c r="M2165"/>
      <c r="N2165"/>
      <c r="O2165"/>
      <c r="P2165"/>
      <c r="Q2165"/>
      <c r="R2165"/>
      <c r="S2165"/>
      <c r="T2165"/>
      <c r="U2165"/>
      <c r="V2165"/>
      <c r="W2165"/>
      <c r="X2165"/>
      <c r="Y2165"/>
      <c r="Z2165"/>
      <c r="AA2165"/>
      <c r="AB2165"/>
      <c r="AC2165"/>
      <c r="AD2165"/>
      <c r="AE2165"/>
      <c r="AF2165"/>
      <c r="AG2165"/>
      <c r="AH2165"/>
      <c r="AI2165"/>
      <c r="AJ2165"/>
      <c r="AK2165"/>
      <c r="AL2165"/>
    </row>
    <row r="2166" spans="1:38" ht="15.75" customHeight="1" outlineLevel="3" x14ac:dyDescent="0.2">
      <c r="A2166" s="10">
        <v>2</v>
      </c>
      <c r="B2166" s="10" t="s">
        <v>71</v>
      </c>
      <c r="C2166" s="10" t="s">
        <v>440</v>
      </c>
      <c r="D2166" s="10" t="s">
        <v>439</v>
      </c>
      <c r="E2166" s="11" t="str">
        <f t="array" ref="E2166">_xlfn.XLOOKUP(D2166,Insumos!B:B,Insumos!C:$C)</f>
        <v>UN</v>
      </c>
      <c r="F2166" s="14">
        <v>1</v>
      </c>
      <c r="G2166" s="92">
        <f t="array" ref="G2166">IF(B2166="insumo",_xlfn.XLOOKUP($D2166,Insumos!$B$1:$B$996,Insumos!$D$1:$D$996),"")</f>
        <v>400</v>
      </c>
      <c r="H2166" s="92">
        <v>400</v>
      </c>
      <c r="I2166" s="13">
        <v>42</v>
      </c>
      <c r="J2166" s="13">
        <v>16800</v>
      </c>
      <c r="K2166" s="13"/>
      <c r="L2166"/>
      <c r="M2166"/>
      <c r="N2166"/>
      <c r="O2166"/>
      <c r="P2166"/>
      <c r="Q2166"/>
      <c r="R2166"/>
      <c r="S2166"/>
      <c r="T2166"/>
      <c r="U2166"/>
      <c r="V2166"/>
      <c r="W2166"/>
      <c r="X2166"/>
      <c r="Y2166"/>
      <c r="Z2166"/>
      <c r="AA2166"/>
      <c r="AB2166"/>
      <c r="AC2166"/>
      <c r="AD2166"/>
      <c r="AE2166"/>
      <c r="AF2166"/>
      <c r="AG2166"/>
      <c r="AH2166"/>
      <c r="AI2166"/>
      <c r="AJ2166"/>
      <c r="AK2166"/>
      <c r="AL2166"/>
    </row>
    <row r="2167" spans="1:38" ht="15.75" customHeight="1" outlineLevel="3" x14ac:dyDescent="0.2">
      <c r="A2167" s="10">
        <v>1</v>
      </c>
      <c r="B2167" s="10" t="s">
        <v>71</v>
      </c>
      <c r="C2167" s="10" t="s">
        <v>440</v>
      </c>
      <c r="D2167" s="10" t="s">
        <v>440</v>
      </c>
      <c r="E2167" s="11" t="str">
        <f t="array" ref="E2167">_xlfn.XLOOKUP(D2167,Insumos!B:B,Insumos!C:$C)</f>
        <v>UN</v>
      </c>
      <c r="F2167" s="14">
        <v>1</v>
      </c>
      <c r="G2167" s="92">
        <f t="array" ref="G2167">IF(B2167="insumo",_xlfn.XLOOKUP($D2167,Insumos!$B$1:$B$996,Insumos!$D$1:$D$996),"")</f>
        <v>1400</v>
      </c>
      <c r="H2167" s="92">
        <v>1400</v>
      </c>
      <c r="I2167" s="13">
        <v>42</v>
      </c>
      <c r="J2167" s="13">
        <v>58800</v>
      </c>
      <c r="K2167" s="13"/>
      <c r="L2167"/>
      <c r="M2167"/>
      <c r="N2167"/>
      <c r="O2167"/>
      <c r="P2167"/>
      <c r="Q2167"/>
      <c r="R2167"/>
      <c r="S2167"/>
      <c r="T2167"/>
      <c r="U2167"/>
      <c r="V2167"/>
      <c r="W2167"/>
      <c r="X2167"/>
      <c r="Y2167"/>
      <c r="Z2167"/>
      <c r="AA2167"/>
      <c r="AB2167"/>
      <c r="AC2167"/>
      <c r="AD2167"/>
      <c r="AE2167"/>
      <c r="AF2167"/>
      <c r="AG2167"/>
      <c r="AH2167"/>
      <c r="AI2167"/>
      <c r="AJ2167"/>
      <c r="AK2167"/>
      <c r="AL2167"/>
    </row>
    <row r="2168" spans="1:38" ht="15.75" customHeight="1" x14ac:dyDescent="0.2">
      <c r="A2168" s="7">
        <v>1</v>
      </c>
      <c r="B2168" s="7" t="s">
        <v>66</v>
      </c>
      <c r="C2168" s="7" t="s">
        <v>440</v>
      </c>
      <c r="D2168" s="7" t="s">
        <v>441</v>
      </c>
      <c r="E2168" s="8"/>
      <c r="F2168" s="9"/>
      <c r="G2168" s="91" t="str">
        <f t="array" ref="G2168">IF(B2168="insumo",_xlfn.XLOOKUP($D2168,Insumos!$B$1:$B$996,Insumos!$D$1:$D$996),"")</f>
        <v/>
      </c>
      <c r="H2168" s="91">
        <v>0</v>
      </c>
      <c r="I2168" s="9">
        <v>0</v>
      </c>
      <c r="J2168" s="9">
        <v>0</v>
      </c>
      <c r="K2168" s="9"/>
      <c r="L2168"/>
      <c r="M2168"/>
      <c r="N2168"/>
      <c r="O2168"/>
      <c r="P2168"/>
      <c r="Q2168"/>
      <c r="R2168"/>
      <c r="S2168"/>
      <c r="T2168"/>
      <c r="U2168"/>
      <c r="V2168"/>
      <c r="W2168"/>
      <c r="X2168"/>
      <c r="Y2168"/>
      <c r="Z2168"/>
      <c r="AA2168"/>
      <c r="AB2168"/>
      <c r="AC2168"/>
      <c r="AD2168"/>
      <c r="AE2168"/>
      <c r="AF2168"/>
      <c r="AG2168"/>
      <c r="AH2168"/>
      <c r="AI2168"/>
      <c r="AJ2168"/>
      <c r="AK2168"/>
      <c r="AL2168"/>
    </row>
    <row r="2169" spans="1:38" ht="15.75" customHeight="1" outlineLevel="1" x14ac:dyDescent="0.2">
      <c r="A2169" s="1090">
        <v>1</v>
      </c>
      <c r="B2169" s="1090" t="s">
        <v>1228</v>
      </c>
      <c r="C2169" s="1090" t="s">
        <v>440</v>
      </c>
      <c r="D2169" s="1090" t="s">
        <v>2181</v>
      </c>
      <c r="E2169" s="1091"/>
      <c r="F2169" s="1092"/>
      <c r="G2169" s="1091"/>
      <c r="H2169" s="1091">
        <v>0</v>
      </c>
      <c r="I2169" s="1092">
        <v>0</v>
      </c>
      <c r="J2169" s="1092">
        <v>0</v>
      </c>
      <c r="K2169" s="1092"/>
      <c r="L2169"/>
      <c r="M2169"/>
      <c r="N2169"/>
      <c r="O2169"/>
      <c r="P2169"/>
      <c r="Q2169"/>
      <c r="R2169"/>
      <c r="S2169"/>
      <c r="T2169"/>
      <c r="U2169"/>
      <c r="V2169"/>
      <c r="W2169"/>
      <c r="X2169"/>
      <c r="Y2169"/>
      <c r="Z2169"/>
      <c r="AA2169"/>
      <c r="AB2169"/>
      <c r="AC2169"/>
      <c r="AD2169"/>
      <c r="AE2169"/>
      <c r="AF2169"/>
      <c r="AG2169"/>
      <c r="AH2169"/>
      <c r="AI2169"/>
      <c r="AJ2169"/>
      <c r="AK2169"/>
      <c r="AL2169"/>
    </row>
    <row r="2170" spans="1:38" ht="15.75" customHeight="1" outlineLevel="2" x14ac:dyDescent="0.2">
      <c r="A2170" s="1067">
        <v>1</v>
      </c>
      <c r="B2170" s="1067" t="s">
        <v>68</v>
      </c>
      <c r="C2170" s="1067" t="s">
        <v>442</v>
      </c>
      <c r="D2170" s="1067" t="s">
        <v>442</v>
      </c>
      <c r="E2170" s="1068" t="s">
        <v>70</v>
      </c>
      <c r="F2170" s="1067"/>
      <c r="G2170" s="1069" t="str">
        <f t="array" ref="G2170">IF(B2170="insumo",_xlfn.XLOOKUP($D2170,Insumos!$B$1:$B$996,Insumos!$D$1:$D$996),"")</f>
        <v/>
      </c>
      <c r="H2170" s="1069">
        <v>7.0659000000000001</v>
      </c>
      <c r="I2170" s="1070">
        <v>3018.39</v>
      </c>
      <c r="J2170" s="1070">
        <v>21327.641900999999</v>
      </c>
      <c r="K2170" s="1070"/>
      <c r="L2170"/>
      <c r="M2170"/>
      <c r="N2170"/>
      <c r="O2170"/>
      <c r="P2170"/>
      <c r="Q2170"/>
      <c r="R2170"/>
      <c r="S2170"/>
      <c r="T2170"/>
      <c r="U2170"/>
      <c r="V2170"/>
      <c r="W2170"/>
      <c r="X2170"/>
      <c r="Y2170"/>
      <c r="Z2170"/>
      <c r="AA2170"/>
      <c r="AB2170"/>
      <c r="AC2170"/>
      <c r="AD2170"/>
      <c r="AE2170"/>
      <c r="AF2170"/>
      <c r="AG2170"/>
      <c r="AH2170"/>
      <c r="AI2170"/>
      <c r="AJ2170"/>
      <c r="AK2170"/>
      <c r="AL2170"/>
    </row>
    <row r="2171" spans="1:38" ht="15.75" customHeight="1" outlineLevel="3" x14ac:dyDescent="0.2">
      <c r="A2171" s="10">
        <v>10</v>
      </c>
      <c r="B2171" s="10" t="s">
        <v>71</v>
      </c>
      <c r="C2171" s="10" t="s">
        <v>442</v>
      </c>
      <c r="D2171" s="10" t="s">
        <v>443</v>
      </c>
      <c r="E2171" s="11" t="str">
        <f t="array" ref="E2171">_xlfn.XLOOKUP(D2171,Insumos!B:B,Insumos!C:$C)</f>
        <v>M3</v>
      </c>
      <c r="F2171" s="14">
        <v>1.55E-2</v>
      </c>
      <c r="G2171" s="92">
        <f t="array" ref="G2171">IF(B2171="insumo",_xlfn.XLOOKUP($D2171,Insumos!$B$1:$B$996,Insumos!$D$1:$D$996),"")</f>
        <v>145</v>
      </c>
      <c r="H2171" s="92">
        <v>2.2475000000000001</v>
      </c>
      <c r="I2171" s="13">
        <v>3018.39</v>
      </c>
      <c r="J2171" s="13">
        <v>6783.8315249999996</v>
      </c>
      <c r="K2171" s="13"/>
      <c r="L2171"/>
      <c r="M2171"/>
      <c r="N2171"/>
      <c r="O2171"/>
      <c r="P2171"/>
      <c r="Q2171"/>
      <c r="R2171"/>
      <c r="S2171"/>
      <c r="T2171"/>
      <c r="U2171"/>
      <c r="V2171"/>
      <c r="W2171"/>
      <c r="X2171"/>
      <c r="Y2171"/>
      <c r="Z2171"/>
      <c r="AA2171"/>
      <c r="AB2171"/>
      <c r="AC2171"/>
      <c r="AD2171"/>
      <c r="AE2171"/>
      <c r="AF2171"/>
      <c r="AG2171"/>
      <c r="AH2171"/>
      <c r="AI2171"/>
      <c r="AJ2171"/>
      <c r="AK2171"/>
      <c r="AL2171"/>
    </row>
    <row r="2172" spans="1:38" ht="15.75" customHeight="1" outlineLevel="3" x14ac:dyDescent="0.2">
      <c r="A2172" s="10">
        <v>62</v>
      </c>
      <c r="B2172" s="10" t="s">
        <v>71</v>
      </c>
      <c r="C2172" s="10" t="s">
        <v>442</v>
      </c>
      <c r="D2172" s="10" t="s">
        <v>160</v>
      </c>
      <c r="E2172" s="11" t="str">
        <f t="array" ref="E2172">_xlfn.XLOOKUP(D2172,Insumos!B:B,Insumos!C:$C)</f>
        <v>KG</v>
      </c>
      <c r="F2172" s="14">
        <v>6.34</v>
      </c>
      <c r="G2172" s="92">
        <f t="array" ref="G2172">IF(B2172="insumo",_xlfn.XLOOKUP($D2172,Insumos!$B$1:$B$996,Insumos!$D$1:$D$996),"")</f>
        <v>0.76</v>
      </c>
      <c r="H2172" s="92">
        <v>4.8183999999999996</v>
      </c>
      <c r="I2172" s="13">
        <v>3018.39</v>
      </c>
      <c r="J2172" s="13">
        <v>14543.810375999999</v>
      </c>
      <c r="K2172" s="13"/>
      <c r="L2172"/>
      <c r="M2172"/>
      <c r="N2172"/>
      <c r="O2172"/>
      <c r="P2172"/>
      <c r="Q2172"/>
      <c r="R2172"/>
      <c r="S2172"/>
      <c r="T2172"/>
      <c r="U2172"/>
      <c r="V2172"/>
      <c r="W2172"/>
      <c r="X2172"/>
      <c r="Y2172"/>
      <c r="Z2172"/>
      <c r="AA2172"/>
      <c r="AB2172"/>
      <c r="AC2172"/>
      <c r="AD2172"/>
      <c r="AE2172"/>
      <c r="AF2172"/>
      <c r="AG2172"/>
      <c r="AH2172"/>
      <c r="AI2172"/>
      <c r="AJ2172"/>
      <c r="AK2172"/>
      <c r="AL2172"/>
    </row>
    <row r="2173" spans="1:38" ht="15.75" customHeight="1" outlineLevel="2" x14ac:dyDescent="0.2">
      <c r="A2173" s="1067">
        <v>1</v>
      </c>
      <c r="B2173" s="1067" t="s">
        <v>68</v>
      </c>
      <c r="C2173" s="1067" t="s">
        <v>444</v>
      </c>
      <c r="D2173" s="1067" t="s">
        <v>444</v>
      </c>
      <c r="E2173" s="1068" t="s">
        <v>70</v>
      </c>
      <c r="F2173" s="1067"/>
      <c r="G2173" s="1069" t="str">
        <f t="array" ref="G2173">IF(B2173="insumo",_xlfn.XLOOKUP($D2173,Insumos!$B$1:$B$996,Insumos!$D$1:$D$996),"")</f>
        <v/>
      </c>
      <c r="H2173" s="1069">
        <v>49.358499999999999</v>
      </c>
      <c r="I2173" s="1070">
        <v>1014.45</v>
      </c>
      <c r="J2173" s="1070">
        <v>50071.730324999997</v>
      </c>
      <c r="K2173" s="1070"/>
      <c r="L2173"/>
      <c r="M2173"/>
      <c r="N2173"/>
      <c r="O2173"/>
      <c r="P2173"/>
      <c r="Q2173"/>
      <c r="R2173"/>
      <c r="S2173"/>
      <c r="T2173"/>
      <c r="U2173"/>
      <c r="V2173"/>
      <c r="W2173"/>
      <c r="X2173"/>
      <c r="Y2173"/>
      <c r="Z2173"/>
      <c r="AA2173"/>
      <c r="AB2173"/>
      <c r="AC2173"/>
      <c r="AD2173"/>
      <c r="AE2173"/>
      <c r="AF2173"/>
      <c r="AG2173"/>
      <c r="AH2173"/>
      <c r="AI2173"/>
      <c r="AJ2173"/>
      <c r="AK2173"/>
      <c r="AL2173"/>
    </row>
    <row r="2174" spans="1:38" ht="15.75" customHeight="1" outlineLevel="3" x14ac:dyDescent="0.2">
      <c r="A2174" s="10">
        <v>32</v>
      </c>
      <c r="B2174" s="10" t="s">
        <v>71</v>
      </c>
      <c r="C2174" s="10" t="s">
        <v>444</v>
      </c>
      <c r="D2174" s="10" t="s">
        <v>445</v>
      </c>
      <c r="E2174" s="11" t="str">
        <f t="array" ref="E2174">_xlfn.XLOOKUP(D2174,Insumos!B:B,Insumos!C:$C)</f>
        <v>M3</v>
      </c>
      <c r="F2174" s="14">
        <v>6.25E-2</v>
      </c>
      <c r="G2174" s="92">
        <f t="array" ref="G2174">IF(B2174="insumo",_xlfn.XLOOKUP($D2174,Insumos!$B$1:$B$996,Insumos!$D$1:$D$996),"")</f>
        <v>550</v>
      </c>
      <c r="H2174" s="92">
        <v>34.375</v>
      </c>
      <c r="I2174" s="13">
        <v>1014.45</v>
      </c>
      <c r="J2174" s="13">
        <v>34871.71875</v>
      </c>
      <c r="K2174" s="13"/>
      <c r="L2174"/>
      <c r="M2174"/>
      <c r="N2174"/>
      <c r="O2174"/>
      <c r="P2174"/>
      <c r="Q2174"/>
      <c r="R2174"/>
      <c r="S2174"/>
      <c r="T2174"/>
      <c r="U2174"/>
      <c r="V2174"/>
      <c r="W2174"/>
      <c r="X2174"/>
      <c r="Y2174"/>
      <c r="Z2174"/>
      <c r="AA2174"/>
      <c r="AB2174"/>
      <c r="AC2174"/>
      <c r="AD2174"/>
      <c r="AE2174"/>
      <c r="AF2174"/>
      <c r="AG2174"/>
      <c r="AH2174"/>
      <c r="AI2174"/>
      <c r="AJ2174"/>
      <c r="AK2174"/>
      <c r="AL2174"/>
    </row>
    <row r="2175" spans="1:38" ht="15.75" customHeight="1" outlineLevel="3" x14ac:dyDescent="0.2">
      <c r="A2175" s="10">
        <v>3</v>
      </c>
      <c r="B2175" s="10" t="s">
        <v>71</v>
      </c>
      <c r="C2175" s="10" t="s">
        <v>444</v>
      </c>
      <c r="D2175" s="10" t="s">
        <v>446</v>
      </c>
      <c r="E2175" s="11" t="str">
        <f t="array" ref="E2175">_xlfn.XLOOKUP(D2175,Insumos!B:B,Insumos!C:$C)</f>
        <v>M2</v>
      </c>
      <c r="F2175" s="14">
        <v>1.05</v>
      </c>
      <c r="G2175" s="92">
        <f t="array" ref="G2175">IF(B2175="insumo",_xlfn.XLOOKUP($D2175,Insumos!$B$1:$B$996,Insumos!$D$1:$D$996),"")</f>
        <v>14.27</v>
      </c>
      <c r="H2175" s="92">
        <v>14.983499999999999</v>
      </c>
      <c r="I2175" s="13">
        <v>1014.45</v>
      </c>
      <c r="J2175" s="13">
        <v>15200.011575</v>
      </c>
      <c r="K2175" s="13"/>
      <c r="L2175"/>
      <c r="M2175"/>
      <c r="N2175"/>
      <c r="O2175"/>
      <c r="P2175"/>
      <c r="Q2175"/>
      <c r="R2175"/>
      <c r="S2175"/>
      <c r="T2175"/>
      <c r="U2175"/>
      <c r="V2175"/>
      <c r="W2175"/>
      <c r="X2175"/>
      <c r="Y2175"/>
      <c r="Z2175"/>
      <c r="AA2175"/>
      <c r="AB2175"/>
      <c r="AC2175"/>
      <c r="AD2175"/>
      <c r="AE2175"/>
      <c r="AF2175"/>
      <c r="AG2175"/>
      <c r="AH2175"/>
      <c r="AI2175"/>
      <c r="AJ2175"/>
      <c r="AK2175"/>
      <c r="AL2175"/>
    </row>
    <row r="2176" spans="1:38" ht="15.75" customHeight="1" outlineLevel="2" x14ac:dyDescent="0.2">
      <c r="A2176" s="1067">
        <v>1</v>
      </c>
      <c r="B2176" s="1067" t="s">
        <v>68</v>
      </c>
      <c r="C2176" s="1067" t="s">
        <v>447</v>
      </c>
      <c r="D2176" s="1067" t="s">
        <v>447</v>
      </c>
      <c r="E2176" s="1068" t="s">
        <v>70</v>
      </c>
      <c r="F2176" s="1067"/>
      <c r="G2176" s="1069" t="str">
        <f t="array" ref="G2176">IF(B2176="insumo",_xlfn.XLOOKUP($D2176,Insumos!$B$1:$B$996,Insumos!$D$1:$D$996),"")</f>
        <v/>
      </c>
      <c r="H2176" s="1069">
        <v>29.16</v>
      </c>
      <c r="I2176" s="1070">
        <v>698.85</v>
      </c>
      <c r="J2176" s="1070">
        <v>20378.466</v>
      </c>
      <c r="K2176" s="1070"/>
      <c r="L2176"/>
      <c r="M2176"/>
      <c r="N2176"/>
      <c r="O2176"/>
      <c r="P2176"/>
      <c r="Q2176"/>
      <c r="R2176"/>
      <c r="S2176"/>
      <c r="T2176"/>
      <c r="U2176"/>
      <c r="V2176"/>
      <c r="W2176"/>
      <c r="X2176"/>
      <c r="Y2176"/>
      <c r="Z2176"/>
      <c r="AA2176"/>
      <c r="AB2176"/>
      <c r="AC2176"/>
      <c r="AD2176"/>
      <c r="AE2176"/>
      <c r="AF2176"/>
      <c r="AG2176"/>
      <c r="AH2176"/>
      <c r="AI2176"/>
      <c r="AJ2176"/>
      <c r="AK2176"/>
      <c r="AL2176"/>
    </row>
    <row r="2177" spans="1:38" ht="15.75" customHeight="1" outlineLevel="3" x14ac:dyDescent="0.2">
      <c r="A2177" s="10">
        <v>2</v>
      </c>
      <c r="B2177" s="10" t="s">
        <v>71</v>
      </c>
      <c r="C2177" s="10" t="s">
        <v>447</v>
      </c>
      <c r="D2177" s="10" t="s">
        <v>448</v>
      </c>
      <c r="E2177" s="11" t="str">
        <f t="array" ref="E2177">_xlfn.XLOOKUP(D2177,Insumos!B:B,Insumos!C:$C)</f>
        <v>L</v>
      </c>
      <c r="F2177" s="14">
        <v>1.5</v>
      </c>
      <c r="G2177" s="92">
        <f t="array" ref="G2177">IF(B2177="insumo",_xlfn.XLOOKUP($D2177,Insumos!$B$1:$B$996,Insumos!$D$1:$D$996),"")</f>
        <v>19.440000000000001</v>
      </c>
      <c r="H2177" s="92">
        <v>29.16</v>
      </c>
      <c r="I2177" s="13">
        <v>698.85</v>
      </c>
      <c r="J2177" s="13">
        <v>20378.466</v>
      </c>
      <c r="K2177" s="13"/>
      <c r="L2177"/>
      <c r="M2177"/>
      <c r="N2177"/>
      <c r="O2177"/>
      <c r="P2177"/>
      <c r="Q2177"/>
      <c r="R2177"/>
      <c r="S2177"/>
      <c r="T2177"/>
      <c r="U2177"/>
      <c r="V2177"/>
      <c r="W2177"/>
      <c r="X2177"/>
      <c r="Y2177"/>
      <c r="Z2177"/>
      <c r="AA2177"/>
      <c r="AB2177"/>
      <c r="AC2177"/>
      <c r="AD2177"/>
      <c r="AE2177"/>
      <c r="AF2177"/>
      <c r="AG2177"/>
      <c r="AH2177"/>
      <c r="AI2177"/>
      <c r="AJ2177"/>
      <c r="AK2177"/>
      <c r="AL2177"/>
    </row>
    <row r="2178" spans="1:38" ht="15.75" customHeight="1" outlineLevel="2" x14ac:dyDescent="0.2">
      <c r="A2178" s="1067">
        <v>1</v>
      </c>
      <c r="B2178" s="1067" t="s">
        <v>68</v>
      </c>
      <c r="C2178" s="1067" t="s">
        <v>449</v>
      </c>
      <c r="D2178" s="1067" t="s">
        <v>449</v>
      </c>
      <c r="E2178" s="1068" t="s">
        <v>70</v>
      </c>
      <c r="F2178" s="1067"/>
      <c r="G2178" s="1069" t="str">
        <f t="array" ref="G2178">IF(B2178="insumo",_xlfn.XLOOKUP($D2178,Insumos!$B$1:$B$996,Insumos!$D$1:$D$996),"")</f>
        <v/>
      </c>
      <c r="H2178" s="1069">
        <v>82.493333333333297</v>
      </c>
      <c r="I2178" s="1070">
        <v>0</v>
      </c>
      <c r="J2178" s="1070">
        <v>0</v>
      </c>
      <c r="K2178" s="1070"/>
      <c r="L2178"/>
      <c r="M2178"/>
      <c r="N2178"/>
      <c r="O2178"/>
      <c r="P2178"/>
      <c r="Q2178"/>
      <c r="R2178"/>
      <c r="S2178"/>
      <c r="T2178"/>
      <c r="U2178"/>
      <c r="V2178"/>
      <c r="W2178"/>
      <c r="X2178"/>
      <c r="Y2178"/>
      <c r="Z2178"/>
      <c r="AA2178"/>
      <c r="AB2178"/>
      <c r="AC2178"/>
      <c r="AD2178"/>
      <c r="AE2178"/>
      <c r="AF2178"/>
      <c r="AG2178"/>
      <c r="AH2178"/>
      <c r="AI2178"/>
      <c r="AJ2178"/>
      <c r="AK2178"/>
      <c r="AL2178"/>
    </row>
    <row r="2179" spans="1:38" ht="15.75" customHeight="1" outlineLevel="3" x14ac:dyDescent="0.2">
      <c r="A2179" s="10">
        <v>2</v>
      </c>
      <c r="B2179" s="10" t="s">
        <v>71</v>
      </c>
      <c r="C2179" s="10" t="s">
        <v>449</v>
      </c>
      <c r="D2179" s="10" t="s">
        <v>448</v>
      </c>
      <c r="E2179" s="11" t="str">
        <f t="array" ref="E2179">_xlfn.XLOOKUP(D2179,Insumos!B:B,Insumos!C:$C)</f>
        <v>L</v>
      </c>
      <c r="F2179" s="14">
        <v>1.5</v>
      </c>
      <c r="G2179" s="92">
        <f t="array" ref="G2179">IF(B2179="insumo",_xlfn.XLOOKUP($D2179,Insumos!$B$1:$B$996,Insumos!$D$1:$D$996),"")</f>
        <v>19.440000000000001</v>
      </c>
      <c r="H2179" s="92">
        <v>29.16</v>
      </c>
      <c r="I2179" s="13">
        <v>0</v>
      </c>
      <c r="J2179" s="13">
        <v>0</v>
      </c>
      <c r="K2179" s="13"/>
      <c r="L2179"/>
      <c r="M2179"/>
      <c r="N2179"/>
      <c r="O2179"/>
      <c r="P2179"/>
      <c r="Q2179"/>
      <c r="R2179"/>
      <c r="S2179"/>
      <c r="T2179"/>
      <c r="U2179"/>
      <c r="V2179"/>
      <c r="W2179"/>
      <c r="X2179"/>
      <c r="Y2179"/>
      <c r="Z2179"/>
      <c r="AA2179"/>
      <c r="AB2179"/>
      <c r="AC2179"/>
      <c r="AD2179"/>
      <c r="AE2179"/>
      <c r="AF2179"/>
      <c r="AG2179"/>
      <c r="AH2179"/>
      <c r="AI2179"/>
      <c r="AJ2179"/>
      <c r="AK2179"/>
      <c r="AL2179"/>
    </row>
    <row r="2180" spans="1:38" ht="15.75" customHeight="1" outlineLevel="3" x14ac:dyDescent="0.2">
      <c r="A2180" s="10">
        <v>2</v>
      </c>
      <c r="B2180" s="10" t="s">
        <v>71</v>
      </c>
      <c r="C2180" s="10" t="s">
        <v>449</v>
      </c>
      <c r="D2180" s="10" t="s">
        <v>450</v>
      </c>
      <c r="E2180" s="11" t="str">
        <f t="array" ref="E2180">_xlfn.XLOOKUP(D2180,Insumos!B:B,Insumos!C:$C)</f>
        <v>L</v>
      </c>
      <c r="F2180" s="14">
        <v>0.8</v>
      </c>
      <c r="G2180" s="92">
        <f t="array" ref="G2180">IF(B2180="insumo",_xlfn.XLOOKUP($D2180,Insumos!$B$1:$B$996,Insumos!$D$1:$D$996),"")</f>
        <v>66.666666666666671</v>
      </c>
      <c r="H2180" s="92">
        <v>53.3333333333333</v>
      </c>
      <c r="I2180" s="13">
        <v>0</v>
      </c>
      <c r="J2180" s="13">
        <v>0</v>
      </c>
      <c r="K2180" s="13"/>
      <c r="L2180"/>
      <c r="M2180"/>
      <c r="N2180"/>
      <c r="O2180"/>
      <c r="P2180"/>
      <c r="Q2180"/>
      <c r="R2180"/>
      <c r="S2180"/>
      <c r="T2180"/>
      <c r="U2180"/>
      <c r="V2180"/>
      <c r="W2180"/>
      <c r="X2180"/>
      <c r="Y2180"/>
      <c r="Z2180"/>
      <c r="AA2180"/>
      <c r="AB2180"/>
      <c r="AC2180"/>
      <c r="AD2180"/>
      <c r="AE2180"/>
      <c r="AF2180"/>
      <c r="AG2180"/>
      <c r="AH2180"/>
      <c r="AI2180"/>
      <c r="AJ2180"/>
      <c r="AK2180"/>
      <c r="AL2180"/>
    </row>
    <row r="2181" spans="1:38" ht="15.75" customHeight="1" outlineLevel="2" x14ac:dyDescent="0.2">
      <c r="A2181" s="1067">
        <v>1</v>
      </c>
      <c r="B2181" s="1067" t="s">
        <v>68</v>
      </c>
      <c r="C2181" s="1067" t="s">
        <v>451</v>
      </c>
      <c r="D2181" s="1067" t="s">
        <v>451</v>
      </c>
      <c r="E2181" s="1068" t="s">
        <v>70</v>
      </c>
      <c r="F2181" s="1067"/>
      <c r="G2181" s="1069" t="str">
        <f t="array" ref="G2181">IF(B2181="insumo",_xlfn.XLOOKUP($D2181,Insumos!$B$1:$B$996,Insumos!$D$1:$D$996),"")</f>
        <v/>
      </c>
      <c r="H2181" s="1069">
        <v>26.941915384615399</v>
      </c>
      <c r="I2181" s="1070">
        <v>0</v>
      </c>
      <c r="J2181" s="1070">
        <v>0</v>
      </c>
      <c r="K2181" s="1070"/>
      <c r="L2181"/>
      <c r="M2181"/>
      <c r="N2181"/>
      <c r="O2181"/>
      <c r="P2181"/>
      <c r="Q2181"/>
      <c r="R2181"/>
      <c r="S2181"/>
      <c r="T2181"/>
      <c r="U2181"/>
      <c r="V2181"/>
      <c r="W2181"/>
      <c r="X2181"/>
      <c r="Y2181"/>
      <c r="Z2181"/>
      <c r="AA2181"/>
      <c r="AB2181"/>
      <c r="AC2181"/>
      <c r="AD2181"/>
      <c r="AE2181"/>
      <c r="AF2181"/>
      <c r="AG2181"/>
      <c r="AH2181"/>
      <c r="AI2181"/>
      <c r="AJ2181"/>
      <c r="AK2181"/>
      <c r="AL2181"/>
    </row>
    <row r="2182" spans="1:38" ht="15.75" customHeight="1" outlineLevel="3" x14ac:dyDescent="0.2">
      <c r="A2182" s="10">
        <v>7</v>
      </c>
      <c r="B2182" s="10" t="s">
        <v>71</v>
      </c>
      <c r="C2182" s="10" t="s">
        <v>451</v>
      </c>
      <c r="D2182" s="10" t="s">
        <v>452</v>
      </c>
      <c r="E2182" s="11" t="str">
        <f t="array" ref="E2182">_xlfn.XLOOKUP(D2182,Insumos!B:B,Insumos!C:$C)</f>
        <v>L</v>
      </c>
      <c r="F2182" s="14">
        <v>0.61499999999999999</v>
      </c>
      <c r="G2182" s="92">
        <f t="array" ref="G2182">IF(B2182="insumo",_xlfn.XLOOKUP($D2182,Insumos!$B$1:$B$996,Insumos!$D$1:$D$996),"")</f>
        <v>23.52</v>
      </c>
      <c r="H2182" s="92">
        <v>14.4648</v>
      </c>
      <c r="I2182" s="13">
        <v>0</v>
      </c>
      <c r="J2182" s="13">
        <v>0</v>
      </c>
      <c r="K2182" s="13"/>
      <c r="L2182"/>
      <c r="M2182"/>
      <c r="N2182"/>
      <c r="O2182"/>
      <c r="P2182"/>
      <c r="Q2182"/>
      <c r="R2182"/>
      <c r="S2182"/>
      <c r="T2182"/>
      <c r="U2182"/>
      <c r="V2182"/>
      <c r="W2182"/>
      <c r="X2182"/>
      <c r="Y2182"/>
      <c r="Z2182"/>
      <c r="AA2182"/>
      <c r="AB2182"/>
      <c r="AC2182"/>
      <c r="AD2182"/>
      <c r="AE2182"/>
      <c r="AF2182"/>
      <c r="AG2182"/>
      <c r="AH2182"/>
      <c r="AI2182"/>
      <c r="AJ2182"/>
      <c r="AK2182"/>
      <c r="AL2182"/>
    </row>
    <row r="2183" spans="1:38" ht="15.75" customHeight="1" outlineLevel="3" x14ac:dyDescent="0.2">
      <c r="A2183" s="10">
        <v>1</v>
      </c>
      <c r="B2183" s="10" t="s">
        <v>71</v>
      </c>
      <c r="C2183" s="10" t="s">
        <v>451</v>
      </c>
      <c r="D2183" s="10" t="s">
        <v>453</v>
      </c>
      <c r="E2183" s="11" t="str">
        <f t="array" ref="E2183">_xlfn.XLOOKUP(D2183,Insumos!B:B,Insumos!C:$C)</f>
        <v>M2</v>
      </c>
      <c r="F2183" s="14">
        <v>1.125</v>
      </c>
      <c r="G2183" s="92">
        <f t="array" ref="G2183">IF(B2183="insumo",_xlfn.XLOOKUP($D2183,Insumos!$B$1:$B$996,Insumos!$D$1:$D$996),"")</f>
        <v>11.090769230769231</v>
      </c>
      <c r="H2183" s="92">
        <v>12.4771153846154</v>
      </c>
      <c r="I2183" s="13">
        <v>0</v>
      </c>
      <c r="J2183" s="13">
        <v>0</v>
      </c>
      <c r="K2183" s="13"/>
      <c r="L2183"/>
      <c r="M2183"/>
      <c r="N2183"/>
      <c r="O2183"/>
      <c r="P2183"/>
      <c r="Q2183"/>
      <c r="R2183"/>
      <c r="S2183"/>
      <c r="T2183"/>
      <c r="U2183"/>
      <c r="V2183"/>
      <c r="W2183"/>
      <c r="X2183"/>
      <c r="Y2183"/>
      <c r="Z2183"/>
      <c r="AA2183"/>
      <c r="AB2183"/>
      <c r="AC2183"/>
      <c r="AD2183"/>
      <c r="AE2183"/>
      <c r="AF2183"/>
      <c r="AG2183"/>
      <c r="AH2183"/>
      <c r="AI2183"/>
      <c r="AJ2183"/>
      <c r="AK2183"/>
      <c r="AL2183"/>
    </row>
    <row r="2184" spans="1:38" ht="15.75" customHeight="1" outlineLevel="2" x14ac:dyDescent="0.2">
      <c r="A2184" s="1067">
        <v>1</v>
      </c>
      <c r="B2184" s="1067" t="s">
        <v>68</v>
      </c>
      <c r="C2184" s="1067" t="s">
        <v>454</v>
      </c>
      <c r="D2184" s="1067" t="s">
        <v>454</v>
      </c>
      <c r="E2184" s="1068" t="s">
        <v>70</v>
      </c>
      <c r="F2184" s="1067"/>
      <c r="G2184" s="1069" t="str">
        <f t="array" ref="G2184">IF(B2184="insumo",_xlfn.XLOOKUP($D2184,Insumos!$B$1:$B$996,Insumos!$D$1:$D$996),"")</f>
        <v/>
      </c>
      <c r="H2184" s="1069">
        <v>93.237300000000005</v>
      </c>
      <c r="I2184" s="1070">
        <v>0</v>
      </c>
      <c r="J2184" s="1070">
        <v>0</v>
      </c>
      <c r="K2184" s="1070"/>
      <c r="L2184"/>
      <c r="M2184"/>
      <c r="N2184"/>
      <c r="O2184"/>
      <c r="P2184"/>
      <c r="Q2184"/>
      <c r="R2184"/>
      <c r="S2184"/>
      <c r="T2184"/>
      <c r="U2184"/>
      <c r="V2184"/>
      <c r="W2184"/>
      <c r="X2184"/>
      <c r="Y2184"/>
      <c r="Z2184"/>
      <c r="AA2184"/>
      <c r="AB2184"/>
      <c r="AC2184"/>
      <c r="AD2184"/>
      <c r="AE2184"/>
      <c r="AF2184"/>
      <c r="AG2184"/>
      <c r="AH2184"/>
      <c r="AI2184"/>
      <c r="AJ2184"/>
      <c r="AK2184"/>
      <c r="AL2184"/>
    </row>
    <row r="2185" spans="1:38" ht="15.75" customHeight="1" outlineLevel="3" x14ac:dyDescent="0.2">
      <c r="A2185" s="10">
        <v>7</v>
      </c>
      <c r="B2185" s="10" t="s">
        <v>71</v>
      </c>
      <c r="C2185" s="10" t="s">
        <v>454</v>
      </c>
      <c r="D2185" s="10" t="s">
        <v>452</v>
      </c>
      <c r="E2185" s="11" t="str">
        <f t="array" ref="E2185">_xlfn.XLOOKUP(D2185,Insumos!B:B,Insumos!C:$C)</f>
        <v>L</v>
      </c>
      <c r="F2185" s="14">
        <v>0.61499999999999999</v>
      </c>
      <c r="G2185" s="92">
        <f t="array" ref="G2185">IF(B2185="insumo",_xlfn.XLOOKUP($D2185,Insumos!$B$1:$B$996,Insumos!$D$1:$D$996),"")</f>
        <v>23.52</v>
      </c>
      <c r="H2185" s="92">
        <v>14.4648</v>
      </c>
      <c r="I2185" s="13">
        <v>0</v>
      </c>
      <c r="J2185" s="13">
        <v>0</v>
      </c>
      <c r="K2185" s="13"/>
      <c r="L2185"/>
      <c r="M2185"/>
      <c r="N2185"/>
      <c r="O2185"/>
      <c r="P2185"/>
      <c r="Q2185"/>
      <c r="R2185"/>
      <c r="S2185"/>
      <c r="T2185"/>
      <c r="U2185"/>
      <c r="V2185"/>
      <c r="W2185"/>
      <c r="X2185"/>
      <c r="Y2185"/>
      <c r="Z2185"/>
      <c r="AA2185"/>
      <c r="AB2185"/>
      <c r="AC2185"/>
      <c r="AD2185"/>
      <c r="AE2185"/>
      <c r="AF2185"/>
      <c r="AG2185"/>
      <c r="AH2185"/>
      <c r="AI2185"/>
      <c r="AJ2185"/>
      <c r="AK2185"/>
      <c r="AL2185"/>
    </row>
    <row r="2186" spans="1:38" ht="15.75" customHeight="1" outlineLevel="3" x14ac:dyDescent="0.2">
      <c r="A2186" s="10">
        <v>5</v>
      </c>
      <c r="B2186" s="10" t="s">
        <v>71</v>
      </c>
      <c r="C2186" s="10" t="s">
        <v>454</v>
      </c>
      <c r="D2186" s="10" t="s">
        <v>455</v>
      </c>
      <c r="E2186" s="11" t="str">
        <f t="array" ref="E2186">_xlfn.XLOOKUP(D2186,Insumos!B:B,Insumos!C:$C)</f>
        <v>M2</v>
      </c>
      <c r="F2186" s="14">
        <v>1.125</v>
      </c>
      <c r="G2186" s="92">
        <f t="array" ref="G2186">IF(B2186="insumo",_xlfn.XLOOKUP($D2186,Insumos!$B$1:$B$996,Insumos!$D$1:$D$996),"")</f>
        <v>70.02</v>
      </c>
      <c r="H2186" s="92">
        <v>78.772499999999994</v>
      </c>
      <c r="I2186" s="13">
        <v>0</v>
      </c>
      <c r="J2186" s="13">
        <v>0</v>
      </c>
      <c r="K2186" s="13"/>
      <c r="L2186"/>
      <c r="M2186"/>
      <c r="N2186"/>
      <c r="O2186"/>
      <c r="P2186"/>
      <c r="Q2186"/>
      <c r="R2186"/>
      <c r="S2186"/>
      <c r="T2186"/>
      <c r="U2186"/>
      <c r="V2186"/>
      <c r="W2186"/>
      <c r="X2186"/>
      <c r="Y2186"/>
      <c r="Z2186"/>
      <c r="AA2186"/>
      <c r="AB2186"/>
      <c r="AC2186"/>
      <c r="AD2186"/>
      <c r="AE2186"/>
      <c r="AF2186"/>
      <c r="AG2186"/>
      <c r="AH2186"/>
      <c r="AI2186"/>
      <c r="AJ2186"/>
      <c r="AK2186"/>
      <c r="AL2186"/>
    </row>
    <row r="2187" spans="1:38" ht="15.75" customHeight="1" outlineLevel="2" x14ac:dyDescent="0.2">
      <c r="A2187" s="1067">
        <v>1</v>
      </c>
      <c r="B2187" s="1067" t="s">
        <v>68</v>
      </c>
      <c r="C2187" s="1067" t="s">
        <v>456</v>
      </c>
      <c r="D2187" s="1067" t="s">
        <v>456</v>
      </c>
      <c r="E2187" s="1068" t="s">
        <v>70</v>
      </c>
      <c r="F2187" s="1067"/>
      <c r="G2187" s="1069" t="str">
        <f t="array" ref="G2187">IF(B2187="insumo",_xlfn.XLOOKUP($D2187,Insumos!$B$1:$B$996,Insumos!$D$1:$D$996),"")</f>
        <v/>
      </c>
      <c r="H2187" s="1069">
        <v>157.38480000000001</v>
      </c>
      <c r="I2187" s="1070">
        <v>0</v>
      </c>
      <c r="J2187" s="1070">
        <v>0</v>
      </c>
      <c r="K2187" s="1070"/>
      <c r="L2187"/>
      <c r="M2187"/>
      <c r="N2187"/>
      <c r="O2187"/>
      <c r="P2187"/>
      <c r="Q2187"/>
      <c r="R2187"/>
      <c r="S2187"/>
      <c r="T2187"/>
      <c r="U2187"/>
      <c r="V2187"/>
      <c r="W2187"/>
      <c r="X2187"/>
      <c r="Y2187"/>
      <c r="Z2187"/>
      <c r="AA2187"/>
      <c r="AB2187"/>
      <c r="AC2187"/>
      <c r="AD2187"/>
      <c r="AE2187"/>
      <c r="AF2187"/>
      <c r="AG2187"/>
      <c r="AH2187"/>
      <c r="AI2187"/>
      <c r="AJ2187"/>
      <c r="AK2187"/>
      <c r="AL2187"/>
    </row>
    <row r="2188" spans="1:38" ht="15.75" customHeight="1" outlineLevel="3" x14ac:dyDescent="0.2">
      <c r="A2188" s="10">
        <v>7</v>
      </c>
      <c r="B2188" s="10" t="s">
        <v>71</v>
      </c>
      <c r="C2188" s="10" t="s">
        <v>456</v>
      </c>
      <c r="D2188" s="10" t="s">
        <v>452</v>
      </c>
      <c r="E2188" s="11" t="str">
        <f t="array" ref="E2188">_xlfn.XLOOKUP(D2188,Insumos!B:B,Insumos!C:$C)</f>
        <v>L</v>
      </c>
      <c r="F2188" s="14">
        <v>0.61499999999999999</v>
      </c>
      <c r="G2188" s="92">
        <f t="array" ref="G2188">IF(B2188="insumo",_xlfn.XLOOKUP($D2188,Insumos!$B$1:$B$996,Insumos!$D$1:$D$996),"")</f>
        <v>23.52</v>
      </c>
      <c r="H2188" s="92">
        <v>14.4648</v>
      </c>
      <c r="I2188" s="13">
        <v>0</v>
      </c>
      <c r="J2188" s="13">
        <v>0</v>
      </c>
      <c r="K2188" s="13"/>
      <c r="L2188"/>
      <c r="M2188"/>
      <c r="N2188"/>
      <c r="O2188"/>
      <c r="P2188"/>
      <c r="Q2188"/>
      <c r="R2188"/>
      <c r="S2188"/>
      <c r="T2188"/>
      <c r="U2188"/>
      <c r="V2188"/>
      <c r="W2188"/>
      <c r="X2188"/>
      <c r="Y2188"/>
      <c r="Z2188"/>
      <c r="AA2188"/>
      <c r="AB2188"/>
      <c r="AC2188"/>
      <c r="AD2188"/>
      <c r="AE2188"/>
      <c r="AF2188"/>
      <c r="AG2188"/>
      <c r="AH2188"/>
      <c r="AI2188"/>
      <c r="AJ2188"/>
      <c r="AK2188"/>
      <c r="AL2188"/>
    </row>
    <row r="2189" spans="1:38" ht="15.75" customHeight="1" outlineLevel="3" x14ac:dyDescent="0.2">
      <c r="A2189" s="10">
        <v>2</v>
      </c>
      <c r="B2189" s="10" t="s">
        <v>71</v>
      </c>
      <c r="C2189" s="10" t="s">
        <v>456</v>
      </c>
      <c r="D2189" s="10" t="s">
        <v>457</v>
      </c>
      <c r="E2189" s="11" t="str">
        <f t="array" ref="E2189">_xlfn.XLOOKUP(D2189,Insumos!B:B,Insumos!C:$C)</f>
        <v>M2</v>
      </c>
      <c r="F2189" s="14">
        <v>1.125</v>
      </c>
      <c r="G2189" s="92">
        <f t="array" ref="G2189">IF(B2189="insumo",_xlfn.XLOOKUP($D2189,Insumos!$B$1:$B$996,Insumos!$D$1:$D$996),"")</f>
        <v>57.02</v>
      </c>
      <c r="H2189" s="92">
        <v>64.147499999999994</v>
      </c>
      <c r="I2189" s="13">
        <v>0</v>
      </c>
      <c r="J2189" s="13">
        <v>0</v>
      </c>
      <c r="K2189" s="13"/>
      <c r="L2189"/>
      <c r="M2189"/>
      <c r="N2189"/>
      <c r="O2189"/>
      <c r="P2189"/>
      <c r="Q2189"/>
      <c r="R2189"/>
      <c r="S2189"/>
      <c r="T2189"/>
      <c r="U2189"/>
      <c r="V2189"/>
      <c r="W2189"/>
      <c r="X2189"/>
      <c r="Y2189"/>
      <c r="Z2189"/>
      <c r="AA2189"/>
      <c r="AB2189"/>
      <c r="AC2189"/>
      <c r="AD2189"/>
      <c r="AE2189"/>
      <c r="AF2189"/>
      <c r="AG2189"/>
      <c r="AH2189"/>
      <c r="AI2189"/>
      <c r="AJ2189"/>
      <c r="AK2189"/>
      <c r="AL2189"/>
    </row>
    <row r="2190" spans="1:38" ht="15.75" customHeight="1" outlineLevel="3" x14ac:dyDescent="0.2">
      <c r="A2190" s="10">
        <v>5</v>
      </c>
      <c r="B2190" s="10" t="s">
        <v>71</v>
      </c>
      <c r="C2190" s="10" t="s">
        <v>456</v>
      </c>
      <c r="D2190" s="10" t="s">
        <v>455</v>
      </c>
      <c r="E2190" s="11" t="str">
        <f t="array" ref="E2190">_xlfn.XLOOKUP(D2190,Insumos!B:B,Insumos!C:$C)</f>
        <v>M2</v>
      </c>
      <c r="F2190" s="14">
        <v>1.125</v>
      </c>
      <c r="G2190" s="92">
        <f t="array" ref="G2190">IF(B2190="insumo",_xlfn.XLOOKUP($D2190,Insumos!$B$1:$B$996,Insumos!$D$1:$D$996),"")</f>
        <v>70.02</v>
      </c>
      <c r="H2190" s="92">
        <v>78.772499999999994</v>
      </c>
      <c r="I2190" s="13">
        <v>0</v>
      </c>
      <c r="J2190" s="13">
        <v>0</v>
      </c>
      <c r="K2190" s="13"/>
      <c r="L2190"/>
      <c r="M2190"/>
      <c r="N2190"/>
      <c r="O2190"/>
      <c r="P2190"/>
      <c r="Q2190"/>
      <c r="R2190"/>
      <c r="S2190"/>
      <c r="T2190"/>
      <c r="U2190"/>
      <c r="V2190"/>
      <c r="W2190"/>
      <c r="X2190"/>
      <c r="Y2190"/>
      <c r="Z2190"/>
      <c r="AA2190"/>
      <c r="AB2190"/>
      <c r="AC2190"/>
      <c r="AD2190"/>
      <c r="AE2190"/>
      <c r="AF2190"/>
      <c r="AG2190"/>
      <c r="AH2190"/>
      <c r="AI2190"/>
      <c r="AJ2190"/>
      <c r="AK2190"/>
      <c r="AL2190"/>
    </row>
    <row r="2191" spans="1:38" ht="15.75" customHeight="1" outlineLevel="2" x14ac:dyDescent="0.2">
      <c r="A2191" s="1067">
        <v>1</v>
      </c>
      <c r="B2191" s="1067" t="s">
        <v>68</v>
      </c>
      <c r="C2191" s="1067" t="s">
        <v>458</v>
      </c>
      <c r="D2191" s="1067" t="s">
        <v>458</v>
      </c>
      <c r="E2191" s="1068" t="s">
        <v>70</v>
      </c>
      <c r="F2191" s="1067"/>
      <c r="G2191" s="1069" t="str">
        <f t="array" ref="G2191">IF(B2191="insumo",_xlfn.XLOOKUP($D2191,Insumos!$B$1:$B$996,Insumos!$D$1:$D$996),"")</f>
        <v/>
      </c>
      <c r="H2191" s="1069">
        <v>57.20355</v>
      </c>
      <c r="I2191" s="1070">
        <v>0</v>
      </c>
      <c r="J2191" s="1070">
        <v>0</v>
      </c>
      <c r="K2191" s="1070"/>
      <c r="L2191"/>
      <c r="M2191"/>
      <c r="N2191"/>
      <c r="O2191"/>
      <c r="P2191"/>
      <c r="Q2191"/>
      <c r="R2191"/>
      <c r="S2191"/>
      <c r="T2191"/>
      <c r="U2191"/>
      <c r="V2191"/>
      <c r="W2191"/>
      <c r="X2191"/>
      <c r="Y2191"/>
      <c r="Z2191"/>
      <c r="AA2191"/>
      <c r="AB2191"/>
      <c r="AC2191"/>
      <c r="AD2191"/>
      <c r="AE2191"/>
      <c r="AF2191"/>
      <c r="AG2191"/>
      <c r="AH2191"/>
      <c r="AI2191"/>
      <c r="AJ2191"/>
      <c r="AK2191"/>
      <c r="AL2191"/>
    </row>
    <row r="2192" spans="1:38" ht="15.75" customHeight="1" outlineLevel="3" x14ac:dyDescent="0.2">
      <c r="A2192" s="10">
        <v>7</v>
      </c>
      <c r="B2192" s="10" t="s">
        <v>71</v>
      </c>
      <c r="C2192" s="10" t="s">
        <v>458</v>
      </c>
      <c r="D2192" s="10" t="s">
        <v>452</v>
      </c>
      <c r="E2192" s="11" t="str">
        <f t="array" ref="E2192">_xlfn.XLOOKUP(D2192,Insumos!B:B,Insumos!C:$C)</f>
        <v>L</v>
      </c>
      <c r="F2192" s="14">
        <v>0.61499999999999999</v>
      </c>
      <c r="G2192" s="92">
        <f t="array" ref="G2192">IF(B2192="insumo",_xlfn.XLOOKUP($D2192,Insumos!$B$1:$B$996,Insumos!$D$1:$D$996),"")</f>
        <v>23.52</v>
      </c>
      <c r="H2192" s="92">
        <v>14.4648</v>
      </c>
      <c r="I2192" s="13">
        <v>0</v>
      </c>
      <c r="J2192" s="13">
        <v>0</v>
      </c>
      <c r="K2192" s="13"/>
      <c r="L2192"/>
      <c r="M2192"/>
      <c r="N2192"/>
      <c r="O2192"/>
      <c r="P2192"/>
      <c r="Q2192"/>
      <c r="R2192"/>
      <c r="S2192"/>
      <c r="T2192"/>
      <c r="U2192"/>
      <c r="V2192"/>
      <c r="W2192"/>
      <c r="X2192"/>
      <c r="Y2192"/>
      <c r="Z2192"/>
      <c r="AA2192"/>
      <c r="AB2192"/>
      <c r="AC2192"/>
      <c r="AD2192"/>
      <c r="AE2192"/>
      <c r="AF2192"/>
      <c r="AG2192"/>
      <c r="AH2192"/>
      <c r="AI2192"/>
      <c r="AJ2192"/>
      <c r="AK2192"/>
      <c r="AL2192"/>
    </row>
    <row r="2193" spans="1:38" ht="15.75" customHeight="1" outlineLevel="3" x14ac:dyDescent="0.2">
      <c r="A2193" s="10">
        <v>1</v>
      </c>
      <c r="B2193" s="10" t="s">
        <v>71</v>
      </c>
      <c r="C2193" s="10" t="s">
        <v>458</v>
      </c>
      <c r="D2193" s="10" t="s">
        <v>459</v>
      </c>
      <c r="E2193" s="11" t="str">
        <f t="array" ref="E2193">_xlfn.XLOOKUP(D2193,Insumos!B:B,Insumos!C:$C)</f>
        <v>M2</v>
      </c>
      <c r="F2193" s="14">
        <v>1.125</v>
      </c>
      <c r="G2193" s="92">
        <f t="array" ref="G2193">IF(B2193="insumo",_xlfn.XLOOKUP($D2193,Insumos!$B$1:$B$996,Insumos!$D$1:$D$996),"")</f>
        <v>37.99</v>
      </c>
      <c r="H2193" s="92">
        <v>42.738750000000003</v>
      </c>
      <c r="I2193" s="13">
        <v>0</v>
      </c>
      <c r="J2193" s="13">
        <v>0</v>
      </c>
      <c r="K2193" s="13"/>
      <c r="L2193"/>
      <c r="M2193"/>
      <c r="N2193"/>
      <c r="O2193"/>
      <c r="P2193"/>
      <c r="Q2193"/>
      <c r="R2193"/>
      <c r="S2193"/>
      <c r="T2193"/>
      <c r="U2193"/>
      <c r="V2193"/>
      <c r="W2193"/>
      <c r="X2193"/>
      <c r="Y2193"/>
      <c r="Z2193"/>
      <c r="AA2193"/>
      <c r="AB2193"/>
      <c r="AC2193"/>
      <c r="AD2193"/>
      <c r="AE2193"/>
      <c r="AF2193"/>
      <c r="AG2193"/>
      <c r="AH2193"/>
      <c r="AI2193"/>
      <c r="AJ2193"/>
      <c r="AK2193"/>
      <c r="AL2193"/>
    </row>
    <row r="2194" spans="1:38" ht="15.75" customHeight="1" outlineLevel="2" x14ac:dyDescent="0.2">
      <c r="A2194" s="1067">
        <v>1</v>
      </c>
      <c r="B2194" s="1067" t="s">
        <v>68</v>
      </c>
      <c r="C2194" s="1067" t="s">
        <v>460</v>
      </c>
      <c r="D2194" s="1067" t="s">
        <v>460</v>
      </c>
      <c r="E2194" s="1068" t="s">
        <v>70</v>
      </c>
      <c r="F2194" s="1067"/>
      <c r="G2194" s="1069" t="str">
        <f t="array" ref="G2194">IF(B2194="insumo",_xlfn.XLOOKUP($D2194,Insumos!$B$1:$B$996,Insumos!$D$1:$D$996),"")</f>
        <v/>
      </c>
      <c r="H2194" s="1069">
        <v>34.825000000000003</v>
      </c>
      <c r="I2194" s="1070">
        <v>0</v>
      </c>
      <c r="J2194" s="1070">
        <v>0</v>
      </c>
      <c r="K2194" s="1070"/>
      <c r="L2194"/>
      <c r="M2194"/>
      <c r="N2194"/>
      <c r="O2194"/>
      <c r="P2194"/>
      <c r="Q2194"/>
      <c r="R2194"/>
      <c r="S2194"/>
      <c r="T2194"/>
      <c r="U2194"/>
      <c r="V2194"/>
      <c r="W2194"/>
      <c r="X2194"/>
      <c r="Y2194"/>
      <c r="Z2194"/>
      <c r="AA2194"/>
      <c r="AB2194"/>
      <c r="AC2194"/>
      <c r="AD2194"/>
      <c r="AE2194"/>
      <c r="AF2194"/>
      <c r="AG2194"/>
      <c r="AH2194"/>
      <c r="AI2194"/>
      <c r="AJ2194"/>
      <c r="AK2194"/>
      <c r="AL2194"/>
    </row>
    <row r="2195" spans="1:38" ht="15.75" customHeight="1" outlineLevel="3" x14ac:dyDescent="0.2">
      <c r="A2195" s="10">
        <v>3</v>
      </c>
      <c r="B2195" s="10" t="s">
        <v>71</v>
      </c>
      <c r="C2195" s="10" t="s">
        <v>460</v>
      </c>
      <c r="D2195" s="10" t="s">
        <v>461</v>
      </c>
      <c r="E2195" s="11" t="str">
        <f t="array" ref="E2195">_xlfn.XLOOKUP(D2195,Insumos!B:B,Insumos!C:$C)</f>
        <v>KG</v>
      </c>
      <c r="F2195" s="14">
        <f>3*1.05</f>
        <v>3.1500000000000004</v>
      </c>
      <c r="G2195" s="92">
        <f t="array" ref="G2195">IF(B2195="insumo",_xlfn.XLOOKUP($D2195,Insumos!$B$1:$B$996,Insumos!$D$1:$D$996),"")</f>
        <v>11.055555555555555</v>
      </c>
      <c r="H2195" s="92">
        <v>34.825000000000003</v>
      </c>
      <c r="I2195" s="13">
        <v>0</v>
      </c>
      <c r="J2195" s="13">
        <v>0</v>
      </c>
      <c r="K2195" s="13"/>
      <c r="L2195"/>
      <c r="M2195"/>
      <c r="N2195"/>
      <c r="O2195"/>
      <c r="P2195"/>
      <c r="Q2195"/>
      <c r="R2195"/>
      <c r="S2195"/>
      <c r="T2195"/>
      <c r="U2195"/>
      <c r="V2195"/>
      <c r="W2195"/>
      <c r="X2195"/>
      <c r="Y2195"/>
      <c r="Z2195"/>
      <c r="AA2195"/>
      <c r="AB2195"/>
      <c r="AC2195"/>
      <c r="AD2195"/>
      <c r="AE2195"/>
      <c r="AF2195"/>
      <c r="AG2195"/>
      <c r="AH2195"/>
      <c r="AI2195"/>
      <c r="AJ2195"/>
      <c r="AK2195"/>
      <c r="AL2195"/>
    </row>
    <row r="2196" spans="1:38" ht="15.75" customHeight="1" outlineLevel="2" x14ac:dyDescent="0.2">
      <c r="A2196" s="1067">
        <v>1</v>
      </c>
      <c r="B2196" s="1067" t="s">
        <v>68</v>
      </c>
      <c r="C2196" s="1067" t="s">
        <v>462</v>
      </c>
      <c r="D2196" s="1067" t="s">
        <v>462</v>
      </c>
      <c r="E2196" s="1068" t="s">
        <v>70</v>
      </c>
      <c r="F2196" s="1067"/>
      <c r="G2196" s="1069" t="str">
        <f t="array" ref="G2196">IF(B2196="insumo",_xlfn.XLOOKUP($D2196,Insumos!$B$1:$B$996,Insumos!$D$1:$D$996),"")</f>
        <v/>
      </c>
      <c r="H2196" s="1069">
        <v>36.256</v>
      </c>
      <c r="I2196" s="1070">
        <v>0</v>
      </c>
      <c r="J2196" s="1070">
        <v>0</v>
      </c>
      <c r="K2196" s="1070"/>
      <c r="L2196"/>
      <c r="M2196"/>
      <c r="N2196"/>
      <c r="O2196"/>
      <c r="P2196"/>
      <c r="Q2196"/>
      <c r="R2196"/>
      <c r="S2196"/>
      <c r="T2196"/>
      <c r="U2196"/>
      <c r="V2196"/>
      <c r="W2196"/>
      <c r="X2196"/>
      <c r="Y2196"/>
      <c r="Z2196"/>
      <c r="AA2196"/>
      <c r="AB2196"/>
      <c r="AC2196"/>
      <c r="AD2196"/>
      <c r="AE2196"/>
      <c r="AF2196"/>
      <c r="AG2196"/>
      <c r="AH2196"/>
      <c r="AI2196"/>
      <c r="AJ2196"/>
      <c r="AK2196"/>
      <c r="AL2196"/>
    </row>
    <row r="2197" spans="1:38" ht="15.75" customHeight="1" outlineLevel="3" x14ac:dyDescent="0.2">
      <c r="A2197" s="10">
        <v>6</v>
      </c>
      <c r="B2197" s="10" t="s">
        <v>71</v>
      </c>
      <c r="C2197" s="10" t="s">
        <v>462</v>
      </c>
      <c r="D2197" s="10" t="s">
        <v>463</v>
      </c>
      <c r="E2197" s="11" t="str">
        <f t="array" ref="E2197">_xlfn.XLOOKUP(D2197,Insumos!B:B,Insumos!C:$C)</f>
        <v>KG</v>
      </c>
      <c r="F2197" s="14">
        <v>3.2</v>
      </c>
      <c r="G2197" s="92">
        <f t="array" ref="G2197">IF(B2197="insumo",_xlfn.XLOOKUP($D2197,Insumos!$B$1:$B$996,Insumos!$D$1:$D$996),"")</f>
        <v>11.33</v>
      </c>
      <c r="H2197" s="92">
        <v>36.256</v>
      </c>
      <c r="I2197" s="13">
        <v>0</v>
      </c>
      <c r="J2197" s="13">
        <v>0</v>
      </c>
      <c r="K2197" s="13"/>
      <c r="L2197"/>
      <c r="M2197"/>
      <c r="N2197"/>
      <c r="O2197"/>
      <c r="P2197"/>
      <c r="Q2197"/>
      <c r="R2197"/>
      <c r="S2197"/>
      <c r="T2197"/>
      <c r="U2197"/>
      <c r="V2197"/>
      <c r="W2197"/>
      <c r="X2197"/>
      <c r="Y2197"/>
      <c r="Z2197"/>
      <c r="AA2197"/>
      <c r="AB2197"/>
      <c r="AC2197"/>
      <c r="AD2197"/>
      <c r="AE2197"/>
      <c r="AF2197"/>
      <c r="AG2197"/>
      <c r="AH2197"/>
      <c r="AI2197"/>
      <c r="AJ2197"/>
      <c r="AK2197"/>
      <c r="AL2197"/>
    </row>
    <row r="2198" spans="1:38" ht="15.75" customHeight="1" outlineLevel="2" x14ac:dyDescent="0.2">
      <c r="A2198" s="1067">
        <v>1</v>
      </c>
      <c r="B2198" s="1067" t="s">
        <v>68</v>
      </c>
      <c r="C2198" s="1067" t="s">
        <v>464</v>
      </c>
      <c r="D2198" s="1067" t="s">
        <v>464</v>
      </c>
      <c r="E2198" s="1068" t="s">
        <v>70</v>
      </c>
      <c r="F2198" s="1067"/>
      <c r="G2198" s="1069" t="str">
        <f t="array" ref="G2198">IF(B2198="insumo",_xlfn.XLOOKUP($D2198,Insumos!$B$1:$B$996,Insumos!$D$1:$D$996),"")</f>
        <v/>
      </c>
      <c r="H2198" s="1069">
        <v>62.9226666666667</v>
      </c>
      <c r="I2198" s="1070">
        <v>0</v>
      </c>
      <c r="J2198" s="1070">
        <v>0</v>
      </c>
      <c r="K2198" s="1070"/>
      <c r="L2198"/>
      <c r="M2198"/>
      <c r="N2198"/>
      <c r="O2198"/>
      <c r="P2198"/>
      <c r="Q2198"/>
      <c r="R2198"/>
      <c r="S2198"/>
      <c r="T2198"/>
      <c r="U2198"/>
      <c r="V2198"/>
      <c r="W2198"/>
      <c r="X2198"/>
      <c r="Y2198"/>
      <c r="Z2198"/>
      <c r="AA2198"/>
      <c r="AB2198"/>
      <c r="AC2198"/>
      <c r="AD2198"/>
      <c r="AE2198"/>
      <c r="AF2198"/>
      <c r="AG2198"/>
      <c r="AH2198"/>
      <c r="AI2198"/>
      <c r="AJ2198"/>
      <c r="AK2198"/>
      <c r="AL2198"/>
    </row>
    <row r="2199" spans="1:38" ht="15.75" customHeight="1" outlineLevel="3" x14ac:dyDescent="0.2">
      <c r="A2199" s="10">
        <v>6</v>
      </c>
      <c r="B2199" s="10" t="s">
        <v>71</v>
      </c>
      <c r="C2199" s="10" t="s">
        <v>464</v>
      </c>
      <c r="D2199" s="10" t="s">
        <v>463</v>
      </c>
      <c r="E2199" s="11" t="str">
        <f t="array" ref="E2199">_xlfn.XLOOKUP(D2199,Insumos!B:B,Insumos!C:$C)</f>
        <v>KG</v>
      </c>
      <c r="F2199" s="14">
        <v>3.2</v>
      </c>
      <c r="G2199" s="92">
        <f t="array" ref="G2199">IF(B2199="insumo",_xlfn.XLOOKUP($D2199,Insumos!$B$1:$B$996,Insumos!$D$1:$D$996),"")</f>
        <v>11.33</v>
      </c>
      <c r="H2199" s="92">
        <v>36.256</v>
      </c>
      <c r="I2199" s="13">
        <v>0</v>
      </c>
      <c r="J2199" s="13">
        <v>0</v>
      </c>
      <c r="K2199" s="13"/>
      <c r="L2199"/>
      <c r="M2199"/>
      <c r="N2199"/>
      <c r="O2199"/>
      <c r="P2199"/>
      <c r="Q2199"/>
      <c r="R2199"/>
      <c r="S2199"/>
      <c r="T2199"/>
      <c r="U2199"/>
      <c r="V2199"/>
      <c r="W2199"/>
      <c r="X2199"/>
      <c r="Y2199"/>
      <c r="Z2199"/>
      <c r="AA2199"/>
      <c r="AB2199"/>
      <c r="AC2199"/>
      <c r="AD2199"/>
      <c r="AE2199"/>
      <c r="AF2199"/>
      <c r="AG2199"/>
      <c r="AH2199"/>
      <c r="AI2199"/>
      <c r="AJ2199"/>
      <c r="AK2199"/>
      <c r="AL2199"/>
    </row>
    <row r="2200" spans="1:38" ht="15.75" customHeight="1" outlineLevel="3" x14ac:dyDescent="0.2">
      <c r="A2200" s="10">
        <v>2</v>
      </c>
      <c r="B2200" s="10" t="s">
        <v>71</v>
      </c>
      <c r="C2200" s="10" t="s">
        <v>464</v>
      </c>
      <c r="D2200" s="10" t="s">
        <v>450</v>
      </c>
      <c r="E2200" s="11" t="str">
        <f t="array" ref="E2200">_xlfn.XLOOKUP(D2200,Insumos!B:B,Insumos!C:$C)</f>
        <v>L</v>
      </c>
      <c r="F2200" s="14">
        <v>0.4</v>
      </c>
      <c r="G2200" s="92">
        <f t="array" ref="G2200">IF(B2200="insumo",_xlfn.XLOOKUP($D2200,Insumos!$B$1:$B$996,Insumos!$D$1:$D$996),"")</f>
        <v>66.666666666666671</v>
      </c>
      <c r="H2200" s="92">
        <v>26.6666666666667</v>
      </c>
      <c r="I2200" s="13">
        <v>0</v>
      </c>
      <c r="J2200" s="13">
        <v>0</v>
      </c>
      <c r="K2200" s="13"/>
      <c r="L2200"/>
      <c r="M2200"/>
      <c r="N2200"/>
      <c r="O2200"/>
      <c r="P2200"/>
      <c r="Q2200"/>
      <c r="R2200"/>
      <c r="S2200"/>
      <c r="T2200"/>
      <c r="U2200"/>
      <c r="V2200"/>
      <c r="W2200"/>
      <c r="X2200"/>
      <c r="Y2200"/>
      <c r="Z2200"/>
      <c r="AA2200"/>
      <c r="AB2200"/>
      <c r="AC2200"/>
      <c r="AD2200"/>
      <c r="AE2200"/>
      <c r="AF2200"/>
      <c r="AG2200"/>
      <c r="AH2200"/>
      <c r="AI2200"/>
      <c r="AJ2200"/>
      <c r="AK2200"/>
      <c r="AL2200"/>
    </row>
    <row r="2201" spans="1:38" ht="15.75" customHeight="1" outlineLevel="2" x14ac:dyDescent="0.2">
      <c r="A2201" s="1067">
        <v>1</v>
      </c>
      <c r="B2201" s="1067" t="s">
        <v>68</v>
      </c>
      <c r="C2201" s="1067" t="s">
        <v>465</v>
      </c>
      <c r="D2201" s="1067" t="s">
        <v>465</v>
      </c>
      <c r="E2201" s="1068" t="s">
        <v>70</v>
      </c>
      <c r="F2201" s="1067"/>
      <c r="G2201" s="1069" t="str">
        <f t="array" ref="G2201">IF(B2201="insumo",_xlfn.XLOOKUP($D2201,Insumos!$B$1:$B$996,Insumos!$D$1:$D$996),"")</f>
        <v/>
      </c>
      <c r="H2201" s="1069">
        <v>35.133333333333297</v>
      </c>
      <c r="I2201" s="1070">
        <v>0</v>
      </c>
      <c r="J2201" s="1070">
        <v>0</v>
      </c>
      <c r="K2201" s="1070"/>
      <c r="L2201"/>
      <c r="M2201"/>
      <c r="N2201"/>
      <c r="O2201"/>
      <c r="P2201"/>
      <c r="Q2201"/>
      <c r="R2201"/>
      <c r="S2201"/>
      <c r="T2201"/>
      <c r="U2201"/>
      <c r="V2201"/>
      <c r="W2201"/>
      <c r="X2201"/>
      <c r="Y2201"/>
      <c r="Z2201"/>
      <c r="AA2201"/>
      <c r="AB2201"/>
      <c r="AC2201"/>
      <c r="AD2201"/>
      <c r="AE2201"/>
      <c r="AF2201"/>
      <c r="AG2201"/>
      <c r="AH2201"/>
      <c r="AI2201"/>
      <c r="AJ2201"/>
      <c r="AK2201"/>
      <c r="AL2201"/>
    </row>
    <row r="2202" spans="1:38" ht="15.75" customHeight="1" outlineLevel="3" x14ac:dyDescent="0.2">
      <c r="A2202" s="10">
        <v>1</v>
      </c>
      <c r="B2202" s="10" t="s">
        <v>71</v>
      </c>
      <c r="C2202" s="10" t="s">
        <v>465</v>
      </c>
      <c r="D2202" s="10" t="s">
        <v>466</v>
      </c>
      <c r="E2202" s="11" t="str">
        <f t="array" ref="E2202">_xlfn.XLOOKUP(D2202,Insumos!B:B,Insumos!C:$C)</f>
        <v>KG</v>
      </c>
      <c r="F2202" s="14">
        <v>1.2</v>
      </c>
      <c r="G2202" s="92">
        <f t="array" ref="G2202">IF(B2202="insumo",_xlfn.XLOOKUP($D2202,Insumos!$B$1:$B$996,Insumos!$D$1:$D$996),"")</f>
        <v>29.277777777777779</v>
      </c>
      <c r="H2202" s="92">
        <v>35.133333333333297</v>
      </c>
      <c r="I2202" s="13">
        <v>0</v>
      </c>
      <c r="J2202" s="13">
        <v>0</v>
      </c>
      <c r="K2202" s="13"/>
      <c r="L2202"/>
      <c r="M2202"/>
      <c r="N2202"/>
      <c r="O2202"/>
      <c r="P2202"/>
      <c r="Q2202"/>
      <c r="R2202"/>
      <c r="S2202"/>
      <c r="T2202"/>
      <c r="U2202"/>
      <c r="V2202"/>
      <c r="W2202"/>
      <c r="X2202"/>
      <c r="Y2202"/>
      <c r="Z2202"/>
      <c r="AA2202"/>
      <c r="AB2202"/>
      <c r="AC2202"/>
      <c r="AD2202"/>
      <c r="AE2202"/>
      <c r="AF2202"/>
      <c r="AG2202"/>
      <c r="AH2202"/>
      <c r="AI2202"/>
      <c r="AJ2202"/>
      <c r="AK2202"/>
      <c r="AL2202"/>
    </row>
    <row r="2203" spans="1:38" ht="15.75" customHeight="1" outlineLevel="2" x14ac:dyDescent="0.2">
      <c r="A2203" s="1067">
        <v>1</v>
      </c>
      <c r="B2203" s="1067" t="s">
        <v>68</v>
      </c>
      <c r="C2203" s="1067" t="s">
        <v>467</v>
      </c>
      <c r="D2203" s="1067" t="s">
        <v>467</v>
      </c>
      <c r="E2203" s="1068" t="s">
        <v>70</v>
      </c>
      <c r="F2203" s="1067"/>
      <c r="G2203" s="1069" t="str">
        <f t="array" ref="G2203">IF(B2203="insumo",_xlfn.XLOOKUP($D2203,Insumos!$B$1:$B$996,Insumos!$D$1:$D$996),"")</f>
        <v/>
      </c>
      <c r="H2203" s="1069">
        <v>40.17</v>
      </c>
      <c r="I2203" s="1070">
        <v>0</v>
      </c>
      <c r="J2203" s="1070">
        <v>0</v>
      </c>
      <c r="K2203" s="1070"/>
      <c r="L2203"/>
      <c r="M2203"/>
      <c r="N2203"/>
      <c r="O2203"/>
      <c r="P2203"/>
      <c r="Q2203"/>
      <c r="R2203"/>
      <c r="S2203"/>
      <c r="T2203"/>
      <c r="U2203"/>
      <c r="V2203"/>
      <c r="W2203"/>
      <c r="X2203"/>
      <c r="Y2203"/>
      <c r="Z2203"/>
      <c r="AA2203"/>
      <c r="AB2203"/>
      <c r="AC2203"/>
      <c r="AD2203"/>
      <c r="AE2203"/>
      <c r="AF2203"/>
      <c r="AG2203"/>
      <c r="AH2203"/>
      <c r="AI2203"/>
      <c r="AJ2203"/>
      <c r="AK2203"/>
      <c r="AL2203"/>
    </row>
    <row r="2204" spans="1:38" ht="15.75" customHeight="1" outlineLevel="3" x14ac:dyDescent="0.2">
      <c r="A2204" s="10">
        <v>1</v>
      </c>
      <c r="B2204" s="10" t="s">
        <v>71</v>
      </c>
      <c r="C2204" s="10" t="s">
        <v>467</v>
      </c>
      <c r="D2204" s="10" t="s">
        <v>468</v>
      </c>
      <c r="E2204" s="11" t="str">
        <f t="array" ref="E2204">_xlfn.XLOOKUP(D2204,Insumos!B:B,Insumos!C:$C)</f>
        <v>KG</v>
      </c>
      <c r="F2204" s="14">
        <v>1.56</v>
      </c>
      <c r="G2204" s="92">
        <f t="array" ref="G2204">IF(B2204="insumo",_xlfn.XLOOKUP($D2204,Insumos!$B$1:$B$996,Insumos!$D$1:$D$996),"")</f>
        <v>25.75</v>
      </c>
      <c r="H2204" s="92">
        <v>40.17</v>
      </c>
      <c r="I2204" s="13">
        <v>0</v>
      </c>
      <c r="J2204" s="13">
        <v>0</v>
      </c>
      <c r="K2204" s="13"/>
      <c r="L2204"/>
      <c r="M2204"/>
      <c r="N2204"/>
      <c r="O2204"/>
      <c r="P2204"/>
      <c r="Q2204"/>
      <c r="R2204"/>
      <c r="S2204"/>
      <c r="T2204"/>
      <c r="U2204"/>
      <c r="V2204"/>
      <c r="W2204"/>
      <c r="X2204"/>
      <c r="Y2204"/>
      <c r="Z2204"/>
      <c r="AA2204"/>
      <c r="AB2204"/>
      <c r="AC2204"/>
      <c r="AD2204"/>
      <c r="AE2204"/>
      <c r="AF2204"/>
      <c r="AG2204"/>
      <c r="AH2204"/>
      <c r="AI2204"/>
      <c r="AJ2204"/>
      <c r="AK2204"/>
      <c r="AL2204"/>
    </row>
    <row r="2205" spans="1:38" ht="15.75" customHeight="1" outlineLevel="2" x14ac:dyDescent="0.2">
      <c r="A2205" s="1067">
        <v>1</v>
      </c>
      <c r="B2205" s="1067" t="s">
        <v>68</v>
      </c>
      <c r="C2205" s="1067" t="s">
        <v>1683</v>
      </c>
      <c r="D2205" s="1067" t="s">
        <v>1683</v>
      </c>
      <c r="E2205" s="1068" t="s">
        <v>197</v>
      </c>
      <c r="F2205" s="1067"/>
      <c r="G2205" s="1069" t="str">
        <f t="array" ref="G2205">IF(B2205="insumo",_xlfn.XLOOKUP($D2205,Insumos!$B$1:$B$996,Insumos!$D$1:$D$996),"")</f>
        <v/>
      </c>
      <c r="H2205" s="1069">
        <v>8.7600149999999992</v>
      </c>
      <c r="I2205" s="1070">
        <v>675</v>
      </c>
      <c r="J2205" s="1070">
        <v>5913.0101249999998</v>
      </c>
      <c r="K2205" s="1070"/>
      <c r="L2205"/>
      <c r="M2205"/>
      <c r="N2205"/>
      <c r="O2205"/>
      <c r="P2205"/>
      <c r="Q2205"/>
      <c r="R2205"/>
      <c r="S2205"/>
      <c r="T2205"/>
      <c r="U2205"/>
      <c r="V2205"/>
      <c r="W2205"/>
      <c r="X2205"/>
      <c r="Y2205"/>
      <c r="Z2205"/>
      <c r="AA2205"/>
      <c r="AB2205"/>
      <c r="AC2205"/>
      <c r="AD2205"/>
      <c r="AE2205"/>
      <c r="AF2205"/>
      <c r="AG2205"/>
      <c r="AH2205"/>
      <c r="AI2205"/>
      <c r="AJ2205"/>
      <c r="AK2205"/>
      <c r="AL2205"/>
    </row>
    <row r="2206" spans="1:38" ht="15.75" customHeight="1" outlineLevel="3" x14ac:dyDescent="0.2">
      <c r="A2206" s="10">
        <v>6</v>
      </c>
      <c r="B2206" s="10" t="s">
        <v>71</v>
      </c>
      <c r="C2206" s="10" t="s">
        <v>1683</v>
      </c>
      <c r="D2206" s="10" t="s">
        <v>463</v>
      </c>
      <c r="E2206" s="11" t="str">
        <f t="array" ref="E2206">_xlfn.XLOOKUP(D2206,Insumos!B:B,Insumos!C:$C)</f>
        <v>KG</v>
      </c>
      <c r="F2206" s="14">
        <v>0.73850000000000005</v>
      </c>
      <c r="G2206" s="92">
        <f t="array" ref="G2206">IF(B2206="insumo",_xlfn.XLOOKUP($D2206,Insumos!$B$1:$B$996,Insumos!$D$1:$D$996),"")</f>
        <v>11.33</v>
      </c>
      <c r="H2206" s="92">
        <v>8.3672050000000002</v>
      </c>
      <c r="I2206" s="13">
        <v>675</v>
      </c>
      <c r="J2206" s="13">
        <v>5647.8633749999999</v>
      </c>
      <c r="K2206" s="13"/>
      <c r="L2206"/>
      <c r="M2206"/>
      <c r="N2206"/>
      <c r="O2206"/>
      <c r="P2206"/>
      <c r="Q2206"/>
      <c r="R2206"/>
      <c r="S2206"/>
      <c r="T2206"/>
      <c r="U2206"/>
      <c r="V2206"/>
      <c r="W2206"/>
      <c r="X2206"/>
      <c r="Y2206"/>
      <c r="Z2206"/>
      <c r="AA2206"/>
      <c r="AB2206"/>
      <c r="AC2206"/>
      <c r="AD2206"/>
      <c r="AE2206"/>
      <c r="AF2206"/>
      <c r="AG2206"/>
      <c r="AH2206"/>
      <c r="AI2206"/>
      <c r="AJ2206"/>
      <c r="AK2206"/>
      <c r="AL2206"/>
    </row>
    <row r="2207" spans="1:38" ht="15.75" customHeight="1" outlineLevel="3" x14ac:dyDescent="0.2">
      <c r="A2207" s="10">
        <v>1</v>
      </c>
      <c r="B2207" s="10" t="s">
        <v>71</v>
      </c>
      <c r="C2207" s="10" t="s">
        <v>1683</v>
      </c>
      <c r="D2207" s="10" t="s">
        <v>469</v>
      </c>
      <c r="E2207" s="11" t="str">
        <f t="array" ref="E2207">_xlfn.XLOOKUP(D2207,Insumos!B:B,Insumos!C:$C)</f>
        <v>M2</v>
      </c>
      <c r="F2207" s="14">
        <v>0.35709999999999997</v>
      </c>
      <c r="G2207" s="92">
        <f t="array" ref="G2207">IF(B2207="insumo",_xlfn.XLOOKUP($D2207,Insumos!$B$1:$B$996,Insumos!$D$1:$D$996),"")</f>
        <v>1.1000000000000001</v>
      </c>
      <c r="H2207" s="92">
        <v>0.39280999999999999</v>
      </c>
      <c r="I2207" s="13">
        <v>675</v>
      </c>
      <c r="J2207" s="13">
        <v>265.14675</v>
      </c>
      <c r="K2207" s="13"/>
      <c r="L2207"/>
      <c r="M2207"/>
      <c r="N2207"/>
      <c r="O2207"/>
      <c r="P2207"/>
      <c r="Q2207"/>
      <c r="R2207"/>
      <c r="S2207"/>
      <c r="T2207"/>
      <c r="U2207"/>
      <c r="V2207"/>
      <c r="W2207"/>
      <c r="X2207"/>
      <c r="Y2207"/>
      <c r="Z2207"/>
      <c r="AA2207"/>
      <c r="AB2207"/>
      <c r="AC2207"/>
      <c r="AD2207"/>
      <c r="AE2207"/>
      <c r="AF2207"/>
      <c r="AG2207"/>
      <c r="AH2207"/>
      <c r="AI2207"/>
      <c r="AJ2207"/>
      <c r="AK2207"/>
      <c r="AL2207"/>
    </row>
    <row r="2208" spans="1:38" ht="16.5" customHeight="1" outlineLevel="2" x14ac:dyDescent="0.2">
      <c r="A2208" s="1067">
        <v>1</v>
      </c>
      <c r="B2208" s="1067" t="s">
        <v>68</v>
      </c>
      <c r="C2208" s="1067" t="s">
        <v>1646</v>
      </c>
      <c r="D2208" s="1067" t="s">
        <v>1646</v>
      </c>
      <c r="E2208" s="1068" t="s">
        <v>197</v>
      </c>
      <c r="F2208" s="1067"/>
      <c r="G2208" s="1069" t="str">
        <f t="array" ref="G2208">IF(B2208="insumo",_xlfn.XLOOKUP($D2208,Insumos!$B$1:$B$996,Insumos!$D$1:$D$996),"")</f>
        <v/>
      </c>
      <c r="H2208" s="1069">
        <v>27.5</v>
      </c>
      <c r="I2208" s="1070">
        <v>0</v>
      </c>
      <c r="J2208" s="1070">
        <v>0</v>
      </c>
      <c r="K2208" s="1070"/>
      <c r="L2208"/>
      <c r="M2208"/>
      <c r="N2208"/>
      <c r="O2208"/>
      <c r="P2208"/>
      <c r="Q2208"/>
      <c r="R2208"/>
      <c r="S2208"/>
      <c r="T2208"/>
      <c r="U2208"/>
      <c r="V2208"/>
      <c r="W2208"/>
      <c r="X2208"/>
      <c r="Y2208"/>
      <c r="Z2208"/>
      <c r="AA2208"/>
      <c r="AB2208"/>
      <c r="AC2208"/>
      <c r="AD2208"/>
      <c r="AE2208"/>
      <c r="AF2208"/>
      <c r="AG2208"/>
      <c r="AH2208"/>
      <c r="AI2208"/>
      <c r="AJ2208"/>
      <c r="AK2208"/>
      <c r="AL2208"/>
    </row>
    <row r="2209" spans="1:38" ht="16.5" customHeight="1" outlineLevel="3" x14ac:dyDescent="0.2">
      <c r="A2209" s="10">
        <v>1</v>
      </c>
      <c r="B2209" s="10" t="s">
        <v>71</v>
      </c>
      <c r="C2209" s="10" t="s">
        <v>1646</v>
      </c>
      <c r="D2209" s="10" t="s">
        <v>1647</v>
      </c>
      <c r="E2209" s="11" t="str">
        <f t="array" ref="E2209">_xlfn.XLOOKUP(D2209,Insumos!B:B,Insumos!C:$C)</f>
        <v>KG</v>
      </c>
      <c r="F2209" s="14">
        <v>0.55000000000000004</v>
      </c>
      <c r="G2209" s="92">
        <f t="array" ref="G2209">IF(B2209="insumo",_xlfn.XLOOKUP($D2209,Insumos!$B$1:$B$996,Insumos!$D$1:$D$996),"")</f>
        <v>50</v>
      </c>
      <c r="H2209" s="92">
        <v>27.5</v>
      </c>
      <c r="I2209" s="13">
        <v>0</v>
      </c>
      <c r="J2209" s="13">
        <v>0</v>
      </c>
      <c r="K2209" s="13"/>
      <c r="L2209"/>
      <c r="M2209"/>
      <c r="N2209"/>
      <c r="O2209"/>
      <c r="P2209"/>
      <c r="Q2209"/>
      <c r="R2209"/>
      <c r="S2209"/>
      <c r="T2209"/>
      <c r="U2209"/>
      <c r="V2209"/>
      <c r="W2209"/>
      <c r="X2209"/>
      <c r="Y2209"/>
      <c r="Z2209"/>
      <c r="AA2209"/>
      <c r="AB2209"/>
      <c r="AC2209"/>
      <c r="AD2209"/>
      <c r="AE2209"/>
      <c r="AF2209"/>
      <c r="AG2209"/>
      <c r="AH2209"/>
      <c r="AI2209"/>
      <c r="AJ2209"/>
      <c r="AK2209"/>
      <c r="AL2209"/>
    </row>
    <row r="2210" spans="1:38" ht="16.5" customHeight="1" outlineLevel="2" x14ac:dyDescent="0.2">
      <c r="A2210" s="1067">
        <v>1</v>
      </c>
      <c r="B2210" s="1067" t="s">
        <v>68</v>
      </c>
      <c r="C2210" s="1067" t="s">
        <v>1670</v>
      </c>
      <c r="D2210" s="1067" t="s">
        <v>1670</v>
      </c>
      <c r="E2210" s="1068" t="s">
        <v>197</v>
      </c>
      <c r="F2210" s="1067"/>
      <c r="G2210" s="1069" t="str">
        <f t="array" ref="G2210">IF(B2210="insumo",_xlfn.XLOOKUP($D2210,Insumos!$B$1:$B$996,Insumos!$D$1:$D$996),"")</f>
        <v/>
      </c>
      <c r="H2210" s="1069">
        <v>65</v>
      </c>
      <c r="I2210" s="1070">
        <v>0</v>
      </c>
      <c r="J2210" s="1070">
        <v>0</v>
      </c>
      <c r="K2210" s="1070"/>
      <c r="L2210"/>
      <c r="M2210"/>
      <c r="N2210"/>
      <c r="O2210"/>
      <c r="P2210"/>
      <c r="Q2210"/>
      <c r="R2210"/>
      <c r="S2210"/>
      <c r="T2210"/>
      <c r="U2210"/>
      <c r="V2210"/>
      <c r="W2210"/>
      <c r="X2210"/>
      <c r="Y2210"/>
      <c r="Z2210"/>
      <c r="AA2210"/>
      <c r="AB2210"/>
      <c r="AC2210"/>
      <c r="AD2210"/>
      <c r="AE2210"/>
      <c r="AF2210"/>
      <c r="AG2210"/>
      <c r="AH2210"/>
      <c r="AI2210"/>
      <c r="AJ2210"/>
      <c r="AK2210"/>
      <c r="AL2210"/>
    </row>
    <row r="2211" spans="1:38" ht="16.5" customHeight="1" outlineLevel="3" x14ac:dyDescent="0.2">
      <c r="A2211" s="10">
        <v>1</v>
      </c>
      <c r="B2211" s="10" t="s">
        <v>71</v>
      </c>
      <c r="C2211" s="10" t="s">
        <v>1670</v>
      </c>
      <c r="D2211" s="10" t="s">
        <v>1669</v>
      </c>
      <c r="E2211" s="11" t="str">
        <f t="array" ref="E2211">_xlfn.XLOOKUP(D2211,Insumos!B:B,Insumos!C:$C)</f>
        <v>KG</v>
      </c>
      <c r="F2211" s="14">
        <v>0.2</v>
      </c>
      <c r="G2211" s="92">
        <f t="array" ref="G2211">IF(B2211="insumo",_xlfn.XLOOKUP($D2211,Insumos!$B$1:$B$996,Insumos!$D$1:$D$996),"")</f>
        <v>325</v>
      </c>
      <c r="H2211" s="92">
        <v>65</v>
      </c>
      <c r="I2211" s="13">
        <v>0</v>
      </c>
      <c r="J2211" s="13">
        <v>0</v>
      </c>
      <c r="K2211" s="13"/>
      <c r="L2211"/>
      <c r="M2211"/>
      <c r="N2211"/>
      <c r="O2211"/>
      <c r="P2211"/>
      <c r="Q2211"/>
      <c r="R2211"/>
      <c r="S2211"/>
      <c r="T2211"/>
      <c r="U2211"/>
      <c r="V2211"/>
      <c r="W2211"/>
      <c r="X2211"/>
      <c r="Y2211"/>
      <c r="Z2211"/>
      <c r="AA2211"/>
      <c r="AB2211"/>
      <c r="AC2211"/>
      <c r="AD2211"/>
      <c r="AE2211"/>
      <c r="AF2211"/>
      <c r="AG2211"/>
      <c r="AH2211"/>
      <c r="AI2211"/>
      <c r="AJ2211"/>
      <c r="AK2211"/>
      <c r="AL2211"/>
    </row>
    <row r="2212" spans="1:38" ht="12.75" outlineLevel="2" x14ac:dyDescent="0.2">
      <c r="A2212" s="1071">
        <v>1</v>
      </c>
      <c r="B2212" s="1071" t="s">
        <v>68</v>
      </c>
      <c r="C2212" s="1071" t="s">
        <v>1687</v>
      </c>
      <c r="D2212" s="1071" t="s">
        <v>1687</v>
      </c>
      <c r="E2212" s="1072" t="s">
        <v>70</v>
      </c>
      <c r="F2212" s="1071"/>
      <c r="G2212" s="1073" t="str">
        <f t="array" ref="G2212">IF(B2212="insumo",_xlfn.XLOOKUP($D2212,Insumos!$B$1:$B$996,Insumos!$D$1:$D$996),"")</f>
        <v/>
      </c>
      <c r="H2212" s="1073">
        <v>66</v>
      </c>
      <c r="I2212" s="1074">
        <v>0</v>
      </c>
      <c r="J2212" s="1074">
        <v>0</v>
      </c>
      <c r="K2212" s="1074"/>
      <c r="L2212"/>
      <c r="M2212"/>
      <c r="N2212"/>
      <c r="O2212"/>
      <c r="P2212"/>
      <c r="Q2212"/>
      <c r="R2212"/>
      <c r="S2212"/>
      <c r="T2212"/>
      <c r="U2212"/>
      <c r="V2212"/>
      <c r="W2212"/>
      <c r="X2212"/>
      <c r="Y2212"/>
      <c r="Z2212"/>
      <c r="AA2212"/>
      <c r="AB2212"/>
      <c r="AC2212"/>
      <c r="AD2212"/>
      <c r="AE2212"/>
      <c r="AF2212"/>
      <c r="AG2212"/>
      <c r="AH2212"/>
      <c r="AI2212"/>
      <c r="AJ2212"/>
      <c r="AK2212"/>
      <c r="AL2212"/>
    </row>
    <row r="2213" spans="1:38" ht="12.75" outlineLevel="3" x14ac:dyDescent="0.2">
      <c r="A2213" s="82">
        <v>2</v>
      </c>
      <c r="B2213" s="82" t="s">
        <v>71</v>
      </c>
      <c r="C2213" s="82" t="s">
        <v>1687</v>
      </c>
      <c r="D2213" s="82" t="s">
        <v>1688</v>
      </c>
      <c r="E2213" s="11" t="str">
        <f t="array" ref="E2213">_xlfn.XLOOKUP(D2213,Insumos!B:B,Insumos!C:$C)</f>
        <v>KG</v>
      </c>
      <c r="F2213" s="86">
        <v>3</v>
      </c>
      <c r="G2213" s="92">
        <f t="array" ref="G2213">IF(B2213="insumo",_xlfn.XLOOKUP($D2213,Insumos!$B$1:$B$996,Insumos!$D$1:$D$996),"")</f>
        <v>22</v>
      </c>
      <c r="H2213" s="92">
        <v>66</v>
      </c>
      <c r="I2213" s="84">
        <v>0</v>
      </c>
      <c r="J2213" s="84">
        <v>0</v>
      </c>
      <c r="K2213" s="84"/>
      <c r="L2213"/>
      <c r="M2213"/>
      <c r="N2213"/>
      <c r="O2213"/>
      <c r="P2213"/>
      <c r="Q2213"/>
      <c r="R2213"/>
      <c r="S2213"/>
      <c r="T2213"/>
      <c r="U2213"/>
      <c r="V2213"/>
      <c r="W2213"/>
      <c r="X2213"/>
      <c r="Y2213"/>
      <c r="Z2213"/>
      <c r="AA2213"/>
      <c r="AB2213"/>
      <c r="AC2213"/>
      <c r="AD2213"/>
      <c r="AE2213"/>
      <c r="AF2213"/>
      <c r="AG2213"/>
      <c r="AH2213"/>
      <c r="AI2213"/>
      <c r="AJ2213"/>
      <c r="AK2213"/>
      <c r="AL2213"/>
    </row>
    <row r="2214" spans="1:38" ht="12.75" outlineLevel="2" x14ac:dyDescent="0.2">
      <c r="A2214" s="1071">
        <v>1</v>
      </c>
      <c r="B2214" s="1071" t="s">
        <v>68</v>
      </c>
      <c r="C2214" s="1071" t="s">
        <v>1689</v>
      </c>
      <c r="D2214" s="1071" t="s">
        <v>1689</v>
      </c>
      <c r="E2214" s="1072" t="s">
        <v>70</v>
      </c>
      <c r="F2214" s="1071"/>
      <c r="G2214" s="1073" t="str">
        <f t="array" ref="G2214">IF(B2214="insumo",_xlfn.XLOOKUP($D2214,Insumos!$B$1:$B$996,Insumos!$D$1:$D$996),"")</f>
        <v/>
      </c>
      <c r="H2214" s="1073">
        <v>75</v>
      </c>
      <c r="I2214" s="1074">
        <v>0</v>
      </c>
      <c r="J2214" s="1074">
        <v>0</v>
      </c>
      <c r="K2214" s="1074"/>
      <c r="L2214"/>
      <c r="M2214"/>
      <c r="N2214"/>
      <c r="O2214"/>
      <c r="P2214"/>
      <c r="Q2214"/>
      <c r="R2214"/>
      <c r="S2214"/>
      <c r="T2214"/>
      <c r="U2214"/>
      <c r="V2214"/>
      <c r="W2214"/>
      <c r="X2214"/>
      <c r="Y2214"/>
      <c r="Z2214"/>
      <c r="AA2214"/>
      <c r="AB2214"/>
      <c r="AC2214"/>
      <c r="AD2214"/>
      <c r="AE2214"/>
      <c r="AF2214"/>
      <c r="AG2214"/>
      <c r="AH2214"/>
      <c r="AI2214"/>
      <c r="AJ2214"/>
      <c r="AK2214"/>
      <c r="AL2214"/>
    </row>
    <row r="2215" spans="1:38" ht="12.75" outlineLevel="3" x14ac:dyDescent="0.2">
      <c r="A2215" s="82">
        <v>1</v>
      </c>
      <c r="B2215" s="82" t="s">
        <v>71</v>
      </c>
      <c r="C2215" s="82" t="s">
        <v>1689</v>
      </c>
      <c r="D2215" s="82" t="s">
        <v>1690</v>
      </c>
      <c r="E2215" s="11" t="str">
        <f t="array" ref="E2215">_xlfn.XLOOKUP(D2215,Insumos!B:B,Insumos!C:$C)</f>
        <v>KG</v>
      </c>
      <c r="F2215" s="86">
        <v>3</v>
      </c>
      <c r="G2215" s="92">
        <f t="array" ref="G2215">IF(B2215="insumo",_xlfn.XLOOKUP($D2215,Insumos!$B$1:$B$996,Insumos!$D$1:$D$996),"")</f>
        <v>25</v>
      </c>
      <c r="H2215" s="92">
        <v>75</v>
      </c>
      <c r="I2215" s="84">
        <v>0</v>
      </c>
      <c r="J2215" s="84">
        <v>0</v>
      </c>
      <c r="K2215" s="84"/>
      <c r="L2215"/>
      <c r="M2215"/>
      <c r="N2215"/>
      <c r="O2215"/>
      <c r="P2215"/>
      <c r="Q2215"/>
      <c r="R2215"/>
      <c r="S2215"/>
      <c r="T2215"/>
      <c r="U2215"/>
      <c r="V2215"/>
      <c r="W2215"/>
      <c r="X2215"/>
      <c r="Y2215"/>
      <c r="Z2215"/>
      <c r="AA2215"/>
      <c r="AB2215"/>
      <c r="AC2215"/>
      <c r="AD2215"/>
      <c r="AE2215"/>
      <c r="AF2215"/>
      <c r="AG2215"/>
      <c r="AH2215"/>
      <c r="AI2215"/>
      <c r="AJ2215"/>
      <c r="AK2215"/>
      <c r="AL2215"/>
    </row>
    <row r="2216" spans="1:38" ht="12.75" outlineLevel="2" x14ac:dyDescent="0.2">
      <c r="A2216" s="1071">
        <v>1</v>
      </c>
      <c r="B2216" s="1071" t="s">
        <v>68</v>
      </c>
      <c r="C2216" s="1071" t="s">
        <v>1691</v>
      </c>
      <c r="D2216" s="1071" t="s">
        <v>1691</v>
      </c>
      <c r="E2216" s="1072" t="s">
        <v>70</v>
      </c>
      <c r="F2216" s="1071"/>
      <c r="G2216" s="1073" t="str">
        <f t="array" ref="G2216">IF(B2216="insumo",_xlfn.XLOOKUP($D2216,Insumos!$B$1:$B$996,Insumos!$D$1:$D$996),"")</f>
        <v/>
      </c>
      <c r="H2216" s="1073">
        <v>108</v>
      </c>
      <c r="I2216" s="1074">
        <v>0</v>
      </c>
      <c r="J2216" s="1074">
        <v>0</v>
      </c>
      <c r="K2216" s="1074"/>
      <c r="L2216"/>
      <c r="M2216"/>
      <c r="N2216"/>
      <c r="O2216"/>
      <c r="P2216"/>
      <c r="Q2216"/>
      <c r="R2216"/>
      <c r="S2216"/>
      <c r="T2216"/>
      <c r="U2216"/>
      <c r="V2216"/>
      <c r="W2216"/>
      <c r="X2216"/>
      <c r="Y2216"/>
      <c r="Z2216"/>
      <c r="AA2216"/>
      <c r="AB2216"/>
      <c r="AC2216"/>
      <c r="AD2216"/>
      <c r="AE2216"/>
      <c r="AF2216"/>
      <c r="AG2216"/>
      <c r="AH2216"/>
      <c r="AI2216"/>
      <c r="AJ2216"/>
      <c r="AK2216"/>
      <c r="AL2216"/>
    </row>
    <row r="2217" spans="1:38" ht="12.75" outlineLevel="3" x14ac:dyDescent="0.2">
      <c r="A2217" s="82">
        <v>3</v>
      </c>
      <c r="B2217" s="82" t="s">
        <v>71</v>
      </c>
      <c r="C2217" s="82" t="s">
        <v>1691</v>
      </c>
      <c r="D2217" s="82" t="s">
        <v>1692</v>
      </c>
      <c r="E2217" s="11" t="str">
        <f t="array" ref="E2217">_xlfn.XLOOKUP(D2217,Insumos!B:B,Insumos!C:$C)</f>
        <v>KG</v>
      </c>
      <c r="F2217" s="86">
        <v>3</v>
      </c>
      <c r="G2217" s="92">
        <f t="array" ref="G2217">IF(B2217="insumo",_xlfn.XLOOKUP($D2217,Insumos!$B$1:$B$996,Insumos!$D$1:$D$996),"")</f>
        <v>30</v>
      </c>
      <c r="H2217" s="92">
        <v>90</v>
      </c>
      <c r="I2217" s="84">
        <v>0</v>
      </c>
      <c r="J2217" s="84">
        <v>0</v>
      </c>
      <c r="K2217" s="84"/>
      <c r="L2217"/>
      <c r="M2217"/>
      <c r="N2217"/>
      <c r="O2217"/>
      <c r="P2217"/>
      <c r="Q2217"/>
      <c r="R2217"/>
      <c r="S2217"/>
      <c r="T2217"/>
      <c r="U2217"/>
      <c r="V2217"/>
      <c r="W2217"/>
      <c r="X2217"/>
      <c r="Y2217"/>
      <c r="Z2217"/>
      <c r="AA2217"/>
      <c r="AB2217"/>
      <c r="AC2217"/>
      <c r="AD2217"/>
      <c r="AE2217"/>
      <c r="AF2217"/>
      <c r="AG2217"/>
      <c r="AH2217"/>
      <c r="AI2217"/>
      <c r="AJ2217"/>
      <c r="AK2217"/>
      <c r="AL2217"/>
    </row>
    <row r="2218" spans="1:38" ht="12.75" outlineLevel="3" x14ac:dyDescent="0.2">
      <c r="A2218" s="82">
        <v>7</v>
      </c>
      <c r="B2218" s="82" t="s">
        <v>71</v>
      </c>
      <c r="C2218" s="82" t="s">
        <v>1691</v>
      </c>
      <c r="D2218" s="82" t="s">
        <v>1693</v>
      </c>
      <c r="E2218" s="11" t="str">
        <f t="array" ref="E2218">_xlfn.XLOOKUP(D2218,Insumos!B:B,Insumos!C:$C)</f>
        <v>KG</v>
      </c>
      <c r="F2218" s="86">
        <v>2</v>
      </c>
      <c r="G2218" s="92">
        <f t="array" ref="G2218">IF(B2218="insumo",_xlfn.XLOOKUP($D2218,Insumos!$B$1:$B$996,Insumos!$D$1:$D$996),"")</f>
        <v>9</v>
      </c>
      <c r="H2218" s="92">
        <v>18</v>
      </c>
      <c r="I2218" s="84">
        <v>0</v>
      </c>
      <c r="J2218" s="84">
        <v>0</v>
      </c>
      <c r="K2218" s="84"/>
      <c r="L2218"/>
      <c r="M2218"/>
      <c r="N2218"/>
      <c r="O2218"/>
      <c r="P2218"/>
      <c r="Q2218"/>
      <c r="R2218"/>
      <c r="S2218"/>
      <c r="T2218"/>
      <c r="U2218"/>
      <c r="V2218"/>
      <c r="W2218"/>
      <c r="X2218"/>
      <c r="Y2218"/>
      <c r="Z2218"/>
      <c r="AA2218"/>
      <c r="AB2218"/>
      <c r="AC2218"/>
      <c r="AD2218"/>
      <c r="AE2218"/>
      <c r="AF2218"/>
      <c r="AG2218"/>
      <c r="AH2218"/>
      <c r="AI2218"/>
      <c r="AJ2218"/>
      <c r="AK2218"/>
      <c r="AL2218"/>
    </row>
    <row r="2219" spans="1:38" ht="12.75" outlineLevel="2" x14ac:dyDescent="0.2">
      <c r="A2219" s="1071">
        <v>1</v>
      </c>
      <c r="B2219" s="1071" t="s">
        <v>68</v>
      </c>
      <c r="C2219" s="1071" t="s">
        <v>1694</v>
      </c>
      <c r="D2219" s="1071" t="s">
        <v>1694</v>
      </c>
      <c r="E2219" s="1072" t="s">
        <v>70</v>
      </c>
      <c r="F2219" s="1071"/>
      <c r="G2219" s="1073" t="str">
        <f t="array" ref="G2219">IF(B2219="insumo",_xlfn.XLOOKUP($D2219,Insumos!$B$1:$B$996,Insumos!$D$1:$D$996),"")</f>
        <v/>
      </c>
      <c r="H2219" s="1073">
        <v>29.6666666666667</v>
      </c>
      <c r="I2219" s="1074">
        <v>0</v>
      </c>
      <c r="J2219" s="1074">
        <v>0</v>
      </c>
      <c r="K2219" s="1074"/>
      <c r="L2219"/>
      <c r="M2219"/>
      <c r="N2219"/>
      <c r="O2219"/>
      <c r="P2219"/>
      <c r="Q2219"/>
      <c r="R2219"/>
      <c r="S2219"/>
      <c r="T2219"/>
      <c r="U2219"/>
      <c r="V2219"/>
      <c r="W2219"/>
      <c r="X2219"/>
      <c r="Y2219"/>
      <c r="Z2219"/>
      <c r="AA2219"/>
      <c r="AB2219"/>
      <c r="AC2219"/>
      <c r="AD2219"/>
      <c r="AE2219"/>
      <c r="AF2219"/>
      <c r="AG2219"/>
      <c r="AH2219"/>
      <c r="AI2219"/>
      <c r="AJ2219"/>
      <c r="AK2219"/>
      <c r="AL2219"/>
    </row>
    <row r="2220" spans="1:38" ht="12.75" outlineLevel="3" x14ac:dyDescent="0.2">
      <c r="A2220" s="82">
        <v>2</v>
      </c>
      <c r="B2220" s="82" t="s">
        <v>71</v>
      </c>
      <c r="C2220" s="82" t="s">
        <v>1694</v>
      </c>
      <c r="D2220" s="82" t="s">
        <v>1695</v>
      </c>
      <c r="E2220" s="11" t="str">
        <f t="array" ref="E2220">_xlfn.XLOOKUP(D2220,Insumos!B:B,Insumos!C:$C)</f>
        <v>KG</v>
      </c>
      <c r="F2220" s="86">
        <v>3</v>
      </c>
      <c r="G2220" s="92">
        <f t="array" ref="G2220">IF(B2220="insumo",_xlfn.XLOOKUP($D2220,Insumos!$B$1:$B$996,Insumos!$D$1:$D$996),"")</f>
        <v>9.8888888888888893</v>
      </c>
      <c r="H2220" s="92">
        <v>29.6666666666667</v>
      </c>
      <c r="I2220" s="84">
        <v>0</v>
      </c>
      <c r="J2220" s="84">
        <v>0</v>
      </c>
      <c r="K2220" s="84"/>
      <c r="L2220"/>
      <c r="M2220"/>
      <c r="N2220"/>
      <c r="O2220"/>
      <c r="P2220"/>
      <c r="Q2220"/>
      <c r="R2220"/>
      <c r="S2220"/>
      <c r="T2220"/>
      <c r="U2220"/>
      <c r="V2220"/>
      <c r="W2220"/>
      <c r="X2220"/>
      <c r="Y2220"/>
      <c r="Z2220"/>
      <c r="AA2220"/>
      <c r="AB2220"/>
      <c r="AC2220"/>
      <c r="AD2220"/>
      <c r="AE2220"/>
      <c r="AF2220"/>
      <c r="AG2220"/>
      <c r="AH2220"/>
      <c r="AI2220"/>
      <c r="AJ2220"/>
      <c r="AK2220"/>
      <c r="AL2220"/>
    </row>
    <row r="2221" spans="1:38" ht="12.75" outlineLevel="2" x14ac:dyDescent="0.2">
      <c r="A2221" s="1071">
        <v>1</v>
      </c>
      <c r="B2221" s="1071" t="s">
        <v>68</v>
      </c>
      <c r="C2221" s="1071" t="s">
        <v>1696</v>
      </c>
      <c r="D2221" s="1071" t="s">
        <v>1696</v>
      </c>
      <c r="E2221" s="1072" t="s">
        <v>70</v>
      </c>
      <c r="F2221" s="1071"/>
      <c r="G2221" s="1073" t="str">
        <f t="array" ref="G2221">IF(B2221="insumo",_xlfn.XLOOKUP($D2221,Insumos!$B$1:$B$996,Insumos!$D$1:$D$996),"")</f>
        <v/>
      </c>
      <c r="H2221" s="1073">
        <v>95.6666666666667</v>
      </c>
      <c r="I2221" s="1074">
        <v>0</v>
      </c>
      <c r="J2221" s="1074">
        <v>0</v>
      </c>
      <c r="K2221" s="1074"/>
      <c r="L2221"/>
      <c r="M2221"/>
      <c r="N2221"/>
      <c r="O2221"/>
      <c r="P2221"/>
      <c r="Q2221"/>
      <c r="R2221"/>
      <c r="S2221"/>
      <c r="T2221"/>
      <c r="U2221"/>
      <c r="V2221"/>
      <c r="W2221"/>
      <c r="X2221"/>
      <c r="Y2221"/>
      <c r="Z2221"/>
      <c r="AA2221"/>
      <c r="AB2221"/>
      <c r="AC2221"/>
      <c r="AD2221"/>
      <c r="AE2221"/>
      <c r="AF2221"/>
      <c r="AG2221"/>
      <c r="AH2221"/>
      <c r="AI2221"/>
      <c r="AJ2221"/>
      <c r="AK2221"/>
      <c r="AL2221"/>
    </row>
    <row r="2222" spans="1:38" ht="12.75" outlineLevel="3" x14ac:dyDescent="0.2">
      <c r="A2222" s="82">
        <v>1</v>
      </c>
      <c r="B2222" s="82" t="s">
        <v>71</v>
      </c>
      <c r="C2222" s="82" t="s">
        <v>1696</v>
      </c>
      <c r="D2222" s="82" t="s">
        <v>1697</v>
      </c>
      <c r="E2222" s="11" t="str">
        <f t="array" ref="E2222">_xlfn.XLOOKUP(D2222,Insumos!B:B,Insumos!C:$C)</f>
        <v>KG</v>
      </c>
      <c r="F2222" s="86">
        <v>3</v>
      </c>
      <c r="G2222" s="92">
        <f t="array" ref="G2222">IF(B2222="insumo",_xlfn.XLOOKUP($D2222,Insumos!$B$1:$B$996,Insumos!$D$1:$D$996),"")</f>
        <v>9.8888888888888893</v>
      </c>
      <c r="H2222" s="92">
        <v>29.6666666666667</v>
      </c>
      <c r="I2222" s="84">
        <v>0</v>
      </c>
      <c r="J2222" s="84">
        <v>0</v>
      </c>
      <c r="K2222" s="84"/>
      <c r="L2222"/>
      <c r="M2222"/>
      <c r="N2222"/>
      <c r="O2222"/>
      <c r="P2222"/>
      <c r="Q2222"/>
      <c r="R2222"/>
      <c r="S2222"/>
      <c r="T2222"/>
      <c r="U2222"/>
      <c r="V2222"/>
      <c r="W2222"/>
      <c r="X2222"/>
      <c r="Y2222"/>
      <c r="Z2222"/>
      <c r="AA2222"/>
      <c r="AB2222"/>
      <c r="AC2222"/>
      <c r="AD2222"/>
      <c r="AE2222"/>
      <c r="AF2222"/>
      <c r="AG2222"/>
      <c r="AH2222"/>
      <c r="AI2222"/>
      <c r="AJ2222"/>
      <c r="AK2222"/>
      <c r="AL2222"/>
    </row>
    <row r="2223" spans="1:38" ht="12.75" outlineLevel="3" x14ac:dyDescent="0.2">
      <c r="A2223" s="82">
        <v>2</v>
      </c>
      <c r="B2223" s="82" t="s">
        <v>71</v>
      </c>
      <c r="C2223" s="82" t="s">
        <v>1696</v>
      </c>
      <c r="D2223" s="82" t="s">
        <v>1698</v>
      </c>
      <c r="E2223" s="11" t="str">
        <f t="array" ref="E2223">_xlfn.XLOOKUP(D2223,Insumos!B:B,Insumos!C:$C)</f>
        <v>KG</v>
      </c>
      <c r="F2223" s="86">
        <v>3</v>
      </c>
      <c r="G2223" s="92">
        <f t="array" ref="G2223">IF(B2223="insumo",_xlfn.XLOOKUP($D2223,Insumos!$B$1:$B$996,Insumos!$D$1:$D$996),"")</f>
        <v>22</v>
      </c>
      <c r="H2223" s="92">
        <v>66</v>
      </c>
      <c r="I2223" s="84">
        <v>0</v>
      </c>
      <c r="J2223" s="84">
        <v>0</v>
      </c>
      <c r="K2223" s="84"/>
      <c r="L2223"/>
      <c r="M2223"/>
      <c r="N2223"/>
      <c r="O2223"/>
      <c r="P2223"/>
      <c r="Q2223"/>
      <c r="R2223"/>
      <c r="S2223"/>
      <c r="T2223"/>
      <c r="U2223"/>
      <c r="V2223"/>
      <c r="W2223"/>
      <c r="X2223"/>
      <c r="Y2223"/>
      <c r="Z2223"/>
      <c r="AA2223"/>
      <c r="AB2223"/>
      <c r="AC2223"/>
      <c r="AD2223"/>
      <c r="AE2223"/>
      <c r="AF2223"/>
      <c r="AG2223"/>
      <c r="AH2223"/>
      <c r="AI2223"/>
      <c r="AJ2223"/>
      <c r="AK2223"/>
      <c r="AL2223"/>
    </row>
    <row r="2224" spans="1:38" ht="12.75" outlineLevel="2" x14ac:dyDescent="0.2">
      <c r="A2224" s="1071">
        <v>1</v>
      </c>
      <c r="B2224" s="1071" t="s">
        <v>68</v>
      </c>
      <c r="C2224" s="1071" t="s">
        <v>1699</v>
      </c>
      <c r="D2224" s="1071" t="s">
        <v>1699</v>
      </c>
      <c r="E2224" s="1072" t="s">
        <v>70</v>
      </c>
      <c r="F2224" s="1071"/>
      <c r="G2224" s="1073" t="str">
        <f t="array" ref="G2224">IF(B2224="insumo",_xlfn.XLOOKUP($D2224,Insumos!$B$1:$B$996,Insumos!$D$1:$D$996),"")</f>
        <v/>
      </c>
      <c r="H2224" s="1073">
        <v>39.5555555555556</v>
      </c>
      <c r="I2224" s="1074">
        <v>0</v>
      </c>
      <c r="J2224" s="1074">
        <v>0</v>
      </c>
      <c r="K2224" s="1074"/>
      <c r="L2224"/>
      <c r="M2224"/>
      <c r="N2224"/>
      <c r="O2224"/>
      <c r="P2224"/>
      <c r="Q2224"/>
      <c r="R2224"/>
      <c r="S2224"/>
      <c r="T2224"/>
      <c r="U2224"/>
      <c r="V2224"/>
      <c r="W2224"/>
      <c r="X2224"/>
      <c r="Y2224"/>
      <c r="Z2224"/>
      <c r="AA2224"/>
      <c r="AB2224"/>
      <c r="AC2224"/>
      <c r="AD2224"/>
      <c r="AE2224"/>
      <c r="AF2224"/>
      <c r="AG2224"/>
      <c r="AH2224"/>
      <c r="AI2224"/>
      <c r="AJ2224"/>
      <c r="AK2224"/>
      <c r="AL2224"/>
    </row>
    <row r="2225" spans="1:38" ht="12.75" outlineLevel="3" x14ac:dyDescent="0.2">
      <c r="A2225" s="82">
        <v>2</v>
      </c>
      <c r="B2225" s="82" t="s">
        <v>71</v>
      </c>
      <c r="C2225" s="82" t="s">
        <v>1699</v>
      </c>
      <c r="D2225" s="82" t="s">
        <v>1695</v>
      </c>
      <c r="E2225" s="11" t="str">
        <f t="array" ref="E2225">_xlfn.XLOOKUP(D2225,Insumos!B:B,Insumos!C:$C)</f>
        <v>KG</v>
      </c>
      <c r="F2225" s="86">
        <v>4</v>
      </c>
      <c r="G2225" s="92">
        <f t="array" ref="G2225">IF(B2225="insumo",_xlfn.XLOOKUP($D2225,Insumos!$B$1:$B$996,Insumos!$D$1:$D$996),"")</f>
        <v>9.8888888888888893</v>
      </c>
      <c r="H2225" s="92">
        <v>39.5555555555556</v>
      </c>
      <c r="I2225" s="84">
        <v>0</v>
      </c>
      <c r="J2225" s="84">
        <v>0</v>
      </c>
      <c r="K2225" s="84"/>
      <c r="L2225"/>
      <c r="M2225"/>
      <c r="N2225"/>
      <c r="O2225"/>
      <c r="P2225"/>
      <c r="Q2225"/>
      <c r="R2225"/>
      <c r="S2225"/>
      <c r="T2225"/>
      <c r="U2225"/>
      <c r="V2225"/>
      <c r="W2225"/>
      <c r="X2225"/>
      <c r="Y2225"/>
      <c r="Z2225"/>
      <c r="AA2225"/>
      <c r="AB2225"/>
      <c r="AC2225"/>
      <c r="AD2225"/>
      <c r="AE2225"/>
      <c r="AF2225"/>
      <c r="AG2225"/>
      <c r="AH2225"/>
      <c r="AI2225"/>
      <c r="AJ2225"/>
      <c r="AK2225"/>
      <c r="AL2225"/>
    </row>
    <row r="2226" spans="1:38" ht="12.75" outlineLevel="2" x14ac:dyDescent="0.2">
      <c r="A2226" s="1071">
        <v>1</v>
      </c>
      <c r="B2226" s="1071" t="s">
        <v>68</v>
      </c>
      <c r="C2226" s="1071" t="s">
        <v>1700</v>
      </c>
      <c r="D2226" s="1071" t="s">
        <v>1700</v>
      </c>
      <c r="E2226" s="1072" t="s">
        <v>70</v>
      </c>
      <c r="F2226" s="1071"/>
      <c r="G2226" s="1073" t="str">
        <f t="array" ref="G2226">IF(B2226="insumo",_xlfn.XLOOKUP($D2226,Insumos!$B$1:$B$996,Insumos!$D$1:$D$996),"")</f>
        <v/>
      </c>
      <c r="H2226" s="1073">
        <v>39.5555555555556</v>
      </c>
      <c r="I2226" s="1074">
        <v>0</v>
      </c>
      <c r="J2226" s="1074">
        <v>0</v>
      </c>
      <c r="K2226" s="1074"/>
      <c r="L2226"/>
      <c r="M2226"/>
      <c r="N2226"/>
      <c r="O2226"/>
      <c r="P2226"/>
      <c r="Q2226"/>
      <c r="R2226"/>
      <c r="S2226"/>
      <c r="T2226"/>
      <c r="U2226"/>
      <c r="V2226"/>
      <c r="W2226"/>
      <c r="X2226"/>
      <c r="Y2226"/>
      <c r="Z2226"/>
      <c r="AA2226"/>
      <c r="AB2226"/>
      <c r="AC2226"/>
      <c r="AD2226"/>
      <c r="AE2226"/>
      <c r="AF2226"/>
      <c r="AG2226"/>
      <c r="AH2226"/>
      <c r="AI2226"/>
      <c r="AJ2226"/>
      <c r="AK2226"/>
      <c r="AL2226"/>
    </row>
    <row r="2227" spans="1:38" ht="12.75" outlineLevel="3" x14ac:dyDescent="0.2">
      <c r="A2227" s="82">
        <v>1</v>
      </c>
      <c r="B2227" s="82" t="s">
        <v>71</v>
      </c>
      <c r="C2227" s="82" t="s">
        <v>1700</v>
      </c>
      <c r="D2227" s="82" t="s">
        <v>1701</v>
      </c>
      <c r="E2227" s="11" t="str">
        <f t="array" ref="E2227">_xlfn.XLOOKUP(D2227,Insumos!B:B,Insumos!C:$C)</f>
        <v>KG</v>
      </c>
      <c r="F2227" s="86">
        <v>4</v>
      </c>
      <c r="G2227" s="92">
        <f t="array" ref="G2227">IF(B2227="insumo",_xlfn.XLOOKUP($D2227,Insumos!$B$1:$B$996,Insumos!$D$1:$D$996),"")</f>
        <v>9.8888888888888893</v>
      </c>
      <c r="H2227" s="92">
        <v>39.5555555555556</v>
      </c>
      <c r="I2227" s="84">
        <v>0</v>
      </c>
      <c r="J2227" s="84">
        <v>0</v>
      </c>
      <c r="K2227" s="84"/>
      <c r="L2227"/>
      <c r="M2227"/>
      <c r="N2227"/>
      <c r="O2227"/>
      <c r="P2227"/>
      <c r="Q2227"/>
      <c r="R2227"/>
      <c r="S2227"/>
      <c r="T2227"/>
      <c r="U2227"/>
      <c r="V2227"/>
      <c r="W2227"/>
      <c r="X2227"/>
      <c r="Y2227"/>
      <c r="Z2227"/>
      <c r="AA2227"/>
      <c r="AB2227"/>
      <c r="AC2227"/>
      <c r="AD2227"/>
      <c r="AE2227"/>
      <c r="AF2227"/>
      <c r="AG2227"/>
      <c r="AH2227"/>
      <c r="AI2227"/>
      <c r="AJ2227"/>
      <c r="AK2227"/>
      <c r="AL2227"/>
    </row>
    <row r="2228" spans="1:38" ht="12.75" outlineLevel="2" x14ac:dyDescent="0.2">
      <c r="A2228" s="1071">
        <v>1</v>
      </c>
      <c r="B2228" s="1071" t="s">
        <v>68</v>
      </c>
      <c r="C2228" s="1071" t="s">
        <v>1702</v>
      </c>
      <c r="D2228" s="1071" t="s">
        <v>1702</v>
      </c>
      <c r="E2228" s="1072" t="s">
        <v>70</v>
      </c>
      <c r="F2228" s="1071"/>
      <c r="G2228" s="1073" t="str">
        <f t="array" ref="G2228">IF(B2228="insumo",_xlfn.XLOOKUP($D2228,Insumos!$B$1:$B$996,Insumos!$D$1:$D$996),"")</f>
        <v/>
      </c>
      <c r="H2228" s="1073">
        <v>72</v>
      </c>
      <c r="I2228" s="1074">
        <v>0</v>
      </c>
      <c r="J2228" s="1074">
        <v>0</v>
      </c>
      <c r="K2228" s="1074"/>
      <c r="L2228"/>
      <c r="M2228"/>
      <c r="N2228"/>
      <c r="O2228"/>
      <c r="P2228"/>
      <c r="Q2228"/>
      <c r="R2228"/>
      <c r="S2228"/>
      <c r="T2228"/>
      <c r="U2228"/>
      <c r="V2228"/>
      <c r="W2228"/>
      <c r="X2228"/>
      <c r="Y2228"/>
      <c r="Z2228"/>
      <c r="AA2228"/>
      <c r="AB2228"/>
      <c r="AC2228"/>
      <c r="AD2228"/>
      <c r="AE2228"/>
      <c r="AF2228"/>
      <c r="AG2228"/>
      <c r="AH2228"/>
      <c r="AI2228"/>
      <c r="AJ2228"/>
      <c r="AK2228"/>
      <c r="AL2228"/>
    </row>
    <row r="2229" spans="1:38" ht="12.75" outlineLevel="3" x14ac:dyDescent="0.2">
      <c r="A2229" s="82">
        <v>1</v>
      </c>
      <c r="B2229" s="82" t="s">
        <v>71</v>
      </c>
      <c r="C2229" s="82" t="s">
        <v>1702</v>
      </c>
      <c r="D2229" s="82" t="s">
        <v>1703</v>
      </c>
      <c r="E2229" s="11" t="str">
        <f t="array" ref="E2229">_xlfn.XLOOKUP(D2229,Insumos!B:B,Insumos!C:$C)</f>
        <v>KG</v>
      </c>
      <c r="F2229" s="86">
        <v>3</v>
      </c>
      <c r="G2229" s="92">
        <f t="array" ref="G2229">IF(B2229="insumo",_xlfn.XLOOKUP($D2229,Insumos!$B$1:$B$996,Insumos!$D$1:$D$996),"")</f>
        <v>24</v>
      </c>
      <c r="H2229" s="92">
        <v>72</v>
      </c>
      <c r="I2229" s="84">
        <v>0</v>
      </c>
      <c r="J2229" s="84">
        <v>0</v>
      </c>
      <c r="K2229" s="84"/>
      <c r="L2229"/>
      <c r="M2229"/>
      <c r="N2229"/>
      <c r="O2229"/>
      <c r="P2229"/>
      <c r="Q2229"/>
      <c r="R2229"/>
      <c r="S2229"/>
      <c r="T2229"/>
      <c r="U2229"/>
      <c r="V2229"/>
      <c r="W2229"/>
      <c r="X2229"/>
      <c r="Y2229"/>
      <c r="Z2229"/>
      <c r="AA2229"/>
      <c r="AB2229"/>
      <c r="AC2229"/>
      <c r="AD2229"/>
      <c r="AE2229"/>
      <c r="AF2229"/>
      <c r="AG2229"/>
      <c r="AH2229"/>
      <c r="AI2229"/>
      <c r="AJ2229"/>
      <c r="AK2229"/>
      <c r="AL2229"/>
    </row>
    <row r="2230" spans="1:38" ht="12.75" outlineLevel="2" x14ac:dyDescent="0.2">
      <c r="A2230" s="1071">
        <v>1</v>
      </c>
      <c r="B2230" s="1071" t="s">
        <v>68</v>
      </c>
      <c r="C2230" s="1071" t="s">
        <v>1704</v>
      </c>
      <c r="D2230" s="1071" t="s">
        <v>1704</v>
      </c>
      <c r="E2230" s="1072" t="s">
        <v>70</v>
      </c>
      <c r="F2230" s="1071"/>
      <c r="G2230" s="1073" t="str">
        <f t="array" ref="G2230">IF(B2230="insumo",_xlfn.XLOOKUP($D2230,Insumos!$B$1:$B$996,Insumos!$D$1:$D$996),"")</f>
        <v/>
      </c>
      <c r="H2230" s="1073">
        <v>156</v>
      </c>
      <c r="I2230" s="1074">
        <v>0</v>
      </c>
      <c r="J2230" s="1074">
        <v>0</v>
      </c>
      <c r="K2230" s="1074"/>
      <c r="L2230"/>
      <c r="M2230"/>
      <c r="N2230"/>
      <c r="O2230"/>
      <c r="P2230"/>
      <c r="Q2230"/>
      <c r="R2230"/>
      <c r="S2230"/>
      <c r="T2230"/>
      <c r="U2230"/>
      <c r="V2230"/>
      <c r="W2230"/>
      <c r="X2230"/>
      <c r="Y2230"/>
      <c r="Z2230"/>
      <c r="AA2230"/>
      <c r="AB2230"/>
      <c r="AC2230"/>
      <c r="AD2230"/>
      <c r="AE2230"/>
      <c r="AF2230"/>
      <c r="AG2230"/>
      <c r="AH2230"/>
      <c r="AI2230"/>
      <c r="AJ2230"/>
      <c r="AK2230"/>
      <c r="AL2230"/>
    </row>
    <row r="2231" spans="1:38" ht="12.75" outlineLevel="3" x14ac:dyDescent="0.2">
      <c r="A2231" s="82">
        <v>3</v>
      </c>
      <c r="B2231" s="82" t="s">
        <v>71</v>
      </c>
      <c r="C2231" s="82" t="s">
        <v>1704</v>
      </c>
      <c r="D2231" s="82" t="s">
        <v>1692</v>
      </c>
      <c r="E2231" s="11" t="str">
        <f t="array" ref="E2231">_xlfn.XLOOKUP(D2231,Insumos!B:B,Insumos!C:$C)</f>
        <v>KG</v>
      </c>
      <c r="F2231" s="86">
        <v>3</v>
      </c>
      <c r="G2231" s="92">
        <f t="array" ref="G2231">IF(B2231="insumo",_xlfn.XLOOKUP($D2231,Insumos!$B$1:$B$996,Insumos!$D$1:$D$996),"")</f>
        <v>30</v>
      </c>
      <c r="H2231" s="92">
        <v>90</v>
      </c>
      <c r="I2231" s="84">
        <v>0</v>
      </c>
      <c r="J2231" s="84">
        <v>0</v>
      </c>
      <c r="K2231" s="84"/>
      <c r="L2231"/>
      <c r="M2231"/>
      <c r="N2231"/>
      <c r="O2231"/>
      <c r="P2231"/>
      <c r="Q2231"/>
      <c r="R2231"/>
      <c r="S2231"/>
      <c r="T2231"/>
      <c r="U2231"/>
      <c r="V2231"/>
      <c r="W2231"/>
      <c r="X2231"/>
      <c r="Y2231"/>
      <c r="Z2231"/>
      <c r="AA2231"/>
      <c r="AB2231"/>
      <c r="AC2231"/>
      <c r="AD2231"/>
      <c r="AE2231"/>
      <c r="AF2231"/>
      <c r="AG2231"/>
      <c r="AH2231"/>
      <c r="AI2231"/>
      <c r="AJ2231"/>
      <c r="AK2231"/>
      <c r="AL2231"/>
    </row>
    <row r="2232" spans="1:38" ht="12.75" outlineLevel="3" x14ac:dyDescent="0.2">
      <c r="A2232" s="82">
        <v>7</v>
      </c>
      <c r="B2232" s="82" t="s">
        <v>71</v>
      </c>
      <c r="C2232" s="82" t="s">
        <v>1704</v>
      </c>
      <c r="D2232" s="82" t="s">
        <v>1693</v>
      </c>
      <c r="E2232" s="11" t="str">
        <f t="array" ref="E2232">_xlfn.XLOOKUP(D2232,Insumos!B:B,Insumos!C:$C)</f>
        <v>KG</v>
      </c>
      <c r="F2232" s="86">
        <v>2</v>
      </c>
      <c r="G2232" s="92">
        <f t="array" ref="G2232">IF(B2232="insumo",_xlfn.XLOOKUP($D2232,Insumos!$B$1:$B$996,Insumos!$D$1:$D$996),"")</f>
        <v>9</v>
      </c>
      <c r="H2232" s="92">
        <v>18</v>
      </c>
      <c r="I2232" s="84">
        <v>0</v>
      </c>
      <c r="J2232" s="84">
        <v>0</v>
      </c>
      <c r="K2232" s="84"/>
      <c r="L2232"/>
      <c r="M2232"/>
      <c r="N2232"/>
      <c r="O2232"/>
      <c r="P2232"/>
      <c r="Q2232"/>
      <c r="R2232"/>
      <c r="S2232"/>
      <c r="T2232"/>
      <c r="U2232"/>
      <c r="V2232"/>
      <c r="W2232"/>
      <c r="X2232"/>
      <c r="Y2232"/>
      <c r="Z2232"/>
      <c r="AA2232"/>
      <c r="AB2232"/>
      <c r="AC2232"/>
      <c r="AD2232"/>
      <c r="AE2232"/>
      <c r="AF2232"/>
      <c r="AG2232"/>
      <c r="AH2232"/>
      <c r="AI2232"/>
      <c r="AJ2232"/>
      <c r="AK2232"/>
      <c r="AL2232"/>
    </row>
    <row r="2233" spans="1:38" ht="12.75" outlineLevel="3" x14ac:dyDescent="0.2">
      <c r="A2233" s="82">
        <v>2</v>
      </c>
      <c r="B2233" s="82" t="s">
        <v>71</v>
      </c>
      <c r="C2233" s="82" t="s">
        <v>1704</v>
      </c>
      <c r="D2233" s="82" t="s">
        <v>1705</v>
      </c>
      <c r="E2233" s="11" t="str">
        <f t="array" ref="E2233">_xlfn.XLOOKUP(D2233,Insumos!B:B,Insumos!C:$C)</f>
        <v>KG</v>
      </c>
      <c r="F2233" s="86">
        <v>2</v>
      </c>
      <c r="G2233" s="92">
        <f t="array" ref="G2233">IF(B2233="insumo",_xlfn.XLOOKUP($D2233,Insumos!$B$1:$B$996,Insumos!$D$1:$D$996),"")</f>
        <v>24</v>
      </c>
      <c r="H2233" s="92">
        <v>48</v>
      </c>
      <c r="I2233" s="84">
        <v>0</v>
      </c>
      <c r="J2233" s="84">
        <v>0</v>
      </c>
      <c r="K2233" s="84"/>
      <c r="L2233"/>
      <c r="M2233"/>
      <c r="N2233"/>
      <c r="O2233"/>
      <c r="P2233"/>
      <c r="Q2233"/>
      <c r="R2233"/>
      <c r="S2233"/>
      <c r="T2233"/>
      <c r="U2233"/>
      <c r="V2233"/>
      <c r="W2233"/>
      <c r="X2233"/>
      <c r="Y2233"/>
      <c r="Z2233"/>
      <c r="AA2233"/>
      <c r="AB2233"/>
      <c r="AC2233"/>
      <c r="AD2233"/>
      <c r="AE2233"/>
      <c r="AF2233"/>
      <c r="AG2233"/>
      <c r="AH2233"/>
      <c r="AI2233"/>
      <c r="AJ2233"/>
      <c r="AK2233"/>
      <c r="AL2233"/>
    </row>
    <row r="2234" spans="1:38" ht="12.75" outlineLevel="2" x14ac:dyDescent="0.2">
      <c r="A2234" s="1071">
        <v>1</v>
      </c>
      <c r="B2234" s="1071" t="s">
        <v>68</v>
      </c>
      <c r="C2234" s="1071" t="s">
        <v>1706</v>
      </c>
      <c r="D2234" s="1071" t="s">
        <v>1706</v>
      </c>
      <c r="E2234" s="1072" t="s">
        <v>70</v>
      </c>
      <c r="F2234" s="1071"/>
      <c r="G2234" s="1073" t="str">
        <f t="array" ref="G2234">IF(B2234="insumo",_xlfn.XLOOKUP($D2234,Insumos!$B$1:$B$996,Insumos!$D$1:$D$996),"")</f>
        <v/>
      </c>
      <c r="H2234" s="1073">
        <v>48</v>
      </c>
      <c r="I2234" s="1074">
        <v>0</v>
      </c>
      <c r="J2234" s="1074">
        <v>0</v>
      </c>
      <c r="K2234" s="1074"/>
      <c r="L2234"/>
      <c r="M2234"/>
      <c r="N2234"/>
      <c r="O2234"/>
      <c r="P2234"/>
      <c r="Q2234"/>
      <c r="R2234"/>
      <c r="S2234"/>
      <c r="T2234"/>
      <c r="U2234"/>
      <c r="V2234"/>
      <c r="W2234"/>
      <c r="X2234"/>
      <c r="Y2234"/>
      <c r="Z2234"/>
      <c r="AA2234"/>
      <c r="AB2234"/>
      <c r="AC2234"/>
      <c r="AD2234"/>
      <c r="AE2234"/>
      <c r="AF2234"/>
      <c r="AG2234"/>
      <c r="AH2234"/>
      <c r="AI2234"/>
      <c r="AJ2234"/>
      <c r="AK2234"/>
      <c r="AL2234"/>
    </row>
    <row r="2235" spans="1:38" ht="12.75" outlineLevel="3" x14ac:dyDescent="0.2">
      <c r="A2235" s="82">
        <v>1</v>
      </c>
      <c r="B2235" s="82" t="s">
        <v>71</v>
      </c>
      <c r="C2235" s="82" t="s">
        <v>1706</v>
      </c>
      <c r="D2235" s="82" t="s">
        <v>1707</v>
      </c>
      <c r="E2235" s="11" t="str">
        <f t="array" ref="E2235">_xlfn.XLOOKUP(D2235,Insumos!B:B,Insumos!C:$C)</f>
        <v>KG</v>
      </c>
      <c r="F2235" s="86">
        <v>2</v>
      </c>
      <c r="G2235" s="92">
        <f t="array" ref="G2235">IF(B2235="insumo",_xlfn.XLOOKUP($D2235,Insumos!$B$1:$B$996,Insumos!$D$1:$D$996),"")</f>
        <v>24</v>
      </c>
      <c r="H2235" s="92">
        <v>48</v>
      </c>
      <c r="I2235" s="84">
        <v>0</v>
      </c>
      <c r="J2235" s="84">
        <v>0</v>
      </c>
      <c r="K2235" s="84"/>
      <c r="L2235"/>
      <c r="M2235"/>
      <c r="N2235"/>
      <c r="O2235"/>
      <c r="P2235"/>
      <c r="Q2235"/>
      <c r="R2235"/>
      <c r="S2235"/>
      <c r="T2235"/>
      <c r="U2235"/>
      <c r="V2235"/>
      <c r="W2235"/>
      <c r="X2235"/>
      <c r="Y2235"/>
      <c r="Z2235"/>
      <c r="AA2235"/>
      <c r="AB2235"/>
      <c r="AC2235"/>
      <c r="AD2235"/>
      <c r="AE2235"/>
      <c r="AF2235"/>
      <c r="AG2235"/>
      <c r="AH2235"/>
      <c r="AI2235"/>
      <c r="AJ2235"/>
      <c r="AK2235"/>
      <c r="AL2235"/>
    </row>
    <row r="2236" spans="1:38" ht="12.75" outlineLevel="2" x14ac:dyDescent="0.2">
      <c r="A2236" s="1071">
        <v>1</v>
      </c>
      <c r="B2236" s="1071" t="s">
        <v>68</v>
      </c>
      <c r="C2236" s="1071" t="s">
        <v>1708</v>
      </c>
      <c r="D2236" s="1071" t="s">
        <v>1708</v>
      </c>
      <c r="E2236" s="1072" t="s">
        <v>70</v>
      </c>
      <c r="F2236" s="1071"/>
      <c r="G2236" s="1073" t="str">
        <f t="array" ref="G2236">IF(B2236="insumo",_xlfn.XLOOKUP($D2236,Insumos!$B$1:$B$996,Insumos!$D$1:$D$996),"")</f>
        <v/>
      </c>
      <c r="H2236" s="1073">
        <v>138</v>
      </c>
      <c r="I2236" s="1074">
        <v>0</v>
      </c>
      <c r="J2236" s="1074">
        <v>0</v>
      </c>
      <c r="K2236" s="1074"/>
      <c r="L2236"/>
      <c r="M2236"/>
      <c r="N2236"/>
      <c r="O2236"/>
      <c r="P2236"/>
      <c r="Q2236"/>
      <c r="R2236"/>
      <c r="S2236"/>
      <c r="T2236"/>
      <c r="U2236"/>
      <c r="V2236"/>
      <c r="W2236"/>
      <c r="X2236"/>
      <c r="Y2236"/>
      <c r="Z2236"/>
      <c r="AA2236"/>
      <c r="AB2236"/>
      <c r="AC2236"/>
      <c r="AD2236"/>
      <c r="AE2236"/>
      <c r="AF2236"/>
      <c r="AG2236"/>
      <c r="AH2236"/>
      <c r="AI2236"/>
      <c r="AJ2236"/>
      <c r="AK2236"/>
      <c r="AL2236"/>
    </row>
    <row r="2237" spans="1:38" ht="12.75" outlineLevel="3" x14ac:dyDescent="0.2">
      <c r="A2237" s="82">
        <v>3</v>
      </c>
      <c r="B2237" s="82" t="s">
        <v>71</v>
      </c>
      <c r="C2237" s="82" t="s">
        <v>1708</v>
      </c>
      <c r="D2237" s="82" t="s">
        <v>1692</v>
      </c>
      <c r="E2237" s="11" t="str">
        <f t="array" ref="E2237">_xlfn.XLOOKUP(D2237,Insumos!B:B,Insumos!C:$C)</f>
        <v>KG</v>
      </c>
      <c r="F2237" s="86">
        <v>3</v>
      </c>
      <c r="G2237" s="92">
        <f t="array" ref="G2237">IF(B2237="insumo",_xlfn.XLOOKUP($D2237,Insumos!$B$1:$B$996,Insumos!$D$1:$D$996),"")</f>
        <v>30</v>
      </c>
      <c r="H2237" s="93">
        <v>90</v>
      </c>
      <c r="I2237" s="84">
        <v>0</v>
      </c>
      <c r="J2237" s="84">
        <v>0</v>
      </c>
      <c r="K2237" s="84"/>
      <c r="L2237"/>
      <c r="M2237"/>
      <c r="N2237"/>
      <c r="O2237"/>
      <c r="P2237"/>
      <c r="Q2237"/>
      <c r="R2237"/>
      <c r="S2237"/>
      <c r="T2237"/>
      <c r="U2237"/>
      <c r="V2237"/>
      <c r="W2237"/>
      <c r="X2237"/>
      <c r="Y2237"/>
      <c r="Z2237"/>
      <c r="AA2237"/>
      <c r="AB2237"/>
      <c r="AC2237"/>
      <c r="AD2237"/>
      <c r="AE2237"/>
      <c r="AF2237"/>
      <c r="AG2237"/>
      <c r="AH2237"/>
      <c r="AI2237"/>
      <c r="AJ2237"/>
      <c r="AK2237"/>
      <c r="AL2237"/>
    </row>
    <row r="2238" spans="1:38" ht="12.75" outlineLevel="3" x14ac:dyDescent="0.2">
      <c r="A2238" s="82">
        <v>7</v>
      </c>
      <c r="B2238" s="82" t="s">
        <v>71</v>
      </c>
      <c r="C2238" s="82" t="s">
        <v>1708</v>
      </c>
      <c r="D2238" s="82" t="s">
        <v>1693</v>
      </c>
      <c r="E2238" s="11" t="str">
        <f t="array" ref="E2238">_xlfn.XLOOKUP(D2238,Insumos!B:B,Insumos!C:$C)</f>
        <v>KG</v>
      </c>
      <c r="F2238" s="86">
        <v>2</v>
      </c>
      <c r="G2238" s="92">
        <f t="array" ref="G2238">IF(B2238="insumo",_xlfn.XLOOKUP($D2238,Insumos!$B$1:$B$996,Insumos!$D$1:$D$996),"")</f>
        <v>9</v>
      </c>
      <c r="H2238" s="93">
        <v>18</v>
      </c>
      <c r="I2238" s="84">
        <v>0</v>
      </c>
      <c r="J2238" s="84">
        <v>0</v>
      </c>
      <c r="K2238" s="84"/>
      <c r="L2238"/>
      <c r="M2238"/>
      <c r="N2238"/>
      <c r="O2238"/>
      <c r="P2238"/>
      <c r="Q2238"/>
      <c r="R2238"/>
      <c r="S2238"/>
      <c r="T2238"/>
      <c r="U2238"/>
      <c r="V2238"/>
      <c r="W2238"/>
      <c r="X2238"/>
      <c r="Y2238"/>
      <c r="Z2238"/>
      <c r="AA2238"/>
      <c r="AB2238"/>
      <c r="AC2238"/>
      <c r="AD2238"/>
      <c r="AE2238"/>
      <c r="AF2238"/>
      <c r="AG2238"/>
      <c r="AH2238"/>
      <c r="AI2238"/>
      <c r="AJ2238"/>
      <c r="AK2238"/>
      <c r="AL2238"/>
    </row>
    <row r="2239" spans="1:38" ht="12.75" outlineLevel="3" x14ac:dyDescent="0.2">
      <c r="A2239" s="82">
        <v>3</v>
      </c>
      <c r="B2239" s="82" t="s">
        <v>71</v>
      </c>
      <c r="C2239" s="82" t="s">
        <v>1708</v>
      </c>
      <c r="D2239" s="82" t="s">
        <v>1709</v>
      </c>
      <c r="E2239" s="11" t="str">
        <f t="array" ref="E2239">_xlfn.XLOOKUP(D2239,Insumos!B:B,Insumos!C:$C)</f>
        <v>L</v>
      </c>
      <c r="F2239" s="86">
        <v>0.5</v>
      </c>
      <c r="G2239" s="92">
        <f t="array" ref="G2239">IF(B2239="insumo",_xlfn.XLOOKUP($D2239,Insumos!$B$1:$B$996,Insumos!$D$1:$D$996),"")</f>
        <v>60</v>
      </c>
      <c r="H2239" s="93">
        <v>30</v>
      </c>
      <c r="I2239" s="84">
        <v>0</v>
      </c>
      <c r="J2239" s="84">
        <v>0</v>
      </c>
      <c r="K2239" s="84"/>
      <c r="L2239"/>
      <c r="M2239"/>
      <c r="N2239"/>
      <c r="O2239"/>
      <c r="P2239"/>
      <c r="Q2239"/>
      <c r="R2239"/>
      <c r="S2239"/>
      <c r="T2239"/>
      <c r="U2239"/>
      <c r="V2239"/>
      <c r="W2239"/>
      <c r="X2239"/>
      <c r="Y2239"/>
      <c r="Z2239"/>
      <c r="AA2239"/>
      <c r="AB2239"/>
      <c r="AC2239"/>
      <c r="AD2239"/>
      <c r="AE2239"/>
      <c r="AF2239"/>
      <c r="AG2239"/>
      <c r="AH2239"/>
      <c r="AI2239"/>
      <c r="AJ2239"/>
      <c r="AK2239"/>
      <c r="AL2239"/>
    </row>
    <row r="2240" spans="1:38" ht="12.75" outlineLevel="2" x14ac:dyDescent="0.2">
      <c r="A2240" s="1071">
        <v>1</v>
      </c>
      <c r="B2240" s="1071" t="s">
        <v>68</v>
      </c>
      <c r="C2240" s="1071" t="s">
        <v>1710</v>
      </c>
      <c r="D2240" s="1071" t="s">
        <v>1710</v>
      </c>
      <c r="E2240" s="1072" t="s">
        <v>70</v>
      </c>
      <c r="F2240" s="1071"/>
      <c r="G2240" s="1073" t="str">
        <f t="array" ref="G2240">IF(B2240="insumo",_xlfn.XLOOKUP($D2240,Insumos!$B$1:$B$996,Insumos!$D$1:$D$996),"")</f>
        <v/>
      </c>
      <c r="H2240" s="1073">
        <v>246</v>
      </c>
      <c r="I2240" s="1074">
        <v>0</v>
      </c>
      <c r="J2240" s="1074">
        <v>0</v>
      </c>
      <c r="K2240" s="1074"/>
      <c r="L2240"/>
      <c r="M2240"/>
      <c r="N2240"/>
      <c r="O2240"/>
      <c r="P2240"/>
      <c r="Q2240"/>
      <c r="R2240"/>
      <c r="S2240"/>
      <c r="T2240"/>
      <c r="U2240"/>
      <c r="V2240"/>
      <c r="W2240"/>
      <c r="X2240"/>
      <c r="Y2240"/>
      <c r="Z2240"/>
      <c r="AA2240"/>
      <c r="AB2240"/>
      <c r="AC2240"/>
      <c r="AD2240"/>
      <c r="AE2240"/>
      <c r="AF2240"/>
      <c r="AG2240"/>
      <c r="AH2240"/>
      <c r="AI2240"/>
      <c r="AJ2240"/>
      <c r="AK2240"/>
      <c r="AL2240"/>
    </row>
    <row r="2241" spans="1:38" ht="12.75" outlineLevel="3" x14ac:dyDescent="0.2">
      <c r="A2241" s="82">
        <v>1</v>
      </c>
      <c r="B2241" s="82" t="s">
        <v>71</v>
      </c>
      <c r="C2241" s="82" t="s">
        <v>1710</v>
      </c>
      <c r="D2241" s="82" t="s">
        <v>1711</v>
      </c>
      <c r="E2241" s="11" t="str">
        <f t="array" ref="E2241">_xlfn.XLOOKUP(D2241,Insumos!B:B,Insumos!C:$C)</f>
        <v>KG</v>
      </c>
      <c r="F2241" s="86">
        <v>6</v>
      </c>
      <c r="G2241" s="92">
        <f t="array" ref="G2241">IF(B2241="insumo",_xlfn.XLOOKUP($D2241,Insumos!$B$1:$B$996,Insumos!$D$1:$D$996),"")</f>
        <v>30</v>
      </c>
      <c r="H2241" s="93">
        <v>180</v>
      </c>
      <c r="I2241" s="84">
        <v>0</v>
      </c>
      <c r="J2241" s="84">
        <v>0</v>
      </c>
      <c r="K2241" s="84"/>
      <c r="L2241"/>
      <c r="M2241"/>
      <c r="N2241"/>
      <c r="O2241"/>
      <c r="P2241"/>
      <c r="Q2241"/>
      <c r="R2241"/>
      <c r="S2241"/>
      <c r="T2241"/>
      <c r="U2241"/>
      <c r="V2241"/>
      <c r="W2241"/>
      <c r="X2241"/>
      <c r="Y2241"/>
      <c r="Z2241"/>
      <c r="AA2241"/>
      <c r="AB2241"/>
      <c r="AC2241"/>
      <c r="AD2241"/>
      <c r="AE2241"/>
      <c r="AF2241"/>
      <c r="AG2241"/>
      <c r="AH2241"/>
      <c r="AI2241"/>
      <c r="AJ2241"/>
      <c r="AK2241"/>
      <c r="AL2241"/>
    </row>
    <row r="2242" spans="1:38" ht="12.75" outlineLevel="3" x14ac:dyDescent="0.2">
      <c r="A2242" s="82">
        <v>7</v>
      </c>
      <c r="B2242" s="82" t="s">
        <v>71</v>
      </c>
      <c r="C2242" s="82" t="s">
        <v>1710</v>
      </c>
      <c r="D2242" s="82" t="s">
        <v>1693</v>
      </c>
      <c r="E2242" s="11" t="str">
        <f t="array" ref="E2242">_xlfn.XLOOKUP(D2242,Insumos!B:B,Insumos!C:$C)</f>
        <v>KG</v>
      </c>
      <c r="F2242" s="86">
        <v>2</v>
      </c>
      <c r="G2242" s="92">
        <f t="array" ref="G2242">IF(B2242="insumo",_xlfn.XLOOKUP($D2242,Insumos!$B$1:$B$996,Insumos!$D$1:$D$996),"")</f>
        <v>9</v>
      </c>
      <c r="H2242" s="93">
        <v>18</v>
      </c>
      <c r="I2242" s="84">
        <v>0</v>
      </c>
      <c r="J2242" s="84">
        <v>0</v>
      </c>
      <c r="K2242" s="84"/>
      <c r="L2242"/>
      <c r="M2242"/>
      <c r="N2242"/>
      <c r="O2242"/>
      <c r="P2242"/>
      <c r="Q2242"/>
      <c r="R2242"/>
      <c r="S2242"/>
      <c r="T2242"/>
      <c r="U2242"/>
      <c r="V2242"/>
      <c r="W2242"/>
      <c r="X2242"/>
      <c r="Y2242"/>
      <c r="Z2242"/>
      <c r="AA2242"/>
      <c r="AB2242"/>
      <c r="AC2242"/>
      <c r="AD2242"/>
      <c r="AE2242"/>
      <c r="AF2242"/>
      <c r="AG2242"/>
      <c r="AH2242"/>
      <c r="AI2242"/>
      <c r="AJ2242"/>
      <c r="AK2242"/>
      <c r="AL2242"/>
    </row>
    <row r="2243" spans="1:38" ht="12.75" outlineLevel="3" x14ac:dyDescent="0.2">
      <c r="A2243" s="82">
        <v>2</v>
      </c>
      <c r="B2243" s="82" t="s">
        <v>71</v>
      </c>
      <c r="C2243" s="82" t="s">
        <v>1710</v>
      </c>
      <c r="D2243" s="82" t="s">
        <v>1705</v>
      </c>
      <c r="E2243" s="11" t="str">
        <f t="array" ref="E2243">_xlfn.XLOOKUP(D2243,Insumos!B:B,Insumos!C:$C)</f>
        <v>KG</v>
      </c>
      <c r="F2243" s="86">
        <v>2</v>
      </c>
      <c r="G2243" s="92">
        <f t="array" ref="G2243">IF(B2243="insumo",_xlfn.XLOOKUP($D2243,Insumos!$B$1:$B$996,Insumos!$D$1:$D$996),"")</f>
        <v>24</v>
      </c>
      <c r="H2243" s="93">
        <v>48</v>
      </c>
      <c r="I2243" s="84">
        <v>0</v>
      </c>
      <c r="J2243" s="84">
        <v>0</v>
      </c>
      <c r="K2243" s="84"/>
      <c r="L2243"/>
      <c r="M2243"/>
      <c r="N2243"/>
      <c r="O2243"/>
      <c r="P2243"/>
      <c r="Q2243"/>
      <c r="R2243"/>
      <c r="S2243"/>
      <c r="T2243"/>
      <c r="U2243"/>
      <c r="V2243"/>
      <c r="W2243"/>
      <c r="X2243"/>
      <c r="Y2243"/>
      <c r="Z2243"/>
      <c r="AA2243"/>
      <c r="AB2243"/>
      <c r="AC2243"/>
      <c r="AD2243"/>
      <c r="AE2243"/>
      <c r="AF2243"/>
      <c r="AG2243"/>
      <c r="AH2243"/>
      <c r="AI2243"/>
      <c r="AJ2243"/>
      <c r="AK2243"/>
      <c r="AL2243"/>
    </row>
    <row r="2244" spans="1:38" ht="12.75" outlineLevel="2" x14ac:dyDescent="0.2">
      <c r="A2244" s="1071">
        <v>1</v>
      </c>
      <c r="B2244" s="1071" t="s">
        <v>68</v>
      </c>
      <c r="C2244" s="1071" t="s">
        <v>4169</v>
      </c>
      <c r="D2244" s="1071" t="s">
        <v>4169</v>
      </c>
      <c r="E2244" s="1072" t="s">
        <v>70</v>
      </c>
      <c r="F2244" s="1071"/>
      <c r="G2244" s="1073" t="str">
        <f t="array" ref="G2244">IF(B2244="insumo",_xlfn.XLOOKUP($D2244,Insumos!$B$1:$B$996,Insumos!$D$1:$D$996),"")</f>
        <v/>
      </c>
      <c r="H2244" s="1073">
        <v>34.058466666666703</v>
      </c>
      <c r="I2244" s="1074">
        <v>4925.75</v>
      </c>
      <c r="J2244" s="1074">
        <v>167763.49218333399</v>
      </c>
      <c r="K2244" s="1074"/>
      <c r="L2244"/>
      <c r="M2244"/>
      <c r="N2244"/>
      <c r="O2244"/>
      <c r="P2244"/>
      <c r="Q2244"/>
      <c r="R2244"/>
      <c r="S2244"/>
      <c r="T2244"/>
      <c r="U2244"/>
      <c r="V2244"/>
      <c r="W2244"/>
      <c r="X2244"/>
      <c r="Y2244"/>
      <c r="Z2244"/>
      <c r="AA2244"/>
      <c r="AB2244"/>
      <c r="AC2244"/>
      <c r="AD2244"/>
      <c r="AE2244"/>
      <c r="AF2244"/>
      <c r="AG2244"/>
      <c r="AH2244"/>
      <c r="AI2244"/>
      <c r="AJ2244"/>
      <c r="AK2244"/>
      <c r="AL2244"/>
    </row>
    <row r="2245" spans="1:38" ht="12.75" outlineLevel="3" x14ac:dyDescent="0.2">
      <c r="A2245" s="82">
        <v>3</v>
      </c>
      <c r="B2245" s="82" t="s">
        <v>71</v>
      </c>
      <c r="C2245" s="82" t="s">
        <v>4169</v>
      </c>
      <c r="D2245" s="82" t="s">
        <v>461</v>
      </c>
      <c r="E2245" s="11" t="str">
        <f t="array" ref="E2245">_xlfn.XLOOKUP(D2245,Insumos!B:B,Insumos!C:$C)</f>
        <v>KG</v>
      </c>
      <c r="F2245" s="86">
        <v>3</v>
      </c>
      <c r="G2245" s="92">
        <f t="array" ref="G2245">IF(B2245="insumo",_xlfn.XLOOKUP($D2245,Insumos!$B$1:$B$996,Insumos!$D$1:$D$996),"")</f>
        <v>11.055555555555555</v>
      </c>
      <c r="H2245" s="93">
        <v>33.1666666666667</v>
      </c>
      <c r="I2245" s="84">
        <v>4925.75</v>
      </c>
      <c r="J2245" s="84">
        <v>163370.70833333299</v>
      </c>
      <c r="K2245" s="84"/>
      <c r="L2245"/>
      <c r="M2245"/>
      <c r="N2245"/>
      <c r="O2245"/>
      <c r="P2245"/>
      <c r="Q2245"/>
      <c r="R2245"/>
      <c r="S2245"/>
      <c r="T2245"/>
      <c r="U2245"/>
      <c r="V2245"/>
      <c r="W2245"/>
      <c r="X2245"/>
      <c r="Y2245"/>
      <c r="Z2245"/>
      <c r="AA2245"/>
      <c r="AB2245"/>
      <c r="AC2245"/>
      <c r="AD2245"/>
      <c r="AE2245"/>
      <c r="AF2245"/>
      <c r="AG2245"/>
      <c r="AH2245"/>
      <c r="AI2245"/>
      <c r="AJ2245"/>
      <c r="AK2245"/>
      <c r="AL2245"/>
    </row>
    <row r="2246" spans="1:38" ht="12.75" outlineLevel="3" x14ac:dyDescent="0.2">
      <c r="A2246" s="82">
        <v>5</v>
      </c>
      <c r="B2246" s="82" t="s">
        <v>71</v>
      </c>
      <c r="C2246" s="82" t="s">
        <v>4169</v>
      </c>
      <c r="D2246" s="82" t="s">
        <v>1145</v>
      </c>
      <c r="E2246" s="11" t="str">
        <f t="array" ref="E2246">_xlfn.XLOOKUP(D2246,Insumos!B:B,Insumos!C:$C)</f>
        <v>M2</v>
      </c>
      <c r="F2246" s="86">
        <v>0.1</v>
      </c>
      <c r="G2246" s="92">
        <f t="array" ref="G2246">IF(B2246="insumo",_xlfn.XLOOKUP($D2246,Insumos!$B$1:$B$996,Insumos!$D$1:$D$996),"")</f>
        <v>8.9179999999999993</v>
      </c>
      <c r="H2246" s="93">
        <v>0.89180000000000004</v>
      </c>
      <c r="I2246" s="84">
        <v>4925.75</v>
      </c>
      <c r="J2246" s="84">
        <v>4392.7838499999998</v>
      </c>
      <c r="K2246" s="84"/>
      <c r="L2246"/>
      <c r="M2246"/>
      <c r="N2246"/>
      <c r="O2246"/>
      <c r="P2246"/>
      <c r="Q2246"/>
      <c r="R2246"/>
      <c r="S2246"/>
      <c r="T2246"/>
      <c r="U2246"/>
      <c r="V2246"/>
      <c r="W2246"/>
      <c r="X2246"/>
      <c r="Y2246"/>
      <c r="Z2246"/>
      <c r="AA2246"/>
      <c r="AB2246"/>
      <c r="AC2246"/>
      <c r="AD2246"/>
      <c r="AE2246"/>
      <c r="AF2246"/>
      <c r="AG2246"/>
      <c r="AH2246"/>
      <c r="AI2246"/>
      <c r="AJ2246"/>
      <c r="AK2246"/>
      <c r="AL2246"/>
    </row>
    <row r="2247" spans="1:38" ht="12.75" outlineLevel="2" x14ac:dyDescent="0.2">
      <c r="A2247" s="1071">
        <v>1</v>
      </c>
      <c r="B2247" s="1071" t="s">
        <v>68</v>
      </c>
      <c r="C2247" s="1071" t="s">
        <v>4170</v>
      </c>
      <c r="D2247" s="1071" t="s">
        <v>4170</v>
      </c>
      <c r="E2247" s="1072" t="s">
        <v>70</v>
      </c>
      <c r="F2247" s="1071"/>
      <c r="G2247" s="1073" t="str">
        <f t="array" ref="G2247">IF(B2247="insumo",_xlfn.XLOOKUP($D2247,Insumos!$B$1:$B$996,Insumos!$D$1:$D$996),"")</f>
        <v/>
      </c>
      <c r="H2247" s="1073">
        <v>46.211799999999997</v>
      </c>
      <c r="I2247" s="1074">
        <v>97.67</v>
      </c>
      <c r="J2247" s="1074">
        <v>4513.5065059999997</v>
      </c>
      <c r="K2247" s="1074"/>
      <c r="L2247"/>
      <c r="M2247"/>
      <c r="N2247"/>
      <c r="O2247"/>
      <c r="P2247"/>
      <c r="Q2247"/>
      <c r="R2247"/>
      <c r="S2247"/>
      <c r="T2247"/>
      <c r="U2247"/>
      <c r="V2247"/>
      <c r="W2247"/>
      <c r="X2247"/>
      <c r="Y2247"/>
      <c r="Z2247"/>
      <c r="AA2247"/>
      <c r="AB2247"/>
      <c r="AC2247"/>
      <c r="AD2247"/>
      <c r="AE2247"/>
      <c r="AF2247"/>
      <c r="AG2247"/>
      <c r="AH2247"/>
      <c r="AI2247"/>
      <c r="AJ2247"/>
      <c r="AK2247"/>
      <c r="AL2247"/>
    </row>
    <row r="2248" spans="1:38" ht="12.75" outlineLevel="3" x14ac:dyDescent="0.2">
      <c r="A2248" s="82">
        <v>6</v>
      </c>
      <c r="B2248" s="82" t="s">
        <v>71</v>
      </c>
      <c r="C2248" s="82" t="s">
        <v>4170</v>
      </c>
      <c r="D2248" s="82" t="s">
        <v>463</v>
      </c>
      <c r="E2248" s="11" t="str">
        <f t="array" ref="E2248">_xlfn.XLOOKUP(D2248,Insumos!B:B,Insumos!C:$C)</f>
        <v>KG</v>
      </c>
      <c r="F2248" s="86">
        <v>4</v>
      </c>
      <c r="G2248" s="92">
        <f t="array" ref="G2248">IF(B2248="insumo",_xlfn.XLOOKUP($D2248,Insumos!$B$1:$B$996,Insumos!$D$1:$D$996),"")</f>
        <v>11.33</v>
      </c>
      <c r="H2248" s="93">
        <v>45.32</v>
      </c>
      <c r="I2248" s="84">
        <v>97.67</v>
      </c>
      <c r="J2248" s="84">
        <v>4426.4044000000004</v>
      </c>
      <c r="K2248" s="84"/>
      <c r="L2248"/>
      <c r="M2248"/>
      <c r="N2248"/>
      <c r="O2248"/>
      <c r="P2248"/>
      <c r="Q2248"/>
      <c r="R2248"/>
      <c r="S2248"/>
      <c r="T2248"/>
      <c r="U2248"/>
      <c r="V2248"/>
      <c r="W2248"/>
      <c r="X2248"/>
      <c r="Y2248"/>
      <c r="Z2248"/>
      <c r="AA2248"/>
      <c r="AB2248"/>
      <c r="AC2248"/>
      <c r="AD2248"/>
      <c r="AE2248"/>
      <c r="AF2248"/>
      <c r="AG2248"/>
      <c r="AH2248"/>
      <c r="AI2248"/>
      <c r="AJ2248"/>
      <c r="AK2248"/>
      <c r="AL2248"/>
    </row>
    <row r="2249" spans="1:38" ht="12.75" outlineLevel="3" x14ac:dyDescent="0.2">
      <c r="A2249" s="82">
        <v>5</v>
      </c>
      <c r="B2249" s="82" t="s">
        <v>71</v>
      </c>
      <c r="C2249" s="82" t="s">
        <v>4170</v>
      </c>
      <c r="D2249" s="82" t="s">
        <v>1145</v>
      </c>
      <c r="E2249" s="11" t="str">
        <f t="array" ref="E2249">_xlfn.XLOOKUP(D2249,Insumos!B:B,Insumos!C:$C)</f>
        <v>M2</v>
      </c>
      <c r="F2249" s="86">
        <v>0.1</v>
      </c>
      <c r="G2249" s="92">
        <f t="array" ref="G2249">IF(B2249="insumo",_xlfn.XLOOKUP($D2249,Insumos!$B$1:$B$996,Insumos!$D$1:$D$996),"")</f>
        <v>8.9179999999999993</v>
      </c>
      <c r="H2249" s="93">
        <v>0.89180000000000004</v>
      </c>
      <c r="I2249" s="84">
        <v>97.67</v>
      </c>
      <c r="J2249" s="84">
        <v>87.102106000000006</v>
      </c>
      <c r="K2249" s="84"/>
      <c r="L2249"/>
      <c r="M2249"/>
      <c r="N2249"/>
      <c r="O2249"/>
      <c r="P2249"/>
      <c r="Q2249"/>
      <c r="R2249"/>
      <c r="S2249"/>
      <c r="T2249"/>
      <c r="U2249"/>
      <c r="V2249"/>
      <c r="W2249"/>
      <c r="X2249"/>
      <c r="Y2249"/>
      <c r="Z2249"/>
      <c r="AA2249"/>
      <c r="AB2249"/>
      <c r="AC2249"/>
      <c r="AD2249"/>
      <c r="AE2249"/>
      <c r="AF2249"/>
      <c r="AG2249"/>
      <c r="AH2249"/>
      <c r="AI2249"/>
      <c r="AJ2249"/>
      <c r="AK2249"/>
      <c r="AL2249"/>
    </row>
    <row r="2250" spans="1:38" ht="12.75" outlineLevel="2" x14ac:dyDescent="0.2">
      <c r="A2250" s="1071">
        <v>1</v>
      </c>
      <c r="B2250" s="1071" t="s">
        <v>68</v>
      </c>
      <c r="C2250" s="1071" t="s">
        <v>4171</v>
      </c>
      <c r="D2250" s="1071" t="s">
        <v>4171</v>
      </c>
      <c r="E2250" s="1072" t="s">
        <v>70</v>
      </c>
      <c r="F2250" s="1071"/>
      <c r="G2250" s="1073" t="str">
        <f t="array" ref="G2250">IF(B2250="insumo",_xlfn.XLOOKUP($D2250,Insumos!$B$1:$B$996,Insumos!$D$1:$D$996),"")</f>
        <v/>
      </c>
      <c r="H2250" s="1073">
        <v>74.891800000000003</v>
      </c>
      <c r="I2250" s="1074">
        <v>68.2</v>
      </c>
      <c r="J2250" s="1074">
        <v>5107.6207599999998</v>
      </c>
      <c r="K2250" s="1074"/>
      <c r="L2250"/>
      <c r="M2250"/>
      <c r="N2250"/>
      <c r="O2250"/>
      <c r="P2250"/>
      <c r="Q2250"/>
      <c r="R2250"/>
      <c r="S2250"/>
      <c r="T2250"/>
      <c r="U2250"/>
      <c r="V2250"/>
      <c r="W2250"/>
      <c r="X2250"/>
      <c r="Y2250"/>
      <c r="Z2250"/>
      <c r="AA2250"/>
      <c r="AB2250"/>
      <c r="AC2250"/>
      <c r="AD2250"/>
      <c r="AE2250"/>
      <c r="AF2250"/>
      <c r="AG2250"/>
      <c r="AH2250"/>
      <c r="AI2250"/>
      <c r="AJ2250"/>
      <c r="AK2250"/>
      <c r="AL2250"/>
    </row>
    <row r="2251" spans="1:38" ht="12.75" outlineLevel="3" x14ac:dyDescent="0.2">
      <c r="A2251" s="82">
        <v>2</v>
      </c>
      <c r="B2251" s="82" t="s">
        <v>71</v>
      </c>
      <c r="C2251" s="82" t="s">
        <v>4171</v>
      </c>
      <c r="D2251" s="82" t="s">
        <v>4166</v>
      </c>
      <c r="E2251" s="11" t="str">
        <f t="array" ref="E2251">_xlfn.XLOOKUP(D2251,Insumos!B:B,Insumos!C:$C)</f>
        <v>KG</v>
      </c>
      <c r="F2251" s="86">
        <v>4</v>
      </c>
      <c r="G2251" s="92">
        <f t="array" ref="G2251">IF(B2251="insumo",_xlfn.XLOOKUP($D2251,Insumos!$B$1:$B$996,Insumos!$D$1:$D$996),"")</f>
        <v>18.5</v>
      </c>
      <c r="H2251" s="93">
        <v>74</v>
      </c>
      <c r="I2251" s="84">
        <v>68.2</v>
      </c>
      <c r="J2251" s="84">
        <v>5046.8</v>
      </c>
      <c r="K2251" s="84"/>
      <c r="L2251"/>
      <c r="M2251"/>
      <c r="N2251"/>
      <c r="O2251"/>
      <c r="P2251"/>
      <c r="Q2251"/>
      <c r="R2251"/>
      <c r="S2251"/>
      <c r="T2251"/>
      <c r="U2251"/>
      <c r="V2251"/>
      <c r="W2251"/>
      <c r="X2251"/>
      <c r="Y2251"/>
      <c r="Z2251"/>
      <c r="AA2251"/>
      <c r="AB2251"/>
      <c r="AC2251"/>
      <c r="AD2251"/>
      <c r="AE2251"/>
      <c r="AF2251"/>
      <c r="AG2251"/>
      <c r="AH2251"/>
      <c r="AI2251"/>
      <c r="AJ2251"/>
      <c r="AK2251"/>
      <c r="AL2251"/>
    </row>
    <row r="2252" spans="1:38" ht="12.75" outlineLevel="3" x14ac:dyDescent="0.2">
      <c r="A2252" s="82">
        <v>5</v>
      </c>
      <c r="B2252" s="82" t="s">
        <v>71</v>
      </c>
      <c r="C2252" s="82" t="s">
        <v>4171</v>
      </c>
      <c r="D2252" s="82" t="s">
        <v>1145</v>
      </c>
      <c r="E2252" s="11" t="str">
        <f t="array" ref="E2252">_xlfn.XLOOKUP(D2252,Insumos!B:B,Insumos!C:$C)</f>
        <v>M2</v>
      </c>
      <c r="F2252" s="86">
        <v>0.1</v>
      </c>
      <c r="G2252" s="92">
        <f t="array" ref="G2252">IF(B2252="insumo",_xlfn.XLOOKUP($D2252,Insumos!$B$1:$B$996,Insumos!$D$1:$D$996),"")</f>
        <v>8.9179999999999993</v>
      </c>
      <c r="H2252" s="93">
        <v>0.89180000000000004</v>
      </c>
      <c r="I2252" s="84">
        <v>68.2</v>
      </c>
      <c r="J2252" s="84">
        <v>60.82076</v>
      </c>
      <c r="K2252" s="84"/>
      <c r="L2252"/>
      <c r="M2252"/>
      <c r="N2252"/>
      <c r="O2252"/>
      <c r="P2252"/>
      <c r="Q2252"/>
      <c r="R2252"/>
      <c r="S2252"/>
      <c r="T2252"/>
      <c r="U2252"/>
      <c r="V2252"/>
      <c r="W2252"/>
      <c r="X2252"/>
      <c r="Y2252"/>
      <c r="Z2252"/>
      <c r="AA2252"/>
      <c r="AB2252"/>
      <c r="AC2252"/>
      <c r="AD2252"/>
      <c r="AE2252"/>
      <c r="AF2252"/>
      <c r="AG2252"/>
      <c r="AH2252"/>
      <c r="AI2252"/>
      <c r="AJ2252"/>
      <c r="AK2252"/>
      <c r="AL2252"/>
    </row>
    <row r="2253" spans="1:38" ht="12.75" outlineLevel="2" x14ac:dyDescent="0.2">
      <c r="A2253" s="1071">
        <v>1</v>
      </c>
      <c r="B2253" s="1071" t="s">
        <v>68</v>
      </c>
      <c r="C2253" s="1071" t="s">
        <v>4172</v>
      </c>
      <c r="D2253" s="1071" t="s">
        <v>4172</v>
      </c>
      <c r="E2253" s="1072" t="s">
        <v>70</v>
      </c>
      <c r="F2253" s="1071"/>
      <c r="G2253" s="1073" t="str">
        <f t="array" ref="G2253">IF(B2253="insumo",_xlfn.XLOOKUP($D2253,Insumos!$B$1:$B$996,Insumos!$D$1:$D$996),"")</f>
        <v/>
      </c>
      <c r="H2253" s="1073">
        <v>148.89179999999999</v>
      </c>
      <c r="I2253" s="1074">
        <v>900.28</v>
      </c>
      <c r="J2253" s="1074">
        <v>134044.30970400001</v>
      </c>
      <c r="K2253" s="1074"/>
      <c r="L2253"/>
      <c r="M2253"/>
      <c r="N2253"/>
      <c r="O2253"/>
      <c r="P2253"/>
      <c r="Q2253"/>
      <c r="R2253"/>
      <c r="S2253"/>
      <c r="T2253"/>
      <c r="U2253"/>
      <c r="V2253"/>
      <c r="W2253"/>
      <c r="X2253"/>
      <c r="Y2253"/>
      <c r="Z2253"/>
      <c r="AA2253"/>
      <c r="AB2253"/>
      <c r="AC2253"/>
      <c r="AD2253"/>
      <c r="AE2253"/>
      <c r="AF2253"/>
      <c r="AG2253"/>
      <c r="AH2253"/>
      <c r="AI2253"/>
      <c r="AJ2253"/>
      <c r="AK2253"/>
      <c r="AL2253"/>
    </row>
    <row r="2254" spans="1:38" ht="12.75" outlineLevel="3" x14ac:dyDescent="0.2">
      <c r="A2254" s="82">
        <v>2</v>
      </c>
      <c r="B2254" s="82" t="s">
        <v>71</v>
      </c>
      <c r="C2254" s="82" t="s">
        <v>4172</v>
      </c>
      <c r="D2254" s="82" t="s">
        <v>4166</v>
      </c>
      <c r="E2254" s="11" t="str">
        <f t="array" ref="E2254">_xlfn.XLOOKUP(D2254,Insumos!B:B,Insumos!C:$C)</f>
        <v>KG</v>
      </c>
      <c r="F2254" s="86">
        <v>8</v>
      </c>
      <c r="G2254" s="92">
        <f t="array" ref="G2254">IF(B2254="insumo",_xlfn.XLOOKUP($D2254,Insumos!$B$1:$B$996,Insumos!$D$1:$D$996),"")</f>
        <v>18.5</v>
      </c>
      <c r="H2254" s="93">
        <v>148</v>
      </c>
      <c r="I2254" s="84">
        <v>900.28</v>
      </c>
      <c r="J2254" s="84">
        <v>133241.44</v>
      </c>
      <c r="K2254" s="84"/>
      <c r="L2254"/>
      <c r="M2254"/>
      <c r="N2254"/>
      <c r="O2254"/>
      <c r="P2254"/>
      <c r="Q2254"/>
      <c r="R2254"/>
      <c r="S2254"/>
      <c r="T2254"/>
      <c r="U2254"/>
      <c r="V2254"/>
      <c r="W2254"/>
      <c r="X2254"/>
      <c r="Y2254"/>
      <c r="Z2254"/>
      <c r="AA2254"/>
      <c r="AB2254"/>
      <c r="AC2254"/>
      <c r="AD2254"/>
      <c r="AE2254"/>
      <c r="AF2254"/>
      <c r="AG2254"/>
      <c r="AH2254"/>
      <c r="AI2254"/>
      <c r="AJ2254"/>
      <c r="AK2254"/>
      <c r="AL2254"/>
    </row>
    <row r="2255" spans="1:38" ht="12.75" outlineLevel="3" x14ac:dyDescent="0.2">
      <c r="A2255" s="82">
        <v>5</v>
      </c>
      <c r="B2255" s="82" t="s">
        <v>71</v>
      </c>
      <c r="C2255" s="82" t="s">
        <v>4172</v>
      </c>
      <c r="D2255" s="82" t="s">
        <v>1145</v>
      </c>
      <c r="E2255" s="11" t="str">
        <f t="array" ref="E2255">_xlfn.XLOOKUP(D2255,Insumos!B:B,Insumos!C:$C)</f>
        <v>M2</v>
      </c>
      <c r="F2255" s="86">
        <v>0.1</v>
      </c>
      <c r="G2255" s="92">
        <f t="array" ref="G2255">IF(B2255="insumo",_xlfn.XLOOKUP($D2255,Insumos!$B$1:$B$996,Insumos!$D$1:$D$996),"")</f>
        <v>8.9179999999999993</v>
      </c>
      <c r="H2255" s="93">
        <v>0.89180000000000004</v>
      </c>
      <c r="I2255" s="84">
        <v>900.28</v>
      </c>
      <c r="J2255" s="84">
        <v>802.86970399999996</v>
      </c>
      <c r="K2255" s="84"/>
      <c r="L2255"/>
      <c r="M2255"/>
      <c r="N2255"/>
      <c r="O2255"/>
      <c r="P2255"/>
      <c r="Q2255"/>
      <c r="R2255"/>
      <c r="S2255"/>
      <c r="T2255"/>
      <c r="U2255"/>
      <c r="V2255"/>
      <c r="W2255"/>
      <c r="X2255"/>
      <c r="Y2255"/>
      <c r="Z2255"/>
      <c r="AA2255"/>
      <c r="AB2255"/>
      <c r="AC2255"/>
      <c r="AD2255"/>
      <c r="AE2255"/>
      <c r="AF2255"/>
      <c r="AG2255"/>
      <c r="AH2255"/>
      <c r="AI2255"/>
      <c r="AJ2255"/>
      <c r="AK2255"/>
      <c r="AL2255"/>
    </row>
    <row r="2256" spans="1:38" ht="12.75" outlineLevel="2" x14ac:dyDescent="0.2">
      <c r="A2256" s="1071">
        <v>1</v>
      </c>
      <c r="B2256" s="1071" t="s">
        <v>68</v>
      </c>
      <c r="C2256" s="1071" t="s">
        <v>4173</v>
      </c>
      <c r="D2256" s="1071" t="s">
        <v>4173</v>
      </c>
      <c r="E2256" s="1072" t="s">
        <v>70</v>
      </c>
      <c r="F2256" s="1071"/>
      <c r="G2256" s="1073" t="str">
        <f t="array" ref="G2256">IF(B2256="insumo",_xlfn.XLOOKUP($D2256,Insumos!$B$1:$B$996,Insumos!$D$1:$D$996),"")</f>
        <v/>
      </c>
      <c r="H2256" s="1073">
        <v>73.3018</v>
      </c>
      <c r="I2256" s="1074">
        <v>234</v>
      </c>
      <c r="J2256" s="1074">
        <v>17152.621200000001</v>
      </c>
      <c r="K2256" s="1074"/>
      <c r="L2256"/>
      <c r="M2256"/>
      <c r="N2256"/>
      <c r="O2256"/>
      <c r="P2256"/>
      <c r="Q2256"/>
      <c r="R2256"/>
      <c r="S2256"/>
      <c r="T2256"/>
      <c r="U2256"/>
      <c r="V2256"/>
      <c r="W2256"/>
      <c r="X2256"/>
      <c r="Y2256"/>
      <c r="Z2256"/>
      <c r="AA2256"/>
      <c r="AB2256"/>
      <c r="AC2256"/>
      <c r="AD2256"/>
      <c r="AE2256"/>
      <c r="AF2256"/>
      <c r="AG2256"/>
      <c r="AH2256"/>
      <c r="AI2256"/>
      <c r="AJ2256"/>
      <c r="AK2256"/>
      <c r="AL2256"/>
    </row>
    <row r="2257" spans="1:38" ht="12.75" outlineLevel="3" x14ac:dyDescent="0.2">
      <c r="A2257" s="82">
        <v>6</v>
      </c>
      <c r="B2257" s="82" t="s">
        <v>71</v>
      </c>
      <c r="C2257" s="82" t="s">
        <v>4173</v>
      </c>
      <c r="D2257" s="82" t="s">
        <v>463</v>
      </c>
      <c r="E2257" s="11" t="str">
        <f t="array" ref="E2257">_xlfn.XLOOKUP(D2257,Insumos!B:B,Insumos!C:$C)</f>
        <v>KG</v>
      </c>
      <c r="F2257" s="86">
        <v>2</v>
      </c>
      <c r="G2257" s="92">
        <f t="array" ref="G2257">IF(B2257="insumo",_xlfn.XLOOKUP($D2257,Insumos!$B$1:$B$996,Insumos!$D$1:$D$996),"")</f>
        <v>11.33</v>
      </c>
      <c r="H2257" s="93">
        <v>22.66</v>
      </c>
      <c r="I2257" s="84">
        <v>234</v>
      </c>
      <c r="J2257" s="84">
        <v>5302.44</v>
      </c>
      <c r="K2257" s="84"/>
      <c r="L2257"/>
      <c r="M2257"/>
      <c r="N2257"/>
      <c r="O2257"/>
      <c r="P2257"/>
      <c r="Q2257"/>
      <c r="R2257"/>
      <c r="S2257"/>
      <c r="T2257"/>
      <c r="U2257"/>
      <c r="V2257"/>
      <c r="W2257"/>
      <c r="X2257"/>
      <c r="Y2257"/>
      <c r="Z2257"/>
      <c r="AA2257"/>
      <c r="AB2257"/>
      <c r="AC2257"/>
      <c r="AD2257"/>
      <c r="AE2257"/>
      <c r="AF2257"/>
      <c r="AG2257"/>
      <c r="AH2257"/>
      <c r="AI2257"/>
      <c r="AJ2257"/>
      <c r="AK2257"/>
      <c r="AL2257"/>
    </row>
    <row r="2258" spans="1:38" ht="12.75" outlineLevel="3" x14ac:dyDescent="0.2">
      <c r="A2258" s="82">
        <v>3</v>
      </c>
      <c r="B2258" s="82" t="s">
        <v>71</v>
      </c>
      <c r="C2258" s="82" t="s">
        <v>4173</v>
      </c>
      <c r="D2258" s="82" t="s">
        <v>461</v>
      </c>
      <c r="E2258" s="11" t="str">
        <f t="array" ref="E2258">_xlfn.XLOOKUP(D2258,Insumos!B:B,Insumos!C:$C)</f>
        <v>KG</v>
      </c>
      <c r="F2258" s="86">
        <v>4.5</v>
      </c>
      <c r="G2258" s="92">
        <f t="array" ref="G2258">IF(B2258="insumo",_xlfn.XLOOKUP($D2258,Insumos!$B$1:$B$996,Insumos!$D$1:$D$996),"")</f>
        <v>11.055555555555555</v>
      </c>
      <c r="H2258" s="93">
        <v>49.75</v>
      </c>
      <c r="I2258" s="84">
        <v>234</v>
      </c>
      <c r="J2258" s="84">
        <v>11641.5</v>
      </c>
      <c r="K2258" s="84"/>
      <c r="L2258"/>
      <c r="M2258"/>
      <c r="N2258"/>
      <c r="O2258"/>
      <c r="P2258"/>
      <c r="Q2258"/>
      <c r="R2258"/>
      <c r="S2258"/>
      <c r="T2258"/>
      <c r="U2258"/>
      <c r="V2258"/>
      <c r="W2258"/>
      <c r="X2258"/>
      <c r="Y2258"/>
      <c r="Z2258"/>
      <c r="AA2258"/>
      <c r="AB2258"/>
      <c r="AC2258"/>
      <c r="AD2258"/>
      <c r="AE2258"/>
      <c r="AF2258"/>
      <c r="AG2258"/>
      <c r="AH2258"/>
      <c r="AI2258"/>
      <c r="AJ2258"/>
      <c r="AK2258"/>
      <c r="AL2258"/>
    </row>
    <row r="2259" spans="1:38" ht="12.75" outlineLevel="3" x14ac:dyDescent="0.2">
      <c r="A2259" s="82">
        <v>5</v>
      </c>
      <c r="B2259" s="82" t="s">
        <v>71</v>
      </c>
      <c r="C2259" s="82" t="s">
        <v>4173</v>
      </c>
      <c r="D2259" s="82" t="s">
        <v>1145</v>
      </c>
      <c r="E2259" s="11" t="str">
        <f t="array" ref="E2259">_xlfn.XLOOKUP(D2259,Insumos!B:B,Insumos!C:$C)</f>
        <v>M2</v>
      </c>
      <c r="F2259" s="86">
        <v>0.1</v>
      </c>
      <c r="G2259" s="92">
        <f t="array" ref="G2259">IF(B2259="insumo",_xlfn.XLOOKUP($D2259,Insumos!$B$1:$B$996,Insumos!$D$1:$D$996),"")</f>
        <v>8.9179999999999993</v>
      </c>
      <c r="H2259" s="93">
        <v>0.89180000000000004</v>
      </c>
      <c r="I2259" s="84">
        <v>234</v>
      </c>
      <c r="J2259" s="84">
        <v>208.68119999999999</v>
      </c>
      <c r="K2259" s="84"/>
      <c r="L2259"/>
      <c r="M2259"/>
      <c r="N2259"/>
      <c r="O2259"/>
      <c r="P2259"/>
      <c r="Q2259"/>
      <c r="R2259"/>
      <c r="S2259"/>
      <c r="T2259"/>
      <c r="U2259"/>
      <c r="V2259"/>
      <c r="W2259"/>
      <c r="X2259"/>
      <c r="Y2259"/>
      <c r="Z2259"/>
      <c r="AA2259"/>
      <c r="AB2259"/>
      <c r="AC2259"/>
      <c r="AD2259"/>
      <c r="AE2259"/>
      <c r="AF2259"/>
      <c r="AG2259"/>
      <c r="AH2259"/>
      <c r="AI2259"/>
      <c r="AJ2259"/>
      <c r="AK2259"/>
      <c r="AL2259"/>
    </row>
    <row r="2260" spans="1:38" ht="12.75" outlineLevel="2" x14ac:dyDescent="0.2">
      <c r="A2260" s="1071">
        <v>1</v>
      </c>
      <c r="B2260" s="1071" t="s">
        <v>68</v>
      </c>
      <c r="C2260" s="1071" t="s">
        <v>4174</v>
      </c>
      <c r="D2260" s="1071" t="s">
        <v>4174</v>
      </c>
      <c r="E2260" s="1072" t="s">
        <v>70</v>
      </c>
      <c r="F2260" s="1071"/>
      <c r="G2260" s="1073" t="str">
        <f t="array" ref="G2260">IF(B2260="insumo",_xlfn.XLOOKUP($D2260,Insumos!$B$1:$B$996,Insumos!$D$1:$D$996),"")</f>
        <v/>
      </c>
      <c r="H2260" s="1073">
        <v>133.18049999999999</v>
      </c>
      <c r="I2260" s="1074">
        <v>757.06</v>
      </c>
      <c r="J2260" s="1074">
        <v>100825.62933</v>
      </c>
      <c r="K2260" s="1074"/>
      <c r="L2260"/>
      <c r="M2260"/>
      <c r="N2260"/>
      <c r="O2260"/>
      <c r="P2260"/>
      <c r="Q2260"/>
      <c r="R2260"/>
      <c r="S2260"/>
      <c r="T2260"/>
      <c r="U2260"/>
      <c r="V2260"/>
      <c r="W2260"/>
      <c r="X2260"/>
      <c r="Y2260"/>
      <c r="Z2260"/>
      <c r="AA2260"/>
      <c r="AB2260"/>
      <c r="AC2260"/>
      <c r="AD2260"/>
      <c r="AE2260"/>
      <c r="AF2260"/>
      <c r="AG2260"/>
      <c r="AH2260"/>
      <c r="AI2260"/>
      <c r="AJ2260"/>
      <c r="AK2260"/>
      <c r="AL2260"/>
    </row>
    <row r="2261" spans="1:38" ht="12.75" outlineLevel="3" x14ac:dyDescent="0.2">
      <c r="A2261" s="82">
        <v>5</v>
      </c>
      <c r="B2261" s="82" t="s">
        <v>71</v>
      </c>
      <c r="C2261" s="82" t="s">
        <v>4174</v>
      </c>
      <c r="D2261" s="82" t="s">
        <v>455</v>
      </c>
      <c r="E2261" s="11" t="str">
        <f t="array" ref="E2261">_xlfn.XLOOKUP(D2261,Insumos!B:B,Insumos!C:$C)</f>
        <v>M2</v>
      </c>
      <c r="F2261" s="86">
        <v>1.125</v>
      </c>
      <c r="G2261" s="92">
        <f t="array" ref="G2261">IF(B2261="insumo",_xlfn.XLOOKUP($D2261,Insumos!$B$1:$B$996,Insumos!$D$1:$D$996),"")</f>
        <v>70.02</v>
      </c>
      <c r="H2261" s="93">
        <v>78.772499999999994</v>
      </c>
      <c r="I2261" s="84">
        <v>757.06</v>
      </c>
      <c r="J2261" s="84">
        <v>59635.508849999998</v>
      </c>
      <c r="K2261" s="84"/>
      <c r="L2261"/>
      <c r="M2261"/>
      <c r="N2261"/>
      <c r="O2261"/>
      <c r="P2261"/>
      <c r="Q2261"/>
      <c r="R2261"/>
      <c r="S2261"/>
      <c r="T2261"/>
      <c r="U2261"/>
      <c r="V2261"/>
      <c r="W2261"/>
      <c r="X2261"/>
      <c r="Y2261"/>
      <c r="Z2261"/>
      <c r="AA2261"/>
      <c r="AB2261"/>
      <c r="AC2261"/>
      <c r="AD2261"/>
      <c r="AE2261"/>
      <c r="AF2261"/>
      <c r="AG2261"/>
      <c r="AH2261"/>
      <c r="AI2261"/>
      <c r="AJ2261"/>
      <c r="AK2261"/>
      <c r="AL2261"/>
    </row>
    <row r="2262" spans="1:38" ht="15.75" customHeight="1" outlineLevel="3" x14ac:dyDescent="0.2">
      <c r="A2262" s="10">
        <v>7</v>
      </c>
      <c r="B2262" s="10" t="s">
        <v>71</v>
      </c>
      <c r="C2262" s="82" t="s">
        <v>4174</v>
      </c>
      <c r="D2262" s="10" t="s">
        <v>452</v>
      </c>
      <c r="E2262" s="11" t="str">
        <f t="array" ref="E2262">_xlfn.XLOOKUP(D2262,Insumos!B:B,Insumos!C:$C)</f>
        <v>L</v>
      </c>
      <c r="F2262" s="14">
        <v>0.4</v>
      </c>
      <c r="G2262" s="92">
        <f t="array" ref="G2262">IF(B2262="insumo",_xlfn.XLOOKUP($D2262,Insumos!$B$1:$B$996,Insumos!$D$1:$D$996),"")</f>
        <v>23.52</v>
      </c>
      <c r="H2262" s="93">
        <v>9.4079999999999995</v>
      </c>
      <c r="I2262" s="13">
        <v>757.06</v>
      </c>
      <c r="J2262" s="13">
        <v>7122.4204799999998</v>
      </c>
      <c r="K2262" s="13"/>
      <c r="L2262"/>
      <c r="M2262"/>
      <c r="N2262"/>
      <c r="O2262"/>
      <c r="P2262"/>
      <c r="Q2262"/>
      <c r="R2262"/>
      <c r="S2262"/>
      <c r="T2262"/>
      <c r="U2262"/>
      <c r="V2262"/>
      <c r="W2262"/>
      <c r="X2262"/>
      <c r="Y2262"/>
      <c r="Z2262"/>
      <c r="AA2262"/>
      <c r="AB2262"/>
      <c r="AC2262"/>
      <c r="AD2262"/>
      <c r="AE2262"/>
      <c r="AF2262"/>
      <c r="AG2262"/>
      <c r="AH2262"/>
      <c r="AI2262"/>
      <c r="AJ2262"/>
      <c r="AK2262"/>
      <c r="AL2262"/>
    </row>
    <row r="2263" spans="1:38" ht="12.75" outlineLevel="3" x14ac:dyDescent="0.2">
      <c r="A2263" s="82">
        <v>7</v>
      </c>
      <c r="B2263" s="82" t="s">
        <v>71</v>
      </c>
      <c r="C2263" s="82" t="s">
        <v>4174</v>
      </c>
      <c r="D2263" s="82" t="s">
        <v>1693</v>
      </c>
      <c r="E2263" s="11" t="str">
        <f t="array" ref="E2263">_xlfn.XLOOKUP(D2263,Insumos!B:B,Insumos!C:$C)</f>
        <v>KG</v>
      </c>
      <c r="F2263" s="86">
        <v>5</v>
      </c>
      <c r="G2263" s="92">
        <f t="array" ref="G2263">IF(B2263="insumo",_xlfn.XLOOKUP($D2263,Insumos!$B$1:$B$996,Insumos!$D$1:$D$996),"")</f>
        <v>9</v>
      </c>
      <c r="H2263" s="93">
        <v>45</v>
      </c>
      <c r="I2263" s="84">
        <v>757.06</v>
      </c>
      <c r="J2263" s="84">
        <v>34067.699999999997</v>
      </c>
      <c r="K2263" s="84"/>
      <c r="L2263"/>
      <c r="M2263"/>
      <c r="N2263"/>
      <c r="O2263"/>
      <c r="P2263"/>
      <c r="Q2263"/>
      <c r="R2263"/>
      <c r="S2263"/>
      <c r="T2263"/>
      <c r="U2263"/>
      <c r="V2263"/>
      <c r="W2263"/>
      <c r="X2263"/>
      <c r="Y2263"/>
      <c r="Z2263"/>
      <c r="AA2263"/>
      <c r="AB2263"/>
      <c r="AC2263"/>
      <c r="AD2263"/>
      <c r="AE2263"/>
      <c r="AF2263"/>
      <c r="AG2263"/>
      <c r="AH2263"/>
      <c r="AI2263"/>
      <c r="AJ2263"/>
      <c r="AK2263"/>
      <c r="AL2263"/>
    </row>
    <row r="2264" spans="1:38" ht="12.75" outlineLevel="2" x14ac:dyDescent="0.2">
      <c r="A2264" s="1071">
        <v>1</v>
      </c>
      <c r="B2264" s="1071" t="s">
        <v>68</v>
      </c>
      <c r="C2264" s="1071" t="s">
        <v>4175</v>
      </c>
      <c r="D2264" s="1071" t="s">
        <v>4175</v>
      </c>
      <c r="E2264" s="1072" t="s">
        <v>70</v>
      </c>
      <c r="F2264" s="1071"/>
      <c r="G2264" s="1073" t="str">
        <f t="array" ref="G2264">IF(B2264="insumo",_xlfn.XLOOKUP($D2264,Insumos!$B$1:$B$996,Insumos!$D$1:$D$996),"")</f>
        <v/>
      </c>
      <c r="H2264" s="1073">
        <v>181.18049999999999</v>
      </c>
      <c r="I2264" s="1074">
        <v>342.12</v>
      </c>
      <c r="J2264" s="1074">
        <v>61985.472659999999</v>
      </c>
      <c r="K2264" s="1074"/>
      <c r="L2264"/>
      <c r="M2264"/>
      <c r="N2264"/>
      <c r="O2264"/>
      <c r="P2264"/>
      <c r="Q2264"/>
      <c r="R2264"/>
      <c r="S2264"/>
      <c r="T2264"/>
      <c r="U2264"/>
      <c r="V2264"/>
      <c r="W2264"/>
      <c r="X2264"/>
      <c r="Y2264"/>
      <c r="Z2264"/>
      <c r="AA2264"/>
      <c r="AB2264"/>
      <c r="AC2264"/>
      <c r="AD2264"/>
      <c r="AE2264"/>
      <c r="AF2264"/>
      <c r="AG2264"/>
      <c r="AH2264"/>
      <c r="AI2264"/>
      <c r="AJ2264"/>
      <c r="AK2264"/>
      <c r="AL2264"/>
    </row>
    <row r="2265" spans="1:38" ht="12.75" outlineLevel="3" x14ac:dyDescent="0.2">
      <c r="A2265" s="82">
        <v>5</v>
      </c>
      <c r="B2265" s="82" t="s">
        <v>71</v>
      </c>
      <c r="C2265" s="82" t="s">
        <v>4175</v>
      </c>
      <c r="D2265" s="82" t="s">
        <v>455</v>
      </c>
      <c r="E2265" s="11" t="str">
        <f t="array" ref="E2265">_xlfn.XLOOKUP(D2265,Insumos!B:B,Insumos!C:$C)</f>
        <v>M2</v>
      </c>
      <c r="F2265" s="86">
        <v>1.125</v>
      </c>
      <c r="G2265" s="92">
        <f t="array" ref="G2265">IF(B2265="insumo",_xlfn.XLOOKUP($D2265,Insumos!$B$1:$B$996,Insumos!$D$1:$D$996),"")</f>
        <v>70.02</v>
      </c>
      <c r="H2265" s="93">
        <v>78.772499999999994</v>
      </c>
      <c r="I2265" s="84">
        <v>342.12</v>
      </c>
      <c r="J2265" s="84">
        <v>26949.647700000001</v>
      </c>
      <c r="K2265" s="84"/>
      <c r="L2265"/>
      <c r="M2265"/>
      <c r="N2265"/>
      <c r="O2265"/>
      <c r="P2265"/>
      <c r="Q2265"/>
      <c r="R2265"/>
      <c r="S2265"/>
      <c r="T2265"/>
      <c r="U2265"/>
      <c r="V2265"/>
      <c r="W2265"/>
      <c r="X2265"/>
      <c r="Y2265"/>
      <c r="Z2265"/>
      <c r="AA2265"/>
      <c r="AB2265"/>
      <c r="AC2265"/>
      <c r="AD2265"/>
      <c r="AE2265"/>
      <c r="AF2265"/>
      <c r="AG2265"/>
      <c r="AH2265"/>
      <c r="AI2265"/>
      <c r="AJ2265"/>
      <c r="AK2265"/>
      <c r="AL2265"/>
    </row>
    <row r="2266" spans="1:38" ht="15.75" customHeight="1" outlineLevel="3" x14ac:dyDescent="0.2">
      <c r="A2266" s="10">
        <v>7</v>
      </c>
      <c r="B2266" s="10" t="s">
        <v>71</v>
      </c>
      <c r="C2266" s="82" t="s">
        <v>4175</v>
      </c>
      <c r="D2266" s="10" t="s">
        <v>452</v>
      </c>
      <c r="E2266" s="11" t="str">
        <f t="array" ref="E2266">_xlfn.XLOOKUP(D2266,Insumos!B:B,Insumos!C:$C)</f>
        <v>L</v>
      </c>
      <c r="F2266" s="14">
        <v>0.4</v>
      </c>
      <c r="G2266" s="92">
        <f t="array" ref="G2266">IF(B2266="insumo",_xlfn.XLOOKUP($D2266,Insumos!$B$1:$B$996,Insumos!$D$1:$D$996),"")</f>
        <v>23.52</v>
      </c>
      <c r="H2266" s="93">
        <v>9.4079999999999995</v>
      </c>
      <c r="I2266" s="13">
        <v>342.12</v>
      </c>
      <c r="J2266" s="13">
        <v>3218.6649600000001</v>
      </c>
      <c r="K2266" s="13"/>
      <c r="L2266"/>
      <c r="M2266"/>
      <c r="N2266"/>
      <c r="O2266"/>
      <c r="P2266"/>
      <c r="Q2266"/>
      <c r="R2266"/>
      <c r="S2266"/>
      <c r="T2266"/>
      <c r="U2266"/>
      <c r="V2266"/>
      <c r="W2266"/>
      <c r="X2266"/>
      <c r="Y2266"/>
      <c r="Z2266"/>
      <c r="AA2266"/>
      <c r="AB2266"/>
      <c r="AC2266"/>
      <c r="AD2266"/>
      <c r="AE2266"/>
      <c r="AF2266"/>
      <c r="AG2266"/>
      <c r="AH2266"/>
      <c r="AI2266"/>
      <c r="AJ2266"/>
      <c r="AK2266"/>
      <c r="AL2266"/>
    </row>
    <row r="2267" spans="1:38" ht="12.75" outlineLevel="3" x14ac:dyDescent="0.2">
      <c r="A2267" s="82">
        <v>7</v>
      </c>
      <c r="B2267" s="82" t="s">
        <v>71</v>
      </c>
      <c r="C2267" s="82" t="s">
        <v>4175</v>
      </c>
      <c r="D2267" s="82" t="s">
        <v>1693</v>
      </c>
      <c r="E2267" s="11" t="str">
        <f t="array" ref="E2267">_xlfn.XLOOKUP(D2267,Insumos!B:B,Insumos!C:$C)</f>
        <v>KG</v>
      </c>
      <c r="F2267" s="86">
        <v>5</v>
      </c>
      <c r="G2267" s="92">
        <f t="array" ref="G2267">IF(B2267="insumo",_xlfn.XLOOKUP($D2267,Insumos!$B$1:$B$996,Insumos!$D$1:$D$996),"")</f>
        <v>9</v>
      </c>
      <c r="H2267" s="93">
        <v>45</v>
      </c>
      <c r="I2267" s="84">
        <v>342.12</v>
      </c>
      <c r="J2267" s="84">
        <v>15395.4</v>
      </c>
      <c r="K2267" s="84"/>
      <c r="L2267"/>
      <c r="M2267"/>
      <c r="N2267"/>
      <c r="O2267"/>
      <c r="P2267"/>
      <c r="Q2267"/>
      <c r="R2267"/>
      <c r="S2267"/>
      <c r="T2267"/>
      <c r="U2267"/>
      <c r="V2267"/>
      <c r="W2267"/>
      <c r="X2267"/>
      <c r="Y2267"/>
      <c r="Z2267"/>
      <c r="AA2267"/>
      <c r="AB2267"/>
      <c r="AC2267"/>
      <c r="AD2267"/>
      <c r="AE2267"/>
      <c r="AF2267"/>
      <c r="AG2267"/>
      <c r="AH2267"/>
      <c r="AI2267"/>
      <c r="AJ2267"/>
      <c r="AK2267"/>
      <c r="AL2267"/>
    </row>
    <row r="2268" spans="1:38" ht="12.75" outlineLevel="3" x14ac:dyDescent="0.2">
      <c r="A2268" s="82">
        <v>3</v>
      </c>
      <c r="B2268" s="82" t="s">
        <v>71</v>
      </c>
      <c r="C2268" s="82" t="s">
        <v>4175</v>
      </c>
      <c r="D2268" s="82" t="s">
        <v>1709</v>
      </c>
      <c r="E2268" s="11" t="str">
        <f t="array" ref="E2268">_xlfn.XLOOKUP(D2268,Insumos!B:B,Insumos!C:$C)</f>
        <v>L</v>
      </c>
      <c r="F2268" s="86">
        <v>0.8</v>
      </c>
      <c r="G2268" s="92">
        <f t="array" ref="G2268">IF(B2268="insumo",_xlfn.XLOOKUP($D2268,Insumos!$B$1:$B$996,Insumos!$D$1:$D$996),"")</f>
        <v>60</v>
      </c>
      <c r="H2268" s="93">
        <v>48</v>
      </c>
      <c r="I2268" s="84">
        <v>342.12</v>
      </c>
      <c r="J2268" s="84">
        <v>16421.759999999998</v>
      </c>
      <c r="K2268" s="84"/>
      <c r="L2268"/>
      <c r="M2268"/>
      <c r="N2268"/>
      <c r="O2268"/>
      <c r="P2268"/>
      <c r="Q2268"/>
      <c r="R2268"/>
      <c r="S2268"/>
      <c r="T2268"/>
      <c r="U2268"/>
      <c r="V2268"/>
      <c r="W2268"/>
      <c r="X2268"/>
      <c r="Y2268"/>
      <c r="Z2268"/>
      <c r="AA2268"/>
      <c r="AB2268"/>
      <c r="AC2268"/>
      <c r="AD2268"/>
      <c r="AE2268"/>
      <c r="AF2268"/>
      <c r="AG2268"/>
      <c r="AH2268"/>
      <c r="AI2268"/>
      <c r="AJ2268"/>
      <c r="AK2268"/>
      <c r="AL2268"/>
    </row>
    <row r="2269" spans="1:38" ht="12.75" outlineLevel="2" x14ac:dyDescent="0.2">
      <c r="A2269" s="1071">
        <v>1</v>
      </c>
      <c r="B2269" s="1071" t="s">
        <v>68</v>
      </c>
      <c r="C2269" s="1071" t="s">
        <v>4190</v>
      </c>
      <c r="D2269" s="1071" t="s">
        <v>4190</v>
      </c>
      <c r="E2269" s="1072" t="s">
        <v>70</v>
      </c>
      <c r="F2269" s="1071"/>
      <c r="G2269" s="1073" t="str">
        <f t="array" ref="G2269">IF(B2269="insumo",_xlfn.XLOOKUP($D2269,Insumos!$B$1:$B$996,Insumos!$D$1:$D$996),"")</f>
        <v/>
      </c>
      <c r="H2269" s="1073">
        <v>267.988</v>
      </c>
      <c r="I2269" s="1074">
        <v>241.13</v>
      </c>
      <c r="J2269" s="1074">
        <v>64619.94644</v>
      </c>
      <c r="K2269" s="1074"/>
      <c r="L2269"/>
      <c r="M2269"/>
      <c r="N2269"/>
      <c r="O2269"/>
      <c r="P2269"/>
      <c r="Q2269"/>
      <c r="R2269"/>
      <c r="S2269"/>
      <c r="T2269"/>
      <c r="U2269"/>
      <c r="V2269"/>
      <c r="W2269"/>
      <c r="X2269"/>
      <c r="Y2269"/>
      <c r="Z2269"/>
      <c r="AA2269"/>
      <c r="AB2269"/>
      <c r="AC2269"/>
      <c r="AD2269"/>
      <c r="AE2269"/>
      <c r="AF2269"/>
      <c r="AG2269"/>
      <c r="AH2269"/>
      <c r="AI2269"/>
      <c r="AJ2269"/>
      <c r="AK2269"/>
      <c r="AL2269"/>
    </row>
    <row r="2270" spans="1:38" ht="12.75" outlineLevel="3" x14ac:dyDescent="0.2">
      <c r="A2270" s="82">
        <v>5</v>
      </c>
      <c r="B2270" s="82" t="s">
        <v>71</v>
      </c>
      <c r="C2270" s="82" t="s">
        <v>4190</v>
      </c>
      <c r="D2270" s="82" t="s">
        <v>455</v>
      </c>
      <c r="E2270" s="11" t="str">
        <f t="array" ref="E2270">_xlfn.XLOOKUP(D2270,Insumos!B:B,Insumos!C:$C)</f>
        <v>M2</v>
      </c>
      <c r="F2270" s="86">
        <v>1.125</v>
      </c>
      <c r="G2270" s="92">
        <f t="array" ref="G2270">IF(B2270="insumo",_xlfn.XLOOKUP($D2270,Insumos!$B$1:$B$996,Insumos!$D$1:$D$996),"")</f>
        <v>70.02</v>
      </c>
      <c r="H2270" s="93">
        <v>78.772499999999994</v>
      </c>
      <c r="I2270" s="84">
        <v>241.13</v>
      </c>
      <c r="J2270" s="84">
        <v>18994.412925000001</v>
      </c>
      <c r="K2270" s="84"/>
      <c r="L2270"/>
      <c r="M2270"/>
      <c r="N2270"/>
      <c r="O2270"/>
      <c r="P2270"/>
      <c r="Q2270"/>
      <c r="R2270"/>
      <c r="S2270"/>
      <c r="T2270"/>
      <c r="U2270"/>
      <c r="V2270"/>
      <c r="W2270"/>
      <c r="X2270"/>
      <c r="Y2270"/>
      <c r="Z2270"/>
      <c r="AA2270"/>
      <c r="AB2270"/>
      <c r="AC2270"/>
      <c r="AD2270"/>
      <c r="AE2270"/>
      <c r="AF2270"/>
      <c r="AG2270"/>
      <c r="AH2270"/>
      <c r="AI2270"/>
      <c r="AJ2270"/>
      <c r="AK2270"/>
      <c r="AL2270"/>
    </row>
    <row r="2271" spans="1:38" ht="15.75" customHeight="1" outlineLevel="3" x14ac:dyDescent="0.2">
      <c r="A2271" s="10">
        <v>2</v>
      </c>
      <c r="B2271" s="10" t="s">
        <v>71</v>
      </c>
      <c r="C2271" s="82" t="s">
        <v>4190</v>
      </c>
      <c r="D2271" s="10" t="s">
        <v>457</v>
      </c>
      <c r="E2271" s="11" t="str">
        <f t="array" ref="E2271">_xlfn.XLOOKUP(D2271,Insumos!B:B,Insumos!C:$C)</f>
        <v>M2</v>
      </c>
      <c r="F2271" s="14">
        <v>1.125</v>
      </c>
      <c r="G2271" s="92">
        <f t="array" ref="G2271">IF(B2271="insumo",_xlfn.XLOOKUP($D2271,Insumos!$B$1:$B$996,Insumos!$D$1:$D$996),"")</f>
        <v>57.02</v>
      </c>
      <c r="H2271" s="93">
        <v>64.147499999999994</v>
      </c>
      <c r="I2271" s="13">
        <v>241.13</v>
      </c>
      <c r="J2271" s="13">
        <v>15467.886675</v>
      </c>
      <c r="K2271" s="13"/>
      <c r="L2271"/>
      <c r="M2271"/>
      <c r="N2271"/>
      <c r="O2271"/>
      <c r="P2271"/>
      <c r="Q2271"/>
      <c r="R2271"/>
      <c r="S2271"/>
      <c r="T2271"/>
      <c r="U2271"/>
      <c r="V2271"/>
      <c r="W2271"/>
      <c r="X2271"/>
      <c r="Y2271"/>
      <c r="Z2271"/>
      <c r="AA2271"/>
      <c r="AB2271"/>
      <c r="AC2271"/>
      <c r="AD2271"/>
      <c r="AE2271"/>
      <c r="AF2271"/>
      <c r="AG2271"/>
      <c r="AH2271"/>
      <c r="AI2271"/>
      <c r="AJ2271"/>
      <c r="AK2271"/>
      <c r="AL2271"/>
    </row>
    <row r="2272" spans="1:38" ht="12.75" outlineLevel="3" x14ac:dyDescent="0.2">
      <c r="A2272" s="82">
        <v>6</v>
      </c>
      <c r="B2272" s="82" t="s">
        <v>71</v>
      </c>
      <c r="C2272" s="82" t="s">
        <v>4190</v>
      </c>
      <c r="D2272" s="82" t="s">
        <v>463</v>
      </c>
      <c r="E2272" s="11" t="str">
        <f t="array" ref="E2272">_xlfn.XLOOKUP(D2272,Insumos!B:B,Insumos!C:$C)</f>
        <v>KG</v>
      </c>
      <c r="F2272" s="86">
        <v>2</v>
      </c>
      <c r="G2272" s="92">
        <f t="array" ref="G2272">IF(B2272="insumo",_xlfn.XLOOKUP($D2272,Insumos!$B$1:$B$996,Insumos!$D$1:$D$996),"")</f>
        <v>11.33</v>
      </c>
      <c r="H2272" s="93">
        <v>22.66</v>
      </c>
      <c r="I2272" s="84">
        <v>241.13</v>
      </c>
      <c r="J2272" s="84">
        <v>5464.0057999999999</v>
      </c>
      <c r="K2272" s="84"/>
      <c r="L2272"/>
      <c r="M2272"/>
      <c r="N2272"/>
      <c r="O2272"/>
      <c r="P2272"/>
      <c r="Q2272"/>
      <c r="R2272"/>
      <c r="S2272"/>
      <c r="T2272"/>
      <c r="U2272"/>
      <c r="V2272"/>
      <c r="W2272"/>
      <c r="X2272"/>
      <c r="Y2272"/>
      <c r="Z2272"/>
      <c r="AA2272"/>
      <c r="AB2272"/>
      <c r="AC2272"/>
      <c r="AD2272"/>
      <c r="AE2272"/>
      <c r="AF2272"/>
      <c r="AG2272"/>
      <c r="AH2272"/>
      <c r="AI2272"/>
      <c r="AJ2272"/>
      <c r="AK2272"/>
      <c r="AL2272"/>
    </row>
    <row r="2273" spans="1:38" ht="15.75" customHeight="1" outlineLevel="3" x14ac:dyDescent="0.2">
      <c r="A2273" s="10">
        <v>7</v>
      </c>
      <c r="B2273" s="10" t="s">
        <v>71</v>
      </c>
      <c r="C2273" s="82" t="s">
        <v>4190</v>
      </c>
      <c r="D2273" s="10" t="s">
        <v>452</v>
      </c>
      <c r="E2273" s="11" t="str">
        <f t="array" ref="E2273">_xlfn.XLOOKUP(D2273,Insumos!B:B,Insumos!C:$C)</f>
        <v>L</v>
      </c>
      <c r="F2273" s="14">
        <v>0.4</v>
      </c>
      <c r="G2273" s="92">
        <f t="array" ref="G2273">IF(B2273="insumo",_xlfn.XLOOKUP($D2273,Insumos!$B$1:$B$996,Insumos!$D$1:$D$996),"")</f>
        <v>23.52</v>
      </c>
      <c r="H2273" s="93">
        <v>9.4079999999999995</v>
      </c>
      <c r="I2273" s="13">
        <v>241.13</v>
      </c>
      <c r="J2273" s="13">
        <v>2268.5510399999998</v>
      </c>
      <c r="K2273" s="13"/>
      <c r="L2273"/>
      <c r="M2273"/>
      <c r="N2273"/>
      <c r="O2273"/>
      <c r="P2273"/>
      <c r="Q2273"/>
      <c r="R2273"/>
      <c r="S2273"/>
      <c r="T2273"/>
      <c r="U2273"/>
      <c r="V2273"/>
      <c r="W2273"/>
      <c r="X2273"/>
      <c r="Y2273"/>
      <c r="Z2273"/>
      <c r="AA2273"/>
      <c r="AB2273"/>
      <c r="AC2273"/>
      <c r="AD2273"/>
      <c r="AE2273"/>
      <c r="AF2273"/>
      <c r="AG2273"/>
      <c r="AH2273"/>
      <c r="AI2273"/>
      <c r="AJ2273"/>
      <c r="AK2273"/>
      <c r="AL2273"/>
    </row>
    <row r="2274" spans="1:38" ht="12.75" outlineLevel="3" x14ac:dyDescent="0.2">
      <c r="A2274" s="82">
        <v>7</v>
      </c>
      <c r="B2274" s="82" t="s">
        <v>71</v>
      </c>
      <c r="C2274" s="82" t="s">
        <v>4190</v>
      </c>
      <c r="D2274" s="82" t="s">
        <v>1693</v>
      </c>
      <c r="E2274" s="11" t="str">
        <f t="array" ref="E2274">_xlfn.XLOOKUP(D2274,Insumos!B:B,Insumos!C:$C)</f>
        <v>KG</v>
      </c>
      <c r="F2274" s="86">
        <v>5</v>
      </c>
      <c r="G2274" s="92">
        <f t="array" ref="G2274">IF(B2274="insumo",_xlfn.XLOOKUP($D2274,Insumos!$B$1:$B$996,Insumos!$D$1:$D$996),"")</f>
        <v>9</v>
      </c>
      <c r="H2274" s="93">
        <v>45</v>
      </c>
      <c r="I2274" s="84">
        <v>241.13</v>
      </c>
      <c r="J2274" s="84">
        <v>10850.85</v>
      </c>
      <c r="K2274" s="84"/>
      <c r="L2274"/>
      <c r="M2274"/>
      <c r="N2274"/>
      <c r="O2274"/>
      <c r="P2274"/>
      <c r="Q2274"/>
      <c r="R2274"/>
      <c r="S2274"/>
      <c r="T2274"/>
      <c r="U2274"/>
      <c r="V2274"/>
      <c r="W2274"/>
      <c r="X2274"/>
      <c r="Y2274"/>
      <c r="Z2274"/>
      <c r="AA2274"/>
      <c r="AB2274"/>
      <c r="AC2274"/>
      <c r="AD2274"/>
      <c r="AE2274"/>
      <c r="AF2274"/>
      <c r="AG2274"/>
      <c r="AH2274"/>
      <c r="AI2274"/>
      <c r="AJ2274"/>
      <c r="AK2274"/>
      <c r="AL2274"/>
    </row>
    <row r="2275" spans="1:38" ht="12.75" outlineLevel="3" x14ac:dyDescent="0.2">
      <c r="A2275" s="82">
        <v>3</v>
      </c>
      <c r="B2275" s="82" t="s">
        <v>71</v>
      </c>
      <c r="C2275" s="82" t="s">
        <v>4190</v>
      </c>
      <c r="D2275" s="82" t="s">
        <v>1709</v>
      </c>
      <c r="E2275" s="11" t="str">
        <f t="array" ref="E2275">_xlfn.XLOOKUP(D2275,Insumos!B:B,Insumos!C:$C)</f>
        <v>L</v>
      </c>
      <c r="F2275" s="86">
        <v>0.8</v>
      </c>
      <c r="G2275" s="92">
        <f t="array" ref="G2275">IF(B2275="insumo",_xlfn.XLOOKUP($D2275,Insumos!$B$1:$B$996,Insumos!$D$1:$D$996),"")</f>
        <v>60</v>
      </c>
      <c r="H2275" s="93">
        <v>48</v>
      </c>
      <c r="I2275" s="84">
        <v>241.13</v>
      </c>
      <c r="J2275" s="84">
        <v>11574.24</v>
      </c>
      <c r="K2275" s="84"/>
      <c r="L2275"/>
      <c r="M2275"/>
      <c r="N2275"/>
      <c r="O2275"/>
      <c r="P2275"/>
      <c r="Q2275"/>
      <c r="R2275"/>
      <c r="S2275"/>
      <c r="T2275"/>
      <c r="U2275"/>
      <c r="V2275"/>
      <c r="W2275"/>
      <c r="X2275"/>
      <c r="Y2275"/>
      <c r="Z2275"/>
      <c r="AA2275"/>
      <c r="AB2275"/>
      <c r="AC2275"/>
      <c r="AD2275"/>
      <c r="AE2275"/>
      <c r="AF2275"/>
      <c r="AG2275"/>
      <c r="AH2275"/>
      <c r="AI2275"/>
      <c r="AJ2275"/>
      <c r="AK2275"/>
      <c r="AL2275"/>
    </row>
    <row r="2276" spans="1:38" ht="15.75" customHeight="1" outlineLevel="1" x14ac:dyDescent="0.2">
      <c r="A2276" s="1090">
        <v>2</v>
      </c>
      <c r="B2276" s="1090" t="s">
        <v>1228</v>
      </c>
      <c r="C2276" s="1090" t="s">
        <v>4175</v>
      </c>
      <c r="D2276" s="1090" t="s">
        <v>1405</v>
      </c>
      <c r="E2276" s="1091"/>
      <c r="F2276" s="1092"/>
      <c r="G2276" s="1091"/>
      <c r="H2276" s="1065">
        <v>0</v>
      </c>
      <c r="I2276" s="1092">
        <v>0</v>
      </c>
      <c r="J2276" s="1092">
        <v>0</v>
      </c>
      <c r="K2276" s="1092"/>
      <c r="L2276"/>
      <c r="M2276"/>
      <c r="N2276"/>
      <c r="O2276"/>
      <c r="P2276"/>
      <c r="Q2276"/>
      <c r="R2276"/>
      <c r="S2276"/>
      <c r="T2276"/>
      <c r="U2276"/>
      <c r="V2276"/>
      <c r="W2276"/>
      <c r="X2276"/>
      <c r="Y2276"/>
      <c r="Z2276"/>
      <c r="AA2276"/>
      <c r="AB2276"/>
      <c r="AC2276"/>
      <c r="AD2276"/>
      <c r="AE2276"/>
      <c r="AF2276"/>
      <c r="AG2276"/>
      <c r="AH2276"/>
      <c r="AI2276"/>
      <c r="AJ2276"/>
      <c r="AK2276"/>
      <c r="AL2276"/>
    </row>
    <row r="2277" spans="1:38" ht="16.5" customHeight="1" outlineLevel="2" x14ac:dyDescent="0.2">
      <c r="A2277" s="1067">
        <v>1</v>
      </c>
      <c r="B2277" s="1067" t="s">
        <v>68</v>
      </c>
      <c r="C2277" s="1067" t="s">
        <v>1672</v>
      </c>
      <c r="D2277" s="1067" t="s">
        <v>1672</v>
      </c>
      <c r="E2277" s="1068" t="s">
        <v>197</v>
      </c>
      <c r="F2277" s="1067"/>
      <c r="G2277" s="1069" t="str">
        <f t="array" ref="G2277">IF(B2277="insumo",_xlfn.XLOOKUP($D2277,Insumos!$B$1:$B$996,Insumos!$D$1:$D$996),"")</f>
        <v/>
      </c>
      <c r="H2277" s="1069">
        <v>27.4</v>
      </c>
      <c r="I2277" s="1070">
        <v>0</v>
      </c>
      <c r="J2277" s="1070">
        <v>0</v>
      </c>
      <c r="K2277" s="1070"/>
      <c r="L2277"/>
      <c r="M2277"/>
      <c r="N2277"/>
      <c r="O2277"/>
      <c r="P2277"/>
      <c r="Q2277"/>
      <c r="R2277"/>
      <c r="S2277"/>
      <c r="T2277"/>
      <c r="U2277"/>
      <c r="V2277"/>
      <c r="W2277"/>
      <c r="X2277"/>
      <c r="Y2277"/>
      <c r="Z2277"/>
      <c r="AA2277"/>
      <c r="AB2277"/>
      <c r="AC2277"/>
      <c r="AD2277"/>
      <c r="AE2277"/>
      <c r="AF2277"/>
      <c r="AG2277"/>
      <c r="AH2277"/>
      <c r="AI2277"/>
      <c r="AJ2277"/>
      <c r="AK2277"/>
      <c r="AL2277"/>
    </row>
    <row r="2278" spans="1:38" ht="16.5" customHeight="1" outlineLevel="3" x14ac:dyDescent="0.2">
      <c r="A2278" s="10">
        <v>1</v>
      </c>
      <c r="B2278" s="10" t="s">
        <v>71</v>
      </c>
      <c r="C2278" s="10" t="s">
        <v>1672</v>
      </c>
      <c r="D2278" s="10" t="s">
        <v>1671</v>
      </c>
      <c r="E2278" s="11" t="str">
        <f t="array" ref="E2278">_xlfn.XLOOKUP(D2278,Insumos!B:B,Insumos!C:$C)</f>
        <v>M2</v>
      </c>
      <c r="F2278" s="14">
        <v>1</v>
      </c>
      <c r="G2278" s="92">
        <f t="array" ref="G2278">IF(B2278="insumo",_xlfn.XLOOKUP($D2278,Insumos!$B$1:$B$996,Insumos!$D$1:$D$996),"")</f>
        <v>27.4</v>
      </c>
      <c r="H2278" s="92">
        <v>27.4</v>
      </c>
      <c r="I2278" s="13">
        <v>0</v>
      </c>
      <c r="J2278" s="13">
        <v>0</v>
      </c>
      <c r="K2278" s="13"/>
      <c r="L2278"/>
      <c r="M2278"/>
      <c r="N2278"/>
      <c r="O2278"/>
      <c r="P2278"/>
      <c r="Q2278"/>
      <c r="R2278"/>
      <c r="S2278"/>
      <c r="T2278"/>
      <c r="U2278"/>
      <c r="V2278"/>
      <c r="W2278"/>
      <c r="X2278"/>
      <c r="Y2278"/>
      <c r="Z2278"/>
      <c r="AA2278"/>
      <c r="AB2278"/>
      <c r="AC2278"/>
      <c r="AD2278"/>
      <c r="AE2278"/>
      <c r="AF2278"/>
      <c r="AG2278"/>
      <c r="AH2278"/>
      <c r="AI2278"/>
      <c r="AJ2278"/>
      <c r="AK2278"/>
      <c r="AL2278"/>
    </row>
    <row r="2279" spans="1:38" ht="15.75" customHeight="1" outlineLevel="2" x14ac:dyDescent="0.2">
      <c r="A2279" s="1067">
        <v>1</v>
      </c>
      <c r="B2279" s="1067" t="s">
        <v>68</v>
      </c>
      <c r="C2279" s="1067" t="s">
        <v>470</v>
      </c>
      <c r="D2279" s="1067" t="s">
        <v>470</v>
      </c>
      <c r="E2279" s="1068" t="s">
        <v>70</v>
      </c>
      <c r="F2279" s="1067"/>
      <c r="G2279" s="1069" t="str">
        <f t="array" ref="G2279">IF(B2279="insumo",_xlfn.XLOOKUP($D2279,Insumos!$B$1:$B$996,Insumos!$D$1:$D$996),"")</f>
        <v/>
      </c>
      <c r="H2279" s="1069">
        <v>20</v>
      </c>
      <c r="I2279" s="1070">
        <v>3018.39</v>
      </c>
      <c r="J2279" s="1070">
        <v>60367.8</v>
      </c>
      <c r="K2279" s="1070"/>
      <c r="L2279"/>
      <c r="M2279"/>
      <c r="N2279"/>
      <c r="O2279"/>
      <c r="P2279"/>
      <c r="Q2279"/>
      <c r="R2279"/>
      <c r="S2279"/>
      <c r="T2279"/>
      <c r="U2279"/>
      <c r="V2279"/>
      <c r="W2279"/>
      <c r="X2279"/>
      <c r="Y2279"/>
      <c r="Z2279"/>
      <c r="AA2279"/>
      <c r="AB2279"/>
      <c r="AC2279"/>
      <c r="AD2279"/>
      <c r="AE2279"/>
      <c r="AF2279"/>
      <c r="AG2279"/>
      <c r="AH2279"/>
      <c r="AI2279"/>
      <c r="AJ2279"/>
      <c r="AK2279"/>
      <c r="AL2279"/>
    </row>
    <row r="2280" spans="1:38" ht="15.75" customHeight="1" outlineLevel="3" x14ac:dyDescent="0.2">
      <c r="A2280" s="10">
        <v>1</v>
      </c>
      <c r="B2280" s="10" t="s">
        <v>71</v>
      </c>
      <c r="C2280" s="10" t="s">
        <v>470</v>
      </c>
      <c r="D2280" s="10" t="s">
        <v>470</v>
      </c>
      <c r="E2280" s="11" t="str">
        <f t="array" ref="E2280">_xlfn.XLOOKUP(D2280,Insumos!B:B,Insumos!C:$C)</f>
        <v>M2</v>
      </c>
      <c r="F2280" s="14">
        <v>1</v>
      </c>
      <c r="G2280" s="92">
        <f t="array" ref="G2280">IF(B2280="insumo",_xlfn.XLOOKUP($D2280,Insumos!$B$1:$B$996,Insumos!$D$1:$D$996),"")</f>
        <v>20</v>
      </c>
      <c r="H2280" s="92">
        <v>20</v>
      </c>
      <c r="I2280" s="13">
        <v>3018.39</v>
      </c>
      <c r="J2280" s="13">
        <v>60367.8</v>
      </c>
      <c r="K2280" s="13"/>
      <c r="L2280"/>
      <c r="M2280"/>
      <c r="N2280"/>
      <c r="O2280"/>
      <c r="P2280"/>
      <c r="Q2280"/>
      <c r="R2280"/>
      <c r="S2280"/>
      <c r="T2280"/>
      <c r="U2280"/>
      <c r="V2280"/>
      <c r="W2280"/>
      <c r="X2280"/>
      <c r="Y2280"/>
      <c r="Z2280"/>
      <c r="AA2280"/>
      <c r="AB2280"/>
      <c r="AC2280"/>
      <c r="AD2280"/>
      <c r="AE2280"/>
      <c r="AF2280"/>
      <c r="AG2280"/>
      <c r="AH2280"/>
      <c r="AI2280"/>
      <c r="AJ2280"/>
      <c r="AK2280"/>
      <c r="AL2280"/>
    </row>
    <row r="2281" spans="1:38" ht="15.75" customHeight="1" outlineLevel="2" x14ac:dyDescent="0.2">
      <c r="A2281" s="1067">
        <v>1</v>
      </c>
      <c r="B2281" s="1067" t="s">
        <v>68</v>
      </c>
      <c r="C2281" s="1067" t="s">
        <v>471</v>
      </c>
      <c r="D2281" s="1067" t="s">
        <v>471</v>
      </c>
      <c r="E2281" s="1068" t="s">
        <v>70</v>
      </c>
      <c r="F2281" s="1075"/>
      <c r="G2281" s="1069" t="str">
        <f t="array" ref="G2281">IF(B2281="insumo",_xlfn.XLOOKUP($D2281,Insumos!$B$1:$B$996,Insumos!$D$1:$D$996),"")</f>
        <v/>
      </c>
      <c r="H2281" s="1069">
        <v>35</v>
      </c>
      <c r="I2281" s="1070">
        <v>1014.45</v>
      </c>
      <c r="J2281" s="1070">
        <v>35505.75</v>
      </c>
      <c r="K2281" s="1070"/>
      <c r="L2281"/>
      <c r="M2281"/>
      <c r="N2281"/>
      <c r="O2281"/>
      <c r="P2281"/>
      <c r="Q2281"/>
      <c r="R2281"/>
      <c r="S2281"/>
      <c r="T2281"/>
      <c r="U2281"/>
      <c r="V2281"/>
      <c r="W2281"/>
      <c r="X2281"/>
      <c r="Y2281"/>
      <c r="Z2281"/>
      <c r="AA2281"/>
      <c r="AB2281"/>
      <c r="AC2281"/>
      <c r="AD2281"/>
      <c r="AE2281"/>
      <c r="AF2281"/>
      <c r="AG2281"/>
      <c r="AH2281"/>
      <c r="AI2281"/>
      <c r="AJ2281"/>
      <c r="AK2281"/>
      <c r="AL2281"/>
    </row>
    <row r="2282" spans="1:38" ht="15.75" customHeight="1" outlineLevel="3" x14ac:dyDescent="0.2">
      <c r="A2282" s="10">
        <v>1</v>
      </c>
      <c r="B2282" s="10" t="s">
        <v>71</v>
      </c>
      <c r="C2282" s="10" t="s">
        <v>471</v>
      </c>
      <c r="D2282" s="10" t="s">
        <v>471</v>
      </c>
      <c r="E2282" s="11" t="str">
        <f t="array" ref="E2282">_xlfn.XLOOKUP(D2282,Insumos!B:B,Insumos!C:$C)</f>
        <v>UN</v>
      </c>
      <c r="F2282" s="14">
        <v>1</v>
      </c>
      <c r="G2282" s="92">
        <f t="array" ref="G2282">IF(B2282="insumo",_xlfn.XLOOKUP($D2282,Insumos!$B$1:$B$996,Insumos!$D$1:$D$996),"")</f>
        <v>35</v>
      </c>
      <c r="H2282" s="92">
        <v>35</v>
      </c>
      <c r="I2282" s="13">
        <v>1014.45</v>
      </c>
      <c r="J2282" s="13">
        <v>35505.75</v>
      </c>
      <c r="K2282" s="13"/>
      <c r="L2282"/>
      <c r="M2282"/>
      <c r="N2282"/>
      <c r="O2282"/>
      <c r="P2282"/>
      <c r="Q2282"/>
      <c r="R2282"/>
      <c r="S2282"/>
      <c r="T2282"/>
      <c r="U2282"/>
      <c r="V2282"/>
      <c r="W2282"/>
      <c r="X2282"/>
      <c r="Y2282"/>
      <c r="Z2282"/>
      <c r="AA2282"/>
      <c r="AB2282"/>
      <c r="AC2282"/>
      <c r="AD2282"/>
      <c r="AE2282"/>
      <c r="AF2282"/>
      <c r="AG2282"/>
      <c r="AH2282"/>
      <c r="AI2282"/>
      <c r="AJ2282"/>
      <c r="AK2282"/>
      <c r="AL2282"/>
    </row>
    <row r="2283" spans="1:38" ht="15.75" customHeight="1" outlineLevel="2" x14ac:dyDescent="0.2">
      <c r="A2283" s="1067">
        <v>1</v>
      </c>
      <c r="B2283" s="1067" t="s">
        <v>68</v>
      </c>
      <c r="C2283" s="1067" t="s">
        <v>472</v>
      </c>
      <c r="D2283" s="1067" t="s">
        <v>472</v>
      </c>
      <c r="E2283" s="1068" t="s">
        <v>70</v>
      </c>
      <c r="F2283" s="1075"/>
      <c r="G2283" s="1069" t="str">
        <f t="array" ref="G2283">IF(B2283="insumo",_xlfn.XLOOKUP($D2283,Insumos!$B$1:$B$996,Insumos!$D$1:$D$996),"")</f>
        <v/>
      </c>
      <c r="H2283" s="1069">
        <v>30</v>
      </c>
      <c r="I2283" s="1070">
        <v>0</v>
      </c>
      <c r="J2283" s="1070">
        <v>0</v>
      </c>
      <c r="K2283" s="1070"/>
      <c r="L2283"/>
      <c r="M2283"/>
      <c r="N2283"/>
      <c r="O2283"/>
      <c r="P2283"/>
      <c r="Q2283"/>
      <c r="R2283"/>
      <c r="S2283"/>
      <c r="T2283"/>
      <c r="U2283"/>
      <c r="V2283"/>
      <c r="W2283"/>
      <c r="X2283"/>
      <c r="Y2283"/>
      <c r="Z2283"/>
      <c r="AA2283"/>
      <c r="AB2283"/>
      <c r="AC2283"/>
      <c r="AD2283"/>
      <c r="AE2283"/>
      <c r="AF2283"/>
      <c r="AG2283"/>
      <c r="AH2283"/>
      <c r="AI2283"/>
      <c r="AJ2283"/>
      <c r="AK2283"/>
      <c r="AL2283"/>
    </row>
    <row r="2284" spans="1:38" ht="15.75" customHeight="1" outlineLevel="3" x14ac:dyDescent="0.2">
      <c r="A2284" s="10">
        <v>1</v>
      </c>
      <c r="B2284" s="10" t="s">
        <v>71</v>
      </c>
      <c r="C2284" s="10" t="s">
        <v>472</v>
      </c>
      <c r="D2284" s="10" t="s">
        <v>472</v>
      </c>
      <c r="E2284" s="11" t="str">
        <f t="array" ref="E2284">_xlfn.XLOOKUP(D2284,Insumos!B:B,Insumos!C:$C)</f>
        <v>UN</v>
      </c>
      <c r="F2284" s="14">
        <v>1</v>
      </c>
      <c r="G2284" s="92">
        <f t="array" ref="G2284">IF(B2284="insumo",_xlfn.XLOOKUP($D2284,Insumos!$B$1:$B$996,Insumos!$D$1:$D$996),"")</f>
        <v>30</v>
      </c>
      <c r="H2284" s="92">
        <v>30</v>
      </c>
      <c r="I2284" s="13">
        <v>0</v>
      </c>
      <c r="J2284" s="13">
        <v>0</v>
      </c>
      <c r="K2284" s="13"/>
      <c r="L2284"/>
      <c r="M2284"/>
      <c r="N2284"/>
      <c r="O2284"/>
      <c r="P2284"/>
      <c r="Q2284"/>
      <c r="R2284"/>
      <c r="S2284"/>
      <c r="T2284"/>
      <c r="U2284"/>
      <c r="V2284"/>
      <c r="W2284"/>
      <c r="X2284"/>
      <c r="Y2284"/>
      <c r="Z2284"/>
      <c r="AA2284"/>
      <c r="AB2284"/>
      <c r="AC2284"/>
      <c r="AD2284"/>
      <c r="AE2284"/>
      <c r="AF2284"/>
      <c r="AG2284"/>
      <c r="AH2284"/>
      <c r="AI2284"/>
      <c r="AJ2284"/>
      <c r="AK2284"/>
      <c r="AL2284"/>
    </row>
    <row r="2285" spans="1:38" ht="15.75" customHeight="1" outlineLevel="2" x14ac:dyDescent="0.2">
      <c r="A2285" s="1067">
        <v>1</v>
      </c>
      <c r="B2285" s="1067" t="s">
        <v>68</v>
      </c>
      <c r="C2285" s="1067" t="s">
        <v>473</v>
      </c>
      <c r="D2285" s="1067" t="s">
        <v>473</v>
      </c>
      <c r="E2285" s="1068" t="s">
        <v>70</v>
      </c>
      <c r="F2285" s="1075"/>
      <c r="G2285" s="1069" t="str">
        <f t="array" ref="G2285">IF(B2285="insumo",_xlfn.XLOOKUP($D2285,Insumos!$B$1:$B$996,Insumos!$D$1:$D$996),"")</f>
        <v/>
      </c>
      <c r="H2285" s="1069">
        <v>45</v>
      </c>
      <c r="I2285" s="1070">
        <v>0</v>
      </c>
      <c r="J2285" s="1070">
        <v>0</v>
      </c>
      <c r="K2285" s="1070"/>
      <c r="L2285"/>
      <c r="M2285"/>
      <c r="N2285"/>
      <c r="O2285"/>
      <c r="P2285"/>
      <c r="Q2285"/>
      <c r="R2285"/>
      <c r="S2285"/>
      <c r="T2285"/>
      <c r="U2285"/>
      <c r="V2285"/>
      <c r="W2285"/>
      <c r="X2285"/>
      <c r="Y2285"/>
      <c r="Z2285"/>
      <c r="AA2285"/>
      <c r="AB2285"/>
      <c r="AC2285"/>
      <c r="AD2285"/>
      <c r="AE2285"/>
      <c r="AF2285"/>
      <c r="AG2285"/>
      <c r="AH2285"/>
      <c r="AI2285"/>
      <c r="AJ2285"/>
      <c r="AK2285"/>
      <c r="AL2285"/>
    </row>
    <row r="2286" spans="1:38" ht="15.75" customHeight="1" outlineLevel="3" x14ac:dyDescent="0.2">
      <c r="A2286" s="10">
        <v>1</v>
      </c>
      <c r="B2286" s="10" t="s">
        <v>71</v>
      </c>
      <c r="C2286" s="10" t="s">
        <v>473</v>
      </c>
      <c r="D2286" s="10" t="s">
        <v>473</v>
      </c>
      <c r="E2286" s="11" t="str">
        <f t="array" ref="E2286">_xlfn.XLOOKUP(D2286,Insumos!B:B,Insumos!C:$C)</f>
        <v>UN</v>
      </c>
      <c r="F2286" s="14">
        <v>1</v>
      </c>
      <c r="G2286" s="92">
        <f t="array" ref="G2286">IF(B2286="insumo",_xlfn.XLOOKUP($D2286,Insumos!$B$1:$B$996,Insumos!$D$1:$D$996),"")</f>
        <v>45</v>
      </c>
      <c r="H2286" s="92">
        <v>45</v>
      </c>
      <c r="I2286" s="13">
        <v>0</v>
      </c>
      <c r="J2286" s="13">
        <v>0</v>
      </c>
      <c r="K2286" s="13"/>
      <c r="L2286"/>
      <c r="M2286"/>
      <c r="N2286"/>
      <c r="O2286"/>
      <c r="P2286"/>
      <c r="Q2286"/>
      <c r="R2286"/>
      <c r="S2286"/>
      <c r="T2286"/>
      <c r="U2286"/>
      <c r="V2286"/>
      <c r="W2286"/>
      <c r="X2286"/>
      <c r="Y2286"/>
      <c r="Z2286"/>
      <c r="AA2286"/>
      <c r="AB2286"/>
      <c r="AC2286"/>
      <c r="AD2286"/>
      <c r="AE2286"/>
      <c r="AF2286"/>
      <c r="AG2286"/>
      <c r="AH2286"/>
      <c r="AI2286"/>
      <c r="AJ2286"/>
      <c r="AK2286"/>
      <c r="AL2286"/>
    </row>
    <row r="2287" spans="1:38" ht="15.75" customHeight="1" outlineLevel="2" x14ac:dyDescent="0.2">
      <c r="A2287" s="1067">
        <v>1</v>
      </c>
      <c r="B2287" s="1067" t="s">
        <v>68</v>
      </c>
      <c r="C2287" s="1067" t="s">
        <v>474</v>
      </c>
      <c r="D2287" s="1067" t="s">
        <v>474</v>
      </c>
      <c r="E2287" s="1068" t="s">
        <v>70</v>
      </c>
      <c r="F2287" s="1075"/>
      <c r="G2287" s="1069" t="str">
        <f t="array" ref="G2287">IF(B2287="insumo",_xlfn.XLOOKUP($D2287,Insumos!$B$1:$B$996,Insumos!$D$1:$D$996),"")</f>
        <v/>
      </c>
      <c r="H2287" s="1069">
        <v>30</v>
      </c>
      <c r="I2287" s="1070">
        <v>0</v>
      </c>
      <c r="J2287" s="1070">
        <v>0</v>
      </c>
      <c r="K2287" s="1070"/>
      <c r="L2287"/>
      <c r="M2287"/>
      <c r="N2287"/>
      <c r="O2287"/>
      <c r="P2287"/>
      <c r="Q2287"/>
      <c r="R2287"/>
      <c r="S2287"/>
      <c r="T2287"/>
      <c r="U2287"/>
      <c r="V2287"/>
      <c r="W2287"/>
      <c r="X2287"/>
      <c r="Y2287"/>
      <c r="Z2287"/>
      <c r="AA2287"/>
      <c r="AB2287"/>
      <c r="AC2287"/>
      <c r="AD2287"/>
      <c r="AE2287"/>
      <c r="AF2287"/>
      <c r="AG2287"/>
      <c r="AH2287"/>
      <c r="AI2287"/>
      <c r="AJ2287"/>
      <c r="AK2287"/>
      <c r="AL2287"/>
    </row>
    <row r="2288" spans="1:38" ht="15.75" customHeight="1" outlineLevel="3" x14ac:dyDescent="0.2">
      <c r="A2288" s="10">
        <v>2</v>
      </c>
      <c r="B2288" s="10" t="s">
        <v>71</v>
      </c>
      <c r="C2288" s="10" t="s">
        <v>474</v>
      </c>
      <c r="D2288" s="10" t="s">
        <v>474</v>
      </c>
      <c r="E2288" s="11" t="str">
        <f t="array" ref="E2288">_xlfn.XLOOKUP(D2288,Insumos!B:B,Insumos!C:$C)</f>
        <v>UN</v>
      </c>
      <c r="F2288" s="14">
        <v>1</v>
      </c>
      <c r="G2288" s="92">
        <f t="array" ref="G2288">IF(B2288="insumo",_xlfn.XLOOKUP($D2288,Insumos!$B$1:$B$996,Insumos!$D$1:$D$996),"")</f>
        <v>30</v>
      </c>
      <c r="H2288" s="92">
        <v>30</v>
      </c>
      <c r="I2288" s="13">
        <v>0</v>
      </c>
      <c r="J2288" s="13">
        <v>0</v>
      </c>
      <c r="K2288" s="13"/>
      <c r="L2288"/>
      <c r="M2288"/>
      <c r="N2288"/>
      <c r="O2288"/>
      <c r="P2288"/>
      <c r="Q2288"/>
      <c r="R2288"/>
      <c r="S2288"/>
      <c r="T2288"/>
      <c r="U2288"/>
      <c r="V2288"/>
      <c r="W2288"/>
      <c r="X2288"/>
      <c r="Y2288"/>
      <c r="Z2288"/>
      <c r="AA2288"/>
      <c r="AB2288"/>
      <c r="AC2288"/>
      <c r="AD2288"/>
      <c r="AE2288"/>
      <c r="AF2288"/>
      <c r="AG2288"/>
      <c r="AH2288"/>
      <c r="AI2288"/>
      <c r="AJ2288"/>
      <c r="AK2288"/>
      <c r="AL2288"/>
    </row>
    <row r="2289" spans="1:38" ht="15.75" customHeight="1" outlineLevel="2" x14ac:dyDescent="0.2">
      <c r="A2289" s="1067">
        <v>1</v>
      </c>
      <c r="B2289" s="1067" t="s">
        <v>68</v>
      </c>
      <c r="C2289" s="1067" t="s">
        <v>475</v>
      </c>
      <c r="D2289" s="1067" t="s">
        <v>475</v>
      </c>
      <c r="E2289" s="1068" t="s">
        <v>70</v>
      </c>
      <c r="F2289" s="1075"/>
      <c r="G2289" s="1069" t="str">
        <f t="array" ref="G2289">IF(B2289="insumo",_xlfn.XLOOKUP($D2289,Insumos!$B$1:$B$996,Insumos!$D$1:$D$996),"")</f>
        <v/>
      </c>
      <c r="H2289" s="1069">
        <v>30</v>
      </c>
      <c r="I2289" s="1070">
        <v>0</v>
      </c>
      <c r="J2289" s="1070">
        <v>0</v>
      </c>
      <c r="K2289" s="1070"/>
      <c r="L2289"/>
      <c r="M2289"/>
      <c r="N2289"/>
      <c r="O2289"/>
      <c r="P2289"/>
      <c r="Q2289"/>
      <c r="R2289"/>
      <c r="S2289"/>
      <c r="T2289"/>
      <c r="U2289"/>
      <c r="V2289"/>
      <c r="W2289"/>
      <c r="X2289"/>
      <c r="Y2289"/>
      <c r="Z2289"/>
      <c r="AA2289"/>
      <c r="AB2289"/>
      <c r="AC2289"/>
      <c r="AD2289"/>
      <c r="AE2289"/>
      <c r="AF2289"/>
      <c r="AG2289"/>
      <c r="AH2289"/>
      <c r="AI2289"/>
      <c r="AJ2289"/>
      <c r="AK2289"/>
      <c r="AL2289"/>
    </row>
    <row r="2290" spans="1:38" ht="15.75" customHeight="1" outlineLevel="3" x14ac:dyDescent="0.2">
      <c r="A2290" s="10">
        <v>2</v>
      </c>
      <c r="B2290" s="10" t="s">
        <v>71</v>
      </c>
      <c r="C2290" s="10" t="s">
        <v>475</v>
      </c>
      <c r="D2290" s="10" t="s">
        <v>474</v>
      </c>
      <c r="E2290" s="11" t="str">
        <f t="array" ref="E2290">_xlfn.XLOOKUP(D2290,Insumos!B:B,Insumos!C:$C)</f>
        <v>UN</v>
      </c>
      <c r="F2290" s="14">
        <v>1</v>
      </c>
      <c r="G2290" s="92">
        <f t="array" ref="G2290">IF(B2290="insumo",_xlfn.XLOOKUP($D2290,Insumos!$B$1:$B$996,Insumos!$D$1:$D$996),"")</f>
        <v>30</v>
      </c>
      <c r="H2290" s="92">
        <v>30</v>
      </c>
      <c r="I2290" s="13">
        <v>0</v>
      </c>
      <c r="J2290" s="13">
        <v>0</v>
      </c>
      <c r="K2290" s="13"/>
      <c r="L2290"/>
      <c r="M2290"/>
      <c r="N2290"/>
      <c r="O2290"/>
      <c r="P2290"/>
      <c r="Q2290"/>
      <c r="R2290"/>
      <c r="S2290"/>
      <c r="T2290"/>
      <c r="U2290"/>
      <c r="V2290"/>
      <c r="W2290"/>
      <c r="X2290"/>
      <c r="Y2290"/>
      <c r="Z2290"/>
      <c r="AA2290"/>
      <c r="AB2290"/>
      <c r="AC2290"/>
      <c r="AD2290"/>
      <c r="AE2290"/>
      <c r="AF2290"/>
      <c r="AG2290"/>
      <c r="AH2290"/>
      <c r="AI2290"/>
      <c r="AJ2290"/>
      <c r="AK2290"/>
      <c r="AL2290"/>
    </row>
    <row r="2291" spans="1:38" ht="15.75" customHeight="1" outlineLevel="2" x14ac:dyDescent="0.2">
      <c r="A2291" s="1067">
        <v>1</v>
      </c>
      <c r="B2291" s="1067" t="s">
        <v>68</v>
      </c>
      <c r="C2291" s="1067" t="s">
        <v>476</v>
      </c>
      <c r="D2291" s="1067" t="s">
        <v>476</v>
      </c>
      <c r="E2291" s="1068" t="s">
        <v>70</v>
      </c>
      <c r="F2291" s="1067"/>
      <c r="G2291" s="1069" t="str">
        <f t="array" ref="G2291">IF(B2291="insumo",_xlfn.XLOOKUP($D2291,Insumos!$B$1:$B$996,Insumos!$D$1:$D$996),"")</f>
        <v/>
      </c>
      <c r="H2291" s="1069">
        <v>28</v>
      </c>
      <c r="I2291" s="1070">
        <v>698.85</v>
      </c>
      <c r="J2291" s="1070">
        <v>19567.8</v>
      </c>
      <c r="K2291" s="1070"/>
      <c r="L2291"/>
      <c r="M2291"/>
      <c r="N2291"/>
      <c r="O2291"/>
      <c r="P2291"/>
      <c r="Q2291"/>
      <c r="R2291"/>
      <c r="S2291"/>
      <c r="T2291"/>
      <c r="U2291"/>
      <c r="V2291"/>
      <c r="W2291"/>
      <c r="X2291"/>
      <c r="Y2291"/>
      <c r="Z2291"/>
      <c r="AA2291"/>
      <c r="AB2291"/>
      <c r="AC2291"/>
      <c r="AD2291"/>
      <c r="AE2291"/>
      <c r="AF2291"/>
      <c r="AG2291"/>
      <c r="AH2291"/>
      <c r="AI2291"/>
      <c r="AJ2291"/>
      <c r="AK2291"/>
      <c r="AL2291"/>
    </row>
    <row r="2292" spans="1:38" ht="15.75" customHeight="1" outlineLevel="3" x14ac:dyDescent="0.2">
      <c r="A2292" s="10">
        <v>1</v>
      </c>
      <c r="B2292" s="10" t="s">
        <v>71</v>
      </c>
      <c r="C2292" s="10" t="s">
        <v>476</v>
      </c>
      <c r="D2292" s="10" t="s">
        <v>476</v>
      </c>
      <c r="E2292" s="11" t="str">
        <f t="array" ref="E2292">_xlfn.XLOOKUP(D2292,Insumos!B:B,Insumos!C:$C)</f>
        <v>M2</v>
      </c>
      <c r="F2292" s="14">
        <v>1</v>
      </c>
      <c r="G2292" s="92">
        <f t="array" ref="G2292">IF(B2292="insumo",_xlfn.XLOOKUP($D2292,Insumos!$B$1:$B$996,Insumos!$D$1:$D$996),"")</f>
        <v>28</v>
      </c>
      <c r="H2292" s="92">
        <v>28</v>
      </c>
      <c r="I2292" s="13">
        <v>698.85</v>
      </c>
      <c r="J2292" s="13">
        <v>19567.8</v>
      </c>
      <c r="K2292" s="13"/>
      <c r="L2292"/>
      <c r="M2292"/>
      <c r="N2292"/>
      <c r="O2292"/>
      <c r="P2292"/>
      <c r="Q2292"/>
      <c r="R2292"/>
      <c r="S2292"/>
      <c r="T2292"/>
      <c r="U2292"/>
      <c r="V2292"/>
      <c r="W2292"/>
      <c r="X2292"/>
      <c r="Y2292"/>
      <c r="Z2292"/>
      <c r="AA2292"/>
      <c r="AB2292"/>
      <c r="AC2292"/>
      <c r="AD2292"/>
      <c r="AE2292"/>
      <c r="AF2292"/>
      <c r="AG2292"/>
      <c r="AH2292"/>
      <c r="AI2292"/>
      <c r="AJ2292"/>
      <c r="AK2292"/>
      <c r="AL2292"/>
    </row>
    <row r="2293" spans="1:38" ht="15.75" customHeight="1" outlineLevel="2" x14ac:dyDescent="0.2">
      <c r="A2293" s="1067">
        <v>1</v>
      </c>
      <c r="B2293" s="1067" t="s">
        <v>68</v>
      </c>
      <c r="C2293" s="1067" t="s">
        <v>1648</v>
      </c>
      <c r="D2293" s="1067" t="s">
        <v>1648</v>
      </c>
      <c r="E2293" s="1068" t="s">
        <v>70</v>
      </c>
      <c r="F2293" s="1075"/>
      <c r="G2293" s="1069" t="str">
        <f t="array" ref="G2293">IF(B2293="insumo",_xlfn.XLOOKUP($D2293,Insumos!$B$1:$B$996,Insumos!$D$1:$D$996),"")</f>
        <v/>
      </c>
      <c r="H2293" s="1069">
        <v>30</v>
      </c>
      <c r="I2293" s="1070">
        <v>0</v>
      </c>
      <c r="J2293" s="1070">
        <v>0</v>
      </c>
      <c r="K2293" s="1070"/>
      <c r="L2293"/>
      <c r="M2293"/>
      <c r="N2293"/>
      <c r="O2293"/>
      <c r="P2293"/>
      <c r="Q2293"/>
      <c r="R2293"/>
      <c r="S2293"/>
      <c r="T2293"/>
      <c r="U2293"/>
      <c r="V2293"/>
      <c r="W2293"/>
      <c r="X2293"/>
      <c r="Y2293"/>
      <c r="Z2293"/>
      <c r="AA2293"/>
      <c r="AB2293"/>
      <c r="AC2293"/>
      <c r="AD2293"/>
      <c r="AE2293"/>
      <c r="AF2293"/>
      <c r="AG2293"/>
      <c r="AH2293"/>
      <c r="AI2293"/>
      <c r="AJ2293"/>
      <c r="AK2293"/>
      <c r="AL2293"/>
    </row>
    <row r="2294" spans="1:38" ht="15.75" customHeight="1" outlineLevel="3" x14ac:dyDescent="0.2">
      <c r="A2294" s="10">
        <v>1</v>
      </c>
      <c r="B2294" s="10" t="s">
        <v>71</v>
      </c>
      <c r="C2294" s="10" t="s">
        <v>1648</v>
      </c>
      <c r="D2294" s="10" t="s">
        <v>1648</v>
      </c>
      <c r="E2294" s="11" t="str">
        <f t="array" ref="E2294">_xlfn.XLOOKUP(D2294,Insumos!B:B,Insumos!C:$C)</f>
        <v>UN</v>
      </c>
      <c r="F2294" s="14">
        <v>1</v>
      </c>
      <c r="G2294" s="92">
        <f t="array" ref="G2294">IF(B2294="insumo",_xlfn.XLOOKUP($D2294,Insumos!$B$1:$B$996,Insumos!$D$1:$D$996),"")</f>
        <v>30</v>
      </c>
      <c r="H2294" s="92">
        <v>30</v>
      </c>
      <c r="I2294" s="13">
        <v>0</v>
      </c>
      <c r="J2294" s="13">
        <v>0</v>
      </c>
      <c r="K2294" s="13"/>
      <c r="L2294"/>
      <c r="M2294"/>
      <c r="N2294"/>
      <c r="O2294"/>
      <c r="P2294"/>
      <c r="Q2294"/>
      <c r="R2294"/>
      <c r="S2294"/>
      <c r="T2294"/>
      <c r="U2294"/>
      <c r="V2294"/>
      <c r="W2294"/>
      <c r="X2294"/>
      <c r="Y2294"/>
      <c r="Z2294"/>
      <c r="AA2294"/>
      <c r="AB2294"/>
      <c r="AC2294"/>
      <c r="AD2294"/>
      <c r="AE2294"/>
      <c r="AF2294"/>
      <c r="AG2294"/>
      <c r="AH2294"/>
      <c r="AI2294"/>
      <c r="AJ2294"/>
      <c r="AK2294"/>
      <c r="AL2294"/>
    </row>
    <row r="2295" spans="1:38" ht="15.75" customHeight="1" outlineLevel="2" x14ac:dyDescent="0.2">
      <c r="A2295" s="1067">
        <v>1</v>
      </c>
      <c r="B2295" s="1067" t="s">
        <v>68</v>
      </c>
      <c r="C2295" s="1067" t="s">
        <v>477</v>
      </c>
      <c r="D2295" s="1067" t="s">
        <v>477</v>
      </c>
      <c r="E2295" s="1068" t="s">
        <v>70</v>
      </c>
      <c r="F2295" s="1075"/>
      <c r="G2295" s="1069" t="str">
        <f t="array" ref="G2295">IF(B2295="insumo",_xlfn.XLOOKUP($D2295,Insumos!$B$1:$B$996,Insumos!$D$1:$D$996),"")</f>
        <v/>
      </c>
      <c r="H2295" s="1069">
        <v>30</v>
      </c>
      <c r="I2295" s="1070">
        <v>0</v>
      </c>
      <c r="J2295" s="1070">
        <v>0</v>
      </c>
      <c r="K2295" s="1070"/>
      <c r="L2295"/>
      <c r="M2295"/>
      <c r="N2295"/>
      <c r="O2295"/>
      <c r="P2295"/>
      <c r="Q2295"/>
      <c r="R2295"/>
      <c r="S2295"/>
      <c r="T2295"/>
      <c r="U2295"/>
      <c r="V2295"/>
      <c r="W2295"/>
      <c r="X2295"/>
      <c r="Y2295"/>
      <c r="Z2295"/>
      <c r="AA2295"/>
      <c r="AB2295"/>
      <c r="AC2295"/>
      <c r="AD2295"/>
      <c r="AE2295"/>
      <c r="AF2295"/>
      <c r="AG2295"/>
      <c r="AH2295"/>
      <c r="AI2295"/>
      <c r="AJ2295"/>
      <c r="AK2295"/>
      <c r="AL2295"/>
    </row>
    <row r="2296" spans="1:38" ht="15.75" customHeight="1" outlineLevel="3" x14ac:dyDescent="0.2">
      <c r="A2296" s="10">
        <v>1</v>
      </c>
      <c r="B2296" s="10" t="s">
        <v>71</v>
      </c>
      <c r="C2296" s="10" t="s">
        <v>477</v>
      </c>
      <c r="D2296" s="10" t="s">
        <v>477</v>
      </c>
      <c r="E2296" s="11" t="str">
        <f t="array" ref="E2296">_xlfn.XLOOKUP(D2296,Insumos!B:B,Insumos!C:$C)</f>
        <v>UN</v>
      </c>
      <c r="F2296" s="14">
        <v>1</v>
      </c>
      <c r="G2296" s="92">
        <f t="array" ref="G2296">IF(B2296="insumo",_xlfn.XLOOKUP($D2296,Insumos!$B$1:$B$996,Insumos!$D$1:$D$996),"")</f>
        <v>30</v>
      </c>
      <c r="H2296" s="92">
        <v>30</v>
      </c>
      <c r="I2296" s="13">
        <v>0</v>
      </c>
      <c r="J2296" s="13">
        <v>0</v>
      </c>
      <c r="K2296" s="13"/>
      <c r="L2296"/>
      <c r="M2296"/>
      <c r="N2296"/>
      <c r="O2296"/>
      <c r="P2296"/>
      <c r="Q2296"/>
      <c r="R2296"/>
      <c r="S2296"/>
      <c r="T2296"/>
      <c r="U2296"/>
      <c r="V2296"/>
      <c r="W2296"/>
      <c r="X2296"/>
      <c r="Y2296"/>
      <c r="Z2296"/>
      <c r="AA2296"/>
      <c r="AB2296"/>
      <c r="AC2296"/>
      <c r="AD2296"/>
      <c r="AE2296"/>
      <c r="AF2296"/>
      <c r="AG2296"/>
      <c r="AH2296"/>
      <c r="AI2296"/>
      <c r="AJ2296"/>
      <c r="AK2296"/>
      <c r="AL2296"/>
    </row>
    <row r="2297" spans="1:38" ht="15.75" customHeight="1" outlineLevel="2" x14ac:dyDescent="0.2">
      <c r="A2297" s="1067">
        <v>1</v>
      </c>
      <c r="B2297" s="1067" t="s">
        <v>68</v>
      </c>
      <c r="C2297" s="1067" t="s">
        <v>478</v>
      </c>
      <c r="D2297" s="1067" t="s">
        <v>478</v>
      </c>
      <c r="E2297" s="1068" t="s">
        <v>70</v>
      </c>
      <c r="F2297" s="1075"/>
      <c r="G2297" s="1069" t="str">
        <f t="array" ref="G2297">IF(B2297="insumo",_xlfn.XLOOKUP($D2297,Insumos!$B$1:$B$996,Insumos!$D$1:$D$996),"")</f>
        <v/>
      </c>
      <c r="H2297" s="1069">
        <v>50</v>
      </c>
      <c r="I2297" s="1070">
        <v>669</v>
      </c>
      <c r="J2297" s="1070">
        <v>33450</v>
      </c>
      <c r="K2297" s="1070"/>
      <c r="L2297"/>
      <c r="M2297"/>
      <c r="N2297"/>
      <c r="O2297"/>
      <c r="P2297"/>
      <c r="Q2297"/>
      <c r="R2297"/>
      <c r="S2297"/>
      <c r="T2297"/>
      <c r="U2297"/>
      <c r="V2297"/>
      <c r="W2297"/>
      <c r="X2297"/>
      <c r="Y2297"/>
      <c r="Z2297"/>
      <c r="AA2297"/>
      <c r="AB2297"/>
      <c r="AC2297"/>
      <c r="AD2297"/>
      <c r="AE2297"/>
      <c r="AF2297"/>
      <c r="AG2297"/>
      <c r="AH2297"/>
      <c r="AI2297"/>
      <c r="AJ2297"/>
      <c r="AK2297"/>
      <c r="AL2297"/>
    </row>
    <row r="2298" spans="1:38" ht="15.75" customHeight="1" outlineLevel="3" x14ac:dyDescent="0.2">
      <c r="A2298" s="10">
        <v>1</v>
      </c>
      <c r="B2298" s="10" t="s">
        <v>71</v>
      </c>
      <c r="C2298" s="10" t="s">
        <v>478</v>
      </c>
      <c r="D2298" s="10" t="s">
        <v>478</v>
      </c>
      <c r="E2298" s="11" t="str">
        <f t="array" ref="E2298">_xlfn.XLOOKUP(D2298,Insumos!B:B,Insumos!C:$C)</f>
        <v>UN</v>
      </c>
      <c r="F2298" s="14">
        <v>1</v>
      </c>
      <c r="G2298" s="92">
        <f t="array" ref="G2298">IF(B2298="insumo",_xlfn.XLOOKUP($D2298,Insumos!$B$1:$B$996,Insumos!$D$1:$D$996),"")</f>
        <v>50</v>
      </c>
      <c r="H2298" s="92">
        <v>50</v>
      </c>
      <c r="I2298" s="13">
        <v>669</v>
      </c>
      <c r="J2298" s="13">
        <v>33450</v>
      </c>
      <c r="K2298" s="13"/>
      <c r="L2298"/>
      <c r="M2298"/>
      <c r="N2298"/>
      <c r="O2298"/>
      <c r="P2298"/>
      <c r="Q2298"/>
      <c r="R2298"/>
      <c r="S2298"/>
      <c r="T2298"/>
      <c r="U2298"/>
      <c r="V2298"/>
      <c r="W2298"/>
      <c r="X2298"/>
      <c r="Y2298"/>
      <c r="Z2298"/>
      <c r="AA2298"/>
      <c r="AB2298"/>
      <c r="AC2298"/>
      <c r="AD2298"/>
      <c r="AE2298"/>
      <c r="AF2298"/>
      <c r="AG2298"/>
      <c r="AH2298"/>
      <c r="AI2298"/>
      <c r="AJ2298"/>
      <c r="AK2298"/>
      <c r="AL2298"/>
    </row>
    <row r="2299" spans="1:38" ht="15.75" customHeight="1" outlineLevel="2" x14ac:dyDescent="0.2">
      <c r="A2299" s="1067">
        <v>1</v>
      </c>
      <c r="B2299" s="1067" t="s">
        <v>68</v>
      </c>
      <c r="C2299" s="1067" t="s">
        <v>4194</v>
      </c>
      <c r="D2299" s="1067" t="s">
        <v>4194</v>
      </c>
      <c r="E2299" s="1068" t="s">
        <v>70</v>
      </c>
      <c r="F2299" s="1075"/>
      <c r="G2299" s="1069" t="str">
        <f t="array" ref="G2299">IF(B2299="insumo",_xlfn.XLOOKUP($D2299,Insumos!$B$1:$B$996,Insumos!$D$1:$D$996),"")</f>
        <v/>
      </c>
      <c r="H2299" s="1069">
        <v>30</v>
      </c>
      <c r="I2299" s="1080">
        <v>97.67</v>
      </c>
      <c r="J2299" s="1070">
        <v>2930.1</v>
      </c>
      <c r="K2299" s="1070"/>
      <c r="L2299"/>
      <c r="M2299"/>
      <c r="N2299"/>
      <c r="O2299"/>
      <c r="P2299"/>
      <c r="Q2299"/>
      <c r="R2299"/>
      <c r="S2299"/>
      <c r="T2299"/>
      <c r="U2299"/>
      <c r="V2299"/>
      <c r="W2299"/>
      <c r="X2299"/>
      <c r="Y2299"/>
      <c r="Z2299"/>
      <c r="AA2299"/>
      <c r="AB2299"/>
      <c r="AC2299"/>
      <c r="AD2299"/>
      <c r="AE2299"/>
      <c r="AF2299"/>
      <c r="AG2299"/>
      <c r="AH2299"/>
      <c r="AI2299"/>
      <c r="AJ2299"/>
      <c r="AK2299"/>
      <c r="AL2299"/>
    </row>
    <row r="2300" spans="1:38" ht="15.75" customHeight="1" outlineLevel="3" x14ac:dyDescent="0.2">
      <c r="A2300" s="10">
        <v>1</v>
      </c>
      <c r="B2300" s="10" t="s">
        <v>71</v>
      </c>
      <c r="C2300" s="10" t="s">
        <v>4194</v>
      </c>
      <c r="D2300" s="10" t="s">
        <v>4194</v>
      </c>
      <c r="E2300" s="11" t="str">
        <f t="array" ref="E2300">_xlfn.XLOOKUP(D2300,Insumos!B:B,Insumos!C:$C)</f>
        <v>M2</v>
      </c>
      <c r="F2300" s="14">
        <v>1</v>
      </c>
      <c r="G2300" s="92">
        <f t="array" ref="G2300">IF(B2300="insumo",_xlfn.XLOOKUP($D2300,Insumos!$B$1:$B$996,Insumos!$D$1:$D$996),"")</f>
        <v>30</v>
      </c>
      <c r="H2300" s="92">
        <v>30</v>
      </c>
      <c r="I2300" s="13">
        <v>97.67</v>
      </c>
      <c r="J2300" s="13">
        <v>2930.1</v>
      </c>
      <c r="K2300" s="13"/>
      <c r="L2300"/>
      <c r="M2300"/>
      <c r="N2300"/>
      <c r="O2300"/>
      <c r="P2300"/>
      <c r="Q2300"/>
      <c r="R2300"/>
      <c r="S2300"/>
      <c r="T2300"/>
      <c r="U2300"/>
      <c r="V2300"/>
      <c r="W2300"/>
      <c r="X2300"/>
      <c r="Y2300"/>
      <c r="Z2300"/>
      <c r="AA2300"/>
      <c r="AB2300"/>
      <c r="AC2300"/>
      <c r="AD2300"/>
      <c r="AE2300"/>
      <c r="AF2300"/>
      <c r="AG2300"/>
      <c r="AH2300"/>
      <c r="AI2300"/>
      <c r="AJ2300"/>
      <c r="AK2300"/>
      <c r="AL2300"/>
    </row>
    <row r="2301" spans="1:38" ht="15.75" customHeight="1" outlineLevel="2" x14ac:dyDescent="0.2">
      <c r="A2301" s="1067">
        <v>1</v>
      </c>
      <c r="B2301" s="1067" t="s">
        <v>68</v>
      </c>
      <c r="C2301" s="1067" t="s">
        <v>4195</v>
      </c>
      <c r="D2301" s="1067" t="s">
        <v>4195</v>
      </c>
      <c r="E2301" s="1068" t="s">
        <v>70</v>
      </c>
      <c r="F2301" s="1075"/>
      <c r="G2301" s="1069" t="str">
        <f t="array" ref="G2301">IF(B2301="insumo",_xlfn.XLOOKUP($D2301,Insumos!$B$1:$B$996,Insumos!$D$1:$D$996),"")</f>
        <v/>
      </c>
      <c r="H2301" s="1069">
        <v>32</v>
      </c>
      <c r="I2301" s="1080">
        <v>4925.75</v>
      </c>
      <c r="J2301" s="1070">
        <v>157624</v>
      </c>
      <c r="K2301" s="1070"/>
      <c r="L2301"/>
      <c r="M2301"/>
      <c r="N2301"/>
      <c r="O2301"/>
      <c r="P2301"/>
      <c r="Q2301"/>
      <c r="R2301"/>
      <c r="S2301"/>
      <c r="T2301"/>
      <c r="U2301"/>
      <c r="V2301"/>
      <c r="W2301"/>
      <c r="X2301"/>
      <c r="Y2301"/>
      <c r="Z2301"/>
      <c r="AA2301"/>
      <c r="AB2301"/>
      <c r="AC2301"/>
      <c r="AD2301"/>
      <c r="AE2301"/>
      <c r="AF2301"/>
      <c r="AG2301"/>
      <c r="AH2301"/>
      <c r="AI2301"/>
      <c r="AJ2301"/>
      <c r="AK2301"/>
      <c r="AL2301"/>
    </row>
    <row r="2302" spans="1:38" ht="15.75" customHeight="1" outlineLevel="3" x14ac:dyDescent="0.2">
      <c r="A2302" s="10">
        <v>1</v>
      </c>
      <c r="B2302" s="10" t="s">
        <v>71</v>
      </c>
      <c r="C2302" s="10" t="s">
        <v>4195</v>
      </c>
      <c r="D2302" s="10" t="s">
        <v>4195</v>
      </c>
      <c r="E2302" s="11" t="str">
        <f t="array" ref="E2302">_xlfn.XLOOKUP(D2302,Insumos!B:B,Insumos!C:$C)</f>
        <v>M2</v>
      </c>
      <c r="F2302" s="14">
        <v>1</v>
      </c>
      <c r="G2302" s="92">
        <f t="array" ref="G2302">IF(B2302="insumo",_xlfn.XLOOKUP($D2302,Insumos!$B$1:$B$996,Insumos!$D$1:$D$996),"")</f>
        <v>32</v>
      </c>
      <c r="H2302" s="92">
        <v>32</v>
      </c>
      <c r="I2302" s="13">
        <v>4925.75</v>
      </c>
      <c r="J2302" s="13">
        <v>157624</v>
      </c>
      <c r="K2302" s="13"/>
      <c r="L2302"/>
      <c r="M2302"/>
      <c r="N2302"/>
      <c r="O2302"/>
      <c r="P2302"/>
      <c r="Q2302"/>
      <c r="R2302"/>
      <c r="S2302"/>
      <c r="T2302"/>
      <c r="U2302"/>
      <c r="V2302"/>
      <c r="W2302"/>
      <c r="X2302"/>
      <c r="Y2302"/>
      <c r="Z2302"/>
      <c r="AA2302"/>
      <c r="AB2302"/>
      <c r="AC2302"/>
      <c r="AD2302"/>
      <c r="AE2302"/>
      <c r="AF2302"/>
      <c r="AG2302"/>
      <c r="AH2302"/>
      <c r="AI2302"/>
      <c r="AJ2302"/>
      <c r="AK2302"/>
      <c r="AL2302"/>
    </row>
    <row r="2303" spans="1:38" ht="15.75" customHeight="1" outlineLevel="2" x14ac:dyDescent="0.2">
      <c r="A2303" s="1067">
        <v>1</v>
      </c>
      <c r="B2303" s="1067" t="s">
        <v>68</v>
      </c>
      <c r="C2303" s="1067" t="s">
        <v>4198</v>
      </c>
      <c r="D2303" s="1067" t="s">
        <v>4198</v>
      </c>
      <c r="E2303" s="1068" t="s">
        <v>70</v>
      </c>
      <c r="F2303" s="1075"/>
      <c r="G2303" s="1069" t="str">
        <f t="array" ref="G2303">IF(B2303="insumo",_xlfn.XLOOKUP($D2303,Insumos!$B$1:$B$996,Insumos!$D$1:$D$996),"")</f>
        <v/>
      </c>
      <c r="H2303" s="1069">
        <v>38</v>
      </c>
      <c r="I2303" s="1070">
        <v>234</v>
      </c>
      <c r="J2303" s="1070">
        <v>8892</v>
      </c>
      <c r="K2303" s="1070"/>
      <c r="L2303"/>
      <c r="M2303"/>
      <c r="N2303"/>
      <c r="O2303"/>
      <c r="P2303"/>
      <c r="Q2303"/>
      <c r="R2303"/>
      <c r="S2303"/>
      <c r="T2303"/>
      <c r="U2303"/>
      <c r="V2303"/>
      <c r="W2303"/>
      <c r="X2303"/>
      <c r="Y2303"/>
      <c r="Z2303"/>
      <c r="AA2303"/>
      <c r="AB2303"/>
      <c r="AC2303"/>
      <c r="AD2303"/>
      <c r="AE2303"/>
      <c r="AF2303"/>
      <c r="AG2303"/>
      <c r="AH2303"/>
      <c r="AI2303"/>
      <c r="AJ2303"/>
      <c r="AK2303"/>
      <c r="AL2303"/>
    </row>
    <row r="2304" spans="1:38" ht="15.75" customHeight="1" outlineLevel="3" x14ac:dyDescent="0.2">
      <c r="A2304" s="10">
        <v>1</v>
      </c>
      <c r="B2304" s="10" t="s">
        <v>71</v>
      </c>
      <c r="C2304" s="10" t="s">
        <v>4198</v>
      </c>
      <c r="D2304" s="10" t="s">
        <v>4198</v>
      </c>
      <c r="E2304" s="11" t="str">
        <f t="array" ref="E2304">_xlfn.XLOOKUP(D2304,Insumos!B:B,Insumos!C:$C)</f>
        <v>M2</v>
      </c>
      <c r="F2304" s="14">
        <v>1</v>
      </c>
      <c r="G2304" s="92">
        <f t="array" ref="G2304">IF(B2304="insumo",_xlfn.XLOOKUP($D2304,Insumos!$B$1:$B$996,Insumos!$D$1:$D$996),"")</f>
        <v>38</v>
      </c>
      <c r="H2304" s="92">
        <v>38</v>
      </c>
      <c r="I2304" s="13">
        <v>234</v>
      </c>
      <c r="J2304" s="13">
        <v>8892</v>
      </c>
      <c r="K2304" s="13"/>
      <c r="L2304"/>
      <c r="M2304"/>
      <c r="N2304"/>
      <c r="O2304"/>
      <c r="P2304"/>
      <c r="Q2304"/>
      <c r="R2304"/>
      <c r="S2304"/>
      <c r="T2304"/>
      <c r="U2304"/>
      <c r="V2304"/>
      <c r="W2304"/>
      <c r="X2304"/>
      <c r="Y2304"/>
      <c r="Z2304"/>
      <c r="AA2304"/>
      <c r="AB2304"/>
      <c r="AC2304"/>
      <c r="AD2304"/>
      <c r="AE2304"/>
      <c r="AF2304"/>
      <c r="AG2304"/>
      <c r="AH2304"/>
      <c r="AI2304"/>
      <c r="AJ2304"/>
      <c r="AK2304"/>
      <c r="AL2304"/>
    </row>
    <row r="2305" spans="1:38" ht="15.75" customHeight="1" outlineLevel="2" x14ac:dyDescent="0.2">
      <c r="A2305" s="1067">
        <v>1</v>
      </c>
      <c r="B2305" s="1067" t="s">
        <v>68</v>
      </c>
      <c r="C2305" s="1067" t="s">
        <v>4199</v>
      </c>
      <c r="D2305" s="1067" t="s">
        <v>4199</v>
      </c>
      <c r="E2305" s="1068" t="s">
        <v>70</v>
      </c>
      <c r="F2305" s="1075"/>
      <c r="G2305" s="1069" t="str">
        <f t="array" ref="G2305">IF(B2305="insumo",_xlfn.XLOOKUP($D2305,Insumos!$B$1:$B$996,Insumos!$D$1:$D$996),"")</f>
        <v/>
      </c>
      <c r="H2305" s="1069">
        <v>45</v>
      </c>
      <c r="I2305" s="1070">
        <v>757.06</v>
      </c>
      <c r="J2305" s="1070">
        <v>34067.699999999997</v>
      </c>
      <c r="K2305" s="1070"/>
      <c r="L2305"/>
      <c r="M2305"/>
      <c r="N2305"/>
      <c r="O2305"/>
      <c r="P2305"/>
      <c r="Q2305"/>
      <c r="R2305"/>
      <c r="S2305"/>
      <c r="T2305"/>
      <c r="U2305"/>
      <c r="V2305"/>
      <c r="W2305"/>
      <c r="X2305"/>
      <c r="Y2305"/>
      <c r="Z2305"/>
      <c r="AA2305"/>
      <c r="AB2305"/>
      <c r="AC2305"/>
      <c r="AD2305"/>
      <c r="AE2305"/>
      <c r="AF2305"/>
      <c r="AG2305"/>
      <c r="AH2305"/>
      <c r="AI2305"/>
      <c r="AJ2305"/>
      <c r="AK2305"/>
      <c r="AL2305"/>
    </row>
    <row r="2306" spans="1:38" ht="15.75" customHeight="1" outlineLevel="3" x14ac:dyDescent="0.2">
      <c r="A2306" s="10">
        <v>1</v>
      </c>
      <c r="B2306" s="10" t="s">
        <v>71</v>
      </c>
      <c r="C2306" s="10" t="s">
        <v>4199</v>
      </c>
      <c r="D2306" s="10" t="s">
        <v>4199</v>
      </c>
      <c r="E2306" s="11" t="str">
        <f t="array" ref="E2306">_xlfn.XLOOKUP(D2306,Insumos!B:B,Insumos!C:$C)</f>
        <v>M2</v>
      </c>
      <c r="F2306" s="14">
        <v>1</v>
      </c>
      <c r="G2306" s="92">
        <f t="array" ref="G2306">IF(B2306="insumo",_xlfn.XLOOKUP($D2306,Insumos!$B$1:$B$996,Insumos!$D$1:$D$996),"")</f>
        <v>45</v>
      </c>
      <c r="H2306" s="92">
        <v>45</v>
      </c>
      <c r="I2306" s="13">
        <v>757.06</v>
      </c>
      <c r="J2306" s="13">
        <v>34067.699999999997</v>
      </c>
      <c r="K2306" s="13"/>
      <c r="L2306"/>
      <c r="M2306"/>
      <c r="N2306"/>
      <c r="O2306"/>
      <c r="P2306"/>
      <c r="Q2306"/>
      <c r="R2306"/>
      <c r="S2306"/>
      <c r="T2306"/>
      <c r="U2306"/>
      <c r="V2306"/>
      <c r="W2306"/>
      <c r="X2306"/>
      <c r="Y2306"/>
      <c r="Z2306"/>
      <c r="AA2306"/>
      <c r="AB2306"/>
      <c r="AC2306"/>
      <c r="AD2306"/>
      <c r="AE2306"/>
      <c r="AF2306"/>
      <c r="AG2306"/>
      <c r="AH2306"/>
      <c r="AI2306"/>
      <c r="AJ2306"/>
      <c r="AK2306"/>
      <c r="AL2306"/>
    </row>
    <row r="2307" spans="1:38" ht="15.75" customHeight="1" outlineLevel="2" x14ac:dyDescent="0.2">
      <c r="A2307" s="1067">
        <v>1</v>
      </c>
      <c r="B2307" s="1067" t="s">
        <v>68</v>
      </c>
      <c r="C2307" s="1067" t="s">
        <v>4196</v>
      </c>
      <c r="D2307" s="1067" t="s">
        <v>4196</v>
      </c>
      <c r="E2307" s="1068" t="s">
        <v>70</v>
      </c>
      <c r="F2307" s="1067"/>
      <c r="G2307" s="1069" t="str">
        <f t="array" ref="G2307">IF(B2307="insumo",_xlfn.XLOOKUP($D2307,Insumos!$B$1:$B$996,Insumos!$D$1:$D$996),"")</f>
        <v/>
      </c>
      <c r="H2307" s="1069">
        <v>45</v>
      </c>
      <c r="I2307" s="1070">
        <v>342.12</v>
      </c>
      <c r="J2307" s="1070">
        <v>15395.4</v>
      </c>
      <c r="K2307" s="1070"/>
      <c r="L2307"/>
      <c r="M2307"/>
      <c r="N2307"/>
      <c r="O2307"/>
      <c r="P2307"/>
      <c r="Q2307"/>
      <c r="R2307"/>
      <c r="S2307"/>
      <c r="T2307"/>
      <c r="U2307"/>
      <c r="V2307"/>
      <c r="W2307"/>
      <c r="X2307"/>
      <c r="Y2307"/>
      <c r="Z2307"/>
      <c r="AA2307"/>
      <c r="AB2307"/>
      <c r="AC2307"/>
      <c r="AD2307"/>
      <c r="AE2307"/>
      <c r="AF2307"/>
      <c r="AG2307"/>
      <c r="AH2307"/>
      <c r="AI2307"/>
      <c r="AJ2307"/>
      <c r="AK2307"/>
      <c r="AL2307"/>
    </row>
    <row r="2308" spans="1:38" ht="15.75" customHeight="1" outlineLevel="3" x14ac:dyDescent="0.2">
      <c r="A2308" s="10">
        <v>1</v>
      </c>
      <c r="B2308" s="10" t="s">
        <v>71</v>
      </c>
      <c r="C2308" s="10" t="s">
        <v>4196</v>
      </c>
      <c r="D2308" s="10" t="s">
        <v>4196</v>
      </c>
      <c r="E2308" s="11" t="str">
        <f t="array" ref="E2308">_xlfn.XLOOKUP(D2308,Insumos!B:B,Insumos!C:$C)</f>
        <v>M2</v>
      </c>
      <c r="F2308" s="14">
        <v>1</v>
      </c>
      <c r="G2308" s="92">
        <f t="array" ref="G2308">IF(B2308="insumo",_xlfn.XLOOKUP($D2308,Insumos!$B$1:$B$996,Insumos!$D$1:$D$996),"")</f>
        <v>45</v>
      </c>
      <c r="H2308" s="92">
        <v>45</v>
      </c>
      <c r="I2308" s="13">
        <v>342.12</v>
      </c>
      <c r="J2308" s="13">
        <v>15395.4</v>
      </c>
      <c r="K2308" s="13"/>
      <c r="L2308"/>
      <c r="M2308"/>
      <c r="N2308"/>
      <c r="O2308"/>
      <c r="P2308"/>
      <c r="Q2308"/>
      <c r="R2308"/>
      <c r="S2308"/>
      <c r="T2308"/>
      <c r="U2308"/>
      <c r="V2308"/>
      <c r="W2308"/>
      <c r="X2308"/>
      <c r="Y2308"/>
      <c r="Z2308"/>
      <c r="AA2308"/>
      <c r="AB2308"/>
      <c r="AC2308"/>
      <c r="AD2308"/>
      <c r="AE2308"/>
      <c r="AF2308"/>
      <c r="AG2308"/>
      <c r="AH2308"/>
      <c r="AI2308"/>
      <c r="AJ2308"/>
      <c r="AK2308"/>
      <c r="AL2308"/>
    </row>
    <row r="2309" spans="1:38" ht="15.75" customHeight="1" outlineLevel="2" x14ac:dyDescent="0.2">
      <c r="A2309" s="1067">
        <v>1</v>
      </c>
      <c r="B2309" s="1067" t="s">
        <v>68</v>
      </c>
      <c r="C2309" s="1067" t="s">
        <v>4200</v>
      </c>
      <c r="D2309" s="1067" t="s">
        <v>4200</v>
      </c>
      <c r="E2309" s="1068" t="s">
        <v>70</v>
      </c>
      <c r="F2309" s="1075"/>
      <c r="G2309" s="1069" t="str">
        <f t="array" ref="G2309">IF(B2309="insumo",_xlfn.XLOOKUP($D2309,Insumos!$B$1:$B$996,Insumos!$D$1:$D$996),"")</f>
        <v/>
      </c>
      <c r="H2309" s="1069">
        <v>62</v>
      </c>
      <c r="I2309" s="1070">
        <v>241.13</v>
      </c>
      <c r="J2309" s="1070">
        <v>14950.06</v>
      </c>
      <c r="K2309" s="1070"/>
      <c r="L2309"/>
      <c r="M2309"/>
      <c r="N2309"/>
      <c r="O2309"/>
      <c r="P2309"/>
      <c r="Q2309"/>
      <c r="R2309"/>
      <c r="S2309"/>
      <c r="T2309"/>
      <c r="U2309"/>
      <c r="V2309"/>
      <c r="W2309"/>
      <c r="X2309"/>
      <c r="Y2309"/>
      <c r="Z2309"/>
      <c r="AA2309"/>
      <c r="AB2309"/>
      <c r="AC2309"/>
      <c r="AD2309"/>
      <c r="AE2309"/>
      <c r="AF2309"/>
      <c r="AG2309"/>
      <c r="AH2309"/>
      <c r="AI2309"/>
      <c r="AJ2309"/>
      <c r="AK2309"/>
      <c r="AL2309"/>
    </row>
    <row r="2310" spans="1:38" ht="15.75" customHeight="1" outlineLevel="3" x14ac:dyDescent="0.2">
      <c r="A2310" s="10">
        <v>1</v>
      </c>
      <c r="B2310" s="10" t="s">
        <v>71</v>
      </c>
      <c r="C2310" s="10" t="s">
        <v>4200</v>
      </c>
      <c r="D2310" s="10" t="s">
        <v>4200</v>
      </c>
      <c r="E2310" s="11" t="str">
        <f t="array" ref="E2310">_xlfn.XLOOKUP(D2310,Insumos!B:B,Insumos!C:$C)</f>
        <v>M2</v>
      </c>
      <c r="F2310" s="14">
        <v>1</v>
      </c>
      <c r="G2310" s="92">
        <f t="array" ref="G2310">IF(B2310="insumo",_xlfn.XLOOKUP($D2310,Insumos!$B$1:$B$996,Insumos!$D$1:$D$996),"")</f>
        <v>62</v>
      </c>
      <c r="H2310" s="92">
        <v>62</v>
      </c>
      <c r="I2310" s="13">
        <v>241.13</v>
      </c>
      <c r="J2310" s="13">
        <v>14950.06</v>
      </c>
      <c r="K2310" s="13"/>
      <c r="L2310"/>
      <c r="M2310"/>
      <c r="N2310"/>
      <c r="O2310"/>
      <c r="P2310"/>
      <c r="Q2310"/>
      <c r="R2310"/>
      <c r="S2310"/>
      <c r="T2310"/>
      <c r="U2310"/>
      <c r="V2310"/>
      <c r="W2310"/>
      <c r="X2310"/>
      <c r="Y2310"/>
      <c r="Z2310"/>
      <c r="AA2310"/>
      <c r="AB2310"/>
      <c r="AC2310"/>
      <c r="AD2310"/>
      <c r="AE2310"/>
      <c r="AF2310"/>
      <c r="AG2310"/>
      <c r="AH2310"/>
      <c r="AI2310"/>
      <c r="AJ2310"/>
      <c r="AK2310"/>
      <c r="AL2310"/>
    </row>
    <row r="2311" spans="1:38" ht="15.75" customHeight="1" outlineLevel="2" x14ac:dyDescent="0.2">
      <c r="A2311" s="1067">
        <v>1</v>
      </c>
      <c r="B2311" s="1067" t="s">
        <v>68</v>
      </c>
      <c r="C2311" s="1067" t="s">
        <v>4201</v>
      </c>
      <c r="D2311" s="1067" t="s">
        <v>4201</v>
      </c>
      <c r="E2311" s="1068" t="s">
        <v>70</v>
      </c>
      <c r="F2311" s="1075"/>
      <c r="G2311" s="1069" t="str">
        <f t="array" ref="G2311">IF(B2311="insumo",_xlfn.XLOOKUP($D2311,Insumos!$B$1:$B$996,Insumos!$D$1:$D$996),"")</f>
        <v/>
      </c>
      <c r="H2311" s="1069">
        <v>35</v>
      </c>
      <c r="I2311" s="1070">
        <v>68.2</v>
      </c>
      <c r="J2311" s="1070">
        <v>2387</v>
      </c>
      <c r="K2311" s="1070"/>
      <c r="L2311"/>
      <c r="M2311"/>
      <c r="N2311"/>
      <c r="O2311"/>
      <c r="P2311"/>
      <c r="Q2311"/>
      <c r="R2311"/>
      <c r="S2311"/>
      <c r="T2311"/>
      <c r="U2311"/>
      <c r="V2311"/>
      <c r="W2311"/>
      <c r="X2311"/>
      <c r="Y2311"/>
      <c r="Z2311"/>
      <c r="AA2311"/>
      <c r="AB2311"/>
      <c r="AC2311"/>
      <c r="AD2311"/>
      <c r="AE2311"/>
      <c r="AF2311"/>
      <c r="AG2311"/>
      <c r="AH2311"/>
      <c r="AI2311"/>
      <c r="AJ2311"/>
      <c r="AK2311"/>
      <c r="AL2311"/>
    </row>
    <row r="2312" spans="1:38" ht="15.75" customHeight="1" outlineLevel="3" x14ac:dyDescent="0.2">
      <c r="A2312" s="10">
        <v>1</v>
      </c>
      <c r="B2312" s="10" t="s">
        <v>71</v>
      </c>
      <c r="C2312" s="10" t="s">
        <v>4201</v>
      </c>
      <c r="D2312" s="10" t="s">
        <v>4201</v>
      </c>
      <c r="E2312" s="11" t="str">
        <f t="array" ref="E2312">_xlfn.XLOOKUP(D2312,Insumos!B:B,Insumos!C:$C)</f>
        <v>M2</v>
      </c>
      <c r="F2312" s="14">
        <v>1</v>
      </c>
      <c r="G2312" s="92">
        <f t="array" ref="G2312">IF(B2312="insumo",_xlfn.XLOOKUP($D2312,Insumos!$B$1:$B$996,Insumos!$D$1:$D$996),"")</f>
        <v>35</v>
      </c>
      <c r="H2312" s="92">
        <v>35</v>
      </c>
      <c r="I2312" s="13">
        <v>68.2</v>
      </c>
      <c r="J2312" s="13">
        <v>2387</v>
      </c>
      <c r="K2312" s="13"/>
      <c r="L2312"/>
      <c r="M2312"/>
      <c r="N2312"/>
      <c r="O2312"/>
      <c r="P2312"/>
      <c r="Q2312"/>
      <c r="R2312"/>
      <c r="S2312"/>
      <c r="T2312"/>
      <c r="U2312"/>
      <c r="V2312"/>
      <c r="W2312"/>
      <c r="X2312"/>
      <c r="Y2312"/>
      <c r="Z2312"/>
      <c r="AA2312"/>
      <c r="AB2312"/>
      <c r="AC2312"/>
      <c r="AD2312"/>
      <c r="AE2312"/>
      <c r="AF2312"/>
      <c r="AG2312"/>
      <c r="AH2312"/>
      <c r="AI2312"/>
      <c r="AJ2312"/>
      <c r="AK2312"/>
      <c r="AL2312"/>
    </row>
    <row r="2313" spans="1:38" ht="15.75" customHeight="1" outlineLevel="2" x14ac:dyDescent="0.2">
      <c r="A2313" s="1067">
        <v>1</v>
      </c>
      <c r="B2313" s="1067" t="s">
        <v>68</v>
      </c>
      <c r="C2313" s="1067" t="s">
        <v>4202</v>
      </c>
      <c r="D2313" s="1067" t="s">
        <v>4202</v>
      </c>
      <c r="E2313" s="1068" t="s">
        <v>70</v>
      </c>
      <c r="F2313" s="1075"/>
      <c r="G2313" s="1069" t="str">
        <f t="array" ref="G2313">IF(B2313="insumo",_xlfn.XLOOKUP($D2313,Insumos!$B$1:$B$996,Insumos!$D$1:$D$996),"")</f>
        <v/>
      </c>
      <c r="H2313" s="1069">
        <v>42</v>
      </c>
      <c r="I2313" s="1070">
        <v>900.28</v>
      </c>
      <c r="J2313" s="1070">
        <v>37811.760000000002</v>
      </c>
      <c r="K2313" s="1070"/>
      <c r="L2313"/>
      <c r="M2313"/>
      <c r="N2313"/>
      <c r="O2313"/>
      <c r="P2313"/>
      <c r="Q2313"/>
      <c r="R2313"/>
      <c r="S2313"/>
      <c r="T2313"/>
      <c r="U2313"/>
      <c r="V2313"/>
      <c r="W2313"/>
      <c r="X2313"/>
      <c r="Y2313"/>
      <c r="Z2313"/>
      <c r="AA2313"/>
      <c r="AB2313"/>
      <c r="AC2313"/>
      <c r="AD2313"/>
      <c r="AE2313"/>
      <c r="AF2313"/>
      <c r="AG2313"/>
      <c r="AH2313"/>
      <c r="AI2313"/>
      <c r="AJ2313"/>
      <c r="AK2313"/>
      <c r="AL2313"/>
    </row>
    <row r="2314" spans="1:38" ht="15.75" customHeight="1" outlineLevel="3" x14ac:dyDescent="0.2">
      <c r="A2314" s="10">
        <v>1</v>
      </c>
      <c r="B2314" s="10" t="s">
        <v>71</v>
      </c>
      <c r="C2314" s="10" t="s">
        <v>4202</v>
      </c>
      <c r="D2314" s="10" t="s">
        <v>4202</v>
      </c>
      <c r="E2314" s="11" t="str">
        <f t="array" ref="E2314">_xlfn.XLOOKUP(D2314,Insumos!B:B,Insumos!C:$C)</f>
        <v>M2</v>
      </c>
      <c r="F2314" s="14">
        <v>1</v>
      </c>
      <c r="G2314" s="92">
        <f t="array" ref="G2314">IF(B2314="insumo",_xlfn.XLOOKUP($D2314,Insumos!$B$1:$B$996,Insumos!$D$1:$D$996),"")</f>
        <v>42</v>
      </c>
      <c r="H2314" s="92">
        <v>42</v>
      </c>
      <c r="I2314" s="13">
        <v>900.28</v>
      </c>
      <c r="J2314" s="13">
        <v>37811.760000000002</v>
      </c>
      <c r="K2314" s="13"/>
      <c r="L2314"/>
      <c r="M2314"/>
      <c r="N2314"/>
      <c r="O2314"/>
      <c r="P2314"/>
      <c r="Q2314"/>
      <c r="R2314"/>
      <c r="S2314"/>
      <c r="T2314"/>
      <c r="U2314"/>
      <c r="V2314"/>
      <c r="W2314"/>
      <c r="X2314"/>
      <c r="Y2314"/>
      <c r="Z2314"/>
      <c r="AA2314"/>
      <c r="AB2314"/>
      <c r="AC2314"/>
      <c r="AD2314"/>
      <c r="AE2314"/>
      <c r="AF2314"/>
      <c r="AG2314"/>
      <c r="AH2314"/>
      <c r="AI2314"/>
      <c r="AJ2314"/>
      <c r="AK2314"/>
      <c r="AL2314"/>
    </row>
    <row r="2315" spans="1:38" ht="15.75" customHeight="1" x14ac:dyDescent="0.2">
      <c r="A2315" s="7">
        <v>1</v>
      </c>
      <c r="B2315" s="7" t="s">
        <v>66</v>
      </c>
      <c r="C2315" s="7" t="s">
        <v>478</v>
      </c>
      <c r="D2315" s="7" t="s">
        <v>479</v>
      </c>
      <c r="E2315" s="8"/>
      <c r="F2315" s="9"/>
      <c r="G2315" s="91" t="str">
        <f t="array" ref="G2315">IF(B2315="insumo",_xlfn.XLOOKUP($D2315,Insumos!$B$1:$B$996,Insumos!$D$1:$D$996),"")</f>
        <v/>
      </c>
      <c r="H2315" s="91">
        <v>0</v>
      </c>
      <c r="I2315" s="9">
        <v>0</v>
      </c>
      <c r="J2315" s="9">
        <v>0</v>
      </c>
      <c r="K2315" s="9"/>
      <c r="L2315"/>
      <c r="M2315"/>
      <c r="N2315"/>
      <c r="O2315"/>
      <c r="P2315"/>
      <c r="Q2315"/>
      <c r="R2315"/>
      <c r="S2315"/>
      <c r="T2315"/>
      <c r="U2315"/>
      <c r="V2315"/>
      <c r="W2315"/>
      <c r="X2315"/>
      <c r="Y2315"/>
      <c r="Z2315"/>
      <c r="AA2315"/>
      <c r="AB2315"/>
      <c r="AC2315"/>
      <c r="AD2315"/>
      <c r="AE2315"/>
      <c r="AF2315"/>
      <c r="AG2315"/>
      <c r="AH2315"/>
      <c r="AI2315"/>
      <c r="AJ2315"/>
      <c r="AK2315"/>
      <c r="AL2315"/>
    </row>
    <row r="2316" spans="1:38" ht="15.75" customHeight="1" outlineLevel="1" x14ac:dyDescent="0.2">
      <c r="A2316" s="1090">
        <v>1</v>
      </c>
      <c r="B2316" s="1090" t="s">
        <v>1228</v>
      </c>
      <c r="C2316" s="1090" t="s">
        <v>478</v>
      </c>
      <c r="D2316" s="1090" t="s">
        <v>1394</v>
      </c>
      <c r="E2316" s="1091"/>
      <c r="F2316" s="1092"/>
      <c r="G2316" s="1091"/>
      <c r="H2316" s="1091">
        <v>0</v>
      </c>
      <c r="I2316" s="1092">
        <v>0</v>
      </c>
      <c r="J2316" s="1092">
        <v>0</v>
      </c>
      <c r="K2316" s="1092"/>
      <c r="L2316"/>
      <c r="M2316"/>
      <c r="N2316"/>
      <c r="O2316"/>
      <c r="P2316"/>
      <c r="Q2316"/>
      <c r="R2316"/>
      <c r="S2316"/>
      <c r="T2316"/>
      <c r="U2316"/>
      <c r="V2316"/>
      <c r="W2316"/>
      <c r="X2316"/>
      <c r="Y2316"/>
      <c r="Z2316"/>
      <c r="AA2316"/>
      <c r="AB2316"/>
      <c r="AC2316"/>
      <c r="AD2316"/>
      <c r="AE2316"/>
      <c r="AF2316"/>
      <c r="AG2316"/>
      <c r="AH2316"/>
      <c r="AI2316"/>
      <c r="AJ2316"/>
      <c r="AK2316"/>
      <c r="AL2316"/>
    </row>
    <row r="2317" spans="1:38" ht="15.75" customHeight="1" outlineLevel="2" x14ac:dyDescent="0.2">
      <c r="A2317" s="1067">
        <v>1</v>
      </c>
      <c r="B2317" s="1067" t="s">
        <v>68</v>
      </c>
      <c r="C2317" s="1067" t="s">
        <v>480</v>
      </c>
      <c r="D2317" s="1067" t="s">
        <v>480</v>
      </c>
      <c r="E2317" s="1068" t="s">
        <v>70</v>
      </c>
      <c r="F2317" s="1067"/>
      <c r="G2317" s="1069" t="str">
        <f t="array" ref="G2317">IF(B2317="insumo",_xlfn.XLOOKUP($D2317,Insumos!$B$1:$B$996,Insumos!$D$1:$D$996),"")</f>
        <v/>
      </c>
      <c r="H2317" s="1069">
        <v>5.3224999999999998</v>
      </c>
      <c r="I2317" s="1070">
        <v>0</v>
      </c>
      <c r="J2317" s="1070">
        <v>0</v>
      </c>
      <c r="K2317" s="1070"/>
      <c r="L2317"/>
      <c r="M2317"/>
      <c r="N2317"/>
      <c r="O2317"/>
      <c r="P2317"/>
      <c r="Q2317"/>
      <c r="R2317"/>
      <c r="S2317"/>
      <c r="T2317"/>
      <c r="U2317"/>
      <c r="V2317"/>
      <c r="W2317"/>
      <c r="X2317"/>
      <c r="Y2317"/>
      <c r="Z2317"/>
      <c r="AA2317"/>
      <c r="AB2317"/>
      <c r="AC2317"/>
      <c r="AD2317"/>
      <c r="AE2317"/>
      <c r="AF2317"/>
      <c r="AG2317"/>
      <c r="AH2317"/>
      <c r="AI2317"/>
      <c r="AJ2317"/>
      <c r="AK2317"/>
      <c r="AL2317"/>
    </row>
    <row r="2318" spans="1:38" ht="15.75" customHeight="1" outlineLevel="3" x14ac:dyDescent="0.2">
      <c r="A2318" s="10">
        <v>191</v>
      </c>
      <c r="B2318" s="10" t="s">
        <v>71</v>
      </c>
      <c r="C2318" s="10" t="s">
        <v>480</v>
      </c>
      <c r="D2318" s="10" t="s">
        <v>481</v>
      </c>
      <c r="E2318" s="11" t="str">
        <f t="array" ref="E2318">_xlfn.XLOOKUP(D2318,Insumos!B:B,Insumos!C:$C)</f>
        <v>KG</v>
      </c>
      <c r="F2318" s="14">
        <v>5</v>
      </c>
      <c r="G2318" s="92">
        <f t="array" ref="G2318">IF(B2318="insumo",_xlfn.XLOOKUP($D2318,Insumos!$B$1:$B$996,Insumos!$D$1:$D$996),"")</f>
        <v>1.0645</v>
      </c>
      <c r="H2318" s="92">
        <v>5.3224999999999998</v>
      </c>
      <c r="I2318" s="13">
        <v>0</v>
      </c>
      <c r="J2318" s="13">
        <v>0</v>
      </c>
      <c r="K2318" s="13"/>
      <c r="L2318"/>
      <c r="M2318"/>
      <c r="N2318"/>
      <c r="O2318"/>
      <c r="P2318"/>
      <c r="Q2318"/>
      <c r="R2318"/>
      <c r="S2318"/>
      <c r="T2318"/>
      <c r="U2318"/>
      <c r="V2318"/>
      <c r="W2318"/>
      <c r="X2318"/>
      <c r="Y2318"/>
      <c r="Z2318"/>
      <c r="AA2318"/>
      <c r="AB2318"/>
      <c r="AC2318"/>
      <c r="AD2318"/>
      <c r="AE2318"/>
      <c r="AF2318"/>
      <c r="AG2318"/>
      <c r="AH2318"/>
      <c r="AI2318"/>
      <c r="AJ2318"/>
      <c r="AK2318"/>
      <c r="AL2318"/>
    </row>
    <row r="2319" spans="1:38" ht="15.75" customHeight="1" outlineLevel="2" x14ac:dyDescent="0.2">
      <c r="A2319" s="1067">
        <v>1</v>
      </c>
      <c r="B2319" s="1067" t="s">
        <v>68</v>
      </c>
      <c r="C2319" s="1067" t="s">
        <v>482</v>
      </c>
      <c r="D2319" s="1067" t="s">
        <v>482</v>
      </c>
      <c r="E2319" s="1068" t="s">
        <v>70</v>
      </c>
      <c r="F2319" s="1067"/>
      <c r="G2319" s="1069" t="str">
        <f t="array" ref="G2319">IF(B2319="insumo",_xlfn.XLOOKUP($D2319,Insumos!$B$1:$B$996,Insumos!$D$1:$D$996),"")</f>
        <v/>
      </c>
      <c r="H2319" s="1069">
        <v>10.11778</v>
      </c>
      <c r="I2319" s="1070" t="e">
        <v>#REF!</v>
      </c>
      <c r="J2319" s="1070" t="e">
        <v>#REF!</v>
      </c>
      <c r="K2319" s="1070"/>
      <c r="L2319"/>
      <c r="M2319"/>
      <c r="N2319"/>
      <c r="O2319"/>
      <c r="P2319"/>
      <c r="Q2319"/>
      <c r="R2319"/>
      <c r="S2319"/>
      <c r="T2319"/>
      <c r="U2319"/>
      <c r="V2319"/>
      <c r="W2319"/>
      <c r="X2319"/>
      <c r="Y2319"/>
      <c r="Z2319"/>
      <c r="AA2319"/>
      <c r="AB2319"/>
      <c r="AC2319"/>
      <c r="AD2319"/>
      <c r="AE2319"/>
      <c r="AF2319"/>
      <c r="AG2319"/>
      <c r="AH2319"/>
      <c r="AI2319"/>
      <c r="AJ2319"/>
      <c r="AK2319"/>
      <c r="AL2319"/>
    </row>
    <row r="2320" spans="1:38" ht="15.75" customHeight="1" outlineLevel="3" x14ac:dyDescent="0.2">
      <c r="A2320" s="10">
        <v>191</v>
      </c>
      <c r="B2320" s="10" t="s">
        <v>71</v>
      </c>
      <c r="C2320" s="10" t="s">
        <v>482</v>
      </c>
      <c r="D2320" s="10" t="s">
        <v>481</v>
      </c>
      <c r="E2320" s="11" t="str">
        <f t="array" ref="E2320">_xlfn.XLOOKUP(D2320,Insumos!B:B,Insumos!C:$C)</f>
        <v>KG</v>
      </c>
      <c r="F2320" s="14">
        <v>6.34</v>
      </c>
      <c r="G2320" s="92">
        <f t="array" ref="G2320">IF(B2320="insumo",_xlfn.XLOOKUP($D2320,Insumos!$B$1:$B$996,Insumos!$D$1:$D$996),"")</f>
        <v>1.0645</v>
      </c>
      <c r="H2320" s="92">
        <v>6.7489299999999997</v>
      </c>
      <c r="I2320" s="13" t="e">
        <v>#REF!</v>
      </c>
      <c r="J2320" s="13" t="e">
        <v>#REF!</v>
      </c>
      <c r="K2320" s="13"/>
      <c r="L2320"/>
      <c r="M2320"/>
      <c r="N2320"/>
      <c r="O2320"/>
      <c r="P2320"/>
      <c r="Q2320"/>
      <c r="R2320"/>
      <c r="S2320"/>
      <c r="T2320"/>
      <c r="U2320"/>
      <c r="V2320"/>
      <c r="W2320"/>
      <c r="X2320"/>
      <c r="Y2320"/>
      <c r="Z2320"/>
      <c r="AA2320"/>
      <c r="AB2320"/>
      <c r="AC2320"/>
      <c r="AD2320"/>
      <c r="AE2320"/>
      <c r="AF2320"/>
      <c r="AG2320"/>
      <c r="AH2320"/>
      <c r="AI2320"/>
      <c r="AJ2320"/>
      <c r="AK2320"/>
      <c r="AL2320"/>
    </row>
    <row r="2321" spans="1:38" ht="15.75" customHeight="1" outlineLevel="3" x14ac:dyDescent="0.2">
      <c r="A2321" s="10">
        <v>4</v>
      </c>
      <c r="B2321" s="10" t="s">
        <v>71</v>
      </c>
      <c r="C2321" s="10" t="s">
        <v>482</v>
      </c>
      <c r="D2321" s="10" t="s">
        <v>483</v>
      </c>
      <c r="E2321" s="11" t="str">
        <f t="array" ref="E2321">_xlfn.XLOOKUP(D2321,Insumos!B:B,Insumos!C:$C)</f>
        <v>KG</v>
      </c>
      <c r="F2321" s="14">
        <v>0.3</v>
      </c>
      <c r="G2321" s="92">
        <f t="array" ref="G2321">IF(B2321="insumo",_xlfn.XLOOKUP($D2321,Insumos!$B$1:$B$996,Insumos!$D$1:$D$996),"")</f>
        <v>11.2295</v>
      </c>
      <c r="H2321" s="92">
        <v>3.3688500000000001</v>
      </c>
      <c r="I2321" s="13" t="e">
        <v>#REF!</v>
      </c>
      <c r="J2321" s="13" t="e">
        <v>#REF!</v>
      </c>
      <c r="K2321" s="13"/>
      <c r="L2321"/>
      <c r="M2321"/>
      <c r="N2321"/>
      <c r="O2321"/>
      <c r="P2321"/>
      <c r="Q2321"/>
      <c r="R2321"/>
      <c r="S2321"/>
      <c r="T2321"/>
      <c r="U2321"/>
      <c r="V2321"/>
      <c r="W2321"/>
      <c r="X2321"/>
      <c r="Y2321"/>
      <c r="Z2321"/>
      <c r="AA2321"/>
      <c r="AB2321"/>
      <c r="AC2321"/>
      <c r="AD2321"/>
      <c r="AE2321"/>
      <c r="AF2321"/>
      <c r="AG2321"/>
      <c r="AH2321"/>
      <c r="AI2321"/>
      <c r="AJ2321"/>
      <c r="AK2321"/>
      <c r="AL2321"/>
    </row>
    <row r="2322" spans="1:38" ht="15.75" customHeight="1" outlineLevel="2" x14ac:dyDescent="0.2">
      <c r="A2322" s="1067">
        <v>2</v>
      </c>
      <c r="B2322" s="1067" t="s">
        <v>68</v>
      </c>
      <c r="C2322" s="1067" t="s">
        <v>484</v>
      </c>
      <c r="D2322" s="1067" t="s">
        <v>484</v>
      </c>
      <c r="E2322" s="1068" t="s">
        <v>70</v>
      </c>
      <c r="F2322" s="1067"/>
      <c r="G2322" s="1069" t="str">
        <f t="array" ref="G2322">IF(B2322="insumo",_xlfn.XLOOKUP($D2322,Insumos!$B$1:$B$996,Insumos!$D$1:$D$996),"")</f>
        <v/>
      </c>
      <c r="H2322" s="1069">
        <v>6.6917340000000003</v>
      </c>
      <c r="I2322" s="1070">
        <v>0</v>
      </c>
      <c r="J2322" s="1070">
        <v>0</v>
      </c>
      <c r="K2322" s="1070"/>
      <c r="L2322"/>
      <c r="M2322"/>
      <c r="N2322"/>
      <c r="O2322"/>
      <c r="P2322"/>
      <c r="Q2322"/>
      <c r="R2322"/>
      <c r="S2322"/>
      <c r="T2322"/>
      <c r="U2322"/>
      <c r="V2322"/>
      <c r="W2322"/>
      <c r="X2322"/>
      <c r="Y2322"/>
      <c r="Z2322"/>
      <c r="AA2322"/>
      <c r="AB2322"/>
      <c r="AC2322"/>
      <c r="AD2322"/>
      <c r="AE2322"/>
      <c r="AF2322"/>
      <c r="AG2322"/>
      <c r="AH2322"/>
      <c r="AI2322"/>
      <c r="AJ2322"/>
      <c r="AK2322"/>
      <c r="AL2322"/>
    </row>
    <row r="2323" spans="1:38" ht="15.75" customHeight="1" outlineLevel="3" x14ac:dyDescent="0.2">
      <c r="A2323" s="10">
        <v>2</v>
      </c>
      <c r="B2323" s="10" t="s">
        <v>71</v>
      </c>
      <c r="C2323" s="15" t="s">
        <v>484</v>
      </c>
      <c r="D2323" s="15" t="s">
        <v>485</v>
      </c>
      <c r="E2323" s="11" t="str">
        <f t="array" ref="E2323">_xlfn.XLOOKUP(D2323,Insumos!B:B,Insumos!C:$C)</f>
        <v>M3</v>
      </c>
      <c r="F2323" s="14">
        <v>4.1999999999999997E-3</v>
      </c>
      <c r="G2323" s="92">
        <f t="array" ref="G2323">IF(B2323="insumo",_xlfn.XLOOKUP($D2323,Insumos!$B$1:$B$996,Insumos!$D$1:$D$996),"")</f>
        <v>633.27</v>
      </c>
      <c r="H2323" s="92">
        <v>2.6597339999999998</v>
      </c>
      <c r="I2323" s="13">
        <v>0</v>
      </c>
      <c r="J2323" s="13">
        <v>0</v>
      </c>
      <c r="K2323" s="13"/>
      <c r="L2323"/>
      <c r="M2323"/>
      <c r="N2323"/>
      <c r="O2323"/>
      <c r="P2323"/>
      <c r="Q2323"/>
      <c r="R2323"/>
      <c r="S2323"/>
      <c r="T2323"/>
      <c r="U2323"/>
      <c r="V2323"/>
      <c r="W2323"/>
      <c r="X2323"/>
      <c r="Y2323"/>
      <c r="Z2323"/>
      <c r="AA2323"/>
      <c r="AB2323"/>
      <c r="AC2323"/>
      <c r="AD2323"/>
      <c r="AE2323"/>
      <c r="AF2323"/>
      <c r="AG2323"/>
      <c r="AH2323"/>
      <c r="AI2323"/>
      <c r="AJ2323"/>
      <c r="AK2323"/>
      <c r="AL2323"/>
    </row>
    <row r="2324" spans="1:38" ht="15.75" customHeight="1" outlineLevel="2" x14ac:dyDescent="0.2">
      <c r="A2324" s="1067">
        <v>2</v>
      </c>
      <c r="B2324" s="1067" t="s">
        <v>68</v>
      </c>
      <c r="C2324" s="1067" t="s">
        <v>484</v>
      </c>
      <c r="D2324" s="1067" t="s">
        <v>484</v>
      </c>
      <c r="E2324" s="1068" t="s">
        <v>70</v>
      </c>
      <c r="F2324" s="1067"/>
      <c r="G2324" s="1069" t="str">
        <f t="array" ref="G2324">IF(B2324="insumo",_xlfn.XLOOKUP($D2324,Insumos!$B$1:$B$996,Insumos!$D$1:$D$996),"")</f>
        <v/>
      </c>
      <c r="H2324" s="1069">
        <v>2.016</v>
      </c>
      <c r="I2324" s="1070">
        <v>0</v>
      </c>
      <c r="J2324" s="1070">
        <v>0</v>
      </c>
      <c r="K2324" s="1070"/>
      <c r="L2324"/>
      <c r="M2324"/>
      <c r="N2324"/>
      <c r="O2324"/>
      <c r="P2324"/>
      <c r="Q2324"/>
      <c r="R2324"/>
      <c r="S2324"/>
      <c r="T2324"/>
      <c r="U2324"/>
      <c r="V2324"/>
      <c r="W2324"/>
      <c r="X2324"/>
      <c r="Y2324"/>
      <c r="Z2324"/>
      <c r="AA2324"/>
      <c r="AB2324"/>
      <c r="AC2324"/>
      <c r="AD2324"/>
      <c r="AE2324"/>
      <c r="AF2324"/>
      <c r="AG2324"/>
      <c r="AH2324"/>
      <c r="AI2324"/>
      <c r="AJ2324"/>
      <c r="AK2324"/>
      <c r="AL2324"/>
    </row>
    <row r="2325" spans="1:38" ht="15.75" customHeight="1" outlineLevel="3" x14ac:dyDescent="0.2">
      <c r="A2325" s="10">
        <v>1</v>
      </c>
      <c r="B2325" s="10" t="s">
        <v>71</v>
      </c>
      <c r="C2325" s="10" t="s">
        <v>484</v>
      </c>
      <c r="D2325" s="10" t="s">
        <v>486</v>
      </c>
      <c r="E2325" s="11" t="str">
        <f t="array" ref="E2325">_xlfn.XLOOKUP(D2325,Insumos!B:B,Insumos!C:$C)</f>
        <v>M3</v>
      </c>
      <c r="F2325" s="14">
        <v>4.1999999999999997E-3</v>
      </c>
      <c r="G2325" s="92">
        <f t="array" ref="G2325">IF(B2325="insumo",_xlfn.XLOOKUP($D2325,Insumos!$B$1:$B$996,Insumos!$D$1:$D$996),"")</f>
        <v>480</v>
      </c>
      <c r="H2325" s="92">
        <v>2.016</v>
      </c>
      <c r="I2325" s="13">
        <v>0</v>
      </c>
      <c r="J2325" s="13">
        <v>0</v>
      </c>
      <c r="K2325" s="13"/>
      <c r="L2325"/>
      <c r="M2325"/>
      <c r="N2325"/>
      <c r="O2325"/>
      <c r="P2325"/>
      <c r="Q2325"/>
      <c r="R2325"/>
      <c r="S2325"/>
      <c r="T2325"/>
      <c r="U2325"/>
      <c r="V2325"/>
      <c r="W2325"/>
      <c r="X2325"/>
      <c r="Y2325"/>
      <c r="Z2325"/>
      <c r="AA2325"/>
      <c r="AB2325"/>
      <c r="AC2325"/>
      <c r="AD2325"/>
      <c r="AE2325"/>
      <c r="AF2325"/>
      <c r="AG2325"/>
      <c r="AH2325"/>
      <c r="AI2325"/>
      <c r="AJ2325"/>
      <c r="AK2325"/>
      <c r="AL2325"/>
    </row>
    <row r="2326" spans="1:38" ht="15.75" customHeight="1" outlineLevel="2" x14ac:dyDescent="0.2">
      <c r="A2326" s="1067">
        <v>1</v>
      </c>
      <c r="B2326" s="1067" t="s">
        <v>68</v>
      </c>
      <c r="C2326" s="1067" t="s">
        <v>1407</v>
      </c>
      <c r="D2326" s="1067" t="s">
        <v>1407</v>
      </c>
      <c r="E2326" s="1068" t="s">
        <v>70</v>
      </c>
      <c r="F2326" s="1067"/>
      <c r="G2326" s="1069" t="str">
        <f t="array" ref="G2326">IF(B2326="insumo",_xlfn.XLOOKUP($D2326,Insumos!$B$1:$B$996,Insumos!$D$1:$D$996),"")</f>
        <v/>
      </c>
      <c r="H2326" s="1069">
        <v>5.12</v>
      </c>
      <c r="I2326" s="1070">
        <v>0</v>
      </c>
      <c r="J2326" s="1070">
        <v>0</v>
      </c>
      <c r="K2326" s="1070"/>
      <c r="L2326"/>
      <c r="M2326"/>
      <c r="N2326"/>
      <c r="O2326"/>
      <c r="P2326"/>
      <c r="Q2326"/>
      <c r="R2326"/>
      <c r="S2326"/>
      <c r="T2326"/>
      <c r="U2326"/>
      <c r="V2326"/>
      <c r="W2326"/>
      <c r="X2326"/>
      <c r="Y2326"/>
      <c r="Z2326"/>
      <c r="AA2326"/>
      <c r="AB2326"/>
      <c r="AC2326"/>
      <c r="AD2326"/>
      <c r="AE2326"/>
      <c r="AF2326"/>
      <c r="AG2326"/>
      <c r="AH2326"/>
      <c r="AI2326"/>
      <c r="AJ2326"/>
      <c r="AK2326"/>
      <c r="AL2326"/>
    </row>
    <row r="2327" spans="1:38" ht="15.75" customHeight="1" outlineLevel="3" x14ac:dyDescent="0.2">
      <c r="A2327" s="10">
        <v>6</v>
      </c>
      <c r="B2327" s="10" t="s">
        <v>71</v>
      </c>
      <c r="C2327" s="10" t="s">
        <v>1407</v>
      </c>
      <c r="D2327" s="10" t="s">
        <v>487</v>
      </c>
      <c r="E2327" s="11" t="str">
        <f t="array" ref="E2327">_xlfn.XLOOKUP(D2327,Insumos!B:B,Insumos!C:$C)</f>
        <v>KG</v>
      </c>
      <c r="F2327" s="14">
        <v>6.4</v>
      </c>
      <c r="G2327" s="92">
        <f t="array" ref="G2327">IF(B2327="insumo",_xlfn.XLOOKUP($D2327,Insumos!$B$1:$B$996,Insumos!$D$1:$D$996),"")</f>
        <v>0.8</v>
      </c>
      <c r="H2327" s="92">
        <v>5.12</v>
      </c>
      <c r="I2327" s="13">
        <v>0</v>
      </c>
      <c r="J2327" s="13">
        <v>0</v>
      </c>
      <c r="K2327" s="13"/>
      <c r="L2327"/>
      <c r="M2327"/>
      <c r="N2327"/>
      <c r="O2327"/>
      <c r="P2327"/>
      <c r="Q2327"/>
      <c r="R2327"/>
      <c r="S2327"/>
      <c r="T2327"/>
      <c r="U2327"/>
      <c r="V2327"/>
      <c r="W2327"/>
      <c r="X2327"/>
      <c r="Y2327"/>
      <c r="Z2327"/>
      <c r="AA2327"/>
      <c r="AB2327"/>
      <c r="AC2327"/>
      <c r="AD2327"/>
      <c r="AE2327"/>
      <c r="AF2327"/>
      <c r="AG2327"/>
      <c r="AH2327"/>
      <c r="AI2327"/>
      <c r="AJ2327"/>
      <c r="AK2327"/>
      <c r="AL2327"/>
    </row>
    <row r="2328" spans="1:38" ht="15.75" customHeight="1" outlineLevel="2" x14ac:dyDescent="0.2">
      <c r="A2328" s="1067">
        <v>1</v>
      </c>
      <c r="B2328" s="1067" t="s">
        <v>68</v>
      </c>
      <c r="C2328" s="1067" t="s">
        <v>488</v>
      </c>
      <c r="D2328" s="1067" t="s">
        <v>488</v>
      </c>
      <c r="E2328" s="1068" t="s">
        <v>70</v>
      </c>
      <c r="F2328" s="1067"/>
      <c r="G2328" s="1069" t="str">
        <f t="array" ref="G2328">IF(B2328="insumo",_xlfn.XLOOKUP($D2328,Insumos!$B$1:$B$996,Insumos!$D$1:$D$996),"")</f>
        <v/>
      </c>
      <c r="H2328" s="1069">
        <v>4.8088499999999996</v>
      </c>
      <c r="I2328" s="1070">
        <v>0</v>
      </c>
      <c r="J2328" s="1070">
        <v>0</v>
      </c>
      <c r="K2328" s="1070"/>
      <c r="L2328"/>
      <c r="M2328"/>
      <c r="N2328"/>
      <c r="O2328"/>
      <c r="P2328"/>
      <c r="Q2328"/>
      <c r="R2328"/>
      <c r="S2328"/>
      <c r="T2328"/>
      <c r="U2328"/>
      <c r="V2328"/>
      <c r="W2328"/>
      <c r="X2328"/>
      <c r="Y2328"/>
      <c r="Z2328"/>
      <c r="AA2328"/>
      <c r="AB2328"/>
      <c r="AC2328"/>
      <c r="AD2328"/>
      <c r="AE2328"/>
      <c r="AF2328"/>
      <c r="AG2328"/>
      <c r="AH2328"/>
      <c r="AI2328"/>
      <c r="AJ2328"/>
      <c r="AK2328"/>
      <c r="AL2328"/>
    </row>
    <row r="2329" spans="1:38" ht="15.75" customHeight="1" outlineLevel="3" x14ac:dyDescent="0.2">
      <c r="A2329" s="10">
        <v>6</v>
      </c>
      <c r="B2329" s="10" t="s">
        <v>71</v>
      </c>
      <c r="C2329" s="10" t="s">
        <v>488</v>
      </c>
      <c r="D2329" s="10" t="s">
        <v>487</v>
      </c>
      <c r="E2329" s="11" t="str">
        <f t="array" ref="E2329">_xlfn.XLOOKUP(D2329,Insumos!B:B,Insumos!C:$C)</f>
        <v>KG</v>
      </c>
      <c r="F2329" s="14">
        <v>1.8</v>
      </c>
      <c r="G2329" s="92">
        <f t="array" ref="G2329">IF(B2329="insumo",_xlfn.XLOOKUP($D2329,Insumos!$B$1:$B$996,Insumos!$D$1:$D$996),"")</f>
        <v>0.8</v>
      </c>
      <c r="H2329" s="92">
        <v>1.44</v>
      </c>
      <c r="I2329" s="13">
        <v>0</v>
      </c>
      <c r="J2329" s="13">
        <v>0</v>
      </c>
      <c r="K2329" s="13"/>
      <c r="L2329"/>
      <c r="M2329"/>
      <c r="N2329"/>
      <c r="O2329"/>
      <c r="P2329"/>
      <c r="Q2329"/>
      <c r="R2329"/>
      <c r="S2329"/>
      <c r="T2329"/>
      <c r="U2329"/>
      <c r="V2329"/>
      <c r="W2329"/>
      <c r="X2329"/>
      <c r="Y2329"/>
      <c r="Z2329"/>
      <c r="AA2329"/>
      <c r="AB2329"/>
      <c r="AC2329"/>
      <c r="AD2329"/>
      <c r="AE2329"/>
      <c r="AF2329"/>
      <c r="AG2329"/>
      <c r="AH2329"/>
      <c r="AI2329"/>
      <c r="AJ2329"/>
      <c r="AK2329"/>
      <c r="AL2329"/>
    </row>
    <row r="2330" spans="1:38" ht="15.75" customHeight="1" outlineLevel="3" x14ac:dyDescent="0.2">
      <c r="A2330" s="10">
        <v>4</v>
      </c>
      <c r="B2330" s="10" t="s">
        <v>71</v>
      </c>
      <c r="C2330" s="10" t="s">
        <v>488</v>
      </c>
      <c r="D2330" s="10" t="s">
        <v>483</v>
      </c>
      <c r="E2330" s="11" t="str">
        <f t="array" ref="E2330">_xlfn.XLOOKUP(D2330,Insumos!B:B,Insumos!C:$C)</f>
        <v>KG</v>
      </c>
      <c r="F2330" s="14">
        <v>0.3</v>
      </c>
      <c r="G2330" s="92">
        <f t="array" ref="G2330">IF(B2330="insumo",_xlfn.XLOOKUP($D2330,Insumos!$B$1:$B$996,Insumos!$D$1:$D$996),"")</f>
        <v>11.2295</v>
      </c>
      <c r="H2330" s="92">
        <v>3.3688500000000001</v>
      </c>
      <c r="I2330" s="13">
        <v>0</v>
      </c>
      <c r="J2330" s="13">
        <v>0</v>
      </c>
      <c r="K2330" s="13"/>
      <c r="L2330"/>
      <c r="M2330"/>
      <c r="N2330"/>
      <c r="O2330"/>
      <c r="P2330"/>
      <c r="Q2330"/>
      <c r="R2330"/>
      <c r="S2330"/>
      <c r="T2330"/>
      <c r="U2330"/>
      <c r="V2330"/>
      <c r="W2330"/>
      <c r="X2330"/>
      <c r="Y2330"/>
      <c r="Z2330"/>
      <c r="AA2330"/>
      <c r="AB2330"/>
      <c r="AC2330"/>
      <c r="AD2330"/>
      <c r="AE2330"/>
      <c r="AF2330"/>
      <c r="AG2330"/>
      <c r="AH2330"/>
      <c r="AI2330"/>
      <c r="AJ2330"/>
      <c r="AK2330"/>
      <c r="AL2330"/>
    </row>
    <row r="2331" spans="1:38" ht="15.75" customHeight="1" outlineLevel="2" x14ac:dyDescent="0.2">
      <c r="A2331" s="1067">
        <v>1</v>
      </c>
      <c r="B2331" s="1067" t="s">
        <v>68</v>
      </c>
      <c r="C2331" s="1067" t="s">
        <v>491</v>
      </c>
      <c r="D2331" s="1067" t="s">
        <v>491</v>
      </c>
      <c r="E2331" s="1068" t="s">
        <v>70</v>
      </c>
      <c r="F2331" s="1067"/>
      <c r="G2331" s="1069" t="str">
        <f t="array" ref="G2331">IF(B2331="insumo",_xlfn.XLOOKUP($D2331,Insumos!$B$1:$B$996,Insumos!$D$1:$D$996),"")</f>
        <v/>
      </c>
      <c r="H2331" s="1069">
        <v>3.28945</v>
      </c>
      <c r="I2331" s="1070" t="e">
        <v>#REF!</v>
      </c>
      <c r="J2331" s="1070" t="e">
        <v>#REF!</v>
      </c>
      <c r="K2331" s="1070"/>
      <c r="L2331"/>
      <c r="M2331"/>
      <c r="N2331"/>
      <c r="O2331"/>
      <c r="P2331"/>
      <c r="Q2331"/>
      <c r="R2331"/>
      <c r="S2331"/>
      <c r="T2331"/>
      <c r="U2331"/>
      <c r="V2331"/>
      <c r="W2331"/>
      <c r="X2331"/>
      <c r="Y2331"/>
      <c r="Z2331"/>
      <c r="AA2331"/>
      <c r="AB2331"/>
      <c r="AC2331"/>
      <c r="AD2331"/>
      <c r="AE2331"/>
      <c r="AF2331"/>
      <c r="AG2331"/>
      <c r="AH2331"/>
      <c r="AI2331"/>
      <c r="AJ2331"/>
      <c r="AK2331"/>
      <c r="AL2331"/>
    </row>
    <row r="2332" spans="1:38" ht="15.75" customHeight="1" outlineLevel="3" x14ac:dyDescent="0.2">
      <c r="A2332" s="10">
        <v>2</v>
      </c>
      <c r="B2332" s="10" t="s">
        <v>71</v>
      </c>
      <c r="C2332" s="15" t="s">
        <v>491</v>
      </c>
      <c r="D2332" s="15" t="s">
        <v>492</v>
      </c>
      <c r="E2332" s="11" t="str">
        <f t="array" ref="E2332">_xlfn.XLOOKUP(D2332,Insumos!B:B,Insumos!C:$C)</f>
        <v>M3</v>
      </c>
      <c r="F2332" s="14">
        <v>5.0000000000000001E-3</v>
      </c>
      <c r="G2332" s="92">
        <f t="array" ref="G2332">IF(B2332="insumo",_xlfn.XLOOKUP($D2332,Insumos!$B$1:$B$996,Insumos!$D$1:$D$996),"")</f>
        <v>657.89</v>
      </c>
      <c r="H2332" s="92">
        <v>3.28945</v>
      </c>
      <c r="I2332" s="13" t="e">
        <v>#REF!</v>
      </c>
      <c r="J2332" s="13" t="e">
        <v>#REF!</v>
      </c>
      <c r="K2332" s="13"/>
      <c r="L2332"/>
      <c r="M2332"/>
      <c r="N2332"/>
      <c r="O2332"/>
      <c r="P2332"/>
      <c r="Q2332"/>
      <c r="R2332"/>
      <c r="S2332"/>
      <c r="T2332"/>
      <c r="U2332"/>
      <c r="V2332"/>
      <c r="W2332"/>
      <c r="X2332"/>
      <c r="Y2332"/>
      <c r="Z2332"/>
      <c r="AA2332"/>
      <c r="AB2332"/>
      <c r="AC2332"/>
      <c r="AD2332"/>
      <c r="AE2332"/>
      <c r="AF2332"/>
      <c r="AG2332"/>
      <c r="AH2332"/>
      <c r="AI2332"/>
      <c r="AJ2332"/>
      <c r="AK2332"/>
      <c r="AL2332"/>
    </row>
    <row r="2333" spans="1:38" ht="15.75" customHeight="1" outlineLevel="2" x14ac:dyDescent="0.2">
      <c r="A2333" s="1067">
        <v>1</v>
      </c>
      <c r="B2333" s="1067" t="s">
        <v>68</v>
      </c>
      <c r="C2333" s="1067" t="s">
        <v>1408</v>
      </c>
      <c r="D2333" s="1067" t="s">
        <v>1408</v>
      </c>
      <c r="E2333" s="1068" t="s">
        <v>70</v>
      </c>
      <c r="F2333" s="1067"/>
      <c r="G2333" s="1069" t="str">
        <f t="array" ref="G2333">IF(B2333="insumo",_xlfn.XLOOKUP($D2333,Insumos!$B$1:$B$996,Insumos!$D$1:$D$996),"")</f>
        <v/>
      </c>
      <c r="H2333" s="1069">
        <v>4</v>
      </c>
      <c r="I2333" s="1070">
        <v>0</v>
      </c>
      <c r="J2333" s="1070">
        <v>0</v>
      </c>
      <c r="K2333" s="1070"/>
      <c r="L2333"/>
      <c r="M2333"/>
      <c r="N2333"/>
      <c r="O2333"/>
      <c r="P2333"/>
      <c r="Q2333"/>
      <c r="R2333"/>
      <c r="S2333"/>
      <c r="T2333"/>
      <c r="U2333"/>
      <c r="V2333"/>
      <c r="W2333"/>
      <c r="X2333"/>
      <c r="Y2333"/>
      <c r="Z2333"/>
      <c r="AA2333"/>
      <c r="AB2333"/>
      <c r="AC2333"/>
      <c r="AD2333"/>
      <c r="AE2333"/>
      <c r="AF2333"/>
      <c r="AG2333"/>
      <c r="AH2333"/>
      <c r="AI2333"/>
      <c r="AJ2333"/>
      <c r="AK2333"/>
      <c r="AL2333"/>
    </row>
    <row r="2334" spans="1:38" ht="15.75" customHeight="1" outlineLevel="3" x14ac:dyDescent="0.2">
      <c r="A2334" s="10">
        <v>6</v>
      </c>
      <c r="B2334" s="10" t="s">
        <v>71</v>
      </c>
      <c r="C2334" s="10" t="s">
        <v>1408</v>
      </c>
      <c r="D2334" s="10" t="s">
        <v>487</v>
      </c>
      <c r="E2334" s="11" t="str">
        <f t="array" ref="E2334">_xlfn.XLOOKUP(D2334,Insumos!B:B,Insumos!C:$C)</f>
        <v>KG</v>
      </c>
      <c r="F2334" s="14">
        <v>5</v>
      </c>
      <c r="G2334" s="92">
        <f t="array" ref="G2334">IF(B2334="insumo",_xlfn.XLOOKUP($D2334,Insumos!$B$1:$B$996,Insumos!$D$1:$D$996),"")</f>
        <v>0.8</v>
      </c>
      <c r="H2334" s="92">
        <v>4</v>
      </c>
      <c r="I2334" s="13">
        <v>0</v>
      </c>
      <c r="J2334" s="13">
        <v>0</v>
      </c>
      <c r="K2334" s="13"/>
      <c r="L2334"/>
      <c r="M2334"/>
      <c r="N2334"/>
      <c r="O2334"/>
      <c r="P2334"/>
      <c r="Q2334"/>
      <c r="R2334"/>
      <c r="S2334"/>
      <c r="T2334"/>
      <c r="U2334"/>
      <c r="V2334"/>
      <c r="W2334"/>
      <c r="X2334"/>
      <c r="Y2334"/>
      <c r="Z2334"/>
      <c r="AA2334"/>
      <c r="AB2334"/>
      <c r="AC2334"/>
      <c r="AD2334"/>
      <c r="AE2334"/>
      <c r="AF2334"/>
      <c r="AG2334"/>
      <c r="AH2334"/>
      <c r="AI2334"/>
      <c r="AJ2334"/>
      <c r="AK2334"/>
      <c r="AL2334"/>
    </row>
    <row r="2335" spans="1:38" ht="15.75" customHeight="1" outlineLevel="2" x14ac:dyDescent="0.2">
      <c r="A2335" s="1067">
        <v>1</v>
      </c>
      <c r="B2335" s="1067" t="s">
        <v>68</v>
      </c>
      <c r="C2335" s="1067" t="s">
        <v>1410</v>
      </c>
      <c r="D2335" s="1067" t="s">
        <v>1410</v>
      </c>
      <c r="E2335" s="1068" t="s">
        <v>70</v>
      </c>
      <c r="F2335" s="1067"/>
      <c r="G2335" s="1069" t="str">
        <f t="array" ref="G2335">IF(B2335="insumo",_xlfn.XLOOKUP($D2335,Insumos!$B$1:$B$996,Insumos!$D$1:$D$996),"")</f>
        <v/>
      </c>
      <c r="H2335" s="1069">
        <v>4</v>
      </c>
      <c r="I2335" s="1070">
        <v>0</v>
      </c>
      <c r="J2335" s="1070">
        <v>0</v>
      </c>
      <c r="K2335" s="1070"/>
      <c r="L2335"/>
      <c r="M2335"/>
      <c r="N2335"/>
      <c r="O2335"/>
      <c r="P2335"/>
      <c r="Q2335"/>
      <c r="R2335"/>
      <c r="S2335"/>
      <c r="T2335"/>
      <c r="U2335"/>
      <c r="V2335"/>
      <c r="W2335"/>
      <c r="X2335"/>
      <c r="Y2335"/>
      <c r="Z2335"/>
      <c r="AA2335"/>
      <c r="AB2335"/>
      <c r="AC2335"/>
      <c r="AD2335"/>
      <c r="AE2335"/>
      <c r="AF2335"/>
      <c r="AG2335"/>
      <c r="AH2335"/>
      <c r="AI2335"/>
      <c r="AJ2335"/>
      <c r="AK2335"/>
      <c r="AL2335"/>
    </row>
    <row r="2336" spans="1:38" ht="15.75" customHeight="1" outlineLevel="3" x14ac:dyDescent="0.2">
      <c r="A2336" s="10">
        <v>6</v>
      </c>
      <c r="B2336" s="10" t="s">
        <v>71</v>
      </c>
      <c r="C2336" s="10" t="s">
        <v>1410</v>
      </c>
      <c r="D2336" s="10" t="s">
        <v>487</v>
      </c>
      <c r="E2336" s="11" t="str">
        <f t="array" ref="E2336">_xlfn.XLOOKUP(D2336,Insumos!B:B,Insumos!C:$C)</f>
        <v>KG</v>
      </c>
      <c r="F2336" s="14">
        <v>5</v>
      </c>
      <c r="G2336" s="92">
        <f t="array" ref="G2336">IF(B2336="insumo",_xlfn.XLOOKUP($D2336,Insumos!$B$1:$B$996,Insumos!$D$1:$D$996),"")</f>
        <v>0.8</v>
      </c>
      <c r="H2336" s="92">
        <v>4</v>
      </c>
      <c r="I2336" s="13">
        <v>0</v>
      </c>
      <c r="J2336" s="13">
        <v>0</v>
      </c>
      <c r="K2336" s="13"/>
      <c r="L2336"/>
      <c r="M2336"/>
      <c r="N2336"/>
      <c r="O2336"/>
      <c r="P2336"/>
      <c r="Q2336"/>
      <c r="R2336"/>
      <c r="S2336"/>
      <c r="T2336"/>
      <c r="U2336"/>
      <c r="V2336"/>
      <c r="W2336"/>
      <c r="X2336"/>
      <c r="Y2336"/>
      <c r="Z2336"/>
      <c r="AA2336"/>
      <c r="AB2336"/>
      <c r="AC2336"/>
      <c r="AD2336"/>
      <c r="AE2336"/>
      <c r="AF2336"/>
      <c r="AG2336"/>
      <c r="AH2336"/>
      <c r="AI2336"/>
      <c r="AJ2336"/>
      <c r="AK2336"/>
      <c r="AL2336"/>
    </row>
    <row r="2337" spans="1:38" ht="15.75" customHeight="1" outlineLevel="1" x14ac:dyDescent="0.2">
      <c r="A2337" s="1090">
        <v>1</v>
      </c>
      <c r="B2337" s="1090" t="s">
        <v>1228</v>
      </c>
      <c r="C2337" s="1090" t="s">
        <v>1410</v>
      </c>
      <c r="D2337" s="1090" t="s">
        <v>1396</v>
      </c>
      <c r="E2337" s="1091"/>
      <c r="F2337" s="1092"/>
      <c r="G2337" s="1091"/>
      <c r="H2337" s="1091">
        <v>0</v>
      </c>
      <c r="I2337" s="1092">
        <v>0</v>
      </c>
      <c r="J2337" s="1092">
        <v>0</v>
      </c>
      <c r="K2337" s="1092"/>
      <c r="L2337"/>
      <c r="M2337"/>
      <c r="N2337"/>
      <c r="O2337"/>
      <c r="P2337"/>
      <c r="Q2337"/>
      <c r="R2337"/>
      <c r="S2337"/>
      <c r="T2337"/>
      <c r="U2337"/>
      <c r="V2337"/>
      <c r="W2337"/>
      <c r="X2337"/>
      <c r="Y2337"/>
      <c r="Z2337"/>
      <c r="AA2337"/>
      <c r="AB2337"/>
      <c r="AC2337"/>
      <c r="AD2337"/>
      <c r="AE2337"/>
      <c r="AF2337"/>
      <c r="AG2337"/>
      <c r="AH2337"/>
      <c r="AI2337"/>
      <c r="AJ2337"/>
      <c r="AK2337"/>
      <c r="AL2337"/>
    </row>
    <row r="2338" spans="1:38" ht="12.75" outlineLevel="2" x14ac:dyDescent="0.2">
      <c r="A2338" s="1071">
        <v>1</v>
      </c>
      <c r="B2338" s="1071" t="s">
        <v>68</v>
      </c>
      <c r="C2338" s="1071" t="s">
        <v>1793</v>
      </c>
      <c r="D2338" s="1071" t="s">
        <v>1793</v>
      </c>
      <c r="E2338" s="1072" t="s">
        <v>70</v>
      </c>
      <c r="F2338" s="1071"/>
      <c r="G2338" s="1073" t="str">
        <f t="array" ref="G2338">IF(B2338="insumo",_xlfn.XLOOKUP($D2338,Insumos!$B$1:$B$996,Insumos!$D$1:$D$996),"")</f>
        <v/>
      </c>
      <c r="H2338" s="1073">
        <v>3.8416027499999998</v>
      </c>
      <c r="I2338" s="1074">
        <v>0</v>
      </c>
      <c r="J2338" s="1074">
        <v>0</v>
      </c>
      <c r="K2338" s="1074"/>
      <c r="L2338"/>
      <c r="M2338"/>
      <c r="N2338"/>
      <c r="O2338"/>
      <c r="P2338"/>
      <c r="Q2338"/>
      <c r="R2338"/>
      <c r="S2338"/>
      <c r="T2338"/>
      <c r="U2338"/>
      <c r="V2338"/>
      <c r="W2338"/>
      <c r="X2338"/>
      <c r="Y2338"/>
      <c r="Z2338"/>
      <c r="AA2338"/>
      <c r="AB2338"/>
      <c r="AC2338"/>
      <c r="AD2338"/>
      <c r="AE2338"/>
      <c r="AF2338"/>
      <c r="AG2338"/>
      <c r="AH2338"/>
      <c r="AI2338"/>
      <c r="AJ2338"/>
      <c r="AK2338"/>
      <c r="AL2338"/>
    </row>
    <row r="2339" spans="1:38" ht="12.75" outlineLevel="3" x14ac:dyDescent="0.2">
      <c r="A2339" s="82">
        <v>4</v>
      </c>
      <c r="B2339" s="82" t="s">
        <v>71</v>
      </c>
      <c r="C2339" s="82" t="s">
        <v>1793</v>
      </c>
      <c r="D2339" s="82" t="s">
        <v>490</v>
      </c>
      <c r="E2339" s="11" t="str">
        <f t="array" ref="E2339">_xlfn.XLOOKUP(D2339,Insumos!B:B,Insumos!C:$C)</f>
        <v>KG</v>
      </c>
      <c r="F2339" s="86">
        <f>F2341*0.5</f>
        <v>8.5368949999999995</v>
      </c>
      <c r="G2339" s="92">
        <f t="array" ref="G2339">IF(B2339="insumo",_xlfn.XLOOKUP($D2339,Insumos!$B$1:$B$996,Insumos!$D$1:$D$996),"")</f>
        <v>0.45</v>
      </c>
      <c r="H2339" s="92">
        <v>3.8416027499999998</v>
      </c>
      <c r="I2339" s="84">
        <v>0</v>
      </c>
      <c r="J2339" s="84">
        <v>0</v>
      </c>
      <c r="K2339" s="84"/>
      <c r="L2339"/>
      <c r="M2339"/>
      <c r="N2339"/>
      <c r="O2339"/>
      <c r="P2339"/>
      <c r="Q2339"/>
      <c r="R2339"/>
      <c r="S2339"/>
      <c r="T2339"/>
      <c r="U2339"/>
      <c r="V2339"/>
      <c r="W2339"/>
      <c r="X2339"/>
      <c r="Y2339"/>
      <c r="Z2339"/>
      <c r="AA2339"/>
      <c r="AB2339"/>
      <c r="AC2339"/>
      <c r="AD2339"/>
      <c r="AE2339"/>
      <c r="AF2339"/>
      <c r="AG2339"/>
      <c r="AH2339"/>
      <c r="AI2339"/>
      <c r="AJ2339"/>
      <c r="AK2339"/>
      <c r="AL2339"/>
    </row>
    <row r="2340" spans="1:38" ht="12.75" outlineLevel="2" x14ac:dyDescent="0.2">
      <c r="A2340" s="1071">
        <v>1</v>
      </c>
      <c r="B2340" s="1071" t="s">
        <v>68</v>
      </c>
      <c r="C2340" s="1071" t="s">
        <v>1794</v>
      </c>
      <c r="D2340" s="1071" t="s">
        <v>1794</v>
      </c>
      <c r="E2340" s="1072" t="s">
        <v>70</v>
      </c>
      <c r="F2340" s="1071"/>
      <c r="G2340" s="1073" t="str">
        <f t="array" ref="G2340">IF(B2340="insumo",_xlfn.XLOOKUP($D2340,Insumos!$B$1:$B$996,Insumos!$D$1:$D$996),"")</f>
        <v/>
      </c>
      <c r="H2340" s="1073">
        <v>7.6832054999999997</v>
      </c>
      <c r="I2340" s="1074">
        <v>0</v>
      </c>
      <c r="J2340" s="1074">
        <v>0</v>
      </c>
      <c r="K2340" s="1074"/>
      <c r="L2340"/>
      <c r="M2340"/>
      <c r="N2340"/>
      <c r="O2340"/>
      <c r="P2340"/>
      <c r="Q2340"/>
      <c r="R2340"/>
      <c r="S2340"/>
      <c r="T2340"/>
      <c r="U2340"/>
      <c r="V2340"/>
      <c r="W2340"/>
      <c r="X2340"/>
      <c r="Y2340"/>
      <c r="Z2340"/>
      <c r="AA2340"/>
      <c r="AB2340"/>
      <c r="AC2340"/>
      <c r="AD2340"/>
      <c r="AE2340"/>
      <c r="AF2340"/>
      <c r="AG2340"/>
      <c r="AH2340"/>
      <c r="AI2340"/>
      <c r="AJ2340"/>
      <c r="AK2340"/>
      <c r="AL2340"/>
    </row>
    <row r="2341" spans="1:38" ht="12.75" outlineLevel="3" x14ac:dyDescent="0.2">
      <c r="A2341" s="82">
        <v>4</v>
      </c>
      <c r="B2341" s="82" t="s">
        <v>71</v>
      </c>
      <c r="C2341" s="82" t="s">
        <v>1794</v>
      </c>
      <c r="D2341" s="82" t="s">
        <v>490</v>
      </c>
      <c r="E2341" s="11" t="str">
        <f t="array" ref="E2341">_xlfn.XLOOKUP(D2341,Insumos!B:B,Insumos!C:$C)</f>
        <v>KG</v>
      </c>
      <c r="F2341" s="86">
        <f>17.07379</f>
        <v>17.073789999999999</v>
      </c>
      <c r="G2341" s="92">
        <f t="array" ref="G2341">IF(B2341="insumo",_xlfn.XLOOKUP($D2341,Insumos!$B$1:$B$996,Insumos!$D$1:$D$996),"")</f>
        <v>0.45</v>
      </c>
      <c r="H2341" s="92">
        <v>7.6832054999999997</v>
      </c>
      <c r="I2341" s="84">
        <v>0</v>
      </c>
      <c r="J2341" s="84">
        <v>0</v>
      </c>
      <c r="K2341" s="84"/>
      <c r="L2341"/>
      <c r="M2341"/>
      <c r="N2341"/>
      <c r="O2341"/>
      <c r="P2341"/>
      <c r="Q2341"/>
      <c r="R2341"/>
      <c r="S2341"/>
      <c r="T2341"/>
      <c r="U2341"/>
      <c r="V2341"/>
      <c r="W2341"/>
      <c r="X2341"/>
      <c r="Y2341"/>
      <c r="Z2341"/>
      <c r="AA2341"/>
      <c r="AB2341"/>
      <c r="AC2341"/>
      <c r="AD2341"/>
      <c r="AE2341"/>
      <c r="AF2341"/>
      <c r="AG2341"/>
      <c r="AH2341"/>
      <c r="AI2341"/>
      <c r="AJ2341"/>
      <c r="AK2341"/>
      <c r="AL2341"/>
    </row>
    <row r="2342" spans="1:38" ht="15.75" customHeight="1" outlineLevel="2" x14ac:dyDescent="0.2">
      <c r="A2342" s="1067">
        <v>1</v>
      </c>
      <c r="B2342" s="1067" t="s">
        <v>68</v>
      </c>
      <c r="C2342" s="1067" t="s">
        <v>489</v>
      </c>
      <c r="D2342" s="1067" t="s">
        <v>489</v>
      </c>
      <c r="E2342" s="1068" t="s">
        <v>70</v>
      </c>
      <c r="F2342" s="1067"/>
      <c r="G2342" s="1069" t="str">
        <f t="array" ref="G2342">IF(B2342="insumo",_xlfn.XLOOKUP($D2342,Insumos!$B$1:$B$996,Insumos!$D$1:$D$996),"")</f>
        <v/>
      </c>
      <c r="H2342" s="1069">
        <v>11.52480825</v>
      </c>
      <c r="I2342" s="1070">
        <v>0</v>
      </c>
      <c r="J2342" s="1070">
        <v>0</v>
      </c>
      <c r="K2342" s="1070"/>
      <c r="L2342"/>
      <c r="M2342"/>
      <c r="N2342"/>
      <c r="O2342"/>
      <c r="P2342"/>
      <c r="Q2342"/>
      <c r="R2342"/>
      <c r="S2342"/>
      <c r="T2342"/>
      <c r="U2342"/>
      <c r="V2342"/>
      <c r="W2342"/>
      <c r="X2342"/>
      <c r="Y2342"/>
      <c r="Z2342"/>
      <c r="AA2342"/>
      <c r="AB2342"/>
      <c r="AC2342"/>
      <c r="AD2342"/>
      <c r="AE2342"/>
      <c r="AF2342"/>
      <c r="AG2342"/>
      <c r="AH2342"/>
      <c r="AI2342"/>
      <c r="AJ2342"/>
      <c r="AK2342"/>
      <c r="AL2342"/>
    </row>
    <row r="2343" spans="1:38" ht="15.75" customHeight="1" outlineLevel="3" x14ac:dyDescent="0.2">
      <c r="A2343" s="10">
        <v>4</v>
      </c>
      <c r="B2343" s="10" t="s">
        <v>71</v>
      </c>
      <c r="C2343" s="10" t="s">
        <v>489</v>
      </c>
      <c r="D2343" s="10" t="s">
        <v>490</v>
      </c>
      <c r="E2343" s="11" t="str">
        <f t="array" ref="E2343">_xlfn.XLOOKUP(D2343,Insumos!B:B,Insumos!C:$C)</f>
        <v>KG</v>
      </c>
      <c r="F2343" s="14">
        <f>F2341*1.5</f>
        <v>25.610684999999997</v>
      </c>
      <c r="G2343" s="92">
        <f t="array" ref="G2343">IF(B2343="insumo",_xlfn.XLOOKUP($D2343,Insumos!$B$1:$B$996,Insumos!$D$1:$D$996),"")</f>
        <v>0.45</v>
      </c>
      <c r="H2343" s="92">
        <v>11.52480825</v>
      </c>
      <c r="I2343" s="13">
        <v>0</v>
      </c>
      <c r="J2343" s="13">
        <v>0</v>
      </c>
      <c r="K2343" s="13"/>
      <c r="L2343"/>
      <c r="M2343"/>
      <c r="N2343"/>
      <c r="O2343"/>
      <c r="P2343"/>
      <c r="Q2343"/>
      <c r="R2343"/>
      <c r="S2343"/>
      <c r="T2343"/>
      <c r="U2343"/>
      <c r="V2343"/>
      <c r="W2343"/>
      <c r="X2343"/>
      <c r="Y2343"/>
      <c r="Z2343"/>
      <c r="AA2343"/>
      <c r="AB2343"/>
      <c r="AC2343"/>
      <c r="AD2343"/>
      <c r="AE2343"/>
      <c r="AF2343"/>
      <c r="AG2343"/>
      <c r="AH2343"/>
      <c r="AI2343"/>
      <c r="AJ2343"/>
      <c r="AK2343"/>
      <c r="AL2343"/>
    </row>
    <row r="2344" spans="1:38" ht="15.75" customHeight="1" outlineLevel="2" x14ac:dyDescent="0.2">
      <c r="A2344" s="1067">
        <v>1</v>
      </c>
      <c r="B2344" s="1067" t="s">
        <v>68</v>
      </c>
      <c r="C2344" s="1067" t="s">
        <v>493</v>
      </c>
      <c r="D2344" s="1067" t="s">
        <v>493</v>
      </c>
      <c r="E2344" s="1068" t="s">
        <v>70</v>
      </c>
      <c r="F2344" s="1067"/>
      <c r="G2344" s="1069" t="str">
        <f t="array" ref="G2344">IF(B2344="insumo",_xlfn.XLOOKUP($D2344,Insumos!$B$1:$B$996,Insumos!$D$1:$D$996),"")</f>
        <v/>
      </c>
      <c r="H2344" s="1069">
        <v>5.20784</v>
      </c>
      <c r="I2344" s="1070">
        <v>0</v>
      </c>
      <c r="J2344" s="1070">
        <v>0</v>
      </c>
      <c r="K2344" s="1070"/>
      <c r="L2344"/>
      <c r="M2344"/>
      <c r="N2344"/>
      <c r="O2344"/>
      <c r="P2344"/>
      <c r="Q2344"/>
      <c r="R2344"/>
      <c r="S2344"/>
      <c r="T2344"/>
      <c r="U2344"/>
      <c r="V2344"/>
      <c r="W2344"/>
      <c r="X2344"/>
      <c r="Y2344"/>
      <c r="Z2344"/>
      <c r="AA2344"/>
      <c r="AB2344"/>
      <c r="AC2344"/>
      <c r="AD2344"/>
      <c r="AE2344"/>
      <c r="AF2344"/>
      <c r="AG2344"/>
      <c r="AH2344"/>
      <c r="AI2344"/>
      <c r="AJ2344"/>
      <c r="AK2344"/>
      <c r="AL2344"/>
    </row>
    <row r="2345" spans="1:38" ht="15.75" customHeight="1" outlineLevel="3" x14ac:dyDescent="0.2">
      <c r="A2345" s="10">
        <v>1</v>
      </c>
      <c r="B2345" s="10" t="s">
        <v>71</v>
      </c>
      <c r="C2345" s="10" t="s">
        <v>493</v>
      </c>
      <c r="D2345" s="10" t="s">
        <v>494</v>
      </c>
      <c r="E2345" s="11" t="str">
        <f t="array" ref="E2345">_xlfn.XLOOKUP(D2345,Insumos!B:B,Insumos!C:$C)</f>
        <v>KG</v>
      </c>
      <c r="F2345" s="14">
        <v>0.88</v>
      </c>
      <c r="G2345" s="92">
        <f t="array" ref="G2345">IF(B2345="insumo",_xlfn.XLOOKUP($D2345,Insumos!$B$1:$B$996,Insumos!$D$1:$D$996),"")</f>
        <v>5.9180000000000001</v>
      </c>
      <c r="H2345" s="92">
        <v>5.20784</v>
      </c>
      <c r="I2345" s="13">
        <v>0</v>
      </c>
      <c r="J2345" s="13">
        <v>0</v>
      </c>
      <c r="K2345" s="13"/>
      <c r="L2345"/>
      <c r="M2345"/>
      <c r="N2345"/>
      <c r="O2345"/>
      <c r="P2345"/>
      <c r="Q2345"/>
      <c r="R2345"/>
      <c r="S2345"/>
      <c r="T2345"/>
      <c r="U2345"/>
      <c r="V2345"/>
      <c r="W2345"/>
      <c r="X2345"/>
      <c r="Y2345"/>
      <c r="Z2345"/>
      <c r="AA2345"/>
      <c r="AB2345"/>
      <c r="AC2345"/>
      <c r="AD2345"/>
      <c r="AE2345"/>
      <c r="AF2345"/>
      <c r="AG2345"/>
      <c r="AH2345"/>
      <c r="AI2345"/>
      <c r="AJ2345"/>
      <c r="AK2345"/>
      <c r="AL2345"/>
    </row>
    <row r="2346" spans="1:38" ht="15.75" customHeight="1" outlineLevel="1" x14ac:dyDescent="0.2">
      <c r="A2346" s="1090">
        <v>1</v>
      </c>
      <c r="B2346" s="1090" t="s">
        <v>1228</v>
      </c>
      <c r="C2346" s="1090" t="s">
        <v>493</v>
      </c>
      <c r="D2346" s="1090" t="s">
        <v>1395</v>
      </c>
      <c r="E2346" s="1091"/>
      <c r="F2346" s="1092"/>
      <c r="G2346" s="1091"/>
      <c r="H2346" s="1091">
        <v>0</v>
      </c>
      <c r="I2346" s="1092">
        <v>0</v>
      </c>
      <c r="J2346" s="1092">
        <v>0</v>
      </c>
      <c r="K2346" s="1092"/>
      <c r="L2346"/>
      <c r="M2346"/>
      <c r="N2346"/>
      <c r="O2346"/>
      <c r="P2346"/>
      <c r="Q2346"/>
      <c r="R2346"/>
      <c r="S2346"/>
      <c r="T2346"/>
      <c r="U2346"/>
      <c r="V2346"/>
      <c r="W2346"/>
      <c r="X2346"/>
      <c r="Y2346"/>
      <c r="Z2346"/>
      <c r="AA2346"/>
      <c r="AB2346"/>
      <c r="AC2346"/>
      <c r="AD2346"/>
      <c r="AE2346"/>
      <c r="AF2346"/>
      <c r="AG2346"/>
      <c r="AH2346"/>
      <c r="AI2346"/>
      <c r="AJ2346"/>
      <c r="AK2346"/>
      <c r="AL2346"/>
    </row>
    <row r="2347" spans="1:38" ht="12.75" outlineLevel="2" x14ac:dyDescent="0.2">
      <c r="A2347" s="1071">
        <v>1</v>
      </c>
      <c r="B2347" s="1071" t="s">
        <v>68</v>
      </c>
      <c r="C2347" s="1071" t="s">
        <v>1795</v>
      </c>
      <c r="D2347" s="1071" t="s">
        <v>1795</v>
      </c>
      <c r="E2347" s="1072" t="s">
        <v>70</v>
      </c>
      <c r="F2347" s="1071"/>
      <c r="G2347" s="1073" t="str">
        <f t="array" ref="G2347">IF(B2347="insumo",_xlfn.XLOOKUP($D2347,Insumos!$B$1:$B$996,Insumos!$D$1:$D$996),"")</f>
        <v/>
      </c>
      <c r="H2347" s="1073">
        <v>12.1595</v>
      </c>
      <c r="I2347" s="1074">
        <v>0</v>
      </c>
      <c r="J2347" s="1074">
        <v>0</v>
      </c>
      <c r="K2347" s="1074"/>
      <c r="L2347"/>
      <c r="M2347"/>
      <c r="N2347"/>
      <c r="O2347"/>
      <c r="P2347"/>
      <c r="Q2347"/>
      <c r="R2347"/>
      <c r="S2347"/>
      <c r="T2347"/>
      <c r="U2347"/>
      <c r="V2347"/>
      <c r="W2347"/>
      <c r="X2347"/>
      <c r="Y2347"/>
      <c r="Z2347"/>
      <c r="AA2347"/>
      <c r="AB2347"/>
      <c r="AC2347"/>
      <c r="AD2347"/>
      <c r="AE2347"/>
      <c r="AF2347"/>
      <c r="AG2347"/>
      <c r="AH2347"/>
      <c r="AI2347"/>
      <c r="AJ2347"/>
      <c r="AK2347"/>
      <c r="AL2347"/>
    </row>
    <row r="2348" spans="1:38" ht="12.75" outlineLevel="3" x14ac:dyDescent="0.2">
      <c r="A2348" s="82">
        <v>7</v>
      </c>
      <c r="B2348" s="82" t="s">
        <v>71</v>
      </c>
      <c r="C2348" s="82" t="s">
        <v>1795</v>
      </c>
      <c r="D2348" s="82" t="s">
        <v>496</v>
      </c>
      <c r="E2348" s="11" t="str">
        <f t="array" ref="E2348">_xlfn.XLOOKUP(D2348,Insumos!B:B,Insumos!C:$C)</f>
        <v>M3</v>
      </c>
      <c r="F2348" s="86">
        <v>2.93E-2</v>
      </c>
      <c r="G2348" s="92">
        <f t="array" ref="G2348">IF(B2348="insumo",_xlfn.XLOOKUP($D2348,Insumos!$B$1:$B$996,Insumos!$D$1:$D$996),"")</f>
        <v>415</v>
      </c>
      <c r="H2348" s="92">
        <v>12.1595</v>
      </c>
      <c r="I2348" s="84">
        <v>0</v>
      </c>
      <c r="J2348" s="84">
        <v>0</v>
      </c>
      <c r="K2348" s="84"/>
      <c r="L2348"/>
      <c r="M2348"/>
      <c r="N2348"/>
      <c r="O2348"/>
      <c r="P2348"/>
      <c r="Q2348"/>
      <c r="R2348"/>
      <c r="S2348"/>
      <c r="T2348"/>
      <c r="U2348"/>
      <c r="V2348"/>
      <c r="W2348"/>
      <c r="X2348"/>
      <c r="Y2348"/>
      <c r="Z2348"/>
      <c r="AA2348"/>
      <c r="AB2348"/>
      <c r="AC2348"/>
      <c r="AD2348"/>
      <c r="AE2348"/>
      <c r="AF2348"/>
      <c r="AG2348"/>
      <c r="AH2348"/>
      <c r="AI2348"/>
      <c r="AJ2348"/>
      <c r="AK2348"/>
      <c r="AL2348"/>
    </row>
    <row r="2349" spans="1:38" ht="12.75" outlineLevel="2" x14ac:dyDescent="0.2">
      <c r="A2349" s="1071">
        <v>1</v>
      </c>
      <c r="B2349" s="1071" t="s">
        <v>68</v>
      </c>
      <c r="C2349" s="1071" t="s">
        <v>1796</v>
      </c>
      <c r="D2349" s="1071" t="s">
        <v>1796</v>
      </c>
      <c r="E2349" s="1072" t="s">
        <v>70</v>
      </c>
      <c r="F2349" s="1071"/>
      <c r="G2349" s="1073" t="str">
        <f t="array" ref="G2349">IF(B2349="insumo",_xlfn.XLOOKUP($D2349,Insumos!$B$1:$B$996,Insumos!$D$1:$D$996),"")</f>
        <v/>
      </c>
      <c r="H2349" s="1073">
        <v>2.17875</v>
      </c>
      <c r="I2349" s="1074">
        <v>0</v>
      </c>
      <c r="J2349" s="1074">
        <v>0</v>
      </c>
      <c r="K2349" s="1074"/>
      <c r="L2349"/>
      <c r="M2349"/>
      <c r="N2349"/>
      <c r="O2349"/>
      <c r="P2349"/>
      <c r="Q2349"/>
      <c r="R2349"/>
      <c r="S2349"/>
      <c r="T2349"/>
      <c r="U2349"/>
      <c r="V2349"/>
      <c r="W2349"/>
      <c r="X2349"/>
      <c r="Y2349"/>
      <c r="Z2349"/>
      <c r="AA2349"/>
      <c r="AB2349"/>
      <c r="AC2349"/>
      <c r="AD2349"/>
      <c r="AE2349"/>
      <c r="AF2349"/>
      <c r="AG2349"/>
      <c r="AH2349"/>
      <c r="AI2349"/>
      <c r="AJ2349"/>
      <c r="AK2349"/>
      <c r="AL2349"/>
    </row>
    <row r="2350" spans="1:38" ht="12.75" outlineLevel="3" x14ac:dyDescent="0.2">
      <c r="A2350" s="82">
        <v>7</v>
      </c>
      <c r="B2350" s="82" t="s">
        <v>71</v>
      </c>
      <c r="C2350" s="82" t="s">
        <v>1796</v>
      </c>
      <c r="D2350" s="82" t="s">
        <v>496</v>
      </c>
      <c r="E2350" s="11" t="str">
        <f t="array" ref="E2350">_xlfn.XLOOKUP(D2350,Insumos!B:B,Insumos!C:$C)</f>
        <v>M3</v>
      </c>
      <c r="F2350" s="86">
        <f>0.02625*0.5/2.5</f>
        <v>5.2499999999999995E-3</v>
      </c>
      <c r="G2350" s="92">
        <f t="array" ref="G2350">IF(B2350="insumo",_xlfn.XLOOKUP($D2350,Insumos!$B$1:$B$996,Insumos!$D$1:$D$996),"")</f>
        <v>415</v>
      </c>
      <c r="H2350" s="92">
        <v>2.17875</v>
      </c>
      <c r="I2350" s="84">
        <v>0</v>
      </c>
      <c r="J2350" s="84">
        <v>0</v>
      </c>
      <c r="K2350" s="84"/>
      <c r="L2350"/>
      <c r="M2350"/>
      <c r="N2350"/>
      <c r="O2350"/>
      <c r="P2350"/>
      <c r="Q2350"/>
      <c r="R2350"/>
      <c r="S2350"/>
      <c r="T2350"/>
      <c r="U2350"/>
      <c r="V2350"/>
      <c r="W2350"/>
      <c r="X2350"/>
      <c r="Y2350"/>
      <c r="Z2350"/>
      <c r="AA2350"/>
      <c r="AB2350"/>
      <c r="AC2350"/>
      <c r="AD2350"/>
      <c r="AE2350"/>
      <c r="AF2350"/>
      <c r="AG2350"/>
      <c r="AH2350"/>
      <c r="AI2350"/>
      <c r="AJ2350"/>
      <c r="AK2350"/>
      <c r="AL2350"/>
    </row>
    <row r="2351" spans="1:38" ht="15.75" customHeight="1" outlineLevel="2" x14ac:dyDescent="0.2">
      <c r="A2351" s="1067">
        <v>1</v>
      </c>
      <c r="B2351" s="1067" t="s">
        <v>68</v>
      </c>
      <c r="C2351" s="1067" t="s">
        <v>495</v>
      </c>
      <c r="D2351" s="1067" t="s">
        <v>495</v>
      </c>
      <c r="E2351" s="1068" t="s">
        <v>70</v>
      </c>
      <c r="F2351" s="1067"/>
      <c r="G2351" s="1069" t="str">
        <f t="array" ref="G2351">IF(B2351="insumo",_xlfn.XLOOKUP($D2351,Insumos!$B$1:$B$996,Insumos!$D$1:$D$996),"")</f>
        <v/>
      </c>
      <c r="H2351" s="1069">
        <v>10.893750000000001</v>
      </c>
      <c r="I2351" s="1070">
        <v>0</v>
      </c>
      <c r="J2351" s="1070">
        <v>0</v>
      </c>
      <c r="K2351" s="1070"/>
      <c r="L2351"/>
      <c r="M2351"/>
      <c r="N2351"/>
      <c r="O2351"/>
      <c r="P2351"/>
      <c r="Q2351"/>
      <c r="R2351"/>
      <c r="S2351"/>
      <c r="T2351"/>
      <c r="U2351"/>
      <c r="V2351"/>
      <c r="W2351"/>
      <c r="X2351"/>
      <c r="Y2351"/>
      <c r="Z2351"/>
      <c r="AA2351"/>
      <c r="AB2351"/>
      <c r="AC2351"/>
      <c r="AD2351"/>
      <c r="AE2351"/>
      <c r="AF2351"/>
      <c r="AG2351"/>
      <c r="AH2351"/>
      <c r="AI2351"/>
      <c r="AJ2351"/>
      <c r="AK2351"/>
      <c r="AL2351"/>
    </row>
    <row r="2352" spans="1:38" ht="15.75" customHeight="1" outlineLevel="3" x14ac:dyDescent="0.2">
      <c r="A2352" s="10">
        <v>7</v>
      </c>
      <c r="B2352" s="10" t="s">
        <v>71</v>
      </c>
      <c r="C2352" s="10" t="s">
        <v>495</v>
      </c>
      <c r="D2352" s="10" t="s">
        <v>496</v>
      </c>
      <c r="E2352" s="11" t="str">
        <f t="array" ref="E2352">_xlfn.XLOOKUP(D2352,Insumos!B:B,Insumos!C:$C)</f>
        <v>M3</v>
      </c>
      <c r="F2352" s="14">
        <v>2.6250000000000002E-2</v>
      </c>
      <c r="G2352" s="92">
        <f t="array" ref="G2352">IF(B2352="insumo",_xlfn.XLOOKUP($D2352,Insumos!$B$1:$B$996,Insumos!$D$1:$D$996),"")</f>
        <v>415</v>
      </c>
      <c r="H2352" s="92">
        <v>10.893750000000001</v>
      </c>
      <c r="I2352" s="13">
        <v>0</v>
      </c>
      <c r="J2352" s="13">
        <v>0</v>
      </c>
      <c r="K2352" s="13"/>
      <c r="L2352"/>
      <c r="M2352"/>
      <c r="N2352"/>
      <c r="O2352"/>
      <c r="P2352"/>
      <c r="Q2352"/>
      <c r="R2352"/>
      <c r="S2352"/>
      <c r="T2352"/>
      <c r="U2352"/>
      <c r="V2352"/>
      <c r="W2352"/>
      <c r="X2352"/>
      <c r="Y2352"/>
      <c r="Z2352"/>
      <c r="AA2352"/>
      <c r="AB2352"/>
      <c r="AC2352"/>
      <c r="AD2352"/>
      <c r="AE2352"/>
      <c r="AF2352"/>
      <c r="AG2352"/>
      <c r="AH2352"/>
      <c r="AI2352"/>
      <c r="AJ2352"/>
      <c r="AK2352"/>
      <c r="AL2352"/>
    </row>
    <row r="2353" spans="1:38" ht="15.75" customHeight="1" outlineLevel="2" x14ac:dyDescent="0.2">
      <c r="A2353" s="1067">
        <v>1</v>
      </c>
      <c r="B2353" s="1067" t="s">
        <v>68</v>
      </c>
      <c r="C2353" s="1067" t="s">
        <v>497</v>
      </c>
      <c r="D2353" s="1067" t="s">
        <v>497</v>
      </c>
      <c r="E2353" s="1068" t="s">
        <v>70</v>
      </c>
      <c r="F2353" s="1067"/>
      <c r="G2353" s="1069" t="str">
        <f t="array" ref="G2353">IF(B2353="insumo",_xlfn.XLOOKUP($D2353,Insumos!$B$1:$B$996,Insumos!$D$1:$D$996),"")</f>
        <v/>
      </c>
      <c r="H2353" s="1069">
        <v>12.074999999999999</v>
      </c>
      <c r="I2353" s="1070" t="e">
        <v>#REF!</v>
      </c>
      <c r="J2353" s="1070" t="e">
        <v>#REF!</v>
      </c>
      <c r="K2353" s="1070"/>
      <c r="L2353"/>
      <c r="M2353"/>
      <c r="N2353"/>
      <c r="O2353"/>
      <c r="P2353"/>
      <c r="Q2353"/>
      <c r="R2353"/>
      <c r="S2353"/>
      <c r="T2353"/>
      <c r="U2353"/>
      <c r="V2353"/>
      <c r="W2353"/>
      <c r="X2353"/>
      <c r="Y2353"/>
      <c r="Z2353"/>
      <c r="AA2353"/>
      <c r="AB2353"/>
      <c r="AC2353"/>
      <c r="AD2353"/>
      <c r="AE2353"/>
      <c r="AF2353"/>
      <c r="AG2353"/>
      <c r="AH2353"/>
      <c r="AI2353"/>
      <c r="AJ2353"/>
      <c r="AK2353"/>
      <c r="AL2353"/>
    </row>
    <row r="2354" spans="1:38" ht="15.75" customHeight="1" outlineLevel="3" x14ac:dyDescent="0.2">
      <c r="A2354" s="10">
        <v>7</v>
      </c>
      <c r="B2354" s="10" t="s">
        <v>71</v>
      </c>
      <c r="C2354" s="10" t="s">
        <v>497</v>
      </c>
      <c r="D2354" s="10" t="s">
        <v>496</v>
      </c>
      <c r="E2354" s="11" t="str">
        <f t="array" ref="E2354">_xlfn.XLOOKUP(D2354,Insumos!B:B,Insumos!C:$C)</f>
        <v>M3</v>
      </c>
      <c r="F2354" s="14">
        <v>2.6250000000000002E-2</v>
      </c>
      <c r="G2354" s="92">
        <f t="array" ref="G2354">IF(B2354="insumo",_xlfn.XLOOKUP($D2354,Insumos!$B$1:$B$996,Insumos!$D$1:$D$996),"")</f>
        <v>415</v>
      </c>
      <c r="H2354" s="92">
        <v>10.893750000000001</v>
      </c>
      <c r="I2354" s="13">
        <v>0</v>
      </c>
      <c r="J2354" s="13">
        <v>0</v>
      </c>
      <c r="K2354" s="13"/>
      <c r="L2354"/>
      <c r="M2354"/>
      <c r="N2354"/>
      <c r="O2354"/>
      <c r="P2354"/>
      <c r="Q2354"/>
      <c r="R2354"/>
      <c r="S2354"/>
      <c r="T2354"/>
      <c r="U2354"/>
      <c r="V2354"/>
      <c r="W2354"/>
      <c r="X2354"/>
      <c r="Y2354"/>
      <c r="Z2354"/>
      <c r="AA2354"/>
      <c r="AB2354"/>
      <c r="AC2354"/>
      <c r="AD2354"/>
      <c r="AE2354"/>
      <c r="AF2354"/>
      <c r="AG2354"/>
      <c r="AH2354"/>
      <c r="AI2354"/>
      <c r="AJ2354"/>
      <c r="AK2354"/>
      <c r="AL2354"/>
    </row>
    <row r="2355" spans="1:38" ht="15.75" customHeight="1" outlineLevel="3" x14ac:dyDescent="0.2">
      <c r="A2355" s="10">
        <v>1</v>
      </c>
      <c r="B2355" s="10" t="s">
        <v>71</v>
      </c>
      <c r="C2355" s="10" t="s">
        <v>497</v>
      </c>
      <c r="D2355" s="10" t="s">
        <v>5450</v>
      </c>
      <c r="E2355" s="11" t="str">
        <f t="array" ref="E2355">_xlfn.XLOOKUP(D2355,Insumos!B:B,Insumos!C:$C)</f>
        <v>M3</v>
      </c>
      <c r="F2355" s="14">
        <v>2.6250000000000002E-2</v>
      </c>
      <c r="G2355" s="92">
        <f t="array" ref="G2355">IF(B2355="insumo",_xlfn.XLOOKUP($D2355,Insumos!$B$1:$B$996,Insumos!$D$1:$D$996),"")</f>
        <v>45</v>
      </c>
      <c r="H2355" s="92">
        <v>1.1812499999999999</v>
      </c>
      <c r="I2355" s="13" t="e">
        <v>#REF!</v>
      </c>
      <c r="J2355" s="13" t="e">
        <v>#REF!</v>
      </c>
      <c r="K2355" s="13"/>
      <c r="L2355"/>
      <c r="M2355"/>
      <c r="N2355"/>
      <c r="O2355"/>
      <c r="P2355"/>
      <c r="Q2355"/>
      <c r="R2355"/>
      <c r="S2355"/>
      <c r="T2355"/>
      <c r="U2355"/>
      <c r="V2355"/>
      <c r="W2355"/>
      <c r="X2355"/>
      <c r="Y2355"/>
      <c r="Z2355"/>
      <c r="AA2355"/>
      <c r="AB2355"/>
      <c r="AC2355"/>
      <c r="AD2355"/>
      <c r="AE2355"/>
      <c r="AF2355"/>
      <c r="AG2355"/>
      <c r="AH2355"/>
      <c r="AI2355"/>
      <c r="AJ2355"/>
      <c r="AK2355"/>
      <c r="AL2355"/>
    </row>
    <row r="2356" spans="1:38" ht="15.75" customHeight="1" outlineLevel="2" x14ac:dyDescent="0.2">
      <c r="A2356" s="1067">
        <v>1</v>
      </c>
      <c r="B2356" s="1067" t="s">
        <v>68</v>
      </c>
      <c r="C2356" s="1067" t="s">
        <v>1411</v>
      </c>
      <c r="D2356" s="1067" t="s">
        <v>1411</v>
      </c>
      <c r="E2356" s="1068" t="s">
        <v>70</v>
      </c>
      <c r="F2356" s="1067"/>
      <c r="G2356" s="1069" t="str">
        <f t="array" ref="G2356">IF(B2356="insumo",_xlfn.XLOOKUP($D2356,Insumos!$B$1:$B$996,Insumos!$D$1:$D$996),"")</f>
        <v/>
      </c>
      <c r="H2356" s="1069">
        <v>19</v>
      </c>
      <c r="I2356" s="1070">
        <v>0</v>
      </c>
      <c r="J2356" s="1070">
        <v>0</v>
      </c>
      <c r="K2356" s="1070"/>
      <c r="L2356"/>
      <c r="M2356"/>
      <c r="N2356"/>
      <c r="O2356"/>
      <c r="P2356"/>
      <c r="Q2356"/>
      <c r="R2356"/>
      <c r="S2356"/>
      <c r="T2356"/>
      <c r="U2356"/>
      <c r="V2356"/>
      <c r="W2356"/>
      <c r="X2356"/>
      <c r="Y2356"/>
      <c r="Z2356"/>
      <c r="AA2356"/>
      <c r="AB2356"/>
      <c r="AC2356"/>
      <c r="AD2356"/>
      <c r="AE2356"/>
      <c r="AF2356"/>
      <c r="AG2356"/>
      <c r="AH2356"/>
      <c r="AI2356"/>
      <c r="AJ2356"/>
      <c r="AK2356"/>
      <c r="AL2356"/>
    </row>
    <row r="2357" spans="1:38" ht="15.75" customHeight="1" outlineLevel="3" x14ac:dyDescent="0.2">
      <c r="A2357" s="10">
        <v>3</v>
      </c>
      <c r="B2357" s="10" t="s">
        <v>71</v>
      </c>
      <c r="C2357" s="10" t="s">
        <v>1411</v>
      </c>
      <c r="D2357" s="10" t="s">
        <v>1409</v>
      </c>
      <c r="E2357" s="11" t="str">
        <f t="array" ref="E2357">_xlfn.XLOOKUP(D2357,Insumos!B:B,Insumos!C:$C)</f>
        <v>KG</v>
      </c>
      <c r="F2357" s="14">
        <v>20</v>
      </c>
      <c r="G2357" s="92">
        <f t="array" ref="G2357">IF(B2357="insumo",_xlfn.XLOOKUP($D2357,Insumos!$B$1:$B$996,Insumos!$D$1:$D$996),"")</f>
        <v>0.95</v>
      </c>
      <c r="H2357" s="92">
        <v>19</v>
      </c>
      <c r="I2357" s="13">
        <v>0</v>
      </c>
      <c r="J2357" s="13">
        <v>0</v>
      </c>
      <c r="K2357" s="13"/>
      <c r="L2357"/>
      <c r="M2357"/>
      <c r="N2357"/>
      <c r="O2357"/>
      <c r="P2357"/>
      <c r="Q2357"/>
      <c r="R2357"/>
      <c r="S2357"/>
      <c r="T2357"/>
      <c r="U2357"/>
      <c r="V2357"/>
      <c r="W2357"/>
      <c r="X2357"/>
      <c r="Y2357"/>
      <c r="Z2357"/>
      <c r="AA2357"/>
      <c r="AB2357"/>
      <c r="AC2357"/>
      <c r="AD2357"/>
      <c r="AE2357"/>
      <c r="AF2357"/>
      <c r="AG2357"/>
      <c r="AH2357"/>
      <c r="AI2357"/>
      <c r="AJ2357"/>
      <c r="AK2357"/>
      <c r="AL2357"/>
    </row>
    <row r="2358" spans="1:38" ht="15.75" customHeight="1" outlineLevel="1" x14ac:dyDescent="0.2">
      <c r="A2358" s="1090">
        <v>1</v>
      </c>
      <c r="B2358" s="1090" t="s">
        <v>1228</v>
      </c>
      <c r="C2358" s="1090" t="s">
        <v>1411</v>
      </c>
      <c r="D2358" s="1090" t="s">
        <v>1397</v>
      </c>
      <c r="E2358" s="1091"/>
      <c r="F2358" s="1092"/>
      <c r="G2358" s="1091"/>
      <c r="H2358" s="1091">
        <v>0</v>
      </c>
      <c r="I2358" s="1092">
        <v>0</v>
      </c>
      <c r="J2358" s="1092">
        <v>0</v>
      </c>
      <c r="K2358" s="1092"/>
      <c r="L2358"/>
      <c r="M2358"/>
      <c r="N2358"/>
      <c r="O2358"/>
      <c r="P2358"/>
      <c r="Q2358"/>
      <c r="R2358"/>
      <c r="S2358"/>
      <c r="T2358"/>
      <c r="U2358"/>
      <c r="V2358"/>
      <c r="W2358"/>
      <c r="X2358"/>
      <c r="Y2358"/>
      <c r="Z2358"/>
      <c r="AA2358"/>
      <c r="AB2358"/>
      <c r="AC2358"/>
      <c r="AD2358"/>
      <c r="AE2358"/>
      <c r="AF2358"/>
      <c r="AG2358"/>
      <c r="AH2358"/>
      <c r="AI2358"/>
      <c r="AJ2358"/>
      <c r="AK2358"/>
      <c r="AL2358"/>
    </row>
    <row r="2359" spans="1:38" ht="15.75" customHeight="1" outlineLevel="2" x14ac:dyDescent="0.2">
      <c r="A2359" s="1067">
        <v>1</v>
      </c>
      <c r="B2359" s="1067" t="s">
        <v>68</v>
      </c>
      <c r="C2359" s="1067" t="s">
        <v>498</v>
      </c>
      <c r="D2359" s="1067" t="s">
        <v>498</v>
      </c>
      <c r="E2359" s="1068" t="s">
        <v>70</v>
      </c>
      <c r="F2359" s="1067"/>
      <c r="G2359" s="1069" t="str">
        <f t="array" ref="G2359">IF(B2359="insumo",_xlfn.XLOOKUP($D2359,Insumos!$B$1:$B$996,Insumos!$D$1:$D$996),"")</f>
        <v/>
      </c>
      <c r="H2359" s="1069">
        <v>5.1029166666666699</v>
      </c>
      <c r="I2359" s="1070" t="e">
        <v>#REF!</v>
      </c>
      <c r="J2359" s="1070" t="e">
        <v>#REF!</v>
      </c>
      <c r="K2359" s="1070"/>
      <c r="L2359"/>
      <c r="M2359"/>
      <c r="N2359"/>
      <c r="O2359"/>
      <c r="P2359"/>
      <c r="Q2359"/>
      <c r="R2359"/>
      <c r="S2359"/>
      <c r="T2359"/>
      <c r="U2359"/>
      <c r="V2359"/>
      <c r="W2359"/>
      <c r="X2359"/>
      <c r="Y2359"/>
      <c r="Z2359"/>
      <c r="AA2359"/>
      <c r="AB2359"/>
      <c r="AC2359"/>
      <c r="AD2359"/>
      <c r="AE2359"/>
      <c r="AF2359"/>
      <c r="AG2359"/>
      <c r="AH2359"/>
      <c r="AI2359"/>
      <c r="AJ2359"/>
      <c r="AK2359"/>
      <c r="AL2359"/>
    </row>
    <row r="2360" spans="1:38" ht="15.75" customHeight="1" outlineLevel="3" x14ac:dyDescent="0.2">
      <c r="A2360" s="10">
        <v>62</v>
      </c>
      <c r="B2360" s="10" t="s">
        <v>71</v>
      </c>
      <c r="C2360" s="10" t="s">
        <v>498</v>
      </c>
      <c r="D2360" s="10" t="s">
        <v>160</v>
      </c>
      <c r="E2360" s="11" t="str">
        <f t="array" ref="E2360">_xlfn.XLOOKUP(D2360,Insumos!B:B,Insumos!C:$C)</f>
        <v>KG</v>
      </c>
      <c r="F2360" s="14">
        <v>0.6</v>
      </c>
      <c r="G2360" s="92">
        <f t="array" ref="G2360">IF(B2360="insumo",_xlfn.XLOOKUP($D2360,Insumos!$B$1:$B$996,Insumos!$D$1:$D$996),"")</f>
        <v>0.76</v>
      </c>
      <c r="H2360" s="92">
        <v>0.45600000000000002</v>
      </c>
      <c r="I2360" s="13" t="e">
        <v>#REF!</v>
      </c>
      <c r="J2360" s="13" t="e">
        <v>#REF!</v>
      </c>
      <c r="K2360" s="13"/>
      <c r="L2360"/>
      <c r="M2360"/>
      <c r="N2360"/>
      <c r="O2360"/>
      <c r="P2360"/>
      <c r="Q2360"/>
      <c r="R2360"/>
      <c r="S2360"/>
      <c r="T2360"/>
      <c r="U2360"/>
      <c r="V2360"/>
      <c r="W2360"/>
      <c r="X2360"/>
      <c r="Y2360"/>
      <c r="Z2360"/>
      <c r="AA2360"/>
      <c r="AB2360"/>
      <c r="AC2360"/>
      <c r="AD2360"/>
      <c r="AE2360"/>
      <c r="AF2360"/>
      <c r="AG2360"/>
      <c r="AH2360"/>
      <c r="AI2360"/>
      <c r="AJ2360"/>
      <c r="AK2360"/>
      <c r="AL2360"/>
    </row>
    <row r="2361" spans="1:38" ht="15.75" customHeight="1" outlineLevel="3" x14ac:dyDescent="0.2">
      <c r="A2361" s="10">
        <v>2</v>
      </c>
      <c r="B2361" s="10" t="s">
        <v>71</v>
      </c>
      <c r="C2361" s="10" t="s">
        <v>498</v>
      </c>
      <c r="D2361" s="10" t="s">
        <v>499</v>
      </c>
      <c r="E2361" s="11" t="str">
        <f t="array" ref="E2361">_xlfn.XLOOKUP(D2361,Insumos!B:B,Insumos!C:$C)</f>
        <v>UN</v>
      </c>
      <c r="F2361" s="14">
        <v>0.05</v>
      </c>
      <c r="G2361" s="92">
        <f t="array" ref="G2361">IF(B2361="insumo",_xlfn.XLOOKUP($D2361,Insumos!$B$1:$B$996,Insumos!$D$1:$D$996),"")</f>
        <v>3.13</v>
      </c>
      <c r="H2361" s="92">
        <v>0.1565</v>
      </c>
      <c r="I2361" s="13" t="e">
        <v>#REF!</v>
      </c>
      <c r="J2361" s="13" t="e">
        <v>#REF!</v>
      </c>
      <c r="K2361" s="13"/>
      <c r="L2361"/>
      <c r="M2361"/>
      <c r="N2361"/>
      <c r="O2361"/>
      <c r="P2361"/>
      <c r="Q2361"/>
      <c r="R2361"/>
      <c r="S2361"/>
      <c r="T2361"/>
      <c r="U2361"/>
      <c r="V2361"/>
      <c r="W2361"/>
      <c r="X2361"/>
      <c r="Y2361"/>
      <c r="Z2361"/>
      <c r="AA2361"/>
      <c r="AB2361"/>
      <c r="AC2361"/>
      <c r="AD2361"/>
      <c r="AE2361"/>
      <c r="AF2361"/>
      <c r="AG2361"/>
      <c r="AH2361"/>
      <c r="AI2361"/>
      <c r="AJ2361"/>
      <c r="AK2361"/>
      <c r="AL2361"/>
    </row>
    <row r="2362" spans="1:38" ht="15.75" customHeight="1" outlineLevel="3" x14ac:dyDescent="0.2">
      <c r="A2362" s="10">
        <v>2</v>
      </c>
      <c r="B2362" s="10" t="s">
        <v>71</v>
      </c>
      <c r="C2362" s="10" t="s">
        <v>498</v>
      </c>
      <c r="D2362" s="10" t="s">
        <v>500</v>
      </c>
      <c r="E2362" s="11" t="str">
        <f t="array" ref="E2362">_xlfn.XLOOKUP(D2362,Insumos!B:B,Insumos!C:$C)</f>
        <v>KG</v>
      </c>
      <c r="F2362" s="14">
        <v>0.3</v>
      </c>
      <c r="G2362" s="92">
        <f t="array" ref="G2362">IF(B2362="insumo",_xlfn.XLOOKUP($D2362,Insumos!$B$1:$B$996,Insumos!$D$1:$D$996),"")</f>
        <v>3.49</v>
      </c>
      <c r="H2362" s="92">
        <v>1.0469999999999999</v>
      </c>
      <c r="I2362" s="13" t="e">
        <v>#REF!</v>
      </c>
      <c r="J2362" s="13" t="e">
        <v>#REF!</v>
      </c>
      <c r="K2362" s="13"/>
      <c r="L2362"/>
      <c r="M2362"/>
      <c r="N2362"/>
      <c r="O2362"/>
      <c r="P2362"/>
      <c r="Q2362"/>
      <c r="R2362"/>
      <c r="S2362"/>
      <c r="T2362"/>
      <c r="U2362"/>
      <c r="V2362"/>
      <c r="W2362"/>
      <c r="X2362"/>
      <c r="Y2362"/>
      <c r="Z2362"/>
      <c r="AA2362"/>
      <c r="AB2362"/>
      <c r="AC2362"/>
      <c r="AD2362"/>
      <c r="AE2362"/>
      <c r="AF2362"/>
      <c r="AG2362"/>
      <c r="AH2362"/>
      <c r="AI2362"/>
      <c r="AJ2362"/>
      <c r="AK2362"/>
      <c r="AL2362"/>
    </row>
    <row r="2363" spans="1:38" ht="15.75" customHeight="1" outlineLevel="3" x14ac:dyDescent="0.2">
      <c r="A2363" s="10">
        <v>2</v>
      </c>
      <c r="B2363" s="10" t="s">
        <v>71</v>
      </c>
      <c r="C2363" s="10" t="s">
        <v>498</v>
      </c>
      <c r="D2363" s="10" t="s">
        <v>501</v>
      </c>
      <c r="E2363" s="11" t="str">
        <f t="array" ref="E2363">_xlfn.XLOOKUP(D2363,Insumos!B:B,Insumos!C:$C)</f>
        <v>KG</v>
      </c>
      <c r="F2363" s="14">
        <v>0.15</v>
      </c>
      <c r="G2363" s="92">
        <f t="array" ref="G2363">IF(B2363="insumo",_xlfn.XLOOKUP($D2363,Insumos!$B$1:$B$996,Insumos!$D$1:$D$996),"")</f>
        <v>22.95611111111111</v>
      </c>
      <c r="H2363" s="92">
        <v>3.4434166666666699</v>
      </c>
      <c r="I2363" s="13" t="e">
        <v>#REF!</v>
      </c>
      <c r="J2363" s="13" t="e">
        <v>#REF!</v>
      </c>
      <c r="K2363" s="13"/>
      <c r="L2363"/>
      <c r="M2363"/>
      <c r="N2363"/>
      <c r="O2363"/>
      <c r="P2363"/>
      <c r="Q2363"/>
      <c r="R2363"/>
      <c r="S2363"/>
      <c r="T2363"/>
      <c r="U2363"/>
      <c r="V2363"/>
      <c r="W2363"/>
      <c r="X2363"/>
      <c r="Y2363"/>
      <c r="Z2363"/>
      <c r="AA2363"/>
      <c r="AB2363"/>
      <c r="AC2363"/>
      <c r="AD2363"/>
      <c r="AE2363"/>
      <c r="AF2363"/>
      <c r="AG2363"/>
      <c r="AH2363"/>
      <c r="AI2363"/>
      <c r="AJ2363"/>
      <c r="AK2363"/>
      <c r="AL2363"/>
    </row>
    <row r="2364" spans="1:38" ht="15.75" customHeight="1" outlineLevel="2" x14ac:dyDescent="0.2">
      <c r="A2364" s="1067">
        <v>1</v>
      </c>
      <c r="B2364" s="1067" t="s">
        <v>68</v>
      </c>
      <c r="C2364" s="1067" t="s">
        <v>502</v>
      </c>
      <c r="D2364" s="1067" t="s">
        <v>502</v>
      </c>
      <c r="E2364" s="1068" t="s">
        <v>70</v>
      </c>
      <c r="F2364" s="1067"/>
      <c r="G2364" s="1069" t="str">
        <f t="array" ref="G2364">IF(B2364="insumo",_xlfn.XLOOKUP($D2364,Insumos!$B$1:$B$996,Insumos!$D$1:$D$996),"")</f>
        <v/>
      </c>
      <c r="H2364" s="1069">
        <v>3.1560233333333301</v>
      </c>
      <c r="I2364" s="1070">
        <v>0</v>
      </c>
      <c r="J2364" s="1070">
        <v>0</v>
      </c>
      <c r="K2364" s="1070"/>
      <c r="L2364"/>
      <c r="M2364"/>
      <c r="N2364"/>
      <c r="O2364"/>
      <c r="P2364"/>
      <c r="Q2364"/>
      <c r="R2364"/>
      <c r="S2364"/>
      <c r="T2364"/>
      <c r="U2364"/>
      <c r="V2364"/>
      <c r="W2364"/>
      <c r="X2364"/>
      <c r="Y2364"/>
      <c r="Z2364"/>
      <c r="AA2364"/>
      <c r="AB2364"/>
      <c r="AC2364"/>
      <c r="AD2364"/>
      <c r="AE2364"/>
      <c r="AF2364"/>
      <c r="AG2364"/>
      <c r="AH2364"/>
      <c r="AI2364"/>
      <c r="AJ2364"/>
      <c r="AK2364"/>
      <c r="AL2364"/>
    </row>
    <row r="2365" spans="1:38" ht="15.75" customHeight="1" outlineLevel="3" x14ac:dyDescent="0.2">
      <c r="A2365" s="10">
        <v>32</v>
      </c>
      <c r="B2365" s="10" t="s">
        <v>71</v>
      </c>
      <c r="C2365" s="10" t="s">
        <v>502</v>
      </c>
      <c r="D2365" s="10" t="s">
        <v>445</v>
      </c>
      <c r="E2365" s="11" t="str">
        <f t="array" ref="E2365">_xlfn.XLOOKUP(D2365,Insumos!B:B,Insumos!C:$C)</f>
        <v>M3</v>
      </c>
      <c r="F2365" s="14">
        <v>5.5000000000000005E-3</v>
      </c>
      <c r="G2365" s="92">
        <f t="array" ref="G2365">IF(B2365="insumo",_xlfn.XLOOKUP($D2365,Insumos!$B$1:$B$996,Insumos!$D$1:$D$996),"")</f>
        <v>550</v>
      </c>
      <c r="H2365" s="92">
        <v>3.0249999999999999</v>
      </c>
      <c r="I2365" s="13">
        <v>0</v>
      </c>
      <c r="J2365" s="13">
        <v>0</v>
      </c>
      <c r="K2365" s="13"/>
      <c r="L2365"/>
      <c r="M2365"/>
      <c r="N2365"/>
      <c r="O2365"/>
      <c r="P2365"/>
      <c r="Q2365"/>
      <c r="R2365"/>
      <c r="S2365"/>
      <c r="T2365"/>
      <c r="U2365"/>
      <c r="V2365"/>
      <c r="W2365"/>
      <c r="X2365"/>
      <c r="Y2365"/>
      <c r="Z2365"/>
      <c r="AA2365"/>
      <c r="AB2365"/>
      <c r="AC2365"/>
      <c r="AD2365"/>
      <c r="AE2365"/>
      <c r="AF2365"/>
      <c r="AG2365"/>
      <c r="AH2365"/>
      <c r="AI2365"/>
      <c r="AJ2365"/>
      <c r="AK2365"/>
      <c r="AL2365"/>
    </row>
    <row r="2366" spans="1:38" ht="15.75" customHeight="1" outlineLevel="3" x14ac:dyDescent="0.2">
      <c r="A2366" s="10">
        <v>41</v>
      </c>
      <c r="B2366" s="10" t="s">
        <v>71</v>
      </c>
      <c r="C2366" s="10" t="s">
        <v>502</v>
      </c>
      <c r="D2366" s="10" t="s">
        <v>503</v>
      </c>
      <c r="E2366" s="11" t="str">
        <f t="array" ref="E2366">_xlfn.XLOOKUP(D2366,Insumos!B:B,Insumos!C:$C)</f>
        <v>L</v>
      </c>
      <c r="F2366" s="14">
        <v>3.5000000000000005E-3</v>
      </c>
      <c r="G2366" s="92">
        <f t="array" ref="G2366">IF(B2366="insumo",_xlfn.XLOOKUP($D2366,Insumos!$B$1:$B$996,Insumos!$D$1:$D$996),"")</f>
        <v>19.34</v>
      </c>
      <c r="H2366" s="92">
        <v>6.769E-2</v>
      </c>
      <c r="I2366" s="13">
        <v>0</v>
      </c>
      <c r="J2366" s="13">
        <v>0</v>
      </c>
      <c r="K2366" s="13"/>
      <c r="L2366"/>
      <c r="M2366"/>
      <c r="N2366"/>
      <c r="O2366"/>
      <c r="P2366"/>
      <c r="Q2366"/>
      <c r="R2366"/>
      <c r="S2366"/>
      <c r="T2366"/>
      <c r="U2366"/>
      <c r="V2366"/>
      <c r="W2366"/>
      <c r="X2366"/>
      <c r="Y2366"/>
      <c r="Z2366"/>
      <c r="AA2366"/>
      <c r="AB2366"/>
      <c r="AC2366"/>
      <c r="AD2366"/>
      <c r="AE2366"/>
      <c r="AF2366"/>
      <c r="AG2366"/>
      <c r="AH2366"/>
      <c r="AI2366"/>
      <c r="AJ2366"/>
      <c r="AK2366"/>
      <c r="AL2366"/>
    </row>
    <row r="2367" spans="1:38" ht="15.75" customHeight="1" outlineLevel="3" x14ac:dyDescent="0.2">
      <c r="A2367" s="10">
        <v>62</v>
      </c>
      <c r="B2367" s="10" t="s">
        <v>71</v>
      </c>
      <c r="C2367" s="10" t="s">
        <v>502</v>
      </c>
      <c r="D2367" s="10" t="s">
        <v>160</v>
      </c>
      <c r="E2367" s="11" t="str">
        <f t="array" ref="E2367">_xlfn.XLOOKUP(D2367,Insumos!B:B,Insumos!C:$C)</f>
        <v>KG</v>
      </c>
      <c r="F2367" s="14">
        <v>8.3333333333333343E-2</v>
      </c>
      <c r="G2367" s="92">
        <f t="array" ref="G2367">IF(B2367="insumo",_xlfn.XLOOKUP($D2367,Insumos!$B$1:$B$996,Insumos!$D$1:$D$996),"")</f>
        <v>0.76</v>
      </c>
      <c r="H2367" s="92">
        <v>6.3333333333333297E-2</v>
      </c>
      <c r="I2367" s="13">
        <v>0</v>
      </c>
      <c r="J2367" s="13">
        <v>0</v>
      </c>
      <c r="K2367" s="13"/>
      <c r="L2367"/>
      <c r="M2367"/>
      <c r="N2367"/>
      <c r="O2367"/>
      <c r="P2367"/>
      <c r="Q2367"/>
      <c r="R2367"/>
      <c r="S2367"/>
      <c r="T2367"/>
      <c r="U2367"/>
      <c r="V2367"/>
      <c r="W2367"/>
      <c r="X2367"/>
      <c r="Y2367"/>
      <c r="Z2367"/>
      <c r="AA2367"/>
      <c r="AB2367"/>
      <c r="AC2367"/>
      <c r="AD2367"/>
      <c r="AE2367"/>
      <c r="AF2367"/>
      <c r="AG2367"/>
      <c r="AH2367"/>
      <c r="AI2367"/>
      <c r="AJ2367"/>
      <c r="AK2367"/>
      <c r="AL2367"/>
    </row>
    <row r="2368" spans="1:38" ht="15.75" customHeight="1" outlineLevel="1" x14ac:dyDescent="0.2">
      <c r="A2368" s="1090">
        <v>1</v>
      </c>
      <c r="B2368" s="1090" t="s">
        <v>1228</v>
      </c>
      <c r="C2368" s="1090" t="s">
        <v>502</v>
      </c>
      <c r="D2368" s="1090" t="s">
        <v>1398</v>
      </c>
      <c r="E2368" s="1091"/>
      <c r="F2368" s="1092"/>
      <c r="G2368" s="1091"/>
      <c r="H2368" s="1091">
        <v>0</v>
      </c>
      <c r="I2368" s="1092">
        <v>0</v>
      </c>
      <c r="J2368" s="1092">
        <v>0</v>
      </c>
      <c r="K2368" s="1092"/>
      <c r="L2368"/>
      <c r="M2368"/>
      <c r="N2368"/>
      <c r="O2368"/>
      <c r="P2368"/>
      <c r="Q2368"/>
      <c r="R2368"/>
      <c r="S2368"/>
      <c r="T2368"/>
      <c r="U2368"/>
      <c r="V2368"/>
      <c r="W2368"/>
      <c r="X2368"/>
      <c r="Y2368"/>
      <c r="Z2368"/>
      <c r="AA2368"/>
      <c r="AB2368"/>
      <c r="AC2368"/>
      <c r="AD2368"/>
      <c r="AE2368"/>
      <c r="AF2368"/>
      <c r="AG2368"/>
      <c r="AH2368"/>
      <c r="AI2368"/>
      <c r="AJ2368"/>
      <c r="AK2368"/>
      <c r="AL2368"/>
    </row>
    <row r="2369" spans="1:38" ht="15.75" customHeight="1" outlineLevel="2" x14ac:dyDescent="0.2">
      <c r="A2369" s="1067">
        <v>1</v>
      </c>
      <c r="B2369" s="1067" t="s">
        <v>68</v>
      </c>
      <c r="C2369" s="1067" t="s">
        <v>504</v>
      </c>
      <c r="D2369" s="1067" t="s">
        <v>504</v>
      </c>
      <c r="E2369" s="1068" t="s">
        <v>70</v>
      </c>
      <c r="F2369" s="1067"/>
      <c r="G2369" s="1069" t="str">
        <f t="array" ref="G2369">IF(B2369="insumo",_xlfn.XLOOKUP($D2369,Insumos!$B$1:$B$996,Insumos!$D$1:$D$996),"")</f>
        <v/>
      </c>
      <c r="H2369" s="1069">
        <v>61.512099999999997</v>
      </c>
      <c r="I2369" s="1070">
        <v>0</v>
      </c>
      <c r="J2369" s="1070">
        <v>0</v>
      </c>
      <c r="K2369" s="1070"/>
      <c r="L2369"/>
      <c r="M2369"/>
      <c r="N2369"/>
      <c r="O2369"/>
      <c r="P2369"/>
      <c r="Q2369"/>
      <c r="R2369"/>
      <c r="S2369"/>
      <c r="T2369"/>
      <c r="U2369"/>
      <c r="V2369"/>
      <c r="W2369"/>
      <c r="X2369"/>
      <c r="Y2369"/>
      <c r="Z2369"/>
      <c r="AA2369"/>
      <c r="AB2369"/>
      <c r="AC2369"/>
      <c r="AD2369"/>
      <c r="AE2369"/>
      <c r="AF2369"/>
      <c r="AG2369"/>
      <c r="AH2369"/>
      <c r="AI2369"/>
      <c r="AJ2369"/>
      <c r="AK2369"/>
      <c r="AL2369"/>
    </row>
    <row r="2370" spans="1:38" ht="15.75" customHeight="1" outlineLevel="3" x14ac:dyDescent="0.2">
      <c r="A2370" s="10">
        <v>6</v>
      </c>
      <c r="B2370" s="10" t="s">
        <v>71</v>
      </c>
      <c r="C2370" s="10" t="s">
        <v>504</v>
      </c>
      <c r="D2370" s="10" t="s">
        <v>505</v>
      </c>
      <c r="E2370" s="11" t="str">
        <f t="array" ref="E2370">_xlfn.XLOOKUP(D2370,Insumos!B:B,Insumos!C:$C)</f>
        <v>M2</v>
      </c>
      <c r="F2370" s="14">
        <v>1.1000000000000001</v>
      </c>
      <c r="G2370" s="92">
        <f t="array" ref="G2370">IF(B2370="insumo",_xlfn.XLOOKUP($D2370,Insumos!$B$1:$B$996,Insumos!$D$1:$D$996),"")</f>
        <v>47.23</v>
      </c>
      <c r="H2370" s="92">
        <v>51.953000000000003</v>
      </c>
      <c r="I2370" s="13">
        <v>0</v>
      </c>
      <c r="J2370" s="13">
        <v>0</v>
      </c>
      <c r="K2370" s="13"/>
      <c r="L2370"/>
      <c r="M2370"/>
      <c r="N2370"/>
      <c r="O2370"/>
      <c r="P2370"/>
      <c r="Q2370"/>
      <c r="R2370"/>
      <c r="S2370"/>
      <c r="T2370"/>
      <c r="U2370"/>
      <c r="V2370"/>
      <c r="W2370"/>
      <c r="X2370"/>
      <c r="Y2370"/>
      <c r="Z2370"/>
      <c r="AA2370"/>
      <c r="AB2370"/>
      <c r="AC2370"/>
      <c r="AD2370"/>
      <c r="AE2370"/>
      <c r="AF2370"/>
      <c r="AG2370"/>
      <c r="AH2370"/>
      <c r="AI2370"/>
      <c r="AJ2370"/>
      <c r="AK2370"/>
      <c r="AL2370"/>
    </row>
    <row r="2371" spans="1:38" ht="15.75" customHeight="1" outlineLevel="3" x14ac:dyDescent="0.2">
      <c r="A2371" s="10">
        <v>191</v>
      </c>
      <c r="B2371" s="10" t="s">
        <v>71</v>
      </c>
      <c r="C2371" s="10" t="s">
        <v>504</v>
      </c>
      <c r="D2371" s="10" t="s">
        <v>481</v>
      </c>
      <c r="E2371" s="11" t="str">
        <f t="array" ref="E2371">_xlfn.XLOOKUP(D2371,Insumos!B:B,Insumos!C:$C)</f>
        <v>KG</v>
      </c>
      <c r="F2371" s="14">
        <v>8.8000000000000007</v>
      </c>
      <c r="G2371" s="92">
        <f t="array" ref="G2371">IF(B2371="insumo",_xlfn.XLOOKUP($D2371,Insumos!$B$1:$B$996,Insumos!$D$1:$D$996),"")</f>
        <v>1.0645</v>
      </c>
      <c r="H2371" s="92">
        <v>9.3675999999999995</v>
      </c>
      <c r="I2371" s="13">
        <v>0</v>
      </c>
      <c r="J2371" s="13">
        <v>0</v>
      </c>
      <c r="K2371" s="13"/>
      <c r="L2371"/>
      <c r="M2371"/>
      <c r="N2371"/>
      <c r="O2371"/>
      <c r="P2371"/>
      <c r="Q2371"/>
      <c r="R2371"/>
      <c r="S2371"/>
      <c r="T2371"/>
      <c r="U2371"/>
      <c r="V2371"/>
      <c r="W2371"/>
      <c r="X2371"/>
      <c r="Y2371"/>
      <c r="Z2371"/>
      <c r="AA2371"/>
      <c r="AB2371"/>
      <c r="AC2371"/>
      <c r="AD2371"/>
      <c r="AE2371"/>
      <c r="AF2371"/>
      <c r="AG2371"/>
      <c r="AH2371"/>
      <c r="AI2371"/>
      <c r="AJ2371"/>
      <c r="AK2371"/>
      <c r="AL2371"/>
    </row>
    <row r="2372" spans="1:38" ht="15.75" customHeight="1" outlineLevel="3" x14ac:dyDescent="0.2">
      <c r="A2372" s="10">
        <v>142</v>
      </c>
      <c r="B2372" s="10" t="s">
        <v>71</v>
      </c>
      <c r="C2372" s="10" t="s">
        <v>504</v>
      </c>
      <c r="D2372" s="10" t="s">
        <v>506</v>
      </c>
      <c r="E2372" s="11" t="str">
        <f t="array" ref="E2372">_xlfn.XLOOKUP(D2372,Insumos!B:B,Insumos!C:$C)</f>
        <v>UN</v>
      </c>
      <c r="F2372" s="14">
        <v>1</v>
      </c>
      <c r="G2372" s="92">
        <f t="array" ref="G2372">IF(B2372="insumo",_xlfn.XLOOKUP($D2372,Insumos!$B$1:$B$996,Insumos!$D$1:$D$996),"")</f>
        <v>0.08</v>
      </c>
      <c r="H2372" s="92">
        <v>0.08</v>
      </c>
      <c r="I2372" s="13">
        <v>0</v>
      </c>
      <c r="J2372" s="13">
        <v>0</v>
      </c>
      <c r="K2372" s="13"/>
      <c r="L2372"/>
      <c r="M2372"/>
      <c r="N2372"/>
      <c r="O2372"/>
      <c r="P2372"/>
      <c r="Q2372"/>
      <c r="R2372"/>
      <c r="S2372"/>
      <c r="T2372"/>
      <c r="U2372"/>
      <c r="V2372"/>
      <c r="W2372"/>
      <c r="X2372"/>
      <c r="Y2372"/>
      <c r="Z2372"/>
      <c r="AA2372"/>
      <c r="AB2372"/>
      <c r="AC2372"/>
      <c r="AD2372"/>
      <c r="AE2372"/>
      <c r="AF2372"/>
      <c r="AG2372"/>
      <c r="AH2372"/>
      <c r="AI2372"/>
      <c r="AJ2372"/>
      <c r="AK2372"/>
      <c r="AL2372"/>
    </row>
    <row r="2373" spans="1:38" ht="15.75" customHeight="1" outlineLevel="3" x14ac:dyDescent="0.2">
      <c r="A2373" s="10">
        <v>101</v>
      </c>
      <c r="B2373" s="10" t="s">
        <v>71</v>
      </c>
      <c r="C2373" s="10" t="s">
        <v>504</v>
      </c>
      <c r="D2373" s="10" t="s">
        <v>507</v>
      </c>
      <c r="E2373" s="11" t="str">
        <f t="array" ref="E2373">_xlfn.XLOOKUP(D2373,Insumos!B:B,Insumos!C:$C)</f>
        <v>KG</v>
      </c>
      <c r="F2373" s="14">
        <v>0.01</v>
      </c>
      <c r="G2373" s="92">
        <f t="array" ref="G2373">IF(B2373="insumo",_xlfn.XLOOKUP($D2373,Insumos!$B$1:$B$996,Insumos!$D$1:$D$996),"")</f>
        <v>11.15</v>
      </c>
      <c r="H2373" s="92">
        <v>0.1115</v>
      </c>
      <c r="I2373" s="13">
        <v>0</v>
      </c>
      <c r="J2373" s="13">
        <v>0</v>
      </c>
      <c r="K2373" s="13"/>
      <c r="L2373"/>
      <c r="M2373"/>
      <c r="N2373"/>
      <c r="O2373"/>
      <c r="P2373"/>
      <c r="Q2373"/>
      <c r="R2373"/>
      <c r="S2373"/>
      <c r="T2373"/>
      <c r="U2373"/>
      <c r="V2373"/>
      <c r="W2373"/>
      <c r="X2373"/>
      <c r="Y2373"/>
      <c r="Z2373"/>
      <c r="AA2373"/>
      <c r="AB2373"/>
      <c r="AC2373"/>
      <c r="AD2373"/>
      <c r="AE2373"/>
      <c r="AF2373"/>
      <c r="AG2373"/>
      <c r="AH2373"/>
      <c r="AI2373"/>
      <c r="AJ2373"/>
      <c r="AK2373"/>
      <c r="AL2373"/>
    </row>
    <row r="2374" spans="1:38" ht="12.75" outlineLevel="2" x14ac:dyDescent="0.2">
      <c r="A2374" s="1071">
        <v>1</v>
      </c>
      <c r="B2374" s="1071" t="s">
        <v>68</v>
      </c>
      <c r="C2374" s="1071" t="s">
        <v>1797</v>
      </c>
      <c r="D2374" s="1071" t="s">
        <v>1797</v>
      </c>
      <c r="E2374" s="1072" t="s">
        <v>70</v>
      </c>
      <c r="F2374" s="1071"/>
      <c r="G2374" s="1073" t="str">
        <f t="array" ref="G2374">IF(B2374="insumo",_xlfn.XLOOKUP($D2374,Insumos!$B$1:$B$996,Insumos!$D$1:$D$996),"")</f>
        <v/>
      </c>
      <c r="H2374" s="1073">
        <v>79.119</v>
      </c>
      <c r="I2374" s="1074" t="e">
        <v>#REF!</v>
      </c>
      <c r="J2374" s="1074" t="e">
        <v>#REF!</v>
      </c>
      <c r="K2374" s="1074"/>
      <c r="L2374"/>
      <c r="M2374"/>
      <c r="N2374"/>
      <c r="O2374"/>
      <c r="P2374"/>
      <c r="Q2374"/>
      <c r="R2374"/>
      <c r="S2374"/>
      <c r="T2374"/>
      <c r="U2374"/>
      <c r="V2374"/>
      <c r="W2374"/>
      <c r="X2374"/>
      <c r="Y2374"/>
      <c r="Z2374"/>
      <c r="AA2374"/>
      <c r="AB2374"/>
      <c r="AC2374"/>
      <c r="AD2374"/>
      <c r="AE2374"/>
      <c r="AF2374"/>
      <c r="AG2374"/>
      <c r="AH2374"/>
      <c r="AI2374"/>
      <c r="AJ2374"/>
      <c r="AK2374"/>
      <c r="AL2374"/>
    </row>
    <row r="2375" spans="1:38" ht="12.75" outlineLevel="3" x14ac:dyDescent="0.2">
      <c r="A2375" s="82">
        <v>6</v>
      </c>
      <c r="B2375" s="82" t="s">
        <v>71</v>
      </c>
      <c r="C2375" s="82" t="s">
        <v>1797</v>
      </c>
      <c r="D2375" s="82" t="s">
        <v>1798</v>
      </c>
      <c r="E2375" s="11" t="str">
        <f t="array" ref="E2375">_xlfn.XLOOKUP(D2375,Insumos!B:B,Insumos!C:$C)</f>
        <v>M2</v>
      </c>
      <c r="F2375" s="88">
        <v>1.1000000000000001</v>
      </c>
      <c r="G2375" s="92">
        <f t="array" ref="G2375">IF(B2375="insumo",_xlfn.XLOOKUP($D2375,Insumos!$B$1:$B$996,Insumos!$D$1:$D$996),"")</f>
        <v>63.59</v>
      </c>
      <c r="H2375" s="92">
        <v>69.948999999999998</v>
      </c>
      <c r="I2375" s="84" t="e">
        <v>#REF!</v>
      </c>
      <c r="J2375" s="84" t="e">
        <v>#REF!</v>
      </c>
      <c r="K2375" s="84"/>
      <c r="L2375"/>
      <c r="M2375"/>
      <c r="N2375"/>
      <c r="O2375"/>
      <c r="P2375"/>
      <c r="Q2375"/>
      <c r="R2375"/>
      <c r="S2375"/>
      <c r="T2375"/>
      <c r="U2375"/>
      <c r="V2375"/>
      <c r="W2375"/>
      <c r="X2375"/>
      <c r="Y2375"/>
      <c r="Z2375"/>
      <c r="AA2375"/>
      <c r="AB2375"/>
      <c r="AC2375"/>
      <c r="AD2375"/>
      <c r="AE2375"/>
      <c r="AF2375"/>
      <c r="AG2375"/>
      <c r="AH2375"/>
      <c r="AI2375"/>
      <c r="AJ2375"/>
      <c r="AK2375"/>
      <c r="AL2375"/>
    </row>
    <row r="2376" spans="1:38" ht="12.75" outlineLevel="3" x14ac:dyDescent="0.2">
      <c r="A2376" s="82">
        <v>16</v>
      </c>
      <c r="B2376" s="82" t="s">
        <v>71</v>
      </c>
      <c r="C2376" s="82" t="s">
        <v>1797</v>
      </c>
      <c r="D2376" s="82" t="s">
        <v>658</v>
      </c>
      <c r="E2376" s="11" t="str">
        <f t="array" ref="E2376">_xlfn.XLOOKUP(D2376,Insumos!B:B,Insumos!C:$C)</f>
        <v>KG</v>
      </c>
      <c r="F2376" s="88">
        <v>8.8000000000000007</v>
      </c>
      <c r="G2376" s="92">
        <f t="array" ref="G2376">IF(B2376="insumo",_xlfn.XLOOKUP($D2376,Insumos!$B$1:$B$996,Insumos!$D$1:$D$996),"")</f>
        <v>0.95</v>
      </c>
      <c r="H2376" s="92">
        <v>8.36</v>
      </c>
      <c r="I2376" s="84" t="e">
        <v>#REF!</v>
      </c>
      <c r="J2376" s="84" t="e">
        <v>#REF!</v>
      </c>
      <c r="K2376" s="84"/>
      <c r="L2376"/>
      <c r="M2376"/>
      <c r="N2376"/>
      <c r="O2376"/>
      <c r="P2376"/>
      <c r="Q2376"/>
      <c r="R2376"/>
      <c r="S2376"/>
      <c r="T2376"/>
      <c r="U2376"/>
      <c r="V2376"/>
      <c r="W2376"/>
      <c r="X2376"/>
      <c r="Y2376"/>
      <c r="Z2376"/>
      <c r="AA2376"/>
      <c r="AB2376"/>
      <c r="AC2376"/>
      <c r="AD2376"/>
      <c r="AE2376"/>
      <c r="AF2376"/>
      <c r="AG2376"/>
      <c r="AH2376"/>
      <c r="AI2376"/>
      <c r="AJ2376"/>
      <c r="AK2376"/>
      <c r="AL2376"/>
    </row>
    <row r="2377" spans="1:38" ht="12.75" outlineLevel="3" x14ac:dyDescent="0.2">
      <c r="A2377" s="82">
        <v>17</v>
      </c>
      <c r="B2377" s="82" t="s">
        <v>71</v>
      </c>
      <c r="C2377" s="82" t="s">
        <v>1797</v>
      </c>
      <c r="D2377" s="82" t="s">
        <v>521</v>
      </c>
      <c r="E2377" s="11" t="str">
        <f t="array" ref="E2377">_xlfn.XLOOKUP(D2377,Insumos!B:B,Insumos!C:$C)</f>
        <v>UN</v>
      </c>
      <c r="F2377" s="88">
        <v>1</v>
      </c>
      <c r="G2377" s="92">
        <f t="array" ref="G2377">IF(B2377="insumo",_xlfn.XLOOKUP($D2377,Insumos!$B$1:$B$996,Insumos!$D$1:$D$996),"")</f>
        <v>0.05</v>
      </c>
      <c r="H2377" s="92">
        <v>0.05</v>
      </c>
      <c r="I2377" s="84" t="e">
        <v>#REF!</v>
      </c>
      <c r="J2377" s="84" t="e">
        <v>#REF!</v>
      </c>
      <c r="K2377" s="84"/>
      <c r="L2377"/>
      <c r="M2377"/>
      <c r="N2377"/>
      <c r="O2377"/>
      <c r="P2377"/>
      <c r="Q2377"/>
      <c r="R2377"/>
      <c r="S2377"/>
      <c r="T2377"/>
      <c r="U2377"/>
      <c r="V2377"/>
      <c r="W2377"/>
      <c r="X2377"/>
      <c r="Y2377"/>
      <c r="Z2377"/>
      <c r="AA2377"/>
      <c r="AB2377"/>
      <c r="AC2377"/>
      <c r="AD2377"/>
      <c r="AE2377"/>
      <c r="AF2377"/>
      <c r="AG2377"/>
      <c r="AH2377"/>
      <c r="AI2377"/>
      <c r="AJ2377"/>
      <c r="AK2377"/>
      <c r="AL2377"/>
    </row>
    <row r="2378" spans="1:38" ht="12.75" outlineLevel="3" x14ac:dyDescent="0.2">
      <c r="A2378" s="82">
        <v>36</v>
      </c>
      <c r="B2378" s="82" t="s">
        <v>71</v>
      </c>
      <c r="C2378" s="82" t="s">
        <v>1797</v>
      </c>
      <c r="D2378" s="82" t="s">
        <v>2856</v>
      </c>
      <c r="E2378" s="11" t="str">
        <f t="array" ref="E2378">_xlfn.XLOOKUP(D2378,Insumos!B:B,Insumos!C:$C)</f>
        <v>KG</v>
      </c>
      <c r="F2378" s="88">
        <v>0.02</v>
      </c>
      <c r="G2378" s="92">
        <f t="array" ref="G2378">IF(B2378="insumo",_xlfn.XLOOKUP($D2378,Insumos!$B$1:$B$996,Insumos!$D$1:$D$996),"")</f>
        <v>38</v>
      </c>
      <c r="H2378" s="92">
        <v>0.76</v>
      </c>
      <c r="I2378" s="84" t="e">
        <v>#REF!</v>
      </c>
      <c r="J2378" s="84" t="e">
        <v>#REF!</v>
      </c>
      <c r="K2378" s="84"/>
      <c r="L2378"/>
      <c r="M2378"/>
      <c r="N2378"/>
      <c r="O2378"/>
      <c r="P2378"/>
      <c r="Q2378"/>
      <c r="R2378"/>
      <c r="S2378"/>
      <c r="T2378"/>
      <c r="U2378"/>
      <c r="V2378"/>
      <c r="W2378"/>
      <c r="X2378"/>
      <c r="Y2378"/>
      <c r="Z2378"/>
      <c r="AA2378"/>
      <c r="AB2378"/>
      <c r="AC2378"/>
      <c r="AD2378"/>
      <c r="AE2378"/>
      <c r="AF2378"/>
      <c r="AG2378"/>
      <c r="AH2378"/>
      <c r="AI2378"/>
      <c r="AJ2378"/>
      <c r="AK2378"/>
      <c r="AL2378"/>
    </row>
    <row r="2379" spans="1:38" ht="12.75" outlineLevel="2" x14ac:dyDescent="0.2">
      <c r="A2379" s="1071">
        <v>1</v>
      </c>
      <c r="B2379" s="1071" t="s">
        <v>68</v>
      </c>
      <c r="C2379" s="1071" t="s">
        <v>1832</v>
      </c>
      <c r="D2379" s="1071" t="s">
        <v>1832</v>
      </c>
      <c r="E2379" s="1072" t="s">
        <v>70</v>
      </c>
      <c r="F2379" s="1071"/>
      <c r="G2379" s="1073" t="str">
        <f t="array" ref="G2379">IF(B2379="insumo",_xlfn.XLOOKUP($D2379,Insumos!$B$1:$B$996,Insumos!$D$1:$D$996),"")</f>
        <v/>
      </c>
      <c r="H2379" s="1073">
        <v>89.938599999999994</v>
      </c>
      <c r="I2379" s="1074">
        <v>0</v>
      </c>
      <c r="J2379" s="1074">
        <v>0</v>
      </c>
      <c r="K2379" s="1074"/>
      <c r="L2379"/>
      <c r="M2379"/>
      <c r="N2379"/>
      <c r="O2379"/>
      <c r="P2379"/>
      <c r="Q2379"/>
      <c r="R2379"/>
      <c r="S2379"/>
      <c r="T2379"/>
      <c r="U2379"/>
      <c r="V2379"/>
      <c r="W2379"/>
      <c r="X2379"/>
      <c r="Y2379"/>
      <c r="Z2379"/>
      <c r="AA2379"/>
      <c r="AB2379"/>
      <c r="AC2379"/>
      <c r="AD2379"/>
      <c r="AE2379"/>
      <c r="AF2379"/>
      <c r="AG2379"/>
      <c r="AH2379"/>
      <c r="AI2379"/>
      <c r="AJ2379"/>
      <c r="AK2379"/>
      <c r="AL2379"/>
    </row>
    <row r="2380" spans="1:38" ht="12.75" outlineLevel="3" x14ac:dyDescent="0.2">
      <c r="A2380" s="82">
        <v>3</v>
      </c>
      <c r="B2380" s="82" t="s">
        <v>71</v>
      </c>
      <c r="C2380" s="89" t="s">
        <v>1832</v>
      </c>
      <c r="D2380" s="89" t="s">
        <v>1830</v>
      </c>
      <c r="E2380" s="11" t="str">
        <f t="array" ref="E2380">_xlfn.XLOOKUP(D2380,Insumos!B:B,Insumos!C:$C)</f>
        <v>M2</v>
      </c>
      <c r="F2380" s="86">
        <v>1.1000000000000001</v>
      </c>
      <c r="G2380" s="92">
        <f t="array" ref="G2380">IF(B2380="insumo",_xlfn.XLOOKUP($D2380,Insumos!$B$1:$B$996,Insumos!$D$1:$D$996),"")</f>
        <v>72.63</v>
      </c>
      <c r="H2380" s="92">
        <v>79.893000000000001</v>
      </c>
      <c r="I2380" s="84">
        <v>0</v>
      </c>
      <c r="J2380" s="84">
        <v>0</v>
      </c>
      <c r="K2380" s="84"/>
      <c r="L2380"/>
      <c r="M2380"/>
      <c r="N2380"/>
      <c r="O2380"/>
      <c r="P2380"/>
      <c r="Q2380"/>
      <c r="R2380"/>
      <c r="S2380"/>
      <c r="T2380"/>
      <c r="U2380"/>
      <c r="V2380"/>
      <c r="W2380"/>
      <c r="X2380"/>
      <c r="Y2380"/>
      <c r="Z2380"/>
      <c r="AA2380"/>
      <c r="AB2380"/>
      <c r="AC2380"/>
      <c r="AD2380"/>
      <c r="AE2380"/>
      <c r="AF2380"/>
      <c r="AG2380"/>
      <c r="AH2380"/>
      <c r="AI2380"/>
      <c r="AJ2380"/>
      <c r="AK2380"/>
      <c r="AL2380"/>
    </row>
    <row r="2381" spans="1:38" ht="12.75" outlineLevel="3" x14ac:dyDescent="0.2">
      <c r="A2381" s="82">
        <v>191</v>
      </c>
      <c r="B2381" s="82" t="s">
        <v>71</v>
      </c>
      <c r="C2381" s="82" t="s">
        <v>1832</v>
      </c>
      <c r="D2381" s="82" t="s">
        <v>481</v>
      </c>
      <c r="E2381" s="11" t="str">
        <f t="array" ref="E2381">_xlfn.XLOOKUP(D2381,Insumos!B:B,Insumos!C:$C)</f>
        <v>KG</v>
      </c>
      <c r="F2381" s="86">
        <v>8.8000000000000007</v>
      </c>
      <c r="G2381" s="92">
        <f t="array" ref="G2381">IF(B2381="insumo",_xlfn.XLOOKUP($D2381,Insumos!$B$1:$B$996,Insumos!$D$1:$D$996),"")</f>
        <v>1.0645</v>
      </c>
      <c r="H2381" s="92">
        <v>9.3675999999999995</v>
      </c>
      <c r="I2381" s="84">
        <v>0</v>
      </c>
      <c r="J2381" s="84">
        <v>0</v>
      </c>
      <c r="K2381" s="84"/>
      <c r="L2381"/>
      <c r="M2381"/>
      <c r="N2381"/>
      <c r="O2381"/>
      <c r="P2381"/>
      <c r="Q2381"/>
      <c r="R2381"/>
      <c r="S2381"/>
      <c r="T2381"/>
      <c r="U2381"/>
      <c r="V2381"/>
      <c r="W2381"/>
      <c r="X2381"/>
      <c r="Y2381"/>
      <c r="Z2381"/>
      <c r="AA2381"/>
      <c r="AB2381"/>
      <c r="AC2381"/>
      <c r="AD2381"/>
      <c r="AE2381"/>
      <c r="AF2381"/>
      <c r="AG2381"/>
      <c r="AH2381"/>
      <c r="AI2381"/>
      <c r="AJ2381"/>
      <c r="AK2381"/>
      <c r="AL2381"/>
    </row>
    <row r="2382" spans="1:38" ht="12.75" outlineLevel="3" x14ac:dyDescent="0.2">
      <c r="A2382" s="82">
        <v>142</v>
      </c>
      <c r="B2382" s="82" t="s">
        <v>71</v>
      </c>
      <c r="C2382" s="82" t="s">
        <v>1832</v>
      </c>
      <c r="D2382" s="82" t="s">
        <v>506</v>
      </c>
      <c r="E2382" s="11" t="str">
        <f t="array" ref="E2382">_xlfn.XLOOKUP(D2382,Insumos!B:B,Insumos!C:$C)</f>
        <v>UN</v>
      </c>
      <c r="F2382" s="86">
        <v>3</v>
      </c>
      <c r="G2382" s="92">
        <f t="array" ref="G2382">IF(B2382="insumo",_xlfn.XLOOKUP($D2382,Insumos!$B$1:$B$996,Insumos!$D$1:$D$996),"")</f>
        <v>0.08</v>
      </c>
      <c r="H2382" s="92">
        <v>0.24</v>
      </c>
      <c r="I2382" s="84">
        <v>0</v>
      </c>
      <c r="J2382" s="84">
        <v>0</v>
      </c>
      <c r="K2382" s="84"/>
      <c r="L2382"/>
      <c r="M2382"/>
      <c r="N2382"/>
      <c r="O2382"/>
      <c r="P2382"/>
      <c r="Q2382"/>
      <c r="R2382"/>
      <c r="S2382"/>
      <c r="T2382"/>
      <c r="U2382"/>
      <c r="V2382"/>
      <c r="W2382"/>
      <c r="X2382"/>
      <c r="Y2382"/>
      <c r="Z2382"/>
      <c r="AA2382"/>
      <c r="AB2382"/>
      <c r="AC2382"/>
      <c r="AD2382"/>
      <c r="AE2382"/>
      <c r="AF2382"/>
      <c r="AG2382"/>
      <c r="AH2382"/>
      <c r="AI2382"/>
      <c r="AJ2382"/>
      <c r="AK2382"/>
      <c r="AL2382"/>
    </row>
    <row r="2383" spans="1:38" ht="12.75" outlineLevel="3" x14ac:dyDescent="0.2">
      <c r="A2383" s="82">
        <v>22</v>
      </c>
      <c r="B2383" s="82" t="s">
        <v>71</v>
      </c>
      <c r="C2383" s="82" t="s">
        <v>1832</v>
      </c>
      <c r="D2383" s="82" t="s">
        <v>1833</v>
      </c>
      <c r="E2383" s="11" t="str">
        <f t="array" ref="E2383">_xlfn.XLOOKUP(D2383,Insumos!B:B,Insumos!C:$C)</f>
        <v>KG</v>
      </c>
      <c r="F2383" s="86">
        <v>0.01</v>
      </c>
      <c r="G2383" s="92">
        <f t="array" ref="G2383">IF(B2383="insumo",_xlfn.XLOOKUP($D2383,Insumos!$B$1:$B$996,Insumos!$D$1:$D$996),"")</f>
        <v>43.8</v>
      </c>
      <c r="H2383" s="92">
        <v>0.438</v>
      </c>
      <c r="I2383" s="84">
        <v>0</v>
      </c>
      <c r="J2383" s="84">
        <v>0</v>
      </c>
      <c r="K2383" s="84"/>
      <c r="L2383"/>
      <c r="M2383"/>
      <c r="N2383"/>
      <c r="O2383"/>
      <c r="P2383"/>
      <c r="Q2383"/>
      <c r="R2383"/>
      <c r="S2383"/>
      <c r="T2383"/>
      <c r="U2383"/>
      <c r="V2383"/>
      <c r="W2383"/>
      <c r="X2383"/>
      <c r="Y2383"/>
      <c r="Z2383"/>
      <c r="AA2383"/>
      <c r="AB2383"/>
      <c r="AC2383"/>
      <c r="AD2383"/>
      <c r="AE2383"/>
      <c r="AF2383"/>
      <c r="AG2383"/>
      <c r="AH2383"/>
      <c r="AI2383"/>
      <c r="AJ2383"/>
      <c r="AK2383"/>
      <c r="AL2383"/>
    </row>
    <row r="2384" spans="1:38" ht="12.75" outlineLevel="2" x14ac:dyDescent="0.2">
      <c r="A2384" s="1071">
        <v>1</v>
      </c>
      <c r="B2384" s="1071" t="s">
        <v>68</v>
      </c>
      <c r="C2384" s="1071" t="s">
        <v>1834</v>
      </c>
      <c r="D2384" s="1071" t="s">
        <v>1834</v>
      </c>
      <c r="E2384" s="1072" t="s">
        <v>70</v>
      </c>
      <c r="F2384" s="1071"/>
      <c r="G2384" s="1073" t="str">
        <f t="array" ref="G2384">IF(B2384="insumo",_xlfn.XLOOKUP($D2384,Insumos!$B$1:$B$996,Insumos!$D$1:$D$996),"")</f>
        <v/>
      </c>
      <c r="H2384" s="1073">
        <v>61.7806</v>
      </c>
      <c r="I2384" s="1074" t="e">
        <v>#REF!</v>
      </c>
      <c r="J2384" s="1074" t="e">
        <v>#REF!</v>
      </c>
      <c r="K2384" s="1074"/>
      <c r="L2384"/>
      <c r="M2384"/>
      <c r="N2384"/>
      <c r="O2384"/>
      <c r="P2384"/>
      <c r="Q2384"/>
      <c r="R2384"/>
      <c r="S2384"/>
      <c r="T2384"/>
      <c r="U2384"/>
      <c r="V2384"/>
      <c r="W2384"/>
      <c r="X2384"/>
      <c r="Y2384"/>
      <c r="Z2384"/>
      <c r="AA2384"/>
      <c r="AB2384"/>
      <c r="AC2384"/>
      <c r="AD2384"/>
      <c r="AE2384"/>
      <c r="AF2384"/>
      <c r="AG2384"/>
      <c r="AH2384"/>
      <c r="AI2384"/>
      <c r="AJ2384"/>
      <c r="AK2384"/>
      <c r="AL2384"/>
    </row>
    <row r="2385" spans="1:38" ht="12.75" outlineLevel="3" x14ac:dyDescent="0.2">
      <c r="A2385" s="82">
        <v>6</v>
      </c>
      <c r="B2385" s="82" t="s">
        <v>71</v>
      </c>
      <c r="C2385" s="89" t="s">
        <v>1834</v>
      </c>
      <c r="D2385" s="89" t="s">
        <v>505</v>
      </c>
      <c r="E2385" s="11" t="str">
        <f t="array" ref="E2385">_xlfn.XLOOKUP(D2385,Insumos!B:B,Insumos!C:$C)</f>
        <v>M2</v>
      </c>
      <c r="F2385" s="86">
        <v>1.1000000000000001</v>
      </c>
      <c r="G2385" s="92">
        <f t="array" ref="G2385">IF(B2385="insumo",_xlfn.XLOOKUP($D2385,Insumos!$B$1:$B$996,Insumos!$D$1:$D$996),"")</f>
        <v>47.23</v>
      </c>
      <c r="H2385" s="92">
        <v>51.953000000000003</v>
      </c>
      <c r="I2385" s="84" t="e">
        <v>#REF!</v>
      </c>
      <c r="J2385" s="84" t="e">
        <v>#REF!</v>
      </c>
      <c r="K2385" s="84"/>
      <c r="L2385"/>
      <c r="M2385"/>
      <c r="N2385"/>
      <c r="O2385"/>
      <c r="P2385"/>
      <c r="Q2385"/>
      <c r="R2385"/>
      <c r="S2385"/>
      <c r="T2385"/>
      <c r="U2385"/>
      <c r="V2385"/>
      <c r="W2385"/>
      <c r="X2385"/>
      <c r="Y2385"/>
      <c r="Z2385"/>
      <c r="AA2385"/>
      <c r="AB2385"/>
      <c r="AC2385"/>
      <c r="AD2385"/>
      <c r="AE2385"/>
      <c r="AF2385"/>
      <c r="AG2385"/>
      <c r="AH2385"/>
      <c r="AI2385"/>
      <c r="AJ2385"/>
      <c r="AK2385"/>
      <c r="AL2385"/>
    </row>
    <row r="2386" spans="1:38" ht="12.75" outlineLevel="3" x14ac:dyDescent="0.2">
      <c r="A2386" s="82">
        <v>191</v>
      </c>
      <c r="B2386" s="82" t="s">
        <v>71</v>
      </c>
      <c r="C2386" s="82" t="s">
        <v>1834</v>
      </c>
      <c r="D2386" s="82" t="s">
        <v>481</v>
      </c>
      <c r="E2386" s="11" t="str">
        <f t="array" ref="E2386">_xlfn.XLOOKUP(D2386,Insumos!B:B,Insumos!C:$C)</f>
        <v>KG</v>
      </c>
      <c r="F2386" s="86">
        <v>8.8000000000000007</v>
      </c>
      <c r="G2386" s="92">
        <f t="array" ref="G2386">IF(B2386="insumo",_xlfn.XLOOKUP($D2386,Insumos!$B$1:$B$996,Insumos!$D$1:$D$996),"")</f>
        <v>1.0645</v>
      </c>
      <c r="H2386" s="92">
        <v>9.3675999999999995</v>
      </c>
      <c r="I2386" s="84" t="e">
        <v>#REF!</v>
      </c>
      <c r="J2386" s="84" t="e">
        <v>#REF!</v>
      </c>
      <c r="K2386" s="84"/>
      <c r="L2386"/>
      <c r="M2386"/>
      <c r="N2386"/>
      <c r="O2386"/>
      <c r="P2386"/>
      <c r="Q2386"/>
      <c r="R2386"/>
      <c r="S2386"/>
      <c r="T2386"/>
      <c r="U2386"/>
      <c r="V2386"/>
      <c r="W2386"/>
      <c r="X2386"/>
      <c r="Y2386"/>
      <c r="Z2386"/>
      <c r="AA2386"/>
      <c r="AB2386"/>
      <c r="AC2386"/>
      <c r="AD2386"/>
      <c r="AE2386"/>
      <c r="AF2386"/>
      <c r="AG2386"/>
      <c r="AH2386"/>
      <c r="AI2386"/>
      <c r="AJ2386"/>
      <c r="AK2386"/>
      <c r="AL2386"/>
    </row>
    <row r="2387" spans="1:38" ht="12.75" outlineLevel="3" x14ac:dyDescent="0.2">
      <c r="A2387" s="82">
        <v>142</v>
      </c>
      <c r="B2387" s="82" t="s">
        <v>71</v>
      </c>
      <c r="C2387" s="82" t="s">
        <v>1834</v>
      </c>
      <c r="D2387" s="82" t="s">
        <v>506</v>
      </c>
      <c r="E2387" s="11" t="str">
        <f t="array" ref="E2387">_xlfn.XLOOKUP(D2387,Insumos!B:B,Insumos!C:$C)</f>
        <v>UN</v>
      </c>
      <c r="F2387" s="86">
        <v>1</v>
      </c>
      <c r="G2387" s="92">
        <f t="array" ref="G2387">IF(B2387="insumo",_xlfn.XLOOKUP($D2387,Insumos!$B$1:$B$996,Insumos!$D$1:$D$996),"")</f>
        <v>0.08</v>
      </c>
      <c r="H2387" s="92">
        <v>0.08</v>
      </c>
      <c r="I2387" s="84" t="e">
        <v>#REF!</v>
      </c>
      <c r="J2387" s="84" t="e">
        <v>#REF!</v>
      </c>
      <c r="K2387" s="84"/>
      <c r="L2387"/>
      <c r="M2387"/>
      <c r="N2387"/>
      <c r="O2387"/>
      <c r="P2387"/>
      <c r="Q2387"/>
      <c r="R2387"/>
      <c r="S2387"/>
      <c r="T2387"/>
      <c r="U2387"/>
      <c r="V2387"/>
      <c r="W2387"/>
      <c r="X2387"/>
      <c r="Y2387"/>
      <c r="Z2387"/>
      <c r="AA2387"/>
      <c r="AB2387"/>
      <c r="AC2387"/>
      <c r="AD2387"/>
      <c r="AE2387"/>
      <c r="AF2387"/>
      <c r="AG2387"/>
      <c r="AH2387"/>
      <c r="AI2387"/>
      <c r="AJ2387"/>
      <c r="AK2387"/>
      <c r="AL2387"/>
    </row>
    <row r="2388" spans="1:38" ht="12.75" outlineLevel="3" x14ac:dyDescent="0.2">
      <c r="A2388" s="82">
        <v>36</v>
      </c>
      <c r="B2388" s="82" t="s">
        <v>71</v>
      </c>
      <c r="C2388" s="82" t="s">
        <v>1834</v>
      </c>
      <c r="D2388" s="82" t="s">
        <v>2856</v>
      </c>
      <c r="E2388" s="11" t="str">
        <f t="array" ref="E2388">_xlfn.XLOOKUP(D2388,Insumos!B:B,Insumos!C:$C)</f>
        <v>KG</v>
      </c>
      <c r="F2388" s="86">
        <v>0.01</v>
      </c>
      <c r="G2388" s="92">
        <f t="array" ref="G2388">IF(B2388="insumo",_xlfn.XLOOKUP($D2388,Insumos!$B$1:$B$996,Insumos!$D$1:$D$996),"")</f>
        <v>38</v>
      </c>
      <c r="H2388" s="92">
        <v>0.38</v>
      </c>
      <c r="I2388" s="84" t="e">
        <v>#REF!</v>
      </c>
      <c r="J2388" s="84" t="e">
        <v>#REF!</v>
      </c>
      <c r="K2388" s="84"/>
      <c r="L2388"/>
      <c r="M2388"/>
      <c r="N2388"/>
      <c r="O2388"/>
      <c r="P2388"/>
      <c r="Q2388"/>
      <c r="R2388"/>
      <c r="S2388"/>
      <c r="T2388"/>
      <c r="U2388"/>
      <c r="V2388"/>
      <c r="W2388"/>
      <c r="X2388"/>
      <c r="Y2388"/>
      <c r="Z2388"/>
      <c r="AA2388"/>
      <c r="AB2388"/>
      <c r="AC2388"/>
      <c r="AD2388"/>
      <c r="AE2388"/>
      <c r="AF2388"/>
      <c r="AG2388"/>
      <c r="AH2388"/>
      <c r="AI2388"/>
      <c r="AJ2388"/>
      <c r="AK2388"/>
      <c r="AL2388"/>
    </row>
    <row r="2389" spans="1:38" ht="15.75" customHeight="1" outlineLevel="1" x14ac:dyDescent="0.2">
      <c r="A2389" s="1090">
        <v>1</v>
      </c>
      <c r="B2389" s="1090" t="s">
        <v>1228</v>
      </c>
      <c r="C2389" s="1090" t="s">
        <v>1834</v>
      </c>
      <c r="D2389" s="1090" t="s">
        <v>1399</v>
      </c>
      <c r="E2389" s="1091"/>
      <c r="F2389" s="1092"/>
      <c r="G2389" s="1091"/>
      <c r="H2389" s="1091">
        <v>0</v>
      </c>
      <c r="I2389" s="1092">
        <v>0</v>
      </c>
      <c r="J2389" s="1092">
        <v>0</v>
      </c>
      <c r="K2389" s="1092"/>
      <c r="L2389"/>
      <c r="M2389"/>
      <c r="N2389"/>
      <c r="O2389"/>
      <c r="P2389"/>
      <c r="Q2389"/>
      <c r="R2389"/>
      <c r="S2389"/>
      <c r="T2389"/>
      <c r="U2389"/>
      <c r="V2389"/>
      <c r="W2389"/>
      <c r="X2389"/>
      <c r="Y2389"/>
      <c r="Z2389"/>
      <c r="AA2389"/>
      <c r="AB2389"/>
      <c r="AC2389"/>
      <c r="AD2389"/>
      <c r="AE2389"/>
      <c r="AF2389"/>
      <c r="AG2389"/>
      <c r="AH2389"/>
      <c r="AI2389"/>
      <c r="AJ2389"/>
      <c r="AK2389"/>
      <c r="AL2389"/>
    </row>
    <row r="2390" spans="1:38" ht="15.75" customHeight="1" outlineLevel="2" x14ac:dyDescent="0.2">
      <c r="A2390" s="1067">
        <v>1</v>
      </c>
      <c r="B2390" s="1067" t="s">
        <v>68</v>
      </c>
      <c r="C2390" s="1067" t="s">
        <v>508</v>
      </c>
      <c r="D2390" s="1067" t="s">
        <v>508</v>
      </c>
      <c r="E2390" s="1068" t="s">
        <v>70</v>
      </c>
      <c r="F2390" s="1067"/>
      <c r="G2390" s="1069" t="str">
        <f t="array" ref="G2390">IF(B2390="insumo",_xlfn.XLOOKUP($D2390,Insumos!$B$1:$B$996,Insumos!$D$1:$D$996),"")</f>
        <v/>
      </c>
      <c r="H2390" s="1069">
        <v>93.130600000000001</v>
      </c>
      <c r="I2390" s="1070">
        <v>0</v>
      </c>
      <c r="J2390" s="1070">
        <v>0</v>
      </c>
      <c r="K2390" s="1070"/>
      <c r="L2390"/>
      <c r="M2390"/>
      <c r="N2390"/>
      <c r="O2390"/>
      <c r="P2390"/>
      <c r="Q2390"/>
      <c r="R2390"/>
      <c r="S2390"/>
      <c r="T2390"/>
      <c r="U2390"/>
      <c r="V2390"/>
      <c r="W2390"/>
      <c r="X2390"/>
      <c r="Y2390"/>
      <c r="Z2390"/>
      <c r="AA2390"/>
      <c r="AB2390"/>
      <c r="AC2390"/>
      <c r="AD2390"/>
      <c r="AE2390"/>
      <c r="AF2390"/>
      <c r="AG2390"/>
      <c r="AH2390"/>
      <c r="AI2390"/>
      <c r="AJ2390"/>
      <c r="AK2390"/>
      <c r="AL2390"/>
    </row>
    <row r="2391" spans="1:38" ht="15.75" customHeight="1" outlineLevel="3" x14ac:dyDescent="0.2">
      <c r="A2391" s="10">
        <v>2</v>
      </c>
      <c r="B2391" s="10" t="s">
        <v>71</v>
      </c>
      <c r="C2391" s="10" t="s">
        <v>508</v>
      </c>
      <c r="D2391" s="10" t="s">
        <v>509</v>
      </c>
      <c r="E2391" s="11" t="str">
        <f t="array" ref="E2391">_xlfn.XLOOKUP(D2391,Insumos!B:B,Insumos!C:$C)</f>
        <v>M2</v>
      </c>
      <c r="F2391" s="14">
        <v>1.1000000000000001</v>
      </c>
      <c r="G2391" s="92">
        <f t="array" ref="G2391">IF(B2391="insumo",_xlfn.XLOOKUP($D2391,Insumos!$B$1:$B$996,Insumos!$D$1:$D$996),"")</f>
        <v>75.8</v>
      </c>
      <c r="H2391" s="92">
        <v>83.38</v>
      </c>
      <c r="I2391" s="13">
        <v>0</v>
      </c>
      <c r="J2391" s="13">
        <v>0</v>
      </c>
      <c r="K2391" s="13"/>
      <c r="L2391"/>
      <c r="M2391"/>
      <c r="N2391"/>
      <c r="O2391"/>
      <c r="P2391"/>
      <c r="Q2391"/>
      <c r="R2391"/>
      <c r="S2391"/>
      <c r="T2391"/>
      <c r="U2391"/>
      <c r="V2391"/>
      <c r="W2391"/>
      <c r="X2391"/>
      <c r="Y2391"/>
      <c r="Z2391"/>
      <c r="AA2391"/>
      <c r="AB2391"/>
      <c r="AC2391"/>
      <c r="AD2391"/>
      <c r="AE2391"/>
      <c r="AF2391"/>
      <c r="AG2391"/>
      <c r="AH2391"/>
      <c r="AI2391"/>
      <c r="AJ2391"/>
      <c r="AK2391"/>
      <c r="AL2391"/>
    </row>
    <row r="2392" spans="1:38" ht="15.75" customHeight="1" outlineLevel="3" x14ac:dyDescent="0.2">
      <c r="A2392" s="10">
        <v>191</v>
      </c>
      <c r="B2392" s="10" t="s">
        <v>71</v>
      </c>
      <c r="C2392" s="10" t="s">
        <v>508</v>
      </c>
      <c r="D2392" s="10" t="s">
        <v>481</v>
      </c>
      <c r="E2392" s="11" t="str">
        <f t="array" ref="E2392">_xlfn.XLOOKUP(D2392,Insumos!B:B,Insumos!C:$C)</f>
        <v>KG</v>
      </c>
      <c r="F2392" s="14">
        <v>8.8000000000000007</v>
      </c>
      <c r="G2392" s="92">
        <f t="array" ref="G2392">IF(B2392="insumo",_xlfn.XLOOKUP($D2392,Insumos!$B$1:$B$996,Insumos!$D$1:$D$996),"")</f>
        <v>1.0645</v>
      </c>
      <c r="H2392" s="92">
        <v>9.3675999999999995</v>
      </c>
      <c r="I2392" s="13">
        <v>0</v>
      </c>
      <c r="J2392" s="13">
        <v>0</v>
      </c>
      <c r="K2392" s="13"/>
      <c r="L2392"/>
      <c r="M2392"/>
      <c r="N2392"/>
      <c r="O2392"/>
      <c r="P2392"/>
      <c r="Q2392"/>
      <c r="R2392"/>
      <c r="S2392"/>
      <c r="T2392"/>
      <c r="U2392"/>
      <c r="V2392"/>
      <c r="W2392"/>
      <c r="X2392"/>
      <c r="Y2392"/>
      <c r="Z2392"/>
      <c r="AA2392"/>
      <c r="AB2392"/>
      <c r="AC2392"/>
      <c r="AD2392"/>
      <c r="AE2392"/>
      <c r="AF2392"/>
      <c r="AG2392"/>
      <c r="AH2392"/>
      <c r="AI2392"/>
      <c r="AJ2392"/>
      <c r="AK2392"/>
      <c r="AL2392"/>
    </row>
    <row r="2393" spans="1:38" ht="15.75" customHeight="1" outlineLevel="3" x14ac:dyDescent="0.2">
      <c r="A2393" s="10">
        <v>142</v>
      </c>
      <c r="B2393" s="10" t="s">
        <v>71</v>
      </c>
      <c r="C2393" s="10" t="s">
        <v>508</v>
      </c>
      <c r="D2393" s="10" t="s">
        <v>506</v>
      </c>
      <c r="E2393" s="11" t="str">
        <f t="array" ref="E2393">_xlfn.XLOOKUP(D2393,Insumos!B:B,Insumos!C:$C)</f>
        <v>UN</v>
      </c>
      <c r="F2393" s="14">
        <v>2</v>
      </c>
      <c r="G2393" s="92">
        <f t="array" ref="G2393">IF(B2393="insumo",_xlfn.XLOOKUP($D2393,Insumos!$B$1:$B$996,Insumos!$D$1:$D$996),"")</f>
        <v>0.08</v>
      </c>
      <c r="H2393" s="92">
        <v>0.16</v>
      </c>
      <c r="I2393" s="13">
        <v>0</v>
      </c>
      <c r="J2393" s="13">
        <v>0</v>
      </c>
      <c r="K2393" s="13"/>
      <c r="L2393"/>
      <c r="M2393"/>
      <c r="N2393"/>
      <c r="O2393"/>
      <c r="P2393"/>
      <c r="Q2393"/>
      <c r="R2393"/>
      <c r="S2393"/>
      <c r="T2393"/>
      <c r="U2393"/>
      <c r="V2393"/>
      <c r="W2393"/>
      <c r="X2393"/>
      <c r="Y2393"/>
      <c r="Z2393"/>
      <c r="AA2393"/>
      <c r="AB2393"/>
      <c r="AC2393"/>
      <c r="AD2393"/>
      <c r="AE2393"/>
      <c r="AF2393"/>
      <c r="AG2393"/>
      <c r="AH2393"/>
      <c r="AI2393"/>
      <c r="AJ2393"/>
      <c r="AK2393"/>
      <c r="AL2393"/>
    </row>
    <row r="2394" spans="1:38" ht="15.75" customHeight="1" outlineLevel="3" x14ac:dyDescent="0.2">
      <c r="A2394" s="10">
        <v>101</v>
      </c>
      <c r="B2394" s="10" t="s">
        <v>71</v>
      </c>
      <c r="C2394" s="10" t="s">
        <v>508</v>
      </c>
      <c r="D2394" s="10" t="s">
        <v>507</v>
      </c>
      <c r="E2394" s="11" t="str">
        <f t="array" ref="E2394">_xlfn.XLOOKUP(D2394,Insumos!B:B,Insumos!C:$C)</f>
        <v>KG</v>
      </c>
      <c r="F2394" s="14">
        <v>0.02</v>
      </c>
      <c r="G2394" s="92">
        <f t="array" ref="G2394">IF(B2394="insumo",_xlfn.XLOOKUP($D2394,Insumos!$B$1:$B$996,Insumos!$D$1:$D$996),"")</f>
        <v>11.15</v>
      </c>
      <c r="H2394" s="92">
        <v>0.223</v>
      </c>
      <c r="I2394" s="13">
        <v>0</v>
      </c>
      <c r="J2394" s="13">
        <v>0</v>
      </c>
      <c r="K2394" s="13"/>
      <c r="L2394"/>
      <c r="M2394"/>
      <c r="N2394"/>
      <c r="O2394"/>
      <c r="P2394"/>
      <c r="Q2394"/>
      <c r="R2394"/>
      <c r="S2394"/>
      <c r="T2394"/>
      <c r="U2394"/>
      <c r="V2394"/>
      <c r="W2394"/>
      <c r="X2394"/>
      <c r="Y2394"/>
      <c r="Z2394"/>
      <c r="AA2394"/>
      <c r="AB2394"/>
      <c r="AC2394"/>
      <c r="AD2394"/>
      <c r="AE2394"/>
      <c r="AF2394"/>
      <c r="AG2394"/>
      <c r="AH2394"/>
      <c r="AI2394"/>
      <c r="AJ2394"/>
      <c r="AK2394"/>
      <c r="AL2394"/>
    </row>
    <row r="2395" spans="1:38" ht="15.75" customHeight="1" outlineLevel="2" x14ac:dyDescent="0.2">
      <c r="A2395" s="1067">
        <v>1</v>
      </c>
      <c r="B2395" s="1067" t="s">
        <v>68</v>
      </c>
      <c r="C2395" s="1067" t="s">
        <v>510</v>
      </c>
      <c r="D2395" s="1067" t="s">
        <v>510</v>
      </c>
      <c r="E2395" s="1068" t="s">
        <v>70</v>
      </c>
      <c r="F2395" s="1067"/>
      <c r="G2395" s="1069" t="str">
        <f t="array" ref="G2395">IF(B2395="insumo",_xlfn.XLOOKUP($D2395,Insumos!$B$1:$B$996,Insumos!$D$1:$D$996),"")</f>
        <v/>
      </c>
      <c r="H2395" s="1069">
        <v>93.130600000000001</v>
      </c>
      <c r="I2395" s="1070">
        <v>0</v>
      </c>
      <c r="J2395" s="1070">
        <v>0</v>
      </c>
      <c r="K2395" s="1070"/>
      <c r="L2395"/>
      <c r="M2395"/>
      <c r="N2395"/>
      <c r="O2395"/>
      <c r="P2395"/>
      <c r="Q2395"/>
      <c r="R2395"/>
      <c r="S2395"/>
      <c r="T2395"/>
      <c r="U2395"/>
      <c r="V2395"/>
      <c r="W2395"/>
      <c r="X2395"/>
      <c r="Y2395"/>
      <c r="Z2395"/>
      <c r="AA2395"/>
      <c r="AB2395"/>
      <c r="AC2395"/>
      <c r="AD2395"/>
      <c r="AE2395"/>
      <c r="AF2395"/>
      <c r="AG2395"/>
      <c r="AH2395"/>
      <c r="AI2395"/>
      <c r="AJ2395"/>
      <c r="AK2395"/>
      <c r="AL2395"/>
    </row>
    <row r="2396" spans="1:38" ht="15.75" customHeight="1" outlineLevel="3" x14ac:dyDescent="0.2">
      <c r="A2396" s="10">
        <v>2</v>
      </c>
      <c r="B2396" s="10" t="s">
        <v>71</v>
      </c>
      <c r="C2396" s="10" t="s">
        <v>510</v>
      </c>
      <c r="D2396" s="10" t="s">
        <v>509</v>
      </c>
      <c r="E2396" s="11" t="str">
        <f t="array" ref="E2396">_xlfn.XLOOKUP(D2396,Insumos!B:B,Insumos!C:$C)</f>
        <v>M2</v>
      </c>
      <c r="F2396" s="14">
        <v>1.1000000000000001</v>
      </c>
      <c r="G2396" s="92">
        <f t="array" ref="G2396">IF(B2396="insumo",_xlfn.XLOOKUP($D2396,Insumos!$B$1:$B$996,Insumos!$D$1:$D$996),"")</f>
        <v>75.8</v>
      </c>
      <c r="H2396" s="92">
        <v>83.38</v>
      </c>
      <c r="I2396" s="13">
        <v>0</v>
      </c>
      <c r="J2396" s="13">
        <v>0</v>
      </c>
      <c r="K2396" s="13"/>
      <c r="L2396"/>
      <c r="M2396"/>
      <c r="N2396"/>
      <c r="O2396"/>
      <c r="P2396"/>
      <c r="Q2396"/>
      <c r="R2396"/>
      <c r="S2396"/>
      <c r="T2396"/>
      <c r="U2396"/>
      <c r="V2396"/>
      <c r="W2396"/>
      <c r="X2396"/>
      <c r="Y2396"/>
      <c r="Z2396"/>
      <c r="AA2396"/>
      <c r="AB2396"/>
      <c r="AC2396"/>
      <c r="AD2396"/>
      <c r="AE2396"/>
      <c r="AF2396"/>
      <c r="AG2396"/>
      <c r="AH2396"/>
      <c r="AI2396"/>
      <c r="AJ2396"/>
      <c r="AK2396"/>
      <c r="AL2396"/>
    </row>
    <row r="2397" spans="1:38" ht="15.75" customHeight="1" outlineLevel="3" x14ac:dyDescent="0.2">
      <c r="A2397" s="10">
        <v>191</v>
      </c>
      <c r="B2397" s="10" t="s">
        <v>71</v>
      </c>
      <c r="C2397" s="10" t="s">
        <v>510</v>
      </c>
      <c r="D2397" s="10" t="s">
        <v>481</v>
      </c>
      <c r="E2397" s="11" t="str">
        <f t="array" ref="E2397">_xlfn.XLOOKUP(D2397,Insumos!B:B,Insumos!C:$C)</f>
        <v>KG</v>
      </c>
      <c r="F2397" s="14">
        <v>8.8000000000000007</v>
      </c>
      <c r="G2397" s="92">
        <f t="array" ref="G2397">IF(B2397="insumo",_xlfn.XLOOKUP($D2397,Insumos!$B$1:$B$996,Insumos!$D$1:$D$996),"")</f>
        <v>1.0645</v>
      </c>
      <c r="H2397" s="92">
        <v>9.3675999999999995</v>
      </c>
      <c r="I2397" s="13">
        <v>0</v>
      </c>
      <c r="J2397" s="13">
        <v>0</v>
      </c>
      <c r="K2397" s="13"/>
      <c r="L2397"/>
      <c r="M2397"/>
      <c r="N2397"/>
      <c r="O2397"/>
      <c r="P2397"/>
      <c r="Q2397"/>
      <c r="R2397"/>
      <c r="S2397"/>
      <c r="T2397"/>
      <c r="U2397"/>
      <c r="V2397"/>
      <c r="W2397"/>
      <c r="X2397"/>
      <c r="Y2397"/>
      <c r="Z2397"/>
      <c r="AA2397"/>
      <c r="AB2397"/>
      <c r="AC2397"/>
      <c r="AD2397"/>
      <c r="AE2397"/>
      <c r="AF2397"/>
      <c r="AG2397"/>
      <c r="AH2397"/>
      <c r="AI2397"/>
      <c r="AJ2397"/>
      <c r="AK2397"/>
      <c r="AL2397"/>
    </row>
    <row r="2398" spans="1:38" ht="15.75" customHeight="1" outlineLevel="3" x14ac:dyDescent="0.2">
      <c r="A2398" s="10">
        <v>142</v>
      </c>
      <c r="B2398" s="10" t="s">
        <v>71</v>
      </c>
      <c r="C2398" s="10" t="s">
        <v>510</v>
      </c>
      <c r="D2398" s="10" t="s">
        <v>506</v>
      </c>
      <c r="E2398" s="11" t="str">
        <f t="array" ref="E2398">_xlfn.XLOOKUP(D2398,Insumos!B:B,Insumos!C:$C)</f>
        <v>UN</v>
      </c>
      <c r="F2398" s="14">
        <v>2</v>
      </c>
      <c r="G2398" s="92">
        <f t="array" ref="G2398">IF(B2398="insumo",_xlfn.XLOOKUP($D2398,Insumos!$B$1:$B$996,Insumos!$D$1:$D$996),"")</f>
        <v>0.08</v>
      </c>
      <c r="H2398" s="92">
        <v>0.16</v>
      </c>
      <c r="I2398" s="13">
        <v>0</v>
      </c>
      <c r="J2398" s="13">
        <v>0</v>
      </c>
      <c r="K2398" s="13"/>
      <c r="L2398"/>
      <c r="M2398"/>
      <c r="N2398"/>
      <c r="O2398"/>
      <c r="P2398"/>
      <c r="Q2398"/>
      <c r="R2398"/>
      <c r="S2398"/>
      <c r="T2398"/>
      <c r="U2398"/>
      <c r="V2398"/>
      <c r="W2398"/>
      <c r="X2398"/>
      <c r="Y2398"/>
      <c r="Z2398"/>
      <c r="AA2398"/>
      <c r="AB2398"/>
      <c r="AC2398"/>
      <c r="AD2398"/>
      <c r="AE2398"/>
      <c r="AF2398"/>
      <c r="AG2398"/>
      <c r="AH2398"/>
      <c r="AI2398"/>
      <c r="AJ2398"/>
      <c r="AK2398"/>
      <c r="AL2398"/>
    </row>
    <row r="2399" spans="1:38" ht="15.75" customHeight="1" outlineLevel="3" x14ac:dyDescent="0.2">
      <c r="A2399" s="10">
        <v>101</v>
      </c>
      <c r="B2399" s="10" t="s">
        <v>71</v>
      </c>
      <c r="C2399" s="10" t="s">
        <v>510</v>
      </c>
      <c r="D2399" s="10" t="s">
        <v>507</v>
      </c>
      <c r="E2399" s="11" t="str">
        <f t="array" ref="E2399">_xlfn.XLOOKUP(D2399,Insumos!B:B,Insumos!C:$C)</f>
        <v>KG</v>
      </c>
      <c r="F2399" s="14">
        <v>0.02</v>
      </c>
      <c r="G2399" s="92">
        <f t="array" ref="G2399">IF(B2399="insumo",_xlfn.XLOOKUP($D2399,Insumos!$B$1:$B$996,Insumos!$D$1:$D$996),"")</f>
        <v>11.15</v>
      </c>
      <c r="H2399" s="92">
        <v>0.223</v>
      </c>
      <c r="I2399" s="13">
        <v>0</v>
      </c>
      <c r="J2399" s="13">
        <v>0</v>
      </c>
      <c r="K2399" s="13"/>
      <c r="L2399"/>
      <c r="M2399"/>
      <c r="N2399"/>
      <c r="O2399"/>
      <c r="P2399"/>
      <c r="Q2399"/>
      <c r="R2399"/>
      <c r="S2399"/>
      <c r="T2399"/>
      <c r="U2399"/>
      <c r="V2399"/>
      <c r="W2399"/>
      <c r="X2399"/>
      <c r="Y2399"/>
      <c r="Z2399"/>
      <c r="AA2399"/>
      <c r="AB2399"/>
      <c r="AC2399"/>
      <c r="AD2399"/>
      <c r="AE2399"/>
      <c r="AF2399"/>
      <c r="AG2399"/>
      <c r="AH2399"/>
      <c r="AI2399"/>
      <c r="AJ2399"/>
      <c r="AK2399"/>
      <c r="AL2399"/>
    </row>
    <row r="2400" spans="1:38" ht="15.75" customHeight="1" outlineLevel="2" x14ac:dyDescent="0.2">
      <c r="A2400" s="1067">
        <v>1</v>
      </c>
      <c r="B2400" s="1067" t="s">
        <v>68</v>
      </c>
      <c r="C2400" s="1067" t="s">
        <v>511</v>
      </c>
      <c r="D2400" s="1067" t="s">
        <v>511</v>
      </c>
      <c r="E2400" s="1068" t="s">
        <v>70</v>
      </c>
      <c r="F2400" s="1067"/>
      <c r="G2400" s="1069" t="str">
        <f t="array" ref="G2400">IF(B2400="insumo",_xlfn.XLOOKUP($D2400,Insumos!$B$1:$B$996,Insumos!$D$1:$D$996),"")</f>
        <v/>
      </c>
      <c r="H2400" s="1069">
        <v>62.330599999999997</v>
      </c>
      <c r="I2400" s="1070">
        <v>0</v>
      </c>
      <c r="J2400" s="1070">
        <v>0</v>
      </c>
      <c r="K2400" s="1070"/>
      <c r="L2400"/>
      <c r="M2400"/>
      <c r="N2400"/>
      <c r="O2400"/>
      <c r="P2400"/>
      <c r="Q2400"/>
      <c r="R2400"/>
      <c r="S2400"/>
      <c r="T2400"/>
      <c r="U2400"/>
      <c r="V2400"/>
      <c r="W2400"/>
      <c r="X2400"/>
      <c r="Y2400"/>
      <c r="Z2400"/>
      <c r="AA2400"/>
      <c r="AB2400"/>
      <c r="AC2400"/>
      <c r="AD2400"/>
      <c r="AE2400"/>
      <c r="AF2400"/>
      <c r="AG2400"/>
      <c r="AH2400"/>
      <c r="AI2400"/>
      <c r="AJ2400"/>
      <c r="AK2400"/>
      <c r="AL2400"/>
    </row>
    <row r="2401" spans="1:38" ht="15.75" customHeight="1" outlineLevel="3" x14ac:dyDescent="0.2">
      <c r="A2401" s="10">
        <v>1</v>
      </c>
      <c r="B2401" s="10" t="s">
        <v>71</v>
      </c>
      <c r="C2401" s="10" t="s">
        <v>511</v>
      </c>
      <c r="D2401" s="10" t="s">
        <v>512</v>
      </c>
      <c r="E2401" s="11" t="str">
        <f t="array" ref="E2401">_xlfn.XLOOKUP(D2401,Insumos!B:B,Insumos!C:$C)</f>
        <v>M2</v>
      </c>
      <c r="F2401" s="14">
        <v>1.1000000000000001</v>
      </c>
      <c r="G2401" s="92">
        <f t="array" ref="G2401">IF(B2401="insumo",_xlfn.XLOOKUP($D2401,Insumos!$B$1:$B$996,Insumos!$D$1:$D$996),"")</f>
        <v>47.8</v>
      </c>
      <c r="H2401" s="92">
        <v>52.58</v>
      </c>
      <c r="I2401" s="13">
        <v>0</v>
      </c>
      <c r="J2401" s="13">
        <v>0</v>
      </c>
      <c r="K2401" s="13"/>
      <c r="L2401"/>
      <c r="M2401"/>
      <c r="N2401"/>
      <c r="O2401"/>
      <c r="P2401"/>
      <c r="Q2401"/>
      <c r="R2401"/>
      <c r="S2401"/>
      <c r="T2401"/>
      <c r="U2401"/>
      <c r="V2401"/>
      <c r="W2401"/>
      <c r="X2401"/>
      <c r="Y2401"/>
      <c r="Z2401"/>
      <c r="AA2401"/>
      <c r="AB2401"/>
      <c r="AC2401"/>
      <c r="AD2401"/>
      <c r="AE2401"/>
      <c r="AF2401"/>
      <c r="AG2401"/>
      <c r="AH2401"/>
      <c r="AI2401"/>
      <c r="AJ2401"/>
      <c r="AK2401"/>
      <c r="AL2401"/>
    </row>
    <row r="2402" spans="1:38" ht="15.75" customHeight="1" outlineLevel="3" x14ac:dyDescent="0.2">
      <c r="A2402" s="10">
        <v>191</v>
      </c>
      <c r="B2402" s="10" t="s">
        <v>71</v>
      </c>
      <c r="C2402" s="10" t="s">
        <v>511</v>
      </c>
      <c r="D2402" s="10" t="s">
        <v>481</v>
      </c>
      <c r="E2402" s="11" t="str">
        <f t="array" ref="E2402">_xlfn.XLOOKUP(D2402,Insumos!B:B,Insumos!C:$C)</f>
        <v>KG</v>
      </c>
      <c r="F2402" s="14">
        <v>8.8000000000000007</v>
      </c>
      <c r="G2402" s="92">
        <f t="array" ref="G2402">IF(B2402="insumo",_xlfn.XLOOKUP($D2402,Insumos!$B$1:$B$996,Insumos!$D$1:$D$996),"")</f>
        <v>1.0645</v>
      </c>
      <c r="H2402" s="92">
        <v>9.3675999999999995</v>
      </c>
      <c r="I2402" s="13">
        <v>0</v>
      </c>
      <c r="J2402" s="13">
        <v>0</v>
      </c>
      <c r="K2402" s="13"/>
      <c r="L2402"/>
      <c r="M2402"/>
      <c r="N2402"/>
      <c r="O2402"/>
      <c r="P2402"/>
      <c r="Q2402"/>
      <c r="R2402"/>
      <c r="S2402"/>
      <c r="T2402"/>
      <c r="U2402"/>
      <c r="V2402"/>
      <c r="W2402"/>
      <c r="X2402"/>
      <c r="Y2402"/>
      <c r="Z2402"/>
      <c r="AA2402"/>
      <c r="AB2402"/>
      <c r="AC2402"/>
      <c r="AD2402"/>
      <c r="AE2402"/>
      <c r="AF2402"/>
      <c r="AG2402"/>
      <c r="AH2402"/>
      <c r="AI2402"/>
      <c r="AJ2402"/>
      <c r="AK2402"/>
      <c r="AL2402"/>
    </row>
    <row r="2403" spans="1:38" ht="15.75" customHeight="1" outlineLevel="3" x14ac:dyDescent="0.2">
      <c r="A2403" s="10">
        <v>142</v>
      </c>
      <c r="B2403" s="10" t="s">
        <v>71</v>
      </c>
      <c r="C2403" s="10" t="s">
        <v>511</v>
      </c>
      <c r="D2403" s="10" t="s">
        <v>506</v>
      </c>
      <c r="E2403" s="11" t="str">
        <f t="array" ref="E2403">_xlfn.XLOOKUP(D2403,Insumos!B:B,Insumos!C:$C)</f>
        <v>UN</v>
      </c>
      <c r="F2403" s="14">
        <v>2</v>
      </c>
      <c r="G2403" s="92">
        <f t="array" ref="G2403">IF(B2403="insumo",_xlfn.XLOOKUP($D2403,Insumos!$B$1:$B$996,Insumos!$D$1:$D$996),"")</f>
        <v>0.08</v>
      </c>
      <c r="H2403" s="92">
        <v>0.16</v>
      </c>
      <c r="I2403" s="13">
        <v>0</v>
      </c>
      <c r="J2403" s="13">
        <v>0</v>
      </c>
      <c r="K2403" s="13"/>
      <c r="L2403"/>
      <c r="M2403"/>
      <c r="N2403"/>
      <c r="O2403"/>
      <c r="P2403"/>
      <c r="Q2403"/>
      <c r="R2403"/>
      <c r="S2403"/>
      <c r="T2403"/>
      <c r="U2403"/>
      <c r="V2403"/>
      <c r="W2403"/>
      <c r="X2403"/>
      <c r="Y2403"/>
      <c r="Z2403"/>
      <c r="AA2403"/>
      <c r="AB2403"/>
      <c r="AC2403"/>
      <c r="AD2403"/>
      <c r="AE2403"/>
      <c r="AF2403"/>
      <c r="AG2403"/>
      <c r="AH2403"/>
      <c r="AI2403"/>
      <c r="AJ2403"/>
      <c r="AK2403"/>
      <c r="AL2403"/>
    </row>
    <row r="2404" spans="1:38" ht="15.75" customHeight="1" outlineLevel="3" x14ac:dyDescent="0.2">
      <c r="A2404" s="10">
        <v>101</v>
      </c>
      <c r="B2404" s="10" t="s">
        <v>71</v>
      </c>
      <c r="C2404" s="10" t="s">
        <v>511</v>
      </c>
      <c r="D2404" s="10" t="s">
        <v>507</v>
      </c>
      <c r="E2404" s="11" t="str">
        <f t="array" ref="E2404">_xlfn.XLOOKUP(D2404,Insumos!B:B,Insumos!C:$C)</f>
        <v>KG</v>
      </c>
      <c r="F2404" s="14">
        <v>0.02</v>
      </c>
      <c r="G2404" s="92">
        <f t="array" ref="G2404">IF(B2404="insumo",_xlfn.XLOOKUP($D2404,Insumos!$B$1:$B$996,Insumos!$D$1:$D$996),"")</f>
        <v>11.15</v>
      </c>
      <c r="H2404" s="92">
        <v>0.223</v>
      </c>
      <c r="I2404" s="13">
        <v>0</v>
      </c>
      <c r="J2404" s="13">
        <v>0</v>
      </c>
      <c r="K2404" s="13"/>
      <c r="L2404"/>
      <c r="M2404"/>
      <c r="N2404"/>
      <c r="O2404"/>
      <c r="P2404"/>
      <c r="Q2404"/>
      <c r="R2404"/>
      <c r="S2404"/>
      <c r="T2404"/>
      <c r="U2404"/>
      <c r="V2404"/>
      <c r="W2404"/>
      <c r="X2404"/>
      <c r="Y2404"/>
      <c r="Z2404"/>
      <c r="AA2404"/>
      <c r="AB2404"/>
      <c r="AC2404"/>
      <c r="AD2404"/>
      <c r="AE2404"/>
      <c r="AF2404"/>
      <c r="AG2404"/>
      <c r="AH2404"/>
      <c r="AI2404"/>
      <c r="AJ2404"/>
      <c r="AK2404"/>
      <c r="AL2404"/>
    </row>
    <row r="2405" spans="1:38" ht="15.75" customHeight="1" outlineLevel="2" x14ac:dyDescent="0.2">
      <c r="A2405" s="1067">
        <v>1</v>
      </c>
      <c r="B2405" s="1067" t="s">
        <v>68</v>
      </c>
      <c r="C2405" s="1067" t="s">
        <v>513</v>
      </c>
      <c r="D2405" s="1067" t="s">
        <v>513</v>
      </c>
      <c r="E2405" s="1068" t="s">
        <v>70</v>
      </c>
      <c r="F2405" s="1067"/>
      <c r="G2405" s="1069" t="str">
        <f t="array" ref="G2405">IF(B2405="insumo",_xlfn.XLOOKUP($D2405,Insumos!$B$1:$B$996,Insumos!$D$1:$D$996),"")</f>
        <v/>
      </c>
      <c r="H2405" s="1069">
        <v>104.2406</v>
      </c>
      <c r="I2405" s="1070">
        <v>0</v>
      </c>
      <c r="J2405" s="1070">
        <v>0</v>
      </c>
      <c r="K2405" s="1070"/>
      <c r="L2405"/>
      <c r="M2405"/>
      <c r="N2405"/>
      <c r="O2405"/>
      <c r="P2405"/>
      <c r="Q2405"/>
      <c r="R2405"/>
      <c r="S2405"/>
      <c r="T2405"/>
      <c r="U2405"/>
      <c r="V2405"/>
      <c r="W2405"/>
      <c r="X2405"/>
      <c r="Y2405"/>
      <c r="Z2405"/>
      <c r="AA2405"/>
      <c r="AB2405"/>
      <c r="AC2405"/>
      <c r="AD2405"/>
      <c r="AE2405"/>
      <c r="AF2405"/>
      <c r="AG2405"/>
      <c r="AH2405"/>
      <c r="AI2405"/>
      <c r="AJ2405"/>
      <c r="AK2405"/>
      <c r="AL2405"/>
    </row>
    <row r="2406" spans="1:38" ht="15.75" customHeight="1" outlineLevel="3" x14ac:dyDescent="0.2">
      <c r="A2406" s="10">
        <v>1</v>
      </c>
      <c r="B2406" s="10" t="s">
        <v>71</v>
      </c>
      <c r="C2406" s="10" t="s">
        <v>513</v>
      </c>
      <c r="D2406" s="10" t="s">
        <v>514</v>
      </c>
      <c r="E2406" s="11" t="str">
        <f t="array" ref="E2406">_xlfn.XLOOKUP(D2406,Insumos!B:B,Insumos!C:$C)</f>
        <v>M2</v>
      </c>
      <c r="F2406" s="14">
        <v>1.1000000000000001</v>
      </c>
      <c r="G2406" s="92">
        <f t="array" ref="G2406">IF(B2406="insumo",_xlfn.XLOOKUP($D2406,Insumos!$B$1:$B$996,Insumos!$D$1:$D$996),"")</f>
        <v>85.9</v>
      </c>
      <c r="H2406" s="92">
        <v>94.49</v>
      </c>
      <c r="I2406" s="13">
        <v>0</v>
      </c>
      <c r="J2406" s="13">
        <v>0</v>
      </c>
      <c r="K2406" s="13"/>
      <c r="L2406"/>
      <c r="M2406"/>
      <c r="N2406"/>
      <c r="O2406"/>
      <c r="P2406"/>
      <c r="Q2406"/>
      <c r="R2406"/>
      <c r="S2406"/>
      <c r="T2406"/>
      <c r="U2406"/>
      <c r="V2406"/>
      <c r="W2406"/>
      <c r="X2406"/>
      <c r="Y2406"/>
      <c r="Z2406"/>
      <c r="AA2406"/>
      <c r="AB2406"/>
      <c r="AC2406"/>
      <c r="AD2406"/>
      <c r="AE2406"/>
      <c r="AF2406"/>
      <c r="AG2406"/>
      <c r="AH2406"/>
      <c r="AI2406"/>
      <c r="AJ2406"/>
      <c r="AK2406"/>
      <c r="AL2406"/>
    </row>
    <row r="2407" spans="1:38" ht="15.75" customHeight="1" outlineLevel="3" x14ac:dyDescent="0.2">
      <c r="A2407" s="10">
        <v>191</v>
      </c>
      <c r="B2407" s="10" t="s">
        <v>71</v>
      </c>
      <c r="C2407" s="10" t="s">
        <v>513</v>
      </c>
      <c r="D2407" s="10" t="s">
        <v>481</v>
      </c>
      <c r="E2407" s="11" t="str">
        <f t="array" ref="E2407">_xlfn.XLOOKUP(D2407,Insumos!B:B,Insumos!C:$C)</f>
        <v>KG</v>
      </c>
      <c r="F2407" s="14">
        <v>8.8000000000000007</v>
      </c>
      <c r="G2407" s="92">
        <f t="array" ref="G2407">IF(B2407="insumo",_xlfn.XLOOKUP($D2407,Insumos!$B$1:$B$996,Insumos!$D$1:$D$996),"")</f>
        <v>1.0645</v>
      </c>
      <c r="H2407" s="92">
        <v>9.3675999999999995</v>
      </c>
      <c r="I2407" s="13">
        <v>0</v>
      </c>
      <c r="J2407" s="13">
        <v>0</v>
      </c>
      <c r="K2407" s="13"/>
      <c r="L2407"/>
      <c r="M2407"/>
      <c r="N2407"/>
      <c r="O2407"/>
      <c r="P2407"/>
      <c r="Q2407"/>
      <c r="R2407"/>
      <c r="S2407"/>
      <c r="T2407"/>
      <c r="U2407"/>
      <c r="V2407"/>
      <c r="W2407"/>
      <c r="X2407"/>
      <c r="Y2407"/>
      <c r="Z2407"/>
      <c r="AA2407"/>
      <c r="AB2407"/>
      <c r="AC2407"/>
      <c r="AD2407"/>
      <c r="AE2407"/>
      <c r="AF2407"/>
      <c r="AG2407"/>
      <c r="AH2407"/>
      <c r="AI2407"/>
      <c r="AJ2407"/>
      <c r="AK2407"/>
      <c r="AL2407"/>
    </row>
    <row r="2408" spans="1:38" ht="15.75" customHeight="1" outlineLevel="3" x14ac:dyDescent="0.2">
      <c r="A2408" s="10">
        <v>142</v>
      </c>
      <c r="B2408" s="10" t="s">
        <v>71</v>
      </c>
      <c r="C2408" s="10" t="s">
        <v>513</v>
      </c>
      <c r="D2408" s="10" t="s">
        <v>506</v>
      </c>
      <c r="E2408" s="11" t="str">
        <f t="array" ref="E2408">_xlfn.XLOOKUP(D2408,Insumos!B:B,Insumos!C:$C)</f>
        <v>UN</v>
      </c>
      <c r="F2408" s="14">
        <v>2</v>
      </c>
      <c r="G2408" s="92">
        <f t="array" ref="G2408">IF(B2408="insumo",_xlfn.XLOOKUP($D2408,Insumos!$B$1:$B$996,Insumos!$D$1:$D$996),"")</f>
        <v>0.08</v>
      </c>
      <c r="H2408" s="92">
        <v>0.16</v>
      </c>
      <c r="I2408" s="13">
        <v>0</v>
      </c>
      <c r="J2408" s="13">
        <v>0</v>
      </c>
      <c r="K2408" s="13"/>
      <c r="L2408"/>
      <c r="M2408"/>
      <c r="N2408"/>
      <c r="O2408"/>
      <c r="P2408"/>
      <c r="Q2408"/>
      <c r="R2408"/>
      <c r="S2408"/>
      <c r="T2408"/>
      <c r="U2408"/>
      <c r="V2408"/>
      <c r="W2408"/>
      <c r="X2408"/>
      <c r="Y2408"/>
      <c r="Z2408"/>
      <c r="AA2408"/>
      <c r="AB2408"/>
      <c r="AC2408"/>
      <c r="AD2408"/>
      <c r="AE2408"/>
      <c r="AF2408"/>
      <c r="AG2408"/>
      <c r="AH2408"/>
      <c r="AI2408"/>
      <c r="AJ2408"/>
      <c r="AK2408"/>
      <c r="AL2408"/>
    </row>
    <row r="2409" spans="1:38" ht="15.75" customHeight="1" outlineLevel="3" x14ac:dyDescent="0.2">
      <c r="A2409" s="10">
        <v>101</v>
      </c>
      <c r="B2409" s="10" t="s">
        <v>71</v>
      </c>
      <c r="C2409" s="10" t="s">
        <v>513</v>
      </c>
      <c r="D2409" s="10" t="s">
        <v>507</v>
      </c>
      <c r="E2409" s="11" t="str">
        <f t="array" ref="E2409">_xlfn.XLOOKUP(D2409,Insumos!B:B,Insumos!C:$C)</f>
        <v>KG</v>
      </c>
      <c r="F2409" s="14">
        <v>0.02</v>
      </c>
      <c r="G2409" s="92">
        <f t="array" ref="G2409">IF(B2409="insumo",_xlfn.XLOOKUP($D2409,Insumos!$B$1:$B$996,Insumos!$D$1:$D$996),"")</f>
        <v>11.15</v>
      </c>
      <c r="H2409" s="92">
        <v>0.223</v>
      </c>
      <c r="I2409" s="13">
        <v>0</v>
      </c>
      <c r="J2409" s="13">
        <v>0</v>
      </c>
      <c r="K2409" s="13"/>
      <c r="L2409"/>
      <c r="M2409"/>
      <c r="N2409"/>
      <c r="O2409"/>
      <c r="P2409"/>
      <c r="Q2409"/>
      <c r="R2409"/>
      <c r="S2409"/>
      <c r="T2409"/>
      <c r="U2409"/>
      <c r="V2409"/>
      <c r="W2409"/>
      <c r="X2409"/>
      <c r="Y2409"/>
      <c r="Z2409"/>
      <c r="AA2409"/>
      <c r="AB2409"/>
      <c r="AC2409"/>
      <c r="AD2409"/>
      <c r="AE2409"/>
      <c r="AF2409"/>
      <c r="AG2409"/>
      <c r="AH2409"/>
      <c r="AI2409"/>
      <c r="AJ2409"/>
      <c r="AK2409"/>
      <c r="AL2409"/>
    </row>
    <row r="2410" spans="1:38" ht="15.75" customHeight="1" outlineLevel="2" x14ac:dyDescent="0.2">
      <c r="A2410" s="1067">
        <v>1</v>
      </c>
      <c r="B2410" s="1067" t="s">
        <v>68</v>
      </c>
      <c r="C2410" s="1067" t="s">
        <v>515</v>
      </c>
      <c r="D2410" s="1067" t="s">
        <v>515</v>
      </c>
      <c r="E2410" s="1068" t="s">
        <v>70</v>
      </c>
      <c r="F2410" s="1067"/>
      <c r="G2410" s="1069" t="str">
        <f t="array" ref="G2410">IF(B2410="insumo",_xlfn.XLOOKUP($D2410,Insumos!$B$1:$B$996,Insumos!$D$1:$D$996),"")</f>
        <v/>
      </c>
      <c r="H2410" s="1069">
        <v>167.4641</v>
      </c>
      <c r="I2410" s="1070">
        <v>0</v>
      </c>
      <c r="J2410" s="1070">
        <v>0</v>
      </c>
      <c r="K2410" s="1070"/>
      <c r="L2410"/>
      <c r="M2410"/>
      <c r="N2410"/>
      <c r="O2410"/>
      <c r="P2410"/>
      <c r="Q2410"/>
      <c r="R2410"/>
      <c r="S2410"/>
      <c r="T2410"/>
      <c r="U2410"/>
      <c r="V2410"/>
      <c r="W2410"/>
      <c r="X2410"/>
      <c r="Y2410"/>
      <c r="Z2410"/>
      <c r="AA2410"/>
      <c r="AB2410"/>
      <c r="AC2410"/>
      <c r="AD2410"/>
      <c r="AE2410"/>
      <c r="AF2410"/>
      <c r="AG2410"/>
      <c r="AH2410"/>
      <c r="AI2410"/>
      <c r="AJ2410"/>
      <c r="AK2410"/>
      <c r="AL2410"/>
    </row>
    <row r="2411" spans="1:38" ht="15.75" customHeight="1" outlineLevel="3" x14ac:dyDescent="0.2">
      <c r="A2411" s="10">
        <v>2</v>
      </c>
      <c r="B2411" s="10" t="s">
        <v>71</v>
      </c>
      <c r="C2411" s="10" t="s">
        <v>515</v>
      </c>
      <c r="D2411" s="10" t="s">
        <v>516</v>
      </c>
      <c r="E2411" s="11" t="str">
        <f t="array" ref="E2411">_xlfn.XLOOKUP(D2411,Insumos!B:B,Insumos!C:$C)</f>
        <v>M2</v>
      </c>
      <c r="F2411" s="14">
        <v>1.1000000000000001</v>
      </c>
      <c r="G2411" s="92">
        <f t="array" ref="G2411">IF(B2411="insumo",_xlfn.XLOOKUP($D2411,Insumos!$B$1:$B$996,Insumos!$D$1:$D$996),"")</f>
        <v>143.55000000000001</v>
      </c>
      <c r="H2411" s="92">
        <v>157.905</v>
      </c>
      <c r="I2411" s="13">
        <v>0</v>
      </c>
      <c r="J2411" s="13">
        <v>0</v>
      </c>
      <c r="K2411" s="13"/>
      <c r="L2411"/>
      <c r="M2411"/>
      <c r="N2411"/>
      <c r="O2411"/>
      <c r="P2411"/>
      <c r="Q2411"/>
      <c r="R2411"/>
      <c r="S2411"/>
      <c r="T2411"/>
      <c r="U2411"/>
      <c r="V2411"/>
      <c r="W2411"/>
      <c r="X2411"/>
      <c r="Y2411"/>
      <c r="Z2411"/>
      <c r="AA2411"/>
      <c r="AB2411"/>
      <c r="AC2411"/>
      <c r="AD2411"/>
      <c r="AE2411"/>
      <c r="AF2411"/>
      <c r="AG2411"/>
      <c r="AH2411"/>
      <c r="AI2411"/>
      <c r="AJ2411"/>
      <c r="AK2411"/>
      <c r="AL2411"/>
    </row>
    <row r="2412" spans="1:38" ht="15.75" customHeight="1" outlineLevel="3" x14ac:dyDescent="0.2">
      <c r="A2412" s="10">
        <v>191</v>
      </c>
      <c r="B2412" s="10" t="s">
        <v>71</v>
      </c>
      <c r="C2412" s="10" t="s">
        <v>515</v>
      </c>
      <c r="D2412" s="10" t="s">
        <v>481</v>
      </c>
      <c r="E2412" s="11" t="str">
        <f t="array" ref="E2412">_xlfn.XLOOKUP(D2412,Insumos!B:B,Insumos!C:$C)</f>
        <v>KG</v>
      </c>
      <c r="F2412" s="14">
        <v>8.8000000000000007</v>
      </c>
      <c r="G2412" s="92">
        <f t="array" ref="G2412">IF(B2412="insumo",_xlfn.XLOOKUP($D2412,Insumos!$B$1:$B$996,Insumos!$D$1:$D$996),"")</f>
        <v>1.0645</v>
      </c>
      <c r="H2412" s="92">
        <v>9.3675999999999995</v>
      </c>
      <c r="I2412" s="13">
        <v>0</v>
      </c>
      <c r="J2412" s="13">
        <v>0</v>
      </c>
      <c r="K2412" s="13">
        <f>110.81*18</f>
        <v>1994.58</v>
      </c>
      <c r="L2412"/>
      <c r="M2412"/>
      <c r="N2412"/>
      <c r="O2412"/>
      <c r="P2412"/>
      <c r="Q2412"/>
      <c r="R2412"/>
      <c r="S2412"/>
      <c r="T2412"/>
      <c r="U2412"/>
      <c r="V2412"/>
      <c r="W2412"/>
      <c r="X2412"/>
      <c r="Y2412"/>
      <c r="Z2412"/>
      <c r="AA2412"/>
      <c r="AB2412"/>
      <c r="AC2412"/>
      <c r="AD2412"/>
      <c r="AE2412"/>
      <c r="AF2412"/>
      <c r="AG2412"/>
      <c r="AH2412"/>
      <c r="AI2412"/>
      <c r="AJ2412"/>
      <c r="AK2412"/>
      <c r="AL2412"/>
    </row>
    <row r="2413" spans="1:38" ht="15.75" customHeight="1" outlineLevel="3" x14ac:dyDescent="0.2">
      <c r="A2413" s="10">
        <v>142</v>
      </c>
      <c r="B2413" s="10" t="s">
        <v>71</v>
      </c>
      <c r="C2413" s="10" t="s">
        <v>515</v>
      </c>
      <c r="D2413" s="10" t="s">
        <v>506</v>
      </c>
      <c r="E2413" s="11" t="str">
        <f t="array" ref="E2413">_xlfn.XLOOKUP(D2413,Insumos!B:B,Insumos!C:$C)</f>
        <v>UN</v>
      </c>
      <c r="F2413" s="14">
        <v>1</v>
      </c>
      <c r="G2413" s="92">
        <f t="array" ref="G2413">IF(B2413="insumo",_xlfn.XLOOKUP($D2413,Insumos!$B$1:$B$996,Insumos!$D$1:$D$996),"")</f>
        <v>0.08</v>
      </c>
      <c r="H2413" s="92">
        <v>0.08</v>
      </c>
      <c r="I2413" s="13">
        <v>0</v>
      </c>
      <c r="J2413" s="13">
        <v>0</v>
      </c>
      <c r="K2413" s="13"/>
      <c r="L2413"/>
      <c r="M2413"/>
      <c r="N2413"/>
      <c r="O2413"/>
      <c r="P2413"/>
      <c r="Q2413"/>
      <c r="R2413"/>
      <c r="S2413"/>
      <c r="T2413"/>
      <c r="U2413"/>
      <c r="V2413"/>
      <c r="W2413"/>
      <c r="X2413"/>
      <c r="Y2413"/>
      <c r="Z2413"/>
      <c r="AA2413"/>
      <c r="AB2413"/>
      <c r="AC2413"/>
      <c r="AD2413"/>
      <c r="AE2413"/>
      <c r="AF2413"/>
      <c r="AG2413"/>
      <c r="AH2413"/>
      <c r="AI2413"/>
      <c r="AJ2413"/>
      <c r="AK2413"/>
      <c r="AL2413"/>
    </row>
    <row r="2414" spans="1:38" ht="15.75" customHeight="1" outlineLevel="3" x14ac:dyDescent="0.2">
      <c r="A2414" s="10">
        <v>101</v>
      </c>
      <c r="B2414" s="10" t="s">
        <v>71</v>
      </c>
      <c r="C2414" s="10" t="s">
        <v>515</v>
      </c>
      <c r="D2414" s="10" t="s">
        <v>507</v>
      </c>
      <c r="E2414" s="11" t="str">
        <f t="array" ref="E2414">_xlfn.XLOOKUP(D2414,Insumos!B:B,Insumos!C:$C)</f>
        <v>KG</v>
      </c>
      <c r="F2414" s="14">
        <v>0.01</v>
      </c>
      <c r="G2414" s="92">
        <f t="array" ref="G2414">IF(B2414="insumo",_xlfn.XLOOKUP($D2414,Insumos!$B$1:$B$996,Insumos!$D$1:$D$996),"")</f>
        <v>11.15</v>
      </c>
      <c r="H2414" s="92">
        <v>0.1115</v>
      </c>
      <c r="I2414" s="13">
        <v>0</v>
      </c>
      <c r="J2414" s="13">
        <v>0</v>
      </c>
      <c r="K2414" s="13"/>
      <c r="L2414"/>
      <c r="M2414"/>
      <c r="N2414"/>
      <c r="O2414"/>
      <c r="P2414"/>
      <c r="Q2414"/>
      <c r="R2414"/>
      <c r="S2414"/>
      <c r="T2414"/>
      <c r="U2414"/>
      <c r="V2414"/>
      <c r="W2414"/>
      <c r="X2414"/>
      <c r="Y2414"/>
      <c r="Z2414"/>
      <c r="AA2414"/>
      <c r="AB2414"/>
      <c r="AC2414"/>
      <c r="AD2414"/>
      <c r="AE2414"/>
      <c r="AF2414"/>
      <c r="AG2414"/>
      <c r="AH2414"/>
      <c r="AI2414"/>
      <c r="AJ2414"/>
      <c r="AK2414"/>
      <c r="AL2414"/>
    </row>
    <row r="2415" spans="1:38" ht="15.75" customHeight="1" outlineLevel="2" x14ac:dyDescent="0.2">
      <c r="A2415" s="1067">
        <v>1</v>
      </c>
      <c r="B2415" s="1067" t="s">
        <v>68</v>
      </c>
      <c r="C2415" s="1067" t="s">
        <v>2844</v>
      </c>
      <c r="D2415" s="1067" t="s">
        <v>2844</v>
      </c>
      <c r="E2415" s="1068" t="s">
        <v>70</v>
      </c>
      <c r="F2415" s="1067"/>
      <c r="G2415" s="1069" t="str">
        <f t="array" ref="G2415">IF(B2415="insumo",_xlfn.XLOOKUP($D2415,Insumos!$B$1:$B$996,Insumos!$D$1:$D$996),"")</f>
        <v/>
      </c>
      <c r="H2415" s="1069">
        <v>229.82759999999999</v>
      </c>
      <c r="I2415" s="1070" t="e">
        <v>#REF!</v>
      </c>
      <c r="J2415" s="1070" t="e">
        <v>#REF!</v>
      </c>
      <c r="K2415" s="1070"/>
      <c r="L2415"/>
      <c r="M2415"/>
      <c r="N2415"/>
      <c r="O2415"/>
      <c r="P2415"/>
      <c r="Q2415"/>
      <c r="R2415"/>
      <c r="S2415"/>
      <c r="T2415"/>
      <c r="U2415"/>
      <c r="V2415"/>
      <c r="W2415"/>
      <c r="X2415"/>
      <c r="Y2415"/>
      <c r="Z2415"/>
      <c r="AA2415"/>
      <c r="AB2415"/>
      <c r="AC2415"/>
      <c r="AD2415"/>
      <c r="AE2415"/>
      <c r="AF2415"/>
      <c r="AG2415"/>
      <c r="AH2415"/>
      <c r="AI2415"/>
      <c r="AJ2415"/>
      <c r="AK2415"/>
      <c r="AL2415"/>
    </row>
    <row r="2416" spans="1:38" ht="15.75" customHeight="1" outlineLevel="3" x14ac:dyDescent="0.2">
      <c r="A2416" s="10">
        <v>2</v>
      </c>
      <c r="B2416" s="10" t="s">
        <v>71</v>
      </c>
      <c r="C2416" s="10" t="s">
        <v>2844</v>
      </c>
      <c r="D2416" s="10" t="s">
        <v>2845</v>
      </c>
      <c r="E2416" s="11" t="str">
        <f t="array" ref="E2416">_xlfn.XLOOKUP(D2416,Insumos!B:B,Insumos!C:$C)</f>
        <v>M2</v>
      </c>
      <c r="F2416" s="14">
        <v>1.1000000000000001</v>
      </c>
      <c r="G2416" s="92">
        <f t="array" ref="G2416">IF(B2416="insumo",_xlfn.XLOOKUP($D2416,Insumos!$B$1:$B$996,Insumos!$D$1:$D$996),"")</f>
        <v>200</v>
      </c>
      <c r="H2416" s="92">
        <v>220</v>
      </c>
      <c r="I2416" s="13" t="e">
        <v>#REF!</v>
      </c>
      <c r="J2416" s="13" t="e">
        <v>#REF!</v>
      </c>
      <c r="K2416" s="13"/>
      <c r="L2416"/>
      <c r="M2416"/>
      <c r="N2416"/>
      <c r="O2416"/>
      <c r="P2416"/>
      <c r="Q2416"/>
      <c r="R2416"/>
      <c r="S2416"/>
      <c r="T2416"/>
      <c r="U2416"/>
      <c r="V2416"/>
      <c r="W2416"/>
      <c r="X2416"/>
      <c r="Y2416"/>
      <c r="Z2416"/>
      <c r="AA2416"/>
      <c r="AB2416"/>
      <c r="AC2416"/>
      <c r="AD2416"/>
      <c r="AE2416"/>
      <c r="AF2416"/>
      <c r="AG2416"/>
      <c r="AH2416"/>
      <c r="AI2416"/>
      <c r="AJ2416"/>
      <c r="AK2416"/>
      <c r="AL2416"/>
    </row>
    <row r="2417" spans="1:38" ht="15.75" customHeight="1" outlineLevel="3" x14ac:dyDescent="0.2">
      <c r="A2417" s="10">
        <v>191</v>
      </c>
      <c r="B2417" s="10" t="s">
        <v>71</v>
      </c>
      <c r="C2417" s="10" t="s">
        <v>2844</v>
      </c>
      <c r="D2417" s="10" t="s">
        <v>481</v>
      </c>
      <c r="E2417" s="11" t="str">
        <f t="array" ref="E2417">_xlfn.XLOOKUP(D2417,Insumos!B:B,Insumos!C:$C)</f>
        <v>KG</v>
      </c>
      <c r="F2417" s="14">
        <v>8.8000000000000007</v>
      </c>
      <c r="G2417" s="92">
        <f t="array" ref="G2417">IF(B2417="insumo",_xlfn.XLOOKUP($D2417,Insumos!$B$1:$B$996,Insumos!$D$1:$D$996),"")</f>
        <v>1.0645</v>
      </c>
      <c r="H2417" s="92">
        <v>9.3675999999999995</v>
      </c>
      <c r="I2417" s="13" t="e">
        <v>#REF!</v>
      </c>
      <c r="J2417" s="13" t="e">
        <v>#REF!</v>
      </c>
      <c r="K2417" s="13"/>
      <c r="L2417"/>
      <c r="M2417"/>
      <c r="N2417"/>
      <c r="O2417"/>
      <c r="P2417"/>
      <c r="Q2417"/>
      <c r="R2417"/>
      <c r="S2417"/>
      <c r="T2417"/>
      <c r="U2417"/>
      <c r="V2417"/>
      <c r="W2417"/>
      <c r="X2417"/>
      <c r="Y2417"/>
      <c r="Z2417"/>
      <c r="AA2417"/>
      <c r="AB2417"/>
      <c r="AC2417"/>
      <c r="AD2417"/>
      <c r="AE2417"/>
      <c r="AF2417"/>
      <c r="AG2417"/>
      <c r="AH2417"/>
      <c r="AI2417"/>
      <c r="AJ2417"/>
      <c r="AK2417"/>
      <c r="AL2417"/>
    </row>
    <row r="2418" spans="1:38" ht="15.75" customHeight="1" outlineLevel="3" x14ac:dyDescent="0.2">
      <c r="A2418" s="10">
        <v>142</v>
      </c>
      <c r="B2418" s="10" t="s">
        <v>71</v>
      </c>
      <c r="C2418" s="10" t="s">
        <v>2844</v>
      </c>
      <c r="D2418" s="10" t="s">
        <v>506</v>
      </c>
      <c r="E2418" s="11" t="str">
        <f t="array" ref="E2418">_xlfn.XLOOKUP(D2418,Insumos!B:B,Insumos!C:$C)</f>
        <v>UN</v>
      </c>
      <c r="F2418" s="14">
        <v>1</v>
      </c>
      <c r="G2418" s="92">
        <f t="array" ref="G2418">IF(B2418="insumo",_xlfn.XLOOKUP($D2418,Insumos!$B$1:$B$996,Insumos!$D$1:$D$996),"")</f>
        <v>0.08</v>
      </c>
      <c r="H2418" s="92">
        <v>0.08</v>
      </c>
      <c r="I2418" s="13" t="e">
        <v>#REF!</v>
      </c>
      <c r="J2418" s="13" t="e">
        <v>#REF!</v>
      </c>
      <c r="K2418" s="13"/>
      <c r="L2418"/>
      <c r="M2418"/>
      <c r="N2418"/>
      <c r="O2418"/>
      <c r="P2418"/>
      <c r="Q2418"/>
      <c r="R2418"/>
      <c r="S2418"/>
      <c r="T2418"/>
      <c r="U2418"/>
      <c r="V2418"/>
      <c r="W2418"/>
      <c r="X2418"/>
      <c r="Y2418"/>
      <c r="Z2418"/>
      <c r="AA2418"/>
      <c r="AB2418"/>
      <c r="AC2418"/>
      <c r="AD2418"/>
      <c r="AE2418"/>
      <c r="AF2418"/>
      <c r="AG2418"/>
      <c r="AH2418"/>
      <c r="AI2418"/>
      <c r="AJ2418"/>
      <c r="AK2418"/>
      <c r="AL2418"/>
    </row>
    <row r="2419" spans="1:38" ht="15.75" customHeight="1" outlineLevel="3" x14ac:dyDescent="0.2">
      <c r="A2419" s="10">
        <v>36</v>
      </c>
      <c r="B2419" s="10" t="s">
        <v>71</v>
      </c>
      <c r="C2419" s="82" t="s">
        <v>2844</v>
      </c>
      <c r="D2419" s="82" t="s">
        <v>2856</v>
      </c>
      <c r="E2419" s="11" t="str">
        <f t="array" ref="E2419">_xlfn.XLOOKUP(D2419,Insumos!B:B,Insumos!C:$C)</f>
        <v>KG</v>
      </c>
      <c r="F2419" s="14">
        <v>0.01</v>
      </c>
      <c r="G2419" s="92">
        <f t="array" ref="G2419">IF(B2419="insumo",_xlfn.XLOOKUP($D2419,Insumos!$B$1:$B$996,Insumos!$D$1:$D$996),"")</f>
        <v>38</v>
      </c>
      <c r="H2419" s="92">
        <v>0.38</v>
      </c>
      <c r="I2419" s="13" t="e">
        <v>#REF!</v>
      </c>
      <c r="J2419" s="13" t="e">
        <v>#REF!</v>
      </c>
      <c r="K2419" s="13"/>
      <c r="L2419"/>
      <c r="M2419"/>
      <c r="N2419"/>
      <c r="O2419"/>
      <c r="P2419"/>
      <c r="Q2419"/>
      <c r="R2419"/>
      <c r="S2419"/>
      <c r="T2419"/>
      <c r="U2419"/>
      <c r="V2419"/>
      <c r="W2419"/>
      <c r="X2419"/>
      <c r="Y2419"/>
      <c r="Z2419"/>
      <c r="AA2419"/>
      <c r="AB2419"/>
      <c r="AC2419"/>
      <c r="AD2419"/>
      <c r="AE2419"/>
      <c r="AF2419"/>
      <c r="AG2419"/>
      <c r="AH2419"/>
      <c r="AI2419"/>
      <c r="AJ2419"/>
      <c r="AK2419"/>
      <c r="AL2419"/>
    </row>
    <row r="2420" spans="1:38" ht="15.75" customHeight="1" outlineLevel="2" x14ac:dyDescent="0.2">
      <c r="A2420" s="1067">
        <v>1</v>
      </c>
      <c r="B2420" s="1067" t="s">
        <v>68</v>
      </c>
      <c r="C2420" s="1067" t="s">
        <v>2846</v>
      </c>
      <c r="D2420" s="1067" t="s">
        <v>2846</v>
      </c>
      <c r="E2420" s="1068" t="s">
        <v>70</v>
      </c>
      <c r="F2420" s="1067"/>
      <c r="G2420" s="1069" t="str">
        <f t="array" ref="G2420">IF(B2420="insumo",_xlfn.XLOOKUP($D2420,Insumos!$B$1:$B$996,Insumos!$D$1:$D$996),"")</f>
        <v/>
      </c>
      <c r="H2420" s="1069">
        <v>141.82759999999999</v>
      </c>
      <c r="I2420" s="1070" t="e">
        <v>#REF!</v>
      </c>
      <c r="J2420" s="1070" t="e">
        <v>#REF!</v>
      </c>
      <c r="K2420" s="1070"/>
      <c r="L2420"/>
      <c r="M2420"/>
      <c r="N2420"/>
      <c r="O2420"/>
      <c r="P2420"/>
      <c r="Q2420"/>
      <c r="R2420"/>
      <c r="S2420"/>
      <c r="T2420"/>
      <c r="U2420"/>
      <c r="V2420"/>
      <c r="W2420"/>
      <c r="X2420"/>
      <c r="Y2420"/>
      <c r="Z2420"/>
      <c r="AA2420"/>
      <c r="AB2420"/>
      <c r="AC2420"/>
      <c r="AD2420"/>
      <c r="AE2420"/>
      <c r="AF2420"/>
      <c r="AG2420"/>
      <c r="AH2420"/>
      <c r="AI2420"/>
      <c r="AJ2420"/>
      <c r="AK2420"/>
      <c r="AL2420"/>
    </row>
    <row r="2421" spans="1:38" ht="15.75" customHeight="1" outlineLevel="3" x14ac:dyDescent="0.2">
      <c r="A2421" s="10">
        <v>3</v>
      </c>
      <c r="B2421" s="10" t="s">
        <v>71</v>
      </c>
      <c r="C2421" s="10" t="s">
        <v>2846</v>
      </c>
      <c r="D2421" s="10" t="s">
        <v>2847</v>
      </c>
      <c r="E2421" s="11" t="str">
        <f t="array" ref="E2421">_xlfn.XLOOKUP(D2421,Insumos!B:B,Insumos!C:$C)</f>
        <v>M2</v>
      </c>
      <c r="F2421" s="14">
        <v>1.1000000000000001</v>
      </c>
      <c r="G2421" s="92">
        <f t="array" ref="G2421">IF(B2421="insumo",_xlfn.XLOOKUP($D2421,Insumos!$B$1:$B$996,Insumos!$D$1:$D$996),"")</f>
        <v>120</v>
      </c>
      <c r="H2421" s="92">
        <v>132</v>
      </c>
      <c r="I2421" s="13" t="e">
        <v>#REF!</v>
      </c>
      <c r="J2421" s="13" t="e">
        <v>#REF!</v>
      </c>
      <c r="K2421" s="13"/>
      <c r="L2421"/>
      <c r="M2421"/>
      <c r="N2421"/>
      <c r="O2421"/>
      <c r="P2421"/>
      <c r="Q2421"/>
      <c r="R2421"/>
      <c r="S2421"/>
      <c r="T2421"/>
      <c r="U2421"/>
      <c r="V2421"/>
      <c r="W2421"/>
      <c r="X2421"/>
      <c r="Y2421"/>
      <c r="Z2421"/>
      <c r="AA2421"/>
      <c r="AB2421"/>
      <c r="AC2421"/>
      <c r="AD2421"/>
      <c r="AE2421"/>
      <c r="AF2421"/>
      <c r="AG2421"/>
      <c r="AH2421"/>
      <c r="AI2421"/>
      <c r="AJ2421"/>
      <c r="AK2421"/>
      <c r="AL2421"/>
    </row>
    <row r="2422" spans="1:38" ht="15.75" customHeight="1" outlineLevel="3" x14ac:dyDescent="0.2">
      <c r="A2422" s="10">
        <v>191</v>
      </c>
      <c r="B2422" s="10" t="s">
        <v>71</v>
      </c>
      <c r="C2422" s="10" t="s">
        <v>2846</v>
      </c>
      <c r="D2422" s="10" t="s">
        <v>481</v>
      </c>
      <c r="E2422" s="11" t="str">
        <f t="array" ref="E2422">_xlfn.XLOOKUP(D2422,Insumos!B:B,Insumos!C:$C)</f>
        <v>KG</v>
      </c>
      <c r="F2422" s="14">
        <v>8.8000000000000007</v>
      </c>
      <c r="G2422" s="92">
        <f t="array" ref="G2422">IF(B2422="insumo",_xlfn.XLOOKUP($D2422,Insumos!$B$1:$B$996,Insumos!$D$1:$D$996),"")</f>
        <v>1.0645</v>
      </c>
      <c r="H2422" s="92">
        <v>9.3675999999999995</v>
      </c>
      <c r="I2422" s="13" t="e">
        <v>#REF!</v>
      </c>
      <c r="J2422" s="13" t="e">
        <v>#REF!</v>
      </c>
      <c r="K2422" s="13"/>
      <c r="L2422"/>
      <c r="M2422"/>
      <c r="N2422"/>
      <c r="O2422"/>
      <c r="P2422"/>
      <c r="Q2422"/>
      <c r="R2422"/>
      <c r="S2422"/>
      <c r="T2422"/>
      <c r="U2422"/>
      <c r="V2422"/>
      <c r="W2422"/>
      <c r="X2422"/>
      <c r="Y2422"/>
      <c r="Z2422"/>
      <c r="AA2422"/>
      <c r="AB2422"/>
      <c r="AC2422"/>
      <c r="AD2422"/>
      <c r="AE2422"/>
      <c r="AF2422"/>
      <c r="AG2422"/>
      <c r="AH2422"/>
      <c r="AI2422"/>
      <c r="AJ2422"/>
      <c r="AK2422"/>
      <c r="AL2422"/>
    </row>
    <row r="2423" spans="1:38" ht="15.75" customHeight="1" outlineLevel="3" x14ac:dyDescent="0.2">
      <c r="A2423" s="10">
        <v>142</v>
      </c>
      <c r="B2423" s="10" t="s">
        <v>71</v>
      </c>
      <c r="C2423" s="10" t="s">
        <v>2846</v>
      </c>
      <c r="D2423" s="10" t="s">
        <v>506</v>
      </c>
      <c r="E2423" s="11" t="str">
        <f t="array" ref="E2423">_xlfn.XLOOKUP(D2423,Insumos!B:B,Insumos!C:$C)</f>
        <v>UN</v>
      </c>
      <c r="F2423" s="14">
        <v>1</v>
      </c>
      <c r="G2423" s="92">
        <f t="array" ref="G2423">IF(B2423="insumo",_xlfn.XLOOKUP($D2423,Insumos!$B$1:$B$996,Insumos!$D$1:$D$996),"")</f>
        <v>0.08</v>
      </c>
      <c r="H2423" s="92">
        <v>0.08</v>
      </c>
      <c r="I2423" s="13" t="e">
        <v>#REF!</v>
      </c>
      <c r="J2423" s="13" t="e">
        <v>#REF!</v>
      </c>
      <c r="K2423" s="13"/>
      <c r="L2423"/>
      <c r="M2423"/>
      <c r="N2423"/>
      <c r="O2423"/>
      <c r="P2423"/>
      <c r="Q2423"/>
      <c r="R2423"/>
      <c r="S2423"/>
      <c r="T2423"/>
      <c r="U2423"/>
      <c r="V2423"/>
      <c r="W2423"/>
      <c r="X2423"/>
      <c r="Y2423"/>
      <c r="Z2423"/>
      <c r="AA2423"/>
      <c r="AB2423"/>
      <c r="AC2423"/>
      <c r="AD2423"/>
      <c r="AE2423"/>
      <c r="AF2423"/>
      <c r="AG2423"/>
      <c r="AH2423"/>
      <c r="AI2423"/>
      <c r="AJ2423"/>
      <c r="AK2423"/>
      <c r="AL2423"/>
    </row>
    <row r="2424" spans="1:38" ht="15.75" customHeight="1" outlineLevel="3" x14ac:dyDescent="0.2">
      <c r="A2424" s="10">
        <v>36</v>
      </c>
      <c r="B2424" s="10" t="s">
        <v>71</v>
      </c>
      <c r="C2424" s="82" t="s">
        <v>2846</v>
      </c>
      <c r="D2424" s="82" t="s">
        <v>2856</v>
      </c>
      <c r="E2424" s="11" t="str">
        <f t="array" ref="E2424">_xlfn.XLOOKUP(D2424,Insumos!B:B,Insumos!C:$C)</f>
        <v>KG</v>
      </c>
      <c r="F2424" s="14">
        <v>0.01</v>
      </c>
      <c r="G2424" s="92">
        <f t="array" ref="G2424">IF(B2424="insumo",_xlfn.XLOOKUP($D2424,Insumos!$B$1:$B$996,Insumos!$D$1:$D$996),"")</f>
        <v>38</v>
      </c>
      <c r="H2424" s="92">
        <v>0.38</v>
      </c>
      <c r="I2424" s="13" t="e">
        <v>#REF!</v>
      </c>
      <c r="J2424" s="13" t="e">
        <v>#REF!</v>
      </c>
      <c r="K2424" s="13"/>
      <c r="L2424"/>
      <c r="M2424"/>
      <c r="N2424"/>
      <c r="O2424"/>
      <c r="P2424"/>
      <c r="Q2424"/>
      <c r="R2424"/>
      <c r="S2424"/>
      <c r="T2424"/>
      <c r="U2424"/>
      <c r="V2424"/>
      <c r="W2424"/>
      <c r="X2424"/>
      <c r="Y2424"/>
      <c r="Z2424"/>
      <c r="AA2424"/>
      <c r="AB2424"/>
      <c r="AC2424"/>
      <c r="AD2424"/>
      <c r="AE2424"/>
      <c r="AF2424"/>
      <c r="AG2424"/>
      <c r="AH2424"/>
      <c r="AI2424"/>
      <c r="AJ2424"/>
      <c r="AK2424"/>
      <c r="AL2424"/>
    </row>
    <row r="2425" spans="1:38" ht="15.75" customHeight="1" outlineLevel="2" x14ac:dyDescent="0.2">
      <c r="A2425" s="1067">
        <v>1</v>
      </c>
      <c r="B2425" s="1067" t="s">
        <v>68</v>
      </c>
      <c r="C2425" s="1067" t="s">
        <v>3005</v>
      </c>
      <c r="D2425" s="1067" t="s">
        <v>3005</v>
      </c>
      <c r="E2425" s="1068" t="s">
        <v>70</v>
      </c>
      <c r="F2425" s="1067"/>
      <c r="G2425" s="1069" t="str">
        <f t="array" ref="G2425">IF(B2425="insumo",_xlfn.XLOOKUP($D2425,Insumos!$B$1:$B$996,Insumos!$D$1:$D$996),"")</f>
        <v/>
      </c>
      <c r="H2425" s="1069">
        <v>117.6276</v>
      </c>
      <c r="I2425" s="1070">
        <v>0</v>
      </c>
      <c r="J2425" s="1070">
        <v>0</v>
      </c>
      <c r="K2425" s="1070"/>
      <c r="L2425"/>
      <c r="M2425"/>
      <c r="N2425"/>
      <c r="O2425"/>
      <c r="P2425"/>
      <c r="Q2425"/>
      <c r="R2425"/>
      <c r="S2425"/>
      <c r="T2425"/>
      <c r="U2425"/>
      <c r="V2425"/>
      <c r="W2425"/>
      <c r="X2425"/>
      <c r="Y2425"/>
      <c r="Z2425"/>
      <c r="AA2425"/>
      <c r="AB2425"/>
      <c r="AC2425"/>
      <c r="AD2425"/>
      <c r="AE2425"/>
      <c r="AF2425"/>
      <c r="AG2425"/>
      <c r="AH2425"/>
      <c r="AI2425"/>
      <c r="AJ2425"/>
      <c r="AK2425"/>
      <c r="AL2425"/>
    </row>
    <row r="2426" spans="1:38" ht="15.75" customHeight="1" outlineLevel="3" x14ac:dyDescent="0.2">
      <c r="A2426" s="10">
        <v>2</v>
      </c>
      <c r="B2426" s="10" t="s">
        <v>71</v>
      </c>
      <c r="C2426" s="10" t="s">
        <v>3005</v>
      </c>
      <c r="D2426" s="10" t="s">
        <v>3006</v>
      </c>
      <c r="E2426" s="11" t="str">
        <f t="array" ref="E2426">_xlfn.XLOOKUP(D2426,Insumos!B:B,Insumos!C:$C)</f>
        <v>M2</v>
      </c>
      <c r="F2426" s="14">
        <v>1.1000000000000001</v>
      </c>
      <c r="G2426" s="92">
        <f t="array" ref="G2426">IF(B2426="insumo",_xlfn.XLOOKUP($D2426,Insumos!$B$1:$B$996,Insumos!$D$1:$D$996),"")</f>
        <v>98</v>
      </c>
      <c r="H2426" s="92">
        <v>107.8</v>
      </c>
      <c r="I2426" s="13">
        <v>0</v>
      </c>
      <c r="J2426" s="13">
        <v>0</v>
      </c>
      <c r="K2426" s="13"/>
      <c r="L2426"/>
      <c r="M2426"/>
      <c r="N2426"/>
      <c r="O2426"/>
      <c r="P2426"/>
      <c r="Q2426"/>
      <c r="R2426"/>
      <c r="S2426"/>
      <c r="T2426"/>
      <c r="U2426"/>
      <c r="V2426"/>
      <c r="W2426"/>
      <c r="X2426"/>
      <c r="Y2426"/>
      <c r="Z2426"/>
      <c r="AA2426"/>
      <c r="AB2426"/>
      <c r="AC2426"/>
      <c r="AD2426"/>
      <c r="AE2426"/>
      <c r="AF2426"/>
      <c r="AG2426"/>
      <c r="AH2426"/>
      <c r="AI2426"/>
      <c r="AJ2426"/>
      <c r="AK2426"/>
      <c r="AL2426"/>
    </row>
    <row r="2427" spans="1:38" ht="15.75" customHeight="1" outlineLevel="3" x14ac:dyDescent="0.2">
      <c r="A2427" s="10">
        <v>191</v>
      </c>
      <c r="B2427" s="10" t="s">
        <v>71</v>
      </c>
      <c r="C2427" s="10" t="s">
        <v>3005</v>
      </c>
      <c r="D2427" s="10" t="s">
        <v>481</v>
      </c>
      <c r="E2427" s="11" t="str">
        <f t="array" ref="E2427">_xlfn.XLOOKUP(D2427,Insumos!B:B,Insumos!C:$C)</f>
        <v>KG</v>
      </c>
      <c r="F2427" s="14">
        <v>8.8000000000000007</v>
      </c>
      <c r="G2427" s="92">
        <f t="array" ref="G2427">IF(B2427="insumo",_xlfn.XLOOKUP($D2427,Insumos!$B$1:$B$996,Insumos!$D$1:$D$996),"")</f>
        <v>1.0645</v>
      </c>
      <c r="H2427" s="92">
        <v>9.3675999999999995</v>
      </c>
      <c r="I2427" s="13">
        <v>0</v>
      </c>
      <c r="J2427" s="13">
        <v>0</v>
      </c>
      <c r="K2427" s="13"/>
      <c r="L2427"/>
      <c r="M2427"/>
      <c r="N2427"/>
      <c r="O2427"/>
      <c r="P2427"/>
      <c r="Q2427"/>
      <c r="R2427"/>
      <c r="S2427"/>
      <c r="T2427"/>
      <c r="U2427"/>
      <c r="V2427"/>
      <c r="W2427"/>
      <c r="X2427"/>
      <c r="Y2427"/>
      <c r="Z2427"/>
      <c r="AA2427"/>
      <c r="AB2427"/>
      <c r="AC2427"/>
      <c r="AD2427"/>
      <c r="AE2427"/>
      <c r="AF2427"/>
      <c r="AG2427"/>
      <c r="AH2427"/>
      <c r="AI2427"/>
      <c r="AJ2427"/>
      <c r="AK2427"/>
      <c r="AL2427"/>
    </row>
    <row r="2428" spans="1:38" ht="15.75" customHeight="1" outlineLevel="3" x14ac:dyDescent="0.2">
      <c r="A2428" s="10">
        <v>142</v>
      </c>
      <c r="B2428" s="10" t="s">
        <v>71</v>
      </c>
      <c r="C2428" s="10" t="s">
        <v>3005</v>
      </c>
      <c r="D2428" s="10" t="s">
        <v>506</v>
      </c>
      <c r="E2428" s="11" t="str">
        <f t="array" ref="E2428">_xlfn.XLOOKUP(D2428,Insumos!B:B,Insumos!C:$C)</f>
        <v>UN</v>
      </c>
      <c r="F2428" s="14">
        <v>1</v>
      </c>
      <c r="G2428" s="92">
        <f t="array" ref="G2428">IF(B2428="insumo",_xlfn.XLOOKUP($D2428,Insumos!$B$1:$B$996,Insumos!$D$1:$D$996),"")</f>
        <v>0.08</v>
      </c>
      <c r="H2428" s="92">
        <v>0.08</v>
      </c>
      <c r="I2428" s="13">
        <v>0</v>
      </c>
      <c r="J2428" s="13">
        <v>0</v>
      </c>
      <c r="K2428" s="13"/>
      <c r="L2428"/>
      <c r="M2428"/>
      <c r="N2428"/>
      <c r="O2428"/>
      <c r="P2428"/>
      <c r="Q2428"/>
      <c r="R2428"/>
      <c r="S2428"/>
      <c r="T2428"/>
      <c r="U2428"/>
      <c r="V2428"/>
      <c r="W2428"/>
      <c r="X2428"/>
      <c r="Y2428"/>
      <c r="Z2428"/>
      <c r="AA2428"/>
      <c r="AB2428"/>
      <c r="AC2428"/>
      <c r="AD2428"/>
      <c r="AE2428"/>
      <c r="AF2428"/>
      <c r="AG2428"/>
      <c r="AH2428"/>
      <c r="AI2428"/>
      <c r="AJ2428"/>
      <c r="AK2428"/>
      <c r="AL2428"/>
    </row>
    <row r="2429" spans="1:38" ht="15.75" customHeight="1" outlineLevel="3" x14ac:dyDescent="0.2">
      <c r="A2429" s="10">
        <v>36</v>
      </c>
      <c r="B2429" s="10" t="s">
        <v>71</v>
      </c>
      <c r="C2429" s="82" t="s">
        <v>3005</v>
      </c>
      <c r="D2429" s="82" t="s">
        <v>2856</v>
      </c>
      <c r="E2429" s="11" t="str">
        <f t="array" ref="E2429">_xlfn.XLOOKUP(D2429,Insumos!B:B,Insumos!C:$C)</f>
        <v>KG</v>
      </c>
      <c r="F2429" s="14">
        <v>0.01</v>
      </c>
      <c r="G2429" s="92">
        <f t="array" ref="G2429">IF(B2429="insumo",_xlfn.XLOOKUP($D2429,Insumos!$B$1:$B$996,Insumos!$D$1:$D$996),"")</f>
        <v>38</v>
      </c>
      <c r="H2429" s="92">
        <v>0.38</v>
      </c>
      <c r="I2429" s="13">
        <v>0</v>
      </c>
      <c r="J2429" s="13">
        <v>0</v>
      </c>
      <c r="K2429" s="13"/>
      <c r="L2429"/>
      <c r="M2429"/>
      <c r="N2429"/>
      <c r="O2429"/>
      <c r="P2429"/>
      <c r="Q2429"/>
      <c r="R2429"/>
      <c r="S2429"/>
      <c r="T2429"/>
      <c r="U2429"/>
      <c r="V2429"/>
      <c r="W2429"/>
      <c r="X2429"/>
      <c r="Y2429"/>
      <c r="Z2429"/>
      <c r="AA2429"/>
      <c r="AB2429"/>
      <c r="AC2429"/>
      <c r="AD2429"/>
      <c r="AE2429"/>
      <c r="AF2429"/>
      <c r="AG2429"/>
      <c r="AH2429"/>
      <c r="AI2429"/>
      <c r="AJ2429"/>
      <c r="AK2429"/>
      <c r="AL2429"/>
    </row>
    <row r="2430" spans="1:38" ht="15.75" customHeight="1" outlineLevel="2" x14ac:dyDescent="0.2">
      <c r="A2430" s="1067">
        <v>1</v>
      </c>
      <c r="B2430" s="1067" t="s">
        <v>68</v>
      </c>
      <c r="C2430" s="1067" t="s">
        <v>517</v>
      </c>
      <c r="D2430" s="1067" t="s">
        <v>517</v>
      </c>
      <c r="E2430" s="1068" t="s">
        <v>70</v>
      </c>
      <c r="F2430" s="1067"/>
      <c r="G2430" s="1069" t="str">
        <f t="array" ref="G2430">IF(B2430="insumo",_xlfn.XLOOKUP($D2430,Insumos!$B$1:$B$996,Insumos!$D$1:$D$996),"")</f>
        <v/>
      </c>
      <c r="H2430" s="1069">
        <v>231.77010000000001</v>
      </c>
      <c r="I2430" s="1070">
        <v>0</v>
      </c>
      <c r="J2430" s="1070">
        <v>0</v>
      </c>
      <c r="K2430" s="1070"/>
      <c r="L2430"/>
      <c r="M2430"/>
      <c r="N2430"/>
      <c r="O2430"/>
      <c r="P2430"/>
      <c r="Q2430"/>
      <c r="R2430"/>
      <c r="S2430"/>
      <c r="T2430"/>
      <c r="U2430"/>
      <c r="V2430"/>
      <c r="W2430"/>
      <c r="X2430"/>
      <c r="Y2430"/>
      <c r="Z2430"/>
      <c r="AA2430"/>
      <c r="AB2430"/>
      <c r="AC2430"/>
      <c r="AD2430"/>
      <c r="AE2430"/>
      <c r="AF2430"/>
      <c r="AG2430"/>
      <c r="AH2430"/>
      <c r="AI2430"/>
      <c r="AJ2430"/>
      <c r="AK2430"/>
      <c r="AL2430"/>
    </row>
    <row r="2431" spans="1:38" ht="15.75" customHeight="1" outlineLevel="3" x14ac:dyDescent="0.2">
      <c r="A2431" s="10">
        <v>1</v>
      </c>
      <c r="B2431" s="10" t="s">
        <v>71</v>
      </c>
      <c r="C2431" s="10" t="s">
        <v>517</v>
      </c>
      <c r="D2431" s="10" t="s">
        <v>518</v>
      </c>
      <c r="E2431" s="11" t="str">
        <f t="array" ref="E2431">_xlfn.XLOOKUP(D2431,Insumos!B:B,Insumos!C:$C)</f>
        <v>M2</v>
      </c>
      <c r="F2431" s="14">
        <v>1.1000000000000001</v>
      </c>
      <c r="G2431" s="92">
        <f t="array" ref="G2431">IF(B2431="insumo",_xlfn.XLOOKUP($D2431,Insumos!$B$1:$B$996,Insumos!$D$1:$D$996),"")</f>
        <v>202.01</v>
      </c>
      <c r="H2431" s="92">
        <v>222.21100000000001</v>
      </c>
      <c r="I2431" s="13">
        <v>0</v>
      </c>
      <c r="J2431" s="13">
        <v>0</v>
      </c>
      <c r="K2431" s="13"/>
      <c r="L2431"/>
      <c r="M2431"/>
      <c r="N2431"/>
      <c r="O2431"/>
      <c r="P2431"/>
      <c r="Q2431"/>
      <c r="R2431"/>
      <c r="S2431"/>
      <c r="T2431"/>
      <c r="U2431"/>
      <c r="V2431"/>
      <c r="W2431"/>
      <c r="X2431"/>
      <c r="Y2431"/>
      <c r="Z2431"/>
      <c r="AA2431"/>
      <c r="AB2431"/>
      <c r="AC2431"/>
      <c r="AD2431"/>
      <c r="AE2431"/>
      <c r="AF2431"/>
      <c r="AG2431"/>
      <c r="AH2431"/>
      <c r="AI2431"/>
      <c r="AJ2431"/>
      <c r="AK2431"/>
      <c r="AL2431"/>
    </row>
    <row r="2432" spans="1:38" ht="15.75" customHeight="1" outlineLevel="3" x14ac:dyDescent="0.2">
      <c r="A2432" s="10">
        <v>191</v>
      </c>
      <c r="B2432" s="10" t="s">
        <v>71</v>
      </c>
      <c r="C2432" s="10" t="s">
        <v>517</v>
      </c>
      <c r="D2432" s="10" t="s">
        <v>481</v>
      </c>
      <c r="E2432" s="11" t="str">
        <f t="array" ref="E2432">_xlfn.XLOOKUP(D2432,Insumos!B:B,Insumos!C:$C)</f>
        <v>KG</v>
      </c>
      <c r="F2432" s="14">
        <v>8.8000000000000007</v>
      </c>
      <c r="G2432" s="92">
        <f t="array" ref="G2432">IF(B2432="insumo",_xlfn.XLOOKUP($D2432,Insumos!$B$1:$B$996,Insumos!$D$1:$D$996),"")</f>
        <v>1.0645</v>
      </c>
      <c r="H2432" s="92">
        <v>9.3675999999999995</v>
      </c>
      <c r="I2432" s="13">
        <v>0</v>
      </c>
      <c r="J2432" s="13">
        <v>0</v>
      </c>
      <c r="K2432" s="13"/>
      <c r="L2432"/>
      <c r="M2432"/>
      <c r="N2432"/>
      <c r="O2432"/>
      <c r="P2432"/>
      <c r="Q2432"/>
      <c r="R2432"/>
      <c r="S2432"/>
      <c r="T2432"/>
      <c r="U2432"/>
      <c r="V2432"/>
      <c r="W2432"/>
      <c r="X2432"/>
      <c r="Y2432"/>
      <c r="Z2432"/>
      <c r="AA2432"/>
      <c r="AB2432"/>
      <c r="AC2432"/>
      <c r="AD2432"/>
      <c r="AE2432"/>
      <c r="AF2432"/>
      <c r="AG2432"/>
      <c r="AH2432"/>
      <c r="AI2432"/>
      <c r="AJ2432"/>
      <c r="AK2432"/>
      <c r="AL2432"/>
    </row>
    <row r="2433" spans="1:38" ht="15.75" customHeight="1" outlineLevel="3" x14ac:dyDescent="0.2">
      <c r="A2433" s="10">
        <v>142</v>
      </c>
      <c r="B2433" s="10" t="s">
        <v>71</v>
      </c>
      <c r="C2433" s="10" t="s">
        <v>517</v>
      </c>
      <c r="D2433" s="10" t="s">
        <v>506</v>
      </c>
      <c r="E2433" s="11" t="str">
        <f t="array" ref="E2433">_xlfn.XLOOKUP(D2433,Insumos!B:B,Insumos!C:$C)</f>
        <v>UN</v>
      </c>
      <c r="F2433" s="14">
        <v>1</v>
      </c>
      <c r="G2433" s="92">
        <f t="array" ref="G2433">IF(B2433="insumo",_xlfn.XLOOKUP($D2433,Insumos!$B$1:$B$996,Insumos!$D$1:$D$996),"")</f>
        <v>0.08</v>
      </c>
      <c r="H2433" s="92">
        <v>0.08</v>
      </c>
      <c r="I2433" s="13">
        <v>0</v>
      </c>
      <c r="J2433" s="13">
        <v>0</v>
      </c>
      <c r="K2433" s="13"/>
      <c r="L2433"/>
      <c r="M2433"/>
      <c r="N2433"/>
      <c r="O2433"/>
      <c r="P2433"/>
      <c r="Q2433"/>
      <c r="R2433"/>
      <c r="S2433"/>
      <c r="T2433"/>
      <c r="U2433"/>
      <c r="V2433"/>
      <c r="W2433"/>
      <c r="X2433"/>
      <c r="Y2433"/>
      <c r="Z2433"/>
      <c r="AA2433"/>
      <c r="AB2433"/>
      <c r="AC2433"/>
      <c r="AD2433"/>
      <c r="AE2433"/>
      <c r="AF2433"/>
      <c r="AG2433"/>
      <c r="AH2433"/>
      <c r="AI2433"/>
      <c r="AJ2433"/>
      <c r="AK2433"/>
      <c r="AL2433"/>
    </row>
    <row r="2434" spans="1:38" ht="15.75" customHeight="1" outlineLevel="3" x14ac:dyDescent="0.2">
      <c r="A2434" s="10">
        <v>101</v>
      </c>
      <c r="B2434" s="10" t="s">
        <v>71</v>
      </c>
      <c r="C2434" s="10" t="s">
        <v>517</v>
      </c>
      <c r="D2434" s="10" t="s">
        <v>507</v>
      </c>
      <c r="E2434" s="11" t="str">
        <f t="array" ref="E2434">_xlfn.XLOOKUP(D2434,Insumos!B:B,Insumos!C:$C)</f>
        <v>KG</v>
      </c>
      <c r="F2434" s="14">
        <v>0.01</v>
      </c>
      <c r="G2434" s="92">
        <f t="array" ref="G2434">IF(B2434="insumo",_xlfn.XLOOKUP($D2434,Insumos!$B$1:$B$996,Insumos!$D$1:$D$996),"")</f>
        <v>11.15</v>
      </c>
      <c r="H2434" s="92">
        <v>0.1115</v>
      </c>
      <c r="I2434" s="13">
        <v>0</v>
      </c>
      <c r="J2434" s="13">
        <v>0</v>
      </c>
      <c r="K2434" s="13"/>
      <c r="L2434"/>
      <c r="M2434"/>
      <c r="N2434"/>
      <c r="O2434"/>
      <c r="P2434"/>
      <c r="Q2434"/>
      <c r="R2434"/>
      <c r="S2434"/>
      <c r="T2434"/>
      <c r="U2434"/>
      <c r="V2434"/>
      <c r="W2434"/>
      <c r="X2434"/>
      <c r="Y2434"/>
      <c r="Z2434"/>
      <c r="AA2434"/>
      <c r="AB2434"/>
      <c r="AC2434"/>
      <c r="AD2434"/>
      <c r="AE2434"/>
      <c r="AF2434"/>
      <c r="AG2434"/>
      <c r="AH2434"/>
      <c r="AI2434"/>
      <c r="AJ2434"/>
      <c r="AK2434"/>
      <c r="AL2434"/>
    </row>
    <row r="2435" spans="1:38" ht="15.75" customHeight="1" outlineLevel="2" x14ac:dyDescent="0.2">
      <c r="A2435" s="1067">
        <v>1</v>
      </c>
      <c r="B2435" s="1067" t="s">
        <v>68</v>
      </c>
      <c r="C2435" s="1067" t="s">
        <v>1412</v>
      </c>
      <c r="D2435" s="1067" t="s">
        <v>1412</v>
      </c>
      <c r="E2435" s="1068" t="s">
        <v>70</v>
      </c>
      <c r="F2435" s="1067"/>
      <c r="G2435" s="1069" t="str">
        <f t="array" ref="G2435">IF(B2435="insumo",_xlfn.XLOOKUP($D2435,Insumos!$B$1:$B$996,Insumos!$D$1:$D$996),"")</f>
        <v/>
      </c>
      <c r="H2435" s="1069">
        <v>131.10910000000001</v>
      </c>
      <c r="I2435" s="1070">
        <v>0</v>
      </c>
      <c r="J2435" s="1070">
        <v>0</v>
      </c>
      <c r="K2435" s="1070"/>
      <c r="L2435"/>
      <c r="M2435"/>
      <c r="N2435"/>
      <c r="O2435"/>
      <c r="P2435"/>
      <c r="Q2435"/>
      <c r="R2435"/>
      <c r="S2435"/>
      <c r="T2435"/>
      <c r="U2435"/>
      <c r="V2435"/>
      <c r="W2435"/>
      <c r="X2435"/>
      <c r="Y2435"/>
      <c r="Z2435"/>
      <c r="AA2435"/>
      <c r="AB2435"/>
      <c r="AC2435"/>
      <c r="AD2435"/>
      <c r="AE2435"/>
      <c r="AF2435"/>
      <c r="AG2435"/>
      <c r="AH2435"/>
      <c r="AI2435"/>
      <c r="AJ2435"/>
      <c r="AK2435"/>
      <c r="AL2435"/>
    </row>
    <row r="2436" spans="1:38" ht="15.75" customHeight="1" outlineLevel="3" x14ac:dyDescent="0.2">
      <c r="A2436" s="10">
        <v>3</v>
      </c>
      <c r="B2436" s="10" t="s">
        <v>71</v>
      </c>
      <c r="C2436" s="10" t="s">
        <v>1412</v>
      </c>
      <c r="D2436" s="10" t="s">
        <v>1425</v>
      </c>
      <c r="E2436" s="11" t="str">
        <f t="array" ref="E2436">_xlfn.XLOOKUP(D2436,Insumos!B:B,Insumos!C:$C)</f>
        <v>M2</v>
      </c>
      <c r="F2436" s="14">
        <v>1.1000000000000001</v>
      </c>
      <c r="G2436" s="92">
        <f t="array" ref="G2436">IF(B2436="insumo",_xlfn.XLOOKUP($D2436,Insumos!$B$1:$B$996,Insumos!$D$1:$D$996),"")</f>
        <v>110.5</v>
      </c>
      <c r="H2436" s="92">
        <v>121.55</v>
      </c>
      <c r="I2436" s="13">
        <v>0</v>
      </c>
      <c r="J2436" s="13">
        <v>0</v>
      </c>
      <c r="K2436" s="13"/>
      <c r="L2436"/>
      <c r="M2436"/>
      <c r="N2436"/>
      <c r="O2436"/>
      <c r="P2436"/>
      <c r="Q2436"/>
      <c r="R2436"/>
      <c r="S2436"/>
      <c r="T2436"/>
      <c r="U2436"/>
      <c r="V2436"/>
      <c r="W2436"/>
      <c r="X2436"/>
      <c r="Y2436"/>
      <c r="Z2436"/>
      <c r="AA2436"/>
      <c r="AB2436"/>
      <c r="AC2436"/>
      <c r="AD2436"/>
      <c r="AE2436"/>
      <c r="AF2436"/>
      <c r="AG2436"/>
      <c r="AH2436"/>
      <c r="AI2436"/>
      <c r="AJ2436"/>
      <c r="AK2436"/>
      <c r="AL2436"/>
    </row>
    <row r="2437" spans="1:38" ht="15.75" customHeight="1" outlineLevel="3" x14ac:dyDescent="0.2">
      <c r="A2437" s="10">
        <v>191</v>
      </c>
      <c r="B2437" s="10" t="s">
        <v>71</v>
      </c>
      <c r="C2437" s="10" t="s">
        <v>1412</v>
      </c>
      <c r="D2437" s="10" t="s">
        <v>481</v>
      </c>
      <c r="E2437" s="11" t="str">
        <f t="array" ref="E2437">_xlfn.XLOOKUP(D2437,Insumos!B:B,Insumos!C:$C)</f>
        <v>KG</v>
      </c>
      <c r="F2437" s="14">
        <v>8.8000000000000007</v>
      </c>
      <c r="G2437" s="92">
        <f t="array" ref="G2437">IF(B2437="insumo",_xlfn.XLOOKUP($D2437,Insumos!$B$1:$B$996,Insumos!$D$1:$D$996),"")</f>
        <v>1.0645</v>
      </c>
      <c r="H2437" s="92">
        <v>9.3675999999999995</v>
      </c>
      <c r="I2437" s="13">
        <v>0</v>
      </c>
      <c r="J2437" s="13">
        <v>0</v>
      </c>
      <c r="K2437" s="13"/>
      <c r="L2437"/>
      <c r="M2437"/>
      <c r="N2437"/>
      <c r="O2437"/>
      <c r="P2437"/>
      <c r="Q2437"/>
      <c r="R2437"/>
      <c r="S2437"/>
      <c r="T2437"/>
      <c r="U2437"/>
      <c r="V2437"/>
      <c r="W2437"/>
      <c r="X2437"/>
      <c r="Y2437"/>
      <c r="Z2437"/>
      <c r="AA2437"/>
      <c r="AB2437"/>
      <c r="AC2437"/>
      <c r="AD2437"/>
      <c r="AE2437"/>
      <c r="AF2437"/>
      <c r="AG2437"/>
      <c r="AH2437"/>
      <c r="AI2437"/>
      <c r="AJ2437"/>
      <c r="AK2437"/>
      <c r="AL2437"/>
    </row>
    <row r="2438" spans="1:38" ht="15.75" customHeight="1" outlineLevel="3" x14ac:dyDescent="0.2">
      <c r="A2438" s="10">
        <v>142</v>
      </c>
      <c r="B2438" s="10" t="s">
        <v>71</v>
      </c>
      <c r="C2438" s="10" t="s">
        <v>1412</v>
      </c>
      <c r="D2438" s="10" t="s">
        <v>506</v>
      </c>
      <c r="E2438" s="11" t="str">
        <f t="array" ref="E2438">_xlfn.XLOOKUP(D2438,Insumos!B:B,Insumos!C:$C)</f>
        <v>UN</v>
      </c>
      <c r="F2438" s="14">
        <v>1</v>
      </c>
      <c r="G2438" s="92">
        <f t="array" ref="G2438">IF(B2438="insumo",_xlfn.XLOOKUP($D2438,Insumos!$B$1:$B$996,Insumos!$D$1:$D$996),"")</f>
        <v>0.08</v>
      </c>
      <c r="H2438" s="92">
        <v>0.08</v>
      </c>
      <c r="I2438" s="13">
        <v>0</v>
      </c>
      <c r="J2438" s="13">
        <v>0</v>
      </c>
      <c r="K2438" s="13"/>
      <c r="L2438"/>
      <c r="M2438"/>
      <c r="N2438"/>
      <c r="O2438"/>
      <c r="P2438"/>
      <c r="Q2438"/>
      <c r="R2438"/>
      <c r="S2438"/>
      <c r="T2438"/>
      <c r="U2438"/>
      <c r="V2438"/>
      <c r="W2438"/>
      <c r="X2438"/>
      <c r="Y2438"/>
      <c r="Z2438"/>
      <c r="AA2438"/>
      <c r="AB2438"/>
      <c r="AC2438"/>
      <c r="AD2438"/>
      <c r="AE2438"/>
      <c r="AF2438"/>
      <c r="AG2438"/>
      <c r="AH2438"/>
      <c r="AI2438"/>
      <c r="AJ2438"/>
      <c r="AK2438"/>
      <c r="AL2438"/>
    </row>
    <row r="2439" spans="1:38" ht="15.75" customHeight="1" outlineLevel="3" x14ac:dyDescent="0.2">
      <c r="A2439" s="10">
        <v>101</v>
      </c>
      <c r="B2439" s="10" t="s">
        <v>71</v>
      </c>
      <c r="C2439" s="10" t="s">
        <v>1412</v>
      </c>
      <c r="D2439" s="10" t="s">
        <v>507</v>
      </c>
      <c r="E2439" s="11" t="str">
        <f t="array" ref="E2439">_xlfn.XLOOKUP(D2439,Insumos!B:B,Insumos!C:$C)</f>
        <v>KG</v>
      </c>
      <c r="F2439" s="14">
        <v>0.01</v>
      </c>
      <c r="G2439" s="92">
        <f t="array" ref="G2439">IF(B2439="insumo",_xlfn.XLOOKUP($D2439,Insumos!$B$1:$B$996,Insumos!$D$1:$D$996),"")</f>
        <v>11.15</v>
      </c>
      <c r="H2439" s="92">
        <v>0.1115</v>
      </c>
      <c r="I2439" s="13">
        <v>0</v>
      </c>
      <c r="J2439" s="13">
        <v>0</v>
      </c>
      <c r="K2439" s="13"/>
      <c r="L2439"/>
      <c r="M2439"/>
      <c r="N2439"/>
      <c r="O2439"/>
      <c r="P2439"/>
      <c r="Q2439"/>
      <c r="R2439"/>
      <c r="S2439"/>
      <c r="T2439"/>
      <c r="U2439"/>
      <c r="V2439"/>
      <c r="W2439"/>
      <c r="X2439"/>
      <c r="Y2439"/>
      <c r="Z2439"/>
      <c r="AA2439"/>
      <c r="AB2439"/>
      <c r="AC2439"/>
      <c r="AD2439"/>
      <c r="AE2439"/>
      <c r="AF2439"/>
      <c r="AG2439"/>
      <c r="AH2439"/>
      <c r="AI2439"/>
      <c r="AJ2439"/>
      <c r="AK2439"/>
      <c r="AL2439"/>
    </row>
    <row r="2440" spans="1:38" ht="15.75" customHeight="1" outlineLevel="2" x14ac:dyDescent="0.2">
      <c r="A2440" s="1067">
        <v>1</v>
      </c>
      <c r="B2440" s="1067" t="s">
        <v>68</v>
      </c>
      <c r="C2440" s="1067" t="s">
        <v>1420</v>
      </c>
      <c r="D2440" s="1067" t="s">
        <v>1420</v>
      </c>
      <c r="E2440" s="1068" t="s">
        <v>70</v>
      </c>
      <c r="F2440" s="1067"/>
      <c r="G2440" s="1069" t="str">
        <f t="array" ref="G2440">IF(B2440="insumo",_xlfn.XLOOKUP($D2440,Insumos!$B$1:$B$996,Insumos!$D$1:$D$996),"")</f>
        <v/>
      </c>
      <c r="H2440" s="1069">
        <v>131.10910000000001</v>
      </c>
      <c r="I2440" s="1070">
        <v>0</v>
      </c>
      <c r="J2440" s="1070">
        <v>0</v>
      </c>
      <c r="K2440" s="1070"/>
      <c r="L2440"/>
      <c r="M2440"/>
      <c r="N2440"/>
      <c r="O2440"/>
      <c r="P2440"/>
      <c r="Q2440"/>
      <c r="R2440"/>
      <c r="S2440"/>
      <c r="T2440"/>
      <c r="U2440"/>
      <c r="V2440"/>
      <c r="W2440"/>
      <c r="X2440"/>
      <c r="Y2440"/>
      <c r="Z2440"/>
      <c r="AA2440"/>
      <c r="AB2440"/>
      <c r="AC2440"/>
      <c r="AD2440"/>
      <c r="AE2440"/>
      <c r="AF2440"/>
      <c r="AG2440"/>
      <c r="AH2440"/>
      <c r="AI2440"/>
      <c r="AJ2440"/>
      <c r="AK2440"/>
      <c r="AL2440"/>
    </row>
    <row r="2441" spans="1:38" ht="15.75" customHeight="1" outlineLevel="3" x14ac:dyDescent="0.2">
      <c r="A2441" s="10">
        <v>1</v>
      </c>
      <c r="B2441" s="10" t="s">
        <v>71</v>
      </c>
      <c r="C2441" s="10" t="s">
        <v>1420</v>
      </c>
      <c r="D2441" s="10" t="s">
        <v>1426</v>
      </c>
      <c r="E2441" s="11" t="str">
        <f t="array" ref="E2441">_xlfn.XLOOKUP(D2441,Insumos!B:B,Insumos!C:$C)</f>
        <v>M2</v>
      </c>
      <c r="F2441" s="14">
        <v>1.1000000000000001</v>
      </c>
      <c r="G2441" s="92">
        <f t="array" ref="G2441">IF(B2441="insumo",_xlfn.XLOOKUP($D2441,Insumos!$B$1:$B$996,Insumos!$D$1:$D$996),"")</f>
        <v>110.5</v>
      </c>
      <c r="H2441" s="92">
        <v>121.55</v>
      </c>
      <c r="I2441" s="13">
        <v>0</v>
      </c>
      <c r="J2441" s="13">
        <v>0</v>
      </c>
      <c r="K2441" s="13"/>
      <c r="L2441"/>
      <c r="M2441"/>
      <c r="N2441"/>
      <c r="O2441"/>
      <c r="P2441"/>
      <c r="Q2441"/>
      <c r="R2441"/>
      <c r="S2441"/>
      <c r="T2441"/>
      <c r="U2441"/>
      <c r="V2441"/>
      <c r="W2441"/>
      <c r="X2441"/>
      <c r="Y2441"/>
      <c r="Z2441"/>
      <c r="AA2441"/>
      <c r="AB2441"/>
      <c r="AC2441"/>
      <c r="AD2441"/>
      <c r="AE2441"/>
      <c r="AF2441"/>
      <c r="AG2441"/>
      <c r="AH2441"/>
      <c r="AI2441"/>
      <c r="AJ2441"/>
      <c r="AK2441"/>
      <c r="AL2441"/>
    </row>
    <row r="2442" spans="1:38" ht="15.75" customHeight="1" outlineLevel="3" x14ac:dyDescent="0.2">
      <c r="A2442" s="10">
        <v>191</v>
      </c>
      <c r="B2442" s="10" t="s">
        <v>71</v>
      </c>
      <c r="C2442" s="10" t="s">
        <v>1420</v>
      </c>
      <c r="D2442" s="10" t="s">
        <v>481</v>
      </c>
      <c r="E2442" s="11" t="str">
        <f t="array" ref="E2442">_xlfn.XLOOKUP(D2442,Insumos!B:B,Insumos!C:$C)</f>
        <v>KG</v>
      </c>
      <c r="F2442" s="14">
        <v>8.8000000000000007</v>
      </c>
      <c r="G2442" s="92">
        <f t="array" ref="G2442">IF(B2442="insumo",_xlfn.XLOOKUP($D2442,Insumos!$B$1:$B$996,Insumos!$D$1:$D$996),"")</f>
        <v>1.0645</v>
      </c>
      <c r="H2442" s="92">
        <v>9.3675999999999995</v>
      </c>
      <c r="I2442" s="13">
        <v>0</v>
      </c>
      <c r="J2442" s="13">
        <v>0</v>
      </c>
      <c r="K2442" s="13"/>
      <c r="L2442"/>
      <c r="M2442"/>
      <c r="N2442"/>
      <c r="O2442"/>
      <c r="P2442"/>
      <c r="Q2442"/>
      <c r="R2442"/>
      <c r="S2442"/>
      <c r="T2442"/>
      <c r="U2442"/>
      <c r="V2442"/>
      <c r="W2442"/>
      <c r="X2442"/>
      <c r="Y2442"/>
      <c r="Z2442"/>
      <c r="AA2442"/>
      <c r="AB2442"/>
      <c r="AC2442"/>
      <c r="AD2442"/>
      <c r="AE2442"/>
      <c r="AF2442"/>
      <c r="AG2442"/>
      <c r="AH2442"/>
      <c r="AI2442"/>
      <c r="AJ2442"/>
      <c r="AK2442"/>
      <c r="AL2442"/>
    </row>
    <row r="2443" spans="1:38" ht="15.75" customHeight="1" outlineLevel="3" x14ac:dyDescent="0.2">
      <c r="A2443" s="10">
        <v>142</v>
      </c>
      <c r="B2443" s="10" t="s">
        <v>71</v>
      </c>
      <c r="C2443" s="10" t="s">
        <v>1420</v>
      </c>
      <c r="D2443" s="10" t="s">
        <v>506</v>
      </c>
      <c r="E2443" s="11" t="str">
        <f t="array" ref="E2443">_xlfn.XLOOKUP(D2443,Insumos!B:B,Insumos!C:$C)</f>
        <v>UN</v>
      </c>
      <c r="F2443" s="14">
        <v>1</v>
      </c>
      <c r="G2443" s="92">
        <f t="array" ref="G2443">IF(B2443="insumo",_xlfn.XLOOKUP($D2443,Insumos!$B$1:$B$996,Insumos!$D$1:$D$996),"")</f>
        <v>0.08</v>
      </c>
      <c r="H2443" s="92">
        <v>0.08</v>
      </c>
      <c r="I2443" s="13">
        <v>0</v>
      </c>
      <c r="J2443" s="13">
        <v>0</v>
      </c>
      <c r="K2443" s="13"/>
      <c r="L2443"/>
      <c r="M2443"/>
      <c r="N2443"/>
      <c r="O2443"/>
      <c r="P2443"/>
      <c r="Q2443"/>
      <c r="R2443"/>
      <c r="S2443"/>
      <c r="T2443"/>
      <c r="U2443"/>
      <c r="V2443"/>
      <c r="W2443"/>
      <c r="X2443"/>
      <c r="Y2443"/>
      <c r="Z2443"/>
      <c r="AA2443"/>
      <c r="AB2443"/>
      <c r="AC2443"/>
      <c r="AD2443"/>
      <c r="AE2443"/>
      <c r="AF2443"/>
      <c r="AG2443"/>
      <c r="AH2443"/>
      <c r="AI2443"/>
      <c r="AJ2443"/>
      <c r="AK2443"/>
      <c r="AL2443"/>
    </row>
    <row r="2444" spans="1:38" ht="15.75" customHeight="1" outlineLevel="3" x14ac:dyDescent="0.2">
      <c r="A2444" s="10">
        <v>101</v>
      </c>
      <c r="B2444" s="10" t="s">
        <v>71</v>
      </c>
      <c r="C2444" s="10" t="s">
        <v>1420</v>
      </c>
      <c r="D2444" s="10" t="s">
        <v>507</v>
      </c>
      <c r="E2444" s="11" t="str">
        <f t="array" ref="E2444">_xlfn.XLOOKUP(D2444,Insumos!B:B,Insumos!C:$C)</f>
        <v>KG</v>
      </c>
      <c r="F2444" s="14">
        <v>0.01</v>
      </c>
      <c r="G2444" s="92">
        <f t="array" ref="G2444">IF(B2444="insumo",_xlfn.XLOOKUP($D2444,Insumos!$B$1:$B$996,Insumos!$D$1:$D$996),"")</f>
        <v>11.15</v>
      </c>
      <c r="H2444" s="92">
        <v>0.1115</v>
      </c>
      <c r="I2444" s="13">
        <v>0</v>
      </c>
      <c r="J2444" s="13">
        <v>0</v>
      </c>
      <c r="K2444" s="13"/>
      <c r="L2444"/>
      <c r="M2444"/>
      <c r="N2444"/>
      <c r="O2444"/>
      <c r="P2444"/>
      <c r="Q2444"/>
      <c r="R2444"/>
      <c r="S2444"/>
      <c r="T2444"/>
      <c r="U2444"/>
      <c r="V2444"/>
      <c r="W2444"/>
      <c r="X2444"/>
      <c r="Y2444"/>
      <c r="Z2444"/>
      <c r="AA2444"/>
      <c r="AB2444"/>
      <c r="AC2444"/>
      <c r="AD2444"/>
      <c r="AE2444"/>
      <c r="AF2444"/>
      <c r="AG2444"/>
      <c r="AH2444"/>
      <c r="AI2444"/>
      <c r="AJ2444"/>
      <c r="AK2444"/>
      <c r="AL2444"/>
    </row>
    <row r="2445" spans="1:38" ht="15.75" customHeight="1" outlineLevel="2" x14ac:dyDescent="0.2">
      <c r="A2445" s="1067">
        <v>1</v>
      </c>
      <c r="B2445" s="1067" t="s">
        <v>68</v>
      </c>
      <c r="C2445" s="1067" t="s">
        <v>1413</v>
      </c>
      <c r="D2445" s="1067" t="s">
        <v>1413</v>
      </c>
      <c r="E2445" s="1068" t="s">
        <v>70</v>
      </c>
      <c r="F2445" s="1067"/>
      <c r="G2445" s="1069" t="str">
        <f t="array" ref="G2445">IF(B2445="insumo",_xlfn.XLOOKUP($D2445,Insumos!$B$1:$B$996,Insumos!$D$1:$D$996),"")</f>
        <v/>
      </c>
      <c r="H2445" s="1069">
        <v>83.149100000000004</v>
      </c>
      <c r="I2445" s="1070">
        <v>0</v>
      </c>
      <c r="J2445" s="1070">
        <v>0</v>
      </c>
      <c r="K2445" s="1070"/>
      <c r="L2445"/>
      <c r="M2445"/>
      <c r="N2445"/>
      <c r="O2445"/>
      <c r="P2445"/>
      <c r="Q2445"/>
      <c r="R2445"/>
      <c r="S2445"/>
      <c r="T2445"/>
      <c r="U2445"/>
      <c r="V2445"/>
      <c r="W2445"/>
      <c r="X2445"/>
      <c r="Y2445"/>
      <c r="Z2445"/>
      <c r="AA2445"/>
      <c r="AB2445"/>
      <c r="AC2445"/>
      <c r="AD2445"/>
      <c r="AE2445"/>
      <c r="AF2445"/>
      <c r="AG2445"/>
      <c r="AH2445"/>
      <c r="AI2445"/>
      <c r="AJ2445"/>
      <c r="AK2445"/>
      <c r="AL2445"/>
    </row>
    <row r="2446" spans="1:38" ht="15.75" customHeight="1" outlineLevel="3" x14ac:dyDescent="0.2">
      <c r="A2446" s="10">
        <v>1</v>
      </c>
      <c r="B2446" s="10" t="s">
        <v>71</v>
      </c>
      <c r="C2446" s="10" t="s">
        <v>1413</v>
      </c>
      <c r="D2446" s="10" t="s">
        <v>1427</v>
      </c>
      <c r="E2446" s="11" t="str">
        <f t="array" ref="E2446">_xlfn.XLOOKUP(D2446,Insumos!B:B,Insumos!C:$C)</f>
        <v>M2</v>
      </c>
      <c r="F2446" s="14">
        <v>1.1000000000000001</v>
      </c>
      <c r="G2446" s="92">
        <f t="array" ref="G2446">IF(B2446="insumo",_xlfn.XLOOKUP($D2446,Insumos!$B$1:$B$996,Insumos!$D$1:$D$996),"")</f>
        <v>66.900000000000006</v>
      </c>
      <c r="H2446" s="92">
        <v>73.59</v>
      </c>
      <c r="I2446" s="13">
        <v>0</v>
      </c>
      <c r="J2446" s="13">
        <v>0</v>
      </c>
      <c r="K2446" s="13"/>
      <c r="L2446"/>
      <c r="M2446"/>
      <c r="N2446"/>
      <c r="O2446"/>
      <c r="P2446"/>
      <c r="Q2446"/>
      <c r="R2446"/>
      <c r="S2446"/>
      <c r="T2446"/>
      <c r="U2446"/>
      <c r="V2446"/>
      <c r="W2446"/>
      <c r="X2446"/>
      <c r="Y2446"/>
      <c r="Z2446"/>
      <c r="AA2446"/>
      <c r="AB2446"/>
      <c r="AC2446"/>
      <c r="AD2446"/>
      <c r="AE2446"/>
      <c r="AF2446"/>
      <c r="AG2446"/>
      <c r="AH2446"/>
      <c r="AI2446"/>
      <c r="AJ2446"/>
      <c r="AK2446"/>
      <c r="AL2446"/>
    </row>
    <row r="2447" spans="1:38" ht="15.75" customHeight="1" outlineLevel="3" x14ac:dyDescent="0.2">
      <c r="A2447" s="10">
        <v>191</v>
      </c>
      <c r="B2447" s="10" t="s">
        <v>71</v>
      </c>
      <c r="C2447" s="10" t="s">
        <v>1413</v>
      </c>
      <c r="D2447" s="10" t="s">
        <v>481</v>
      </c>
      <c r="E2447" s="11" t="str">
        <f t="array" ref="E2447">_xlfn.XLOOKUP(D2447,Insumos!B:B,Insumos!C:$C)</f>
        <v>KG</v>
      </c>
      <c r="F2447" s="14">
        <v>8.8000000000000007</v>
      </c>
      <c r="G2447" s="92">
        <f t="array" ref="G2447">IF(B2447="insumo",_xlfn.XLOOKUP($D2447,Insumos!$B$1:$B$996,Insumos!$D$1:$D$996),"")</f>
        <v>1.0645</v>
      </c>
      <c r="H2447" s="92">
        <v>9.3675999999999995</v>
      </c>
      <c r="I2447" s="13">
        <v>0</v>
      </c>
      <c r="J2447" s="13">
        <v>0</v>
      </c>
      <c r="K2447" s="13"/>
      <c r="L2447"/>
      <c r="M2447"/>
      <c r="N2447"/>
      <c r="O2447"/>
      <c r="P2447"/>
      <c r="Q2447"/>
      <c r="R2447"/>
      <c r="S2447"/>
      <c r="T2447"/>
      <c r="U2447"/>
      <c r="V2447"/>
      <c r="W2447"/>
      <c r="X2447"/>
      <c r="Y2447"/>
      <c r="Z2447"/>
      <c r="AA2447"/>
      <c r="AB2447"/>
      <c r="AC2447"/>
      <c r="AD2447"/>
      <c r="AE2447"/>
      <c r="AF2447"/>
      <c r="AG2447"/>
      <c r="AH2447"/>
      <c r="AI2447"/>
      <c r="AJ2447"/>
      <c r="AK2447"/>
      <c r="AL2447"/>
    </row>
    <row r="2448" spans="1:38" ht="15.75" customHeight="1" outlineLevel="3" x14ac:dyDescent="0.2">
      <c r="A2448" s="10">
        <v>142</v>
      </c>
      <c r="B2448" s="10" t="s">
        <v>71</v>
      </c>
      <c r="C2448" s="10" t="s">
        <v>1413</v>
      </c>
      <c r="D2448" s="10" t="s">
        <v>506</v>
      </c>
      <c r="E2448" s="11" t="str">
        <f t="array" ref="E2448">_xlfn.XLOOKUP(D2448,Insumos!B:B,Insumos!C:$C)</f>
        <v>UN</v>
      </c>
      <c r="F2448" s="14">
        <v>1</v>
      </c>
      <c r="G2448" s="92">
        <f t="array" ref="G2448">IF(B2448="insumo",_xlfn.XLOOKUP($D2448,Insumos!$B$1:$B$996,Insumos!$D$1:$D$996),"")</f>
        <v>0.08</v>
      </c>
      <c r="H2448" s="92">
        <v>0.08</v>
      </c>
      <c r="I2448" s="13">
        <v>0</v>
      </c>
      <c r="J2448" s="13">
        <v>0</v>
      </c>
      <c r="K2448" s="13"/>
      <c r="L2448"/>
      <c r="M2448"/>
      <c r="N2448"/>
      <c r="O2448"/>
      <c r="P2448"/>
      <c r="Q2448"/>
      <c r="R2448"/>
      <c r="S2448"/>
      <c r="T2448"/>
      <c r="U2448"/>
      <c r="V2448"/>
      <c r="W2448"/>
      <c r="X2448"/>
      <c r="Y2448"/>
      <c r="Z2448"/>
      <c r="AA2448"/>
      <c r="AB2448"/>
      <c r="AC2448"/>
      <c r="AD2448"/>
      <c r="AE2448"/>
      <c r="AF2448"/>
      <c r="AG2448"/>
      <c r="AH2448"/>
      <c r="AI2448"/>
      <c r="AJ2448"/>
      <c r="AK2448"/>
      <c r="AL2448"/>
    </row>
    <row r="2449" spans="1:38" ht="15.75" customHeight="1" outlineLevel="3" x14ac:dyDescent="0.2">
      <c r="A2449" s="10">
        <v>101</v>
      </c>
      <c r="B2449" s="10" t="s">
        <v>71</v>
      </c>
      <c r="C2449" s="10" t="s">
        <v>1413</v>
      </c>
      <c r="D2449" s="10" t="s">
        <v>507</v>
      </c>
      <c r="E2449" s="11" t="str">
        <f t="array" ref="E2449">_xlfn.XLOOKUP(D2449,Insumos!B:B,Insumos!C:$C)</f>
        <v>KG</v>
      </c>
      <c r="F2449" s="14">
        <v>0.01</v>
      </c>
      <c r="G2449" s="92">
        <f t="array" ref="G2449">IF(B2449="insumo",_xlfn.XLOOKUP($D2449,Insumos!$B$1:$B$996,Insumos!$D$1:$D$996),"")</f>
        <v>11.15</v>
      </c>
      <c r="H2449" s="92">
        <v>0.1115</v>
      </c>
      <c r="I2449" s="13">
        <v>0</v>
      </c>
      <c r="J2449" s="13">
        <v>0</v>
      </c>
      <c r="K2449" s="13"/>
      <c r="L2449"/>
      <c r="M2449"/>
      <c r="N2449"/>
      <c r="O2449"/>
      <c r="P2449"/>
      <c r="Q2449"/>
      <c r="R2449"/>
      <c r="S2449"/>
      <c r="T2449"/>
      <c r="U2449"/>
      <c r="V2449"/>
      <c r="W2449"/>
      <c r="X2449"/>
      <c r="Y2449"/>
      <c r="Z2449"/>
      <c r="AA2449"/>
      <c r="AB2449"/>
      <c r="AC2449"/>
      <c r="AD2449"/>
      <c r="AE2449"/>
      <c r="AF2449"/>
      <c r="AG2449"/>
      <c r="AH2449"/>
      <c r="AI2449"/>
      <c r="AJ2449"/>
      <c r="AK2449"/>
      <c r="AL2449"/>
    </row>
    <row r="2450" spans="1:38" ht="15.75" customHeight="1" outlineLevel="2" x14ac:dyDescent="0.2">
      <c r="A2450" s="1067">
        <v>1</v>
      </c>
      <c r="B2450" s="1067" t="s">
        <v>68</v>
      </c>
      <c r="C2450" s="1067" t="s">
        <v>1414</v>
      </c>
      <c r="D2450" s="1067" t="s">
        <v>1414</v>
      </c>
      <c r="E2450" s="1068" t="s">
        <v>70</v>
      </c>
      <c r="F2450" s="1067"/>
      <c r="G2450" s="1069" t="str">
        <f t="array" ref="G2450">IF(B2450="insumo",_xlfn.XLOOKUP($D2450,Insumos!$B$1:$B$996,Insumos!$D$1:$D$996),"")</f>
        <v/>
      </c>
      <c r="H2450" s="1069">
        <v>156.73910000000001</v>
      </c>
      <c r="I2450" s="1070">
        <v>0</v>
      </c>
      <c r="J2450" s="1070">
        <v>0</v>
      </c>
      <c r="K2450" s="1070"/>
      <c r="L2450"/>
      <c r="M2450"/>
      <c r="N2450"/>
      <c r="O2450"/>
      <c r="P2450"/>
      <c r="Q2450"/>
      <c r="R2450"/>
      <c r="S2450"/>
      <c r="T2450"/>
      <c r="U2450"/>
      <c r="V2450"/>
      <c r="W2450"/>
      <c r="X2450"/>
      <c r="Y2450"/>
      <c r="Z2450"/>
      <c r="AA2450"/>
      <c r="AB2450"/>
      <c r="AC2450"/>
      <c r="AD2450"/>
      <c r="AE2450"/>
      <c r="AF2450"/>
      <c r="AG2450"/>
      <c r="AH2450"/>
      <c r="AI2450"/>
      <c r="AJ2450"/>
      <c r="AK2450"/>
      <c r="AL2450"/>
    </row>
    <row r="2451" spans="1:38" ht="15.75" customHeight="1" outlineLevel="3" x14ac:dyDescent="0.2">
      <c r="A2451" s="10">
        <v>2</v>
      </c>
      <c r="B2451" s="10" t="s">
        <v>71</v>
      </c>
      <c r="C2451" s="10" t="s">
        <v>1414</v>
      </c>
      <c r="D2451" s="10" t="s">
        <v>1428</v>
      </c>
      <c r="E2451" s="11" t="str">
        <f t="array" ref="E2451">_xlfn.XLOOKUP(D2451,Insumos!B:B,Insumos!C:$C)</f>
        <v>M2</v>
      </c>
      <c r="F2451" s="14">
        <v>1.1000000000000001</v>
      </c>
      <c r="G2451" s="92">
        <f t="array" ref="G2451">IF(B2451="insumo",_xlfn.XLOOKUP($D2451,Insumos!$B$1:$B$996,Insumos!$D$1:$D$996),"")</f>
        <v>133.80000000000001</v>
      </c>
      <c r="H2451" s="92">
        <v>147.18</v>
      </c>
      <c r="I2451" s="13">
        <v>0</v>
      </c>
      <c r="J2451" s="13">
        <v>0</v>
      </c>
      <c r="K2451" s="13"/>
      <c r="L2451"/>
      <c r="M2451"/>
      <c r="N2451"/>
      <c r="O2451"/>
      <c r="P2451"/>
      <c r="Q2451"/>
      <c r="R2451"/>
      <c r="S2451"/>
      <c r="T2451"/>
      <c r="U2451"/>
      <c r="V2451"/>
      <c r="W2451"/>
      <c r="X2451"/>
      <c r="Y2451"/>
      <c r="Z2451"/>
      <c r="AA2451"/>
      <c r="AB2451"/>
      <c r="AC2451"/>
      <c r="AD2451"/>
      <c r="AE2451"/>
      <c r="AF2451"/>
      <c r="AG2451"/>
      <c r="AH2451"/>
      <c r="AI2451"/>
      <c r="AJ2451"/>
      <c r="AK2451"/>
      <c r="AL2451"/>
    </row>
    <row r="2452" spans="1:38" ht="15.75" customHeight="1" outlineLevel="3" x14ac:dyDescent="0.2">
      <c r="A2452" s="10">
        <v>191</v>
      </c>
      <c r="B2452" s="10" t="s">
        <v>71</v>
      </c>
      <c r="C2452" s="10" t="s">
        <v>1414</v>
      </c>
      <c r="D2452" s="10" t="s">
        <v>481</v>
      </c>
      <c r="E2452" s="11" t="str">
        <f t="array" ref="E2452">_xlfn.XLOOKUP(D2452,Insumos!B:B,Insumos!C:$C)</f>
        <v>KG</v>
      </c>
      <c r="F2452" s="14">
        <v>8.8000000000000007</v>
      </c>
      <c r="G2452" s="92">
        <f t="array" ref="G2452">IF(B2452="insumo",_xlfn.XLOOKUP($D2452,Insumos!$B$1:$B$996,Insumos!$D$1:$D$996),"")</f>
        <v>1.0645</v>
      </c>
      <c r="H2452" s="92">
        <v>9.3675999999999995</v>
      </c>
      <c r="I2452" s="13">
        <v>0</v>
      </c>
      <c r="J2452" s="13">
        <v>0</v>
      </c>
      <c r="K2452" s="13"/>
      <c r="L2452"/>
      <c r="M2452"/>
      <c r="N2452"/>
      <c r="O2452"/>
      <c r="P2452"/>
      <c r="Q2452"/>
      <c r="R2452"/>
      <c r="S2452"/>
      <c r="T2452"/>
      <c r="U2452"/>
      <c r="V2452"/>
      <c r="W2452"/>
      <c r="X2452"/>
      <c r="Y2452"/>
      <c r="Z2452"/>
      <c r="AA2452"/>
      <c r="AB2452"/>
      <c r="AC2452"/>
      <c r="AD2452"/>
      <c r="AE2452"/>
      <c r="AF2452"/>
      <c r="AG2452"/>
      <c r="AH2452"/>
      <c r="AI2452"/>
      <c r="AJ2452"/>
      <c r="AK2452"/>
      <c r="AL2452"/>
    </row>
    <row r="2453" spans="1:38" ht="15.75" customHeight="1" outlineLevel="3" x14ac:dyDescent="0.2">
      <c r="A2453" s="10">
        <v>142</v>
      </c>
      <c r="B2453" s="10" t="s">
        <v>71</v>
      </c>
      <c r="C2453" s="10" t="s">
        <v>1414</v>
      </c>
      <c r="D2453" s="10" t="s">
        <v>506</v>
      </c>
      <c r="E2453" s="11" t="str">
        <f t="array" ref="E2453">_xlfn.XLOOKUP(D2453,Insumos!B:B,Insumos!C:$C)</f>
        <v>UN</v>
      </c>
      <c r="F2453" s="14">
        <v>1</v>
      </c>
      <c r="G2453" s="92">
        <f t="array" ref="G2453">IF(B2453="insumo",_xlfn.XLOOKUP($D2453,Insumos!$B$1:$B$996,Insumos!$D$1:$D$996),"")</f>
        <v>0.08</v>
      </c>
      <c r="H2453" s="92">
        <v>0.08</v>
      </c>
      <c r="I2453" s="13">
        <v>0</v>
      </c>
      <c r="J2453" s="13">
        <v>0</v>
      </c>
      <c r="K2453" s="13"/>
      <c r="L2453"/>
      <c r="M2453"/>
      <c r="N2453"/>
      <c r="O2453"/>
      <c r="P2453"/>
      <c r="Q2453"/>
      <c r="R2453"/>
      <c r="S2453"/>
      <c r="T2453"/>
      <c r="U2453"/>
      <c r="V2453"/>
      <c r="W2453"/>
      <c r="X2453"/>
      <c r="Y2453"/>
      <c r="Z2453"/>
      <c r="AA2453"/>
      <c r="AB2453"/>
      <c r="AC2453"/>
      <c r="AD2453"/>
      <c r="AE2453"/>
      <c r="AF2453"/>
      <c r="AG2453"/>
      <c r="AH2453"/>
      <c r="AI2453"/>
      <c r="AJ2453"/>
      <c r="AK2453"/>
      <c r="AL2453"/>
    </row>
    <row r="2454" spans="1:38" ht="15.75" customHeight="1" outlineLevel="3" x14ac:dyDescent="0.2">
      <c r="A2454" s="10">
        <v>101</v>
      </c>
      <c r="B2454" s="10" t="s">
        <v>71</v>
      </c>
      <c r="C2454" s="10" t="s">
        <v>1414</v>
      </c>
      <c r="D2454" s="10" t="s">
        <v>507</v>
      </c>
      <c r="E2454" s="11" t="str">
        <f t="array" ref="E2454">_xlfn.XLOOKUP(D2454,Insumos!B:B,Insumos!C:$C)</f>
        <v>KG</v>
      </c>
      <c r="F2454" s="14">
        <v>0.01</v>
      </c>
      <c r="G2454" s="92">
        <f t="array" ref="G2454">IF(B2454="insumo",_xlfn.XLOOKUP($D2454,Insumos!$B$1:$B$996,Insumos!$D$1:$D$996),"")</f>
        <v>11.15</v>
      </c>
      <c r="H2454" s="92">
        <v>0.1115</v>
      </c>
      <c r="I2454" s="13">
        <v>0</v>
      </c>
      <c r="J2454" s="13">
        <v>0</v>
      </c>
      <c r="K2454" s="13"/>
      <c r="L2454"/>
      <c r="M2454"/>
      <c r="N2454"/>
      <c r="O2454"/>
      <c r="P2454"/>
      <c r="Q2454"/>
      <c r="R2454"/>
      <c r="S2454"/>
      <c r="T2454"/>
      <c r="U2454"/>
      <c r="V2454"/>
      <c r="W2454"/>
      <c r="X2454"/>
      <c r="Y2454"/>
      <c r="Z2454"/>
      <c r="AA2454"/>
      <c r="AB2454"/>
      <c r="AC2454"/>
      <c r="AD2454"/>
      <c r="AE2454"/>
      <c r="AF2454"/>
      <c r="AG2454"/>
      <c r="AH2454"/>
      <c r="AI2454"/>
      <c r="AJ2454"/>
      <c r="AK2454"/>
      <c r="AL2454"/>
    </row>
    <row r="2455" spans="1:38" ht="15.75" customHeight="1" outlineLevel="2" x14ac:dyDescent="0.2">
      <c r="A2455" s="1067">
        <v>1</v>
      </c>
      <c r="B2455" s="1067" t="s">
        <v>68</v>
      </c>
      <c r="C2455" s="1067" t="s">
        <v>1415</v>
      </c>
      <c r="D2455" s="1067" t="s">
        <v>1415</v>
      </c>
      <c r="E2455" s="1068" t="s">
        <v>70</v>
      </c>
      <c r="F2455" s="1067"/>
      <c r="G2455" s="1069" t="str">
        <f t="array" ref="G2455">IF(B2455="insumo",_xlfn.XLOOKUP($D2455,Insumos!$B$1:$B$996,Insumos!$D$1:$D$996),"")</f>
        <v/>
      </c>
      <c r="H2455" s="1069">
        <v>156.73910000000001</v>
      </c>
      <c r="I2455" s="1070">
        <v>0</v>
      </c>
      <c r="J2455" s="1070">
        <v>0</v>
      </c>
      <c r="K2455" s="1070"/>
      <c r="L2455"/>
      <c r="M2455"/>
      <c r="N2455"/>
      <c r="O2455"/>
      <c r="P2455"/>
      <c r="Q2455"/>
      <c r="R2455"/>
      <c r="S2455"/>
      <c r="T2455"/>
      <c r="U2455"/>
      <c r="V2455"/>
      <c r="W2455"/>
      <c r="X2455"/>
      <c r="Y2455"/>
      <c r="Z2455"/>
      <c r="AA2455"/>
      <c r="AB2455"/>
      <c r="AC2455"/>
      <c r="AD2455"/>
      <c r="AE2455"/>
      <c r="AF2455"/>
      <c r="AG2455"/>
      <c r="AH2455"/>
      <c r="AI2455"/>
      <c r="AJ2455"/>
      <c r="AK2455"/>
      <c r="AL2455"/>
    </row>
    <row r="2456" spans="1:38" ht="15.75" customHeight="1" outlineLevel="3" x14ac:dyDescent="0.2">
      <c r="A2456" s="10">
        <v>2</v>
      </c>
      <c r="B2456" s="10" t="s">
        <v>71</v>
      </c>
      <c r="C2456" s="10" t="s">
        <v>1415</v>
      </c>
      <c r="D2456" s="10" t="s">
        <v>1429</v>
      </c>
      <c r="E2456" s="11" t="str">
        <f t="array" ref="E2456">_xlfn.XLOOKUP(D2456,Insumos!B:B,Insumos!C:$C)</f>
        <v>M2</v>
      </c>
      <c r="F2456" s="14">
        <v>1.1000000000000001</v>
      </c>
      <c r="G2456" s="92">
        <f t="array" ref="G2456">IF(B2456="insumo",_xlfn.XLOOKUP($D2456,Insumos!$B$1:$B$996,Insumos!$D$1:$D$996),"")</f>
        <v>133.80000000000001</v>
      </c>
      <c r="H2456" s="92">
        <v>147.18</v>
      </c>
      <c r="I2456" s="13">
        <v>0</v>
      </c>
      <c r="J2456" s="13">
        <v>0</v>
      </c>
      <c r="K2456" s="13"/>
      <c r="L2456"/>
      <c r="M2456"/>
      <c r="N2456"/>
      <c r="O2456"/>
      <c r="P2456"/>
      <c r="Q2456"/>
      <c r="R2456"/>
      <c r="S2456"/>
      <c r="T2456"/>
      <c r="U2456"/>
      <c r="V2456"/>
      <c r="W2456"/>
      <c r="X2456"/>
      <c r="Y2456"/>
      <c r="Z2456"/>
      <c r="AA2456"/>
      <c r="AB2456"/>
      <c r="AC2456"/>
      <c r="AD2456"/>
      <c r="AE2456"/>
      <c r="AF2456"/>
      <c r="AG2456"/>
      <c r="AH2456"/>
      <c r="AI2456"/>
      <c r="AJ2456"/>
      <c r="AK2456"/>
      <c r="AL2456"/>
    </row>
    <row r="2457" spans="1:38" ht="15.75" customHeight="1" outlineLevel="3" x14ac:dyDescent="0.2">
      <c r="A2457" s="10">
        <v>191</v>
      </c>
      <c r="B2457" s="10" t="s">
        <v>71</v>
      </c>
      <c r="C2457" s="10" t="s">
        <v>1415</v>
      </c>
      <c r="D2457" s="10" t="s">
        <v>481</v>
      </c>
      <c r="E2457" s="11" t="str">
        <f t="array" ref="E2457">_xlfn.XLOOKUP(D2457,Insumos!B:B,Insumos!C:$C)</f>
        <v>KG</v>
      </c>
      <c r="F2457" s="14">
        <v>8.8000000000000007</v>
      </c>
      <c r="G2457" s="92">
        <f t="array" ref="G2457">IF(B2457="insumo",_xlfn.XLOOKUP($D2457,Insumos!$B$1:$B$996,Insumos!$D$1:$D$996),"")</f>
        <v>1.0645</v>
      </c>
      <c r="H2457" s="92">
        <v>9.3675999999999995</v>
      </c>
      <c r="I2457" s="13">
        <v>0</v>
      </c>
      <c r="J2457" s="13">
        <v>0</v>
      </c>
      <c r="K2457" s="13"/>
      <c r="L2457"/>
      <c r="M2457"/>
      <c r="N2457"/>
      <c r="O2457"/>
      <c r="P2457"/>
      <c r="Q2457"/>
      <c r="R2457"/>
      <c r="S2457"/>
      <c r="T2457"/>
      <c r="U2457"/>
      <c r="V2457"/>
      <c r="W2457"/>
      <c r="X2457"/>
      <c r="Y2457"/>
      <c r="Z2457"/>
      <c r="AA2457"/>
      <c r="AB2457"/>
      <c r="AC2457"/>
      <c r="AD2457"/>
      <c r="AE2457"/>
      <c r="AF2457"/>
      <c r="AG2457"/>
      <c r="AH2457"/>
      <c r="AI2457"/>
      <c r="AJ2457"/>
      <c r="AK2457"/>
      <c r="AL2457"/>
    </row>
    <row r="2458" spans="1:38" ht="15.75" customHeight="1" outlineLevel="3" x14ac:dyDescent="0.2">
      <c r="A2458" s="10">
        <v>142</v>
      </c>
      <c r="B2458" s="10" t="s">
        <v>71</v>
      </c>
      <c r="C2458" s="10" t="s">
        <v>1415</v>
      </c>
      <c r="D2458" s="10" t="s">
        <v>506</v>
      </c>
      <c r="E2458" s="11" t="str">
        <f t="array" ref="E2458">_xlfn.XLOOKUP(D2458,Insumos!B:B,Insumos!C:$C)</f>
        <v>UN</v>
      </c>
      <c r="F2458" s="14">
        <v>1</v>
      </c>
      <c r="G2458" s="92">
        <f t="array" ref="G2458">IF(B2458="insumo",_xlfn.XLOOKUP($D2458,Insumos!$B$1:$B$996,Insumos!$D$1:$D$996),"")</f>
        <v>0.08</v>
      </c>
      <c r="H2458" s="92">
        <v>0.08</v>
      </c>
      <c r="I2458" s="13">
        <v>0</v>
      </c>
      <c r="J2458" s="13">
        <v>0</v>
      </c>
      <c r="K2458" s="13"/>
      <c r="L2458"/>
      <c r="M2458"/>
      <c r="N2458"/>
      <c r="O2458"/>
      <c r="P2458"/>
      <c r="Q2458"/>
      <c r="R2458"/>
      <c r="S2458"/>
      <c r="T2458"/>
      <c r="U2458"/>
      <c r="V2458"/>
      <c r="W2458"/>
      <c r="X2458"/>
      <c r="Y2458"/>
      <c r="Z2458"/>
      <c r="AA2458"/>
      <c r="AB2458"/>
      <c r="AC2458"/>
      <c r="AD2458"/>
      <c r="AE2458"/>
      <c r="AF2458"/>
      <c r="AG2458"/>
      <c r="AH2458"/>
      <c r="AI2458"/>
      <c r="AJ2458"/>
      <c r="AK2458"/>
      <c r="AL2458"/>
    </row>
    <row r="2459" spans="1:38" ht="15.75" customHeight="1" outlineLevel="3" x14ac:dyDescent="0.2">
      <c r="A2459" s="10">
        <v>101</v>
      </c>
      <c r="B2459" s="10" t="s">
        <v>71</v>
      </c>
      <c r="C2459" s="10" t="s">
        <v>1415</v>
      </c>
      <c r="D2459" s="10" t="s">
        <v>507</v>
      </c>
      <c r="E2459" s="11" t="str">
        <f t="array" ref="E2459">_xlfn.XLOOKUP(D2459,Insumos!B:B,Insumos!C:$C)</f>
        <v>KG</v>
      </c>
      <c r="F2459" s="14">
        <v>0.01</v>
      </c>
      <c r="G2459" s="92">
        <f t="array" ref="G2459">IF(B2459="insumo",_xlfn.XLOOKUP($D2459,Insumos!$B$1:$B$996,Insumos!$D$1:$D$996),"")</f>
        <v>11.15</v>
      </c>
      <c r="H2459" s="92">
        <v>0.1115</v>
      </c>
      <c r="I2459" s="13">
        <v>0</v>
      </c>
      <c r="J2459" s="13">
        <v>0</v>
      </c>
      <c r="K2459" s="13"/>
      <c r="L2459"/>
      <c r="M2459"/>
      <c r="N2459"/>
      <c r="O2459"/>
      <c r="P2459"/>
      <c r="Q2459"/>
      <c r="R2459"/>
      <c r="S2459"/>
      <c r="T2459"/>
      <c r="U2459"/>
      <c r="V2459"/>
      <c r="W2459"/>
      <c r="X2459"/>
      <c r="Y2459"/>
      <c r="Z2459"/>
      <c r="AA2459"/>
      <c r="AB2459"/>
      <c r="AC2459"/>
      <c r="AD2459"/>
      <c r="AE2459"/>
      <c r="AF2459"/>
      <c r="AG2459"/>
      <c r="AH2459"/>
      <c r="AI2459"/>
      <c r="AJ2459"/>
      <c r="AK2459"/>
      <c r="AL2459"/>
    </row>
    <row r="2460" spans="1:38" ht="15.75" customHeight="1" outlineLevel="2" x14ac:dyDescent="0.2">
      <c r="A2460" s="1067">
        <v>1</v>
      </c>
      <c r="B2460" s="1067" t="s">
        <v>68</v>
      </c>
      <c r="C2460" s="1067" t="s">
        <v>1416</v>
      </c>
      <c r="D2460" s="1067" t="s">
        <v>1416</v>
      </c>
      <c r="E2460" s="1068" t="s">
        <v>70</v>
      </c>
      <c r="F2460" s="1067"/>
      <c r="G2460" s="1069" t="str">
        <f t="array" ref="G2460">IF(B2460="insumo",_xlfn.XLOOKUP($D2460,Insumos!$B$1:$B$996,Insumos!$D$1:$D$996),"")</f>
        <v/>
      </c>
      <c r="H2460" s="1069">
        <v>156.73910000000001</v>
      </c>
      <c r="I2460" s="1070">
        <v>0</v>
      </c>
      <c r="J2460" s="1070">
        <v>0</v>
      </c>
      <c r="K2460" s="1070"/>
      <c r="L2460"/>
      <c r="M2460"/>
      <c r="N2460"/>
      <c r="O2460"/>
      <c r="P2460"/>
      <c r="Q2460"/>
      <c r="R2460"/>
      <c r="S2460"/>
      <c r="T2460"/>
      <c r="U2460"/>
      <c r="V2460"/>
      <c r="W2460"/>
      <c r="X2460"/>
      <c r="Y2460"/>
      <c r="Z2460"/>
      <c r="AA2460"/>
      <c r="AB2460"/>
      <c r="AC2460"/>
      <c r="AD2460"/>
      <c r="AE2460"/>
      <c r="AF2460"/>
      <c r="AG2460"/>
      <c r="AH2460"/>
      <c r="AI2460"/>
      <c r="AJ2460"/>
      <c r="AK2460"/>
      <c r="AL2460"/>
    </row>
    <row r="2461" spans="1:38" ht="15.75" customHeight="1" outlineLevel="3" x14ac:dyDescent="0.2">
      <c r="A2461" s="10">
        <v>2</v>
      </c>
      <c r="B2461" s="10" t="s">
        <v>71</v>
      </c>
      <c r="C2461" s="10" t="s">
        <v>1416</v>
      </c>
      <c r="D2461" s="10" t="s">
        <v>1430</v>
      </c>
      <c r="E2461" s="11" t="str">
        <f t="array" ref="E2461">_xlfn.XLOOKUP(D2461,Insumos!B:B,Insumos!C:$C)</f>
        <v>M2</v>
      </c>
      <c r="F2461" s="14">
        <v>1.1000000000000001</v>
      </c>
      <c r="G2461" s="92">
        <f t="array" ref="G2461">IF(B2461="insumo",_xlfn.XLOOKUP($D2461,Insumos!$B$1:$B$996,Insumos!$D$1:$D$996),"")</f>
        <v>133.80000000000001</v>
      </c>
      <c r="H2461" s="92">
        <v>147.18</v>
      </c>
      <c r="I2461" s="13">
        <v>0</v>
      </c>
      <c r="J2461" s="13">
        <v>0</v>
      </c>
      <c r="K2461" s="13"/>
      <c r="L2461"/>
      <c r="M2461"/>
      <c r="N2461"/>
      <c r="O2461"/>
      <c r="P2461"/>
      <c r="Q2461"/>
      <c r="R2461"/>
      <c r="S2461"/>
      <c r="T2461"/>
      <c r="U2461"/>
      <c r="V2461"/>
      <c r="W2461"/>
      <c r="X2461"/>
      <c r="Y2461"/>
      <c r="Z2461"/>
      <c r="AA2461"/>
      <c r="AB2461"/>
      <c r="AC2461"/>
      <c r="AD2461"/>
      <c r="AE2461"/>
      <c r="AF2461"/>
      <c r="AG2461"/>
      <c r="AH2461"/>
      <c r="AI2461"/>
      <c r="AJ2461"/>
      <c r="AK2461"/>
      <c r="AL2461"/>
    </row>
    <row r="2462" spans="1:38" ht="15.75" customHeight="1" outlineLevel="3" x14ac:dyDescent="0.2">
      <c r="A2462" s="10">
        <v>191</v>
      </c>
      <c r="B2462" s="10" t="s">
        <v>71</v>
      </c>
      <c r="C2462" s="10" t="s">
        <v>1416</v>
      </c>
      <c r="D2462" s="10" t="s">
        <v>481</v>
      </c>
      <c r="E2462" s="11" t="str">
        <f t="array" ref="E2462">_xlfn.XLOOKUP(D2462,Insumos!B:B,Insumos!C:$C)</f>
        <v>KG</v>
      </c>
      <c r="F2462" s="14">
        <v>8.8000000000000007</v>
      </c>
      <c r="G2462" s="92">
        <f t="array" ref="G2462">IF(B2462="insumo",_xlfn.XLOOKUP($D2462,Insumos!$B$1:$B$996,Insumos!$D$1:$D$996),"")</f>
        <v>1.0645</v>
      </c>
      <c r="H2462" s="92">
        <v>9.3675999999999995</v>
      </c>
      <c r="I2462" s="13">
        <v>0</v>
      </c>
      <c r="J2462" s="13">
        <v>0</v>
      </c>
      <c r="K2462" s="13"/>
      <c r="L2462"/>
      <c r="M2462"/>
      <c r="N2462"/>
      <c r="O2462"/>
      <c r="P2462"/>
      <c r="Q2462"/>
      <c r="R2462"/>
      <c r="S2462"/>
      <c r="T2462"/>
      <c r="U2462"/>
      <c r="V2462"/>
      <c r="W2462"/>
      <c r="X2462"/>
      <c r="Y2462"/>
      <c r="Z2462"/>
      <c r="AA2462"/>
      <c r="AB2462"/>
      <c r="AC2462"/>
      <c r="AD2462"/>
      <c r="AE2462"/>
      <c r="AF2462"/>
      <c r="AG2462"/>
      <c r="AH2462"/>
      <c r="AI2462"/>
      <c r="AJ2462"/>
      <c r="AK2462"/>
      <c r="AL2462"/>
    </row>
    <row r="2463" spans="1:38" ht="15.75" customHeight="1" outlineLevel="3" x14ac:dyDescent="0.2">
      <c r="A2463" s="10">
        <v>142</v>
      </c>
      <c r="B2463" s="10" t="s">
        <v>71</v>
      </c>
      <c r="C2463" s="10" t="s">
        <v>1416</v>
      </c>
      <c r="D2463" s="10" t="s">
        <v>506</v>
      </c>
      <c r="E2463" s="11" t="str">
        <f t="array" ref="E2463">_xlfn.XLOOKUP(D2463,Insumos!B:B,Insumos!C:$C)</f>
        <v>UN</v>
      </c>
      <c r="F2463" s="14">
        <v>1</v>
      </c>
      <c r="G2463" s="92">
        <f t="array" ref="G2463">IF(B2463="insumo",_xlfn.XLOOKUP($D2463,Insumos!$B$1:$B$996,Insumos!$D$1:$D$996),"")</f>
        <v>0.08</v>
      </c>
      <c r="H2463" s="92">
        <v>0.08</v>
      </c>
      <c r="I2463" s="13">
        <v>0</v>
      </c>
      <c r="J2463" s="13">
        <v>0</v>
      </c>
      <c r="K2463" s="13"/>
      <c r="L2463"/>
      <c r="M2463"/>
      <c r="N2463"/>
      <c r="O2463"/>
      <c r="P2463"/>
      <c r="Q2463"/>
      <c r="R2463"/>
      <c r="S2463"/>
      <c r="T2463"/>
      <c r="U2463"/>
      <c r="V2463"/>
      <c r="W2463"/>
      <c r="X2463"/>
      <c r="Y2463"/>
      <c r="Z2463"/>
      <c r="AA2463"/>
      <c r="AB2463"/>
      <c r="AC2463"/>
      <c r="AD2463"/>
      <c r="AE2463"/>
      <c r="AF2463"/>
      <c r="AG2463"/>
      <c r="AH2463"/>
      <c r="AI2463"/>
      <c r="AJ2463"/>
      <c r="AK2463"/>
      <c r="AL2463"/>
    </row>
    <row r="2464" spans="1:38" ht="15.75" customHeight="1" outlineLevel="3" x14ac:dyDescent="0.2">
      <c r="A2464" s="10">
        <v>101</v>
      </c>
      <c r="B2464" s="10" t="s">
        <v>71</v>
      </c>
      <c r="C2464" s="10" t="s">
        <v>1416</v>
      </c>
      <c r="D2464" s="10" t="s">
        <v>507</v>
      </c>
      <c r="E2464" s="11" t="str">
        <f t="array" ref="E2464">_xlfn.XLOOKUP(D2464,Insumos!B:B,Insumos!C:$C)</f>
        <v>KG</v>
      </c>
      <c r="F2464" s="14">
        <v>0.01</v>
      </c>
      <c r="G2464" s="92">
        <f t="array" ref="G2464">IF(B2464="insumo",_xlfn.XLOOKUP($D2464,Insumos!$B$1:$B$996,Insumos!$D$1:$D$996),"")</f>
        <v>11.15</v>
      </c>
      <c r="H2464" s="92">
        <v>0.1115</v>
      </c>
      <c r="I2464" s="13">
        <v>0</v>
      </c>
      <c r="J2464" s="13">
        <v>0</v>
      </c>
      <c r="K2464" s="13"/>
      <c r="L2464"/>
      <c r="M2464"/>
      <c r="N2464"/>
      <c r="O2464"/>
      <c r="P2464"/>
      <c r="Q2464"/>
      <c r="R2464"/>
      <c r="S2464"/>
      <c r="T2464"/>
      <c r="U2464"/>
      <c r="V2464"/>
      <c r="W2464"/>
      <c r="X2464"/>
      <c r="Y2464"/>
      <c r="Z2464"/>
      <c r="AA2464"/>
      <c r="AB2464"/>
      <c r="AC2464"/>
      <c r="AD2464"/>
      <c r="AE2464"/>
      <c r="AF2464"/>
      <c r="AG2464"/>
      <c r="AH2464"/>
      <c r="AI2464"/>
      <c r="AJ2464"/>
      <c r="AK2464"/>
      <c r="AL2464"/>
    </row>
    <row r="2465" spans="1:38" ht="15.75" customHeight="1" outlineLevel="2" x14ac:dyDescent="0.2">
      <c r="A2465" s="1067">
        <v>1</v>
      </c>
      <c r="B2465" s="1067" t="s">
        <v>68</v>
      </c>
      <c r="C2465" s="1067" t="s">
        <v>1417</v>
      </c>
      <c r="D2465" s="1067" t="s">
        <v>1417</v>
      </c>
      <c r="E2465" s="1068" t="s">
        <v>70</v>
      </c>
      <c r="F2465" s="1067"/>
      <c r="G2465" s="1069" t="str">
        <f t="array" ref="G2465">IF(B2465="insumo",_xlfn.XLOOKUP($D2465,Insumos!$B$1:$B$996,Insumos!$D$1:$D$996),"")</f>
        <v/>
      </c>
      <c r="H2465" s="1069">
        <v>57.805100000000003</v>
      </c>
      <c r="I2465" s="1070">
        <v>0</v>
      </c>
      <c r="J2465" s="1070">
        <v>0</v>
      </c>
      <c r="K2465" s="1070"/>
      <c r="L2465"/>
      <c r="M2465"/>
      <c r="N2465"/>
      <c r="O2465"/>
      <c r="P2465"/>
      <c r="Q2465"/>
      <c r="R2465"/>
      <c r="S2465"/>
      <c r="T2465"/>
      <c r="U2465"/>
      <c r="V2465"/>
      <c r="W2465"/>
      <c r="X2465"/>
      <c r="Y2465"/>
      <c r="Z2465"/>
      <c r="AA2465"/>
      <c r="AB2465"/>
      <c r="AC2465"/>
      <c r="AD2465"/>
      <c r="AE2465"/>
      <c r="AF2465"/>
      <c r="AG2465"/>
      <c r="AH2465"/>
      <c r="AI2465"/>
      <c r="AJ2465"/>
      <c r="AK2465"/>
      <c r="AL2465"/>
    </row>
    <row r="2466" spans="1:38" ht="15.75" customHeight="1" outlineLevel="3" x14ac:dyDescent="0.2">
      <c r="A2466" s="10">
        <v>3</v>
      </c>
      <c r="B2466" s="10" t="s">
        <v>71</v>
      </c>
      <c r="C2466" s="10" t="s">
        <v>1417</v>
      </c>
      <c r="D2466" s="10" t="s">
        <v>1431</v>
      </c>
      <c r="E2466" s="11" t="str">
        <f t="array" ref="E2466">_xlfn.XLOOKUP(D2466,Insumos!B:B,Insumos!C:$C)</f>
        <v>M2</v>
      </c>
      <c r="F2466" s="14">
        <v>1.1000000000000001</v>
      </c>
      <c r="G2466" s="92">
        <f t="array" ref="G2466">IF(B2466="insumo",_xlfn.XLOOKUP($D2466,Insumos!$B$1:$B$996,Insumos!$D$1:$D$996),"")</f>
        <v>43.86</v>
      </c>
      <c r="H2466" s="92">
        <v>48.246000000000002</v>
      </c>
      <c r="I2466" s="13">
        <v>0</v>
      </c>
      <c r="J2466" s="13">
        <v>0</v>
      </c>
      <c r="K2466" s="13"/>
      <c r="L2466"/>
      <c r="M2466"/>
      <c r="N2466"/>
      <c r="O2466"/>
      <c r="P2466"/>
      <c r="Q2466"/>
      <c r="R2466"/>
      <c r="S2466"/>
      <c r="T2466"/>
      <c r="U2466"/>
      <c r="V2466"/>
      <c r="W2466"/>
      <c r="X2466"/>
      <c r="Y2466"/>
      <c r="Z2466"/>
      <c r="AA2466"/>
      <c r="AB2466"/>
      <c r="AC2466"/>
      <c r="AD2466"/>
      <c r="AE2466"/>
      <c r="AF2466"/>
      <c r="AG2466"/>
      <c r="AH2466"/>
      <c r="AI2466"/>
      <c r="AJ2466"/>
      <c r="AK2466"/>
      <c r="AL2466"/>
    </row>
    <row r="2467" spans="1:38" ht="15.75" customHeight="1" outlineLevel="3" x14ac:dyDescent="0.2">
      <c r="A2467" s="10">
        <v>191</v>
      </c>
      <c r="B2467" s="10" t="s">
        <v>71</v>
      </c>
      <c r="C2467" s="10" t="s">
        <v>1417</v>
      </c>
      <c r="D2467" s="10" t="s">
        <v>481</v>
      </c>
      <c r="E2467" s="11" t="str">
        <f t="array" ref="E2467">_xlfn.XLOOKUP(D2467,Insumos!B:B,Insumos!C:$C)</f>
        <v>KG</v>
      </c>
      <c r="F2467" s="14">
        <v>8.8000000000000007</v>
      </c>
      <c r="G2467" s="92">
        <f t="array" ref="G2467">IF(B2467="insumo",_xlfn.XLOOKUP($D2467,Insumos!$B$1:$B$996,Insumos!$D$1:$D$996),"")</f>
        <v>1.0645</v>
      </c>
      <c r="H2467" s="92">
        <v>9.3675999999999995</v>
      </c>
      <c r="I2467" s="13">
        <v>0</v>
      </c>
      <c r="J2467" s="13">
        <v>0</v>
      </c>
      <c r="K2467" s="13"/>
      <c r="L2467"/>
      <c r="M2467"/>
      <c r="N2467"/>
      <c r="O2467"/>
      <c r="P2467"/>
      <c r="Q2467"/>
      <c r="R2467"/>
      <c r="S2467"/>
      <c r="T2467"/>
      <c r="U2467"/>
      <c r="V2467"/>
      <c r="W2467"/>
      <c r="X2467"/>
      <c r="Y2467"/>
      <c r="Z2467"/>
      <c r="AA2467"/>
      <c r="AB2467"/>
      <c r="AC2467"/>
      <c r="AD2467"/>
      <c r="AE2467"/>
      <c r="AF2467"/>
      <c r="AG2467"/>
      <c r="AH2467"/>
      <c r="AI2467"/>
      <c r="AJ2467"/>
      <c r="AK2467"/>
      <c r="AL2467"/>
    </row>
    <row r="2468" spans="1:38" ht="15.75" customHeight="1" outlineLevel="3" x14ac:dyDescent="0.2">
      <c r="A2468" s="10">
        <v>142</v>
      </c>
      <c r="B2468" s="10" t="s">
        <v>71</v>
      </c>
      <c r="C2468" s="10" t="s">
        <v>1417</v>
      </c>
      <c r="D2468" s="10" t="s">
        <v>506</v>
      </c>
      <c r="E2468" s="11" t="str">
        <f t="array" ref="E2468">_xlfn.XLOOKUP(D2468,Insumos!B:B,Insumos!C:$C)</f>
        <v>UN</v>
      </c>
      <c r="F2468" s="14">
        <v>1</v>
      </c>
      <c r="G2468" s="92">
        <f t="array" ref="G2468">IF(B2468="insumo",_xlfn.XLOOKUP($D2468,Insumos!$B$1:$B$996,Insumos!$D$1:$D$996),"")</f>
        <v>0.08</v>
      </c>
      <c r="H2468" s="92">
        <v>0.08</v>
      </c>
      <c r="I2468" s="13">
        <v>0</v>
      </c>
      <c r="J2468" s="13">
        <v>0</v>
      </c>
      <c r="K2468" s="13"/>
      <c r="L2468"/>
      <c r="M2468"/>
      <c r="N2468"/>
      <c r="O2468"/>
      <c r="P2468"/>
      <c r="Q2468"/>
      <c r="R2468"/>
      <c r="S2468"/>
      <c r="T2468"/>
      <c r="U2468"/>
      <c r="V2468"/>
      <c r="W2468"/>
      <c r="X2468"/>
      <c r="Y2468"/>
      <c r="Z2468"/>
      <c r="AA2468"/>
      <c r="AB2468"/>
      <c r="AC2468"/>
      <c r="AD2468"/>
      <c r="AE2468"/>
      <c r="AF2468"/>
      <c r="AG2468"/>
      <c r="AH2468"/>
      <c r="AI2468"/>
      <c r="AJ2468"/>
      <c r="AK2468"/>
      <c r="AL2468"/>
    </row>
    <row r="2469" spans="1:38" ht="15.75" customHeight="1" outlineLevel="3" x14ac:dyDescent="0.2">
      <c r="A2469" s="10">
        <v>101</v>
      </c>
      <c r="B2469" s="10" t="s">
        <v>71</v>
      </c>
      <c r="C2469" s="10" t="s">
        <v>1417</v>
      </c>
      <c r="D2469" s="10" t="s">
        <v>507</v>
      </c>
      <c r="E2469" s="11" t="str">
        <f t="array" ref="E2469">_xlfn.XLOOKUP(D2469,Insumos!B:B,Insumos!C:$C)</f>
        <v>KG</v>
      </c>
      <c r="F2469" s="14">
        <v>0.01</v>
      </c>
      <c r="G2469" s="92">
        <f t="array" ref="G2469">IF(B2469="insumo",_xlfn.XLOOKUP($D2469,Insumos!$B$1:$B$996,Insumos!$D$1:$D$996),"")</f>
        <v>11.15</v>
      </c>
      <c r="H2469" s="92">
        <v>0.1115</v>
      </c>
      <c r="I2469" s="13">
        <v>0</v>
      </c>
      <c r="J2469" s="13">
        <v>0</v>
      </c>
      <c r="K2469" s="13"/>
      <c r="L2469"/>
      <c r="M2469"/>
      <c r="N2469"/>
      <c r="O2469"/>
      <c r="P2469"/>
      <c r="Q2469"/>
      <c r="R2469"/>
      <c r="S2469"/>
      <c r="T2469"/>
      <c r="U2469"/>
      <c r="V2469"/>
      <c r="W2469"/>
      <c r="X2469"/>
      <c r="Y2469"/>
      <c r="Z2469"/>
      <c r="AA2469"/>
      <c r="AB2469"/>
      <c r="AC2469"/>
      <c r="AD2469"/>
      <c r="AE2469"/>
      <c r="AF2469"/>
      <c r="AG2469"/>
      <c r="AH2469"/>
      <c r="AI2469"/>
      <c r="AJ2469"/>
      <c r="AK2469"/>
      <c r="AL2469"/>
    </row>
    <row r="2470" spans="1:38" ht="12.75" outlineLevel="2" x14ac:dyDescent="0.2">
      <c r="A2470" s="1071">
        <v>1</v>
      </c>
      <c r="B2470" s="1071" t="s">
        <v>68</v>
      </c>
      <c r="C2470" s="1071" t="s">
        <v>1835</v>
      </c>
      <c r="D2470" s="1071" t="s">
        <v>1835</v>
      </c>
      <c r="E2470" s="1072" t="s">
        <v>70</v>
      </c>
      <c r="F2470" s="1071"/>
      <c r="G2470" s="1073" t="str">
        <f t="array" ref="G2470">IF(B2470="insumo",_xlfn.XLOOKUP($D2470,Insumos!$B$1:$B$996,Insumos!$D$1:$D$996),"")</f>
        <v/>
      </c>
      <c r="H2470" s="1073">
        <v>78.581999999999994</v>
      </c>
      <c r="I2470" s="1074">
        <v>0</v>
      </c>
      <c r="J2470" s="1074">
        <v>0</v>
      </c>
      <c r="K2470" s="1074"/>
      <c r="L2470"/>
      <c r="M2470"/>
      <c r="N2470"/>
      <c r="O2470"/>
      <c r="P2470"/>
      <c r="Q2470"/>
      <c r="R2470"/>
      <c r="S2470"/>
      <c r="T2470"/>
      <c r="U2470"/>
      <c r="V2470"/>
      <c r="W2470"/>
      <c r="X2470"/>
      <c r="Y2470"/>
      <c r="Z2470"/>
      <c r="AA2470"/>
      <c r="AB2470"/>
      <c r="AC2470"/>
      <c r="AD2470"/>
      <c r="AE2470"/>
      <c r="AF2470"/>
      <c r="AG2470"/>
      <c r="AH2470"/>
      <c r="AI2470"/>
      <c r="AJ2470"/>
      <c r="AK2470"/>
      <c r="AL2470"/>
    </row>
    <row r="2471" spans="1:38" ht="12.75" outlineLevel="3" x14ac:dyDescent="0.2">
      <c r="A2471" s="82">
        <v>6</v>
      </c>
      <c r="B2471" s="82" t="s">
        <v>71</v>
      </c>
      <c r="C2471" s="82" t="s">
        <v>1835</v>
      </c>
      <c r="D2471" s="82" t="s">
        <v>1798</v>
      </c>
      <c r="E2471" s="11" t="str">
        <f t="array" ref="E2471">_xlfn.XLOOKUP(D2471,Insumos!B:B,Insumos!C:$C)</f>
        <v>M2</v>
      </c>
      <c r="F2471" s="88">
        <v>1.1000000000000001</v>
      </c>
      <c r="G2471" s="92">
        <f t="array" ref="G2471">IF(B2471="insumo",_xlfn.XLOOKUP($D2471,Insumos!$B$1:$B$996,Insumos!$D$1:$D$996),"")</f>
        <v>63.59</v>
      </c>
      <c r="H2471" s="92">
        <v>69.948999999999998</v>
      </c>
      <c r="I2471" s="84">
        <v>0</v>
      </c>
      <c r="J2471" s="84">
        <v>0</v>
      </c>
      <c r="K2471" s="84"/>
      <c r="L2471"/>
      <c r="M2471"/>
      <c r="N2471"/>
      <c r="O2471"/>
      <c r="P2471"/>
      <c r="Q2471"/>
      <c r="R2471"/>
      <c r="S2471"/>
      <c r="T2471"/>
      <c r="U2471"/>
      <c r="V2471"/>
      <c r="W2471"/>
      <c r="X2471"/>
      <c r="Y2471"/>
      <c r="Z2471"/>
      <c r="AA2471"/>
      <c r="AB2471"/>
      <c r="AC2471"/>
      <c r="AD2471"/>
      <c r="AE2471"/>
      <c r="AF2471"/>
      <c r="AG2471"/>
      <c r="AH2471"/>
      <c r="AI2471"/>
      <c r="AJ2471"/>
      <c r="AK2471"/>
      <c r="AL2471"/>
    </row>
    <row r="2472" spans="1:38" ht="12.75" outlineLevel="3" x14ac:dyDescent="0.2">
      <c r="A2472" s="82">
        <v>16</v>
      </c>
      <c r="B2472" s="82" t="s">
        <v>71</v>
      </c>
      <c r="C2472" s="82" t="s">
        <v>1835</v>
      </c>
      <c r="D2472" s="82" t="s">
        <v>658</v>
      </c>
      <c r="E2472" s="11" t="str">
        <f t="array" ref="E2472">_xlfn.XLOOKUP(D2472,Insumos!B:B,Insumos!C:$C)</f>
        <v>KG</v>
      </c>
      <c r="F2472" s="88">
        <v>8.8000000000000007</v>
      </c>
      <c r="G2472" s="92">
        <f t="array" ref="G2472">IF(B2472="insumo",_xlfn.XLOOKUP($D2472,Insumos!$B$1:$B$996,Insumos!$D$1:$D$996),"")</f>
        <v>0.95</v>
      </c>
      <c r="H2472" s="92">
        <v>8.36</v>
      </c>
      <c r="I2472" s="84">
        <v>0</v>
      </c>
      <c r="J2472" s="84">
        <v>0</v>
      </c>
      <c r="K2472" s="84"/>
      <c r="L2472"/>
      <c r="M2472"/>
      <c r="N2472"/>
      <c r="O2472"/>
      <c r="P2472"/>
      <c r="Q2472"/>
      <c r="R2472"/>
      <c r="S2472"/>
      <c r="T2472"/>
      <c r="U2472"/>
      <c r="V2472"/>
      <c r="W2472"/>
      <c r="X2472"/>
      <c r="Y2472"/>
      <c r="Z2472"/>
      <c r="AA2472"/>
      <c r="AB2472"/>
      <c r="AC2472"/>
      <c r="AD2472"/>
      <c r="AE2472"/>
      <c r="AF2472"/>
      <c r="AG2472"/>
      <c r="AH2472"/>
      <c r="AI2472"/>
      <c r="AJ2472"/>
      <c r="AK2472"/>
      <c r="AL2472"/>
    </row>
    <row r="2473" spans="1:38" ht="12.75" outlineLevel="3" x14ac:dyDescent="0.2">
      <c r="A2473" s="82">
        <v>17</v>
      </c>
      <c r="B2473" s="82" t="s">
        <v>71</v>
      </c>
      <c r="C2473" s="82" t="s">
        <v>1835</v>
      </c>
      <c r="D2473" s="82" t="s">
        <v>521</v>
      </c>
      <c r="E2473" s="11" t="str">
        <f t="array" ref="E2473">_xlfn.XLOOKUP(D2473,Insumos!B:B,Insumos!C:$C)</f>
        <v>UN</v>
      </c>
      <c r="F2473" s="88">
        <v>1</v>
      </c>
      <c r="G2473" s="92">
        <f t="array" ref="G2473">IF(B2473="insumo",_xlfn.XLOOKUP($D2473,Insumos!$B$1:$B$996,Insumos!$D$1:$D$996),"")</f>
        <v>0.05</v>
      </c>
      <c r="H2473" s="92">
        <v>0.05</v>
      </c>
      <c r="I2473" s="84">
        <v>0</v>
      </c>
      <c r="J2473" s="84">
        <v>0</v>
      </c>
      <c r="K2473" s="84"/>
      <c r="L2473"/>
      <c r="M2473"/>
      <c r="N2473"/>
      <c r="O2473"/>
      <c r="P2473"/>
      <c r="Q2473"/>
      <c r="R2473"/>
      <c r="S2473"/>
      <c r="T2473"/>
      <c r="U2473"/>
      <c r="V2473"/>
      <c r="W2473"/>
      <c r="X2473"/>
      <c r="Y2473"/>
      <c r="Z2473"/>
      <c r="AA2473"/>
      <c r="AB2473"/>
      <c r="AC2473"/>
      <c r="AD2473"/>
      <c r="AE2473"/>
      <c r="AF2473"/>
      <c r="AG2473"/>
      <c r="AH2473"/>
      <c r="AI2473"/>
      <c r="AJ2473"/>
      <c r="AK2473"/>
      <c r="AL2473"/>
    </row>
    <row r="2474" spans="1:38" ht="12.75" outlineLevel="3" x14ac:dyDescent="0.2">
      <c r="A2474" s="82">
        <v>101</v>
      </c>
      <c r="B2474" s="82" t="s">
        <v>71</v>
      </c>
      <c r="C2474" s="82" t="s">
        <v>1835</v>
      </c>
      <c r="D2474" s="82" t="s">
        <v>507</v>
      </c>
      <c r="E2474" s="11" t="str">
        <f t="array" ref="E2474">_xlfn.XLOOKUP(D2474,Insumos!B:B,Insumos!C:$C)</f>
        <v>KG</v>
      </c>
      <c r="F2474" s="88">
        <v>0.02</v>
      </c>
      <c r="G2474" s="92">
        <f t="array" ref="G2474">IF(B2474="insumo",_xlfn.XLOOKUP($D2474,Insumos!$B$1:$B$996,Insumos!$D$1:$D$996),"")</f>
        <v>11.15</v>
      </c>
      <c r="H2474" s="92">
        <v>0.223</v>
      </c>
      <c r="I2474" s="84">
        <v>0</v>
      </c>
      <c r="J2474" s="84">
        <v>0</v>
      </c>
      <c r="K2474" s="84"/>
      <c r="L2474"/>
      <c r="M2474"/>
      <c r="N2474"/>
      <c r="O2474"/>
      <c r="P2474"/>
      <c r="Q2474"/>
      <c r="R2474"/>
      <c r="S2474"/>
      <c r="T2474"/>
      <c r="U2474"/>
      <c r="V2474"/>
      <c r="W2474"/>
      <c r="X2474"/>
      <c r="Y2474"/>
      <c r="Z2474"/>
      <c r="AA2474"/>
      <c r="AB2474"/>
      <c r="AC2474"/>
      <c r="AD2474"/>
      <c r="AE2474"/>
      <c r="AF2474"/>
      <c r="AG2474"/>
      <c r="AH2474"/>
      <c r="AI2474"/>
      <c r="AJ2474"/>
      <c r="AK2474"/>
      <c r="AL2474"/>
    </row>
    <row r="2475" spans="1:38" ht="12.75" outlineLevel="2" x14ac:dyDescent="0.2">
      <c r="A2475" s="1071">
        <v>1</v>
      </c>
      <c r="B2475" s="1071" t="s">
        <v>68</v>
      </c>
      <c r="C2475" s="1071" t="s">
        <v>1826</v>
      </c>
      <c r="D2475" s="1071" t="s">
        <v>1826</v>
      </c>
      <c r="E2475" s="1072" t="s">
        <v>70</v>
      </c>
      <c r="F2475" s="1071"/>
      <c r="G2475" s="1073" t="str">
        <f t="array" ref="G2475">IF(B2475="insumo",_xlfn.XLOOKUP($D2475,Insumos!$B$1:$B$996,Insumos!$D$1:$D$996),"")</f>
        <v/>
      </c>
      <c r="H2475" s="1073">
        <v>700.77927499999998</v>
      </c>
      <c r="I2475" s="1074">
        <v>0</v>
      </c>
      <c r="J2475" s="1074">
        <v>0</v>
      </c>
      <c r="K2475" s="1074"/>
      <c r="L2475"/>
      <c r="M2475"/>
      <c r="N2475"/>
      <c r="O2475"/>
      <c r="P2475"/>
      <c r="Q2475"/>
      <c r="R2475"/>
      <c r="S2475"/>
      <c r="T2475"/>
      <c r="U2475"/>
      <c r="V2475"/>
      <c r="W2475"/>
      <c r="X2475"/>
      <c r="Y2475"/>
      <c r="Z2475"/>
      <c r="AA2475"/>
      <c r="AB2475"/>
      <c r="AC2475"/>
      <c r="AD2475"/>
      <c r="AE2475"/>
      <c r="AF2475"/>
      <c r="AG2475"/>
      <c r="AH2475"/>
      <c r="AI2475"/>
      <c r="AJ2475"/>
      <c r="AK2475"/>
      <c r="AL2475"/>
    </row>
    <row r="2476" spans="1:38" ht="12.75" outlineLevel="3" x14ac:dyDescent="0.2">
      <c r="A2476" s="82">
        <v>1</v>
      </c>
      <c r="B2476" s="82" t="s">
        <v>71</v>
      </c>
      <c r="C2476" s="82" t="s">
        <v>1826</v>
      </c>
      <c r="D2476" s="82" t="s">
        <v>1826</v>
      </c>
      <c r="E2476" s="11" t="str">
        <f t="array" ref="E2476">_xlfn.XLOOKUP(D2476,Insumos!B:B,Insumos!C:$C)</f>
        <v>M2</v>
      </c>
      <c r="F2476" s="88">
        <v>1.1000000000000001</v>
      </c>
      <c r="G2476" s="92">
        <f t="array" ref="G2476">IF(B2476="insumo",_xlfn.XLOOKUP($D2476,Insumos!$B$1:$B$996,Insumos!$D$1:$D$996),"")</f>
        <v>630</v>
      </c>
      <c r="H2476" s="92">
        <v>693</v>
      </c>
      <c r="I2476" s="84">
        <v>0</v>
      </c>
      <c r="J2476" s="84">
        <v>0</v>
      </c>
      <c r="K2476" s="84"/>
      <c r="L2476"/>
      <c r="M2476"/>
      <c r="N2476"/>
      <c r="O2476"/>
      <c r="P2476"/>
      <c r="Q2476"/>
      <c r="R2476"/>
      <c r="S2476"/>
      <c r="T2476"/>
      <c r="U2476"/>
      <c r="V2476"/>
      <c r="W2476"/>
      <c r="X2476"/>
      <c r="Y2476"/>
      <c r="Z2476"/>
      <c r="AA2476"/>
      <c r="AB2476"/>
      <c r="AC2476"/>
      <c r="AD2476"/>
      <c r="AE2476"/>
      <c r="AF2476"/>
      <c r="AG2476"/>
      <c r="AH2476"/>
      <c r="AI2476"/>
      <c r="AJ2476"/>
      <c r="AK2476"/>
      <c r="AL2476"/>
    </row>
    <row r="2477" spans="1:38" ht="12.75" outlineLevel="3" x14ac:dyDescent="0.2">
      <c r="A2477" s="82">
        <v>191</v>
      </c>
      <c r="B2477" s="82" t="s">
        <v>71</v>
      </c>
      <c r="C2477" s="82" t="s">
        <v>1826</v>
      </c>
      <c r="D2477" s="82" t="s">
        <v>481</v>
      </c>
      <c r="E2477" s="11" t="str">
        <f t="array" ref="E2477">_xlfn.XLOOKUP(D2477,Insumos!B:B,Insumos!C:$C)</f>
        <v>KG</v>
      </c>
      <c r="F2477" s="88">
        <v>4.95</v>
      </c>
      <c r="G2477" s="92">
        <f t="array" ref="G2477">IF(B2477="insumo",_xlfn.XLOOKUP($D2477,Insumos!$B$1:$B$996,Insumos!$D$1:$D$996),"")</f>
        <v>1.0645</v>
      </c>
      <c r="H2477" s="92">
        <v>5.2692750000000004</v>
      </c>
      <c r="I2477" s="84">
        <v>0</v>
      </c>
      <c r="J2477" s="84">
        <v>0</v>
      </c>
      <c r="K2477" s="84"/>
      <c r="L2477"/>
      <c r="M2477"/>
      <c r="N2477"/>
      <c r="O2477"/>
      <c r="P2477"/>
      <c r="Q2477"/>
      <c r="R2477"/>
      <c r="S2477"/>
      <c r="T2477"/>
      <c r="U2477"/>
      <c r="V2477"/>
      <c r="W2477"/>
      <c r="X2477"/>
      <c r="Y2477"/>
      <c r="Z2477"/>
      <c r="AA2477"/>
      <c r="AB2477"/>
      <c r="AC2477"/>
      <c r="AD2477"/>
      <c r="AE2477"/>
      <c r="AF2477"/>
      <c r="AG2477"/>
      <c r="AH2477"/>
      <c r="AI2477"/>
      <c r="AJ2477"/>
      <c r="AK2477"/>
      <c r="AL2477"/>
    </row>
    <row r="2478" spans="1:38" ht="12.75" outlineLevel="3" x14ac:dyDescent="0.2">
      <c r="A2478" s="82">
        <v>142</v>
      </c>
      <c r="B2478" s="82" t="s">
        <v>71</v>
      </c>
      <c r="C2478" s="82" t="s">
        <v>1826</v>
      </c>
      <c r="D2478" s="82" t="s">
        <v>506</v>
      </c>
      <c r="E2478" s="11" t="str">
        <f t="array" ref="E2478">_xlfn.XLOOKUP(D2478,Insumos!B:B,Insumos!C:$C)</f>
        <v>UN</v>
      </c>
      <c r="F2478" s="88">
        <v>4</v>
      </c>
      <c r="G2478" s="92">
        <f t="array" ref="G2478">IF(B2478="insumo",_xlfn.XLOOKUP($D2478,Insumos!$B$1:$B$996,Insumos!$D$1:$D$996),"")</f>
        <v>0.08</v>
      </c>
      <c r="H2478" s="92">
        <v>0.32</v>
      </c>
      <c r="I2478" s="84">
        <v>0</v>
      </c>
      <c r="J2478" s="84">
        <v>0</v>
      </c>
      <c r="K2478" s="84"/>
      <c r="L2478"/>
      <c r="M2478"/>
      <c r="N2478"/>
      <c r="O2478"/>
      <c r="P2478"/>
      <c r="Q2478"/>
      <c r="R2478"/>
      <c r="S2478"/>
      <c r="T2478"/>
      <c r="U2478"/>
      <c r="V2478"/>
      <c r="W2478"/>
      <c r="X2478"/>
      <c r="Y2478"/>
      <c r="Z2478"/>
      <c r="AA2478"/>
      <c r="AB2478"/>
      <c r="AC2478"/>
      <c r="AD2478"/>
      <c r="AE2478"/>
      <c r="AF2478"/>
      <c r="AG2478"/>
      <c r="AH2478"/>
      <c r="AI2478"/>
      <c r="AJ2478"/>
      <c r="AK2478"/>
      <c r="AL2478"/>
    </row>
    <row r="2479" spans="1:38" ht="12.75" outlineLevel="3" x14ac:dyDescent="0.2">
      <c r="A2479" s="82">
        <v>22</v>
      </c>
      <c r="B2479" s="82" t="s">
        <v>71</v>
      </c>
      <c r="C2479" s="82" t="s">
        <v>1826</v>
      </c>
      <c r="D2479" s="82" t="s">
        <v>1833</v>
      </c>
      <c r="E2479" s="11" t="str">
        <f t="array" ref="E2479">_xlfn.XLOOKUP(D2479,Insumos!B:B,Insumos!C:$C)</f>
        <v>KG</v>
      </c>
      <c r="F2479" s="88">
        <v>0.05</v>
      </c>
      <c r="G2479" s="92">
        <f t="array" ref="G2479">IF(B2479="insumo",_xlfn.XLOOKUP($D2479,Insumos!$B$1:$B$996,Insumos!$D$1:$D$996),"")</f>
        <v>43.8</v>
      </c>
      <c r="H2479" s="92">
        <v>2.19</v>
      </c>
      <c r="I2479" s="84">
        <v>0</v>
      </c>
      <c r="J2479" s="84">
        <v>0</v>
      </c>
      <c r="K2479" s="84"/>
      <c r="L2479"/>
      <c r="M2479"/>
      <c r="N2479"/>
      <c r="O2479"/>
      <c r="P2479"/>
      <c r="Q2479"/>
      <c r="R2479"/>
      <c r="S2479"/>
      <c r="T2479"/>
      <c r="U2479"/>
      <c r="V2479"/>
      <c r="W2479"/>
      <c r="X2479"/>
      <c r="Y2479"/>
      <c r="Z2479"/>
      <c r="AA2479"/>
      <c r="AB2479"/>
      <c r="AC2479"/>
      <c r="AD2479"/>
      <c r="AE2479"/>
      <c r="AF2479"/>
      <c r="AG2479"/>
      <c r="AH2479"/>
      <c r="AI2479"/>
      <c r="AJ2479"/>
      <c r="AK2479"/>
      <c r="AL2479"/>
    </row>
    <row r="2480" spans="1:38" ht="12.75" outlineLevel="2" x14ac:dyDescent="0.2">
      <c r="A2480" s="1071">
        <v>1</v>
      </c>
      <c r="B2480" s="1071" t="s">
        <v>68</v>
      </c>
      <c r="C2480" s="1071" t="s">
        <v>1836</v>
      </c>
      <c r="D2480" s="1071" t="s">
        <v>1836</v>
      </c>
      <c r="E2480" s="1072" t="s">
        <v>70</v>
      </c>
      <c r="F2480" s="1071"/>
      <c r="G2480" s="1073" t="str">
        <f t="array" ref="G2480">IF(B2480="insumo",_xlfn.XLOOKUP($D2480,Insumos!$B$1:$B$996,Insumos!$D$1:$D$996),"")</f>
        <v/>
      </c>
      <c r="H2480" s="1073">
        <v>239.87927500000001</v>
      </c>
      <c r="I2480" s="1074">
        <v>0</v>
      </c>
      <c r="J2480" s="1074">
        <v>0</v>
      </c>
      <c r="K2480" s="1074"/>
      <c r="L2480"/>
      <c r="M2480"/>
      <c r="N2480"/>
      <c r="O2480"/>
      <c r="P2480"/>
      <c r="Q2480"/>
      <c r="R2480"/>
      <c r="S2480"/>
      <c r="T2480"/>
      <c r="U2480"/>
      <c r="V2480"/>
      <c r="W2480"/>
      <c r="X2480"/>
      <c r="Y2480"/>
      <c r="Z2480"/>
      <c r="AA2480"/>
      <c r="AB2480"/>
      <c r="AC2480"/>
      <c r="AD2480"/>
      <c r="AE2480"/>
      <c r="AF2480"/>
      <c r="AG2480"/>
      <c r="AH2480"/>
      <c r="AI2480"/>
      <c r="AJ2480"/>
      <c r="AK2480"/>
      <c r="AL2480"/>
    </row>
    <row r="2481" spans="1:38" ht="12.75" outlineLevel="3" x14ac:dyDescent="0.2">
      <c r="A2481" s="82">
        <v>2</v>
      </c>
      <c r="B2481" s="82" t="s">
        <v>71</v>
      </c>
      <c r="C2481" s="82" t="s">
        <v>1836</v>
      </c>
      <c r="D2481" s="82" t="s">
        <v>1814</v>
      </c>
      <c r="E2481" s="11" t="str">
        <f t="array" ref="E2481">_xlfn.XLOOKUP(D2481,Insumos!B:B,Insumos!C:$C)</f>
        <v>M2</v>
      </c>
      <c r="F2481" s="88">
        <v>1.1000000000000001</v>
      </c>
      <c r="G2481" s="92">
        <f t="array" ref="G2481">IF(B2481="insumo",_xlfn.XLOOKUP($D2481,Insumos!$B$1:$B$996,Insumos!$D$1:$D$996),"")</f>
        <v>211</v>
      </c>
      <c r="H2481" s="92">
        <v>232.1</v>
      </c>
      <c r="I2481" s="84">
        <v>0</v>
      </c>
      <c r="J2481" s="84">
        <v>0</v>
      </c>
      <c r="K2481" s="84"/>
      <c r="L2481"/>
      <c r="M2481"/>
      <c r="N2481"/>
      <c r="O2481"/>
      <c r="P2481"/>
      <c r="Q2481"/>
      <c r="R2481"/>
      <c r="S2481"/>
      <c r="T2481"/>
      <c r="U2481"/>
      <c r="V2481"/>
      <c r="W2481"/>
      <c r="X2481"/>
      <c r="Y2481"/>
      <c r="Z2481"/>
      <c r="AA2481"/>
      <c r="AB2481"/>
      <c r="AC2481"/>
      <c r="AD2481"/>
      <c r="AE2481"/>
      <c r="AF2481"/>
      <c r="AG2481"/>
      <c r="AH2481"/>
      <c r="AI2481"/>
      <c r="AJ2481"/>
      <c r="AK2481"/>
      <c r="AL2481"/>
    </row>
    <row r="2482" spans="1:38" ht="12.75" outlineLevel="3" x14ac:dyDescent="0.2">
      <c r="A2482" s="82">
        <v>191</v>
      </c>
      <c r="B2482" s="82" t="s">
        <v>71</v>
      </c>
      <c r="C2482" s="82" t="s">
        <v>1836</v>
      </c>
      <c r="D2482" s="82" t="s">
        <v>481</v>
      </c>
      <c r="E2482" s="11" t="str">
        <f t="array" ref="E2482">_xlfn.XLOOKUP(D2482,Insumos!B:B,Insumos!C:$C)</f>
        <v>KG</v>
      </c>
      <c r="F2482" s="88">
        <v>4.95</v>
      </c>
      <c r="G2482" s="92">
        <f t="array" ref="G2482">IF(B2482="insumo",_xlfn.XLOOKUP($D2482,Insumos!$B$1:$B$996,Insumos!$D$1:$D$996),"")</f>
        <v>1.0645</v>
      </c>
      <c r="H2482" s="92">
        <v>5.2692750000000004</v>
      </c>
      <c r="I2482" s="84">
        <v>0</v>
      </c>
      <c r="J2482" s="84">
        <v>0</v>
      </c>
      <c r="K2482" s="84"/>
      <c r="L2482"/>
      <c r="M2482"/>
      <c r="N2482"/>
      <c r="O2482"/>
      <c r="P2482"/>
      <c r="Q2482"/>
      <c r="R2482"/>
      <c r="S2482"/>
      <c r="T2482"/>
      <c r="U2482"/>
      <c r="V2482"/>
      <c r="W2482"/>
      <c r="X2482"/>
      <c r="Y2482"/>
      <c r="Z2482"/>
      <c r="AA2482"/>
      <c r="AB2482"/>
      <c r="AC2482"/>
      <c r="AD2482"/>
      <c r="AE2482"/>
      <c r="AF2482"/>
      <c r="AG2482"/>
      <c r="AH2482"/>
      <c r="AI2482"/>
      <c r="AJ2482"/>
      <c r="AK2482"/>
      <c r="AL2482"/>
    </row>
    <row r="2483" spans="1:38" ht="12.75" outlineLevel="3" x14ac:dyDescent="0.2">
      <c r="A2483" s="82">
        <v>142</v>
      </c>
      <c r="B2483" s="82" t="s">
        <v>71</v>
      </c>
      <c r="C2483" s="82" t="s">
        <v>1836</v>
      </c>
      <c r="D2483" s="82" t="s">
        <v>506</v>
      </c>
      <c r="E2483" s="11" t="str">
        <f t="array" ref="E2483">_xlfn.XLOOKUP(D2483,Insumos!B:B,Insumos!C:$C)</f>
        <v>UN</v>
      </c>
      <c r="F2483" s="88">
        <v>4</v>
      </c>
      <c r="G2483" s="92">
        <f t="array" ref="G2483">IF(B2483="insumo",_xlfn.XLOOKUP($D2483,Insumos!$B$1:$B$996,Insumos!$D$1:$D$996),"")</f>
        <v>0.08</v>
      </c>
      <c r="H2483" s="92">
        <v>0.32</v>
      </c>
      <c r="I2483" s="84">
        <v>0</v>
      </c>
      <c r="J2483" s="84">
        <v>0</v>
      </c>
      <c r="K2483" s="84"/>
      <c r="L2483"/>
      <c r="M2483"/>
      <c r="N2483"/>
      <c r="O2483"/>
      <c r="P2483"/>
      <c r="Q2483"/>
      <c r="R2483"/>
      <c r="S2483"/>
      <c r="T2483"/>
      <c r="U2483"/>
      <c r="V2483"/>
      <c r="W2483"/>
      <c r="X2483"/>
      <c r="Y2483"/>
      <c r="Z2483"/>
      <c r="AA2483"/>
      <c r="AB2483"/>
      <c r="AC2483"/>
      <c r="AD2483"/>
      <c r="AE2483"/>
      <c r="AF2483"/>
      <c r="AG2483"/>
      <c r="AH2483"/>
      <c r="AI2483"/>
      <c r="AJ2483"/>
      <c r="AK2483"/>
      <c r="AL2483"/>
    </row>
    <row r="2484" spans="1:38" ht="12.75" outlineLevel="3" x14ac:dyDescent="0.2">
      <c r="A2484" s="82">
        <v>22</v>
      </c>
      <c r="B2484" s="82" t="s">
        <v>71</v>
      </c>
      <c r="C2484" s="82" t="s">
        <v>1836</v>
      </c>
      <c r="D2484" s="82" t="s">
        <v>1833</v>
      </c>
      <c r="E2484" s="11" t="str">
        <f t="array" ref="E2484">_xlfn.XLOOKUP(D2484,Insumos!B:B,Insumos!C:$C)</f>
        <v>KG</v>
      </c>
      <c r="F2484" s="88">
        <v>0.05</v>
      </c>
      <c r="G2484" s="92">
        <f t="array" ref="G2484">IF(B2484="insumo",_xlfn.XLOOKUP($D2484,Insumos!$B$1:$B$996,Insumos!$D$1:$D$996),"")</f>
        <v>43.8</v>
      </c>
      <c r="H2484" s="92">
        <v>2.19</v>
      </c>
      <c r="I2484" s="84">
        <v>0</v>
      </c>
      <c r="J2484" s="84">
        <v>0</v>
      </c>
      <c r="K2484" s="84"/>
      <c r="L2484"/>
      <c r="M2484"/>
      <c r="N2484"/>
      <c r="O2484"/>
      <c r="P2484"/>
      <c r="Q2484"/>
      <c r="R2484"/>
      <c r="S2484"/>
      <c r="T2484"/>
      <c r="U2484"/>
      <c r="V2484"/>
      <c r="W2484"/>
      <c r="X2484"/>
      <c r="Y2484"/>
      <c r="Z2484"/>
      <c r="AA2484"/>
      <c r="AB2484"/>
      <c r="AC2484"/>
      <c r="AD2484"/>
      <c r="AE2484"/>
      <c r="AF2484"/>
      <c r="AG2484"/>
      <c r="AH2484"/>
      <c r="AI2484"/>
      <c r="AJ2484"/>
      <c r="AK2484"/>
      <c r="AL2484"/>
    </row>
    <row r="2485" spans="1:38" ht="12.75" outlineLevel="2" x14ac:dyDescent="0.2">
      <c r="A2485" s="1071">
        <v>1</v>
      </c>
      <c r="B2485" s="1071" t="s">
        <v>68</v>
      </c>
      <c r="C2485" s="1071" t="s">
        <v>1837</v>
      </c>
      <c r="D2485" s="1071" t="s">
        <v>1837</v>
      </c>
      <c r="E2485" s="1072" t="s">
        <v>70</v>
      </c>
      <c r="F2485" s="1071"/>
      <c r="G2485" s="1073" t="str">
        <f t="array" ref="G2485">IF(B2485="insumo",_xlfn.XLOOKUP($D2485,Insumos!$B$1:$B$996,Insumos!$D$1:$D$996),"")</f>
        <v/>
      </c>
      <c r="H2485" s="1073">
        <v>239.87927500000001</v>
      </c>
      <c r="I2485" s="1074">
        <v>0</v>
      </c>
      <c r="J2485" s="1074">
        <v>0</v>
      </c>
      <c r="K2485" s="1074"/>
      <c r="L2485"/>
      <c r="M2485"/>
      <c r="N2485"/>
      <c r="O2485"/>
      <c r="P2485"/>
      <c r="Q2485"/>
      <c r="R2485"/>
      <c r="S2485"/>
      <c r="T2485"/>
      <c r="U2485"/>
      <c r="V2485"/>
      <c r="W2485"/>
      <c r="X2485"/>
      <c r="Y2485"/>
      <c r="Z2485"/>
      <c r="AA2485"/>
      <c r="AB2485"/>
      <c r="AC2485"/>
      <c r="AD2485"/>
      <c r="AE2485"/>
      <c r="AF2485"/>
      <c r="AG2485"/>
      <c r="AH2485"/>
      <c r="AI2485"/>
      <c r="AJ2485"/>
      <c r="AK2485"/>
      <c r="AL2485"/>
    </row>
    <row r="2486" spans="1:38" ht="12.75" outlineLevel="3" x14ac:dyDescent="0.2">
      <c r="A2486" s="82">
        <v>2</v>
      </c>
      <c r="B2486" s="82" t="s">
        <v>71</v>
      </c>
      <c r="C2486" s="82" t="s">
        <v>1837</v>
      </c>
      <c r="D2486" s="82" t="s">
        <v>1814</v>
      </c>
      <c r="E2486" s="11" t="str">
        <f t="array" ref="E2486">_xlfn.XLOOKUP(D2486,Insumos!B:B,Insumos!C:$C)</f>
        <v>M2</v>
      </c>
      <c r="F2486" s="88">
        <v>1.1000000000000001</v>
      </c>
      <c r="G2486" s="92">
        <f t="array" ref="G2486">IF(B2486="insumo",_xlfn.XLOOKUP($D2486,Insumos!$B$1:$B$996,Insumos!$D$1:$D$996),"")</f>
        <v>211</v>
      </c>
      <c r="H2486" s="92">
        <v>232.1</v>
      </c>
      <c r="I2486" s="84">
        <v>0</v>
      </c>
      <c r="J2486" s="84">
        <v>0</v>
      </c>
      <c r="K2486" s="84"/>
      <c r="L2486"/>
      <c r="M2486"/>
      <c r="N2486"/>
      <c r="O2486"/>
      <c r="P2486"/>
      <c r="Q2486"/>
      <c r="R2486"/>
      <c r="S2486"/>
      <c r="T2486"/>
      <c r="U2486"/>
      <c r="V2486"/>
      <c r="W2486"/>
      <c r="X2486"/>
      <c r="Y2486"/>
      <c r="Z2486"/>
      <c r="AA2486"/>
      <c r="AB2486"/>
      <c r="AC2486"/>
      <c r="AD2486"/>
      <c r="AE2486"/>
      <c r="AF2486"/>
      <c r="AG2486"/>
      <c r="AH2486"/>
      <c r="AI2486"/>
      <c r="AJ2486"/>
      <c r="AK2486"/>
      <c r="AL2486"/>
    </row>
    <row r="2487" spans="1:38" ht="12.75" outlineLevel="3" x14ac:dyDescent="0.2">
      <c r="A2487" s="82">
        <v>191</v>
      </c>
      <c r="B2487" s="82" t="s">
        <v>71</v>
      </c>
      <c r="C2487" s="82" t="s">
        <v>1837</v>
      </c>
      <c r="D2487" s="82" t="s">
        <v>481</v>
      </c>
      <c r="E2487" s="11" t="str">
        <f t="array" ref="E2487">_xlfn.XLOOKUP(D2487,Insumos!B:B,Insumos!C:$C)</f>
        <v>KG</v>
      </c>
      <c r="F2487" s="88">
        <v>4.95</v>
      </c>
      <c r="G2487" s="92">
        <f t="array" ref="G2487">IF(B2487="insumo",_xlfn.XLOOKUP($D2487,Insumos!$B$1:$B$996,Insumos!$D$1:$D$996),"")</f>
        <v>1.0645</v>
      </c>
      <c r="H2487" s="92">
        <v>5.2692750000000004</v>
      </c>
      <c r="I2487" s="84">
        <v>0</v>
      </c>
      <c r="J2487" s="84">
        <v>0</v>
      </c>
      <c r="K2487" s="84"/>
      <c r="L2487"/>
      <c r="M2487"/>
      <c r="N2487"/>
      <c r="O2487"/>
      <c r="P2487"/>
      <c r="Q2487"/>
      <c r="R2487"/>
      <c r="S2487"/>
      <c r="T2487"/>
      <c r="U2487"/>
      <c r="V2487"/>
      <c r="W2487"/>
      <c r="X2487"/>
      <c r="Y2487"/>
      <c r="Z2487"/>
      <c r="AA2487"/>
      <c r="AB2487"/>
      <c r="AC2487"/>
      <c r="AD2487"/>
      <c r="AE2487"/>
      <c r="AF2487"/>
      <c r="AG2487"/>
      <c r="AH2487"/>
      <c r="AI2487"/>
      <c r="AJ2487"/>
      <c r="AK2487"/>
      <c r="AL2487"/>
    </row>
    <row r="2488" spans="1:38" ht="12.75" outlineLevel="3" x14ac:dyDescent="0.2">
      <c r="A2488" s="82">
        <v>142</v>
      </c>
      <c r="B2488" s="82" t="s">
        <v>71</v>
      </c>
      <c r="C2488" s="82" t="s">
        <v>1837</v>
      </c>
      <c r="D2488" s="82" t="s">
        <v>506</v>
      </c>
      <c r="E2488" s="11" t="str">
        <f t="array" ref="E2488">_xlfn.XLOOKUP(D2488,Insumos!B:B,Insumos!C:$C)</f>
        <v>UN</v>
      </c>
      <c r="F2488" s="88">
        <v>4</v>
      </c>
      <c r="G2488" s="92">
        <f t="array" ref="G2488">IF(B2488="insumo",_xlfn.XLOOKUP($D2488,Insumos!$B$1:$B$996,Insumos!$D$1:$D$996),"")</f>
        <v>0.08</v>
      </c>
      <c r="H2488" s="92">
        <v>0.32</v>
      </c>
      <c r="I2488" s="84">
        <v>0</v>
      </c>
      <c r="J2488" s="84">
        <v>0</v>
      </c>
      <c r="K2488" s="84"/>
      <c r="L2488"/>
      <c r="M2488"/>
      <c r="N2488"/>
      <c r="O2488"/>
      <c r="P2488"/>
      <c r="Q2488"/>
      <c r="R2488"/>
      <c r="S2488"/>
      <c r="T2488"/>
      <c r="U2488"/>
      <c r="V2488"/>
      <c r="W2488"/>
      <c r="X2488"/>
      <c r="Y2488"/>
      <c r="Z2488"/>
      <c r="AA2488"/>
      <c r="AB2488"/>
      <c r="AC2488"/>
      <c r="AD2488"/>
      <c r="AE2488"/>
      <c r="AF2488"/>
      <c r="AG2488"/>
      <c r="AH2488"/>
      <c r="AI2488"/>
      <c r="AJ2488"/>
      <c r="AK2488"/>
      <c r="AL2488"/>
    </row>
    <row r="2489" spans="1:38" ht="12.75" outlineLevel="3" x14ac:dyDescent="0.2">
      <c r="A2489" s="82">
        <v>22</v>
      </c>
      <c r="B2489" s="82" t="s">
        <v>71</v>
      </c>
      <c r="C2489" s="82" t="s">
        <v>1837</v>
      </c>
      <c r="D2489" s="82" t="s">
        <v>1833</v>
      </c>
      <c r="E2489" s="11" t="str">
        <f t="array" ref="E2489">_xlfn.XLOOKUP(D2489,Insumos!B:B,Insumos!C:$C)</f>
        <v>KG</v>
      </c>
      <c r="F2489" s="88">
        <v>0.05</v>
      </c>
      <c r="G2489" s="92">
        <f t="array" ref="G2489">IF(B2489="insumo",_xlfn.XLOOKUP($D2489,Insumos!$B$1:$B$996,Insumos!$D$1:$D$996),"")</f>
        <v>43.8</v>
      </c>
      <c r="H2489" s="92">
        <v>2.19</v>
      </c>
      <c r="I2489" s="84">
        <v>0</v>
      </c>
      <c r="J2489" s="84">
        <v>0</v>
      </c>
      <c r="K2489" s="84"/>
      <c r="L2489"/>
      <c r="M2489"/>
      <c r="N2489"/>
      <c r="O2489"/>
      <c r="P2489"/>
      <c r="Q2489"/>
      <c r="R2489"/>
      <c r="S2489"/>
      <c r="T2489"/>
      <c r="U2489"/>
      <c r="V2489"/>
      <c r="W2489"/>
      <c r="X2489"/>
      <c r="Y2489"/>
      <c r="Z2489"/>
      <c r="AA2489"/>
      <c r="AB2489"/>
      <c r="AC2489"/>
      <c r="AD2489"/>
      <c r="AE2489"/>
      <c r="AF2489"/>
      <c r="AG2489"/>
      <c r="AH2489"/>
      <c r="AI2489"/>
      <c r="AJ2489"/>
      <c r="AK2489"/>
      <c r="AL2489"/>
    </row>
    <row r="2490" spans="1:38" ht="12.75" outlineLevel="2" x14ac:dyDescent="0.2">
      <c r="A2490" s="1071">
        <v>1</v>
      </c>
      <c r="B2490" s="1071" t="s">
        <v>68</v>
      </c>
      <c r="C2490" s="1071" t="s">
        <v>1838</v>
      </c>
      <c r="D2490" s="1071" t="s">
        <v>1838</v>
      </c>
      <c r="E2490" s="1072" t="s">
        <v>70</v>
      </c>
      <c r="F2490" s="1071"/>
      <c r="G2490" s="1073" t="str">
        <f t="array" ref="G2490">IF(B2490="insumo",_xlfn.XLOOKUP($D2490,Insumos!$B$1:$B$996,Insumos!$D$1:$D$996),"")</f>
        <v/>
      </c>
      <c r="H2490" s="1073">
        <v>136.0591</v>
      </c>
      <c r="I2490" s="1074">
        <v>0</v>
      </c>
      <c r="J2490" s="1074">
        <v>0</v>
      </c>
      <c r="K2490" s="1074"/>
      <c r="L2490"/>
      <c r="M2490"/>
      <c r="N2490"/>
      <c r="O2490"/>
      <c r="P2490"/>
      <c r="Q2490"/>
      <c r="R2490"/>
      <c r="S2490"/>
      <c r="T2490"/>
      <c r="U2490"/>
      <c r="V2490"/>
      <c r="W2490"/>
      <c r="X2490"/>
      <c r="Y2490"/>
      <c r="Z2490"/>
      <c r="AA2490"/>
      <c r="AB2490"/>
      <c r="AC2490"/>
      <c r="AD2490"/>
      <c r="AE2490"/>
      <c r="AF2490"/>
      <c r="AG2490"/>
      <c r="AH2490"/>
      <c r="AI2490"/>
      <c r="AJ2490"/>
      <c r="AK2490"/>
      <c r="AL2490"/>
    </row>
    <row r="2491" spans="1:38" ht="12.75" outlineLevel="3" x14ac:dyDescent="0.2">
      <c r="A2491" s="82">
        <v>1</v>
      </c>
      <c r="B2491" s="82" t="s">
        <v>71</v>
      </c>
      <c r="C2491" s="82" t="s">
        <v>1838</v>
      </c>
      <c r="D2491" s="82" t="s">
        <v>1809</v>
      </c>
      <c r="E2491" s="11" t="str">
        <f t="array" ref="E2491">_xlfn.XLOOKUP(D2491,Insumos!B:B,Insumos!C:$C)</f>
        <v>M2</v>
      </c>
      <c r="F2491" s="88">
        <v>1.1000000000000001</v>
      </c>
      <c r="G2491" s="92">
        <f t="array" ref="G2491">IF(B2491="insumo",_xlfn.XLOOKUP($D2491,Insumos!$B$1:$B$996,Insumos!$D$1:$D$996),"")</f>
        <v>115</v>
      </c>
      <c r="H2491" s="92">
        <v>126.5</v>
      </c>
      <c r="I2491" s="84">
        <v>0</v>
      </c>
      <c r="J2491" s="84">
        <v>0</v>
      </c>
      <c r="K2491" s="84"/>
      <c r="L2491"/>
      <c r="M2491"/>
      <c r="N2491"/>
      <c r="O2491"/>
      <c r="P2491"/>
      <c r="Q2491"/>
      <c r="R2491"/>
      <c r="S2491"/>
      <c r="T2491"/>
      <c r="U2491"/>
      <c r="V2491"/>
      <c r="W2491"/>
      <c r="X2491"/>
      <c r="Y2491"/>
      <c r="Z2491"/>
      <c r="AA2491"/>
      <c r="AB2491"/>
      <c r="AC2491"/>
      <c r="AD2491"/>
      <c r="AE2491"/>
      <c r="AF2491"/>
      <c r="AG2491"/>
      <c r="AH2491"/>
      <c r="AI2491"/>
      <c r="AJ2491"/>
      <c r="AK2491"/>
      <c r="AL2491"/>
    </row>
    <row r="2492" spans="1:38" ht="12.75" outlineLevel="3" x14ac:dyDescent="0.2">
      <c r="A2492" s="82">
        <v>191</v>
      </c>
      <c r="B2492" s="82" t="s">
        <v>71</v>
      </c>
      <c r="C2492" s="82" t="s">
        <v>1838</v>
      </c>
      <c r="D2492" s="82" t="s">
        <v>481</v>
      </c>
      <c r="E2492" s="11" t="str">
        <f t="array" ref="E2492">_xlfn.XLOOKUP(D2492,Insumos!B:B,Insumos!C:$C)</f>
        <v>KG</v>
      </c>
      <c r="F2492" s="88">
        <v>8.8000000000000007</v>
      </c>
      <c r="G2492" s="92">
        <f t="array" ref="G2492">IF(B2492="insumo",_xlfn.XLOOKUP($D2492,Insumos!$B$1:$B$996,Insumos!$D$1:$D$996),"")</f>
        <v>1.0645</v>
      </c>
      <c r="H2492" s="92">
        <v>9.3675999999999995</v>
      </c>
      <c r="I2492" s="84">
        <v>0</v>
      </c>
      <c r="J2492" s="84">
        <v>0</v>
      </c>
      <c r="K2492" s="84"/>
      <c r="L2492"/>
      <c r="M2492"/>
      <c r="N2492"/>
      <c r="O2492"/>
      <c r="P2492"/>
      <c r="Q2492"/>
      <c r="R2492"/>
      <c r="S2492"/>
      <c r="T2492"/>
      <c r="U2492"/>
      <c r="V2492"/>
      <c r="W2492"/>
      <c r="X2492"/>
      <c r="Y2492"/>
      <c r="Z2492"/>
      <c r="AA2492"/>
      <c r="AB2492"/>
      <c r="AC2492"/>
      <c r="AD2492"/>
      <c r="AE2492"/>
      <c r="AF2492"/>
      <c r="AG2492"/>
      <c r="AH2492"/>
      <c r="AI2492"/>
      <c r="AJ2492"/>
      <c r="AK2492"/>
      <c r="AL2492"/>
    </row>
    <row r="2493" spans="1:38" ht="12.75" outlineLevel="3" x14ac:dyDescent="0.2">
      <c r="A2493" s="82">
        <v>142</v>
      </c>
      <c r="B2493" s="82" t="s">
        <v>71</v>
      </c>
      <c r="C2493" s="82" t="s">
        <v>1838</v>
      </c>
      <c r="D2493" s="82" t="s">
        <v>506</v>
      </c>
      <c r="E2493" s="11" t="str">
        <f t="array" ref="E2493">_xlfn.XLOOKUP(D2493,Insumos!B:B,Insumos!C:$C)</f>
        <v>UN</v>
      </c>
      <c r="F2493" s="88">
        <v>1</v>
      </c>
      <c r="G2493" s="92">
        <f t="array" ref="G2493">IF(B2493="insumo",_xlfn.XLOOKUP($D2493,Insumos!$B$1:$B$996,Insumos!$D$1:$D$996),"")</f>
        <v>0.08</v>
      </c>
      <c r="H2493" s="92">
        <v>0.08</v>
      </c>
      <c r="I2493" s="84">
        <v>0</v>
      </c>
      <c r="J2493" s="84">
        <v>0</v>
      </c>
      <c r="K2493" s="84"/>
      <c r="L2493"/>
      <c r="M2493"/>
      <c r="N2493"/>
      <c r="O2493"/>
      <c r="P2493"/>
      <c r="Q2493"/>
      <c r="R2493"/>
      <c r="S2493"/>
      <c r="T2493"/>
      <c r="U2493"/>
      <c r="V2493"/>
      <c r="W2493"/>
      <c r="X2493"/>
      <c r="Y2493"/>
      <c r="Z2493"/>
      <c r="AA2493"/>
      <c r="AB2493"/>
      <c r="AC2493"/>
      <c r="AD2493"/>
      <c r="AE2493"/>
      <c r="AF2493"/>
      <c r="AG2493"/>
      <c r="AH2493"/>
      <c r="AI2493"/>
      <c r="AJ2493"/>
      <c r="AK2493"/>
      <c r="AL2493"/>
    </row>
    <row r="2494" spans="1:38" ht="12.75" outlineLevel="3" x14ac:dyDescent="0.2">
      <c r="A2494" s="82">
        <v>101</v>
      </c>
      <c r="B2494" s="82" t="s">
        <v>71</v>
      </c>
      <c r="C2494" s="82" t="s">
        <v>1838</v>
      </c>
      <c r="D2494" s="82" t="s">
        <v>507</v>
      </c>
      <c r="E2494" s="11" t="str">
        <f t="array" ref="E2494">_xlfn.XLOOKUP(D2494,Insumos!B:B,Insumos!C:$C)</f>
        <v>KG</v>
      </c>
      <c r="F2494" s="88">
        <v>0.01</v>
      </c>
      <c r="G2494" s="92">
        <f t="array" ref="G2494">IF(B2494="insumo",_xlfn.XLOOKUP($D2494,Insumos!$B$1:$B$996,Insumos!$D$1:$D$996),"")</f>
        <v>11.15</v>
      </c>
      <c r="H2494" s="92">
        <v>0.1115</v>
      </c>
      <c r="I2494" s="84">
        <v>0</v>
      </c>
      <c r="J2494" s="84">
        <v>0</v>
      </c>
      <c r="K2494" s="84"/>
      <c r="L2494"/>
      <c r="M2494"/>
      <c r="N2494"/>
      <c r="O2494"/>
      <c r="P2494"/>
      <c r="Q2494"/>
      <c r="R2494"/>
      <c r="S2494"/>
      <c r="T2494"/>
      <c r="U2494"/>
      <c r="V2494"/>
      <c r="W2494"/>
      <c r="X2494"/>
      <c r="Y2494"/>
      <c r="Z2494"/>
      <c r="AA2494"/>
      <c r="AB2494"/>
      <c r="AC2494"/>
      <c r="AD2494"/>
      <c r="AE2494"/>
      <c r="AF2494"/>
      <c r="AG2494"/>
      <c r="AH2494"/>
      <c r="AI2494"/>
      <c r="AJ2494"/>
      <c r="AK2494"/>
      <c r="AL2494"/>
    </row>
    <row r="2495" spans="1:38" ht="12.75" outlineLevel="2" x14ac:dyDescent="0.2">
      <c r="A2495" s="1071">
        <v>1</v>
      </c>
      <c r="B2495" s="1071" t="s">
        <v>68</v>
      </c>
      <c r="C2495" s="1071" t="s">
        <v>1839</v>
      </c>
      <c r="D2495" s="1071" t="s">
        <v>1839</v>
      </c>
      <c r="E2495" s="1072" t="s">
        <v>70</v>
      </c>
      <c r="F2495" s="1071"/>
      <c r="G2495" s="1073" t="str">
        <f t="array" ref="G2495">IF(B2495="insumo",_xlfn.XLOOKUP($D2495,Insumos!$B$1:$B$996,Insumos!$D$1:$D$996),"")</f>
        <v/>
      </c>
      <c r="H2495" s="1073">
        <v>158.0591</v>
      </c>
      <c r="I2495" s="1074">
        <v>0</v>
      </c>
      <c r="J2495" s="1074">
        <v>0</v>
      </c>
      <c r="K2495" s="1074"/>
      <c r="L2495"/>
      <c r="M2495"/>
      <c r="N2495"/>
      <c r="O2495"/>
      <c r="P2495"/>
      <c r="Q2495"/>
      <c r="R2495"/>
      <c r="S2495"/>
      <c r="T2495"/>
      <c r="U2495"/>
      <c r="V2495"/>
      <c r="W2495"/>
      <c r="X2495"/>
      <c r="Y2495"/>
      <c r="Z2495"/>
      <c r="AA2495"/>
      <c r="AB2495"/>
      <c r="AC2495"/>
      <c r="AD2495"/>
      <c r="AE2495"/>
      <c r="AF2495"/>
      <c r="AG2495"/>
      <c r="AH2495"/>
      <c r="AI2495"/>
      <c r="AJ2495"/>
      <c r="AK2495"/>
      <c r="AL2495"/>
    </row>
    <row r="2496" spans="1:38" ht="12.75" outlineLevel="3" x14ac:dyDescent="0.2">
      <c r="A2496" s="82">
        <v>1</v>
      </c>
      <c r="B2496" s="82" t="s">
        <v>71</v>
      </c>
      <c r="C2496" s="82" t="s">
        <v>1839</v>
      </c>
      <c r="D2496" s="82" t="s">
        <v>1813</v>
      </c>
      <c r="E2496" s="11" t="str">
        <f t="array" ref="E2496">_xlfn.XLOOKUP(D2496,Insumos!B:B,Insumos!C:$C)</f>
        <v>M2</v>
      </c>
      <c r="F2496" s="88">
        <v>1.1000000000000001</v>
      </c>
      <c r="G2496" s="92">
        <f t="array" ref="G2496">IF(B2496="insumo",_xlfn.XLOOKUP($D2496,Insumos!$B$1:$B$996,Insumos!$D$1:$D$996),"")</f>
        <v>135</v>
      </c>
      <c r="H2496" s="92">
        <v>148.5</v>
      </c>
      <c r="I2496" s="84">
        <v>0</v>
      </c>
      <c r="J2496" s="84">
        <v>0</v>
      </c>
      <c r="K2496" s="84"/>
      <c r="L2496"/>
      <c r="M2496"/>
      <c r="N2496"/>
      <c r="O2496"/>
      <c r="P2496"/>
      <c r="Q2496"/>
      <c r="R2496"/>
      <c r="S2496"/>
      <c r="T2496"/>
      <c r="U2496"/>
      <c r="V2496"/>
      <c r="W2496"/>
      <c r="X2496"/>
      <c r="Y2496"/>
      <c r="Z2496"/>
      <c r="AA2496"/>
      <c r="AB2496"/>
      <c r="AC2496"/>
      <c r="AD2496"/>
      <c r="AE2496"/>
      <c r="AF2496"/>
      <c r="AG2496"/>
      <c r="AH2496"/>
      <c r="AI2496"/>
      <c r="AJ2496"/>
      <c r="AK2496"/>
      <c r="AL2496"/>
    </row>
    <row r="2497" spans="1:38" ht="12.75" outlineLevel="3" x14ac:dyDescent="0.2">
      <c r="A2497" s="82">
        <v>191</v>
      </c>
      <c r="B2497" s="82" t="s">
        <v>71</v>
      </c>
      <c r="C2497" s="82" t="s">
        <v>1839</v>
      </c>
      <c r="D2497" s="82" t="s">
        <v>481</v>
      </c>
      <c r="E2497" s="11" t="str">
        <f t="array" ref="E2497">_xlfn.XLOOKUP(D2497,Insumos!B:B,Insumos!C:$C)</f>
        <v>KG</v>
      </c>
      <c r="F2497" s="88">
        <v>8.8000000000000007</v>
      </c>
      <c r="G2497" s="92">
        <f t="array" ref="G2497">IF(B2497="insumo",_xlfn.XLOOKUP($D2497,Insumos!$B$1:$B$996,Insumos!$D$1:$D$996),"")</f>
        <v>1.0645</v>
      </c>
      <c r="H2497" s="92">
        <v>9.3675999999999995</v>
      </c>
      <c r="I2497" s="84">
        <v>0</v>
      </c>
      <c r="J2497" s="84">
        <v>0</v>
      </c>
      <c r="K2497" s="84"/>
      <c r="L2497"/>
      <c r="M2497"/>
      <c r="N2497"/>
      <c r="O2497"/>
      <c r="P2497"/>
      <c r="Q2497"/>
      <c r="R2497"/>
      <c r="S2497"/>
      <c r="T2497"/>
      <c r="U2497"/>
      <c r="V2497"/>
      <c r="W2497"/>
      <c r="X2497"/>
      <c r="Y2497"/>
      <c r="Z2497"/>
      <c r="AA2497"/>
      <c r="AB2497"/>
      <c r="AC2497"/>
      <c r="AD2497"/>
      <c r="AE2497"/>
      <c r="AF2497"/>
      <c r="AG2497"/>
      <c r="AH2497"/>
      <c r="AI2497"/>
      <c r="AJ2497"/>
      <c r="AK2497"/>
      <c r="AL2497"/>
    </row>
    <row r="2498" spans="1:38" ht="12.75" outlineLevel="3" x14ac:dyDescent="0.2">
      <c r="A2498" s="82">
        <v>142</v>
      </c>
      <c r="B2498" s="82" t="s">
        <v>71</v>
      </c>
      <c r="C2498" s="82" t="s">
        <v>1839</v>
      </c>
      <c r="D2498" s="82" t="s">
        <v>506</v>
      </c>
      <c r="E2498" s="11" t="str">
        <f t="array" ref="E2498">_xlfn.XLOOKUP(D2498,Insumos!B:B,Insumos!C:$C)</f>
        <v>UN</v>
      </c>
      <c r="F2498" s="88">
        <v>1</v>
      </c>
      <c r="G2498" s="92">
        <f t="array" ref="G2498">IF(B2498="insumo",_xlfn.XLOOKUP($D2498,Insumos!$B$1:$B$996,Insumos!$D$1:$D$996),"")</f>
        <v>0.08</v>
      </c>
      <c r="H2498" s="92">
        <v>0.08</v>
      </c>
      <c r="I2498" s="84">
        <v>0</v>
      </c>
      <c r="J2498" s="84">
        <v>0</v>
      </c>
      <c r="K2498" s="84"/>
      <c r="L2498"/>
      <c r="M2498"/>
      <c r="N2498"/>
      <c r="O2498"/>
      <c r="P2498"/>
      <c r="Q2498"/>
      <c r="R2498"/>
      <c r="S2498"/>
      <c r="T2498"/>
      <c r="U2498"/>
      <c r="V2498"/>
      <c r="W2498"/>
      <c r="X2498"/>
      <c r="Y2498"/>
      <c r="Z2498"/>
      <c r="AA2498"/>
      <c r="AB2498"/>
      <c r="AC2498"/>
      <c r="AD2498"/>
      <c r="AE2498"/>
      <c r="AF2498"/>
      <c r="AG2498"/>
      <c r="AH2498"/>
      <c r="AI2498"/>
      <c r="AJ2498"/>
      <c r="AK2498"/>
      <c r="AL2498"/>
    </row>
    <row r="2499" spans="1:38" ht="12.75" outlineLevel="3" x14ac:dyDescent="0.2">
      <c r="A2499" s="82">
        <v>101</v>
      </c>
      <c r="B2499" s="82" t="s">
        <v>71</v>
      </c>
      <c r="C2499" s="82" t="s">
        <v>1839</v>
      </c>
      <c r="D2499" s="82" t="s">
        <v>507</v>
      </c>
      <c r="E2499" s="11" t="str">
        <f t="array" ref="E2499">_xlfn.XLOOKUP(D2499,Insumos!B:B,Insumos!C:$C)</f>
        <v>KG</v>
      </c>
      <c r="F2499" s="88">
        <v>0.01</v>
      </c>
      <c r="G2499" s="92">
        <f t="array" ref="G2499">IF(B2499="insumo",_xlfn.XLOOKUP($D2499,Insumos!$B$1:$B$996,Insumos!$D$1:$D$996),"")</f>
        <v>11.15</v>
      </c>
      <c r="H2499" s="92">
        <v>0.1115</v>
      </c>
      <c r="I2499" s="84">
        <v>0</v>
      </c>
      <c r="J2499" s="84">
        <v>0</v>
      </c>
      <c r="K2499" s="84"/>
      <c r="L2499"/>
      <c r="M2499"/>
      <c r="N2499"/>
      <c r="O2499"/>
      <c r="P2499"/>
      <c r="Q2499"/>
      <c r="R2499"/>
      <c r="S2499"/>
      <c r="T2499"/>
      <c r="U2499"/>
      <c r="V2499"/>
      <c r="W2499"/>
      <c r="X2499"/>
      <c r="Y2499"/>
      <c r="Z2499"/>
      <c r="AA2499"/>
      <c r="AB2499"/>
      <c r="AC2499"/>
      <c r="AD2499"/>
      <c r="AE2499"/>
      <c r="AF2499"/>
      <c r="AG2499"/>
      <c r="AH2499"/>
      <c r="AI2499"/>
      <c r="AJ2499"/>
      <c r="AK2499"/>
      <c r="AL2499"/>
    </row>
    <row r="2500" spans="1:38" ht="12.75" outlineLevel="2" x14ac:dyDescent="0.2">
      <c r="A2500" s="1071">
        <v>1</v>
      </c>
      <c r="B2500" s="1071" t="s">
        <v>68</v>
      </c>
      <c r="C2500" s="1071" t="s">
        <v>1840</v>
      </c>
      <c r="D2500" s="1071" t="s">
        <v>1840</v>
      </c>
      <c r="E2500" s="1072" t="s">
        <v>70</v>
      </c>
      <c r="F2500" s="1071"/>
      <c r="G2500" s="1073" t="str">
        <f t="array" ref="G2500">IF(B2500="insumo",_xlfn.XLOOKUP($D2500,Insumos!$B$1:$B$996,Insumos!$D$1:$D$996),"")</f>
        <v/>
      </c>
      <c r="H2500" s="1073">
        <v>169.0591</v>
      </c>
      <c r="I2500" s="1074">
        <v>0</v>
      </c>
      <c r="J2500" s="1074">
        <v>0</v>
      </c>
      <c r="K2500" s="1074"/>
      <c r="L2500"/>
      <c r="M2500"/>
      <c r="N2500"/>
      <c r="O2500"/>
      <c r="P2500"/>
      <c r="Q2500"/>
      <c r="R2500"/>
      <c r="S2500"/>
      <c r="T2500"/>
      <c r="U2500"/>
      <c r="V2500"/>
      <c r="W2500"/>
      <c r="X2500"/>
      <c r="Y2500"/>
      <c r="Z2500"/>
      <c r="AA2500"/>
      <c r="AB2500"/>
      <c r="AC2500"/>
      <c r="AD2500"/>
      <c r="AE2500"/>
      <c r="AF2500"/>
      <c r="AG2500"/>
      <c r="AH2500"/>
      <c r="AI2500"/>
      <c r="AJ2500"/>
      <c r="AK2500"/>
      <c r="AL2500"/>
    </row>
    <row r="2501" spans="1:38" ht="12.75" outlineLevel="3" x14ac:dyDescent="0.2">
      <c r="A2501" s="82">
        <v>1</v>
      </c>
      <c r="B2501" s="82" t="s">
        <v>71</v>
      </c>
      <c r="C2501" s="82" t="s">
        <v>1840</v>
      </c>
      <c r="D2501" s="82" t="s">
        <v>1825</v>
      </c>
      <c r="E2501" s="11" t="str">
        <f t="array" ref="E2501">_xlfn.XLOOKUP(D2501,Insumos!B:B,Insumos!C:$C)</f>
        <v>M2</v>
      </c>
      <c r="F2501" s="88">
        <v>1.1000000000000001</v>
      </c>
      <c r="G2501" s="92">
        <f t="array" ref="G2501">IF(B2501="insumo",_xlfn.XLOOKUP($D2501,Insumos!$B$1:$B$996,Insumos!$D$1:$D$996),"")</f>
        <v>145</v>
      </c>
      <c r="H2501" s="92">
        <v>159.5</v>
      </c>
      <c r="I2501" s="84">
        <v>0</v>
      </c>
      <c r="J2501" s="84">
        <v>0</v>
      </c>
      <c r="K2501" s="84"/>
      <c r="L2501"/>
      <c r="M2501"/>
      <c r="N2501"/>
      <c r="O2501"/>
      <c r="P2501"/>
      <c r="Q2501"/>
      <c r="R2501"/>
      <c r="S2501"/>
      <c r="T2501"/>
      <c r="U2501"/>
      <c r="V2501"/>
      <c r="W2501"/>
      <c r="X2501"/>
      <c r="Y2501"/>
      <c r="Z2501"/>
      <c r="AA2501"/>
      <c r="AB2501"/>
      <c r="AC2501"/>
      <c r="AD2501"/>
      <c r="AE2501"/>
      <c r="AF2501"/>
      <c r="AG2501"/>
      <c r="AH2501"/>
      <c r="AI2501"/>
      <c r="AJ2501"/>
      <c r="AK2501"/>
      <c r="AL2501"/>
    </row>
    <row r="2502" spans="1:38" ht="12.75" outlineLevel="3" x14ac:dyDescent="0.2">
      <c r="A2502" s="82">
        <v>191</v>
      </c>
      <c r="B2502" s="82" t="s">
        <v>71</v>
      </c>
      <c r="C2502" s="82" t="s">
        <v>1840</v>
      </c>
      <c r="D2502" s="82" t="s">
        <v>481</v>
      </c>
      <c r="E2502" s="11" t="str">
        <f t="array" ref="E2502">_xlfn.XLOOKUP(D2502,Insumos!B:B,Insumos!C:$C)</f>
        <v>KG</v>
      </c>
      <c r="F2502" s="88">
        <v>8.8000000000000007</v>
      </c>
      <c r="G2502" s="92">
        <f t="array" ref="G2502">IF(B2502="insumo",_xlfn.XLOOKUP($D2502,Insumos!$B$1:$B$996,Insumos!$D$1:$D$996),"")</f>
        <v>1.0645</v>
      </c>
      <c r="H2502" s="92">
        <v>9.3675999999999995</v>
      </c>
      <c r="I2502" s="84">
        <v>0</v>
      </c>
      <c r="J2502" s="84">
        <v>0</v>
      </c>
      <c r="K2502" s="84"/>
      <c r="L2502"/>
      <c r="M2502"/>
      <c r="N2502"/>
      <c r="O2502"/>
      <c r="P2502"/>
      <c r="Q2502"/>
      <c r="R2502"/>
      <c r="S2502"/>
      <c r="T2502"/>
      <c r="U2502"/>
      <c r="V2502"/>
      <c r="W2502"/>
      <c r="X2502"/>
      <c r="Y2502"/>
      <c r="Z2502"/>
      <c r="AA2502"/>
      <c r="AB2502"/>
      <c r="AC2502"/>
      <c r="AD2502"/>
      <c r="AE2502"/>
      <c r="AF2502"/>
      <c r="AG2502"/>
      <c r="AH2502"/>
      <c r="AI2502"/>
      <c r="AJ2502"/>
      <c r="AK2502"/>
      <c r="AL2502"/>
    </row>
    <row r="2503" spans="1:38" ht="12.75" outlineLevel="3" x14ac:dyDescent="0.2">
      <c r="A2503" s="82">
        <v>142</v>
      </c>
      <c r="B2503" s="82" t="s">
        <v>71</v>
      </c>
      <c r="C2503" s="82" t="s">
        <v>1840</v>
      </c>
      <c r="D2503" s="82" t="s">
        <v>506</v>
      </c>
      <c r="E2503" s="11" t="str">
        <f t="array" ref="E2503">_xlfn.XLOOKUP(D2503,Insumos!B:B,Insumos!C:$C)</f>
        <v>UN</v>
      </c>
      <c r="F2503" s="88">
        <v>1</v>
      </c>
      <c r="G2503" s="92">
        <f t="array" ref="G2503">IF(B2503="insumo",_xlfn.XLOOKUP($D2503,Insumos!$B$1:$B$996,Insumos!$D$1:$D$996),"")</f>
        <v>0.08</v>
      </c>
      <c r="H2503" s="92">
        <v>0.08</v>
      </c>
      <c r="I2503" s="84">
        <v>0</v>
      </c>
      <c r="J2503" s="84">
        <v>0</v>
      </c>
      <c r="K2503" s="84"/>
      <c r="L2503"/>
      <c r="M2503"/>
      <c r="N2503"/>
      <c r="O2503"/>
      <c r="P2503"/>
      <c r="Q2503"/>
      <c r="R2503"/>
      <c r="S2503"/>
      <c r="T2503"/>
      <c r="U2503"/>
      <c r="V2503"/>
      <c r="W2503"/>
      <c r="X2503"/>
      <c r="Y2503"/>
      <c r="Z2503"/>
      <c r="AA2503"/>
      <c r="AB2503"/>
      <c r="AC2503"/>
      <c r="AD2503"/>
      <c r="AE2503"/>
      <c r="AF2503"/>
      <c r="AG2503"/>
      <c r="AH2503"/>
      <c r="AI2503"/>
      <c r="AJ2503"/>
      <c r="AK2503"/>
      <c r="AL2503"/>
    </row>
    <row r="2504" spans="1:38" ht="12.75" outlineLevel="3" x14ac:dyDescent="0.2">
      <c r="A2504" s="82">
        <v>101</v>
      </c>
      <c r="B2504" s="82" t="s">
        <v>71</v>
      </c>
      <c r="C2504" s="82" t="s">
        <v>1840</v>
      </c>
      <c r="D2504" s="82" t="s">
        <v>507</v>
      </c>
      <c r="E2504" s="11" t="str">
        <f t="array" ref="E2504">_xlfn.XLOOKUP(D2504,Insumos!B:B,Insumos!C:$C)</f>
        <v>KG</v>
      </c>
      <c r="F2504" s="88">
        <v>0.01</v>
      </c>
      <c r="G2504" s="92">
        <f t="array" ref="G2504">IF(B2504="insumo",_xlfn.XLOOKUP($D2504,Insumos!$B$1:$B$996,Insumos!$D$1:$D$996),"")</f>
        <v>11.15</v>
      </c>
      <c r="H2504" s="92">
        <v>0.1115</v>
      </c>
      <c r="I2504" s="84">
        <v>0</v>
      </c>
      <c r="J2504" s="84">
        <v>0</v>
      </c>
      <c r="K2504" s="84"/>
      <c r="L2504"/>
      <c r="M2504"/>
      <c r="N2504"/>
      <c r="O2504"/>
      <c r="P2504"/>
      <c r="Q2504"/>
      <c r="R2504"/>
      <c r="S2504"/>
      <c r="T2504"/>
      <c r="U2504"/>
      <c r="V2504"/>
      <c r="W2504"/>
      <c r="X2504"/>
      <c r="Y2504"/>
      <c r="Z2504"/>
      <c r="AA2504"/>
      <c r="AB2504"/>
      <c r="AC2504"/>
      <c r="AD2504"/>
      <c r="AE2504"/>
      <c r="AF2504"/>
      <c r="AG2504"/>
      <c r="AH2504"/>
      <c r="AI2504"/>
      <c r="AJ2504"/>
      <c r="AK2504"/>
      <c r="AL2504"/>
    </row>
    <row r="2505" spans="1:38" ht="12.75" outlineLevel="2" x14ac:dyDescent="0.2">
      <c r="A2505" s="1071">
        <v>1</v>
      </c>
      <c r="B2505" s="1071" t="s">
        <v>68</v>
      </c>
      <c r="C2505" s="1071" t="s">
        <v>1841</v>
      </c>
      <c r="D2505" s="1071" t="s">
        <v>1841</v>
      </c>
      <c r="E2505" s="1072" t="s">
        <v>70</v>
      </c>
      <c r="F2505" s="1071"/>
      <c r="G2505" s="1073" t="str">
        <f t="array" ref="G2505">IF(B2505="insumo",_xlfn.XLOOKUP($D2505,Insumos!$B$1:$B$996,Insumos!$D$1:$D$996),"")</f>
        <v/>
      </c>
      <c r="H2505" s="1073">
        <v>130.5591</v>
      </c>
      <c r="I2505" s="1074">
        <v>0</v>
      </c>
      <c r="J2505" s="1074">
        <v>0</v>
      </c>
      <c r="K2505" s="1074"/>
      <c r="L2505"/>
      <c r="M2505"/>
      <c r="N2505"/>
      <c r="O2505"/>
      <c r="P2505"/>
      <c r="Q2505"/>
      <c r="R2505"/>
      <c r="S2505"/>
      <c r="T2505"/>
      <c r="U2505"/>
      <c r="V2505"/>
      <c r="W2505"/>
      <c r="X2505"/>
      <c r="Y2505"/>
      <c r="Z2505"/>
      <c r="AA2505"/>
      <c r="AB2505"/>
      <c r="AC2505"/>
      <c r="AD2505"/>
      <c r="AE2505"/>
      <c r="AF2505"/>
      <c r="AG2505"/>
      <c r="AH2505"/>
      <c r="AI2505"/>
      <c r="AJ2505"/>
      <c r="AK2505"/>
      <c r="AL2505"/>
    </row>
    <row r="2506" spans="1:38" ht="12.75" outlineLevel="3" x14ac:dyDescent="0.2">
      <c r="A2506" s="82">
        <v>1</v>
      </c>
      <c r="B2506" s="82" t="s">
        <v>71</v>
      </c>
      <c r="C2506" s="82" t="s">
        <v>1841</v>
      </c>
      <c r="D2506" s="82" t="s">
        <v>1831</v>
      </c>
      <c r="E2506" s="11" t="str">
        <f t="array" ref="E2506">_xlfn.XLOOKUP(D2506,Insumos!B:B,Insumos!C:$C)</f>
        <v>M2</v>
      </c>
      <c r="F2506" s="88">
        <v>1.1000000000000001</v>
      </c>
      <c r="G2506" s="92">
        <f t="array" ref="G2506">IF(B2506="insumo",_xlfn.XLOOKUP($D2506,Insumos!$B$1:$B$996,Insumos!$D$1:$D$996),"")</f>
        <v>110</v>
      </c>
      <c r="H2506" s="92">
        <v>121</v>
      </c>
      <c r="I2506" s="84">
        <v>0</v>
      </c>
      <c r="J2506" s="84">
        <v>0</v>
      </c>
      <c r="K2506" s="84"/>
      <c r="L2506"/>
      <c r="M2506"/>
      <c r="N2506"/>
      <c r="O2506"/>
      <c r="P2506"/>
      <c r="Q2506"/>
      <c r="R2506"/>
      <c r="S2506"/>
      <c r="T2506"/>
      <c r="U2506"/>
      <c r="V2506"/>
      <c r="W2506"/>
      <c r="X2506"/>
      <c r="Y2506"/>
      <c r="Z2506"/>
      <c r="AA2506"/>
      <c r="AB2506"/>
      <c r="AC2506"/>
      <c r="AD2506"/>
      <c r="AE2506"/>
      <c r="AF2506"/>
      <c r="AG2506"/>
      <c r="AH2506"/>
      <c r="AI2506"/>
      <c r="AJ2506"/>
      <c r="AK2506"/>
      <c r="AL2506"/>
    </row>
    <row r="2507" spans="1:38" ht="12.75" outlineLevel="3" x14ac:dyDescent="0.2">
      <c r="A2507" s="82">
        <v>191</v>
      </c>
      <c r="B2507" s="82" t="s">
        <v>71</v>
      </c>
      <c r="C2507" s="82" t="s">
        <v>1841</v>
      </c>
      <c r="D2507" s="82" t="s">
        <v>481</v>
      </c>
      <c r="E2507" s="11" t="str">
        <f t="array" ref="E2507">_xlfn.XLOOKUP(D2507,Insumos!B:B,Insumos!C:$C)</f>
        <v>KG</v>
      </c>
      <c r="F2507" s="88">
        <v>8.8000000000000007</v>
      </c>
      <c r="G2507" s="92">
        <f t="array" ref="G2507">IF(B2507="insumo",_xlfn.XLOOKUP($D2507,Insumos!$B$1:$B$996,Insumos!$D$1:$D$996),"")</f>
        <v>1.0645</v>
      </c>
      <c r="H2507" s="92">
        <v>9.3675999999999995</v>
      </c>
      <c r="I2507" s="84">
        <v>0</v>
      </c>
      <c r="J2507" s="84">
        <v>0</v>
      </c>
      <c r="K2507" s="84"/>
      <c r="L2507"/>
      <c r="M2507"/>
      <c r="N2507"/>
      <c r="O2507"/>
      <c r="P2507"/>
      <c r="Q2507"/>
      <c r="R2507"/>
      <c r="S2507"/>
      <c r="T2507"/>
      <c r="U2507"/>
      <c r="V2507"/>
      <c r="W2507"/>
      <c r="X2507"/>
      <c r="Y2507"/>
      <c r="Z2507"/>
      <c r="AA2507"/>
      <c r="AB2507"/>
      <c r="AC2507"/>
      <c r="AD2507"/>
      <c r="AE2507"/>
      <c r="AF2507"/>
      <c r="AG2507"/>
      <c r="AH2507"/>
      <c r="AI2507"/>
      <c r="AJ2507"/>
      <c r="AK2507"/>
      <c r="AL2507"/>
    </row>
    <row r="2508" spans="1:38" ht="12.75" outlineLevel="3" x14ac:dyDescent="0.2">
      <c r="A2508" s="82">
        <v>142</v>
      </c>
      <c r="B2508" s="82" t="s">
        <v>71</v>
      </c>
      <c r="C2508" s="82" t="s">
        <v>1841</v>
      </c>
      <c r="D2508" s="82" t="s">
        <v>506</v>
      </c>
      <c r="E2508" s="11" t="str">
        <f t="array" ref="E2508">_xlfn.XLOOKUP(D2508,Insumos!B:B,Insumos!C:$C)</f>
        <v>UN</v>
      </c>
      <c r="F2508" s="88">
        <v>1</v>
      </c>
      <c r="G2508" s="92">
        <f t="array" ref="G2508">IF(B2508="insumo",_xlfn.XLOOKUP($D2508,Insumos!$B$1:$B$996,Insumos!$D$1:$D$996),"")</f>
        <v>0.08</v>
      </c>
      <c r="H2508" s="92">
        <v>0.08</v>
      </c>
      <c r="I2508" s="84">
        <v>0</v>
      </c>
      <c r="J2508" s="84">
        <v>0</v>
      </c>
      <c r="K2508" s="84"/>
      <c r="L2508"/>
      <c r="M2508"/>
      <c r="N2508"/>
      <c r="O2508"/>
      <c r="P2508"/>
      <c r="Q2508"/>
      <c r="R2508"/>
      <c r="S2508"/>
      <c r="T2508"/>
      <c r="U2508"/>
      <c r="V2508"/>
      <c r="W2508"/>
      <c r="X2508"/>
      <c r="Y2508"/>
      <c r="Z2508"/>
      <c r="AA2508"/>
      <c r="AB2508"/>
      <c r="AC2508"/>
      <c r="AD2508"/>
      <c r="AE2508"/>
      <c r="AF2508"/>
      <c r="AG2508"/>
      <c r="AH2508"/>
      <c r="AI2508"/>
      <c r="AJ2508"/>
      <c r="AK2508"/>
      <c r="AL2508"/>
    </row>
    <row r="2509" spans="1:38" ht="12.75" outlineLevel="3" x14ac:dyDescent="0.2">
      <c r="A2509" s="82">
        <v>101</v>
      </c>
      <c r="B2509" s="82" t="s">
        <v>71</v>
      </c>
      <c r="C2509" s="82" t="s">
        <v>1841</v>
      </c>
      <c r="D2509" s="82" t="s">
        <v>507</v>
      </c>
      <c r="E2509" s="11" t="str">
        <f t="array" ref="E2509">_xlfn.XLOOKUP(D2509,Insumos!B:B,Insumos!C:$C)</f>
        <v>KG</v>
      </c>
      <c r="F2509" s="88">
        <v>0.01</v>
      </c>
      <c r="G2509" s="92">
        <f t="array" ref="G2509">IF(B2509="insumo",_xlfn.XLOOKUP($D2509,Insumos!$B$1:$B$996,Insumos!$D$1:$D$996),"")</f>
        <v>11.15</v>
      </c>
      <c r="H2509" s="92">
        <v>0.1115</v>
      </c>
      <c r="I2509" s="84">
        <v>0</v>
      </c>
      <c r="J2509" s="84">
        <v>0</v>
      </c>
      <c r="K2509" s="84"/>
      <c r="L2509"/>
      <c r="M2509"/>
      <c r="N2509"/>
      <c r="O2509"/>
      <c r="P2509"/>
      <c r="Q2509"/>
      <c r="R2509"/>
      <c r="S2509"/>
      <c r="T2509"/>
      <c r="U2509"/>
      <c r="V2509"/>
      <c r="W2509"/>
      <c r="X2509"/>
      <c r="Y2509"/>
      <c r="Z2509"/>
      <c r="AA2509"/>
      <c r="AB2509"/>
      <c r="AC2509"/>
      <c r="AD2509"/>
      <c r="AE2509"/>
      <c r="AF2509"/>
      <c r="AG2509"/>
      <c r="AH2509"/>
      <c r="AI2509"/>
      <c r="AJ2509"/>
      <c r="AK2509"/>
      <c r="AL2509"/>
    </row>
    <row r="2510" spans="1:38" ht="12.75" outlineLevel="2" x14ac:dyDescent="0.2">
      <c r="A2510" s="1071">
        <v>1</v>
      </c>
      <c r="B2510" s="1071" t="s">
        <v>68</v>
      </c>
      <c r="C2510" s="1071" t="s">
        <v>1842</v>
      </c>
      <c r="D2510" s="1071" t="s">
        <v>1842</v>
      </c>
      <c r="E2510" s="1072" t="s">
        <v>70</v>
      </c>
      <c r="F2510" s="1071"/>
      <c r="G2510" s="1073" t="str">
        <f t="array" ref="G2510">IF(B2510="insumo",_xlfn.XLOOKUP($D2510,Insumos!$B$1:$B$996,Insumos!$D$1:$D$996),"")</f>
        <v/>
      </c>
      <c r="H2510" s="1073">
        <v>164.6591</v>
      </c>
      <c r="I2510" s="1074">
        <v>0</v>
      </c>
      <c r="J2510" s="1074">
        <v>0</v>
      </c>
      <c r="K2510" s="1074"/>
      <c r="L2510"/>
      <c r="M2510"/>
      <c r="N2510"/>
      <c r="O2510"/>
      <c r="P2510"/>
      <c r="Q2510"/>
      <c r="R2510"/>
      <c r="S2510"/>
      <c r="T2510"/>
      <c r="U2510"/>
      <c r="V2510"/>
      <c r="W2510"/>
      <c r="X2510"/>
      <c r="Y2510"/>
      <c r="Z2510"/>
      <c r="AA2510"/>
      <c r="AB2510"/>
      <c r="AC2510"/>
      <c r="AD2510"/>
      <c r="AE2510"/>
      <c r="AF2510"/>
      <c r="AG2510"/>
      <c r="AH2510"/>
      <c r="AI2510"/>
      <c r="AJ2510"/>
      <c r="AK2510"/>
      <c r="AL2510"/>
    </row>
    <row r="2511" spans="1:38" ht="12.75" outlineLevel="3" x14ac:dyDescent="0.2">
      <c r="A2511" s="82">
        <v>1</v>
      </c>
      <c r="B2511" s="82" t="s">
        <v>71</v>
      </c>
      <c r="C2511" s="82" t="s">
        <v>1842</v>
      </c>
      <c r="D2511" s="82" t="s">
        <v>1812</v>
      </c>
      <c r="E2511" s="11" t="str">
        <f t="array" ref="E2511">_xlfn.XLOOKUP(D2511,Insumos!B:B,Insumos!C:$C)</f>
        <v>M2</v>
      </c>
      <c r="F2511" s="88">
        <v>1.1000000000000001</v>
      </c>
      <c r="G2511" s="92">
        <f t="array" ref="G2511">IF(B2511="insumo",_xlfn.XLOOKUP($D2511,Insumos!$B$1:$B$996,Insumos!$D$1:$D$996),"")</f>
        <v>141</v>
      </c>
      <c r="H2511" s="92">
        <v>155.1</v>
      </c>
      <c r="I2511" s="84">
        <v>0</v>
      </c>
      <c r="J2511" s="84">
        <v>0</v>
      </c>
      <c r="K2511" s="84"/>
      <c r="L2511"/>
      <c r="M2511"/>
      <c r="N2511"/>
      <c r="O2511"/>
      <c r="P2511"/>
      <c r="Q2511"/>
      <c r="R2511"/>
      <c r="S2511"/>
      <c r="T2511"/>
      <c r="U2511"/>
      <c r="V2511"/>
      <c r="W2511"/>
      <c r="X2511"/>
      <c r="Y2511"/>
      <c r="Z2511"/>
      <c r="AA2511"/>
      <c r="AB2511"/>
      <c r="AC2511"/>
      <c r="AD2511"/>
      <c r="AE2511"/>
      <c r="AF2511"/>
      <c r="AG2511"/>
      <c r="AH2511"/>
      <c r="AI2511"/>
      <c r="AJ2511"/>
      <c r="AK2511"/>
      <c r="AL2511"/>
    </row>
    <row r="2512" spans="1:38" ht="12.75" outlineLevel="3" x14ac:dyDescent="0.2">
      <c r="A2512" s="82">
        <v>191</v>
      </c>
      <c r="B2512" s="82" t="s">
        <v>71</v>
      </c>
      <c r="C2512" s="82" t="s">
        <v>1842</v>
      </c>
      <c r="D2512" s="82" t="s">
        <v>481</v>
      </c>
      <c r="E2512" s="11" t="str">
        <f t="array" ref="E2512">_xlfn.XLOOKUP(D2512,Insumos!B:B,Insumos!C:$C)</f>
        <v>KG</v>
      </c>
      <c r="F2512" s="88">
        <v>8.8000000000000007</v>
      </c>
      <c r="G2512" s="92">
        <f t="array" ref="G2512">IF(B2512="insumo",_xlfn.XLOOKUP($D2512,Insumos!$B$1:$B$996,Insumos!$D$1:$D$996),"")</f>
        <v>1.0645</v>
      </c>
      <c r="H2512" s="92">
        <v>9.3675999999999995</v>
      </c>
      <c r="I2512" s="84">
        <v>0</v>
      </c>
      <c r="J2512" s="84">
        <v>0</v>
      </c>
      <c r="K2512" s="84"/>
      <c r="L2512"/>
      <c r="M2512"/>
      <c r="N2512"/>
      <c r="O2512"/>
      <c r="P2512"/>
      <c r="Q2512"/>
      <c r="R2512"/>
      <c r="S2512"/>
      <c r="T2512"/>
      <c r="U2512"/>
      <c r="V2512"/>
      <c r="W2512"/>
      <c r="X2512"/>
      <c r="Y2512"/>
      <c r="Z2512"/>
      <c r="AA2512"/>
      <c r="AB2512"/>
      <c r="AC2512"/>
      <c r="AD2512"/>
      <c r="AE2512"/>
      <c r="AF2512"/>
      <c r="AG2512"/>
      <c r="AH2512"/>
      <c r="AI2512"/>
      <c r="AJ2512"/>
      <c r="AK2512"/>
      <c r="AL2512"/>
    </row>
    <row r="2513" spans="1:38" ht="12.75" outlineLevel="3" x14ac:dyDescent="0.2">
      <c r="A2513" s="82">
        <v>142</v>
      </c>
      <c r="B2513" s="82" t="s">
        <v>71</v>
      </c>
      <c r="C2513" s="82" t="s">
        <v>1842</v>
      </c>
      <c r="D2513" s="82" t="s">
        <v>506</v>
      </c>
      <c r="E2513" s="11" t="str">
        <f t="array" ref="E2513">_xlfn.XLOOKUP(D2513,Insumos!B:B,Insumos!C:$C)</f>
        <v>UN</v>
      </c>
      <c r="F2513" s="88">
        <v>1</v>
      </c>
      <c r="G2513" s="92">
        <f t="array" ref="G2513">IF(B2513="insumo",_xlfn.XLOOKUP($D2513,Insumos!$B$1:$B$996,Insumos!$D$1:$D$996),"")</f>
        <v>0.08</v>
      </c>
      <c r="H2513" s="92">
        <v>0.08</v>
      </c>
      <c r="I2513" s="84">
        <v>0</v>
      </c>
      <c r="J2513" s="84">
        <v>0</v>
      </c>
      <c r="K2513" s="84"/>
      <c r="L2513"/>
      <c r="M2513"/>
      <c r="N2513"/>
      <c r="O2513"/>
      <c r="P2513"/>
      <c r="Q2513"/>
      <c r="R2513"/>
      <c r="S2513"/>
      <c r="T2513"/>
      <c r="U2513"/>
      <c r="V2513"/>
      <c r="W2513"/>
      <c r="X2513"/>
      <c r="Y2513"/>
      <c r="Z2513"/>
      <c r="AA2513"/>
      <c r="AB2513"/>
      <c r="AC2513"/>
      <c r="AD2513"/>
      <c r="AE2513"/>
      <c r="AF2513"/>
      <c r="AG2513"/>
      <c r="AH2513"/>
      <c r="AI2513"/>
      <c r="AJ2513"/>
      <c r="AK2513"/>
      <c r="AL2513"/>
    </row>
    <row r="2514" spans="1:38" ht="12.75" outlineLevel="3" x14ac:dyDescent="0.2">
      <c r="A2514" s="82">
        <v>101</v>
      </c>
      <c r="B2514" s="82" t="s">
        <v>71</v>
      </c>
      <c r="C2514" s="82" t="s">
        <v>1842</v>
      </c>
      <c r="D2514" s="82" t="s">
        <v>507</v>
      </c>
      <c r="E2514" s="11" t="str">
        <f t="array" ref="E2514">_xlfn.XLOOKUP(D2514,Insumos!B:B,Insumos!C:$C)</f>
        <v>KG</v>
      </c>
      <c r="F2514" s="88">
        <v>0.01</v>
      </c>
      <c r="G2514" s="92">
        <f t="array" ref="G2514">IF(B2514="insumo",_xlfn.XLOOKUP($D2514,Insumos!$B$1:$B$996,Insumos!$D$1:$D$996),"")</f>
        <v>11.15</v>
      </c>
      <c r="H2514" s="92">
        <v>0.1115</v>
      </c>
      <c r="I2514" s="84">
        <v>0</v>
      </c>
      <c r="J2514" s="84">
        <v>0</v>
      </c>
      <c r="K2514" s="84"/>
      <c r="L2514"/>
      <c r="M2514"/>
      <c r="N2514"/>
      <c r="O2514"/>
      <c r="P2514"/>
      <c r="Q2514"/>
      <c r="R2514"/>
      <c r="S2514"/>
      <c r="T2514"/>
      <c r="U2514"/>
      <c r="V2514"/>
      <c r="W2514"/>
      <c r="X2514"/>
      <c r="Y2514"/>
      <c r="Z2514"/>
      <c r="AA2514"/>
      <c r="AB2514"/>
      <c r="AC2514"/>
      <c r="AD2514"/>
      <c r="AE2514"/>
      <c r="AF2514"/>
      <c r="AG2514"/>
      <c r="AH2514"/>
      <c r="AI2514"/>
      <c r="AJ2514"/>
      <c r="AK2514"/>
      <c r="AL2514"/>
    </row>
    <row r="2515" spans="1:38" ht="12.75" outlineLevel="2" x14ac:dyDescent="0.2">
      <c r="A2515" s="1071">
        <v>1</v>
      </c>
      <c r="B2515" s="1071" t="s">
        <v>68</v>
      </c>
      <c r="C2515" s="1071" t="s">
        <v>1843</v>
      </c>
      <c r="D2515" s="1071" t="s">
        <v>1843</v>
      </c>
      <c r="E2515" s="1072" t="s">
        <v>70</v>
      </c>
      <c r="F2515" s="1071"/>
      <c r="G2515" s="1073" t="str">
        <f t="array" ref="G2515">IF(B2515="insumo",_xlfn.XLOOKUP($D2515,Insumos!$B$1:$B$996,Insumos!$D$1:$D$996),"")</f>
        <v/>
      </c>
      <c r="H2515" s="1073">
        <v>634.35910000000001</v>
      </c>
      <c r="I2515" s="1074">
        <v>0</v>
      </c>
      <c r="J2515" s="1074">
        <v>0</v>
      </c>
      <c r="K2515" s="1074"/>
      <c r="L2515"/>
      <c r="M2515"/>
      <c r="N2515"/>
      <c r="O2515"/>
      <c r="P2515"/>
      <c r="Q2515"/>
      <c r="R2515"/>
      <c r="S2515"/>
      <c r="T2515"/>
      <c r="U2515"/>
      <c r="V2515"/>
      <c r="W2515"/>
      <c r="X2515"/>
      <c r="Y2515"/>
      <c r="Z2515"/>
      <c r="AA2515"/>
      <c r="AB2515"/>
      <c r="AC2515"/>
      <c r="AD2515"/>
      <c r="AE2515"/>
      <c r="AF2515"/>
      <c r="AG2515"/>
      <c r="AH2515"/>
      <c r="AI2515"/>
      <c r="AJ2515"/>
      <c r="AK2515"/>
      <c r="AL2515"/>
    </row>
    <row r="2516" spans="1:38" ht="12.75" outlineLevel="3" x14ac:dyDescent="0.2">
      <c r="A2516" s="82">
        <v>1</v>
      </c>
      <c r="B2516" s="82" t="s">
        <v>71</v>
      </c>
      <c r="C2516" s="82" t="s">
        <v>1843</v>
      </c>
      <c r="D2516" s="82" t="s">
        <v>1811</v>
      </c>
      <c r="E2516" s="11" t="str">
        <f t="array" ref="E2516">_xlfn.XLOOKUP(D2516,Insumos!B:B,Insumos!C:$C)</f>
        <v>M2</v>
      </c>
      <c r="F2516" s="88">
        <v>1.1000000000000001</v>
      </c>
      <c r="G2516" s="92">
        <f t="array" ref="G2516">IF(B2516="insumo",_xlfn.XLOOKUP($D2516,Insumos!$B$1:$B$996,Insumos!$D$1:$D$996),"")</f>
        <v>568</v>
      </c>
      <c r="H2516" s="92">
        <v>624.79999999999995</v>
      </c>
      <c r="I2516" s="84">
        <v>0</v>
      </c>
      <c r="J2516" s="84">
        <v>0</v>
      </c>
      <c r="K2516" s="84"/>
      <c r="L2516"/>
      <c r="M2516"/>
      <c r="N2516"/>
      <c r="O2516"/>
      <c r="P2516"/>
      <c r="Q2516"/>
      <c r="R2516"/>
      <c r="S2516"/>
      <c r="T2516"/>
      <c r="U2516"/>
      <c r="V2516"/>
      <c r="W2516"/>
      <c r="X2516"/>
      <c r="Y2516"/>
      <c r="Z2516"/>
      <c r="AA2516"/>
      <c r="AB2516"/>
      <c r="AC2516"/>
      <c r="AD2516"/>
      <c r="AE2516"/>
      <c r="AF2516"/>
      <c r="AG2516"/>
      <c r="AH2516"/>
      <c r="AI2516"/>
      <c r="AJ2516"/>
      <c r="AK2516"/>
      <c r="AL2516"/>
    </row>
    <row r="2517" spans="1:38" ht="12.75" outlineLevel="3" x14ac:dyDescent="0.2">
      <c r="A2517" s="82">
        <v>191</v>
      </c>
      <c r="B2517" s="82" t="s">
        <v>71</v>
      </c>
      <c r="C2517" s="82" t="s">
        <v>1843</v>
      </c>
      <c r="D2517" s="82" t="s">
        <v>481</v>
      </c>
      <c r="E2517" s="11" t="str">
        <f t="array" ref="E2517">_xlfn.XLOOKUP(D2517,Insumos!B:B,Insumos!C:$C)</f>
        <v>KG</v>
      </c>
      <c r="F2517" s="88">
        <v>8.8000000000000007</v>
      </c>
      <c r="G2517" s="92">
        <f t="array" ref="G2517">IF(B2517="insumo",_xlfn.XLOOKUP($D2517,Insumos!$B$1:$B$996,Insumos!$D$1:$D$996),"")</f>
        <v>1.0645</v>
      </c>
      <c r="H2517" s="92">
        <v>9.3675999999999995</v>
      </c>
      <c r="I2517" s="84">
        <v>0</v>
      </c>
      <c r="J2517" s="84">
        <v>0</v>
      </c>
      <c r="K2517" s="84"/>
      <c r="L2517"/>
      <c r="M2517"/>
      <c r="N2517"/>
      <c r="O2517"/>
      <c r="P2517"/>
      <c r="Q2517"/>
      <c r="R2517"/>
      <c r="S2517"/>
      <c r="T2517"/>
      <c r="U2517"/>
      <c r="V2517"/>
      <c r="W2517"/>
      <c r="X2517"/>
      <c r="Y2517"/>
      <c r="Z2517"/>
      <c r="AA2517"/>
      <c r="AB2517"/>
      <c r="AC2517"/>
      <c r="AD2517"/>
      <c r="AE2517"/>
      <c r="AF2517"/>
      <c r="AG2517"/>
      <c r="AH2517"/>
      <c r="AI2517"/>
      <c r="AJ2517"/>
      <c r="AK2517"/>
      <c r="AL2517"/>
    </row>
    <row r="2518" spans="1:38" ht="12.75" outlineLevel="3" x14ac:dyDescent="0.2">
      <c r="A2518" s="82">
        <v>142</v>
      </c>
      <c r="B2518" s="82" t="s">
        <v>71</v>
      </c>
      <c r="C2518" s="82" t="s">
        <v>1843</v>
      </c>
      <c r="D2518" s="82" t="s">
        <v>506</v>
      </c>
      <c r="E2518" s="11" t="str">
        <f t="array" ref="E2518">_xlfn.XLOOKUP(D2518,Insumos!B:B,Insumos!C:$C)</f>
        <v>UN</v>
      </c>
      <c r="F2518" s="88">
        <v>1</v>
      </c>
      <c r="G2518" s="92">
        <f t="array" ref="G2518">IF(B2518="insumo",_xlfn.XLOOKUP($D2518,Insumos!$B$1:$B$996,Insumos!$D$1:$D$996),"")</f>
        <v>0.08</v>
      </c>
      <c r="H2518" s="92">
        <v>0.08</v>
      </c>
      <c r="I2518" s="84">
        <v>0</v>
      </c>
      <c r="J2518" s="84">
        <v>0</v>
      </c>
      <c r="K2518" s="84"/>
      <c r="L2518"/>
      <c r="M2518"/>
      <c r="N2518"/>
      <c r="O2518"/>
      <c r="P2518"/>
      <c r="Q2518"/>
      <c r="R2518"/>
      <c r="S2518"/>
      <c r="T2518"/>
      <c r="U2518"/>
      <c r="V2518"/>
      <c r="W2518"/>
      <c r="X2518"/>
      <c r="Y2518"/>
      <c r="Z2518"/>
      <c r="AA2518"/>
      <c r="AB2518"/>
      <c r="AC2518"/>
      <c r="AD2518"/>
      <c r="AE2518"/>
      <c r="AF2518"/>
      <c r="AG2518"/>
      <c r="AH2518"/>
      <c r="AI2518"/>
      <c r="AJ2518"/>
      <c r="AK2518"/>
      <c r="AL2518"/>
    </row>
    <row r="2519" spans="1:38" ht="12.75" outlineLevel="3" x14ac:dyDescent="0.2">
      <c r="A2519" s="82">
        <v>101</v>
      </c>
      <c r="B2519" s="82" t="s">
        <v>71</v>
      </c>
      <c r="C2519" s="82" t="s">
        <v>1843</v>
      </c>
      <c r="D2519" s="82" t="s">
        <v>507</v>
      </c>
      <c r="E2519" s="11" t="str">
        <f t="array" ref="E2519">_xlfn.XLOOKUP(D2519,Insumos!B:B,Insumos!C:$C)</f>
        <v>KG</v>
      </c>
      <c r="F2519" s="88">
        <v>0.01</v>
      </c>
      <c r="G2519" s="92">
        <f t="array" ref="G2519">IF(B2519="insumo",_xlfn.XLOOKUP($D2519,Insumos!$B$1:$B$996,Insumos!$D$1:$D$996),"")</f>
        <v>11.15</v>
      </c>
      <c r="H2519" s="92">
        <v>0.1115</v>
      </c>
      <c r="I2519" s="84">
        <v>0</v>
      </c>
      <c r="J2519" s="84">
        <v>0</v>
      </c>
      <c r="K2519" s="84"/>
      <c r="L2519"/>
      <c r="M2519"/>
      <c r="N2519"/>
      <c r="O2519"/>
      <c r="P2519"/>
      <c r="Q2519"/>
      <c r="R2519"/>
      <c r="S2519"/>
      <c r="T2519"/>
      <c r="U2519"/>
      <c r="V2519"/>
      <c r="W2519"/>
      <c r="X2519"/>
      <c r="Y2519"/>
      <c r="Z2519"/>
      <c r="AA2519"/>
      <c r="AB2519"/>
      <c r="AC2519"/>
      <c r="AD2519"/>
      <c r="AE2519"/>
      <c r="AF2519"/>
      <c r="AG2519"/>
      <c r="AH2519"/>
      <c r="AI2519"/>
      <c r="AJ2519"/>
      <c r="AK2519"/>
      <c r="AL2519"/>
    </row>
    <row r="2520" spans="1:38" ht="12.75" outlineLevel="2" x14ac:dyDescent="0.2">
      <c r="A2520" s="1071">
        <v>1</v>
      </c>
      <c r="B2520" s="1071" t="s">
        <v>68</v>
      </c>
      <c r="C2520" s="1071" t="s">
        <v>1844</v>
      </c>
      <c r="D2520" s="1071" t="s">
        <v>1844</v>
      </c>
      <c r="E2520" s="1072" t="s">
        <v>70</v>
      </c>
      <c r="F2520" s="1071"/>
      <c r="G2520" s="1073" t="str">
        <f t="array" ref="G2520">IF(B2520="insumo",_xlfn.XLOOKUP($D2520,Insumos!$B$1:$B$996,Insumos!$D$1:$D$996),"")</f>
        <v/>
      </c>
      <c r="H2520" s="1073">
        <v>529.17927499999996</v>
      </c>
      <c r="I2520" s="1074">
        <v>0</v>
      </c>
      <c r="J2520" s="1074">
        <v>0</v>
      </c>
      <c r="K2520" s="1074"/>
      <c r="L2520"/>
      <c r="M2520"/>
      <c r="N2520"/>
      <c r="O2520"/>
      <c r="P2520"/>
      <c r="Q2520"/>
      <c r="R2520"/>
      <c r="S2520"/>
      <c r="T2520"/>
      <c r="U2520"/>
      <c r="V2520"/>
      <c r="W2520"/>
      <c r="X2520"/>
      <c r="Y2520"/>
      <c r="Z2520"/>
      <c r="AA2520"/>
      <c r="AB2520"/>
      <c r="AC2520"/>
      <c r="AD2520"/>
      <c r="AE2520"/>
      <c r="AF2520"/>
      <c r="AG2520"/>
      <c r="AH2520"/>
      <c r="AI2520"/>
      <c r="AJ2520"/>
      <c r="AK2520"/>
      <c r="AL2520"/>
    </row>
    <row r="2521" spans="1:38" ht="12.75" outlineLevel="3" x14ac:dyDescent="0.2">
      <c r="A2521" s="82">
        <v>1</v>
      </c>
      <c r="B2521" s="82" t="s">
        <v>71</v>
      </c>
      <c r="C2521" s="82" t="s">
        <v>1844</v>
      </c>
      <c r="D2521" s="82" t="s">
        <v>1819</v>
      </c>
      <c r="E2521" s="11" t="str">
        <f t="array" ref="E2521">_xlfn.XLOOKUP(D2521,Insumos!B:B,Insumos!C:$C)</f>
        <v>M2</v>
      </c>
      <c r="F2521" s="88">
        <v>1.1000000000000001</v>
      </c>
      <c r="G2521" s="92">
        <f t="array" ref="G2521">IF(B2521="insumo",_xlfn.XLOOKUP($D2521,Insumos!$B$1:$B$996,Insumos!$D$1:$D$996),"")</f>
        <v>474</v>
      </c>
      <c r="H2521" s="92">
        <v>521.4</v>
      </c>
      <c r="I2521" s="84">
        <v>0</v>
      </c>
      <c r="J2521" s="84">
        <v>0</v>
      </c>
      <c r="K2521" s="84"/>
      <c r="L2521"/>
      <c r="M2521"/>
      <c r="N2521"/>
      <c r="O2521"/>
      <c r="P2521"/>
      <c r="Q2521"/>
      <c r="R2521"/>
      <c r="S2521"/>
      <c r="T2521"/>
      <c r="U2521"/>
      <c r="V2521"/>
      <c r="W2521"/>
      <c r="X2521"/>
      <c r="Y2521"/>
      <c r="Z2521"/>
      <c r="AA2521"/>
      <c r="AB2521"/>
      <c r="AC2521"/>
      <c r="AD2521"/>
      <c r="AE2521"/>
      <c r="AF2521"/>
      <c r="AG2521"/>
      <c r="AH2521"/>
      <c r="AI2521"/>
      <c r="AJ2521"/>
      <c r="AK2521"/>
      <c r="AL2521"/>
    </row>
    <row r="2522" spans="1:38" ht="12.75" outlineLevel="3" x14ac:dyDescent="0.2">
      <c r="A2522" s="82">
        <v>191</v>
      </c>
      <c r="B2522" s="82" t="s">
        <v>71</v>
      </c>
      <c r="C2522" s="82" t="s">
        <v>1844</v>
      </c>
      <c r="D2522" s="82" t="s">
        <v>481</v>
      </c>
      <c r="E2522" s="11" t="str">
        <f t="array" ref="E2522">_xlfn.XLOOKUP(D2522,Insumos!B:B,Insumos!C:$C)</f>
        <v>KG</v>
      </c>
      <c r="F2522" s="88">
        <v>4.95</v>
      </c>
      <c r="G2522" s="92">
        <f t="array" ref="G2522">IF(B2522="insumo",_xlfn.XLOOKUP($D2522,Insumos!$B$1:$B$996,Insumos!$D$1:$D$996),"")</f>
        <v>1.0645</v>
      </c>
      <c r="H2522" s="92">
        <v>5.2692750000000004</v>
      </c>
      <c r="I2522" s="84">
        <v>0</v>
      </c>
      <c r="J2522" s="84">
        <v>0</v>
      </c>
      <c r="K2522" s="84"/>
      <c r="L2522"/>
      <c r="M2522"/>
      <c r="N2522"/>
      <c r="O2522"/>
      <c r="P2522"/>
      <c r="Q2522"/>
      <c r="R2522"/>
      <c r="S2522"/>
      <c r="T2522"/>
      <c r="U2522"/>
      <c r="V2522"/>
      <c r="W2522"/>
      <c r="X2522"/>
      <c r="Y2522"/>
      <c r="Z2522"/>
      <c r="AA2522"/>
      <c r="AB2522"/>
      <c r="AC2522"/>
      <c r="AD2522"/>
      <c r="AE2522"/>
      <c r="AF2522"/>
      <c r="AG2522"/>
      <c r="AH2522"/>
      <c r="AI2522"/>
      <c r="AJ2522"/>
      <c r="AK2522"/>
      <c r="AL2522"/>
    </row>
    <row r="2523" spans="1:38" ht="12.75" outlineLevel="3" x14ac:dyDescent="0.2">
      <c r="A2523" s="82">
        <v>142</v>
      </c>
      <c r="B2523" s="82" t="s">
        <v>71</v>
      </c>
      <c r="C2523" s="82" t="s">
        <v>1844</v>
      </c>
      <c r="D2523" s="82" t="s">
        <v>506</v>
      </c>
      <c r="E2523" s="11" t="str">
        <f t="array" ref="E2523">_xlfn.XLOOKUP(D2523,Insumos!B:B,Insumos!C:$C)</f>
        <v>UN</v>
      </c>
      <c r="F2523" s="88">
        <v>4</v>
      </c>
      <c r="G2523" s="92">
        <f t="array" ref="G2523">IF(B2523="insumo",_xlfn.XLOOKUP($D2523,Insumos!$B$1:$B$996,Insumos!$D$1:$D$996),"")</f>
        <v>0.08</v>
      </c>
      <c r="H2523" s="92">
        <v>0.32</v>
      </c>
      <c r="I2523" s="84">
        <v>0</v>
      </c>
      <c r="J2523" s="84">
        <v>0</v>
      </c>
      <c r="K2523" s="84"/>
      <c r="L2523"/>
      <c r="M2523"/>
      <c r="N2523"/>
      <c r="O2523"/>
      <c r="P2523"/>
      <c r="Q2523"/>
      <c r="R2523"/>
      <c r="S2523"/>
      <c r="T2523"/>
      <c r="U2523"/>
      <c r="V2523"/>
      <c r="W2523"/>
      <c r="X2523"/>
      <c r="Y2523"/>
      <c r="Z2523"/>
      <c r="AA2523"/>
      <c r="AB2523"/>
      <c r="AC2523"/>
      <c r="AD2523"/>
      <c r="AE2523"/>
      <c r="AF2523"/>
      <c r="AG2523"/>
      <c r="AH2523"/>
      <c r="AI2523"/>
      <c r="AJ2523"/>
      <c r="AK2523"/>
      <c r="AL2523"/>
    </row>
    <row r="2524" spans="1:38" ht="12.75" outlineLevel="3" x14ac:dyDescent="0.2">
      <c r="A2524" s="82">
        <v>22</v>
      </c>
      <c r="B2524" s="82" t="s">
        <v>71</v>
      </c>
      <c r="C2524" s="82" t="s">
        <v>1844</v>
      </c>
      <c r="D2524" s="82" t="s">
        <v>1833</v>
      </c>
      <c r="E2524" s="11" t="str">
        <f t="array" ref="E2524">_xlfn.XLOOKUP(D2524,Insumos!B:B,Insumos!C:$C)</f>
        <v>KG</v>
      </c>
      <c r="F2524" s="88">
        <v>0.05</v>
      </c>
      <c r="G2524" s="92">
        <f t="array" ref="G2524">IF(B2524="insumo",_xlfn.XLOOKUP($D2524,Insumos!$B$1:$B$996,Insumos!$D$1:$D$996),"")</f>
        <v>43.8</v>
      </c>
      <c r="H2524" s="92">
        <v>2.19</v>
      </c>
      <c r="I2524" s="84">
        <v>0</v>
      </c>
      <c r="J2524" s="84">
        <v>0</v>
      </c>
      <c r="K2524" s="84"/>
      <c r="L2524"/>
      <c r="M2524"/>
      <c r="N2524"/>
      <c r="O2524"/>
      <c r="P2524"/>
      <c r="Q2524"/>
      <c r="R2524"/>
      <c r="S2524"/>
      <c r="T2524"/>
      <c r="U2524"/>
      <c r="V2524"/>
      <c r="W2524"/>
      <c r="X2524"/>
      <c r="Y2524"/>
      <c r="Z2524"/>
      <c r="AA2524"/>
      <c r="AB2524"/>
      <c r="AC2524"/>
      <c r="AD2524"/>
      <c r="AE2524"/>
      <c r="AF2524"/>
      <c r="AG2524"/>
      <c r="AH2524"/>
      <c r="AI2524"/>
      <c r="AJ2524"/>
      <c r="AK2524"/>
      <c r="AL2524"/>
    </row>
    <row r="2525" spans="1:38" ht="15.75" customHeight="1" outlineLevel="1" x14ac:dyDescent="0.2">
      <c r="A2525" s="1090">
        <v>1</v>
      </c>
      <c r="B2525" s="1090" t="s">
        <v>1228</v>
      </c>
      <c r="C2525" s="1090" t="s">
        <v>1844</v>
      </c>
      <c r="D2525" s="1090" t="s">
        <v>1400</v>
      </c>
      <c r="E2525" s="1091"/>
      <c r="F2525" s="1092"/>
      <c r="G2525" s="1091"/>
      <c r="H2525" s="1091">
        <v>0</v>
      </c>
      <c r="I2525" s="1092">
        <v>0</v>
      </c>
      <c r="J2525" s="1092">
        <v>0</v>
      </c>
      <c r="K2525" s="1092"/>
      <c r="L2525"/>
      <c r="M2525"/>
      <c r="N2525"/>
      <c r="O2525"/>
      <c r="P2525"/>
      <c r="Q2525"/>
      <c r="R2525"/>
      <c r="S2525"/>
      <c r="T2525"/>
      <c r="U2525"/>
      <c r="V2525"/>
      <c r="W2525"/>
      <c r="X2525"/>
      <c r="Y2525"/>
      <c r="Z2525"/>
      <c r="AA2525"/>
      <c r="AB2525"/>
      <c r="AC2525"/>
      <c r="AD2525"/>
      <c r="AE2525"/>
      <c r="AF2525"/>
      <c r="AG2525"/>
      <c r="AH2525"/>
      <c r="AI2525"/>
      <c r="AJ2525"/>
      <c r="AK2525"/>
      <c r="AL2525"/>
    </row>
    <row r="2526" spans="1:38" ht="15.75" customHeight="1" outlineLevel="2" x14ac:dyDescent="0.2">
      <c r="A2526" s="1067">
        <v>1</v>
      </c>
      <c r="B2526" s="1067" t="s">
        <v>68</v>
      </c>
      <c r="C2526" s="1067" t="s">
        <v>519</v>
      </c>
      <c r="D2526" s="1067" t="s">
        <v>519</v>
      </c>
      <c r="E2526" s="1068" t="s">
        <v>70</v>
      </c>
      <c r="F2526" s="1067"/>
      <c r="G2526" s="1069" t="str">
        <f t="array" ref="G2526">IF(B2526="insumo",_xlfn.XLOOKUP($D2526,Insumos!$B$1:$B$996,Insumos!$D$1:$D$996),"")</f>
        <v/>
      </c>
      <c r="H2526" s="1069">
        <v>98.979275000000001</v>
      </c>
      <c r="I2526" s="1070">
        <v>0</v>
      </c>
      <c r="J2526" s="1070">
        <v>0</v>
      </c>
      <c r="K2526" s="1070"/>
      <c r="L2526"/>
      <c r="M2526"/>
      <c r="N2526"/>
      <c r="O2526"/>
      <c r="P2526"/>
      <c r="Q2526"/>
      <c r="R2526"/>
      <c r="S2526"/>
      <c r="T2526"/>
      <c r="U2526"/>
      <c r="V2526"/>
      <c r="W2526"/>
      <c r="X2526"/>
      <c r="Y2526"/>
      <c r="Z2526"/>
      <c r="AA2526"/>
      <c r="AB2526"/>
      <c r="AC2526"/>
      <c r="AD2526"/>
      <c r="AE2526"/>
      <c r="AF2526"/>
      <c r="AG2526"/>
      <c r="AH2526"/>
      <c r="AI2526"/>
      <c r="AJ2526"/>
      <c r="AK2526"/>
      <c r="AL2526"/>
    </row>
    <row r="2527" spans="1:38" ht="15.75" customHeight="1" outlineLevel="3" x14ac:dyDescent="0.2">
      <c r="A2527" s="10">
        <v>1</v>
      </c>
      <c r="B2527" s="10" t="s">
        <v>71</v>
      </c>
      <c r="C2527" s="10" t="s">
        <v>519</v>
      </c>
      <c r="D2527" s="10" t="s">
        <v>520</v>
      </c>
      <c r="E2527" s="11" t="str">
        <f t="array" ref="E2527">_xlfn.XLOOKUP(D2527,Insumos!B:B,Insumos!C:$C)</f>
        <v>M2</v>
      </c>
      <c r="F2527" s="14">
        <v>1.1000000000000001</v>
      </c>
      <c r="G2527" s="92">
        <f t="array" ref="G2527">IF(B2527="insumo",_xlfn.XLOOKUP($D2527,Insumos!$B$1:$B$996,Insumos!$D$1:$D$996),"")</f>
        <v>83.95</v>
      </c>
      <c r="H2527" s="92">
        <v>92.344999999999999</v>
      </c>
      <c r="I2527" s="13">
        <v>0</v>
      </c>
      <c r="J2527" s="13">
        <v>0</v>
      </c>
      <c r="K2527" s="13"/>
      <c r="L2527"/>
      <c r="M2527"/>
      <c r="N2527"/>
      <c r="O2527"/>
      <c r="P2527"/>
      <c r="Q2527"/>
      <c r="R2527"/>
      <c r="S2527"/>
      <c r="T2527"/>
      <c r="U2527"/>
      <c r="V2527"/>
      <c r="W2527"/>
      <c r="X2527"/>
      <c r="Y2527"/>
      <c r="Z2527"/>
      <c r="AA2527"/>
      <c r="AB2527"/>
      <c r="AC2527"/>
      <c r="AD2527"/>
      <c r="AE2527"/>
      <c r="AF2527"/>
      <c r="AG2527"/>
      <c r="AH2527"/>
      <c r="AI2527"/>
      <c r="AJ2527"/>
      <c r="AK2527"/>
      <c r="AL2527"/>
    </row>
    <row r="2528" spans="1:38" ht="15.75" customHeight="1" outlineLevel="3" x14ac:dyDescent="0.2">
      <c r="A2528" s="10">
        <v>191</v>
      </c>
      <c r="B2528" s="10" t="s">
        <v>71</v>
      </c>
      <c r="C2528" s="10" t="s">
        <v>519</v>
      </c>
      <c r="D2528" s="10" t="s">
        <v>481</v>
      </c>
      <c r="E2528" s="11" t="str">
        <f t="array" ref="E2528">_xlfn.XLOOKUP(D2528,Insumos!B:B,Insumos!C:$C)</f>
        <v>KG</v>
      </c>
      <c r="F2528" s="14">
        <v>4.95</v>
      </c>
      <c r="G2528" s="92">
        <f t="array" ref="G2528">IF(B2528="insumo",_xlfn.XLOOKUP($D2528,Insumos!$B$1:$B$996,Insumos!$D$1:$D$996),"")</f>
        <v>1.0645</v>
      </c>
      <c r="H2528" s="92">
        <v>5.2692750000000004</v>
      </c>
      <c r="I2528" s="13">
        <v>0</v>
      </c>
      <c r="J2528" s="13">
        <v>0</v>
      </c>
      <c r="K2528" s="13"/>
      <c r="L2528"/>
      <c r="M2528"/>
      <c r="N2528"/>
      <c r="O2528"/>
      <c r="P2528"/>
      <c r="Q2528"/>
      <c r="R2528"/>
      <c r="S2528"/>
      <c r="T2528"/>
      <c r="U2528"/>
      <c r="V2528"/>
      <c r="W2528"/>
      <c r="X2528"/>
      <c r="Y2528"/>
      <c r="Z2528"/>
      <c r="AA2528"/>
      <c r="AB2528"/>
      <c r="AC2528"/>
      <c r="AD2528"/>
      <c r="AE2528"/>
      <c r="AF2528"/>
      <c r="AG2528"/>
      <c r="AH2528"/>
      <c r="AI2528"/>
      <c r="AJ2528"/>
      <c r="AK2528"/>
      <c r="AL2528"/>
    </row>
    <row r="2529" spans="1:38" ht="15.75" customHeight="1" outlineLevel="3" x14ac:dyDescent="0.2">
      <c r="A2529" s="10">
        <v>17</v>
      </c>
      <c r="B2529" s="10" t="s">
        <v>71</v>
      </c>
      <c r="C2529" s="10" t="s">
        <v>519</v>
      </c>
      <c r="D2529" s="10" t="s">
        <v>521</v>
      </c>
      <c r="E2529" s="11" t="str">
        <f t="array" ref="E2529">_xlfn.XLOOKUP(D2529,Insumos!B:B,Insumos!C:$C)</f>
        <v>UN</v>
      </c>
      <c r="F2529" s="14">
        <v>5</v>
      </c>
      <c r="G2529" s="92">
        <f t="array" ref="G2529">IF(B2529="insumo",_xlfn.XLOOKUP($D2529,Insumos!$B$1:$B$996,Insumos!$D$1:$D$996),"")</f>
        <v>0.05</v>
      </c>
      <c r="H2529" s="92">
        <v>0.25</v>
      </c>
      <c r="I2529" s="13">
        <v>0</v>
      </c>
      <c r="J2529" s="13">
        <v>0</v>
      </c>
      <c r="K2529" s="13"/>
      <c r="L2529"/>
      <c r="M2529"/>
      <c r="N2529"/>
      <c r="O2529"/>
      <c r="P2529"/>
      <c r="Q2529"/>
      <c r="R2529"/>
      <c r="S2529"/>
      <c r="T2529"/>
      <c r="U2529"/>
      <c r="V2529"/>
      <c r="W2529"/>
      <c r="X2529"/>
      <c r="Y2529"/>
      <c r="Z2529"/>
      <c r="AA2529"/>
      <c r="AB2529"/>
      <c r="AC2529"/>
      <c r="AD2529"/>
      <c r="AE2529"/>
      <c r="AF2529"/>
      <c r="AG2529"/>
      <c r="AH2529"/>
      <c r="AI2529"/>
      <c r="AJ2529"/>
      <c r="AK2529"/>
      <c r="AL2529"/>
    </row>
    <row r="2530" spans="1:38" ht="15.75" customHeight="1" outlineLevel="3" x14ac:dyDescent="0.2">
      <c r="A2530" s="10">
        <v>101</v>
      </c>
      <c r="B2530" s="10" t="s">
        <v>71</v>
      </c>
      <c r="C2530" s="10" t="s">
        <v>519</v>
      </c>
      <c r="D2530" s="10" t="s">
        <v>507</v>
      </c>
      <c r="E2530" s="11" t="str">
        <f t="array" ref="E2530">_xlfn.XLOOKUP(D2530,Insumos!B:B,Insumos!C:$C)</f>
        <v>KG</v>
      </c>
      <c r="F2530" s="14">
        <v>0.1</v>
      </c>
      <c r="G2530" s="92">
        <f t="array" ref="G2530">IF(B2530="insumo",_xlfn.XLOOKUP($D2530,Insumos!$B$1:$B$996,Insumos!$D$1:$D$996),"")</f>
        <v>11.15</v>
      </c>
      <c r="H2530" s="92">
        <v>1.115</v>
      </c>
      <c r="I2530" s="13">
        <v>0</v>
      </c>
      <c r="J2530" s="13">
        <v>0</v>
      </c>
      <c r="K2530" s="13"/>
      <c r="L2530"/>
      <c r="M2530"/>
      <c r="N2530"/>
      <c r="O2530"/>
      <c r="P2530"/>
      <c r="Q2530"/>
      <c r="R2530"/>
      <c r="S2530"/>
      <c r="T2530"/>
      <c r="U2530"/>
      <c r="V2530"/>
      <c r="W2530"/>
      <c r="X2530"/>
      <c r="Y2530"/>
      <c r="Z2530"/>
      <c r="AA2530"/>
      <c r="AB2530"/>
      <c r="AC2530"/>
      <c r="AD2530"/>
      <c r="AE2530"/>
      <c r="AF2530"/>
      <c r="AG2530"/>
      <c r="AH2530"/>
      <c r="AI2530"/>
      <c r="AJ2530"/>
      <c r="AK2530"/>
      <c r="AL2530"/>
    </row>
    <row r="2531" spans="1:38" ht="15.75" customHeight="1" outlineLevel="2" x14ac:dyDescent="0.2">
      <c r="A2531" s="1067">
        <v>1</v>
      </c>
      <c r="B2531" s="1067" t="s">
        <v>68</v>
      </c>
      <c r="C2531" s="1067" t="s">
        <v>2995</v>
      </c>
      <c r="D2531" s="1067" t="s">
        <v>2995</v>
      </c>
      <c r="E2531" s="1068" t="s">
        <v>70</v>
      </c>
      <c r="F2531" s="1067"/>
      <c r="G2531" s="1069" t="str">
        <f t="array" ref="G2531">IF(B2531="insumo",_xlfn.XLOOKUP($D2531,Insumos!$B$1:$B$996,Insumos!$D$1:$D$996),"")</f>
        <v/>
      </c>
      <c r="H2531" s="1069">
        <v>282.48927500000002</v>
      </c>
      <c r="I2531" s="1070" t="e">
        <v>#REF!</v>
      </c>
      <c r="J2531" s="1070" t="e">
        <v>#REF!</v>
      </c>
      <c r="K2531" s="1070"/>
      <c r="L2531"/>
      <c r="M2531"/>
      <c r="N2531"/>
      <c r="O2531"/>
      <c r="P2531"/>
      <c r="Q2531"/>
      <c r="R2531"/>
      <c r="S2531"/>
      <c r="T2531"/>
      <c r="U2531"/>
      <c r="V2531"/>
      <c r="W2531"/>
      <c r="X2531"/>
      <c r="Y2531"/>
      <c r="Z2531"/>
      <c r="AA2531"/>
      <c r="AB2531"/>
      <c r="AC2531"/>
      <c r="AD2531"/>
      <c r="AE2531"/>
      <c r="AF2531"/>
      <c r="AG2531"/>
      <c r="AH2531"/>
      <c r="AI2531"/>
      <c r="AJ2531"/>
      <c r="AK2531"/>
      <c r="AL2531"/>
    </row>
    <row r="2532" spans="1:38" ht="15.75" customHeight="1" outlineLevel="3" x14ac:dyDescent="0.2">
      <c r="A2532" s="10">
        <v>1</v>
      </c>
      <c r="B2532" s="10" t="s">
        <v>71</v>
      </c>
      <c r="C2532" s="10" t="s">
        <v>2995</v>
      </c>
      <c r="D2532" s="10" t="s">
        <v>2864</v>
      </c>
      <c r="E2532" s="11" t="str">
        <f t="array" ref="E2532">_xlfn.XLOOKUP(D2532,Insumos!B:B,Insumos!C:$C)</f>
        <v>M2</v>
      </c>
      <c r="F2532" s="14">
        <f>1.1</f>
        <v>1.1000000000000001</v>
      </c>
      <c r="G2532" s="92">
        <f t="array" ref="G2532">IF(B2532="insumo",_xlfn.XLOOKUP($D2532,Insumos!$B$1:$B$996,Insumos!$D$1:$D$996),"")</f>
        <v>250</v>
      </c>
      <c r="H2532" s="92">
        <v>275</v>
      </c>
      <c r="I2532" s="13" t="e">
        <v>#REF!</v>
      </c>
      <c r="J2532" s="13" t="e">
        <v>#REF!</v>
      </c>
      <c r="K2532" s="13"/>
      <c r="L2532"/>
      <c r="M2532"/>
      <c r="N2532"/>
      <c r="O2532"/>
      <c r="P2532"/>
      <c r="Q2532"/>
      <c r="R2532"/>
      <c r="S2532"/>
      <c r="T2532"/>
      <c r="U2532"/>
      <c r="V2532"/>
      <c r="W2532"/>
      <c r="X2532"/>
      <c r="Y2532"/>
      <c r="Z2532"/>
      <c r="AA2532"/>
      <c r="AB2532"/>
      <c r="AC2532"/>
      <c r="AD2532"/>
      <c r="AE2532"/>
      <c r="AF2532"/>
      <c r="AG2532"/>
      <c r="AH2532"/>
      <c r="AI2532"/>
      <c r="AJ2532"/>
      <c r="AK2532"/>
      <c r="AL2532"/>
    </row>
    <row r="2533" spans="1:38" ht="15.75" customHeight="1" outlineLevel="3" x14ac:dyDescent="0.2">
      <c r="A2533" s="10">
        <v>191</v>
      </c>
      <c r="B2533" s="10" t="s">
        <v>71</v>
      </c>
      <c r="C2533" s="10" t="s">
        <v>2995</v>
      </c>
      <c r="D2533" s="10" t="s">
        <v>481</v>
      </c>
      <c r="E2533" s="11" t="str">
        <f t="array" ref="E2533">_xlfn.XLOOKUP(D2533,Insumos!B:B,Insumos!C:$C)</f>
        <v>KG</v>
      </c>
      <c r="F2533" s="14">
        <v>4.95</v>
      </c>
      <c r="G2533" s="92">
        <f t="array" ref="G2533">IF(B2533="insumo",_xlfn.XLOOKUP($D2533,Insumos!$B$1:$B$996,Insumos!$D$1:$D$996),"")</f>
        <v>1.0645</v>
      </c>
      <c r="H2533" s="92">
        <v>5.2692750000000004</v>
      </c>
      <c r="I2533" s="13" t="e">
        <v>#REF!</v>
      </c>
      <c r="J2533" s="13" t="e">
        <v>#REF!</v>
      </c>
      <c r="K2533" s="13"/>
      <c r="L2533"/>
      <c r="M2533"/>
      <c r="N2533"/>
      <c r="O2533"/>
      <c r="P2533"/>
      <c r="Q2533"/>
      <c r="R2533"/>
      <c r="S2533"/>
      <c r="T2533"/>
      <c r="U2533"/>
      <c r="V2533"/>
      <c r="W2533"/>
      <c r="X2533"/>
      <c r="Y2533"/>
      <c r="Z2533"/>
      <c r="AA2533"/>
      <c r="AB2533"/>
      <c r="AC2533"/>
      <c r="AD2533"/>
      <c r="AE2533"/>
      <c r="AF2533"/>
      <c r="AG2533"/>
      <c r="AH2533"/>
      <c r="AI2533"/>
      <c r="AJ2533"/>
      <c r="AK2533"/>
      <c r="AL2533"/>
    </row>
    <row r="2534" spans="1:38" ht="15.75" customHeight="1" outlineLevel="3" x14ac:dyDescent="0.2">
      <c r="A2534" s="10">
        <v>142</v>
      </c>
      <c r="B2534" s="10" t="s">
        <v>71</v>
      </c>
      <c r="C2534" s="10" t="s">
        <v>2995</v>
      </c>
      <c r="D2534" s="10" t="s">
        <v>506</v>
      </c>
      <c r="E2534" s="11" t="str">
        <f t="array" ref="E2534">_xlfn.XLOOKUP(D2534,Insumos!B:B,Insumos!C:$C)</f>
        <v>UN</v>
      </c>
      <c r="F2534" s="14">
        <v>4</v>
      </c>
      <c r="G2534" s="92">
        <f t="array" ref="G2534">IF(B2534="insumo",_xlfn.XLOOKUP($D2534,Insumos!$B$1:$B$996,Insumos!$D$1:$D$996),"")</f>
        <v>0.08</v>
      </c>
      <c r="H2534" s="92">
        <v>0.32</v>
      </c>
      <c r="I2534" s="13" t="e">
        <v>#REF!</v>
      </c>
      <c r="J2534" s="13" t="e">
        <v>#REF!</v>
      </c>
      <c r="K2534" s="13"/>
      <c r="L2534"/>
      <c r="M2534"/>
      <c r="N2534"/>
      <c r="O2534"/>
      <c r="P2534"/>
      <c r="Q2534"/>
      <c r="R2534"/>
      <c r="S2534"/>
      <c r="T2534"/>
      <c r="U2534"/>
      <c r="V2534"/>
      <c r="W2534"/>
      <c r="X2534"/>
      <c r="Y2534"/>
      <c r="Z2534"/>
      <c r="AA2534"/>
      <c r="AB2534"/>
      <c r="AC2534"/>
      <c r="AD2534"/>
      <c r="AE2534"/>
      <c r="AF2534"/>
      <c r="AG2534"/>
      <c r="AH2534"/>
      <c r="AI2534"/>
      <c r="AJ2534"/>
      <c r="AK2534"/>
      <c r="AL2534"/>
    </row>
    <row r="2535" spans="1:38" ht="15.75" customHeight="1" outlineLevel="3" x14ac:dyDescent="0.2">
      <c r="A2535" s="10">
        <v>36</v>
      </c>
      <c r="B2535" s="10" t="s">
        <v>71</v>
      </c>
      <c r="C2535" s="82" t="s">
        <v>2995</v>
      </c>
      <c r="D2535" s="82" t="s">
        <v>2856</v>
      </c>
      <c r="E2535" s="11" t="str">
        <f t="array" ref="E2535">_xlfn.XLOOKUP(D2535,Insumos!B:B,Insumos!C:$C)</f>
        <v>KG</v>
      </c>
      <c r="F2535" s="14">
        <v>0.05</v>
      </c>
      <c r="G2535" s="92">
        <f t="array" ref="G2535">IF(B2535="insumo",_xlfn.XLOOKUP($D2535,Insumos!$B$1:$B$996,Insumos!$D$1:$D$996),"")</f>
        <v>38</v>
      </c>
      <c r="H2535" s="92">
        <v>1.9</v>
      </c>
      <c r="I2535" s="13" t="e">
        <v>#REF!</v>
      </c>
      <c r="J2535" s="13" t="e">
        <v>#REF!</v>
      </c>
      <c r="K2535" s="13"/>
      <c r="L2535"/>
      <c r="M2535"/>
      <c r="N2535"/>
      <c r="O2535"/>
      <c r="P2535"/>
      <c r="Q2535"/>
      <c r="R2535"/>
      <c r="S2535"/>
      <c r="T2535"/>
      <c r="U2535"/>
      <c r="V2535"/>
      <c r="W2535"/>
      <c r="X2535"/>
      <c r="Y2535"/>
      <c r="Z2535"/>
      <c r="AA2535"/>
      <c r="AB2535"/>
      <c r="AC2535"/>
      <c r="AD2535"/>
      <c r="AE2535"/>
      <c r="AF2535"/>
      <c r="AG2535"/>
      <c r="AH2535"/>
      <c r="AI2535"/>
      <c r="AJ2535"/>
      <c r="AK2535"/>
      <c r="AL2535"/>
    </row>
    <row r="2536" spans="1:38" ht="15.75" customHeight="1" outlineLevel="2" x14ac:dyDescent="0.2">
      <c r="A2536" s="1067">
        <v>1</v>
      </c>
      <c r="B2536" s="1067" t="s">
        <v>68</v>
      </c>
      <c r="C2536" s="1067" t="s">
        <v>2996</v>
      </c>
      <c r="D2536" s="1067" t="s">
        <v>2996</v>
      </c>
      <c r="E2536" s="1068" t="s">
        <v>70</v>
      </c>
      <c r="F2536" s="1067"/>
      <c r="G2536" s="1069" t="str">
        <f t="array" ref="G2536">IF(B2536="insumo",_xlfn.XLOOKUP($D2536,Insumos!$B$1:$B$996,Insumos!$D$1:$D$996),"")</f>
        <v/>
      </c>
      <c r="H2536" s="1069">
        <v>281.389275</v>
      </c>
      <c r="I2536" s="1070">
        <v>0</v>
      </c>
      <c r="J2536" s="1070">
        <v>0</v>
      </c>
      <c r="K2536" s="1070"/>
      <c r="L2536"/>
      <c r="M2536"/>
      <c r="N2536"/>
      <c r="O2536"/>
      <c r="P2536"/>
      <c r="Q2536"/>
      <c r="R2536"/>
      <c r="S2536"/>
      <c r="T2536"/>
      <c r="U2536"/>
      <c r="V2536"/>
      <c r="W2536"/>
      <c r="X2536"/>
      <c r="Y2536"/>
      <c r="Z2536"/>
      <c r="AA2536"/>
      <c r="AB2536"/>
      <c r="AC2536"/>
      <c r="AD2536"/>
      <c r="AE2536"/>
      <c r="AF2536"/>
      <c r="AG2536"/>
      <c r="AH2536"/>
      <c r="AI2536"/>
      <c r="AJ2536"/>
      <c r="AK2536"/>
      <c r="AL2536"/>
    </row>
    <row r="2537" spans="1:38" ht="15.75" customHeight="1" outlineLevel="3" x14ac:dyDescent="0.2">
      <c r="A2537" s="10">
        <v>1</v>
      </c>
      <c r="B2537" s="10" t="s">
        <v>71</v>
      </c>
      <c r="C2537" s="10" t="s">
        <v>2996</v>
      </c>
      <c r="D2537" s="10" t="s">
        <v>2865</v>
      </c>
      <c r="E2537" s="11" t="str">
        <f t="array" ref="E2537">_xlfn.XLOOKUP(D2537,Insumos!B:B,Insumos!C:$C)</f>
        <v>M2</v>
      </c>
      <c r="F2537" s="14">
        <f>1.1</f>
        <v>1.1000000000000001</v>
      </c>
      <c r="G2537" s="92">
        <f t="array" ref="G2537">IF(B2537="insumo",_xlfn.XLOOKUP($D2537,Insumos!$B$1:$B$996,Insumos!$D$1:$D$996),"")</f>
        <v>249</v>
      </c>
      <c r="H2537" s="92">
        <v>273.89999999999998</v>
      </c>
      <c r="I2537" s="13">
        <v>0</v>
      </c>
      <c r="J2537" s="13">
        <v>0</v>
      </c>
      <c r="K2537" s="13"/>
      <c r="L2537"/>
      <c r="M2537"/>
      <c r="N2537"/>
      <c r="O2537"/>
      <c r="P2537"/>
      <c r="Q2537"/>
      <c r="R2537"/>
      <c r="S2537"/>
      <c r="T2537"/>
      <c r="U2537"/>
      <c r="V2537"/>
      <c r="W2537"/>
      <c r="X2537"/>
      <c r="Y2537"/>
      <c r="Z2537"/>
      <c r="AA2537"/>
      <c r="AB2537"/>
      <c r="AC2537"/>
      <c r="AD2537"/>
      <c r="AE2537"/>
      <c r="AF2537"/>
      <c r="AG2537"/>
      <c r="AH2537"/>
      <c r="AI2537"/>
      <c r="AJ2537"/>
      <c r="AK2537"/>
      <c r="AL2537"/>
    </row>
    <row r="2538" spans="1:38" ht="15.75" customHeight="1" outlineLevel="3" x14ac:dyDescent="0.2">
      <c r="A2538" s="10">
        <v>191</v>
      </c>
      <c r="B2538" s="10" t="s">
        <v>71</v>
      </c>
      <c r="C2538" s="10" t="s">
        <v>2996</v>
      </c>
      <c r="D2538" s="10" t="s">
        <v>481</v>
      </c>
      <c r="E2538" s="11" t="str">
        <f t="array" ref="E2538">_xlfn.XLOOKUP(D2538,Insumos!B:B,Insumos!C:$C)</f>
        <v>KG</v>
      </c>
      <c r="F2538" s="14">
        <v>4.95</v>
      </c>
      <c r="G2538" s="92">
        <f t="array" ref="G2538">IF(B2538="insumo",_xlfn.XLOOKUP($D2538,Insumos!$B$1:$B$996,Insumos!$D$1:$D$996),"")</f>
        <v>1.0645</v>
      </c>
      <c r="H2538" s="92">
        <v>5.2692750000000004</v>
      </c>
      <c r="I2538" s="13">
        <v>0</v>
      </c>
      <c r="J2538" s="13">
        <v>0</v>
      </c>
      <c r="K2538" s="13"/>
      <c r="L2538"/>
      <c r="M2538"/>
      <c r="N2538"/>
      <c r="O2538"/>
      <c r="P2538"/>
      <c r="Q2538"/>
      <c r="R2538"/>
      <c r="S2538"/>
      <c r="T2538"/>
      <c r="U2538"/>
      <c r="V2538"/>
      <c r="W2538"/>
      <c r="X2538"/>
      <c r="Y2538"/>
      <c r="Z2538"/>
      <c r="AA2538"/>
      <c r="AB2538"/>
      <c r="AC2538"/>
      <c r="AD2538"/>
      <c r="AE2538"/>
      <c r="AF2538"/>
      <c r="AG2538"/>
      <c r="AH2538"/>
      <c r="AI2538"/>
      <c r="AJ2538"/>
      <c r="AK2538"/>
      <c r="AL2538"/>
    </row>
    <row r="2539" spans="1:38" ht="15.75" customHeight="1" outlineLevel="3" x14ac:dyDescent="0.2">
      <c r="A2539" s="10">
        <v>142</v>
      </c>
      <c r="B2539" s="10" t="s">
        <v>71</v>
      </c>
      <c r="C2539" s="10" t="s">
        <v>2996</v>
      </c>
      <c r="D2539" s="10" t="s">
        <v>506</v>
      </c>
      <c r="E2539" s="11" t="str">
        <f t="array" ref="E2539">_xlfn.XLOOKUP(D2539,Insumos!B:B,Insumos!C:$C)</f>
        <v>UN</v>
      </c>
      <c r="F2539" s="14">
        <v>4</v>
      </c>
      <c r="G2539" s="92">
        <f t="array" ref="G2539">IF(B2539="insumo",_xlfn.XLOOKUP($D2539,Insumos!$B$1:$B$996,Insumos!$D$1:$D$996),"")</f>
        <v>0.08</v>
      </c>
      <c r="H2539" s="92">
        <v>0.32</v>
      </c>
      <c r="I2539" s="13">
        <v>0</v>
      </c>
      <c r="J2539" s="13">
        <v>0</v>
      </c>
      <c r="K2539" s="13"/>
      <c r="L2539"/>
      <c r="M2539"/>
      <c r="N2539"/>
      <c r="O2539"/>
      <c r="P2539"/>
      <c r="Q2539"/>
      <c r="R2539"/>
      <c r="S2539"/>
      <c r="T2539"/>
      <c r="U2539"/>
      <c r="V2539"/>
      <c r="W2539"/>
      <c r="X2539"/>
      <c r="Y2539"/>
      <c r="Z2539"/>
      <c r="AA2539"/>
      <c r="AB2539"/>
      <c r="AC2539"/>
      <c r="AD2539"/>
      <c r="AE2539"/>
      <c r="AF2539"/>
      <c r="AG2539"/>
      <c r="AH2539"/>
      <c r="AI2539"/>
      <c r="AJ2539"/>
      <c r="AK2539"/>
      <c r="AL2539"/>
    </row>
    <row r="2540" spans="1:38" ht="15.75" customHeight="1" outlineLevel="3" x14ac:dyDescent="0.2">
      <c r="A2540" s="10">
        <v>36</v>
      </c>
      <c r="B2540" s="10" t="s">
        <v>71</v>
      </c>
      <c r="C2540" s="82" t="s">
        <v>2996</v>
      </c>
      <c r="D2540" s="82" t="s">
        <v>2856</v>
      </c>
      <c r="E2540" s="11" t="str">
        <f t="array" ref="E2540">_xlfn.XLOOKUP(D2540,Insumos!B:B,Insumos!C:$C)</f>
        <v>KG</v>
      </c>
      <c r="F2540" s="14">
        <v>0.05</v>
      </c>
      <c r="G2540" s="92">
        <f t="array" ref="G2540">IF(B2540="insumo",_xlfn.XLOOKUP($D2540,Insumos!$B$1:$B$996,Insumos!$D$1:$D$996),"")</f>
        <v>38</v>
      </c>
      <c r="H2540" s="92">
        <v>1.9</v>
      </c>
      <c r="I2540" s="13">
        <v>0</v>
      </c>
      <c r="J2540" s="13">
        <v>0</v>
      </c>
      <c r="K2540" s="13"/>
      <c r="L2540"/>
      <c r="M2540"/>
      <c r="N2540"/>
      <c r="O2540"/>
      <c r="P2540"/>
      <c r="Q2540"/>
      <c r="R2540"/>
      <c r="S2540"/>
      <c r="T2540"/>
      <c r="U2540"/>
      <c r="V2540"/>
      <c r="W2540"/>
      <c r="X2540"/>
      <c r="Y2540"/>
      <c r="Z2540"/>
      <c r="AA2540"/>
      <c r="AB2540"/>
      <c r="AC2540"/>
      <c r="AD2540"/>
      <c r="AE2540"/>
      <c r="AF2540"/>
      <c r="AG2540"/>
      <c r="AH2540"/>
      <c r="AI2540"/>
      <c r="AJ2540"/>
      <c r="AK2540"/>
      <c r="AL2540"/>
    </row>
    <row r="2541" spans="1:38" ht="15.75" customHeight="1" outlineLevel="2" x14ac:dyDescent="0.2">
      <c r="A2541" s="1067">
        <v>1</v>
      </c>
      <c r="B2541" s="1067" t="s">
        <v>68</v>
      </c>
      <c r="C2541" s="1067" t="s">
        <v>2991</v>
      </c>
      <c r="D2541" s="1067" t="s">
        <v>2991</v>
      </c>
      <c r="E2541" s="1068" t="s">
        <v>70</v>
      </c>
      <c r="F2541" s="1067"/>
      <c r="G2541" s="1069" t="str">
        <f t="array" ref="G2541">IF(B2541="insumo",_xlfn.XLOOKUP($D2541,Insumos!$B$1:$B$996,Insumos!$D$1:$D$996),"")</f>
        <v/>
      </c>
      <c r="H2541" s="1069">
        <v>535.48927500000002</v>
      </c>
      <c r="I2541" s="1070" t="e">
        <v>#REF!</v>
      </c>
      <c r="J2541" s="1070" t="e">
        <v>#REF!</v>
      </c>
      <c r="K2541" s="1070"/>
      <c r="L2541"/>
      <c r="M2541"/>
      <c r="N2541"/>
      <c r="O2541"/>
      <c r="P2541"/>
      <c r="Q2541"/>
      <c r="R2541"/>
      <c r="S2541"/>
      <c r="T2541"/>
      <c r="U2541"/>
      <c r="V2541"/>
      <c r="W2541"/>
      <c r="X2541"/>
      <c r="Y2541"/>
      <c r="Z2541"/>
      <c r="AA2541"/>
      <c r="AB2541"/>
      <c r="AC2541"/>
      <c r="AD2541"/>
      <c r="AE2541"/>
      <c r="AF2541"/>
      <c r="AG2541"/>
      <c r="AH2541"/>
      <c r="AI2541"/>
      <c r="AJ2541"/>
      <c r="AK2541"/>
      <c r="AL2541"/>
    </row>
    <row r="2542" spans="1:38" ht="15.75" customHeight="1" outlineLevel="3" x14ac:dyDescent="0.2">
      <c r="A2542" s="10">
        <v>1</v>
      </c>
      <c r="B2542" s="10" t="s">
        <v>71</v>
      </c>
      <c r="C2542" s="10" t="s">
        <v>2991</v>
      </c>
      <c r="D2542" s="10" t="s">
        <v>2992</v>
      </c>
      <c r="E2542" s="11" t="str">
        <f t="array" ref="E2542">_xlfn.XLOOKUP(D2542,Insumos!B:B,Insumos!C:$C)</f>
        <v>M2</v>
      </c>
      <c r="F2542" s="14">
        <f>1.1</f>
        <v>1.1000000000000001</v>
      </c>
      <c r="G2542" s="92">
        <f t="array" ref="G2542">IF(B2542="insumo",_xlfn.XLOOKUP($D2542,Insumos!$B$1:$B$996,Insumos!$D$1:$D$996),"")</f>
        <v>480</v>
      </c>
      <c r="H2542" s="92">
        <v>528</v>
      </c>
      <c r="I2542" s="13" t="e">
        <v>#REF!</v>
      </c>
      <c r="J2542" s="13" t="e">
        <v>#REF!</v>
      </c>
      <c r="K2542" s="13"/>
      <c r="L2542"/>
      <c r="M2542"/>
      <c r="N2542"/>
      <c r="O2542"/>
      <c r="P2542"/>
      <c r="Q2542"/>
      <c r="R2542"/>
      <c r="S2542"/>
      <c r="T2542"/>
      <c r="U2542"/>
      <c r="V2542"/>
      <c r="W2542"/>
      <c r="X2542"/>
      <c r="Y2542"/>
      <c r="Z2542"/>
      <c r="AA2542"/>
      <c r="AB2542"/>
      <c r="AC2542"/>
      <c r="AD2542"/>
      <c r="AE2542"/>
      <c r="AF2542"/>
      <c r="AG2542"/>
      <c r="AH2542"/>
      <c r="AI2542"/>
      <c r="AJ2542"/>
      <c r="AK2542"/>
      <c r="AL2542"/>
    </row>
    <row r="2543" spans="1:38" ht="15.75" customHeight="1" outlineLevel="3" x14ac:dyDescent="0.2">
      <c r="A2543" s="10">
        <v>191</v>
      </c>
      <c r="B2543" s="10" t="s">
        <v>71</v>
      </c>
      <c r="C2543" s="10" t="s">
        <v>2991</v>
      </c>
      <c r="D2543" s="10" t="s">
        <v>481</v>
      </c>
      <c r="E2543" s="11" t="str">
        <f t="array" ref="E2543">_xlfn.XLOOKUP(D2543,Insumos!B:B,Insumos!C:$C)</f>
        <v>KG</v>
      </c>
      <c r="F2543" s="14">
        <v>4.95</v>
      </c>
      <c r="G2543" s="92">
        <f t="array" ref="G2543">IF(B2543="insumo",_xlfn.XLOOKUP($D2543,Insumos!$B$1:$B$996,Insumos!$D$1:$D$996),"")</f>
        <v>1.0645</v>
      </c>
      <c r="H2543" s="92">
        <v>5.2692750000000004</v>
      </c>
      <c r="I2543" s="13" t="e">
        <v>#REF!</v>
      </c>
      <c r="J2543" s="13" t="e">
        <v>#REF!</v>
      </c>
      <c r="K2543" s="13"/>
      <c r="L2543"/>
      <c r="M2543"/>
      <c r="N2543"/>
      <c r="O2543"/>
      <c r="P2543"/>
      <c r="Q2543"/>
      <c r="R2543"/>
      <c r="S2543"/>
      <c r="T2543"/>
      <c r="U2543"/>
      <c r="V2543"/>
      <c r="W2543"/>
      <c r="X2543"/>
      <c r="Y2543"/>
      <c r="Z2543"/>
      <c r="AA2543"/>
      <c r="AB2543"/>
      <c r="AC2543"/>
      <c r="AD2543"/>
      <c r="AE2543"/>
      <c r="AF2543"/>
      <c r="AG2543"/>
      <c r="AH2543"/>
      <c r="AI2543"/>
      <c r="AJ2543"/>
      <c r="AK2543"/>
      <c r="AL2543"/>
    </row>
    <row r="2544" spans="1:38" ht="15.75" customHeight="1" outlineLevel="3" x14ac:dyDescent="0.2">
      <c r="A2544" s="10">
        <v>142</v>
      </c>
      <c r="B2544" s="10" t="s">
        <v>71</v>
      </c>
      <c r="C2544" s="10" t="s">
        <v>2991</v>
      </c>
      <c r="D2544" s="10" t="s">
        <v>506</v>
      </c>
      <c r="E2544" s="11" t="str">
        <f t="array" ref="E2544">_xlfn.XLOOKUP(D2544,Insumos!B:B,Insumos!C:$C)</f>
        <v>UN</v>
      </c>
      <c r="F2544" s="14">
        <v>4</v>
      </c>
      <c r="G2544" s="92">
        <f t="array" ref="G2544">IF(B2544="insumo",_xlfn.XLOOKUP($D2544,Insumos!$B$1:$B$996,Insumos!$D$1:$D$996),"")</f>
        <v>0.08</v>
      </c>
      <c r="H2544" s="92">
        <v>0.32</v>
      </c>
      <c r="I2544" s="13" t="e">
        <v>#REF!</v>
      </c>
      <c r="J2544" s="13" t="e">
        <v>#REF!</v>
      </c>
      <c r="K2544" s="13"/>
      <c r="L2544"/>
      <c r="M2544"/>
      <c r="N2544"/>
      <c r="O2544"/>
      <c r="P2544"/>
      <c r="Q2544"/>
      <c r="R2544"/>
      <c r="S2544"/>
      <c r="T2544"/>
      <c r="U2544"/>
      <c r="V2544"/>
      <c r="W2544"/>
      <c r="X2544"/>
      <c r="Y2544"/>
      <c r="Z2544"/>
      <c r="AA2544"/>
      <c r="AB2544"/>
      <c r="AC2544"/>
      <c r="AD2544"/>
      <c r="AE2544"/>
      <c r="AF2544"/>
      <c r="AG2544"/>
      <c r="AH2544"/>
      <c r="AI2544"/>
      <c r="AJ2544"/>
      <c r="AK2544"/>
      <c r="AL2544"/>
    </row>
    <row r="2545" spans="1:38" ht="15.75" customHeight="1" outlineLevel="3" x14ac:dyDescent="0.2">
      <c r="A2545" s="10">
        <v>36</v>
      </c>
      <c r="B2545" s="10" t="s">
        <v>71</v>
      </c>
      <c r="C2545" s="82" t="s">
        <v>2991</v>
      </c>
      <c r="D2545" s="82" t="s">
        <v>2856</v>
      </c>
      <c r="E2545" s="11" t="str">
        <f t="array" ref="E2545">_xlfn.XLOOKUP(D2545,Insumos!B:B,Insumos!C:$C)</f>
        <v>KG</v>
      </c>
      <c r="F2545" s="14">
        <v>0.05</v>
      </c>
      <c r="G2545" s="92">
        <f t="array" ref="G2545">IF(B2545="insumo",_xlfn.XLOOKUP($D2545,Insumos!$B$1:$B$996,Insumos!$D$1:$D$996),"")</f>
        <v>38</v>
      </c>
      <c r="H2545" s="92">
        <v>1.9</v>
      </c>
      <c r="I2545" s="13" t="e">
        <v>#REF!</v>
      </c>
      <c r="J2545" s="13" t="e">
        <v>#REF!</v>
      </c>
      <c r="K2545" s="13"/>
      <c r="L2545"/>
      <c r="M2545"/>
      <c r="N2545"/>
      <c r="O2545"/>
      <c r="P2545"/>
      <c r="Q2545"/>
      <c r="R2545"/>
      <c r="S2545"/>
      <c r="T2545"/>
      <c r="U2545"/>
      <c r="V2545"/>
      <c r="W2545"/>
      <c r="X2545"/>
      <c r="Y2545"/>
      <c r="Z2545"/>
      <c r="AA2545"/>
      <c r="AB2545"/>
      <c r="AC2545"/>
      <c r="AD2545"/>
      <c r="AE2545"/>
      <c r="AF2545"/>
      <c r="AG2545"/>
      <c r="AH2545"/>
      <c r="AI2545"/>
      <c r="AJ2545"/>
      <c r="AK2545"/>
      <c r="AL2545"/>
    </row>
    <row r="2546" spans="1:38" ht="15.75" customHeight="1" outlineLevel="2" x14ac:dyDescent="0.2">
      <c r="A2546" s="1067">
        <v>1</v>
      </c>
      <c r="B2546" s="1067" t="s">
        <v>68</v>
      </c>
      <c r="C2546" s="1067" t="s">
        <v>2993</v>
      </c>
      <c r="D2546" s="1067" t="s">
        <v>2993</v>
      </c>
      <c r="E2546" s="1068" t="s">
        <v>70</v>
      </c>
      <c r="F2546" s="1067"/>
      <c r="G2546" s="1069" t="str">
        <f t="array" ref="G2546">IF(B2546="insumo",_xlfn.XLOOKUP($D2546,Insumos!$B$1:$B$996,Insumos!$D$1:$D$996),"")</f>
        <v/>
      </c>
      <c r="H2546" s="1069">
        <v>281.389275</v>
      </c>
      <c r="I2546" s="1070">
        <v>0</v>
      </c>
      <c r="J2546" s="1070">
        <v>0</v>
      </c>
      <c r="K2546" s="1070"/>
      <c r="L2546"/>
      <c r="M2546"/>
      <c r="N2546"/>
      <c r="O2546"/>
      <c r="P2546"/>
      <c r="Q2546"/>
      <c r="R2546"/>
      <c r="S2546"/>
      <c r="T2546"/>
      <c r="U2546"/>
      <c r="V2546"/>
      <c r="W2546"/>
      <c r="X2546"/>
      <c r="Y2546"/>
      <c r="Z2546"/>
      <c r="AA2546"/>
      <c r="AB2546"/>
      <c r="AC2546"/>
      <c r="AD2546"/>
      <c r="AE2546"/>
      <c r="AF2546"/>
      <c r="AG2546"/>
      <c r="AH2546"/>
      <c r="AI2546"/>
      <c r="AJ2546"/>
      <c r="AK2546"/>
      <c r="AL2546"/>
    </row>
    <row r="2547" spans="1:38" ht="15.75" customHeight="1" outlineLevel="3" x14ac:dyDescent="0.2">
      <c r="A2547" s="10">
        <v>1</v>
      </c>
      <c r="B2547" s="10" t="s">
        <v>71</v>
      </c>
      <c r="C2547" s="10" t="s">
        <v>2993</v>
      </c>
      <c r="D2547" s="10" t="s">
        <v>2994</v>
      </c>
      <c r="E2547" s="11" t="str">
        <f t="array" ref="E2547">_xlfn.XLOOKUP(D2547,Insumos!B:B,Insumos!C:$C)</f>
        <v>M2</v>
      </c>
      <c r="F2547" s="14">
        <f>1.1</f>
        <v>1.1000000000000001</v>
      </c>
      <c r="G2547" s="92">
        <f t="array" ref="G2547">IF(B2547="insumo",_xlfn.XLOOKUP($D2547,Insumos!$B$1:$B$996,Insumos!$D$1:$D$996),"")</f>
        <v>249</v>
      </c>
      <c r="H2547" s="92">
        <v>273.89999999999998</v>
      </c>
      <c r="I2547" s="13">
        <v>0</v>
      </c>
      <c r="J2547" s="13">
        <v>0</v>
      </c>
      <c r="K2547" s="13"/>
      <c r="L2547"/>
      <c r="M2547"/>
      <c r="N2547"/>
      <c r="O2547"/>
      <c r="P2547"/>
      <c r="Q2547"/>
      <c r="R2547"/>
      <c r="S2547"/>
      <c r="T2547"/>
      <c r="U2547"/>
      <c r="V2547"/>
      <c r="W2547"/>
      <c r="X2547"/>
      <c r="Y2547"/>
      <c r="Z2547"/>
      <c r="AA2547"/>
      <c r="AB2547"/>
      <c r="AC2547"/>
      <c r="AD2547"/>
      <c r="AE2547"/>
      <c r="AF2547"/>
      <c r="AG2547"/>
      <c r="AH2547"/>
      <c r="AI2547"/>
      <c r="AJ2547"/>
      <c r="AK2547"/>
      <c r="AL2547"/>
    </row>
    <row r="2548" spans="1:38" ht="15.75" customHeight="1" outlineLevel="3" x14ac:dyDescent="0.2">
      <c r="A2548" s="10">
        <v>191</v>
      </c>
      <c r="B2548" s="10" t="s">
        <v>71</v>
      </c>
      <c r="C2548" s="10" t="s">
        <v>2993</v>
      </c>
      <c r="D2548" s="10" t="s">
        <v>481</v>
      </c>
      <c r="E2548" s="11" t="str">
        <f t="array" ref="E2548">_xlfn.XLOOKUP(D2548,Insumos!B:B,Insumos!C:$C)</f>
        <v>KG</v>
      </c>
      <c r="F2548" s="14">
        <v>4.95</v>
      </c>
      <c r="G2548" s="92">
        <f t="array" ref="G2548">IF(B2548="insumo",_xlfn.XLOOKUP($D2548,Insumos!$B$1:$B$996,Insumos!$D$1:$D$996),"")</f>
        <v>1.0645</v>
      </c>
      <c r="H2548" s="92">
        <v>5.2692750000000004</v>
      </c>
      <c r="I2548" s="13">
        <v>0</v>
      </c>
      <c r="J2548" s="13">
        <v>0</v>
      </c>
      <c r="K2548" s="13"/>
      <c r="L2548"/>
      <c r="M2548"/>
      <c r="N2548"/>
      <c r="O2548"/>
      <c r="P2548"/>
      <c r="Q2548"/>
      <c r="R2548"/>
      <c r="S2548"/>
      <c r="T2548"/>
      <c r="U2548"/>
      <c r="V2548"/>
      <c r="W2548"/>
      <c r="X2548"/>
      <c r="Y2548"/>
      <c r="Z2548"/>
      <c r="AA2548"/>
      <c r="AB2548"/>
      <c r="AC2548"/>
      <c r="AD2548"/>
      <c r="AE2548"/>
      <c r="AF2548"/>
      <c r="AG2548"/>
      <c r="AH2548"/>
      <c r="AI2548"/>
      <c r="AJ2548"/>
      <c r="AK2548"/>
      <c r="AL2548"/>
    </row>
    <row r="2549" spans="1:38" ht="15.75" customHeight="1" outlineLevel="3" x14ac:dyDescent="0.2">
      <c r="A2549" s="10">
        <v>142</v>
      </c>
      <c r="B2549" s="10" t="s">
        <v>71</v>
      </c>
      <c r="C2549" s="10" t="s">
        <v>2993</v>
      </c>
      <c r="D2549" s="10" t="s">
        <v>506</v>
      </c>
      <c r="E2549" s="11" t="str">
        <f t="array" ref="E2549">_xlfn.XLOOKUP(D2549,Insumos!B:B,Insumos!C:$C)</f>
        <v>UN</v>
      </c>
      <c r="F2549" s="14">
        <v>4</v>
      </c>
      <c r="G2549" s="92">
        <f t="array" ref="G2549">IF(B2549="insumo",_xlfn.XLOOKUP($D2549,Insumos!$B$1:$B$996,Insumos!$D$1:$D$996),"")</f>
        <v>0.08</v>
      </c>
      <c r="H2549" s="92">
        <v>0.32</v>
      </c>
      <c r="I2549" s="13">
        <v>0</v>
      </c>
      <c r="J2549" s="13">
        <v>0</v>
      </c>
      <c r="K2549" s="13"/>
      <c r="L2549"/>
      <c r="M2549"/>
      <c r="N2549"/>
      <c r="O2549"/>
      <c r="P2549"/>
      <c r="Q2549"/>
      <c r="R2549"/>
      <c r="S2549"/>
      <c r="T2549"/>
      <c r="U2549"/>
      <c r="V2549"/>
      <c r="W2549"/>
      <c r="X2549"/>
      <c r="Y2549"/>
      <c r="Z2549"/>
      <c r="AA2549"/>
      <c r="AB2549"/>
      <c r="AC2549"/>
      <c r="AD2549"/>
      <c r="AE2549"/>
      <c r="AF2549"/>
      <c r="AG2549"/>
      <c r="AH2549"/>
      <c r="AI2549"/>
      <c r="AJ2549"/>
      <c r="AK2549"/>
      <c r="AL2549"/>
    </row>
    <row r="2550" spans="1:38" ht="15.75" customHeight="1" outlineLevel="3" x14ac:dyDescent="0.2">
      <c r="A2550" s="10">
        <v>36</v>
      </c>
      <c r="B2550" s="10" t="s">
        <v>71</v>
      </c>
      <c r="C2550" s="82" t="s">
        <v>2993</v>
      </c>
      <c r="D2550" s="82" t="s">
        <v>2856</v>
      </c>
      <c r="E2550" s="11" t="str">
        <f t="array" ref="E2550">_xlfn.XLOOKUP(D2550,Insumos!B:B,Insumos!C:$C)</f>
        <v>KG</v>
      </c>
      <c r="F2550" s="14">
        <v>0.05</v>
      </c>
      <c r="G2550" s="92">
        <f t="array" ref="G2550">IF(B2550="insumo",_xlfn.XLOOKUP($D2550,Insumos!$B$1:$B$996,Insumos!$D$1:$D$996),"")</f>
        <v>38</v>
      </c>
      <c r="H2550" s="92">
        <v>1.9</v>
      </c>
      <c r="I2550" s="13">
        <v>0</v>
      </c>
      <c r="J2550" s="13">
        <v>0</v>
      </c>
      <c r="K2550" s="13"/>
      <c r="L2550"/>
      <c r="M2550"/>
      <c r="N2550"/>
      <c r="O2550"/>
      <c r="P2550"/>
      <c r="Q2550"/>
      <c r="R2550"/>
      <c r="S2550"/>
      <c r="T2550"/>
      <c r="U2550"/>
      <c r="V2550"/>
      <c r="W2550"/>
      <c r="X2550"/>
      <c r="Y2550"/>
      <c r="Z2550"/>
      <c r="AA2550"/>
      <c r="AB2550"/>
      <c r="AC2550"/>
      <c r="AD2550"/>
      <c r="AE2550"/>
      <c r="AF2550"/>
      <c r="AG2550"/>
      <c r="AH2550"/>
      <c r="AI2550"/>
      <c r="AJ2550"/>
      <c r="AK2550"/>
      <c r="AL2550"/>
    </row>
    <row r="2551" spans="1:38" ht="15.75" customHeight="1" outlineLevel="2" x14ac:dyDescent="0.2">
      <c r="A2551" s="1067">
        <v>1</v>
      </c>
      <c r="B2551" s="1067" t="s">
        <v>68</v>
      </c>
      <c r="C2551" s="1067" t="s">
        <v>3004</v>
      </c>
      <c r="D2551" s="1067" t="s">
        <v>3004</v>
      </c>
      <c r="E2551" s="1068" t="s">
        <v>70</v>
      </c>
      <c r="F2551" s="1067"/>
      <c r="G2551" s="1069" t="str">
        <f t="array" ref="G2551">IF(B2551="insumo",_xlfn.XLOOKUP($D2551,Insumos!$B$1:$B$996,Insumos!$D$1:$D$996),"")</f>
        <v/>
      </c>
      <c r="H2551" s="1069">
        <v>865.48927500000002</v>
      </c>
      <c r="I2551" s="1070" t="e">
        <v>#REF!</v>
      </c>
      <c r="J2551" s="1070" t="e">
        <v>#REF!</v>
      </c>
      <c r="K2551" s="1070"/>
      <c r="L2551"/>
      <c r="M2551"/>
      <c r="N2551"/>
      <c r="O2551"/>
      <c r="P2551"/>
      <c r="Q2551"/>
      <c r="R2551"/>
      <c r="S2551"/>
      <c r="T2551"/>
      <c r="U2551"/>
      <c r="V2551"/>
      <c r="W2551"/>
      <c r="X2551"/>
      <c r="Y2551"/>
      <c r="Z2551"/>
      <c r="AA2551"/>
      <c r="AB2551"/>
      <c r="AC2551"/>
      <c r="AD2551"/>
      <c r="AE2551"/>
      <c r="AF2551"/>
      <c r="AG2551"/>
      <c r="AH2551"/>
      <c r="AI2551"/>
      <c r="AJ2551"/>
      <c r="AK2551"/>
      <c r="AL2551"/>
    </row>
    <row r="2552" spans="1:38" ht="15.75" customHeight="1" outlineLevel="3" x14ac:dyDescent="0.2">
      <c r="A2552" s="10">
        <v>1</v>
      </c>
      <c r="B2552" s="10" t="s">
        <v>71</v>
      </c>
      <c r="C2552" s="10" t="s">
        <v>3004</v>
      </c>
      <c r="D2552" s="10" t="s">
        <v>3001</v>
      </c>
      <c r="E2552" s="11" t="str">
        <f t="array" ref="E2552">_xlfn.XLOOKUP(D2552,Insumos!B:B,Insumos!C:$C)</f>
        <v>M2</v>
      </c>
      <c r="F2552" s="14">
        <f>1.1</f>
        <v>1.1000000000000001</v>
      </c>
      <c r="G2552" s="92">
        <f t="array" ref="G2552">IF(B2552="insumo",_xlfn.XLOOKUP($D2552,Insumos!$B$1:$B$996,Insumos!$D$1:$D$996),"")</f>
        <v>780</v>
      </c>
      <c r="H2552" s="92">
        <v>858</v>
      </c>
      <c r="I2552" s="13" t="e">
        <v>#REF!</v>
      </c>
      <c r="J2552" s="13" t="e">
        <v>#REF!</v>
      </c>
      <c r="K2552" s="13"/>
      <c r="L2552"/>
      <c r="M2552"/>
      <c r="N2552"/>
      <c r="O2552"/>
      <c r="P2552"/>
      <c r="Q2552"/>
      <c r="R2552"/>
      <c r="S2552"/>
      <c r="T2552"/>
      <c r="U2552"/>
      <c r="V2552"/>
      <c r="W2552"/>
      <c r="X2552"/>
      <c r="Y2552"/>
      <c r="Z2552"/>
      <c r="AA2552"/>
      <c r="AB2552"/>
      <c r="AC2552"/>
      <c r="AD2552"/>
      <c r="AE2552"/>
      <c r="AF2552"/>
      <c r="AG2552"/>
      <c r="AH2552"/>
      <c r="AI2552"/>
      <c r="AJ2552"/>
      <c r="AK2552"/>
      <c r="AL2552"/>
    </row>
    <row r="2553" spans="1:38" ht="15.75" customHeight="1" outlineLevel="3" x14ac:dyDescent="0.2">
      <c r="A2553" s="10">
        <v>191</v>
      </c>
      <c r="B2553" s="10" t="s">
        <v>71</v>
      </c>
      <c r="C2553" s="10" t="s">
        <v>3004</v>
      </c>
      <c r="D2553" s="10" t="s">
        <v>481</v>
      </c>
      <c r="E2553" s="11" t="str">
        <f t="array" ref="E2553">_xlfn.XLOOKUP(D2553,Insumos!B:B,Insumos!C:$C)</f>
        <v>KG</v>
      </c>
      <c r="F2553" s="14">
        <v>4.95</v>
      </c>
      <c r="G2553" s="92">
        <f t="array" ref="G2553">IF(B2553="insumo",_xlfn.XLOOKUP($D2553,Insumos!$B$1:$B$996,Insumos!$D$1:$D$996),"")</f>
        <v>1.0645</v>
      </c>
      <c r="H2553" s="92">
        <v>5.2692750000000004</v>
      </c>
      <c r="I2553" s="13" t="e">
        <v>#REF!</v>
      </c>
      <c r="J2553" s="13" t="e">
        <v>#REF!</v>
      </c>
      <c r="K2553" s="13"/>
      <c r="L2553"/>
      <c r="M2553"/>
      <c r="N2553"/>
      <c r="O2553"/>
      <c r="P2553"/>
      <c r="Q2553"/>
      <c r="R2553"/>
      <c r="S2553"/>
      <c r="T2553"/>
      <c r="U2553"/>
      <c r="V2553"/>
      <c r="W2553"/>
      <c r="X2553"/>
      <c r="Y2553"/>
      <c r="Z2553"/>
      <c r="AA2553"/>
      <c r="AB2553"/>
      <c r="AC2553"/>
      <c r="AD2553"/>
      <c r="AE2553"/>
      <c r="AF2553"/>
      <c r="AG2553"/>
      <c r="AH2553"/>
      <c r="AI2553"/>
      <c r="AJ2553"/>
      <c r="AK2553"/>
      <c r="AL2553"/>
    </row>
    <row r="2554" spans="1:38" ht="15.75" customHeight="1" outlineLevel="3" x14ac:dyDescent="0.2">
      <c r="A2554" s="10">
        <v>142</v>
      </c>
      <c r="B2554" s="10" t="s">
        <v>71</v>
      </c>
      <c r="C2554" s="10" t="s">
        <v>3004</v>
      </c>
      <c r="D2554" s="10" t="s">
        <v>506</v>
      </c>
      <c r="E2554" s="11" t="str">
        <f t="array" ref="E2554">_xlfn.XLOOKUP(D2554,Insumos!B:B,Insumos!C:$C)</f>
        <v>UN</v>
      </c>
      <c r="F2554" s="14">
        <v>4</v>
      </c>
      <c r="G2554" s="92">
        <f t="array" ref="G2554">IF(B2554="insumo",_xlfn.XLOOKUP($D2554,Insumos!$B$1:$B$996,Insumos!$D$1:$D$996),"")</f>
        <v>0.08</v>
      </c>
      <c r="H2554" s="92">
        <v>0.32</v>
      </c>
      <c r="I2554" s="13" t="e">
        <v>#REF!</v>
      </c>
      <c r="J2554" s="13" t="e">
        <v>#REF!</v>
      </c>
      <c r="K2554" s="13"/>
      <c r="L2554"/>
      <c r="M2554"/>
      <c r="N2554"/>
      <c r="O2554"/>
      <c r="P2554"/>
      <c r="Q2554"/>
      <c r="R2554"/>
      <c r="S2554"/>
      <c r="T2554"/>
      <c r="U2554"/>
      <c r="V2554"/>
      <c r="W2554"/>
      <c r="X2554"/>
      <c r="Y2554"/>
      <c r="Z2554"/>
      <c r="AA2554"/>
      <c r="AB2554"/>
      <c r="AC2554"/>
      <c r="AD2554"/>
      <c r="AE2554"/>
      <c r="AF2554"/>
      <c r="AG2554"/>
      <c r="AH2554"/>
      <c r="AI2554"/>
      <c r="AJ2554"/>
      <c r="AK2554"/>
      <c r="AL2554"/>
    </row>
    <row r="2555" spans="1:38" ht="15.75" customHeight="1" outlineLevel="3" x14ac:dyDescent="0.2">
      <c r="A2555" s="10">
        <v>36</v>
      </c>
      <c r="B2555" s="10" t="s">
        <v>71</v>
      </c>
      <c r="C2555" s="82" t="s">
        <v>3004</v>
      </c>
      <c r="D2555" s="82" t="s">
        <v>2856</v>
      </c>
      <c r="E2555" s="11" t="str">
        <f t="array" ref="E2555">_xlfn.XLOOKUP(D2555,Insumos!B:B,Insumos!C:$C)</f>
        <v>KG</v>
      </c>
      <c r="F2555" s="14">
        <v>0.05</v>
      </c>
      <c r="G2555" s="92">
        <f t="array" ref="G2555">IF(B2555="insumo",_xlfn.XLOOKUP($D2555,Insumos!$B$1:$B$996,Insumos!$D$1:$D$996),"")</f>
        <v>38</v>
      </c>
      <c r="H2555" s="92">
        <v>1.9</v>
      </c>
      <c r="I2555" s="13" t="e">
        <v>#REF!</v>
      </c>
      <c r="J2555" s="13" t="e">
        <v>#REF!</v>
      </c>
      <c r="K2555" s="13"/>
      <c r="L2555"/>
      <c r="M2555"/>
      <c r="N2555"/>
      <c r="O2555"/>
      <c r="P2555"/>
      <c r="Q2555"/>
      <c r="R2555"/>
      <c r="S2555"/>
      <c r="T2555"/>
      <c r="U2555"/>
      <c r="V2555"/>
      <c r="W2555"/>
      <c r="X2555"/>
      <c r="Y2555"/>
      <c r="Z2555"/>
      <c r="AA2555"/>
      <c r="AB2555"/>
      <c r="AC2555"/>
      <c r="AD2555"/>
      <c r="AE2555"/>
      <c r="AF2555"/>
      <c r="AG2555"/>
      <c r="AH2555"/>
      <c r="AI2555"/>
      <c r="AJ2555"/>
      <c r="AK2555"/>
      <c r="AL2555"/>
    </row>
    <row r="2556" spans="1:38" ht="15.75" customHeight="1" outlineLevel="2" x14ac:dyDescent="0.2">
      <c r="A2556" s="1067">
        <v>1</v>
      </c>
      <c r="B2556" s="1067" t="s">
        <v>68</v>
      </c>
      <c r="C2556" s="1067" t="s">
        <v>3003</v>
      </c>
      <c r="D2556" s="1067" t="s">
        <v>3003</v>
      </c>
      <c r="E2556" s="1068" t="s">
        <v>70</v>
      </c>
      <c r="F2556" s="1067"/>
      <c r="G2556" s="1069" t="str">
        <f t="array" ref="G2556">IF(B2556="insumo",_xlfn.XLOOKUP($D2556,Insumos!$B$1:$B$996,Insumos!$D$1:$D$996),"")</f>
        <v/>
      </c>
      <c r="H2556" s="1069">
        <v>546.48927500000002</v>
      </c>
      <c r="I2556" s="1070">
        <v>0</v>
      </c>
      <c r="J2556" s="1070">
        <v>0</v>
      </c>
      <c r="K2556" s="1070"/>
      <c r="L2556"/>
      <c r="M2556"/>
      <c r="N2556"/>
      <c r="O2556"/>
      <c r="P2556"/>
      <c r="Q2556"/>
      <c r="R2556"/>
      <c r="S2556"/>
      <c r="T2556"/>
      <c r="U2556"/>
      <c r="V2556"/>
      <c r="W2556"/>
      <c r="X2556"/>
      <c r="Y2556"/>
      <c r="Z2556"/>
      <c r="AA2556"/>
      <c r="AB2556"/>
      <c r="AC2556"/>
      <c r="AD2556"/>
      <c r="AE2556"/>
      <c r="AF2556"/>
      <c r="AG2556"/>
      <c r="AH2556"/>
      <c r="AI2556"/>
      <c r="AJ2556"/>
      <c r="AK2556"/>
      <c r="AL2556"/>
    </row>
    <row r="2557" spans="1:38" ht="15.75" customHeight="1" outlineLevel="3" x14ac:dyDescent="0.2">
      <c r="A2557" s="10">
        <v>1</v>
      </c>
      <c r="B2557" s="10" t="s">
        <v>71</v>
      </c>
      <c r="C2557" s="10" t="s">
        <v>3003</v>
      </c>
      <c r="D2557" s="10" t="s">
        <v>3002</v>
      </c>
      <c r="E2557" s="11" t="str">
        <f t="array" ref="E2557">_xlfn.XLOOKUP(D2557,Insumos!B:B,Insumos!C:$C)</f>
        <v>M2</v>
      </c>
      <c r="F2557" s="14">
        <f>1.1</f>
        <v>1.1000000000000001</v>
      </c>
      <c r="G2557" s="92">
        <f t="array" ref="G2557">IF(B2557="insumo",_xlfn.XLOOKUP($D2557,Insumos!$B$1:$B$996,Insumos!$D$1:$D$996),"")</f>
        <v>490</v>
      </c>
      <c r="H2557" s="92">
        <v>539</v>
      </c>
      <c r="I2557" s="13">
        <v>0</v>
      </c>
      <c r="J2557" s="13">
        <v>0</v>
      </c>
      <c r="K2557" s="13"/>
      <c r="L2557"/>
      <c r="M2557"/>
      <c r="N2557"/>
      <c r="O2557"/>
      <c r="P2557"/>
      <c r="Q2557"/>
      <c r="R2557"/>
      <c r="S2557"/>
      <c r="T2557"/>
      <c r="U2557"/>
      <c r="V2557"/>
      <c r="W2557"/>
      <c r="X2557"/>
      <c r="Y2557"/>
      <c r="Z2557"/>
      <c r="AA2557"/>
      <c r="AB2557"/>
      <c r="AC2557"/>
      <c r="AD2557"/>
      <c r="AE2557"/>
      <c r="AF2557"/>
      <c r="AG2557"/>
      <c r="AH2557"/>
      <c r="AI2557"/>
      <c r="AJ2557"/>
      <c r="AK2557"/>
      <c r="AL2557"/>
    </row>
    <row r="2558" spans="1:38" ht="15.75" customHeight="1" outlineLevel="3" x14ac:dyDescent="0.2">
      <c r="A2558" s="10">
        <v>191</v>
      </c>
      <c r="B2558" s="10" t="s">
        <v>71</v>
      </c>
      <c r="C2558" s="10" t="s">
        <v>3003</v>
      </c>
      <c r="D2558" s="10" t="s">
        <v>481</v>
      </c>
      <c r="E2558" s="11" t="str">
        <f t="array" ref="E2558">_xlfn.XLOOKUP(D2558,Insumos!B:B,Insumos!C:$C)</f>
        <v>KG</v>
      </c>
      <c r="F2558" s="14">
        <v>4.95</v>
      </c>
      <c r="G2558" s="92">
        <f t="array" ref="G2558">IF(B2558="insumo",_xlfn.XLOOKUP($D2558,Insumos!$B$1:$B$996,Insumos!$D$1:$D$996),"")</f>
        <v>1.0645</v>
      </c>
      <c r="H2558" s="92">
        <v>5.2692750000000004</v>
      </c>
      <c r="I2558" s="13">
        <v>0</v>
      </c>
      <c r="J2558" s="13">
        <v>0</v>
      </c>
      <c r="K2558" s="13"/>
      <c r="L2558"/>
      <c r="M2558"/>
      <c r="N2558"/>
      <c r="O2558"/>
      <c r="P2558"/>
      <c r="Q2558"/>
      <c r="R2558"/>
      <c r="S2558"/>
      <c r="T2558"/>
      <c r="U2558"/>
      <c r="V2558"/>
      <c r="W2558"/>
      <c r="X2558"/>
      <c r="Y2558"/>
      <c r="Z2558"/>
      <c r="AA2558"/>
      <c r="AB2558"/>
      <c r="AC2558"/>
      <c r="AD2558"/>
      <c r="AE2558"/>
      <c r="AF2558"/>
      <c r="AG2558"/>
      <c r="AH2558"/>
      <c r="AI2558"/>
      <c r="AJ2558"/>
      <c r="AK2558"/>
      <c r="AL2558"/>
    </row>
    <row r="2559" spans="1:38" ht="15.75" customHeight="1" outlineLevel="3" x14ac:dyDescent="0.2">
      <c r="A2559" s="10">
        <v>142</v>
      </c>
      <c r="B2559" s="10" t="s">
        <v>71</v>
      </c>
      <c r="C2559" s="10" t="s">
        <v>3003</v>
      </c>
      <c r="D2559" s="10" t="s">
        <v>506</v>
      </c>
      <c r="E2559" s="11" t="str">
        <f t="array" ref="E2559">_xlfn.XLOOKUP(D2559,Insumos!B:B,Insumos!C:$C)</f>
        <v>UN</v>
      </c>
      <c r="F2559" s="14">
        <v>4</v>
      </c>
      <c r="G2559" s="92">
        <f t="array" ref="G2559">IF(B2559="insumo",_xlfn.XLOOKUP($D2559,Insumos!$B$1:$B$996,Insumos!$D$1:$D$996),"")</f>
        <v>0.08</v>
      </c>
      <c r="H2559" s="92">
        <v>0.32</v>
      </c>
      <c r="I2559" s="13">
        <v>0</v>
      </c>
      <c r="J2559" s="13">
        <v>0</v>
      </c>
      <c r="K2559" s="13"/>
      <c r="L2559"/>
      <c r="M2559"/>
      <c r="N2559"/>
      <c r="O2559"/>
      <c r="P2559"/>
      <c r="Q2559"/>
      <c r="R2559"/>
      <c r="S2559"/>
      <c r="T2559"/>
      <c r="U2559"/>
      <c r="V2559"/>
      <c r="W2559"/>
      <c r="X2559"/>
      <c r="Y2559"/>
      <c r="Z2559"/>
      <c r="AA2559"/>
      <c r="AB2559"/>
      <c r="AC2559"/>
      <c r="AD2559"/>
      <c r="AE2559"/>
      <c r="AF2559"/>
      <c r="AG2559"/>
      <c r="AH2559"/>
      <c r="AI2559"/>
      <c r="AJ2559"/>
      <c r="AK2559"/>
      <c r="AL2559"/>
    </row>
    <row r="2560" spans="1:38" ht="15.75" customHeight="1" outlineLevel="3" x14ac:dyDescent="0.2">
      <c r="A2560" s="10">
        <v>36</v>
      </c>
      <c r="B2560" s="10" t="s">
        <v>71</v>
      </c>
      <c r="C2560" s="82" t="s">
        <v>3003</v>
      </c>
      <c r="D2560" s="82" t="s">
        <v>2856</v>
      </c>
      <c r="E2560" s="11" t="str">
        <f t="array" ref="E2560">_xlfn.XLOOKUP(D2560,Insumos!B:B,Insumos!C:$C)</f>
        <v>KG</v>
      </c>
      <c r="F2560" s="14">
        <v>0.05</v>
      </c>
      <c r="G2560" s="92">
        <f t="array" ref="G2560">IF(B2560="insumo",_xlfn.XLOOKUP($D2560,Insumos!$B$1:$B$996,Insumos!$D$1:$D$996),"")</f>
        <v>38</v>
      </c>
      <c r="H2560" s="92">
        <v>1.9</v>
      </c>
      <c r="I2560" s="13">
        <v>0</v>
      </c>
      <c r="J2560" s="13">
        <v>0</v>
      </c>
      <c r="K2560" s="13"/>
      <c r="L2560"/>
      <c r="M2560"/>
      <c r="N2560"/>
      <c r="O2560"/>
      <c r="P2560"/>
      <c r="Q2560"/>
      <c r="R2560"/>
      <c r="S2560"/>
      <c r="T2560"/>
      <c r="U2560"/>
      <c r="V2560"/>
      <c r="W2560"/>
      <c r="X2560"/>
      <c r="Y2560"/>
      <c r="Z2560"/>
      <c r="AA2560"/>
      <c r="AB2560"/>
      <c r="AC2560"/>
      <c r="AD2560"/>
      <c r="AE2560"/>
      <c r="AF2560"/>
      <c r="AG2560"/>
      <c r="AH2560"/>
      <c r="AI2560"/>
      <c r="AJ2560"/>
      <c r="AK2560"/>
      <c r="AL2560"/>
    </row>
    <row r="2561" spans="1:38" ht="15.75" customHeight="1" outlineLevel="2" x14ac:dyDescent="0.2">
      <c r="A2561" s="1067">
        <v>1</v>
      </c>
      <c r="B2561" s="1067" t="s">
        <v>68</v>
      </c>
      <c r="C2561" s="1067" t="s">
        <v>2989</v>
      </c>
      <c r="D2561" s="1067" t="s">
        <v>2989</v>
      </c>
      <c r="E2561" s="1068" t="s">
        <v>70</v>
      </c>
      <c r="F2561" s="1067"/>
      <c r="G2561" s="1069" t="str">
        <f t="array" ref="G2561">IF(B2561="insumo",_xlfn.XLOOKUP($D2561,Insumos!$B$1:$B$996,Insumos!$D$1:$D$996),"")</f>
        <v/>
      </c>
      <c r="H2561" s="1069">
        <v>623.48927500000002</v>
      </c>
      <c r="I2561" s="1070" t="e">
        <v>#REF!</v>
      </c>
      <c r="J2561" s="1070" t="e">
        <v>#REF!</v>
      </c>
      <c r="K2561" s="1070"/>
      <c r="L2561"/>
      <c r="M2561"/>
      <c r="N2561"/>
      <c r="O2561"/>
      <c r="P2561"/>
      <c r="Q2561"/>
      <c r="R2561"/>
      <c r="S2561"/>
      <c r="T2561"/>
      <c r="U2561"/>
      <c r="V2561"/>
      <c r="W2561"/>
      <c r="X2561"/>
      <c r="Y2561"/>
      <c r="Z2561"/>
      <c r="AA2561"/>
      <c r="AB2561"/>
      <c r="AC2561"/>
      <c r="AD2561"/>
      <c r="AE2561"/>
      <c r="AF2561"/>
      <c r="AG2561"/>
      <c r="AH2561"/>
      <c r="AI2561"/>
      <c r="AJ2561"/>
      <c r="AK2561"/>
      <c r="AL2561"/>
    </row>
    <row r="2562" spans="1:38" ht="15.75" customHeight="1" outlineLevel="3" x14ac:dyDescent="0.2">
      <c r="A2562" s="10">
        <v>1</v>
      </c>
      <c r="B2562" s="10" t="s">
        <v>71</v>
      </c>
      <c r="C2562" s="10" t="s">
        <v>2989</v>
      </c>
      <c r="D2562" s="10" t="s">
        <v>2987</v>
      </c>
      <c r="E2562" s="11" t="str">
        <f t="array" ref="E2562">_xlfn.XLOOKUP(D2562,Insumos!B:B,Insumos!C:$C)</f>
        <v>M2</v>
      </c>
      <c r="F2562" s="14">
        <f>1.1</f>
        <v>1.1000000000000001</v>
      </c>
      <c r="G2562" s="92">
        <f t="array" ref="G2562">IF(B2562="insumo",_xlfn.XLOOKUP($D2562,Insumos!$B$1:$B$996,Insumos!$D$1:$D$996),"")</f>
        <v>560</v>
      </c>
      <c r="H2562" s="92">
        <v>616</v>
      </c>
      <c r="I2562" s="13" t="e">
        <v>#REF!</v>
      </c>
      <c r="J2562" s="13" t="e">
        <v>#REF!</v>
      </c>
      <c r="K2562" s="13"/>
      <c r="L2562"/>
      <c r="M2562"/>
      <c r="N2562"/>
      <c r="O2562"/>
      <c r="P2562"/>
      <c r="Q2562"/>
      <c r="R2562"/>
      <c r="S2562"/>
      <c r="T2562"/>
      <c r="U2562"/>
      <c r="V2562"/>
      <c r="W2562"/>
      <c r="X2562"/>
      <c r="Y2562"/>
      <c r="Z2562"/>
      <c r="AA2562"/>
      <c r="AB2562"/>
      <c r="AC2562"/>
      <c r="AD2562"/>
      <c r="AE2562"/>
      <c r="AF2562"/>
      <c r="AG2562"/>
      <c r="AH2562"/>
      <c r="AI2562"/>
      <c r="AJ2562"/>
      <c r="AK2562"/>
      <c r="AL2562"/>
    </row>
    <row r="2563" spans="1:38" ht="15.75" customHeight="1" outlineLevel="3" x14ac:dyDescent="0.2">
      <c r="A2563" s="10">
        <v>191</v>
      </c>
      <c r="B2563" s="10" t="s">
        <v>71</v>
      </c>
      <c r="C2563" s="10" t="s">
        <v>2989</v>
      </c>
      <c r="D2563" s="10" t="s">
        <v>481</v>
      </c>
      <c r="E2563" s="11" t="str">
        <f t="array" ref="E2563">_xlfn.XLOOKUP(D2563,Insumos!B:B,Insumos!C:$C)</f>
        <v>KG</v>
      </c>
      <c r="F2563" s="14">
        <v>4.95</v>
      </c>
      <c r="G2563" s="92">
        <f t="array" ref="G2563">IF(B2563="insumo",_xlfn.XLOOKUP($D2563,Insumos!$B$1:$B$996,Insumos!$D$1:$D$996),"")</f>
        <v>1.0645</v>
      </c>
      <c r="H2563" s="92">
        <v>5.2692750000000004</v>
      </c>
      <c r="I2563" s="13" t="e">
        <v>#REF!</v>
      </c>
      <c r="J2563" s="13" t="e">
        <v>#REF!</v>
      </c>
      <c r="K2563" s="13"/>
      <c r="L2563"/>
      <c r="M2563"/>
      <c r="N2563"/>
      <c r="O2563"/>
      <c r="P2563"/>
      <c r="Q2563"/>
      <c r="R2563"/>
      <c r="S2563"/>
      <c r="T2563"/>
      <c r="U2563"/>
      <c r="V2563"/>
      <c r="W2563"/>
      <c r="X2563"/>
      <c r="Y2563"/>
      <c r="Z2563"/>
      <c r="AA2563"/>
      <c r="AB2563"/>
      <c r="AC2563"/>
      <c r="AD2563"/>
      <c r="AE2563"/>
      <c r="AF2563"/>
      <c r="AG2563"/>
      <c r="AH2563"/>
      <c r="AI2563"/>
      <c r="AJ2563"/>
      <c r="AK2563"/>
      <c r="AL2563"/>
    </row>
    <row r="2564" spans="1:38" ht="15.75" customHeight="1" outlineLevel="3" x14ac:dyDescent="0.2">
      <c r="A2564" s="10">
        <v>142</v>
      </c>
      <c r="B2564" s="10" t="s">
        <v>71</v>
      </c>
      <c r="C2564" s="10" t="s">
        <v>2989</v>
      </c>
      <c r="D2564" s="10" t="s">
        <v>506</v>
      </c>
      <c r="E2564" s="11" t="str">
        <f t="array" ref="E2564">_xlfn.XLOOKUP(D2564,Insumos!B:B,Insumos!C:$C)</f>
        <v>UN</v>
      </c>
      <c r="F2564" s="14">
        <v>4</v>
      </c>
      <c r="G2564" s="92">
        <f t="array" ref="G2564">IF(B2564="insumo",_xlfn.XLOOKUP($D2564,Insumos!$B$1:$B$996,Insumos!$D$1:$D$996),"")</f>
        <v>0.08</v>
      </c>
      <c r="H2564" s="92">
        <v>0.32</v>
      </c>
      <c r="I2564" s="13" t="e">
        <v>#REF!</v>
      </c>
      <c r="J2564" s="13" t="e">
        <v>#REF!</v>
      </c>
      <c r="K2564" s="13"/>
      <c r="L2564"/>
      <c r="M2564"/>
      <c r="N2564"/>
      <c r="O2564"/>
      <c r="P2564"/>
      <c r="Q2564"/>
      <c r="R2564"/>
      <c r="S2564"/>
      <c r="T2564"/>
      <c r="U2564"/>
      <c r="V2564"/>
      <c r="W2564"/>
      <c r="X2564"/>
      <c r="Y2564"/>
      <c r="Z2564"/>
      <c r="AA2564"/>
      <c r="AB2564"/>
      <c r="AC2564"/>
      <c r="AD2564"/>
      <c r="AE2564"/>
      <c r="AF2564"/>
      <c r="AG2564"/>
      <c r="AH2564"/>
      <c r="AI2564"/>
      <c r="AJ2564"/>
      <c r="AK2564"/>
      <c r="AL2564"/>
    </row>
    <row r="2565" spans="1:38" ht="15.75" customHeight="1" outlineLevel="3" x14ac:dyDescent="0.2">
      <c r="A2565" s="10">
        <v>36</v>
      </c>
      <c r="B2565" s="10" t="s">
        <v>71</v>
      </c>
      <c r="C2565" s="82" t="s">
        <v>2989</v>
      </c>
      <c r="D2565" s="82" t="s">
        <v>2856</v>
      </c>
      <c r="E2565" s="11" t="str">
        <f t="array" ref="E2565">_xlfn.XLOOKUP(D2565,Insumos!B:B,Insumos!C:$C)</f>
        <v>KG</v>
      </c>
      <c r="F2565" s="14">
        <v>0.05</v>
      </c>
      <c r="G2565" s="92">
        <f t="array" ref="G2565">IF(B2565="insumo",_xlfn.XLOOKUP($D2565,Insumos!$B$1:$B$996,Insumos!$D$1:$D$996),"")</f>
        <v>38</v>
      </c>
      <c r="H2565" s="92">
        <v>1.9</v>
      </c>
      <c r="I2565" s="13" t="e">
        <v>#REF!</v>
      </c>
      <c r="J2565" s="13" t="e">
        <v>#REF!</v>
      </c>
      <c r="K2565" s="13"/>
      <c r="L2565"/>
      <c r="M2565"/>
      <c r="N2565"/>
      <c r="O2565"/>
      <c r="P2565"/>
      <c r="Q2565"/>
      <c r="R2565"/>
      <c r="S2565"/>
      <c r="T2565"/>
      <c r="U2565"/>
      <c r="V2565"/>
      <c r="W2565"/>
      <c r="X2565"/>
      <c r="Y2565"/>
      <c r="Z2565"/>
      <c r="AA2565"/>
      <c r="AB2565"/>
      <c r="AC2565"/>
      <c r="AD2565"/>
      <c r="AE2565"/>
      <c r="AF2565"/>
      <c r="AG2565"/>
      <c r="AH2565"/>
      <c r="AI2565"/>
      <c r="AJ2565"/>
      <c r="AK2565"/>
      <c r="AL2565"/>
    </row>
    <row r="2566" spans="1:38" ht="15.75" customHeight="1" outlineLevel="2" x14ac:dyDescent="0.2">
      <c r="A2566" s="1067">
        <v>1</v>
      </c>
      <c r="B2566" s="1067" t="s">
        <v>68</v>
      </c>
      <c r="C2566" s="1067" t="s">
        <v>2990</v>
      </c>
      <c r="D2566" s="1067" t="s">
        <v>2990</v>
      </c>
      <c r="E2566" s="1068" t="s">
        <v>70</v>
      </c>
      <c r="F2566" s="1067"/>
      <c r="G2566" s="1069" t="str">
        <f t="array" ref="G2566">IF(B2566="insumo",_xlfn.XLOOKUP($D2566,Insumos!$B$1:$B$996,Insumos!$D$1:$D$996),"")</f>
        <v/>
      </c>
      <c r="H2566" s="1069">
        <v>281.389275</v>
      </c>
      <c r="I2566" s="1070">
        <v>0</v>
      </c>
      <c r="J2566" s="1070">
        <v>0</v>
      </c>
      <c r="K2566" s="1070"/>
      <c r="L2566"/>
      <c r="M2566"/>
      <c r="N2566"/>
      <c r="O2566"/>
      <c r="P2566"/>
      <c r="Q2566"/>
      <c r="R2566"/>
      <c r="S2566"/>
      <c r="T2566"/>
      <c r="U2566"/>
      <c r="V2566"/>
      <c r="W2566"/>
      <c r="X2566"/>
      <c r="Y2566"/>
      <c r="Z2566"/>
      <c r="AA2566"/>
      <c r="AB2566"/>
      <c r="AC2566"/>
      <c r="AD2566"/>
      <c r="AE2566"/>
      <c r="AF2566"/>
      <c r="AG2566"/>
      <c r="AH2566"/>
      <c r="AI2566"/>
      <c r="AJ2566"/>
      <c r="AK2566"/>
      <c r="AL2566"/>
    </row>
    <row r="2567" spans="1:38" ht="15.75" customHeight="1" outlineLevel="3" x14ac:dyDescent="0.2">
      <c r="A2567" s="10">
        <v>1</v>
      </c>
      <c r="B2567" s="10" t="s">
        <v>71</v>
      </c>
      <c r="C2567" s="10" t="s">
        <v>2990</v>
      </c>
      <c r="D2567" s="10" t="s">
        <v>2988</v>
      </c>
      <c r="E2567" s="11" t="str">
        <f t="array" ref="E2567">_xlfn.XLOOKUP(D2567,Insumos!B:B,Insumos!C:$C)</f>
        <v>M2</v>
      </c>
      <c r="F2567" s="14">
        <f>1.1</f>
        <v>1.1000000000000001</v>
      </c>
      <c r="G2567" s="92">
        <f t="array" ref="G2567">IF(B2567="insumo",_xlfn.XLOOKUP($D2567,Insumos!$B$1:$B$996,Insumos!$D$1:$D$996),"")</f>
        <v>249</v>
      </c>
      <c r="H2567" s="92">
        <v>273.89999999999998</v>
      </c>
      <c r="I2567" s="13">
        <v>0</v>
      </c>
      <c r="J2567" s="13">
        <v>0</v>
      </c>
      <c r="K2567" s="13"/>
      <c r="L2567"/>
      <c r="M2567"/>
      <c r="N2567"/>
      <c r="O2567"/>
      <c r="P2567"/>
      <c r="Q2567"/>
      <c r="R2567"/>
      <c r="S2567"/>
      <c r="T2567"/>
      <c r="U2567"/>
      <c r="V2567"/>
      <c r="W2567"/>
      <c r="X2567"/>
      <c r="Y2567"/>
      <c r="Z2567"/>
      <c r="AA2567"/>
      <c r="AB2567"/>
      <c r="AC2567"/>
      <c r="AD2567"/>
      <c r="AE2567"/>
      <c r="AF2567"/>
      <c r="AG2567"/>
      <c r="AH2567"/>
      <c r="AI2567"/>
      <c r="AJ2567"/>
      <c r="AK2567"/>
      <c r="AL2567"/>
    </row>
    <row r="2568" spans="1:38" ht="15.75" customHeight="1" outlineLevel="3" x14ac:dyDescent="0.2">
      <c r="A2568" s="10">
        <v>191</v>
      </c>
      <c r="B2568" s="10" t="s">
        <v>71</v>
      </c>
      <c r="C2568" s="10" t="s">
        <v>2990</v>
      </c>
      <c r="D2568" s="10" t="s">
        <v>481</v>
      </c>
      <c r="E2568" s="11" t="str">
        <f t="array" ref="E2568">_xlfn.XLOOKUP(D2568,Insumos!B:B,Insumos!C:$C)</f>
        <v>KG</v>
      </c>
      <c r="F2568" s="14">
        <v>4.95</v>
      </c>
      <c r="G2568" s="92">
        <f t="array" ref="G2568">IF(B2568="insumo",_xlfn.XLOOKUP($D2568,Insumos!$B$1:$B$996,Insumos!$D$1:$D$996),"")</f>
        <v>1.0645</v>
      </c>
      <c r="H2568" s="92">
        <v>5.2692750000000004</v>
      </c>
      <c r="I2568" s="13">
        <v>0</v>
      </c>
      <c r="J2568" s="13">
        <v>0</v>
      </c>
      <c r="K2568" s="13"/>
      <c r="L2568"/>
      <c r="M2568"/>
      <c r="N2568"/>
      <c r="O2568"/>
      <c r="P2568"/>
      <c r="Q2568"/>
      <c r="R2568"/>
      <c r="S2568"/>
      <c r="T2568"/>
      <c r="U2568"/>
      <c r="V2568"/>
      <c r="W2568"/>
      <c r="X2568"/>
      <c r="Y2568"/>
      <c r="Z2568"/>
      <c r="AA2568"/>
      <c r="AB2568"/>
      <c r="AC2568"/>
      <c r="AD2568"/>
      <c r="AE2568"/>
      <c r="AF2568"/>
      <c r="AG2568"/>
      <c r="AH2568"/>
      <c r="AI2568"/>
      <c r="AJ2568"/>
      <c r="AK2568"/>
      <c r="AL2568"/>
    </row>
    <row r="2569" spans="1:38" ht="15.75" customHeight="1" outlineLevel="3" x14ac:dyDescent="0.2">
      <c r="A2569" s="10">
        <v>142</v>
      </c>
      <c r="B2569" s="10" t="s">
        <v>71</v>
      </c>
      <c r="C2569" s="10" t="s">
        <v>2990</v>
      </c>
      <c r="D2569" s="10" t="s">
        <v>506</v>
      </c>
      <c r="E2569" s="11" t="str">
        <f t="array" ref="E2569">_xlfn.XLOOKUP(D2569,Insumos!B:B,Insumos!C:$C)</f>
        <v>UN</v>
      </c>
      <c r="F2569" s="14">
        <v>4</v>
      </c>
      <c r="G2569" s="92">
        <f t="array" ref="G2569">IF(B2569="insumo",_xlfn.XLOOKUP($D2569,Insumos!$B$1:$B$996,Insumos!$D$1:$D$996),"")</f>
        <v>0.08</v>
      </c>
      <c r="H2569" s="92">
        <v>0.32</v>
      </c>
      <c r="I2569" s="13">
        <v>0</v>
      </c>
      <c r="J2569" s="13">
        <v>0</v>
      </c>
      <c r="K2569" s="13"/>
      <c r="L2569"/>
      <c r="M2569"/>
      <c r="N2569"/>
      <c r="O2569"/>
      <c r="P2569"/>
      <c r="Q2569"/>
      <c r="R2569"/>
      <c r="S2569"/>
      <c r="T2569"/>
      <c r="U2569"/>
      <c r="V2569"/>
      <c r="W2569"/>
      <c r="X2569"/>
      <c r="Y2569"/>
      <c r="Z2569"/>
      <c r="AA2569"/>
      <c r="AB2569"/>
      <c r="AC2569"/>
      <c r="AD2569"/>
      <c r="AE2569"/>
      <c r="AF2569"/>
      <c r="AG2569"/>
      <c r="AH2569"/>
      <c r="AI2569"/>
      <c r="AJ2569"/>
      <c r="AK2569"/>
      <c r="AL2569"/>
    </row>
    <row r="2570" spans="1:38" ht="15.75" customHeight="1" outlineLevel="3" x14ac:dyDescent="0.2">
      <c r="A2570" s="10">
        <v>36</v>
      </c>
      <c r="B2570" s="10" t="s">
        <v>71</v>
      </c>
      <c r="C2570" s="82" t="s">
        <v>2990</v>
      </c>
      <c r="D2570" s="82" t="s">
        <v>2856</v>
      </c>
      <c r="E2570" s="11" t="str">
        <f t="array" ref="E2570">_xlfn.XLOOKUP(D2570,Insumos!B:B,Insumos!C:$C)</f>
        <v>KG</v>
      </c>
      <c r="F2570" s="14">
        <v>0.05</v>
      </c>
      <c r="G2570" s="92">
        <f t="array" ref="G2570">IF(B2570="insumo",_xlfn.XLOOKUP($D2570,Insumos!$B$1:$B$996,Insumos!$D$1:$D$996),"")</f>
        <v>38</v>
      </c>
      <c r="H2570" s="92">
        <v>1.9</v>
      </c>
      <c r="I2570" s="13">
        <v>0</v>
      </c>
      <c r="J2570" s="13">
        <v>0</v>
      </c>
      <c r="K2570" s="13"/>
      <c r="L2570"/>
      <c r="M2570"/>
      <c r="N2570"/>
      <c r="O2570"/>
      <c r="P2570"/>
      <c r="Q2570"/>
      <c r="R2570"/>
      <c r="S2570"/>
      <c r="T2570"/>
      <c r="U2570"/>
      <c r="V2570"/>
      <c r="W2570"/>
      <c r="X2570"/>
      <c r="Y2570"/>
      <c r="Z2570"/>
      <c r="AA2570"/>
      <c r="AB2570"/>
      <c r="AC2570"/>
      <c r="AD2570"/>
      <c r="AE2570"/>
      <c r="AF2570"/>
      <c r="AG2570"/>
      <c r="AH2570"/>
      <c r="AI2570"/>
      <c r="AJ2570"/>
      <c r="AK2570"/>
      <c r="AL2570"/>
    </row>
    <row r="2571" spans="1:38" ht="15.75" customHeight="1" outlineLevel="2" x14ac:dyDescent="0.2">
      <c r="A2571" s="1067">
        <v>1</v>
      </c>
      <c r="B2571" s="1067" t="s">
        <v>68</v>
      </c>
      <c r="C2571" s="1067" t="s">
        <v>2854</v>
      </c>
      <c r="D2571" s="1067" t="s">
        <v>2854</v>
      </c>
      <c r="E2571" s="1068" t="s">
        <v>70</v>
      </c>
      <c r="F2571" s="1067"/>
      <c r="G2571" s="1069" t="str">
        <f t="array" ref="G2571">IF(B2571="insumo",_xlfn.XLOOKUP($D2571,Insumos!$B$1:$B$996,Insumos!$D$1:$D$996),"")</f>
        <v/>
      </c>
      <c r="H2571" s="1069">
        <v>655.16927499999997</v>
      </c>
      <c r="I2571" s="1070" t="e">
        <v>#REF!</v>
      </c>
      <c r="J2571" s="1070" t="e">
        <v>#REF!</v>
      </c>
      <c r="K2571" s="1070"/>
      <c r="L2571"/>
      <c r="M2571"/>
      <c r="N2571"/>
      <c r="O2571"/>
      <c r="P2571"/>
      <c r="Q2571"/>
      <c r="R2571"/>
      <c r="S2571"/>
      <c r="T2571"/>
      <c r="U2571"/>
      <c r="V2571"/>
      <c r="W2571"/>
      <c r="X2571"/>
      <c r="Y2571"/>
      <c r="Z2571"/>
      <c r="AA2571"/>
      <c r="AB2571"/>
      <c r="AC2571"/>
      <c r="AD2571"/>
      <c r="AE2571"/>
      <c r="AF2571"/>
      <c r="AG2571"/>
      <c r="AH2571"/>
      <c r="AI2571"/>
      <c r="AJ2571"/>
      <c r="AK2571"/>
      <c r="AL2571"/>
    </row>
    <row r="2572" spans="1:38" ht="15.75" customHeight="1" outlineLevel="3" x14ac:dyDescent="0.2">
      <c r="A2572" s="10">
        <v>1</v>
      </c>
      <c r="B2572" s="10" t="s">
        <v>71</v>
      </c>
      <c r="C2572" s="10" t="s">
        <v>2854</v>
      </c>
      <c r="D2572" s="10" t="s">
        <v>2849</v>
      </c>
      <c r="E2572" s="11" t="str">
        <f t="array" ref="E2572">_xlfn.XLOOKUP(D2572,Insumos!B:B,Insumos!C:$C)</f>
        <v>M2</v>
      </c>
      <c r="F2572" s="14">
        <f>1.1/2</f>
        <v>0.55000000000000004</v>
      </c>
      <c r="G2572" s="92">
        <f t="array" ref="G2572">IF(B2572="insumo",_xlfn.XLOOKUP($D2572,Insumos!$B$1:$B$996,Insumos!$D$1:$D$996),"")</f>
        <v>588.79999999999995</v>
      </c>
      <c r="H2572" s="92">
        <v>323.83999999999997</v>
      </c>
      <c r="I2572" s="13" t="e">
        <v>#REF!</v>
      </c>
      <c r="J2572" s="13" t="e">
        <v>#REF!</v>
      </c>
      <c r="K2572" s="13"/>
      <c r="L2572"/>
      <c r="M2572"/>
      <c r="N2572"/>
      <c r="O2572"/>
      <c r="P2572"/>
      <c r="Q2572"/>
      <c r="R2572"/>
      <c r="S2572"/>
      <c r="T2572"/>
      <c r="U2572"/>
      <c r="V2572"/>
      <c r="W2572"/>
      <c r="X2572"/>
      <c r="Y2572"/>
      <c r="Z2572"/>
      <c r="AA2572"/>
      <c r="AB2572"/>
      <c r="AC2572"/>
      <c r="AD2572"/>
      <c r="AE2572"/>
      <c r="AF2572"/>
      <c r="AG2572"/>
      <c r="AH2572"/>
      <c r="AI2572"/>
      <c r="AJ2572"/>
      <c r="AK2572"/>
      <c r="AL2572"/>
    </row>
    <row r="2573" spans="1:38" ht="15.75" customHeight="1" outlineLevel="3" x14ac:dyDescent="0.2">
      <c r="A2573" s="10">
        <v>1</v>
      </c>
      <c r="B2573" s="10" t="s">
        <v>71</v>
      </c>
      <c r="C2573" s="10" t="s">
        <v>2854</v>
      </c>
      <c r="D2573" s="10" t="s">
        <v>2850</v>
      </c>
      <c r="E2573" s="11" t="str">
        <f t="array" ref="E2573">_xlfn.XLOOKUP(D2573,Insumos!B:B,Insumos!C:$C)</f>
        <v>M2</v>
      </c>
      <c r="F2573" s="14">
        <f>1.1/2</f>
        <v>0.55000000000000004</v>
      </c>
      <c r="G2573" s="92">
        <f t="array" ref="G2573">IF(B2573="insumo",_xlfn.XLOOKUP($D2573,Insumos!$B$1:$B$996,Insumos!$D$1:$D$996),"")</f>
        <v>588.79999999999995</v>
      </c>
      <c r="H2573" s="92">
        <v>323.83999999999997</v>
      </c>
      <c r="I2573" s="13" t="e">
        <v>#REF!</v>
      </c>
      <c r="J2573" s="13" t="e">
        <v>#REF!</v>
      </c>
      <c r="K2573" s="13"/>
      <c r="L2573"/>
      <c r="M2573"/>
      <c r="N2573"/>
      <c r="O2573"/>
      <c r="P2573"/>
      <c r="Q2573"/>
      <c r="R2573"/>
      <c r="S2573"/>
      <c r="T2573"/>
      <c r="U2573"/>
      <c r="V2573"/>
      <c r="W2573"/>
      <c r="X2573"/>
      <c r="Y2573"/>
      <c r="Z2573"/>
      <c r="AA2573"/>
      <c r="AB2573"/>
      <c r="AC2573"/>
      <c r="AD2573"/>
      <c r="AE2573"/>
      <c r="AF2573"/>
      <c r="AG2573"/>
      <c r="AH2573"/>
      <c r="AI2573"/>
      <c r="AJ2573"/>
      <c r="AK2573"/>
      <c r="AL2573"/>
    </row>
    <row r="2574" spans="1:38" ht="15.75" customHeight="1" outlineLevel="3" x14ac:dyDescent="0.2">
      <c r="A2574" s="10">
        <v>191</v>
      </c>
      <c r="B2574" s="10" t="s">
        <v>71</v>
      </c>
      <c r="C2574" s="10" t="s">
        <v>2854</v>
      </c>
      <c r="D2574" s="10" t="s">
        <v>481</v>
      </c>
      <c r="E2574" s="11" t="str">
        <f t="array" ref="E2574">_xlfn.XLOOKUP(D2574,Insumos!B:B,Insumos!C:$C)</f>
        <v>KG</v>
      </c>
      <c r="F2574" s="14">
        <v>4.95</v>
      </c>
      <c r="G2574" s="92">
        <f t="array" ref="G2574">IF(B2574="insumo",_xlfn.XLOOKUP($D2574,Insumos!$B$1:$B$996,Insumos!$D$1:$D$996),"")</f>
        <v>1.0645</v>
      </c>
      <c r="H2574" s="92">
        <v>5.2692750000000004</v>
      </c>
      <c r="I2574" s="13" t="e">
        <v>#REF!</v>
      </c>
      <c r="J2574" s="13" t="e">
        <v>#REF!</v>
      </c>
      <c r="K2574" s="13"/>
      <c r="L2574"/>
      <c r="M2574"/>
      <c r="N2574"/>
      <c r="O2574"/>
      <c r="P2574"/>
      <c r="Q2574"/>
      <c r="R2574"/>
      <c r="S2574"/>
      <c r="T2574"/>
      <c r="U2574"/>
      <c r="V2574"/>
      <c r="W2574"/>
      <c r="X2574"/>
      <c r="Y2574"/>
      <c r="Z2574"/>
      <c r="AA2574"/>
      <c r="AB2574"/>
      <c r="AC2574"/>
      <c r="AD2574"/>
      <c r="AE2574"/>
      <c r="AF2574"/>
      <c r="AG2574"/>
      <c r="AH2574"/>
      <c r="AI2574"/>
      <c r="AJ2574"/>
      <c r="AK2574"/>
      <c r="AL2574"/>
    </row>
    <row r="2575" spans="1:38" ht="15.75" customHeight="1" outlineLevel="3" x14ac:dyDescent="0.2">
      <c r="A2575" s="10">
        <v>142</v>
      </c>
      <c r="B2575" s="10" t="s">
        <v>71</v>
      </c>
      <c r="C2575" s="10" t="s">
        <v>2854</v>
      </c>
      <c r="D2575" s="10" t="s">
        <v>506</v>
      </c>
      <c r="E2575" s="11" t="str">
        <f t="array" ref="E2575">_xlfn.XLOOKUP(D2575,Insumos!B:B,Insumos!C:$C)</f>
        <v>UN</v>
      </c>
      <c r="F2575" s="14">
        <v>4</v>
      </c>
      <c r="G2575" s="92">
        <f t="array" ref="G2575">IF(B2575="insumo",_xlfn.XLOOKUP($D2575,Insumos!$B$1:$B$996,Insumos!$D$1:$D$996),"")</f>
        <v>0.08</v>
      </c>
      <c r="H2575" s="92">
        <v>0.32</v>
      </c>
      <c r="I2575" s="13" t="e">
        <v>#REF!</v>
      </c>
      <c r="J2575" s="13" t="e">
        <v>#REF!</v>
      </c>
      <c r="K2575" s="13"/>
      <c r="L2575"/>
      <c r="M2575"/>
      <c r="N2575"/>
      <c r="O2575"/>
      <c r="P2575"/>
      <c r="Q2575"/>
      <c r="R2575"/>
      <c r="S2575"/>
      <c r="T2575"/>
      <c r="U2575"/>
      <c r="V2575"/>
      <c r="W2575"/>
      <c r="X2575"/>
      <c r="Y2575"/>
      <c r="Z2575"/>
      <c r="AA2575"/>
      <c r="AB2575"/>
      <c r="AC2575"/>
      <c r="AD2575"/>
      <c r="AE2575"/>
      <c r="AF2575"/>
      <c r="AG2575"/>
      <c r="AH2575"/>
      <c r="AI2575"/>
      <c r="AJ2575"/>
      <c r="AK2575"/>
      <c r="AL2575"/>
    </row>
    <row r="2576" spans="1:38" ht="15.75" customHeight="1" outlineLevel="3" x14ac:dyDescent="0.2">
      <c r="A2576" s="10">
        <v>36</v>
      </c>
      <c r="B2576" s="10" t="s">
        <v>71</v>
      </c>
      <c r="C2576" s="82" t="s">
        <v>2854</v>
      </c>
      <c r="D2576" s="82" t="s">
        <v>2856</v>
      </c>
      <c r="E2576" s="11" t="str">
        <f t="array" ref="E2576">_xlfn.XLOOKUP(D2576,Insumos!B:B,Insumos!C:$C)</f>
        <v>KG</v>
      </c>
      <c r="F2576" s="14">
        <v>0.05</v>
      </c>
      <c r="G2576" s="92">
        <f t="array" ref="G2576">IF(B2576="insumo",_xlfn.XLOOKUP($D2576,Insumos!$B$1:$B$996,Insumos!$D$1:$D$996),"")</f>
        <v>38</v>
      </c>
      <c r="H2576" s="92">
        <v>1.9</v>
      </c>
      <c r="I2576" s="13" t="e">
        <v>#REF!</v>
      </c>
      <c r="J2576" s="13" t="e">
        <v>#REF!</v>
      </c>
      <c r="K2576" s="13"/>
      <c r="L2576"/>
      <c r="M2576"/>
      <c r="N2576"/>
      <c r="O2576"/>
      <c r="P2576"/>
      <c r="Q2576"/>
      <c r="R2576"/>
      <c r="S2576"/>
      <c r="T2576"/>
      <c r="U2576"/>
      <c r="V2576"/>
      <c r="W2576"/>
      <c r="X2576"/>
      <c r="Y2576"/>
      <c r="Z2576"/>
      <c r="AA2576"/>
      <c r="AB2576"/>
      <c r="AC2576"/>
      <c r="AD2576"/>
      <c r="AE2576"/>
      <c r="AF2576"/>
      <c r="AG2576"/>
      <c r="AH2576"/>
      <c r="AI2576"/>
      <c r="AJ2576"/>
      <c r="AK2576"/>
      <c r="AL2576"/>
    </row>
    <row r="2577" spans="1:38" ht="15.75" customHeight="1" outlineLevel="2" x14ac:dyDescent="0.2">
      <c r="A2577" s="1067">
        <v>1</v>
      </c>
      <c r="B2577" s="1067" t="s">
        <v>68</v>
      </c>
      <c r="C2577" s="1067" t="s">
        <v>2855</v>
      </c>
      <c r="D2577" s="1067" t="s">
        <v>2855</v>
      </c>
      <c r="E2577" s="1068" t="s">
        <v>70</v>
      </c>
      <c r="F2577" s="1067"/>
      <c r="G2577" s="1069" t="str">
        <f t="array" ref="G2577">IF(B2577="insumo",_xlfn.XLOOKUP($D2577,Insumos!$B$1:$B$996,Insumos!$D$1:$D$996),"")</f>
        <v/>
      </c>
      <c r="H2577" s="1069">
        <v>353.98927500000002</v>
      </c>
      <c r="I2577" s="1070" t="e">
        <v>#REF!</v>
      </c>
      <c r="J2577" s="1070" t="e">
        <v>#REF!</v>
      </c>
      <c r="K2577" s="1070"/>
      <c r="L2577"/>
      <c r="M2577"/>
      <c r="N2577"/>
      <c r="O2577"/>
      <c r="P2577"/>
      <c r="Q2577"/>
      <c r="R2577"/>
      <c r="S2577"/>
      <c r="T2577"/>
      <c r="U2577"/>
      <c r="V2577"/>
      <c r="W2577"/>
      <c r="X2577"/>
      <c r="Y2577"/>
      <c r="Z2577"/>
      <c r="AA2577"/>
      <c r="AB2577"/>
      <c r="AC2577"/>
      <c r="AD2577"/>
      <c r="AE2577"/>
      <c r="AF2577"/>
      <c r="AG2577"/>
      <c r="AH2577"/>
      <c r="AI2577"/>
      <c r="AJ2577"/>
      <c r="AK2577"/>
      <c r="AL2577"/>
    </row>
    <row r="2578" spans="1:38" ht="15.75" customHeight="1" outlineLevel="3" x14ac:dyDescent="0.2">
      <c r="A2578" s="10">
        <v>1</v>
      </c>
      <c r="B2578" s="10" t="s">
        <v>71</v>
      </c>
      <c r="C2578" s="10" t="s">
        <v>2855</v>
      </c>
      <c r="D2578" s="10" t="s">
        <v>2851</v>
      </c>
      <c r="E2578" s="11" t="str">
        <f t="array" ref="E2578">_xlfn.XLOOKUP(D2578,Insumos!B:B,Insumos!C:$C)</f>
        <v>M2</v>
      </c>
      <c r="F2578" s="14">
        <f>1.1/2</f>
        <v>0.55000000000000004</v>
      </c>
      <c r="G2578" s="92">
        <f t="array" ref="G2578">IF(B2578="insumo",_xlfn.XLOOKUP($D2578,Insumos!$B$1:$B$996,Insumos!$D$1:$D$996),"")</f>
        <v>315</v>
      </c>
      <c r="H2578" s="92">
        <v>173.25</v>
      </c>
      <c r="I2578" s="13" t="e">
        <v>#REF!</v>
      </c>
      <c r="J2578" s="13" t="e">
        <v>#REF!</v>
      </c>
      <c r="K2578" s="13"/>
      <c r="L2578"/>
      <c r="M2578"/>
      <c r="N2578"/>
      <c r="O2578"/>
      <c r="P2578"/>
      <c r="Q2578"/>
      <c r="R2578"/>
      <c r="S2578"/>
      <c r="T2578"/>
      <c r="U2578"/>
      <c r="V2578"/>
      <c r="W2578"/>
      <c r="X2578"/>
      <c r="Y2578"/>
      <c r="Z2578"/>
      <c r="AA2578"/>
      <c r="AB2578"/>
      <c r="AC2578"/>
      <c r="AD2578"/>
      <c r="AE2578"/>
      <c r="AF2578"/>
      <c r="AG2578"/>
      <c r="AH2578"/>
      <c r="AI2578"/>
      <c r="AJ2578"/>
      <c r="AK2578"/>
      <c r="AL2578"/>
    </row>
    <row r="2579" spans="1:38" ht="15.75" customHeight="1" outlineLevel="3" x14ac:dyDescent="0.2">
      <c r="A2579" s="10">
        <v>1</v>
      </c>
      <c r="B2579" s="10" t="s">
        <v>71</v>
      </c>
      <c r="C2579" s="10" t="s">
        <v>2855</v>
      </c>
      <c r="D2579" s="10" t="s">
        <v>2852</v>
      </c>
      <c r="E2579" s="11" t="str">
        <f t="array" ref="E2579">_xlfn.XLOOKUP(D2579,Insumos!B:B,Insumos!C:$C)</f>
        <v>M2</v>
      </c>
      <c r="F2579" s="14">
        <f>1.1/2</f>
        <v>0.55000000000000004</v>
      </c>
      <c r="G2579" s="92">
        <f t="array" ref="G2579">IF(B2579="insumo",_xlfn.XLOOKUP($D2579,Insumos!$B$1:$B$996,Insumos!$D$1:$D$996),"")</f>
        <v>315</v>
      </c>
      <c r="H2579" s="92">
        <v>173.25</v>
      </c>
      <c r="I2579" s="13" t="e">
        <v>#REF!</v>
      </c>
      <c r="J2579" s="13" t="e">
        <v>#REF!</v>
      </c>
      <c r="K2579" s="13"/>
      <c r="L2579"/>
      <c r="M2579"/>
      <c r="N2579"/>
      <c r="O2579"/>
      <c r="P2579"/>
      <c r="Q2579"/>
      <c r="R2579"/>
      <c r="S2579"/>
      <c r="T2579"/>
      <c r="U2579"/>
      <c r="V2579"/>
      <c r="W2579"/>
      <c r="X2579"/>
      <c r="Y2579"/>
      <c r="Z2579"/>
      <c r="AA2579"/>
      <c r="AB2579"/>
      <c r="AC2579"/>
      <c r="AD2579"/>
      <c r="AE2579"/>
      <c r="AF2579"/>
      <c r="AG2579"/>
      <c r="AH2579"/>
      <c r="AI2579"/>
      <c r="AJ2579"/>
      <c r="AK2579"/>
      <c r="AL2579"/>
    </row>
    <row r="2580" spans="1:38" ht="15.75" customHeight="1" outlineLevel="3" x14ac:dyDescent="0.2">
      <c r="A2580" s="10">
        <v>191</v>
      </c>
      <c r="B2580" s="10" t="s">
        <v>71</v>
      </c>
      <c r="C2580" s="10" t="s">
        <v>2855</v>
      </c>
      <c r="D2580" s="10" t="s">
        <v>481</v>
      </c>
      <c r="E2580" s="11" t="str">
        <f t="array" ref="E2580">_xlfn.XLOOKUP(D2580,Insumos!B:B,Insumos!C:$C)</f>
        <v>KG</v>
      </c>
      <c r="F2580" s="14">
        <v>4.95</v>
      </c>
      <c r="G2580" s="92">
        <f t="array" ref="G2580">IF(B2580="insumo",_xlfn.XLOOKUP($D2580,Insumos!$B$1:$B$996,Insumos!$D$1:$D$996),"")</f>
        <v>1.0645</v>
      </c>
      <c r="H2580" s="92">
        <v>5.2692750000000004</v>
      </c>
      <c r="I2580" s="13" t="e">
        <v>#REF!</v>
      </c>
      <c r="J2580" s="13" t="e">
        <v>#REF!</v>
      </c>
      <c r="K2580" s="13"/>
      <c r="L2580"/>
      <c r="M2580"/>
      <c r="N2580"/>
      <c r="O2580"/>
      <c r="P2580"/>
      <c r="Q2580"/>
      <c r="R2580"/>
      <c r="S2580"/>
      <c r="T2580"/>
      <c r="U2580"/>
      <c r="V2580"/>
      <c r="W2580"/>
      <c r="X2580"/>
      <c r="Y2580"/>
      <c r="Z2580"/>
      <c r="AA2580"/>
      <c r="AB2580"/>
      <c r="AC2580"/>
      <c r="AD2580"/>
      <c r="AE2580"/>
      <c r="AF2580"/>
      <c r="AG2580"/>
      <c r="AH2580"/>
      <c r="AI2580"/>
      <c r="AJ2580"/>
      <c r="AK2580"/>
      <c r="AL2580"/>
    </row>
    <row r="2581" spans="1:38" ht="15.75" customHeight="1" outlineLevel="3" x14ac:dyDescent="0.2">
      <c r="A2581" s="10">
        <v>142</v>
      </c>
      <c r="B2581" s="10" t="s">
        <v>71</v>
      </c>
      <c r="C2581" s="10" t="s">
        <v>2855</v>
      </c>
      <c r="D2581" s="10" t="s">
        <v>506</v>
      </c>
      <c r="E2581" s="11" t="str">
        <f t="array" ref="E2581">_xlfn.XLOOKUP(D2581,Insumos!B:B,Insumos!C:$C)</f>
        <v>UN</v>
      </c>
      <c r="F2581" s="14">
        <v>4</v>
      </c>
      <c r="G2581" s="92">
        <f t="array" ref="G2581">IF(B2581="insumo",_xlfn.XLOOKUP($D2581,Insumos!$B$1:$B$996,Insumos!$D$1:$D$996),"")</f>
        <v>0.08</v>
      </c>
      <c r="H2581" s="92">
        <v>0.32</v>
      </c>
      <c r="I2581" s="13" t="e">
        <v>#REF!</v>
      </c>
      <c r="J2581" s="13" t="e">
        <v>#REF!</v>
      </c>
      <c r="K2581" s="13"/>
      <c r="L2581"/>
      <c r="M2581"/>
      <c r="N2581"/>
      <c r="O2581"/>
      <c r="P2581"/>
      <c r="Q2581"/>
      <c r="R2581"/>
      <c r="S2581"/>
      <c r="T2581"/>
      <c r="U2581"/>
      <c r="V2581"/>
      <c r="W2581"/>
      <c r="X2581"/>
      <c r="Y2581"/>
      <c r="Z2581"/>
      <c r="AA2581"/>
      <c r="AB2581"/>
      <c r="AC2581"/>
      <c r="AD2581"/>
      <c r="AE2581"/>
      <c r="AF2581"/>
      <c r="AG2581"/>
      <c r="AH2581"/>
      <c r="AI2581"/>
      <c r="AJ2581"/>
      <c r="AK2581"/>
      <c r="AL2581"/>
    </row>
    <row r="2582" spans="1:38" ht="15.75" customHeight="1" outlineLevel="3" x14ac:dyDescent="0.2">
      <c r="A2582" s="10">
        <v>36</v>
      </c>
      <c r="B2582" s="10" t="s">
        <v>71</v>
      </c>
      <c r="C2582" s="82" t="s">
        <v>2855</v>
      </c>
      <c r="D2582" s="82" t="s">
        <v>2856</v>
      </c>
      <c r="E2582" s="11" t="str">
        <f t="array" ref="E2582">_xlfn.XLOOKUP(D2582,Insumos!B:B,Insumos!C:$C)</f>
        <v>KG</v>
      </c>
      <c r="F2582" s="14">
        <v>0.05</v>
      </c>
      <c r="G2582" s="92">
        <f t="array" ref="G2582">IF(B2582="insumo",_xlfn.XLOOKUP($D2582,Insumos!$B$1:$B$996,Insumos!$D$1:$D$996),"")</f>
        <v>38</v>
      </c>
      <c r="H2582" s="92">
        <v>1.9</v>
      </c>
      <c r="I2582" s="13" t="e">
        <v>#REF!</v>
      </c>
      <c r="J2582" s="13" t="e">
        <v>#REF!</v>
      </c>
      <c r="K2582" s="13"/>
      <c r="L2582"/>
      <c r="M2582"/>
      <c r="N2582"/>
      <c r="O2582"/>
      <c r="P2582"/>
      <c r="Q2582"/>
      <c r="R2582"/>
      <c r="S2582"/>
      <c r="T2582"/>
      <c r="U2582"/>
      <c r="V2582"/>
      <c r="W2582"/>
      <c r="X2582"/>
      <c r="Y2582"/>
      <c r="Z2582"/>
      <c r="AA2582"/>
      <c r="AB2582"/>
      <c r="AC2582"/>
      <c r="AD2582"/>
      <c r="AE2582"/>
      <c r="AF2582"/>
      <c r="AG2582"/>
      <c r="AH2582"/>
      <c r="AI2582"/>
      <c r="AJ2582"/>
      <c r="AK2582"/>
      <c r="AL2582"/>
    </row>
    <row r="2583" spans="1:38" ht="15.75" customHeight="1" outlineLevel="2" x14ac:dyDescent="0.2">
      <c r="A2583" s="1067">
        <v>1</v>
      </c>
      <c r="B2583" s="1067" t="s">
        <v>68</v>
      </c>
      <c r="C2583" s="1067" t="s">
        <v>2997</v>
      </c>
      <c r="D2583" s="1067" t="s">
        <v>2997</v>
      </c>
      <c r="E2583" s="1068" t="s">
        <v>70</v>
      </c>
      <c r="F2583" s="1067"/>
      <c r="G2583" s="1069"/>
      <c r="H2583" s="1069">
        <v>865.48927500000002</v>
      </c>
      <c r="I2583" s="1070" t="e">
        <v>#REF!</v>
      </c>
      <c r="J2583" s="1070" t="e">
        <v>#REF!</v>
      </c>
      <c r="K2583" s="1070"/>
      <c r="L2583"/>
      <c r="M2583"/>
      <c r="N2583"/>
      <c r="O2583"/>
      <c r="P2583"/>
      <c r="Q2583"/>
      <c r="R2583"/>
      <c r="S2583"/>
      <c r="T2583"/>
      <c r="U2583"/>
      <c r="V2583"/>
      <c r="W2583"/>
      <c r="X2583"/>
      <c r="Y2583"/>
      <c r="Z2583"/>
      <c r="AA2583"/>
      <c r="AB2583"/>
      <c r="AC2583"/>
      <c r="AD2583"/>
      <c r="AE2583"/>
      <c r="AF2583"/>
      <c r="AG2583"/>
      <c r="AH2583"/>
      <c r="AI2583"/>
      <c r="AJ2583"/>
      <c r="AK2583"/>
      <c r="AL2583"/>
    </row>
    <row r="2584" spans="1:38" ht="15.75" customHeight="1" outlineLevel="3" x14ac:dyDescent="0.2">
      <c r="A2584" s="10">
        <v>2</v>
      </c>
      <c r="B2584" s="10" t="s">
        <v>71</v>
      </c>
      <c r="C2584" s="10" t="s">
        <v>2997</v>
      </c>
      <c r="D2584" s="10" t="s">
        <v>2858</v>
      </c>
      <c r="E2584" s="11" t="str">
        <f t="array" ref="E2584">_xlfn.XLOOKUP(D2584,Insumos!B:B,Insumos!C:$C)</f>
        <v>M2</v>
      </c>
      <c r="F2584" s="14">
        <f>1.1/2</f>
        <v>0.55000000000000004</v>
      </c>
      <c r="G2584" s="92">
        <f t="array" ref="G2584">IF(B2584="insumo",_xlfn.XLOOKUP($D2584,Insumos!$B$1:$B$996,Insumos!$D$1:$D$996),"")</f>
        <v>780</v>
      </c>
      <c r="H2584" s="92">
        <v>429</v>
      </c>
      <c r="I2584" s="13" t="e">
        <v>#REF!</v>
      </c>
      <c r="J2584" s="13" t="e">
        <v>#REF!</v>
      </c>
      <c r="K2584" s="13"/>
      <c r="L2584"/>
      <c r="M2584"/>
      <c r="N2584"/>
      <c r="O2584"/>
      <c r="P2584"/>
      <c r="Q2584"/>
      <c r="R2584"/>
      <c r="S2584"/>
      <c r="T2584"/>
      <c r="U2584"/>
      <c r="V2584"/>
      <c r="W2584"/>
      <c r="X2584"/>
      <c r="Y2584"/>
      <c r="Z2584"/>
      <c r="AA2584"/>
      <c r="AB2584"/>
      <c r="AC2584"/>
      <c r="AD2584"/>
      <c r="AE2584"/>
      <c r="AF2584"/>
      <c r="AG2584"/>
      <c r="AH2584"/>
      <c r="AI2584"/>
      <c r="AJ2584"/>
      <c r="AK2584"/>
      <c r="AL2584"/>
    </row>
    <row r="2585" spans="1:38" ht="15.75" customHeight="1" outlineLevel="3" x14ac:dyDescent="0.2">
      <c r="A2585" s="10">
        <v>1</v>
      </c>
      <c r="B2585" s="10" t="s">
        <v>71</v>
      </c>
      <c r="C2585" s="10" t="s">
        <v>2997</v>
      </c>
      <c r="D2585" s="10" t="s">
        <v>2998</v>
      </c>
      <c r="E2585" s="11" t="str">
        <f t="array" ref="E2585">_xlfn.XLOOKUP(D2585,Insumos!B:B,Insumos!C:$C)</f>
        <v>M2</v>
      </c>
      <c r="F2585" s="14">
        <f>1.1/2</f>
        <v>0.55000000000000004</v>
      </c>
      <c r="G2585" s="92">
        <f t="array" ref="G2585">IF(B2585="insumo",_xlfn.XLOOKUP($D2585,Insumos!$B$1:$B$996,Insumos!$D$1:$D$996),"")</f>
        <v>780</v>
      </c>
      <c r="H2585" s="92">
        <v>429</v>
      </c>
      <c r="I2585" s="13" t="e">
        <v>#REF!</v>
      </c>
      <c r="J2585" s="13" t="e">
        <v>#REF!</v>
      </c>
      <c r="K2585" s="13"/>
      <c r="L2585"/>
      <c r="M2585"/>
      <c r="N2585"/>
      <c r="O2585"/>
      <c r="P2585"/>
      <c r="Q2585"/>
      <c r="R2585"/>
      <c r="S2585"/>
      <c r="T2585"/>
      <c r="U2585"/>
      <c r="V2585"/>
      <c r="W2585"/>
      <c r="X2585"/>
      <c r="Y2585"/>
      <c r="Z2585"/>
      <c r="AA2585"/>
      <c r="AB2585"/>
      <c r="AC2585"/>
      <c r="AD2585"/>
      <c r="AE2585"/>
      <c r="AF2585"/>
      <c r="AG2585"/>
      <c r="AH2585"/>
      <c r="AI2585"/>
      <c r="AJ2585"/>
      <c r="AK2585"/>
      <c r="AL2585"/>
    </row>
    <row r="2586" spans="1:38" ht="15.75" customHeight="1" outlineLevel="3" x14ac:dyDescent="0.2">
      <c r="A2586" s="10">
        <v>191</v>
      </c>
      <c r="B2586" s="10" t="s">
        <v>71</v>
      </c>
      <c r="C2586" s="10" t="s">
        <v>2997</v>
      </c>
      <c r="D2586" s="10" t="s">
        <v>481</v>
      </c>
      <c r="E2586" s="11" t="str">
        <f t="array" ref="E2586">_xlfn.XLOOKUP(D2586,Insumos!B:B,Insumos!C:$C)</f>
        <v>KG</v>
      </c>
      <c r="F2586" s="14">
        <v>4.95</v>
      </c>
      <c r="G2586" s="92">
        <f t="array" ref="G2586">IF(B2586="insumo",_xlfn.XLOOKUP($D2586,Insumos!$B$1:$B$996,Insumos!$D$1:$D$996),"")</f>
        <v>1.0645</v>
      </c>
      <c r="H2586" s="92">
        <v>5.2692750000000004</v>
      </c>
      <c r="I2586" s="13" t="e">
        <v>#REF!</v>
      </c>
      <c r="J2586" s="13" t="e">
        <v>#REF!</v>
      </c>
      <c r="K2586" s="13"/>
      <c r="L2586"/>
      <c r="M2586"/>
      <c r="N2586"/>
      <c r="O2586"/>
      <c r="P2586"/>
      <c r="Q2586"/>
      <c r="R2586"/>
      <c r="S2586"/>
      <c r="T2586"/>
      <c r="U2586"/>
      <c r="V2586"/>
      <c r="W2586"/>
      <c r="X2586"/>
      <c r="Y2586"/>
      <c r="Z2586"/>
      <c r="AA2586"/>
      <c r="AB2586"/>
      <c r="AC2586"/>
      <c r="AD2586"/>
      <c r="AE2586"/>
      <c r="AF2586"/>
      <c r="AG2586"/>
      <c r="AH2586"/>
      <c r="AI2586"/>
      <c r="AJ2586"/>
      <c r="AK2586"/>
      <c r="AL2586"/>
    </row>
    <row r="2587" spans="1:38" ht="15.75" customHeight="1" outlineLevel="3" x14ac:dyDescent="0.2">
      <c r="A2587" s="10">
        <v>142</v>
      </c>
      <c r="B2587" s="10" t="s">
        <v>71</v>
      </c>
      <c r="C2587" s="10" t="s">
        <v>2997</v>
      </c>
      <c r="D2587" s="10" t="s">
        <v>506</v>
      </c>
      <c r="E2587" s="11" t="str">
        <f t="array" ref="E2587">_xlfn.XLOOKUP(D2587,Insumos!B:B,Insumos!C:$C)</f>
        <v>UN</v>
      </c>
      <c r="F2587" s="14">
        <v>4</v>
      </c>
      <c r="G2587" s="92">
        <f t="array" ref="G2587">IF(B2587="insumo",_xlfn.XLOOKUP($D2587,Insumos!$B$1:$B$996,Insumos!$D$1:$D$996),"")</f>
        <v>0.08</v>
      </c>
      <c r="H2587" s="92">
        <v>0.32</v>
      </c>
      <c r="I2587" s="13" t="e">
        <v>#REF!</v>
      </c>
      <c r="J2587" s="13" t="e">
        <v>#REF!</v>
      </c>
      <c r="K2587" s="13"/>
      <c r="L2587"/>
      <c r="M2587"/>
      <c r="N2587"/>
      <c r="O2587"/>
      <c r="P2587"/>
      <c r="Q2587"/>
      <c r="R2587"/>
      <c r="S2587"/>
      <c r="T2587"/>
      <c r="U2587"/>
      <c r="V2587"/>
      <c r="W2587"/>
      <c r="X2587"/>
      <c r="Y2587"/>
      <c r="Z2587"/>
      <c r="AA2587"/>
      <c r="AB2587"/>
      <c r="AC2587"/>
      <c r="AD2587"/>
      <c r="AE2587"/>
      <c r="AF2587"/>
      <c r="AG2587"/>
      <c r="AH2587"/>
      <c r="AI2587"/>
      <c r="AJ2587"/>
      <c r="AK2587"/>
      <c r="AL2587"/>
    </row>
    <row r="2588" spans="1:38" ht="15.75" customHeight="1" outlineLevel="3" x14ac:dyDescent="0.2">
      <c r="A2588" s="10">
        <v>36</v>
      </c>
      <c r="B2588" s="10" t="s">
        <v>71</v>
      </c>
      <c r="C2588" s="82" t="s">
        <v>2997</v>
      </c>
      <c r="D2588" s="82" t="s">
        <v>2856</v>
      </c>
      <c r="E2588" s="11" t="str">
        <f t="array" ref="E2588">_xlfn.XLOOKUP(D2588,Insumos!B:B,Insumos!C:$C)</f>
        <v>KG</v>
      </c>
      <c r="F2588" s="14">
        <v>0.05</v>
      </c>
      <c r="G2588" s="92">
        <f t="array" ref="G2588">IF(B2588="insumo",_xlfn.XLOOKUP($D2588,Insumos!$B$1:$B$996,Insumos!$D$1:$D$996),"")</f>
        <v>38</v>
      </c>
      <c r="H2588" s="92">
        <v>1.9</v>
      </c>
      <c r="I2588" s="13" t="e">
        <v>#REF!</v>
      </c>
      <c r="J2588" s="13" t="e">
        <v>#REF!</v>
      </c>
      <c r="K2588" s="13"/>
      <c r="L2588"/>
      <c r="M2588"/>
      <c r="N2588"/>
      <c r="O2588"/>
      <c r="P2588"/>
      <c r="Q2588"/>
      <c r="R2588"/>
      <c r="S2588"/>
      <c r="T2588"/>
      <c r="U2588"/>
      <c r="V2588"/>
      <c r="W2588"/>
      <c r="X2588"/>
      <c r="Y2588"/>
      <c r="Z2588"/>
      <c r="AA2588"/>
      <c r="AB2588"/>
      <c r="AC2588"/>
      <c r="AD2588"/>
      <c r="AE2588"/>
      <c r="AF2588"/>
      <c r="AG2588"/>
      <c r="AH2588"/>
      <c r="AI2588"/>
      <c r="AJ2588"/>
      <c r="AK2588"/>
      <c r="AL2588"/>
    </row>
    <row r="2589" spans="1:38" ht="15.75" customHeight="1" outlineLevel="2" x14ac:dyDescent="0.2">
      <c r="A2589" s="1067">
        <v>1</v>
      </c>
      <c r="B2589" s="1067" t="s">
        <v>68</v>
      </c>
      <c r="C2589" s="1067" t="s">
        <v>2999</v>
      </c>
      <c r="D2589" s="1067" t="s">
        <v>2999</v>
      </c>
      <c r="E2589" s="1068" t="s">
        <v>70</v>
      </c>
      <c r="F2589" s="1067"/>
      <c r="G2589" s="1069" t="str">
        <f t="array" ref="G2589">IF(B2589="insumo",_xlfn.XLOOKUP($D2589,Insumos!$B$1:$B$996,Insumos!$D$1:$D$996),"")</f>
        <v/>
      </c>
      <c r="H2589" s="1069">
        <v>546.48927500000002</v>
      </c>
      <c r="I2589" s="1070">
        <v>0</v>
      </c>
      <c r="J2589" s="1070">
        <v>0</v>
      </c>
      <c r="K2589" s="1070"/>
      <c r="L2589"/>
      <c r="M2589"/>
      <c r="N2589"/>
      <c r="O2589"/>
      <c r="P2589"/>
      <c r="Q2589"/>
      <c r="R2589"/>
      <c r="S2589"/>
      <c r="T2589"/>
      <c r="U2589"/>
      <c r="V2589"/>
      <c r="W2589"/>
      <c r="X2589"/>
      <c r="Y2589"/>
      <c r="Z2589"/>
      <c r="AA2589"/>
      <c r="AB2589"/>
      <c r="AC2589"/>
      <c r="AD2589"/>
      <c r="AE2589"/>
      <c r="AF2589"/>
      <c r="AG2589"/>
      <c r="AH2589"/>
      <c r="AI2589"/>
      <c r="AJ2589"/>
      <c r="AK2589"/>
      <c r="AL2589"/>
    </row>
    <row r="2590" spans="1:38" ht="15.75" customHeight="1" outlineLevel="3" x14ac:dyDescent="0.2">
      <c r="A2590" s="10">
        <v>2</v>
      </c>
      <c r="B2590" s="10" t="s">
        <v>71</v>
      </c>
      <c r="C2590" s="10" t="s">
        <v>2999</v>
      </c>
      <c r="D2590" s="10" t="s">
        <v>2860</v>
      </c>
      <c r="E2590" s="11" t="str">
        <f t="array" ref="E2590">_xlfn.XLOOKUP(D2590,Insumos!B:B,Insumos!C:$C)</f>
        <v>M2</v>
      </c>
      <c r="F2590" s="14">
        <f>1.1/2</f>
        <v>0.55000000000000004</v>
      </c>
      <c r="G2590" s="92">
        <f t="array" ref="G2590">IF(B2590="insumo",_xlfn.XLOOKUP($D2590,Insumos!$B$1:$B$996,Insumos!$D$1:$D$996),"")</f>
        <v>489.99999999999994</v>
      </c>
      <c r="H2590" s="92">
        <v>269.5</v>
      </c>
      <c r="I2590" s="13">
        <v>0</v>
      </c>
      <c r="J2590" s="13">
        <v>0</v>
      </c>
      <c r="K2590" s="13"/>
      <c r="L2590"/>
      <c r="M2590"/>
      <c r="N2590"/>
      <c r="O2590"/>
      <c r="P2590"/>
      <c r="Q2590"/>
      <c r="R2590"/>
      <c r="S2590"/>
      <c r="T2590"/>
      <c r="U2590"/>
      <c r="V2590"/>
      <c r="W2590"/>
      <c r="X2590"/>
      <c r="Y2590"/>
      <c r="Z2590"/>
      <c r="AA2590"/>
      <c r="AB2590"/>
      <c r="AC2590"/>
      <c r="AD2590"/>
      <c r="AE2590"/>
      <c r="AF2590"/>
      <c r="AG2590"/>
      <c r="AH2590"/>
      <c r="AI2590"/>
      <c r="AJ2590"/>
      <c r="AK2590"/>
      <c r="AL2590"/>
    </row>
    <row r="2591" spans="1:38" ht="15.75" customHeight="1" outlineLevel="3" x14ac:dyDescent="0.2">
      <c r="A2591" s="10">
        <v>1</v>
      </c>
      <c r="B2591" s="10" t="s">
        <v>71</v>
      </c>
      <c r="C2591" s="10" t="s">
        <v>2999</v>
      </c>
      <c r="D2591" s="10" t="s">
        <v>3000</v>
      </c>
      <c r="E2591" s="11" t="str">
        <f t="array" ref="E2591">_xlfn.XLOOKUP(D2591,Insumos!B:B,Insumos!C:$C)</f>
        <v>M2</v>
      </c>
      <c r="F2591" s="14">
        <f>1.1/2</f>
        <v>0.55000000000000004</v>
      </c>
      <c r="G2591" s="92">
        <f t="array" ref="G2591">IF(B2591="insumo",_xlfn.XLOOKUP($D2591,Insumos!$B$1:$B$996,Insumos!$D$1:$D$996),"")</f>
        <v>490</v>
      </c>
      <c r="H2591" s="92">
        <v>269.5</v>
      </c>
      <c r="I2591" s="13">
        <v>0</v>
      </c>
      <c r="J2591" s="13">
        <v>0</v>
      </c>
      <c r="K2591" s="13"/>
      <c r="L2591"/>
      <c r="M2591"/>
      <c r="N2591"/>
      <c r="O2591"/>
      <c r="P2591"/>
      <c r="Q2591"/>
      <c r="R2591"/>
      <c r="S2591"/>
      <c r="T2591"/>
      <c r="U2591"/>
      <c r="V2591"/>
      <c r="W2591"/>
      <c r="X2591"/>
      <c r="Y2591"/>
      <c r="Z2591"/>
      <c r="AA2591"/>
      <c r="AB2591"/>
      <c r="AC2591"/>
      <c r="AD2591"/>
      <c r="AE2591"/>
      <c r="AF2591"/>
      <c r="AG2591"/>
      <c r="AH2591"/>
      <c r="AI2591"/>
      <c r="AJ2591"/>
      <c r="AK2591"/>
      <c r="AL2591"/>
    </row>
    <row r="2592" spans="1:38" ht="15.75" customHeight="1" outlineLevel="3" x14ac:dyDescent="0.2">
      <c r="A2592" s="10">
        <v>191</v>
      </c>
      <c r="B2592" s="10" t="s">
        <v>71</v>
      </c>
      <c r="C2592" s="10" t="s">
        <v>2999</v>
      </c>
      <c r="D2592" s="10" t="s">
        <v>481</v>
      </c>
      <c r="E2592" s="11" t="str">
        <f t="array" ref="E2592">_xlfn.XLOOKUP(D2592,Insumos!B:B,Insumos!C:$C)</f>
        <v>KG</v>
      </c>
      <c r="F2592" s="14">
        <v>4.95</v>
      </c>
      <c r="G2592" s="92">
        <f t="array" ref="G2592">IF(B2592="insumo",_xlfn.XLOOKUP($D2592,Insumos!$B$1:$B$996,Insumos!$D$1:$D$996),"")</f>
        <v>1.0645</v>
      </c>
      <c r="H2592" s="92">
        <v>5.2692750000000004</v>
      </c>
      <c r="I2592" s="13">
        <v>0</v>
      </c>
      <c r="J2592" s="13">
        <v>0</v>
      </c>
      <c r="K2592" s="13"/>
      <c r="L2592"/>
      <c r="M2592"/>
      <c r="N2592"/>
      <c r="O2592"/>
      <c r="P2592"/>
      <c r="Q2592"/>
      <c r="R2592"/>
      <c r="S2592"/>
      <c r="T2592"/>
      <c r="U2592"/>
      <c r="V2592"/>
      <c r="W2592"/>
      <c r="X2592"/>
      <c r="Y2592"/>
      <c r="Z2592"/>
      <c r="AA2592"/>
      <c r="AB2592"/>
      <c r="AC2592"/>
      <c r="AD2592"/>
      <c r="AE2592"/>
      <c r="AF2592"/>
      <c r="AG2592"/>
      <c r="AH2592"/>
      <c r="AI2592"/>
      <c r="AJ2592"/>
      <c r="AK2592"/>
      <c r="AL2592"/>
    </row>
    <row r="2593" spans="1:38" ht="15.75" customHeight="1" outlineLevel="3" x14ac:dyDescent="0.2">
      <c r="A2593" s="10">
        <v>142</v>
      </c>
      <c r="B2593" s="10" t="s">
        <v>71</v>
      </c>
      <c r="C2593" s="10" t="s">
        <v>2999</v>
      </c>
      <c r="D2593" s="10" t="s">
        <v>506</v>
      </c>
      <c r="E2593" s="11" t="str">
        <f t="array" ref="E2593">_xlfn.XLOOKUP(D2593,Insumos!B:B,Insumos!C:$C)</f>
        <v>UN</v>
      </c>
      <c r="F2593" s="14">
        <v>4</v>
      </c>
      <c r="G2593" s="92">
        <f t="array" ref="G2593">IF(B2593="insumo",_xlfn.XLOOKUP($D2593,Insumos!$B$1:$B$996,Insumos!$D$1:$D$996),"")</f>
        <v>0.08</v>
      </c>
      <c r="H2593" s="92">
        <v>0.32</v>
      </c>
      <c r="I2593" s="13">
        <v>0</v>
      </c>
      <c r="J2593" s="13">
        <v>0</v>
      </c>
      <c r="K2593" s="13"/>
      <c r="L2593"/>
      <c r="M2593"/>
      <c r="N2593"/>
      <c r="O2593"/>
      <c r="P2593"/>
      <c r="Q2593"/>
      <c r="R2593"/>
      <c r="S2593"/>
      <c r="T2593"/>
      <c r="U2593"/>
      <c r="V2593"/>
      <c r="W2593"/>
      <c r="X2593"/>
      <c r="Y2593"/>
      <c r="Z2593"/>
      <c r="AA2593"/>
      <c r="AB2593"/>
      <c r="AC2593"/>
      <c r="AD2593"/>
      <c r="AE2593"/>
      <c r="AF2593"/>
      <c r="AG2593"/>
      <c r="AH2593"/>
      <c r="AI2593"/>
      <c r="AJ2593"/>
      <c r="AK2593"/>
      <c r="AL2593"/>
    </row>
    <row r="2594" spans="1:38" ht="15.75" customHeight="1" outlineLevel="3" x14ac:dyDescent="0.2">
      <c r="A2594" s="10">
        <v>36</v>
      </c>
      <c r="B2594" s="10" t="s">
        <v>71</v>
      </c>
      <c r="C2594" s="82" t="s">
        <v>2999</v>
      </c>
      <c r="D2594" s="82" t="s">
        <v>2856</v>
      </c>
      <c r="E2594" s="11" t="str">
        <f t="array" ref="E2594">_xlfn.XLOOKUP(D2594,Insumos!B:B,Insumos!C:$C)</f>
        <v>KG</v>
      </c>
      <c r="F2594" s="14">
        <v>0.05</v>
      </c>
      <c r="G2594" s="92">
        <f t="array" ref="G2594">IF(B2594="insumo",_xlfn.XLOOKUP($D2594,Insumos!$B$1:$B$996,Insumos!$D$1:$D$996),"")</f>
        <v>38</v>
      </c>
      <c r="H2594" s="92">
        <v>1.9</v>
      </c>
      <c r="I2594" s="13">
        <v>0</v>
      </c>
      <c r="J2594" s="13">
        <v>0</v>
      </c>
      <c r="K2594" s="13"/>
      <c r="L2594"/>
      <c r="M2594"/>
      <c r="N2594"/>
      <c r="O2594"/>
      <c r="P2594"/>
      <c r="Q2594"/>
      <c r="R2594"/>
      <c r="S2594"/>
      <c r="T2594"/>
      <c r="U2594"/>
      <c r="V2594"/>
      <c r="W2594"/>
      <c r="X2594"/>
      <c r="Y2594"/>
      <c r="Z2594"/>
      <c r="AA2594"/>
      <c r="AB2594"/>
      <c r="AC2594"/>
      <c r="AD2594"/>
      <c r="AE2594"/>
      <c r="AF2594"/>
      <c r="AG2594"/>
      <c r="AH2594"/>
      <c r="AI2594"/>
      <c r="AJ2594"/>
      <c r="AK2594"/>
      <c r="AL2594"/>
    </row>
    <row r="2595" spans="1:38" ht="15.75" customHeight="1" outlineLevel="2" x14ac:dyDescent="0.2">
      <c r="A2595" s="1067">
        <v>1</v>
      </c>
      <c r="B2595" s="1067" t="s">
        <v>68</v>
      </c>
      <c r="C2595" s="1067" t="s">
        <v>2857</v>
      </c>
      <c r="D2595" s="1067" t="s">
        <v>2857</v>
      </c>
      <c r="E2595" s="1068" t="s">
        <v>70</v>
      </c>
      <c r="F2595" s="1067"/>
      <c r="G2595" s="1069" t="str">
        <f t="array" ref="G2595">IF(B2595="insumo",_xlfn.XLOOKUP($D2595,Insumos!$B$1:$B$996,Insumos!$D$1:$D$996),"")</f>
        <v/>
      </c>
      <c r="H2595" s="1069">
        <v>865.48927500000002</v>
      </c>
      <c r="I2595" s="1070" t="e">
        <v>#REF!</v>
      </c>
      <c r="J2595" s="1070" t="e">
        <v>#REF!</v>
      </c>
      <c r="K2595" s="1070"/>
      <c r="L2595"/>
      <c r="M2595"/>
      <c r="N2595"/>
      <c r="O2595"/>
      <c r="P2595"/>
      <c r="Q2595"/>
      <c r="R2595"/>
      <c r="S2595"/>
      <c r="T2595"/>
      <c r="U2595"/>
      <c r="V2595"/>
      <c r="W2595"/>
      <c r="X2595"/>
      <c r="Y2595"/>
      <c r="Z2595"/>
      <c r="AA2595"/>
      <c r="AB2595"/>
      <c r="AC2595"/>
      <c r="AD2595"/>
      <c r="AE2595"/>
      <c r="AF2595"/>
      <c r="AG2595"/>
      <c r="AH2595"/>
      <c r="AI2595"/>
      <c r="AJ2595"/>
      <c r="AK2595"/>
      <c r="AL2595"/>
    </row>
    <row r="2596" spans="1:38" ht="15.75" customHeight="1" outlineLevel="3" x14ac:dyDescent="0.2">
      <c r="A2596" s="10">
        <v>2</v>
      </c>
      <c r="B2596" s="10" t="s">
        <v>71</v>
      </c>
      <c r="C2596" s="10" t="s">
        <v>2857</v>
      </c>
      <c r="D2596" s="10" t="s">
        <v>2858</v>
      </c>
      <c r="E2596" s="11" t="str">
        <f t="array" ref="E2596">_xlfn.XLOOKUP(D2596,Insumos!B:B,Insumos!C:$C)</f>
        <v>M2</v>
      </c>
      <c r="F2596" s="14">
        <f>1.1/2</f>
        <v>0.55000000000000004</v>
      </c>
      <c r="G2596" s="92">
        <f t="array" ref="G2596">IF(B2596="insumo",_xlfn.XLOOKUP($D2596,Insumos!$B$1:$B$996,Insumos!$D$1:$D$996),"")</f>
        <v>780</v>
      </c>
      <c r="H2596" s="92">
        <v>429</v>
      </c>
      <c r="I2596" s="13" t="e">
        <v>#REF!</v>
      </c>
      <c r="J2596" s="13" t="e">
        <v>#REF!</v>
      </c>
      <c r="K2596" s="13"/>
      <c r="L2596"/>
      <c r="M2596"/>
      <c r="N2596"/>
      <c r="O2596"/>
      <c r="P2596"/>
      <c r="Q2596"/>
      <c r="R2596"/>
      <c r="S2596"/>
      <c r="T2596"/>
      <c r="U2596"/>
      <c r="V2596"/>
      <c r="W2596"/>
      <c r="X2596"/>
      <c r="Y2596"/>
      <c r="Z2596"/>
      <c r="AA2596"/>
      <c r="AB2596"/>
      <c r="AC2596"/>
      <c r="AD2596"/>
      <c r="AE2596"/>
      <c r="AF2596"/>
      <c r="AG2596"/>
      <c r="AH2596"/>
      <c r="AI2596"/>
      <c r="AJ2596"/>
      <c r="AK2596"/>
      <c r="AL2596"/>
    </row>
    <row r="2597" spans="1:38" ht="15.75" customHeight="1" outlineLevel="3" x14ac:dyDescent="0.2">
      <c r="A2597" s="10">
        <v>1</v>
      </c>
      <c r="B2597" s="10" t="s">
        <v>71</v>
      </c>
      <c r="C2597" s="10" t="s">
        <v>2857</v>
      </c>
      <c r="D2597" s="10" t="s">
        <v>2859</v>
      </c>
      <c r="E2597" s="11" t="str">
        <f t="array" ref="E2597">_xlfn.XLOOKUP(D2597,Insumos!B:B,Insumos!C:$C)</f>
        <v>M2</v>
      </c>
      <c r="F2597" s="14">
        <f>1.1/2</f>
        <v>0.55000000000000004</v>
      </c>
      <c r="G2597" s="92">
        <f t="array" ref="G2597">IF(B2597="insumo",_xlfn.XLOOKUP($D2597,Insumos!$B$1:$B$996,Insumos!$D$1:$D$996),"")</f>
        <v>780</v>
      </c>
      <c r="H2597" s="92">
        <v>429</v>
      </c>
      <c r="I2597" s="13" t="e">
        <v>#REF!</v>
      </c>
      <c r="J2597" s="13" t="e">
        <v>#REF!</v>
      </c>
      <c r="K2597" s="13"/>
      <c r="L2597"/>
      <c r="M2597"/>
      <c r="N2597"/>
      <c r="O2597"/>
      <c r="P2597"/>
      <c r="Q2597"/>
      <c r="R2597"/>
      <c r="S2597"/>
      <c r="T2597"/>
      <c r="U2597"/>
      <c r="V2597"/>
      <c r="W2597"/>
      <c r="X2597"/>
      <c r="Y2597"/>
      <c r="Z2597"/>
      <c r="AA2597"/>
      <c r="AB2597"/>
      <c r="AC2597"/>
      <c r="AD2597"/>
      <c r="AE2597"/>
      <c r="AF2597"/>
      <c r="AG2597"/>
      <c r="AH2597"/>
      <c r="AI2597"/>
      <c r="AJ2597"/>
      <c r="AK2597"/>
      <c r="AL2597"/>
    </row>
    <row r="2598" spans="1:38" ht="15.75" customHeight="1" outlineLevel="3" x14ac:dyDescent="0.2">
      <c r="A2598" s="10">
        <v>191</v>
      </c>
      <c r="B2598" s="10" t="s">
        <v>71</v>
      </c>
      <c r="C2598" s="10" t="s">
        <v>2857</v>
      </c>
      <c r="D2598" s="10" t="s">
        <v>481</v>
      </c>
      <c r="E2598" s="11" t="str">
        <f t="array" ref="E2598">_xlfn.XLOOKUP(D2598,Insumos!B:B,Insumos!C:$C)</f>
        <v>KG</v>
      </c>
      <c r="F2598" s="14">
        <v>4.95</v>
      </c>
      <c r="G2598" s="92">
        <f t="array" ref="G2598">IF(B2598="insumo",_xlfn.XLOOKUP($D2598,Insumos!$B$1:$B$996,Insumos!$D$1:$D$996),"")</f>
        <v>1.0645</v>
      </c>
      <c r="H2598" s="92">
        <v>5.2692750000000004</v>
      </c>
      <c r="I2598" s="13" t="e">
        <v>#REF!</v>
      </c>
      <c r="J2598" s="13" t="e">
        <v>#REF!</v>
      </c>
      <c r="K2598" s="13"/>
      <c r="L2598"/>
      <c r="M2598"/>
      <c r="N2598"/>
      <c r="O2598"/>
      <c r="P2598"/>
      <c r="Q2598"/>
      <c r="R2598"/>
      <c r="S2598"/>
      <c r="T2598"/>
      <c r="U2598"/>
      <c r="V2598"/>
      <c r="W2598"/>
      <c r="X2598"/>
      <c r="Y2598"/>
      <c r="Z2598"/>
      <c r="AA2598"/>
      <c r="AB2598"/>
      <c r="AC2598"/>
      <c r="AD2598"/>
      <c r="AE2598"/>
      <c r="AF2598"/>
      <c r="AG2598"/>
      <c r="AH2598"/>
      <c r="AI2598"/>
      <c r="AJ2598"/>
      <c r="AK2598"/>
      <c r="AL2598"/>
    </row>
    <row r="2599" spans="1:38" ht="15.75" customHeight="1" outlineLevel="3" x14ac:dyDescent="0.2">
      <c r="A2599" s="10">
        <v>142</v>
      </c>
      <c r="B2599" s="10" t="s">
        <v>71</v>
      </c>
      <c r="C2599" s="10" t="s">
        <v>2857</v>
      </c>
      <c r="D2599" s="10" t="s">
        <v>506</v>
      </c>
      <c r="E2599" s="11" t="str">
        <f t="array" ref="E2599">_xlfn.XLOOKUP(D2599,Insumos!B:B,Insumos!C:$C)</f>
        <v>UN</v>
      </c>
      <c r="F2599" s="14">
        <v>4</v>
      </c>
      <c r="G2599" s="92">
        <f t="array" ref="G2599">IF(B2599="insumo",_xlfn.XLOOKUP($D2599,Insumos!$B$1:$B$996,Insumos!$D$1:$D$996),"")</f>
        <v>0.08</v>
      </c>
      <c r="H2599" s="92">
        <v>0.32</v>
      </c>
      <c r="I2599" s="13" t="e">
        <v>#REF!</v>
      </c>
      <c r="J2599" s="13" t="e">
        <v>#REF!</v>
      </c>
      <c r="K2599" s="13"/>
      <c r="L2599"/>
      <c r="M2599"/>
      <c r="N2599"/>
      <c r="O2599"/>
      <c r="P2599"/>
      <c r="Q2599"/>
      <c r="R2599"/>
      <c r="S2599"/>
      <c r="T2599"/>
      <c r="U2599"/>
      <c r="V2599"/>
      <c r="W2599"/>
      <c r="X2599"/>
      <c r="Y2599"/>
      <c r="Z2599"/>
      <c r="AA2599"/>
      <c r="AB2599"/>
      <c r="AC2599"/>
      <c r="AD2599"/>
      <c r="AE2599"/>
      <c r="AF2599"/>
      <c r="AG2599"/>
      <c r="AH2599"/>
      <c r="AI2599"/>
      <c r="AJ2599"/>
      <c r="AK2599"/>
      <c r="AL2599"/>
    </row>
    <row r="2600" spans="1:38" ht="15.75" customHeight="1" outlineLevel="3" x14ac:dyDescent="0.2">
      <c r="A2600" s="10">
        <v>36</v>
      </c>
      <c r="B2600" s="10" t="s">
        <v>71</v>
      </c>
      <c r="C2600" s="82" t="s">
        <v>2857</v>
      </c>
      <c r="D2600" s="82" t="s">
        <v>2856</v>
      </c>
      <c r="E2600" s="11" t="str">
        <f t="array" ref="E2600">_xlfn.XLOOKUP(D2600,Insumos!B:B,Insumos!C:$C)</f>
        <v>KG</v>
      </c>
      <c r="F2600" s="14">
        <v>0.05</v>
      </c>
      <c r="G2600" s="92">
        <f t="array" ref="G2600">IF(B2600="insumo",_xlfn.XLOOKUP($D2600,Insumos!$B$1:$B$996,Insumos!$D$1:$D$996),"")</f>
        <v>38</v>
      </c>
      <c r="H2600" s="92">
        <v>1.9</v>
      </c>
      <c r="I2600" s="13" t="e">
        <v>#REF!</v>
      </c>
      <c r="J2600" s="13" t="e">
        <v>#REF!</v>
      </c>
      <c r="K2600" s="13"/>
      <c r="L2600"/>
      <c r="M2600"/>
      <c r="N2600"/>
      <c r="O2600"/>
      <c r="P2600"/>
      <c r="Q2600"/>
      <c r="R2600"/>
      <c r="S2600"/>
      <c r="T2600"/>
      <c r="U2600"/>
      <c r="V2600"/>
      <c r="W2600"/>
      <c r="X2600"/>
      <c r="Y2600"/>
      <c r="Z2600"/>
      <c r="AA2600"/>
      <c r="AB2600"/>
      <c r="AC2600"/>
      <c r="AD2600"/>
      <c r="AE2600"/>
      <c r="AF2600"/>
      <c r="AG2600"/>
      <c r="AH2600"/>
      <c r="AI2600"/>
      <c r="AJ2600"/>
      <c r="AK2600"/>
      <c r="AL2600"/>
    </row>
    <row r="2601" spans="1:38" ht="15.75" customHeight="1" outlineLevel="2" x14ac:dyDescent="0.2">
      <c r="A2601" s="1067">
        <v>1</v>
      </c>
      <c r="B2601" s="1067" t="s">
        <v>68</v>
      </c>
      <c r="C2601" s="1067" t="s">
        <v>2862</v>
      </c>
      <c r="D2601" s="1067" t="s">
        <v>2862</v>
      </c>
      <c r="E2601" s="1068" t="s">
        <v>70</v>
      </c>
      <c r="F2601" s="1067"/>
      <c r="G2601" s="1069" t="str">
        <f t="array" ref="G2601">IF(B2601="insumo",_xlfn.XLOOKUP($D2601,Insumos!$B$1:$B$996,Insumos!$D$1:$D$996),"")</f>
        <v/>
      </c>
      <c r="H2601" s="1069">
        <v>546.48927500000002</v>
      </c>
      <c r="I2601" s="1070" t="e">
        <v>#REF!</v>
      </c>
      <c r="J2601" s="1070" t="e">
        <v>#REF!</v>
      </c>
      <c r="K2601" s="1070"/>
      <c r="L2601"/>
      <c r="M2601"/>
      <c r="N2601"/>
      <c r="O2601"/>
      <c r="P2601"/>
      <c r="Q2601"/>
      <c r="R2601"/>
      <c r="S2601"/>
      <c r="T2601"/>
      <c r="U2601"/>
      <c r="V2601"/>
      <c r="W2601"/>
      <c r="X2601"/>
      <c r="Y2601"/>
      <c r="Z2601"/>
      <c r="AA2601"/>
      <c r="AB2601"/>
      <c r="AC2601"/>
      <c r="AD2601"/>
      <c r="AE2601"/>
      <c r="AF2601"/>
      <c r="AG2601"/>
      <c r="AH2601"/>
      <c r="AI2601"/>
      <c r="AJ2601"/>
      <c r="AK2601"/>
      <c r="AL2601"/>
    </row>
    <row r="2602" spans="1:38" ht="15.75" customHeight="1" outlineLevel="3" x14ac:dyDescent="0.2">
      <c r="A2602" s="10">
        <v>2</v>
      </c>
      <c r="B2602" s="10" t="s">
        <v>71</v>
      </c>
      <c r="C2602" s="10" t="s">
        <v>2862</v>
      </c>
      <c r="D2602" s="10" t="s">
        <v>2860</v>
      </c>
      <c r="E2602" s="11" t="str">
        <f t="array" ref="E2602">_xlfn.XLOOKUP(D2602,Insumos!B:B,Insumos!C:$C)</f>
        <v>M2</v>
      </c>
      <c r="F2602" s="14">
        <f>1.1/2</f>
        <v>0.55000000000000004</v>
      </c>
      <c r="G2602" s="92">
        <f t="array" ref="G2602">IF(B2602="insumo",_xlfn.XLOOKUP($D2602,Insumos!$B$1:$B$996,Insumos!$D$1:$D$996),"")</f>
        <v>489.99999999999994</v>
      </c>
      <c r="H2602" s="92">
        <v>269.5</v>
      </c>
      <c r="I2602" s="13" t="e">
        <v>#REF!</v>
      </c>
      <c r="J2602" s="13" t="e">
        <v>#REF!</v>
      </c>
      <c r="K2602" s="13"/>
      <c r="L2602"/>
      <c r="M2602"/>
      <c r="N2602"/>
      <c r="O2602"/>
      <c r="P2602"/>
      <c r="Q2602"/>
      <c r="R2602"/>
      <c r="S2602"/>
      <c r="T2602"/>
      <c r="U2602"/>
      <c r="V2602"/>
      <c r="W2602"/>
      <c r="X2602"/>
      <c r="Y2602"/>
      <c r="Z2602"/>
      <c r="AA2602"/>
      <c r="AB2602"/>
      <c r="AC2602"/>
      <c r="AD2602"/>
      <c r="AE2602"/>
      <c r="AF2602"/>
      <c r="AG2602"/>
      <c r="AH2602"/>
      <c r="AI2602"/>
      <c r="AJ2602"/>
      <c r="AK2602"/>
      <c r="AL2602"/>
    </row>
    <row r="2603" spans="1:38" ht="15.75" customHeight="1" outlineLevel="3" x14ac:dyDescent="0.2">
      <c r="A2603" s="10">
        <v>1</v>
      </c>
      <c r="B2603" s="10" t="s">
        <v>71</v>
      </c>
      <c r="C2603" s="10" t="s">
        <v>2862</v>
      </c>
      <c r="D2603" s="10" t="s">
        <v>2861</v>
      </c>
      <c r="E2603" s="11" t="str">
        <f t="array" ref="E2603">_xlfn.XLOOKUP(D2603,Insumos!B:B,Insumos!C:$C)</f>
        <v>M2</v>
      </c>
      <c r="F2603" s="14">
        <f>1.1/2</f>
        <v>0.55000000000000004</v>
      </c>
      <c r="G2603" s="92">
        <f t="array" ref="G2603">IF(B2603="insumo",_xlfn.XLOOKUP($D2603,Insumos!$B$1:$B$996,Insumos!$D$1:$D$996),"")</f>
        <v>489.99999999999994</v>
      </c>
      <c r="H2603" s="92">
        <v>269.5</v>
      </c>
      <c r="I2603" s="13" t="e">
        <v>#REF!</v>
      </c>
      <c r="J2603" s="13" t="e">
        <v>#REF!</v>
      </c>
      <c r="K2603" s="13"/>
      <c r="L2603"/>
      <c r="M2603"/>
      <c r="N2603"/>
      <c r="O2603"/>
      <c r="P2603"/>
      <c r="Q2603"/>
      <c r="R2603"/>
      <c r="S2603"/>
      <c r="T2603"/>
      <c r="U2603"/>
      <c r="V2603"/>
      <c r="W2603"/>
      <c r="X2603"/>
      <c r="Y2603"/>
      <c r="Z2603"/>
      <c r="AA2603"/>
      <c r="AB2603"/>
      <c r="AC2603"/>
      <c r="AD2603"/>
      <c r="AE2603"/>
      <c r="AF2603"/>
      <c r="AG2603"/>
      <c r="AH2603"/>
      <c r="AI2603"/>
      <c r="AJ2603"/>
      <c r="AK2603"/>
      <c r="AL2603"/>
    </row>
    <row r="2604" spans="1:38" ht="15.75" customHeight="1" outlineLevel="3" x14ac:dyDescent="0.2">
      <c r="A2604" s="10">
        <v>191</v>
      </c>
      <c r="B2604" s="10" t="s">
        <v>71</v>
      </c>
      <c r="C2604" s="10" t="s">
        <v>2862</v>
      </c>
      <c r="D2604" s="10" t="s">
        <v>481</v>
      </c>
      <c r="E2604" s="11" t="str">
        <f t="array" ref="E2604">_xlfn.XLOOKUP(D2604,Insumos!B:B,Insumos!C:$C)</f>
        <v>KG</v>
      </c>
      <c r="F2604" s="14">
        <v>4.95</v>
      </c>
      <c r="G2604" s="92">
        <f t="array" ref="G2604">IF(B2604="insumo",_xlfn.XLOOKUP($D2604,Insumos!$B$1:$B$996,Insumos!$D$1:$D$996),"")</f>
        <v>1.0645</v>
      </c>
      <c r="H2604" s="92">
        <v>5.2692750000000004</v>
      </c>
      <c r="I2604" s="13" t="e">
        <v>#REF!</v>
      </c>
      <c r="J2604" s="13" t="e">
        <v>#REF!</v>
      </c>
      <c r="K2604" s="13"/>
      <c r="L2604"/>
      <c r="M2604"/>
      <c r="N2604"/>
      <c r="O2604"/>
      <c r="P2604"/>
      <c r="Q2604"/>
      <c r="R2604"/>
      <c r="S2604"/>
      <c r="T2604"/>
      <c r="U2604"/>
      <c r="V2604"/>
      <c r="W2604"/>
      <c r="X2604"/>
      <c r="Y2604"/>
      <c r="Z2604"/>
      <c r="AA2604"/>
      <c r="AB2604"/>
      <c r="AC2604"/>
      <c r="AD2604"/>
      <c r="AE2604"/>
      <c r="AF2604"/>
      <c r="AG2604"/>
      <c r="AH2604"/>
      <c r="AI2604"/>
      <c r="AJ2604"/>
      <c r="AK2604"/>
      <c r="AL2604"/>
    </row>
    <row r="2605" spans="1:38" ht="15.75" customHeight="1" outlineLevel="3" x14ac:dyDescent="0.2">
      <c r="A2605" s="10">
        <v>142</v>
      </c>
      <c r="B2605" s="10" t="s">
        <v>71</v>
      </c>
      <c r="C2605" s="10" t="s">
        <v>2862</v>
      </c>
      <c r="D2605" s="10" t="s">
        <v>506</v>
      </c>
      <c r="E2605" s="11" t="str">
        <f t="array" ref="E2605">_xlfn.XLOOKUP(D2605,Insumos!B:B,Insumos!C:$C)</f>
        <v>UN</v>
      </c>
      <c r="F2605" s="14">
        <v>4</v>
      </c>
      <c r="G2605" s="92">
        <f t="array" ref="G2605">IF(B2605="insumo",_xlfn.XLOOKUP($D2605,Insumos!$B$1:$B$996,Insumos!$D$1:$D$996),"")</f>
        <v>0.08</v>
      </c>
      <c r="H2605" s="92">
        <v>0.32</v>
      </c>
      <c r="I2605" s="13" t="e">
        <v>#REF!</v>
      </c>
      <c r="J2605" s="13" t="e">
        <v>#REF!</v>
      </c>
      <c r="K2605" s="13"/>
      <c r="L2605"/>
      <c r="M2605"/>
      <c r="N2605"/>
      <c r="O2605"/>
      <c r="P2605"/>
      <c r="Q2605"/>
      <c r="R2605"/>
      <c r="S2605"/>
      <c r="T2605"/>
      <c r="U2605"/>
      <c r="V2605"/>
      <c r="W2605"/>
      <c r="X2605"/>
      <c r="Y2605"/>
      <c r="Z2605"/>
      <c r="AA2605"/>
      <c r="AB2605"/>
      <c r="AC2605"/>
      <c r="AD2605"/>
      <c r="AE2605"/>
      <c r="AF2605"/>
      <c r="AG2605"/>
      <c r="AH2605"/>
      <c r="AI2605"/>
      <c r="AJ2605"/>
      <c r="AK2605"/>
      <c r="AL2605"/>
    </row>
    <row r="2606" spans="1:38" ht="15.75" customHeight="1" outlineLevel="3" x14ac:dyDescent="0.2">
      <c r="A2606" s="10">
        <v>36</v>
      </c>
      <c r="B2606" s="10" t="s">
        <v>71</v>
      </c>
      <c r="C2606" s="82" t="s">
        <v>2862</v>
      </c>
      <c r="D2606" s="82" t="s">
        <v>2856</v>
      </c>
      <c r="E2606" s="11" t="str">
        <f t="array" ref="E2606">_xlfn.XLOOKUP(D2606,Insumos!B:B,Insumos!C:$C)</f>
        <v>KG</v>
      </c>
      <c r="F2606" s="14">
        <v>0.05</v>
      </c>
      <c r="G2606" s="92">
        <f t="array" ref="G2606">IF(B2606="insumo",_xlfn.XLOOKUP($D2606,Insumos!$B$1:$B$996,Insumos!$D$1:$D$996),"")</f>
        <v>38</v>
      </c>
      <c r="H2606" s="92">
        <v>1.9</v>
      </c>
      <c r="I2606" s="13" t="e">
        <v>#REF!</v>
      </c>
      <c r="J2606" s="13" t="e">
        <v>#REF!</v>
      </c>
      <c r="K2606" s="13"/>
      <c r="L2606"/>
      <c r="M2606"/>
      <c r="N2606"/>
      <c r="O2606"/>
      <c r="P2606"/>
      <c r="Q2606"/>
      <c r="R2606"/>
      <c r="S2606"/>
      <c r="T2606"/>
      <c r="U2606"/>
      <c r="V2606"/>
      <c r="W2606"/>
      <c r="X2606"/>
      <c r="Y2606"/>
      <c r="Z2606"/>
      <c r="AA2606"/>
      <c r="AB2606"/>
      <c r="AC2606"/>
      <c r="AD2606"/>
      <c r="AE2606"/>
      <c r="AF2606"/>
      <c r="AG2606"/>
      <c r="AH2606"/>
      <c r="AI2606"/>
      <c r="AJ2606"/>
      <c r="AK2606"/>
      <c r="AL2606"/>
    </row>
    <row r="2607" spans="1:38" ht="12.75" outlineLevel="2" x14ac:dyDescent="0.2">
      <c r="A2607" s="1071">
        <v>1</v>
      </c>
      <c r="B2607" s="1071" t="s">
        <v>68</v>
      </c>
      <c r="C2607" s="1071" t="s">
        <v>1845</v>
      </c>
      <c r="D2607" s="1071" t="s">
        <v>1845</v>
      </c>
      <c r="E2607" s="1072" t="s">
        <v>70</v>
      </c>
      <c r="F2607" s="1071"/>
      <c r="G2607" s="1073" t="str">
        <f t="array" ref="G2607">IF(B2607="insumo",_xlfn.XLOOKUP($D2607,Insumos!$B$1:$B$996,Insumos!$D$1:$D$996),"")</f>
        <v/>
      </c>
      <c r="H2607" s="1073">
        <v>165.88227499999999</v>
      </c>
      <c r="I2607" s="1074">
        <v>0</v>
      </c>
      <c r="J2607" s="1074">
        <v>0</v>
      </c>
      <c r="K2607" s="1074"/>
      <c r="L2607"/>
      <c r="M2607"/>
      <c r="N2607"/>
      <c r="O2607"/>
      <c r="P2607"/>
      <c r="Q2607"/>
      <c r="R2607"/>
      <c r="S2607"/>
      <c r="T2607"/>
      <c r="U2607"/>
      <c r="V2607"/>
      <c r="W2607"/>
      <c r="X2607"/>
      <c r="Y2607"/>
      <c r="Z2607"/>
      <c r="AA2607"/>
      <c r="AB2607"/>
      <c r="AC2607"/>
      <c r="AD2607"/>
      <c r="AE2607"/>
      <c r="AF2607"/>
      <c r="AG2607"/>
      <c r="AH2607"/>
      <c r="AI2607"/>
      <c r="AJ2607"/>
      <c r="AK2607"/>
      <c r="AL2607"/>
    </row>
    <row r="2608" spans="1:38" ht="12.75" outlineLevel="3" x14ac:dyDescent="0.2">
      <c r="A2608" s="82">
        <v>1</v>
      </c>
      <c r="B2608" s="82" t="s">
        <v>71</v>
      </c>
      <c r="C2608" s="82" t="s">
        <v>1845</v>
      </c>
      <c r="D2608" s="82" t="s">
        <v>1803</v>
      </c>
      <c r="E2608" s="11" t="str">
        <f t="array" ref="E2608">_xlfn.XLOOKUP(D2608,Insumos!B:B,Insumos!C:$C)</f>
        <v>M2</v>
      </c>
      <c r="F2608" s="88">
        <v>1.1000000000000001</v>
      </c>
      <c r="G2608" s="92">
        <f t="array" ref="G2608">IF(B2608="insumo",_xlfn.XLOOKUP($D2608,Insumos!$B$1:$B$996,Insumos!$D$1:$D$996),"")</f>
        <v>143.72999999999999</v>
      </c>
      <c r="H2608" s="92">
        <v>158.10300000000001</v>
      </c>
      <c r="I2608" s="84">
        <v>0</v>
      </c>
      <c r="J2608" s="84">
        <v>0</v>
      </c>
      <c r="K2608" s="84"/>
      <c r="L2608"/>
      <c r="M2608"/>
      <c r="N2608"/>
      <c r="O2608"/>
      <c r="P2608"/>
      <c r="Q2608"/>
      <c r="R2608"/>
      <c r="S2608"/>
      <c r="T2608"/>
      <c r="U2608"/>
      <c r="V2608"/>
      <c r="W2608"/>
      <c r="X2608"/>
      <c r="Y2608"/>
      <c r="Z2608"/>
      <c r="AA2608"/>
      <c r="AB2608"/>
      <c r="AC2608"/>
      <c r="AD2608"/>
      <c r="AE2608"/>
      <c r="AF2608"/>
      <c r="AG2608"/>
      <c r="AH2608"/>
      <c r="AI2608"/>
      <c r="AJ2608"/>
      <c r="AK2608"/>
      <c r="AL2608"/>
    </row>
    <row r="2609" spans="1:38" ht="12.75" outlineLevel="3" x14ac:dyDescent="0.2">
      <c r="A2609" s="82">
        <v>191</v>
      </c>
      <c r="B2609" s="82" t="s">
        <v>71</v>
      </c>
      <c r="C2609" s="82" t="s">
        <v>1845</v>
      </c>
      <c r="D2609" s="82" t="s">
        <v>481</v>
      </c>
      <c r="E2609" s="11" t="str">
        <f t="array" ref="E2609">_xlfn.XLOOKUP(D2609,Insumos!B:B,Insumos!C:$C)</f>
        <v>KG</v>
      </c>
      <c r="F2609" s="88">
        <v>4.95</v>
      </c>
      <c r="G2609" s="92">
        <f t="array" ref="G2609">IF(B2609="insumo",_xlfn.XLOOKUP($D2609,Insumos!$B$1:$B$996,Insumos!$D$1:$D$996),"")</f>
        <v>1.0645</v>
      </c>
      <c r="H2609" s="92">
        <v>5.2692750000000004</v>
      </c>
      <c r="I2609" s="84">
        <v>0</v>
      </c>
      <c r="J2609" s="84">
        <v>0</v>
      </c>
      <c r="K2609" s="84"/>
      <c r="L2609"/>
      <c r="M2609"/>
      <c r="N2609"/>
      <c r="O2609"/>
      <c r="P2609"/>
      <c r="Q2609"/>
      <c r="R2609"/>
      <c r="S2609"/>
      <c r="T2609"/>
      <c r="U2609"/>
      <c r="V2609"/>
      <c r="W2609"/>
      <c r="X2609"/>
      <c r="Y2609"/>
      <c r="Z2609"/>
      <c r="AA2609"/>
      <c r="AB2609"/>
      <c r="AC2609"/>
      <c r="AD2609"/>
      <c r="AE2609"/>
      <c r="AF2609"/>
      <c r="AG2609"/>
      <c r="AH2609"/>
      <c r="AI2609"/>
      <c r="AJ2609"/>
      <c r="AK2609"/>
      <c r="AL2609"/>
    </row>
    <row r="2610" spans="1:38" ht="12.75" outlineLevel="3" x14ac:dyDescent="0.2">
      <c r="A2610" s="82">
        <v>142</v>
      </c>
      <c r="B2610" s="82" t="s">
        <v>71</v>
      </c>
      <c r="C2610" s="82" t="s">
        <v>1845</v>
      </c>
      <c r="D2610" s="82" t="s">
        <v>506</v>
      </c>
      <c r="E2610" s="11" t="str">
        <f t="array" ref="E2610">_xlfn.XLOOKUP(D2610,Insumos!B:B,Insumos!C:$C)</f>
        <v>UN</v>
      </c>
      <c r="F2610" s="88">
        <v>4</v>
      </c>
      <c r="G2610" s="92">
        <f t="array" ref="G2610">IF(B2610="insumo",_xlfn.XLOOKUP($D2610,Insumos!$B$1:$B$996,Insumos!$D$1:$D$996),"")</f>
        <v>0.08</v>
      </c>
      <c r="H2610" s="92">
        <v>0.32</v>
      </c>
      <c r="I2610" s="84">
        <v>0</v>
      </c>
      <c r="J2610" s="84">
        <v>0</v>
      </c>
      <c r="K2610" s="84"/>
      <c r="L2610"/>
      <c r="M2610"/>
      <c r="N2610"/>
      <c r="O2610"/>
      <c r="P2610"/>
      <c r="Q2610"/>
      <c r="R2610"/>
      <c r="S2610"/>
      <c r="T2610"/>
      <c r="U2610"/>
      <c r="V2610"/>
      <c r="W2610"/>
      <c r="X2610"/>
      <c r="Y2610"/>
      <c r="Z2610"/>
      <c r="AA2610"/>
      <c r="AB2610"/>
      <c r="AC2610"/>
      <c r="AD2610"/>
      <c r="AE2610"/>
      <c r="AF2610"/>
      <c r="AG2610"/>
      <c r="AH2610"/>
      <c r="AI2610"/>
      <c r="AJ2610"/>
      <c r="AK2610"/>
      <c r="AL2610"/>
    </row>
    <row r="2611" spans="1:38" ht="12.75" outlineLevel="3" x14ac:dyDescent="0.2">
      <c r="A2611" s="82">
        <v>22</v>
      </c>
      <c r="B2611" s="82" t="s">
        <v>71</v>
      </c>
      <c r="C2611" s="82" t="s">
        <v>1845</v>
      </c>
      <c r="D2611" s="82" t="s">
        <v>1833</v>
      </c>
      <c r="E2611" s="11" t="str">
        <f t="array" ref="E2611">_xlfn.XLOOKUP(D2611,Insumos!B:B,Insumos!C:$C)</f>
        <v>KG</v>
      </c>
      <c r="F2611" s="88">
        <v>0.05</v>
      </c>
      <c r="G2611" s="92">
        <f t="array" ref="G2611">IF(B2611="insumo",_xlfn.XLOOKUP($D2611,Insumos!$B$1:$B$996,Insumos!$D$1:$D$996),"")</f>
        <v>43.8</v>
      </c>
      <c r="H2611" s="92">
        <v>2.19</v>
      </c>
      <c r="I2611" s="84">
        <v>0</v>
      </c>
      <c r="J2611" s="84">
        <v>0</v>
      </c>
      <c r="K2611" s="84"/>
      <c r="L2611"/>
      <c r="M2611"/>
      <c r="N2611"/>
      <c r="O2611"/>
      <c r="P2611"/>
      <c r="Q2611"/>
      <c r="R2611"/>
      <c r="S2611"/>
      <c r="T2611"/>
      <c r="U2611"/>
      <c r="V2611"/>
      <c r="W2611"/>
      <c r="X2611"/>
      <c r="Y2611"/>
      <c r="Z2611"/>
      <c r="AA2611"/>
      <c r="AB2611"/>
      <c r="AC2611"/>
      <c r="AD2611"/>
      <c r="AE2611"/>
      <c r="AF2611"/>
      <c r="AG2611"/>
      <c r="AH2611"/>
      <c r="AI2611"/>
      <c r="AJ2611"/>
      <c r="AK2611"/>
      <c r="AL2611"/>
    </row>
    <row r="2612" spans="1:38" ht="15.75" customHeight="1" outlineLevel="2" x14ac:dyDescent="0.2">
      <c r="A2612" s="1067">
        <v>1</v>
      </c>
      <c r="B2612" s="1067" t="s">
        <v>68</v>
      </c>
      <c r="C2612" s="1067" t="s">
        <v>522</v>
      </c>
      <c r="D2612" s="1067" t="s">
        <v>522</v>
      </c>
      <c r="E2612" s="1068" t="s">
        <v>70</v>
      </c>
      <c r="F2612" s="1067"/>
      <c r="G2612" s="1069" t="str">
        <f t="array" ref="G2612">IF(B2612="insumo",_xlfn.XLOOKUP($D2612,Insumos!$B$1:$B$996,Insumos!$D$1:$D$996),"")</f>
        <v/>
      </c>
      <c r="H2612" s="1069">
        <v>282.64277499999997</v>
      </c>
      <c r="I2612" s="1070">
        <v>0</v>
      </c>
      <c r="J2612" s="1070">
        <v>0</v>
      </c>
      <c r="K2612" s="1070"/>
      <c r="L2612"/>
      <c r="M2612"/>
      <c r="N2612"/>
      <c r="O2612"/>
      <c r="P2612"/>
      <c r="Q2612"/>
      <c r="R2612"/>
      <c r="S2612"/>
      <c r="T2612"/>
      <c r="U2612"/>
      <c r="V2612"/>
      <c r="W2612"/>
      <c r="X2612"/>
      <c r="Y2612"/>
      <c r="Z2612"/>
      <c r="AA2612"/>
      <c r="AB2612"/>
      <c r="AC2612"/>
      <c r="AD2612"/>
      <c r="AE2612"/>
      <c r="AF2612"/>
      <c r="AG2612"/>
      <c r="AH2612"/>
      <c r="AI2612"/>
      <c r="AJ2612"/>
      <c r="AK2612"/>
      <c r="AL2612"/>
    </row>
    <row r="2613" spans="1:38" ht="15.75" customHeight="1" outlineLevel="3" x14ac:dyDescent="0.2">
      <c r="A2613" s="10">
        <v>1</v>
      </c>
      <c r="B2613" s="10" t="s">
        <v>71</v>
      </c>
      <c r="C2613" s="10" t="s">
        <v>522</v>
      </c>
      <c r="D2613" s="10" t="s">
        <v>523</v>
      </c>
      <c r="E2613" s="11" t="str">
        <f t="array" ref="E2613">_xlfn.XLOOKUP(D2613,Insumos!B:B,Insumos!C:$C)</f>
        <v>M2</v>
      </c>
      <c r="F2613" s="14">
        <v>1.1000000000000001</v>
      </c>
      <c r="G2613" s="92">
        <f t="array" ref="G2613">IF(B2613="insumo",_xlfn.XLOOKUP($D2613,Insumos!$B$1:$B$996,Insumos!$D$1:$D$996),"")</f>
        <v>251.36</v>
      </c>
      <c r="H2613" s="92">
        <v>276.49599999999998</v>
      </c>
      <c r="I2613" s="13">
        <v>0</v>
      </c>
      <c r="J2613" s="13">
        <v>0</v>
      </c>
      <c r="K2613" s="13"/>
      <c r="L2613"/>
      <c r="M2613"/>
      <c r="N2613"/>
      <c r="O2613"/>
      <c r="P2613"/>
      <c r="Q2613"/>
      <c r="R2613"/>
      <c r="S2613"/>
      <c r="T2613"/>
      <c r="U2613"/>
      <c r="V2613"/>
      <c r="W2613"/>
      <c r="X2613"/>
      <c r="Y2613"/>
      <c r="Z2613"/>
      <c r="AA2613"/>
      <c r="AB2613"/>
      <c r="AC2613"/>
      <c r="AD2613"/>
      <c r="AE2613"/>
      <c r="AF2613"/>
      <c r="AG2613"/>
      <c r="AH2613"/>
      <c r="AI2613"/>
      <c r="AJ2613"/>
      <c r="AK2613"/>
      <c r="AL2613"/>
    </row>
    <row r="2614" spans="1:38" ht="15.75" customHeight="1" outlineLevel="3" x14ac:dyDescent="0.2">
      <c r="A2614" s="10">
        <v>191</v>
      </c>
      <c r="B2614" s="10" t="s">
        <v>71</v>
      </c>
      <c r="C2614" s="10" t="s">
        <v>522</v>
      </c>
      <c r="D2614" s="10" t="s">
        <v>481</v>
      </c>
      <c r="E2614" s="11" t="str">
        <f t="array" ref="E2614">_xlfn.XLOOKUP(D2614,Insumos!B:B,Insumos!C:$C)</f>
        <v>KG</v>
      </c>
      <c r="F2614" s="14">
        <v>4.95</v>
      </c>
      <c r="G2614" s="92">
        <f t="array" ref="G2614">IF(B2614="insumo",_xlfn.XLOOKUP($D2614,Insumos!$B$1:$B$996,Insumos!$D$1:$D$996),"")</f>
        <v>1.0645</v>
      </c>
      <c r="H2614" s="92">
        <v>5.2692750000000004</v>
      </c>
      <c r="I2614" s="13">
        <v>0</v>
      </c>
      <c r="J2614" s="13">
        <v>0</v>
      </c>
      <c r="K2614" s="13"/>
      <c r="L2614"/>
      <c r="M2614"/>
      <c r="N2614"/>
      <c r="O2614"/>
      <c r="P2614"/>
      <c r="Q2614"/>
      <c r="R2614"/>
      <c r="S2614"/>
      <c r="T2614"/>
      <c r="U2614"/>
      <c r="V2614"/>
      <c r="W2614"/>
      <c r="X2614"/>
      <c r="Y2614"/>
      <c r="Z2614"/>
      <c r="AA2614"/>
      <c r="AB2614"/>
      <c r="AC2614"/>
      <c r="AD2614"/>
      <c r="AE2614"/>
      <c r="AF2614"/>
      <c r="AG2614"/>
      <c r="AH2614"/>
      <c r="AI2614"/>
      <c r="AJ2614"/>
      <c r="AK2614"/>
      <c r="AL2614"/>
    </row>
    <row r="2615" spans="1:38" ht="15.75" customHeight="1" outlineLevel="3" x14ac:dyDescent="0.2">
      <c r="A2615" s="10">
        <v>142</v>
      </c>
      <c r="B2615" s="10" t="s">
        <v>71</v>
      </c>
      <c r="C2615" s="10" t="s">
        <v>522</v>
      </c>
      <c r="D2615" s="10" t="s">
        <v>506</v>
      </c>
      <c r="E2615" s="11" t="str">
        <f t="array" ref="E2615">_xlfn.XLOOKUP(D2615,Insumos!B:B,Insumos!C:$C)</f>
        <v>UN</v>
      </c>
      <c r="F2615" s="14">
        <v>4</v>
      </c>
      <c r="G2615" s="92">
        <f t="array" ref="G2615">IF(B2615="insumo",_xlfn.XLOOKUP($D2615,Insumos!$B$1:$B$996,Insumos!$D$1:$D$996),"")</f>
        <v>0.08</v>
      </c>
      <c r="H2615" s="92">
        <v>0.32</v>
      </c>
      <c r="I2615" s="13">
        <v>0</v>
      </c>
      <c r="J2615" s="13">
        <v>0</v>
      </c>
      <c r="K2615" s="13"/>
      <c r="L2615"/>
      <c r="M2615"/>
      <c r="N2615"/>
      <c r="O2615"/>
      <c r="P2615"/>
      <c r="Q2615"/>
      <c r="R2615"/>
      <c r="S2615"/>
      <c r="T2615"/>
      <c r="U2615"/>
      <c r="V2615"/>
      <c r="W2615"/>
      <c r="X2615"/>
      <c r="Y2615"/>
      <c r="Z2615"/>
      <c r="AA2615"/>
      <c r="AB2615"/>
      <c r="AC2615"/>
      <c r="AD2615"/>
      <c r="AE2615"/>
      <c r="AF2615"/>
      <c r="AG2615"/>
      <c r="AH2615"/>
      <c r="AI2615"/>
      <c r="AJ2615"/>
      <c r="AK2615"/>
      <c r="AL2615"/>
    </row>
    <row r="2616" spans="1:38" ht="15.75" customHeight="1" outlineLevel="3" x14ac:dyDescent="0.2">
      <c r="A2616" s="10">
        <v>101</v>
      </c>
      <c r="B2616" s="10" t="s">
        <v>71</v>
      </c>
      <c r="C2616" s="10" t="s">
        <v>522</v>
      </c>
      <c r="D2616" s="10" t="s">
        <v>507</v>
      </c>
      <c r="E2616" s="11" t="str">
        <f t="array" ref="E2616">_xlfn.XLOOKUP(D2616,Insumos!B:B,Insumos!C:$C)</f>
        <v>KG</v>
      </c>
      <c r="F2616" s="14">
        <v>0.05</v>
      </c>
      <c r="G2616" s="92">
        <f t="array" ref="G2616">IF(B2616="insumo",_xlfn.XLOOKUP($D2616,Insumos!$B$1:$B$996,Insumos!$D$1:$D$996),"")</f>
        <v>11.15</v>
      </c>
      <c r="H2616" s="92">
        <v>0.5575</v>
      </c>
      <c r="I2616" s="13">
        <v>0</v>
      </c>
      <c r="J2616" s="13">
        <v>0</v>
      </c>
      <c r="K2616" s="13"/>
      <c r="L2616"/>
      <c r="M2616"/>
      <c r="N2616"/>
      <c r="O2616"/>
      <c r="P2616"/>
      <c r="Q2616"/>
      <c r="R2616"/>
      <c r="S2616"/>
      <c r="T2616"/>
      <c r="U2616"/>
      <c r="V2616"/>
      <c r="W2616"/>
      <c r="X2616"/>
      <c r="Y2616"/>
      <c r="Z2616"/>
      <c r="AA2616"/>
      <c r="AB2616"/>
      <c r="AC2616"/>
      <c r="AD2616"/>
      <c r="AE2616"/>
      <c r="AF2616"/>
      <c r="AG2616"/>
      <c r="AH2616"/>
      <c r="AI2616"/>
      <c r="AJ2616"/>
      <c r="AK2616"/>
      <c r="AL2616"/>
    </row>
    <row r="2617" spans="1:38" ht="15.75" customHeight="1" outlineLevel="2" x14ac:dyDescent="0.2">
      <c r="A2617" s="1067">
        <v>1</v>
      </c>
      <c r="B2617" s="1067" t="s">
        <v>68</v>
      </c>
      <c r="C2617" s="1067" t="s">
        <v>524</v>
      </c>
      <c r="D2617" s="1067" t="s">
        <v>524</v>
      </c>
      <c r="E2617" s="1068" t="s">
        <v>70</v>
      </c>
      <c r="F2617" s="1067"/>
      <c r="G2617" s="1069" t="str">
        <f t="array" ref="G2617">IF(B2617="insumo",_xlfn.XLOOKUP($D2617,Insumos!$B$1:$B$996,Insumos!$D$1:$D$996),"")</f>
        <v/>
      </c>
      <c r="H2617" s="1069">
        <v>146.83677499999999</v>
      </c>
      <c r="I2617" s="1070">
        <v>0</v>
      </c>
      <c r="J2617" s="1070">
        <v>0</v>
      </c>
      <c r="K2617" s="1070"/>
      <c r="L2617"/>
      <c r="M2617"/>
      <c r="N2617"/>
      <c r="O2617"/>
      <c r="P2617"/>
      <c r="Q2617"/>
      <c r="R2617"/>
      <c r="S2617"/>
      <c r="T2617"/>
      <c r="U2617"/>
      <c r="V2617"/>
      <c r="W2617"/>
      <c r="X2617"/>
      <c r="Y2617"/>
      <c r="Z2617"/>
      <c r="AA2617"/>
      <c r="AB2617"/>
      <c r="AC2617"/>
      <c r="AD2617"/>
      <c r="AE2617"/>
      <c r="AF2617"/>
      <c r="AG2617"/>
      <c r="AH2617"/>
      <c r="AI2617"/>
      <c r="AJ2617"/>
      <c r="AK2617"/>
      <c r="AL2617"/>
    </row>
    <row r="2618" spans="1:38" ht="15.75" customHeight="1" outlineLevel="3" x14ac:dyDescent="0.2">
      <c r="A2618" s="10">
        <v>3</v>
      </c>
      <c r="B2618" s="10" t="s">
        <v>71</v>
      </c>
      <c r="C2618" s="10" t="s">
        <v>524</v>
      </c>
      <c r="D2618" s="10" t="s">
        <v>525</v>
      </c>
      <c r="E2618" s="11" t="str">
        <f t="array" ref="E2618">_xlfn.XLOOKUP(D2618,Insumos!B:B,Insumos!C:$C)</f>
        <v>M2</v>
      </c>
      <c r="F2618" s="14">
        <v>1.1000000000000001</v>
      </c>
      <c r="G2618" s="92">
        <f t="array" ref="G2618">IF(B2618="insumo",_xlfn.XLOOKUP($D2618,Insumos!$B$1:$B$996,Insumos!$D$1:$D$996),"")</f>
        <v>127.9</v>
      </c>
      <c r="H2618" s="92">
        <v>140.69</v>
      </c>
      <c r="I2618" s="13">
        <v>0</v>
      </c>
      <c r="J2618" s="13">
        <v>0</v>
      </c>
      <c r="K2618" s="13"/>
      <c r="L2618"/>
      <c r="M2618"/>
      <c r="N2618"/>
      <c r="O2618"/>
      <c r="P2618"/>
      <c r="Q2618"/>
      <c r="R2618"/>
      <c r="S2618"/>
      <c r="T2618"/>
      <c r="U2618"/>
      <c r="V2618"/>
      <c r="W2618"/>
      <c r="X2618"/>
      <c r="Y2618"/>
      <c r="Z2618"/>
      <c r="AA2618"/>
      <c r="AB2618"/>
      <c r="AC2618"/>
      <c r="AD2618"/>
      <c r="AE2618"/>
      <c r="AF2618"/>
      <c r="AG2618"/>
      <c r="AH2618"/>
      <c r="AI2618"/>
      <c r="AJ2618"/>
      <c r="AK2618"/>
      <c r="AL2618"/>
    </row>
    <row r="2619" spans="1:38" ht="15.75" customHeight="1" outlineLevel="3" x14ac:dyDescent="0.2">
      <c r="A2619" s="10">
        <v>191</v>
      </c>
      <c r="B2619" s="10" t="s">
        <v>71</v>
      </c>
      <c r="C2619" s="10" t="s">
        <v>524</v>
      </c>
      <c r="D2619" s="10" t="s">
        <v>481</v>
      </c>
      <c r="E2619" s="11" t="str">
        <f t="array" ref="E2619">_xlfn.XLOOKUP(D2619,Insumos!B:B,Insumos!C:$C)</f>
        <v>KG</v>
      </c>
      <c r="F2619" s="14">
        <v>4.95</v>
      </c>
      <c r="G2619" s="92">
        <f t="array" ref="G2619">IF(B2619="insumo",_xlfn.XLOOKUP($D2619,Insumos!$B$1:$B$996,Insumos!$D$1:$D$996),"")</f>
        <v>1.0645</v>
      </c>
      <c r="H2619" s="92">
        <v>5.2692750000000004</v>
      </c>
      <c r="I2619" s="13">
        <v>0</v>
      </c>
      <c r="J2619" s="13">
        <v>0</v>
      </c>
      <c r="K2619" s="13"/>
      <c r="L2619"/>
      <c r="M2619"/>
      <c r="N2619"/>
      <c r="O2619"/>
      <c r="P2619"/>
      <c r="Q2619"/>
      <c r="R2619"/>
      <c r="S2619"/>
      <c r="T2619"/>
      <c r="U2619"/>
      <c r="V2619"/>
      <c r="W2619"/>
      <c r="X2619"/>
      <c r="Y2619"/>
      <c r="Z2619"/>
      <c r="AA2619"/>
      <c r="AB2619"/>
      <c r="AC2619"/>
      <c r="AD2619"/>
      <c r="AE2619"/>
      <c r="AF2619"/>
      <c r="AG2619"/>
      <c r="AH2619"/>
      <c r="AI2619"/>
      <c r="AJ2619"/>
      <c r="AK2619"/>
      <c r="AL2619"/>
    </row>
    <row r="2620" spans="1:38" ht="15.75" customHeight="1" outlineLevel="3" x14ac:dyDescent="0.2">
      <c r="A2620" s="10">
        <v>142</v>
      </c>
      <c r="B2620" s="10" t="s">
        <v>71</v>
      </c>
      <c r="C2620" s="10" t="s">
        <v>524</v>
      </c>
      <c r="D2620" s="10" t="s">
        <v>506</v>
      </c>
      <c r="E2620" s="11" t="str">
        <f t="array" ref="E2620">_xlfn.XLOOKUP(D2620,Insumos!B:B,Insumos!C:$C)</f>
        <v>UN</v>
      </c>
      <c r="F2620" s="14">
        <v>4</v>
      </c>
      <c r="G2620" s="92">
        <f t="array" ref="G2620">IF(B2620="insumo",_xlfn.XLOOKUP($D2620,Insumos!$B$1:$B$996,Insumos!$D$1:$D$996),"")</f>
        <v>0.08</v>
      </c>
      <c r="H2620" s="92">
        <v>0.32</v>
      </c>
      <c r="I2620" s="13">
        <v>0</v>
      </c>
      <c r="J2620" s="13">
        <v>0</v>
      </c>
      <c r="K2620" s="13"/>
      <c r="L2620"/>
      <c r="M2620"/>
      <c r="N2620"/>
      <c r="O2620"/>
      <c r="P2620"/>
      <c r="Q2620"/>
      <c r="R2620"/>
      <c r="S2620"/>
      <c r="T2620"/>
      <c r="U2620"/>
      <c r="V2620"/>
      <c r="W2620"/>
      <c r="X2620"/>
      <c r="Y2620"/>
      <c r="Z2620"/>
      <c r="AA2620"/>
      <c r="AB2620"/>
      <c r="AC2620"/>
      <c r="AD2620"/>
      <c r="AE2620"/>
      <c r="AF2620"/>
      <c r="AG2620"/>
      <c r="AH2620"/>
      <c r="AI2620"/>
      <c r="AJ2620"/>
      <c r="AK2620"/>
      <c r="AL2620"/>
    </row>
    <row r="2621" spans="1:38" ht="15.75" customHeight="1" outlineLevel="3" x14ac:dyDescent="0.2">
      <c r="A2621" s="10">
        <v>101</v>
      </c>
      <c r="B2621" s="10" t="s">
        <v>71</v>
      </c>
      <c r="C2621" s="10" t="s">
        <v>524</v>
      </c>
      <c r="D2621" s="10" t="s">
        <v>507</v>
      </c>
      <c r="E2621" s="11" t="str">
        <f t="array" ref="E2621">_xlfn.XLOOKUP(D2621,Insumos!B:B,Insumos!C:$C)</f>
        <v>KG</v>
      </c>
      <c r="F2621" s="14">
        <v>0.05</v>
      </c>
      <c r="G2621" s="92">
        <f t="array" ref="G2621">IF(B2621="insumo",_xlfn.XLOOKUP($D2621,Insumos!$B$1:$B$996,Insumos!$D$1:$D$996),"")</f>
        <v>11.15</v>
      </c>
      <c r="H2621" s="92">
        <v>0.5575</v>
      </c>
      <c r="I2621" s="13">
        <v>0</v>
      </c>
      <c r="J2621" s="13">
        <v>0</v>
      </c>
      <c r="K2621" s="13"/>
      <c r="L2621"/>
      <c r="M2621"/>
      <c r="N2621"/>
      <c r="O2621"/>
      <c r="P2621"/>
      <c r="Q2621"/>
      <c r="R2621"/>
      <c r="S2621"/>
      <c r="T2621"/>
      <c r="U2621"/>
      <c r="V2621"/>
      <c r="W2621"/>
      <c r="X2621"/>
      <c r="Y2621"/>
      <c r="Z2621"/>
      <c r="AA2621"/>
      <c r="AB2621"/>
      <c r="AC2621"/>
      <c r="AD2621"/>
      <c r="AE2621"/>
      <c r="AF2621"/>
      <c r="AG2621"/>
      <c r="AH2621"/>
      <c r="AI2621"/>
      <c r="AJ2621"/>
      <c r="AK2621"/>
      <c r="AL2621"/>
    </row>
    <row r="2622" spans="1:38" ht="15.75" customHeight="1" outlineLevel="2" x14ac:dyDescent="0.2">
      <c r="A2622" s="1067">
        <v>1</v>
      </c>
      <c r="B2622" s="1067" t="s">
        <v>68</v>
      </c>
      <c r="C2622" s="1067" t="s">
        <v>1421</v>
      </c>
      <c r="D2622" s="1067" t="s">
        <v>1421</v>
      </c>
      <c r="E2622" s="1068" t="s">
        <v>70</v>
      </c>
      <c r="F2622" s="1067"/>
      <c r="G2622" s="1069" t="str">
        <f t="array" ref="G2622">IF(B2622="insumo",_xlfn.XLOOKUP($D2622,Insumos!$B$1:$B$996,Insumos!$D$1:$D$996),"")</f>
        <v/>
      </c>
      <c r="H2622" s="1069">
        <v>262.85377499999998</v>
      </c>
      <c r="I2622" s="1070">
        <v>0</v>
      </c>
      <c r="J2622" s="1070">
        <v>0</v>
      </c>
      <c r="K2622" s="1070"/>
      <c r="L2622"/>
      <c r="M2622"/>
      <c r="N2622"/>
      <c r="O2622"/>
      <c r="P2622"/>
      <c r="Q2622"/>
      <c r="R2622"/>
      <c r="S2622"/>
      <c r="T2622"/>
      <c r="U2622"/>
      <c r="V2622"/>
      <c r="W2622"/>
      <c r="X2622"/>
      <c r="Y2622"/>
      <c r="Z2622"/>
      <c r="AA2622"/>
      <c r="AB2622"/>
      <c r="AC2622"/>
      <c r="AD2622"/>
      <c r="AE2622"/>
      <c r="AF2622"/>
      <c r="AG2622"/>
      <c r="AH2622"/>
      <c r="AI2622"/>
      <c r="AJ2622"/>
      <c r="AK2622"/>
      <c r="AL2622"/>
    </row>
    <row r="2623" spans="1:38" ht="15.75" customHeight="1" outlineLevel="3" x14ac:dyDescent="0.2">
      <c r="A2623" s="10">
        <v>3</v>
      </c>
      <c r="B2623" s="10" t="s">
        <v>71</v>
      </c>
      <c r="C2623" s="10" t="s">
        <v>1421</v>
      </c>
      <c r="D2623" s="10" t="s">
        <v>1422</v>
      </c>
      <c r="E2623" s="11" t="str">
        <f t="array" ref="E2623">_xlfn.XLOOKUP(D2623,Insumos!B:B,Insumos!C:$C)</f>
        <v>M2</v>
      </c>
      <c r="F2623" s="14">
        <v>1.1000000000000001</v>
      </c>
      <c r="G2623" s="92">
        <f t="array" ref="G2623">IF(B2623="insumo",_xlfn.XLOOKUP($D2623,Insumos!$B$1:$B$996,Insumos!$D$1:$D$996),"")</f>
        <v>233.37</v>
      </c>
      <c r="H2623" s="92">
        <v>256.70699999999999</v>
      </c>
      <c r="I2623" s="13">
        <v>0</v>
      </c>
      <c r="J2623" s="13">
        <v>0</v>
      </c>
      <c r="K2623" s="13"/>
      <c r="L2623"/>
      <c r="M2623"/>
      <c r="N2623"/>
      <c r="O2623"/>
      <c r="P2623"/>
      <c r="Q2623"/>
      <c r="R2623"/>
      <c r="S2623"/>
      <c r="T2623"/>
      <c r="U2623"/>
      <c r="V2623"/>
      <c r="W2623"/>
      <c r="X2623"/>
      <c r="Y2623"/>
      <c r="Z2623"/>
      <c r="AA2623"/>
      <c r="AB2623"/>
      <c r="AC2623"/>
      <c r="AD2623"/>
      <c r="AE2623"/>
      <c r="AF2623"/>
      <c r="AG2623"/>
      <c r="AH2623"/>
      <c r="AI2623"/>
      <c r="AJ2623"/>
      <c r="AK2623"/>
      <c r="AL2623"/>
    </row>
    <row r="2624" spans="1:38" ht="15.75" customHeight="1" outlineLevel="3" x14ac:dyDescent="0.2">
      <c r="A2624" s="10">
        <v>191</v>
      </c>
      <c r="B2624" s="10" t="s">
        <v>71</v>
      </c>
      <c r="C2624" s="10" t="s">
        <v>1421</v>
      </c>
      <c r="D2624" s="10" t="s">
        <v>481</v>
      </c>
      <c r="E2624" s="11" t="str">
        <f t="array" ref="E2624">_xlfn.XLOOKUP(D2624,Insumos!B:B,Insumos!C:$C)</f>
        <v>KG</v>
      </c>
      <c r="F2624" s="14">
        <v>4.95</v>
      </c>
      <c r="G2624" s="92">
        <f t="array" ref="G2624">IF(B2624="insumo",_xlfn.XLOOKUP($D2624,Insumos!$B$1:$B$996,Insumos!$D$1:$D$996),"")</f>
        <v>1.0645</v>
      </c>
      <c r="H2624" s="92">
        <v>5.2692750000000004</v>
      </c>
      <c r="I2624" s="13">
        <v>0</v>
      </c>
      <c r="J2624" s="13">
        <v>0</v>
      </c>
      <c r="K2624" s="13"/>
      <c r="L2624"/>
      <c r="M2624"/>
      <c r="N2624"/>
      <c r="O2624"/>
      <c r="P2624"/>
      <c r="Q2624"/>
      <c r="R2624"/>
      <c r="S2624"/>
      <c r="T2624"/>
      <c r="U2624"/>
      <c r="V2624"/>
      <c r="W2624"/>
      <c r="X2624"/>
      <c r="Y2624"/>
      <c r="Z2624"/>
      <c r="AA2624"/>
      <c r="AB2624"/>
      <c r="AC2624"/>
      <c r="AD2624"/>
      <c r="AE2624"/>
      <c r="AF2624"/>
      <c r="AG2624"/>
      <c r="AH2624"/>
      <c r="AI2624"/>
      <c r="AJ2624"/>
      <c r="AK2624"/>
      <c r="AL2624"/>
    </row>
    <row r="2625" spans="1:38" ht="15.75" customHeight="1" outlineLevel="3" x14ac:dyDescent="0.2">
      <c r="A2625" s="10">
        <v>142</v>
      </c>
      <c r="B2625" s="10" t="s">
        <v>71</v>
      </c>
      <c r="C2625" s="10" t="s">
        <v>1421</v>
      </c>
      <c r="D2625" s="10" t="s">
        <v>506</v>
      </c>
      <c r="E2625" s="11" t="str">
        <f t="array" ref="E2625">_xlfn.XLOOKUP(D2625,Insumos!B:B,Insumos!C:$C)</f>
        <v>UN</v>
      </c>
      <c r="F2625" s="14">
        <v>4</v>
      </c>
      <c r="G2625" s="92">
        <f t="array" ref="G2625">IF(B2625="insumo",_xlfn.XLOOKUP($D2625,Insumos!$B$1:$B$996,Insumos!$D$1:$D$996),"")</f>
        <v>0.08</v>
      </c>
      <c r="H2625" s="92">
        <v>0.32</v>
      </c>
      <c r="I2625" s="13">
        <v>0</v>
      </c>
      <c r="J2625" s="13">
        <v>0</v>
      </c>
      <c r="K2625" s="13"/>
      <c r="L2625"/>
      <c r="M2625"/>
      <c r="N2625"/>
      <c r="O2625"/>
      <c r="P2625"/>
      <c r="Q2625"/>
      <c r="R2625"/>
      <c r="S2625"/>
      <c r="T2625"/>
      <c r="U2625"/>
      <c r="V2625"/>
      <c r="W2625"/>
      <c r="X2625"/>
      <c r="Y2625"/>
      <c r="Z2625"/>
      <c r="AA2625"/>
      <c r="AB2625"/>
      <c r="AC2625"/>
      <c r="AD2625"/>
      <c r="AE2625"/>
      <c r="AF2625"/>
      <c r="AG2625"/>
      <c r="AH2625"/>
      <c r="AI2625"/>
      <c r="AJ2625"/>
      <c r="AK2625"/>
      <c r="AL2625"/>
    </row>
    <row r="2626" spans="1:38" ht="15.75" customHeight="1" outlineLevel="3" x14ac:dyDescent="0.2">
      <c r="A2626" s="10">
        <v>101</v>
      </c>
      <c r="B2626" s="10" t="s">
        <v>71</v>
      </c>
      <c r="C2626" s="10" t="s">
        <v>1421</v>
      </c>
      <c r="D2626" s="10" t="s">
        <v>507</v>
      </c>
      <c r="E2626" s="11" t="str">
        <f t="array" ref="E2626">_xlfn.XLOOKUP(D2626,Insumos!B:B,Insumos!C:$C)</f>
        <v>KG</v>
      </c>
      <c r="F2626" s="14">
        <v>0.05</v>
      </c>
      <c r="G2626" s="92">
        <f t="array" ref="G2626">IF(B2626="insumo",_xlfn.XLOOKUP($D2626,Insumos!$B$1:$B$996,Insumos!$D$1:$D$996),"")</f>
        <v>11.15</v>
      </c>
      <c r="H2626" s="92">
        <v>0.5575</v>
      </c>
      <c r="I2626" s="13">
        <v>0</v>
      </c>
      <c r="J2626" s="13">
        <v>0</v>
      </c>
      <c r="K2626" s="13"/>
      <c r="L2626"/>
      <c r="M2626"/>
      <c r="N2626"/>
      <c r="O2626"/>
      <c r="P2626"/>
      <c r="Q2626"/>
      <c r="R2626"/>
      <c r="S2626"/>
      <c r="T2626"/>
      <c r="U2626"/>
      <c r="V2626"/>
      <c r="W2626"/>
      <c r="X2626"/>
      <c r="Y2626"/>
      <c r="Z2626"/>
      <c r="AA2626"/>
      <c r="AB2626"/>
      <c r="AC2626"/>
      <c r="AD2626"/>
      <c r="AE2626"/>
      <c r="AF2626"/>
      <c r="AG2626"/>
      <c r="AH2626"/>
      <c r="AI2626"/>
      <c r="AJ2626"/>
      <c r="AK2626"/>
      <c r="AL2626"/>
    </row>
    <row r="2627" spans="1:38" ht="15.75" customHeight="1" outlineLevel="2" x14ac:dyDescent="0.2">
      <c r="A2627" s="1067">
        <v>1</v>
      </c>
      <c r="B2627" s="1067" t="s">
        <v>68</v>
      </c>
      <c r="C2627" s="1067" t="s">
        <v>1418</v>
      </c>
      <c r="D2627" s="1067" t="s">
        <v>1418</v>
      </c>
      <c r="E2627" s="1068" t="s">
        <v>70</v>
      </c>
      <c r="F2627" s="1067"/>
      <c r="G2627" s="1069" t="str">
        <f t="array" ref="G2627">IF(B2627="insumo",_xlfn.XLOOKUP($D2627,Insumos!$B$1:$B$996,Insumos!$D$1:$D$996),"")</f>
        <v/>
      </c>
      <c r="H2627" s="1069">
        <v>186.172775</v>
      </c>
      <c r="I2627" s="1070">
        <v>0</v>
      </c>
      <c r="J2627" s="1070">
        <v>0</v>
      </c>
      <c r="K2627" s="1070"/>
      <c r="L2627"/>
      <c r="M2627"/>
      <c r="N2627"/>
      <c r="O2627"/>
      <c r="P2627"/>
      <c r="Q2627"/>
      <c r="R2627"/>
      <c r="S2627"/>
      <c r="T2627"/>
      <c r="U2627"/>
      <c r="V2627"/>
      <c r="W2627"/>
      <c r="X2627"/>
      <c r="Y2627"/>
      <c r="Z2627"/>
      <c r="AA2627"/>
      <c r="AB2627"/>
      <c r="AC2627"/>
      <c r="AD2627"/>
      <c r="AE2627"/>
      <c r="AF2627"/>
      <c r="AG2627"/>
      <c r="AH2627"/>
      <c r="AI2627"/>
      <c r="AJ2627"/>
      <c r="AK2627"/>
      <c r="AL2627"/>
    </row>
    <row r="2628" spans="1:38" ht="15.75" customHeight="1" outlineLevel="3" x14ac:dyDescent="0.2">
      <c r="A2628" s="10">
        <v>2</v>
      </c>
      <c r="B2628" s="10" t="s">
        <v>71</v>
      </c>
      <c r="C2628" s="10" t="s">
        <v>1418</v>
      </c>
      <c r="D2628" s="10" t="s">
        <v>1423</v>
      </c>
      <c r="E2628" s="11" t="str">
        <f t="array" ref="E2628">_xlfn.XLOOKUP(D2628,Insumos!B:B,Insumos!C:$C)</f>
        <v>M2</v>
      </c>
      <c r="F2628" s="14">
        <v>1.1000000000000001</v>
      </c>
      <c r="G2628" s="92">
        <f t="array" ref="G2628">IF(B2628="insumo",_xlfn.XLOOKUP($D2628,Insumos!$B$1:$B$996,Insumos!$D$1:$D$996),"")</f>
        <v>163.66</v>
      </c>
      <c r="H2628" s="92">
        <v>180.02600000000001</v>
      </c>
      <c r="I2628" s="13">
        <v>0</v>
      </c>
      <c r="J2628" s="13">
        <v>0</v>
      </c>
      <c r="K2628" s="13"/>
      <c r="L2628"/>
      <c r="M2628"/>
      <c r="N2628"/>
      <c r="O2628"/>
      <c r="P2628"/>
      <c r="Q2628"/>
      <c r="R2628"/>
      <c r="S2628"/>
      <c r="T2628"/>
      <c r="U2628"/>
      <c r="V2628"/>
      <c r="W2628"/>
      <c r="X2628"/>
      <c r="Y2628"/>
      <c r="Z2628"/>
      <c r="AA2628"/>
      <c r="AB2628"/>
      <c r="AC2628"/>
      <c r="AD2628"/>
      <c r="AE2628"/>
      <c r="AF2628"/>
      <c r="AG2628"/>
      <c r="AH2628"/>
      <c r="AI2628"/>
      <c r="AJ2628"/>
      <c r="AK2628"/>
      <c r="AL2628"/>
    </row>
    <row r="2629" spans="1:38" ht="15.75" customHeight="1" outlineLevel="3" x14ac:dyDescent="0.2">
      <c r="A2629" s="10">
        <v>191</v>
      </c>
      <c r="B2629" s="10" t="s">
        <v>71</v>
      </c>
      <c r="C2629" s="10" t="s">
        <v>1418</v>
      </c>
      <c r="D2629" s="10" t="s">
        <v>481</v>
      </c>
      <c r="E2629" s="11" t="str">
        <f t="array" ref="E2629">_xlfn.XLOOKUP(D2629,Insumos!B:B,Insumos!C:$C)</f>
        <v>KG</v>
      </c>
      <c r="F2629" s="14">
        <v>4.95</v>
      </c>
      <c r="G2629" s="92">
        <f t="array" ref="G2629">IF(B2629="insumo",_xlfn.XLOOKUP($D2629,Insumos!$B$1:$B$996,Insumos!$D$1:$D$996),"")</f>
        <v>1.0645</v>
      </c>
      <c r="H2629" s="92">
        <v>5.2692750000000004</v>
      </c>
      <c r="I2629" s="13">
        <v>0</v>
      </c>
      <c r="J2629" s="13">
        <v>0</v>
      </c>
      <c r="K2629" s="13"/>
      <c r="L2629"/>
      <c r="M2629"/>
      <c r="N2629"/>
      <c r="O2629"/>
      <c r="P2629"/>
      <c r="Q2629"/>
      <c r="R2629"/>
      <c r="S2629"/>
      <c r="T2629"/>
      <c r="U2629"/>
      <c r="V2629"/>
      <c r="W2629"/>
      <c r="X2629"/>
      <c r="Y2629"/>
      <c r="Z2629"/>
      <c r="AA2629"/>
      <c r="AB2629"/>
      <c r="AC2629"/>
      <c r="AD2629"/>
      <c r="AE2629"/>
      <c r="AF2629"/>
      <c r="AG2629"/>
      <c r="AH2629"/>
      <c r="AI2629"/>
      <c r="AJ2629"/>
      <c r="AK2629"/>
      <c r="AL2629"/>
    </row>
    <row r="2630" spans="1:38" ht="15.75" customHeight="1" outlineLevel="3" x14ac:dyDescent="0.2">
      <c r="A2630" s="10">
        <v>142</v>
      </c>
      <c r="B2630" s="10" t="s">
        <v>71</v>
      </c>
      <c r="C2630" s="10" t="s">
        <v>1418</v>
      </c>
      <c r="D2630" s="10" t="s">
        <v>506</v>
      </c>
      <c r="E2630" s="11" t="str">
        <f t="array" ref="E2630">_xlfn.XLOOKUP(D2630,Insumos!B:B,Insumos!C:$C)</f>
        <v>UN</v>
      </c>
      <c r="F2630" s="14">
        <v>4</v>
      </c>
      <c r="G2630" s="92">
        <f t="array" ref="G2630">IF(B2630="insumo",_xlfn.XLOOKUP($D2630,Insumos!$B$1:$B$996,Insumos!$D$1:$D$996),"")</f>
        <v>0.08</v>
      </c>
      <c r="H2630" s="92">
        <v>0.32</v>
      </c>
      <c r="I2630" s="13">
        <v>0</v>
      </c>
      <c r="J2630" s="13">
        <v>0</v>
      </c>
      <c r="K2630" s="13"/>
      <c r="L2630"/>
      <c r="M2630"/>
      <c r="N2630"/>
      <c r="O2630"/>
      <c r="P2630"/>
      <c r="Q2630"/>
      <c r="R2630"/>
      <c r="S2630"/>
      <c r="T2630"/>
      <c r="U2630"/>
      <c r="V2630"/>
      <c r="W2630"/>
      <c r="X2630"/>
      <c r="Y2630"/>
      <c r="Z2630"/>
      <c r="AA2630"/>
      <c r="AB2630"/>
      <c r="AC2630"/>
      <c r="AD2630"/>
      <c r="AE2630"/>
      <c r="AF2630"/>
      <c r="AG2630"/>
      <c r="AH2630"/>
      <c r="AI2630"/>
      <c r="AJ2630"/>
      <c r="AK2630"/>
      <c r="AL2630"/>
    </row>
    <row r="2631" spans="1:38" ht="15.75" customHeight="1" outlineLevel="3" x14ac:dyDescent="0.2">
      <c r="A2631" s="10">
        <v>101</v>
      </c>
      <c r="B2631" s="10" t="s">
        <v>71</v>
      </c>
      <c r="C2631" s="10" t="s">
        <v>1418</v>
      </c>
      <c r="D2631" s="10" t="s">
        <v>507</v>
      </c>
      <c r="E2631" s="11" t="str">
        <f t="array" ref="E2631">_xlfn.XLOOKUP(D2631,Insumos!B:B,Insumos!C:$C)</f>
        <v>KG</v>
      </c>
      <c r="F2631" s="14">
        <v>0.05</v>
      </c>
      <c r="G2631" s="92">
        <f t="array" ref="G2631">IF(B2631="insumo",_xlfn.XLOOKUP($D2631,Insumos!$B$1:$B$996,Insumos!$D$1:$D$996),"")</f>
        <v>11.15</v>
      </c>
      <c r="H2631" s="92">
        <v>0.5575</v>
      </c>
      <c r="I2631" s="13">
        <v>0</v>
      </c>
      <c r="J2631" s="13">
        <v>0</v>
      </c>
      <c r="K2631" s="13"/>
      <c r="L2631"/>
      <c r="M2631"/>
      <c r="N2631"/>
      <c r="O2631"/>
      <c r="P2631"/>
      <c r="Q2631"/>
      <c r="R2631"/>
      <c r="S2631"/>
      <c r="T2631"/>
      <c r="U2631"/>
      <c r="V2631"/>
      <c r="W2631"/>
      <c r="X2631"/>
      <c r="Y2631"/>
      <c r="Z2631"/>
      <c r="AA2631"/>
      <c r="AB2631"/>
      <c r="AC2631"/>
      <c r="AD2631"/>
      <c r="AE2631"/>
      <c r="AF2631"/>
      <c r="AG2631"/>
      <c r="AH2631"/>
      <c r="AI2631"/>
      <c r="AJ2631"/>
      <c r="AK2631"/>
      <c r="AL2631"/>
    </row>
    <row r="2632" spans="1:38" ht="15.75" customHeight="1" outlineLevel="2" x14ac:dyDescent="0.2">
      <c r="A2632" s="1067">
        <v>1</v>
      </c>
      <c r="B2632" s="1067" t="s">
        <v>68</v>
      </c>
      <c r="C2632" s="1067" t="s">
        <v>1419</v>
      </c>
      <c r="D2632" s="1067" t="s">
        <v>1419</v>
      </c>
      <c r="E2632" s="1068" t="s">
        <v>70</v>
      </c>
      <c r="F2632" s="1067"/>
      <c r="G2632" s="1069" t="str">
        <f t="array" ref="G2632">IF(B2632="insumo",_xlfn.XLOOKUP($D2632,Insumos!$B$1:$B$996,Insumos!$D$1:$D$996),"")</f>
        <v/>
      </c>
      <c r="H2632" s="1069">
        <v>167.23077499999999</v>
      </c>
      <c r="I2632" s="1070">
        <v>0</v>
      </c>
      <c r="J2632" s="1070">
        <v>0</v>
      </c>
      <c r="K2632" s="1070"/>
      <c r="L2632"/>
      <c r="M2632"/>
      <c r="N2632"/>
      <c r="O2632"/>
      <c r="P2632"/>
      <c r="Q2632"/>
      <c r="R2632"/>
      <c r="S2632"/>
      <c r="T2632"/>
      <c r="U2632"/>
      <c r="V2632"/>
      <c r="W2632"/>
      <c r="X2632"/>
      <c r="Y2632"/>
      <c r="Z2632"/>
      <c r="AA2632"/>
      <c r="AB2632"/>
      <c r="AC2632"/>
      <c r="AD2632"/>
      <c r="AE2632"/>
      <c r="AF2632"/>
      <c r="AG2632"/>
      <c r="AH2632"/>
      <c r="AI2632"/>
      <c r="AJ2632"/>
      <c r="AK2632"/>
      <c r="AL2632"/>
    </row>
    <row r="2633" spans="1:38" ht="15.75" customHeight="1" outlineLevel="3" x14ac:dyDescent="0.2">
      <c r="A2633" s="10">
        <v>1</v>
      </c>
      <c r="B2633" s="10" t="s">
        <v>71</v>
      </c>
      <c r="C2633" s="10" t="s">
        <v>1419</v>
      </c>
      <c r="D2633" s="10" t="s">
        <v>1424</v>
      </c>
      <c r="E2633" s="11" t="str">
        <f t="array" ref="E2633">_xlfn.XLOOKUP(D2633,Insumos!B:B,Insumos!C:$C)</f>
        <v>M2</v>
      </c>
      <c r="F2633" s="14">
        <v>1.1000000000000001</v>
      </c>
      <c r="G2633" s="92">
        <f t="array" ref="G2633">IF(B2633="insumo",_xlfn.XLOOKUP($D2633,Insumos!$B$1:$B$996,Insumos!$D$1:$D$996),"")</f>
        <v>146.44</v>
      </c>
      <c r="H2633" s="92">
        <v>161.084</v>
      </c>
      <c r="I2633" s="13">
        <v>0</v>
      </c>
      <c r="J2633" s="13">
        <v>0</v>
      </c>
      <c r="K2633" s="13"/>
      <c r="L2633"/>
      <c r="M2633"/>
      <c r="N2633"/>
      <c r="O2633"/>
      <c r="P2633"/>
      <c r="Q2633"/>
      <c r="R2633"/>
      <c r="S2633"/>
      <c r="T2633"/>
      <c r="U2633"/>
      <c r="V2633"/>
      <c r="W2633"/>
      <c r="X2633"/>
      <c r="Y2633"/>
      <c r="Z2633"/>
      <c r="AA2633"/>
      <c r="AB2633"/>
      <c r="AC2633"/>
      <c r="AD2633"/>
      <c r="AE2633"/>
      <c r="AF2633"/>
      <c r="AG2633"/>
      <c r="AH2633"/>
      <c r="AI2633"/>
      <c r="AJ2633"/>
      <c r="AK2633"/>
      <c r="AL2633"/>
    </row>
    <row r="2634" spans="1:38" ht="15.75" customHeight="1" outlineLevel="3" x14ac:dyDescent="0.2">
      <c r="A2634" s="10">
        <v>191</v>
      </c>
      <c r="B2634" s="10" t="s">
        <v>71</v>
      </c>
      <c r="C2634" s="10" t="s">
        <v>1419</v>
      </c>
      <c r="D2634" s="10" t="s">
        <v>481</v>
      </c>
      <c r="E2634" s="11" t="str">
        <f t="array" ref="E2634">_xlfn.XLOOKUP(D2634,Insumos!B:B,Insumos!C:$C)</f>
        <v>KG</v>
      </c>
      <c r="F2634" s="14">
        <v>4.95</v>
      </c>
      <c r="G2634" s="92">
        <f t="array" ref="G2634">IF(B2634="insumo",_xlfn.XLOOKUP($D2634,Insumos!$B$1:$B$996,Insumos!$D$1:$D$996),"")</f>
        <v>1.0645</v>
      </c>
      <c r="H2634" s="92">
        <v>5.2692750000000004</v>
      </c>
      <c r="I2634" s="13">
        <v>0</v>
      </c>
      <c r="J2634" s="13">
        <v>0</v>
      </c>
      <c r="K2634" s="13"/>
      <c r="L2634"/>
      <c r="M2634"/>
      <c r="N2634"/>
      <c r="O2634"/>
      <c r="P2634"/>
      <c r="Q2634"/>
      <c r="R2634"/>
      <c r="S2634"/>
      <c r="T2634"/>
      <c r="U2634"/>
      <c r="V2634"/>
      <c r="W2634"/>
      <c r="X2634"/>
      <c r="Y2634"/>
      <c r="Z2634"/>
      <c r="AA2634"/>
      <c r="AB2634"/>
      <c r="AC2634"/>
      <c r="AD2634"/>
      <c r="AE2634"/>
      <c r="AF2634"/>
      <c r="AG2634"/>
      <c r="AH2634"/>
      <c r="AI2634"/>
      <c r="AJ2634"/>
      <c r="AK2634"/>
      <c r="AL2634"/>
    </row>
    <row r="2635" spans="1:38" ht="15.75" customHeight="1" outlineLevel="3" x14ac:dyDescent="0.2">
      <c r="A2635" s="10">
        <v>142</v>
      </c>
      <c r="B2635" s="10" t="s">
        <v>71</v>
      </c>
      <c r="C2635" s="10" t="s">
        <v>1419</v>
      </c>
      <c r="D2635" s="10" t="s">
        <v>506</v>
      </c>
      <c r="E2635" s="11" t="str">
        <f t="array" ref="E2635">_xlfn.XLOOKUP(D2635,Insumos!B:B,Insumos!C:$C)</f>
        <v>UN</v>
      </c>
      <c r="F2635" s="14">
        <v>4</v>
      </c>
      <c r="G2635" s="92">
        <f t="array" ref="G2635">IF(B2635="insumo",_xlfn.XLOOKUP($D2635,Insumos!$B$1:$B$996,Insumos!$D$1:$D$996),"")</f>
        <v>0.08</v>
      </c>
      <c r="H2635" s="92">
        <v>0.32</v>
      </c>
      <c r="I2635" s="13">
        <v>0</v>
      </c>
      <c r="J2635" s="13">
        <v>0</v>
      </c>
      <c r="K2635" s="13"/>
      <c r="L2635"/>
      <c r="M2635"/>
      <c r="N2635"/>
      <c r="O2635"/>
      <c r="P2635"/>
      <c r="Q2635"/>
      <c r="R2635"/>
      <c r="S2635"/>
      <c r="T2635"/>
      <c r="U2635"/>
      <c r="V2635"/>
      <c r="W2635"/>
      <c r="X2635"/>
      <c r="Y2635"/>
      <c r="Z2635"/>
      <c r="AA2635"/>
      <c r="AB2635"/>
      <c r="AC2635"/>
      <c r="AD2635"/>
      <c r="AE2635"/>
      <c r="AF2635"/>
      <c r="AG2635"/>
      <c r="AH2635"/>
      <c r="AI2635"/>
      <c r="AJ2635"/>
      <c r="AK2635"/>
      <c r="AL2635"/>
    </row>
    <row r="2636" spans="1:38" ht="15.75" customHeight="1" outlineLevel="3" x14ac:dyDescent="0.2">
      <c r="A2636" s="10">
        <v>101</v>
      </c>
      <c r="B2636" s="10" t="s">
        <v>71</v>
      </c>
      <c r="C2636" s="10" t="s">
        <v>1419</v>
      </c>
      <c r="D2636" s="10" t="s">
        <v>507</v>
      </c>
      <c r="E2636" s="11" t="str">
        <f t="array" ref="E2636">_xlfn.XLOOKUP(D2636,Insumos!B:B,Insumos!C:$C)</f>
        <v>KG</v>
      </c>
      <c r="F2636" s="14">
        <v>0.05</v>
      </c>
      <c r="G2636" s="92">
        <f t="array" ref="G2636">IF(B2636="insumo",_xlfn.XLOOKUP($D2636,Insumos!$B$1:$B$996,Insumos!$D$1:$D$996),"")</f>
        <v>11.15</v>
      </c>
      <c r="H2636" s="92">
        <v>0.5575</v>
      </c>
      <c r="I2636" s="13">
        <v>0</v>
      </c>
      <c r="J2636" s="13">
        <v>0</v>
      </c>
      <c r="K2636" s="13"/>
      <c r="L2636"/>
      <c r="M2636"/>
      <c r="N2636"/>
      <c r="O2636"/>
      <c r="P2636"/>
      <c r="Q2636"/>
      <c r="R2636"/>
      <c r="S2636"/>
      <c r="T2636"/>
      <c r="U2636"/>
      <c r="V2636"/>
      <c r="W2636"/>
      <c r="X2636"/>
      <c r="Y2636"/>
      <c r="Z2636"/>
      <c r="AA2636"/>
      <c r="AB2636"/>
      <c r="AC2636"/>
      <c r="AD2636"/>
      <c r="AE2636"/>
      <c r="AF2636"/>
      <c r="AG2636"/>
      <c r="AH2636"/>
      <c r="AI2636"/>
      <c r="AJ2636"/>
      <c r="AK2636"/>
      <c r="AL2636"/>
    </row>
    <row r="2637" spans="1:38" ht="15.75" customHeight="1" outlineLevel="1" x14ac:dyDescent="0.2">
      <c r="A2637" s="1090">
        <v>1</v>
      </c>
      <c r="B2637" s="1090" t="s">
        <v>1228</v>
      </c>
      <c r="C2637" s="1090" t="s">
        <v>1419</v>
      </c>
      <c r="D2637" s="1090" t="s">
        <v>1401</v>
      </c>
      <c r="E2637" s="1091"/>
      <c r="F2637" s="1092"/>
      <c r="G2637" s="1091"/>
      <c r="H2637" s="1091">
        <v>0</v>
      </c>
      <c r="I2637" s="1092">
        <v>0</v>
      </c>
      <c r="J2637" s="1092">
        <v>0</v>
      </c>
      <c r="K2637" s="1092"/>
      <c r="L2637"/>
      <c r="M2637"/>
      <c r="N2637"/>
      <c r="O2637"/>
      <c r="P2637"/>
      <c r="Q2637"/>
      <c r="R2637"/>
      <c r="S2637"/>
      <c r="T2637"/>
      <c r="U2637"/>
      <c r="V2637"/>
      <c r="W2637"/>
      <c r="X2637"/>
      <c r="Y2637"/>
      <c r="Z2637"/>
      <c r="AA2637"/>
      <c r="AB2637"/>
      <c r="AC2637"/>
      <c r="AD2637"/>
      <c r="AE2637"/>
      <c r="AF2637"/>
      <c r="AG2637"/>
      <c r="AH2637"/>
      <c r="AI2637"/>
      <c r="AJ2637"/>
      <c r="AK2637"/>
      <c r="AL2637"/>
    </row>
    <row r="2638" spans="1:38" ht="15.75" customHeight="1" outlineLevel="2" x14ac:dyDescent="0.2">
      <c r="A2638" s="1067">
        <v>1</v>
      </c>
      <c r="B2638" s="1067" t="s">
        <v>68</v>
      </c>
      <c r="C2638" s="1067" t="s">
        <v>1435</v>
      </c>
      <c r="D2638" s="1067" t="s">
        <v>1435</v>
      </c>
      <c r="E2638" s="1068" t="s">
        <v>70</v>
      </c>
      <c r="F2638" s="1067"/>
      <c r="G2638" s="1069" t="str">
        <f t="array" ref="G2638">IF(B2638="insumo",_xlfn.XLOOKUP($D2638,Insumos!$B$1:$B$996,Insumos!$D$1:$D$996),"")</f>
        <v/>
      </c>
      <c r="H2638" s="1069">
        <v>733.24549999999999</v>
      </c>
      <c r="I2638" s="1070">
        <v>0</v>
      </c>
      <c r="J2638" s="1070">
        <v>0</v>
      </c>
      <c r="K2638" s="1070"/>
      <c r="L2638"/>
      <c r="M2638"/>
      <c r="N2638"/>
      <c r="O2638"/>
      <c r="P2638"/>
      <c r="Q2638"/>
      <c r="R2638"/>
      <c r="S2638"/>
      <c r="T2638"/>
      <c r="U2638"/>
      <c r="V2638"/>
      <c r="W2638"/>
      <c r="X2638"/>
      <c r="Y2638"/>
      <c r="Z2638"/>
      <c r="AA2638"/>
      <c r="AB2638"/>
      <c r="AC2638"/>
      <c r="AD2638"/>
      <c r="AE2638"/>
      <c r="AF2638"/>
      <c r="AG2638"/>
      <c r="AH2638"/>
      <c r="AI2638"/>
      <c r="AJ2638"/>
      <c r="AK2638"/>
      <c r="AL2638"/>
    </row>
    <row r="2639" spans="1:38" ht="15.75" customHeight="1" outlineLevel="3" x14ac:dyDescent="0.2">
      <c r="A2639" s="10">
        <v>3</v>
      </c>
      <c r="B2639" s="10" t="s">
        <v>71</v>
      </c>
      <c r="C2639" s="10" t="s">
        <v>1435</v>
      </c>
      <c r="D2639" s="10" t="s">
        <v>529</v>
      </c>
      <c r="E2639" s="11" t="str">
        <f t="array" ref="E2639">_xlfn.XLOOKUP(D2639,Insumos!B:B,Insumos!C:$C)</f>
        <v>M2</v>
      </c>
      <c r="F2639" s="14">
        <v>1.1000000000000001</v>
      </c>
      <c r="G2639" s="92">
        <f t="array" ref="G2639">IF(B2639="insumo",_xlfn.XLOOKUP($D2639,Insumos!$B$1:$B$996,Insumos!$D$1:$D$996),"")</f>
        <v>650</v>
      </c>
      <c r="H2639" s="92">
        <v>715</v>
      </c>
      <c r="I2639" s="13">
        <v>0</v>
      </c>
      <c r="J2639" s="13">
        <v>0</v>
      </c>
      <c r="K2639" s="13"/>
      <c r="L2639"/>
      <c r="M2639"/>
      <c r="N2639"/>
      <c r="O2639"/>
      <c r="P2639"/>
      <c r="Q2639"/>
      <c r="R2639"/>
      <c r="S2639"/>
      <c r="T2639"/>
      <c r="U2639"/>
      <c r="V2639"/>
      <c r="W2639"/>
      <c r="X2639"/>
      <c r="Y2639"/>
      <c r="Z2639"/>
      <c r="AA2639"/>
      <c r="AB2639"/>
      <c r="AC2639"/>
      <c r="AD2639"/>
      <c r="AE2639"/>
      <c r="AF2639"/>
      <c r="AG2639"/>
      <c r="AH2639"/>
      <c r="AI2639"/>
      <c r="AJ2639"/>
      <c r="AK2639"/>
      <c r="AL2639"/>
    </row>
    <row r="2640" spans="1:38" ht="15.75" customHeight="1" outlineLevel="3" x14ac:dyDescent="0.2">
      <c r="A2640" s="10">
        <v>191</v>
      </c>
      <c r="B2640" s="10" t="s">
        <v>71</v>
      </c>
      <c r="C2640" s="10" t="s">
        <v>1435</v>
      </c>
      <c r="D2640" s="10" t="s">
        <v>481</v>
      </c>
      <c r="E2640" s="11" t="str">
        <f t="array" ref="E2640">_xlfn.XLOOKUP(D2640,Insumos!B:B,Insumos!C:$C)</f>
        <v>KG</v>
      </c>
      <c r="F2640" s="14">
        <v>9</v>
      </c>
      <c r="G2640" s="92">
        <f t="array" ref="G2640">IF(B2640="insumo",_xlfn.XLOOKUP($D2640,Insumos!$B$1:$B$996,Insumos!$D$1:$D$996),"")</f>
        <v>1.0645</v>
      </c>
      <c r="H2640" s="92">
        <v>9.5805000000000007</v>
      </c>
      <c r="I2640" s="13">
        <v>0</v>
      </c>
      <c r="J2640" s="13">
        <v>0</v>
      </c>
      <c r="K2640" s="13"/>
      <c r="L2640"/>
      <c r="M2640"/>
      <c r="N2640"/>
      <c r="O2640"/>
      <c r="P2640"/>
      <c r="Q2640"/>
      <c r="R2640"/>
      <c r="S2640"/>
      <c r="T2640"/>
      <c r="U2640"/>
      <c r="V2640"/>
      <c r="W2640"/>
      <c r="X2640"/>
      <c r="Y2640"/>
      <c r="Z2640"/>
      <c r="AA2640"/>
      <c r="AB2640"/>
      <c r="AC2640"/>
      <c r="AD2640"/>
      <c r="AE2640"/>
      <c r="AF2640"/>
      <c r="AG2640"/>
      <c r="AH2640"/>
      <c r="AI2640"/>
      <c r="AJ2640"/>
      <c r="AK2640"/>
      <c r="AL2640"/>
    </row>
    <row r="2641" spans="1:38" ht="15.75" customHeight="1" outlineLevel="3" x14ac:dyDescent="0.2">
      <c r="A2641" s="10">
        <v>34</v>
      </c>
      <c r="B2641" s="10" t="s">
        <v>71</v>
      </c>
      <c r="C2641" s="10" t="s">
        <v>1435</v>
      </c>
      <c r="D2641" s="10" t="s">
        <v>538</v>
      </c>
      <c r="E2641" s="11" t="str">
        <f t="array" ref="E2641">_xlfn.XLOOKUP(D2641,Insumos!B:B,Insumos!C:$C)</f>
        <v>UN</v>
      </c>
      <c r="F2641" s="14">
        <v>0.5</v>
      </c>
      <c r="G2641" s="92">
        <f t="array" ref="G2641">IF(B2641="insumo",_xlfn.XLOOKUP($D2641,Insumos!$B$1:$B$996,Insumos!$D$1:$D$996),"")</f>
        <v>17.329999999999998</v>
      </c>
      <c r="H2641" s="92">
        <v>8.6649999999999991</v>
      </c>
      <c r="I2641" s="13">
        <v>0</v>
      </c>
      <c r="J2641" s="13">
        <v>0</v>
      </c>
      <c r="K2641" s="13"/>
      <c r="L2641"/>
      <c r="M2641"/>
      <c r="N2641"/>
      <c r="O2641"/>
      <c r="P2641"/>
      <c r="Q2641"/>
      <c r="R2641"/>
      <c r="S2641"/>
      <c r="T2641"/>
      <c r="U2641"/>
      <c r="V2641"/>
      <c r="W2641"/>
      <c r="X2641"/>
      <c r="Y2641"/>
      <c r="Z2641"/>
      <c r="AA2641"/>
      <c r="AB2641"/>
      <c r="AC2641"/>
      <c r="AD2641"/>
      <c r="AE2641"/>
      <c r="AF2641"/>
      <c r="AG2641"/>
      <c r="AH2641"/>
      <c r="AI2641"/>
      <c r="AJ2641"/>
      <c r="AK2641"/>
      <c r="AL2641"/>
    </row>
    <row r="2642" spans="1:38" ht="15.75" customHeight="1" outlineLevel="2" x14ac:dyDescent="0.2">
      <c r="A2642" s="1067">
        <v>1</v>
      </c>
      <c r="B2642" s="1067" t="s">
        <v>68</v>
      </c>
      <c r="C2642" s="1067" t="s">
        <v>2872</v>
      </c>
      <c r="D2642" s="1067" t="s">
        <v>2872</v>
      </c>
      <c r="E2642" s="1068" t="s">
        <v>70</v>
      </c>
      <c r="F2642" s="1067"/>
      <c r="G2642" s="1069" t="str">
        <f t="array" ref="G2642">IF(B2642="insumo",_xlfn.XLOOKUP($D2642,Insumos!$B$1:$B$996,Insumos!$D$1:$D$996),"")</f>
        <v/>
      </c>
      <c r="H2642" s="1069">
        <v>898.24549999999999</v>
      </c>
      <c r="I2642" s="1070" t="e">
        <v>#REF!</v>
      </c>
      <c r="J2642" s="1070" t="e">
        <v>#REF!</v>
      </c>
      <c r="K2642" s="1070"/>
      <c r="L2642"/>
      <c r="M2642"/>
      <c r="N2642"/>
      <c r="O2642"/>
      <c r="P2642"/>
      <c r="Q2642"/>
      <c r="R2642"/>
      <c r="S2642"/>
      <c r="T2642"/>
      <c r="U2642"/>
      <c r="V2642"/>
      <c r="W2642"/>
      <c r="X2642"/>
      <c r="Y2642"/>
      <c r="Z2642"/>
      <c r="AA2642"/>
      <c r="AB2642"/>
      <c r="AC2642"/>
      <c r="AD2642"/>
      <c r="AE2642"/>
      <c r="AF2642"/>
      <c r="AG2642"/>
      <c r="AH2642"/>
      <c r="AI2642"/>
      <c r="AJ2642"/>
      <c r="AK2642"/>
      <c r="AL2642"/>
    </row>
    <row r="2643" spans="1:38" ht="15.75" customHeight="1" outlineLevel="3" x14ac:dyDescent="0.2">
      <c r="A2643" s="10">
        <v>4</v>
      </c>
      <c r="B2643" s="10" t="s">
        <v>71</v>
      </c>
      <c r="C2643" s="10" t="s">
        <v>2872</v>
      </c>
      <c r="D2643" s="10" t="s">
        <v>2873</v>
      </c>
      <c r="E2643" s="11" t="str">
        <f t="array" ref="E2643">_xlfn.XLOOKUP(D2643,Insumos!B:B,Insumos!C:$C)</f>
        <v>M2</v>
      </c>
      <c r="F2643" s="14">
        <v>1.1000000000000001</v>
      </c>
      <c r="G2643" s="92">
        <f t="array" ref="G2643">IF(B2643="insumo",_xlfn.XLOOKUP($D2643,Insumos!$B$1:$B$996,Insumos!$D$1:$D$996),"")</f>
        <v>800</v>
      </c>
      <c r="H2643" s="92">
        <v>880</v>
      </c>
      <c r="I2643" s="13" t="e">
        <v>#REF!</v>
      </c>
      <c r="J2643" s="13" t="e">
        <v>#REF!</v>
      </c>
      <c r="K2643" s="13"/>
      <c r="L2643"/>
      <c r="M2643"/>
      <c r="N2643"/>
      <c r="O2643"/>
      <c r="P2643"/>
      <c r="Q2643"/>
      <c r="R2643"/>
      <c r="S2643"/>
      <c r="T2643"/>
      <c r="U2643"/>
      <c r="V2643"/>
      <c r="W2643"/>
      <c r="X2643"/>
      <c r="Y2643"/>
      <c r="Z2643"/>
      <c r="AA2643"/>
      <c r="AB2643"/>
      <c r="AC2643"/>
      <c r="AD2643"/>
      <c r="AE2643"/>
      <c r="AF2643"/>
      <c r="AG2643"/>
      <c r="AH2643"/>
      <c r="AI2643"/>
      <c r="AJ2643"/>
      <c r="AK2643"/>
      <c r="AL2643"/>
    </row>
    <row r="2644" spans="1:38" ht="15.75" customHeight="1" outlineLevel="3" x14ac:dyDescent="0.2">
      <c r="A2644" s="10">
        <v>191</v>
      </c>
      <c r="B2644" s="10" t="s">
        <v>71</v>
      </c>
      <c r="C2644" s="10" t="s">
        <v>2872</v>
      </c>
      <c r="D2644" s="10" t="s">
        <v>481</v>
      </c>
      <c r="E2644" s="11" t="str">
        <f t="array" ref="E2644">_xlfn.XLOOKUP(D2644,Insumos!B:B,Insumos!C:$C)</f>
        <v>KG</v>
      </c>
      <c r="F2644" s="14">
        <v>9</v>
      </c>
      <c r="G2644" s="92">
        <f t="array" ref="G2644">IF(B2644="insumo",_xlfn.XLOOKUP($D2644,Insumos!$B$1:$B$996,Insumos!$D$1:$D$996),"")</f>
        <v>1.0645</v>
      </c>
      <c r="H2644" s="92">
        <v>9.5805000000000007</v>
      </c>
      <c r="I2644" s="13" t="e">
        <v>#REF!</v>
      </c>
      <c r="J2644" s="13" t="e">
        <v>#REF!</v>
      </c>
      <c r="K2644" s="13"/>
      <c r="L2644"/>
      <c r="M2644"/>
      <c r="N2644"/>
      <c r="O2644"/>
      <c r="P2644"/>
      <c r="Q2644"/>
      <c r="R2644"/>
      <c r="S2644"/>
      <c r="T2644"/>
      <c r="U2644"/>
      <c r="V2644"/>
      <c r="W2644"/>
      <c r="X2644"/>
      <c r="Y2644"/>
      <c r="Z2644"/>
      <c r="AA2644"/>
      <c r="AB2644"/>
      <c r="AC2644"/>
      <c r="AD2644"/>
      <c r="AE2644"/>
      <c r="AF2644"/>
      <c r="AG2644"/>
      <c r="AH2644"/>
      <c r="AI2644"/>
      <c r="AJ2644"/>
      <c r="AK2644"/>
      <c r="AL2644"/>
    </row>
    <row r="2645" spans="1:38" ht="15.75" customHeight="1" outlineLevel="3" x14ac:dyDescent="0.2">
      <c r="A2645" s="10">
        <v>34</v>
      </c>
      <c r="B2645" s="10" t="s">
        <v>71</v>
      </c>
      <c r="C2645" s="10" t="s">
        <v>2872</v>
      </c>
      <c r="D2645" s="10" t="s">
        <v>538</v>
      </c>
      <c r="E2645" s="11" t="str">
        <f t="array" ref="E2645">_xlfn.XLOOKUP(D2645,Insumos!B:B,Insumos!C:$C)</f>
        <v>UN</v>
      </c>
      <c r="F2645" s="14">
        <v>0.5</v>
      </c>
      <c r="G2645" s="92">
        <f t="array" ref="G2645">IF(B2645="insumo",_xlfn.XLOOKUP($D2645,Insumos!$B$1:$B$996,Insumos!$D$1:$D$996),"")</f>
        <v>17.329999999999998</v>
      </c>
      <c r="H2645" s="92">
        <v>8.6649999999999991</v>
      </c>
      <c r="I2645" s="13" t="e">
        <v>#REF!</v>
      </c>
      <c r="J2645" s="13" t="e">
        <v>#REF!</v>
      </c>
      <c r="K2645" s="13"/>
      <c r="L2645"/>
      <c r="M2645"/>
      <c r="N2645"/>
      <c r="O2645"/>
      <c r="P2645"/>
      <c r="Q2645"/>
      <c r="R2645"/>
      <c r="S2645"/>
      <c r="T2645"/>
      <c r="U2645"/>
      <c r="V2645"/>
      <c r="W2645"/>
      <c r="X2645"/>
      <c r="Y2645"/>
      <c r="Z2645"/>
      <c r="AA2645"/>
      <c r="AB2645"/>
      <c r="AC2645"/>
      <c r="AD2645"/>
      <c r="AE2645"/>
      <c r="AF2645"/>
      <c r="AG2645"/>
      <c r="AH2645"/>
      <c r="AI2645"/>
      <c r="AJ2645"/>
      <c r="AK2645"/>
      <c r="AL2645"/>
    </row>
    <row r="2646" spans="1:38" ht="15.75" customHeight="1" outlineLevel="2" x14ac:dyDescent="0.2">
      <c r="A2646" s="1067">
        <v>1</v>
      </c>
      <c r="B2646" s="1067" t="s">
        <v>68</v>
      </c>
      <c r="C2646" s="1067" t="s">
        <v>2874</v>
      </c>
      <c r="D2646" s="1067" t="s">
        <v>2874</v>
      </c>
      <c r="E2646" s="1068" t="s">
        <v>70</v>
      </c>
      <c r="F2646" s="1067"/>
      <c r="G2646" s="1069" t="str">
        <f t="array" ref="G2646">IF(B2646="insumo",_xlfn.XLOOKUP($D2646,Insumos!$B$1:$B$996,Insumos!$D$1:$D$996),"")</f>
        <v/>
      </c>
      <c r="H2646" s="1069">
        <v>1008.2455</v>
      </c>
      <c r="I2646" s="1070">
        <v>0</v>
      </c>
      <c r="J2646" s="1070">
        <v>0</v>
      </c>
      <c r="K2646" s="1070"/>
      <c r="L2646"/>
      <c r="M2646"/>
      <c r="N2646"/>
      <c r="O2646"/>
      <c r="P2646"/>
      <c r="Q2646"/>
      <c r="R2646"/>
      <c r="S2646"/>
      <c r="T2646"/>
      <c r="U2646"/>
      <c r="V2646"/>
      <c r="W2646"/>
      <c r="X2646"/>
      <c r="Y2646"/>
      <c r="Z2646"/>
      <c r="AA2646"/>
      <c r="AB2646"/>
      <c r="AC2646"/>
      <c r="AD2646"/>
      <c r="AE2646"/>
      <c r="AF2646"/>
      <c r="AG2646"/>
      <c r="AH2646"/>
      <c r="AI2646"/>
      <c r="AJ2646"/>
      <c r="AK2646"/>
      <c r="AL2646"/>
    </row>
    <row r="2647" spans="1:38" ht="15.75" customHeight="1" outlineLevel="3" x14ac:dyDescent="0.2">
      <c r="A2647" s="10">
        <v>2</v>
      </c>
      <c r="B2647" s="10" t="s">
        <v>71</v>
      </c>
      <c r="C2647" s="10" t="s">
        <v>2874</v>
      </c>
      <c r="D2647" s="10" t="s">
        <v>2875</v>
      </c>
      <c r="E2647" s="11" t="str">
        <f t="array" ref="E2647">_xlfn.XLOOKUP(D2647,Insumos!B:B,Insumos!C:$C)</f>
        <v>M2</v>
      </c>
      <c r="F2647" s="14">
        <v>1.1000000000000001</v>
      </c>
      <c r="G2647" s="92">
        <f t="array" ref="G2647">IF(B2647="insumo",_xlfn.XLOOKUP($D2647,Insumos!$B$1:$B$996,Insumos!$D$1:$D$996),"")</f>
        <v>900</v>
      </c>
      <c r="H2647" s="92">
        <v>990</v>
      </c>
      <c r="I2647" s="13">
        <v>0</v>
      </c>
      <c r="J2647" s="13">
        <v>0</v>
      </c>
      <c r="K2647" s="13"/>
      <c r="L2647"/>
      <c r="M2647"/>
      <c r="N2647"/>
      <c r="O2647"/>
      <c r="P2647"/>
      <c r="Q2647"/>
      <c r="R2647"/>
      <c r="S2647"/>
      <c r="T2647"/>
      <c r="U2647"/>
      <c r="V2647"/>
      <c r="W2647"/>
      <c r="X2647"/>
      <c r="Y2647"/>
      <c r="Z2647"/>
      <c r="AA2647"/>
      <c r="AB2647"/>
      <c r="AC2647"/>
      <c r="AD2647"/>
      <c r="AE2647"/>
      <c r="AF2647"/>
      <c r="AG2647"/>
      <c r="AH2647"/>
      <c r="AI2647"/>
      <c r="AJ2647"/>
      <c r="AK2647"/>
      <c r="AL2647"/>
    </row>
    <row r="2648" spans="1:38" ht="15.75" customHeight="1" outlineLevel="3" x14ac:dyDescent="0.2">
      <c r="A2648" s="10">
        <v>191</v>
      </c>
      <c r="B2648" s="10" t="s">
        <v>71</v>
      </c>
      <c r="C2648" s="10" t="s">
        <v>2874</v>
      </c>
      <c r="D2648" s="10" t="s">
        <v>481</v>
      </c>
      <c r="E2648" s="11" t="str">
        <f t="array" ref="E2648">_xlfn.XLOOKUP(D2648,Insumos!B:B,Insumos!C:$C)</f>
        <v>KG</v>
      </c>
      <c r="F2648" s="14">
        <v>9</v>
      </c>
      <c r="G2648" s="92">
        <f t="array" ref="G2648">IF(B2648="insumo",_xlfn.XLOOKUP($D2648,Insumos!$B$1:$B$996,Insumos!$D$1:$D$996),"")</f>
        <v>1.0645</v>
      </c>
      <c r="H2648" s="92">
        <v>9.5805000000000007</v>
      </c>
      <c r="I2648" s="13">
        <v>0</v>
      </c>
      <c r="J2648" s="13">
        <v>0</v>
      </c>
      <c r="K2648" s="13"/>
      <c r="L2648"/>
      <c r="M2648"/>
      <c r="N2648"/>
      <c r="O2648"/>
      <c r="P2648"/>
      <c r="Q2648"/>
      <c r="R2648"/>
      <c r="S2648"/>
      <c r="T2648"/>
      <c r="U2648"/>
      <c r="V2648"/>
      <c r="W2648"/>
      <c r="X2648"/>
      <c r="Y2648"/>
      <c r="Z2648"/>
      <c r="AA2648"/>
      <c r="AB2648"/>
      <c r="AC2648"/>
      <c r="AD2648"/>
      <c r="AE2648"/>
      <c r="AF2648"/>
      <c r="AG2648"/>
      <c r="AH2648"/>
      <c r="AI2648"/>
      <c r="AJ2648"/>
      <c r="AK2648"/>
      <c r="AL2648"/>
    </row>
    <row r="2649" spans="1:38" ht="15.75" customHeight="1" outlineLevel="3" x14ac:dyDescent="0.2">
      <c r="A2649" s="10">
        <v>34</v>
      </c>
      <c r="B2649" s="10" t="s">
        <v>71</v>
      </c>
      <c r="C2649" s="10" t="s">
        <v>2874</v>
      </c>
      <c r="D2649" s="10" t="s">
        <v>538</v>
      </c>
      <c r="E2649" s="11" t="str">
        <f t="array" ref="E2649">_xlfn.XLOOKUP(D2649,Insumos!B:B,Insumos!C:$C)</f>
        <v>UN</v>
      </c>
      <c r="F2649" s="14">
        <v>0.5</v>
      </c>
      <c r="G2649" s="92">
        <f t="array" ref="G2649">IF(B2649="insumo",_xlfn.XLOOKUP($D2649,Insumos!$B$1:$B$996,Insumos!$D$1:$D$996),"")</f>
        <v>17.329999999999998</v>
      </c>
      <c r="H2649" s="92">
        <v>8.6649999999999991</v>
      </c>
      <c r="I2649" s="13">
        <v>0</v>
      </c>
      <c r="J2649" s="13">
        <v>0</v>
      </c>
      <c r="K2649" s="13"/>
      <c r="L2649"/>
      <c r="M2649"/>
      <c r="N2649"/>
      <c r="O2649"/>
      <c r="P2649"/>
      <c r="Q2649"/>
      <c r="R2649"/>
      <c r="S2649"/>
      <c r="T2649"/>
      <c r="U2649"/>
      <c r="V2649"/>
      <c r="W2649"/>
      <c r="X2649"/>
      <c r="Y2649"/>
      <c r="Z2649"/>
      <c r="AA2649"/>
      <c r="AB2649"/>
      <c r="AC2649"/>
      <c r="AD2649"/>
      <c r="AE2649"/>
      <c r="AF2649"/>
      <c r="AG2649"/>
      <c r="AH2649"/>
      <c r="AI2649"/>
      <c r="AJ2649"/>
      <c r="AK2649"/>
      <c r="AL2649"/>
    </row>
    <row r="2650" spans="1:38" ht="15.75" customHeight="1" outlineLevel="2" x14ac:dyDescent="0.2">
      <c r="A2650" s="1067">
        <v>1</v>
      </c>
      <c r="B2650" s="1067" t="s">
        <v>68</v>
      </c>
      <c r="C2650" s="1067" t="s">
        <v>2878</v>
      </c>
      <c r="D2650" s="1067" t="s">
        <v>2878</v>
      </c>
      <c r="E2650" s="1068" t="s">
        <v>70</v>
      </c>
      <c r="F2650" s="1067"/>
      <c r="G2650" s="1069" t="str">
        <f t="array" ref="G2650">IF(B2650="insumo",_xlfn.XLOOKUP($D2650,Insumos!$B$1:$B$996,Insumos!$D$1:$D$996),"")</f>
        <v/>
      </c>
      <c r="H2650" s="1069">
        <v>1448.2455</v>
      </c>
      <c r="I2650" s="1070">
        <v>0</v>
      </c>
      <c r="J2650" s="1070">
        <v>0</v>
      </c>
      <c r="K2650" s="1070"/>
      <c r="L2650"/>
      <c r="M2650"/>
      <c r="N2650"/>
      <c r="O2650"/>
      <c r="P2650"/>
      <c r="Q2650"/>
      <c r="R2650"/>
      <c r="S2650"/>
      <c r="T2650"/>
      <c r="U2650"/>
      <c r="V2650"/>
      <c r="W2650"/>
      <c r="X2650"/>
      <c r="Y2650"/>
      <c r="Z2650"/>
      <c r="AA2650"/>
      <c r="AB2650"/>
      <c r="AC2650"/>
      <c r="AD2650"/>
      <c r="AE2650"/>
      <c r="AF2650"/>
      <c r="AG2650"/>
      <c r="AH2650"/>
      <c r="AI2650"/>
      <c r="AJ2650"/>
      <c r="AK2650"/>
      <c r="AL2650"/>
    </row>
    <row r="2651" spans="1:38" ht="15.75" customHeight="1" outlineLevel="3" x14ac:dyDescent="0.2">
      <c r="A2651" s="10">
        <v>2</v>
      </c>
      <c r="B2651" s="10" t="s">
        <v>71</v>
      </c>
      <c r="C2651" s="10" t="s">
        <v>2878</v>
      </c>
      <c r="D2651" s="10" t="s">
        <v>2879</v>
      </c>
      <c r="E2651" s="11" t="str">
        <f t="array" ref="E2651">_xlfn.XLOOKUP(D2651,Insumos!B:B,Insumos!C:$C)</f>
        <v>M2</v>
      </c>
      <c r="F2651" s="14">
        <v>1.1000000000000001</v>
      </c>
      <c r="G2651" s="92">
        <f t="array" ref="G2651">IF(B2651="insumo",_xlfn.XLOOKUP($D2651,Insumos!$B$1:$B$996,Insumos!$D$1:$D$996),"")</f>
        <v>1300</v>
      </c>
      <c r="H2651" s="92">
        <v>1430</v>
      </c>
      <c r="I2651" s="13">
        <v>0</v>
      </c>
      <c r="J2651" s="13">
        <v>0</v>
      </c>
      <c r="K2651" s="13"/>
      <c r="L2651"/>
      <c r="M2651"/>
      <c r="N2651"/>
      <c r="O2651"/>
      <c r="P2651"/>
      <c r="Q2651"/>
      <c r="R2651"/>
      <c r="S2651"/>
      <c r="T2651"/>
      <c r="U2651"/>
      <c r="V2651"/>
      <c r="W2651"/>
      <c r="X2651"/>
      <c r="Y2651"/>
      <c r="Z2651"/>
      <c r="AA2651"/>
      <c r="AB2651"/>
      <c r="AC2651"/>
      <c r="AD2651"/>
      <c r="AE2651"/>
      <c r="AF2651"/>
      <c r="AG2651"/>
      <c r="AH2651"/>
      <c r="AI2651"/>
      <c r="AJ2651"/>
      <c r="AK2651"/>
      <c r="AL2651"/>
    </row>
    <row r="2652" spans="1:38" ht="15.75" customHeight="1" outlineLevel="3" x14ac:dyDescent="0.2">
      <c r="A2652" s="10">
        <v>191</v>
      </c>
      <c r="B2652" s="10" t="s">
        <v>71</v>
      </c>
      <c r="C2652" s="10" t="s">
        <v>2878</v>
      </c>
      <c r="D2652" s="10" t="s">
        <v>481</v>
      </c>
      <c r="E2652" s="11" t="str">
        <f t="array" ref="E2652">_xlfn.XLOOKUP(D2652,Insumos!B:B,Insumos!C:$C)</f>
        <v>KG</v>
      </c>
      <c r="F2652" s="14">
        <v>9</v>
      </c>
      <c r="G2652" s="92">
        <f t="array" ref="G2652">IF(B2652="insumo",_xlfn.XLOOKUP($D2652,Insumos!$B$1:$B$996,Insumos!$D$1:$D$996),"")</f>
        <v>1.0645</v>
      </c>
      <c r="H2652" s="92">
        <v>9.5805000000000007</v>
      </c>
      <c r="I2652" s="13">
        <v>0</v>
      </c>
      <c r="J2652" s="13">
        <v>0</v>
      </c>
      <c r="K2652" s="13"/>
      <c r="L2652"/>
      <c r="M2652"/>
      <c r="N2652"/>
      <c r="O2652"/>
      <c r="P2652"/>
      <c r="Q2652"/>
      <c r="R2652"/>
      <c r="S2652"/>
      <c r="T2652"/>
      <c r="U2652"/>
      <c r="V2652"/>
      <c r="W2652"/>
      <c r="X2652"/>
      <c r="Y2652"/>
      <c r="Z2652"/>
      <c r="AA2652"/>
      <c r="AB2652"/>
      <c r="AC2652"/>
      <c r="AD2652"/>
      <c r="AE2652"/>
      <c r="AF2652"/>
      <c r="AG2652"/>
      <c r="AH2652"/>
      <c r="AI2652"/>
      <c r="AJ2652"/>
      <c r="AK2652"/>
      <c r="AL2652"/>
    </row>
    <row r="2653" spans="1:38" ht="15.75" customHeight="1" outlineLevel="3" x14ac:dyDescent="0.2">
      <c r="A2653" s="10">
        <v>34</v>
      </c>
      <c r="B2653" s="10" t="s">
        <v>71</v>
      </c>
      <c r="C2653" s="10" t="s">
        <v>2878</v>
      </c>
      <c r="D2653" s="10" t="s">
        <v>538</v>
      </c>
      <c r="E2653" s="11" t="str">
        <f t="array" ref="E2653">_xlfn.XLOOKUP(D2653,Insumos!B:B,Insumos!C:$C)</f>
        <v>UN</v>
      </c>
      <c r="F2653" s="14">
        <v>0.5</v>
      </c>
      <c r="G2653" s="92">
        <f t="array" ref="G2653">IF(B2653="insumo",_xlfn.XLOOKUP($D2653,Insumos!$B$1:$B$996,Insumos!$D$1:$D$996),"")</f>
        <v>17.329999999999998</v>
      </c>
      <c r="H2653" s="92">
        <v>8.6649999999999991</v>
      </c>
      <c r="I2653" s="13">
        <v>0</v>
      </c>
      <c r="J2653" s="13">
        <v>0</v>
      </c>
      <c r="K2653" s="13"/>
      <c r="L2653"/>
      <c r="M2653"/>
      <c r="N2653"/>
      <c r="O2653"/>
      <c r="P2653"/>
      <c r="Q2653"/>
      <c r="R2653"/>
      <c r="S2653"/>
      <c r="T2653"/>
      <c r="U2653"/>
      <c r="V2653"/>
      <c r="W2653"/>
      <c r="X2653"/>
      <c r="Y2653"/>
      <c r="Z2653"/>
      <c r="AA2653"/>
      <c r="AB2653"/>
      <c r="AC2653"/>
      <c r="AD2653"/>
      <c r="AE2653"/>
      <c r="AF2653"/>
      <c r="AG2653"/>
      <c r="AH2653"/>
      <c r="AI2653"/>
      <c r="AJ2653"/>
      <c r="AK2653"/>
      <c r="AL2653"/>
    </row>
    <row r="2654" spans="1:38" ht="15.75" customHeight="1" outlineLevel="2" x14ac:dyDescent="0.2">
      <c r="A2654" s="1067">
        <v>1</v>
      </c>
      <c r="B2654" s="1067" t="s">
        <v>68</v>
      </c>
      <c r="C2654" s="1067" t="s">
        <v>2880</v>
      </c>
      <c r="D2654" s="1067" t="s">
        <v>2880</v>
      </c>
      <c r="E2654" s="1068" t="s">
        <v>70</v>
      </c>
      <c r="F2654" s="1067"/>
      <c r="G2654" s="1069" t="str">
        <f t="array" ref="G2654">IF(B2654="insumo",_xlfn.XLOOKUP($D2654,Insumos!$B$1:$B$996,Insumos!$D$1:$D$996),"")</f>
        <v/>
      </c>
      <c r="H2654" s="1069">
        <v>2438.2455</v>
      </c>
      <c r="I2654" s="1070">
        <v>0</v>
      </c>
      <c r="J2654" s="1070">
        <v>0</v>
      </c>
      <c r="K2654" s="1070"/>
      <c r="L2654"/>
      <c r="M2654"/>
      <c r="N2654"/>
      <c r="O2654"/>
      <c r="P2654"/>
      <c r="Q2654"/>
      <c r="R2654"/>
      <c r="S2654"/>
      <c r="T2654"/>
      <c r="U2654"/>
      <c r="V2654"/>
      <c r="W2654"/>
      <c r="X2654"/>
      <c r="Y2654"/>
      <c r="Z2654"/>
      <c r="AA2654"/>
      <c r="AB2654"/>
      <c r="AC2654"/>
      <c r="AD2654"/>
      <c r="AE2654"/>
      <c r="AF2654"/>
      <c r="AG2654"/>
      <c r="AH2654"/>
      <c r="AI2654"/>
      <c r="AJ2654"/>
      <c r="AK2654"/>
      <c r="AL2654"/>
    </row>
    <row r="2655" spans="1:38" ht="15.75" customHeight="1" outlineLevel="3" x14ac:dyDescent="0.2">
      <c r="A2655" s="10">
        <v>2</v>
      </c>
      <c r="B2655" s="10" t="s">
        <v>71</v>
      </c>
      <c r="C2655" s="10" t="s">
        <v>2880</v>
      </c>
      <c r="D2655" s="10" t="s">
        <v>2881</v>
      </c>
      <c r="E2655" s="11" t="str">
        <f t="array" ref="E2655">_xlfn.XLOOKUP(D2655,Insumos!B:B,Insumos!C:$C)</f>
        <v>M2</v>
      </c>
      <c r="F2655" s="14">
        <v>1.1000000000000001</v>
      </c>
      <c r="G2655" s="92">
        <f t="array" ref="G2655">IF(B2655="insumo",_xlfn.XLOOKUP($D2655,Insumos!$B$1:$B$996,Insumos!$D$1:$D$996),"")</f>
        <v>2200</v>
      </c>
      <c r="H2655" s="92">
        <v>2420</v>
      </c>
      <c r="I2655" s="13">
        <v>0</v>
      </c>
      <c r="J2655" s="13">
        <v>0</v>
      </c>
      <c r="K2655" s="13"/>
      <c r="L2655"/>
      <c r="M2655"/>
      <c r="N2655"/>
      <c r="O2655"/>
      <c r="P2655"/>
      <c r="Q2655"/>
      <c r="R2655"/>
      <c r="S2655"/>
      <c r="T2655"/>
      <c r="U2655"/>
      <c r="V2655"/>
      <c r="W2655"/>
      <c r="X2655"/>
      <c r="Y2655"/>
      <c r="Z2655"/>
      <c r="AA2655"/>
      <c r="AB2655"/>
      <c r="AC2655"/>
      <c r="AD2655"/>
      <c r="AE2655"/>
      <c r="AF2655"/>
      <c r="AG2655"/>
      <c r="AH2655"/>
      <c r="AI2655"/>
      <c r="AJ2655"/>
      <c r="AK2655"/>
      <c r="AL2655"/>
    </row>
    <row r="2656" spans="1:38" ht="15.75" customHeight="1" outlineLevel="3" x14ac:dyDescent="0.2">
      <c r="A2656" s="10">
        <v>191</v>
      </c>
      <c r="B2656" s="10" t="s">
        <v>71</v>
      </c>
      <c r="C2656" s="10" t="s">
        <v>2880</v>
      </c>
      <c r="D2656" s="10" t="s">
        <v>481</v>
      </c>
      <c r="E2656" s="11" t="str">
        <f t="array" ref="E2656">_xlfn.XLOOKUP(D2656,Insumos!B:B,Insumos!C:$C)</f>
        <v>KG</v>
      </c>
      <c r="F2656" s="14">
        <v>9</v>
      </c>
      <c r="G2656" s="92">
        <f t="array" ref="G2656">IF(B2656="insumo",_xlfn.XLOOKUP($D2656,Insumos!$B$1:$B$996,Insumos!$D$1:$D$996),"")</f>
        <v>1.0645</v>
      </c>
      <c r="H2656" s="92">
        <v>9.5805000000000007</v>
      </c>
      <c r="I2656" s="13">
        <v>0</v>
      </c>
      <c r="J2656" s="13">
        <v>0</v>
      </c>
      <c r="K2656" s="13"/>
      <c r="L2656"/>
      <c r="M2656"/>
      <c r="N2656"/>
      <c r="O2656"/>
      <c r="P2656"/>
      <c r="Q2656"/>
      <c r="R2656"/>
      <c r="S2656"/>
      <c r="T2656"/>
      <c r="U2656"/>
      <c r="V2656"/>
      <c r="W2656"/>
      <c r="X2656"/>
      <c r="Y2656"/>
      <c r="Z2656"/>
      <c r="AA2656"/>
      <c r="AB2656"/>
      <c r="AC2656"/>
      <c r="AD2656"/>
      <c r="AE2656"/>
      <c r="AF2656"/>
      <c r="AG2656"/>
      <c r="AH2656"/>
      <c r="AI2656"/>
      <c r="AJ2656"/>
      <c r="AK2656"/>
      <c r="AL2656"/>
    </row>
    <row r="2657" spans="1:38" ht="15.75" customHeight="1" outlineLevel="3" x14ac:dyDescent="0.2">
      <c r="A2657" s="10">
        <v>34</v>
      </c>
      <c r="B2657" s="10" t="s">
        <v>71</v>
      </c>
      <c r="C2657" s="10" t="s">
        <v>2880</v>
      </c>
      <c r="D2657" s="10" t="s">
        <v>538</v>
      </c>
      <c r="E2657" s="11" t="str">
        <f t="array" ref="E2657">_xlfn.XLOOKUP(D2657,Insumos!B:B,Insumos!C:$C)</f>
        <v>UN</v>
      </c>
      <c r="F2657" s="14">
        <v>0.5</v>
      </c>
      <c r="G2657" s="92">
        <f t="array" ref="G2657">IF(B2657="insumo",_xlfn.XLOOKUP($D2657,Insumos!$B$1:$B$996,Insumos!$D$1:$D$996),"")</f>
        <v>17.329999999999998</v>
      </c>
      <c r="H2657" s="92">
        <v>8.6649999999999991</v>
      </c>
      <c r="I2657" s="13">
        <v>0</v>
      </c>
      <c r="J2657" s="13">
        <v>0</v>
      </c>
      <c r="K2657" s="13"/>
      <c r="L2657"/>
      <c r="M2657"/>
      <c r="N2657"/>
      <c r="O2657"/>
      <c r="P2657"/>
      <c r="Q2657"/>
      <c r="R2657"/>
      <c r="S2657"/>
      <c r="T2657"/>
      <c r="U2657"/>
      <c r="V2657"/>
      <c r="W2657"/>
      <c r="X2657"/>
      <c r="Y2657"/>
      <c r="Z2657"/>
      <c r="AA2657"/>
      <c r="AB2657"/>
      <c r="AC2657"/>
      <c r="AD2657"/>
      <c r="AE2657"/>
      <c r="AF2657"/>
      <c r="AG2657"/>
      <c r="AH2657"/>
      <c r="AI2657"/>
      <c r="AJ2657"/>
      <c r="AK2657"/>
      <c r="AL2657"/>
    </row>
    <row r="2658" spans="1:38" ht="15.75" customHeight="1" outlineLevel="2" x14ac:dyDescent="0.2">
      <c r="A2658" s="1067">
        <v>1</v>
      </c>
      <c r="B2658" s="1067" t="s">
        <v>68</v>
      </c>
      <c r="C2658" s="1067" t="s">
        <v>2876</v>
      </c>
      <c r="D2658" s="1067" t="s">
        <v>2876</v>
      </c>
      <c r="E2658" s="1068" t="s">
        <v>70</v>
      </c>
      <c r="F2658" s="1067"/>
      <c r="G2658" s="1069" t="str">
        <f t="array" ref="G2658">IF(B2658="insumo",_xlfn.XLOOKUP($D2658,Insumos!$B$1:$B$996,Insumos!$D$1:$D$996),"")</f>
        <v/>
      </c>
      <c r="H2658" s="1069">
        <v>1448.2455</v>
      </c>
      <c r="I2658" s="1070" t="e">
        <v>#REF!</v>
      </c>
      <c r="J2658" s="1070" t="e">
        <v>#REF!</v>
      </c>
      <c r="K2658" s="1070"/>
      <c r="L2658"/>
      <c r="M2658"/>
      <c r="N2658"/>
      <c r="O2658"/>
      <c r="P2658"/>
      <c r="Q2658"/>
      <c r="R2658"/>
      <c r="S2658"/>
      <c r="T2658"/>
      <c r="U2658"/>
      <c r="V2658"/>
      <c r="W2658"/>
      <c r="X2658"/>
      <c r="Y2658"/>
      <c r="Z2658"/>
      <c r="AA2658"/>
      <c r="AB2658"/>
      <c r="AC2658"/>
      <c r="AD2658"/>
      <c r="AE2658"/>
      <c r="AF2658"/>
      <c r="AG2658"/>
      <c r="AH2658"/>
      <c r="AI2658"/>
      <c r="AJ2658"/>
      <c r="AK2658"/>
      <c r="AL2658"/>
    </row>
    <row r="2659" spans="1:38" ht="15.75" customHeight="1" outlineLevel="3" x14ac:dyDescent="0.2">
      <c r="A2659" s="10">
        <v>5</v>
      </c>
      <c r="B2659" s="10" t="s">
        <v>71</v>
      </c>
      <c r="C2659" s="10" t="s">
        <v>2876</v>
      </c>
      <c r="D2659" s="10" t="s">
        <v>2877</v>
      </c>
      <c r="E2659" s="11" t="str">
        <f t="array" ref="E2659">_xlfn.XLOOKUP(D2659,Insumos!B:B,Insumos!C:$C)</f>
        <v>M2</v>
      </c>
      <c r="F2659" s="14">
        <v>1.1000000000000001</v>
      </c>
      <c r="G2659" s="92">
        <f t="array" ref="G2659">IF(B2659="insumo",_xlfn.XLOOKUP($D2659,Insumos!$B$1:$B$996,Insumos!$D$1:$D$996),"")</f>
        <v>1300</v>
      </c>
      <c r="H2659" s="92">
        <v>1430</v>
      </c>
      <c r="I2659" s="13" t="e">
        <v>#REF!</v>
      </c>
      <c r="J2659" s="13" t="e">
        <v>#REF!</v>
      </c>
      <c r="K2659" s="13"/>
      <c r="L2659"/>
      <c r="M2659"/>
      <c r="N2659"/>
      <c r="O2659"/>
      <c r="P2659"/>
      <c r="Q2659"/>
      <c r="R2659"/>
      <c r="S2659"/>
      <c r="T2659"/>
      <c r="U2659"/>
      <c r="V2659"/>
      <c r="W2659"/>
      <c r="X2659"/>
      <c r="Y2659"/>
      <c r="Z2659"/>
      <c r="AA2659"/>
      <c r="AB2659"/>
      <c r="AC2659"/>
      <c r="AD2659"/>
      <c r="AE2659"/>
      <c r="AF2659"/>
      <c r="AG2659"/>
      <c r="AH2659"/>
      <c r="AI2659"/>
      <c r="AJ2659"/>
      <c r="AK2659"/>
      <c r="AL2659"/>
    </row>
    <row r="2660" spans="1:38" ht="15.75" customHeight="1" outlineLevel="3" x14ac:dyDescent="0.2">
      <c r="A2660" s="10">
        <v>191</v>
      </c>
      <c r="B2660" s="10" t="s">
        <v>71</v>
      </c>
      <c r="C2660" s="10" t="s">
        <v>2876</v>
      </c>
      <c r="D2660" s="10" t="s">
        <v>481</v>
      </c>
      <c r="E2660" s="11" t="str">
        <f t="array" ref="E2660">_xlfn.XLOOKUP(D2660,Insumos!B:B,Insumos!C:$C)</f>
        <v>KG</v>
      </c>
      <c r="F2660" s="14">
        <v>9</v>
      </c>
      <c r="G2660" s="92">
        <f t="array" ref="G2660">IF(B2660="insumo",_xlfn.XLOOKUP($D2660,Insumos!$B$1:$B$996,Insumos!$D$1:$D$996),"")</f>
        <v>1.0645</v>
      </c>
      <c r="H2660" s="92">
        <v>9.5805000000000007</v>
      </c>
      <c r="I2660" s="13" t="e">
        <v>#REF!</v>
      </c>
      <c r="J2660" s="13" t="e">
        <v>#REF!</v>
      </c>
      <c r="K2660" s="13"/>
      <c r="L2660"/>
      <c r="M2660"/>
      <c r="N2660"/>
      <c r="O2660"/>
      <c r="P2660"/>
      <c r="Q2660"/>
      <c r="R2660"/>
      <c r="S2660"/>
      <c r="T2660"/>
      <c r="U2660"/>
      <c r="V2660"/>
      <c r="W2660"/>
      <c r="X2660"/>
      <c r="Y2660"/>
      <c r="Z2660"/>
      <c r="AA2660"/>
      <c r="AB2660"/>
      <c r="AC2660"/>
      <c r="AD2660"/>
      <c r="AE2660"/>
      <c r="AF2660"/>
      <c r="AG2660"/>
      <c r="AH2660"/>
      <c r="AI2660"/>
      <c r="AJ2660"/>
      <c r="AK2660"/>
      <c r="AL2660"/>
    </row>
    <row r="2661" spans="1:38" ht="15.75" customHeight="1" outlineLevel="3" x14ac:dyDescent="0.2">
      <c r="A2661" s="10">
        <v>34</v>
      </c>
      <c r="B2661" s="10" t="s">
        <v>71</v>
      </c>
      <c r="C2661" s="10" t="s">
        <v>2876</v>
      </c>
      <c r="D2661" s="10" t="s">
        <v>538</v>
      </c>
      <c r="E2661" s="11" t="str">
        <f t="array" ref="E2661">_xlfn.XLOOKUP(D2661,Insumos!B:B,Insumos!C:$C)</f>
        <v>UN</v>
      </c>
      <c r="F2661" s="14">
        <v>0.5</v>
      </c>
      <c r="G2661" s="92">
        <f t="array" ref="G2661">IF(B2661="insumo",_xlfn.XLOOKUP($D2661,Insumos!$B$1:$B$996,Insumos!$D$1:$D$996),"")</f>
        <v>17.329999999999998</v>
      </c>
      <c r="H2661" s="92">
        <v>8.6649999999999991</v>
      </c>
      <c r="I2661" s="13" t="e">
        <v>#REF!</v>
      </c>
      <c r="J2661" s="13" t="e">
        <v>#REF!</v>
      </c>
      <c r="K2661" s="13"/>
      <c r="L2661"/>
      <c r="M2661"/>
      <c r="N2661"/>
      <c r="O2661"/>
      <c r="P2661"/>
      <c r="Q2661"/>
      <c r="R2661"/>
      <c r="S2661"/>
      <c r="T2661"/>
      <c r="U2661"/>
      <c r="V2661"/>
      <c r="W2661"/>
      <c r="X2661"/>
      <c r="Y2661"/>
      <c r="Z2661"/>
      <c r="AA2661"/>
      <c r="AB2661"/>
      <c r="AC2661"/>
      <c r="AD2661"/>
      <c r="AE2661"/>
      <c r="AF2661"/>
      <c r="AG2661"/>
      <c r="AH2661"/>
      <c r="AI2661"/>
      <c r="AJ2661"/>
      <c r="AK2661"/>
      <c r="AL2661"/>
    </row>
    <row r="2662" spans="1:38" ht="15.75" customHeight="1" outlineLevel="2" x14ac:dyDescent="0.2">
      <c r="A2662" s="1067">
        <v>1</v>
      </c>
      <c r="B2662" s="1067" t="s">
        <v>68</v>
      </c>
      <c r="C2662" s="1067" t="s">
        <v>2889</v>
      </c>
      <c r="D2662" s="1067" t="s">
        <v>2889</v>
      </c>
      <c r="E2662" s="1068" t="s">
        <v>70</v>
      </c>
      <c r="F2662" s="1067"/>
      <c r="G2662" s="1069" t="str">
        <f t="array" ref="G2662">IF(B2662="insumo",_xlfn.XLOOKUP($D2662,Insumos!$B$1:$B$996,Insumos!$D$1:$D$996),"")</f>
        <v/>
      </c>
      <c r="H2662" s="1069">
        <v>3538.2455</v>
      </c>
      <c r="I2662" s="1070" t="e">
        <v>#REF!</v>
      </c>
      <c r="J2662" s="1070" t="e">
        <v>#REF!</v>
      </c>
      <c r="K2662" s="1070"/>
      <c r="L2662"/>
      <c r="M2662"/>
      <c r="N2662"/>
      <c r="O2662"/>
      <c r="P2662"/>
      <c r="Q2662"/>
      <c r="R2662"/>
      <c r="S2662"/>
      <c r="T2662"/>
      <c r="U2662"/>
      <c r="V2662"/>
      <c r="W2662"/>
      <c r="X2662"/>
      <c r="Y2662"/>
      <c r="Z2662"/>
      <c r="AA2662"/>
      <c r="AB2662"/>
      <c r="AC2662"/>
      <c r="AD2662"/>
      <c r="AE2662"/>
      <c r="AF2662"/>
      <c r="AG2662"/>
      <c r="AH2662"/>
      <c r="AI2662"/>
      <c r="AJ2662"/>
      <c r="AK2662"/>
      <c r="AL2662"/>
    </row>
    <row r="2663" spans="1:38" ht="15.75" customHeight="1" outlineLevel="3" x14ac:dyDescent="0.2">
      <c r="A2663" s="10">
        <v>2</v>
      </c>
      <c r="B2663" s="10" t="s">
        <v>71</v>
      </c>
      <c r="C2663" s="10" t="s">
        <v>2889</v>
      </c>
      <c r="D2663" s="10" t="s">
        <v>2890</v>
      </c>
      <c r="E2663" s="11" t="str">
        <f t="array" ref="E2663">_xlfn.XLOOKUP(D2663,Insumos!B:B,Insumos!C:$C)</f>
        <v>M2</v>
      </c>
      <c r="F2663" s="14">
        <v>1.1000000000000001</v>
      </c>
      <c r="G2663" s="92">
        <f t="array" ref="G2663">IF(B2663="insumo",_xlfn.XLOOKUP($D2663,Insumos!$B$1:$B$996,Insumos!$D$1:$D$996),"")</f>
        <v>3200</v>
      </c>
      <c r="H2663" s="92">
        <v>3520</v>
      </c>
      <c r="I2663" s="13" t="e">
        <v>#REF!</v>
      </c>
      <c r="J2663" s="13" t="e">
        <v>#REF!</v>
      </c>
      <c r="K2663" s="13"/>
      <c r="L2663"/>
      <c r="M2663"/>
      <c r="N2663"/>
      <c r="O2663"/>
      <c r="P2663"/>
      <c r="Q2663"/>
      <c r="R2663"/>
      <c r="S2663"/>
      <c r="T2663"/>
      <c r="U2663"/>
      <c r="V2663"/>
      <c r="W2663"/>
      <c r="X2663"/>
      <c r="Y2663"/>
      <c r="Z2663"/>
      <c r="AA2663"/>
      <c r="AB2663"/>
      <c r="AC2663"/>
      <c r="AD2663"/>
      <c r="AE2663"/>
      <c r="AF2663"/>
      <c r="AG2663"/>
      <c r="AH2663"/>
      <c r="AI2663"/>
      <c r="AJ2663"/>
      <c r="AK2663"/>
      <c r="AL2663"/>
    </row>
    <row r="2664" spans="1:38" ht="15.75" customHeight="1" outlineLevel="3" x14ac:dyDescent="0.2">
      <c r="A2664" s="10">
        <v>191</v>
      </c>
      <c r="B2664" s="10" t="s">
        <v>71</v>
      </c>
      <c r="C2664" s="10" t="s">
        <v>2889</v>
      </c>
      <c r="D2664" s="10" t="s">
        <v>481</v>
      </c>
      <c r="E2664" s="11" t="str">
        <f t="array" ref="E2664">_xlfn.XLOOKUP(D2664,Insumos!B:B,Insumos!C:$C)</f>
        <v>KG</v>
      </c>
      <c r="F2664" s="14">
        <v>9</v>
      </c>
      <c r="G2664" s="92">
        <f t="array" ref="G2664">IF(B2664="insumo",_xlfn.XLOOKUP($D2664,Insumos!$B$1:$B$996,Insumos!$D$1:$D$996),"")</f>
        <v>1.0645</v>
      </c>
      <c r="H2664" s="92">
        <v>9.5805000000000007</v>
      </c>
      <c r="I2664" s="13" t="e">
        <v>#REF!</v>
      </c>
      <c r="J2664" s="13" t="e">
        <v>#REF!</v>
      </c>
      <c r="K2664" s="13"/>
      <c r="L2664"/>
      <c r="M2664"/>
      <c r="N2664"/>
      <c r="O2664"/>
      <c r="P2664"/>
      <c r="Q2664"/>
      <c r="R2664"/>
      <c r="S2664"/>
      <c r="T2664"/>
      <c r="U2664"/>
      <c r="V2664"/>
      <c r="W2664"/>
      <c r="X2664"/>
      <c r="Y2664"/>
      <c r="Z2664"/>
      <c r="AA2664"/>
      <c r="AB2664"/>
      <c r="AC2664"/>
      <c r="AD2664"/>
      <c r="AE2664"/>
      <c r="AF2664"/>
      <c r="AG2664"/>
      <c r="AH2664"/>
      <c r="AI2664"/>
      <c r="AJ2664"/>
      <c r="AK2664"/>
      <c r="AL2664"/>
    </row>
    <row r="2665" spans="1:38" ht="15.75" customHeight="1" outlineLevel="3" x14ac:dyDescent="0.2">
      <c r="A2665" s="10">
        <v>34</v>
      </c>
      <c r="B2665" s="10" t="s">
        <v>71</v>
      </c>
      <c r="C2665" s="10" t="s">
        <v>2889</v>
      </c>
      <c r="D2665" s="10" t="s">
        <v>538</v>
      </c>
      <c r="E2665" s="11" t="str">
        <f t="array" ref="E2665">_xlfn.XLOOKUP(D2665,Insumos!B:B,Insumos!C:$C)</f>
        <v>UN</v>
      </c>
      <c r="F2665" s="14">
        <v>0.5</v>
      </c>
      <c r="G2665" s="92">
        <f t="array" ref="G2665">IF(B2665="insumo",_xlfn.XLOOKUP($D2665,Insumos!$B$1:$B$996,Insumos!$D$1:$D$996),"")</f>
        <v>17.329999999999998</v>
      </c>
      <c r="H2665" s="92">
        <v>8.6649999999999991</v>
      </c>
      <c r="I2665" s="13" t="e">
        <v>#REF!</v>
      </c>
      <c r="J2665" s="13" t="e">
        <v>#REF!</v>
      </c>
      <c r="K2665" s="13"/>
      <c r="L2665"/>
      <c r="M2665"/>
      <c r="N2665"/>
      <c r="O2665"/>
      <c r="P2665"/>
      <c r="Q2665"/>
      <c r="R2665"/>
      <c r="S2665"/>
      <c r="T2665"/>
      <c r="U2665"/>
      <c r="V2665"/>
      <c r="W2665"/>
      <c r="X2665"/>
      <c r="Y2665"/>
      <c r="Z2665"/>
      <c r="AA2665"/>
      <c r="AB2665"/>
      <c r="AC2665"/>
      <c r="AD2665"/>
      <c r="AE2665"/>
      <c r="AF2665"/>
      <c r="AG2665"/>
      <c r="AH2665"/>
      <c r="AI2665"/>
      <c r="AJ2665"/>
      <c r="AK2665"/>
      <c r="AL2665"/>
    </row>
    <row r="2666" spans="1:38" ht="15.75" customHeight="1" outlineLevel="2" x14ac:dyDescent="0.2">
      <c r="A2666" s="1067">
        <v>1</v>
      </c>
      <c r="B2666" s="1067" t="s">
        <v>68</v>
      </c>
      <c r="C2666" s="1067" t="s">
        <v>539</v>
      </c>
      <c r="D2666" s="1067" t="s">
        <v>539</v>
      </c>
      <c r="E2666" s="1068" t="s">
        <v>70</v>
      </c>
      <c r="F2666" s="1067"/>
      <c r="G2666" s="1069" t="str">
        <f t="array" ref="G2666">IF(B2666="insumo",_xlfn.XLOOKUP($D2666,Insumos!$B$1:$B$996,Insumos!$D$1:$D$996),"")</f>
        <v/>
      </c>
      <c r="H2666" s="1069">
        <v>898.24549999999999</v>
      </c>
      <c r="I2666" s="1070">
        <v>0</v>
      </c>
      <c r="J2666" s="1070">
        <v>0</v>
      </c>
      <c r="K2666" s="1070"/>
      <c r="L2666"/>
      <c r="M2666"/>
      <c r="N2666"/>
      <c r="O2666"/>
      <c r="P2666"/>
      <c r="Q2666"/>
      <c r="R2666"/>
      <c r="S2666"/>
      <c r="T2666"/>
      <c r="U2666"/>
      <c r="V2666"/>
      <c r="W2666"/>
      <c r="X2666"/>
      <c r="Y2666"/>
      <c r="Z2666"/>
      <c r="AA2666"/>
      <c r="AB2666"/>
      <c r="AC2666"/>
      <c r="AD2666"/>
      <c r="AE2666"/>
      <c r="AF2666"/>
      <c r="AG2666"/>
      <c r="AH2666"/>
      <c r="AI2666"/>
      <c r="AJ2666"/>
      <c r="AK2666"/>
      <c r="AL2666"/>
    </row>
    <row r="2667" spans="1:38" ht="15.75" customHeight="1" outlineLevel="3" x14ac:dyDescent="0.2">
      <c r="A2667" s="10">
        <v>10</v>
      </c>
      <c r="B2667" s="10" t="s">
        <v>71</v>
      </c>
      <c r="C2667" s="10" t="s">
        <v>539</v>
      </c>
      <c r="D2667" s="10" t="s">
        <v>531</v>
      </c>
      <c r="E2667" s="11" t="str">
        <f t="array" ref="E2667">_xlfn.XLOOKUP(D2667,Insumos!B:B,Insumos!C:$C)</f>
        <v>M2</v>
      </c>
      <c r="F2667" s="14">
        <v>1.1000000000000001</v>
      </c>
      <c r="G2667" s="92">
        <f t="array" ref="G2667">IF(B2667="insumo",_xlfn.XLOOKUP($D2667,Insumos!$B$1:$B$996,Insumos!$D$1:$D$996),"")</f>
        <v>800</v>
      </c>
      <c r="H2667" s="92">
        <v>880</v>
      </c>
      <c r="I2667" s="13">
        <v>0</v>
      </c>
      <c r="J2667" s="13">
        <v>0</v>
      </c>
      <c r="K2667" s="13"/>
      <c r="L2667"/>
      <c r="M2667"/>
      <c r="N2667"/>
      <c r="O2667"/>
      <c r="P2667"/>
      <c r="Q2667"/>
      <c r="R2667"/>
      <c r="S2667"/>
      <c r="T2667"/>
      <c r="U2667"/>
      <c r="V2667"/>
      <c r="W2667"/>
      <c r="X2667"/>
      <c r="Y2667"/>
      <c r="Z2667"/>
      <c r="AA2667"/>
      <c r="AB2667"/>
      <c r="AC2667"/>
      <c r="AD2667"/>
      <c r="AE2667"/>
      <c r="AF2667"/>
      <c r="AG2667"/>
      <c r="AH2667"/>
      <c r="AI2667"/>
      <c r="AJ2667"/>
      <c r="AK2667"/>
      <c r="AL2667"/>
    </row>
    <row r="2668" spans="1:38" ht="15.75" customHeight="1" outlineLevel="3" x14ac:dyDescent="0.2">
      <c r="A2668" s="10">
        <v>191</v>
      </c>
      <c r="B2668" s="10" t="s">
        <v>71</v>
      </c>
      <c r="C2668" s="10" t="s">
        <v>539</v>
      </c>
      <c r="D2668" s="10" t="s">
        <v>481</v>
      </c>
      <c r="E2668" s="11" t="str">
        <f t="array" ref="E2668">_xlfn.XLOOKUP(D2668,Insumos!B:B,Insumos!C:$C)</f>
        <v>KG</v>
      </c>
      <c r="F2668" s="14">
        <v>9</v>
      </c>
      <c r="G2668" s="92">
        <f t="array" ref="G2668">IF(B2668="insumo",_xlfn.XLOOKUP($D2668,Insumos!$B$1:$B$996,Insumos!$D$1:$D$996),"")</f>
        <v>1.0645</v>
      </c>
      <c r="H2668" s="92">
        <v>9.5805000000000007</v>
      </c>
      <c r="I2668" s="13">
        <v>0</v>
      </c>
      <c r="J2668" s="13">
        <v>0</v>
      </c>
      <c r="K2668" s="13"/>
      <c r="L2668"/>
      <c r="M2668"/>
      <c r="N2668"/>
      <c r="O2668"/>
      <c r="P2668"/>
      <c r="Q2668"/>
      <c r="R2668"/>
      <c r="S2668"/>
      <c r="T2668"/>
      <c r="U2668"/>
      <c r="V2668"/>
      <c r="W2668"/>
      <c r="X2668"/>
      <c r="Y2668"/>
      <c r="Z2668"/>
      <c r="AA2668"/>
      <c r="AB2668"/>
      <c r="AC2668"/>
      <c r="AD2668"/>
      <c r="AE2668"/>
      <c r="AF2668"/>
      <c r="AG2668"/>
      <c r="AH2668"/>
      <c r="AI2668"/>
      <c r="AJ2668"/>
      <c r="AK2668"/>
      <c r="AL2668"/>
    </row>
    <row r="2669" spans="1:38" ht="15.75" customHeight="1" outlineLevel="3" x14ac:dyDescent="0.2">
      <c r="A2669" s="10">
        <v>34</v>
      </c>
      <c r="B2669" s="10" t="s">
        <v>71</v>
      </c>
      <c r="C2669" s="10" t="s">
        <v>539</v>
      </c>
      <c r="D2669" s="10" t="s">
        <v>538</v>
      </c>
      <c r="E2669" s="11" t="str">
        <f t="array" ref="E2669">_xlfn.XLOOKUP(D2669,Insumos!B:B,Insumos!C:$C)</f>
        <v>UN</v>
      </c>
      <c r="F2669" s="14">
        <v>0.5</v>
      </c>
      <c r="G2669" s="92">
        <f t="array" ref="G2669">IF(B2669="insumo",_xlfn.XLOOKUP($D2669,Insumos!$B$1:$B$996,Insumos!$D$1:$D$996),"")</f>
        <v>17.329999999999998</v>
      </c>
      <c r="H2669" s="92">
        <v>8.6649999999999991</v>
      </c>
      <c r="I2669" s="13">
        <v>0</v>
      </c>
      <c r="J2669" s="13">
        <v>0</v>
      </c>
      <c r="K2669" s="13"/>
      <c r="L2669"/>
      <c r="M2669"/>
      <c r="N2669"/>
      <c r="O2669"/>
      <c r="P2669"/>
      <c r="Q2669"/>
      <c r="R2669"/>
      <c r="S2669"/>
      <c r="T2669"/>
      <c r="U2669"/>
      <c r="V2669"/>
      <c r="W2669"/>
      <c r="X2669"/>
      <c r="Y2669"/>
      <c r="Z2669"/>
      <c r="AA2669"/>
      <c r="AB2669"/>
      <c r="AC2669"/>
      <c r="AD2669"/>
      <c r="AE2669"/>
      <c r="AF2669"/>
      <c r="AG2669"/>
      <c r="AH2669"/>
      <c r="AI2669"/>
      <c r="AJ2669"/>
      <c r="AK2669"/>
      <c r="AL2669"/>
    </row>
    <row r="2670" spans="1:38" ht="15.75" customHeight="1" outlineLevel="1" x14ac:dyDescent="0.2">
      <c r="A2670" s="1090">
        <v>1</v>
      </c>
      <c r="B2670" s="1090" t="s">
        <v>1228</v>
      </c>
      <c r="C2670" s="1090" t="s">
        <v>539</v>
      </c>
      <c r="D2670" s="1090" t="s">
        <v>1432</v>
      </c>
      <c r="E2670" s="1091"/>
      <c r="F2670" s="1092"/>
      <c r="G2670" s="1091"/>
      <c r="H2670" s="1091">
        <v>0</v>
      </c>
      <c r="I2670" s="1092">
        <v>0</v>
      </c>
      <c r="J2670" s="1092">
        <v>0</v>
      </c>
      <c r="K2670" s="1092"/>
      <c r="L2670"/>
      <c r="M2670"/>
      <c r="N2670"/>
      <c r="O2670"/>
      <c r="P2670"/>
      <c r="Q2670"/>
      <c r="R2670"/>
      <c r="S2670"/>
      <c r="T2670"/>
      <c r="U2670"/>
      <c r="V2670"/>
      <c r="W2670"/>
      <c r="X2670"/>
      <c r="Y2670"/>
      <c r="Z2670"/>
      <c r="AA2670"/>
      <c r="AB2670"/>
      <c r="AC2670"/>
      <c r="AD2670"/>
      <c r="AE2670"/>
      <c r="AF2670"/>
      <c r="AG2670"/>
      <c r="AH2670"/>
      <c r="AI2670"/>
      <c r="AJ2670"/>
      <c r="AK2670"/>
      <c r="AL2670"/>
    </row>
    <row r="2671" spans="1:38" ht="15.75" customHeight="1" outlineLevel="2" x14ac:dyDescent="0.2">
      <c r="A2671" s="1067">
        <v>1</v>
      </c>
      <c r="B2671" s="1067" t="s">
        <v>68</v>
      </c>
      <c r="C2671" s="1067" t="s">
        <v>1433</v>
      </c>
      <c r="D2671" s="1067" t="s">
        <v>1433</v>
      </c>
      <c r="E2671" s="1068" t="s">
        <v>70</v>
      </c>
      <c r="F2671" s="1067"/>
      <c r="G2671" s="1069" t="str">
        <f t="array" ref="G2671">IF(B2671="insumo",_xlfn.XLOOKUP($D2671,Insumos!$B$1:$B$996,Insumos!$D$1:$D$996),"")</f>
        <v/>
      </c>
      <c r="H2671" s="1069">
        <v>919.5</v>
      </c>
      <c r="I2671" s="1070" t="e">
        <v>#REF!</v>
      </c>
      <c r="J2671" s="1070" t="e">
        <v>#REF!</v>
      </c>
      <c r="K2671" s="1070"/>
      <c r="L2671"/>
      <c r="M2671"/>
      <c r="N2671"/>
      <c r="O2671"/>
      <c r="P2671"/>
      <c r="Q2671"/>
      <c r="R2671"/>
      <c r="S2671"/>
      <c r="T2671"/>
      <c r="U2671"/>
      <c r="V2671"/>
      <c r="W2671"/>
      <c r="X2671"/>
      <c r="Y2671"/>
      <c r="Z2671"/>
      <c r="AA2671"/>
      <c r="AB2671"/>
      <c r="AC2671"/>
      <c r="AD2671"/>
      <c r="AE2671"/>
      <c r="AF2671"/>
      <c r="AG2671"/>
      <c r="AH2671"/>
      <c r="AI2671"/>
      <c r="AJ2671"/>
      <c r="AK2671"/>
      <c r="AL2671"/>
    </row>
    <row r="2672" spans="1:38" ht="15.75" customHeight="1" outlineLevel="3" x14ac:dyDescent="0.2">
      <c r="A2672" s="10">
        <v>2</v>
      </c>
      <c r="B2672" s="10" t="s">
        <v>71</v>
      </c>
      <c r="C2672" s="10" t="s">
        <v>1433</v>
      </c>
      <c r="D2672" s="10" t="s">
        <v>1434</v>
      </c>
      <c r="E2672" s="11" t="str">
        <f t="array" ref="E2672">_xlfn.XLOOKUP(D2672,Insumos!B:B,Insumos!C:$C)</f>
        <v>M2</v>
      </c>
      <c r="F2672" s="14">
        <v>1.5</v>
      </c>
      <c r="G2672" s="92">
        <f t="array" ref="G2672">IF(B2672="insumo",_xlfn.XLOOKUP($D2672,Insumos!$B$1:$B$996,Insumos!$D$1:$D$996),"")</f>
        <v>613</v>
      </c>
      <c r="H2672" s="92">
        <v>919.5</v>
      </c>
      <c r="I2672" s="13" t="e">
        <v>#REF!</v>
      </c>
      <c r="J2672" s="13" t="e">
        <v>#REF!</v>
      </c>
      <c r="K2672" s="13"/>
      <c r="L2672"/>
      <c r="M2672"/>
      <c r="N2672"/>
      <c r="O2672"/>
      <c r="P2672"/>
      <c r="Q2672"/>
      <c r="R2672"/>
      <c r="S2672"/>
      <c r="T2672"/>
      <c r="U2672"/>
      <c r="V2672"/>
      <c r="W2672"/>
      <c r="X2672"/>
      <c r="Y2672"/>
      <c r="Z2672"/>
      <c r="AA2672"/>
      <c r="AB2672"/>
      <c r="AC2672"/>
      <c r="AD2672"/>
      <c r="AE2672"/>
      <c r="AF2672"/>
      <c r="AG2672"/>
      <c r="AH2672"/>
      <c r="AI2672"/>
      <c r="AJ2672"/>
      <c r="AK2672"/>
      <c r="AL2672"/>
    </row>
    <row r="2673" spans="1:38" ht="12.75" outlineLevel="2" x14ac:dyDescent="0.2">
      <c r="A2673" s="1071">
        <v>1</v>
      </c>
      <c r="B2673" s="1071" t="s">
        <v>68</v>
      </c>
      <c r="C2673" s="1071" t="s">
        <v>1808</v>
      </c>
      <c r="D2673" s="1071" t="s">
        <v>1808</v>
      </c>
      <c r="E2673" s="1072" t="s">
        <v>70</v>
      </c>
      <c r="F2673" s="1071"/>
      <c r="G2673" s="1073" t="str">
        <f t="array" ref="G2673">IF(B2673="insumo",_xlfn.XLOOKUP($D2673,Insumos!$B$1:$B$996,Insumos!$D$1:$D$996),"")</f>
        <v/>
      </c>
      <c r="H2673" s="1073">
        <v>242</v>
      </c>
      <c r="I2673" s="1074">
        <v>0</v>
      </c>
      <c r="J2673" s="1074">
        <v>0</v>
      </c>
      <c r="K2673" s="1074"/>
      <c r="L2673"/>
      <c r="M2673"/>
      <c r="N2673"/>
      <c r="O2673"/>
      <c r="P2673"/>
      <c r="Q2673"/>
      <c r="R2673"/>
      <c r="S2673"/>
      <c r="T2673"/>
      <c r="U2673"/>
      <c r="V2673"/>
      <c r="W2673"/>
      <c r="X2673"/>
      <c r="Y2673"/>
      <c r="Z2673"/>
      <c r="AA2673"/>
      <c r="AB2673"/>
      <c r="AC2673"/>
      <c r="AD2673"/>
      <c r="AE2673"/>
      <c r="AF2673"/>
      <c r="AG2673"/>
      <c r="AH2673"/>
      <c r="AI2673"/>
      <c r="AJ2673"/>
      <c r="AK2673"/>
      <c r="AL2673"/>
    </row>
    <row r="2674" spans="1:38" ht="12.75" outlineLevel="3" x14ac:dyDescent="0.2">
      <c r="A2674" s="82">
        <v>1</v>
      </c>
      <c r="B2674" s="82" t="s">
        <v>71</v>
      </c>
      <c r="C2674" s="82" t="s">
        <v>1808</v>
      </c>
      <c r="D2674" s="82" t="s">
        <v>1808</v>
      </c>
      <c r="E2674" s="11" t="str">
        <f t="array" ref="E2674">_xlfn.XLOOKUP(D2674,Insumos!B:B,Insumos!C:$C)</f>
        <v>M2</v>
      </c>
      <c r="F2674" s="86">
        <v>1.1000000000000001</v>
      </c>
      <c r="G2674" s="92">
        <f t="array" ref="G2674">IF(B2674="insumo",_xlfn.XLOOKUP($D2674,Insumos!$B$1:$B$996,Insumos!$D$1:$D$996),"")</f>
        <v>220</v>
      </c>
      <c r="H2674" s="92">
        <v>242</v>
      </c>
      <c r="I2674" s="84">
        <v>0</v>
      </c>
      <c r="J2674" s="84">
        <v>0</v>
      </c>
      <c r="K2674" s="84"/>
      <c r="L2674"/>
      <c r="M2674"/>
      <c r="N2674"/>
      <c r="O2674"/>
      <c r="P2674"/>
      <c r="Q2674"/>
      <c r="R2674"/>
      <c r="S2674"/>
      <c r="T2674"/>
      <c r="U2674"/>
      <c r="V2674"/>
      <c r="W2674"/>
      <c r="X2674"/>
      <c r="Y2674"/>
      <c r="Z2674"/>
      <c r="AA2674"/>
      <c r="AB2674"/>
      <c r="AC2674"/>
      <c r="AD2674"/>
      <c r="AE2674"/>
      <c r="AF2674"/>
      <c r="AG2674"/>
      <c r="AH2674"/>
      <c r="AI2674"/>
      <c r="AJ2674"/>
      <c r="AK2674"/>
      <c r="AL2674"/>
    </row>
    <row r="2675" spans="1:38" ht="15.75" customHeight="1" outlineLevel="1" x14ac:dyDescent="0.2">
      <c r="A2675" s="1090">
        <v>1</v>
      </c>
      <c r="B2675" s="1090" t="s">
        <v>1228</v>
      </c>
      <c r="C2675" s="1090" t="s">
        <v>1808</v>
      </c>
      <c r="D2675" s="1090" t="s">
        <v>2615</v>
      </c>
      <c r="E2675" s="1091"/>
      <c r="F2675" s="1092"/>
      <c r="G2675" s="1091"/>
      <c r="H2675" s="1091">
        <v>0</v>
      </c>
      <c r="I2675" s="1092">
        <v>0</v>
      </c>
      <c r="J2675" s="1092">
        <v>0</v>
      </c>
      <c r="K2675" s="1092"/>
      <c r="L2675"/>
      <c r="M2675"/>
      <c r="N2675"/>
      <c r="O2675"/>
      <c r="P2675"/>
      <c r="Q2675"/>
      <c r="R2675"/>
      <c r="S2675"/>
      <c r="T2675"/>
      <c r="U2675"/>
      <c r="V2675"/>
      <c r="W2675"/>
      <c r="X2675"/>
      <c r="Y2675"/>
      <c r="Z2675"/>
      <c r="AA2675"/>
      <c r="AB2675"/>
      <c r="AC2675"/>
      <c r="AD2675"/>
      <c r="AE2675"/>
      <c r="AF2675"/>
      <c r="AG2675"/>
      <c r="AH2675"/>
      <c r="AI2675"/>
      <c r="AJ2675"/>
      <c r="AK2675"/>
      <c r="AL2675"/>
    </row>
    <row r="2676" spans="1:38" ht="15.75" customHeight="1" outlineLevel="2" x14ac:dyDescent="0.2">
      <c r="A2676" s="1067">
        <v>1</v>
      </c>
      <c r="B2676" s="1067" t="s">
        <v>68</v>
      </c>
      <c r="C2676" s="1067" t="s">
        <v>2882</v>
      </c>
      <c r="D2676" s="1067" t="s">
        <v>2882</v>
      </c>
      <c r="E2676" s="1068" t="s">
        <v>70</v>
      </c>
      <c r="F2676" s="1067"/>
      <c r="G2676" s="1069" t="str">
        <f t="array" ref="G2676">IF(B2676="insumo",_xlfn.XLOOKUP($D2676,Insumos!$B$1:$B$996,Insumos!$D$1:$D$996),"")</f>
        <v/>
      </c>
      <c r="H2676" s="1069">
        <v>286.60377358490598</v>
      </c>
      <c r="I2676" s="1070" t="e">
        <v>#REF!</v>
      </c>
      <c r="J2676" s="1070" t="e">
        <v>#REF!</v>
      </c>
      <c r="K2676" s="1070"/>
      <c r="L2676"/>
      <c r="M2676"/>
      <c r="N2676"/>
      <c r="O2676"/>
      <c r="P2676"/>
      <c r="Q2676"/>
      <c r="R2676"/>
      <c r="S2676"/>
      <c r="T2676"/>
      <c r="U2676"/>
      <c r="V2676"/>
      <c r="W2676"/>
      <c r="X2676"/>
      <c r="Y2676"/>
      <c r="Z2676"/>
      <c r="AA2676"/>
      <c r="AB2676"/>
      <c r="AC2676"/>
      <c r="AD2676"/>
      <c r="AE2676"/>
      <c r="AF2676"/>
      <c r="AG2676"/>
      <c r="AH2676"/>
      <c r="AI2676"/>
      <c r="AJ2676"/>
      <c r="AK2676"/>
      <c r="AL2676"/>
    </row>
    <row r="2677" spans="1:38" ht="15.75" customHeight="1" outlineLevel="3" x14ac:dyDescent="0.2">
      <c r="A2677" s="10">
        <v>6</v>
      </c>
      <c r="B2677" s="10" t="s">
        <v>71</v>
      </c>
      <c r="C2677" s="10" t="s">
        <v>2882</v>
      </c>
      <c r="D2677" s="10" t="s">
        <v>2885</v>
      </c>
      <c r="E2677" s="11" t="str">
        <f t="array" ref="E2677">_xlfn.XLOOKUP(D2677,Insumos!B:B,Insumos!C:$C)</f>
        <v>M2</v>
      </c>
      <c r="F2677" s="14">
        <v>1</v>
      </c>
      <c r="G2677" s="92">
        <f t="array" ref="G2677">IF(B2677="insumo",_xlfn.XLOOKUP($D2677,Insumos!$B$1:$B$996,Insumos!$D$1:$D$996),"")</f>
        <v>50</v>
      </c>
      <c r="H2677" s="92">
        <v>50</v>
      </c>
      <c r="I2677" s="13" t="e">
        <v>#REF!</v>
      </c>
      <c r="J2677" s="13" t="e">
        <v>#REF!</v>
      </c>
      <c r="K2677" s="13"/>
      <c r="L2677"/>
      <c r="M2677"/>
      <c r="N2677"/>
      <c r="O2677"/>
      <c r="P2677"/>
      <c r="Q2677"/>
      <c r="R2677"/>
      <c r="S2677"/>
      <c r="T2677"/>
      <c r="U2677"/>
      <c r="V2677"/>
      <c r="W2677"/>
      <c r="X2677"/>
      <c r="Y2677"/>
      <c r="Z2677"/>
      <c r="AA2677"/>
      <c r="AB2677"/>
      <c r="AC2677"/>
      <c r="AD2677"/>
      <c r="AE2677"/>
      <c r="AF2677"/>
      <c r="AG2677"/>
      <c r="AH2677"/>
      <c r="AI2677"/>
      <c r="AJ2677"/>
      <c r="AK2677"/>
      <c r="AL2677"/>
    </row>
    <row r="2678" spans="1:38" ht="15.75" customHeight="1" outlineLevel="3" x14ac:dyDescent="0.2">
      <c r="A2678" s="10">
        <v>1</v>
      </c>
      <c r="B2678" s="10" t="s">
        <v>71</v>
      </c>
      <c r="C2678" s="10" t="s">
        <v>2882</v>
      </c>
      <c r="D2678" s="10" t="s">
        <v>2886</v>
      </c>
      <c r="E2678" s="11" t="str">
        <f t="array" ref="E2678">_xlfn.XLOOKUP(D2678,Insumos!B:B,Insumos!C:$C)</f>
        <v>M2</v>
      </c>
      <c r="F2678" s="14">
        <v>1.1000000000000001</v>
      </c>
      <c r="G2678" s="92">
        <f t="array" ref="G2678">IF(B2678="insumo",_xlfn.XLOOKUP($D2678,Insumos!$B$1:$B$996,Insumos!$D$1:$D$996),"")</f>
        <v>215.09433962264148</v>
      </c>
      <c r="H2678" s="92">
        <v>236.60377358490601</v>
      </c>
      <c r="I2678" s="13" t="e">
        <v>#REF!</v>
      </c>
      <c r="J2678" s="13" t="e">
        <v>#REF!</v>
      </c>
      <c r="K2678" s="13"/>
      <c r="L2678"/>
      <c r="M2678"/>
      <c r="N2678"/>
      <c r="O2678"/>
      <c r="P2678"/>
      <c r="Q2678"/>
      <c r="R2678"/>
      <c r="S2678"/>
      <c r="T2678"/>
      <c r="U2678"/>
      <c r="V2678"/>
      <c r="W2678"/>
      <c r="X2678"/>
      <c r="Y2678"/>
      <c r="Z2678"/>
      <c r="AA2678"/>
      <c r="AB2678"/>
      <c r="AC2678"/>
      <c r="AD2678"/>
      <c r="AE2678"/>
      <c r="AF2678"/>
      <c r="AG2678"/>
      <c r="AH2678"/>
      <c r="AI2678"/>
      <c r="AJ2678"/>
      <c r="AK2678"/>
      <c r="AL2678"/>
    </row>
    <row r="2679" spans="1:38" ht="15.75" customHeight="1" outlineLevel="2" x14ac:dyDescent="0.2">
      <c r="A2679" s="1067">
        <v>1</v>
      </c>
      <c r="B2679" s="1067" t="s">
        <v>68</v>
      </c>
      <c r="C2679" s="1067" t="s">
        <v>2883</v>
      </c>
      <c r="D2679" s="1067" t="s">
        <v>2883</v>
      </c>
      <c r="E2679" s="1068" t="s">
        <v>70</v>
      </c>
      <c r="F2679" s="1067"/>
      <c r="G2679" s="1069" t="str">
        <f t="array" ref="G2679">IF(B2679="insumo",_xlfn.XLOOKUP($D2679,Insumos!$B$1:$B$996,Insumos!$D$1:$D$996),"")</f>
        <v/>
      </c>
      <c r="H2679" s="1069">
        <v>268.616352201258</v>
      </c>
      <c r="I2679" s="1070" t="e">
        <v>#REF!</v>
      </c>
      <c r="J2679" s="1070" t="e">
        <v>#REF!</v>
      </c>
      <c r="K2679" s="1070"/>
      <c r="L2679"/>
      <c r="M2679"/>
      <c r="N2679"/>
      <c r="O2679"/>
      <c r="P2679"/>
      <c r="Q2679"/>
      <c r="R2679"/>
      <c r="S2679"/>
      <c r="T2679"/>
      <c r="U2679"/>
      <c r="V2679"/>
      <c r="W2679"/>
      <c r="X2679"/>
      <c r="Y2679"/>
      <c r="Z2679"/>
      <c r="AA2679"/>
      <c r="AB2679"/>
      <c r="AC2679"/>
      <c r="AD2679"/>
      <c r="AE2679"/>
      <c r="AF2679"/>
      <c r="AG2679"/>
      <c r="AH2679"/>
      <c r="AI2679"/>
      <c r="AJ2679"/>
      <c r="AK2679"/>
      <c r="AL2679"/>
    </row>
    <row r="2680" spans="1:38" ht="15.75" customHeight="1" outlineLevel="3" x14ac:dyDescent="0.2">
      <c r="A2680" s="10">
        <v>6</v>
      </c>
      <c r="B2680" s="10" t="s">
        <v>71</v>
      </c>
      <c r="C2680" s="10" t="s">
        <v>2883</v>
      </c>
      <c r="D2680" s="10" t="s">
        <v>2885</v>
      </c>
      <c r="E2680" s="11" t="str">
        <f t="array" ref="E2680">_xlfn.XLOOKUP(D2680,Insumos!B:B,Insumos!C:$C)</f>
        <v>M2</v>
      </c>
      <c r="F2680" s="14">
        <v>1</v>
      </c>
      <c r="G2680" s="92">
        <f t="array" ref="G2680">IF(B2680="insumo",_xlfn.XLOOKUP($D2680,Insumos!$B$1:$B$996,Insumos!$D$1:$D$996),"")</f>
        <v>50</v>
      </c>
      <c r="H2680" s="92">
        <v>50</v>
      </c>
      <c r="I2680" s="13" t="e">
        <v>#REF!</v>
      </c>
      <c r="J2680" s="13" t="e">
        <v>#REF!</v>
      </c>
      <c r="K2680" s="13"/>
      <c r="L2680"/>
      <c r="M2680"/>
      <c r="N2680"/>
      <c r="O2680"/>
      <c r="P2680"/>
      <c r="Q2680"/>
      <c r="R2680"/>
      <c r="S2680"/>
      <c r="T2680"/>
      <c r="U2680"/>
      <c r="V2680"/>
      <c r="W2680"/>
      <c r="X2680"/>
      <c r="Y2680"/>
      <c r="Z2680"/>
      <c r="AA2680"/>
      <c r="AB2680"/>
      <c r="AC2680"/>
      <c r="AD2680"/>
      <c r="AE2680"/>
      <c r="AF2680"/>
      <c r="AG2680"/>
      <c r="AH2680"/>
      <c r="AI2680"/>
      <c r="AJ2680"/>
      <c r="AK2680"/>
      <c r="AL2680"/>
    </row>
    <row r="2681" spans="1:38" ht="15.75" customHeight="1" outlineLevel="3" x14ac:dyDescent="0.2">
      <c r="A2681" s="10">
        <v>2</v>
      </c>
      <c r="B2681" s="10" t="s">
        <v>71</v>
      </c>
      <c r="C2681" s="10" t="s">
        <v>2883</v>
      </c>
      <c r="D2681" s="10" t="s">
        <v>2887</v>
      </c>
      <c r="E2681" s="11" t="str">
        <f t="array" ref="E2681">_xlfn.XLOOKUP(D2681,Insumos!B:B,Insumos!C:$C)</f>
        <v>M2</v>
      </c>
      <c r="F2681" s="14">
        <v>1.1000000000000001</v>
      </c>
      <c r="G2681" s="92">
        <f t="array" ref="G2681">IF(B2681="insumo",_xlfn.XLOOKUP($D2681,Insumos!$B$1:$B$996,Insumos!$D$1:$D$996),"")</f>
        <v>198.74213836477986</v>
      </c>
      <c r="H2681" s="92">
        <v>218.616352201258</v>
      </c>
      <c r="I2681" s="13" t="e">
        <v>#REF!</v>
      </c>
      <c r="J2681" s="13" t="e">
        <v>#REF!</v>
      </c>
      <c r="K2681" s="13"/>
      <c r="L2681"/>
      <c r="M2681"/>
      <c r="N2681"/>
      <c r="O2681"/>
      <c r="P2681"/>
      <c r="Q2681"/>
      <c r="R2681"/>
      <c r="S2681"/>
      <c r="T2681"/>
      <c r="U2681"/>
      <c r="V2681"/>
      <c r="W2681"/>
      <c r="X2681"/>
      <c r="Y2681"/>
      <c r="Z2681"/>
      <c r="AA2681"/>
      <c r="AB2681"/>
      <c r="AC2681"/>
      <c r="AD2681"/>
      <c r="AE2681"/>
      <c r="AF2681"/>
      <c r="AG2681"/>
      <c r="AH2681"/>
      <c r="AI2681"/>
      <c r="AJ2681"/>
      <c r="AK2681"/>
      <c r="AL2681"/>
    </row>
    <row r="2682" spans="1:38" ht="12.75" outlineLevel="2" x14ac:dyDescent="0.2">
      <c r="A2682" s="1071">
        <v>1</v>
      </c>
      <c r="B2682" s="1071" t="s">
        <v>68</v>
      </c>
      <c r="C2682" s="1067" t="s">
        <v>2884</v>
      </c>
      <c r="D2682" s="1067" t="s">
        <v>2884</v>
      </c>
      <c r="E2682" s="1072" t="s">
        <v>70</v>
      </c>
      <c r="F2682" s="1071"/>
      <c r="G2682" s="1073" t="str">
        <f t="array" ref="G2682">IF(B2682="insumo",_xlfn.XLOOKUP($D2682,Insumos!$B$1:$B$996,Insumos!$D$1:$D$996),"")</f>
        <v/>
      </c>
      <c r="H2682" s="1073">
        <v>328.11320754717002</v>
      </c>
      <c r="I2682" s="1074" t="e">
        <v>#REF!</v>
      </c>
      <c r="J2682" s="1074" t="e">
        <v>#REF!</v>
      </c>
      <c r="K2682" s="1074"/>
      <c r="L2682"/>
      <c r="M2682"/>
      <c r="N2682"/>
      <c r="O2682"/>
      <c r="P2682"/>
      <c r="Q2682"/>
      <c r="R2682"/>
      <c r="S2682"/>
      <c r="T2682"/>
      <c r="U2682"/>
      <c r="V2682"/>
      <c r="W2682"/>
      <c r="X2682"/>
      <c r="Y2682"/>
      <c r="Z2682"/>
      <c r="AA2682"/>
      <c r="AB2682"/>
      <c r="AC2682"/>
      <c r="AD2682"/>
      <c r="AE2682"/>
      <c r="AF2682"/>
      <c r="AG2682"/>
      <c r="AH2682"/>
      <c r="AI2682"/>
      <c r="AJ2682"/>
      <c r="AK2682"/>
      <c r="AL2682"/>
    </row>
    <row r="2683" spans="1:38" ht="15.75" customHeight="1" outlineLevel="3" x14ac:dyDescent="0.2">
      <c r="A2683" s="10">
        <v>6</v>
      </c>
      <c r="B2683" s="10" t="s">
        <v>71</v>
      </c>
      <c r="C2683" s="10" t="s">
        <v>2884</v>
      </c>
      <c r="D2683" s="10" t="s">
        <v>2885</v>
      </c>
      <c r="E2683" s="11" t="str">
        <f t="array" ref="E2683">_xlfn.XLOOKUP(D2683,Insumos!B:B,Insumos!C:$C)</f>
        <v>M2</v>
      </c>
      <c r="F2683" s="14">
        <v>1</v>
      </c>
      <c r="G2683" s="92">
        <f t="array" ref="G2683">IF(B2683="insumo",_xlfn.XLOOKUP($D2683,Insumos!$B$1:$B$996,Insumos!$D$1:$D$996),"")</f>
        <v>50</v>
      </c>
      <c r="H2683" s="92">
        <v>50</v>
      </c>
      <c r="I2683" s="13" t="e">
        <v>#REF!</v>
      </c>
      <c r="J2683" s="13" t="e">
        <v>#REF!</v>
      </c>
      <c r="K2683" s="13"/>
      <c r="L2683"/>
      <c r="M2683"/>
      <c r="N2683"/>
      <c r="O2683"/>
      <c r="P2683"/>
      <c r="Q2683"/>
      <c r="R2683"/>
      <c r="S2683"/>
      <c r="T2683"/>
      <c r="U2683"/>
      <c r="V2683"/>
      <c r="W2683"/>
      <c r="X2683"/>
      <c r="Y2683"/>
      <c r="Z2683"/>
      <c r="AA2683"/>
      <c r="AB2683"/>
      <c r="AC2683"/>
      <c r="AD2683"/>
      <c r="AE2683"/>
      <c r="AF2683"/>
      <c r="AG2683"/>
      <c r="AH2683"/>
      <c r="AI2683"/>
      <c r="AJ2683"/>
      <c r="AK2683"/>
      <c r="AL2683"/>
    </row>
    <row r="2684" spans="1:38" ht="12.75" outlineLevel="3" x14ac:dyDescent="0.2">
      <c r="A2684" s="82">
        <v>1</v>
      </c>
      <c r="B2684" s="82" t="s">
        <v>71</v>
      </c>
      <c r="C2684" s="10" t="s">
        <v>2884</v>
      </c>
      <c r="D2684" s="10" t="s">
        <v>2888</v>
      </c>
      <c r="E2684" s="11" t="str">
        <f t="array" ref="E2684">_xlfn.XLOOKUP(D2684,Insumos!B:B,Insumos!C:$C)</f>
        <v>M2</v>
      </c>
      <c r="F2684" s="86">
        <v>1.1000000000000001</v>
      </c>
      <c r="G2684" s="92">
        <f t="array" ref="G2684">IF(B2684="insumo",_xlfn.XLOOKUP($D2684,Insumos!$B$1:$B$996,Insumos!$D$1:$D$996),"")</f>
        <v>252.83018867924525</v>
      </c>
      <c r="H2684" s="92">
        <v>278.11320754717002</v>
      </c>
      <c r="I2684" s="84" t="e">
        <v>#REF!</v>
      </c>
      <c r="J2684" s="84" t="e">
        <v>#REF!</v>
      </c>
      <c r="K2684" s="84"/>
      <c r="L2684"/>
      <c r="M2684"/>
      <c r="N2684"/>
      <c r="O2684"/>
      <c r="P2684"/>
      <c r="Q2684"/>
      <c r="R2684"/>
      <c r="S2684"/>
      <c r="T2684"/>
      <c r="U2684"/>
      <c r="V2684"/>
      <c r="W2684"/>
      <c r="X2684"/>
      <c r="Y2684"/>
      <c r="Z2684"/>
      <c r="AA2684"/>
      <c r="AB2684"/>
      <c r="AC2684"/>
      <c r="AD2684"/>
      <c r="AE2684"/>
      <c r="AF2684"/>
      <c r="AG2684"/>
      <c r="AH2684"/>
      <c r="AI2684"/>
      <c r="AJ2684"/>
      <c r="AK2684"/>
      <c r="AL2684"/>
    </row>
    <row r="2685" spans="1:38" ht="12.75" outlineLevel="2" x14ac:dyDescent="0.2">
      <c r="A2685" s="1071">
        <v>1</v>
      </c>
      <c r="B2685" s="1071" t="s">
        <v>68</v>
      </c>
      <c r="C2685" s="1067" t="s">
        <v>2954</v>
      </c>
      <c r="D2685" s="1067" t="s">
        <v>2954</v>
      </c>
      <c r="E2685" s="1072" t="s">
        <v>70</v>
      </c>
      <c r="F2685" s="1071"/>
      <c r="G2685" s="1073" t="str">
        <f t="array" ref="G2685">IF(B2685="insumo",_xlfn.XLOOKUP($D2685,Insumos!$B$1:$B$996,Insumos!$D$1:$D$996),"")</f>
        <v/>
      </c>
      <c r="H2685" s="1073">
        <v>328.01437556154502</v>
      </c>
      <c r="I2685" s="1074" t="e">
        <v>#REF!</v>
      </c>
      <c r="J2685" s="1074" t="e">
        <v>#REF!</v>
      </c>
      <c r="K2685" s="1074"/>
      <c r="L2685"/>
      <c r="M2685"/>
      <c r="N2685"/>
      <c r="O2685"/>
      <c r="P2685"/>
      <c r="Q2685"/>
      <c r="R2685"/>
      <c r="S2685"/>
      <c r="T2685"/>
      <c r="U2685"/>
      <c r="V2685"/>
      <c r="W2685"/>
      <c r="X2685"/>
      <c r="Y2685"/>
      <c r="Z2685"/>
      <c r="AA2685"/>
      <c r="AB2685"/>
      <c r="AC2685"/>
      <c r="AD2685"/>
      <c r="AE2685"/>
      <c r="AF2685"/>
      <c r="AG2685"/>
      <c r="AH2685"/>
      <c r="AI2685"/>
      <c r="AJ2685"/>
      <c r="AK2685"/>
      <c r="AL2685"/>
    </row>
    <row r="2686" spans="1:38" ht="15.75" customHeight="1" outlineLevel="3" x14ac:dyDescent="0.2">
      <c r="A2686" s="10">
        <v>6</v>
      </c>
      <c r="B2686" s="10" t="s">
        <v>71</v>
      </c>
      <c r="C2686" s="10" t="s">
        <v>2954</v>
      </c>
      <c r="D2686" s="10" t="s">
        <v>2885</v>
      </c>
      <c r="E2686" s="11" t="str">
        <f t="array" ref="E2686">_xlfn.XLOOKUP(D2686,Insumos!B:B,Insumos!C:$C)</f>
        <v>M2</v>
      </c>
      <c r="F2686" s="14">
        <v>1</v>
      </c>
      <c r="G2686" s="92">
        <f t="array" ref="G2686">IF(B2686="insumo",_xlfn.XLOOKUP($D2686,Insumos!$B$1:$B$996,Insumos!$D$1:$D$996),"")</f>
        <v>50</v>
      </c>
      <c r="H2686" s="92">
        <v>50</v>
      </c>
      <c r="I2686" s="13" t="e">
        <v>#REF!</v>
      </c>
      <c r="J2686" s="13" t="e">
        <v>#REF!</v>
      </c>
      <c r="K2686" s="13"/>
      <c r="L2686"/>
      <c r="M2686"/>
      <c r="N2686"/>
      <c r="O2686"/>
      <c r="P2686"/>
      <c r="Q2686"/>
      <c r="R2686"/>
      <c r="S2686"/>
      <c r="T2686"/>
      <c r="U2686"/>
      <c r="V2686"/>
      <c r="W2686"/>
      <c r="X2686"/>
      <c r="Y2686"/>
      <c r="Z2686"/>
      <c r="AA2686"/>
      <c r="AB2686"/>
      <c r="AC2686"/>
      <c r="AD2686"/>
      <c r="AE2686"/>
      <c r="AF2686"/>
      <c r="AG2686"/>
      <c r="AH2686"/>
      <c r="AI2686"/>
      <c r="AJ2686"/>
      <c r="AK2686"/>
      <c r="AL2686"/>
    </row>
    <row r="2687" spans="1:38" ht="12.75" outlineLevel="3" x14ac:dyDescent="0.2">
      <c r="A2687" s="82">
        <v>1</v>
      </c>
      <c r="B2687" s="82" t="s">
        <v>71</v>
      </c>
      <c r="C2687" s="10" t="s">
        <v>2954</v>
      </c>
      <c r="D2687" s="10" t="s">
        <v>2953</v>
      </c>
      <c r="E2687" s="11" t="str">
        <f t="array" ref="E2687">_xlfn.XLOOKUP(D2687,Insumos!B:B,Insumos!C:$C)</f>
        <v>M2</v>
      </c>
      <c r="F2687" s="86">
        <v>1.1000000000000001</v>
      </c>
      <c r="G2687" s="92">
        <f t="array" ref="G2687">IF(B2687="insumo",_xlfn.XLOOKUP($D2687,Insumos!$B$1:$B$996,Insumos!$D$1:$D$996),"")</f>
        <v>252.74034141958668</v>
      </c>
      <c r="H2687" s="92">
        <v>278.01437556154502</v>
      </c>
      <c r="I2687" s="84" t="e">
        <v>#REF!</v>
      </c>
      <c r="J2687" s="84" t="e">
        <v>#REF!</v>
      </c>
      <c r="K2687" s="84"/>
      <c r="L2687"/>
      <c r="M2687"/>
      <c r="N2687"/>
      <c r="O2687"/>
      <c r="P2687"/>
      <c r="Q2687"/>
      <c r="R2687"/>
      <c r="S2687"/>
      <c r="T2687"/>
      <c r="U2687"/>
      <c r="V2687"/>
      <c r="W2687"/>
      <c r="X2687"/>
      <c r="Y2687"/>
      <c r="Z2687"/>
      <c r="AA2687"/>
      <c r="AB2687"/>
      <c r="AC2687"/>
      <c r="AD2687"/>
      <c r="AE2687"/>
      <c r="AF2687"/>
      <c r="AG2687"/>
      <c r="AH2687"/>
      <c r="AI2687"/>
      <c r="AJ2687"/>
      <c r="AK2687"/>
      <c r="AL2687"/>
    </row>
    <row r="2688" spans="1:38" ht="12.75" outlineLevel="2" x14ac:dyDescent="0.2">
      <c r="A2688" s="1071">
        <v>1</v>
      </c>
      <c r="B2688" s="1071" t="s">
        <v>68</v>
      </c>
      <c r="C2688" s="1067" t="s">
        <v>4219</v>
      </c>
      <c r="D2688" s="1067" t="s">
        <v>4219</v>
      </c>
      <c r="E2688" s="1072" t="s">
        <v>70</v>
      </c>
      <c r="F2688" s="1071"/>
      <c r="G2688" s="1073" t="str">
        <f t="array" ref="G2688">IF(B2688="insumo",_xlfn.XLOOKUP($D2688,Insumos!$B$1:$B$996,Insumos!$D$1:$D$996),"")</f>
        <v/>
      </c>
      <c r="H2688" s="1073">
        <v>346.76380368098199</v>
      </c>
      <c r="I2688" s="1074" t="e">
        <v>#REF!</v>
      </c>
      <c r="J2688" s="1074" t="e">
        <v>#REF!</v>
      </c>
      <c r="K2688" s="1074"/>
      <c r="L2688"/>
      <c r="M2688"/>
      <c r="N2688"/>
      <c r="O2688"/>
      <c r="P2688"/>
      <c r="Q2688"/>
      <c r="R2688"/>
      <c r="S2688"/>
      <c r="T2688"/>
      <c r="U2688"/>
      <c r="V2688"/>
      <c r="W2688"/>
      <c r="X2688"/>
      <c r="Y2688"/>
      <c r="Z2688"/>
      <c r="AA2688"/>
      <c r="AB2688"/>
      <c r="AC2688"/>
      <c r="AD2688"/>
      <c r="AE2688"/>
      <c r="AF2688"/>
      <c r="AG2688"/>
      <c r="AH2688"/>
      <c r="AI2688"/>
      <c r="AJ2688"/>
      <c r="AK2688"/>
      <c r="AL2688"/>
    </row>
    <row r="2689" spans="1:38" ht="15.75" customHeight="1" outlineLevel="3" x14ac:dyDescent="0.2">
      <c r="A2689" s="10">
        <v>6</v>
      </c>
      <c r="B2689" s="10" t="s">
        <v>71</v>
      </c>
      <c r="C2689" s="10" t="s">
        <v>4219</v>
      </c>
      <c r="D2689" s="10" t="s">
        <v>2885</v>
      </c>
      <c r="E2689" s="11" t="str">
        <f t="array" ref="E2689">_xlfn.XLOOKUP(D2689,Insumos!B:B,Insumos!C:$C)</f>
        <v>M2</v>
      </c>
      <c r="F2689" s="14">
        <v>1</v>
      </c>
      <c r="G2689" s="92">
        <f t="array" ref="G2689">IF(B2689="insumo",_xlfn.XLOOKUP($D2689,Insumos!$B$1:$B$996,Insumos!$D$1:$D$996),"")</f>
        <v>50</v>
      </c>
      <c r="H2689" s="92">
        <v>50</v>
      </c>
      <c r="I2689" s="13" t="e">
        <v>#REF!</v>
      </c>
      <c r="J2689" s="13" t="e">
        <v>#REF!</v>
      </c>
      <c r="K2689" s="13"/>
      <c r="L2689"/>
      <c r="M2689"/>
      <c r="N2689"/>
      <c r="O2689"/>
      <c r="P2689"/>
      <c r="Q2689"/>
      <c r="R2689"/>
      <c r="S2689"/>
      <c r="T2689"/>
      <c r="U2689"/>
      <c r="V2689"/>
      <c r="W2689"/>
      <c r="X2689"/>
      <c r="Y2689"/>
      <c r="Z2689"/>
      <c r="AA2689"/>
      <c r="AB2689"/>
      <c r="AC2689"/>
      <c r="AD2689"/>
      <c r="AE2689"/>
      <c r="AF2689"/>
      <c r="AG2689"/>
      <c r="AH2689"/>
      <c r="AI2689"/>
      <c r="AJ2689"/>
      <c r="AK2689"/>
      <c r="AL2689"/>
    </row>
    <row r="2690" spans="1:38" ht="12.75" outlineLevel="3" x14ac:dyDescent="0.2">
      <c r="A2690" s="82">
        <v>1</v>
      </c>
      <c r="B2690" s="82" t="s">
        <v>71</v>
      </c>
      <c r="C2690" s="10" t="s">
        <v>4219</v>
      </c>
      <c r="D2690" s="10" t="s">
        <v>4221</v>
      </c>
      <c r="E2690" s="11" t="str">
        <f t="array" ref="E2690">_xlfn.XLOOKUP(D2690,Insumos!B:B,Insumos!C:$C)</f>
        <v>M2</v>
      </c>
      <c r="F2690" s="86">
        <v>1.1000000000000001</v>
      </c>
      <c r="G2690" s="92">
        <f t="array" ref="G2690">IF(B2690="insumo",_xlfn.XLOOKUP($D2690,Insumos!$B$1:$B$996,Insumos!$D$1:$D$996),"")</f>
        <v>269.78527607361963</v>
      </c>
      <c r="H2690" s="92">
        <v>296.76380368098199</v>
      </c>
      <c r="I2690" s="84" t="e">
        <v>#REF!</v>
      </c>
      <c r="J2690" s="84" t="e">
        <v>#REF!</v>
      </c>
      <c r="K2690" s="84"/>
      <c r="L2690"/>
      <c r="M2690"/>
      <c r="N2690"/>
      <c r="O2690"/>
      <c r="P2690"/>
      <c r="Q2690"/>
      <c r="R2690"/>
      <c r="S2690"/>
      <c r="T2690"/>
      <c r="U2690"/>
      <c r="V2690"/>
      <c r="W2690"/>
      <c r="X2690"/>
      <c r="Y2690"/>
      <c r="Z2690"/>
      <c r="AA2690"/>
      <c r="AB2690"/>
      <c r="AC2690"/>
      <c r="AD2690"/>
      <c r="AE2690"/>
      <c r="AF2690"/>
      <c r="AG2690"/>
      <c r="AH2690"/>
      <c r="AI2690"/>
      <c r="AJ2690"/>
      <c r="AK2690"/>
      <c r="AL2690"/>
    </row>
    <row r="2691" spans="1:38" ht="15.75" customHeight="1" outlineLevel="1" x14ac:dyDescent="0.2">
      <c r="A2691" s="1090">
        <v>1</v>
      </c>
      <c r="B2691" s="1090" t="s">
        <v>1228</v>
      </c>
      <c r="C2691" s="1090" t="s">
        <v>4219</v>
      </c>
      <c r="D2691" s="1090" t="s">
        <v>1402</v>
      </c>
      <c r="E2691" s="1091"/>
      <c r="F2691" s="1092"/>
      <c r="G2691" s="1091"/>
      <c r="H2691" s="1091">
        <v>0</v>
      </c>
      <c r="I2691" s="1092">
        <v>0</v>
      </c>
      <c r="J2691" s="1092">
        <v>0</v>
      </c>
      <c r="K2691" s="1092"/>
      <c r="L2691"/>
      <c r="M2691"/>
      <c r="N2691"/>
      <c r="O2691"/>
      <c r="P2691"/>
      <c r="Q2691"/>
      <c r="R2691"/>
      <c r="S2691"/>
      <c r="T2691"/>
      <c r="U2691"/>
      <c r="V2691"/>
      <c r="W2691"/>
      <c r="X2691"/>
      <c r="Y2691"/>
      <c r="Z2691"/>
      <c r="AA2691"/>
      <c r="AB2691"/>
      <c r="AC2691"/>
      <c r="AD2691"/>
      <c r="AE2691"/>
      <c r="AF2691"/>
      <c r="AG2691"/>
      <c r="AH2691"/>
      <c r="AI2691"/>
      <c r="AJ2691"/>
      <c r="AK2691"/>
      <c r="AL2691"/>
    </row>
    <row r="2692" spans="1:38" ht="15.75" customHeight="1" outlineLevel="2" x14ac:dyDescent="0.2">
      <c r="A2692" s="1067">
        <v>1</v>
      </c>
      <c r="B2692" s="1067" t="s">
        <v>68</v>
      </c>
      <c r="C2692" s="1067" t="s">
        <v>526</v>
      </c>
      <c r="D2692" s="1067" t="s">
        <v>526</v>
      </c>
      <c r="E2692" s="1068" t="s">
        <v>70</v>
      </c>
      <c r="F2692" s="1067"/>
      <c r="G2692" s="1069" t="str">
        <f t="array" ref="G2692">IF(B2692="insumo",_xlfn.XLOOKUP($D2692,Insumos!$B$1:$B$996,Insumos!$D$1:$D$996),"")</f>
        <v/>
      </c>
      <c r="H2692" s="1069">
        <v>513.15470000000005</v>
      </c>
      <c r="I2692" s="1070">
        <v>0</v>
      </c>
      <c r="J2692" s="1070">
        <v>0</v>
      </c>
      <c r="K2692" s="1070"/>
      <c r="L2692"/>
      <c r="M2692"/>
      <c r="N2692"/>
      <c r="O2692"/>
      <c r="P2692"/>
      <c r="Q2692"/>
      <c r="R2692"/>
      <c r="S2692"/>
      <c r="T2692"/>
      <c r="U2692"/>
      <c r="V2692"/>
      <c r="W2692"/>
      <c r="X2692"/>
      <c r="Y2692"/>
      <c r="Z2692"/>
      <c r="AA2692"/>
      <c r="AB2692"/>
      <c r="AC2692"/>
      <c r="AD2692"/>
      <c r="AE2692"/>
      <c r="AF2692"/>
      <c r="AG2692"/>
      <c r="AH2692"/>
      <c r="AI2692"/>
      <c r="AJ2692"/>
      <c r="AK2692"/>
      <c r="AL2692"/>
    </row>
    <row r="2693" spans="1:38" ht="15.75" customHeight="1" outlineLevel="3" x14ac:dyDescent="0.2">
      <c r="A2693" s="10">
        <v>3</v>
      </c>
      <c r="B2693" s="10" t="s">
        <v>71</v>
      </c>
      <c r="C2693" s="10" t="s">
        <v>526</v>
      </c>
      <c r="D2693" s="10" t="s">
        <v>527</v>
      </c>
      <c r="E2693" s="11" t="str">
        <f t="array" ref="E2693">_xlfn.XLOOKUP(D2693,Insumos!B:B,Insumos!C:$C)</f>
        <v>M2</v>
      </c>
      <c r="F2693" s="14">
        <v>1.05</v>
      </c>
      <c r="G2693" s="92">
        <f t="array" ref="G2693">IF(B2693="insumo",_xlfn.XLOOKUP($D2693,Insumos!$B$1:$B$996,Insumos!$D$1:$D$996),"")</f>
        <v>480</v>
      </c>
      <c r="H2693" s="92">
        <v>504</v>
      </c>
      <c r="I2693" s="13">
        <v>0</v>
      </c>
      <c r="J2693" s="13">
        <v>0</v>
      </c>
      <c r="K2693" s="13"/>
      <c r="L2693"/>
      <c r="M2693"/>
      <c r="N2693"/>
      <c r="O2693"/>
      <c r="P2693"/>
      <c r="Q2693"/>
      <c r="R2693"/>
      <c r="S2693"/>
      <c r="T2693"/>
      <c r="U2693"/>
      <c r="V2693"/>
      <c r="W2693"/>
      <c r="X2693"/>
      <c r="Y2693"/>
      <c r="Z2693"/>
      <c r="AA2693"/>
      <c r="AB2693"/>
      <c r="AC2693"/>
      <c r="AD2693"/>
      <c r="AE2693"/>
      <c r="AF2693"/>
      <c r="AG2693"/>
      <c r="AH2693"/>
      <c r="AI2693"/>
      <c r="AJ2693"/>
      <c r="AK2693"/>
      <c r="AL2693"/>
    </row>
    <row r="2694" spans="1:38" ht="15.75" customHeight="1" outlineLevel="3" x14ac:dyDescent="0.2">
      <c r="A2694" s="10">
        <v>191</v>
      </c>
      <c r="B2694" s="10" t="s">
        <v>71</v>
      </c>
      <c r="C2694" s="10" t="s">
        <v>526</v>
      </c>
      <c r="D2694" s="10" t="s">
        <v>481</v>
      </c>
      <c r="E2694" s="11" t="str">
        <f t="array" ref="E2694">_xlfn.XLOOKUP(D2694,Insumos!B:B,Insumos!C:$C)</f>
        <v>KG</v>
      </c>
      <c r="F2694" s="14">
        <v>8.6</v>
      </c>
      <c r="G2694" s="92">
        <f t="array" ref="G2694">IF(B2694="insumo",_xlfn.XLOOKUP($D2694,Insumos!$B$1:$B$996,Insumos!$D$1:$D$996),"")</f>
        <v>1.0645</v>
      </c>
      <c r="H2694" s="92">
        <v>9.1547000000000001</v>
      </c>
      <c r="I2694" s="13">
        <v>0</v>
      </c>
      <c r="J2694" s="13">
        <v>0</v>
      </c>
      <c r="K2694" s="13"/>
      <c r="L2694"/>
      <c r="M2694"/>
      <c r="N2694"/>
      <c r="O2694"/>
      <c r="P2694"/>
      <c r="Q2694"/>
      <c r="R2694"/>
      <c r="S2694"/>
      <c r="T2694"/>
      <c r="U2694"/>
      <c r="V2694"/>
      <c r="W2694"/>
      <c r="X2694"/>
      <c r="Y2694"/>
      <c r="Z2694"/>
      <c r="AA2694"/>
      <c r="AB2694"/>
      <c r="AC2694"/>
      <c r="AD2694"/>
      <c r="AE2694"/>
      <c r="AF2694"/>
      <c r="AG2694"/>
      <c r="AH2694"/>
      <c r="AI2694"/>
      <c r="AJ2694"/>
      <c r="AK2694"/>
      <c r="AL2694"/>
    </row>
    <row r="2695" spans="1:38" ht="15.75" customHeight="1" outlineLevel="2" x14ac:dyDescent="0.2">
      <c r="A2695" s="1067">
        <v>1</v>
      </c>
      <c r="B2695" s="1067" t="s">
        <v>68</v>
      </c>
      <c r="C2695" s="1067" t="s">
        <v>1436</v>
      </c>
      <c r="D2695" s="1067" t="s">
        <v>1436</v>
      </c>
      <c r="E2695" s="1068" t="s">
        <v>70</v>
      </c>
      <c r="F2695" s="1067"/>
      <c r="G2695" s="1069" t="str">
        <f t="array" ref="G2695">IF(B2695="insumo",_xlfn.XLOOKUP($D2695,Insumos!$B$1:$B$996,Insumos!$D$1:$D$996),"")</f>
        <v/>
      </c>
      <c r="H2695" s="1069">
        <v>692.08050000000003</v>
      </c>
      <c r="I2695" s="1070">
        <v>0</v>
      </c>
      <c r="J2695" s="1070">
        <v>0</v>
      </c>
      <c r="K2695" s="1070"/>
      <c r="L2695"/>
      <c r="M2695"/>
      <c r="N2695"/>
      <c r="O2695"/>
      <c r="P2695"/>
      <c r="Q2695"/>
      <c r="R2695"/>
      <c r="S2695"/>
      <c r="T2695"/>
      <c r="U2695"/>
      <c r="V2695"/>
      <c r="W2695"/>
      <c r="X2695"/>
      <c r="Y2695"/>
      <c r="Z2695"/>
      <c r="AA2695"/>
      <c r="AB2695"/>
      <c r="AC2695"/>
      <c r="AD2695"/>
      <c r="AE2695"/>
      <c r="AF2695"/>
      <c r="AG2695"/>
      <c r="AH2695"/>
      <c r="AI2695"/>
      <c r="AJ2695"/>
      <c r="AK2695"/>
      <c r="AL2695"/>
    </row>
    <row r="2696" spans="1:38" ht="15.75" customHeight="1" outlineLevel="3" x14ac:dyDescent="0.2">
      <c r="A2696" s="10">
        <v>2</v>
      </c>
      <c r="B2696" s="10" t="s">
        <v>71</v>
      </c>
      <c r="C2696" s="10" t="s">
        <v>1436</v>
      </c>
      <c r="D2696" s="10" t="s">
        <v>1437</v>
      </c>
      <c r="E2696" s="11" t="str">
        <f t="array" ref="E2696">_xlfn.XLOOKUP(D2696,Insumos!B:B,Insumos!C:$C)</f>
        <v>M2</v>
      </c>
      <c r="F2696" s="14">
        <v>1.05</v>
      </c>
      <c r="G2696" s="92">
        <f t="array" ref="G2696">IF(B2696="insumo",_xlfn.XLOOKUP($D2696,Insumos!$B$1:$B$996,Insumos!$D$1:$D$996),"")</f>
        <v>650</v>
      </c>
      <c r="H2696" s="92">
        <v>682.5</v>
      </c>
      <c r="I2696" s="13">
        <v>0</v>
      </c>
      <c r="J2696" s="13">
        <v>0</v>
      </c>
      <c r="K2696" s="13"/>
      <c r="L2696"/>
      <c r="M2696"/>
      <c r="N2696"/>
      <c r="O2696"/>
      <c r="P2696"/>
      <c r="Q2696"/>
      <c r="R2696"/>
      <c r="S2696"/>
      <c r="T2696"/>
      <c r="U2696"/>
      <c r="V2696"/>
      <c r="W2696"/>
      <c r="X2696"/>
      <c r="Y2696"/>
      <c r="Z2696"/>
      <c r="AA2696"/>
      <c r="AB2696"/>
      <c r="AC2696"/>
      <c r="AD2696"/>
      <c r="AE2696"/>
      <c r="AF2696"/>
      <c r="AG2696"/>
      <c r="AH2696"/>
      <c r="AI2696"/>
      <c r="AJ2696"/>
      <c r="AK2696"/>
      <c r="AL2696"/>
    </row>
    <row r="2697" spans="1:38" ht="15.75" customHeight="1" outlineLevel="3" x14ac:dyDescent="0.2">
      <c r="A2697" s="10">
        <v>191</v>
      </c>
      <c r="B2697" s="10" t="s">
        <v>71</v>
      </c>
      <c r="C2697" s="10" t="s">
        <v>1436</v>
      </c>
      <c r="D2697" s="10" t="s">
        <v>481</v>
      </c>
      <c r="E2697" s="11" t="str">
        <f t="array" ref="E2697">_xlfn.XLOOKUP(D2697,Insumos!B:B,Insumos!C:$C)</f>
        <v>KG</v>
      </c>
      <c r="F2697" s="14">
        <f>9</f>
        <v>9</v>
      </c>
      <c r="G2697" s="92">
        <f t="array" ref="G2697">IF(B2697="insumo",_xlfn.XLOOKUP($D2697,Insumos!$B$1:$B$996,Insumos!$D$1:$D$996),"")</f>
        <v>1.0645</v>
      </c>
      <c r="H2697" s="92">
        <v>9.5805000000000007</v>
      </c>
      <c r="I2697" s="13">
        <v>0</v>
      </c>
      <c r="J2697" s="13">
        <v>0</v>
      </c>
      <c r="K2697" s="13"/>
      <c r="L2697"/>
      <c r="M2697"/>
      <c r="N2697"/>
      <c r="O2697"/>
      <c r="P2697"/>
      <c r="Q2697"/>
      <c r="R2697"/>
      <c r="S2697"/>
      <c r="T2697"/>
      <c r="U2697"/>
      <c r="V2697"/>
      <c r="W2697"/>
      <c r="X2697"/>
      <c r="Y2697"/>
      <c r="Z2697"/>
      <c r="AA2697"/>
      <c r="AB2697"/>
      <c r="AC2697"/>
      <c r="AD2697"/>
      <c r="AE2697"/>
      <c r="AF2697"/>
      <c r="AG2697"/>
      <c r="AH2697"/>
      <c r="AI2697"/>
      <c r="AJ2697"/>
      <c r="AK2697"/>
      <c r="AL2697"/>
    </row>
    <row r="2698" spans="1:38" ht="15.75" customHeight="1" outlineLevel="2" x14ac:dyDescent="0.2">
      <c r="A2698" s="1067">
        <v>1</v>
      </c>
      <c r="B2698" s="1067" t="s">
        <v>68</v>
      </c>
      <c r="C2698" s="1067" t="s">
        <v>528</v>
      </c>
      <c r="D2698" s="1067" t="s">
        <v>528</v>
      </c>
      <c r="E2698" s="1068" t="s">
        <v>113</v>
      </c>
      <c r="F2698" s="1067"/>
      <c r="G2698" s="1069" t="str">
        <f t="array" ref="G2698">IF(B2698="insumo",_xlfn.XLOOKUP($D2698,Insumos!$B$1:$B$996,Insumos!$D$1:$D$996),"")</f>
        <v/>
      </c>
      <c r="H2698" s="1069">
        <v>205.98615000000001</v>
      </c>
      <c r="I2698" s="1070">
        <v>0</v>
      </c>
      <c r="J2698" s="1070">
        <v>0</v>
      </c>
      <c r="K2698" s="1070"/>
      <c r="L2698"/>
      <c r="M2698"/>
      <c r="N2698"/>
      <c r="O2698"/>
      <c r="P2698"/>
      <c r="Q2698"/>
      <c r="R2698"/>
      <c r="S2698"/>
      <c r="T2698"/>
      <c r="U2698"/>
      <c r="V2698"/>
      <c r="W2698"/>
      <c r="X2698"/>
      <c r="Y2698"/>
      <c r="Z2698"/>
      <c r="AA2698"/>
      <c r="AB2698"/>
      <c r="AC2698"/>
      <c r="AD2698"/>
      <c r="AE2698"/>
      <c r="AF2698"/>
      <c r="AG2698"/>
      <c r="AH2698"/>
      <c r="AI2698"/>
      <c r="AJ2698"/>
      <c r="AK2698"/>
      <c r="AL2698"/>
    </row>
    <row r="2699" spans="1:38" ht="15.75" customHeight="1" outlineLevel="3" x14ac:dyDescent="0.2">
      <c r="A2699" s="10">
        <v>3</v>
      </c>
      <c r="B2699" s="10" t="s">
        <v>71</v>
      </c>
      <c r="C2699" s="10" t="s">
        <v>528</v>
      </c>
      <c r="D2699" s="10" t="s">
        <v>529</v>
      </c>
      <c r="E2699" s="11" t="str">
        <f t="array" ref="E2699">_xlfn.XLOOKUP(D2699,Insumos!B:B,Insumos!C:$C)</f>
        <v>M2</v>
      </c>
      <c r="F2699" s="14">
        <f>0.3*1.0416</f>
        <v>0.31248000000000004</v>
      </c>
      <c r="G2699" s="92">
        <f t="array" ref="G2699">IF(B2699="insumo",_xlfn.XLOOKUP($D2699,Insumos!$B$1:$B$996,Insumos!$D$1:$D$996),"")</f>
        <v>650</v>
      </c>
      <c r="H2699" s="92">
        <v>203.11199999999999</v>
      </c>
      <c r="I2699" s="13">
        <v>0</v>
      </c>
      <c r="J2699" s="13">
        <v>0</v>
      </c>
      <c r="K2699" s="13"/>
      <c r="L2699"/>
      <c r="M2699"/>
      <c r="N2699"/>
      <c r="O2699"/>
      <c r="P2699"/>
      <c r="Q2699"/>
      <c r="R2699"/>
      <c r="S2699"/>
      <c r="T2699"/>
      <c r="U2699"/>
      <c r="V2699"/>
      <c r="W2699"/>
      <c r="X2699"/>
      <c r="Y2699"/>
      <c r="Z2699"/>
      <c r="AA2699"/>
      <c r="AB2699"/>
      <c r="AC2699"/>
      <c r="AD2699"/>
      <c r="AE2699"/>
      <c r="AF2699"/>
      <c r="AG2699"/>
      <c r="AH2699"/>
      <c r="AI2699"/>
      <c r="AJ2699"/>
      <c r="AK2699"/>
      <c r="AL2699"/>
    </row>
    <row r="2700" spans="1:38" ht="15.75" customHeight="1" outlineLevel="3" x14ac:dyDescent="0.2">
      <c r="A2700" s="10">
        <v>191</v>
      </c>
      <c r="B2700" s="10" t="s">
        <v>71</v>
      </c>
      <c r="C2700" s="10" t="s">
        <v>528</v>
      </c>
      <c r="D2700" s="10" t="s">
        <v>481</v>
      </c>
      <c r="E2700" s="11" t="str">
        <f t="array" ref="E2700">_xlfn.XLOOKUP(D2700,Insumos!B:B,Insumos!C:$C)</f>
        <v>KG</v>
      </c>
      <c r="F2700" s="14">
        <f>9*0.3</f>
        <v>2.6999999999999997</v>
      </c>
      <c r="G2700" s="92">
        <f t="array" ref="G2700">IF(B2700="insumo",_xlfn.XLOOKUP($D2700,Insumos!$B$1:$B$996,Insumos!$D$1:$D$996),"")</f>
        <v>1.0645</v>
      </c>
      <c r="H2700" s="92">
        <v>2.8741500000000002</v>
      </c>
      <c r="I2700" s="13">
        <v>0</v>
      </c>
      <c r="J2700" s="13">
        <v>0</v>
      </c>
      <c r="K2700" s="13"/>
      <c r="L2700"/>
      <c r="M2700"/>
      <c r="N2700"/>
      <c r="O2700"/>
      <c r="P2700"/>
      <c r="Q2700"/>
      <c r="R2700"/>
      <c r="S2700"/>
      <c r="T2700"/>
      <c r="U2700"/>
      <c r="V2700"/>
      <c r="W2700"/>
      <c r="X2700"/>
      <c r="Y2700"/>
      <c r="Z2700"/>
      <c r="AA2700"/>
      <c r="AB2700"/>
      <c r="AC2700"/>
      <c r="AD2700"/>
      <c r="AE2700"/>
      <c r="AF2700"/>
      <c r="AG2700"/>
      <c r="AH2700"/>
      <c r="AI2700"/>
      <c r="AJ2700"/>
      <c r="AK2700"/>
      <c r="AL2700"/>
    </row>
    <row r="2701" spans="1:38" ht="15.75" customHeight="1" outlineLevel="2" x14ac:dyDescent="0.2">
      <c r="A2701" s="1067">
        <v>1</v>
      </c>
      <c r="B2701" s="1067" t="s">
        <v>68</v>
      </c>
      <c r="C2701" s="1067" t="s">
        <v>2891</v>
      </c>
      <c r="D2701" s="1067" t="s">
        <v>2891</v>
      </c>
      <c r="E2701" s="1068" t="s">
        <v>70</v>
      </c>
      <c r="F2701" s="1067"/>
      <c r="G2701" s="1069" t="str">
        <f t="array" ref="G2701">IF(B2701="insumo",_xlfn.XLOOKUP($D2701,Insumos!$B$1:$B$996,Insumos!$D$1:$D$996),"")</f>
        <v/>
      </c>
      <c r="H2701" s="1069">
        <v>1374.1547</v>
      </c>
      <c r="I2701" s="1070" t="e">
        <v>#REF!</v>
      </c>
      <c r="J2701" s="1070" t="e">
        <v>#REF!</v>
      </c>
      <c r="K2701" s="1070"/>
      <c r="L2701"/>
      <c r="M2701"/>
      <c r="N2701"/>
      <c r="O2701"/>
      <c r="P2701"/>
      <c r="Q2701"/>
      <c r="R2701"/>
      <c r="S2701"/>
      <c r="T2701"/>
      <c r="U2701"/>
      <c r="V2701"/>
      <c r="W2701"/>
      <c r="X2701"/>
      <c r="Y2701"/>
      <c r="Z2701"/>
      <c r="AA2701"/>
      <c r="AB2701"/>
      <c r="AC2701"/>
      <c r="AD2701"/>
      <c r="AE2701"/>
      <c r="AF2701"/>
      <c r="AG2701"/>
      <c r="AH2701"/>
      <c r="AI2701"/>
      <c r="AJ2701"/>
      <c r="AK2701"/>
      <c r="AL2701"/>
    </row>
    <row r="2702" spans="1:38" ht="15.75" customHeight="1" outlineLevel="3" x14ac:dyDescent="0.2">
      <c r="A2702" s="10">
        <v>5</v>
      </c>
      <c r="B2702" s="10" t="s">
        <v>71</v>
      </c>
      <c r="C2702" s="10" t="s">
        <v>2891</v>
      </c>
      <c r="D2702" s="10" t="s">
        <v>2877</v>
      </c>
      <c r="E2702" s="11" t="str">
        <f t="array" ref="E2702">_xlfn.XLOOKUP(D2702,Insumos!B:B,Insumos!C:$C)</f>
        <v>M2</v>
      </c>
      <c r="F2702" s="14">
        <v>1.05</v>
      </c>
      <c r="G2702" s="92">
        <f t="array" ref="G2702">IF(B2702="insumo",_xlfn.XLOOKUP($D2702,Insumos!$B$1:$B$996,Insumos!$D$1:$D$996),"")</f>
        <v>1300</v>
      </c>
      <c r="H2702" s="92">
        <v>1365</v>
      </c>
      <c r="I2702" s="13" t="e">
        <v>#REF!</v>
      </c>
      <c r="J2702" s="13" t="e">
        <v>#REF!</v>
      </c>
      <c r="K2702" s="13"/>
      <c r="L2702"/>
      <c r="M2702"/>
      <c r="N2702"/>
      <c r="O2702"/>
      <c r="P2702"/>
      <c r="Q2702"/>
      <c r="R2702"/>
      <c r="S2702"/>
      <c r="T2702"/>
      <c r="U2702"/>
      <c r="V2702"/>
      <c r="W2702"/>
      <c r="X2702"/>
      <c r="Y2702"/>
      <c r="Z2702"/>
      <c r="AA2702"/>
      <c r="AB2702"/>
      <c r="AC2702"/>
      <c r="AD2702"/>
      <c r="AE2702"/>
      <c r="AF2702"/>
      <c r="AG2702"/>
      <c r="AH2702"/>
      <c r="AI2702"/>
      <c r="AJ2702"/>
      <c r="AK2702"/>
      <c r="AL2702"/>
    </row>
    <row r="2703" spans="1:38" ht="15.75" customHeight="1" outlineLevel="3" x14ac:dyDescent="0.2">
      <c r="A2703" s="10">
        <v>191</v>
      </c>
      <c r="B2703" s="10" t="s">
        <v>71</v>
      </c>
      <c r="C2703" s="10" t="s">
        <v>2891</v>
      </c>
      <c r="D2703" s="10" t="s">
        <v>481</v>
      </c>
      <c r="E2703" s="11" t="str">
        <f t="array" ref="E2703">_xlfn.XLOOKUP(D2703,Insumos!B:B,Insumos!C:$C)</f>
        <v>KG</v>
      </c>
      <c r="F2703" s="14">
        <v>8.6</v>
      </c>
      <c r="G2703" s="92">
        <f t="array" ref="G2703">IF(B2703="insumo",_xlfn.XLOOKUP($D2703,Insumos!$B$1:$B$996,Insumos!$D$1:$D$996),"")</f>
        <v>1.0645</v>
      </c>
      <c r="H2703" s="92">
        <v>9.1547000000000001</v>
      </c>
      <c r="I2703" s="13" t="e">
        <v>#REF!</v>
      </c>
      <c r="J2703" s="13" t="e">
        <v>#REF!</v>
      </c>
      <c r="K2703" s="13"/>
      <c r="L2703"/>
      <c r="M2703"/>
      <c r="N2703"/>
      <c r="O2703"/>
      <c r="P2703"/>
      <c r="Q2703"/>
      <c r="R2703"/>
      <c r="S2703"/>
      <c r="T2703"/>
      <c r="U2703"/>
      <c r="V2703"/>
      <c r="W2703"/>
      <c r="X2703"/>
      <c r="Y2703"/>
      <c r="Z2703"/>
      <c r="AA2703"/>
      <c r="AB2703"/>
      <c r="AC2703"/>
      <c r="AD2703"/>
      <c r="AE2703"/>
      <c r="AF2703"/>
      <c r="AG2703"/>
      <c r="AH2703"/>
      <c r="AI2703"/>
      <c r="AJ2703"/>
      <c r="AK2703"/>
      <c r="AL2703"/>
    </row>
    <row r="2704" spans="1:38" ht="15.75" customHeight="1" outlineLevel="2" x14ac:dyDescent="0.2">
      <c r="A2704" s="1067">
        <v>1</v>
      </c>
      <c r="B2704" s="1067" t="s">
        <v>68</v>
      </c>
      <c r="C2704" s="1067" t="s">
        <v>530</v>
      </c>
      <c r="D2704" s="1067" t="s">
        <v>530</v>
      </c>
      <c r="E2704" s="1068" t="s">
        <v>70</v>
      </c>
      <c r="F2704" s="1067"/>
      <c r="G2704" s="1069" t="str">
        <f t="array" ref="G2704">IF(B2704="insumo",_xlfn.XLOOKUP($D2704,Insumos!$B$1:$B$996,Insumos!$D$1:$D$996),"")</f>
        <v/>
      </c>
      <c r="H2704" s="1069">
        <v>849.15470000000005</v>
      </c>
      <c r="I2704" s="1070" t="e">
        <v>#REF!</v>
      </c>
      <c r="J2704" s="1070" t="e">
        <v>#REF!</v>
      </c>
      <c r="K2704" s="1070"/>
      <c r="L2704"/>
      <c r="M2704"/>
      <c r="N2704"/>
      <c r="O2704"/>
      <c r="P2704"/>
      <c r="Q2704"/>
      <c r="R2704"/>
      <c r="S2704"/>
      <c r="T2704"/>
      <c r="U2704"/>
      <c r="V2704"/>
      <c r="W2704"/>
      <c r="X2704"/>
      <c r="Y2704"/>
      <c r="Z2704"/>
      <c r="AA2704"/>
      <c r="AB2704"/>
      <c r="AC2704"/>
      <c r="AD2704"/>
      <c r="AE2704"/>
      <c r="AF2704"/>
      <c r="AG2704"/>
      <c r="AH2704"/>
      <c r="AI2704"/>
      <c r="AJ2704"/>
      <c r="AK2704"/>
      <c r="AL2704"/>
    </row>
    <row r="2705" spans="1:38" ht="15.75" customHeight="1" outlineLevel="3" x14ac:dyDescent="0.2">
      <c r="A2705" s="10">
        <v>10</v>
      </c>
      <c r="B2705" s="10" t="s">
        <v>71</v>
      </c>
      <c r="C2705" s="10" t="s">
        <v>530</v>
      </c>
      <c r="D2705" s="10" t="s">
        <v>531</v>
      </c>
      <c r="E2705" s="11" t="str">
        <f t="array" ref="E2705">_xlfn.XLOOKUP(D2705,Insumos!B:B,Insumos!C:$C)</f>
        <v>M2</v>
      </c>
      <c r="F2705" s="14">
        <v>1.05</v>
      </c>
      <c r="G2705" s="92">
        <f t="array" ref="G2705">IF(B2705="insumo",_xlfn.XLOOKUP($D2705,Insumos!$B$1:$B$996,Insumos!$D$1:$D$996),"")</f>
        <v>800</v>
      </c>
      <c r="H2705" s="92">
        <v>840</v>
      </c>
      <c r="I2705" s="13" t="e">
        <v>#REF!</v>
      </c>
      <c r="J2705" s="13" t="e">
        <v>#REF!</v>
      </c>
      <c r="K2705" s="13"/>
      <c r="L2705"/>
      <c r="M2705"/>
      <c r="N2705"/>
      <c r="O2705"/>
      <c r="P2705"/>
      <c r="Q2705"/>
      <c r="R2705"/>
      <c r="S2705"/>
      <c r="T2705"/>
      <c r="U2705"/>
      <c r="V2705"/>
      <c r="W2705"/>
      <c r="X2705"/>
      <c r="Y2705"/>
      <c r="Z2705"/>
      <c r="AA2705"/>
      <c r="AB2705"/>
      <c r="AC2705"/>
      <c r="AD2705"/>
      <c r="AE2705"/>
      <c r="AF2705"/>
      <c r="AG2705"/>
      <c r="AH2705"/>
      <c r="AI2705"/>
      <c r="AJ2705"/>
      <c r="AK2705"/>
      <c r="AL2705"/>
    </row>
    <row r="2706" spans="1:38" ht="15.75" customHeight="1" outlineLevel="3" x14ac:dyDescent="0.2">
      <c r="A2706" s="10">
        <v>191</v>
      </c>
      <c r="B2706" s="10" t="s">
        <v>71</v>
      </c>
      <c r="C2706" s="10" t="s">
        <v>530</v>
      </c>
      <c r="D2706" s="10" t="s">
        <v>481</v>
      </c>
      <c r="E2706" s="11" t="str">
        <f t="array" ref="E2706">_xlfn.XLOOKUP(D2706,Insumos!B:B,Insumos!C:$C)</f>
        <v>KG</v>
      </c>
      <c r="F2706" s="14">
        <v>8.6</v>
      </c>
      <c r="G2706" s="92">
        <f t="array" ref="G2706">IF(B2706="insumo",_xlfn.XLOOKUP($D2706,Insumos!$B$1:$B$996,Insumos!$D$1:$D$996),"")</f>
        <v>1.0645</v>
      </c>
      <c r="H2706" s="92">
        <v>9.1547000000000001</v>
      </c>
      <c r="I2706" s="13" t="e">
        <v>#REF!</v>
      </c>
      <c r="J2706" s="13" t="e">
        <v>#REF!</v>
      </c>
      <c r="K2706" s="13"/>
      <c r="L2706"/>
      <c r="M2706"/>
      <c r="N2706"/>
      <c r="O2706"/>
      <c r="P2706"/>
      <c r="Q2706"/>
      <c r="R2706"/>
      <c r="S2706"/>
      <c r="T2706"/>
      <c r="U2706"/>
      <c r="V2706"/>
      <c r="W2706"/>
      <c r="X2706"/>
      <c r="Y2706"/>
      <c r="Z2706"/>
      <c r="AA2706"/>
      <c r="AB2706"/>
      <c r="AC2706"/>
      <c r="AD2706"/>
      <c r="AE2706"/>
      <c r="AF2706"/>
      <c r="AG2706"/>
      <c r="AH2706"/>
      <c r="AI2706"/>
      <c r="AJ2706"/>
      <c r="AK2706"/>
      <c r="AL2706"/>
    </row>
    <row r="2707" spans="1:38" ht="15.75" customHeight="1" outlineLevel="2" x14ac:dyDescent="0.2">
      <c r="A2707" s="1067">
        <v>1</v>
      </c>
      <c r="B2707" s="1067" t="s">
        <v>68</v>
      </c>
      <c r="C2707" s="1067" t="s">
        <v>532</v>
      </c>
      <c r="D2707" s="1067" t="s">
        <v>532</v>
      </c>
      <c r="E2707" s="1068" t="s">
        <v>113</v>
      </c>
      <c r="F2707" s="1067"/>
      <c r="G2707" s="1069" t="str">
        <f t="array" ref="G2707">IF(B2707="insumo",_xlfn.XLOOKUP($D2707,Insumos!$B$1:$B$996,Insumos!$D$1:$D$996),"")</f>
        <v/>
      </c>
      <c r="H2707" s="1069">
        <v>205.98615000000001</v>
      </c>
      <c r="I2707" s="1070">
        <v>0</v>
      </c>
      <c r="J2707" s="1070">
        <v>0</v>
      </c>
      <c r="K2707" s="1070"/>
      <c r="L2707"/>
      <c r="M2707"/>
      <c r="N2707"/>
      <c r="O2707"/>
      <c r="P2707"/>
      <c r="Q2707"/>
      <c r="R2707"/>
      <c r="S2707"/>
      <c r="T2707"/>
      <c r="U2707"/>
      <c r="V2707"/>
      <c r="W2707"/>
      <c r="X2707"/>
      <c r="Y2707"/>
      <c r="Z2707"/>
      <c r="AA2707"/>
      <c r="AB2707"/>
      <c r="AC2707"/>
      <c r="AD2707"/>
      <c r="AE2707"/>
      <c r="AF2707"/>
      <c r="AG2707"/>
      <c r="AH2707"/>
      <c r="AI2707"/>
      <c r="AJ2707"/>
      <c r="AK2707"/>
      <c r="AL2707"/>
    </row>
    <row r="2708" spans="1:38" ht="15.75" customHeight="1" outlineLevel="3" x14ac:dyDescent="0.2">
      <c r="A2708" s="10">
        <v>3</v>
      </c>
      <c r="B2708" s="10" t="s">
        <v>71</v>
      </c>
      <c r="C2708" s="10" t="s">
        <v>532</v>
      </c>
      <c r="D2708" s="10" t="s">
        <v>529</v>
      </c>
      <c r="E2708" s="11" t="str">
        <f t="array" ref="E2708">_xlfn.XLOOKUP(D2708,Insumos!B:B,Insumos!C:$C)</f>
        <v>M2</v>
      </c>
      <c r="F2708" s="14">
        <f>0.3*1.0416</f>
        <v>0.31248000000000004</v>
      </c>
      <c r="G2708" s="92">
        <f t="array" ref="G2708">IF(B2708="insumo",_xlfn.XLOOKUP($D2708,Insumos!$B$1:$B$996,Insumos!$D$1:$D$996),"")</f>
        <v>650</v>
      </c>
      <c r="H2708" s="92">
        <v>203.11199999999999</v>
      </c>
      <c r="I2708" s="13">
        <v>0</v>
      </c>
      <c r="J2708" s="13">
        <v>0</v>
      </c>
      <c r="K2708" s="13"/>
      <c r="L2708"/>
      <c r="M2708"/>
      <c r="N2708"/>
      <c r="O2708"/>
      <c r="P2708"/>
      <c r="Q2708"/>
      <c r="R2708"/>
      <c r="S2708"/>
      <c r="T2708"/>
      <c r="U2708"/>
      <c r="V2708"/>
      <c r="W2708"/>
      <c r="X2708"/>
      <c r="Y2708"/>
      <c r="Z2708"/>
      <c r="AA2708"/>
      <c r="AB2708"/>
      <c r="AC2708"/>
      <c r="AD2708"/>
      <c r="AE2708"/>
      <c r="AF2708"/>
      <c r="AG2708"/>
      <c r="AH2708"/>
      <c r="AI2708"/>
      <c r="AJ2708"/>
      <c r="AK2708"/>
      <c r="AL2708"/>
    </row>
    <row r="2709" spans="1:38" ht="15.75" customHeight="1" outlineLevel="3" x14ac:dyDescent="0.2">
      <c r="A2709" s="10">
        <v>191</v>
      </c>
      <c r="B2709" s="10" t="s">
        <v>71</v>
      </c>
      <c r="C2709" s="10" t="s">
        <v>532</v>
      </c>
      <c r="D2709" s="10" t="s">
        <v>481</v>
      </c>
      <c r="E2709" s="11" t="str">
        <f t="array" ref="E2709">_xlfn.XLOOKUP(D2709,Insumos!B:B,Insumos!C:$C)</f>
        <v>KG</v>
      </c>
      <c r="F2709" s="14">
        <f>9*0.3</f>
        <v>2.6999999999999997</v>
      </c>
      <c r="G2709" s="92">
        <f t="array" ref="G2709">IF(B2709="insumo",_xlfn.XLOOKUP($D2709,Insumos!$B$1:$B$996,Insumos!$D$1:$D$996),"")</f>
        <v>1.0645</v>
      </c>
      <c r="H2709" s="92">
        <v>2.8741500000000002</v>
      </c>
      <c r="I2709" s="13">
        <v>0</v>
      </c>
      <c r="J2709" s="13">
        <v>0</v>
      </c>
      <c r="K2709" s="13"/>
      <c r="L2709"/>
      <c r="M2709"/>
      <c r="N2709"/>
      <c r="O2709"/>
      <c r="P2709"/>
      <c r="Q2709"/>
      <c r="R2709"/>
      <c r="S2709"/>
      <c r="T2709"/>
      <c r="U2709"/>
      <c r="V2709"/>
      <c r="W2709"/>
      <c r="X2709"/>
      <c r="Y2709"/>
      <c r="Z2709"/>
      <c r="AA2709"/>
      <c r="AB2709"/>
      <c r="AC2709"/>
      <c r="AD2709"/>
      <c r="AE2709"/>
      <c r="AF2709"/>
      <c r="AG2709"/>
      <c r="AH2709"/>
      <c r="AI2709"/>
      <c r="AJ2709"/>
      <c r="AK2709"/>
      <c r="AL2709"/>
    </row>
    <row r="2710" spans="1:38" ht="15.75" customHeight="1" outlineLevel="2" x14ac:dyDescent="0.2">
      <c r="A2710" s="1067">
        <v>1</v>
      </c>
      <c r="B2710" s="1067" t="s">
        <v>68</v>
      </c>
      <c r="C2710" s="1067" t="s">
        <v>533</v>
      </c>
      <c r="D2710" s="1067" t="s">
        <v>533</v>
      </c>
      <c r="E2710" s="1068" t="s">
        <v>534</v>
      </c>
      <c r="F2710" s="1067"/>
      <c r="G2710" s="1069" t="str">
        <f t="array" ref="G2710">IF(B2710="insumo",_xlfn.XLOOKUP($D2710,Insumos!$B$1:$B$996,Insumos!$D$1:$D$996),"")</f>
        <v/>
      </c>
      <c r="H2710" s="1069">
        <v>413.85149999999999</v>
      </c>
      <c r="I2710" s="1070">
        <v>0</v>
      </c>
      <c r="J2710" s="1070">
        <v>0</v>
      </c>
      <c r="K2710" s="1070"/>
      <c r="L2710"/>
      <c r="M2710"/>
      <c r="N2710"/>
      <c r="O2710"/>
      <c r="P2710"/>
      <c r="Q2710"/>
      <c r="R2710"/>
      <c r="S2710"/>
      <c r="T2710"/>
      <c r="U2710"/>
      <c r="V2710"/>
      <c r="W2710"/>
      <c r="X2710"/>
      <c r="Y2710"/>
      <c r="Z2710"/>
      <c r="AA2710"/>
      <c r="AB2710"/>
      <c r="AC2710"/>
      <c r="AD2710"/>
      <c r="AE2710"/>
      <c r="AF2710"/>
      <c r="AG2710"/>
      <c r="AH2710"/>
      <c r="AI2710"/>
      <c r="AJ2710"/>
      <c r="AK2710"/>
      <c r="AL2710"/>
    </row>
    <row r="2711" spans="1:38" ht="15.75" customHeight="1" outlineLevel="3" x14ac:dyDescent="0.2">
      <c r="A2711" s="10">
        <v>1</v>
      </c>
      <c r="B2711" s="10" t="s">
        <v>71</v>
      </c>
      <c r="C2711" s="10" t="s">
        <v>533</v>
      </c>
      <c r="D2711" s="10" t="s">
        <v>535</v>
      </c>
      <c r="E2711" s="11" t="str">
        <f t="array" ref="E2711">_xlfn.XLOOKUP(D2711,Insumos!B:B,Insumos!C:$C)</f>
        <v>UN</v>
      </c>
      <c r="F2711" s="14">
        <v>1</v>
      </c>
      <c r="G2711" s="92">
        <f t="array" ref="G2711">IF(B2711="insumo",_xlfn.XLOOKUP($D2711,Insumos!$B$1:$B$996,Insumos!$D$1:$D$996),"")</f>
        <v>409</v>
      </c>
      <c r="H2711" s="92">
        <v>409</v>
      </c>
      <c r="I2711" s="13">
        <v>0</v>
      </c>
      <c r="J2711" s="13">
        <v>0</v>
      </c>
      <c r="K2711" s="13"/>
      <c r="L2711"/>
      <c r="M2711"/>
      <c r="N2711"/>
      <c r="O2711"/>
      <c r="P2711"/>
      <c r="Q2711"/>
      <c r="R2711"/>
      <c r="S2711"/>
      <c r="T2711"/>
      <c r="U2711"/>
      <c r="V2711"/>
      <c r="W2711"/>
      <c r="X2711"/>
      <c r="Y2711"/>
      <c r="Z2711"/>
      <c r="AA2711"/>
      <c r="AB2711"/>
      <c r="AC2711"/>
      <c r="AD2711"/>
      <c r="AE2711"/>
      <c r="AF2711"/>
      <c r="AG2711"/>
      <c r="AH2711"/>
      <c r="AI2711"/>
      <c r="AJ2711"/>
      <c r="AK2711"/>
      <c r="AL2711"/>
    </row>
    <row r="2712" spans="1:38" ht="15.75" customHeight="1" outlineLevel="3" x14ac:dyDescent="0.2">
      <c r="A2712" s="10">
        <v>191</v>
      </c>
      <c r="B2712" s="10" t="s">
        <v>71</v>
      </c>
      <c r="C2712" s="10" t="s">
        <v>533</v>
      </c>
      <c r="D2712" s="10" t="s">
        <v>481</v>
      </c>
      <c r="E2712" s="11" t="str">
        <f t="array" ref="E2712">_xlfn.XLOOKUP(D2712,Insumos!B:B,Insumos!C:$C)</f>
        <v>KG</v>
      </c>
      <c r="F2712" s="14">
        <v>3</v>
      </c>
      <c r="G2712" s="92">
        <f t="array" ref="G2712">IF(B2712="insumo",_xlfn.XLOOKUP($D2712,Insumos!$B$1:$B$996,Insumos!$D$1:$D$996),"")</f>
        <v>1.0645</v>
      </c>
      <c r="H2712" s="92">
        <v>3.1934999999999998</v>
      </c>
      <c r="I2712" s="13">
        <v>0</v>
      </c>
      <c r="J2712" s="13">
        <v>0</v>
      </c>
      <c r="K2712" s="13"/>
      <c r="L2712"/>
      <c r="M2712"/>
      <c r="N2712"/>
      <c r="O2712"/>
      <c r="P2712"/>
      <c r="Q2712"/>
      <c r="R2712"/>
      <c r="S2712"/>
      <c r="T2712"/>
      <c r="U2712"/>
      <c r="V2712"/>
      <c r="W2712"/>
      <c r="X2712"/>
      <c r="Y2712"/>
      <c r="Z2712"/>
      <c r="AA2712"/>
      <c r="AB2712"/>
      <c r="AC2712"/>
      <c r="AD2712"/>
      <c r="AE2712"/>
      <c r="AF2712"/>
      <c r="AG2712"/>
      <c r="AH2712"/>
      <c r="AI2712"/>
      <c r="AJ2712"/>
      <c r="AK2712"/>
      <c r="AL2712"/>
    </row>
    <row r="2713" spans="1:38" ht="15.75" customHeight="1" outlineLevel="3" x14ac:dyDescent="0.2">
      <c r="A2713" s="10">
        <v>142</v>
      </c>
      <c r="B2713" s="10" t="s">
        <v>71</v>
      </c>
      <c r="C2713" s="10" t="s">
        <v>533</v>
      </c>
      <c r="D2713" s="10" t="s">
        <v>506</v>
      </c>
      <c r="E2713" s="11" t="str">
        <f t="array" ref="E2713">_xlfn.XLOOKUP(D2713,Insumos!B:B,Insumos!C:$C)</f>
        <v>UN</v>
      </c>
      <c r="F2713" s="14">
        <v>4</v>
      </c>
      <c r="G2713" s="92">
        <f t="array" ref="G2713">IF(B2713="insumo",_xlfn.XLOOKUP($D2713,Insumos!$B$1:$B$996,Insumos!$D$1:$D$996),"")</f>
        <v>0.08</v>
      </c>
      <c r="H2713" s="92">
        <v>0.32</v>
      </c>
      <c r="I2713" s="13">
        <v>0</v>
      </c>
      <c r="J2713" s="13">
        <v>0</v>
      </c>
      <c r="K2713" s="13"/>
      <c r="L2713"/>
      <c r="M2713"/>
      <c r="N2713"/>
      <c r="O2713"/>
      <c r="P2713"/>
      <c r="Q2713"/>
      <c r="R2713"/>
      <c r="S2713"/>
      <c r="T2713"/>
      <c r="U2713"/>
      <c r="V2713"/>
      <c r="W2713"/>
      <c r="X2713"/>
      <c r="Y2713"/>
      <c r="Z2713"/>
      <c r="AA2713"/>
      <c r="AB2713"/>
      <c r="AC2713"/>
      <c r="AD2713"/>
      <c r="AE2713"/>
      <c r="AF2713"/>
      <c r="AG2713"/>
      <c r="AH2713"/>
      <c r="AI2713"/>
      <c r="AJ2713"/>
      <c r="AK2713"/>
      <c r="AL2713"/>
    </row>
    <row r="2714" spans="1:38" ht="15.75" customHeight="1" outlineLevel="3" x14ac:dyDescent="0.2">
      <c r="A2714" s="10">
        <v>101</v>
      </c>
      <c r="B2714" s="10" t="s">
        <v>71</v>
      </c>
      <c r="C2714" s="10" t="s">
        <v>533</v>
      </c>
      <c r="D2714" s="10" t="s">
        <v>507</v>
      </c>
      <c r="E2714" s="11" t="str">
        <f t="array" ref="E2714">_xlfn.XLOOKUP(D2714,Insumos!B:B,Insumos!C:$C)</f>
        <v>KG</v>
      </c>
      <c r="F2714" s="14">
        <v>0.12</v>
      </c>
      <c r="G2714" s="92">
        <f t="array" ref="G2714">IF(B2714="insumo",_xlfn.XLOOKUP($D2714,Insumos!$B$1:$B$996,Insumos!$D$1:$D$996),"")</f>
        <v>11.15</v>
      </c>
      <c r="H2714" s="92">
        <v>1.3380000000000001</v>
      </c>
      <c r="I2714" s="13">
        <v>0</v>
      </c>
      <c r="J2714" s="13">
        <v>0</v>
      </c>
      <c r="K2714" s="13"/>
      <c r="L2714"/>
      <c r="M2714"/>
      <c r="N2714"/>
      <c r="O2714"/>
      <c r="P2714"/>
      <c r="Q2714"/>
      <c r="R2714"/>
      <c r="S2714"/>
      <c r="T2714"/>
      <c r="U2714"/>
      <c r="V2714"/>
      <c r="W2714"/>
      <c r="X2714"/>
      <c r="Y2714"/>
      <c r="Z2714"/>
      <c r="AA2714"/>
      <c r="AB2714"/>
      <c r="AC2714"/>
      <c r="AD2714"/>
      <c r="AE2714"/>
      <c r="AF2714"/>
      <c r="AG2714"/>
      <c r="AH2714"/>
      <c r="AI2714"/>
      <c r="AJ2714"/>
      <c r="AK2714"/>
      <c r="AL2714"/>
    </row>
    <row r="2715" spans="1:38" ht="15.75" customHeight="1" outlineLevel="2" x14ac:dyDescent="0.2">
      <c r="A2715" s="1067">
        <v>1</v>
      </c>
      <c r="B2715" s="1067" t="s">
        <v>68</v>
      </c>
      <c r="C2715" s="1067" t="s">
        <v>536</v>
      </c>
      <c r="D2715" s="1067" t="s">
        <v>536</v>
      </c>
      <c r="E2715" s="1068" t="s">
        <v>70</v>
      </c>
      <c r="F2715" s="1067"/>
      <c r="G2715" s="1069" t="str">
        <f t="array" ref="G2715">IF(B2715="insumo",_xlfn.XLOOKUP($D2715,Insumos!$B$1:$B$996,Insumos!$D$1:$D$996),"")</f>
        <v/>
      </c>
      <c r="H2715" s="1069">
        <v>232.74549999999999</v>
      </c>
      <c r="I2715" s="1070">
        <v>0</v>
      </c>
      <c r="J2715" s="1070">
        <v>0</v>
      </c>
      <c r="K2715" s="1070"/>
      <c r="L2715"/>
      <c r="M2715"/>
      <c r="N2715"/>
      <c r="O2715"/>
      <c r="P2715"/>
      <c r="Q2715"/>
      <c r="R2715"/>
      <c r="S2715"/>
      <c r="T2715"/>
      <c r="U2715"/>
      <c r="V2715"/>
      <c r="W2715"/>
      <c r="X2715"/>
      <c r="Y2715"/>
      <c r="Z2715"/>
      <c r="AA2715"/>
      <c r="AB2715"/>
      <c r="AC2715"/>
      <c r="AD2715"/>
      <c r="AE2715"/>
      <c r="AF2715"/>
      <c r="AG2715"/>
      <c r="AH2715"/>
      <c r="AI2715"/>
      <c r="AJ2715"/>
      <c r="AK2715"/>
      <c r="AL2715"/>
    </row>
    <row r="2716" spans="1:38" ht="15.75" customHeight="1" outlineLevel="3" x14ac:dyDescent="0.2">
      <c r="A2716" s="10">
        <v>1</v>
      </c>
      <c r="B2716" s="10" t="s">
        <v>71</v>
      </c>
      <c r="C2716" s="10" t="s">
        <v>536</v>
      </c>
      <c r="D2716" s="10" t="s">
        <v>537</v>
      </c>
      <c r="E2716" s="11" t="str">
        <f t="array" ref="E2716">_xlfn.XLOOKUP(D2716,Insumos!B:B,Insumos!C:$C)</f>
        <v>M2</v>
      </c>
      <c r="F2716" s="14">
        <v>1.1000000000000001</v>
      </c>
      <c r="G2716" s="92">
        <f t="array" ref="G2716">IF(B2716="insumo",_xlfn.XLOOKUP($D2716,Insumos!$B$1:$B$996,Insumos!$D$1:$D$996),"")</f>
        <v>195</v>
      </c>
      <c r="H2716" s="92">
        <v>214.5</v>
      </c>
      <c r="I2716" s="13">
        <v>0</v>
      </c>
      <c r="J2716" s="13">
        <v>0</v>
      </c>
      <c r="K2716" s="13"/>
      <c r="L2716"/>
      <c r="M2716"/>
      <c r="N2716"/>
      <c r="O2716"/>
      <c r="P2716"/>
      <c r="Q2716"/>
      <c r="R2716"/>
      <c r="S2716"/>
      <c r="T2716"/>
      <c r="U2716"/>
      <c r="V2716"/>
      <c r="W2716"/>
      <c r="X2716"/>
      <c r="Y2716"/>
      <c r="Z2716"/>
      <c r="AA2716"/>
      <c r="AB2716"/>
      <c r="AC2716"/>
      <c r="AD2716"/>
      <c r="AE2716"/>
      <c r="AF2716"/>
      <c r="AG2716"/>
      <c r="AH2716"/>
      <c r="AI2716"/>
      <c r="AJ2716"/>
      <c r="AK2716"/>
      <c r="AL2716"/>
    </row>
    <row r="2717" spans="1:38" ht="15.75" customHeight="1" outlineLevel="3" x14ac:dyDescent="0.2">
      <c r="A2717" s="10">
        <v>191</v>
      </c>
      <c r="B2717" s="10" t="s">
        <v>71</v>
      </c>
      <c r="C2717" s="10" t="s">
        <v>536</v>
      </c>
      <c r="D2717" s="10" t="s">
        <v>481</v>
      </c>
      <c r="E2717" s="11" t="str">
        <f t="array" ref="E2717">_xlfn.XLOOKUP(D2717,Insumos!B:B,Insumos!C:$C)</f>
        <v>KG</v>
      </c>
      <c r="F2717" s="14">
        <v>9</v>
      </c>
      <c r="G2717" s="92">
        <f t="array" ref="G2717">IF(B2717="insumo",_xlfn.XLOOKUP($D2717,Insumos!$B$1:$B$996,Insumos!$D$1:$D$996),"")</f>
        <v>1.0645</v>
      </c>
      <c r="H2717" s="92">
        <v>9.5805000000000007</v>
      </c>
      <c r="I2717" s="13">
        <v>0</v>
      </c>
      <c r="J2717" s="13">
        <v>0</v>
      </c>
      <c r="K2717" s="13"/>
      <c r="L2717"/>
      <c r="M2717"/>
      <c r="N2717"/>
      <c r="O2717"/>
      <c r="P2717"/>
      <c r="Q2717"/>
      <c r="R2717"/>
      <c r="S2717"/>
      <c r="T2717"/>
      <c r="U2717"/>
      <c r="V2717"/>
      <c r="W2717"/>
      <c r="X2717"/>
      <c r="Y2717"/>
      <c r="Z2717"/>
      <c r="AA2717"/>
      <c r="AB2717"/>
      <c r="AC2717"/>
      <c r="AD2717"/>
      <c r="AE2717"/>
      <c r="AF2717"/>
      <c r="AG2717"/>
      <c r="AH2717"/>
      <c r="AI2717"/>
      <c r="AJ2717"/>
      <c r="AK2717"/>
      <c r="AL2717"/>
    </row>
    <row r="2718" spans="1:38" ht="15.75" customHeight="1" outlineLevel="3" x14ac:dyDescent="0.2">
      <c r="A2718" s="10">
        <v>34</v>
      </c>
      <c r="B2718" s="10" t="s">
        <v>71</v>
      </c>
      <c r="C2718" s="10" t="s">
        <v>536</v>
      </c>
      <c r="D2718" s="10" t="s">
        <v>538</v>
      </c>
      <c r="E2718" s="11" t="str">
        <f t="array" ref="E2718">_xlfn.XLOOKUP(D2718,Insumos!B:B,Insumos!C:$C)</f>
        <v>UN</v>
      </c>
      <c r="F2718" s="14">
        <v>0.5</v>
      </c>
      <c r="G2718" s="92">
        <f t="array" ref="G2718">IF(B2718="insumo",_xlfn.XLOOKUP($D2718,Insumos!$B$1:$B$996,Insumos!$D$1:$D$996),"")</f>
        <v>17.329999999999998</v>
      </c>
      <c r="H2718" s="92">
        <v>8.6649999999999991</v>
      </c>
      <c r="I2718" s="13">
        <v>0</v>
      </c>
      <c r="J2718" s="13">
        <v>0</v>
      </c>
      <c r="K2718" s="13"/>
      <c r="L2718"/>
      <c r="M2718"/>
      <c r="N2718"/>
      <c r="O2718"/>
      <c r="P2718"/>
      <c r="Q2718"/>
      <c r="R2718"/>
      <c r="S2718"/>
      <c r="T2718"/>
      <c r="U2718"/>
      <c r="V2718"/>
      <c r="W2718"/>
      <c r="X2718"/>
      <c r="Y2718"/>
      <c r="Z2718"/>
      <c r="AA2718"/>
      <c r="AB2718"/>
      <c r="AC2718"/>
      <c r="AD2718"/>
      <c r="AE2718"/>
      <c r="AF2718"/>
      <c r="AG2718"/>
      <c r="AH2718"/>
      <c r="AI2718"/>
      <c r="AJ2718"/>
      <c r="AK2718"/>
      <c r="AL2718"/>
    </row>
    <row r="2719" spans="1:38" ht="12.75" outlineLevel="2" x14ac:dyDescent="0.2">
      <c r="A2719" s="1071">
        <v>1</v>
      </c>
      <c r="B2719" s="1071" t="s">
        <v>68</v>
      </c>
      <c r="C2719" s="1071" t="s">
        <v>1846</v>
      </c>
      <c r="D2719" s="1071" t="s">
        <v>1846</v>
      </c>
      <c r="E2719" s="1072" t="s">
        <v>70</v>
      </c>
      <c r="F2719" s="1071"/>
      <c r="G2719" s="1073" t="str">
        <f t="array" ref="G2719">IF(B2719="insumo",_xlfn.XLOOKUP($D2719,Insumos!$B$1:$B$996,Insumos!$D$1:$D$996),"")</f>
        <v/>
      </c>
      <c r="H2719" s="1073">
        <v>691.65470000000005</v>
      </c>
      <c r="I2719" s="1074">
        <v>0</v>
      </c>
      <c r="J2719" s="1074">
        <v>0</v>
      </c>
      <c r="K2719" s="1074"/>
      <c r="L2719"/>
      <c r="M2719"/>
      <c r="N2719"/>
      <c r="O2719"/>
      <c r="P2719"/>
      <c r="Q2719"/>
      <c r="R2719"/>
      <c r="S2719"/>
      <c r="T2719"/>
      <c r="U2719"/>
      <c r="V2719"/>
      <c r="W2719"/>
      <c r="X2719"/>
      <c r="Y2719"/>
      <c r="Z2719"/>
      <c r="AA2719"/>
      <c r="AB2719"/>
      <c r="AC2719"/>
      <c r="AD2719"/>
      <c r="AE2719"/>
      <c r="AF2719"/>
      <c r="AG2719"/>
      <c r="AH2719"/>
      <c r="AI2719"/>
      <c r="AJ2719"/>
      <c r="AK2719"/>
      <c r="AL2719"/>
    </row>
    <row r="2720" spans="1:38" ht="12.75" outlineLevel="3" x14ac:dyDescent="0.2">
      <c r="A2720" s="82">
        <v>4</v>
      </c>
      <c r="B2720" s="82" t="s">
        <v>71</v>
      </c>
      <c r="C2720" s="82" t="s">
        <v>1846</v>
      </c>
      <c r="D2720" s="82" t="s">
        <v>1847</v>
      </c>
      <c r="E2720" s="11" t="str">
        <f t="array" ref="E2720">_xlfn.XLOOKUP(D2720,Insumos!B:B,Insumos!C:$C)</f>
        <v>M2</v>
      </c>
      <c r="F2720" s="86">
        <v>1.05</v>
      </c>
      <c r="G2720" s="92">
        <f t="array" ref="G2720">IF(B2720="insumo",_xlfn.XLOOKUP($D2720,Insumos!$B$1:$B$996,Insumos!$D$1:$D$996),"")</f>
        <v>650</v>
      </c>
      <c r="H2720" s="92">
        <v>682.5</v>
      </c>
      <c r="I2720" s="84">
        <v>0</v>
      </c>
      <c r="J2720" s="84">
        <v>0</v>
      </c>
      <c r="K2720" s="84"/>
      <c r="L2720"/>
      <c r="M2720"/>
      <c r="N2720"/>
      <c r="O2720"/>
      <c r="P2720"/>
      <c r="Q2720"/>
      <c r="R2720"/>
      <c r="S2720"/>
      <c r="T2720"/>
      <c r="U2720"/>
      <c r="V2720"/>
      <c r="W2720"/>
      <c r="X2720"/>
      <c r="Y2720"/>
      <c r="Z2720"/>
      <c r="AA2720"/>
      <c r="AB2720"/>
      <c r="AC2720"/>
      <c r="AD2720"/>
      <c r="AE2720"/>
      <c r="AF2720"/>
      <c r="AG2720"/>
      <c r="AH2720"/>
      <c r="AI2720"/>
      <c r="AJ2720"/>
      <c r="AK2720"/>
      <c r="AL2720"/>
    </row>
    <row r="2721" spans="1:38" ht="12.75" outlineLevel="3" x14ac:dyDescent="0.2">
      <c r="A2721" s="82">
        <v>191</v>
      </c>
      <c r="B2721" s="82" t="s">
        <v>71</v>
      </c>
      <c r="C2721" s="82" t="s">
        <v>1846</v>
      </c>
      <c r="D2721" s="82" t="s">
        <v>481</v>
      </c>
      <c r="E2721" s="11" t="str">
        <f t="array" ref="E2721">_xlfn.XLOOKUP(D2721,Insumos!B:B,Insumos!C:$C)</f>
        <v>KG</v>
      </c>
      <c r="F2721" s="86">
        <v>8.6</v>
      </c>
      <c r="G2721" s="92">
        <f t="array" ref="G2721">IF(B2721="insumo",_xlfn.XLOOKUP($D2721,Insumos!$B$1:$B$996,Insumos!$D$1:$D$996),"")</f>
        <v>1.0645</v>
      </c>
      <c r="H2721" s="92">
        <v>9.1547000000000001</v>
      </c>
      <c r="I2721" s="84">
        <v>0</v>
      </c>
      <c r="J2721" s="84">
        <v>0</v>
      </c>
      <c r="K2721" s="84"/>
      <c r="L2721"/>
      <c r="M2721"/>
      <c r="N2721"/>
      <c r="O2721"/>
      <c r="P2721"/>
      <c r="Q2721"/>
      <c r="R2721"/>
      <c r="S2721"/>
      <c r="T2721"/>
      <c r="U2721"/>
      <c r="V2721"/>
      <c r="W2721"/>
      <c r="X2721"/>
      <c r="Y2721"/>
      <c r="Z2721"/>
      <c r="AA2721"/>
      <c r="AB2721"/>
      <c r="AC2721"/>
      <c r="AD2721"/>
      <c r="AE2721"/>
      <c r="AF2721"/>
      <c r="AG2721"/>
      <c r="AH2721"/>
      <c r="AI2721"/>
      <c r="AJ2721"/>
      <c r="AK2721"/>
      <c r="AL2721"/>
    </row>
    <row r="2722" spans="1:38" ht="12.75" outlineLevel="2" x14ac:dyDescent="0.2">
      <c r="A2722" s="1071">
        <v>1</v>
      </c>
      <c r="B2722" s="1071" t="s">
        <v>68</v>
      </c>
      <c r="C2722" s="1071" t="s">
        <v>1848</v>
      </c>
      <c r="D2722" s="1071" t="s">
        <v>1848</v>
      </c>
      <c r="E2722" s="1072" t="s">
        <v>70</v>
      </c>
      <c r="F2722" s="1071"/>
      <c r="G2722" s="1073" t="str">
        <f t="array" ref="G2722">IF(B2722="insumo",_xlfn.XLOOKUP($D2722,Insumos!$B$1:$B$996,Insumos!$D$1:$D$996),"")</f>
        <v/>
      </c>
      <c r="H2722" s="1073">
        <v>691.65470000000005</v>
      </c>
      <c r="I2722" s="1074">
        <v>0</v>
      </c>
      <c r="J2722" s="1074">
        <v>0</v>
      </c>
      <c r="K2722" s="1074"/>
      <c r="L2722"/>
      <c r="M2722"/>
      <c r="N2722"/>
      <c r="O2722"/>
      <c r="P2722"/>
      <c r="Q2722"/>
      <c r="R2722"/>
      <c r="S2722"/>
      <c r="T2722"/>
      <c r="U2722"/>
      <c r="V2722"/>
      <c r="W2722"/>
      <c r="X2722"/>
      <c r="Y2722"/>
      <c r="Z2722"/>
      <c r="AA2722"/>
      <c r="AB2722"/>
      <c r="AC2722"/>
      <c r="AD2722"/>
      <c r="AE2722"/>
      <c r="AF2722"/>
      <c r="AG2722"/>
      <c r="AH2722"/>
      <c r="AI2722"/>
      <c r="AJ2722"/>
      <c r="AK2722"/>
      <c r="AL2722"/>
    </row>
    <row r="2723" spans="1:38" ht="12.75" outlineLevel="3" x14ac:dyDescent="0.2">
      <c r="A2723" s="82">
        <v>4</v>
      </c>
      <c r="B2723" s="82" t="s">
        <v>71</v>
      </c>
      <c r="C2723" s="82" t="s">
        <v>1848</v>
      </c>
      <c r="D2723" s="82" t="s">
        <v>1847</v>
      </c>
      <c r="E2723" s="11" t="str">
        <f t="array" ref="E2723">_xlfn.XLOOKUP(D2723,Insumos!B:B,Insumos!C:$C)</f>
        <v>M2</v>
      </c>
      <c r="F2723" s="86">
        <v>1.05</v>
      </c>
      <c r="G2723" s="92">
        <f t="array" ref="G2723">IF(B2723="insumo",_xlfn.XLOOKUP($D2723,Insumos!$B$1:$B$996,Insumos!$D$1:$D$996),"")</f>
        <v>650</v>
      </c>
      <c r="H2723" s="92">
        <v>682.5</v>
      </c>
      <c r="I2723" s="84">
        <v>0</v>
      </c>
      <c r="J2723" s="84">
        <v>0</v>
      </c>
      <c r="K2723" s="84"/>
      <c r="L2723"/>
      <c r="M2723"/>
      <c r="N2723"/>
      <c r="O2723"/>
      <c r="P2723"/>
      <c r="Q2723"/>
      <c r="R2723"/>
      <c r="S2723"/>
      <c r="T2723"/>
      <c r="U2723"/>
      <c r="V2723"/>
      <c r="W2723"/>
      <c r="X2723"/>
      <c r="Y2723"/>
      <c r="Z2723"/>
      <c r="AA2723"/>
      <c r="AB2723"/>
      <c r="AC2723"/>
      <c r="AD2723"/>
      <c r="AE2723"/>
      <c r="AF2723"/>
      <c r="AG2723"/>
      <c r="AH2723"/>
      <c r="AI2723"/>
      <c r="AJ2723"/>
      <c r="AK2723"/>
      <c r="AL2723"/>
    </row>
    <row r="2724" spans="1:38" ht="12.75" outlineLevel="3" x14ac:dyDescent="0.2">
      <c r="A2724" s="82">
        <v>191</v>
      </c>
      <c r="B2724" s="82" t="s">
        <v>71</v>
      </c>
      <c r="C2724" s="82" t="s">
        <v>1848</v>
      </c>
      <c r="D2724" s="82" t="s">
        <v>481</v>
      </c>
      <c r="E2724" s="11" t="str">
        <f t="array" ref="E2724">_xlfn.XLOOKUP(D2724,Insumos!B:B,Insumos!C:$C)</f>
        <v>KG</v>
      </c>
      <c r="F2724" s="86">
        <v>8.6</v>
      </c>
      <c r="G2724" s="92">
        <f t="array" ref="G2724">IF(B2724="insumo",_xlfn.XLOOKUP($D2724,Insumos!$B$1:$B$996,Insumos!$D$1:$D$996),"")</f>
        <v>1.0645</v>
      </c>
      <c r="H2724" s="92">
        <v>9.1547000000000001</v>
      </c>
      <c r="I2724" s="84">
        <v>0</v>
      </c>
      <c r="J2724" s="84">
        <v>0</v>
      </c>
      <c r="K2724" s="84"/>
      <c r="L2724"/>
      <c r="M2724"/>
      <c r="N2724"/>
      <c r="O2724"/>
      <c r="P2724"/>
      <c r="Q2724"/>
      <c r="R2724"/>
      <c r="S2724"/>
      <c r="T2724"/>
      <c r="U2724"/>
      <c r="V2724"/>
      <c r="W2724"/>
      <c r="X2724"/>
      <c r="Y2724"/>
      <c r="Z2724"/>
      <c r="AA2724"/>
      <c r="AB2724"/>
      <c r="AC2724"/>
      <c r="AD2724"/>
      <c r="AE2724"/>
      <c r="AF2724"/>
      <c r="AG2724"/>
      <c r="AH2724"/>
      <c r="AI2724"/>
      <c r="AJ2724"/>
      <c r="AK2724"/>
      <c r="AL2724"/>
    </row>
    <row r="2725" spans="1:38" ht="12.75" outlineLevel="2" x14ac:dyDescent="0.2">
      <c r="A2725" s="1071">
        <v>1</v>
      </c>
      <c r="B2725" s="1071" t="s">
        <v>68</v>
      </c>
      <c r="C2725" s="1071" t="s">
        <v>1849</v>
      </c>
      <c r="D2725" s="1071" t="s">
        <v>1849</v>
      </c>
      <c r="E2725" s="1072" t="s">
        <v>70</v>
      </c>
      <c r="F2725" s="1071"/>
      <c r="G2725" s="1073" t="str">
        <f t="array" ref="G2725">IF(B2725="insumo",_xlfn.XLOOKUP($D2725,Insumos!$B$1:$B$996,Insumos!$D$1:$D$996),"")</f>
        <v/>
      </c>
      <c r="H2725" s="1073">
        <v>288.34969999999998</v>
      </c>
      <c r="I2725" s="1074">
        <v>0</v>
      </c>
      <c r="J2725" s="1074">
        <v>0</v>
      </c>
      <c r="K2725" s="1074"/>
      <c r="L2725"/>
      <c r="M2725"/>
      <c r="N2725"/>
      <c r="O2725"/>
      <c r="P2725"/>
      <c r="Q2725"/>
      <c r="R2725"/>
      <c r="S2725"/>
      <c r="T2725"/>
      <c r="U2725"/>
      <c r="V2725"/>
      <c r="W2725"/>
      <c r="X2725"/>
      <c r="Y2725"/>
      <c r="Z2725"/>
      <c r="AA2725"/>
      <c r="AB2725"/>
      <c r="AC2725"/>
      <c r="AD2725"/>
      <c r="AE2725"/>
      <c r="AF2725"/>
      <c r="AG2725"/>
      <c r="AH2725"/>
      <c r="AI2725"/>
      <c r="AJ2725"/>
      <c r="AK2725"/>
      <c r="AL2725"/>
    </row>
    <row r="2726" spans="1:38" ht="12.75" outlineLevel="3" x14ac:dyDescent="0.2">
      <c r="A2726" s="82">
        <v>1</v>
      </c>
      <c r="B2726" s="82" t="s">
        <v>71</v>
      </c>
      <c r="C2726" s="82" t="s">
        <v>1849</v>
      </c>
      <c r="D2726" s="82" t="s">
        <v>1850</v>
      </c>
      <c r="E2726" s="11" t="str">
        <f t="array" ref="E2726">_xlfn.XLOOKUP(D2726,Insumos!B:B,Insumos!C:$C)</f>
        <v>M2</v>
      </c>
      <c r="F2726" s="86">
        <v>1.05</v>
      </c>
      <c r="G2726" s="92">
        <f t="array" ref="G2726">IF(B2726="insumo",_xlfn.XLOOKUP($D2726,Insumos!$B$1:$B$996,Insumos!$D$1:$D$996),"")</f>
        <v>265.89999999999998</v>
      </c>
      <c r="H2726" s="92">
        <v>279.19499999999999</v>
      </c>
      <c r="I2726" s="84">
        <v>0</v>
      </c>
      <c r="J2726" s="84">
        <v>0</v>
      </c>
      <c r="K2726" s="84"/>
      <c r="L2726"/>
      <c r="M2726"/>
      <c r="N2726"/>
      <c r="O2726"/>
      <c r="P2726"/>
      <c r="Q2726"/>
      <c r="R2726"/>
      <c r="S2726"/>
      <c r="T2726"/>
      <c r="U2726"/>
      <c r="V2726"/>
      <c r="W2726"/>
      <c r="X2726"/>
      <c r="Y2726"/>
      <c r="Z2726"/>
      <c r="AA2726"/>
      <c r="AB2726"/>
      <c r="AC2726"/>
      <c r="AD2726"/>
      <c r="AE2726"/>
      <c r="AF2726"/>
      <c r="AG2726"/>
      <c r="AH2726"/>
      <c r="AI2726"/>
      <c r="AJ2726"/>
      <c r="AK2726"/>
      <c r="AL2726"/>
    </row>
    <row r="2727" spans="1:38" ht="12.75" outlineLevel="3" x14ac:dyDescent="0.2">
      <c r="A2727" s="82">
        <v>191</v>
      </c>
      <c r="B2727" s="82" t="s">
        <v>71</v>
      </c>
      <c r="C2727" s="82" t="s">
        <v>1849</v>
      </c>
      <c r="D2727" s="82" t="s">
        <v>481</v>
      </c>
      <c r="E2727" s="11" t="str">
        <f t="array" ref="E2727">_xlfn.XLOOKUP(D2727,Insumos!B:B,Insumos!C:$C)</f>
        <v>KG</v>
      </c>
      <c r="F2727" s="86">
        <v>8.6</v>
      </c>
      <c r="G2727" s="92">
        <f t="array" ref="G2727">IF(B2727="insumo",_xlfn.XLOOKUP($D2727,Insumos!$B$1:$B$996,Insumos!$D$1:$D$996),"")</f>
        <v>1.0645</v>
      </c>
      <c r="H2727" s="92">
        <v>9.1547000000000001</v>
      </c>
      <c r="I2727" s="84">
        <v>0</v>
      </c>
      <c r="J2727" s="84">
        <v>0</v>
      </c>
      <c r="K2727" s="84"/>
      <c r="L2727"/>
      <c r="M2727"/>
      <c r="N2727"/>
      <c r="O2727"/>
      <c r="P2727"/>
      <c r="Q2727"/>
      <c r="R2727"/>
      <c r="S2727"/>
      <c r="T2727"/>
      <c r="U2727"/>
      <c r="V2727"/>
      <c r="W2727"/>
      <c r="X2727"/>
      <c r="Y2727"/>
      <c r="Z2727"/>
      <c r="AA2727"/>
      <c r="AB2727"/>
      <c r="AC2727"/>
      <c r="AD2727"/>
      <c r="AE2727"/>
      <c r="AF2727"/>
      <c r="AG2727"/>
      <c r="AH2727"/>
      <c r="AI2727"/>
      <c r="AJ2727"/>
      <c r="AK2727"/>
      <c r="AL2727"/>
    </row>
    <row r="2728" spans="1:38" ht="12.75" outlineLevel="2" x14ac:dyDescent="0.2">
      <c r="A2728" s="1071">
        <v>1</v>
      </c>
      <c r="B2728" s="1071" t="s">
        <v>68</v>
      </c>
      <c r="C2728" s="1071" t="s">
        <v>1851</v>
      </c>
      <c r="D2728" s="1071" t="s">
        <v>1851</v>
      </c>
      <c r="E2728" s="1072" t="s">
        <v>70</v>
      </c>
      <c r="F2728" s="1071"/>
      <c r="G2728" s="1073" t="str">
        <f t="array" ref="G2728">IF(B2728="insumo",_xlfn.XLOOKUP($D2728,Insumos!$B$1:$B$996,Insumos!$D$1:$D$996),"")</f>
        <v/>
      </c>
      <c r="H2728" s="1073">
        <v>691.65470000000005</v>
      </c>
      <c r="I2728" s="1074">
        <v>0</v>
      </c>
      <c r="J2728" s="1074">
        <v>0</v>
      </c>
      <c r="K2728" s="1074"/>
      <c r="L2728"/>
      <c r="M2728"/>
      <c r="N2728"/>
      <c r="O2728"/>
      <c r="P2728"/>
      <c r="Q2728"/>
      <c r="R2728"/>
      <c r="S2728"/>
      <c r="T2728"/>
      <c r="U2728"/>
      <c r="V2728"/>
      <c r="W2728"/>
      <c r="X2728"/>
      <c r="Y2728"/>
      <c r="Z2728"/>
      <c r="AA2728"/>
      <c r="AB2728"/>
      <c r="AC2728"/>
      <c r="AD2728"/>
      <c r="AE2728"/>
      <c r="AF2728"/>
      <c r="AG2728"/>
      <c r="AH2728"/>
      <c r="AI2728"/>
      <c r="AJ2728"/>
      <c r="AK2728"/>
      <c r="AL2728"/>
    </row>
    <row r="2729" spans="1:38" ht="12.75" outlineLevel="3" x14ac:dyDescent="0.2">
      <c r="A2729" s="82">
        <v>3</v>
      </c>
      <c r="B2729" s="82" t="s">
        <v>71</v>
      </c>
      <c r="C2729" s="82" t="s">
        <v>1851</v>
      </c>
      <c r="D2729" s="82" t="s">
        <v>649</v>
      </c>
      <c r="E2729" s="11" t="str">
        <f t="array" ref="E2729">_xlfn.XLOOKUP(D2729,Insumos!B:B,Insumos!C:$C)</f>
        <v>M2</v>
      </c>
      <c r="F2729" s="86">
        <v>1.05</v>
      </c>
      <c r="G2729" s="92">
        <f t="array" ref="G2729">IF(B2729="insumo",_xlfn.XLOOKUP($D2729,Insumos!$B$1:$B$996,Insumos!$D$1:$D$996),"")</f>
        <v>650</v>
      </c>
      <c r="H2729" s="92">
        <v>682.5</v>
      </c>
      <c r="I2729" s="84">
        <v>0</v>
      </c>
      <c r="J2729" s="84">
        <v>0</v>
      </c>
      <c r="K2729" s="84"/>
      <c r="L2729"/>
      <c r="M2729"/>
      <c r="N2729"/>
      <c r="O2729"/>
      <c r="P2729"/>
      <c r="Q2729"/>
      <c r="R2729"/>
      <c r="S2729"/>
      <c r="T2729"/>
      <c r="U2729"/>
      <c r="V2729"/>
      <c r="W2729"/>
      <c r="X2729"/>
      <c r="Y2729"/>
      <c r="Z2729"/>
      <c r="AA2729"/>
      <c r="AB2729"/>
      <c r="AC2729"/>
      <c r="AD2729"/>
      <c r="AE2729"/>
      <c r="AF2729"/>
      <c r="AG2729"/>
      <c r="AH2729"/>
      <c r="AI2729"/>
      <c r="AJ2729"/>
      <c r="AK2729"/>
      <c r="AL2729"/>
    </row>
    <row r="2730" spans="1:38" ht="12.75" outlineLevel="3" x14ac:dyDescent="0.2">
      <c r="A2730" s="82">
        <v>191</v>
      </c>
      <c r="B2730" s="82" t="s">
        <v>71</v>
      </c>
      <c r="C2730" s="82" t="s">
        <v>1851</v>
      </c>
      <c r="D2730" s="82" t="s">
        <v>481</v>
      </c>
      <c r="E2730" s="11" t="str">
        <f t="array" ref="E2730">_xlfn.XLOOKUP(D2730,Insumos!B:B,Insumos!C:$C)</f>
        <v>KG</v>
      </c>
      <c r="F2730" s="86">
        <v>8.6</v>
      </c>
      <c r="G2730" s="92">
        <f t="array" ref="G2730">IF(B2730="insumo",_xlfn.XLOOKUP($D2730,Insumos!$B$1:$B$996,Insumos!$D$1:$D$996),"")</f>
        <v>1.0645</v>
      </c>
      <c r="H2730" s="92">
        <v>9.1547000000000001</v>
      </c>
      <c r="I2730" s="84">
        <v>0</v>
      </c>
      <c r="J2730" s="84">
        <v>0</v>
      </c>
      <c r="K2730" s="84"/>
      <c r="L2730"/>
      <c r="M2730"/>
      <c r="N2730"/>
      <c r="O2730"/>
      <c r="P2730"/>
      <c r="Q2730"/>
      <c r="R2730"/>
      <c r="S2730"/>
      <c r="T2730"/>
      <c r="U2730"/>
      <c r="V2730"/>
      <c r="W2730"/>
      <c r="X2730"/>
      <c r="Y2730"/>
      <c r="Z2730"/>
      <c r="AA2730"/>
      <c r="AB2730"/>
      <c r="AC2730"/>
      <c r="AD2730"/>
      <c r="AE2730"/>
      <c r="AF2730"/>
      <c r="AG2730"/>
      <c r="AH2730"/>
      <c r="AI2730"/>
      <c r="AJ2730"/>
      <c r="AK2730"/>
      <c r="AL2730"/>
    </row>
    <row r="2731" spans="1:38" ht="15.75" customHeight="1" outlineLevel="1" x14ac:dyDescent="0.2">
      <c r="A2731" s="1090">
        <v>1</v>
      </c>
      <c r="B2731" s="1090" t="s">
        <v>1228</v>
      </c>
      <c r="C2731" s="1090" t="s">
        <v>1851</v>
      </c>
      <c r="D2731" s="1090" t="s">
        <v>1403</v>
      </c>
      <c r="E2731" s="1091"/>
      <c r="F2731" s="1092"/>
      <c r="G2731" s="1091"/>
      <c r="H2731" s="1091">
        <v>0</v>
      </c>
      <c r="I2731" s="1092">
        <v>0</v>
      </c>
      <c r="J2731" s="1092">
        <v>0</v>
      </c>
      <c r="K2731" s="1092"/>
      <c r="L2731"/>
      <c r="M2731"/>
      <c r="N2731"/>
      <c r="O2731"/>
      <c r="P2731"/>
      <c r="Q2731"/>
      <c r="R2731"/>
      <c r="S2731"/>
      <c r="T2731"/>
      <c r="U2731"/>
      <c r="V2731"/>
      <c r="W2731"/>
      <c r="X2731"/>
      <c r="Y2731"/>
      <c r="Z2731"/>
      <c r="AA2731"/>
      <c r="AB2731"/>
      <c r="AC2731"/>
      <c r="AD2731"/>
      <c r="AE2731"/>
      <c r="AF2731"/>
      <c r="AG2731"/>
      <c r="AH2731"/>
      <c r="AI2731"/>
      <c r="AJ2731"/>
      <c r="AK2731"/>
      <c r="AL2731"/>
    </row>
    <row r="2732" spans="1:38" ht="15.75" customHeight="1" outlineLevel="2" x14ac:dyDescent="0.2">
      <c r="A2732" s="1067">
        <v>1</v>
      </c>
      <c r="B2732" s="1067" t="s">
        <v>68</v>
      </c>
      <c r="C2732" s="1067" t="s">
        <v>542</v>
      </c>
      <c r="D2732" s="1067" t="s">
        <v>542</v>
      </c>
      <c r="E2732" s="1068" t="s">
        <v>70</v>
      </c>
      <c r="F2732" s="1075"/>
      <c r="G2732" s="1069" t="str">
        <f t="array" ref="G2732">IF(B2732="insumo",_xlfn.XLOOKUP($D2732,Insumos!$B$1:$B$996,Insumos!$D$1:$D$996),"")</f>
        <v/>
      </c>
      <c r="H2732" s="1069">
        <v>42</v>
      </c>
      <c r="I2732" s="1070" t="e">
        <v>#REF!</v>
      </c>
      <c r="J2732" s="1070" t="e">
        <v>#REF!</v>
      </c>
      <c r="K2732" s="1070"/>
      <c r="L2732"/>
      <c r="M2732"/>
      <c r="N2732"/>
      <c r="O2732"/>
      <c r="P2732"/>
      <c r="Q2732"/>
      <c r="R2732"/>
      <c r="S2732"/>
      <c r="T2732"/>
      <c r="U2732"/>
      <c r="V2732"/>
      <c r="W2732"/>
      <c r="X2732"/>
      <c r="Y2732"/>
      <c r="Z2732"/>
      <c r="AA2732"/>
      <c r="AB2732"/>
      <c r="AC2732"/>
      <c r="AD2732"/>
      <c r="AE2732"/>
      <c r="AF2732"/>
      <c r="AG2732"/>
      <c r="AH2732"/>
      <c r="AI2732"/>
      <c r="AJ2732"/>
      <c r="AK2732"/>
      <c r="AL2732"/>
    </row>
    <row r="2733" spans="1:38" ht="15.75" customHeight="1" outlineLevel="3" x14ac:dyDescent="0.2">
      <c r="A2733" s="10">
        <v>1</v>
      </c>
      <c r="B2733" s="10" t="s">
        <v>71</v>
      </c>
      <c r="C2733" s="10" t="s">
        <v>542</v>
      </c>
      <c r="D2733" s="10" t="s">
        <v>542</v>
      </c>
      <c r="E2733" s="11" t="str">
        <f t="array" ref="E2733">_xlfn.XLOOKUP(D2733,Insumos!B:B,Insumos!C:$C)</f>
        <v>UN</v>
      </c>
      <c r="F2733" s="14">
        <v>1</v>
      </c>
      <c r="G2733" s="92">
        <f t="array" ref="G2733">IF(B2733="insumo",_xlfn.XLOOKUP($D2733,Insumos!$B$1:$B$996,Insumos!$D$1:$D$996),"")</f>
        <v>42</v>
      </c>
      <c r="H2733" s="92">
        <v>42</v>
      </c>
      <c r="I2733" s="13" t="e">
        <v>#REF!</v>
      </c>
      <c r="J2733" s="13" t="e">
        <v>#REF!</v>
      </c>
      <c r="K2733" s="13"/>
      <c r="L2733"/>
      <c r="M2733"/>
      <c r="N2733"/>
      <c r="O2733"/>
      <c r="P2733"/>
      <c r="Q2733"/>
      <c r="R2733"/>
      <c r="S2733"/>
      <c r="T2733"/>
      <c r="U2733"/>
      <c r="V2733"/>
      <c r="W2733"/>
      <c r="X2733"/>
      <c r="Y2733"/>
      <c r="Z2733"/>
      <c r="AA2733"/>
      <c r="AB2733"/>
      <c r="AC2733"/>
      <c r="AD2733"/>
      <c r="AE2733"/>
      <c r="AF2733"/>
      <c r="AG2733"/>
      <c r="AH2733"/>
      <c r="AI2733"/>
      <c r="AJ2733"/>
      <c r="AK2733"/>
      <c r="AL2733"/>
    </row>
    <row r="2734" spans="1:38" ht="15.75" customHeight="1" outlineLevel="2" x14ac:dyDescent="0.2">
      <c r="A2734" s="1067">
        <v>1</v>
      </c>
      <c r="B2734" s="1067" t="s">
        <v>68</v>
      </c>
      <c r="C2734" s="1067" t="s">
        <v>543</v>
      </c>
      <c r="D2734" s="1067" t="s">
        <v>543</v>
      </c>
      <c r="E2734" s="1068" t="s">
        <v>70</v>
      </c>
      <c r="F2734" s="1075"/>
      <c r="G2734" s="1069" t="str">
        <f t="array" ref="G2734">IF(B2734="insumo",_xlfn.XLOOKUP($D2734,Insumos!$B$1:$B$996,Insumos!$D$1:$D$996),"")</f>
        <v/>
      </c>
      <c r="H2734" s="1069">
        <v>30</v>
      </c>
      <c r="I2734" s="1070" t="e">
        <v>#REF!</v>
      </c>
      <c r="J2734" s="1070" t="e">
        <v>#REF!</v>
      </c>
      <c r="K2734" s="1070"/>
      <c r="L2734"/>
      <c r="M2734"/>
      <c r="N2734"/>
      <c r="O2734"/>
      <c r="P2734"/>
      <c r="Q2734"/>
      <c r="R2734"/>
      <c r="S2734"/>
      <c r="T2734"/>
      <c r="U2734"/>
      <c r="V2734"/>
      <c r="W2734"/>
      <c r="X2734"/>
      <c r="Y2734"/>
      <c r="Z2734"/>
      <c r="AA2734"/>
      <c r="AB2734"/>
      <c r="AC2734"/>
      <c r="AD2734"/>
      <c r="AE2734"/>
      <c r="AF2734"/>
      <c r="AG2734"/>
      <c r="AH2734"/>
      <c r="AI2734"/>
      <c r="AJ2734"/>
      <c r="AK2734"/>
      <c r="AL2734"/>
    </row>
    <row r="2735" spans="1:38" ht="15.75" customHeight="1" outlineLevel="3" x14ac:dyDescent="0.2">
      <c r="A2735" s="10">
        <v>2</v>
      </c>
      <c r="B2735" s="10" t="s">
        <v>71</v>
      </c>
      <c r="C2735" s="10" t="s">
        <v>543</v>
      </c>
      <c r="D2735" s="10" t="s">
        <v>543</v>
      </c>
      <c r="E2735" s="11" t="str">
        <f t="array" ref="E2735">_xlfn.XLOOKUP(D2735,Insumos!B:B,Insumos!C:$C)</f>
        <v>M2</v>
      </c>
      <c r="F2735" s="14">
        <v>1</v>
      </c>
      <c r="G2735" s="92">
        <f t="array" ref="G2735">IF(B2735="insumo",_xlfn.XLOOKUP($D2735,Insumos!$B$1:$B$996,Insumos!$D$1:$D$996),"")</f>
        <v>30</v>
      </c>
      <c r="H2735" s="92">
        <v>30</v>
      </c>
      <c r="I2735" s="13" t="e">
        <v>#REF!</v>
      </c>
      <c r="J2735" s="13" t="e">
        <v>#REF!</v>
      </c>
      <c r="K2735" s="13"/>
      <c r="L2735"/>
      <c r="M2735"/>
      <c r="N2735"/>
      <c r="O2735"/>
      <c r="P2735"/>
      <c r="Q2735"/>
      <c r="R2735"/>
      <c r="S2735"/>
      <c r="T2735"/>
      <c r="U2735"/>
      <c r="V2735"/>
      <c r="W2735"/>
      <c r="X2735"/>
      <c r="Y2735"/>
      <c r="Z2735"/>
      <c r="AA2735"/>
      <c r="AB2735"/>
      <c r="AC2735"/>
      <c r="AD2735"/>
      <c r="AE2735"/>
      <c r="AF2735"/>
      <c r="AG2735"/>
      <c r="AH2735"/>
      <c r="AI2735"/>
      <c r="AJ2735"/>
      <c r="AK2735"/>
      <c r="AL2735"/>
    </row>
    <row r="2736" spans="1:38" ht="15.75" customHeight="1" outlineLevel="1" x14ac:dyDescent="0.2">
      <c r="A2736" s="1090">
        <v>1</v>
      </c>
      <c r="B2736" s="1090" t="s">
        <v>1228</v>
      </c>
      <c r="C2736" s="1090" t="s">
        <v>543</v>
      </c>
      <c r="D2736" s="1090" t="s">
        <v>1406</v>
      </c>
      <c r="E2736" s="1091"/>
      <c r="F2736" s="1092"/>
      <c r="G2736" s="1091"/>
      <c r="H2736" s="1091">
        <v>0</v>
      </c>
      <c r="I2736" s="1092">
        <v>0</v>
      </c>
      <c r="J2736" s="1092">
        <v>0</v>
      </c>
      <c r="K2736" s="1092"/>
      <c r="L2736"/>
      <c r="M2736"/>
      <c r="N2736"/>
      <c r="O2736"/>
      <c r="P2736"/>
      <c r="Q2736"/>
      <c r="R2736"/>
      <c r="S2736"/>
      <c r="T2736"/>
      <c r="U2736"/>
      <c r="V2736"/>
      <c r="W2736"/>
      <c r="X2736"/>
      <c r="Y2736"/>
      <c r="Z2736"/>
      <c r="AA2736"/>
      <c r="AB2736"/>
      <c r="AC2736"/>
      <c r="AD2736"/>
      <c r="AE2736"/>
      <c r="AF2736"/>
      <c r="AG2736"/>
      <c r="AH2736"/>
      <c r="AI2736"/>
      <c r="AJ2736"/>
      <c r="AK2736"/>
      <c r="AL2736"/>
    </row>
    <row r="2737" spans="1:38" ht="15.75" customHeight="1" outlineLevel="2" x14ac:dyDescent="0.2">
      <c r="A2737" s="1067">
        <v>1</v>
      </c>
      <c r="B2737" s="1067" t="s">
        <v>68</v>
      </c>
      <c r="C2737" s="1067" t="s">
        <v>551</v>
      </c>
      <c r="D2737" s="1067" t="s">
        <v>551</v>
      </c>
      <c r="E2737" s="1068" t="s">
        <v>70</v>
      </c>
      <c r="F2737" s="1075"/>
      <c r="G2737" s="1069" t="str">
        <f t="array" ref="G2737">IF(B2737="insumo",_xlfn.XLOOKUP($D2737,Insumos!$B$1:$B$996,Insumos!$D$1:$D$996),"")</f>
        <v/>
      </c>
      <c r="H2737" s="1069">
        <v>15</v>
      </c>
      <c r="I2737" s="1070">
        <v>0</v>
      </c>
      <c r="J2737" s="1070">
        <v>0</v>
      </c>
      <c r="K2737" s="1070"/>
      <c r="L2737"/>
      <c r="M2737"/>
      <c r="N2737"/>
      <c r="O2737"/>
      <c r="P2737"/>
      <c r="Q2737"/>
      <c r="R2737"/>
      <c r="S2737"/>
      <c r="T2737"/>
      <c r="U2737"/>
      <c r="V2737"/>
      <c r="W2737"/>
      <c r="X2737"/>
      <c r="Y2737"/>
      <c r="Z2737"/>
      <c r="AA2737"/>
      <c r="AB2737"/>
      <c r="AC2737"/>
      <c r="AD2737"/>
      <c r="AE2737"/>
      <c r="AF2737"/>
      <c r="AG2737"/>
      <c r="AH2737"/>
      <c r="AI2737"/>
      <c r="AJ2737"/>
      <c r="AK2737"/>
      <c r="AL2737"/>
    </row>
    <row r="2738" spans="1:38" ht="15.75" customHeight="1" outlineLevel="3" x14ac:dyDescent="0.2">
      <c r="A2738" s="10">
        <v>1</v>
      </c>
      <c r="B2738" s="10" t="s">
        <v>71</v>
      </c>
      <c r="C2738" s="10" t="s">
        <v>551</v>
      </c>
      <c r="D2738" s="10" t="s">
        <v>551</v>
      </c>
      <c r="E2738" s="11" t="str">
        <f t="array" ref="E2738">_xlfn.XLOOKUP(D2738,Insumos!B:B,Insumos!C:$C)</f>
        <v>UN</v>
      </c>
      <c r="F2738" s="14">
        <v>1</v>
      </c>
      <c r="G2738" s="92">
        <f t="array" ref="G2738">IF(B2738="insumo",_xlfn.XLOOKUP($D2738,Insumos!$B$1:$B$996,Insumos!$D$1:$D$996),"")</f>
        <v>15</v>
      </c>
      <c r="H2738" s="92">
        <v>15</v>
      </c>
      <c r="I2738" s="13">
        <v>0</v>
      </c>
      <c r="J2738" s="13">
        <v>0</v>
      </c>
      <c r="K2738" s="13"/>
      <c r="L2738"/>
      <c r="M2738"/>
      <c r="N2738"/>
      <c r="O2738"/>
      <c r="P2738"/>
      <c r="Q2738"/>
      <c r="R2738"/>
      <c r="S2738"/>
      <c r="T2738"/>
      <c r="U2738"/>
      <c r="V2738"/>
      <c r="W2738"/>
      <c r="X2738"/>
      <c r="Y2738"/>
      <c r="Z2738"/>
      <c r="AA2738"/>
      <c r="AB2738"/>
      <c r="AC2738"/>
      <c r="AD2738"/>
      <c r="AE2738"/>
      <c r="AF2738"/>
      <c r="AG2738"/>
      <c r="AH2738"/>
      <c r="AI2738"/>
      <c r="AJ2738"/>
      <c r="AK2738"/>
      <c r="AL2738"/>
    </row>
    <row r="2739" spans="1:38" ht="15.75" customHeight="1" outlineLevel="2" x14ac:dyDescent="0.2">
      <c r="A2739" s="1067">
        <v>1</v>
      </c>
      <c r="B2739" s="1067" t="s">
        <v>68</v>
      </c>
      <c r="C2739" s="1067" t="s">
        <v>552</v>
      </c>
      <c r="D2739" s="1067" t="s">
        <v>552</v>
      </c>
      <c r="E2739" s="1068" t="s">
        <v>70</v>
      </c>
      <c r="F2739" s="1075"/>
      <c r="G2739" s="1069" t="str">
        <f t="array" ref="G2739">IF(B2739="insumo",_xlfn.XLOOKUP($D2739,Insumos!$B$1:$B$996,Insumos!$D$1:$D$996),"")</f>
        <v/>
      </c>
      <c r="H2739" s="1069">
        <v>15</v>
      </c>
      <c r="I2739" s="1070">
        <v>0</v>
      </c>
      <c r="J2739" s="1070">
        <v>0</v>
      </c>
      <c r="K2739" s="1070"/>
      <c r="L2739"/>
      <c r="M2739"/>
      <c r="N2739"/>
      <c r="O2739"/>
      <c r="P2739"/>
      <c r="Q2739"/>
      <c r="R2739"/>
      <c r="S2739"/>
      <c r="T2739"/>
      <c r="U2739"/>
      <c r="V2739"/>
      <c r="W2739"/>
      <c r="X2739"/>
      <c r="Y2739"/>
      <c r="Z2739"/>
      <c r="AA2739"/>
      <c r="AB2739"/>
      <c r="AC2739"/>
      <c r="AD2739"/>
      <c r="AE2739"/>
      <c r="AF2739"/>
      <c r="AG2739"/>
      <c r="AH2739"/>
      <c r="AI2739"/>
      <c r="AJ2739"/>
      <c r="AK2739"/>
      <c r="AL2739"/>
    </row>
    <row r="2740" spans="1:38" ht="15.75" customHeight="1" outlineLevel="3" x14ac:dyDescent="0.2">
      <c r="A2740" s="10">
        <v>1</v>
      </c>
      <c r="B2740" s="10" t="s">
        <v>71</v>
      </c>
      <c r="C2740" s="10" t="s">
        <v>552</v>
      </c>
      <c r="D2740" s="10" t="s">
        <v>552</v>
      </c>
      <c r="E2740" s="11" t="str">
        <f t="array" ref="E2740">_xlfn.XLOOKUP(D2740,Insumos!B:B,Insumos!C:$C)</f>
        <v>UN</v>
      </c>
      <c r="F2740" s="14">
        <v>1</v>
      </c>
      <c r="G2740" s="92">
        <f t="array" ref="G2740">IF(B2740="insumo",_xlfn.XLOOKUP($D2740,Insumos!$B$1:$B$996,Insumos!$D$1:$D$996),"")</f>
        <v>15</v>
      </c>
      <c r="H2740" s="92">
        <v>15</v>
      </c>
      <c r="I2740" s="13">
        <v>0</v>
      </c>
      <c r="J2740" s="13">
        <v>0</v>
      </c>
      <c r="K2740" s="13"/>
      <c r="L2740"/>
      <c r="M2740"/>
      <c r="N2740"/>
      <c r="O2740"/>
      <c r="P2740"/>
      <c r="Q2740"/>
      <c r="R2740"/>
      <c r="S2740"/>
      <c r="T2740"/>
      <c r="U2740"/>
      <c r="V2740"/>
      <c r="W2740"/>
      <c r="X2740"/>
      <c r="Y2740"/>
      <c r="Z2740"/>
      <c r="AA2740"/>
      <c r="AB2740"/>
      <c r="AC2740"/>
      <c r="AD2740"/>
      <c r="AE2740"/>
      <c r="AF2740"/>
      <c r="AG2740"/>
      <c r="AH2740"/>
      <c r="AI2740"/>
      <c r="AJ2740"/>
      <c r="AK2740"/>
      <c r="AL2740"/>
    </row>
    <row r="2741" spans="1:38" ht="15.75" customHeight="1" outlineLevel="1" x14ac:dyDescent="0.2">
      <c r="A2741" s="1090">
        <v>2</v>
      </c>
      <c r="B2741" s="1090" t="s">
        <v>1228</v>
      </c>
      <c r="C2741" s="1090" t="s">
        <v>552</v>
      </c>
      <c r="D2741" s="1090" t="s">
        <v>1405</v>
      </c>
      <c r="E2741" s="1091"/>
      <c r="F2741" s="1092"/>
      <c r="G2741" s="1091"/>
      <c r="H2741" s="1091">
        <v>0</v>
      </c>
      <c r="I2741" s="1092">
        <v>0</v>
      </c>
      <c r="J2741" s="1092">
        <v>0</v>
      </c>
      <c r="K2741" s="1092"/>
      <c r="L2741"/>
      <c r="M2741"/>
      <c r="N2741"/>
      <c r="O2741"/>
      <c r="P2741"/>
      <c r="Q2741"/>
      <c r="R2741"/>
      <c r="S2741"/>
      <c r="T2741"/>
      <c r="U2741"/>
      <c r="V2741"/>
      <c r="W2741"/>
      <c r="X2741"/>
      <c r="Y2741"/>
      <c r="Z2741"/>
      <c r="AA2741"/>
      <c r="AB2741"/>
      <c r="AC2741"/>
      <c r="AD2741"/>
      <c r="AE2741"/>
      <c r="AF2741"/>
      <c r="AG2741"/>
      <c r="AH2741"/>
      <c r="AI2741"/>
      <c r="AJ2741"/>
      <c r="AK2741"/>
      <c r="AL2741"/>
    </row>
    <row r="2742" spans="1:38" ht="15.75" customHeight="1" outlineLevel="2" x14ac:dyDescent="0.2">
      <c r="A2742" s="1067">
        <v>1</v>
      </c>
      <c r="B2742" s="1067" t="s">
        <v>68</v>
      </c>
      <c r="C2742" s="1067" t="s">
        <v>544</v>
      </c>
      <c r="D2742" s="1067" t="s">
        <v>544</v>
      </c>
      <c r="E2742" s="1068" t="s">
        <v>70</v>
      </c>
      <c r="F2742" s="1075"/>
      <c r="G2742" s="1069" t="str">
        <f t="array" ref="G2742">IF(B2742="insumo",_xlfn.XLOOKUP($D2742,Insumos!$B$1:$B$996,Insumos!$D$1:$D$996),"")</f>
        <v/>
      </c>
      <c r="H2742" s="1069">
        <v>55</v>
      </c>
      <c r="I2742" s="1070">
        <v>0</v>
      </c>
      <c r="J2742" s="1070">
        <v>0</v>
      </c>
      <c r="K2742" s="1070"/>
      <c r="L2742"/>
      <c r="M2742"/>
      <c r="N2742"/>
      <c r="O2742"/>
      <c r="P2742"/>
      <c r="Q2742"/>
      <c r="R2742"/>
      <c r="S2742"/>
      <c r="T2742"/>
      <c r="U2742"/>
      <c r="V2742"/>
      <c r="W2742"/>
      <c r="X2742"/>
      <c r="Y2742"/>
      <c r="Z2742"/>
      <c r="AA2742"/>
      <c r="AB2742"/>
      <c r="AC2742"/>
      <c r="AD2742"/>
      <c r="AE2742"/>
      <c r="AF2742"/>
      <c r="AG2742"/>
      <c r="AH2742"/>
      <c r="AI2742"/>
      <c r="AJ2742"/>
      <c r="AK2742"/>
      <c r="AL2742"/>
    </row>
    <row r="2743" spans="1:38" ht="15.75" customHeight="1" outlineLevel="3" x14ac:dyDescent="0.2">
      <c r="A2743" s="10">
        <v>1</v>
      </c>
      <c r="B2743" s="10" t="s">
        <v>71</v>
      </c>
      <c r="C2743" s="10" t="s">
        <v>544</v>
      </c>
      <c r="D2743" s="10" t="s">
        <v>544</v>
      </c>
      <c r="E2743" s="11" t="str">
        <f t="array" ref="E2743">_xlfn.XLOOKUP(D2743,Insumos!B:B,Insumos!C:$C)</f>
        <v>UN</v>
      </c>
      <c r="F2743" s="14">
        <v>1</v>
      </c>
      <c r="G2743" s="92">
        <f t="array" ref="G2743">IF(B2743="insumo",_xlfn.XLOOKUP($D2743,Insumos!$B$1:$B$996,Insumos!$D$1:$D$996),"")</f>
        <v>55</v>
      </c>
      <c r="H2743" s="92">
        <v>55</v>
      </c>
      <c r="I2743" s="13">
        <v>0</v>
      </c>
      <c r="J2743" s="13">
        <v>0</v>
      </c>
      <c r="K2743" s="13"/>
      <c r="L2743"/>
      <c r="M2743"/>
      <c r="N2743"/>
      <c r="O2743"/>
      <c r="P2743"/>
      <c r="Q2743"/>
      <c r="R2743"/>
      <c r="S2743"/>
      <c r="T2743"/>
      <c r="U2743"/>
      <c r="V2743"/>
      <c r="W2743"/>
      <c r="X2743"/>
      <c r="Y2743"/>
      <c r="Z2743"/>
      <c r="AA2743"/>
      <c r="AB2743"/>
      <c r="AC2743"/>
      <c r="AD2743"/>
      <c r="AE2743"/>
      <c r="AF2743"/>
      <c r="AG2743"/>
      <c r="AH2743"/>
      <c r="AI2743"/>
      <c r="AJ2743"/>
      <c r="AK2743"/>
      <c r="AL2743"/>
    </row>
    <row r="2744" spans="1:38" ht="15.75" customHeight="1" outlineLevel="2" x14ac:dyDescent="0.2">
      <c r="A2744" s="1067">
        <v>1</v>
      </c>
      <c r="B2744" s="1067" t="s">
        <v>68</v>
      </c>
      <c r="C2744" s="1067" t="s">
        <v>2892</v>
      </c>
      <c r="D2744" s="1067" t="s">
        <v>2892</v>
      </c>
      <c r="E2744" s="1068" t="s">
        <v>70</v>
      </c>
      <c r="F2744" s="1075"/>
      <c r="G2744" s="1069" t="str">
        <f t="array" ref="G2744">IF(B2744="insumo",_xlfn.XLOOKUP($D2744,Insumos!$B$1:$B$996,Insumos!$D$1:$D$996),"")</f>
        <v/>
      </c>
      <c r="H2744" s="1069">
        <v>75</v>
      </c>
      <c r="I2744" s="1070" t="e">
        <v>#REF!</v>
      </c>
      <c r="J2744" s="1070" t="e">
        <v>#REF!</v>
      </c>
      <c r="K2744" s="1070"/>
      <c r="L2744"/>
      <c r="M2744"/>
      <c r="N2744"/>
      <c r="O2744"/>
      <c r="P2744"/>
      <c r="Q2744"/>
      <c r="R2744"/>
      <c r="S2744"/>
      <c r="T2744"/>
      <c r="U2744"/>
      <c r="V2744"/>
      <c r="W2744"/>
      <c r="X2744"/>
      <c r="Y2744"/>
      <c r="Z2744"/>
      <c r="AA2744"/>
      <c r="AB2744"/>
      <c r="AC2744"/>
      <c r="AD2744"/>
      <c r="AE2744"/>
      <c r="AF2744"/>
      <c r="AG2744"/>
      <c r="AH2744"/>
      <c r="AI2744"/>
      <c r="AJ2744"/>
      <c r="AK2744"/>
      <c r="AL2744"/>
    </row>
    <row r="2745" spans="1:38" ht="15.75" customHeight="1" outlineLevel="3" x14ac:dyDescent="0.2">
      <c r="A2745" s="10">
        <v>1</v>
      </c>
      <c r="B2745" s="10" t="s">
        <v>71</v>
      </c>
      <c r="C2745" s="10" t="s">
        <v>2892</v>
      </c>
      <c r="D2745" s="10" t="s">
        <v>2892</v>
      </c>
      <c r="E2745" s="11" t="str">
        <f t="array" ref="E2745">_xlfn.XLOOKUP(D2745,Insumos!B:B,Insumos!C:$C)</f>
        <v>M2</v>
      </c>
      <c r="F2745" s="14">
        <v>1</v>
      </c>
      <c r="G2745" s="92">
        <f t="array" ref="G2745">IF(B2745="insumo",_xlfn.XLOOKUP($D2745,Insumos!$B$1:$B$996,Insumos!$D$1:$D$996),"")</f>
        <v>75</v>
      </c>
      <c r="H2745" s="92">
        <v>75</v>
      </c>
      <c r="I2745" s="13" t="e">
        <v>#REF!</v>
      </c>
      <c r="J2745" s="13" t="e">
        <v>#REF!</v>
      </c>
      <c r="K2745" s="13"/>
      <c r="L2745"/>
      <c r="M2745"/>
      <c r="N2745"/>
      <c r="O2745"/>
      <c r="P2745"/>
      <c r="Q2745"/>
      <c r="R2745"/>
      <c r="S2745"/>
      <c r="T2745"/>
      <c r="U2745"/>
      <c r="V2745"/>
      <c r="W2745"/>
      <c r="X2745"/>
      <c r="Y2745"/>
      <c r="Z2745"/>
      <c r="AA2745"/>
      <c r="AB2745"/>
      <c r="AC2745"/>
      <c r="AD2745"/>
      <c r="AE2745"/>
      <c r="AF2745"/>
      <c r="AG2745"/>
      <c r="AH2745"/>
      <c r="AI2745"/>
      <c r="AJ2745"/>
      <c r="AK2745"/>
      <c r="AL2745"/>
    </row>
    <row r="2746" spans="1:38" ht="15.75" customHeight="1" outlineLevel="2" x14ac:dyDescent="0.2">
      <c r="A2746" s="1067">
        <v>1</v>
      </c>
      <c r="B2746" s="1067" t="s">
        <v>68</v>
      </c>
      <c r="C2746" s="1067" t="s">
        <v>545</v>
      </c>
      <c r="D2746" s="1067" t="s">
        <v>545</v>
      </c>
      <c r="E2746" s="1068" t="s">
        <v>70</v>
      </c>
      <c r="F2746" s="1075"/>
      <c r="G2746" s="1069" t="str">
        <f t="array" ref="G2746">IF(B2746="insumo",_xlfn.XLOOKUP($D2746,Insumos!$B$1:$B$996,Insumos!$D$1:$D$996),"")</f>
        <v/>
      </c>
      <c r="H2746" s="1069">
        <v>75</v>
      </c>
      <c r="I2746" s="1070" t="e">
        <v>#REF!</v>
      </c>
      <c r="J2746" s="1070" t="e">
        <v>#REF!</v>
      </c>
      <c r="K2746" s="1070"/>
      <c r="L2746"/>
      <c r="M2746"/>
      <c r="N2746"/>
      <c r="O2746"/>
      <c r="P2746"/>
      <c r="Q2746"/>
      <c r="R2746"/>
      <c r="S2746"/>
      <c r="T2746"/>
      <c r="U2746"/>
      <c r="V2746"/>
      <c r="W2746"/>
      <c r="X2746"/>
      <c r="Y2746"/>
      <c r="Z2746"/>
      <c r="AA2746"/>
      <c r="AB2746"/>
      <c r="AC2746"/>
      <c r="AD2746"/>
      <c r="AE2746"/>
      <c r="AF2746"/>
      <c r="AG2746"/>
      <c r="AH2746"/>
      <c r="AI2746"/>
      <c r="AJ2746"/>
      <c r="AK2746"/>
      <c r="AL2746"/>
    </row>
    <row r="2747" spans="1:38" ht="15.75" customHeight="1" outlineLevel="3" x14ac:dyDescent="0.2">
      <c r="A2747" s="10">
        <v>1</v>
      </c>
      <c r="B2747" s="10" t="s">
        <v>71</v>
      </c>
      <c r="C2747" s="10" t="s">
        <v>545</v>
      </c>
      <c r="D2747" s="10" t="s">
        <v>545</v>
      </c>
      <c r="E2747" s="11" t="str">
        <f t="array" ref="E2747">_xlfn.XLOOKUP(D2747,Insumos!B:B,Insumos!C:$C)</f>
        <v>UN</v>
      </c>
      <c r="F2747" s="14">
        <v>1</v>
      </c>
      <c r="G2747" s="92">
        <f t="array" ref="G2747">IF(B2747="insumo",_xlfn.XLOOKUP($D2747,Insumos!$B$1:$B$996,Insumos!$D$1:$D$996),"")</f>
        <v>75</v>
      </c>
      <c r="H2747" s="92">
        <v>75</v>
      </c>
      <c r="I2747" s="13" t="e">
        <v>#REF!</v>
      </c>
      <c r="J2747" s="13" t="e">
        <v>#REF!</v>
      </c>
      <c r="K2747" s="13"/>
      <c r="L2747"/>
      <c r="M2747"/>
      <c r="N2747"/>
      <c r="O2747"/>
      <c r="P2747"/>
      <c r="Q2747"/>
      <c r="R2747"/>
      <c r="S2747"/>
      <c r="T2747"/>
      <c r="U2747"/>
      <c r="V2747"/>
      <c r="W2747"/>
      <c r="X2747"/>
      <c r="Y2747"/>
      <c r="Z2747"/>
      <c r="AA2747"/>
      <c r="AB2747"/>
      <c r="AC2747"/>
      <c r="AD2747"/>
      <c r="AE2747"/>
      <c r="AF2747"/>
      <c r="AG2747"/>
      <c r="AH2747"/>
      <c r="AI2747"/>
      <c r="AJ2747"/>
      <c r="AK2747"/>
      <c r="AL2747"/>
    </row>
    <row r="2748" spans="1:38" ht="15.75" customHeight="1" outlineLevel="2" x14ac:dyDescent="0.2">
      <c r="A2748" s="1067">
        <v>1</v>
      </c>
      <c r="B2748" s="1067" t="s">
        <v>68</v>
      </c>
      <c r="C2748" s="1067" t="s">
        <v>546</v>
      </c>
      <c r="D2748" s="1067" t="s">
        <v>546</v>
      </c>
      <c r="E2748" s="1068" t="s">
        <v>70</v>
      </c>
      <c r="F2748" s="1075"/>
      <c r="G2748" s="1069" t="str">
        <f t="array" ref="G2748">IF(B2748="insumo",_xlfn.XLOOKUP($D2748,Insumos!$B$1:$B$996,Insumos!$D$1:$D$996),"")</f>
        <v/>
      </c>
      <c r="H2748" s="1069">
        <v>75</v>
      </c>
      <c r="I2748" s="1070" t="e">
        <v>#REF!</v>
      </c>
      <c r="J2748" s="1070" t="e">
        <v>#REF!</v>
      </c>
      <c r="K2748" s="1070"/>
      <c r="L2748"/>
      <c r="M2748"/>
      <c r="N2748"/>
      <c r="O2748"/>
      <c r="P2748"/>
      <c r="Q2748"/>
      <c r="R2748"/>
      <c r="S2748"/>
      <c r="T2748"/>
      <c r="U2748"/>
      <c r="V2748"/>
      <c r="W2748"/>
      <c r="X2748"/>
      <c r="Y2748"/>
      <c r="Z2748"/>
      <c r="AA2748"/>
      <c r="AB2748"/>
      <c r="AC2748"/>
      <c r="AD2748"/>
      <c r="AE2748"/>
      <c r="AF2748"/>
      <c r="AG2748"/>
      <c r="AH2748"/>
      <c r="AI2748"/>
      <c r="AJ2748"/>
      <c r="AK2748"/>
      <c r="AL2748"/>
    </row>
    <row r="2749" spans="1:38" ht="15.75" customHeight="1" outlineLevel="3" x14ac:dyDescent="0.2">
      <c r="A2749" s="10">
        <v>1</v>
      </c>
      <c r="B2749" s="10" t="s">
        <v>71</v>
      </c>
      <c r="C2749" s="10" t="s">
        <v>546</v>
      </c>
      <c r="D2749" s="10" t="s">
        <v>546</v>
      </c>
      <c r="E2749" s="11" t="str">
        <f t="array" ref="E2749">_xlfn.XLOOKUP(D2749,Insumos!B:B,Insumos!C:$C)</f>
        <v>UN</v>
      </c>
      <c r="F2749" s="14">
        <v>1</v>
      </c>
      <c r="G2749" s="92">
        <f t="array" ref="G2749">IF(B2749="insumo",_xlfn.XLOOKUP($D2749,Insumos!$B$1:$B$996,Insumos!$D$1:$D$996),"")</f>
        <v>75</v>
      </c>
      <c r="H2749" s="92">
        <v>75</v>
      </c>
      <c r="I2749" s="13" t="e">
        <v>#REF!</v>
      </c>
      <c r="J2749" s="13" t="e">
        <v>#REF!</v>
      </c>
      <c r="K2749" s="13"/>
      <c r="L2749"/>
      <c r="M2749"/>
      <c r="N2749"/>
      <c r="O2749"/>
      <c r="P2749"/>
      <c r="Q2749"/>
      <c r="R2749"/>
      <c r="S2749"/>
      <c r="T2749"/>
      <c r="U2749"/>
      <c r="V2749"/>
      <c r="W2749"/>
      <c r="X2749"/>
      <c r="Y2749"/>
      <c r="Z2749"/>
      <c r="AA2749"/>
      <c r="AB2749"/>
      <c r="AC2749"/>
      <c r="AD2749"/>
      <c r="AE2749"/>
      <c r="AF2749"/>
      <c r="AG2749"/>
      <c r="AH2749"/>
      <c r="AI2749"/>
      <c r="AJ2749"/>
      <c r="AK2749"/>
      <c r="AL2749"/>
    </row>
    <row r="2750" spans="1:38" ht="15.75" customHeight="1" outlineLevel="2" x14ac:dyDescent="0.2">
      <c r="A2750" s="1067">
        <v>1</v>
      </c>
      <c r="B2750" s="1067" t="s">
        <v>68</v>
      </c>
      <c r="C2750" s="1067" t="s">
        <v>547</v>
      </c>
      <c r="D2750" s="1067" t="s">
        <v>547</v>
      </c>
      <c r="E2750" s="1068" t="s">
        <v>70</v>
      </c>
      <c r="F2750" s="1075"/>
      <c r="G2750" s="1069" t="str">
        <f t="array" ref="G2750">IF(B2750="insumo",_xlfn.XLOOKUP($D2750,Insumos!$B$1:$B$996,Insumos!$D$1:$D$996),"")</f>
        <v/>
      </c>
      <c r="H2750" s="1069">
        <v>50</v>
      </c>
      <c r="I2750" s="1070" t="e">
        <v>#REF!</v>
      </c>
      <c r="J2750" s="1070" t="e">
        <v>#REF!</v>
      </c>
      <c r="K2750" s="1070"/>
      <c r="L2750"/>
      <c r="M2750"/>
      <c r="N2750"/>
      <c r="O2750"/>
      <c r="P2750"/>
      <c r="Q2750"/>
      <c r="R2750"/>
      <c r="S2750"/>
      <c r="T2750"/>
      <c r="U2750"/>
      <c r="V2750"/>
      <c r="W2750"/>
      <c r="X2750"/>
      <c r="Y2750"/>
      <c r="Z2750"/>
      <c r="AA2750"/>
      <c r="AB2750"/>
      <c r="AC2750"/>
      <c r="AD2750"/>
      <c r="AE2750"/>
      <c r="AF2750"/>
      <c r="AG2750"/>
      <c r="AH2750"/>
      <c r="AI2750"/>
      <c r="AJ2750"/>
      <c r="AK2750"/>
      <c r="AL2750"/>
    </row>
    <row r="2751" spans="1:38" ht="15.75" customHeight="1" outlineLevel="3" x14ac:dyDescent="0.2">
      <c r="A2751" s="10">
        <v>1</v>
      </c>
      <c r="B2751" s="10" t="s">
        <v>71</v>
      </c>
      <c r="C2751" s="10" t="s">
        <v>547</v>
      </c>
      <c r="D2751" s="10" t="s">
        <v>547</v>
      </c>
      <c r="E2751" s="11" t="str">
        <f t="array" ref="E2751">_xlfn.XLOOKUP(D2751,Insumos!B:B,Insumos!C:$C)</f>
        <v>UN</v>
      </c>
      <c r="F2751" s="14">
        <v>1</v>
      </c>
      <c r="G2751" s="92">
        <f t="array" ref="G2751">IF(B2751="insumo",_xlfn.XLOOKUP($D2751,Insumos!$B$1:$B$996,Insumos!$D$1:$D$996),"")</f>
        <v>50</v>
      </c>
      <c r="H2751" s="92">
        <v>50</v>
      </c>
      <c r="I2751" s="13" t="e">
        <v>#REF!</v>
      </c>
      <c r="J2751" s="13" t="e">
        <v>#REF!</v>
      </c>
      <c r="K2751" s="13"/>
      <c r="L2751"/>
      <c r="M2751"/>
      <c r="N2751"/>
      <c r="O2751"/>
      <c r="P2751"/>
      <c r="Q2751"/>
      <c r="R2751"/>
      <c r="S2751"/>
      <c r="T2751"/>
      <c r="U2751"/>
      <c r="V2751"/>
      <c r="W2751"/>
      <c r="X2751"/>
      <c r="Y2751"/>
      <c r="Z2751"/>
      <c r="AA2751"/>
      <c r="AB2751"/>
      <c r="AC2751"/>
      <c r="AD2751"/>
      <c r="AE2751"/>
      <c r="AF2751"/>
      <c r="AG2751"/>
      <c r="AH2751"/>
      <c r="AI2751"/>
      <c r="AJ2751"/>
      <c r="AK2751"/>
      <c r="AL2751"/>
    </row>
    <row r="2752" spans="1:38" ht="15.75" customHeight="1" outlineLevel="2" x14ac:dyDescent="0.2">
      <c r="A2752" s="1067">
        <v>1</v>
      </c>
      <c r="B2752" s="1067" t="s">
        <v>68</v>
      </c>
      <c r="C2752" s="1067" t="s">
        <v>548</v>
      </c>
      <c r="D2752" s="1067" t="s">
        <v>548</v>
      </c>
      <c r="E2752" s="1068" t="s">
        <v>70</v>
      </c>
      <c r="F2752" s="1075"/>
      <c r="G2752" s="1069" t="str">
        <f t="array" ref="G2752">IF(B2752="insumo",_xlfn.XLOOKUP($D2752,Insumos!$B$1:$B$996,Insumos!$D$1:$D$996),"")</f>
        <v/>
      </c>
      <c r="H2752" s="1069">
        <v>50</v>
      </c>
      <c r="I2752" s="1070">
        <v>0</v>
      </c>
      <c r="J2752" s="1070">
        <v>0</v>
      </c>
      <c r="K2752" s="1070"/>
      <c r="L2752"/>
      <c r="M2752"/>
      <c r="N2752"/>
      <c r="O2752"/>
      <c r="P2752"/>
      <c r="Q2752"/>
      <c r="R2752"/>
      <c r="S2752"/>
      <c r="T2752"/>
      <c r="U2752"/>
      <c r="V2752"/>
      <c r="W2752"/>
      <c r="X2752"/>
      <c r="Y2752"/>
      <c r="Z2752"/>
      <c r="AA2752"/>
      <c r="AB2752"/>
      <c r="AC2752"/>
      <c r="AD2752"/>
      <c r="AE2752"/>
      <c r="AF2752"/>
      <c r="AG2752"/>
      <c r="AH2752"/>
      <c r="AI2752"/>
      <c r="AJ2752"/>
      <c r="AK2752"/>
      <c r="AL2752"/>
    </row>
    <row r="2753" spans="1:38" ht="15.75" customHeight="1" outlineLevel="3" x14ac:dyDescent="0.2">
      <c r="A2753" s="10">
        <v>1</v>
      </c>
      <c r="B2753" s="10" t="s">
        <v>71</v>
      </c>
      <c r="C2753" s="10" t="s">
        <v>548</v>
      </c>
      <c r="D2753" s="10" t="s">
        <v>548</v>
      </c>
      <c r="E2753" s="11" t="str">
        <f t="array" ref="E2753">_xlfn.XLOOKUP(D2753,Insumos!B:B,Insumos!C:$C)</f>
        <v>UN</v>
      </c>
      <c r="F2753" s="14">
        <v>1</v>
      </c>
      <c r="G2753" s="92">
        <f t="array" ref="G2753">IF(B2753="insumo",_xlfn.XLOOKUP($D2753,Insumos!$B$1:$B$996,Insumos!$D$1:$D$996),"")</f>
        <v>50</v>
      </c>
      <c r="H2753" s="92">
        <v>50</v>
      </c>
      <c r="I2753" s="13">
        <v>0</v>
      </c>
      <c r="J2753" s="13">
        <v>0</v>
      </c>
      <c r="K2753" s="13"/>
      <c r="L2753"/>
      <c r="M2753"/>
      <c r="N2753"/>
      <c r="O2753"/>
      <c r="P2753"/>
      <c r="Q2753"/>
      <c r="R2753"/>
      <c r="S2753"/>
      <c r="T2753"/>
      <c r="U2753"/>
      <c r="V2753"/>
      <c r="W2753"/>
      <c r="X2753"/>
      <c r="Y2753"/>
      <c r="Z2753"/>
      <c r="AA2753"/>
      <c r="AB2753"/>
      <c r="AC2753"/>
      <c r="AD2753"/>
      <c r="AE2753"/>
      <c r="AF2753"/>
      <c r="AG2753"/>
      <c r="AH2753"/>
      <c r="AI2753"/>
      <c r="AJ2753"/>
      <c r="AK2753"/>
      <c r="AL2753"/>
    </row>
    <row r="2754" spans="1:38" ht="15.75" customHeight="1" x14ac:dyDescent="0.2">
      <c r="A2754" s="7">
        <v>1</v>
      </c>
      <c r="B2754" s="7" t="s">
        <v>66</v>
      </c>
      <c r="C2754" s="7" t="s">
        <v>548</v>
      </c>
      <c r="D2754" s="7" t="s">
        <v>553</v>
      </c>
      <c r="E2754" s="8"/>
      <c r="F2754" s="9"/>
      <c r="G2754" s="91" t="str">
        <f t="array" ref="G2754">IF(B2754="insumo",_xlfn.XLOOKUP($D2754,Insumos!$B$1:$B$996,Insumos!$D$1:$D$996),"")</f>
        <v/>
      </c>
      <c r="H2754" s="91">
        <v>0</v>
      </c>
      <c r="I2754" s="9">
        <v>0</v>
      </c>
      <c r="J2754" s="9">
        <v>0</v>
      </c>
      <c r="K2754" s="9"/>
      <c r="L2754"/>
      <c r="M2754"/>
      <c r="N2754"/>
      <c r="O2754"/>
      <c r="P2754"/>
      <c r="Q2754"/>
      <c r="R2754"/>
      <c r="S2754"/>
      <c r="T2754"/>
      <c r="U2754"/>
      <c r="V2754"/>
      <c r="W2754"/>
      <c r="X2754"/>
      <c r="Y2754"/>
      <c r="Z2754"/>
      <c r="AA2754"/>
      <c r="AB2754"/>
      <c r="AC2754"/>
      <c r="AD2754"/>
      <c r="AE2754"/>
      <c r="AF2754"/>
      <c r="AG2754"/>
      <c r="AH2754"/>
      <c r="AI2754"/>
      <c r="AJ2754"/>
      <c r="AK2754"/>
      <c r="AL2754"/>
    </row>
    <row r="2755" spans="1:38" ht="15.75" customHeight="1" outlineLevel="1" x14ac:dyDescent="0.2">
      <c r="A2755" s="1090">
        <v>1</v>
      </c>
      <c r="B2755" s="1090" t="s">
        <v>1228</v>
      </c>
      <c r="C2755" s="1090" t="s">
        <v>548</v>
      </c>
      <c r="D2755" s="1090" t="s">
        <v>1438</v>
      </c>
      <c r="E2755" s="1091"/>
      <c r="F2755" s="1092"/>
      <c r="G2755" s="1091"/>
      <c r="H2755" s="1091">
        <v>0</v>
      </c>
      <c r="I2755" s="1092">
        <v>0</v>
      </c>
      <c r="J2755" s="1092">
        <v>0</v>
      </c>
      <c r="K2755" s="1092"/>
      <c r="L2755"/>
      <c r="M2755"/>
      <c r="N2755"/>
      <c r="O2755"/>
      <c r="P2755"/>
      <c r="Q2755"/>
      <c r="R2755"/>
      <c r="S2755"/>
      <c r="T2755"/>
      <c r="U2755"/>
      <c r="V2755"/>
      <c r="W2755"/>
      <c r="X2755"/>
      <c r="Y2755"/>
      <c r="Z2755"/>
      <c r="AA2755"/>
      <c r="AB2755"/>
      <c r="AC2755"/>
      <c r="AD2755"/>
      <c r="AE2755"/>
      <c r="AF2755"/>
      <c r="AG2755"/>
      <c r="AH2755"/>
      <c r="AI2755"/>
      <c r="AJ2755"/>
      <c r="AK2755"/>
      <c r="AL2755"/>
    </row>
    <row r="2756" spans="1:38" ht="15.75" customHeight="1" outlineLevel="2" x14ac:dyDescent="0.2">
      <c r="A2756" s="1067">
        <v>1</v>
      </c>
      <c r="B2756" s="1067" t="s">
        <v>68</v>
      </c>
      <c r="C2756" s="1067" t="s">
        <v>554</v>
      </c>
      <c r="D2756" s="1067" t="s">
        <v>554</v>
      </c>
      <c r="E2756" s="1068" t="s">
        <v>70</v>
      </c>
      <c r="F2756" s="1067"/>
      <c r="G2756" s="1069" t="str">
        <f t="array" ref="G2756">IF(B2756="insumo",_xlfn.XLOOKUP($D2756,Insumos!$B$1:$B$996,Insumos!$D$1:$D$996),"")</f>
        <v/>
      </c>
      <c r="H2756" s="1069">
        <v>3.1560233333333301</v>
      </c>
      <c r="I2756" s="1070">
        <v>0</v>
      </c>
      <c r="J2756" s="1070">
        <v>0</v>
      </c>
      <c r="K2756" s="1070"/>
      <c r="L2756"/>
      <c r="M2756"/>
      <c r="N2756"/>
      <c r="O2756"/>
      <c r="P2756"/>
      <c r="Q2756"/>
      <c r="R2756"/>
      <c r="S2756"/>
      <c r="T2756"/>
      <c r="U2756"/>
      <c r="V2756"/>
      <c r="W2756"/>
      <c r="X2756"/>
      <c r="Y2756"/>
      <c r="Z2756"/>
      <c r="AA2756"/>
      <c r="AB2756"/>
      <c r="AC2756"/>
      <c r="AD2756"/>
      <c r="AE2756"/>
      <c r="AF2756"/>
      <c r="AG2756"/>
      <c r="AH2756"/>
      <c r="AI2756"/>
      <c r="AJ2756"/>
      <c r="AK2756"/>
      <c r="AL2756"/>
    </row>
    <row r="2757" spans="1:38" ht="15.75" customHeight="1" outlineLevel="3" x14ac:dyDescent="0.2">
      <c r="A2757" s="10">
        <v>32</v>
      </c>
      <c r="B2757" s="10" t="s">
        <v>71</v>
      </c>
      <c r="C2757" s="10" t="s">
        <v>554</v>
      </c>
      <c r="D2757" s="10" t="s">
        <v>445</v>
      </c>
      <c r="E2757" s="11" t="str">
        <f t="array" ref="E2757">_xlfn.XLOOKUP(D2757,Insumos!B:B,Insumos!C:$C)</f>
        <v>M3</v>
      </c>
      <c r="F2757" s="14">
        <v>5.5000000000000005E-3</v>
      </c>
      <c r="G2757" s="92">
        <f t="array" ref="G2757">IF(B2757="insumo",_xlfn.XLOOKUP($D2757,Insumos!$B$1:$B$996,Insumos!$D$1:$D$996),"")</f>
        <v>550</v>
      </c>
      <c r="H2757" s="92">
        <v>3.0249999999999999</v>
      </c>
      <c r="I2757" s="13">
        <v>0</v>
      </c>
      <c r="J2757" s="13">
        <v>0</v>
      </c>
      <c r="K2757" s="13"/>
      <c r="L2757"/>
      <c r="M2757"/>
      <c r="N2757"/>
      <c r="O2757"/>
      <c r="P2757"/>
      <c r="Q2757"/>
      <c r="R2757"/>
      <c r="S2757"/>
      <c r="T2757"/>
      <c r="U2757"/>
      <c r="V2757"/>
      <c r="W2757"/>
      <c r="X2757"/>
      <c r="Y2757"/>
      <c r="Z2757"/>
      <c r="AA2757"/>
      <c r="AB2757"/>
      <c r="AC2757"/>
      <c r="AD2757"/>
      <c r="AE2757"/>
      <c r="AF2757"/>
      <c r="AG2757"/>
      <c r="AH2757"/>
      <c r="AI2757"/>
      <c r="AJ2757"/>
      <c r="AK2757"/>
      <c r="AL2757"/>
    </row>
    <row r="2758" spans="1:38" ht="15.75" customHeight="1" outlineLevel="3" x14ac:dyDescent="0.2">
      <c r="A2758" s="10">
        <v>41</v>
      </c>
      <c r="B2758" s="10" t="s">
        <v>71</v>
      </c>
      <c r="C2758" s="10" t="s">
        <v>554</v>
      </c>
      <c r="D2758" s="10" t="s">
        <v>503</v>
      </c>
      <c r="E2758" s="11" t="str">
        <f t="array" ref="E2758">_xlfn.XLOOKUP(D2758,Insumos!B:B,Insumos!C:$C)</f>
        <v>L</v>
      </c>
      <c r="F2758" s="14">
        <v>3.5000000000000005E-3</v>
      </c>
      <c r="G2758" s="92">
        <f t="array" ref="G2758">IF(B2758="insumo",_xlfn.XLOOKUP($D2758,Insumos!$B$1:$B$996,Insumos!$D$1:$D$996),"")</f>
        <v>19.34</v>
      </c>
      <c r="H2758" s="92">
        <v>6.769E-2</v>
      </c>
      <c r="I2758" s="13">
        <v>0</v>
      </c>
      <c r="J2758" s="13">
        <v>0</v>
      </c>
      <c r="K2758" s="13"/>
      <c r="L2758"/>
      <c r="M2758"/>
      <c r="N2758"/>
      <c r="O2758"/>
      <c r="P2758"/>
      <c r="Q2758"/>
      <c r="R2758"/>
      <c r="S2758"/>
      <c r="T2758"/>
      <c r="U2758"/>
      <c r="V2758"/>
      <c r="W2758"/>
      <c r="X2758"/>
      <c r="Y2758"/>
      <c r="Z2758"/>
      <c r="AA2758"/>
      <c r="AB2758"/>
      <c r="AC2758"/>
      <c r="AD2758"/>
      <c r="AE2758"/>
      <c r="AF2758"/>
      <c r="AG2758"/>
      <c r="AH2758"/>
      <c r="AI2758"/>
      <c r="AJ2758"/>
      <c r="AK2758"/>
      <c r="AL2758"/>
    </row>
    <row r="2759" spans="1:38" ht="15.75" customHeight="1" outlineLevel="3" x14ac:dyDescent="0.2">
      <c r="A2759" s="10">
        <v>62</v>
      </c>
      <c r="B2759" s="10" t="s">
        <v>71</v>
      </c>
      <c r="C2759" s="10" t="s">
        <v>554</v>
      </c>
      <c r="D2759" s="10" t="s">
        <v>160</v>
      </c>
      <c r="E2759" s="11" t="str">
        <f t="array" ref="E2759">_xlfn.XLOOKUP(D2759,Insumos!B:B,Insumos!C:$C)</f>
        <v>KG</v>
      </c>
      <c r="F2759" s="14">
        <v>8.3333333333333343E-2</v>
      </c>
      <c r="G2759" s="92">
        <f t="array" ref="G2759">IF(B2759="insumo",_xlfn.XLOOKUP($D2759,Insumos!$B$1:$B$996,Insumos!$D$1:$D$996),"")</f>
        <v>0.76</v>
      </c>
      <c r="H2759" s="92">
        <v>6.3333333333333297E-2</v>
      </c>
      <c r="I2759" s="13">
        <v>0</v>
      </c>
      <c r="J2759" s="13">
        <v>0</v>
      </c>
      <c r="K2759" s="13"/>
      <c r="L2759"/>
      <c r="M2759"/>
      <c r="N2759"/>
      <c r="O2759"/>
      <c r="P2759"/>
      <c r="Q2759"/>
      <c r="R2759"/>
      <c r="S2759"/>
      <c r="T2759"/>
      <c r="U2759"/>
      <c r="V2759"/>
      <c r="W2759"/>
      <c r="X2759"/>
      <c r="Y2759"/>
      <c r="Z2759"/>
      <c r="AA2759"/>
      <c r="AB2759"/>
      <c r="AC2759"/>
      <c r="AD2759"/>
      <c r="AE2759"/>
      <c r="AF2759"/>
      <c r="AG2759"/>
      <c r="AH2759"/>
      <c r="AI2759"/>
      <c r="AJ2759"/>
      <c r="AK2759"/>
      <c r="AL2759"/>
    </row>
    <row r="2760" spans="1:38" ht="15.75" customHeight="1" outlineLevel="2" x14ac:dyDescent="0.2">
      <c r="A2760" s="1067">
        <v>1</v>
      </c>
      <c r="B2760" s="1067" t="s">
        <v>68</v>
      </c>
      <c r="C2760" s="1067" t="s">
        <v>555</v>
      </c>
      <c r="D2760" s="1067" t="s">
        <v>555</v>
      </c>
      <c r="E2760" s="1068" t="s">
        <v>70</v>
      </c>
      <c r="F2760" s="1067"/>
      <c r="G2760" s="1069" t="str">
        <f t="array" ref="G2760">IF(B2760="insumo",_xlfn.XLOOKUP($D2760,Insumos!$B$1:$B$996,Insumos!$D$1:$D$996),"")</f>
        <v/>
      </c>
      <c r="H2760" s="1069">
        <v>5.1029166666666699</v>
      </c>
      <c r="I2760" s="1070" t="e">
        <v>#REF!</v>
      </c>
      <c r="J2760" s="1070" t="e">
        <v>#REF!</v>
      </c>
      <c r="K2760" s="1070"/>
      <c r="L2760"/>
      <c r="M2760"/>
      <c r="N2760"/>
      <c r="O2760"/>
      <c r="P2760"/>
      <c r="Q2760"/>
      <c r="R2760"/>
      <c r="S2760"/>
      <c r="T2760"/>
      <c r="U2760"/>
      <c r="V2760"/>
      <c r="W2760"/>
      <c r="X2760"/>
      <c r="Y2760"/>
      <c r="Z2760"/>
      <c r="AA2760"/>
      <c r="AB2760"/>
      <c r="AC2760"/>
      <c r="AD2760"/>
      <c r="AE2760"/>
      <c r="AF2760"/>
      <c r="AG2760"/>
      <c r="AH2760"/>
      <c r="AI2760"/>
      <c r="AJ2760"/>
      <c r="AK2760"/>
      <c r="AL2760"/>
    </row>
    <row r="2761" spans="1:38" ht="15.75" customHeight="1" outlineLevel="3" x14ac:dyDescent="0.2">
      <c r="A2761" s="10">
        <v>62</v>
      </c>
      <c r="B2761" s="10" t="s">
        <v>71</v>
      </c>
      <c r="C2761" s="10" t="s">
        <v>555</v>
      </c>
      <c r="D2761" s="10" t="s">
        <v>160</v>
      </c>
      <c r="E2761" s="11" t="str">
        <f t="array" ref="E2761">_xlfn.XLOOKUP(D2761,Insumos!B:B,Insumos!C:$C)</f>
        <v>KG</v>
      </c>
      <c r="F2761" s="14">
        <v>0.6</v>
      </c>
      <c r="G2761" s="92">
        <f t="array" ref="G2761">IF(B2761="insumo",_xlfn.XLOOKUP($D2761,Insumos!$B$1:$B$996,Insumos!$D$1:$D$996),"")</f>
        <v>0.76</v>
      </c>
      <c r="H2761" s="92">
        <v>0.45600000000000002</v>
      </c>
      <c r="I2761" s="13" t="e">
        <v>#REF!</v>
      </c>
      <c r="J2761" s="13" t="e">
        <v>#REF!</v>
      </c>
      <c r="K2761" s="13"/>
      <c r="L2761"/>
      <c r="M2761"/>
      <c r="N2761"/>
      <c r="O2761"/>
      <c r="P2761"/>
      <c r="Q2761"/>
      <c r="R2761"/>
      <c r="S2761"/>
      <c r="T2761"/>
      <c r="U2761"/>
      <c r="V2761"/>
      <c r="W2761"/>
      <c r="X2761"/>
      <c r="Y2761"/>
      <c r="Z2761"/>
      <c r="AA2761"/>
      <c r="AB2761"/>
      <c r="AC2761"/>
      <c r="AD2761"/>
      <c r="AE2761"/>
      <c r="AF2761"/>
      <c r="AG2761"/>
      <c r="AH2761"/>
      <c r="AI2761"/>
      <c r="AJ2761"/>
      <c r="AK2761"/>
      <c r="AL2761"/>
    </row>
    <row r="2762" spans="1:38" ht="15.75" customHeight="1" outlineLevel="3" x14ac:dyDescent="0.2">
      <c r="A2762" s="10">
        <v>2</v>
      </c>
      <c r="B2762" s="10" t="s">
        <v>71</v>
      </c>
      <c r="C2762" s="10" t="s">
        <v>555</v>
      </c>
      <c r="D2762" s="10" t="s">
        <v>499</v>
      </c>
      <c r="E2762" s="11" t="str">
        <f t="array" ref="E2762">_xlfn.XLOOKUP(D2762,Insumos!B:B,Insumos!C:$C)</f>
        <v>UN</v>
      </c>
      <c r="F2762" s="14">
        <v>0.05</v>
      </c>
      <c r="G2762" s="92">
        <f t="array" ref="G2762">IF(B2762="insumo",_xlfn.XLOOKUP($D2762,Insumos!$B$1:$B$996,Insumos!$D$1:$D$996),"")</f>
        <v>3.13</v>
      </c>
      <c r="H2762" s="92">
        <v>0.1565</v>
      </c>
      <c r="I2762" s="13" t="e">
        <v>#REF!</v>
      </c>
      <c r="J2762" s="13" t="e">
        <v>#REF!</v>
      </c>
      <c r="K2762" s="13"/>
      <c r="L2762"/>
      <c r="M2762"/>
      <c r="N2762"/>
      <c r="O2762"/>
      <c r="P2762"/>
      <c r="Q2762"/>
      <c r="R2762"/>
      <c r="S2762"/>
      <c r="T2762"/>
      <c r="U2762"/>
      <c r="V2762"/>
      <c r="W2762"/>
      <c r="X2762"/>
      <c r="Y2762"/>
      <c r="Z2762"/>
      <c r="AA2762"/>
      <c r="AB2762"/>
      <c r="AC2762"/>
      <c r="AD2762"/>
      <c r="AE2762"/>
      <c r="AF2762"/>
      <c r="AG2762"/>
      <c r="AH2762"/>
      <c r="AI2762"/>
      <c r="AJ2762"/>
      <c r="AK2762"/>
      <c r="AL2762"/>
    </row>
    <row r="2763" spans="1:38" ht="15.75" customHeight="1" outlineLevel="3" x14ac:dyDescent="0.2">
      <c r="A2763" s="10">
        <v>2</v>
      </c>
      <c r="B2763" s="10" t="s">
        <v>71</v>
      </c>
      <c r="C2763" s="10" t="s">
        <v>555</v>
      </c>
      <c r="D2763" s="10" t="s">
        <v>500</v>
      </c>
      <c r="E2763" s="11" t="str">
        <f t="array" ref="E2763">_xlfn.XLOOKUP(D2763,Insumos!B:B,Insumos!C:$C)</f>
        <v>KG</v>
      </c>
      <c r="F2763" s="14">
        <v>0.3</v>
      </c>
      <c r="G2763" s="92">
        <f t="array" ref="G2763">IF(B2763="insumo",_xlfn.XLOOKUP($D2763,Insumos!$B$1:$B$996,Insumos!$D$1:$D$996),"")</f>
        <v>3.49</v>
      </c>
      <c r="H2763" s="92">
        <v>1.0469999999999999</v>
      </c>
      <c r="I2763" s="13" t="e">
        <v>#REF!</v>
      </c>
      <c r="J2763" s="13" t="e">
        <v>#REF!</v>
      </c>
      <c r="K2763" s="13"/>
      <c r="L2763"/>
      <c r="M2763"/>
      <c r="N2763"/>
      <c r="O2763"/>
      <c r="P2763"/>
      <c r="Q2763"/>
      <c r="R2763"/>
      <c r="S2763"/>
      <c r="T2763"/>
      <c r="U2763"/>
      <c r="V2763"/>
      <c r="W2763"/>
      <c r="X2763"/>
      <c r="Y2763"/>
      <c r="Z2763"/>
      <c r="AA2763"/>
      <c r="AB2763"/>
      <c r="AC2763"/>
      <c r="AD2763"/>
      <c r="AE2763"/>
      <c r="AF2763"/>
      <c r="AG2763"/>
      <c r="AH2763"/>
      <c r="AI2763"/>
      <c r="AJ2763"/>
      <c r="AK2763"/>
      <c r="AL2763"/>
    </row>
    <row r="2764" spans="1:38" ht="15.75" customHeight="1" outlineLevel="3" x14ac:dyDescent="0.2">
      <c r="A2764" s="10">
        <v>2</v>
      </c>
      <c r="B2764" s="10" t="s">
        <v>71</v>
      </c>
      <c r="C2764" s="10" t="s">
        <v>555</v>
      </c>
      <c r="D2764" s="10" t="s">
        <v>501</v>
      </c>
      <c r="E2764" s="11" t="str">
        <f t="array" ref="E2764">_xlfn.XLOOKUP(D2764,Insumos!B:B,Insumos!C:$C)</f>
        <v>KG</v>
      </c>
      <c r="F2764" s="14">
        <v>0.15</v>
      </c>
      <c r="G2764" s="92">
        <f t="array" ref="G2764">IF(B2764="insumo",_xlfn.XLOOKUP($D2764,Insumos!$B$1:$B$996,Insumos!$D$1:$D$996),"")</f>
        <v>22.95611111111111</v>
      </c>
      <c r="H2764" s="92">
        <v>3.4434166666666699</v>
      </c>
      <c r="I2764" s="13" t="e">
        <v>#REF!</v>
      </c>
      <c r="J2764" s="13" t="e">
        <v>#REF!</v>
      </c>
      <c r="K2764" s="13"/>
      <c r="L2764"/>
      <c r="M2764"/>
      <c r="N2764"/>
      <c r="O2764"/>
      <c r="P2764"/>
      <c r="Q2764"/>
      <c r="R2764"/>
      <c r="S2764"/>
      <c r="T2764"/>
      <c r="U2764"/>
      <c r="V2764"/>
      <c r="W2764"/>
      <c r="X2764"/>
      <c r="Y2764"/>
      <c r="Z2764"/>
      <c r="AA2764"/>
      <c r="AB2764"/>
      <c r="AC2764"/>
      <c r="AD2764"/>
      <c r="AE2764"/>
      <c r="AF2764"/>
      <c r="AG2764"/>
      <c r="AH2764"/>
      <c r="AI2764"/>
      <c r="AJ2764"/>
      <c r="AK2764"/>
      <c r="AL2764"/>
    </row>
    <row r="2765" spans="1:38" ht="12.75" outlineLevel="2" x14ac:dyDescent="0.2">
      <c r="A2765" s="1071">
        <v>1</v>
      </c>
      <c r="B2765" s="1071" t="s">
        <v>68</v>
      </c>
      <c r="C2765" s="1071" t="s">
        <v>1854</v>
      </c>
      <c r="D2765" s="1071" t="s">
        <v>1854</v>
      </c>
      <c r="E2765" s="1072" t="s">
        <v>70</v>
      </c>
      <c r="F2765" s="1071"/>
      <c r="G2765" s="1073" t="str">
        <f t="array" ref="G2765">IF(B2765="insumo",_xlfn.XLOOKUP($D2765,Insumos!$B$1:$B$996,Insumos!$D$1:$D$996),"")</f>
        <v/>
      </c>
      <c r="H2765" s="1073">
        <v>10.11778</v>
      </c>
      <c r="I2765" s="1074" t="e">
        <v>#REF!</v>
      </c>
      <c r="J2765" s="1074" t="e">
        <v>#REF!</v>
      </c>
      <c r="K2765" s="1074"/>
      <c r="L2765"/>
      <c r="M2765"/>
      <c r="N2765"/>
      <c r="O2765"/>
      <c r="P2765"/>
      <c r="Q2765"/>
      <c r="R2765"/>
      <c r="S2765"/>
      <c r="T2765"/>
      <c r="U2765"/>
      <c r="V2765"/>
      <c r="W2765"/>
      <c r="X2765"/>
      <c r="Y2765"/>
      <c r="Z2765"/>
      <c r="AA2765"/>
      <c r="AB2765"/>
      <c r="AC2765"/>
      <c r="AD2765"/>
      <c r="AE2765"/>
      <c r="AF2765"/>
      <c r="AG2765"/>
      <c r="AH2765"/>
      <c r="AI2765"/>
      <c r="AJ2765"/>
      <c r="AK2765"/>
      <c r="AL2765"/>
    </row>
    <row r="2766" spans="1:38" ht="12.75" outlineLevel="3" x14ac:dyDescent="0.2">
      <c r="A2766" s="82">
        <v>191</v>
      </c>
      <c r="B2766" s="82" t="s">
        <v>71</v>
      </c>
      <c r="C2766" s="82" t="s">
        <v>1854</v>
      </c>
      <c r="D2766" s="82" t="s">
        <v>481</v>
      </c>
      <c r="E2766" s="11" t="str">
        <f t="array" ref="E2766">_xlfn.XLOOKUP(D2766,Insumos!B:B,Insumos!C:$C)</f>
        <v>KG</v>
      </c>
      <c r="F2766" s="86">
        <v>6.34</v>
      </c>
      <c r="G2766" s="92">
        <f t="array" ref="G2766">IF(B2766="insumo",_xlfn.XLOOKUP($D2766,Insumos!$B$1:$B$996,Insumos!$D$1:$D$996),"")</f>
        <v>1.0645</v>
      </c>
      <c r="H2766" s="92">
        <v>6.7489299999999997</v>
      </c>
      <c r="I2766" s="84" t="e">
        <v>#REF!</v>
      </c>
      <c r="J2766" s="84" t="e">
        <v>#REF!</v>
      </c>
      <c r="K2766" s="84"/>
      <c r="L2766"/>
      <c r="M2766"/>
      <c r="N2766"/>
      <c r="O2766"/>
      <c r="P2766"/>
      <c r="Q2766"/>
      <c r="R2766"/>
      <c r="S2766"/>
      <c r="T2766"/>
      <c r="U2766"/>
      <c r="V2766"/>
      <c r="W2766"/>
      <c r="X2766"/>
      <c r="Y2766"/>
      <c r="Z2766"/>
      <c r="AA2766"/>
      <c r="AB2766"/>
      <c r="AC2766"/>
      <c r="AD2766"/>
      <c r="AE2766"/>
      <c r="AF2766"/>
      <c r="AG2766"/>
      <c r="AH2766"/>
      <c r="AI2766"/>
      <c r="AJ2766"/>
      <c r="AK2766"/>
      <c r="AL2766"/>
    </row>
    <row r="2767" spans="1:38" ht="12.75" outlineLevel="3" x14ac:dyDescent="0.2">
      <c r="A2767" s="82">
        <v>4</v>
      </c>
      <c r="B2767" s="82" t="s">
        <v>71</v>
      </c>
      <c r="C2767" s="82" t="s">
        <v>1854</v>
      </c>
      <c r="D2767" s="82" t="s">
        <v>483</v>
      </c>
      <c r="E2767" s="11" t="str">
        <f t="array" ref="E2767">_xlfn.XLOOKUP(D2767,Insumos!B:B,Insumos!C:$C)</f>
        <v>KG</v>
      </c>
      <c r="F2767" s="86">
        <v>0.3</v>
      </c>
      <c r="G2767" s="92">
        <f t="array" ref="G2767">IF(B2767="insumo",_xlfn.XLOOKUP($D2767,Insumos!$B$1:$B$996,Insumos!$D$1:$D$996),"")</f>
        <v>11.2295</v>
      </c>
      <c r="H2767" s="92">
        <v>3.3688500000000001</v>
      </c>
      <c r="I2767" s="84" t="e">
        <v>#REF!</v>
      </c>
      <c r="J2767" s="84" t="e">
        <v>#REF!</v>
      </c>
      <c r="K2767" s="84"/>
      <c r="L2767"/>
      <c r="M2767"/>
      <c r="N2767"/>
      <c r="O2767"/>
      <c r="P2767"/>
      <c r="Q2767"/>
      <c r="R2767"/>
      <c r="S2767"/>
      <c r="T2767"/>
      <c r="U2767"/>
      <c r="V2767"/>
      <c r="W2767"/>
      <c r="X2767"/>
      <c r="Y2767"/>
      <c r="Z2767"/>
      <c r="AA2767"/>
      <c r="AB2767"/>
      <c r="AC2767"/>
      <c r="AD2767"/>
      <c r="AE2767"/>
      <c r="AF2767"/>
      <c r="AG2767"/>
      <c r="AH2767"/>
      <c r="AI2767"/>
      <c r="AJ2767"/>
      <c r="AK2767"/>
      <c r="AL2767"/>
    </row>
    <row r="2768" spans="1:38" ht="15.75" customHeight="1" outlineLevel="2" x14ac:dyDescent="0.2">
      <c r="A2768" s="1067">
        <v>1</v>
      </c>
      <c r="B2768" s="1067" t="s">
        <v>68</v>
      </c>
      <c r="C2768" s="1067" t="s">
        <v>1442</v>
      </c>
      <c r="D2768" s="1067" t="s">
        <v>1442</v>
      </c>
      <c r="E2768" s="1068" t="s">
        <v>70</v>
      </c>
      <c r="F2768" s="1067"/>
      <c r="G2768" s="1069" t="str">
        <f t="array" ref="G2768">IF(B2768="insumo",_xlfn.XLOOKUP($D2768,Insumos!$B$1:$B$996,Insumos!$D$1:$D$996),"")</f>
        <v/>
      </c>
      <c r="H2768" s="1069">
        <v>10.893750000000001</v>
      </c>
      <c r="I2768" s="1070" t="e">
        <v>#REF!</v>
      </c>
      <c r="J2768" s="1070" t="e">
        <v>#REF!</v>
      </c>
      <c r="K2768" s="1070"/>
      <c r="L2768"/>
      <c r="M2768"/>
      <c r="N2768"/>
      <c r="O2768"/>
      <c r="P2768"/>
      <c r="Q2768"/>
      <c r="R2768"/>
      <c r="S2768"/>
      <c r="T2768"/>
      <c r="U2768"/>
      <c r="V2768"/>
      <c r="W2768"/>
      <c r="X2768"/>
      <c r="Y2768"/>
      <c r="Z2768"/>
      <c r="AA2768"/>
      <c r="AB2768"/>
      <c r="AC2768"/>
      <c r="AD2768"/>
      <c r="AE2768"/>
      <c r="AF2768"/>
      <c r="AG2768"/>
      <c r="AH2768"/>
      <c r="AI2768"/>
      <c r="AJ2768"/>
      <c r="AK2768"/>
      <c r="AL2768"/>
    </row>
    <row r="2769" spans="1:38" ht="15.75" customHeight="1" outlineLevel="3" x14ac:dyDescent="0.2">
      <c r="A2769" s="10">
        <v>7</v>
      </c>
      <c r="B2769" s="10" t="s">
        <v>71</v>
      </c>
      <c r="C2769" s="10" t="s">
        <v>1442</v>
      </c>
      <c r="D2769" s="10" t="s">
        <v>496</v>
      </c>
      <c r="E2769" s="11" t="str">
        <f t="array" ref="E2769">_xlfn.XLOOKUP(D2769,Insumos!B:B,Insumos!C:$C)</f>
        <v>M3</v>
      </c>
      <c r="F2769" s="14">
        <v>2.6250000000000002E-2</v>
      </c>
      <c r="G2769" s="92">
        <f t="array" ref="G2769">IF(B2769="insumo",_xlfn.XLOOKUP($D2769,Insumos!$B$1:$B$996,Insumos!$D$1:$D$996),"")</f>
        <v>415</v>
      </c>
      <c r="H2769" s="92">
        <v>10.893750000000001</v>
      </c>
      <c r="I2769" s="13" t="e">
        <v>#REF!</v>
      </c>
      <c r="J2769" s="13" t="e">
        <v>#REF!</v>
      </c>
      <c r="K2769" s="13"/>
      <c r="L2769"/>
      <c r="M2769"/>
      <c r="N2769"/>
      <c r="O2769"/>
      <c r="P2769"/>
      <c r="Q2769"/>
      <c r="R2769"/>
      <c r="S2769"/>
      <c r="T2769"/>
      <c r="U2769"/>
      <c r="V2769"/>
      <c r="W2769"/>
      <c r="X2769"/>
      <c r="Y2769"/>
      <c r="Z2769"/>
      <c r="AA2769"/>
      <c r="AB2769"/>
      <c r="AC2769"/>
      <c r="AD2769"/>
      <c r="AE2769"/>
      <c r="AF2769"/>
      <c r="AG2769"/>
      <c r="AH2769"/>
      <c r="AI2769"/>
      <c r="AJ2769"/>
      <c r="AK2769"/>
      <c r="AL2769"/>
    </row>
    <row r="2770" spans="1:38" ht="15.75" customHeight="1" outlineLevel="2" x14ac:dyDescent="0.2">
      <c r="A2770" s="1067">
        <v>1</v>
      </c>
      <c r="B2770" s="1067" t="s">
        <v>68</v>
      </c>
      <c r="C2770" s="1067" t="s">
        <v>1681</v>
      </c>
      <c r="D2770" s="1067" t="s">
        <v>1681</v>
      </c>
      <c r="E2770" s="1068" t="s">
        <v>70</v>
      </c>
      <c r="F2770" s="1067"/>
      <c r="G2770" s="1069" t="str">
        <f t="array" ref="G2770">IF(B2770="insumo",_xlfn.XLOOKUP($D2770,Insumos!$B$1:$B$996,Insumos!$D$1:$D$996),"")</f>
        <v/>
      </c>
      <c r="H2770" s="1069">
        <v>19</v>
      </c>
      <c r="I2770" s="1070">
        <v>0</v>
      </c>
      <c r="J2770" s="1070">
        <v>0</v>
      </c>
      <c r="K2770" s="1070"/>
      <c r="L2770"/>
      <c r="M2770"/>
      <c r="N2770"/>
      <c r="O2770"/>
      <c r="P2770"/>
      <c r="Q2770"/>
      <c r="R2770"/>
      <c r="S2770"/>
      <c r="T2770"/>
      <c r="U2770"/>
      <c r="V2770"/>
      <c r="W2770"/>
      <c r="X2770"/>
      <c r="Y2770"/>
      <c r="Z2770"/>
      <c r="AA2770"/>
      <c r="AB2770"/>
      <c r="AC2770"/>
      <c r="AD2770"/>
      <c r="AE2770"/>
      <c r="AF2770"/>
      <c r="AG2770"/>
      <c r="AH2770"/>
      <c r="AI2770"/>
      <c r="AJ2770"/>
      <c r="AK2770"/>
      <c r="AL2770"/>
    </row>
    <row r="2771" spans="1:38" ht="15.75" customHeight="1" outlineLevel="3" x14ac:dyDescent="0.2">
      <c r="A2771" s="10">
        <v>3</v>
      </c>
      <c r="B2771" s="10" t="s">
        <v>71</v>
      </c>
      <c r="C2771" s="10" t="s">
        <v>1681</v>
      </c>
      <c r="D2771" s="10" t="s">
        <v>1409</v>
      </c>
      <c r="E2771" s="11" t="str">
        <f t="array" ref="E2771">_xlfn.XLOOKUP(D2771,Insumos!B:B,Insumos!C:$C)</f>
        <v>KG</v>
      </c>
      <c r="F2771" s="14">
        <v>20</v>
      </c>
      <c r="G2771" s="92">
        <f t="array" ref="G2771">IF(B2771="insumo",_xlfn.XLOOKUP($D2771,Insumos!$B$1:$B$996,Insumos!$D$1:$D$996),"")</f>
        <v>0.95</v>
      </c>
      <c r="H2771" s="92">
        <v>19</v>
      </c>
      <c r="I2771" s="13">
        <v>0</v>
      </c>
      <c r="J2771" s="13">
        <v>0</v>
      </c>
      <c r="K2771" s="13"/>
      <c r="L2771"/>
      <c r="M2771"/>
      <c r="N2771"/>
      <c r="O2771"/>
      <c r="P2771"/>
      <c r="Q2771"/>
      <c r="R2771"/>
      <c r="S2771"/>
      <c r="T2771"/>
      <c r="U2771"/>
      <c r="V2771"/>
      <c r="W2771"/>
      <c r="X2771"/>
      <c r="Y2771"/>
      <c r="Z2771"/>
      <c r="AA2771"/>
      <c r="AB2771"/>
      <c r="AC2771"/>
      <c r="AD2771"/>
      <c r="AE2771"/>
      <c r="AF2771"/>
      <c r="AG2771"/>
      <c r="AH2771"/>
      <c r="AI2771"/>
      <c r="AJ2771"/>
      <c r="AK2771"/>
      <c r="AL2771"/>
    </row>
    <row r="2772" spans="1:38" ht="15.75" customHeight="1" outlineLevel="1" x14ac:dyDescent="0.2">
      <c r="A2772" s="1090">
        <v>1</v>
      </c>
      <c r="B2772" s="1090" t="s">
        <v>1228</v>
      </c>
      <c r="C2772" s="1090" t="s">
        <v>1681</v>
      </c>
      <c r="D2772" s="1090" t="s">
        <v>1439</v>
      </c>
      <c r="E2772" s="1091"/>
      <c r="F2772" s="1092"/>
      <c r="G2772" s="1091"/>
      <c r="H2772" s="1091">
        <v>0</v>
      </c>
      <c r="I2772" s="1092">
        <v>0</v>
      </c>
      <c r="J2772" s="1092">
        <v>0</v>
      </c>
      <c r="K2772" s="1092"/>
      <c r="L2772"/>
      <c r="M2772"/>
      <c r="N2772"/>
      <c r="O2772"/>
      <c r="P2772"/>
      <c r="Q2772"/>
      <c r="R2772"/>
      <c r="S2772"/>
      <c r="T2772"/>
      <c r="U2772"/>
      <c r="V2772"/>
      <c r="W2772"/>
      <c r="X2772"/>
      <c r="Y2772"/>
      <c r="Z2772"/>
      <c r="AA2772"/>
      <c r="AB2772"/>
      <c r="AC2772"/>
      <c r="AD2772"/>
      <c r="AE2772"/>
      <c r="AF2772"/>
      <c r="AG2772"/>
      <c r="AH2772"/>
      <c r="AI2772"/>
      <c r="AJ2772"/>
      <c r="AK2772"/>
      <c r="AL2772"/>
    </row>
    <row r="2773" spans="1:38" ht="15.75" customHeight="1" outlineLevel="2" x14ac:dyDescent="0.2">
      <c r="A2773" s="1067">
        <v>1</v>
      </c>
      <c r="B2773" s="1067" t="s">
        <v>68</v>
      </c>
      <c r="C2773" s="1067" t="s">
        <v>556</v>
      </c>
      <c r="D2773" s="1067" t="s">
        <v>556</v>
      </c>
      <c r="E2773" s="1068" t="s">
        <v>113</v>
      </c>
      <c r="F2773" s="1067"/>
      <c r="G2773" s="1069" t="str">
        <f t="array" ref="G2773">IF(B2773="insumo",_xlfn.XLOOKUP($D2773,Insumos!$B$1:$B$996,Insumos!$D$1:$D$996),"")</f>
        <v/>
      </c>
      <c r="H2773" s="1069">
        <v>44.8</v>
      </c>
      <c r="I2773" s="1070">
        <v>0</v>
      </c>
      <c r="J2773" s="1070">
        <v>0</v>
      </c>
      <c r="K2773" s="1070"/>
      <c r="L2773"/>
      <c r="M2773"/>
      <c r="N2773"/>
      <c r="O2773"/>
      <c r="P2773"/>
      <c r="Q2773"/>
      <c r="R2773"/>
      <c r="S2773"/>
      <c r="T2773"/>
      <c r="U2773"/>
      <c r="V2773"/>
      <c r="W2773"/>
      <c r="X2773"/>
      <c r="Y2773"/>
      <c r="Z2773"/>
      <c r="AA2773"/>
      <c r="AB2773"/>
      <c r="AC2773"/>
      <c r="AD2773"/>
      <c r="AE2773"/>
      <c r="AF2773"/>
      <c r="AG2773"/>
      <c r="AH2773"/>
      <c r="AI2773"/>
      <c r="AJ2773"/>
      <c r="AK2773"/>
      <c r="AL2773"/>
    </row>
    <row r="2774" spans="1:38" ht="15.75" customHeight="1" outlineLevel="3" x14ac:dyDescent="0.2">
      <c r="A2774" s="10">
        <v>1</v>
      </c>
      <c r="B2774" s="10" t="s">
        <v>71</v>
      </c>
      <c r="C2774" s="10" t="s">
        <v>556</v>
      </c>
      <c r="D2774" s="10" t="s">
        <v>557</v>
      </c>
      <c r="E2774" s="11" t="str">
        <f t="array" ref="E2774">_xlfn.XLOOKUP(D2774,Insumos!B:B,Insumos!C:$C)</f>
        <v>m</v>
      </c>
      <c r="F2774" s="14">
        <v>1</v>
      </c>
      <c r="G2774" s="92">
        <f t="array" ref="G2774">IF(B2774="insumo",_xlfn.XLOOKUP($D2774,Insumos!$B$1:$B$996,Insumos!$D$1:$D$996),"")</f>
        <v>44.8</v>
      </c>
      <c r="H2774" s="92">
        <v>44.8</v>
      </c>
      <c r="I2774" s="13">
        <v>0</v>
      </c>
      <c r="J2774" s="13">
        <v>0</v>
      </c>
      <c r="K2774" s="13"/>
      <c r="L2774"/>
      <c r="M2774"/>
      <c r="N2774"/>
      <c r="O2774"/>
      <c r="P2774"/>
      <c r="Q2774"/>
      <c r="R2774"/>
      <c r="S2774"/>
      <c r="T2774"/>
      <c r="U2774"/>
      <c r="V2774"/>
      <c r="W2774"/>
      <c r="X2774"/>
      <c r="Y2774"/>
      <c r="Z2774"/>
      <c r="AA2774"/>
      <c r="AB2774"/>
      <c r="AC2774"/>
      <c r="AD2774"/>
      <c r="AE2774"/>
      <c r="AF2774"/>
      <c r="AG2774"/>
      <c r="AH2774"/>
      <c r="AI2774"/>
      <c r="AJ2774"/>
      <c r="AK2774"/>
      <c r="AL2774"/>
    </row>
    <row r="2775" spans="1:38" ht="15.75" customHeight="1" outlineLevel="2" x14ac:dyDescent="0.2">
      <c r="A2775" s="1067">
        <v>1</v>
      </c>
      <c r="B2775" s="1067" t="s">
        <v>68</v>
      </c>
      <c r="C2775" s="1067" t="s">
        <v>2932</v>
      </c>
      <c r="D2775" s="1067" t="s">
        <v>2932</v>
      </c>
      <c r="E2775" s="1068" t="s">
        <v>113</v>
      </c>
      <c r="F2775" s="1067"/>
      <c r="G2775" s="1069" t="str">
        <f t="array" ref="G2775">IF(B2775="insumo",_xlfn.XLOOKUP($D2775,Insumos!$B$1:$B$996,Insumos!$D$1:$D$996),"")</f>
        <v/>
      </c>
      <c r="H2775" s="1069">
        <v>82.373999999999995</v>
      </c>
      <c r="I2775" s="1070" t="e">
        <v>#REF!</v>
      </c>
      <c r="J2775" s="1070" t="e">
        <v>#REF!</v>
      </c>
      <c r="K2775" s="1070"/>
      <c r="L2775"/>
      <c r="M2775"/>
      <c r="N2775"/>
      <c r="O2775"/>
      <c r="P2775"/>
      <c r="Q2775"/>
      <c r="R2775"/>
      <c r="S2775"/>
      <c r="T2775"/>
      <c r="U2775"/>
      <c r="V2775"/>
      <c r="W2775"/>
      <c r="X2775"/>
      <c r="Y2775"/>
      <c r="Z2775"/>
      <c r="AA2775"/>
      <c r="AB2775"/>
      <c r="AC2775"/>
      <c r="AD2775"/>
      <c r="AE2775"/>
      <c r="AF2775"/>
      <c r="AG2775"/>
      <c r="AH2775"/>
      <c r="AI2775"/>
      <c r="AJ2775"/>
      <c r="AK2775"/>
      <c r="AL2775"/>
    </row>
    <row r="2776" spans="1:38" ht="15.75" customHeight="1" outlineLevel="3" x14ac:dyDescent="0.2">
      <c r="A2776" s="10">
        <v>1</v>
      </c>
      <c r="B2776" s="10" t="s">
        <v>71</v>
      </c>
      <c r="C2776" s="10" t="s">
        <v>2932</v>
      </c>
      <c r="D2776" s="10" t="s">
        <v>2932</v>
      </c>
      <c r="E2776" s="11" t="str">
        <f t="array" ref="E2776">_xlfn.XLOOKUP(D2776,Insumos!B:B,Insumos!C:$C)</f>
        <v>m</v>
      </c>
      <c r="F2776" s="14">
        <v>1.3729</v>
      </c>
      <c r="G2776" s="92">
        <f t="array" ref="G2776">IF(B2776="insumo",_xlfn.XLOOKUP($D2776,Insumos!$B$1:$B$996,Insumos!$D$1:$D$996),"")</f>
        <v>60</v>
      </c>
      <c r="H2776" s="92">
        <v>82.373999999999995</v>
      </c>
      <c r="I2776" s="13" t="e">
        <v>#REF!</v>
      </c>
      <c r="J2776" s="13" t="e">
        <v>#REF!</v>
      </c>
      <c r="K2776" s="13"/>
      <c r="L2776"/>
      <c r="M2776"/>
      <c r="N2776"/>
      <c r="O2776"/>
      <c r="P2776"/>
      <c r="Q2776"/>
      <c r="R2776"/>
      <c r="S2776"/>
      <c r="T2776"/>
      <c r="U2776"/>
      <c r="V2776"/>
      <c r="W2776"/>
      <c r="X2776"/>
      <c r="Y2776"/>
      <c r="Z2776"/>
      <c r="AA2776"/>
      <c r="AB2776"/>
      <c r="AC2776"/>
      <c r="AD2776"/>
      <c r="AE2776"/>
      <c r="AF2776"/>
      <c r="AG2776"/>
      <c r="AH2776"/>
      <c r="AI2776"/>
      <c r="AJ2776"/>
      <c r="AK2776"/>
      <c r="AL2776"/>
    </row>
    <row r="2777" spans="1:38" ht="15.75" customHeight="1" outlineLevel="2" x14ac:dyDescent="0.2">
      <c r="A2777" s="1067">
        <v>1</v>
      </c>
      <c r="B2777" s="1067" t="s">
        <v>68</v>
      </c>
      <c r="C2777" s="1067" t="s">
        <v>2933</v>
      </c>
      <c r="D2777" s="1067" t="s">
        <v>2933</v>
      </c>
      <c r="E2777" s="1068" t="s">
        <v>113</v>
      </c>
      <c r="F2777" s="1067"/>
      <c r="G2777" s="1069" t="str">
        <f t="array" ref="G2777">IF(B2777="insumo",_xlfn.XLOOKUP($D2777,Insumos!$B$1:$B$996,Insumos!$D$1:$D$996),"")</f>
        <v/>
      </c>
      <c r="H2777" s="1069">
        <v>61.780500000000004</v>
      </c>
      <c r="I2777" s="1070" t="e">
        <v>#REF!</v>
      </c>
      <c r="J2777" s="1070" t="e">
        <v>#REF!</v>
      </c>
      <c r="K2777" s="1070"/>
      <c r="L2777"/>
      <c r="M2777"/>
      <c r="N2777"/>
      <c r="O2777"/>
      <c r="P2777"/>
      <c r="Q2777"/>
      <c r="R2777"/>
      <c r="S2777"/>
      <c r="T2777"/>
      <c r="U2777"/>
      <c r="V2777"/>
      <c r="W2777"/>
      <c r="X2777"/>
      <c r="Y2777"/>
      <c r="Z2777"/>
      <c r="AA2777"/>
      <c r="AB2777"/>
      <c r="AC2777"/>
      <c r="AD2777"/>
      <c r="AE2777"/>
      <c r="AF2777"/>
      <c r="AG2777"/>
      <c r="AH2777"/>
      <c r="AI2777"/>
      <c r="AJ2777"/>
      <c r="AK2777"/>
      <c r="AL2777"/>
    </row>
    <row r="2778" spans="1:38" ht="15.75" customHeight="1" outlineLevel="3" x14ac:dyDescent="0.2">
      <c r="A2778" s="10">
        <v>1</v>
      </c>
      <c r="B2778" s="10" t="s">
        <v>71</v>
      </c>
      <c r="C2778" s="10" t="s">
        <v>2933</v>
      </c>
      <c r="D2778" s="10" t="s">
        <v>2933</v>
      </c>
      <c r="E2778" s="11" t="str">
        <f t="array" ref="E2778">_xlfn.XLOOKUP(D2778,Insumos!B:B,Insumos!C:$C)</f>
        <v>m</v>
      </c>
      <c r="F2778" s="14">
        <v>1.3729</v>
      </c>
      <c r="G2778" s="92">
        <f t="array" ref="G2778">IF(B2778="insumo",_xlfn.XLOOKUP($D2778,Insumos!$B$1:$B$996,Insumos!$D$1:$D$996),"")</f>
        <v>45</v>
      </c>
      <c r="H2778" s="92">
        <v>61.780500000000004</v>
      </c>
      <c r="I2778" s="13" t="e">
        <v>#REF!</v>
      </c>
      <c r="J2778" s="13" t="e">
        <v>#REF!</v>
      </c>
      <c r="K2778" s="13"/>
      <c r="L2778"/>
      <c r="M2778"/>
      <c r="N2778"/>
      <c r="O2778"/>
      <c r="P2778"/>
      <c r="Q2778"/>
      <c r="R2778"/>
      <c r="S2778"/>
      <c r="T2778"/>
      <c r="U2778"/>
      <c r="V2778"/>
      <c r="W2778"/>
      <c r="X2778"/>
      <c r="Y2778"/>
      <c r="Z2778"/>
      <c r="AA2778"/>
      <c r="AB2778"/>
      <c r="AC2778"/>
      <c r="AD2778"/>
      <c r="AE2778"/>
      <c r="AF2778"/>
      <c r="AG2778"/>
      <c r="AH2778"/>
      <c r="AI2778"/>
      <c r="AJ2778"/>
      <c r="AK2778"/>
      <c r="AL2778"/>
    </row>
    <row r="2779" spans="1:38" ht="15.75" customHeight="1" outlineLevel="2" x14ac:dyDescent="0.2">
      <c r="A2779" s="1067">
        <v>1</v>
      </c>
      <c r="B2779" s="1067" t="s">
        <v>68</v>
      </c>
      <c r="C2779" s="1067" t="s">
        <v>2927</v>
      </c>
      <c r="D2779" s="1067" t="s">
        <v>2927</v>
      </c>
      <c r="E2779" s="1068" t="s">
        <v>113</v>
      </c>
      <c r="F2779" s="1067"/>
      <c r="G2779" s="1069" t="str">
        <f t="array" ref="G2779">IF(B2779="insumo",_xlfn.XLOOKUP($D2779,Insumos!$B$1:$B$996,Insumos!$D$1:$D$996),"")</f>
        <v/>
      </c>
      <c r="H2779" s="1069">
        <v>32.4</v>
      </c>
      <c r="I2779" s="1070">
        <v>0</v>
      </c>
      <c r="J2779" s="1070">
        <v>0</v>
      </c>
      <c r="K2779" s="1070"/>
      <c r="L2779"/>
      <c r="M2779"/>
      <c r="N2779"/>
      <c r="O2779"/>
      <c r="P2779"/>
      <c r="Q2779"/>
      <c r="R2779"/>
      <c r="S2779"/>
      <c r="T2779"/>
      <c r="U2779"/>
      <c r="V2779"/>
      <c r="W2779"/>
      <c r="X2779"/>
      <c r="Y2779"/>
      <c r="Z2779"/>
      <c r="AA2779"/>
      <c r="AB2779"/>
      <c r="AC2779"/>
      <c r="AD2779"/>
      <c r="AE2779"/>
      <c r="AF2779"/>
      <c r="AG2779"/>
      <c r="AH2779"/>
      <c r="AI2779"/>
      <c r="AJ2779"/>
      <c r="AK2779"/>
      <c r="AL2779"/>
    </row>
    <row r="2780" spans="1:38" ht="15.75" customHeight="1" outlineLevel="3" x14ac:dyDescent="0.2">
      <c r="A2780" s="10">
        <v>1</v>
      </c>
      <c r="B2780" s="10" t="s">
        <v>71</v>
      </c>
      <c r="C2780" s="10" t="s">
        <v>2927</v>
      </c>
      <c r="D2780" s="10" t="s">
        <v>2927</v>
      </c>
      <c r="E2780" s="11" t="str">
        <f t="array" ref="E2780">_xlfn.XLOOKUP(D2780,Insumos!B:B,Insumos!C:$C)</f>
        <v>m</v>
      </c>
      <c r="F2780" s="14">
        <v>1</v>
      </c>
      <c r="G2780" s="92">
        <f t="array" ref="G2780">IF(B2780="insumo",_xlfn.XLOOKUP($D2780,Insumos!$B$1:$B$996,Insumos!$D$1:$D$996),"")</f>
        <v>32.400000000000006</v>
      </c>
      <c r="H2780" s="92">
        <v>32.4</v>
      </c>
      <c r="I2780" s="13">
        <v>0</v>
      </c>
      <c r="J2780" s="13">
        <v>0</v>
      </c>
      <c r="K2780" s="13"/>
      <c r="L2780"/>
      <c r="M2780"/>
      <c r="N2780"/>
      <c r="O2780"/>
      <c r="P2780"/>
      <c r="Q2780"/>
      <c r="R2780"/>
      <c r="S2780"/>
      <c r="T2780"/>
      <c r="U2780"/>
      <c r="V2780"/>
      <c r="W2780"/>
      <c r="X2780"/>
      <c r="Y2780"/>
      <c r="Z2780"/>
      <c r="AA2780"/>
      <c r="AB2780"/>
      <c r="AC2780"/>
      <c r="AD2780"/>
      <c r="AE2780"/>
      <c r="AF2780"/>
      <c r="AG2780"/>
      <c r="AH2780"/>
      <c r="AI2780"/>
      <c r="AJ2780"/>
      <c r="AK2780"/>
      <c r="AL2780"/>
    </row>
    <row r="2781" spans="1:38" ht="15.75" customHeight="1" outlineLevel="2" x14ac:dyDescent="0.2">
      <c r="A2781" s="1067">
        <v>1</v>
      </c>
      <c r="B2781" s="1067" t="s">
        <v>68</v>
      </c>
      <c r="C2781" s="1067" t="s">
        <v>2928</v>
      </c>
      <c r="D2781" s="1067" t="s">
        <v>2928</v>
      </c>
      <c r="E2781" s="1068" t="s">
        <v>113</v>
      </c>
      <c r="F2781" s="1067"/>
      <c r="G2781" s="1069" t="str">
        <f t="array" ref="G2781">IF(B2781="insumo",_xlfn.XLOOKUP($D2781,Insumos!$B$1:$B$996,Insumos!$D$1:$D$996),"")</f>
        <v/>
      </c>
      <c r="H2781" s="1069">
        <v>67.2</v>
      </c>
      <c r="I2781" s="1070">
        <v>0</v>
      </c>
      <c r="J2781" s="1070">
        <v>0</v>
      </c>
      <c r="K2781" s="1070"/>
      <c r="L2781"/>
      <c r="M2781"/>
      <c r="N2781"/>
      <c r="O2781"/>
      <c r="P2781"/>
      <c r="Q2781"/>
      <c r="R2781"/>
      <c r="S2781"/>
      <c r="T2781"/>
      <c r="U2781"/>
      <c r="V2781"/>
      <c r="W2781"/>
      <c r="X2781"/>
      <c r="Y2781"/>
      <c r="Z2781"/>
      <c r="AA2781"/>
      <c r="AB2781"/>
      <c r="AC2781"/>
      <c r="AD2781"/>
      <c r="AE2781"/>
      <c r="AF2781"/>
      <c r="AG2781"/>
      <c r="AH2781"/>
      <c r="AI2781"/>
      <c r="AJ2781"/>
      <c r="AK2781"/>
      <c r="AL2781"/>
    </row>
    <row r="2782" spans="1:38" ht="15.75" customHeight="1" outlineLevel="3" x14ac:dyDescent="0.2">
      <c r="A2782" s="10">
        <v>1</v>
      </c>
      <c r="B2782" s="10" t="s">
        <v>71</v>
      </c>
      <c r="C2782" s="10" t="s">
        <v>2928</v>
      </c>
      <c r="D2782" s="10" t="s">
        <v>2928</v>
      </c>
      <c r="E2782" s="11" t="str">
        <f t="array" ref="E2782">_xlfn.XLOOKUP(D2782,Insumos!B:B,Insumos!C:$C)</f>
        <v>m</v>
      </c>
      <c r="F2782" s="14">
        <v>1</v>
      </c>
      <c r="G2782" s="92">
        <f t="array" ref="G2782">IF(B2782="insumo",_xlfn.XLOOKUP($D2782,Insumos!$B$1:$B$996,Insumos!$D$1:$D$996),"")</f>
        <v>67.199999999999989</v>
      </c>
      <c r="H2782" s="92">
        <v>67.2</v>
      </c>
      <c r="I2782" s="13">
        <v>0</v>
      </c>
      <c r="J2782" s="13">
        <v>0</v>
      </c>
      <c r="K2782" s="13"/>
      <c r="L2782"/>
      <c r="M2782"/>
      <c r="N2782"/>
      <c r="O2782"/>
      <c r="P2782"/>
      <c r="Q2782"/>
      <c r="R2782"/>
      <c r="S2782"/>
      <c r="T2782"/>
      <c r="U2782"/>
      <c r="V2782"/>
      <c r="W2782"/>
      <c r="X2782"/>
      <c r="Y2782"/>
      <c r="Z2782"/>
      <c r="AA2782"/>
      <c r="AB2782"/>
      <c r="AC2782"/>
      <c r="AD2782"/>
      <c r="AE2782"/>
      <c r="AF2782"/>
      <c r="AG2782"/>
      <c r="AH2782"/>
      <c r="AI2782"/>
      <c r="AJ2782"/>
      <c r="AK2782"/>
      <c r="AL2782"/>
    </row>
    <row r="2783" spans="1:38" ht="15.75" customHeight="1" outlineLevel="2" x14ac:dyDescent="0.2">
      <c r="A2783" s="1067">
        <v>1</v>
      </c>
      <c r="B2783" s="1067" t="s">
        <v>68</v>
      </c>
      <c r="C2783" s="1067" t="s">
        <v>2931</v>
      </c>
      <c r="D2783" s="1067" t="s">
        <v>2931</v>
      </c>
      <c r="E2783" s="1068" t="s">
        <v>113</v>
      </c>
      <c r="F2783" s="1067"/>
      <c r="G2783" s="1069" t="str">
        <f t="array" ref="G2783">IF(B2783="insumo",_xlfn.XLOOKUP($D2783,Insumos!$B$1:$B$996,Insumos!$D$1:$D$996),"")</f>
        <v/>
      </c>
      <c r="H2783" s="1069">
        <v>116.6965</v>
      </c>
      <c r="I2783" s="1070" t="e">
        <v>#REF!</v>
      </c>
      <c r="J2783" s="1070" t="e">
        <v>#REF!</v>
      </c>
      <c r="K2783" s="1070"/>
      <c r="L2783"/>
      <c r="M2783"/>
      <c r="N2783"/>
      <c r="O2783"/>
      <c r="P2783"/>
      <c r="Q2783"/>
      <c r="R2783"/>
      <c r="S2783"/>
      <c r="T2783"/>
      <c r="U2783"/>
      <c r="V2783"/>
      <c r="W2783"/>
      <c r="X2783"/>
      <c r="Y2783"/>
      <c r="Z2783"/>
      <c r="AA2783"/>
      <c r="AB2783"/>
      <c r="AC2783"/>
      <c r="AD2783"/>
      <c r="AE2783"/>
      <c r="AF2783"/>
      <c r="AG2783"/>
      <c r="AH2783"/>
      <c r="AI2783"/>
      <c r="AJ2783"/>
      <c r="AK2783"/>
      <c r="AL2783"/>
    </row>
    <row r="2784" spans="1:38" ht="15.75" customHeight="1" outlineLevel="3" x14ac:dyDescent="0.2">
      <c r="A2784" s="10">
        <v>1</v>
      </c>
      <c r="B2784" s="10" t="s">
        <v>71</v>
      </c>
      <c r="C2784" s="10" t="s">
        <v>2931</v>
      </c>
      <c r="D2784" s="10" t="s">
        <v>2931</v>
      </c>
      <c r="E2784" s="11" t="str">
        <f t="array" ref="E2784">_xlfn.XLOOKUP(D2784,Insumos!B:B,Insumos!C:$C)</f>
        <v>m</v>
      </c>
      <c r="F2784" s="14">
        <v>1.3729</v>
      </c>
      <c r="G2784" s="92">
        <f t="array" ref="G2784">IF(B2784="insumo",_xlfn.XLOOKUP($D2784,Insumos!$B$1:$B$996,Insumos!$D$1:$D$996),"")</f>
        <v>85</v>
      </c>
      <c r="H2784" s="92">
        <v>116.6965</v>
      </c>
      <c r="I2784" s="13" t="e">
        <v>#REF!</v>
      </c>
      <c r="J2784" s="13" t="e">
        <v>#REF!</v>
      </c>
      <c r="K2784" s="13"/>
      <c r="L2784"/>
      <c r="M2784"/>
      <c r="N2784"/>
      <c r="O2784"/>
      <c r="P2784"/>
      <c r="Q2784"/>
      <c r="R2784"/>
      <c r="S2784"/>
      <c r="T2784"/>
      <c r="U2784"/>
      <c r="V2784"/>
      <c r="W2784"/>
      <c r="X2784"/>
      <c r="Y2784"/>
      <c r="Z2784"/>
      <c r="AA2784"/>
      <c r="AB2784"/>
      <c r="AC2784"/>
      <c r="AD2784"/>
      <c r="AE2784"/>
      <c r="AF2784"/>
      <c r="AG2784"/>
      <c r="AH2784"/>
      <c r="AI2784"/>
      <c r="AJ2784"/>
      <c r="AK2784"/>
      <c r="AL2784"/>
    </row>
    <row r="2785" spans="1:38" ht="15.75" customHeight="1" outlineLevel="2" x14ac:dyDescent="0.2">
      <c r="A2785" s="1067">
        <v>1</v>
      </c>
      <c r="B2785" s="1067" t="s">
        <v>68</v>
      </c>
      <c r="C2785" s="1067" t="s">
        <v>558</v>
      </c>
      <c r="D2785" s="1067" t="s">
        <v>558</v>
      </c>
      <c r="E2785" s="1068" t="s">
        <v>70</v>
      </c>
      <c r="F2785" s="1067"/>
      <c r="G2785" s="1069" t="str">
        <f t="array" ref="G2785">IF(B2785="insumo",_xlfn.XLOOKUP($D2785,Insumos!$B$1:$B$996,Insumos!$D$1:$D$996),"")</f>
        <v/>
      </c>
      <c r="H2785" s="1069">
        <v>88.427066666666704</v>
      </c>
      <c r="I2785" s="1070">
        <v>0</v>
      </c>
      <c r="J2785" s="1070">
        <v>0</v>
      </c>
      <c r="K2785" s="1070"/>
      <c r="L2785"/>
      <c r="M2785"/>
      <c r="N2785"/>
      <c r="O2785"/>
      <c r="P2785"/>
      <c r="Q2785"/>
      <c r="R2785"/>
      <c r="S2785"/>
      <c r="T2785"/>
      <c r="U2785"/>
      <c r="V2785"/>
      <c r="W2785"/>
      <c r="X2785"/>
      <c r="Y2785"/>
      <c r="Z2785"/>
      <c r="AA2785"/>
      <c r="AB2785"/>
      <c r="AC2785"/>
      <c r="AD2785"/>
      <c r="AE2785"/>
      <c r="AF2785"/>
      <c r="AG2785"/>
      <c r="AH2785"/>
      <c r="AI2785"/>
      <c r="AJ2785"/>
      <c r="AK2785"/>
      <c r="AL2785"/>
    </row>
    <row r="2786" spans="1:38" ht="15.75" customHeight="1" outlineLevel="3" x14ac:dyDescent="0.2">
      <c r="A2786" s="10">
        <v>1</v>
      </c>
      <c r="B2786" s="10" t="s">
        <v>71</v>
      </c>
      <c r="C2786" s="10" t="s">
        <v>558</v>
      </c>
      <c r="D2786" s="10" t="s">
        <v>559</v>
      </c>
      <c r="E2786" s="11" t="str">
        <f t="array" ref="E2786">_xlfn.XLOOKUP(D2786,Insumos!B:B,Insumos!C:$C)</f>
        <v>M2</v>
      </c>
      <c r="F2786" s="14">
        <v>1</v>
      </c>
      <c r="G2786" s="92">
        <f t="array" ref="G2786">IF(B2786="insumo",_xlfn.XLOOKUP($D2786,Insumos!$B$1:$B$996,Insumos!$D$1:$D$996),"")</f>
        <v>75.598399999999998</v>
      </c>
      <c r="H2786" s="92">
        <v>75.598399999999998</v>
      </c>
      <c r="I2786" s="13">
        <v>0</v>
      </c>
      <c r="J2786" s="13">
        <v>0</v>
      </c>
      <c r="K2786" s="13"/>
      <c r="L2786"/>
      <c r="M2786"/>
      <c r="N2786"/>
      <c r="O2786"/>
      <c r="P2786"/>
      <c r="Q2786"/>
      <c r="R2786"/>
      <c r="S2786"/>
      <c r="T2786"/>
      <c r="U2786"/>
      <c r="V2786"/>
      <c r="W2786"/>
      <c r="X2786"/>
      <c r="Y2786"/>
      <c r="Z2786"/>
      <c r="AA2786"/>
      <c r="AB2786"/>
      <c r="AC2786"/>
      <c r="AD2786"/>
      <c r="AE2786"/>
      <c r="AF2786"/>
      <c r="AG2786"/>
      <c r="AH2786"/>
      <c r="AI2786"/>
      <c r="AJ2786"/>
      <c r="AK2786"/>
      <c r="AL2786"/>
    </row>
    <row r="2787" spans="1:38" ht="15.75" customHeight="1" outlineLevel="3" x14ac:dyDescent="0.2">
      <c r="A2787" s="10">
        <v>5</v>
      </c>
      <c r="B2787" s="10" t="s">
        <v>71</v>
      </c>
      <c r="C2787" s="10" t="s">
        <v>558</v>
      </c>
      <c r="D2787" s="10" t="s">
        <v>416</v>
      </c>
      <c r="E2787" s="11" t="str">
        <f t="array" ref="E2787">_xlfn.XLOOKUP(D2787,Insumos!B:B,Insumos!C:$C)</f>
        <v>M2</v>
      </c>
      <c r="F2787" s="14">
        <v>1</v>
      </c>
      <c r="G2787" s="92">
        <f t="array" ref="G2787">IF(B2787="insumo",_xlfn.XLOOKUP($D2787,Insumos!$B$1:$B$996,Insumos!$D$1:$D$996),"")</f>
        <v>12.828666666666667</v>
      </c>
      <c r="H2787" s="92">
        <v>12.828666666666701</v>
      </c>
      <c r="I2787" s="13">
        <v>0</v>
      </c>
      <c r="J2787" s="13">
        <v>0</v>
      </c>
      <c r="K2787" s="13"/>
      <c r="L2787"/>
      <c r="M2787"/>
      <c r="N2787"/>
      <c r="O2787"/>
      <c r="P2787"/>
      <c r="Q2787"/>
      <c r="R2787"/>
      <c r="S2787"/>
      <c r="T2787"/>
      <c r="U2787"/>
      <c r="V2787"/>
      <c r="W2787"/>
      <c r="X2787"/>
      <c r="Y2787"/>
      <c r="Z2787"/>
      <c r="AA2787"/>
      <c r="AB2787"/>
      <c r="AC2787"/>
      <c r="AD2787"/>
      <c r="AE2787"/>
      <c r="AF2787"/>
      <c r="AG2787"/>
      <c r="AH2787"/>
      <c r="AI2787"/>
      <c r="AJ2787"/>
      <c r="AK2787"/>
      <c r="AL2787"/>
    </row>
    <row r="2788" spans="1:38" ht="15.75" customHeight="1" outlineLevel="2" x14ac:dyDescent="0.2">
      <c r="A2788" s="1067">
        <v>1</v>
      </c>
      <c r="B2788" s="1067" t="s">
        <v>68</v>
      </c>
      <c r="C2788" s="1067" t="s">
        <v>560</v>
      </c>
      <c r="D2788" s="1067" t="s">
        <v>560</v>
      </c>
      <c r="E2788" s="1068" t="s">
        <v>70</v>
      </c>
      <c r="F2788" s="1067"/>
      <c r="G2788" s="1069"/>
      <c r="H2788" s="1069">
        <v>55</v>
      </c>
      <c r="I2788" s="1070">
        <v>0</v>
      </c>
      <c r="J2788" s="1070">
        <v>0</v>
      </c>
      <c r="K2788" s="1070"/>
      <c r="L2788"/>
      <c r="M2788"/>
      <c r="N2788"/>
      <c r="O2788"/>
      <c r="P2788"/>
      <c r="Q2788"/>
      <c r="R2788"/>
      <c r="S2788"/>
      <c r="T2788"/>
      <c r="U2788"/>
      <c r="V2788"/>
      <c r="W2788"/>
      <c r="X2788"/>
      <c r="Y2788"/>
      <c r="Z2788"/>
      <c r="AA2788"/>
      <c r="AB2788"/>
      <c r="AC2788"/>
      <c r="AD2788"/>
      <c r="AE2788"/>
      <c r="AF2788"/>
      <c r="AG2788"/>
      <c r="AH2788"/>
      <c r="AI2788"/>
      <c r="AJ2788"/>
      <c r="AK2788"/>
      <c r="AL2788"/>
    </row>
    <row r="2789" spans="1:38" ht="15.75" customHeight="1" outlineLevel="3" x14ac:dyDescent="0.2">
      <c r="A2789" s="10">
        <v>1</v>
      </c>
      <c r="B2789" s="10" t="s">
        <v>71</v>
      </c>
      <c r="C2789" s="10" t="s">
        <v>560</v>
      </c>
      <c r="D2789" s="10" t="s">
        <v>560</v>
      </c>
      <c r="E2789" s="11" t="str">
        <f t="array" ref="E2789">_xlfn.XLOOKUP(D2789,Insumos!B:B,Insumos!C:$C)</f>
        <v>M2</v>
      </c>
      <c r="F2789" s="14">
        <v>1</v>
      </c>
      <c r="G2789" s="92">
        <f t="array" ref="G2789">IF(B2789="insumo",_xlfn.XLOOKUP($D2789,Insumos!$B$1:$B$996,Insumos!$D$1:$D$996),"")</f>
        <v>55</v>
      </c>
      <c r="H2789" s="92">
        <v>55</v>
      </c>
      <c r="I2789" s="13">
        <v>0</v>
      </c>
      <c r="J2789" s="13">
        <v>0</v>
      </c>
      <c r="K2789" s="13"/>
      <c r="L2789"/>
      <c r="M2789"/>
      <c r="N2789"/>
      <c r="O2789"/>
      <c r="P2789"/>
      <c r="Q2789"/>
      <c r="R2789"/>
      <c r="S2789"/>
      <c r="T2789"/>
      <c r="U2789"/>
      <c r="V2789"/>
      <c r="W2789"/>
      <c r="X2789"/>
      <c r="Y2789"/>
      <c r="Z2789"/>
      <c r="AA2789"/>
      <c r="AB2789"/>
      <c r="AC2789"/>
      <c r="AD2789"/>
      <c r="AE2789"/>
      <c r="AF2789"/>
      <c r="AG2789"/>
      <c r="AH2789"/>
      <c r="AI2789"/>
      <c r="AJ2789"/>
      <c r="AK2789"/>
      <c r="AL2789"/>
    </row>
    <row r="2790" spans="1:38" ht="15.75" customHeight="1" outlineLevel="2" x14ac:dyDescent="0.2">
      <c r="A2790" s="1067">
        <v>1</v>
      </c>
      <c r="B2790" s="1067" t="s">
        <v>68</v>
      </c>
      <c r="C2790" s="1067" t="s">
        <v>561</v>
      </c>
      <c r="D2790" s="1067" t="s">
        <v>561</v>
      </c>
      <c r="E2790" s="1068" t="s">
        <v>70</v>
      </c>
      <c r="F2790" s="1067"/>
      <c r="G2790" s="1069" t="str">
        <f t="array" ref="G2790">IF(B2790="insumo",_xlfn.XLOOKUP($D2790,Insumos!$B$1:$B$996,Insumos!$D$1:$D$996),"")</f>
        <v/>
      </c>
      <c r="H2790" s="1069">
        <v>35</v>
      </c>
      <c r="I2790" s="1070">
        <v>0</v>
      </c>
      <c r="J2790" s="1070">
        <v>0</v>
      </c>
      <c r="K2790" s="1070"/>
      <c r="L2790"/>
      <c r="M2790"/>
      <c r="N2790"/>
      <c r="O2790"/>
      <c r="P2790"/>
      <c r="Q2790"/>
      <c r="R2790"/>
      <c r="S2790"/>
      <c r="T2790"/>
      <c r="U2790"/>
      <c r="V2790"/>
      <c r="W2790"/>
      <c r="X2790"/>
      <c r="Y2790"/>
      <c r="Z2790"/>
      <c r="AA2790"/>
      <c r="AB2790"/>
      <c r="AC2790"/>
      <c r="AD2790"/>
      <c r="AE2790"/>
      <c r="AF2790"/>
      <c r="AG2790"/>
      <c r="AH2790"/>
      <c r="AI2790"/>
      <c r="AJ2790"/>
      <c r="AK2790"/>
      <c r="AL2790"/>
    </row>
    <row r="2791" spans="1:38" ht="15.75" customHeight="1" outlineLevel="3" x14ac:dyDescent="0.2">
      <c r="A2791" s="10">
        <v>1</v>
      </c>
      <c r="B2791" s="10" t="s">
        <v>71</v>
      </c>
      <c r="C2791" s="10" t="s">
        <v>561</v>
      </c>
      <c r="D2791" s="10" t="s">
        <v>561</v>
      </c>
      <c r="E2791" s="11" t="str">
        <f t="array" ref="E2791">_xlfn.XLOOKUP(D2791,Insumos!B:B,Insumos!C:$C)</f>
        <v>M2</v>
      </c>
      <c r="F2791" s="14">
        <v>1</v>
      </c>
      <c r="G2791" s="92">
        <f t="array" ref="G2791">IF(B2791="insumo",_xlfn.XLOOKUP($D2791,Insumos!$B$1:$B$996,Insumos!$D$1:$D$996),"")</f>
        <v>35</v>
      </c>
      <c r="H2791" s="92">
        <v>35</v>
      </c>
      <c r="I2791" s="13">
        <v>0</v>
      </c>
      <c r="J2791" s="13">
        <v>0</v>
      </c>
      <c r="K2791" s="13"/>
      <c r="L2791"/>
      <c r="M2791"/>
      <c r="N2791"/>
      <c r="O2791"/>
      <c r="P2791"/>
      <c r="Q2791"/>
      <c r="R2791"/>
      <c r="S2791"/>
      <c r="T2791"/>
      <c r="U2791"/>
      <c r="V2791"/>
      <c r="W2791"/>
      <c r="X2791"/>
      <c r="Y2791"/>
      <c r="Z2791"/>
      <c r="AA2791"/>
      <c r="AB2791"/>
      <c r="AC2791"/>
      <c r="AD2791"/>
      <c r="AE2791"/>
      <c r="AF2791"/>
      <c r="AG2791"/>
      <c r="AH2791"/>
      <c r="AI2791"/>
      <c r="AJ2791"/>
      <c r="AK2791"/>
      <c r="AL2791"/>
    </row>
    <row r="2792" spans="1:38" ht="15.75" customHeight="1" outlineLevel="2" x14ac:dyDescent="0.2">
      <c r="A2792" s="1067">
        <v>1</v>
      </c>
      <c r="B2792" s="1067" t="s">
        <v>68</v>
      </c>
      <c r="C2792" s="1067" t="s">
        <v>562</v>
      </c>
      <c r="D2792" s="1067" t="s">
        <v>562</v>
      </c>
      <c r="E2792" s="1068" t="s">
        <v>70</v>
      </c>
      <c r="F2792" s="1067"/>
      <c r="G2792" s="1370"/>
      <c r="H2792" s="1069">
        <v>80.542132157776194</v>
      </c>
      <c r="I2792" s="1070" t="e">
        <v>#REF!</v>
      </c>
      <c r="J2792" s="1070" t="e">
        <v>#REF!</v>
      </c>
      <c r="K2792" s="1070"/>
      <c r="L2792"/>
      <c r="M2792"/>
      <c r="N2792"/>
      <c r="O2792"/>
      <c r="P2792"/>
      <c r="Q2792"/>
      <c r="R2792"/>
      <c r="S2792"/>
      <c r="T2792"/>
      <c r="U2792"/>
      <c r="V2792"/>
      <c r="W2792"/>
      <c r="X2792"/>
      <c r="Y2792"/>
      <c r="Z2792"/>
      <c r="AA2792"/>
      <c r="AB2792"/>
      <c r="AC2792"/>
      <c r="AD2792"/>
      <c r="AE2792"/>
      <c r="AF2792"/>
      <c r="AG2792"/>
      <c r="AH2792"/>
      <c r="AI2792"/>
      <c r="AJ2792"/>
      <c r="AK2792"/>
      <c r="AL2792"/>
    </row>
    <row r="2793" spans="1:38" ht="15.75" customHeight="1" outlineLevel="3" x14ac:dyDescent="0.2">
      <c r="A2793" s="10">
        <v>1</v>
      </c>
      <c r="B2793" s="10" t="s">
        <v>71</v>
      </c>
      <c r="C2793" s="10" t="s">
        <v>562</v>
      </c>
      <c r="D2793" s="10" t="s">
        <v>563</v>
      </c>
      <c r="E2793" s="11" t="str">
        <f t="array" ref="E2793">_xlfn.XLOOKUP(D2793,Insumos!B:B,Insumos!C:$C)</f>
        <v>M2</v>
      </c>
      <c r="F2793" s="14">
        <v>1.3423688692962701</v>
      </c>
      <c r="G2793" s="92">
        <f t="array" ref="G2793">IF(B2793="insumo",_xlfn.XLOOKUP($D2793,Insumos!$B$1:$B$996,Insumos!$D$1:$D$996),"")</f>
        <v>60</v>
      </c>
      <c r="H2793" s="92">
        <v>80.542132157776194</v>
      </c>
      <c r="I2793" s="13" t="e">
        <v>#REF!</v>
      </c>
      <c r="J2793" s="13" t="e">
        <v>#REF!</v>
      </c>
      <c r="K2793" s="13"/>
      <c r="L2793"/>
      <c r="M2793"/>
      <c r="N2793"/>
      <c r="O2793"/>
      <c r="P2793"/>
      <c r="Q2793"/>
      <c r="R2793"/>
      <c r="S2793"/>
      <c r="T2793"/>
      <c r="U2793"/>
      <c r="V2793"/>
      <c r="W2793"/>
      <c r="X2793"/>
      <c r="Y2793"/>
      <c r="Z2793"/>
      <c r="AA2793"/>
      <c r="AB2793"/>
      <c r="AC2793"/>
      <c r="AD2793"/>
      <c r="AE2793"/>
      <c r="AF2793"/>
      <c r="AG2793"/>
      <c r="AH2793"/>
      <c r="AI2793"/>
      <c r="AJ2793"/>
      <c r="AK2793"/>
      <c r="AL2793"/>
    </row>
    <row r="2794" spans="1:38" ht="15.75" customHeight="1" outlineLevel="2" x14ac:dyDescent="0.2">
      <c r="A2794" s="1067">
        <v>1</v>
      </c>
      <c r="B2794" s="1067" t="s">
        <v>68</v>
      </c>
      <c r="C2794" s="1067" t="s">
        <v>2925</v>
      </c>
      <c r="D2794" s="1067" t="s">
        <v>2925</v>
      </c>
      <c r="E2794" s="1068" t="s">
        <v>113</v>
      </c>
      <c r="F2794" s="1067"/>
      <c r="G2794" s="1069" t="str">
        <f t="array" ref="G2794">IF(B2794="insumo",_xlfn.XLOOKUP($D2794,Insumos!$B$1:$B$996,Insumos!$D$1:$D$996),"")</f>
        <v/>
      </c>
      <c r="H2794" s="1069">
        <v>343.22500000000002</v>
      </c>
      <c r="I2794" s="1070" t="e">
        <v>#REF!</v>
      </c>
      <c r="J2794" s="1070" t="e">
        <v>#REF!</v>
      </c>
      <c r="K2794" s="1070"/>
      <c r="L2794"/>
      <c r="M2794"/>
      <c r="N2794"/>
      <c r="O2794"/>
      <c r="P2794"/>
      <c r="Q2794"/>
      <c r="R2794"/>
      <c r="S2794"/>
      <c r="T2794"/>
      <c r="U2794"/>
      <c r="V2794"/>
      <c r="W2794"/>
      <c r="X2794"/>
      <c r="Y2794"/>
      <c r="Z2794"/>
      <c r="AA2794"/>
      <c r="AB2794"/>
      <c r="AC2794"/>
      <c r="AD2794"/>
      <c r="AE2794"/>
      <c r="AF2794"/>
      <c r="AG2794"/>
      <c r="AH2794"/>
      <c r="AI2794"/>
      <c r="AJ2794"/>
      <c r="AK2794"/>
      <c r="AL2794"/>
    </row>
    <row r="2795" spans="1:38" ht="15.75" customHeight="1" outlineLevel="3" x14ac:dyDescent="0.2">
      <c r="A2795" s="10">
        <v>1</v>
      </c>
      <c r="B2795" s="10" t="s">
        <v>71</v>
      </c>
      <c r="C2795" s="10" t="s">
        <v>2925</v>
      </c>
      <c r="D2795" s="10" t="s">
        <v>2926</v>
      </c>
      <c r="E2795" s="11" t="str">
        <f t="array" ref="E2795">_xlfn.XLOOKUP(D2795,Insumos!B:B,Insumos!C:$C)</f>
        <v>M</v>
      </c>
      <c r="F2795" s="14">
        <v>1.3729</v>
      </c>
      <c r="G2795" s="92">
        <f t="array" ref="G2795">IF(B2795="insumo",_xlfn.XLOOKUP($D2795,Insumos!$B$1:$B$996,Insumos!$D$1:$D$996),"")</f>
        <v>250</v>
      </c>
      <c r="H2795" s="92">
        <v>343.22500000000002</v>
      </c>
      <c r="I2795" s="13" t="e">
        <v>#REF!</v>
      </c>
      <c r="J2795" s="13" t="e">
        <v>#REF!</v>
      </c>
      <c r="K2795" s="13"/>
      <c r="L2795"/>
      <c r="M2795"/>
      <c r="N2795"/>
      <c r="O2795"/>
      <c r="P2795"/>
      <c r="Q2795"/>
      <c r="R2795"/>
      <c r="S2795"/>
      <c r="T2795"/>
      <c r="U2795"/>
      <c r="V2795"/>
      <c r="W2795"/>
      <c r="X2795"/>
      <c r="Y2795"/>
      <c r="Z2795"/>
      <c r="AA2795"/>
      <c r="AB2795"/>
      <c r="AC2795"/>
      <c r="AD2795"/>
      <c r="AE2795"/>
      <c r="AF2795"/>
      <c r="AG2795"/>
      <c r="AH2795"/>
      <c r="AI2795"/>
      <c r="AJ2795"/>
      <c r="AK2795"/>
      <c r="AL2795"/>
    </row>
    <row r="2796" spans="1:38" ht="15.75" customHeight="1" outlineLevel="2" x14ac:dyDescent="0.2">
      <c r="A2796" s="1067">
        <v>1</v>
      </c>
      <c r="B2796" s="1067" t="s">
        <v>68</v>
      </c>
      <c r="C2796" s="1067" t="s">
        <v>564</v>
      </c>
      <c r="D2796" s="1067" t="s">
        <v>564</v>
      </c>
      <c r="E2796" s="1068" t="s">
        <v>70</v>
      </c>
      <c r="F2796" s="1067"/>
      <c r="G2796" s="1069" t="str">
        <f t="array" ref="G2796">IF(B2796="insumo",_xlfn.XLOOKUP($D2796,Insumos!$B$1:$B$996,Insumos!$D$1:$D$996),"")</f>
        <v/>
      </c>
      <c r="H2796" s="1069">
        <v>137.29</v>
      </c>
      <c r="I2796" s="1070" t="e">
        <v>#REF!</v>
      </c>
      <c r="J2796" s="1070" t="e">
        <v>#REF!</v>
      </c>
      <c r="K2796" s="1070"/>
      <c r="L2796"/>
      <c r="M2796"/>
      <c r="N2796"/>
      <c r="O2796"/>
      <c r="P2796"/>
      <c r="Q2796"/>
      <c r="R2796"/>
      <c r="S2796"/>
      <c r="T2796"/>
      <c r="U2796"/>
      <c r="V2796"/>
      <c r="W2796"/>
      <c r="X2796"/>
      <c r="Y2796"/>
      <c r="Z2796"/>
      <c r="AA2796"/>
      <c r="AB2796"/>
      <c r="AC2796"/>
      <c r="AD2796"/>
      <c r="AE2796"/>
      <c r="AF2796"/>
      <c r="AG2796"/>
      <c r="AH2796"/>
      <c r="AI2796"/>
      <c r="AJ2796"/>
      <c r="AK2796"/>
      <c r="AL2796"/>
    </row>
    <row r="2797" spans="1:38" ht="15.75" customHeight="1" outlineLevel="3" x14ac:dyDescent="0.2">
      <c r="A2797" s="10">
        <v>2</v>
      </c>
      <c r="B2797" s="10" t="s">
        <v>71</v>
      </c>
      <c r="C2797" s="10" t="s">
        <v>564</v>
      </c>
      <c r="D2797" s="10" t="s">
        <v>564</v>
      </c>
      <c r="E2797" s="11" t="str">
        <f t="array" ref="E2797">_xlfn.XLOOKUP(D2797,Insumos!B:B,Insumos!C:$C)</f>
        <v>M2</v>
      </c>
      <c r="F2797" s="14">
        <v>1.3729</v>
      </c>
      <c r="G2797" s="92">
        <f t="array" ref="G2797">IF(B2797="insumo",_xlfn.XLOOKUP($D2797,Insumos!$B$1:$B$996,Insumos!$D$1:$D$996),"")</f>
        <v>100</v>
      </c>
      <c r="H2797" s="92">
        <v>137.29</v>
      </c>
      <c r="I2797" s="13" t="e">
        <v>#REF!</v>
      </c>
      <c r="J2797" s="13" t="e">
        <v>#REF!</v>
      </c>
      <c r="K2797" s="13"/>
      <c r="L2797"/>
      <c r="M2797"/>
      <c r="N2797"/>
      <c r="O2797"/>
      <c r="P2797"/>
      <c r="Q2797"/>
      <c r="R2797"/>
      <c r="S2797"/>
      <c r="T2797"/>
      <c r="U2797"/>
      <c r="V2797"/>
      <c r="W2797"/>
      <c r="X2797"/>
      <c r="Y2797"/>
      <c r="Z2797"/>
      <c r="AA2797"/>
      <c r="AB2797"/>
      <c r="AC2797"/>
      <c r="AD2797"/>
      <c r="AE2797"/>
      <c r="AF2797"/>
      <c r="AG2797"/>
      <c r="AH2797"/>
      <c r="AI2797"/>
      <c r="AJ2797"/>
      <c r="AK2797"/>
      <c r="AL2797"/>
    </row>
    <row r="2798" spans="1:38" ht="15.75" customHeight="1" outlineLevel="2" x14ac:dyDescent="0.2">
      <c r="A2798" s="1067">
        <v>1</v>
      </c>
      <c r="B2798" s="1067" t="s">
        <v>68</v>
      </c>
      <c r="C2798" s="1067" t="s">
        <v>2942</v>
      </c>
      <c r="D2798" s="1067" t="s">
        <v>2942</v>
      </c>
      <c r="E2798" s="1068" t="s">
        <v>70</v>
      </c>
      <c r="F2798" s="1067"/>
      <c r="G2798" s="1069" t="str">
        <f t="array" ref="G2798">IF(B2798="insumo",_xlfn.XLOOKUP($D2798,Insumos!$B$1:$B$996,Insumos!$D$1:$D$996),"")</f>
        <v/>
      </c>
      <c r="H2798" s="1069">
        <v>233.393</v>
      </c>
      <c r="I2798" s="1070" t="e">
        <v>#REF!</v>
      </c>
      <c r="J2798" s="1070" t="e">
        <v>#REF!</v>
      </c>
      <c r="K2798" s="1070"/>
      <c r="L2798"/>
      <c r="M2798"/>
      <c r="N2798"/>
      <c r="O2798"/>
      <c r="P2798"/>
      <c r="Q2798"/>
      <c r="R2798"/>
      <c r="S2798"/>
      <c r="T2798"/>
      <c r="U2798"/>
      <c r="V2798"/>
      <c r="W2798"/>
      <c r="X2798"/>
      <c r="Y2798"/>
      <c r="Z2798"/>
      <c r="AA2798"/>
      <c r="AB2798"/>
      <c r="AC2798"/>
      <c r="AD2798"/>
      <c r="AE2798"/>
      <c r="AF2798"/>
      <c r="AG2798"/>
      <c r="AH2798"/>
      <c r="AI2798"/>
      <c r="AJ2798"/>
      <c r="AK2798"/>
      <c r="AL2798"/>
    </row>
    <row r="2799" spans="1:38" ht="15.75" customHeight="1" outlineLevel="3" x14ac:dyDescent="0.2">
      <c r="A2799" s="10">
        <v>1</v>
      </c>
      <c r="B2799" s="10" t="s">
        <v>71</v>
      </c>
      <c r="C2799" s="10" t="s">
        <v>2942</v>
      </c>
      <c r="D2799" s="10" t="s">
        <v>2942</v>
      </c>
      <c r="E2799" s="11" t="str">
        <f t="array" ref="E2799">_xlfn.XLOOKUP(D2799,Insumos!B:B,Insumos!C:$C)</f>
        <v>M2</v>
      </c>
      <c r="F2799" s="14">
        <v>1.3729</v>
      </c>
      <c r="G2799" s="92">
        <f t="array" ref="G2799">IF(B2799="insumo",_xlfn.XLOOKUP($D2799,Insumos!$B$1:$B$996,Insumos!$D$1:$D$996),"")</f>
        <v>170</v>
      </c>
      <c r="H2799" s="92">
        <v>233.393</v>
      </c>
      <c r="I2799" s="13" t="e">
        <v>#REF!</v>
      </c>
      <c r="J2799" s="13" t="e">
        <v>#REF!</v>
      </c>
      <c r="K2799" s="13"/>
      <c r="L2799"/>
      <c r="M2799"/>
      <c r="N2799"/>
      <c r="O2799"/>
      <c r="P2799"/>
      <c r="Q2799"/>
      <c r="R2799"/>
      <c r="S2799"/>
      <c r="T2799"/>
      <c r="U2799"/>
      <c r="V2799"/>
      <c r="W2799"/>
      <c r="X2799"/>
      <c r="Y2799"/>
      <c r="Z2799"/>
      <c r="AA2799"/>
      <c r="AB2799"/>
      <c r="AC2799"/>
      <c r="AD2799"/>
      <c r="AE2799"/>
      <c r="AF2799"/>
      <c r="AG2799"/>
      <c r="AH2799"/>
      <c r="AI2799"/>
      <c r="AJ2799"/>
      <c r="AK2799"/>
      <c r="AL2799"/>
    </row>
    <row r="2800" spans="1:38" ht="15.75" customHeight="1" outlineLevel="2" x14ac:dyDescent="0.2">
      <c r="A2800" s="1067">
        <v>1</v>
      </c>
      <c r="B2800" s="1067" t="s">
        <v>68</v>
      </c>
      <c r="C2800" s="1067" t="s">
        <v>565</v>
      </c>
      <c r="D2800" s="1067" t="s">
        <v>565</v>
      </c>
      <c r="E2800" s="1068" t="s">
        <v>70</v>
      </c>
      <c r="F2800" s="1067"/>
      <c r="G2800" s="1069" t="str">
        <f t="array" ref="G2800">IF(B2800="insumo",_xlfn.XLOOKUP($D2800,Insumos!$B$1:$B$996,Insumos!$D$1:$D$996),"")</f>
        <v/>
      </c>
      <c r="H2800" s="1069">
        <v>49.424399999999999</v>
      </c>
      <c r="I2800" s="1070" t="e">
        <v>#REF!</v>
      </c>
      <c r="J2800" s="1070" t="e">
        <v>#REF!</v>
      </c>
      <c r="K2800" s="1070"/>
      <c r="L2800"/>
      <c r="M2800"/>
      <c r="N2800"/>
      <c r="O2800"/>
      <c r="P2800"/>
      <c r="Q2800"/>
      <c r="R2800"/>
      <c r="S2800"/>
      <c r="T2800"/>
      <c r="U2800"/>
      <c r="V2800"/>
      <c r="W2800"/>
      <c r="X2800"/>
      <c r="Y2800"/>
      <c r="Z2800"/>
      <c r="AA2800"/>
      <c r="AB2800"/>
      <c r="AC2800"/>
      <c r="AD2800"/>
      <c r="AE2800"/>
      <c r="AF2800"/>
      <c r="AG2800"/>
      <c r="AH2800"/>
      <c r="AI2800"/>
      <c r="AJ2800"/>
      <c r="AK2800"/>
      <c r="AL2800"/>
    </row>
    <row r="2801" spans="1:38" ht="15.75" customHeight="1" outlineLevel="3" x14ac:dyDescent="0.2">
      <c r="A2801" s="10">
        <v>1</v>
      </c>
      <c r="B2801" s="10" t="s">
        <v>71</v>
      </c>
      <c r="C2801" s="10" t="s">
        <v>565</v>
      </c>
      <c r="D2801" s="10" t="s">
        <v>565</v>
      </c>
      <c r="E2801" s="11" t="str">
        <f t="array" ref="E2801">_xlfn.XLOOKUP(D2801,Insumos!B:B,Insumos!C:$C)</f>
        <v>M2</v>
      </c>
      <c r="F2801" s="14">
        <v>1.3729</v>
      </c>
      <c r="G2801" s="92">
        <f t="array" ref="G2801">IF(B2801="insumo",_xlfn.XLOOKUP($D2801,Insumos!$B$1:$B$996,Insumos!$D$1:$D$996),"")</f>
        <v>36</v>
      </c>
      <c r="H2801" s="92">
        <v>49.424399999999999</v>
      </c>
      <c r="I2801" s="13" t="e">
        <v>#REF!</v>
      </c>
      <c r="J2801" s="13" t="e">
        <v>#REF!</v>
      </c>
      <c r="K2801" s="13"/>
      <c r="L2801"/>
      <c r="M2801"/>
      <c r="N2801"/>
      <c r="O2801"/>
      <c r="P2801"/>
      <c r="Q2801"/>
      <c r="R2801"/>
      <c r="S2801"/>
      <c r="T2801"/>
      <c r="U2801"/>
      <c r="V2801"/>
      <c r="W2801"/>
      <c r="X2801"/>
      <c r="Y2801"/>
      <c r="Z2801"/>
      <c r="AA2801"/>
      <c r="AB2801"/>
      <c r="AC2801"/>
      <c r="AD2801"/>
      <c r="AE2801"/>
      <c r="AF2801"/>
      <c r="AG2801"/>
      <c r="AH2801"/>
      <c r="AI2801"/>
      <c r="AJ2801"/>
      <c r="AK2801"/>
      <c r="AL2801"/>
    </row>
    <row r="2802" spans="1:38" ht="15.75" customHeight="1" outlineLevel="2" x14ac:dyDescent="0.2">
      <c r="A2802" s="1067">
        <v>1</v>
      </c>
      <c r="B2802" s="1067" t="s">
        <v>68</v>
      </c>
      <c r="C2802" s="1067" t="s">
        <v>566</v>
      </c>
      <c r="D2802" s="1067" t="s">
        <v>566</v>
      </c>
      <c r="E2802" s="1068" t="s">
        <v>70</v>
      </c>
      <c r="F2802" s="1067"/>
      <c r="G2802" s="1069" t="str">
        <f t="array" ref="G2802">IF(B2802="insumo",_xlfn.XLOOKUP($D2802,Insumos!$B$1:$B$996,Insumos!$D$1:$D$996),"")</f>
        <v/>
      </c>
      <c r="H2802" s="1069">
        <v>164.74799999999999</v>
      </c>
      <c r="I2802" s="1070" t="e">
        <v>#REF!</v>
      </c>
      <c r="J2802" s="1070" t="e">
        <v>#REF!</v>
      </c>
      <c r="K2802" s="1070"/>
      <c r="L2802"/>
      <c r="M2802"/>
      <c r="N2802"/>
      <c r="O2802"/>
      <c r="P2802"/>
      <c r="Q2802"/>
      <c r="R2802"/>
      <c r="S2802"/>
      <c r="T2802"/>
      <c r="U2802"/>
      <c r="V2802"/>
      <c r="W2802"/>
      <c r="X2802"/>
      <c r="Y2802"/>
      <c r="Z2802"/>
      <c r="AA2802"/>
      <c r="AB2802"/>
      <c r="AC2802"/>
      <c r="AD2802"/>
      <c r="AE2802"/>
      <c r="AF2802"/>
      <c r="AG2802"/>
      <c r="AH2802"/>
      <c r="AI2802"/>
      <c r="AJ2802"/>
      <c r="AK2802"/>
      <c r="AL2802"/>
    </row>
    <row r="2803" spans="1:38" ht="15.75" customHeight="1" outlineLevel="3" x14ac:dyDescent="0.2">
      <c r="A2803" s="10">
        <v>1</v>
      </c>
      <c r="B2803" s="10" t="s">
        <v>71</v>
      </c>
      <c r="C2803" s="10" t="s">
        <v>566</v>
      </c>
      <c r="D2803" s="10" t="s">
        <v>566</v>
      </c>
      <c r="E2803" s="11" t="str">
        <f t="array" ref="E2803">_xlfn.XLOOKUP(D2803,Insumos!B:B,Insumos!C:$C)</f>
        <v>M2</v>
      </c>
      <c r="F2803" s="14">
        <v>1.3729</v>
      </c>
      <c r="G2803" s="92">
        <f t="array" ref="G2803">IF(B2803="insumo",_xlfn.XLOOKUP($D2803,Insumos!$B$1:$B$996,Insumos!$D$1:$D$996),"")</f>
        <v>120</v>
      </c>
      <c r="H2803" s="92">
        <v>164.74799999999999</v>
      </c>
      <c r="I2803" s="13" t="e">
        <v>#REF!</v>
      </c>
      <c r="J2803" s="13" t="e">
        <v>#REF!</v>
      </c>
      <c r="K2803" s="13"/>
      <c r="L2803"/>
      <c r="M2803"/>
      <c r="N2803"/>
      <c r="O2803"/>
      <c r="P2803"/>
      <c r="Q2803"/>
      <c r="R2803"/>
      <c r="S2803"/>
      <c r="T2803"/>
      <c r="U2803"/>
      <c r="V2803"/>
      <c r="W2803"/>
      <c r="X2803"/>
      <c r="Y2803"/>
      <c r="Z2803"/>
      <c r="AA2803"/>
      <c r="AB2803"/>
      <c r="AC2803"/>
      <c r="AD2803"/>
      <c r="AE2803"/>
      <c r="AF2803"/>
      <c r="AG2803"/>
      <c r="AH2803"/>
      <c r="AI2803"/>
      <c r="AJ2803"/>
      <c r="AK2803"/>
      <c r="AL2803"/>
    </row>
    <row r="2804" spans="1:38" ht="15.75" customHeight="1" outlineLevel="2" x14ac:dyDescent="0.2">
      <c r="A2804" s="1067">
        <v>1</v>
      </c>
      <c r="B2804" s="1067" t="s">
        <v>68</v>
      </c>
      <c r="C2804" s="1067" t="s">
        <v>567</v>
      </c>
      <c r="D2804" s="1067" t="s">
        <v>567</v>
      </c>
      <c r="E2804" s="1068" t="s">
        <v>70</v>
      </c>
      <c r="F2804" s="1067"/>
      <c r="G2804" s="1069" t="str">
        <f t="array" ref="G2804">IF(B2804="insumo",_xlfn.XLOOKUP($D2804,Insumos!$B$1:$B$996,Insumos!$D$1:$D$996),"")</f>
        <v/>
      </c>
      <c r="H2804" s="1069">
        <v>49.424399999999999</v>
      </c>
      <c r="I2804" s="1070" t="e">
        <v>#REF!</v>
      </c>
      <c r="J2804" s="1070" t="e">
        <v>#REF!</v>
      </c>
      <c r="K2804" s="1070"/>
      <c r="L2804"/>
      <c r="M2804"/>
      <c r="N2804"/>
      <c r="O2804"/>
      <c r="P2804"/>
      <c r="Q2804"/>
      <c r="R2804"/>
      <c r="S2804"/>
      <c r="T2804"/>
      <c r="U2804"/>
      <c r="V2804"/>
      <c r="W2804"/>
      <c r="X2804"/>
      <c r="Y2804"/>
      <c r="Z2804"/>
      <c r="AA2804"/>
      <c r="AB2804"/>
      <c r="AC2804"/>
      <c r="AD2804"/>
      <c r="AE2804"/>
      <c r="AF2804"/>
      <c r="AG2804"/>
      <c r="AH2804"/>
      <c r="AI2804"/>
      <c r="AJ2804"/>
      <c r="AK2804"/>
      <c r="AL2804"/>
    </row>
    <row r="2805" spans="1:38" ht="15.75" customHeight="1" outlineLevel="3" x14ac:dyDescent="0.2">
      <c r="A2805" s="10">
        <v>1</v>
      </c>
      <c r="B2805" s="10" t="s">
        <v>71</v>
      </c>
      <c r="C2805" s="10" t="s">
        <v>567</v>
      </c>
      <c r="D2805" s="10" t="s">
        <v>567</v>
      </c>
      <c r="E2805" s="11" t="str">
        <f t="array" ref="E2805">_xlfn.XLOOKUP(D2805,Insumos!B:B,Insumos!C:$C)</f>
        <v>M2</v>
      </c>
      <c r="F2805" s="14">
        <v>1.3729</v>
      </c>
      <c r="G2805" s="92">
        <f t="array" ref="G2805">IF(B2805="insumo",_xlfn.XLOOKUP($D2805,Insumos!$B$1:$B$996,Insumos!$D$1:$D$996),"")</f>
        <v>36</v>
      </c>
      <c r="H2805" s="92">
        <v>49.424399999999999</v>
      </c>
      <c r="I2805" s="13" t="e">
        <v>#REF!</v>
      </c>
      <c r="J2805" s="13" t="e">
        <v>#REF!</v>
      </c>
      <c r="K2805" s="13"/>
      <c r="L2805"/>
      <c r="M2805"/>
      <c r="N2805"/>
      <c r="O2805"/>
      <c r="P2805"/>
      <c r="Q2805"/>
      <c r="R2805"/>
      <c r="S2805"/>
      <c r="T2805"/>
      <c r="U2805"/>
      <c r="V2805"/>
      <c r="W2805"/>
      <c r="X2805"/>
      <c r="Y2805"/>
      <c r="Z2805"/>
      <c r="AA2805"/>
      <c r="AB2805"/>
      <c r="AC2805"/>
      <c r="AD2805"/>
      <c r="AE2805"/>
      <c r="AF2805"/>
      <c r="AG2805"/>
      <c r="AH2805"/>
      <c r="AI2805"/>
      <c r="AJ2805"/>
      <c r="AK2805"/>
      <c r="AL2805"/>
    </row>
    <row r="2806" spans="1:38" ht="12.75" outlineLevel="2" x14ac:dyDescent="0.2">
      <c r="A2806" s="1071">
        <v>1</v>
      </c>
      <c r="B2806" s="1071" t="s">
        <v>68</v>
      </c>
      <c r="C2806" s="1071" t="s">
        <v>1855</v>
      </c>
      <c r="D2806" s="1071" t="s">
        <v>1855</v>
      </c>
      <c r="E2806" s="1072" t="s">
        <v>70</v>
      </c>
      <c r="F2806" s="1071"/>
      <c r="G2806" s="1073" t="str">
        <f t="array" ref="G2806">IF(B2806="insumo",_xlfn.XLOOKUP($D2806,Insumos!$B$1:$B$996,Insumos!$D$1:$D$996),"")</f>
        <v/>
      </c>
      <c r="H2806" s="1073">
        <v>126.415294</v>
      </c>
      <c r="I2806" s="1074">
        <v>0</v>
      </c>
      <c r="J2806" s="1074">
        <v>0</v>
      </c>
      <c r="K2806" s="1074"/>
      <c r="L2806"/>
      <c r="M2806"/>
      <c r="N2806"/>
      <c r="O2806"/>
      <c r="P2806"/>
      <c r="Q2806"/>
      <c r="R2806"/>
      <c r="S2806"/>
      <c r="T2806"/>
      <c r="U2806"/>
      <c r="V2806"/>
      <c r="W2806"/>
      <c r="X2806"/>
      <c r="Y2806"/>
      <c r="Z2806"/>
      <c r="AA2806"/>
      <c r="AB2806"/>
      <c r="AC2806"/>
      <c r="AD2806"/>
      <c r="AE2806"/>
      <c r="AF2806"/>
      <c r="AG2806"/>
      <c r="AH2806"/>
      <c r="AI2806"/>
      <c r="AJ2806"/>
      <c r="AK2806"/>
      <c r="AL2806"/>
    </row>
    <row r="2807" spans="1:38" ht="12.75" outlineLevel="3" x14ac:dyDescent="0.2">
      <c r="A2807" s="82">
        <v>86</v>
      </c>
      <c r="B2807" s="82" t="s">
        <v>71</v>
      </c>
      <c r="C2807" s="82" t="s">
        <v>1855</v>
      </c>
      <c r="D2807" s="82" t="s">
        <v>407</v>
      </c>
      <c r="E2807" s="11" t="str">
        <f t="array" ref="E2807">_xlfn.XLOOKUP(D2807,Insumos!B:B,Insumos!C:$C)</f>
        <v>M2</v>
      </c>
      <c r="F2807" s="86">
        <v>1</v>
      </c>
      <c r="G2807" s="92">
        <f t="array" ref="G2807">IF(B2807="insumo",_xlfn.XLOOKUP($D2807,Insumos!$B$1:$B$996,Insumos!$D$1:$D$996),"")</f>
        <v>70</v>
      </c>
      <c r="H2807" s="92">
        <v>70</v>
      </c>
      <c r="I2807" s="84">
        <v>0</v>
      </c>
      <c r="J2807" s="84">
        <v>0</v>
      </c>
      <c r="K2807" s="84"/>
      <c r="L2807"/>
      <c r="M2807"/>
      <c r="N2807"/>
      <c r="O2807"/>
      <c r="P2807"/>
      <c r="Q2807"/>
      <c r="R2807"/>
      <c r="S2807"/>
      <c r="T2807"/>
      <c r="U2807"/>
      <c r="V2807"/>
      <c r="W2807"/>
      <c r="X2807"/>
      <c r="Y2807"/>
      <c r="Z2807"/>
      <c r="AA2807"/>
      <c r="AB2807"/>
      <c r="AC2807"/>
      <c r="AD2807"/>
      <c r="AE2807"/>
      <c r="AF2807"/>
      <c r="AG2807"/>
      <c r="AH2807"/>
      <c r="AI2807"/>
      <c r="AJ2807"/>
      <c r="AK2807"/>
      <c r="AL2807"/>
    </row>
    <row r="2808" spans="1:38" ht="12.75" outlineLevel="3" x14ac:dyDescent="0.2">
      <c r="A2808" s="82">
        <v>49</v>
      </c>
      <c r="B2808" s="82" t="s">
        <v>71</v>
      </c>
      <c r="C2808" s="82" t="s">
        <v>1855</v>
      </c>
      <c r="D2808" s="82" t="s">
        <v>418</v>
      </c>
      <c r="E2808" s="11" t="str">
        <f t="array" ref="E2808">_xlfn.XLOOKUP(D2808,Insumos!B:B,Insumos!C:$C)</f>
        <v>M2</v>
      </c>
      <c r="F2808" s="86">
        <v>1.0529999999999999</v>
      </c>
      <c r="G2808" s="92">
        <f t="array" ref="G2808">IF(B2808="insumo",_xlfn.XLOOKUP($D2808,Insumos!$B$1:$B$996,Insumos!$D$1:$D$996),"")</f>
        <v>27.1</v>
      </c>
      <c r="H2808" s="92">
        <v>28.536300000000001</v>
      </c>
      <c r="I2808" s="84">
        <v>0</v>
      </c>
      <c r="J2808" s="84">
        <v>0</v>
      </c>
      <c r="K2808" s="84"/>
      <c r="L2808"/>
      <c r="M2808"/>
      <c r="N2808"/>
      <c r="O2808"/>
      <c r="P2808"/>
      <c r="Q2808"/>
      <c r="R2808"/>
      <c r="S2808"/>
      <c r="T2808"/>
      <c r="U2808"/>
      <c r="V2808"/>
      <c r="W2808"/>
      <c r="X2808"/>
      <c r="Y2808"/>
      <c r="Z2808"/>
      <c r="AA2808"/>
      <c r="AB2808"/>
      <c r="AC2808"/>
      <c r="AD2808"/>
      <c r="AE2808"/>
      <c r="AF2808"/>
      <c r="AG2808"/>
      <c r="AH2808"/>
      <c r="AI2808"/>
      <c r="AJ2808"/>
      <c r="AK2808"/>
      <c r="AL2808"/>
    </row>
    <row r="2809" spans="1:38" ht="12.75" outlineLevel="3" x14ac:dyDescent="0.2">
      <c r="A2809" s="82">
        <v>95</v>
      </c>
      <c r="B2809" s="82" t="s">
        <v>71</v>
      </c>
      <c r="C2809" s="82" t="s">
        <v>1855</v>
      </c>
      <c r="D2809" s="82" t="s">
        <v>409</v>
      </c>
      <c r="E2809" s="11" t="str">
        <f t="array" ref="E2809">_xlfn.XLOOKUP(D2809,Insumos!B:B,Insumos!C:$C)</f>
        <v>UN</v>
      </c>
      <c r="F2809" s="86">
        <v>2.48</v>
      </c>
      <c r="G2809" s="92">
        <f t="array" ref="G2809">IF(B2809="insumo",_xlfn.XLOOKUP($D2809,Insumos!$B$1:$B$996,Insumos!$D$1:$D$996),"")</f>
        <v>0.504</v>
      </c>
      <c r="H2809" s="92">
        <v>1.2499199999999999</v>
      </c>
      <c r="I2809" s="84">
        <v>0</v>
      </c>
      <c r="J2809" s="84">
        <v>0</v>
      </c>
      <c r="K2809" s="84"/>
      <c r="L2809"/>
      <c r="M2809"/>
      <c r="N2809"/>
      <c r="O2809"/>
      <c r="P2809"/>
      <c r="Q2809"/>
      <c r="R2809"/>
      <c r="S2809"/>
      <c r="T2809"/>
      <c r="U2809"/>
      <c r="V2809"/>
      <c r="W2809"/>
      <c r="X2809"/>
      <c r="Y2809"/>
      <c r="Z2809"/>
      <c r="AA2809"/>
      <c r="AB2809"/>
      <c r="AC2809"/>
      <c r="AD2809"/>
      <c r="AE2809"/>
      <c r="AF2809"/>
      <c r="AG2809"/>
      <c r="AH2809"/>
      <c r="AI2809"/>
      <c r="AJ2809"/>
      <c r="AK2809"/>
      <c r="AL2809"/>
    </row>
    <row r="2810" spans="1:38" ht="12.75" outlineLevel="3" x14ac:dyDescent="0.2">
      <c r="A2810" s="82">
        <v>26</v>
      </c>
      <c r="B2810" s="82" t="s">
        <v>71</v>
      </c>
      <c r="C2810" s="82" t="s">
        <v>1855</v>
      </c>
      <c r="D2810" s="82" t="s">
        <v>410</v>
      </c>
      <c r="E2810" s="11" t="str">
        <f t="array" ref="E2810">_xlfn.XLOOKUP(D2810,Insumos!B:B,Insumos!C:$C)</f>
        <v>M</v>
      </c>
      <c r="F2810" s="86">
        <v>0.76239999999999997</v>
      </c>
      <c r="G2810" s="92">
        <f t="array" ref="G2810">IF(B2810="insumo",_xlfn.XLOOKUP($D2810,Insumos!$B$1:$B$996,Insumos!$D$1:$D$996),"")</f>
        <v>7.03</v>
      </c>
      <c r="H2810" s="92">
        <v>5.3596719999999998</v>
      </c>
      <c r="I2810" s="84">
        <v>0</v>
      </c>
      <c r="J2810" s="84">
        <v>0</v>
      </c>
      <c r="K2810" s="84"/>
      <c r="L2810"/>
      <c r="M2810"/>
      <c r="N2810"/>
      <c r="O2810"/>
      <c r="P2810"/>
      <c r="Q2810"/>
      <c r="R2810"/>
      <c r="S2810"/>
      <c r="T2810"/>
      <c r="U2810"/>
      <c r="V2810"/>
      <c r="W2810"/>
      <c r="X2810"/>
      <c r="Y2810"/>
      <c r="Z2810"/>
      <c r="AA2810"/>
      <c r="AB2810"/>
      <c r="AC2810"/>
      <c r="AD2810"/>
      <c r="AE2810"/>
      <c r="AF2810"/>
      <c r="AG2810"/>
      <c r="AH2810"/>
      <c r="AI2810"/>
      <c r="AJ2810"/>
      <c r="AK2810"/>
      <c r="AL2810"/>
    </row>
    <row r="2811" spans="1:38" ht="12.75" outlineLevel="3" x14ac:dyDescent="0.2">
      <c r="A2811" s="82">
        <v>26</v>
      </c>
      <c r="B2811" s="82" t="s">
        <v>71</v>
      </c>
      <c r="C2811" s="82" t="s">
        <v>1855</v>
      </c>
      <c r="D2811" s="82" t="s">
        <v>411</v>
      </c>
      <c r="E2811" s="11" t="str">
        <f t="array" ref="E2811">_xlfn.XLOOKUP(D2811,Insumos!B:B,Insumos!C:$C)</f>
        <v>M</v>
      </c>
      <c r="F2811" s="86">
        <v>2.0005999999999999</v>
      </c>
      <c r="G2811" s="92">
        <f t="array" ref="G2811">IF(B2811="insumo",_xlfn.XLOOKUP($D2811,Insumos!$B$1:$B$996,Insumos!$D$1:$D$996),"")</f>
        <v>7.98</v>
      </c>
      <c r="H2811" s="92">
        <v>15.964788</v>
      </c>
      <c r="I2811" s="84">
        <v>0</v>
      </c>
      <c r="J2811" s="84">
        <v>0</v>
      </c>
      <c r="K2811" s="84"/>
      <c r="L2811"/>
      <c r="M2811"/>
      <c r="N2811"/>
      <c r="O2811"/>
      <c r="P2811"/>
      <c r="Q2811"/>
      <c r="R2811"/>
      <c r="S2811"/>
      <c r="T2811"/>
      <c r="U2811"/>
      <c r="V2811"/>
      <c r="W2811"/>
      <c r="X2811"/>
      <c r="Y2811"/>
      <c r="Z2811"/>
      <c r="AA2811"/>
      <c r="AB2811"/>
      <c r="AC2811"/>
      <c r="AD2811"/>
      <c r="AE2811"/>
      <c r="AF2811"/>
      <c r="AG2811"/>
      <c r="AH2811"/>
      <c r="AI2811"/>
      <c r="AJ2811"/>
      <c r="AK2811"/>
      <c r="AL2811"/>
    </row>
    <row r="2812" spans="1:38" ht="12.75" outlineLevel="3" x14ac:dyDescent="0.2">
      <c r="A2812" s="82">
        <v>95</v>
      </c>
      <c r="B2812" s="82" t="s">
        <v>71</v>
      </c>
      <c r="C2812" s="82" t="s">
        <v>1855</v>
      </c>
      <c r="D2812" s="82" t="s">
        <v>405</v>
      </c>
      <c r="E2812" s="11" t="str">
        <f t="array" ref="E2812">_xlfn.XLOOKUP(D2812,Insumos!B:B,Insumos!C:$C)</f>
        <v>KG</v>
      </c>
      <c r="F2812" s="86">
        <v>0.54890000000000005</v>
      </c>
      <c r="G2812" s="92">
        <f t="array" ref="G2812">IF(B2812="insumo",_xlfn.XLOOKUP($D2812,Insumos!$B$1:$B$996,Insumos!$D$1:$D$996),"")</f>
        <v>3.43</v>
      </c>
      <c r="H2812" s="92">
        <v>1.882727</v>
      </c>
      <c r="I2812" s="84">
        <v>0</v>
      </c>
      <c r="J2812" s="84">
        <v>0</v>
      </c>
      <c r="K2812" s="84"/>
      <c r="L2812"/>
      <c r="M2812"/>
      <c r="N2812"/>
      <c r="O2812"/>
      <c r="P2812"/>
      <c r="Q2812"/>
      <c r="R2812"/>
      <c r="S2812"/>
      <c r="T2812"/>
      <c r="U2812"/>
      <c r="V2812"/>
      <c r="W2812"/>
      <c r="X2812"/>
      <c r="Y2812"/>
      <c r="Z2812"/>
      <c r="AA2812"/>
      <c r="AB2812"/>
      <c r="AC2812"/>
      <c r="AD2812"/>
      <c r="AE2812"/>
      <c r="AF2812"/>
      <c r="AG2812"/>
      <c r="AH2812"/>
      <c r="AI2812"/>
      <c r="AJ2812"/>
      <c r="AK2812"/>
      <c r="AL2812"/>
    </row>
    <row r="2813" spans="1:38" ht="12.75" outlineLevel="3" x14ac:dyDescent="0.2">
      <c r="A2813" s="82">
        <v>94</v>
      </c>
      <c r="B2813" s="82" t="s">
        <v>71</v>
      </c>
      <c r="C2813" s="82" t="s">
        <v>1855</v>
      </c>
      <c r="D2813" s="82" t="s">
        <v>412</v>
      </c>
      <c r="E2813" s="11" t="str">
        <f t="array" ref="E2813">_xlfn.XLOOKUP(D2813,Insumos!B:B,Insumos!C:$C)</f>
        <v>M</v>
      </c>
      <c r="F2813" s="86">
        <v>1.2513000000000001</v>
      </c>
      <c r="G2813" s="92">
        <f t="array" ref="G2813">IF(B2813="insumo",_xlfn.XLOOKUP($D2813,Insumos!$B$1:$B$996,Insumos!$D$1:$D$996),"")</f>
        <v>0.31</v>
      </c>
      <c r="H2813" s="92">
        <v>0.387903</v>
      </c>
      <c r="I2813" s="84">
        <v>0</v>
      </c>
      <c r="J2813" s="84">
        <v>0</v>
      </c>
      <c r="K2813" s="84"/>
      <c r="L2813"/>
      <c r="M2813"/>
      <c r="N2813"/>
      <c r="O2813"/>
      <c r="P2813"/>
      <c r="Q2813"/>
      <c r="R2813"/>
      <c r="S2813"/>
      <c r="T2813"/>
      <c r="U2813"/>
      <c r="V2813"/>
      <c r="W2813"/>
      <c r="X2813"/>
      <c r="Y2813"/>
      <c r="Z2813"/>
      <c r="AA2813"/>
      <c r="AB2813"/>
      <c r="AC2813"/>
      <c r="AD2813"/>
      <c r="AE2813"/>
      <c r="AF2813"/>
      <c r="AG2813"/>
      <c r="AH2813"/>
      <c r="AI2813"/>
      <c r="AJ2813"/>
      <c r="AK2813"/>
      <c r="AL2813"/>
    </row>
    <row r="2814" spans="1:38" ht="12.75" outlineLevel="3" x14ac:dyDescent="0.2">
      <c r="A2814" s="82">
        <v>94</v>
      </c>
      <c r="B2814" s="82" t="s">
        <v>71</v>
      </c>
      <c r="C2814" s="82" t="s">
        <v>1855</v>
      </c>
      <c r="D2814" s="82" t="s">
        <v>413</v>
      </c>
      <c r="E2814" s="11" t="str">
        <f t="array" ref="E2814">_xlfn.XLOOKUP(D2814,Insumos!B:B,Insumos!C:$C)</f>
        <v>M</v>
      </c>
      <c r="F2814" s="86">
        <v>0.74070000000000003</v>
      </c>
      <c r="G2814" s="92">
        <f t="array" ref="G2814">IF(B2814="insumo",_xlfn.XLOOKUP($D2814,Insumos!$B$1:$B$996,Insumos!$D$1:$D$996),"")</f>
        <v>2.74</v>
      </c>
      <c r="H2814" s="92">
        <v>2.0295179999999999</v>
      </c>
      <c r="I2814" s="84">
        <v>0</v>
      </c>
      <c r="J2814" s="84">
        <v>0</v>
      </c>
      <c r="K2814" s="84"/>
      <c r="L2814"/>
      <c r="M2814"/>
      <c r="N2814"/>
      <c r="O2814"/>
      <c r="P2814"/>
      <c r="Q2814"/>
      <c r="R2814"/>
      <c r="S2814"/>
      <c r="T2814"/>
      <c r="U2814"/>
      <c r="V2814"/>
      <c r="W2814"/>
      <c r="X2814"/>
      <c r="Y2814"/>
      <c r="Z2814"/>
      <c r="AA2814"/>
      <c r="AB2814"/>
      <c r="AC2814"/>
      <c r="AD2814"/>
      <c r="AE2814"/>
      <c r="AF2814"/>
      <c r="AG2814"/>
      <c r="AH2814"/>
      <c r="AI2814"/>
      <c r="AJ2814"/>
      <c r="AK2814"/>
      <c r="AL2814"/>
    </row>
    <row r="2815" spans="1:38" ht="12.75" outlineLevel="3" x14ac:dyDescent="0.2">
      <c r="A2815" s="82">
        <v>97</v>
      </c>
      <c r="B2815" s="82" t="s">
        <v>71</v>
      </c>
      <c r="C2815" s="82" t="s">
        <v>1855</v>
      </c>
      <c r="D2815" s="82" t="s">
        <v>414</v>
      </c>
      <c r="E2815" s="11" t="str">
        <f t="array" ref="E2815">_xlfn.XLOOKUP(D2815,Insumos!B:B,Insumos!C:$C)</f>
        <v>UN</v>
      </c>
      <c r="F2815" s="86">
        <v>10.093400000000001</v>
      </c>
      <c r="G2815" s="92">
        <f t="array" ref="G2815">IF(B2815="insumo",_xlfn.XLOOKUP($D2815,Insumos!$B$1:$B$996,Insumos!$D$1:$D$996),"")</f>
        <v>0.09</v>
      </c>
      <c r="H2815" s="92">
        <v>0.90840600000000005</v>
      </c>
      <c r="I2815" s="84">
        <v>0</v>
      </c>
      <c r="J2815" s="84">
        <v>0</v>
      </c>
      <c r="K2815" s="84"/>
      <c r="L2815"/>
      <c r="M2815"/>
      <c r="N2815"/>
      <c r="O2815"/>
      <c r="P2815"/>
      <c r="Q2815"/>
      <c r="R2815"/>
      <c r="S2815"/>
      <c r="T2815"/>
      <c r="U2815"/>
      <c r="V2815"/>
      <c r="W2815"/>
      <c r="X2815"/>
      <c r="Y2815"/>
      <c r="Z2815"/>
      <c r="AA2815"/>
      <c r="AB2815"/>
      <c r="AC2815"/>
      <c r="AD2815"/>
      <c r="AE2815"/>
      <c r="AF2815"/>
      <c r="AG2815"/>
      <c r="AH2815"/>
      <c r="AI2815"/>
      <c r="AJ2815"/>
      <c r="AK2815"/>
      <c r="AL2815"/>
    </row>
    <row r="2816" spans="1:38" ht="12.75" outlineLevel="3" x14ac:dyDescent="0.2">
      <c r="A2816" s="82">
        <v>95</v>
      </c>
      <c r="B2816" s="82" t="s">
        <v>71</v>
      </c>
      <c r="C2816" s="82" t="s">
        <v>1855</v>
      </c>
      <c r="D2816" s="82" t="s">
        <v>415</v>
      </c>
      <c r="E2816" s="11" t="str">
        <f t="array" ref="E2816">_xlfn.XLOOKUP(D2816,Insumos!B:B,Insumos!C:$C)</f>
        <v>UN</v>
      </c>
      <c r="F2816" s="86">
        <v>0.4803</v>
      </c>
      <c r="G2816" s="92">
        <f t="array" ref="G2816">IF(B2816="insumo",_xlfn.XLOOKUP($D2816,Insumos!$B$1:$B$996,Insumos!$D$1:$D$996),"")</f>
        <v>0.2</v>
      </c>
      <c r="H2816" s="92">
        <v>9.6060000000000006E-2</v>
      </c>
      <c r="I2816" s="84">
        <v>0</v>
      </c>
      <c r="J2816" s="84">
        <v>0</v>
      </c>
      <c r="K2816" s="84"/>
      <c r="L2816"/>
      <c r="M2816"/>
      <c r="N2816"/>
      <c r="O2816"/>
      <c r="P2816"/>
      <c r="Q2816"/>
      <c r="R2816"/>
      <c r="S2816"/>
      <c r="T2816"/>
      <c r="U2816"/>
      <c r="V2816"/>
      <c r="W2816"/>
      <c r="X2816"/>
      <c r="Y2816"/>
      <c r="Z2816"/>
      <c r="AA2816"/>
      <c r="AB2816"/>
      <c r="AC2816"/>
      <c r="AD2816"/>
      <c r="AE2816"/>
      <c r="AF2816"/>
      <c r="AG2816"/>
      <c r="AH2816"/>
      <c r="AI2816"/>
      <c r="AJ2816"/>
      <c r="AK2816"/>
      <c r="AL2816"/>
    </row>
    <row r="2817" spans="1:38" ht="15.75" customHeight="1" outlineLevel="1" x14ac:dyDescent="0.2">
      <c r="A2817" s="1090">
        <v>1</v>
      </c>
      <c r="B2817" s="1090" t="s">
        <v>1228</v>
      </c>
      <c r="C2817" s="1090" t="s">
        <v>1855</v>
      </c>
      <c r="D2817" s="1090" t="s">
        <v>1440</v>
      </c>
      <c r="E2817" s="1091"/>
      <c r="F2817" s="1092"/>
      <c r="G2817" s="1091"/>
      <c r="H2817" s="1091">
        <v>0</v>
      </c>
      <c r="I2817" s="1092">
        <v>0</v>
      </c>
      <c r="J2817" s="1092">
        <v>0</v>
      </c>
      <c r="K2817" s="1092"/>
      <c r="L2817"/>
      <c r="M2817"/>
      <c r="N2817"/>
      <c r="O2817"/>
      <c r="P2817"/>
      <c r="Q2817"/>
      <c r="R2817"/>
      <c r="S2817"/>
      <c r="T2817"/>
      <c r="U2817"/>
      <c r="V2817"/>
      <c r="W2817"/>
      <c r="X2817"/>
      <c r="Y2817"/>
      <c r="Z2817"/>
      <c r="AA2817"/>
      <c r="AB2817"/>
      <c r="AC2817"/>
      <c r="AD2817"/>
      <c r="AE2817"/>
      <c r="AF2817"/>
      <c r="AG2817"/>
      <c r="AH2817"/>
      <c r="AI2817"/>
      <c r="AJ2817"/>
      <c r="AK2817"/>
      <c r="AL2817"/>
    </row>
    <row r="2818" spans="1:38" ht="15.75" customHeight="1" outlineLevel="2" x14ac:dyDescent="0.2">
      <c r="A2818" s="1067">
        <v>1</v>
      </c>
      <c r="B2818" s="1067" t="s">
        <v>68</v>
      </c>
      <c r="C2818" s="1067" t="s">
        <v>568</v>
      </c>
      <c r="D2818" s="1067" t="s">
        <v>568</v>
      </c>
      <c r="E2818" s="1068" t="s">
        <v>70</v>
      </c>
      <c r="F2818" s="1067"/>
      <c r="G2818" s="1069" t="str">
        <f t="array" ref="G2818">IF(B2818="insumo",_xlfn.XLOOKUP($D2818,Insumos!$B$1:$B$996,Insumos!$D$1:$D$996),"")</f>
        <v/>
      </c>
      <c r="H2818" s="1069">
        <v>219.20046110145</v>
      </c>
      <c r="I2818" s="1070">
        <v>0</v>
      </c>
      <c r="J2818" s="1070">
        <v>0</v>
      </c>
      <c r="K2818" s="1070"/>
      <c r="L2818"/>
      <c r="M2818"/>
      <c r="N2818"/>
      <c r="O2818"/>
      <c r="P2818"/>
      <c r="Q2818"/>
      <c r="R2818"/>
      <c r="S2818"/>
      <c r="T2818"/>
      <c r="U2818"/>
      <c r="V2818"/>
      <c r="W2818"/>
      <c r="X2818"/>
      <c r="Y2818"/>
      <c r="Z2818"/>
      <c r="AA2818"/>
      <c r="AB2818"/>
      <c r="AC2818"/>
      <c r="AD2818"/>
      <c r="AE2818"/>
      <c r="AF2818"/>
      <c r="AG2818"/>
      <c r="AH2818"/>
      <c r="AI2818"/>
      <c r="AJ2818"/>
      <c r="AK2818"/>
      <c r="AL2818"/>
    </row>
    <row r="2819" spans="1:38" ht="15.75" customHeight="1" outlineLevel="3" x14ac:dyDescent="0.2">
      <c r="A2819" s="10">
        <v>1</v>
      </c>
      <c r="B2819" s="10" t="s">
        <v>71</v>
      </c>
      <c r="C2819" s="10" t="s">
        <v>568</v>
      </c>
      <c r="D2819" s="10" t="s">
        <v>568</v>
      </c>
      <c r="E2819" s="11" t="str">
        <f t="array" ref="E2819">_xlfn.XLOOKUP(D2819,Insumos!B:B,Insumos!C:$C)</f>
        <v>M2</v>
      </c>
      <c r="F2819" s="14">
        <v>1</v>
      </c>
      <c r="G2819" s="92">
        <f t="array" ref="G2819">IF(B2819="insumo",_xlfn.XLOOKUP($D2819,Insumos!$B$1:$B$996,Insumos!$D$1:$D$996),"")</f>
        <v>219.20046110145017</v>
      </c>
      <c r="H2819" s="92">
        <v>219.20046110145</v>
      </c>
      <c r="I2819" s="13">
        <v>0</v>
      </c>
      <c r="J2819" s="13">
        <v>0</v>
      </c>
      <c r="K2819" s="13"/>
      <c r="L2819"/>
      <c r="M2819"/>
      <c r="N2819"/>
      <c r="O2819"/>
      <c r="P2819"/>
      <c r="Q2819"/>
      <c r="R2819"/>
      <c r="S2819"/>
      <c r="T2819"/>
      <c r="U2819"/>
      <c r="V2819"/>
      <c r="W2819"/>
      <c r="X2819"/>
      <c r="Y2819"/>
      <c r="Z2819"/>
      <c r="AA2819"/>
      <c r="AB2819"/>
      <c r="AC2819"/>
      <c r="AD2819"/>
      <c r="AE2819"/>
      <c r="AF2819"/>
      <c r="AG2819"/>
      <c r="AH2819"/>
      <c r="AI2819"/>
      <c r="AJ2819"/>
      <c r="AK2819"/>
      <c r="AL2819"/>
    </row>
    <row r="2820" spans="1:38" ht="15.75" customHeight="1" outlineLevel="2" x14ac:dyDescent="0.2">
      <c r="A2820" s="1067">
        <v>1</v>
      </c>
      <c r="B2820" s="1067" t="s">
        <v>68</v>
      </c>
      <c r="C2820" s="1067" t="s">
        <v>2909</v>
      </c>
      <c r="D2820" s="1067" t="s">
        <v>2909</v>
      </c>
      <c r="E2820" s="1068" t="s">
        <v>70</v>
      </c>
      <c r="F2820" s="1067"/>
      <c r="G2820" s="1069" t="str">
        <f t="array" ref="G2820">IF(B2820="insumo",_xlfn.XLOOKUP($D2820,Insumos!$B$1:$B$996,Insumos!$D$1:$D$996),"")</f>
        <v/>
      </c>
      <c r="H2820" s="1069">
        <v>985.16483516483504</v>
      </c>
      <c r="I2820" s="1070" t="e">
        <v>#REF!</v>
      </c>
      <c r="J2820" s="1070" t="e">
        <v>#REF!</v>
      </c>
      <c r="K2820" s="1070"/>
      <c r="L2820"/>
      <c r="M2820"/>
      <c r="N2820"/>
      <c r="O2820"/>
      <c r="P2820"/>
      <c r="Q2820"/>
      <c r="R2820"/>
      <c r="S2820"/>
      <c r="T2820"/>
      <c r="U2820"/>
      <c r="V2820"/>
      <c r="W2820"/>
      <c r="X2820"/>
      <c r="Y2820"/>
      <c r="Z2820"/>
      <c r="AA2820"/>
      <c r="AB2820"/>
      <c r="AC2820"/>
      <c r="AD2820"/>
      <c r="AE2820"/>
      <c r="AF2820"/>
      <c r="AG2820"/>
      <c r="AH2820"/>
      <c r="AI2820"/>
      <c r="AJ2820"/>
      <c r="AK2820"/>
      <c r="AL2820"/>
    </row>
    <row r="2821" spans="1:38" ht="15.75" customHeight="1" outlineLevel="3" x14ac:dyDescent="0.2">
      <c r="A2821" s="10">
        <v>1</v>
      </c>
      <c r="B2821" s="10" t="s">
        <v>71</v>
      </c>
      <c r="C2821" s="10" t="s">
        <v>2909</v>
      </c>
      <c r="D2821" s="10" t="s">
        <v>2910</v>
      </c>
      <c r="E2821" s="11" t="str">
        <f t="array" ref="E2821">_xlfn.XLOOKUP(D2821,Insumos!B:B,Insumos!C:$C)</f>
        <v>M2</v>
      </c>
      <c r="F2821" s="14">
        <v>1</v>
      </c>
      <c r="G2821" s="92">
        <f t="array" ref="G2821">IF(B2821="insumo",_xlfn.XLOOKUP($D2821,Insumos!$B$1:$B$996,Insumos!$D$1:$D$996),"")</f>
        <v>985.16483516483504</v>
      </c>
      <c r="H2821" s="92">
        <v>985.16483516483504</v>
      </c>
      <c r="I2821" s="13" t="e">
        <v>#REF!</v>
      </c>
      <c r="J2821" s="13" t="e">
        <v>#REF!</v>
      </c>
      <c r="K2821" s="13"/>
      <c r="L2821"/>
      <c r="M2821"/>
      <c r="N2821"/>
      <c r="O2821"/>
      <c r="P2821"/>
      <c r="Q2821"/>
      <c r="R2821"/>
      <c r="S2821"/>
      <c r="T2821"/>
      <c r="U2821"/>
      <c r="V2821"/>
      <c r="W2821"/>
      <c r="X2821"/>
      <c r="Y2821"/>
      <c r="Z2821"/>
      <c r="AA2821"/>
      <c r="AB2821"/>
      <c r="AC2821"/>
      <c r="AD2821"/>
      <c r="AE2821"/>
      <c r="AF2821"/>
      <c r="AG2821"/>
      <c r="AH2821"/>
      <c r="AI2821"/>
      <c r="AJ2821"/>
      <c r="AK2821"/>
      <c r="AL2821"/>
    </row>
    <row r="2822" spans="1:38" ht="12.75" outlineLevel="1" x14ac:dyDescent="0.2">
      <c r="A2822" s="1067">
        <v>1</v>
      </c>
      <c r="B2822" s="1076" t="s">
        <v>68</v>
      </c>
      <c r="C2822" s="1076" t="s">
        <v>2911</v>
      </c>
      <c r="D2822" s="1076" t="s">
        <v>2911</v>
      </c>
      <c r="E2822" s="1078" t="s">
        <v>788</v>
      </c>
      <c r="F2822" s="1076"/>
      <c r="G2822" s="1069" t="str">
        <f t="array" ref="G2822">IF(B2822="insumo",_xlfn.XLOOKUP($D2822,Insumos!$B$1:$B$996,Insumos!$D$1:$D$996),"")</f>
        <v/>
      </c>
      <c r="H2822" s="1069">
        <v>11.3</v>
      </c>
      <c r="I2822" s="1070">
        <v>0</v>
      </c>
      <c r="J2822" s="1070">
        <v>0</v>
      </c>
      <c r="K2822" s="1070"/>
      <c r="L2822"/>
      <c r="M2822"/>
      <c r="N2822"/>
      <c r="O2822"/>
      <c r="P2822"/>
      <c r="Q2822"/>
      <c r="R2822"/>
      <c r="S2822"/>
      <c r="T2822"/>
      <c r="U2822"/>
      <c r="V2822"/>
      <c r="W2822"/>
      <c r="X2822"/>
      <c r="Y2822"/>
      <c r="Z2822"/>
      <c r="AA2822"/>
      <c r="AB2822"/>
      <c r="AC2822"/>
      <c r="AD2822"/>
      <c r="AE2822"/>
      <c r="AF2822"/>
      <c r="AG2822"/>
      <c r="AH2822"/>
      <c r="AI2822"/>
      <c r="AJ2822"/>
      <c r="AK2822"/>
      <c r="AL2822"/>
    </row>
    <row r="2823" spans="1:38" ht="12.75" outlineLevel="2" x14ac:dyDescent="0.2">
      <c r="A2823" s="10">
        <v>1</v>
      </c>
      <c r="B2823" s="471" t="s">
        <v>71</v>
      </c>
      <c r="C2823" s="471" t="s">
        <v>2911</v>
      </c>
      <c r="D2823" s="471" t="s">
        <v>2912</v>
      </c>
      <c r="E2823" s="472" t="s">
        <v>113</v>
      </c>
      <c r="F2823" s="86">
        <v>1</v>
      </c>
      <c r="G2823" s="92">
        <f t="array" ref="G2823">IF(B2823="insumo",_xlfn.XLOOKUP($D2823,Insumos!$B$1:$B$996,Insumos!$D$1:$D$996),"")</f>
        <v>11.3</v>
      </c>
      <c r="H2823" s="92">
        <v>11.3</v>
      </c>
      <c r="I2823" s="13">
        <v>0</v>
      </c>
      <c r="J2823" s="13">
        <v>0</v>
      </c>
      <c r="K2823" s="13"/>
      <c r="L2823"/>
      <c r="M2823"/>
      <c r="N2823"/>
      <c r="O2823"/>
      <c r="P2823"/>
      <c r="Q2823"/>
      <c r="R2823"/>
      <c r="S2823"/>
      <c r="T2823"/>
      <c r="U2823"/>
      <c r="V2823"/>
      <c r="W2823"/>
      <c r="X2823"/>
      <c r="Y2823"/>
      <c r="Z2823"/>
      <c r="AA2823"/>
      <c r="AB2823"/>
      <c r="AC2823"/>
      <c r="AD2823"/>
      <c r="AE2823"/>
      <c r="AF2823"/>
      <c r="AG2823"/>
      <c r="AH2823"/>
      <c r="AI2823"/>
      <c r="AJ2823"/>
      <c r="AK2823"/>
      <c r="AL2823"/>
    </row>
    <row r="2824" spans="1:38" ht="12.75" outlineLevel="1" x14ac:dyDescent="0.2">
      <c r="A2824" s="1067">
        <v>1</v>
      </c>
      <c r="B2824" s="1076" t="s">
        <v>68</v>
      </c>
      <c r="C2824" s="1076" t="s">
        <v>2913</v>
      </c>
      <c r="D2824" s="1076" t="s">
        <v>2913</v>
      </c>
      <c r="E2824" s="1078" t="s">
        <v>788</v>
      </c>
      <c r="F2824" s="1076"/>
      <c r="G2824" s="1069" t="str">
        <f t="array" ref="G2824">IF(B2824="insumo",_xlfn.XLOOKUP($D2824,Insumos!$B$1:$B$996,Insumos!$D$1:$D$996),"")</f>
        <v/>
      </c>
      <c r="H2824" s="1069">
        <v>2315.8550312677698</v>
      </c>
      <c r="I2824" s="1070">
        <v>0</v>
      </c>
      <c r="J2824" s="1070">
        <v>0</v>
      </c>
      <c r="K2824" s="1070"/>
      <c r="L2824"/>
      <c r="M2824"/>
      <c r="N2824"/>
      <c r="O2824"/>
      <c r="P2824"/>
      <c r="Q2824"/>
      <c r="R2824"/>
      <c r="S2824"/>
      <c r="T2824"/>
      <c r="U2824"/>
      <c r="V2824"/>
      <c r="W2824"/>
      <c r="X2824"/>
      <c r="Y2824"/>
      <c r="Z2824"/>
      <c r="AA2824"/>
      <c r="AB2824"/>
      <c r="AC2824"/>
      <c r="AD2824"/>
      <c r="AE2824"/>
      <c r="AF2824"/>
      <c r="AG2824"/>
      <c r="AH2824"/>
      <c r="AI2824"/>
      <c r="AJ2824"/>
      <c r="AK2824"/>
      <c r="AL2824"/>
    </row>
    <row r="2825" spans="1:38" ht="12.75" outlineLevel="2" x14ac:dyDescent="0.2">
      <c r="A2825" s="10">
        <v>1</v>
      </c>
      <c r="B2825" s="471" t="s">
        <v>71</v>
      </c>
      <c r="C2825" s="471" t="s">
        <v>2913</v>
      </c>
      <c r="D2825" s="471" t="s">
        <v>2914</v>
      </c>
      <c r="E2825" s="472" t="s">
        <v>70</v>
      </c>
      <c r="F2825" s="86">
        <v>1</v>
      </c>
      <c r="G2825" s="92">
        <f t="array" ref="G2825">IF(B2825="insumo",_xlfn.XLOOKUP($D2825,Insumos!$B$1:$B$996,Insumos!$D$1:$D$996),"")</f>
        <v>2315.8550312677658</v>
      </c>
      <c r="H2825" s="92">
        <v>2315.8550312677698</v>
      </c>
      <c r="I2825" s="13">
        <v>0</v>
      </c>
      <c r="J2825" s="13">
        <v>0</v>
      </c>
      <c r="K2825" s="13"/>
      <c r="L2825"/>
      <c r="M2825"/>
      <c r="N2825"/>
      <c r="O2825"/>
      <c r="P2825"/>
      <c r="Q2825"/>
      <c r="R2825"/>
      <c r="S2825"/>
      <c r="T2825"/>
      <c r="U2825"/>
      <c r="V2825"/>
      <c r="W2825"/>
      <c r="X2825"/>
      <c r="Y2825"/>
      <c r="Z2825"/>
      <c r="AA2825"/>
      <c r="AB2825"/>
      <c r="AC2825"/>
      <c r="AD2825"/>
      <c r="AE2825"/>
      <c r="AF2825"/>
      <c r="AG2825"/>
      <c r="AH2825"/>
      <c r="AI2825"/>
      <c r="AJ2825"/>
      <c r="AK2825"/>
      <c r="AL2825"/>
    </row>
    <row r="2826" spans="1:38" ht="12.75" outlineLevel="1" x14ac:dyDescent="0.2">
      <c r="A2826" s="1067">
        <v>1</v>
      </c>
      <c r="B2826" s="1076" t="s">
        <v>68</v>
      </c>
      <c r="C2826" s="1076" t="s">
        <v>2915</v>
      </c>
      <c r="D2826" s="1076" t="s">
        <v>2915</v>
      </c>
      <c r="E2826" s="1078" t="s">
        <v>70</v>
      </c>
      <c r="F2826" s="1076"/>
      <c r="G2826" s="1069" t="str">
        <f t="array" ref="G2826">IF(B2826="insumo",_xlfn.XLOOKUP($D2826,Insumos!$B$1:$B$996,Insumos!$D$1:$D$996),"")</f>
        <v/>
      </c>
      <c r="H2826" s="1069">
        <v>85</v>
      </c>
      <c r="I2826" s="1070">
        <v>0</v>
      </c>
      <c r="J2826" s="1070">
        <v>0</v>
      </c>
      <c r="K2826" s="1070"/>
      <c r="L2826"/>
      <c r="M2826"/>
      <c r="N2826"/>
      <c r="O2826"/>
      <c r="P2826"/>
      <c r="Q2826"/>
      <c r="R2826"/>
      <c r="S2826"/>
      <c r="T2826"/>
      <c r="U2826"/>
      <c r="V2826"/>
      <c r="W2826"/>
      <c r="X2826"/>
      <c r="Y2826"/>
      <c r="Z2826"/>
      <c r="AA2826"/>
      <c r="AB2826"/>
      <c r="AC2826"/>
      <c r="AD2826"/>
      <c r="AE2826"/>
      <c r="AF2826"/>
      <c r="AG2826"/>
      <c r="AH2826"/>
      <c r="AI2826"/>
      <c r="AJ2826"/>
      <c r="AK2826"/>
      <c r="AL2826"/>
    </row>
    <row r="2827" spans="1:38" ht="12.75" outlineLevel="2" x14ac:dyDescent="0.2">
      <c r="A2827" s="10">
        <v>1</v>
      </c>
      <c r="B2827" s="471" t="s">
        <v>71</v>
      </c>
      <c r="C2827" s="471" t="s">
        <v>2915</v>
      </c>
      <c r="D2827" s="471" t="s">
        <v>2916</v>
      </c>
      <c r="E2827" s="472" t="s">
        <v>70</v>
      </c>
      <c r="F2827" s="86">
        <v>1</v>
      </c>
      <c r="G2827" s="92">
        <f t="array" ref="G2827">IF(B2827="insumo",_xlfn.XLOOKUP($D2827,Insumos!$B$1:$B$996,Insumos!$D$1:$D$996),"")</f>
        <v>85</v>
      </c>
      <c r="H2827" s="92">
        <v>85</v>
      </c>
      <c r="I2827" s="13">
        <v>0</v>
      </c>
      <c r="J2827" s="13">
        <v>0</v>
      </c>
      <c r="K2827" s="13"/>
      <c r="L2827"/>
      <c r="M2827"/>
      <c r="N2827"/>
      <c r="O2827"/>
      <c r="P2827"/>
      <c r="Q2827"/>
      <c r="R2827"/>
      <c r="S2827"/>
      <c r="T2827"/>
      <c r="U2827"/>
      <c r="V2827"/>
      <c r="W2827"/>
      <c r="X2827"/>
      <c r="Y2827"/>
      <c r="Z2827"/>
      <c r="AA2827"/>
      <c r="AB2827"/>
      <c r="AC2827"/>
      <c r="AD2827"/>
      <c r="AE2827"/>
      <c r="AF2827"/>
      <c r="AG2827"/>
      <c r="AH2827"/>
      <c r="AI2827"/>
      <c r="AJ2827"/>
      <c r="AK2827"/>
      <c r="AL2827"/>
    </row>
    <row r="2828" spans="1:38" ht="12.75" outlineLevel="1" x14ac:dyDescent="0.2">
      <c r="A2828" s="1067">
        <v>1</v>
      </c>
      <c r="B2828" s="1076" t="s">
        <v>68</v>
      </c>
      <c r="C2828" s="1076" t="s">
        <v>2917</v>
      </c>
      <c r="D2828" s="1076" t="s">
        <v>2917</v>
      </c>
      <c r="E2828" s="1078" t="s">
        <v>70</v>
      </c>
      <c r="F2828" s="1076"/>
      <c r="G2828" s="1069" t="str">
        <f t="array" ref="G2828">IF(B2828="insumo",_xlfn.XLOOKUP($D2828,Insumos!$B$1:$B$996,Insumos!$D$1:$D$996),"")</f>
        <v/>
      </c>
      <c r="H2828" s="1069">
        <v>100</v>
      </c>
      <c r="I2828" s="1070">
        <v>0</v>
      </c>
      <c r="J2828" s="1070">
        <v>0</v>
      </c>
      <c r="K2828" s="1070"/>
      <c r="L2828"/>
      <c r="M2828"/>
      <c r="N2828"/>
      <c r="O2828"/>
      <c r="P2828"/>
      <c r="Q2828"/>
      <c r="R2828"/>
      <c r="S2828"/>
      <c r="T2828"/>
      <c r="U2828"/>
      <c r="V2828"/>
      <c r="W2828"/>
      <c r="X2828"/>
      <c r="Y2828"/>
      <c r="Z2828"/>
      <c r="AA2828"/>
      <c r="AB2828"/>
      <c r="AC2828"/>
      <c r="AD2828"/>
      <c r="AE2828"/>
      <c r="AF2828"/>
      <c r="AG2828"/>
      <c r="AH2828"/>
      <c r="AI2828"/>
      <c r="AJ2828"/>
      <c r="AK2828"/>
      <c r="AL2828"/>
    </row>
    <row r="2829" spans="1:38" ht="12.75" outlineLevel="2" x14ac:dyDescent="0.2">
      <c r="A2829" s="10">
        <v>2</v>
      </c>
      <c r="B2829" s="471" t="s">
        <v>71</v>
      </c>
      <c r="C2829" s="471" t="s">
        <v>2917</v>
      </c>
      <c r="D2829" s="471" t="s">
        <v>564</v>
      </c>
      <c r="E2829" s="472" t="s">
        <v>70</v>
      </c>
      <c r="F2829" s="86">
        <v>1</v>
      </c>
      <c r="G2829" s="92">
        <f t="array" ref="G2829">IF(B2829="insumo",_xlfn.XLOOKUP($D2829,Insumos!$B$1:$B$996,Insumos!$D$1:$D$996),"")</f>
        <v>100</v>
      </c>
      <c r="H2829" s="92">
        <v>100</v>
      </c>
      <c r="I2829" s="13">
        <v>0</v>
      </c>
      <c r="J2829" s="13">
        <v>0</v>
      </c>
      <c r="K2829" s="13"/>
      <c r="L2829"/>
      <c r="M2829"/>
      <c r="N2829"/>
      <c r="O2829"/>
      <c r="P2829"/>
      <c r="Q2829"/>
      <c r="R2829"/>
      <c r="S2829"/>
      <c r="T2829"/>
      <c r="U2829"/>
      <c r="V2829"/>
      <c r="W2829"/>
      <c r="X2829"/>
      <c r="Y2829"/>
      <c r="Z2829"/>
      <c r="AA2829"/>
      <c r="AB2829"/>
      <c r="AC2829"/>
      <c r="AD2829"/>
      <c r="AE2829"/>
      <c r="AF2829"/>
      <c r="AG2829"/>
      <c r="AH2829"/>
      <c r="AI2829"/>
      <c r="AJ2829"/>
      <c r="AK2829"/>
      <c r="AL2829"/>
    </row>
    <row r="2830" spans="1:38" ht="12.75" outlineLevel="1" x14ac:dyDescent="0.2">
      <c r="A2830" s="1067">
        <v>1</v>
      </c>
      <c r="B2830" s="1076" t="s">
        <v>68</v>
      </c>
      <c r="C2830" s="1076" t="s">
        <v>2918</v>
      </c>
      <c r="D2830" s="1076" t="s">
        <v>2918</v>
      </c>
      <c r="E2830" s="1078" t="s">
        <v>70</v>
      </c>
      <c r="F2830" s="1076"/>
      <c r="G2830" s="1069" t="str">
        <f t="array" ref="G2830">IF(B2830="insumo",_xlfn.XLOOKUP($D2830,Insumos!$B$1:$B$996,Insumos!$D$1:$D$996),"")</f>
        <v/>
      </c>
      <c r="H2830" s="1069">
        <v>198.02</v>
      </c>
      <c r="I2830" s="1070">
        <v>0</v>
      </c>
      <c r="J2830" s="1070">
        <v>0</v>
      </c>
      <c r="K2830" s="1070"/>
      <c r="L2830"/>
      <c r="M2830"/>
      <c r="N2830"/>
      <c r="O2830"/>
      <c r="P2830"/>
      <c r="Q2830"/>
      <c r="R2830"/>
      <c r="S2830"/>
      <c r="T2830"/>
      <c r="U2830"/>
      <c r="V2830"/>
      <c r="W2830"/>
      <c r="X2830"/>
      <c r="Y2830"/>
      <c r="Z2830"/>
      <c r="AA2830"/>
      <c r="AB2830"/>
      <c r="AC2830"/>
      <c r="AD2830"/>
      <c r="AE2830"/>
      <c r="AF2830"/>
      <c r="AG2830"/>
      <c r="AH2830"/>
      <c r="AI2830"/>
      <c r="AJ2830"/>
      <c r="AK2830"/>
      <c r="AL2830"/>
    </row>
    <row r="2831" spans="1:38" ht="12.75" outlineLevel="2" x14ac:dyDescent="0.2">
      <c r="A2831" s="10">
        <v>1</v>
      </c>
      <c r="B2831" s="471" t="s">
        <v>71</v>
      </c>
      <c r="C2831" s="471" t="s">
        <v>2918</v>
      </c>
      <c r="D2831" s="471" t="s">
        <v>2918</v>
      </c>
      <c r="E2831" s="472" t="s">
        <v>70</v>
      </c>
      <c r="F2831" s="86">
        <v>1</v>
      </c>
      <c r="G2831" s="92">
        <f t="array" ref="G2831">IF(B2831="insumo",_xlfn.XLOOKUP($D2831,Insumos!$B$1:$B$996,Insumos!$D$1:$D$996),"")</f>
        <v>198.02</v>
      </c>
      <c r="H2831" s="92">
        <v>198.02</v>
      </c>
      <c r="I2831" s="13">
        <v>0</v>
      </c>
      <c r="J2831" s="13">
        <v>0</v>
      </c>
      <c r="K2831" s="13"/>
      <c r="L2831"/>
      <c r="M2831"/>
      <c r="N2831"/>
      <c r="O2831"/>
      <c r="P2831"/>
      <c r="Q2831"/>
      <c r="R2831"/>
      <c r="S2831"/>
      <c r="T2831"/>
      <c r="U2831"/>
      <c r="V2831"/>
      <c r="W2831"/>
      <c r="X2831"/>
      <c r="Y2831"/>
      <c r="Z2831"/>
      <c r="AA2831"/>
      <c r="AB2831"/>
      <c r="AC2831"/>
      <c r="AD2831"/>
      <c r="AE2831"/>
      <c r="AF2831"/>
      <c r="AG2831"/>
      <c r="AH2831"/>
      <c r="AI2831"/>
      <c r="AJ2831"/>
      <c r="AK2831"/>
      <c r="AL2831"/>
    </row>
    <row r="2832" spans="1:38" ht="15.75" customHeight="1" outlineLevel="2" x14ac:dyDescent="0.2">
      <c r="A2832" s="1067">
        <v>1</v>
      </c>
      <c r="B2832" s="1067" t="s">
        <v>68</v>
      </c>
      <c r="C2832" s="1067" t="s">
        <v>2951</v>
      </c>
      <c r="D2832" s="1067" t="s">
        <v>2951</v>
      </c>
      <c r="E2832" s="1068" t="s">
        <v>70</v>
      </c>
      <c r="F2832" s="1067"/>
      <c r="G2832" s="1069" t="str">
        <f t="array" ref="G2832">IF(B2832="insumo",_xlfn.XLOOKUP($D2832,Insumos!$B$1:$B$996,Insumos!$D$1:$D$996),"")</f>
        <v/>
      </c>
      <c r="H2832" s="1069">
        <v>283.616352201258</v>
      </c>
      <c r="I2832" s="1070" t="e">
        <v>#REF!</v>
      </c>
      <c r="J2832" s="1070" t="e">
        <v>#REF!</v>
      </c>
      <c r="K2832" s="1070"/>
      <c r="L2832"/>
      <c r="M2832"/>
      <c r="N2832"/>
      <c r="O2832"/>
      <c r="P2832"/>
      <c r="Q2832"/>
      <c r="R2832"/>
      <c r="S2832"/>
      <c r="T2832"/>
      <c r="U2832"/>
      <c r="V2832"/>
      <c r="W2832"/>
      <c r="X2832"/>
      <c r="Y2832"/>
      <c r="Z2832"/>
      <c r="AA2832"/>
      <c r="AB2832"/>
      <c r="AC2832"/>
      <c r="AD2832"/>
      <c r="AE2832"/>
      <c r="AF2832"/>
      <c r="AG2832"/>
      <c r="AH2832"/>
      <c r="AI2832"/>
      <c r="AJ2832"/>
      <c r="AK2832"/>
      <c r="AL2832"/>
    </row>
    <row r="2833" spans="1:38" ht="15.75" customHeight="1" outlineLevel="3" x14ac:dyDescent="0.2">
      <c r="A2833" s="10">
        <v>6</v>
      </c>
      <c r="B2833" s="10" t="s">
        <v>71</v>
      </c>
      <c r="C2833" s="10" t="s">
        <v>2951</v>
      </c>
      <c r="D2833" s="10" t="s">
        <v>2885</v>
      </c>
      <c r="E2833" s="11" t="str">
        <f t="array" ref="E2833">_xlfn.XLOOKUP(D2833,Insumos!B:B,Insumos!C:$C)</f>
        <v>M2</v>
      </c>
      <c r="F2833" s="14">
        <v>1.3</v>
      </c>
      <c r="G2833" s="92">
        <f t="array" ref="G2833">IF(B2833="insumo",_xlfn.XLOOKUP($D2833,Insumos!$B$1:$B$996,Insumos!$D$1:$D$996),"")</f>
        <v>50</v>
      </c>
      <c r="H2833" s="92">
        <v>65</v>
      </c>
      <c r="I2833" s="13" t="e">
        <v>#REF!</v>
      </c>
      <c r="J2833" s="13" t="e">
        <v>#REF!</v>
      </c>
      <c r="K2833" s="13"/>
      <c r="L2833"/>
      <c r="M2833"/>
      <c r="N2833"/>
      <c r="O2833"/>
      <c r="P2833"/>
      <c r="Q2833"/>
      <c r="R2833"/>
      <c r="S2833"/>
      <c r="T2833"/>
      <c r="U2833"/>
      <c r="V2833"/>
      <c r="W2833"/>
      <c r="X2833"/>
      <c r="Y2833"/>
      <c r="Z2833"/>
      <c r="AA2833"/>
      <c r="AB2833"/>
      <c r="AC2833"/>
      <c r="AD2833"/>
      <c r="AE2833"/>
      <c r="AF2833"/>
      <c r="AG2833"/>
      <c r="AH2833"/>
      <c r="AI2833"/>
      <c r="AJ2833"/>
      <c r="AK2833"/>
      <c r="AL2833"/>
    </row>
    <row r="2834" spans="1:38" ht="15.75" customHeight="1" outlineLevel="3" x14ac:dyDescent="0.2">
      <c r="A2834" s="10">
        <v>2</v>
      </c>
      <c r="B2834" s="10" t="s">
        <v>71</v>
      </c>
      <c r="C2834" s="10" t="s">
        <v>2951</v>
      </c>
      <c r="D2834" s="10" t="s">
        <v>2887</v>
      </c>
      <c r="E2834" s="11" t="str">
        <f t="array" ref="E2834">_xlfn.XLOOKUP(D2834,Insumos!B:B,Insumos!C:$C)</f>
        <v>M2</v>
      </c>
      <c r="F2834" s="14">
        <v>1.1000000000000001</v>
      </c>
      <c r="G2834" s="92">
        <f t="array" ref="G2834">IF(B2834="insumo",_xlfn.XLOOKUP($D2834,Insumos!$B$1:$B$996,Insumos!$D$1:$D$996),"")</f>
        <v>198.74213836477986</v>
      </c>
      <c r="H2834" s="92">
        <v>218.616352201258</v>
      </c>
      <c r="I2834" s="13" t="e">
        <v>#REF!</v>
      </c>
      <c r="J2834" s="13" t="e">
        <v>#REF!</v>
      </c>
      <c r="K2834" s="13"/>
      <c r="L2834"/>
      <c r="M2834"/>
      <c r="N2834"/>
      <c r="O2834"/>
      <c r="P2834"/>
      <c r="Q2834"/>
      <c r="R2834"/>
      <c r="S2834"/>
      <c r="T2834"/>
      <c r="U2834"/>
      <c r="V2834"/>
      <c r="W2834"/>
      <c r="X2834"/>
      <c r="Y2834"/>
      <c r="Z2834"/>
      <c r="AA2834"/>
      <c r="AB2834"/>
      <c r="AC2834"/>
      <c r="AD2834"/>
      <c r="AE2834"/>
      <c r="AF2834"/>
      <c r="AG2834"/>
      <c r="AH2834"/>
      <c r="AI2834"/>
      <c r="AJ2834"/>
      <c r="AK2834"/>
      <c r="AL2834"/>
    </row>
    <row r="2835" spans="1:38" ht="12.75" outlineLevel="1" x14ac:dyDescent="0.2">
      <c r="A2835" s="1067">
        <v>1</v>
      </c>
      <c r="B2835" s="1076" t="s">
        <v>68</v>
      </c>
      <c r="C2835" s="1076" t="s">
        <v>2919</v>
      </c>
      <c r="D2835" s="1076" t="s">
        <v>2919</v>
      </c>
      <c r="E2835" s="1078" t="s">
        <v>70</v>
      </c>
      <c r="F2835" s="1076"/>
      <c r="G2835" s="1069" t="str">
        <f t="array" ref="G2835">IF(B2835="insumo",_xlfn.XLOOKUP($D2835,Insumos!$B$1:$B$996,Insumos!$D$1:$D$996),"")</f>
        <v/>
      </c>
      <c r="H2835" s="1069">
        <v>722</v>
      </c>
      <c r="I2835" s="1070">
        <v>0</v>
      </c>
      <c r="J2835" s="1070">
        <v>0</v>
      </c>
      <c r="K2835" s="1070"/>
      <c r="L2835"/>
      <c r="M2835"/>
      <c r="N2835"/>
      <c r="O2835"/>
      <c r="P2835"/>
      <c r="Q2835"/>
      <c r="R2835"/>
      <c r="S2835"/>
      <c r="T2835"/>
      <c r="U2835"/>
      <c r="V2835"/>
      <c r="W2835"/>
      <c r="X2835"/>
      <c r="Y2835"/>
      <c r="Z2835"/>
      <c r="AA2835"/>
      <c r="AB2835"/>
      <c r="AC2835"/>
      <c r="AD2835"/>
      <c r="AE2835"/>
      <c r="AF2835"/>
      <c r="AG2835"/>
      <c r="AH2835"/>
      <c r="AI2835"/>
      <c r="AJ2835"/>
      <c r="AK2835"/>
      <c r="AL2835"/>
    </row>
    <row r="2836" spans="1:38" ht="12.75" outlineLevel="2" x14ac:dyDescent="0.2">
      <c r="A2836" s="10">
        <v>1</v>
      </c>
      <c r="B2836" s="471" t="s">
        <v>71</v>
      </c>
      <c r="C2836" s="471" t="s">
        <v>2919</v>
      </c>
      <c r="D2836" s="471" t="s">
        <v>2920</v>
      </c>
      <c r="E2836" s="472" t="s">
        <v>70</v>
      </c>
      <c r="F2836" s="86">
        <v>1.1000000000000001</v>
      </c>
      <c r="G2836" s="92">
        <f t="array" ref="G2836">IF(B2836="insumo",_xlfn.XLOOKUP($D2836,Insumos!$B$1:$B$996,Insumos!$D$1:$D$996),"")</f>
        <v>520</v>
      </c>
      <c r="H2836" s="92">
        <v>572</v>
      </c>
      <c r="I2836" s="13">
        <v>0</v>
      </c>
      <c r="J2836" s="13">
        <v>0</v>
      </c>
      <c r="K2836" s="13"/>
      <c r="L2836"/>
      <c r="M2836"/>
      <c r="N2836"/>
      <c r="O2836"/>
      <c r="P2836"/>
      <c r="Q2836"/>
      <c r="R2836"/>
      <c r="S2836"/>
      <c r="T2836"/>
      <c r="U2836"/>
      <c r="V2836"/>
      <c r="W2836"/>
      <c r="X2836"/>
      <c r="Y2836"/>
      <c r="Z2836"/>
      <c r="AA2836"/>
      <c r="AB2836"/>
      <c r="AC2836"/>
      <c r="AD2836"/>
      <c r="AE2836"/>
      <c r="AF2836"/>
      <c r="AG2836"/>
      <c r="AH2836"/>
      <c r="AI2836"/>
      <c r="AJ2836"/>
      <c r="AK2836"/>
      <c r="AL2836"/>
    </row>
    <row r="2837" spans="1:38" ht="12.75" outlineLevel="2" x14ac:dyDescent="0.2">
      <c r="A2837" s="10">
        <v>3</v>
      </c>
      <c r="B2837" s="471" t="s">
        <v>71</v>
      </c>
      <c r="C2837" s="471" t="s">
        <v>2919</v>
      </c>
      <c r="D2837" s="471" t="s">
        <v>572</v>
      </c>
      <c r="E2837" s="472" t="s">
        <v>70</v>
      </c>
      <c r="F2837" s="86">
        <v>1</v>
      </c>
      <c r="G2837" s="92">
        <f t="array" ref="G2837">IF(B2837="insumo",_xlfn.XLOOKUP($D2837,Insumos!$B$1:$B$996,Insumos!$D$1:$D$996),"")</f>
        <v>150</v>
      </c>
      <c r="H2837" s="92">
        <v>150</v>
      </c>
      <c r="I2837" s="13">
        <v>0</v>
      </c>
      <c r="J2837" s="13">
        <v>0</v>
      </c>
      <c r="K2837" s="13"/>
      <c r="L2837"/>
      <c r="M2837"/>
      <c r="N2837"/>
      <c r="O2837"/>
      <c r="P2837"/>
      <c r="Q2837"/>
      <c r="R2837"/>
      <c r="S2837"/>
      <c r="T2837"/>
      <c r="U2837"/>
      <c r="V2837"/>
      <c r="W2837"/>
      <c r="X2837"/>
      <c r="Y2837"/>
      <c r="Z2837"/>
      <c r="AA2837"/>
      <c r="AB2837"/>
      <c r="AC2837"/>
      <c r="AD2837"/>
      <c r="AE2837"/>
      <c r="AF2837"/>
      <c r="AG2837"/>
      <c r="AH2837"/>
      <c r="AI2837"/>
      <c r="AJ2837"/>
      <c r="AK2837"/>
      <c r="AL2837"/>
    </row>
    <row r="2838" spans="1:38" ht="12.75" outlineLevel="1" x14ac:dyDescent="0.2">
      <c r="A2838" s="1067">
        <v>1</v>
      </c>
      <c r="B2838" s="1076" t="s">
        <v>68</v>
      </c>
      <c r="C2838" s="1076" t="s">
        <v>2921</v>
      </c>
      <c r="D2838" s="1076" t="s">
        <v>2921</v>
      </c>
      <c r="E2838" s="1078" t="s">
        <v>70</v>
      </c>
      <c r="F2838" s="1076"/>
      <c r="G2838" s="1069" t="str">
        <f t="array" ref="G2838">IF(B2838="insumo",_xlfn.XLOOKUP($D2838,Insumos!$B$1:$B$996,Insumos!$D$1:$D$996),"")</f>
        <v/>
      </c>
      <c r="H2838" s="1069">
        <v>788</v>
      </c>
      <c r="I2838" s="1070" t="e">
        <v>#REF!</v>
      </c>
      <c r="J2838" s="1070" t="e">
        <v>#REF!</v>
      </c>
      <c r="K2838" s="1070"/>
      <c r="L2838"/>
      <c r="M2838"/>
      <c r="N2838"/>
      <c r="O2838"/>
      <c r="P2838"/>
      <c r="Q2838"/>
      <c r="R2838"/>
      <c r="S2838"/>
      <c r="T2838"/>
      <c r="U2838"/>
      <c r="V2838"/>
      <c r="W2838"/>
      <c r="X2838"/>
      <c r="Y2838"/>
      <c r="Z2838"/>
      <c r="AA2838"/>
      <c r="AB2838"/>
      <c r="AC2838"/>
      <c r="AD2838"/>
      <c r="AE2838"/>
      <c r="AF2838"/>
      <c r="AG2838"/>
      <c r="AH2838"/>
      <c r="AI2838"/>
      <c r="AJ2838"/>
      <c r="AK2838"/>
      <c r="AL2838"/>
    </row>
    <row r="2839" spans="1:38" ht="12.75" outlineLevel="2" x14ac:dyDescent="0.2">
      <c r="A2839" s="10">
        <v>1</v>
      </c>
      <c r="B2839" s="471" t="s">
        <v>71</v>
      </c>
      <c r="C2839" s="471" t="s">
        <v>2921</v>
      </c>
      <c r="D2839" s="471" t="s">
        <v>2922</v>
      </c>
      <c r="E2839" s="472" t="s">
        <v>70</v>
      </c>
      <c r="F2839" s="86">
        <v>1.1000000000000001</v>
      </c>
      <c r="G2839" s="92">
        <f t="array" ref="G2839">IF(B2839="insumo",_xlfn.XLOOKUP($D2839,Insumos!$B$1:$B$996,Insumos!$D$1:$D$996),"")</f>
        <v>580</v>
      </c>
      <c r="H2839" s="92">
        <v>638</v>
      </c>
      <c r="I2839" s="13" t="e">
        <v>#REF!</v>
      </c>
      <c r="J2839" s="13" t="e">
        <v>#REF!</v>
      </c>
      <c r="K2839" s="13"/>
      <c r="L2839"/>
      <c r="M2839"/>
      <c r="N2839"/>
      <c r="O2839"/>
      <c r="P2839"/>
      <c r="Q2839"/>
      <c r="R2839"/>
      <c r="S2839"/>
      <c r="T2839"/>
      <c r="U2839"/>
      <c r="V2839"/>
      <c r="W2839"/>
      <c r="X2839"/>
      <c r="Y2839"/>
      <c r="Z2839"/>
      <c r="AA2839"/>
      <c r="AB2839"/>
      <c r="AC2839"/>
      <c r="AD2839"/>
      <c r="AE2839"/>
      <c r="AF2839"/>
      <c r="AG2839"/>
      <c r="AH2839"/>
      <c r="AI2839"/>
      <c r="AJ2839"/>
      <c r="AK2839"/>
      <c r="AL2839"/>
    </row>
    <row r="2840" spans="1:38" ht="12.75" outlineLevel="2" x14ac:dyDescent="0.2">
      <c r="A2840" s="10">
        <v>3</v>
      </c>
      <c r="B2840" s="471" t="s">
        <v>71</v>
      </c>
      <c r="C2840" s="471" t="s">
        <v>2921</v>
      </c>
      <c r="D2840" s="471" t="s">
        <v>572</v>
      </c>
      <c r="E2840" s="472" t="s">
        <v>70</v>
      </c>
      <c r="F2840" s="86">
        <v>1</v>
      </c>
      <c r="G2840" s="92">
        <f t="array" ref="G2840">IF(B2840="insumo",_xlfn.XLOOKUP($D2840,Insumos!$B$1:$B$996,Insumos!$D$1:$D$996),"")</f>
        <v>150</v>
      </c>
      <c r="H2840" s="92">
        <v>150</v>
      </c>
      <c r="I2840" s="13" t="e">
        <v>#REF!</v>
      </c>
      <c r="J2840" s="13" t="e">
        <v>#REF!</v>
      </c>
      <c r="K2840" s="13"/>
      <c r="L2840"/>
      <c r="M2840"/>
      <c r="N2840"/>
      <c r="O2840"/>
      <c r="P2840"/>
      <c r="Q2840"/>
      <c r="R2840"/>
      <c r="S2840"/>
      <c r="T2840"/>
      <c r="U2840"/>
      <c r="V2840"/>
      <c r="W2840"/>
      <c r="X2840"/>
      <c r="Y2840"/>
      <c r="Z2840"/>
      <c r="AA2840"/>
      <c r="AB2840"/>
      <c r="AC2840"/>
      <c r="AD2840"/>
      <c r="AE2840"/>
      <c r="AF2840"/>
      <c r="AG2840"/>
      <c r="AH2840"/>
      <c r="AI2840"/>
      <c r="AJ2840"/>
      <c r="AK2840"/>
      <c r="AL2840"/>
    </row>
    <row r="2841" spans="1:38" ht="15.75" customHeight="1" outlineLevel="2" x14ac:dyDescent="0.2">
      <c r="A2841" s="1067">
        <v>1</v>
      </c>
      <c r="B2841" s="1067" t="s">
        <v>68</v>
      </c>
      <c r="C2841" s="1067" t="s">
        <v>569</v>
      </c>
      <c r="D2841" s="1067" t="s">
        <v>569</v>
      </c>
      <c r="E2841" s="1068" t="s">
        <v>70</v>
      </c>
      <c r="F2841" s="1067"/>
      <c r="G2841" s="1069" t="str">
        <f t="array" ref="G2841">IF(B2841="insumo",_xlfn.XLOOKUP($D2841,Insumos!$B$1:$B$996,Insumos!$D$1:$D$996),"")</f>
        <v/>
      </c>
      <c r="H2841" s="1069">
        <v>275</v>
      </c>
      <c r="I2841" s="1070">
        <v>0</v>
      </c>
      <c r="J2841" s="1070">
        <v>0</v>
      </c>
      <c r="K2841" s="1070"/>
      <c r="L2841"/>
      <c r="M2841"/>
      <c r="N2841"/>
      <c r="O2841"/>
      <c r="P2841"/>
      <c r="Q2841"/>
      <c r="R2841"/>
      <c r="S2841"/>
      <c r="T2841"/>
      <c r="U2841"/>
      <c r="V2841"/>
      <c r="W2841"/>
      <c r="X2841"/>
      <c r="Y2841"/>
      <c r="Z2841"/>
      <c r="AA2841"/>
      <c r="AB2841"/>
      <c r="AC2841"/>
      <c r="AD2841"/>
      <c r="AE2841"/>
      <c r="AF2841"/>
      <c r="AG2841"/>
      <c r="AH2841"/>
      <c r="AI2841"/>
      <c r="AJ2841"/>
      <c r="AK2841"/>
      <c r="AL2841"/>
    </row>
    <row r="2842" spans="1:38" ht="15.75" customHeight="1" outlineLevel="3" x14ac:dyDescent="0.2">
      <c r="A2842" s="10">
        <v>1</v>
      </c>
      <c r="B2842" s="10" t="s">
        <v>71</v>
      </c>
      <c r="C2842" s="10" t="s">
        <v>569</v>
      </c>
      <c r="D2842" s="10" t="s">
        <v>569</v>
      </c>
      <c r="E2842" s="11" t="str">
        <f t="array" ref="E2842">_xlfn.XLOOKUP(D2842,Insumos!B:B,Insumos!C:$C)</f>
        <v>M2</v>
      </c>
      <c r="F2842" s="14">
        <v>1</v>
      </c>
      <c r="G2842" s="92">
        <f t="array" ref="G2842">IF(B2842="insumo",_xlfn.XLOOKUP($D2842,Insumos!$B$1:$B$996,Insumos!$D$1:$D$996),"")</f>
        <v>275</v>
      </c>
      <c r="H2842" s="92">
        <v>275</v>
      </c>
      <c r="I2842" s="13">
        <v>0</v>
      </c>
      <c r="J2842" s="13">
        <v>0</v>
      </c>
      <c r="K2842" s="13"/>
      <c r="L2842"/>
      <c r="M2842"/>
      <c r="N2842"/>
      <c r="O2842"/>
      <c r="P2842"/>
      <c r="Q2842"/>
      <c r="R2842"/>
      <c r="S2842"/>
      <c r="T2842"/>
      <c r="U2842"/>
      <c r="V2842"/>
      <c r="W2842"/>
      <c r="X2842"/>
      <c r="Y2842"/>
      <c r="Z2842"/>
      <c r="AA2842"/>
      <c r="AB2842"/>
      <c r="AC2842"/>
      <c r="AD2842"/>
      <c r="AE2842"/>
      <c r="AF2842"/>
      <c r="AG2842"/>
      <c r="AH2842"/>
      <c r="AI2842"/>
      <c r="AJ2842"/>
      <c r="AK2842"/>
      <c r="AL2842"/>
    </row>
    <row r="2843" spans="1:38" ht="15.75" customHeight="1" outlineLevel="2" x14ac:dyDescent="0.2">
      <c r="A2843" s="1067">
        <v>1</v>
      </c>
      <c r="B2843" s="1067" t="s">
        <v>68</v>
      </c>
      <c r="C2843" s="1067" t="s">
        <v>2949</v>
      </c>
      <c r="D2843" s="1067" t="s">
        <v>2949</v>
      </c>
      <c r="E2843" s="1068" t="s">
        <v>70</v>
      </c>
      <c r="F2843" s="1067"/>
      <c r="G2843" s="1069" t="str">
        <f t="array" ref="G2843">IF(B2843="insumo",_xlfn.XLOOKUP($D2843,Insumos!$B$1:$B$996,Insumos!$D$1:$D$996),"")</f>
        <v/>
      </c>
      <c r="H2843" s="1069">
        <v>330</v>
      </c>
      <c r="I2843" s="1070" t="e">
        <v>#REF!</v>
      </c>
      <c r="J2843" s="1070" t="e">
        <v>#REF!</v>
      </c>
      <c r="K2843" s="1070"/>
      <c r="L2843"/>
      <c r="M2843"/>
      <c r="N2843"/>
      <c r="O2843"/>
      <c r="P2843"/>
      <c r="Q2843"/>
      <c r="R2843"/>
      <c r="S2843"/>
      <c r="T2843"/>
      <c r="U2843"/>
      <c r="V2843"/>
      <c r="W2843"/>
      <c r="X2843"/>
      <c r="Y2843"/>
      <c r="Z2843"/>
      <c r="AA2843"/>
      <c r="AB2843"/>
      <c r="AC2843"/>
      <c r="AD2843"/>
      <c r="AE2843"/>
      <c r="AF2843"/>
      <c r="AG2843"/>
      <c r="AH2843"/>
      <c r="AI2843"/>
      <c r="AJ2843"/>
      <c r="AK2843"/>
      <c r="AL2843"/>
    </row>
    <row r="2844" spans="1:38" ht="15.75" customHeight="1" outlineLevel="3" x14ac:dyDescent="0.2">
      <c r="A2844" s="10">
        <v>1</v>
      </c>
      <c r="B2844" s="10" t="s">
        <v>71</v>
      </c>
      <c r="C2844" s="10" t="s">
        <v>2949</v>
      </c>
      <c r="D2844" s="10" t="s">
        <v>2949</v>
      </c>
      <c r="E2844" s="11" t="str">
        <f t="array" ref="E2844">_xlfn.XLOOKUP(D2844,Insumos!B:B,Insumos!C:$C)</f>
        <v>M2</v>
      </c>
      <c r="F2844" s="14">
        <v>1.1000000000000001</v>
      </c>
      <c r="G2844" s="92">
        <f t="array" ref="G2844">IF(B2844="insumo",_xlfn.XLOOKUP($D2844,Insumos!$B$1:$B$996,Insumos!$D$1:$D$996),"")</f>
        <v>300</v>
      </c>
      <c r="H2844" s="92">
        <v>330</v>
      </c>
      <c r="I2844" s="13" t="e">
        <v>#REF!</v>
      </c>
      <c r="J2844" s="13" t="e">
        <v>#REF!</v>
      </c>
      <c r="K2844" s="13"/>
      <c r="L2844"/>
      <c r="M2844"/>
      <c r="N2844"/>
      <c r="O2844"/>
      <c r="P2844"/>
      <c r="Q2844"/>
      <c r="R2844"/>
      <c r="S2844"/>
      <c r="T2844"/>
      <c r="U2844"/>
      <c r="V2844"/>
      <c r="W2844"/>
      <c r="X2844"/>
      <c r="Y2844"/>
      <c r="Z2844"/>
      <c r="AA2844"/>
      <c r="AB2844"/>
      <c r="AC2844"/>
      <c r="AD2844"/>
      <c r="AE2844"/>
      <c r="AF2844"/>
      <c r="AG2844"/>
      <c r="AH2844"/>
      <c r="AI2844"/>
      <c r="AJ2844"/>
      <c r="AK2844"/>
      <c r="AL2844"/>
    </row>
    <row r="2845" spans="1:38" ht="15.75" customHeight="1" outlineLevel="2" x14ac:dyDescent="0.2">
      <c r="A2845" s="1067">
        <v>1</v>
      </c>
      <c r="B2845" s="1067" t="s">
        <v>68</v>
      </c>
      <c r="C2845" s="1067" t="s">
        <v>2934</v>
      </c>
      <c r="D2845" s="1067" t="s">
        <v>2934</v>
      </c>
      <c r="E2845" s="1068" t="s">
        <v>70</v>
      </c>
      <c r="F2845" s="1067"/>
      <c r="G2845" s="1069" t="str">
        <f t="array" ref="G2845">IF(B2845="insumo",_xlfn.XLOOKUP($D2845,Insumos!$B$1:$B$996,Insumos!$D$1:$D$996),"")</f>
        <v/>
      </c>
      <c r="H2845" s="1069">
        <v>1056</v>
      </c>
      <c r="I2845" s="1070" t="e">
        <v>#REF!</v>
      </c>
      <c r="J2845" s="1070" t="e">
        <v>#REF!</v>
      </c>
      <c r="K2845" s="1070"/>
      <c r="L2845"/>
      <c r="M2845"/>
      <c r="N2845"/>
      <c r="O2845"/>
      <c r="P2845"/>
      <c r="Q2845"/>
      <c r="R2845"/>
      <c r="S2845"/>
      <c r="T2845"/>
      <c r="U2845"/>
      <c r="V2845"/>
      <c r="W2845"/>
      <c r="X2845"/>
      <c r="Y2845"/>
      <c r="Z2845"/>
      <c r="AA2845"/>
      <c r="AB2845"/>
      <c r="AC2845"/>
      <c r="AD2845"/>
      <c r="AE2845"/>
      <c r="AF2845"/>
      <c r="AG2845"/>
      <c r="AH2845"/>
      <c r="AI2845"/>
      <c r="AJ2845"/>
      <c r="AK2845"/>
      <c r="AL2845"/>
    </row>
    <row r="2846" spans="1:38" ht="15.75" customHeight="1" outlineLevel="3" x14ac:dyDescent="0.2">
      <c r="A2846" s="10">
        <v>1</v>
      </c>
      <c r="B2846" s="10" t="s">
        <v>71</v>
      </c>
      <c r="C2846" s="10" t="s">
        <v>2934</v>
      </c>
      <c r="D2846" s="10" t="s">
        <v>2935</v>
      </c>
      <c r="E2846" s="11" t="str">
        <f t="array" ref="E2846">_xlfn.XLOOKUP(D2846,Insumos!B:B,Insumos!C:$C)</f>
        <v>M2</v>
      </c>
      <c r="F2846" s="14">
        <v>1.1000000000000001</v>
      </c>
      <c r="G2846" s="92">
        <f t="array" ref="G2846">IF(B2846="insumo",_xlfn.XLOOKUP($D2846,Insumos!$B$1:$B$996,Insumos!$D$1:$D$996),"")</f>
        <v>360</v>
      </c>
      <c r="H2846" s="92">
        <v>396</v>
      </c>
      <c r="I2846" s="13" t="e">
        <v>#REF!</v>
      </c>
      <c r="J2846" s="13" t="e">
        <v>#REF!</v>
      </c>
      <c r="K2846" s="13"/>
      <c r="L2846"/>
      <c r="M2846"/>
      <c r="N2846"/>
      <c r="O2846"/>
      <c r="P2846"/>
      <c r="Q2846"/>
      <c r="R2846"/>
      <c r="S2846"/>
      <c r="T2846"/>
      <c r="U2846"/>
      <c r="V2846"/>
      <c r="W2846"/>
      <c r="X2846"/>
      <c r="Y2846"/>
      <c r="Z2846"/>
      <c r="AA2846"/>
      <c r="AB2846"/>
      <c r="AC2846"/>
      <c r="AD2846"/>
      <c r="AE2846"/>
      <c r="AF2846"/>
      <c r="AG2846"/>
      <c r="AH2846"/>
      <c r="AI2846"/>
      <c r="AJ2846"/>
      <c r="AK2846"/>
      <c r="AL2846"/>
    </row>
    <row r="2847" spans="1:38" ht="15.75" customHeight="1" outlineLevel="3" x14ac:dyDescent="0.2">
      <c r="A2847" s="10">
        <v>1</v>
      </c>
      <c r="B2847" s="10" t="s">
        <v>71</v>
      </c>
      <c r="C2847" s="10" t="s">
        <v>2934</v>
      </c>
      <c r="D2847" s="10" t="s">
        <v>2936</v>
      </c>
      <c r="E2847" s="11" t="str">
        <f t="array" ref="E2847">_xlfn.XLOOKUP(D2847,Insumos!B:B,Insumos!C:$C)</f>
        <v>M2</v>
      </c>
      <c r="F2847" s="14">
        <v>1.1000000000000001</v>
      </c>
      <c r="G2847" s="92">
        <f t="array" ref="G2847">IF(B2847="insumo",_xlfn.XLOOKUP($D2847,Insumos!$B$1:$B$996,Insumos!$D$1:$D$996),"")</f>
        <v>600</v>
      </c>
      <c r="H2847" s="92">
        <v>660</v>
      </c>
      <c r="I2847" s="13" t="e">
        <v>#REF!</v>
      </c>
      <c r="J2847" s="13" t="e">
        <v>#REF!</v>
      </c>
      <c r="K2847" s="13"/>
      <c r="L2847"/>
      <c r="M2847"/>
      <c r="N2847"/>
      <c r="O2847"/>
      <c r="P2847"/>
      <c r="Q2847"/>
      <c r="R2847"/>
      <c r="S2847"/>
      <c r="T2847"/>
      <c r="U2847"/>
      <c r="V2847"/>
      <c r="W2847"/>
      <c r="X2847"/>
      <c r="Y2847"/>
      <c r="Z2847"/>
      <c r="AA2847"/>
      <c r="AB2847"/>
      <c r="AC2847"/>
      <c r="AD2847"/>
      <c r="AE2847"/>
      <c r="AF2847"/>
      <c r="AG2847"/>
      <c r="AH2847"/>
      <c r="AI2847"/>
      <c r="AJ2847"/>
      <c r="AK2847"/>
      <c r="AL2847"/>
    </row>
    <row r="2848" spans="1:38" ht="15.75" customHeight="1" outlineLevel="2" x14ac:dyDescent="0.2">
      <c r="A2848" s="1067">
        <v>1</v>
      </c>
      <c r="B2848" s="1067" t="s">
        <v>68</v>
      </c>
      <c r="C2848" s="1067" t="s">
        <v>2939</v>
      </c>
      <c r="D2848" s="1067" t="s">
        <v>2939</v>
      </c>
      <c r="E2848" s="1068" t="s">
        <v>70</v>
      </c>
      <c r="F2848" s="1067"/>
      <c r="G2848" s="1069" t="str">
        <f t="array" ref="G2848">IF(B2848="insumo",_xlfn.XLOOKUP($D2848,Insumos!$B$1:$B$996,Insumos!$D$1:$D$996),"")</f>
        <v/>
      </c>
      <c r="H2848" s="1069">
        <v>737</v>
      </c>
      <c r="I2848" s="1070" t="e">
        <v>#REF!</v>
      </c>
      <c r="J2848" s="1070" t="e">
        <v>#REF!</v>
      </c>
      <c r="K2848" s="1070"/>
      <c r="L2848"/>
      <c r="M2848"/>
      <c r="N2848"/>
      <c r="O2848"/>
      <c r="P2848"/>
      <c r="Q2848"/>
      <c r="R2848"/>
      <c r="S2848"/>
      <c r="T2848"/>
      <c r="U2848"/>
      <c r="V2848"/>
      <c r="W2848"/>
      <c r="X2848"/>
      <c r="Y2848"/>
      <c r="Z2848"/>
      <c r="AA2848"/>
      <c r="AB2848"/>
      <c r="AC2848"/>
      <c r="AD2848"/>
      <c r="AE2848"/>
      <c r="AF2848"/>
      <c r="AG2848"/>
      <c r="AH2848"/>
      <c r="AI2848"/>
      <c r="AJ2848"/>
      <c r="AK2848"/>
      <c r="AL2848"/>
    </row>
    <row r="2849" spans="1:38" ht="15.75" customHeight="1" outlineLevel="3" x14ac:dyDescent="0.2">
      <c r="A2849" s="10">
        <v>1</v>
      </c>
      <c r="B2849" s="10" t="s">
        <v>71</v>
      </c>
      <c r="C2849" s="10" t="s">
        <v>2939</v>
      </c>
      <c r="D2849" s="10" t="s">
        <v>2941</v>
      </c>
      <c r="E2849" s="11" t="str">
        <f t="array" ref="E2849">_xlfn.XLOOKUP(D2849,Insumos!B:B,Insumos!C:$C)</f>
        <v>M2</v>
      </c>
      <c r="F2849" s="14">
        <v>1.1000000000000001</v>
      </c>
      <c r="G2849" s="92">
        <f t="array" ref="G2849">IF(B2849="insumo",_xlfn.XLOOKUP($D2849,Insumos!$B$1:$B$996,Insumos!$D$1:$D$996),"")</f>
        <v>350</v>
      </c>
      <c r="H2849" s="92">
        <v>385</v>
      </c>
      <c r="I2849" s="13" t="e">
        <v>#REF!</v>
      </c>
      <c r="J2849" s="13" t="e">
        <v>#REF!</v>
      </c>
      <c r="K2849" s="13"/>
      <c r="L2849"/>
      <c r="M2849"/>
      <c r="N2849"/>
      <c r="O2849"/>
      <c r="P2849"/>
      <c r="Q2849"/>
      <c r="R2849"/>
      <c r="S2849"/>
      <c r="T2849"/>
      <c r="U2849"/>
      <c r="V2849"/>
      <c r="W2849"/>
      <c r="X2849"/>
      <c r="Y2849"/>
      <c r="Z2849"/>
      <c r="AA2849"/>
      <c r="AB2849"/>
      <c r="AC2849"/>
      <c r="AD2849"/>
      <c r="AE2849"/>
      <c r="AF2849"/>
      <c r="AG2849"/>
      <c r="AH2849"/>
      <c r="AI2849"/>
      <c r="AJ2849"/>
      <c r="AK2849"/>
      <c r="AL2849"/>
    </row>
    <row r="2850" spans="1:38" ht="15.75" customHeight="1" outlineLevel="3" x14ac:dyDescent="0.2">
      <c r="A2850" s="10">
        <v>1</v>
      </c>
      <c r="B2850" s="10" t="s">
        <v>71</v>
      </c>
      <c r="C2850" s="10" t="s">
        <v>2939</v>
      </c>
      <c r="D2850" s="10" t="s">
        <v>2940</v>
      </c>
      <c r="E2850" s="11" t="str">
        <f t="array" ref="E2850">_xlfn.XLOOKUP(D2850,Insumos!B:B,Insumos!C:$C)</f>
        <v>M2</v>
      </c>
      <c r="F2850" s="14">
        <v>1.1000000000000001</v>
      </c>
      <c r="G2850" s="92">
        <f t="array" ref="G2850">IF(B2850="insumo",_xlfn.XLOOKUP($D2850,Insumos!$B$1:$B$996,Insumos!$D$1:$D$996),"")</f>
        <v>320</v>
      </c>
      <c r="H2850" s="92">
        <v>352</v>
      </c>
      <c r="I2850" s="13" t="e">
        <v>#REF!</v>
      </c>
      <c r="J2850" s="13" t="e">
        <v>#REF!</v>
      </c>
      <c r="K2850" s="13"/>
      <c r="L2850"/>
      <c r="M2850"/>
      <c r="N2850"/>
      <c r="O2850"/>
      <c r="P2850"/>
      <c r="Q2850"/>
      <c r="R2850"/>
      <c r="S2850"/>
      <c r="T2850"/>
      <c r="U2850"/>
      <c r="V2850"/>
      <c r="W2850"/>
      <c r="X2850"/>
      <c r="Y2850"/>
      <c r="Z2850"/>
      <c r="AA2850"/>
      <c r="AB2850"/>
      <c r="AC2850"/>
      <c r="AD2850"/>
      <c r="AE2850"/>
      <c r="AF2850"/>
      <c r="AG2850"/>
      <c r="AH2850"/>
      <c r="AI2850"/>
      <c r="AJ2850"/>
      <c r="AK2850"/>
      <c r="AL2850"/>
    </row>
    <row r="2851" spans="1:38" ht="15.75" customHeight="1" outlineLevel="2" x14ac:dyDescent="0.2">
      <c r="A2851" s="1067">
        <v>1</v>
      </c>
      <c r="B2851" s="1067" t="s">
        <v>68</v>
      </c>
      <c r="C2851" s="1067" t="s">
        <v>570</v>
      </c>
      <c r="D2851" s="1067" t="s">
        <v>570</v>
      </c>
      <c r="E2851" s="1068" t="s">
        <v>70</v>
      </c>
      <c r="F2851" s="1067"/>
      <c r="G2851" s="1069" t="str">
        <f t="array" ref="G2851">IF(B2851="insumo",_xlfn.XLOOKUP($D2851,Insumos!$B$1:$B$996,Insumos!$D$1:$D$996),"")</f>
        <v/>
      </c>
      <c r="H2851" s="1069">
        <v>249</v>
      </c>
      <c r="I2851" s="1070">
        <v>0</v>
      </c>
      <c r="J2851" s="1070">
        <v>0</v>
      </c>
      <c r="K2851" s="1070"/>
      <c r="L2851"/>
      <c r="M2851"/>
      <c r="N2851"/>
      <c r="O2851"/>
      <c r="P2851"/>
      <c r="Q2851"/>
      <c r="R2851"/>
      <c r="S2851"/>
      <c r="T2851"/>
      <c r="U2851"/>
      <c r="V2851"/>
      <c r="W2851"/>
      <c r="X2851"/>
      <c r="Y2851"/>
      <c r="Z2851"/>
      <c r="AA2851"/>
      <c r="AB2851"/>
      <c r="AC2851"/>
      <c r="AD2851"/>
      <c r="AE2851"/>
      <c r="AF2851"/>
      <c r="AG2851"/>
      <c r="AH2851"/>
      <c r="AI2851"/>
      <c r="AJ2851"/>
      <c r="AK2851"/>
      <c r="AL2851"/>
    </row>
    <row r="2852" spans="1:38" ht="15.75" customHeight="1" outlineLevel="3" x14ac:dyDescent="0.2">
      <c r="A2852" s="10">
        <v>1</v>
      </c>
      <c r="B2852" s="10" t="s">
        <v>71</v>
      </c>
      <c r="C2852" s="10" t="s">
        <v>570</v>
      </c>
      <c r="D2852" s="10" t="s">
        <v>571</v>
      </c>
      <c r="E2852" s="11" t="str">
        <f t="array" ref="E2852">_xlfn.XLOOKUP(D2852,Insumos!B:B,Insumos!C:$C)</f>
        <v>M2</v>
      </c>
      <c r="F2852" s="14">
        <v>1.1000000000000001</v>
      </c>
      <c r="G2852" s="92">
        <f t="array" ref="G2852">IF(B2852="insumo",_xlfn.XLOOKUP($D2852,Insumos!$B$1:$B$996,Insumos!$D$1:$D$996),"")</f>
        <v>90</v>
      </c>
      <c r="H2852" s="92">
        <v>99</v>
      </c>
      <c r="I2852" s="13">
        <v>0</v>
      </c>
      <c r="J2852" s="13">
        <v>0</v>
      </c>
      <c r="K2852" s="13"/>
      <c r="L2852"/>
      <c r="M2852"/>
      <c r="N2852"/>
      <c r="O2852"/>
      <c r="P2852"/>
      <c r="Q2852"/>
      <c r="R2852"/>
      <c r="S2852"/>
      <c r="T2852"/>
      <c r="U2852"/>
      <c r="V2852"/>
      <c r="W2852"/>
      <c r="X2852"/>
      <c r="Y2852"/>
      <c r="Z2852"/>
      <c r="AA2852"/>
      <c r="AB2852"/>
      <c r="AC2852"/>
      <c r="AD2852"/>
      <c r="AE2852"/>
      <c r="AF2852"/>
      <c r="AG2852"/>
      <c r="AH2852"/>
      <c r="AI2852"/>
      <c r="AJ2852"/>
      <c r="AK2852"/>
      <c r="AL2852"/>
    </row>
    <row r="2853" spans="1:38" ht="15.75" customHeight="1" outlineLevel="3" x14ac:dyDescent="0.2">
      <c r="A2853" s="10">
        <v>3</v>
      </c>
      <c r="B2853" s="10" t="s">
        <v>71</v>
      </c>
      <c r="C2853" s="10" t="s">
        <v>570</v>
      </c>
      <c r="D2853" s="10" t="s">
        <v>572</v>
      </c>
      <c r="E2853" s="11" t="str">
        <f t="array" ref="E2853">_xlfn.XLOOKUP(D2853,Insumos!B:B,Insumos!C:$C)</f>
        <v>M2</v>
      </c>
      <c r="F2853" s="14">
        <v>1</v>
      </c>
      <c r="G2853" s="92">
        <f t="array" ref="G2853">IF(B2853="insumo",_xlfn.XLOOKUP($D2853,Insumos!$B$1:$B$996,Insumos!$D$1:$D$996),"")</f>
        <v>150</v>
      </c>
      <c r="H2853" s="92">
        <v>150</v>
      </c>
      <c r="I2853" s="13">
        <v>0</v>
      </c>
      <c r="J2853" s="13">
        <v>0</v>
      </c>
      <c r="K2853" s="13"/>
      <c r="L2853"/>
      <c r="M2853"/>
      <c r="N2853"/>
      <c r="O2853"/>
      <c r="P2853"/>
      <c r="Q2853"/>
      <c r="R2853"/>
      <c r="S2853"/>
      <c r="T2853"/>
      <c r="U2853"/>
      <c r="V2853"/>
      <c r="W2853"/>
      <c r="X2853"/>
      <c r="Y2853"/>
      <c r="Z2853"/>
      <c r="AA2853"/>
      <c r="AB2853"/>
      <c r="AC2853"/>
      <c r="AD2853"/>
      <c r="AE2853"/>
      <c r="AF2853"/>
      <c r="AG2853"/>
      <c r="AH2853"/>
      <c r="AI2853"/>
      <c r="AJ2853"/>
      <c r="AK2853"/>
      <c r="AL2853"/>
    </row>
    <row r="2854" spans="1:38" ht="15.75" customHeight="1" outlineLevel="2" x14ac:dyDescent="0.2">
      <c r="A2854" s="1067">
        <v>1</v>
      </c>
      <c r="B2854" s="1067" t="s">
        <v>68</v>
      </c>
      <c r="C2854" s="1067" t="s">
        <v>2945</v>
      </c>
      <c r="D2854" s="1067" t="s">
        <v>2945</v>
      </c>
      <c r="E2854" s="1068" t="s">
        <v>70</v>
      </c>
      <c r="F2854" s="1067"/>
      <c r="G2854" s="1069" t="str">
        <f t="array" ref="G2854">IF(B2854="insumo",_xlfn.XLOOKUP($D2854,Insumos!$B$1:$B$996,Insumos!$D$1:$D$996),"")</f>
        <v/>
      </c>
      <c r="H2854" s="1069">
        <v>1080</v>
      </c>
      <c r="I2854" s="1070" t="e">
        <v>#REF!</v>
      </c>
      <c r="J2854" s="1070" t="e">
        <v>#REF!</v>
      </c>
      <c r="K2854" s="1070"/>
      <c r="L2854"/>
      <c r="M2854"/>
      <c r="N2854"/>
      <c r="O2854"/>
      <c r="P2854"/>
      <c r="Q2854"/>
      <c r="R2854"/>
      <c r="S2854"/>
      <c r="T2854"/>
      <c r="U2854"/>
      <c r="V2854"/>
      <c r="W2854"/>
      <c r="X2854"/>
      <c r="Y2854"/>
      <c r="Z2854"/>
      <c r="AA2854"/>
      <c r="AB2854"/>
      <c r="AC2854"/>
      <c r="AD2854"/>
      <c r="AE2854"/>
      <c r="AF2854"/>
      <c r="AG2854"/>
      <c r="AH2854"/>
      <c r="AI2854"/>
      <c r="AJ2854"/>
      <c r="AK2854"/>
      <c r="AL2854"/>
    </row>
    <row r="2855" spans="1:38" ht="15.75" customHeight="1" outlineLevel="3" x14ac:dyDescent="0.2">
      <c r="A2855" s="10">
        <v>4</v>
      </c>
      <c r="B2855" s="10" t="s">
        <v>71</v>
      </c>
      <c r="C2855" s="10" t="s">
        <v>2945</v>
      </c>
      <c r="D2855" s="10" t="s">
        <v>2873</v>
      </c>
      <c r="E2855" s="11" t="str">
        <f t="array" ref="E2855">_xlfn.XLOOKUP(D2855,Insumos!B:B,Insumos!C:$C)</f>
        <v>M2</v>
      </c>
      <c r="F2855" s="14">
        <v>1.1000000000000001</v>
      </c>
      <c r="G2855" s="92">
        <f t="array" ref="G2855">IF(B2855="insumo",_xlfn.XLOOKUP($D2855,Insumos!$B$1:$B$996,Insumos!$D$1:$D$996),"")</f>
        <v>800</v>
      </c>
      <c r="H2855" s="92">
        <v>880</v>
      </c>
      <c r="I2855" s="13" t="e">
        <v>#REF!</v>
      </c>
      <c r="J2855" s="13" t="e">
        <v>#REF!</v>
      </c>
      <c r="K2855" s="13"/>
      <c r="L2855"/>
      <c r="M2855"/>
      <c r="N2855"/>
      <c r="O2855"/>
      <c r="P2855"/>
      <c r="Q2855"/>
      <c r="R2855"/>
      <c r="S2855"/>
      <c r="T2855"/>
      <c r="U2855"/>
      <c r="V2855"/>
      <c r="W2855"/>
      <c r="X2855"/>
      <c r="Y2855"/>
      <c r="Z2855"/>
      <c r="AA2855"/>
      <c r="AB2855"/>
      <c r="AC2855"/>
      <c r="AD2855"/>
      <c r="AE2855"/>
      <c r="AF2855"/>
      <c r="AG2855"/>
      <c r="AH2855"/>
      <c r="AI2855"/>
      <c r="AJ2855"/>
      <c r="AK2855"/>
      <c r="AL2855"/>
    </row>
    <row r="2856" spans="1:38" ht="15.75" customHeight="1" outlineLevel="3" x14ac:dyDescent="0.2">
      <c r="A2856" s="10">
        <v>2</v>
      </c>
      <c r="B2856" s="10" t="s">
        <v>71</v>
      </c>
      <c r="C2856" s="10" t="s">
        <v>2945</v>
      </c>
      <c r="D2856" s="10" t="s">
        <v>2944</v>
      </c>
      <c r="E2856" s="11" t="str">
        <f t="array" ref="E2856">_xlfn.XLOOKUP(D2856,Insumos!B:B,Insumos!C:$C)</f>
        <v>UN</v>
      </c>
      <c r="F2856" s="14">
        <v>1</v>
      </c>
      <c r="G2856" s="92">
        <f t="array" ref="G2856">IF(B2856="insumo",_xlfn.XLOOKUP($D2856,Insumos!$B$1:$B$996,Insumos!$D$1:$D$996),"")</f>
        <v>200</v>
      </c>
      <c r="H2856" s="92">
        <v>200</v>
      </c>
      <c r="I2856" s="13" t="e">
        <v>#REF!</v>
      </c>
      <c r="J2856" s="13" t="e">
        <v>#REF!</v>
      </c>
      <c r="K2856" s="13"/>
      <c r="L2856"/>
      <c r="M2856"/>
      <c r="N2856"/>
      <c r="O2856"/>
      <c r="P2856"/>
      <c r="Q2856"/>
      <c r="R2856"/>
      <c r="S2856"/>
      <c r="T2856"/>
      <c r="U2856"/>
      <c r="V2856"/>
      <c r="W2856"/>
      <c r="X2856"/>
      <c r="Y2856"/>
      <c r="Z2856"/>
      <c r="AA2856"/>
      <c r="AB2856"/>
      <c r="AC2856"/>
      <c r="AD2856"/>
      <c r="AE2856"/>
      <c r="AF2856"/>
      <c r="AG2856"/>
      <c r="AH2856"/>
      <c r="AI2856"/>
      <c r="AJ2856"/>
      <c r="AK2856"/>
      <c r="AL2856"/>
    </row>
    <row r="2857" spans="1:38" ht="15.75" customHeight="1" outlineLevel="2" x14ac:dyDescent="0.2">
      <c r="A2857" s="1067">
        <v>1</v>
      </c>
      <c r="B2857" s="1067" t="s">
        <v>68</v>
      </c>
      <c r="C2857" s="1067" t="s">
        <v>2943</v>
      </c>
      <c r="D2857" s="1067" t="s">
        <v>2943</v>
      </c>
      <c r="E2857" s="1068" t="s">
        <v>70</v>
      </c>
      <c r="F2857" s="1067"/>
      <c r="G2857" s="1069" t="str">
        <f t="array" ref="G2857">IF(B2857="insumo",_xlfn.XLOOKUP($D2857,Insumos!$B$1:$B$996,Insumos!$D$1:$D$996),"")</f>
        <v/>
      </c>
      <c r="H2857" s="1069">
        <v>1630</v>
      </c>
      <c r="I2857" s="1070">
        <v>0</v>
      </c>
      <c r="J2857" s="1070">
        <v>0</v>
      </c>
      <c r="K2857" s="1070"/>
      <c r="L2857"/>
      <c r="M2857"/>
      <c r="N2857"/>
      <c r="O2857"/>
      <c r="P2857"/>
      <c r="Q2857"/>
      <c r="R2857"/>
      <c r="S2857"/>
      <c r="T2857"/>
      <c r="U2857"/>
      <c r="V2857"/>
      <c r="W2857"/>
      <c r="X2857"/>
      <c r="Y2857"/>
      <c r="Z2857"/>
      <c r="AA2857"/>
      <c r="AB2857"/>
      <c r="AC2857"/>
      <c r="AD2857"/>
      <c r="AE2857"/>
      <c r="AF2857"/>
      <c r="AG2857"/>
      <c r="AH2857"/>
      <c r="AI2857"/>
      <c r="AJ2857"/>
      <c r="AK2857"/>
      <c r="AL2857"/>
    </row>
    <row r="2858" spans="1:38" ht="15.75" customHeight="1" outlineLevel="3" x14ac:dyDescent="0.2">
      <c r="A2858" s="10">
        <v>5</v>
      </c>
      <c r="B2858" s="10" t="s">
        <v>71</v>
      </c>
      <c r="C2858" s="10" t="s">
        <v>2943</v>
      </c>
      <c r="D2858" s="10" t="s">
        <v>2877</v>
      </c>
      <c r="E2858" s="11" t="str">
        <f t="array" ref="E2858">_xlfn.XLOOKUP(D2858,Insumos!B:B,Insumos!C:$C)</f>
        <v>M2</v>
      </c>
      <c r="F2858" s="14">
        <v>1.1000000000000001</v>
      </c>
      <c r="G2858" s="92">
        <f t="array" ref="G2858">IF(B2858="insumo",_xlfn.XLOOKUP($D2858,Insumos!$B$1:$B$996,Insumos!$D$1:$D$996),"")</f>
        <v>1300</v>
      </c>
      <c r="H2858" s="92">
        <v>1430</v>
      </c>
      <c r="I2858" s="13">
        <v>0</v>
      </c>
      <c r="J2858" s="13">
        <v>0</v>
      </c>
      <c r="K2858" s="13"/>
      <c r="L2858"/>
      <c r="M2858"/>
      <c r="N2858"/>
      <c r="O2858"/>
      <c r="P2858"/>
      <c r="Q2858"/>
      <c r="R2858"/>
      <c r="S2858"/>
      <c r="T2858"/>
      <c r="U2858"/>
      <c r="V2858"/>
      <c r="W2858"/>
      <c r="X2858"/>
      <c r="Y2858"/>
      <c r="Z2858"/>
      <c r="AA2858"/>
      <c r="AB2858"/>
      <c r="AC2858"/>
      <c r="AD2858"/>
      <c r="AE2858"/>
      <c r="AF2858"/>
      <c r="AG2858"/>
      <c r="AH2858"/>
      <c r="AI2858"/>
      <c r="AJ2858"/>
      <c r="AK2858"/>
      <c r="AL2858"/>
    </row>
    <row r="2859" spans="1:38" ht="15.75" customHeight="1" outlineLevel="3" x14ac:dyDescent="0.2">
      <c r="A2859" s="10">
        <v>2</v>
      </c>
      <c r="B2859" s="10" t="s">
        <v>71</v>
      </c>
      <c r="C2859" s="10" t="s">
        <v>2943</v>
      </c>
      <c r="D2859" s="10" t="s">
        <v>2944</v>
      </c>
      <c r="E2859" s="11" t="str">
        <f t="array" ref="E2859">_xlfn.XLOOKUP(D2859,Insumos!B:B,Insumos!C:$C)</f>
        <v>UN</v>
      </c>
      <c r="F2859" s="14">
        <v>1</v>
      </c>
      <c r="G2859" s="92">
        <f t="array" ref="G2859">IF(B2859="insumo",_xlfn.XLOOKUP($D2859,Insumos!$B$1:$B$996,Insumos!$D$1:$D$996),"")</f>
        <v>200</v>
      </c>
      <c r="H2859" s="92">
        <v>200</v>
      </c>
      <c r="I2859" s="13">
        <v>0</v>
      </c>
      <c r="J2859" s="13">
        <v>0</v>
      </c>
      <c r="K2859" s="13"/>
      <c r="L2859"/>
      <c r="M2859"/>
      <c r="N2859"/>
      <c r="O2859"/>
      <c r="P2859"/>
      <c r="Q2859"/>
      <c r="R2859"/>
      <c r="S2859"/>
      <c r="T2859"/>
      <c r="U2859"/>
      <c r="V2859"/>
      <c r="W2859"/>
      <c r="X2859"/>
      <c r="Y2859"/>
      <c r="Z2859"/>
      <c r="AA2859"/>
      <c r="AB2859"/>
      <c r="AC2859"/>
      <c r="AD2859"/>
      <c r="AE2859"/>
      <c r="AF2859"/>
      <c r="AG2859"/>
      <c r="AH2859"/>
      <c r="AI2859"/>
      <c r="AJ2859"/>
      <c r="AK2859"/>
      <c r="AL2859"/>
    </row>
    <row r="2860" spans="1:38" ht="15.75" customHeight="1" outlineLevel="2" x14ac:dyDescent="0.2">
      <c r="A2860" s="1067">
        <v>1</v>
      </c>
      <c r="B2860" s="1067" t="s">
        <v>68</v>
      </c>
      <c r="C2860" s="1067" t="s">
        <v>573</v>
      </c>
      <c r="D2860" s="1067" t="s">
        <v>573</v>
      </c>
      <c r="E2860" s="1068" t="s">
        <v>70</v>
      </c>
      <c r="F2860" s="1067"/>
      <c r="G2860" s="1069" t="str">
        <f t="array" ref="G2860">IF(B2860="insumo",_xlfn.XLOOKUP($D2860,Insumos!$B$1:$B$996,Insumos!$D$1:$D$996),"")</f>
        <v/>
      </c>
      <c r="H2860" s="1069">
        <v>273.44749999999999</v>
      </c>
      <c r="I2860" s="1070">
        <v>0</v>
      </c>
      <c r="J2860" s="1070">
        <v>0</v>
      </c>
      <c r="K2860" s="1070"/>
      <c r="L2860"/>
      <c r="M2860"/>
      <c r="N2860"/>
      <c r="O2860"/>
      <c r="P2860"/>
      <c r="Q2860"/>
      <c r="R2860"/>
      <c r="S2860"/>
      <c r="T2860"/>
      <c r="U2860"/>
      <c r="V2860"/>
      <c r="W2860"/>
      <c r="X2860"/>
      <c r="Y2860"/>
      <c r="Z2860"/>
      <c r="AA2860"/>
      <c r="AB2860"/>
      <c r="AC2860"/>
      <c r="AD2860"/>
      <c r="AE2860"/>
      <c r="AF2860"/>
      <c r="AG2860"/>
      <c r="AH2860"/>
      <c r="AI2860"/>
      <c r="AJ2860"/>
      <c r="AK2860"/>
      <c r="AL2860"/>
    </row>
    <row r="2861" spans="1:38" ht="15.75" customHeight="1" outlineLevel="3" x14ac:dyDescent="0.2">
      <c r="A2861" s="10">
        <v>1</v>
      </c>
      <c r="B2861" s="10" t="s">
        <v>71</v>
      </c>
      <c r="C2861" s="10" t="s">
        <v>573</v>
      </c>
      <c r="D2861" s="10" t="s">
        <v>508</v>
      </c>
      <c r="E2861" s="11" t="str">
        <f t="array" ref="E2861">_xlfn.XLOOKUP(D2861,Insumos!B:B,Insumos!C:$C)</f>
        <v>M2</v>
      </c>
      <c r="F2861" s="14">
        <v>1.1000000000000001</v>
      </c>
      <c r="G2861" s="92">
        <f t="array" ref="G2861">IF(B2861="insumo",_xlfn.XLOOKUP($D2861,Insumos!$B$1:$B$996,Insumos!$D$1:$D$996),"")</f>
        <v>112.22500000000001</v>
      </c>
      <c r="H2861" s="92">
        <v>123.44750000000001</v>
      </c>
      <c r="I2861" s="13">
        <v>0</v>
      </c>
      <c r="J2861" s="13">
        <v>0</v>
      </c>
      <c r="K2861" s="13"/>
      <c r="L2861"/>
      <c r="M2861"/>
      <c r="N2861"/>
      <c r="O2861"/>
      <c r="P2861"/>
      <c r="Q2861"/>
      <c r="R2861"/>
      <c r="S2861"/>
      <c r="T2861"/>
      <c r="U2861"/>
      <c r="V2861"/>
      <c r="W2861"/>
      <c r="X2861"/>
      <c r="Y2861"/>
      <c r="Z2861"/>
      <c r="AA2861"/>
      <c r="AB2861"/>
      <c r="AC2861"/>
      <c r="AD2861"/>
      <c r="AE2861"/>
      <c r="AF2861"/>
      <c r="AG2861"/>
      <c r="AH2861"/>
      <c r="AI2861"/>
      <c r="AJ2861"/>
      <c r="AK2861"/>
      <c r="AL2861"/>
    </row>
    <row r="2862" spans="1:38" ht="15.75" customHeight="1" outlineLevel="3" x14ac:dyDescent="0.2">
      <c r="A2862" s="10">
        <v>1</v>
      </c>
      <c r="B2862" s="10" t="s">
        <v>71</v>
      </c>
      <c r="C2862" s="10" t="s">
        <v>573</v>
      </c>
      <c r="D2862" s="10" t="s">
        <v>574</v>
      </c>
      <c r="E2862" s="11" t="str">
        <f t="array" ref="E2862">_xlfn.XLOOKUP(D2862,Insumos!B:B,Insumos!C:$C)</f>
        <v>M2</v>
      </c>
      <c r="F2862" s="14">
        <v>1</v>
      </c>
      <c r="G2862" s="92">
        <f t="array" ref="G2862">IF(B2862="insumo",_xlfn.XLOOKUP($D2862,Insumos!$B$1:$B$996,Insumos!$D$1:$D$996),"")</f>
        <v>150</v>
      </c>
      <c r="H2862" s="92">
        <v>150</v>
      </c>
      <c r="I2862" s="13">
        <v>0</v>
      </c>
      <c r="J2862" s="13">
        <v>0</v>
      </c>
      <c r="K2862" s="13"/>
      <c r="L2862"/>
      <c r="M2862"/>
      <c r="N2862"/>
      <c r="O2862"/>
      <c r="P2862"/>
      <c r="Q2862"/>
      <c r="R2862"/>
      <c r="S2862"/>
      <c r="T2862"/>
      <c r="U2862"/>
      <c r="V2862"/>
      <c r="W2862"/>
      <c r="X2862"/>
      <c r="Y2862"/>
      <c r="Z2862"/>
      <c r="AA2862"/>
      <c r="AB2862"/>
      <c r="AC2862"/>
      <c r="AD2862"/>
      <c r="AE2862"/>
      <c r="AF2862"/>
      <c r="AG2862"/>
      <c r="AH2862"/>
      <c r="AI2862"/>
      <c r="AJ2862"/>
      <c r="AK2862"/>
      <c r="AL2862"/>
    </row>
    <row r="2863" spans="1:38" ht="15.75" customHeight="1" outlineLevel="2" x14ac:dyDescent="0.2">
      <c r="A2863" s="1067">
        <v>1</v>
      </c>
      <c r="B2863" s="1067" t="s">
        <v>68</v>
      </c>
      <c r="C2863" s="1067" t="s">
        <v>1453</v>
      </c>
      <c r="D2863" s="1067" t="s">
        <v>1453</v>
      </c>
      <c r="E2863" s="1068" t="s">
        <v>70</v>
      </c>
      <c r="F2863" s="1067"/>
      <c r="G2863" s="1069" t="str">
        <f t="array" ref="G2863">IF(B2863="insumo",_xlfn.XLOOKUP($D2863,Insumos!$B$1:$B$996,Insumos!$D$1:$D$996),"")</f>
        <v/>
      </c>
      <c r="H2863" s="1069">
        <v>160.06444450000001</v>
      </c>
      <c r="I2863" s="1070">
        <v>0</v>
      </c>
      <c r="J2863" s="1070">
        <v>0</v>
      </c>
      <c r="K2863" s="1070"/>
      <c r="L2863"/>
      <c r="M2863"/>
      <c r="N2863"/>
      <c r="O2863"/>
      <c r="P2863"/>
      <c r="Q2863"/>
      <c r="R2863"/>
      <c r="S2863"/>
      <c r="T2863"/>
      <c r="U2863"/>
      <c r="V2863"/>
      <c r="W2863"/>
      <c r="X2863"/>
      <c r="Y2863"/>
      <c r="Z2863"/>
      <c r="AA2863"/>
      <c r="AB2863"/>
      <c r="AC2863"/>
      <c r="AD2863"/>
      <c r="AE2863"/>
      <c r="AF2863"/>
      <c r="AG2863"/>
      <c r="AH2863"/>
      <c r="AI2863"/>
      <c r="AJ2863"/>
      <c r="AK2863"/>
      <c r="AL2863"/>
    </row>
    <row r="2864" spans="1:38" ht="15.75" customHeight="1" outlineLevel="3" x14ac:dyDescent="0.2">
      <c r="A2864" s="10">
        <v>86</v>
      </c>
      <c r="B2864" s="10" t="s">
        <v>71</v>
      </c>
      <c r="C2864" s="10" t="s">
        <v>1453</v>
      </c>
      <c r="D2864" s="10" t="s">
        <v>407</v>
      </c>
      <c r="E2864" s="11" t="str">
        <f t="array" ref="E2864">_xlfn.XLOOKUP(D2864,Insumos!B:B,Insumos!C:$C)</f>
        <v>M2</v>
      </c>
      <c r="F2864" s="14">
        <v>1</v>
      </c>
      <c r="G2864" s="92">
        <f t="array" ref="G2864">IF(B2864="insumo",_xlfn.XLOOKUP($D2864,Insumos!$B$1:$B$996,Insumos!$D$1:$D$996),"")</f>
        <v>70</v>
      </c>
      <c r="H2864" s="92">
        <v>70</v>
      </c>
      <c r="I2864" s="13">
        <v>0</v>
      </c>
      <c r="J2864" s="13">
        <v>0</v>
      </c>
      <c r="K2864" s="13"/>
      <c r="L2864"/>
      <c r="M2864"/>
      <c r="N2864"/>
      <c r="O2864"/>
      <c r="P2864"/>
      <c r="Q2864"/>
      <c r="R2864"/>
      <c r="S2864"/>
      <c r="T2864"/>
      <c r="U2864"/>
      <c r="V2864"/>
      <c r="W2864"/>
      <c r="X2864"/>
      <c r="Y2864"/>
      <c r="Z2864"/>
      <c r="AA2864"/>
      <c r="AB2864"/>
      <c r="AC2864"/>
      <c r="AD2864"/>
      <c r="AE2864"/>
      <c r="AF2864"/>
      <c r="AG2864"/>
      <c r="AH2864"/>
      <c r="AI2864"/>
      <c r="AJ2864"/>
      <c r="AK2864"/>
      <c r="AL2864"/>
    </row>
    <row r="2865" spans="1:38" ht="15.75" customHeight="1" outlineLevel="3" x14ac:dyDescent="0.2">
      <c r="A2865" s="10">
        <v>47</v>
      </c>
      <c r="B2865" s="10" t="s">
        <v>71</v>
      </c>
      <c r="C2865" s="10" t="s">
        <v>1453</v>
      </c>
      <c r="D2865" s="10" t="s">
        <v>408</v>
      </c>
      <c r="E2865" s="11" t="str">
        <f t="array" ref="E2865">_xlfn.XLOOKUP(D2865,Insumos!B:B,Insumos!C:$C)</f>
        <v>M2</v>
      </c>
      <c r="F2865" s="14">
        <v>1.1060000000000001</v>
      </c>
      <c r="G2865" s="92">
        <f t="array" ref="G2865">IF(B2865="insumo",_xlfn.XLOOKUP($D2865,Insumos!$B$1:$B$996,Insumos!$D$1:$D$996),"")</f>
        <v>20.16</v>
      </c>
      <c r="H2865" s="92">
        <v>22.296959999999999</v>
      </c>
      <c r="I2865" s="13">
        <v>0</v>
      </c>
      <c r="J2865" s="13">
        <v>0</v>
      </c>
      <c r="K2865" s="13"/>
      <c r="L2865"/>
      <c r="M2865"/>
      <c r="N2865"/>
      <c r="O2865"/>
      <c r="P2865"/>
      <c r="Q2865"/>
      <c r="R2865"/>
      <c r="S2865"/>
      <c r="T2865"/>
      <c r="U2865"/>
      <c r="V2865"/>
      <c r="W2865"/>
      <c r="X2865"/>
      <c r="Y2865"/>
      <c r="Z2865"/>
      <c r="AA2865"/>
      <c r="AB2865"/>
      <c r="AC2865"/>
      <c r="AD2865"/>
      <c r="AE2865"/>
      <c r="AF2865"/>
      <c r="AG2865"/>
      <c r="AH2865"/>
      <c r="AI2865"/>
      <c r="AJ2865"/>
      <c r="AK2865"/>
      <c r="AL2865"/>
    </row>
    <row r="2866" spans="1:38" ht="15.75" customHeight="1" outlineLevel="3" x14ac:dyDescent="0.2">
      <c r="A2866" s="10">
        <v>95</v>
      </c>
      <c r="B2866" s="10" t="s">
        <v>71</v>
      </c>
      <c r="C2866" s="10" t="s">
        <v>1453</v>
      </c>
      <c r="D2866" s="10" t="s">
        <v>409</v>
      </c>
      <c r="E2866" s="11" t="str">
        <f t="array" ref="E2866">_xlfn.XLOOKUP(D2866,Insumos!B:B,Insumos!C:$C)</f>
        <v>UN</v>
      </c>
      <c r="F2866" s="14">
        <v>5.92</v>
      </c>
      <c r="G2866" s="92">
        <f t="array" ref="G2866">IF(B2866="insumo",_xlfn.XLOOKUP($D2866,Insumos!$B$1:$B$996,Insumos!$D$1:$D$996),"")</f>
        <v>0.504</v>
      </c>
      <c r="H2866" s="92">
        <v>2.9836800000000001</v>
      </c>
      <c r="I2866" s="13">
        <v>0</v>
      </c>
      <c r="J2866" s="13">
        <v>0</v>
      </c>
      <c r="K2866" s="13"/>
      <c r="L2866"/>
      <c r="M2866"/>
      <c r="N2866"/>
      <c r="O2866"/>
      <c r="P2866"/>
      <c r="Q2866"/>
      <c r="R2866"/>
      <c r="S2866"/>
      <c r="T2866"/>
      <c r="U2866"/>
      <c r="V2866"/>
      <c r="W2866"/>
      <c r="X2866"/>
      <c r="Y2866"/>
      <c r="Z2866"/>
      <c r="AA2866"/>
      <c r="AB2866"/>
      <c r="AC2866"/>
      <c r="AD2866"/>
      <c r="AE2866"/>
      <c r="AF2866"/>
      <c r="AG2866"/>
      <c r="AH2866"/>
      <c r="AI2866"/>
      <c r="AJ2866"/>
      <c r="AK2866"/>
      <c r="AL2866"/>
    </row>
    <row r="2867" spans="1:38" ht="15.75" customHeight="1" outlineLevel="3" x14ac:dyDescent="0.2">
      <c r="A2867" s="10">
        <v>26</v>
      </c>
      <c r="B2867" s="10" t="s">
        <v>71</v>
      </c>
      <c r="C2867" s="10" t="s">
        <v>1453</v>
      </c>
      <c r="D2867" s="10" t="s">
        <v>410</v>
      </c>
      <c r="E2867" s="11" t="str">
        <f t="array" ref="E2867">_xlfn.XLOOKUP(D2867,Insumos!B:B,Insumos!C:$C)</f>
        <v>M</v>
      </c>
      <c r="F2867" s="14">
        <v>1.8233999999999999</v>
      </c>
      <c r="G2867" s="92">
        <f t="array" ref="G2867">IF(B2867="insumo",_xlfn.XLOOKUP($D2867,Insumos!$B$1:$B$996,Insumos!$D$1:$D$996),"")</f>
        <v>7.03</v>
      </c>
      <c r="H2867" s="92">
        <v>12.818502000000001</v>
      </c>
      <c r="I2867" s="13">
        <v>0</v>
      </c>
      <c r="J2867" s="13">
        <v>0</v>
      </c>
      <c r="K2867" s="13"/>
      <c r="L2867"/>
      <c r="M2867"/>
      <c r="N2867"/>
      <c r="O2867"/>
      <c r="P2867"/>
      <c r="Q2867"/>
      <c r="R2867"/>
      <c r="S2867"/>
      <c r="T2867"/>
      <c r="U2867"/>
      <c r="V2867"/>
      <c r="W2867"/>
      <c r="X2867"/>
      <c r="Y2867"/>
      <c r="Z2867"/>
      <c r="AA2867"/>
      <c r="AB2867"/>
      <c r="AC2867"/>
      <c r="AD2867"/>
      <c r="AE2867"/>
      <c r="AF2867"/>
      <c r="AG2867"/>
      <c r="AH2867"/>
      <c r="AI2867"/>
      <c r="AJ2867"/>
      <c r="AK2867"/>
      <c r="AL2867"/>
    </row>
    <row r="2868" spans="1:38" ht="15.75" customHeight="1" outlineLevel="3" x14ac:dyDescent="0.2">
      <c r="A2868" s="10">
        <v>26</v>
      </c>
      <c r="B2868" s="10" t="s">
        <v>71</v>
      </c>
      <c r="C2868" s="10" t="s">
        <v>1453</v>
      </c>
      <c r="D2868" s="10" t="s">
        <v>411</v>
      </c>
      <c r="E2868" s="11" t="str">
        <f t="array" ref="E2868">_xlfn.XLOOKUP(D2868,Insumos!B:B,Insumos!C:$C)</f>
        <v>M</v>
      </c>
      <c r="F2868" s="14">
        <v>5.8277999999999999</v>
      </c>
      <c r="G2868" s="92">
        <f t="array" ref="G2868">IF(B2868="insumo",_xlfn.XLOOKUP($D2868,Insumos!$B$1:$B$996,Insumos!$D$1:$D$996),"")</f>
        <v>7.98</v>
      </c>
      <c r="H2868" s="92">
        <v>46.505844000000003</v>
      </c>
      <c r="I2868" s="13">
        <v>0</v>
      </c>
      <c r="J2868" s="13">
        <v>0</v>
      </c>
      <c r="K2868" s="13"/>
      <c r="L2868"/>
      <c r="M2868"/>
      <c r="N2868"/>
      <c r="O2868"/>
      <c r="P2868"/>
      <c r="Q2868"/>
      <c r="R2868"/>
      <c r="S2868"/>
      <c r="T2868"/>
      <c r="U2868"/>
      <c r="V2868"/>
      <c r="W2868"/>
      <c r="X2868"/>
      <c r="Y2868"/>
      <c r="Z2868"/>
      <c r="AA2868"/>
      <c r="AB2868"/>
      <c r="AC2868"/>
      <c r="AD2868"/>
      <c r="AE2868"/>
      <c r="AF2868"/>
      <c r="AG2868"/>
      <c r="AH2868"/>
      <c r="AI2868"/>
      <c r="AJ2868"/>
      <c r="AK2868"/>
      <c r="AL2868"/>
    </row>
    <row r="2869" spans="1:38" ht="15.75" customHeight="1" outlineLevel="3" x14ac:dyDescent="0.2">
      <c r="A2869" s="10">
        <v>95</v>
      </c>
      <c r="B2869" s="10" t="s">
        <v>71</v>
      </c>
      <c r="C2869" s="10" t="s">
        <v>1453</v>
      </c>
      <c r="D2869" s="10" t="s">
        <v>405</v>
      </c>
      <c r="E2869" s="11" t="str">
        <f t="array" ref="E2869">_xlfn.XLOOKUP(D2869,Insumos!B:B,Insumos!C:$C)</f>
        <v>KG</v>
      </c>
      <c r="F2869" s="14">
        <f>1.0978/2</f>
        <v>0.54890000000000005</v>
      </c>
      <c r="G2869" s="92">
        <f t="array" ref="G2869">IF(B2869="insumo",_xlfn.XLOOKUP($D2869,Insumos!$B$1:$B$996,Insumos!$D$1:$D$996),"")</f>
        <v>3.43</v>
      </c>
      <c r="H2869" s="92">
        <v>1.882727</v>
      </c>
      <c r="I2869" s="13">
        <v>0</v>
      </c>
      <c r="J2869" s="13">
        <v>0</v>
      </c>
      <c r="K2869" s="13"/>
      <c r="L2869"/>
      <c r="M2869"/>
      <c r="N2869"/>
      <c r="O2869"/>
      <c r="P2869"/>
      <c r="Q2869"/>
      <c r="R2869"/>
      <c r="S2869"/>
      <c r="T2869"/>
      <c r="U2869"/>
      <c r="V2869"/>
      <c r="W2869"/>
      <c r="X2869"/>
      <c r="Y2869"/>
      <c r="Z2869"/>
      <c r="AA2869"/>
      <c r="AB2869"/>
      <c r="AC2869"/>
      <c r="AD2869"/>
      <c r="AE2869"/>
      <c r="AF2869"/>
      <c r="AG2869"/>
      <c r="AH2869"/>
      <c r="AI2869"/>
      <c r="AJ2869"/>
      <c r="AK2869"/>
      <c r="AL2869"/>
    </row>
    <row r="2870" spans="1:38" ht="15.75" customHeight="1" outlineLevel="3" x14ac:dyDescent="0.2">
      <c r="A2870" s="10">
        <v>94</v>
      </c>
      <c r="B2870" s="10" t="s">
        <v>71</v>
      </c>
      <c r="C2870" s="10" t="s">
        <v>1453</v>
      </c>
      <c r="D2870" s="10" t="s">
        <v>412</v>
      </c>
      <c r="E2870" s="11" t="str">
        <f t="array" ref="E2870">_xlfn.XLOOKUP(D2870,Insumos!B:B,Insumos!C:$C)</f>
        <v>M</v>
      </c>
      <c r="F2870" s="14">
        <f>2.5027/2</f>
        <v>1.25135</v>
      </c>
      <c r="G2870" s="92">
        <f t="array" ref="G2870">IF(B2870="insumo",_xlfn.XLOOKUP($D2870,Insumos!$B$1:$B$996,Insumos!$D$1:$D$996),"")</f>
        <v>0.31</v>
      </c>
      <c r="H2870" s="92">
        <v>0.3879185</v>
      </c>
      <c r="I2870" s="13">
        <v>0</v>
      </c>
      <c r="J2870" s="13">
        <v>0</v>
      </c>
      <c r="K2870" s="13"/>
      <c r="L2870"/>
      <c r="M2870"/>
      <c r="N2870"/>
      <c r="O2870"/>
      <c r="P2870"/>
      <c r="Q2870"/>
      <c r="R2870"/>
      <c r="S2870"/>
      <c r="T2870"/>
      <c r="U2870"/>
      <c r="V2870"/>
      <c r="W2870"/>
      <c r="X2870"/>
      <c r="Y2870"/>
      <c r="Z2870"/>
      <c r="AA2870"/>
      <c r="AB2870"/>
      <c r="AC2870"/>
      <c r="AD2870"/>
      <c r="AE2870"/>
      <c r="AF2870"/>
      <c r="AG2870"/>
      <c r="AH2870"/>
      <c r="AI2870"/>
      <c r="AJ2870"/>
      <c r="AK2870"/>
      <c r="AL2870"/>
    </row>
    <row r="2871" spans="1:38" ht="15.75" customHeight="1" outlineLevel="3" x14ac:dyDescent="0.2">
      <c r="A2871" s="10">
        <v>94</v>
      </c>
      <c r="B2871" s="10" t="s">
        <v>71</v>
      </c>
      <c r="C2871" s="10" t="s">
        <v>1453</v>
      </c>
      <c r="D2871" s="10" t="s">
        <v>413</v>
      </c>
      <c r="E2871" s="11" t="str">
        <f t="array" ref="E2871">_xlfn.XLOOKUP(D2871,Insumos!B:B,Insumos!C:$C)</f>
        <v>M</v>
      </c>
      <c r="F2871" s="14">
        <f>1.5851/2</f>
        <v>0.79254999999999998</v>
      </c>
      <c r="G2871" s="92">
        <f t="array" ref="G2871">IF(B2871="insumo",_xlfn.XLOOKUP($D2871,Insumos!$B$1:$B$996,Insumos!$D$1:$D$996),"")</f>
        <v>2.74</v>
      </c>
      <c r="H2871" s="92">
        <v>2.1715870000000002</v>
      </c>
      <c r="I2871" s="13">
        <v>0</v>
      </c>
      <c r="J2871" s="13">
        <v>0</v>
      </c>
      <c r="K2871" s="13"/>
      <c r="L2871"/>
      <c r="M2871"/>
      <c r="N2871"/>
      <c r="O2871"/>
      <c r="P2871"/>
      <c r="Q2871"/>
      <c r="R2871"/>
      <c r="S2871"/>
      <c r="T2871"/>
      <c r="U2871"/>
      <c r="V2871"/>
      <c r="W2871"/>
      <c r="X2871"/>
      <c r="Y2871"/>
      <c r="Z2871"/>
      <c r="AA2871"/>
      <c r="AB2871"/>
      <c r="AC2871"/>
      <c r="AD2871"/>
      <c r="AE2871"/>
      <c r="AF2871"/>
      <c r="AG2871"/>
      <c r="AH2871"/>
      <c r="AI2871"/>
      <c r="AJ2871"/>
      <c r="AK2871"/>
      <c r="AL2871"/>
    </row>
    <row r="2872" spans="1:38" ht="15.75" customHeight="1" outlineLevel="3" x14ac:dyDescent="0.2">
      <c r="A2872" s="10">
        <v>97</v>
      </c>
      <c r="B2872" s="10" t="s">
        <v>71</v>
      </c>
      <c r="C2872" s="10" t="s">
        <v>1453</v>
      </c>
      <c r="D2872" s="10" t="s">
        <v>414</v>
      </c>
      <c r="E2872" s="11" t="str">
        <f t="array" ref="E2872">_xlfn.XLOOKUP(D2872,Insumos!B:B,Insumos!C:$C)</f>
        <v>UN</v>
      </c>
      <c r="F2872" s="14">
        <f>20.1868/2</f>
        <v>10.093400000000001</v>
      </c>
      <c r="G2872" s="92">
        <f t="array" ref="G2872">IF(B2872="insumo",_xlfn.XLOOKUP($D2872,Insumos!$B$1:$B$996,Insumos!$D$1:$D$996),"")</f>
        <v>0.09</v>
      </c>
      <c r="H2872" s="92">
        <v>0.90840600000000005</v>
      </c>
      <c r="I2872" s="13">
        <v>0</v>
      </c>
      <c r="J2872" s="13">
        <v>0</v>
      </c>
      <c r="K2872" s="13"/>
      <c r="L2872"/>
      <c r="M2872"/>
      <c r="N2872"/>
      <c r="O2872"/>
      <c r="P2872"/>
      <c r="Q2872"/>
      <c r="R2872"/>
      <c r="S2872"/>
      <c r="T2872"/>
      <c r="U2872"/>
      <c r="V2872"/>
      <c r="W2872"/>
      <c r="X2872"/>
      <c r="Y2872"/>
      <c r="Z2872"/>
      <c r="AA2872"/>
      <c r="AB2872"/>
      <c r="AC2872"/>
      <c r="AD2872"/>
      <c r="AE2872"/>
      <c r="AF2872"/>
      <c r="AG2872"/>
      <c r="AH2872"/>
      <c r="AI2872"/>
      <c r="AJ2872"/>
      <c r="AK2872"/>
      <c r="AL2872"/>
    </row>
    <row r="2873" spans="1:38" ht="15.75" customHeight="1" outlineLevel="3" x14ac:dyDescent="0.2">
      <c r="A2873" s="10">
        <v>95</v>
      </c>
      <c r="B2873" s="10" t="s">
        <v>71</v>
      </c>
      <c r="C2873" s="10" t="s">
        <v>1453</v>
      </c>
      <c r="D2873" s="10" t="s">
        <v>415</v>
      </c>
      <c r="E2873" s="11" t="str">
        <f t="array" ref="E2873">_xlfn.XLOOKUP(D2873,Insumos!B:B,Insumos!C:$C)</f>
        <v>UN</v>
      </c>
      <c r="F2873" s="14">
        <v>0.54410000000000003</v>
      </c>
      <c r="G2873" s="92">
        <f t="array" ref="G2873">IF(B2873="insumo",_xlfn.XLOOKUP($D2873,Insumos!$B$1:$B$996,Insumos!$D$1:$D$996),"")</f>
        <v>0.2</v>
      </c>
      <c r="H2873" s="92">
        <v>0.10882</v>
      </c>
      <c r="I2873" s="13">
        <v>0</v>
      </c>
      <c r="J2873" s="13">
        <v>0</v>
      </c>
      <c r="K2873" s="13"/>
      <c r="L2873"/>
      <c r="M2873"/>
      <c r="N2873"/>
      <c r="O2873"/>
      <c r="P2873"/>
      <c r="Q2873"/>
      <c r="R2873"/>
      <c r="S2873"/>
      <c r="T2873"/>
      <c r="U2873"/>
      <c r="V2873"/>
      <c r="W2873"/>
      <c r="X2873"/>
      <c r="Y2873"/>
      <c r="Z2873"/>
      <c r="AA2873"/>
      <c r="AB2873"/>
      <c r="AC2873"/>
      <c r="AD2873"/>
      <c r="AE2873"/>
      <c r="AF2873"/>
      <c r="AG2873"/>
      <c r="AH2873"/>
      <c r="AI2873"/>
      <c r="AJ2873"/>
      <c r="AK2873"/>
      <c r="AL2873"/>
    </row>
    <row r="2874" spans="1:38" ht="15.75" customHeight="1" outlineLevel="2" x14ac:dyDescent="0.2">
      <c r="A2874" s="1067">
        <v>1</v>
      </c>
      <c r="B2874" s="1067" t="s">
        <v>68</v>
      </c>
      <c r="C2874" s="1067" t="s">
        <v>1673</v>
      </c>
      <c r="D2874" s="1067" t="s">
        <v>1673</v>
      </c>
      <c r="E2874" s="1068" t="s">
        <v>70</v>
      </c>
      <c r="F2874" s="1067"/>
      <c r="G2874" s="1069" t="str">
        <f t="array" ref="G2874">IF(B2874="insumo",_xlfn.XLOOKUP($D2874,Insumos!$B$1:$B$996,Insumos!$D$1:$D$996),"")</f>
        <v/>
      </c>
      <c r="H2874" s="1069">
        <v>160</v>
      </c>
      <c r="I2874" s="1070">
        <v>0</v>
      </c>
      <c r="J2874" s="1070">
        <v>0</v>
      </c>
      <c r="K2874" s="1070"/>
      <c r="L2874"/>
      <c r="M2874"/>
      <c r="N2874"/>
      <c r="O2874"/>
      <c r="P2874"/>
      <c r="Q2874"/>
      <c r="R2874"/>
      <c r="S2874"/>
      <c r="T2874"/>
      <c r="U2874"/>
      <c r="V2874"/>
      <c r="W2874"/>
      <c r="X2874"/>
      <c r="Y2874"/>
      <c r="Z2874"/>
      <c r="AA2874"/>
      <c r="AB2874"/>
      <c r="AC2874"/>
      <c r="AD2874"/>
      <c r="AE2874"/>
      <c r="AF2874"/>
      <c r="AG2874"/>
      <c r="AH2874"/>
      <c r="AI2874"/>
      <c r="AJ2874"/>
      <c r="AK2874"/>
      <c r="AL2874"/>
    </row>
    <row r="2875" spans="1:38" ht="15.75" customHeight="1" outlineLevel="3" x14ac:dyDescent="0.2">
      <c r="A2875" s="10">
        <v>1</v>
      </c>
      <c r="B2875" s="10" t="s">
        <v>71</v>
      </c>
      <c r="C2875" s="10" t="s">
        <v>1673</v>
      </c>
      <c r="D2875" s="10" t="s">
        <v>1673</v>
      </c>
      <c r="E2875" s="11" t="str">
        <f t="array" ref="E2875">_xlfn.XLOOKUP(D2875,Insumos!B:B,Insumos!C:$C)</f>
        <v>M2</v>
      </c>
      <c r="F2875" s="14">
        <v>1</v>
      </c>
      <c r="G2875" s="92">
        <f t="array" ref="G2875">IF(B2875="insumo",_xlfn.XLOOKUP($D2875,Insumos!$B$1:$B$996,Insumos!$D$1:$D$996),"")</f>
        <v>160</v>
      </c>
      <c r="H2875" s="92">
        <v>160</v>
      </c>
      <c r="I2875" s="13">
        <v>0</v>
      </c>
      <c r="J2875" s="13">
        <v>0</v>
      </c>
      <c r="K2875" s="13"/>
      <c r="L2875"/>
      <c r="M2875"/>
      <c r="N2875"/>
      <c r="O2875"/>
      <c r="P2875"/>
      <c r="Q2875"/>
      <c r="R2875"/>
      <c r="S2875"/>
      <c r="T2875"/>
      <c r="U2875"/>
      <c r="V2875"/>
      <c r="W2875"/>
      <c r="X2875"/>
      <c r="Y2875"/>
      <c r="Z2875"/>
      <c r="AA2875"/>
      <c r="AB2875"/>
      <c r="AC2875"/>
      <c r="AD2875"/>
      <c r="AE2875"/>
      <c r="AF2875"/>
      <c r="AG2875"/>
      <c r="AH2875"/>
      <c r="AI2875"/>
      <c r="AJ2875"/>
      <c r="AK2875"/>
      <c r="AL2875"/>
    </row>
    <row r="2876" spans="1:38" ht="15.75" customHeight="1" outlineLevel="2" x14ac:dyDescent="0.2">
      <c r="A2876" s="1067">
        <v>1</v>
      </c>
      <c r="B2876" s="1067" t="s">
        <v>68</v>
      </c>
      <c r="C2876" s="1067" t="s">
        <v>1452</v>
      </c>
      <c r="D2876" s="1067" t="s">
        <v>1452</v>
      </c>
      <c r="E2876" s="1068" t="s">
        <v>70</v>
      </c>
      <c r="F2876" s="1067"/>
      <c r="G2876" s="1069" t="str">
        <f t="array" ref="G2876">IF(B2876="insumo",_xlfn.XLOOKUP($D2876,Insumos!$B$1:$B$996,Insumos!$D$1:$D$996),"")</f>
        <v/>
      </c>
      <c r="H2876" s="1069">
        <v>313.69355000000002</v>
      </c>
      <c r="I2876" s="1070">
        <v>0</v>
      </c>
      <c r="J2876" s="1070">
        <v>0</v>
      </c>
      <c r="K2876" s="1070"/>
      <c r="L2876"/>
      <c r="M2876"/>
      <c r="N2876"/>
      <c r="O2876"/>
      <c r="P2876"/>
      <c r="Q2876"/>
      <c r="R2876"/>
      <c r="S2876"/>
      <c r="T2876"/>
      <c r="U2876"/>
      <c r="V2876"/>
      <c r="W2876"/>
      <c r="X2876"/>
      <c r="Y2876"/>
      <c r="Z2876"/>
      <c r="AA2876"/>
      <c r="AB2876"/>
      <c r="AC2876"/>
      <c r="AD2876"/>
      <c r="AE2876"/>
      <c r="AF2876"/>
      <c r="AG2876"/>
      <c r="AH2876"/>
      <c r="AI2876"/>
      <c r="AJ2876"/>
      <c r="AK2876"/>
      <c r="AL2876"/>
    </row>
    <row r="2877" spans="1:38" ht="15.75" customHeight="1" outlineLevel="3" x14ac:dyDescent="0.2">
      <c r="A2877" s="10">
        <v>1</v>
      </c>
      <c r="B2877" s="10" t="s">
        <v>71</v>
      </c>
      <c r="C2877" s="10" t="s">
        <v>1452</v>
      </c>
      <c r="D2877" s="10" t="s">
        <v>1449</v>
      </c>
      <c r="E2877" s="11" t="str">
        <f t="array" ref="E2877">_xlfn.XLOOKUP(D2877,Insumos!B:B,Insumos!C:$C)</f>
        <v>M2</v>
      </c>
      <c r="F2877" s="14">
        <v>1</v>
      </c>
      <c r="G2877" s="92">
        <f t="array" ref="G2877">IF(B2877="insumo",_xlfn.XLOOKUP($D2877,Insumos!$B$1:$B$996,Insumos!$D$1:$D$996),"")</f>
        <v>70</v>
      </c>
      <c r="H2877" s="92">
        <v>70</v>
      </c>
      <c r="I2877" s="13">
        <v>0</v>
      </c>
      <c r="J2877" s="13">
        <v>0</v>
      </c>
      <c r="K2877" s="13"/>
      <c r="L2877"/>
      <c r="M2877"/>
      <c r="N2877"/>
      <c r="O2877"/>
      <c r="P2877"/>
      <c r="Q2877"/>
      <c r="R2877"/>
      <c r="S2877"/>
      <c r="T2877"/>
      <c r="U2877"/>
      <c r="V2877"/>
      <c r="W2877"/>
      <c r="X2877"/>
      <c r="Y2877"/>
      <c r="Z2877"/>
      <c r="AA2877"/>
      <c r="AB2877"/>
      <c r="AC2877"/>
      <c r="AD2877"/>
      <c r="AE2877"/>
      <c r="AF2877"/>
      <c r="AG2877"/>
      <c r="AH2877"/>
      <c r="AI2877"/>
      <c r="AJ2877"/>
      <c r="AK2877"/>
      <c r="AL2877"/>
    </row>
    <row r="2878" spans="1:38" ht="15.75" customHeight="1" outlineLevel="3" x14ac:dyDescent="0.2">
      <c r="A2878" s="10">
        <v>1</v>
      </c>
      <c r="B2878" s="10" t="s">
        <v>71</v>
      </c>
      <c r="C2878" s="10" t="s">
        <v>1452</v>
      </c>
      <c r="D2878" s="10" t="s">
        <v>1444</v>
      </c>
      <c r="E2878" s="11" t="str">
        <f t="array" ref="E2878">_xlfn.XLOOKUP(D2878,Insumos!B:B,Insumos!C:$C)</f>
        <v>M2</v>
      </c>
      <c r="F2878" s="14">
        <v>1.05</v>
      </c>
      <c r="G2878" s="92">
        <f t="array" ref="G2878">IF(B2878="insumo",_xlfn.XLOOKUP($D2878,Insumos!$B$1:$B$996,Insumos!$D$1:$D$996),"")</f>
        <v>95</v>
      </c>
      <c r="H2878" s="92">
        <v>99.75</v>
      </c>
      <c r="I2878" s="13">
        <v>0</v>
      </c>
      <c r="J2878" s="13">
        <v>0</v>
      </c>
      <c r="K2878" s="13"/>
      <c r="L2878"/>
      <c r="M2878"/>
      <c r="N2878"/>
      <c r="O2878"/>
      <c r="P2878"/>
      <c r="Q2878"/>
      <c r="R2878"/>
      <c r="S2878"/>
      <c r="T2878"/>
      <c r="U2878"/>
      <c r="V2878"/>
      <c r="W2878"/>
      <c r="X2878"/>
      <c r="Y2878"/>
      <c r="Z2878"/>
      <c r="AA2878"/>
      <c r="AB2878"/>
      <c r="AC2878"/>
      <c r="AD2878"/>
      <c r="AE2878"/>
      <c r="AF2878"/>
      <c r="AG2878"/>
      <c r="AH2878"/>
      <c r="AI2878"/>
      <c r="AJ2878"/>
      <c r="AK2878"/>
      <c r="AL2878"/>
    </row>
    <row r="2879" spans="1:38" ht="15.75" customHeight="1" outlineLevel="3" x14ac:dyDescent="0.2">
      <c r="A2879" s="10">
        <v>1</v>
      </c>
      <c r="B2879" s="10" t="s">
        <v>71</v>
      </c>
      <c r="C2879" s="10" t="s">
        <v>1452</v>
      </c>
      <c r="D2879" s="10" t="s">
        <v>1445</v>
      </c>
      <c r="E2879" s="11" t="str">
        <f t="array" ref="E2879">_xlfn.XLOOKUP(D2879,Insumos!B:B,Insumos!C:$C)</f>
        <v>M</v>
      </c>
      <c r="F2879" s="14">
        <v>5.92</v>
      </c>
      <c r="G2879" s="92">
        <f t="array" ref="G2879">IF(B2879="insumo",_xlfn.XLOOKUP($D2879,Insumos!$B$1:$B$996,Insumos!$D$1:$D$996),"")</f>
        <v>7.5</v>
      </c>
      <c r="H2879" s="92">
        <v>44.4</v>
      </c>
      <c r="I2879" s="13">
        <v>0</v>
      </c>
      <c r="J2879" s="13">
        <v>0</v>
      </c>
      <c r="K2879" s="13"/>
      <c r="L2879"/>
      <c r="M2879"/>
      <c r="N2879"/>
      <c r="O2879"/>
      <c r="P2879"/>
      <c r="Q2879"/>
      <c r="R2879"/>
      <c r="S2879"/>
      <c r="T2879"/>
      <c r="U2879"/>
      <c r="V2879"/>
      <c r="W2879"/>
      <c r="X2879"/>
      <c r="Y2879"/>
      <c r="Z2879"/>
      <c r="AA2879"/>
      <c r="AB2879"/>
      <c r="AC2879"/>
      <c r="AD2879"/>
      <c r="AE2879"/>
      <c r="AF2879"/>
      <c r="AG2879"/>
      <c r="AH2879"/>
      <c r="AI2879"/>
      <c r="AJ2879"/>
      <c r="AK2879"/>
      <c r="AL2879"/>
    </row>
    <row r="2880" spans="1:38" ht="15.75" customHeight="1" outlineLevel="3" x14ac:dyDescent="0.2">
      <c r="A2880" s="10">
        <v>1</v>
      </c>
      <c r="B2880" s="10" t="s">
        <v>71</v>
      </c>
      <c r="C2880" s="10" t="s">
        <v>1452</v>
      </c>
      <c r="D2880" s="10" t="s">
        <v>1446</v>
      </c>
      <c r="E2880" s="11" t="str">
        <f t="array" ref="E2880">_xlfn.XLOOKUP(D2880,Insumos!B:B,Insumos!C:$C)</f>
        <v>M</v>
      </c>
      <c r="F2880" s="14">
        <v>1.8233999999999999</v>
      </c>
      <c r="G2880" s="92">
        <f t="array" ref="G2880">IF(B2880="insumo",_xlfn.XLOOKUP($D2880,Insumos!$B$1:$B$996,Insumos!$D$1:$D$996),"")</f>
        <v>6.5</v>
      </c>
      <c r="H2880" s="92">
        <v>11.8521</v>
      </c>
      <c r="I2880" s="13">
        <v>0</v>
      </c>
      <c r="J2880" s="13">
        <v>0</v>
      </c>
      <c r="K2880" s="13"/>
      <c r="L2880"/>
      <c r="M2880"/>
      <c r="N2880"/>
      <c r="O2880"/>
      <c r="P2880"/>
      <c r="Q2880"/>
      <c r="R2880"/>
      <c r="S2880"/>
      <c r="T2880"/>
      <c r="U2880"/>
      <c r="V2880"/>
      <c r="W2880"/>
      <c r="X2880"/>
      <c r="Y2880"/>
      <c r="Z2880"/>
      <c r="AA2880"/>
      <c r="AB2880"/>
      <c r="AC2880"/>
      <c r="AD2880"/>
      <c r="AE2880"/>
      <c r="AF2880"/>
      <c r="AG2880"/>
      <c r="AH2880"/>
      <c r="AI2880"/>
      <c r="AJ2880"/>
      <c r="AK2880"/>
      <c r="AL2880"/>
    </row>
    <row r="2881" spans="1:38" ht="15.75" customHeight="1" outlineLevel="3" x14ac:dyDescent="0.2">
      <c r="A2881" s="10">
        <v>1</v>
      </c>
      <c r="B2881" s="10" t="s">
        <v>71</v>
      </c>
      <c r="C2881" s="10" t="s">
        <v>1452</v>
      </c>
      <c r="D2881" s="10" t="s">
        <v>1447</v>
      </c>
      <c r="E2881" s="11" t="str">
        <f t="array" ref="E2881">_xlfn.XLOOKUP(D2881,Insumos!B:B,Insumos!C:$C)</f>
        <v>M</v>
      </c>
      <c r="F2881" s="14">
        <v>5.8277999999999999</v>
      </c>
      <c r="G2881" s="92">
        <f t="array" ref="G2881">IF(B2881="insumo",_xlfn.XLOOKUP($D2881,Insumos!$B$1:$B$996,Insumos!$D$1:$D$996),"")</f>
        <v>15</v>
      </c>
      <c r="H2881" s="92">
        <v>87.417000000000002</v>
      </c>
      <c r="I2881" s="13">
        <v>0</v>
      </c>
      <c r="J2881" s="13">
        <v>0</v>
      </c>
      <c r="K2881" s="13"/>
      <c r="L2881"/>
      <c r="M2881"/>
      <c r="N2881"/>
      <c r="O2881"/>
      <c r="P2881"/>
      <c r="Q2881"/>
      <c r="R2881"/>
      <c r="S2881"/>
      <c r="T2881"/>
      <c r="U2881"/>
      <c r="V2881"/>
      <c r="W2881"/>
      <c r="X2881"/>
      <c r="Y2881"/>
      <c r="Z2881"/>
      <c r="AA2881"/>
      <c r="AB2881"/>
      <c r="AC2881"/>
      <c r="AD2881"/>
      <c r="AE2881"/>
      <c r="AF2881"/>
      <c r="AG2881"/>
      <c r="AH2881"/>
      <c r="AI2881"/>
      <c r="AJ2881"/>
      <c r="AK2881"/>
      <c r="AL2881"/>
    </row>
    <row r="2882" spans="1:38" ht="15.75" customHeight="1" outlineLevel="3" x14ac:dyDescent="0.2">
      <c r="A2882" s="10">
        <v>1</v>
      </c>
      <c r="B2882" s="10" t="s">
        <v>71</v>
      </c>
      <c r="C2882" s="10" t="s">
        <v>1452</v>
      </c>
      <c r="D2882" s="10" t="s">
        <v>1448</v>
      </c>
      <c r="E2882" s="11" t="str">
        <f t="array" ref="E2882">_xlfn.XLOOKUP(D2882,Insumos!B:B,Insumos!C:$C)</f>
        <v>UN</v>
      </c>
      <c r="F2882" s="14">
        <f>1.0978/2</f>
        <v>0.54890000000000005</v>
      </c>
      <c r="G2882" s="92">
        <f t="array" ref="G2882">IF(B2882="insumo",_xlfn.XLOOKUP($D2882,Insumos!$B$1:$B$996,Insumos!$D$1:$D$996),"")</f>
        <v>0.5</v>
      </c>
      <c r="H2882" s="92">
        <v>0.27445000000000003</v>
      </c>
      <c r="I2882" s="13">
        <v>0</v>
      </c>
      <c r="J2882" s="13">
        <v>0</v>
      </c>
      <c r="K2882" s="13"/>
      <c r="L2882"/>
      <c r="M2882"/>
      <c r="N2882"/>
      <c r="O2882"/>
      <c r="P2882"/>
      <c r="Q2882"/>
      <c r="R2882"/>
      <c r="S2882"/>
      <c r="T2882"/>
      <c r="U2882"/>
      <c r="V2882"/>
      <c r="W2882"/>
      <c r="X2882"/>
      <c r="Y2882"/>
      <c r="Z2882"/>
      <c r="AA2882"/>
      <c r="AB2882"/>
      <c r="AC2882"/>
      <c r="AD2882"/>
      <c r="AE2882"/>
      <c r="AF2882"/>
      <c r="AG2882"/>
      <c r="AH2882"/>
      <c r="AI2882"/>
      <c r="AJ2882"/>
      <c r="AK2882"/>
      <c r="AL2882"/>
    </row>
    <row r="2883" spans="1:38" ht="12.75" outlineLevel="2" x14ac:dyDescent="0.2">
      <c r="A2883" s="1071">
        <v>1</v>
      </c>
      <c r="B2883" s="1071" t="s">
        <v>68</v>
      </c>
      <c r="C2883" s="1071" t="s">
        <v>1856</v>
      </c>
      <c r="D2883" s="1071" t="s">
        <v>1856</v>
      </c>
      <c r="E2883" s="1072" t="s">
        <v>70</v>
      </c>
      <c r="F2883" s="1071"/>
      <c r="G2883" s="1073" t="str">
        <f t="array" ref="G2883">IF(B2883="insumo",_xlfn.XLOOKUP($D2883,Insumos!$B$1:$B$996,Insumos!$D$1:$D$996),"")</f>
        <v/>
      </c>
      <c r="H2883" s="1073">
        <v>180</v>
      </c>
      <c r="I2883" s="1074">
        <v>0</v>
      </c>
      <c r="J2883" s="1074">
        <v>0</v>
      </c>
      <c r="K2883" s="1074"/>
      <c r="L2883"/>
      <c r="M2883"/>
      <c r="N2883"/>
      <c r="O2883"/>
      <c r="P2883"/>
      <c r="Q2883"/>
      <c r="R2883"/>
      <c r="S2883"/>
      <c r="T2883"/>
      <c r="U2883"/>
      <c r="V2883"/>
      <c r="W2883"/>
      <c r="X2883"/>
      <c r="Y2883"/>
      <c r="Z2883"/>
      <c r="AA2883"/>
      <c r="AB2883"/>
      <c r="AC2883"/>
      <c r="AD2883"/>
      <c r="AE2883"/>
      <c r="AF2883"/>
      <c r="AG2883"/>
      <c r="AH2883"/>
      <c r="AI2883"/>
      <c r="AJ2883"/>
      <c r="AK2883"/>
      <c r="AL2883"/>
    </row>
    <row r="2884" spans="1:38" ht="12.75" outlineLevel="3" x14ac:dyDescent="0.2">
      <c r="A2884" s="82">
        <v>1</v>
      </c>
      <c r="B2884" s="82" t="s">
        <v>71</v>
      </c>
      <c r="C2884" s="82" t="s">
        <v>1856</v>
      </c>
      <c r="D2884" s="82" t="s">
        <v>1856</v>
      </c>
      <c r="E2884" s="11" t="str">
        <f t="array" ref="E2884">_xlfn.XLOOKUP(D2884,Insumos!B:B,Insumos!C:$C)</f>
        <v>M2</v>
      </c>
      <c r="F2884" s="86">
        <v>1</v>
      </c>
      <c r="G2884" s="92">
        <f t="array" ref="G2884">IF(B2884="insumo",_xlfn.XLOOKUP($D2884,Insumos!$B$1:$B$996,Insumos!$D$1:$D$996),"")</f>
        <v>180</v>
      </c>
      <c r="H2884" s="92">
        <v>180</v>
      </c>
      <c r="I2884" s="84">
        <v>0</v>
      </c>
      <c r="J2884" s="84">
        <v>0</v>
      </c>
      <c r="K2884" s="84"/>
      <c r="L2884"/>
      <c r="M2884"/>
      <c r="N2884"/>
      <c r="O2884"/>
      <c r="P2884"/>
      <c r="Q2884"/>
      <c r="R2884"/>
      <c r="S2884"/>
      <c r="T2884"/>
      <c r="U2884"/>
      <c r="V2884"/>
      <c r="W2884"/>
      <c r="X2884"/>
      <c r="Y2884"/>
      <c r="Z2884"/>
      <c r="AA2884"/>
      <c r="AB2884"/>
      <c r="AC2884"/>
      <c r="AD2884"/>
      <c r="AE2884"/>
      <c r="AF2884"/>
      <c r="AG2884"/>
      <c r="AH2884"/>
      <c r="AI2884"/>
      <c r="AJ2884"/>
      <c r="AK2884"/>
      <c r="AL2884"/>
    </row>
    <row r="2885" spans="1:38" ht="15.75" customHeight="1" outlineLevel="2" x14ac:dyDescent="0.2">
      <c r="A2885" s="1067">
        <v>1</v>
      </c>
      <c r="B2885" s="1067" t="s">
        <v>68</v>
      </c>
      <c r="C2885" s="1067" t="s">
        <v>1450</v>
      </c>
      <c r="D2885" s="1067" t="s">
        <v>1450</v>
      </c>
      <c r="E2885" s="1068" t="s">
        <v>70</v>
      </c>
      <c r="F2885" s="1067"/>
      <c r="G2885" s="1069" t="str">
        <f t="array" ref="G2885">IF(B2885="insumo",_xlfn.XLOOKUP($D2885,Insumos!$B$1:$B$996,Insumos!$D$1:$D$996),"")</f>
        <v/>
      </c>
      <c r="H2885" s="1069">
        <v>262.85377499999998</v>
      </c>
      <c r="I2885" s="1070">
        <v>0</v>
      </c>
      <c r="J2885" s="1070">
        <v>0</v>
      </c>
      <c r="K2885" s="1070"/>
      <c r="L2885"/>
      <c r="M2885"/>
      <c r="N2885"/>
      <c r="O2885"/>
      <c r="P2885"/>
      <c r="Q2885"/>
      <c r="R2885"/>
      <c r="S2885"/>
      <c r="T2885"/>
      <c r="U2885"/>
      <c r="V2885"/>
      <c r="W2885"/>
      <c r="X2885"/>
      <c r="Y2885"/>
      <c r="Z2885"/>
      <c r="AA2885"/>
      <c r="AB2885"/>
      <c r="AC2885"/>
      <c r="AD2885"/>
      <c r="AE2885"/>
      <c r="AF2885"/>
      <c r="AG2885"/>
      <c r="AH2885"/>
      <c r="AI2885"/>
      <c r="AJ2885"/>
      <c r="AK2885"/>
      <c r="AL2885"/>
    </row>
    <row r="2886" spans="1:38" ht="15.75" customHeight="1" outlineLevel="3" x14ac:dyDescent="0.2">
      <c r="A2886" s="10">
        <v>3</v>
      </c>
      <c r="B2886" s="10" t="s">
        <v>71</v>
      </c>
      <c r="C2886" s="10" t="s">
        <v>1450</v>
      </c>
      <c r="D2886" s="10" t="s">
        <v>1422</v>
      </c>
      <c r="E2886" s="11" t="str">
        <f t="array" ref="E2886">_xlfn.XLOOKUP(D2886,Insumos!B:B,Insumos!C:$C)</f>
        <v>M2</v>
      </c>
      <c r="F2886" s="14">
        <v>1.1000000000000001</v>
      </c>
      <c r="G2886" s="92">
        <f t="array" ref="G2886">IF(B2886="insumo",_xlfn.XLOOKUP($D2886,Insumos!$B$1:$B$996,Insumos!$D$1:$D$996),"")</f>
        <v>233.37</v>
      </c>
      <c r="H2886" s="92">
        <v>256.70699999999999</v>
      </c>
      <c r="I2886" s="13">
        <v>0</v>
      </c>
      <c r="J2886" s="13">
        <v>0</v>
      </c>
      <c r="K2886" s="13"/>
      <c r="L2886"/>
      <c r="M2886"/>
      <c r="N2886"/>
      <c r="O2886"/>
      <c r="P2886"/>
      <c r="Q2886"/>
      <c r="R2886"/>
      <c r="S2886"/>
      <c r="T2886"/>
      <c r="U2886"/>
      <c r="V2886"/>
      <c r="W2886"/>
      <c r="X2886"/>
      <c r="Y2886"/>
      <c r="Z2886"/>
      <c r="AA2886"/>
      <c r="AB2886"/>
      <c r="AC2886"/>
      <c r="AD2886"/>
      <c r="AE2886"/>
      <c r="AF2886"/>
      <c r="AG2886"/>
      <c r="AH2886"/>
      <c r="AI2886"/>
      <c r="AJ2886"/>
      <c r="AK2886"/>
      <c r="AL2886"/>
    </row>
    <row r="2887" spans="1:38" ht="15.75" customHeight="1" outlineLevel="3" x14ac:dyDescent="0.2">
      <c r="A2887" s="10">
        <v>191</v>
      </c>
      <c r="B2887" s="10" t="s">
        <v>71</v>
      </c>
      <c r="C2887" s="10" t="s">
        <v>1450</v>
      </c>
      <c r="D2887" s="10" t="s">
        <v>481</v>
      </c>
      <c r="E2887" s="11" t="str">
        <f t="array" ref="E2887">_xlfn.XLOOKUP(D2887,Insumos!B:B,Insumos!C:$C)</f>
        <v>KG</v>
      </c>
      <c r="F2887" s="14">
        <v>4.95</v>
      </c>
      <c r="G2887" s="92">
        <f t="array" ref="G2887">IF(B2887="insumo",_xlfn.XLOOKUP($D2887,Insumos!$B$1:$B$996,Insumos!$D$1:$D$996),"")</f>
        <v>1.0645</v>
      </c>
      <c r="H2887" s="92">
        <v>5.2692750000000004</v>
      </c>
      <c r="I2887" s="13">
        <v>0</v>
      </c>
      <c r="J2887" s="13">
        <v>0</v>
      </c>
      <c r="K2887" s="13"/>
      <c r="L2887"/>
      <c r="M2887"/>
      <c r="N2887"/>
      <c r="O2887"/>
      <c r="P2887"/>
      <c r="Q2887"/>
      <c r="R2887"/>
      <c r="S2887"/>
      <c r="T2887"/>
      <c r="U2887"/>
      <c r="V2887"/>
      <c r="W2887"/>
      <c r="X2887"/>
      <c r="Y2887"/>
      <c r="Z2887"/>
      <c r="AA2887"/>
      <c r="AB2887"/>
      <c r="AC2887"/>
      <c r="AD2887"/>
      <c r="AE2887"/>
      <c r="AF2887"/>
      <c r="AG2887"/>
      <c r="AH2887"/>
      <c r="AI2887"/>
      <c r="AJ2887"/>
      <c r="AK2887"/>
      <c r="AL2887"/>
    </row>
    <row r="2888" spans="1:38" ht="15.75" customHeight="1" outlineLevel="3" x14ac:dyDescent="0.2">
      <c r="A2888" s="10">
        <v>142</v>
      </c>
      <c r="B2888" s="10" t="s">
        <v>71</v>
      </c>
      <c r="C2888" s="10" t="s">
        <v>1450</v>
      </c>
      <c r="D2888" s="10" t="s">
        <v>506</v>
      </c>
      <c r="E2888" s="11" t="str">
        <f t="array" ref="E2888">_xlfn.XLOOKUP(D2888,Insumos!B:B,Insumos!C:$C)</f>
        <v>UN</v>
      </c>
      <c r="F2888" s="14">
        <v>4</v>
      </c>
      <c r="G2888" s="92">
        <f t="array" ref="G2888">IF(B2888="insumo",_xlfn.XLOOKUP($D2888,Insumos!$B$1:$B$996,Insumos!$D$1:$D$996),"")</f>
        <v>0.08</v>
      </c>
      <c r="H2888" s="92">
        <v>0.32</v>
      </c>
      <c r="I2888" s="13">
        <v>0</v>
      </c>
      <c r="J2888" s="13">
        <v>0</v>
      </c>
      <c r="K2888" s="13"/>
      <c r="L2888"/>
      <c r="M2888"/>
      <c r="N2888"/>
      <c r="O2888"/>
      <c r="P2888"/>
      <c r="Q2888"/>
      <c r="R2888"/>
      <c r="S2888"/>
      <c r="T2888"/>
      <c r="U2888"/>
      <c r="V2888"/>
      <c r="W2888"/>
      <c r="X2888"/>
      <c r="Y2888"/>
      <c r="Z2888"/>
      <c r="AA2888"/>
      <c r="AB2888"/>
      <c r="AC2888"/>
      <c r="AD2888"/>
      <c r="AE2888"/>
      <c r="AF2888"/>
      <c r="AG2888"/>
      <c r="AH2888"/>
      <c r="AI2888"/>
      <c r="AJ2888"/>
      <c r="AK2888"/>
      <c r="AL2888"/>
    </row>
    <row r="2889" spans="1:38" ht="12.75" outlineLevel="3" x14ac:dyDescent="0.2">
      <c r="A2889" s="10">
        <v>101</v>
      </c>
      <c r="B2889" s="10" t="s">
        <v>71</v>
      </c>
      <c r="C2889" s="10" t="s">
        <v>1450</v>
      </c>
      <c r="D2889" s="10" t="s">
        <v>507</v>
      </c>
      <c r="E2889" s="11" t="str">
        <f t="array" ref="E2889">_xlfn.XLOOKUP(D2889,Insumos!B:B,Insumos!C:$C)</f>
        <v>KG</v>
      </c>
      <c r="F2889" s="14">
        <v>0.05</v>
      </c>
      <c r="G2889" s="92">
        <f t="array" ref="G2889">IF(B2889="insumo",_xlfn.XLOOKUP($D2889,Insumos!$B$1:$B$996,Insumos!$D$1:$D$996),"")</f>
        <v>11.15</v>
      </c>
      <c r="H2889" s="92">
        <v>0.5575</v>
      </c>
      <c r="I2889" s="13">
        <v>0</v>
      </c>
      <c r="J2889" s="13">
        <v>0</v>
      </c>
      <c r="K2889" s="13"/>
      <c r="L2889"/>
      <c r="M2889"/>
      <c r="N2889"/>
      <c r="O2889"/>
      <c r="P2889"/>
      <c r="Q2889"/>
      <c r="R2889"/>
      <c r="S2889"/>
      <c r="T2889"/>
      <c r="U2889"/>
      <c r="V2889"/>
      <c r="W2889"/>
      <c r="X2889"/>
      <c r="Y2889"/>
      <c r="Z2889"/>
      <c r="AA2889"/>
      <c r="AB2889"/>
      <c r="AC2889"/>
      <c r="AD2889"/>
      <c r="AE2889"/>
      <c r="AF2889"/>
      <c r="AG2889"/>
      <c r="AH2889"/>
      <c r="AI2889"/>
      <c r="AJ2889"/>
      <c r="AK2889"/>
      <c r="AL2889"/>
    </row>
    <row r="2890" spans="1:38" ht="12.75" outlineLevel="2" x14ac:dyDescent="0.2">
      <c r="A2890" s="1071">
        <v>1</v>
      </c>
      <c r="B2890" s="1071" t="s">
        <v>68</v>
      </c>
      <c r="C2890" s="1071" t="s">
        <v>2957</v>
      </c>
      <c r="D2890" s="1071" t="s">
        <v>2957</v>
      </c>
      <c r="E2890" s="1072" t="s">
        <v>70</v>
      </c>
      <c r="F2890" s="1071"/>
      <c r="G2890" s="1073" t="str">
        <f t="array" ref="G2890">IF(B2890="insumo",_xlfn.XLOOKUP($D2890,Insumos!$B$1:$B$996,Insumos!$D$1:$D$996),"")</f>
        <v/>
      </c>
      <c r="H2890" s="1073">
        <v>78.581999999999994</v>
      </c>
      <c r="I2890" s="1074" t="e">
        <v>#REF!</v>
      </c>
      <c r="J2890" s="1074" t="e">
        <v>#REF!</v>
      </c>
      <c r="K2890" s="1074"/>
      <c r="L2890"/>
      <c r="M2890"/>
      <c r="N2890"/>
      <c r="O2890"/>
      <c r="P2890"/>
      <c r="Q2890"/>
      <c r="R2890"/>
      <c r="S2890"/>
      <c r="T2890"/>
      <c r="U2890"/>
      <c r="V2890"/>
      <c r="W2890"/>
      <c r="X2890"/>
      <c r="Y2890"/>
      <c r="Z2890"/>
      <c r="AA2890"/>
      <c r="AB2890"/>
      <c r="AC2890"/>
      <c r="AD2890"/>
      <c r="AE2890"/>
      <c r="AF2890"/>
      <c r="AG2890"/>
      <c r="AH2890"/>
      <c r="AI2890"/>
      <c r="AJ2890"/>
      <c r="AK2890"/>
      <c r="AL2890"/>
    </row>
    <row r="2891" spans="1:38" ht="12.75" outlineLevel="3" x14ac:dyDescent="0.2">
      <c r="A2891" s="82">
        <v>6</v>
      </c>
      <c r="B2891" s="82" t="s">
        <v>71</v>
      </c>
      <c r="C2891" s="82" t="s">
        <v>2957</v>
      </c>
      <c r="D2891" s="82" t="s">
        <v>1798</v>
      </c>
      <c r="E2891" s="11" t="str">
        <f t="array" ref="E2891">_xlfn.XLOOKUP(D2891,Insumos!B:B,Insumos!C:$C)</f>
        <v>M2</v>
      </c>
      <c r="F2891" s="88">
        <v>1.1000000000000001</v>
      </c>
      <c r="G2891" s="92">
        <f t="array" ref="G2891">IF(B2891="insumo",_xlfn.XLOOKUP($D2891,Insumos!$B$1:$B$996,Insumos!$D$1:$D$996),"")</f>
        <v>63.59</v>
      </c>
      <c r="H2891" s="92">
        <v>69.948999999999998</v>
      </c>
      <c r="I2891" s="84" t="e">
        <v>#REF!</v>
      </c>
      <c r="J2891" s="84" t="e">
        <v>#REF!</v>
      </c>
      <c r="K2891" s="84"/>
      <c r="L2891"/>
      <c r="M2891"/>
      <c r="N2891"/>
      <c r="O2891"/>
      <c r="P2891"/>
      <c r="Q2891"/>
      <c r="R2891"/>
      <c r="S2891"/>
      <c r="T2891"/>
      <c r="U2891"/>
      <c r="V2891"/>
      <c r="W2891"/>
      <c r="X2891"/>
      <c r="Y2891"/>
      <c r="Z2891"/>
      <c r="AA2891"/>
      <c r="AB2891"/>
      <c r="AC2891"/>
      <c r="AD2891"/>
      <c r="AE2891"/>
      <c r="AF2891"/>
      <c r="AG2891"/>
      <c r="AH2891"/>
      <c r="AI2891"/>
      <c r="AJ2891"/>
      <c r="AK2891"/>
      <c r="AL2891"/>
    </row>
    <row r="2892" spans="1:38" ht="12.75" outlineLevel="3" x14ac:dyDescent="0.2">
      <c r="A2892" s="82">
        <v>16</v>
      </c>
      <c r="B2892" s="82" t="s">
        <v>71</v>
      </c>
      <c r="C2892" s="82" t="s">
        <v>2957</v>
      </c>
      <c r="D2892" s="82" t="s">
        <v>658</v>
      </c>
      <c r="E2892" s="11" t="str">
        <f t="array" ref="E2892">_xlfn.XLOOKUP(D2892,Insumos!B:B,Insumos!C:$C)</f>
        <v>KG</v>
      </c>
      <c r="F2892" s="88">
        <v>8.8000000000000007</v>
      </c>
      <c r="G2892" s="92">
        <f t="array" ref="G2892">IF(B2892="insumo",_xlfn.XLOOKUP($D2892,Insumos!$B$1:$B$996,Insumos!$D$1:$D$996),"")</f>
        <v>0.95</v>
      </c>
      <c r="H2892" s="92">
        <v>8.36</v>
      </c>
      <c r="I2892" s="84" t="e">
        <v>#REF!</v>
      </c>
      <c r="J2892" s="84" t="e">
        <v>#REF!</v>
      </c>
      <c r="K2892" s="84"/>
      <c r="L2892"/>
      <c r="M2892"/>
      <c r="N2892"/>
      <c r="O2892"/>
      <c r="P2892"/>
      <c r="Q2892"/>
      <c r="R2892"/>
      <c r="S2892"/>
      <c r="T2892"/>
      <c r="U2892"/>
      <c r="V2892"/>
      <c r="W2892"/>
      <c r="X2892"/>
      <c r="Y2892"/>
      <c r="Z2892"/>
      <c r="AA2892"/>
      <c r="AB2892"/>
      <c r="AC2892"/>
      <c r="AD2892"/>
      <c r="AE2892"/>
      <c r="AF2892"/>
      <c r="AG2892"/>
      <c r="AH2892"/>
      <c r="AI2892"/>
      <c r="AJ2892"/>
      <c r="AK2892"/>
      <c r="AL2892"/>
    </row>
    <row r="2893" spans="1:38" ht="12.75" outlineLevel="3" x14ac:dyDescent="0.2">
      <c r="A2893" s="82">
        <v>17</v>
      </c>
      <c r="B2893" s="82" t="s">
        <v>71</v>
      </c>
      <c r="C2893" s="82" t="s">
        <v>2957</v>
      </c>
      <c r="D2893" s="82" t="s">
        <v>521</v>
      </c>
      <c r="E2893" s="11" t="str">
        <f t="array" ref="E2893">_xlfn.XLOOKUP(D2893,Insumos!B:B,Insumos!C:$C)</f>
        <v>UN</v>
      </c>
      <c r="F2893" s="88">
        <v>1</v>
      </c>
      <c r="G2893" s="92">
        <f t="array" ref="G2893">IF(B2893="insumo",_xlfn.XLOOKUP($D2893,Insumos!$B$1:$B$996,Insumos!$D$1:$D$996),"")</f>
        <v>0.05</v>
      </c>
      <c r="H2893" s="92">
        <v>0.05</v>
      </c>
      <c r="I2893" s="84" t="e">
        <v>#REF!</v>
      </c>
      <c r="J2893" s="84" t="e">
        <v>#REF!</v>
      </c>
      <c r="K2893" s="84"/>
      <c r="L2893"/>
      <c r="M2893"/>
      <c r="N2893"/>
      <c r="O2893"/>
      <c r="P2893"/>
      <c r="Q2893"/>
      <c r="R2893"/>
      <c r="S2893"/>
      <c r="T2893"/>
      <c r="U2893"/>
      <c r="V2893"/>
      <c r="W2893"/>
      <c r="X2893"/>
      <c r="Y2893"/>
      <c r="Z2893"/>
      <c r="AA2893"/>
      <c r="AB2893"/>
      <c r="AC2893"/>
      <c r="AD2893"/>
      <c r="AE2893"/>
      <c r="AF2893"/>
      <c r="AG2893"/>
      <c r="AH2893"/>
      <c r="AI2893"/>
      <c r="AJ2893"/>
      <c r="AK2893"/>
      <c r="AL2893"/>
    </row>
    <row r="2894" spans="1:38" ht="12.75" outlineLevel="3" x14ac:dyDescent="0.2">
      <c r="A2894" s="82">
        <v>101</v>
      </c>
      <c r="B2894" s="82" t="s">
        <v>71</v>
      </c>
      <c r="C2894" s="82" t="s">
        <v>2957</v>
      </c>
      <c r="D2894" s="82" t="s">
        <v>507</v>
      </c>
      <c r="E2894" s="11" t="str">
        <f t="array" ref="E2894">_xlfn.XLOOKUP(D2894,Insumos!B:B,Insumos!C:$C)</f>
        <v>KG</v>
      </c>
      <c r="F2894" s="88">
        <v>0.02</v>
      </c>
      <c r="G2894" s="92">
        <f t="array" ref="G2894">IF(B2894="insumo",_xlfn.XLOOKUP($D2894,Insumos!$B$1:$B$996,Insumos!$D$1:$D$996),"")</f>
        <v>11.15</v>
      </c>
      <c r="H2894" s="92">
        <v>0.223</v>
      </c>
      <c r="I2894" s="84" t="e">
        <v>#REF!</v>
      </c>
      <c r="J2894" s="84" t="e">
        <v>#REF!</v>
      </c>
      <c r="K2894" s="84"/>
      <c r="L2894"/>
      <c r="M2894"/>
      <c r="N2894"/>
      <c r="O2894"/>
      <c r="P2894"/>
      <c r="Q2894"/>
      <c r="R2894"/>
      <c r="S2894"/>
      <c r="T2894"/>
      <c r="U2894"/>
      <c r="V2894"/>
      <c r="W2894"/>
      <c r="X2894"/>
      <c r="Y2894"/>
      <c r="Z2894"/>
      <c r="AA2894"/>
      <c r="AB2894"/>
      <c r="AC2894"/>
      <c r="AD2894"/>
      <c r="AE2894"/>
      <c r="AF2894"/>
      <c r="AG2894"/>
      <c r="AH2894"/>
      <c r="AI2894"/>
      <c r="AJ2894"/>
      <c r="AK2894"/>
      <c r="AL2894"/>
    </row>
    <row r="2895" spans="1:38" ht="12.75" outlineLevel="2" x14ac:dyDescent="0.2">
      <c r="A2895" s="1071">
        <v>1</v>
      </c>
      <c r="B2895" s="1071" t="s">
        <v>68</v>
      </c>
      <c r="C2895" s="1071" t="s">
        <v>2958</v>
      </c>
      <c r="D2895" s="1071" t="s">
        <v>2958</v>
      </c>
      <c r="E2895" s="1072" t="s">
        <v>70</v>
      </c>
      <c r="F2895" s="1071"/>
      <c r="G2895" s="1073" t="str">
        <f t="array" ref="G2895">IF(B2895="insumo",_xlfn.XLOOKUP($D2895,Insumos!$B$1:$B$996,Insumos!$D$1:$D$996),"")</f>
        <v/>
      </c>
      <c r="H2895" s="1073">
        <v>89.938599999999994</v>
      </c>
      <c r="I2895" s="1074">
        <v>0</v>
      </c>
      <c r="J2895" s="1074">
        <v>0</v>
      </c>
      <c r="K2895" s="1074"/>
      <c r="L2895"/>
      <c r="M2895"/>
      <c r="N2895"/>
      <c r="O2895"/>
      <c r="P2895"/>
      <c r="Q2895"/>
      <c r="R2895"/>
      <c r="S2895"/>
      <c r="T2895"/>
      <c r="U2895"/>
      <c r="V2895"/>
      <c r="W2895"/>
      <c r="X2895"/>
      <c r="Y2895"/>
      <c r="Z2895"/>
      <c r="AA2895"/>
      <c r="AB2895"/>
      <c r="AC2895"/>
      <c r="AD2895"/>
      <c r="AE2895"/>
      <c r="AF2895"/>
      <c r="AG2895"/>
      <c r="AH2895"/>
      <c r="AI2895"/>
      <c r="AJ2895"/>
      <c r="AK2895"/>
      <c r="AL2895"/>
    </row>
    <row r="2896" spans="1:38" ht="12.75" outlineLevel="3" x14ac:dyDescent="0.2">
      <c r="A2896" s="82">
        <v>3</v>
      </c>
      <c r="B2896" s="82" t="s">
        <v>71</v>
      </c>
      <c r="C2896" s="89" t="s">
        <v>2958</v>
      </c>
      <c r="D2896" s="89" t="s">
        <v>1830</v>
      </c>
      <c r="E2896" s="11" t="str">
        <f t="array" ref="E2896">_xlfn.XLOOKUP(D2896,Insumos!B:B,Insumos!C:$C)</f>
        <v>M2</v>
      </c>
      <c r="F2896" s="86">
        <v>1.1000000000000001</v>
      </c>
      <c r="G2896" s="92">
        <f t="array" ref="G2896">IF(B2896="insumo",_xlfn.XLOOKUP($D2896,Insumos!$B$1:$B$996,Insumos!$D$1:$D$996),"")</f>
        <v>72.63</v>
      </c>
      <c r="H2896" s="92">
        <v>79.893000000000001</v>
      </c>
      <c r="I2896" s="84">
        <v>0</v>
      </c>
      <c r="J2896" s="84">
        <v>0</v>
      </c>
      <c r="K2896" s="84"/>
      <c r="L2896"/>
      <c r="M2896"/>
      <c r="N2896"/>
      <c r="O2896"/>
      <c r="P2896"/>
      <c r="Q2896"/>
      <c r="R2896"/>
      <c r="S2896"/>
      <c r="T2896"/>
      <c r="U2896"/>
      <c r="V2896"/>
      <c r="W2896"/>
      <c r="X2896"/>
      <c r="Y2896"/>
      <c r="Z2896"/>
      <c r="AA2896"/>
      <c r="AB2896"/>
      <c r="AC2896"/>
      <c r="AD2896"/>
      <c r="AE2896"/>
      <c r="AF2896"/>
      <c r="AG2896"/>
      <c r="AH2896"/>
      <c r="AI2896"/>
      <c r="AJ2896"/>
      <c r="AK2896"/>
      <c r="AL2896"/>
    </row>
    <row r="2897" spans="1:38" ht="12.75" outlineLevel="3" x14ac:dyDescent="0.2">
      <c r="A2897" s="82">
        <v>191</v>
      </c>
      <c r="B2897" s="82" t="s">
        <v>71</v>
      </c>
      <c r="C2897" s="82" t="s">
        <v>2958</v>
      </c>
      <c r="D2897" s="82" t="s">
        <v>481</v>
      </c>
      <c r="E2897" s="11" t="str">
        <f t="array" ref="E2897">_xlfn.XLOOKUP(D2897,Insumos!B:B,Insumos!C:$C)</f>
        <v>KG</v>
      </c>
      <c r="F2897" s="86">
        <v>8.8000000000000007</v>
      </c>
      <c r="G2897" s="92">
        <f t="array" ref="G2897">IF(B2897="insumo",_xlfn.XLOOKUP($D2897,Insumos!$B$1:$B$996,Insumos!$D$1:$D$996),"")</f>
        <v>1.0645</v>
      </c>
      <c r="H2897" s="92">
        <v>9.3675999999999995</v>
      </c>
      <c r="I2897" s="84">
        <v>0</v>
      </c>
      <c r="J2897" s="84">
        <v>0</v>
      </c>
      <c r="K2897" s="84"/>
      <c r="L2897"/>
      <c r="M2897"/>
      <c r="N2897"/>
      <c r="O2897"/>
      <c r="P2897"/>
      <c r="Q2897"/>
      <c r="R2897"/>
      <c r="S2897"/>
      <c r="T2897"/>
      <c r="U2897"/>
      <c r="V2897"/>
      <c r="W2897"/>
      <c r="X2897"/>
      <c r="Y2897"/>
      <c r="Z2897"/>
      <c r="AA2897"/>
      <c r="AB2897"/>
      <c r="AC2897"/>
      <c r="AD2897"/>
      <c r="AE2897"/>
      <c r="AF2897"/>
      <c r="AG2897"/>
      <c r="AH2897"/>
      <c r="AI2897"/>
      <c r="AJ2897"/>
      <c r="AK2897"/>
      <c r="AL2897"/>
    </row>
    <row r="2898" spans="1:38" ht="12.75" outlineLevel="3" x14ac:dyDescent="0.2">
      <c r="A2898" s="82">
        <v>142</v>
      </c>
      <c r="B2898" s="82" t="s">
        <v>71</v>
      </c>
      <c r="C2898" s="82" t="s">
        <v>2958</v>
      </c>
      <c r="D2898" s="82" t="s">
        <v>506</v>
      </c>
      <c r="E2898" s="11" t="str">
        <f t="array" ref="E2898">_xlfn.XLOOKUP(D2898,Insumos!B:B,Insumos!C:$C)</f>
        <v>UN</v>
      </c>
      <c r="F2898" s="86">
        <v>3</v>
      </c>
      <c r="G2898" s="92">
        <f t="array" ref="G2898">IF(B2898="insumo",_xlfn.XLOOKUP($D2898,Insumos!$B$1:$B$996,Insumos!$D$1:$D$996),"")</f>
        <v>0.08</v>
      </c>
      <c r="H2898" s="92">
        <v>0.24</v>
      </c>
      <c r="I2898" s="84">
        <v>0</v>
      </c>
      <c r="J2898" s="84">
        <v>0</v>
      </c>
      <c r="K2898" s="84"/>
      <c r="L2898"/>
      <c r="M2898"/>
      <c r="N2898"/>
      <c r="O2898"/>
      <c r="P2898"/>
      <c r="Q2898"/>
      <c r="R2898"/>
      <c r="S2898"/>
      <c r="T2898"/>
      <c r="U2898"/>
      <c r="V2898"/>
      <c r="W2898"/>
      <c r="X2898"/>
      <c r="Y2898"/>
      <c r="Z2898"/>
      <c r="AA2898"/>
      <c r="AB2898"/>
      <c r="AC2898"/>
      <c r="AD2898"/>
      <c r="AE2898"/>
      <c r="AF2898"/>
      <c r="AG2898"/>
      <c r="AH2898"/>
      <c r="AI2898"/>
      <c r="AJ2898"/>
      <c r="AK2898"/>
      <c r="AL2898"/>
    </row>
    <row r="2899" spans="1:38" ht="12.75" outlineLevel="3" x14ac:dyDescent="0.2">
      <c r="A2899" s="82">
        <v>22</v>
      </c>
      <c r="B2899" s="82" t="s">
        <v>71</v>
      </c>
      <c r="C2899" s="82" t="s">
        <v>2958</v>
      </c>
      <c r="D2899" s="82" t="s">
        <v>1833</v>
      </c>
      <c r="E2899" s="11" t="str">
        <f t="array" ref="E2899">_xlfn.XLOOKUP(D2899,Insumos!B:B,Insumos!C:$C)</f>
        <v>KG</v>
      </c>
      <c r="F2899" s="86">
        <v>0.01</v>
      </c>
      <c r="G2899" s="92">
        <f t="array" ref="G2899">IF(B2899="insumo",_xlfn.XLOOKUP($D2899,Insumos!$B$1:$B$996,Insumos!$D$1:$D$996),"")</f>
        <v>43.8</v>
      </c>
      <c r="H2899" s="92">
        <v>0.438</v>
      </c>
      <c r="I2899" s="84">
        <v>0</v>
      </c>
      <c r="J2899" s="84">
        <v>0</v>
      </c>
      <c r="K2899" s="84"/>
      <c r="L2899"/>
      <c r="M2899"/>
      <c r="N2899"/>
      <c r="O2899"/>
      <c r="P2899"/>
      <c r="Q2899"/>
      <c r="R2899"/>
      <c r="S2899"/>
      <c r="T2899"/>
      <c r="U2899"/>
      <c r="V2899"/>
      <c r="W2899"/>
      <c r="X2899"/>
      <c r="Y2899"/>
      <c r="Z2899"/>
      <c r="AA2899"/>
      <c r="AB2899"/>
      <c r="AC2899"/>
      <c r="AD2899"/>
      <c r="AE2899"/>
      <c r="AF2899"/>
      <c r="AG2899"/>
      <c r="AH2899"/>
      <c r="AI2899"/>
      <c r="AJ2899"/>
      <c r="AK2899"/>
      <c r="AL2899"/>
    </row>
    <row r="2900" spans="1:38" ht="12.75" outlineLevel="2" x14ac:dyDescent="0.2">
      <c r="A2900" s="1071">
        <v>1</v>
      </c>
      <c r="B2900" s="1071" t="s">
        <v>68</v>
      </c>
      <c r="C2900" s="1071" t="s">
        <v>2956</v>
      </c>
      <c r="D2900" s="1071" t="s">
        <v>2956</v>
      </c>
      <c r="E2900" s="1072" t="s">
        <v>70</v>
      </c>
      <c r="F2900" s="1071"/>
      <c r="G2900" s="1073" t="str">
        <f t="array" ref="G2900">IF(B2900="insumo",_xlfn.XLOOKUP($D2900,Insumos!$B$1:$B$996,Insumos!$D$1:$D$996),"")</f>
        <v/>
      </c>
      <c r="H2900" s="1073">
        <v>61.8386</v>
      </c>
      <c r="I2900" s="1074" t="e">
        <v>#REF!</v>
      </c>
      <c r="J2900" s="1074" t="e">
        <v>#REF!</v>
      </c>
      <c r="K2900" s="1074"/>
      <c r="L2900"/>
      <c r="M2900"/>
      <c r="N2900"/>
      <c r="O2900"/>
      <c r="P2900"/>
      <c r="Q2900"/>
      <c r="R2900"/>
      <c r="S2900"/>
      <c r="T2900"/>
      <c r="U2900"/>
      <c r="V2900"/>
      <c r="W2900"/>
      <c r="X2900"/>
      <c r="Y2900"/>
      <c r="Z2900"/>
      <c r="AA2900"/>
      <c r="AB2900"/>
      <c r="AC2900"/>
      <c r="AD2900"/>
      <c r="AE2900"/>
      <c r="AF2900"/>
      <c r="AG2900"/>
      <c r="AH2900"/>
      <c r="AI2900"/>
      <c r="AJ2900"/>
      <c r="AK2900"/>
      <c r="AL2900"/>
    </row>
    <row r="2901" spans="1:38" ht="12.75" outlineLevel="3" x14ac:dyDescent="0.2">
      <c r="A2901" s="82">
        <v>6</v>
      </c>
      <c r="B2901" s="82" t="s">
        <v>71</v>
      </c>
      <c r="C2901" s="89" t="s">
        <v>2956</v>
      </c>
      <c r="D2901" s="89" t="s">
        <v>505</v>
      </c>
      <c r="E2901" s="11" t="str">
        <f t="array" ref="E2901">_xlfn.XLOOKUP(D2901,Insumos!B:B,Insumos!C:$C)</f>
        <v>M2</v>
      </c>
      <c r="F2901" s="86">
        <v>1.1000000000000001</v>
      </c>
      <c r="G2901" s="92">
        <f t="array" ref="G2901">IF(B2901="insumo",_xlfn.XLOOKUP($D2901,Insumos!$B$1:$B$996,Insumos!$D$1:$D$996),"")</f>
        <v>47.23</v>
      </c>
      <c r="H2901" s="92">
        <v>51.953000000000003</v>
      </c>
      <c r="I2901" s="84" t="e">
        <v>#REF!</v>
      </c>
      <c r="J2901" s="84" t="e">
        <v>#REF!</v>
      </c>
      <c r="K2901" s="84"/>
      <c r="L2901"/>
      <c r="M2901"/>
      <c r="N2901"/>
      <c r="O2901"/>
      <c r="P2901"/>
      <c r="Q2901"/>
      <c r="R2901"/>
      <c r="S2901"/>
      <c r="T2901"/>
      <c r="U2901"/>
      <c r="V2901"/>
      <c r="W2901"/>
      <c r="X2901"/>
      <c r="Y2901"/>
      <c r="Z2901"/>
      <c r="AA2901"/>
      <c r="AB2901"/>
      <c r="AC2901"/>
      <c r="AD2901"/>
      <c r="AE2901"/>
      <c r="AF2901"/>
      <c r="AG2901"/>
      <c r="AH2901"/>
      <c r="AI2901"/>
      <c r="AJ2901"/>
      <c r="AK2901"/>
      <c r="AL2901"/>
    </row>
    <row r="2902" spans="1:38" ht="12.75" outlineLevel="3" x14ac:dyDescent="0.2">
      <c r="A2902" s="82">
        <v>191</v>
      </c>
      <c r="B2902" s="82" t="s">
        <v>71</v>
      </c>
      <c r="C2902" s="82" t="s">
        <v>2956</v>
      </c>
      <c r="D2902" s="82" t="s">
        <v>481</v>
      </c>
      <c r="E2902" s="11" t="str">
        <f t="array" ref="E2902">_xlfn.XLOOKUP(D2902,Insumos!B:B,Insumos!C:$C)</f>
        <v>KG</v>
      </c>
      <c r="F2902" s="86">
        <v>8.8000000000000007</v>
      </c>
      <c r="G2902" s="92">
        <f t="array" ref="G2902">IF(B2902="insumo",_xlfn.XLOOKUP($D2902,Insumos!$B$1:$B$996,Insumos!$D$1:$D$996),"")</f>
        <v>1.0645</v>
      </c>
      <c r="H2902" s="92">
        <v>9.3675999999999995</v>
      </c>
      <c r="I2902" s="84" t="e">
        <v>#REF!</v>
      </c>
      <c r="J2902" s="84" t="e">
        <v>#REF!</v>
      </c>
      <c r="K2902" s="84"/>
      <c r="L2902"/>
      <c r="M2902"/>
      <c r="N2902"/>
      <c r="O2902"/>
      <c r="P2902"/>
      <c r="Q2902"/>
      <c r="R2902"/>
      <c r="S2902"/>
      <c r="T2902"/>
      <c r="U2902"/>
      <c r="V2902"/>
      <c r="W2902"/>
      <c r="X2902"/>
      <c r="Y2902"/>
      <c r="Z2902"/>
      <c r="AA2902"/>
      <c r="AB2902"/>
      <c r="AC2902"/>
      <c r="AD2902"/>
      <c r="AE2902"/>
      <c r="AF2902"/>
      <c r="AG2902"/>
      <c r="AH2902"/>
      <c r="AI2902"/>
      <c r="AJ2902"/>
      <c r="AK2902"/>
      <c r="AL2902"/>
    </row>
    <row r="2903" spans="1:38" ht="12.75" outlineLevel="3" x14ac:dyDescent="0.2">
      <c r="A2903" s="82">
        <v>142</v>
      </c>
      <c r="B2903" s="82" t="s">
        <v>71</v>
      </c>
      <c r="C2903" s="82" t="s">
        <v>2956</v>
      </c>
      <c r="D2903" s="82" t="s">
        <v>506</v>
      </c>
      <c r="E2903" s="11" t="str">
        <f t="array" ref="E2903">_xlfn.XLOOKUP(D2903,Insumos!B:B,Insumos!C:$C)</f>
        <v>UN</v>
      </c>
      <c r="F2903" s="86">
        <v>1</v>
      </c>
      <c r="G2903" s="92">
        <f t="array" ref="G2903">IF(B2903="insumo",_xlfn.XLOOKUP($D2903,Insumos!$B$1:$B$996,Insumos!$D$1:$D$996),"")</f>
        <v>0.08</v>
      </c>
      <c r="H2903" s="92">
        <v>0.08</v>
      </c>
      <c r="I2903" s="84" t="e">
        <v>#REF!</v>
      </c>
      <c r="J2903" s="84" t="e">
        <v>#REF!</v>
      </c>
      <c r="K2903" s="84"/>
      <c r="L2903"/>
      <c r="M2903"/>
      <c r="N2903"/>
      <c r="O2903"/>
      <c r="P2903"/>
      <c r="Q2903"/>
      <c r="R2903"/>
      <c r="S2903"/>
      <c r="T2903"/>
      <c r="U2903"/>
      <c r="V2903"/>
      <c r="W2903"/>
      <c r="X2903"/>
      <c r="Y2903"/>
      <c r="Z2903"/>
      <c r="AA2903"/>
      <c r="AB2903"/>
      <c r="AC2903"/>
      <c r="AD2903"/>
      <c r="AE2903"/>
      <c r="AF2903"/>
      <c r="AG2903"/>
      <c r="AH2903"/>
      <c r="AI2903"/>
      <c r="AJ2903"/>
      <c r="AK2903"/>
      <c r="AL2903"/>
    </row>
    <row r="2904" spans="1:38" ht="12.75" outlineLevel="3" x14ac:dyDescent="0.2">
      <c r="A2904" s="82">
        <v>22</v>
      </c>
      <c r="B2904" s="82" t="s">
        <v>71</v>
      </c>
      <c r="C2904" s="82" t="s">
        <v>2956</v>
      </c>
      <c r="D2904" s="82" t="s">
        <v>1833</v>
      </c>
      <c r="E2904" s="11" t="str">
        <f t="array" ref="E2904">_xlfn.XLOOKUP(D2904,Insumos!B:B,Insumos!C:$C)</f>
        <v>KG</v>
      </c>
      <c r="F2904" s="86">
        <v>0.01</v>
      </c>
      <c r="G2904" s="92">
        <f t="array" ref="G2904">IF(B2904="insumo",_xlfn.XLOOKUP($D2904,Insumos!$B$1:$B$996,Insumos!$D$1:$D$996),"")</f>
        <v>43.8</v>
      </c>
      <c r="H2904" s="92">
        <v>0.438</v>
      </c>
      <c r="I2904" s="84" t="e">
        <v>#REF!</v>
      </c>
      <c r="J2904" s="84" t="e">
        <v>#REF!</v>
      </c>
      <c r="K2904" s="84"/>
      <c r="L2904"/>
      <c r="M2904"/>
      <c r="N2904"/>
      <c r="O2904"/>
      <c r="P2904"/>
      <c r="Q2904"/>
      <c r="R2904"/>
      <c r="S2904"/>
      <c r="T2904"/>
      <c r="U2904"/>
      <c r="V2904"/>
      <c r="W2904"/>
      <c r="X2904"/>
      <c r="Y2904"/>
      <c r="Z2904"/>
      <c r="AA2904"/>
      <c r="AB2904"/>
      <c r="AC2904"/>
      <c r="AD2904"/>
      <c r="AE2904"/>
      <c r="AF2904"/>
      <c r="AG2904"/>
      <c r="AH2904"/>
      <c r="AI2904"/>
      <c r="AJ2904"/>
      <c r="AK2904"/>
      <c r="AL2904"/>
    </row>
    <row r="2905" spans="1:38" ht="15.75" customHeight="1" outlineLevel="2" x14ac:dyDescent="0.2">
      <c r="A2905" s="1067">
        <v>1</v>
      </c>
      <c r="B2905" s="1067" t="s">
        <v>68</v>
      </c>
      <c r="C2905" s="1067" t="s">
        <v>1451</v>
      </c>
      <c r="D2905" s="1067" t="s">
        <v>1451</v>
      </c>
      <c r="E2905" s="1068" t="s">
        <v>70</v>
      </c>
      <c r="F2905" s="1067"/>
      <c r="G2905" s="1069" t="str">
        <f t="array" ref="G2905">IF(B2905="insumo",_xlfn.XLOOKUP($D2905,Insumos!$B$1:$B$996,Insumos!$D$1:$D$996),"")</f>
        <v/>
      </c>
      <c r="H2905" s="1069">
        <v>269.76</v>
      </c>
      <c r="I2905" s="1070">
        <v>0</v>
      </c>
      <c r="J2905" s="1070">
        <v>0</v>
      </c>
      <c r="K2905" s="1070"/>
      <c r="L2905"/>
      <c r="M2905"/>
      <c r="N2905"/>
      <c r="O2905"/>
      <c r="P2905"/>
      <c r="Q2905"/>
      <c r="R2905"/>
      <c r="S2905"/>
      <c r="T2905"/>
      <c r="U2905"/>
      <c r="V2905"/>
      <c r="W2905"/>
      <c r="X2905"/>
      <c r="Y2905"/>
      <c r="Z2905"/>
      <c r="AA2905"/>
      <c r="AB2905"/>
      <c r="AC2905"/>
      <c r="AD2905"/>
      <c r="AE2905"/>
      <c r="AF2905"/>
      <c r="AG2905"/>
      <c r="AH2905"/>
      <c r="AI2905"/>
      <c r="AJ2905"/>
      <c r="AK2905"/>
      <c r="AL2905"/>
    </row>
    <row r="2906" spans="1:38" ht="15.75" customHeight="1" outlineLevel="3" x14ac:dyDescent="0.2">
      <c r="A2906" s="10">
        <v>2</v>
      </c>
      <c r="B2906" s="10" t="s">
        <v>71</v>
      </c>
      <c r="C2906" s="10" t="s">
        <v>1451</v>
      </c>
      <c r="D2906" s="10" t="s">
        <v>1505</v>
      </c>
      <c r="E2906" s="11" t="str">
        <f t="array" ref="E2906">_xlfn.XLOOKUP(D2906,Insumos!B:B,Insumos!C:$C)</f>
        <v>M2</v>
      </c>
      <c r="F2906" s="14">
        <v>1</v>
      </c>
      <c r="G2906" s="92">
        <f t="array" ref="G2906">IF(B2906="insumo",_xlfn.XLOOKUP($D2906,Insumos!$B$1:$B$996,Insumos!$D$1:$D$996),"")</f>
        <v>269.76</v>
      </c>
      <c r="H2906" s="92">
        <v>269.76</v>
      </c>
      <c r="I2906" s="13">
        <v>0</v>
      </c>
      <c r="J2906" s="13">
        <v>0</v>
      </c>
      <c r="K2906" s="13"/>
      <c r="L2906"/>
      <c r="M2906"/>
      <c r="N2906"/>
      <c r="O2906"/>
      <c r="P2906"/>
      <c r="Q2906"/>
      <c r="R2906"/>
      <c r="S2906"/>
      <c r="T2906"/>
      <c r="U2906"/>
      <c r="V2906"/>
      <c r="W2906"/>
      <c r="X2906"/>
      <c r="Y2906"/>
      <c r="Z2906"/>
      <c r="AA2906"/>
      <c r="AB2906"/>
      <c r="AC2906"/>
      <c r="AD2906"/>
      <c r="AE2906"/>
      <c r="AF2906"/>
      <c r="AG2906"/>
      <c r="AH2906"/>
      <c r="AI2906"/>
      <c r="AJ2906"/>
      <c r="AK2906"/>
      <c r="AL2906"/>
    </row>
    <row r="2907" spans="1:38" ht="15.75" customHeight="1" outlineLevel="2" x14ac:dyDescent="0.2">
      <c r="A2907" s="1067">
        <v>1</v>
      </c>
      <c r="B2907" s="1067" t="s">
        <v>68</v>
      </c>
      <c r="C2907" s="1067" t="s">
        <v>1454</v>
      </c>
      <c r="D2907" s="1067" t="s">
        <v>1454</v>
      </c>
      <c r="E2907" s="1068" t="s">
        <v>70</v>
      </c>
      <c r="F2907" s="1067"/>
      <c r="G2907" s="1069" t="str">
        <f t="array" ref="G2907">IF(B2907="insumo",_xlfn.XLOOKUP($D2907,Insumos!$B$1:$B$996,Insumos!$D$1:$D$996),"")</f>
        <v/>
      </c>
      <c r="H2907" s="1069">
        <v>986.4</v>
      </c>
      <c r="I2907" s="1070">
        <v>0</v>
      </c>
      <c r="J2907" s="1070">
        <v>0</v>
      </c>
      <c r="K2907" s="1070"/>
      <c r="L2907"/>
      <c r="M2907"/>
      <c r="N2907"/>
      <c r="O2907"/>
      <c r="P2907"/>
      <c r="Q2907"/>
      <c r="R2907"/>
      <c r="S2907"/>
      <c r="T2907"/>
      <c r="U2907"/>
      <c r="V2907"/>
      <c r="W2907"/>
      <c r="X2907"/>
      <c r="Y2907"/>
      <c r="Z2907"/>
      <c r="AA2907"/>
      <c r="AB2907"/>
      <c r="AC2907"/>
      <c r="AD2907"/>
      <c r="AE2907"/>
      <c r="AF2907"/>
      <c r="AG2907"/>
      <c r="AH2907"/>
      <c r="AI2907"/>
      <c r="AJ2907"/>
      <c r="AK2907"/>
      <c r="AL2907"/>
    </row>
    <row r="2908" spans="1:38" ht="15.75" customHeight="1" outlineLevel="3" x14ac:dyDescent="0.2">
      <c r="A2908" s="10">
        <v>1</v>
      </c>
      <c r="B2908" s="10" t="s">
        <v>71</v>
      </c>
      <c r="C2908" s="10" t="s">
        <v>1454</v>
      </c>
      <c r="D2908" s="10" t="s">
        <v>1455</v>
      </c>
      <c r="E2908" s="11" t="str">
        <f t="array" ref="E2908">_xlfn.XLOOKUP(D2908,Insumos!B:B,Insumos!C:$C)</f>
        <v>M2</v>
      </c>
      <c r="F2908" s="14">
        <v>1</v>
      </c>
      <c r="G2908" s="92">
        <f t="array" ref="G2908">IF(B2908="insumo",_xlfn.XLOOKUP($D2908,Insumos!$B$1:$B$996,Insumos!$D$1:$D$996),"")</f>
        <v>986.4</v>
      </c>
      <c r="H2908" s="92">
        <v>986.4</v>
      </c>
      <c r="I2908" s="13">
        <v>0</v>
      </c>
      <c r="J2908" s="13">
        <v>0</v>
      </c>
      <c r="K2908" s="13"/>
      <c r="L2908"/>
      <c r="M2908"/>
      <c r="N2908"/>
      <c r="O2908"/>
      <c r="P2908"/>
      <c r="Q2908"/>
      <c r="R2908"/>
      <c r="S2908"/>
      <c r="T2908"/>
      <c r="U2908"/>
      <c r="V2908"/>
      <c r="W2908"/>
      <c r="X2908"/>
      <c r="Y2908"/>
      <c r="Z2908"/>
      <c r="AA2908"/>
      <c r="AB2908"/>
      <c r="AC2908"/>
      <c r="AD2908"/>
      <c r="AE2908"/>
      <c r="AF2908"/>
      <c r="AG2908"/>
      <c r="AH2908"/>
      <c r="AI2908"/>
      <c r="AJ2908"/>
      <c r="AK2908"/>
      <c r="AL2908"/>
    </row>
    <row r="2909" spans="1:38" ht="15.75" customHeight="1" outlineLevel="2" x14ac:dyDescent="0.2">
      <c r="A2909" s="1067">
        <v>1</v>
      </c>
      <c r="B2909" s="1067" t="s">
        <v>68</v>
      </c>
      <c r="C2909" s="1067" t="s">
        <v>1456</v>
      </c>
      <c r="D2909" s="1067" t="s">
        <v>1456</v>
      </c>
      <c r="E2909" s="1068" t="s">
        <v>70</v>
      </c>
      <c r="F2909" s="1067"/>
      <c r="G2909" s="1069" t="str">
        <f t="array" ref="G2909">IF(B2909="insumo",_xlfn.XLOOKUP($D2909,Insumos!$B$1:$B$996,Insumos!$D$1:$D$996),"")</f>
        <v/>
      </c>
      <c r="H2909" s="1069">
        <v>613</v>
      </c>
      <c r="I2909" s="1070">
        <v>0</v>
      </c>
      <c r="J2909" s="1070">
        <v>0</v>
      </c>
      <c r="K2909" s="1070"/>
      <c r="L2909"/>
      <c r="M2909"/>
      <c r="N2909"/>
      <c r="O2909"/>
      <c r="P2909"/>
      <c r="Q2909"/>
      <c r="R2909"/>
      <c r="S2909"/>
      <c r="T2909"/>
      <c r="U2909"/>
      <c r="V2909"/>
      <c r="W2909"/>
      <c r="X2909"/>
      <c r="Y2909"/>
      <c r="Z2909"/>
      <c r="AA2909"/>
      <c r="AB2909"/>
      <c r="AC2909"/>
      <c r="AD2909"/>
      <c r="AE2909"/>
      <c r="AF2909"/>
      <c r="AG2909"/>
      <c r="AH2909"/>
      <c r="AI2909"/>
      <c r="AJ2909"/>
      <c r="AK2909"/>
      <c r="AL2909"/>
    </row>
    <row r="2910" spans="1:38" ht="15.75" customHeight="1" outlineLevel="3" x14ac:dyDescent="0.2">
      <c r="A2910" s="10">
        <v>2</v>
      </c>
      <c r="B2910" s="10" t="s">
        <v>71</v>
      </c>
      <c r="C2910" s="10" t="s">
        <v>1456</v>
      </c>
      <c r="D2910" s="10" t="s">
        <v>1434</v>
      </c>
      <c r="E2910" s="11" t="str">
        <f t="array" ref="E2910">_xlfn.XLOOKUP(D2910,Insumos!B:B,Insumos!C:$C)</f>
        <v>M2</v>
      </c>
      <c r="F2910" s="14">
        <v>1</v>
      </c>
      <c r="G2910" s="92">
        <f t="array" ref="G2910">IF(B2910="insumo",_xlfn.XLOOKUP($D2910,Insumos!$B$1:$B$996,Insumos!$D$1:$D$996),"")</f>
        <v>613</v>
      </c>
      <c r="H2910" s="92">
        <v>613</v>
      </c>
      <c r="I2910" s="13">
        <v>0</v>
      </c>
      <c r="J2910" s="13">
        <v>0</v>
      </c>
      <c r="K2910" s="13"/>
      <c r="L2910"/>
      <c r="M2910"/>
      <c r="N2910"/>
      <c r="O2910"/>
      <c r="P2910"/>
      <c r="Q2910"/>
      <c r="R2910"/>
      <c r="S2910"/>
      <c r="T2910"/>
      <c r="U2910"/>
      <c r="V2910"/>
      <c r="W2910"/>
      <c r="X2910"/>
      <c r="Y2910"/>
      <c r="Z2910"/>
      <c r="AA2910"/>
      <c r="AB2910"/>
      <c r="AC2910"/>
      <c r="AD2910"/>
      <c r="AE2910"/>
      <c r="AF2910"/>
      <c r="AG2910"/>
      <c r="AH2910"/>
      <c r="AI2910"/>
      <c r="AJ2910"/>
      <c r="AK2910"/>
      <c r="AL2910"/>
    </row>
    <row r="2911" spans="1:38" ht="15.75" customHeight="1" outlineLevel="1" x14ac:dyDescent="0.2">
      <c r="A2911" s="1090">
        <v>6</v>
      </c>
      <c r="B2911" s="1090" t="s">
        <v>1228</v>
      </c>
      <c r="C2911" s="1090" t="s">
        <v>1456</v>
      </c>
      <c r="D2911" s="1090" t="s">
        <v>1441</v>
      </c>
      <c r="E2911" s="1091"/>
      <c r="F2911" s="1092"/>
      <c r="G2911" s="1091"/>
      <c r="H2911" s="1091">
        <v>0</v>
      </c>
      <c r="I2911" s="1092">
        <v>0</v>
      </c>
      <c r="J2911" s="1092">
        <v>0</v>
      </c>
      <c r="K2911" s="1092"/>
      <c r="L2911"/>
      <c r="M2911"/>
      <c r="N2911"/>
      <c r="O2911"/>
      <c r="P2911"/>
      <c r="Q2911"/>
      <c r="R2911"/>
      <c r="S2911"/>
      <c r="T2911"/>
      <c r="U2911"/>
      <c r="V2911"/>
      <c r="W2911"/>
      <c r="X2911"/>
      <c r="Y2911"/>
      <c r="Z2911"/>
      <c r="AA2911"/>
      <c r="AB2911"/>
      <c r="AC2911"/>
      <c r="AD2911"/>
      <c r="AE2911"/>
      <c r="AF2911"/>
      <c r="AG2911"/>
      <c r="AH2911"/>
      <c r="AI2911"/>
      <c r="AJ2911"/>
      <c r="AK2911"/>
      <c r="AL2911"/>
    </row>
    <row r="2912" spans="1:38" ht="15.75" customHeight="1" outlineLevel="2" x14ac:dyDescent="0.2">
      <c r="A2912" s="1067">
        <v>1</v>
      </c>
      <c r="B2912" s="1067" t="s">
        <v>68</v>
      </c>
      <c r="C2912" s="1067" t="s">
        <v>575</v>
      </c>
      <c r="D2912" s="1067" t="s">
        <v>575</v>
      </c>
      <c r="E2912" s="1068" t="s">
        <v>70</v>
      </c>
      <c r="F2912" s="1075"/>
      <c r="G2912" s="1069" t="str">
        <f t="array" ref="G2912">IF(B2912="insumo",_xlfn.XLOOKUP($D2912,Insumos!$B$1:$B$996,Insumos!$D$1:$D$996),"")</f>
        <v/>
      </c>
      <c r="H2912" s="1069">
        <v>25</v>
      </c>
      <c r="I2912" s="1070" t="e">
        <v>#REF!</v>
      </c>
      <c r="J2912" s="1070" t="e">
        <v>#REF!</v>
      </c>
      <c r="K2912" s="1070"/>
      <c r="L2912"/>
      <c r="M2912"/>
      <c r="N2912"/>
      <c r="O2912"/>
      <c r="P2912"/>
      <c r="Q2912"/>
      <c r="R2912"/>
      <c r="S2912"/>
      <c r="T2912"/>
      <c r="U2912"/>
      <c r="V2912"/>
      <c r="W2912"/>
      <c r="X2912"/>
      <c r="Y2912"/>
      <c r="Z2912"/>
      <c r="AA2912"/>
      <c r="AB2912"/>
      <c r="AC2912"/>
      <c r="AD2912"/>
      <c r="AE2912"/>
      <c r="AF2912"/>
      <c r="AG2912"/>
      <c r="AH2912"/>
      <c r="AI2912"/>
      <c r="AJ2912"/>
      <c r="AK2912"/>
      <c r="AL2912"/>
    </row>
    <row r="2913" spans="1:38" ht="15.75" customHeight="1" outlineLevel="3" x14ac:dyDescent="0.2">
      <c r="A2913" s="10">
        <v>1</v>
      </c>
      <c r="B2913" s="10" t="s">
        <v>71</v>
      </c>
      <c r="C2913" s="10" t="s">
        <v>575</v>
      </c>
      <c r="D2913" s="10" t="s">
        <v>575</v>
      </c>
      <c r="E2913" s="11" t="str">
        <f t="array" ref="E2913">_xlfn.XLOOKUP(D2913,Insumos!B:B,Insumos!C:$C)</f>
        <v>M2</v>
      </c>
      <c r="F2913" s="14">
        <v>1</v>
      </c>
      <c r="G2913" s="92">
        <f t="array" ref="G2913">IF(B2913="insumo",_xlfn.XLOOKUP($D2913,Insumos!$B$1:$B$996,Insumos!$D$1:$D$996),"")</f>
        <v>25</v>
      </c>
      <c r="H2913" s="92">
        <v>25</v>
      </c>
      <c r="I2913" s="13" t="e">
        <v>#REF!</v>
      </c>
      <c r="J2913" s="13" t="e">
        <v>#REF!</v>
      </c>
      <c r="K2913" s="13"/>
      <c r="L2913"/>
      <c r="M2913"/>
      <c r="N2913"/>
      <c r="O2913"/>
      <c r="P2913"/>
      <c r="Q2913"/>
      <c r="R2913"/>
      <c r="S2913"/>
      <c r="T2913"/>
      <c r="U2913"/>
      <c r="V2913"/>
      <c r="W2913"/>
      <c r="X2913"/>
      <c r="Y2913"/>
      <c r="Z2913"/>
      <c r="AA2913"/>
      <c r="AB2913"/>
      <c r="AC2913"/>
      <c r="AD2913"/>
      <c r="AE2913"/>
      <c r="AF2913"/>
      <c r="AG2913"/>
      <c r="AH2913"/>
      <c r="AI2913"/>
      <c r="AJ2913"/>
      <c r="AK2913"/>
      <c r="AL2913"/>
    </row>
    <row r="2914" spans="1:38" ht="15.75" customHeight="1" outlineLevel="2" x14ac:dyDescent="0.2">
      <c r="A2914" s="1067">
        <v>1</v>
      </c>
      <c r="B2914" s="1067" t="s">
        <v>68</v>
      </c>
      <c r="C2914" s="1067" t="s">
        <v>1443</v>
      </c>
      <c r="D2914" s="1067" t="s">
        <v>1443</v>
      </c>
      <c r="E2914" s="1068" t="s">
        <v>70</v>
      </c>
      <c r="F2914" s="1075"/>
      <c r="G2914" s="1069" t="str">
        <f t="array" ref="G2914">IF(B2914="insumo",_xlfn.XLOOKUP($D2914,Insumos!$B$1:$B$996,Insumos!$D$1:$D$996),"")</f>
        <v/>
      </c>
      <c r="H2914" s="1069">
        <v>40</v>
      </c>
      <c r="I2914" s="1070" t="e">
        <v>#REF!</v>
      </c>
      <c r="J2914" s="1070" t="e">
        <v>#REF!</v>
      </c>
      <c r="K2914" s="1070"/>
      <c r="L2914"/>
      <c r="M2914"/>
      <c r="N2914"/>
      <c r="O2914"/>
      <c r="P2914"/>
      <c r="Q2914"/>
      <c r="R2914"/>
      <c r="S2914"/>
      <c r="T2914"/>
      <c r="U2914"/>
      <c r="V2914"/>
      <c r="W2914"/>
      <c r="X2914"/>
      <c r="Y2914"/>
      <c r="Z2914"/>
      <c r="AA2914"/>
      <c r="AB2914"/>
      <c r="AC2914"/>
      <c r="AD2914"/>
      <c r="AE2914"/>
      <c r="AF2914"/>
      <c r="AG2914"/>
      <c r="AH2914"/>
      <c r="AI2914"/>
      <c r="AJ2914"/>
      <c r="AK2914"/>
      <c r="AL2914"/>
    </row>
    <row r="2915" spans="1:38" ht="15.75" customHeight="1" outlineLevel="3" x14ac:dyDescent="0.2">
      <c r="A2915" s="10">
        <v>1</v>
      </c>
      <c r="B2915" s="10" t="s">
        <v>71</v>
      </c>
      <c r="C2915" s="10" t="s">
        <v>1443</v>
      </c>
      <c r="D2915" s="10" t="s">
        <v>1443</v>
      </c>
      <c r="E2915" s="11" t="str">
        <f t="array" ref="E2915">_xlfn.XLOOKUP(D2915,Insumos!B:B,Insumos!C:$C)</f>
        <v>M2</v>
      </c>
      <c r="F2915" s="14">
        <v>1</v>
      </c>
      <c r="G2915" s="92">
        <f t="array" ref="G2915">IF(B2915="insumo",_xlfn.XLOOKUP($D2915,Insumos!$B$1:$B$996,Insumos!$D$1:$D$996),"")</f>
        <v>40</v>
      </c>
      <c r="H2915" s="92">
        <v>40</v>
      </c>
      <c r="I2915" s="13" t="e">
        <v>#REF!</v>
      </c>
      <c r="J2915" s="13" t="e">
        <v>#REF!</v>
      </c>
      <c r="K2915" s="13"/>
      <c r="L2915"/>
      <c r="M2915"/>
      <c r="N2915"/>
      <c r="O2915"/>
      <c r="P2915"/>
      <c r="Q2915"/>
      <c r="R2915"/>
      <c r="S2915"/>
      <c r="T2915"/>
      <c r="U2915"/>
      <c r="V2915"/>
      <c r="W2915"/>
      <c r="X2915"/>
      <c r="Y2915"/>
      <c r="Z2915"/>
      <c r="AA2915"/>
      <c r="AB2915"/>
      <c r="AC2915"/>
      <c r="AD2915"/>
      <c r="AE2915"/>
      <c r="AF2915"/>
      <c r="AG2915"/>
      <c r="AH2915"/>
      <c r="AI2915"/>
      <c r="AJ2915"/>
      <c r="AK2915"/>
      <c r="AL2915"/>
    </row>
    <row r="2916" spans="1:38" ht="15.75" customHeight="1" outlineLevel="2" x14ac:dyDescent="0.2">
      <c r="A2916" s="1067">
        <v>1</v>
      </c>
      <c r="B2916" s="1067" t="s">
        <v>68</v>
      </c>
      <c r="C2916" s="1067" t="s">
        <v>1457</v>
      </c>
      <c r="D2916" s="1067" t="s">
        <v>1457</v>
      </c>
      <c r="E2916" s="1068" t="s">
        <v>70</v>
      </c>
      <c r="F2916" s="1075"/>
      <c r="G2916" s="1069" t="str">
        <f t="array" ref="G2916">IF(B2916="insumo",_xlfn.XLOOKUP($D2916,Insumos!$B$1:$B$996,Insumos!$D$1:$D$996),"")</f>
        <v/>
      </c>
      <c r="H2916" s="1069">
        <v>75</v>
      </c>
      <c r="I2916" s="1070">
        <v>0</v>
      </c>
      <c r="J2916" s="1070">
        <v>0</v>
      </c>
      <c r="K2916" s="1070"/>
      <c r="L2916"/>
      <c r="M2916"/>
      <c r="N2916"/>
      <c r="O2916"/>
      <c r="P2916"/>
      <c r="Q2916"/>
      <c r="R2916"/>
      <c r="S2916"/>
      <c r="T2916"/>
      <c r="U2916"/>
      <c r="V2916"/>
      <c r="W2916"/>
      <c r="X2916"/>
      <c r="Y2916"/>
      <c r="Z2916"/>
      <c r="AA2916"/>
      <c r="AB2916"/>
      <c r="AC2916"/>
      <c r="AD2916"/>
      <c r="AE2916"/>
      <c r="AF2916"/>
      <c r="AG2916"/>
      <c r="AH2916"/>
      <c r="AI2916"/>
      <c r="AJ2916"/>
      <c r="AK2916"/>
      <c r="AL2916"/>
    </row>
    <row r="2917" spans="1:38" ht="15.75" customHeight="1" outlineLevel="3" x14ac:dyDescent="0.2">
      <c r="A2917" s="10">
        <v>1</v>
      </c>
      <c r="B2917" s="10" t="s">
        <v>71</v>
      </c>
      <c r="C2917" s="10" t="s">
        <v>1457</v>
      </c>
      <c r="D2917" s="10" t="s">
        <v>1457</v>
      </c>
      <c r="E2917" s="11" t="str">
        <f t="array" ref="E2917">_xlfn.XLOOKUP(D2917,Insumos!B:B,Insumos!C:$C)</f>
        <v>M2</v>
      </c>
      <c r="F2917" s="14">
        <v>1</v>
      </c>
      <c r="G2917" s="92">
        <f t="array" ref="G2917">IF(B2917="insumo",_xlfn.XLOOKUP($D2917,Insumos!$B$1:$B$996,Insumos!$D$1:$D$996),"")</f>
        <v>75</v>
      </c>
      <c r="H2917" s="92">
        <v>75</v>
      </c>
      <c r="I2917" s="13">
        <v>0</v>
      </c>
      <c r="J2917" s="13">
        <v>0</v>
      </c>
      <c r="K2917" s="13"/>
      <c r="L2917"/>
      <c r="M2917"/>
      <c r="N2917"/>
      <c r="O2917"/>
      <c r="P2917"/>
      <c r="Q2917"/>
      <c r="R2917"/>
      <c r="S2917"/>
      <c r="T2917"/>
      <c r="U2917"/>
      <c r="V2917"/>
      <c r="W2917"/>
      <c r="X2917"/>
      <c r="Y2917"/>
      <c r="Z2917"/>
      <c r="AA2917"/>
      <c r="AB2917"/>
      <c r="AC2917"/>
      <c r="AD2917"/>
      <c r="AE2917"/>
      <c r="AF2917"/>
      <c r="AG2917"/>
      <c r="AH2917"/>
      <c r="AI2917"/>
      <c r="AJ2917"/>
      <c r="AK2917"/>
      <c r="AL2917"/>
    </row>
    <row r="2918" spans="1:38" ht="15.75" customHeight="1" x14ac:dyDescent="0.2">
      <c r="A2918" s="7">
        <v>1</v>
      </c>
      <c r="B2918" s="7" t="s">
        <v>66</v>
      </c>
      <c r="C2918" s="7" t="s">
        <v>1457</v>
      </c>
      <c r="D2918" s="7" t="s">
        <v>576</v>
      </c>
      <c r="E2918" s="8"/>
      <c r="F2918" s="9"/>
      <c r="G2918" s="91" t="str">
        <f t="array" ref="G2918">IF(B2918="insumo",_xlfn.XLOOKUP($D2918,Insumos!$B$1:$B$996,Insumos!$D$1:$D$996),"")</f>
        <v/>
      </c>
      <c r="H2918" s="91">
        <v>0</v>
      </c>
      <c r="I2918" s="9">
        <v>0</v>
      </c>
      <c r="J2918" s="9">
        <v>0</v>
      </c>
      <c r="K2918" s="9"/>
      <c r="L2918"/>
      <c r="M2918"/>
      <c r="N2918"/>
      <c r="O2918"/>
      <c r="P2918"/>
      <c r="Q2918"/>
      <c r="R2918"/>
      <c r="S2918"/>
      <c r="T2918"/>
      <c r="U2918"/>
      <c r="V2918"/>
      <c r="W2918"/>
      <c r="X2918"/>
      <c r="Y2918"/>
      <c r="Z2918"/>
      <c r="AA2918"/>
      <c r="AB2918"/>
      <c r="AC2918"/>
      <c r="AD2918"/>
      <c r="AE2918"/>
      <c r="AF2918"/>
      <c r="AG2918"/>
      <c r="AH2918"/>
      <c r="AI2918"/>
      <c r="AJ2918"/>
      <c r="AK2918"/>
      <c r="AL2918"/>
    </row>
    <row r="2919" spans="1:38" ht="15.75" customHeight="1" outlineLevel="1" x14ac:dyDescent="0.2">
      <c r="A2919" s="1090">
        <v>1</v>
      </c>
      <c r="B2919" s="1090" t="s">
        <v>1228</v>
      </c>
      <c r="C2919" s="1090" t="s">
        <v>1457</v>
      </c>
      <c r="D2919" s="1090" t="s">
        <v>1458</v>
      </c>
      <c r="E2919" s="1091"/>
      <c r="F2919" s="1092"/>
      <c r="G2919" s="1091"/>
      <c r="H2919" s="1091">
        <v>0</v>
      </c>
      <c r="I2919" s="1092">
        <v>0</v>
      </c>
      <c r="J2919" s="1092">
        <v>0</v>
      </c>
      <c r="K2919" s="1092"/>
      <c r="L2919"/>
      <c r="M2919"/>
      <c r="N2919"/>
      <c r="O2919"/>
      <c r="P2919"/>
      <c r="Q2919"/>
      <c r="R2919"/>
      <c r="S2919"/>
      <c r="T2919"/>
      <c r="U2919"/>
      <c r="V2919"/>
      <c r="W2919"/>
      <c r="X2919"/>
      <c r="Y2919"/>
      <c r="Z2919"/>
      <c r="AA2919"/>
      <c r="AB2919"/>
      <c r="AC2919"/>
      <c r="AD2919"/>
      <c r="AE2919"/>
      <c r="AF2919"/>
      <c r="AG2919"/>
      <c r="AH2919"/>
      <c r="AI2919"/>
      <c r="AJ2919"/>
      <c r="AK2919"/>
      <c r="AL2919"/>
    </row>
    <row r="2920" spans="1:38" ht="15.75" customHeight="1" outlineLevel="2" x14ac:dyDescent="0.2">
      <c r="A2920" s="1067">
        <v>1</v>
      </c>
      <c r="B2920" s="1067" t="s">
        <v>68</v>
      </c>
      <c r="C2920" s="1067" t="s">
        <v>540</v>
      </c>
      <c r="D2920" s="1067" t="s">
        <v>540</v>
      </c>
      <c r="E2920" s="1068" t="s">
        <v>70</v>
      </c>
      <c r="F2920" s="1067"/>
      <c r="G2920" s="1069" t="str">
        <f t="array" ref="G2920">IF(B2920="insumo",_xlfn.XLOOKUP($D2920,Insumos!$B$1:$B$996,Insumos!$D$1:$D$996),"")</f>
        <v/>
      </c>
      <c r="H2920" s="1069">
        <v>166.666666666667</v>
      </c>
      <c r="I2920" s="1070">
        <v>0</v>
      </c>
      <c r="J2920" s="1070">
        <v>0</v>
      </c>
      <c r="K2920" s="1070"/>
      <c r="L2920"/>
      <c r="M2920"/>
      <c r="N2920"/>
      <c r="O2920"/>
      <c r="P2920"/>
      <c r="Q2920"/>
      <c r="R2920"/>
      <c r="S2920"/>
      <c r="T2920"/>
      <c r="U2920"/>
      <c r="V2920"/>
      <c r="W2920"/>
      <c r="X2920"/>
      <c r="Y2920"/>
      <c r="Z2920"/>
      <c r="AA2920"/>
      <c r="AB2920"/>
      <c r="AC2920"/>
      <c r="AD2920"/>
      <c r="AE2920"/>
      <c r="AF2920"/>
      <c r="AG2920"/>
      <c r="AH2920"/>
      <c r="AI2920"/>
      <c r="AJ2920"/>
      <c r="AK2920"/>
      <c r="AL2920"/>
    </row>
    <row r="2921" spans="1:38" ht="15.75" customHeight="1" outlineLevel="3" x14ac:dyDescent="0.2">
      <c r="A2921" s="10">
        <v>1</v>
      </c>
      <c r="B2921" s="10" t="s">
        <v>71</v>
      </c>
      <c r="C2921" s="10" t="s">
        <v>540</v>
      </c>
      <c r="D2921" s="10" t="s">
        <v>541</v>
      </c>
      <c r="E2921" s="11" t="str">
        <f t="array" ref="E2921">_xlfn.XLOOKUP(D2921,Insumos!B:B,Insumos!C:$C)</f>
        <v>M2</v>
      </c>
      <c r="F2921" s="14">
        <v>1.1000000000000001</v>
      </c>
      <c r="G2921" s="92">
        <f t="array" ref="G2921">IF(B2921="insumo",_xlfn.XLOOKUP($D2921,Insumos!$B$1:$B$996,Insumos!$D$1:$D$996),"")</f>
        <v>151.5151515151515</v>
      </c>
      <c r="H2921" s="92">
        <v>166.666666666667</v>
      </c>
      <c r="I2921" s="13">
        <v>0</v>
      </c>
      <c r="J2921" s="13">
        <v>0</v>
      </c>
      <c r="K2921" s="13"/>
      <c r="L2921"/>
      <c r="M2921"/>
      <c r="N2921"/>
      <c r="O2921"/>
      <c r="P2921"/>
      <c r="Q2921"/>
      <c r="R2921"/>
      <c r="S2921"/>
      <c r="T2921"/>
      <c r="U2921"/>
      <c r="V2921"/>
      <c r="W2921"/>
      <c r="X2921"/>
      <c r="Y2921"/>
      <c r="Z2921"/>
      <c r="AA2921"/>
      <c r="AB2921"/>
      <c r="AC2921"/>
      <c r="AD2921"/>
      <c r="AE2921"/>
      <c r="AF2921"/>
      <c r="AG2921"/>
      <c r="AH2921"/>
      <c r="AI2921"/>
      <c r="AJ2921"/>
      <c r="AK2921"/>
      <c r="AL2921"/>
    </row>
    <row r="2922" spans="1:38" ht="15.75" customHeight="1" outlineLevel="2" x14ac:dyDescent="0.2">
      <c r="A2922" s="1067">
        <v>1</v>
      </c>
      <c r="B2922" s="1067" t="s">
        <v>68</v>
      </c>
      <c r="C2922" s="1067" t="s">
        <v>577</v>
      </c>
      <c r="D2922" s="1067" t="s">
        <v>577</v>
      </c>
      <c r="E2922" s="1068" t="s">
        <v>152</v>
      </c>
      <c r="F2922" s="1067"/>
      <c r="G2922" s="1069" t="str">
        <f t="array" ref="G2922">IF(B2922="insumo",_xlfn.XLOOKUP($D2922,Insumos!$B$1:$B$996,Insumos!$D$1:$D$996),"")</f>
        <v/>
      </c>
      <c r="H2922" s="1069">
        <v>495.24700000000001</v>
      </c>
      <c r="I2922" s="1070">
        <v>0</v>
      </c>
      <c r="J2922" s="1070">
        <v>0</v>
      </c>
      <c r="K2922" s="1070"/>
      <c r="L2922"/>
      <c r="M2922"/>
      <c r="N2922"/>
      <c r="O2922"/>
      <c r="P2922"/>
      <c r="Q2922"/>
      <c r="R2922"/>
      <c r="S2922"/>
      <c r="T2922"/>
      <c r="U2922"/>
      <c r="V2922"/>
      <c r="W2922"/>
      <c r="X2922"/>
      <c r="Y2922"/>
      <c r="Z2922"/>
      <c r="AA2922"/>
      <c r="AB2922"/>
      <c r="AC2922"/>
      <c r="AD2922"/>
      <c r="AE2922"/>
      <c r="AF2922"/>
      <c r="AG2922"/>
      <c r="AH2922"/>
      <c r="AI2922"/>
      <c r="AJ2922"/>
      <c r="AK2922"/>
      <c r="AL2922"/>
    </row>
    <row r="2923" spans="1:38" ht="15.75" customHeight="1" outlineLevel="3" x14ac:dyDescent="0.2">
      <c r="A2923" s="10">
        <v>3</v>
      </c>
      <c r="B2923" s="10" t="s">
        <v>71</v>
      </c>
      <c r="C2923" s="10" t="s">
        <v>577</v>
      </c>
      <c r="D2923" s="10" t="s">
        <v>158</v>
      </c>
      <c r="E2923" s="11" t="str">
        <f t="array" ref="E2923">_xlfn.XLOOKUP(D2923,Insumos!B:B,Insumos!C:$C)</f>
        <v>M3</v>
      </c>
      <c r="F2923" s="14">
        <v>1.05</v>
      </c>
      <c r="G2923" s="92">
        <f t="array" ref="G2923">IF(B2923="insumo",_xlfn.XLOOKUP($D2923,Insumos!$B$1:$B$996,Insumos!$D$1:$D$996),"")</f>
        <v>430.94</v>
      </c>
      <c r="H2923" s="92">
        <v>452.48700000000002</v>
      </c>
      <c r="I2923" s="13">
        <v>0</v>
      </c>
      <c r="J2923" s="13">
        <v>0</v>
      </c>
      <c r="K2923" s="13"/>
      <c r="L2923"/>
      <c r="M2923"/>
      <c r="N2923"/>
      <c r="O2923"/>
      <c r="P2923"/>
      <c r="Q2923"/>
      <c r="R2923"/>
      <c r="S2923"/>
      <c r="T2923"/>
      <c r="U2923"/>
      <c r="V2923"/>
      <c r="W2923"/>
      <c r="X2923"/>
      <c r="Y2923"/>
      <c r="Z2923"/>
      <c r="AA2923"/>
      <c r="AB2923"/>
      <c r="AC2923"/>
      <c r="AD2923"/>
      <c r="AE2923"/>
      <c r="AF2923"/>
      <c r="AG2923"/>
      <c r="AH2923"/>
      <c r="AI2923"/>
      <c r="AJ2923"/>
      <c r="AK2923"/>
      <c r="AL2923"/>
    </row>
    <row r="2924" spans="1:38" ht="15.75" customHeight="1" outlineLevel="3" x14ac:dyDescent="0.2">
      <c r="A2924" s="10">
        <v>25</v>
      </c>
      <c r="B2924" s="10" t="s">
        <v>71</v>
      </c>
      <c r="C2924" s="10" t="s">
        <v>577</v>
      </c>
      <c r="D2924" s="10" t="s">
        <v>159</v>
      </c>
      <c r="E2924" s="11" t="str">
        <f t="array" ref="E2924">_xlfn.XLOOKUP(D2924,Insumos!B:B,Insumos!C:$C)</f>
        <v>M3</v>
      </c>
      <c r="F2924" s="14">
        <v>1.05</v>
      </c>
      <c r="G2924" s="92">
        <f t="array" ref="G2924">IF(B2924="insumo",_xlfn.XLOOKUP($D2924,Insumos!$B$1:$B$996,Insumos!$D$1:$D$996),"")</f>
        <v>40</v>
      </c>
      <c r="H2924" s="92">
        <v>42</v>
      </c>
      <c r="I2924" s="13">
        <v>0</v>
      </c>
      <c r="J2924" s="13">
        <v>0</v>
      </c>
      <c r="K2924" s="13"/>
      <c r="L2924"/>
      <c r="M2924"/>
      <c r="N2924"/>
      <c r="O2924"/>
      <c r="P2924"/>
      <c r="Q2924"/>
      <c r="R2924"/>
      <c r="S2924"/>
      <c r="T2924"/>
      <c r="U2924"/>
      <c r="V2924"/>
      <c r="W2924"/>
      <c r="X2924"/>
      <c r="Y2924"/>
      <c r="Z2924"/>
      <c r="AA2924"/>
      <c r="AB2924"/>
      <c r="AC2924"/>
      <c r="AD2924"/>
      <c r="AE2924"/>
      <c r="AF2924"/>
      <c r="AG2924"/>
      <c r="AH2924"/>
      <c r="AI2924"/>
      <c r="AJ2924"/>
      <c r="AK2924"/>
      <c r="AL2924"/>
    </row>
    <row r="2925" spans="1:38" ht="15.75" customHeight="1" outlineLevel="3" x14ac:dyDescent="0.2">
      <c r="A2925" s="10">
        <v>62</v>
      </c>
      <c r="B2925" s="10" t="s">
        <v>71</v>
      </c>
      <c r="C2925" s="10" t="s">
        <v>577</v>
      </c>
      <c r="D2925" s="10" t="s">
        <v>160</v>
      </c>
      <c r="E2925" s="11" t="str">
        <f t="array" ref="E2925">_xlfn.XLOOKUP(D2925,Insumos!B:B,Insumos!C:$C)</f>
        <v>KG</v>
      </c>
      <c r="F2925" s="14">
        <v>1</v>
      </c>
      <c r="G2925" s="92">
        <f t="array" ref="G2925">IF(B2925="insumo",_xlfn.XLOOKUP($D2925,Insumos!$B$1:$B$996,Insumos!$D$1:$D$996),"")</f>
        <v>0.76</v>
      </c>
      <c r="H2925" s="92">
        <v>0.76</v>
      </c>
      <c r="I2925" s="13">
        <v>0</v>
      </c>
      <c r="J2925" s="13">
        <v>0</v>
      </c>
      <c r="K2925" s="13"/>
      <c r="L2925"/>
      <c r="M2925"/>
      <c r="N2925"/>
      <c r="O2925"/>
      <c r="P2925"/>
      <c r="Q2925"/>
      <c r="R2925"/>
      <c r="S2925"/>
      <c r="T2925"/>
      <c r="U2925"/>
      <c r="V2925"/>
      <c r="W2925"/>
      <c r="X2925"/>
      <c r="Y2925"/>
      <c r="Z2925"/>
      <c r="AA2925"/>
      <c r="AB2925"/>
      <c r="AC2925"/>
      <c r="AD2925"/>
      <c r="AE2925"/>
      <c r="AF2925"/>
      <c r="AG2925"/>
      <c r="AH2925"/>
      <c r="AI2925"/>
      <c r="AJ2925"/>
      <c r="AK2925"/>
      <c r="AL2925"/>
    </row>
    <row r="2926" spans="1:38" ht="15.75" customHeight="1" outlineLevel="2" x14ac:dyDescent="0.2">
      <c r="A2926" s="1067">
        <v>1</v>
      </c>
      <c r="B2926" s="1067" t="s">
        <v>68</v>
      </c>
      <c r="C2926" s="1067" t="s">
        <v>626</v>
      </c>
      <c r="D2926" s="1067" t="s">
        <v>626</v>
      </c>
      <c r="E2926" s="1068" t="s">
        <v>70</v>
      </c>
      <c r="F2926" s="1067"/>
      <c r="G2926" s="1069" t="str">
        <f t="array" ref="G2926">IF(B2926="insumo",_xlfn.XLOOKUP($D2926,Insumos!$B$1:$B$996,Insumos!$D$1:$D$996),"")</f>
        <v/>
      </c>
      <c r="H2926" s="1069">
        <v>189.3</v>
      </c>
      <c r="I2926" s="1070">
        <v>0</v>
      </c>
      <c r="J2926" s="1070">
        <v>0</v>
      </c>
      <c r="K2926" s="1070"/>
      <c r="L2926"/>
      <c r="M2926"/>
      <c r="N2926"/>
      <c r="O2926"/>
      <c r="P2926"/>
      <c r="Q2926"/>
      <c r="R2926"/>
      <c r="S2926"/>
      <c r="T2926"/>
      <c r="U2926"/>
      <c r="V2926"/>
      <c r="W2926"/>
      <c r="X2926"/>
      <c r="Y2926"/>
      <c r="Z2926"/>
      <c r="AA2926"/>
      <c r="AB2926"/>
      <c r="AC2926"/>
      <c r="AD2926"/>
      <c r="AE2926"/>
      <c r="AF2926"/>
      <c r="AG2926"/>
      <c r="AH2926"/>
      <c r="AI2926"/>
      <c r="AJ2926"/>
      <c r="AK2926"/>
      <c r="AL2926"/>
    </row>
    <row r="2927" spans="1:38" ht="15.75" customHeight="1" outlineLevel="3" x14ac:dyDescent="0.2">
      <c r="A2927" s="10">
        <v>1</v>
      </c>
      <c r="B2927" s="10" t="s">
        <v>71</v>
      </c>
      <c r="C2927" s="10" t="s">
        <v>626</v>
      </c>
      <c r="D2927" s="10" t="s">
        <v>627</v>
      </c>
      <c r="E2927" s="11" t="str">
        <f t="array" ref="E2927">_xlfn.XLOOKUP(D2927,Insumos!B:B,Insumos!C:$C)</f>
        <v>M2</v>
      </c>
      <c r="F2927" s="14">
        <v>1</v>
      </c>
      <c r="G2927" s="92">
        <f t="array" ref="G2927">IF(B2927="insumo",_xlfn.XLOOKUP($D2927,Insumos!$B$1:$B$996,Insumos!$D$1:$D$996),"")</f>
        <v>16.75</v>
      </c>
      <c r="H2927" s="92">
        <v>16.75</v>
      </c>
      <c r="I2927" s="13">
        <v>0</v>
      </c>
      <c r="J2927" s="13">
        <v>0</v>
      </c>
      <c r="K2927" s="13"/>
      <c r="L2927"/>
      <c r="M2927"/>
      <c r="N2927"/>
      <c r="O2927"/>
      <c r="P2927"/>
      <c r="Q2927"/>
      <c r="R2927"/>
      <c r="S2927"/>
      <c r="T2927"/>
      <c r="U2927"/>
      <c r="V2927"/>
      <c r="W2927"/>
      <c r="X2927"/>
      <c r="Y2927"/>
      <c r="Z2927"/>
      <c r="AA2927"/>
      <c r="AB2927"/>
      <c r="AC2927"/>
      <c r="AD2927"/>
      <c r="AE2927"/>
      <c r="AF2927"/>
      <c r="AG2927"/>
      <c r="AH2927"/>
      <c r="AI2927"/>
      <c r="AJ2927"/>
      <c r="AK2927"/>
      <c r="AL2927"/>
    </row>
    <row r="2928" spans="1:38" ht="15.75" customHeight="1" outlineLevel="3" x14ac:dyDescent="0.2">
      <c r="A2928" s="10">
        <v>10</v>
      </c>
      <c r="B2928" s="10" t="s">
        <v>71</v>
      </c>
      <c r="C2928" s="10" t="s">
        <v>626</v>
      </c>
      <c r="D2928" s="10" t="s">
        <v>443</v>
      </c>
      <c r="E2928" s="11" t="str">
        <f t="array" ref="E2928">_xlfn.XLOOKUP(D2928,Insumos!B:B,Insumos!C:$C)</f>
        <v>M3</v>
      </c>
      <c r="F2928" s="14">
        <v>1.19</v>
      </c>
      <c r="G2928" s="92">
        <f t="array" ref="G2928">IF(B2928="insumo",_xlfn.XLOOKUP($D2928,Insumos!$B$1:$B$996,Insumos!$D$1:$D$996),"")</f>
        <v>145</v>
      </c>
      <c r="H2928" s="92">
        <v>172.55</v>
      </c>
      <c r="I2928" s="13">
        <v>0</v>
      </c>
      <c r="J2928" s="13">
        <v>0</v>
      </c>
      <c r="K2928" s="13"/>
      <c r="L2928"/>
      <c r="M2928"/>
      <c r="N2928"/>
      <c r="O2928"/>
      <c r="P2928"/>
      <c r="Q2928"/>
      <c r="R2928"/>
      <c r="S2928"/>
      <c r="T2928"/>
      <c r="U2928"/>
      <c r="V2928"/>
      <c r="W2928"/>
      <c r="X2928"/>
      <c r="Y2928"/>
      <c r="Z2928"/>
      <c r="AA2928"/>
      <c r="AB2928"/>
      <c r="AC2928"/>
      <c r="AD2928"/>
      <c r="AE2928"/>
      <c r="AF2928"/>
      <c r="AG2928"/>
      <c r="AH2928"/>
      <c r="AI2928"/>
      <c r="AJ2928"/>
      <c r="AK2928"/>
      <c r="AL2928"/>
    </row>
    <row r="2929" spans="1:38" ht="15.75" customHeight="1" outlineLevel="2" x14ac:dyDescent="0.2">
      <c r="A2929" s="1067">
        <v>1</v>
      </c>
      <c r="B2929" s="1067" t="s">
        <v>68</v>
      </c>
      <c r="C2929" s="1067" t="s">
        <v>1511</v>
      </c>
      <c r="D2929" s="1067" t="s">
        <v>1511</v>
      </c>
      <c r="E2929" s="1068" t="s">
        <v>70</v>
      </c>
      <c r="F2929" s="1067"/>
      <c r="G2929" s="1069" t="str">
        <f t="array" ref="G2929">IF(B2929="insumo",_xlfn.XLOOKUP($D2929,Insumos!$B$1:$B$996,Insumos!$D$1:$D$996),"")</f>
        <v/>
      </c>
      <c r="H2929" s="1069">
        <v>296.7</v>
      </c>
      <c r="I2929" s="1070">
        <v>0</v>
      </c>
      <c r="J2929" s="1070">
        <v>0</v>
      </c>
      <c r="K2929" s="1070"/>
      <c r="L2929"/>
      <c r="M2929"/>
      <c r="N2929"/>
      <c r="O2929"/>
      <c r="P2929"/>
      <c r="Q2929"/>
      <c r="R2929"/>
      <c r="S2929"/>
      <c r="T2929"/>
      <c r="U2929"/>
      <c r="V2929"/>
      <c r="W2929"/>
      <c r="X2929"/>
      <c r="Y2929"/>
      <c r="Z2929"/>
      <c r="AA2929"/>
      <c r="AB2929"/>
      <c r="AC2929"/>
      <c r="AD2929"/>
      <c r="AE2929"/>
      <c r="AF2929"/>
      <c r="AG2929"/>
      <c r="AH2929"/>
      <c r="AI2929"/>
      <c r="AJ2929"/>
      <c r="AK2929"/>
      <c r="AL2929"/>
    </row>
    <row r="2930" spans="1:38" ht="15.75" customHeight="1" outlineLevel="3" x14ac:dyDescent="0.2">
      <c r="A2930" s="10">
        <v>2</v>
      </c>
      <c r="B2930" s="10" t="s">
        <v>71</v>
      </c>
      <c r="C2930" s="10" t="s">
        <v>1511</v>
      </c>
      <c r="D2930" s="10" t="s">
        <v>638</v>
      </c>
      <c r="E2930" s="11" t="str">
        <f t="array" ref="E2930">_xlfn.XLOOKUP(D2930,Insumos!B:B,Insumos!C:$C)</f>
        <v>M2</v>
      </c>
      <c r="F2930" s="14">
        <v>1</v>
      </c>
      <c r="G2930" s="92">
        <f t="array" ref="G2930">IF(B2930="insumo",_xlfn.XLOOKUP($D2930,Insumos!$B$1:$B$996,Insumos!$D$1:$D$996),"")</f>
        <v>146.69999999999999</v>
      </c>
      <c r="H2930" s="92">
        <v>146.69999999999999</v>
      </c>
      <c r="I2930" s="13">
        <v>0</v>
      </c>
      <c r="J2930" s="13">
        <v>0</v>
      </c>
      <c r="K2930" s="13"/>
      <c r="L2930"/>
      <c r="M2930"/>
      <c r="N2930"/>
      <c r="O2930"/>
      <c r="P2930"/>
      <c r="Q2930"/>
      <c r="R2930"/>
      <c r="S2930"/>
      <c r="T2930"/>
      <c r="U2930"/>
      <c r="V2930"/>
      <c r="W2930"/>
      <c r="X2930"/>
      <c r="Y2930"/>
      <c r="Z2930"/>
      <c r="AA2930"/>
      <c r="AB2930"/>
      <c r="AC2930"/>
      <c r="AD2930"/>
      <c r="AE2930"/>
      <c r="AF2930"/>
      <c r="AG2930"/>
      <c r="AH2930"/>
      <c r="AI2930"/>
      <c r="AJ2930"/>
      <c r="AK2930"/>
      <c r="AL2930"/>
    </row>
    <row r="2931" spans="1:38" ht="15.75" customHeight="1" outlineLevel="3" x14ac:dyDescent="0.2">
      <c r="A2931" s="10">
        <v>3</v>
      </c>
      <c r="B2931" s="10" t="s">
        <v>71</v>
      </c>
      <c r="C2931" s="10" t="s">
        <v>1511</v>
      </c>
      <c r="D2931" s="10" t="s">
        <v>639</v>
      </c>
      <c r="E2931" s="11" t="str">
        <f t="array" ref="E2931">_xlfn.XLOOKUP(D2931,Insumos!B:B,Insumos!C:$C)</f>
        <v>M2</v>
      </c>
      <c r="F2931" s="14">
        <v>1</v>
      </c>
      <c r="G2931" s="92">
        <f t="array" ref="G2931">IF(B2931="insumo",_xlfn.XLOOKUP($D2931,Insumos!$B$1:$B$996,Insumos!$D$1:$D$996),"")</f>
        <v>150</v>
      </c>
      <c r="H2931" s="92">
        <v>150</v>
      </c>
      <c r="I2931" s="13">
        <v>0</v>
      </c>
      <c r="J2931" s="13">
        <v>0</v>
      </c>
      <c r="K2931" s="13"/>
      <c r="L2931"/>
      <c r="M2931"/>
      <c r="N2931"/>
      <c r="O2931"/>
      <c r="P2931"/>
      <c r="Q2931"/>
      <c r="R2931"/>
      <c r="S2931"/>
      <c r="T2931"/>
      <c r="U2931"/>
      <c r="V2931"/>
      <c r="W2931"/>
      <c r="X2931"/>
      <c r="Y2931"/>
      <c r="Z2931"/>
      <c r="AA2931"/>
      <c r="AB2931"/>
      <c r="AC2931"/>
      <c r="AD2931"/>
      <c r="AE2931"/>
      <c r="AF2931"/>
      <c r="AG2931"/>
      <c r="AH2931"/>
      <c r="AI2931"/>
      <c r="AJ2931"/>
      <c r="AK2931"/>
      <c r="AL2931"/>
    </row>
    <row r="2932" spans="1:38" ht="15.75" customHeight="1" outlineLevel="2" x14ac:dyDescent="0.2">
      <c r="A2932" s="1067">
        <v>1</v>
      </c>
      <c r="B2932" s="1067" t="s">
        <v>68</v>
      </c>
      <c r="C2932" s="1067" t="s">
        <v>1512</v>
      </c>
      <c r="D2932" s="1067" t="s">
        <v>1512</v>
      </c>
      <c r="E2932" s="1068" t="s">
        <v>70</v>
      </c>
      <c r="F2932" s="1067"/>
      <c r="G2932" s="1069" t="str">
        <f t="array" ref="G2932">IF(B2932="insumo",_xlfn.XLOOKUP($D2932,Insumos!$B$1:$B$996,Insumos!$D$1:$D$996),"")</f>
        <v/>
      </c>
      <c r="H2932" s="1069">
        <v>233.42500000000001</v>
      </c>
      <c r="I2932" s="1070">
        <v>0</v>
      </c>
      <c r="J2932" s="1070">
        <v>0</v>
      </c>
      <c r="K2932" s="1070"/>
      <c r="L2932"/>
      <c r="M2932"/>
      <c r="N2932"/>
      <c r="O2932"/>
      <c r="P2932"/>
      <c r="Q2932"/>
      <c r="R2932"/>
      <c r="S2932"/>
      <c r="T2932"/>
      <c r="U2932"/>
      <c r="V2932"/>
      <c r="W2932"/>
      <c r="X2932"/>
      <c r="Y2932"/>
      <c r="Z2932"/>
      <c r="AA2932"/>
      <c r="AB2932"/>
      <c r="AC2932"/>
      <c r="AD2932"/>
      <c r="AE2932"/>
      <c r="AF2932"/>
      <c r="AG2932"/>
      <c r="AH2932"/>
      <c r="AI2932"/>
      <c r="AJ2932"/>
      <c r="AK2932"/>
      <c r="AL2932"/>
    </row>
    <row r="2933" spans="1:38" ht="15.75" customHeight="1" outlineLevel="3" x14ac:dyDescent="0.2">
      <c r="A2933" s="10">
        <v>2</v>
      </c>
      <c r="B2933" s="10" t="s">
        <v>71</v>
      </c>
      <c r="C2933" s="10" t="s">
        <v>1512</v>
      </c>
      <c r="D2933" s="10" t="s">
        <v>345</v>
      </c>
      <c r="E2933" s="11" t="str">
        <f t="array" ref="E2933">_xlfn.XLOOKUP(D2933,Insumos!B:B,Insumos!C:$C)</f>
        <v>UN</v>
      </c>
      <c r="F2933" s="14">
        <f>ROUNDUP((1/(0.19*0.19)),)</f>
        <v>28</v>
      </c>
      <c r="G2933" s="92">
        <f t="array" ref="G2933">IF(B2933="insumo",_xlfn.XLOOKUP($D2933,Insumos!$B$1:$B$996,Insumos!$D$1:$D$996),"")</f>
        <v>2.6</v>
      </c>
      <c r="H2933" s="92">
        <v>72.8</v>
      </c>
      <c r="I2933" s="13">
        <v>0</v>
      </c>
      <c r="J2933" s="13">
        <v>0</v>
      </c>
      <c r="K2933" s="13"/>
      <c r="L2933"/>
      <c r="M2933"/>
      <c r="N2933"/>
      <c r="O2933"/>
      <c r="P2933"/>
      <c r="Q2933"/>
      <c r="R2933"/>
      <c r="S2933"/>
      <c r="T2933"/>
      <c r="U2933"/>
      <c r="V2933"/>
      <c r="W2933"/>
      <c r="X2933"/>
      <c r="Y2933"/>
      <c r="Z2933"/>
      <c r="AA2933"/>
      <c r="AB2933"/>
      <c r="AC2933"/>
      <c r="AD2933"/>
      <c r="AE2933"/>
      <c r="AF2933"/>
      <c r="AG2933"/>
      <c r="AH2933"/>
      <c r="AI2933"/>
      <c r="AJ2933"/>
      <c r="AK2933"/>
      <c r="AL2933"/>
    </row>
    <row r="2934" spans="1:38" ht="15.75" customHeight="1" outlineLevel="3" x14ac:dyDescent="0.2">
      <c r="A2934" s="10">
        <v>17</v>
      </c>
      <c r="B2934" s="10" t="s">
        <v>71</v>
      </c>
      <c r="C2934" s="10" t="s">
        <v>1512</v>
      </c>
      <c r="D2934" s="10" t="s">
        <v>356</v>
      </c>
      <c r="E2934" s="11" t="str">
        <f t="array" ref="E2934">_xlfn.XLOOKUP(D2934,Insumos!B:B,Insumos!C:$C)</f>
        <v>M3</v>
      </c>
      <c r="F2934" s="14">
        <v>2.5000000000000001E-2</v>
      </c>
      <c r="G2934" s="92">
        <f t="array" ref="G2934">IF(B2934="insumo",_xlfn.XLOOKUP($D2934,Insumos!$B$1:$B$996,Insumos!$D$1:$D$996),"")</f>
        <v>425</v>
      </c>
      <c r="H2934" s="92">
        <v>10.625</v>
      </c>
      <c r="I2934" s="13">
        <v>0</v>
      </c>
      <c r="J2934" s="13">
        <v>0</v>
      </c>
      <c r="K2934" s="13"/>
      <c r="L2934"/>
      <c r="M2934"/>
      <c r="N2934"/>
      <c r="O2934"/>
      <c r="P2934"/>
      <c r="Q2934"/>
      <c r="R2934"/>
      <c r="S2934"/>
      <c r="T2934"/>
      <c r="U2934"/>
      <c r="V2934"/>
      <c r="W2934"/>
      <c r="X2934"/>
      <c r="Y2934"/>
      <c r="Z2934"/>
      <c r="AA2934"/>
      <c r="AB2934"/>
      <c r="AC2934"/>
      <c r="AD2934"/>
      <c r="AE2934"/>
      <c r="AF2934"/>
      <c r="AG2934"/>
      <c r="AH2934"/>
      <c r="AI2934"/>
      <c r="AJ2934"/>
      <c r="AK2934"/>
      <c r="AL2934"/>
    </row>
    <row r="2935" spans="1:38" ht="15.75" customHeight="1" outlineLevel="3" x14ac:dyDescent="0.2">
      <c r="A2935" s="10">
        <v>3</v>
      </c>
      <c r="B2935" s="10" t="s">
        <v>71</v>
      </c>
      <c r="C2935" s="10" t="s">
        <v>1512</v>
      </c>
      <c r="D2935" s="10" t="s">
        <v>639</v>
      </c>
      <c r="E2935" s="11" t="str">
        <f t="array" ref="E2935">_xlfn.XLOOKUP(D2935,Insumos!B:B,Insumos!C:$C)</f>
        <v>M2</v>
      </c>
      <c r="F2935" s="14">
        <v>1</v>
      </c>
      <c r="G2935" s="92">
        <f t="array" ref="G2935">IF(B2935="insumo",_xlfn.XLOOKUP($D2935,Insumos!$B$1:$B$996,Insumos!$D$1:$D$996),"")</f>
        <v>150</v>
      </c>
      <c r="H2935" s="92">
        <v>150</v>
      </c>
      <c r="I2935" s="13">
        <v>0</v>
      </c>
      <c r="J2935" s="13">
        <v>0</v>
      </c>
      <c r="K2935" s="13"/>
      <c r="L2935"/>
      <c r="M2935"/>
      <c r="N2935"/>
      <c r="O2935"/>
      <c r="P2935"/>
      <c r="Q2935"/>
      <c r="R2935"/>
      <c r="S2935"/>
      <c r="T2935"/>
      <c r="U2935"/>
      <c r="V2935"/>
      <c r="W2935"/>
      <c r="X2935"/>
      <c r="Y2935"/>
      <c r="Z2935"/>
      <c r="AA2935"/>
      <c r="AB2935"/>
      <c r="AC2935"/>
      <c r="AD2935"/>
      <c r="AE2935"/>
      <c r="AF2935"/>
      <c r="AG2935"/>
      <c r="AH2935"/>
      <c r="AI2935"/>
      <c r="AJ2935"/>
      <c r="AK2935"/>
      <c r="AL2935"/>
    </row>
    <row r="2936" spans="1:38" ht="15.75" customHeight="1" outlineLevel="1" x14ac:dyDescent="0.2">
      <c r="A2936" s="1090">
        <v>1</v>
      </c>
      <c r="B2936" s="1090" t="s">
        <v>1228</v>
      </c>
      <c r="C2936" s="1090" t="s">
        <v>1512</v>
      </c>
      <c r="D2936" s="1090" t="s">
        <v>1459</v>
      </c>
      <c r="E2936" s="1091"/>
      <c r="F2936" s="1092"/>
      <c r="G2936" s="1091"/>
      <c r="H2936" s="1091">
        <v>0</v>
      </c>
      <c r="I2936" s="1092">
        <v>0</v>
      </c>
      <c r="J2936" s="1092">
        <v>0</v>
      </c>
      <c r="K2936" s="1092"/>
      <c r="L2936"/>
      <c r="M2936"/>
      <c r="N2936"/>
      <c r="O2936"/>
      <c r="P2936"/>
      <c r="Q2936"/>
      <c r="R2936"/>
      <c r="S2936"/>
      <c r="T2936"/>
      <c r="U2936"/>
      <c r="V2936"/>
      <c r="W2936"/>
      <c r="X2936"/>
      <c r="Y2936"/>
      <c r="Z2936"/>
      <c r="AA2936"/>
      <c r="AB2936"/>
      <c r="AC2936"/>
      <c r="AD2936"/>
      <c r="AE2936"/>
      <c r="AF2936"/>
      <c r="AG2936"/>
      <c r="AH2936"/>
      <c r="AI2936"/>
      <c r="AJ2936"/>
      <c r="AK2936"/>
      <c r="AL2936"/>
    </row>
    <row r="2937" spans="1:38" ht="15.75" customHeight="1" outlineLevel="2" x14ac:dyDescent="0.2">
      <c r="A2937" s="1067">
        <v>1</v>
      </c>
      <c r="B2937" s="1067" t="s">
        <v>68</v>
      </c>
      <c r="C2937" s="1067" t="s">
        <v>9478</v>
      </c>
      <c r="D2937" s="1067" t="s">
        <v>578</v>
      </c>
      <c r="E2937" s="1068" t="s">
        <v>70</v>
      </c>
      <c r="F2937" s="1067"/>
      <c r="G2937" s="1069" t="str">
        <f t="array" ref="G2937">IF(B2937="insumo",_xlfn.XLOOKUP($D2937,Insumos!$B$1:$B$996,Insumos!$D$1:$D$996),"")</f>
        <v/>
      </c>
      <c r="H2937" s="1069">
        <v>21.08614</v>
      </c>
      <c r="I2937" s="1070">
        <v>0</v>
      </c>
      <c r="J2937" s="1070">
        <v>0</v>
      </c>
      <c r="K2937" s="1070"/>
      <c r="L2937"/>
      <c r="M2937"/>
      <c r="N2937"/>
      <c r="O2937"/>
      <c r="P2937"/>
      <c r="Q2937"/>
      <c r="R2937"/>
      <c r="S2937"/>
      <c r="T2937"/>
      <c r="U2937"/>
      <c r="V2937"/>
      <c r="W2937"/>
      <c r="X2937"/>
      <c r="Y2937"/>
      <c r="Z2937"/>
      <c r="AA2937"/>
      <c r="AB2937"/>
      <c r="AC2937"/>
      <c r="AD2937"/>
      <c r="AE2937"/>
      <c r="AF2937"/>
      <c r="AG2937"/>
      <c r="AH2937"/>
      <c r="AI2937"/>
      <c r="AJ2937"/>
      <c r="AK2937"/>
      <c r="AL2937"/>
    </row>
    <row r="2938" spans="1:38" ht="15.75" customHeight="1" outlineLevel="3" x14ac:dyDescent="0.2">
      <c r="A2938" s="10">
        <v>6</v>
      </c>
      <c r="B2938" s="10" t="s">
        <v>71</v>
      </c>
      <c r="C2938" s="10" t="s">
        <v>9478</v>
      </c>
      <c r="D2938" s="10" t="s">
        <v>5453</v>
      </c>
      <c r="E2938" s="11" t="str">
        <f t="array" ref="E2938">_xlfn.XLOOKUP(D2938,Insumos!B:B,Insumos!C:$C)</f>
        <v>M3</v>
      </c>
      <c r="F2938" s="14">
        <v>2.2000000000000002E-2</v>
      </c>
      <c r="G2938" s="92">
        <f t="array" ref="G2938">IF(B2938="insumo",_xlfn.XLOOKUP($D2938,Insumos!$B$1:$B$996,Insumos!$D$1:$D$996),"")</f>
        <v>515</v>
      </c>
      <c r="H2938" s="92">
        <v>11.33</v>
      </c>
      <c r="I2938" s="13">
        <v>0</v>
      </c>
      <c r="J2938" s="13">
        <v>0</v>
      </c>
      <c r="K2938" s="13"/>
      <c r="L2938"/>
      <c r="M2938"/>
      <c r="N2938"/>
      <c r="O2938"/>
      <c r="P2938"/>
      <c r="Q2938"/>
      <c r="R2938"/>
      <c r="S2938"/>
      <c r="T2938"/>
      <c r="U2938"/>
      <c r="V2938"/>
      <c r="W2938"/>
      <c r="X2938"/>
      <c r="Y2938"/>
      <c r="Z2938"/>
      <c r="AA2938"/>
      <c r="AB2938"/>
      <c r="AC2938"/>
      <c r="AD2938"/>
      <c r="AE2938"/>
      <c r="AF2938"/>
      <c r="AG2938"/>
      <c r="AH2938"/>
      <c r="AI2938"/>
      <c r="AJ2938"/>
      <c r="AK2938"/>
      <c r="AL2938"/>
    </row>
    <row r="2939" spans="1:38" ht="15.75" customHeight="1" outlineLevel="3" x14ac:dyDescent="0.2">
      <c r="A2939" s="10">
        <v>41</v>
      </c>
      <c r="B2939" s="10" t="s">
        <v>71</v>
      </c>
      <c r="C2939" s="10" t="s">
        <v>9478</v>
      </c>
      <c r="D2939" s="10" t="s">
        <v>503</v>
      </c>
      <c r="E2939" s="11" t="str">
        <f t="array" ref="E2939">_xlfn.XLOOKUP(D2939,Insumos!B:B,Insumos!C:$C)</f>
        <v>L</v>
      </c>
      <c r="F2939" s="14">
        <v>2.1000000000000001E-2</v>
      </c>
      <c r="G2939" s="92">
        <f t="array" ref="G2939">IF(B2939="insumo",_xlfn.XLOOKUP($D2939,Insumos!$B$1:$B$996,Insumos!$D$1:$D$996),"")</f>
        <v>19.34</v>
      </c>
      <c r="H2939" s="92">
        <v>0.40614</v>
      </c>
      <c r="I2939" s="13">
        <v>0</v>
      </c>
      <c r="J2939" s="13">
        <v>0</v>
      </c>
      <c r="K2939" s="13"/>
      <c r="L2939"/>
      <c r="M2939"/>
      <c r="N2939"/>
      <c r="O2939"/>
      <c r="P2939"/>
      <c r="Q2939"/>
      <c r="R2939"/>
      <c r="S2939"/>
      <c r="T2939"/>
      <c r="U2939"/>
      <c r="V2939"/>
      <c r="W2939"/>
      <c r="X2939"/>
      <c r="Y2939"/>
      <c r="Z2939"/>
      <c r="AA2939"/>
      <c r="AB2939"/>
      <c r="AC2939"/>
      <c r="AD2939"/>
      <c r="AE2939"/>
      <c r="AF2939"/>
      <c r="AG2939"/>
      <c r="AH2939"/>
      <c r="AI2939"/>
      <c r="AJ2939"/>
      <c r="AK2939"/>
      <c r="AL2939"/>
    </row>
    <row r="2940" spans="1:38" ht="15.75" customHeight="1" outlineLevel="3" x14ac:dyDescent="0.2">
      <c r="A2940" s="10">
        <v>8</v>
      </c>
      <c r="B2940" s="10" t="s">
        <v>71</v>
      </c>
      <c r="C2940" s="10" t="s">
        <v>9478</v>
      </c>
      <c r="D2940" s="10" t="s">
        <v>579</v>
      </c>
      <c r="E2940" s="11" t="str">
        <f t="array" ref="E2940">_xlfn.XLOOKUP(D2940,Insumos!B:B,Insumos!C:$C)</f>
        <v>KG</v>
      </c>
      <c r="F2940" s="14">
        <v>2.2000000000000002</v>
      </c>
      <c r="G2940" s="92">
        <f t="array" ref="G2940">IF(B2940="insumo",_xlfn.XLOOKUP($D2940,Insumos!$B$1:$B$996,Insumos!$D$1:$D$996),"")</f>
        <v>4.25</v>
      </c>
      <c r="H2940" s="92">
        <v>9.35</v>
      </c>
      <c r="I2940" s="13">
        <v>0</v>
      </c>
      <c r="J2940" s="13">
        <v>0</v>
      </c>
      <c r="K2940" s="13"/>
      <c r="L2940"/>
      <c r="M2940"/>
      <c r="N2940"/>
      <c r="O2940"/>
      <c r="P2940"/>
      <c r="Q2940"/>
      <c r="R2940"/>
      <c r="S2940"/>
      <c r="T2940"/>
      <c r="U2940"/>
      <c r="V2940"/>
      <c r="W2940"/>
      <c r="X2940"/>
      <c r="Y2940"/>
      <c r="Z2940"/>
      <c r="AA2940"/>
      <c r="AB2940"/>
      <c r="AC2940"/>
      <c r="AD2940"/>
      <c r="AE2940"/>
      <c r="AF2940"/>
      <c r="AG2940"/>
      <c r="AH2940"/>
      <c r="AI2940"/>
      <c r="AJ2940"/>
      <c r="AK2940"/>
      <c r="AL2940"/>
    </row>
    <row r="2941" spans="1:38" ht="15.75" customHeight="1" outlineLevel="2" x14ac:dyDescent="0.2">
      <c r="A2941" s="1067">
        <v>1</v>
      </c>
      <c r="B2941" s="1067" t="s">
        <v>68</v>
      </c>
      <c r="C2941" s="1067" t="s">
        <v>9479</v>
      </c>
      <c r="D2941" s="1067" t="s">
        <v>580</v>
      </c>
      <c r="E2941" s="1068" t="s">
        <v>70</v>
      </c>
      <c r="F2941" s="1067"/>
      <c r="G2941" s="1069" t="str">
        <f t="array" ref="G2941">IF(B2941="insumo",_xlfn.XLOOKUP($D2941,Insumos!$B$1:$B$996,Insumos!$D$1:$D$996),"")</f>
        <v/>
      </c>
      <c r="H2941" s="1069">
        <v>23.91864</v>
      </c>
      <c r="I2941" s="1070">
        <v>0</v>
      </c>
      <c r="J2941" s="1070">
        <v>0</v>
      </c>
      <c r="K2941" s="1070"/>
      <c r="L2941"/>
      <c r="M2941"/>
      <c r="N2941"/>
      <c r="O2941"/>
      <c r="P2941"/>
      <c r="Q2941"/>
      <c r="R2941"/>
      <c r="S2941"/>
      <c r="T2941"/>
      <c r="U2941"/>
      <c r="V2941"/>
      <c r="W2941"/>
      <c r="X2941"/>
      <c r="Y2941"/>
      <c r="Z2941"/>
      <c r="AA2941"/>
      <c r="AB2941"/>
      <c r="AC2941"/>
      <c r="AD2941"/>
      <c r="AE2941"/>
      <c r="AF2941"/>
      <c r="AG2941"/>
      <c r="AH2941"/>
      <c r="AI2941"/>
      <c r="AJ2941"/>
      <c r="AK2941"/>
      <c r="AL2941"/>
    </row>
    <row r="2942" spans="1:38" ht="15.75" customHeight="1" outlineLevel="3" x14ac:dyDescent="0.2">
      <c r="A2942" s="10">
        <v>6</v>
      </c>
      <c r="B2942" s="10" t="s">
        <v>71</v>
      </c>
      <c r="C2942" s="10" t="s">
        <v>9479</v>
      </c>
      <c r="D2942" s="10" t="s">
        <v>5453</v>
      </c>
      <c r="E2942" s="11" t="str">
        <f t="array" ref="E2942">_xlfn.XLOOKUP(D2942,Insumos!B:B,Insumos!C:$C)</f>
        <v>M3</v>
      </c>
      <c r="F2942" s="14">
        <v>2.7500000000000004E-2</v>
      </c>
      <c r="G2942" s="92">
        <f t="array" ref="G2942">IF(B2942="insumo",_xlfn.XLOOKUP($D2942,Insumos!$B$1:$B$996,Insumos!$D$1:$D$996),"")</f>
        <v>515</v>
      </c>
      <c r="H2942" s="92">
        <v>14.1625</v>
      </c>
      <c r="I2942" s="13">
        <v>0</v>
      </c>
      <c r="J2942" s="13">
        <v>0</v>
      </c>
      <c r="K2942" s="13"/>
      <c r="L2942"/>
      <c r="M2942"/>
      <c r="N2942"/>
      <c r="O2942"/>
      <c r="P2942"/>
      <c r="Q2942"/>
      <c r="R2942"/>
      <c r="S2942"/>
      <c r="T2942"/>
      <c r="U2942"/>
      <c r="V2942"/>
      <c r="W2942"/>
      <c r="X2942"/>
      <c r="Y2942"/>
      <c r="Z2942"/>
      <c r="AA2942"/>
      <c r="AB2942"/>
      <c r="AC2942"/>
      <c r="AD2942"/>
      <c r="AE2942"/>
      <c r="AF2942"/>
      <c r="AG2942"/>
      <c r="AH2942"/>
      <c r="AI2942"/>
      <c r="AJ2942"/>
      <c r="AK2942"/>
      <c r="AL2942"/>
    </row>
    <row r="2943" spans="1:38" ht="15.75" customHeight="1" outlineLevel="3" x14ac:dyDescent="0.2">
      <c r="A2943" s="10">
        <v>41</v>
      </c>
      <c r="B2943" s="10" t="s">
        <v>71</v>
      </c>
      <c r="C2943" s="10" t="s">
        <v>9479</v>
      </c>
      <c r="D2943" s="10" t="s">
        <v>503</v>
      </c>
      <c r="E2943" s="11" t="str">
        <f t="array" ref="E2943">_xlfn.XLOOKUP(D2943,Insumos!B:B,Insumos!C:$C)</f>
        <v>L</v>
      </c>
      <c r="F2943" s="14">
        <v>2.1000000000000001E-2</v>
      </c>
      <c r="G2943" s="92">
        <f t="array" ref="G2943">IF(B2943="insumo",_xlfn.XLOOKUP($D2943,Insumos!$B$1:$B$996,Insumos!$D$1:$D$996),"")</f>
        <v>19.34</v>
      </c>
      <c r="H2943" s="92">
        <v>0.40614</v>
      </c>
      <c r="I2943" s="13">
        <v>0</v>
      </c>
      <c r="J2943" s="13">
        <v>0</v>
      </c>
      <c r="K2943" s="13"/>
      <c r="L2943"/>
      <c r="M2943"/>
      <c r="N2943"/>
      <c r="O2943"/>
      <c r="P2943"/>
      <c r="Q2943"/>
      <c r="R2943"/>
      <c r="S2943"/>
      <c r="T2943"/>
      <c r="U2943"/>
      <c r="V2943"/>
      <c r="W2943"/>
      <c r="X2943"/>
      <c r="Y2943"/>
      <c r="Z2943"/>
      <c r="AA2943"/>
      <c r="AB2943"/>
      <c r="AC2943"/>
      <c r="AD2943"/>
      <c r="AE2943"/>
      <c r="AF2943"/>
      <c r="AG2943"/>
      <c r="AH2943"/>
      <c r="AI2943"/>
      <c r="AJ2943"/>
      <c r="AK2943"/>
      <c r="AL2943"/>
    </row>
    <row r="2944" spans="1:38" ht="15.75" customHeight="1" outlineLevel="3" x14ac:dyDescent="0.2">
      <c r="A2944" s="10">
        <v>8</v>
      </c>
      <c r="B2944" s="10" t="s">
        <v>71</v>
      </c>
      <c r="C2944" s="10" t="s">
        <v>9479</v>
      </c>
      <c r="D2944" s="10" t="s">
        <v>579</v>
      </c>
      <c r="E2944" s="11" t="str">
        <f t="array" ref="E2944">_xlfn.XLOOKUP(D2944,Insumos!B:B,Insumos!C:$C)</f>
        <v>KG</v>
      </c>
      <c r="F2944" s="14">
        <v>2.2000000000000002</v>
      </c>
      <c r="G2944" s="92">
        <f t="array" ref="G2944">IF(B2944="insumo",_xlfn.XLOOKUP($D2944,Insumos!$B$1:$B$996,Insumos!$D$1:$D$996),"")</f>
        <v>4.25</v>
      </c>
      <c r="H2944" s="92">
        <v>9.35</v>
      </c>
      <c r="I2944" s="13">
        <v>0</v>
      </c>
      <c r="J2944" s="13">
        <v>0</v>
      </c>
      <c r="K2944" s="13"/>
      <c r="L2944"/>
      <c r="M2944"/>
      <c r="N2944"/>
      <c r="O2944"/>
      <c r="P2944"/>
      <c r="Q2944"/>
      <c r="R2944"/>
      <c r="S2944"/>
      <c r="T2944"/>
      <c r="U2944"/>
      <c r="V2944"/>
      <c r="W2944"/>
      <c r="X2944"/>
      <c r="Y2944"/>
      <c r="Z2944"/>
      <c r="AA2944"/>
      <c r="AB2944"/>
      <c r="AC2944"/>
      <c r="AD2944"/>
      <c r="AE2944"/>
      <c r="AF2944"/>
      <c r="AG2944"/>
      <c r="AH2944"/>
      <c r="AI2944"/>
      <c r="AJ2944"/>
      <c r="AK2944"/>
      <c r="AL2944"/>
    </row>
    <row r="2945" spans="1:38" ht="15.75" customHeight="1" outlineLevel="2" x14ac:dyDescent="0.2">
      <c r="A2945" s="1067">
        <v>1</v>
      </c>
      <c r="B2945" s="1067" t="s">
        <v>68</v>
      </c>
      <c r="C2945" s="1067" t="s">
        <v>1857</v>
      </c>
      <c r="D2945" s="1067" t="s">
        <v>1857</v>
      </c>
      <c r="E2945" s="1068" t="s">
        <v>70</v>
      </c>
      <c r="F2945" s="1067"/>
      <c r="G2945" s="1069" t="str">
        <f t="array" ref="G2945">IF(B2945="insumo",_xlfn.XLOOKUP($D2945,Insumos!$B$1:$B$996,Insumos!$D$1:$D$996),"")</f>
        <v/>
      </c>
      <c r="H2945" s="1069">
        <v>35.668186666666699</v>
      </c>
      <c r="I2945" s="1070">
        <v>0</v>
      </c>
      <c r="J2945" s="1070">
        <v>0</v>
      </c>
      <c r="K2945" s="1070"/>
      <c r="L2945"/>
      <c r="M2945"/>
      <c r="N2945"/>
      <c r="O2945"/>
      <c r="P2945"/>
      <c r="Q2945"/>
      <c r="R2945"/>
      <c r="S2945"/>
      <c r="T2945"/>
      <c r="U2945"/>
      <c r="V2945"/>
      <c r="W2945"/>
      <c r="X2945"/>
      <c r="Y2945"/>
      <c r="Z2945"/>
      <c r="AA2945"/>
      <c r="AB2945"/>
      <c r="AC2945"/>
      <c r="AD2945"/>
      <c r="AE2945"/>
      <c r="AF2945"/>
      <c r="AG2945"/>
      <c r="AH2945"/>
      <c r="AI2945"/>
      <c r="AJ2945"/>
      <c r="AK2945"/>
      <c r="AL2945"/>
    </row>
    <row r="2946" spans="1:38" ht="15.75" customHeight="1" outlineLevel="3" x14ac:dyDescent="0.2">
      <c r="A2946" s="10">
        <v>6</v>
      </c>
      <c r="B2946" s="10" t="s">
        <v>71</v>
      </c>
      <c r="C2946" s="10" t="s">
        <v>1857</v>
      </c>
      <c r="D2946" s="10" t="s">
        <v>5453</v>
      </c>
      <c r="E2946" s="11" t="str">
        <f t="array" ref="E2946">_xlfn.XLOOKUP(D2946,Insumos!B:B,Insumos!C:$C)</f>
        <v>M3</v>
      </c>
      <c r="F2946" s="14">
        <f>0.033*4/3</f>
        <v>4.4000000000000004E-2</v>
      </c>
      <c r="G2946" s="92">
        <f t="array" ref="G2946">IF(B2946="insumo",_xlfn.XLOOKUP($D2946,Insumos!$B$1:$B$996,Insumos!$D$1:$D$996),"")</f>
        <v>515</v>
      </c>
      <c r="H2946" s="92">
        <v>22.66</v>
      </c>
      <c r="I2946" s="13">
        <v>0</v>
      </c>
      <c r="J2946" s="13">
        <v>0</v>
      </c>
      <c r="K2946" s="13"/>
      <c r="L2946"/>
      <c r="M2946"/>
      <c r="N2946"/>
      <c r="O2946"/>
      <c r="P2946"/>
      <c r="Q2946"/>
      <c r="R2946"/>
      <c r="S2946"/>
      <c r="T2946"/>
      <c r="U2946"/>
      <c r="V2946"/>
      <c r="W2946"/>
      <c r="X2946"/>
      <c r="Y2946"/>
      <c r="Z2946"/>
      <c r="AA2946"/>
      <c r="AB2946"/>
      <c r="AC2946"/>
      <c r="AD2946"/>
      <c r="AE2946"/>
      <c r="AF2946"/>
      <c r="AG2946"/>
      <c r="AH2946"/>
      <c r="AI2946"/>
      <c r="AJ2946"/>
      <c r="AK2946"/>
      <c r="AL2946"/>
    </row>
    <row r="2947" spans="1:38" ht="15.75" customHeight="1" outlineLevel="3" x14ac:dyDescent="0.2">
      <c r="A2947" s="10">
        <v>41</v>
      </c>
      <c r="B2947" s="10" t="s">
        <v>71</v>
      </c>
      <c r="C2947" s="10" t="s">
        <v>1857</v>
      </c>
      <c r="D2947" s="10" t="s">
        <v>503</v>
      </c>
      <c r="E2947" s="11" t="str">
        <f t="array" ref="E2947">_xlfn.XLOOKUP(D2947,Insumos!B:B,Insumos!C:$C)</f>
        <v>L</v>
      </c>
      <c r="F2947" s="14">
        <f>0.021*4/3</f>
        <v>2.8000000000000001E-2</v>
      </c>
      <c r="G2947" s="92">
        <f t="array" ref="G2947">IF(B2947="insumo",_xlfn.XLOOKUP($D2947,Insumos!$B$1:$B$996,Insumos!$D$1:$D$996),"")</f>
        <v>19.34</v>
      </c>
      <c r="H2947" s="92">
        <v>0.54152</v>
      </c>
      <c r="I2947" s="13">
        <v>0</v>
      </c>
      <c r="J2947" s="13">
        <v>0</v>
      </c>
      <c r="K2947" s="13"/>
      <c r="L2947"/>
      <c r="M2947"/>
      <c r="N2947"/>
      <c r="O2947"/>
      <c r="P2947"/>
      <c r="Q2947"/>
      <c r="R2947"/>
      <c r="S2947"/>
      <c r="T2947"/>
      <c r="U2947"/>
      <c r="V2947"/>
      <c r="W2947"/>
      <c r="X2947"/>
      <c r="Y2947"/>
      <c r="Z2947"/>
      <c r="AA2947"/>
      <c r="AB2947"/>
      <c r="AC2947"/>
      <c r="AD2947"/>
      <c r="AE2947"/>
      <c r="AF2947"/>
      <c r="AG2947"/>
      <c r="AH2947"/>
      <c r="AI2947"/>
      <c r="AJ2947"/>
      <c r="AK2947"/>
      <c r="AL2947"/>
    </row>
    <row r="2948" spans="1:38" ht="15.75" customHeight="1" outlineLevel="3" x14ac:dyDescent="0.2">
      <c r="A2948" s="10">
        <v>8</v>
      </c>
      <c r="B2948" s="10" t="s">
        <v>71</v>
      </c>
      <c r="C2948" s="10" t="s">
        <v>1857</v>
      </c>
      <c r="D2948" s="10" t="s">
        <v>579</v>
      </c>
      <c r="E2948" s="11" t="str">
        <f t="array" ref="E2948">_xlfn.XLOOKUP(D2948,Insumos!B:B,Insumos!C:$C)</f>
        <v>KG</v>
      </c>
      <c r="F2948" s="14">
        <f>2.2*4/3</f>
        <v>2.9333333333333336</v>
      </c>
      <c r="G2948" s="92">
        <f t="array" ref="G2948">IF(B2948="insumo",_xlfn.XLOOKUP($D2948,Insumos!$B$1:$B$996,Insumos!$D$1:$D$996),"")</f>
        <v>4.25</v>
      </c>
      <c r="H2948" s="92">
        <v>12.466666666666701</v>
      </c>
      <c r="I2948" s="13">
        <v>0</v>
      </c>
      <c r="J2948" s="13">
        <v>0</v>
      </c>
      <c r="K2948" s="13"/>
      <c r="L2948"/>
      <c r="M2948"/>
      <c r="N2948"/>
      <c r="O2948"/>
      <c r="P2948"/>
      <c r="Q2948"/>
      <c r="R2948"/>
      <c r="S2948"/>
      <c r="T2948"/>
      <c r="U2948"/>
      <c r="V2948"/>
      <c r="W2948"/>
      <c r="X2948"/>
      <c r="Y2948"/>
      <c r="Z2948"/>
      <c r="AA2948"/>
      <c r="AB2948"/>
      <c r="AC2948"/>
      <c r="AD2948"/>
      <c r="AE2948"/>
      <c r="AF2948"/>
      <c r="AG2948"/>
      <c r="AH2948"/>
      <c r="AI2948"/>
      <c r="AJ2948"/>
      <c r="AK2948"/>
      <c r="AL2948"/>
    </row>
    <row r="2949" spans="1:38" ht="15.75" customHeight="1" outlineLevel="2" x14ac:dyDescent="0.2">
      <c r="A2949" s="1067">
        <v>1</v>
      </c>
      <c r="B2949" s="1067" t="s">
        <v>68</v>
      </c>
      <c r="C2949" s="1067" t="s">
        <v>9480</v>
      </c>
      <c r="D2949" s="1067" t="s">
        <v>581</v>
      </c>
      <c r="E2949" s="1068" t="s">
        <v>70</v>
      </c>
      <c r="F2949" s="1067"/>
      <c r="G2949" s="1069" t="str">
        <f t="array" ref="G2949">IF(B2949="insumo",_xlfn.XLOOKUP($D2949,Insumos!$B$1:$B$996,Insumos!$D$1:$D$996),"")</f>
        <v/>
      </c>
      <c r="H2949" s="1069">
        <v>26.751139999999999</v>
      </c>
      <c r="I2949" s="1070">
        <v>0</v>
      </c>
      <c r="J2949" s="1070">
        <v>0</v>
      </c>
      <c r="K2949" s="1070"/>
      <c r="L2949"/>
      <c r="M2949"/>
      <c r="N2949"/>
      <c r="O2949"/>
      <c r="P2949"/>
      <c r="Q2949"/>
      <c r="R2949"/>
      <c r="S2949"/>
      <c r="T2949"/>
      <c r="U2949"/>
      <c r="V2949"/>
      <c r="W2949"/>
      <c r="X2949"/>
      <c r="Y2949"/>
      <c r="Z2949"/>
      <c r="AA2949"/>
      <c r="AB2949"/>
      <c r="AC2949"/>
      <c r="AD2949"/>
      <c r="AE2949"/>
      <c r="AF2949"/>
      <c r="AG2949"/>
      <c r="AH2949"/>
      <c r="AI2949"/>
      <c r="AJ2949"/>
      <c r="AK2949"/>
      <c r="AL2949"/>
    </row>
    <row r="2950" spans="1:38" ht="15.75" customHeight="1" outlineLevel="3" x14ac:dyDescent="0.2">
      <c r="A2950" s="10">
        <v>6</v>
      </c>
      <c r="B2950" s="10" t="s">
        <v>71</v>
      </c>
      <c r="C2950" s="10" t="s">
        <v>9480</v>
      </c>
      <c r="D2950" s="10" t="s">
        <v>5453</v>
      </c>
      <c r="E2950" s="11" t="str">
        <f t="array" ref="E2950">_xlfn.XLOOKUP(D2950,Insumos!B:B,Insumos!C:$C)</f>
        <v>M3</v>
      </c>
      <c r="F2950" s="14">
        <v>3.3000000000000002E-2</v>
      </c>
      <c r="G2950" s="92">
        <f t="array" ref="G2950">IF(B2950="insumo",_xlfn.XLOOKUP($D2950,Insumos!$B$1:$B$996,Insumos!$D$1:$D$996),"")</f>
        <v>515</v>
      </c>
      <c r="H2950" s="92">
        <v>16.995000000000001</v>
      </c>
      <c r="I2950" s="13">
        <v>0</v>
      </c>
      <c r="J2950" s="13">
        <v>0</v>
      </c>
      <c r="K2950" s="13"/>
      <c r="L2950"/>
      <c r="M2950"/>
      <c r="N2950"/>
      <c r="O2950"/>
      <c r="P2950"/>
      <c r="Q2950"/>
      <c r="R2950"/>
      <c r="S2950"/>
      <c r="T2950"/>
      <c r="U2950"/>
      <c r="V2950"/>
      <c r="W2950"/>
      <c r="X2950"/>
      <c r="Y2950"/>
      <c r="Z2950"/>
      <c r="AA2950"/>
      <c r="AB2950"/>
      <c r="AC2950"/>
      <c r="AD2950"/>
      <c r="AE2950"/>
      <c r="AF2950"/>
      <c r="AG2950"/>
      <c r="AH2950"/>
      <c r="AI2950"/>
      <c r="AJ2950"/>
      <c r="AK2950"/>
      <c r="AL2950"/>
    </row>
    <row r="2951" spans="1:38" ht="15.75" customHeight="1" outlineLevel="3" x14ac:dyDescent="0.2">
      <c r="A2951" s="10">
        <v>41</v>
      </c>
      <c r="B2951" s="10" t="s">
        <v>71</v>
      </c>
      <c r="C2951" s="10" t="s">
        <v>9480</v>
      </c>
      <c r="D2951" s="10" t="s">
        <v>503</v>
      </c>
      <c r="E2951" s="11" t="str">
        <f t="array" ref="E2951">_xlfn.XLOOKUP(D2951,Insumos!B:B,Insumos!C:$C)</f>
        <v>L</v>
      </c>
      <c r="F2951" s="14">
        <v>2.1000000000000001E-2</v>
      </c>
      <c r="G2951" s="92">
        <f t="array" ref="G2951">IF(B2951="insumo",_xlfn.XLOOKUP($D2951,Insumos!$B$1:$B$996,Insumos!$D$1:$D$996),"")</f>
        <v>19.34</v>
      </c>
      <c r="H2951" s="92">
        <v>0.40614</v>
      </c>
      <c r="I2951" s="13">
        <v>0</v>
      </c>
      <c r="J2951" s="13">
        <v>0</v>
      </c>
      <c r="K2951" s="13"/>
      <c r="L2951"/>
      <c r="M2951"/>
      <c r="N2951"/>
      <c r="O2951"/>
      <c r="P2951"/>
      <c r="Q2951"/>
      <c r="R2951"/>
      <c r="S2951"/>
      <c r="T2951"/>
      <c r="U2951"/>
      <c r="V2951"/>
      <c r="W2951"/>
      <c r="X2951"/>
      <c r="Y2951"/>
      <c r="Z2951"/>
      <c r="AA2951"/>
      <c r="AB2951"/>
      <c r="AC2951"/>
      <c r="AD2951"/>
      <c r="AE2951"/>
      <c r="AF2951"/>
      <c r="AG2951"/>
      <c r="AH2951"/>
      <c r="AI2951"/>
      <c r="AJ2951"/>
      <c r="AK2951"/>
      <c r="AL2951"/>
    </row>
    <row r="2952" spans="1:38" ht="15.75" customHeight="1" outlineLevel="3" x14ac:dyDescent="0.2">
      <c r="A2952" s="10">
        <v>8</v>
      </c>
      <c r="B2952" s="10" t="s">
        <v>71</v>
      </c>
      <c r="C2952" s="10" t="s">
        <v>9480</v>
      </c>
      <c r="D2952" s="10" t="s">
        <v>579</v>
      </c>
      <c r="E2952" s="11" t="str">
        <f t="array" ref="E2952">_xlfn.XLOOKUP(D2952,Insumos!B:B,Insumos!C:$C)</f>
        <v>KG</v>
      </c>
      <c r="F2952" s="14">
        <v>2.2000000000000002</v>
      </c>
      <c r="G2952" s="92">
        <f t="array" ref="G2952">IF(B2952="insumo",_xlfn.XLOOKUP($D2952,Insumos!$B$1:$B$996,Insumos!$D$1:$D$996),"")</f>
        <v>4.25</v>
      </c>
      <c r="H2952" s="92">
        <v>9.35</v>
      </c>
      <c r="I2952" s="13">
        <v>0</v>
      </c>
      <c r="J2952" s="13">
        <v>0</v>
      </c>
      <c r="K2952" s="13"/>
      <c r="L2952"/>
      <c r="M2952"/>
      <c r="N2952"/>
      <c r="O2952"/>
      <c r="P2952"/>
      <c r="Q2952"/>
      <c r="R2952"/>
      <c r="S2952"/>
      <c r="T2952"/>
      <c r="U2952"/>
      <c r="V2952"/>
      <c r="W2952"/>
      <c r="X2952"/>
      <c r="Y2952"/>
      <c r="Z2952"/>
      <c r="AA2952"/>
      <c r="AB2952"/>
      <c r="AC2952"/>
      <c r="AD2952"/>
      <c r="AE2952"/>
      <c r="AF2952"/>
      <c r="AG2952"/>
      <c r="AH2952"/>
      <c r="AI2952"/>
      <c r="AJ2952"/>
      <c r="AK2952"/>
      <c r="AL2952"/>
    </row>
    <row r="2953" spans="1:38" ht="15.75" customHeight="1" outlineLevel="2" x14ac:dyDescent="0.2">
      <c r="A2953" s="1067">
        <v>1</v>
      </c>
      <c r="B2953" s="1067" t="s">
        <v>68</v>
      </c>
      <c r="C2953" s="1067" t="s">
        <v>2973</v>
      </c>
      <c r="D2953" s="1067" t="s">
        <v>2972</v>
      </c>
      <c r="E2953" s="1068" t="s">
        <v>70</v>
      </c>
      <c r="F2953" s="1067"/>
      <c r="G2953" s="1069" t="str">
        <f t="array" ref="G2953">IF(B2953="insumo",_xlfn.XLOOKUP($D2953,Insumos!$B$1:$B$996,Insumos!$D$1:$D$996),"")</f>
        <v/>
      </c>
      <c r="H2953" s="1069">
        <v>44.585233333333299</v>
      </c>
      <c r="I2953" s="1070" t="e">
        <v>#REF!</v>
      </c>
      <c r="J2953" s="1070" t="e">
        <v>#REF!</v>
      </c>
      <c r="K2953" s="1070"/>
      <c r="L2953"/>
      <c r="M2953"/>
      <c r="N2953"/>
      <c r="O2953"/>
      <c r="P2953"/>
      <c r="Q2953"/>
      <c r="R2953"/>
      <c r="S2953"/>
      <c r="T2953"/>
      <c r="U2953"/>
      <c r="V2953"/>
      <c r="W2953"/>
      <c r="X2953"/>
      <c r="Y2953"/>
      <c r="Z2953"/>
      <c r="AA2953"/>
      <c r="AB2953"/>
      <c r="AC2953"/>
      <c r="AD2953"/>
      <c r="AE2953"/>
      <c r="AF2953"/>
      <c r="AG2953"/>
      <c r="AH2953"/>
      <c r="AI2953"/>
      <c r="AJ2953"/>
      <c r="AK2953"/>
      <c r="AL2953"/>
    </row>
    <row r="2954" spans="1:38" ht="15.75" customHeight="1" outlineLevel="3" x14ac:dyDescent="0.2">
      <c r="A2954" s="10">
        <v>6</v>
      </c>
      <c r="B2954" s="10" t="s">
        <v>71</v>
      </c>
      <c r="C2954" s="10" t="s">
        <v>2973</v>
      </c>
      <c r="D2954" s="10" t="s">
        <v>5453</v>
      </c>
      <c r="E2954" s="11" t="str">
        <f t="array" ref="E2954">_xlfn.XLOOKUP(D2954,Insumos!B:B,Insumos!C:$C)</f>
        <v>M3</v>
      </c>
      <c r="F2954" s="14">
        <v>5.5E-2</v>
      </c>
      <c r="G2954" s="92">
        <f t="array" ref="G2954">IF(B2954="insumo",_xlfn.XLOOKUP($D2954,Insumos!$B$1:$B$996,Insumos!$D$1:$D$996),"")</f>
        <v>515</v>
      </c>
      <c r="H2954" s="92">
        <v>28.324999999999999</v>
      </c>
      <c r="I2954" s="13" t="e">
        <v>#REF!</v>
      </c>
      <c r="J2954" s="13" t="e">
        <v>#REF!</v>
      </c>
      <c r="K2954" s="13"/>
      <c r="L2954"/>
      <c r="M2954"/>
      <c r="N2954"/>
      <c r="O2954"/>
      <c r="P2954"/>
      <c r="Q2954"/>
      <c r="R2954"/>
      <c r="S2954"/>
      <c r="T2954"/>
      <c r="U2954"/>
      <c r="V2954"/>
      <c r="W2954"/>
      <c r="X2954"/>
      <c r="Y2954"/>
      <c r="Z2954"/>
      <c r="AA2954"/>
      <c r="AB2954"/>
      <c r="AC2954"/>
      <c r="AD2954"/>
      <c r="AE2954"/>
      <c r="AF2954"/>
      <c r="AG2954"/>
      <c r="AH2954"/>
      <c r="AI2954"/>
      <c r="AJ2954"/>
      <c r="AK2954"/>
      <c r="AL2954"/>
    </row>
    <row r="2955" spans="1:38" ht="15.75" customHeight="1" outlineLevel="3" x14ac:dyDescent="0.2">
      <c r="A2955" s="10">
        <v>41</v>
      </c>
      <c r="B2955" s="10" t="s">
        <v>71</v>
      </c>
      <c r="C2955" s="10" t="s">
        <v>2973</v>
      </c>
      <c r="D2955" s="10" t="s">
        <v>503</v>
      </c>
      <c r="E2955" s="11" t="str">
        <f t="array" ref="E2955">_xlfn.XLOOKUP(D2955,Insumos!B:B,Insumos!C:$C)</f>
        <v>L</v>
      </c>
      <c r="F2955" s="14">
        <f>0.021*5/3</f>
        <v>3.5000000000000003E-2</v>
      </c>
      <c r="G2955" s="92">
        <f t="array" ref="G2955">IF(B2955="insumo",_xlfn.XLOOKUP($D2955,Insumos!$B$1:$B$996,Insumos!$D$1:$D$996),"")</f>
        <v>19.34</v>
      </c>
      <c r="H2955" s="92">
        <v>0.67689999999999995</v>
      </c>
      <c r="I2955" s="13" t="e">
        <v>#REF!</v>
      </c>
      <c r="J2955" s="13" t="e">
        <v>#REF!</v>
      </c>
      <c r="K2955" s="13"/>
      <c r="L2955"/>
      <c r="M2955"/>
      <c r="N2955"/>
      <c r="O2955"/>
      <c r="P2955"/>
      <c r="Q2955"/>
      <c r="R2955"/>
      <c r="S2955"/>
      <c r="T2955"/>
      <c r="U2955"/>
      <c r="V2955"/>
      <c r="W2955"/>
      <c r="X2955"/>
      <c r="Y2955"/>
      <c r="Z2955"/>
      <c r="AA2955"/>
      <c r="AB2955"/>
      <c r="AC2955"/>
      <c r="AD2955"/>
      <c r="AE2955"/>
      <c r="AF2955"/>
      <c r="AG2955"/>
      <c r="AH2955"/>
      <c r="AI2955"/>
      <c r="AJ2955"/>
      <c r="AK2955"/>
      <c r="AL2955"/>
    </row>
    <row r="2956" spans="1:38" ht="15.75" customHeight="1" outlineLevel="3" x14ac:dyDescent="0.2">
      <c r="A2956" s="10">
        <v>8</v>
      </c>
      <c r="B2956" s="10" t="s">
        <v>71</v>
      </c>
      <c r="C2956" s="10" t="s">
        <v>2973</v>
      </c>
      <c r="D2956" s="10" t="s">
        <v>579</v>
      </c>
      <c r="E2956" s="11" t="str">
        <f t="array" ref="E2956">_xlfn.XLOOKUP(D2956,Insumos!B:B,Insumos!C:$C)</f>
        <v>KG</v>
      </c>
      <c r="F2956" s="14">
        <f>2.2*5/3</f>
        <v>3.6666666666666665</v>
      </c>
      <c r="G2956" s="92">
        <f t="array" ref="G2956">IF(B2956="insumo",_xlfn.XLOOKUP($D2956,Insumos!$B$1:$B$996,Insumos!$D$1:$D$996),"")</f>
        <v>4.25</v>
      </c>
      <c r="H2956" s="92">
        <v>15.5833333333333</v>
      </c>
      <c r="I2956" s="13" t="e">
        <v>#REF!</v>
      </c>
      <c r="J2956" s="13" t="e">
        <v>#REF!</v>
      </c>
      <c r="K2956" s="13"/>
      <c r="L2956"/>
      <c r="M2956"/>
      <c r="N2956"/>
      <c r="O2956"/>
      <c r="P2956"/>
      <c r="Q2956"/>
      <c r="R2956"/>
      <c r="S2956"/>
      <c r="T2956"/>
      <c r="U2956"/>
      <c r="V2956"/>
      <c r="W2956"/>
      <c r="X2956"/>
      <c r="Y2956"/>
      <c r="Z2956"/>
      <c r="AA2956"/>
      <c r="AB2956"/>
      <c r="AC2956"/>
      <c r="AD2956"/>
      <c r="AE2956"/>
      <c r="AF2956"/>
      <c r="AG2956"/>
      <c r="AH2956"/>
      <c r="AI2956"/>
      <c r="AJ2956"/>
      <c r="AK2956"/>
      <c r="AL2956"/>
    </row>
    <row r="2957" spans="1:38" ht="15.75" customHeight="1" outlineLevel="2" x14ac:dyDescent="0.2">
      <c r="A2957" s="1067">
        <v>1</v>
      </c>
      <c r="B2957" s="1067" t="s">
        <v>68</v>
      </c>
      <c r="C2957" s="1067" t="s">
        <v>9481</v>
      </c>
      <c r="D2957" s="1067" t="s">
        <v>582</v>
      </c>
      <c r="E2957" s="1068" t="s">
        <v>70</v>
      </c>
      <c r="F2957" s="1067"/>
      <c r="G2957" s="1069" t="str">
        <f t="array" ref="G2957">IF(B2957="insumo",_xlfn.XLOOKUP($D2957,Insumos!$B$1:$B$996,Insumos!$D$1:$D$996),"")</f>
        <v/>
      </c>
      <c r="H2957" s="1069">
        <v>69.276373333333297</v>
      </c>
      <c r="I2957" s="1070">
        <v>0</v>
      </c>
      <c r="J2957" s="1070">
        <v>0</v>
      </c>
      <c r="K2957" s="1070"/>
      <c r="L2957"/>
      <c r="M2957"/>
      <c r="N2957"/>
      <c r="O2957"/>
      <c r="P2957"/>
      <c r="Q2957"/>
      <c r="R2957"/>
      <c r="S2957"/>
      <c r="T2957"/>
      <c r="U2957"/>
      <c r="V2957"/>
      <c r="W2957"/>
      <c r="X2957"/>
      <c r="Y2957"/>
      <c r="Z2957"/>
      <c r="AA2957"/>
      <c r="AB2957"/>
      <c r="AC2957"/>
      <c r="AD2957"/>
      <c r="AE2957"/>
      <c r="AF2957"/>
      <c r="AG2957"/>
      <c r="AH2957"/>
      <c r="AI2957"/>
      <c r="AJ2957"/>
      <c r="AK2957"/>
      <c r="AL2957"/>
    </row>
    <row r="2958" spans="1:38" ht="15.75" customHeight="1" outlineLevel="3" x14ac:dyDescent="0.2">
      <c r="A2958" s="10">
        <v>6</v>
      </c>
      <c r="B2958" s="10" t="s">
        <v>71</v>
      </c>
      <c r="C2958" s="10" t="s">
        <v>9481</v>
      </c>
      <c r="D2958" s="10" t="s">
        <v>5453</v>
      </c>
      <c r="E2958" s="11" t="str">
        <f t="array" ref="E2958">_xlfn.XLOOKUP(D2958,Insumos!B:B,Insumos!C:$C)</f>
        <v>M3</v>
      </c>
      <c r="F2958" s="14">
        <f>0.08*1.05</f>
        <v>8.4000000000000005E-2</v>
      </c>
      <c r="G2958" s="92">
        <f t="array" ref="G2958">IF(B2958="insumo",_xlfn.XLOOKUP($D2958,Insumos!$B$1:$B$996,Insumos!$D$1:$D$996),"")</f>
        <v>515</v>
      </c>
      <c r="H2958" s="92">
        <v>43.26</v>
      </c>
      <c r="I2958" s="13">
        <v>0</v>
      </c>
      <c r="J2958" s="13">
        <v>0</v>
      </c>
      <c r="K2958" s="13"/>
      <c r="L2958"/>
      <c r="M2958"/>
      <c r="N2958"/>
      <c r="O2958"/>
      <c r="P2958"/>
      <c r="Q2958"/>
      <c r="R2958"/>
      <c r="S2958"/>
      <c r="T2958"/>
      <c r="U2958"/>
      <c r="V2958"/>
      <c r="W2958"/>
      <c r="X2958"/>
      <c r="Y2958"/>
      <c r="Z2958"/>
      <c r="AA2958"/>
      <c r="AB2958"/>
      <c r="AC2958"/>
      <c r="AD2958"/>
      <c r="AE2958"/>
      <c r="AF2958"/>
      <c r="AG2958"/>
      <c r="AH2958"/>
      <c r="AI2958"/>
      <c r="AJ2958"/>
      <c r="AK2958"/>
      <c r="AL2958"/>
    </row>
    <row r="2959" spans="1:38" ht="15.75" customHeight="1" outlineLevel="3" x14ac:dyDescent="0.2">
      <c r="A2959" s="10">
        <v>41</v>
      </c>
      <c r="B2959" s="10" t="s">
        <v>71</v>
      </c>
      <c r="C2959" s="10" t="s">
        <v>9481</v>
      </c>
      <c r="D2959" s="10" t="s">
        <v>503</v>
      </c>
      <c r="E2959" s="11" t="str">
        <f t="array" ref="E2959">_xlfn.XLOOKUP(D2959,Insumos!B:B,Insumos!C:$C)</f>
        <v>L</v>
      </c>
      <c r="F2959" s="14">
        <f>0.021*8/3</f>
        <v>5.6000000000000001E-2</v>
      </c>
      <c r="G2959" s="92">
        <f t="array" ref="G2959">IF(B2959="insumo",_xlfn.XLOOKUP($D2959,Insumos!$B$1:$B$996,Insumos!$D$1:$D$996),"")</f>
        <v>19.34</v>
      </c>
      <c r="H2959" s="92">
        <v>1.08304</v>
      </c>
      <c r="I2959" s="13">
        <v>0</v>
      </c>
      <c r="J2959" s="13">
        <v>0</v>
      </c>
      <c r="K2959" s="13"/>
      <c r="L2959"/>
      <c r="M2959"/>
      <c r="N2959"/>
      <c r="O2959"/>
      <c r="P2959"/>
      <c r="Q2959"/>
      <c r="R2959"/>
      <c r="S2959"/>
      <c r="T2959"/>
      <c r="U2959"/>
      <c r="V2959"/>
      <c r="W2959"/>
      <c r="X2959"/>
      <c r="Y2959"/>
      <c r="Z2959"/>
      <c r="AA2959"/>
      <c r="AB2959"/>
      <c r="AC2959"/>
      <c r="AD2959"/>
      <c r="AE2959"/>
      <c r="AF2959"/>
      <c r="AG2959"/>
      <c r="AH2959"/>
      <c r="AI2959"/>
      <c r="AJ2959"/>
      <c r="AK2959"/>
      <c r="AL2959"/>
    </row>
    <row r="2960" spans="1:38" ht="15.75" customHeight="1" outlineLevel="3" x14ac:dyDescent="0.2">
      <c r="A2960" s="10">
        <v>8</v>
      </c>
      <c r="B2960" s="10" t="s">
        <v>71</v>
      </c>
      <c r="C2960" s="10" t="s">
        <v>9481</v>
      </c>
      <c r="D2960" s="10" t="s">
        <v>579</v>
      </c>
      <c r="E2960" s="11" t="str">
        <f t="array" ref="E2960">_xlfn.XLOOKUP(D2960,Insumos!B:B,Insumos!C:$C)</f>
        <v>KG</v>
      </c>
      <c r="F2960" s="14">
        <f>2.2*8/3</f>
        <v>5.8666666666666671</v>
      </c>
      <c r="G2960" s="92">
        <f t="array" ref="G2960">IF(B2960="insumo",_xlfn.XLOOKUP($D2960,Insumos!$B$1:$B$996,Insumos!$D$1:$D$996),"")</f>
        <v>4.25</v>
      </c>
      <c r="H2960" s="92">
        <v>24.933333333333302</v>
      </c>
      <c r="I2960" s="13">
        <v>0</v>
      </c>
      <c r="J2960" s="13">
        <v>0</v>
      </c>
      <c r="K2960" s="13"/>
      <c r="L2960"/>
      <c r="M2960"/>
      <c r="N2960"/>
      <c r="O2960"/>
      <c r="P2960"/>
      <c r="Q2960"/>
      <c r="R2960"/>
      <c r="S2960"/>
      <c r="T2960"/>
      <c r="U2960"/>
      <c r="V2960"/>
      <c r="W2960"/>
      <c r="X2960"/>
      <c r="Y2960"/>
      <c r="Z2960"/>
      <c r="AA2960"/>
      <c r="AB2960"/>
      <c r="AC2960"/>
      <c r="AD2960"/>
      <c r="AE2960"/>
      <c r="AF2960"/>
      <c r="AG2960"/>
      <c r="AH2960"/>
      <c r="AI2960"/>
      <c r="AJ2960"/>
      <c r="AK2960"/>
      <c r="AL2960"/>
    </row>
    <row r="2961" spans="1:38" ht="15.75" customHeight="1" outlineLevel="1" x14ac:dyDescent="0.2">
      <c r="A2961" s="1090">
        <v>1</v>
      </c>
      <c r="B2961" s="1090" t="s">
        <v>1228</v>
      </c>
      <c r="C2961" s="1090" t="s">
        <v>9481</v>
      </c>
      <c r="D2961" s="1090" t="s">
        <v>1460</v>
      </c>
      <c r="E2961" s="1091"/>
      <c r="F2961" s="1092"/>
      <c r="G2961" s="1091"/>
      <c r="H2961" s="1091">
        <v>0</v>
      </c>
      <c r="I2961" s="1092">
        <v>0</v>
      </c>
      <c r="J2961" s="1092">
        <v>0</v>
      </c>
      <c r="K2961" s="1092"/>
      <c r="L2961"/>
      <c r="M2961"/>
      <c r="N2961"/>
      <c r="O2961"/>
      <c r="P2961"/>
      <c r="Q2961"/>
      <c r="R2961"/>
      <c r="S2961"/>
      <c r="T2961"/>
      <c r="U2961"/>
      <c r="V2961"/>
      <c r="W2961"/>
      <c r="X2961"/>
      <c r="Y2961"/>
      <c r="Z2961"/>
      <c r="AA2961"/>
      <c r="AB2961"/>
      <c r="AC2961"/>
      <c r="AD2961"/>
      <c r="AE2961"/>
      <c r="AF2961"/>
      <c r="AG2961"/>
      <c r="AH2961"/>
      <c r="AI2961"/>
      <c r="AJ2961"/>
      <c r="AK2961"/>
      <c r="AL2961"/>
    </row>
    <row r="2962" spans="1:38" ht="15.75" customHeight="1" outlineLevel="2" x14ac:dyDescent="0.2">
      <c r="A2962" s="1067">
        <v>1</v>
      </c>
      <c r="B2962" s="1067" t="s">
        <v>68</v>
      </c>
      <c r="C2962" s="1067" t="s">
        <v>1858</v>
      </c>
      <c r="D2962" s="1067" t="s">
        <v>1858</v>
      </c>
      <c r="E2962" s="1068" t="s">
        <v>70</v>
      </c>
      <c r="F2962" s="1067"/>
      <c r="G2962" s="1069" t="str">
        <f t="array" ref="G2962">IF(B2962="insumo",_xlfn.XLOOKUP($D2962,Insumos!$B$1:$B$996,Insumos!$D$1:$D$996),"")</f>
        <v/>
      </c>
      <c r="H2962" s="1069">
        <v>9.8611400000000007</v>
      </c>
      <c r="I2962" s="1070">
        <v>0</v>
      </c>
      <c r="J2962" s="1070">
        <v>0</v>
      </c>
      <c r="K2962" s="1070"/>
      <c r="L2962"/>
      <c r="M2962"/>
      <c r="N2962"/>
      <c r="O2962"/>
      <c r="P2962"/>
      <c r="Q2962"/>
      <c r="R2962"/>
      <c r="S2962"/>
      <c r="T2962"/>
      <c r="U2962"/>
      <c r="V2962"/>
      <c r="W2962"/>
      <c r="X2962"/>
      <c r="Y2962"/>
      <c r="Z2962"/>
      <c r="AA2962"/>
      <c r="AB2962"/>
      <c r="AC2962"/>
      <c r="AD2962"/>
      <c r="AE2962"/>
      <c r="AF2962"/>
      <c r="AG2962"/>
      <c r="AH2962"/>
      <c r="AI2962"/>
      <c r="AJ2962"/>
      <c r="AK2962"/>
      <c r="AL2962"/>
    </row>
    <row r="2963" spans="1:38" ht="15.75" customHeight="1" outlineLevel="3" x14ac:dyDescent="0.2">
      <c r="A2963" s="10">
        <v>32</v>
      </c>
      <c r="B2963" s="10" t="s">
        <v>71</v>
      </c>
      <c r="C2963" s="10" t="s">
        <v>1858</v>
      </c>
      <c r="D2963" s="10" t="s">
        <v>445</v>
      </c>
      <c r="E2963" s="11" t="str">
        <f t="array" ref="E2963">_xlfn.XLOOKUP(D2963,Insumos!B:B,Insumos!C:$C)</f>
        <v>M3</v>
      </c>
      <c r="F2963" s="14">
        <v>1.6500000000000001E-2</v>
      </c>
      <c r="G2963" s="92">
        <f t="array" ref="G2963">IF(B2963="insumo",_xlfn.XLOOKUP($D2963,Insumos!$B$1:$B$996,Insumos!$D$1:$D$996),"")</f>
        <v>550</v>
      </c>
      <c r="H2963" s="92">
        <v>9.0749999999999993</v>
      </c>
      <c r="I2963" s="13">
        <v>0</v>
      </c>
      <c r="J2963" s="13">
        <v>0</v>
      </c>
      <c r="K2963" s="13"/>
      <c r="L2963"/>
      <c r="M2963"/>
      <c r="N2963"/>
      <c r="O2963"/>
      <c r="P2963"/>
      <c r="Q2963"/>
      <c r="R2963"/>
      <c r="S2963"/>
      <c r="T2963"/>
      <c r="U2963"/>
      <c r="V2963"/>
      <c r="W2963"/>
      <c r="X2963"/>
      <c r="Y2963"/>
      <c r="Z2963"/>
      <c r="AA2963"/>
      <c r="AB2963"/>
      <c r="AC2963"/>
      <c r="AD2963"/>
      <c r="AE2963"/>
      <c r="AF2963"/>
      <c r="AG2963"/>
      <c r="AH2963"/>
      <c r="AI2963"/>
      <c r="AJ2963"/>
      <c r="AK2963"/>
      <c r="AL2963"/>
    </row>
    <row r="2964" spans="1:38" ht="15.75" customHeight="1" outlineLevel="3" x14ac:dyDescent="0.2">
      <c r="A2964" s="10">
        <v>41</v>
      </c>
      <c r="B2964" s="10" t="s">
        <v>71</v>
      </c>
      <c r="C2964" s="10" t="s">
        <v>1858</v>
      </c>
      <c r="D2964" s="10" t="s">
        <v>503</v>
      </c>
      <c r="E2964" s="11" t="str">
        <f t="array" ref="E2964">_xlfn.XLOOKUP(D2964,Insumos!B:B,Insumos!C:$C)</f>
        <v>L</v>
      </c>
      <c r="F2964" s="14">
        <v>2.1000000000000001E-2</v>
      </c>
      <c r="G2964" s="92">
        <f t="array" ref="G2964">IF(B2964="insumo",_xlfn.XLOOKUP($D2964,Insumos!$B$1:$B$996,Insumos!$D$1:$D$996),"")</f>
        <v>19.34</v>
      </c>
      <c r="H2964" s="92">
        <v>0.40614</v>
      </c>
      <c r="I2964" s="13">
        <v>0</v>
      </c>
      <c r="J2964" s="13">
        <v>0</v>
      </c>
      <c r="K2964" s="13"/>
      <c r="L2964"/>
      <c r="M2964"/>
      <c r="N2964"/>
      <c r="O2964"/>
      <c r="P2964"/>
      <c r="Q2964"/>
      <c r="R2964"/>
      <c r="S2964"/>
      <c r="T2964"/>
      <c r="U2964"/>
      <c r="V2964"/>
      <c r="W2964"/>
      <c r="X2964"/>
      <c r="Y2964"/>
      <c r="Z2964"/>
      <c r="AA2964"/>
      <c r="AB2964"/>
      <c r="AC2964"/>
      <c r="AD2964"/>
      <c r="AE2964"/>
      <c r="AF2964"/>
      <c r="AG2964"/>
      <c r="AH2964"/>
      <c r="AI2964"/>
      <c r="AJ2964"/>
      <c r="AK2964"/>
      <c r="AL2964"/>
    </row>
    <row r="2965" spans="1:38" ht="15.75" customHeight="1" outlineLevel="3" x14ac:dyDescent="0.2">
      <c r="A2965" s="10">
        <v>62</v>
      </c>
      <c r="B2965" s="10" t="s">
        <v>71</v>
      </c>
      <c r="C2965" s="10" t="s">
        <v>1858</v>
      </c>
      <c r="D2965" s="10" t="s">
        <v>160</v>
      </c>
      <c r="E2965" s="11" t="str">
        <f t="array" ref="E2965">_xlfn.XLOOKUP(D2965,Insumos!B:B,Insumos!C:$C)</f>
        <v>KG</v>
      </c>
      <c r="F2965" s="14">
        <v>0.5</v>
      </c>
      <c r="G2965" s="92">
        <f t="array" ref="G2965">IF(B2965="insumo",_xlfn.XLOOKUP($D2965,Insumos!$B$1:$B$996,Insumos!$D$1:$D$996),"")</f>
        <v>0.76</v>
      </c>
      <c r="H2965" s="92">
        <v>0.38</v>
      </c>
      <c r="I2965" s="13">
        <v>0</v>
      </c>
      <c r="J2965" s="13">
        <v>0</v>
      </c>
      <c r="K2965" s="13"/>
      <c r="L2965"/>
      <c r="M2965"/>
      <c r="N2965"/>
      <c r="O2965"/>
      <c r="P2965"/>
      <c r="Q2965"/>
      <c r="R2965"/>
      <c r="S2965"/>
      <c r="T2965"/>
      <c r="U2965"/>
      <c r="V2965"/>
      <c r="W2965"/>
      <c r="X2965"/>
      <c r="Y2965"/>
      <c r="Z2965"/>
      <c r="AA2965"/>
      <c r="AB2965"/>
      <c r="AC2965"/>
      <c r="AD2965"/>
      <c r="AE2965"/>
      <c r="AF2965"/>
      <c r="AG2965"/>
      <c r="AH2965"/>
      <c r="AI2965"/>
      <c r="AJ2965"/>
      <c r="AK2965"/>
      <c r="AL2965"/>
    </row>
    <row r="2966" spans="1:38" ht="15.75" customHeight="1" outlineLevel="2" x14ac:dyDescent="0.2">
      <c r="A2966" s="1067">
        <v>1</v>
      </c>
      <c r="B2966" s="1067" t="s">
        <v>68</v>
      </c>
      <c r="C2966" s="1067" t="s">
        <v>583</v>
      </c>
      <c r="D2966" s="1067" t="s">
        <v>583</v>
      </c>
      <c r="E2966" s="1068" t="s">
        <v>70</v>
      </c>
      <c r="F2966" s="1067"/>
      <c r="G2966" s="1069" t="str">
        <f t="array" ref="G2966">IF(B2966="insumo",_xlfn.XLOOKUP($D2966,Insumos!$B$1:$B$996,Insumos!$D$1:$D$996),"")</f>
        <v/>
      </c>
      <c r="H2966" s="1069">
        <v>12.886139999999999</v>
      </c>
      <c r="I2966" s="1070">
        <v>0</v>
      </c>
      <c r="J2966" s="1070">
        <v>0</v>
      </c>
      <c r="K2966" s="1070"/>
      <c r="L2966"/>
      <c r="M2966"/>
      <c r="N2966"/>
      <c r="O2966"/>
      <c r="P2966"/>
      <c r="Q2966"/>
      <c r="R2966"/>
      <c r="S2966"/>
      <c r="T2966"/>
      <c r="U2966"/>
      <c r="V2966"/>
      <c r="W2966"/>
      <c r="X2966"/>
      <c r="Y2966"/>
      <c r="Z2966"/>
      <c r="AA2966"/>
      <c r="AB2966"/>
      <c r="AC2966"/>
      <c r="AD2966"/>
      <c r="AE2966"/>
      <c r="AF2966"/>
      <c r="AG2966"/>
      <c r="AH2966"/>
      <c r="AI2966"/>
      <c r="AJ2966"/>
      <c r="AK2966"/>
      <c r="AL2966"/>
    </row>
    <row r="2967" spans="1:38" ht="15.75" customHeight="1" outlineLevel="3" x14ac:dyDescent="0.2">
      <c r="A2967" s="10">
        <v>32</v>
      </c>
      <c r="B2967" s="10" t="s">
        <v>71</v>
      </c>
      <c r="C2967" s="10" t="s">
        <v>583</v>
      </c>
      <c r="D2967" s="10" t="s">
        <v>445</v>
      </c>
      <c r="E2967" s="11" t="str">
        <f t="array" ref="E2967">_xlfn.XLOOKUP(D2967,Insumos!B:B,Insumos!C:$C)</f>
        <v>M3</v>
      </c>
      <c r="F2967" s="14">
        <v>2.2000000000000002E-2</v>
      </c>
      <c r="G2967" s="92">
        <f t="array" ref="G2967">IF(B2967="insumo",_xlfn.XLOOKUP($D2967,Insumos!$B$1:$B$996,Insumos!$D$1:$D$996),"")</f>
        <v>550</v>
      </c>
      <c r="H2967" s="92">
        <v>12.1</v>
      </c>
      <c r="I2967" s="13">
        <v>0</v>
      </c>
      <c r="J2967" s="13">
        <v>0</v>
      </c>
      <c r="K2967" s="13"/>
      <c r="L2967"/>
      <c r="M2967"/>
      <c r="N2967"/>
      <c r="O2967"/>
      <c r="P2967"/>
      <c r="Q2967"/>
      <c r="R2967"/>
      <c r="S2967"/>
      <c r="T2967"/>
      <c r="U2967"/>
      <c r="V2967"/>
      <c r="W2967"/>
      <c r="X2967"/>
      <c r="Y2967"/>
      <c r="Z2967"/>
      <c r="AA2967"/>
      <c r="AB2967"/>
      <c r="AC2967"/>
      <c r="AD2967"/>
      <c r="AE2967"/>
      <c r="AF2967"/>
      <c r="AG2967"/>
      <c r="AH2967"/>
      <c r="AI2967"/>
      <c r="AJ2967"/>
      <c r="AK2967"/>
      <c r="AL2967"/>
    </row>
    <row r="2968" spans="1:38" ht="15.75" customHeight="1" outlineLevel="3" x14ac:dyDescent="0.2">
      <c r="A2968" s="10">
        <v>41</v>
      </c>
      <c r="B2968" s="10" t="s">
        <v>71</v>
      </c>
      <c r="C2968" s="10" t="s">
        <v>583</v>
      </c>
      <c r="D2968" s="10" t="s">
        <v>503</v>
      </c>
      <c r="E2968" s="11" t="str">
        <f t="array" ref="E2968">_xlfn.XLOOKUP(D2968,Insumos!B:B,Insumos!C:$C)</f>
        <v>L</v>
      </c>
      <c r="F2968" s="14">
        <v>2.1000000000000001E-2</v>
      </c>
      <c r="G2968" s="92">
        <f t="array" ref="G2968">IF(B2968="insumo",_xlfn.XLOOKUP($D2968,Insumos!$B$1:$B$996,Insumos!$D$1:$D$996),"")</f>
        <v>19.34</v>
      </c>
      <c r="H2968" s="92">
        <v>0.40614</v>
      </c>
      <c r="I2968" s="13">
        <v>0</v>
      </c>
      <c r="J2968" s="13">
        <v>0</v>
      </c>
      <c r="K2968" s="13"/>
      <c r="L2968"/>
      <c r="M2968"/>
      <c r="N2968"/>
      <c r="O2968"/>
      <c r="P2968"/>
      <c r="Q2968"/>
      <c r="R2968"/>
      <c r="S2968"/>
      <c r="T2968"/>
      <c r="U2968"/>
      <c r="V2968"/>
      <c r="W2968"/>
      <c r="X2968"/>
      <c r="Y2968"/>
      <c r="Z2968"/>
      <c r="AA2968"/>
      <c r="AB2968"/>
      <c r="AC2968"/>
      <c r="AD2968"/>
      <c r="AE2968"/>
      <c r="AF2968"/>
      <c r="AG2968"/>
      <c r="AH2968"/>
      <c r="AI2968"/>
      <c r="AJ2968"/>
      <c r="AK2968"/>
      <c r="AL2968"/>
    </row>
    <row r="2969" spans="1:38" ht="15.75" customHeight="1" outlineLevel="3" x14ac:dyDescent="0.2">
      <c r="A2969" s="10">
        <v>62</v>
      </c>
      <c r="B2969" s="10" t="s">
        <v>71</v>
      </c>
      <c r="C2969" s="10" t="s">
        <v>583</v>
      </c>
      <c r="D2969" s="10" t="s">
        <v>160</v>
      </c>
      <c r="E2969" s="11" t="str">
        <f t="array" ref="E2969">_xlfn.XLOOKUP(D2969,Insumos!B:B,Insumos!C:$C)</f>
        <v>KG</v>
      </c>
      <c r="F2969" s="14">
        <v>0.5</v>
      </c>
      <c r="G2969" s="92">
        <f t="array" ref="G2969">IF(B2969="insumo",_xlfn.XLOOKUP($D2969,Insumos!$B$1:$B$996,Insumos!$D$1:$D$996),"")</f>
        <v>0.76</v>
      </c>
      <c r="H2969" s="92">
        <v>0.38</v>
      </c>
      <c r="I2969" s="13">
        <v>0</v>
      </c>
      <c r="J2969" s="13">
        <v>0</v>
      </c>
      <c r="K2969" s="13"/>
      <c r="L2969"/>
      <c r="M2969"/>
      <c r="N2969"/>
      <c r="O2969"/>
      <c r="P2969"/>
      <c r="Q2969"/>
      <c r="R2969"/>
      <c r="S2969"/>
      <c r="T2969"/>
      <c r="U2969"/>
      <c r="V2969"/>
      <c r="W2969"/>
      <c r="X2969"/>
      <c r="Y2969"/>
      <c r="Z2969"/>
      <c r="AA2969"/>
      <c r="AB2969"/>
      <c r="AC2969"/>
      <c r="AD2969"/>
      <c r="AE2969"/>
      <c r="AF2969"/>
      <c r="AG2969"/>
      <c r="AH2969"/>
      <c r="AI2969"/>
      <c r="AJ2969"/>
      <c r="AK2969"/>
      <c r="AL2969"/>
    </row>
    <row r="2970" spans="1:38" ht="15.75" customHeight="1" outlineLevel="2" x14ac:dyDescent="0.2">
      <c r="A2970" s="1067">
        <v>1</v>
      </c>
      <c r="B2970" s="1067" t="s">
        <v>68</v>
      </c>
      <c r="C2970" s="1067" t="s">
        <v>584</v>
      </c>
      <c r="D2970" s="1067" t="s">
        <v>584</v>
      </c>
      <c r="E2970" s="1068" t="s">
        <v>70</v>
      </c>
      <c r="F2970" s="1067"/>
      <c r="G2970" s="1069" t="str">
        <f t="array" ref="G2970">IF(B2970="insumo",_xlfn.XLOOKUP($D2970,Insumos!$B$1:$B$996,Insumos!$D$1:$D$996),"")</f>
        <v/>
      </c>
      <c r="H2970" s="1069">
        <v>15.91114</v>
      </c>
      <c r="I2970" s="1070">
        <v>0</v>
      </c>
      <c r="J2970" s="1070">
        <v>0</v>
      </c>
      <c r="K2970" s="1070"/>
      <c r="L2970"/>
      <c r="M2970"/>
      <c r="N2970"/>
      <c r="O2970"/>
      <c r="P2970"/>
      <c r="Q2970"/>
      <c r="R2970"/>
      <c r="S2970"/>
      <c r="T2970"/>
      <c r="U2970"/>
      <c r="V2970"/>
      <c r="W2970"/>
      <c r="X2970"/>
      <c r="Y2970"/>
      <c r="Z2970"/>
      <c r="AA2970"/>
      <c r="AB2970"/>
      <c r="AC2970"/>
      <c r="AD2970"/>
      <c r="AE2970"/>
      <c r="AF2970"/>
      <c r="AG2970"/>
      <c r="AH2970"/>
      <c r="AI2970"/>
      <c r="AJ2970"/>
      <c r="AK2970"/>
      <c r="AL2970"/>
    </row>
    <row r="2971" spans="1:38" ht="15.75" customHeight="1" outlineLevel="3" x14ac:dyDescent="0.2">
      <c r="A2971" s="10">
        <v>32</v>
      </c>
      <c r="B2971" s="10" t="s">
        <v>71</v>
      </c>
      <c r="C2971" s="10" t="s">
        <v>584</v>
      </c>
      <c r="D2971" s="10" t="s">
        <v>445</v>
      </c>
      <c r="E2971" s="11" t="str">
        <f t="array" ref="E2971">_xlfn.XLOOKUP(D2971,Insumos!B:B,Insumos!C:$C)</f>
        <v>M3</v>
      </c>
      <c r="F2971" s="14">
        <v>2.7500000000000004E-2</v>
      </c>
      <c r="G2971" s="92">
        <f t="array" ref="G2971">IF(B2971="insumo",_xlfn.XLOOKUP($D2971,Insumos!$B$1:$B$996,Insumos!$D$1:$D$996),"")</f>
        <v>550</v>
      </c>
      <c r="H2971" s="92">
        <v>15.125</v>
      </c>
      <c r="I2971" s="13">
        <v>0</v>
      </c>
      <c r="J2971" s="13">
        <v>0</v>
      </c>
      <c r="K2971" s="13"/>
      <c r="L2971"/>
      <c r="M2971"/>
      <c r="N2971"/>
      <c r="O2971"/>
      <c r="P2971"/>
      <c r="Q2971"/>
      <c r="R2971"/>
      <c r="S2971"/>
      <c r="T2971"/>
      <c r="U2971"/>
      <c r="V2971"/>
      <c r="W2971"/>
      <c r="X2971"/>
      <c r="Y2971"/>
      <c r="Z2971"/>
      <c r="AA2971"/>
      <c r="AB2971"/>
      <c r="AC2971"/>
      <c r="AD2971"/>
      <c r="AE2971"/>
      <c r="AF2971"/>
      <c r="AG2971"/>
      <c r="AH2971"/>
      <c r="AI2971"/>
      <c r="AJ2971"/>
      <c r="AK2971"/>
      <c r="AL2971"/>
    </row>
    <row r="2972" spans="1:38" ht="15.75" customHeight="1" outlineLevel="3" x14ac:dyDescent="0.2">
      <c r="A2972" s="10">
        <v>41</v>
      </c>
      <c r="B2972" s="10" t="s">
        <v>71</v>
      </c>
      <c r="C2972" s="10" t="s">
        <v>584</v>
      </c>
      <c r="D2972" s="10" t="s">
        <v>503</v>
      </c>
      <c r="E2972" s="11" t="str">
        <f t="array" ref="E2972">_xlfn.XLOOKUP(D2972,Insumos!B:B,Insumos!C:$C)</f>
        <v>L</v>
      </c>
      <c r="F2972" s="14">
        <v>2.1000000000000001E-2</v>
      </c>
      <c r="G2972" s="92">
        <f t="array" ref="G2972">IF(B2972="insumo",_xlfn.XLOOKUP($D2972,Insumos!$B$1:$B$996,Insumos!$D$1:$D$996),"")</f>
        <v>19.34</v>
      </c>
      <c r="H2972" s="92">
        <v>0.40614</v>
      </c>
      <c r="I2972" s="13">
        <v>0</v>
      </c>
      <c r="J2972" s="13">
        <v>0</v>
      </c>
      <c r="K2972" s="13"/>
      <c r="L2972"/>
      <c r="M2972"/>
      <c r="N2972"/>
      <c r="O2972"/>
      <c r="P2972"/>
      <c r="Q2972"/>
      <c r="R2972"/>
      <c r="S2972"/>
      <c r="T2972"/>
      <c r="U2972"/>
      <c r="V2972"/>
      <c r="W2972"/>
      <c r="X2972"/>
      <c r="Y2972"/>
      <c r="Z2972"/>
      <c r="AA2972"/>
      <c r="AB2972"/>
      <c r="AC2972"/>
      <c r="AD2972"/>
      <c r="AE2972"/>
      <c r="AF2972"/>
      <c r="AG2972"/>
      <c r="AH2972"/>
      <c r="AI2972"/>
      <c r="AJ2972"/>
      <c r="AK2972"/>
      <c r="AL2972"/>
    </row>
    <row r="2973" spans="1:38" ht="15.75" customHeight="1" outlineLevel="3" x14ac:dyDescent="0.2">
      <c r="A2973" s="10">
        <v>62</v>
      </c>
      <c r="B2973" s="10" t="s">
        <v>71</v>
      </c>
      <c r="C2973" s="10" t="s">
        <v>584</v>
      </c>
      <c r="D2973" s="10" t="s">
        <v>160</v>
      </c>
      <c r="E2973" s="11" t="str">
        <f t="array" ref="E2973">_xlfn.XLOOKUP(D2973,Insumos!B:B,Insumos!C:$C)</f>
        <v>KG</v>
      </c>
      <c r="F2973" s="14">
        <v>0.5</v>
      </c>
      <c r="G2973" s="92">
        <f t="array" ref="G2973">IF(B2973="insumo",_xlfn.XLOOKUP($D2973,Insumos!$B$1:$B$996,Insumos!$D$1:$D$996),"")</f>
        <v>0.76</v>
      </c>
      <c r="H2973" s="92">
        <v>0.38</v>
      </c>
      <c r="I2973" s="13">
        <v>0</v>
      </c>
      <c r="J2973" s="13">
        <v>0</v>
      </c>
      <c r="K2973" s="13"/>
      <c r="L2973"/>
      <c r="M2973"/>
      <c r="N2973"/>
      <c r="O2973"/>
      <c r="P2973"/>
      <c r="Q2973"/>
      <c r="R2973"/>
      <c r="S2973"/>
      <c r="T2973"/>
      <c r="U2973"/>
      <c r="V2973"/>
      <c r="W2973"/>
      <c r="X2973"/>
      <c r="Y2973"/>
      <c r="Z2973"/>
      <c r="AA2973"/>
      <c r="AB2973"/>
      <c r="AC2973"/>
      <c r="AD2973"/>
      <c r="AE2973"/>
      <c r="AF2973"/>
      <c r="AG2973"/>
      <c r="AH2973"/>
      <c r="AI2973"/>
      <c r="AJ2973"/>
      <c r="AK2973"/>
      <c r="AL2973"/>
    </row>
    <row r="2974" spans="1:38" ht="15.75" customHeight="1" outlineLevel="2" x14ac:dyDescent="0.2">
      <c r="A2974" s="1067">
        <v>1</v>
      </c>
      <c r="B2974" s="1067" t="s">
        <v>68</v>
      </c>
      <c r="C2974" s="1067" t="s">
        <v>585</v>
      </c>
      <c r="D2974" s="1067" t="s">
        <v>585</v>
      </c>
      <c r="E2974" s="1068" t="s">
        <v>70</v>
      </c>
      <c r="F2974" s="1067"/>
      <c r="G2974" s="1069" t="str">
        <f t="array" ref="G2974">IF(B2974="insumo",_xlfn.XLOOKUP($D2974,Insumos!$B$1:$B$996,Insumos!$D$1:$D$996),"")</f>
        <v/>
      </c>
      <c r="H2974" s="1069">
        <v>18.936140000000002</v>
      </c>
      <c r="I2974" s="1070">
        <v>0</v>
      </c>
      <c r="J2974" s="1070">
        <v>0</v>
      </c>
      <c r="K2974" s="1070"/>
      <c r="L2974"/>
      <c r="M2974"/>
      <c r="N2974"/>
      <c r="O2974"/>
      <c r="P2974"/>
      <c r="Q2974"/>
      <c r="R2974"/>
      <c r="S2974"/>
      <c r="T2974"/>
      <c r="U2974"/>
      <c r="V2974"/>
      <c r="W2974"/>
      <c r="X2974"/>
      <c r="Y2974"/>
      <c r="Z2974"/>
      <c r="AA2974"/>
      <c r="AB2974"/>
      <c r="AC2974"/>
      <c r="AD2974"/>
      <c r="AE2974"/>
      <c r="AF2974"/>
      <c r="AG2974"/>
      <c r="AH2974"/>
      <c r="AI2974"/>
      <c r="AJ2974"/>
      <c r="AK2974"/>
      <c r="AL2974"/>
    </row>
    <row r="2975" spans="1:38" ht="15.75" customHeight="1" outlineLevel="3" x14ac:dyDescent="0.2">
      <c r="A2975" s="10">
        <v>32</v>
      </c>
      <c r="B2975" s="10" t="s">
        <v>71</v>
      </c>
      <c r="C2975" s="10" t="s">
        <v>585</v>
      </c>
      <c r="D2975" s="10" t="s">
        <v>445</v>
      </c>
      <c r="E2975" s="11" t="str">
        <f t="array" ref="E2975">_xlfn.XLOOKUP(D2975,Insumos!B:B,Insumos!C:$C)</f>
        <v>M3</v>
      </c>
      <c r="F2975" s="14">
        <v>3.3000000000000002E-2</v>
      </c>
      <c r="G2975" s="92">
        <f t="array" ref="G2975">IF(B2975="insumo",_xlfn.XLOOKUP($D2975,Insumos!$B$1:$B$996,Insumos!$D$1:$D$996),"")</f>
        <v>550</v>
      </c>
      <c r="H2975" s="92">
        <v>18.149999999999999</v>
      </c>
      <c r="I2975" s="13">
        <v>0</v>
      </c>
      <c r="J2975" s="13">
        <v>0</v>
      </c>
      <c r="K2975" s="13"/>
      <c r="L2975"/>
      <c r="M2975"/>
      <c r="N2975"/>
      <c r="O2975"/>
      <c r="P2975"/>
      <c r="Q2975"/>
      <c r="R2975"/>
      <c r="S2975"/>
      <c r="T2975"/>
      <c r="U2975"/>
      <c r="V2975"/>
      <c r="W2975"/>
      <c r="X2975"/>
      <c r="Y2975"/>
      <c r="Z2975"/>
      <c r="AA2975"/>
      <c r="AB2975"/>
      <c r="AC2975"/>
      <c r="AD2975"/>
      <c r="AE2975"/>
      <c r="AF2975"/>
      <c r="AG2975"/>
      <c r="AH2975"/>
      <c r="AI2975"/>
      <c r="AJ2975"/>
      <c r="AK2975"/>
      <c r="AL2975"/>
    </row>
    <row r="2976" spans="1:38" ht="15.75" customHeight="1" outlineLevel="3" x14ac:dyDescent="0.2">
      <c r="A2976" s="10">
        <v>41</v>
      </c>
      <c r="B2976" s="10" t="s">
        <v>71</v>
      </c>
      <c r="C2976" s="10" t="s">
        <v>585</v>
      </c>
      <c r="D2976" s="10" t="s">
        <v>503</v>
      </c>
      <c r="E2976" s="11" t="str">
        <f t="array" ref="E2976">_xlfn.XLOOKUP(D2976,Insumos!B:B,Insumos!C:$C)</f>
        <v>L</v>
      </c>
      <c r="F2976" s="14">
        <v>2.1000000000000001E-2</v>
      </c>
      <c r="G2976" s="92">
        <f t="array" ref="G2976">IF(B2976="insumo",_xlfn.XLOOKUP($D2976,Insumos!$B$1:$B$996,Insumos!$D$1:$D$996),"")</f>
        <v>19.34</v>
      </c>
      <c r="H2976" s="92">
        <v>0.40614</v>
      </c>
      <c r="I2976" s="13">
        <v>0</v>
      </c>
      <c r="J2976" s="13">
        <v>0</v>
      </c>
      <c r="K2976" s="13"/>
      <c r="L2976"/>
      <c r="M2976"/>
      <c r="N2976"/>
      <c r="O2976"/>
      <c r="P2976"/>
      <c r="Q2976"/>
      <c r="R2976"/>
      <c r="S2976"/>
      <c r="T2976"/>
      <c r="U2976"/>
      <c r="V2976"/>
      <c r="W2976"/>
      <c r="X2976"/>
      <c r="Y2976"/>
      <c r="Z2976"/>
      <c r="AA2976"/>
      <c r="AB2976"/>
      <c r="AC2976"/>
      <c r="AD2976"/>
      <c r="AE2976"/>
      <c r="AF2976"/>
      <c r="AG2976"/>
      <c r="AH2976"/>
      <c r="AI2976"/>
      <c r="AJ2976"/>
      <c r="AK2976"/>
      <c r="AL2976"/>
    </row>
    <row r="2977" spans="1:38" ht="15.75" customHeight="1" outlineLevel="3" x14ac:dyDescent="0.2">
      <c r="A2977" s="10">
        <v>62</v>
      </c>
      <c r="B2977" s="10" t="s">
        <v>71</v>
      </c>
      <c r="C2977" s="10" t="s">
        <v>585</v>
      </c>
      <c r="D2977" s="10" t="s">
        <v>160</v>
      </c>
      <c r="E2977" s="11" t="str">
        <f t="array" ref="E2977">_xlfn.XLOOKUP(D2977,Insumos!B:B,Insumos!C:$C)</f>
        <v>KG</v>
      </c>
      <c r="F2977" s="14">
        <v>0.5</v>
      </c>
      <c r="G2977" s="92">
        <f t="array" ref="G2977">IF(B2977="insumo",_xlfn.XLOOKUP($D2977,Insumos!$B$1:$B$996,Insumos!$D$1:$D$996),"")</f>
        <v>0.76</v>
      </c>
      <c r="H2977" s="92">
        <v>0.38</v>
      </c>
      <c r="I2977" s="13">
        <v>0</v>
      </c>
      <c r="J2977" s="13">
        <v>0</v>
      </c>
      <c r="K2977" s="13"/>
      <c r="L2977"/>
      <c r="M2977"/>
      <c r="N2977"/>
      <c r="O2977"/>
      <c r="P2977"/>
      <c r="Q2977"/>
      <c r="R2977"/>
      <c r="S2977"/>
      <c r="T2977"/>
      <c r="U2977"/>
      <c r="V2977"/>
      <c r="W2977"/>
      <c r="X2977"/>
      <c r="Y2977"/>
      <c r="Z2977"/>
      <c r="AA2977"/>
      <c r="AB2977"/>
      <c r="AC2977"/>
      <c r="AD2977"/>
      <c r="AE2977"/>
      <c r="AF2977"/>
      <c r="AG2977"/>
      <c r="AH2977"/>
      <c r="AI2977"/>
      <c r="AJ2977"/>
      <c r="AK2977"/>
      <c r="AL2977"/>
    </row>
    <row r="2978" spans="1:38" ht="15.75" customHeight="1" outlineLevel="2" x14ac:dyDescent="0.2">
      <c r="A2978" s="1067">
        <v>1</v>
      </c>
      <c r="B2978" s="1067" t="s">
        <v>68</v>
      </c>
      <c r="C2978" s="1067" t="s">
        <v>1477</v>
      </c>
      <c r="D2978" s="1067" t="s">
        <v>1477</v>
      </c>
      <c r="E2978" s="1068" t="s">
        <v>70</v>
      </c>
      <c r="F2978" s="1067"/>
      <c r="G2978" s="1069" t="str">
        <f t="array" ref="G2978">IF(B2978="insumo",_xlfn.XLOOKUP($D2978,Insumos!$B$1:$B$996,Insumos!$D$1:$D$996),"")</f>
        <v/>
      </c>
      <c r="H2978" s="1069">
        <v>21.96114</v>
      </c>
      <c r="I2978" s="1070">
        <v>0</v>
      </c>
      <c r="J2978" s="1070">
        <v>0</v>
      </c>
      <c r="K2978" s="1070"/>
      <c r="L2978"/>
      <c r="M2978"/>
      <c r="N2978"/>
      <c r="O2978"/>
      <c r="P2978"/>
      <c r="Q2978"/>
      <c r="R2978"/>
      <c r="S2978"/>
      <c r="T2978"/>
      <c r="U2978"/>
      <c r="V2978"/>
      <c r="W2978"/>
      <c r="X2978"/>
      <c r="Y2978"/>
      <c r="Z2978"/>
      <c r="AA2978"/>
      <c r="AB2978"/>
      <c r="AC2978"/>
      <c r="AD2978"/>
      <c r="AE2978"/>
      <c r="AF2978"/>
      <c r="AG2978"/>
      <c r="AH2978"/>
      <c r="AI2978"/>
      <c r="AJ2978"/>
      <c r="AK2978"/>
      <c r="AL2978"/>
    </row>
    <row r="2979" spans="1:38" ht="15.75" customHeight="1" outlineLevel="3" x14ac:dyDescent="0.2">
      <c r="A2979" s="10">
        <v>32</v>
      </c>
      <c r="B2979" s="10" t="s">
        <v>71</v>
      </c>
      <c r="C2979" s="10" t="s">
        <v>1477</v>
      </c>
      <c r="D2979" s="10" t="s">
        <v>445</v>
      </c>
      <c r="E2979" s="11" t="str">
        <f t="array" ref="E2979">_xlfn.XLOOKUP(D2979,Insumos!B:B,Insumos!C:$C)</f>
        <v>M3</v>
      </c>
      <c r="F2979" s="14">
        <f>0.035*1.1</f>
        <v>3.8500000000000006E-2</v>
      </c>
      <c r="G2979" s="92">
        <f t="array" ref="G2979">IF(B2979="insumo",_xlfn.XLOOKUP($D2979,Insumos!$B$1:$B$996,Insumos!$D$1:$D$996),"")</f>
        <v>550</v>
      </c>
      <c r="H2979" s="92">
        <v>21.175000000000001</v>
      </c>
      <c r="I2979" s="13">
        <v>0</v>
      </c>
      <c r="J2979" s="13">
        <v>0</v>
      </c>
      <c r="K2979" s="13"/>
      <c r="L2979"/>
      <c r="M2979"/>
      <c r="N2979"/>
      <c r="O2979"/>
      <c r="P2979"/>
      <c r="Q2979"/>
      <c r="R2979"/>
      <c r="S2979"/>
      <c r="T2979"/>
      <c r="U2979"/>
      <c r="V2979"/>
      <c r="W2979"/>
      <c r="X2979"/>
      <c r="Y2979"/>
      <c r="Z2979"/>
      <c r="AA2979"/>
      <c r="AB2979"/>
      <c r="AC2979"/>
      <c r="AD2979"/>
      <c r="AE2979"/>
      <c r="AF2979"/>
      <c r="AG2979"/>
      <c r="AH2979"/>
      <c r="AI2979"/>
      <c r="AJ2979"/>
      <c r="AK2979"/>
      <c r="AL2979"/>
    </row>
    <row r="2980" spans="1:38" ht="15.75" customHeight="1" outlineLevel="3" x14ac:dyDescent="0.2">
      <c r="A2980" s="10">
        <v>41</v>
      </c>
      <c r="B2980" s="10" t="s">
        <v>71</v>
      </c>
      <c r="C2980" s="10" t="s">
        <v>1477</v>
      </c>
      <c r="D2980" s="10" t="s">
        <v>503</v>
      </c>
      <c r="E2980" s="11" t="str">
        <f t="array" ref="E2980">_xlfn.XLOOKUP(D2980,Insumos!B:B,Insumos!C:$C)</f>
        <v>L</v>
      </c>
      <c r="F2980" s="14">
        <v>2.1000000000000001E-2</v>
      </c>
      <c r="G2980" s="92">
        <f t="array" ref="G2980">IF(B2980="insumo",_xlfn.XLOOKUP($D2980,Insumos!$B$1:$B$996,Insumos!$D$1:$D$996),"")</f>
        <v>19.34</v>
      </c>
      <c r="H2980" s="92">
        <v>0.40614</v>
      </c>
      <c r="I2980" s="13">
        <v>0</v>
      </c>
      <c r="J2980" s="13">
        <v>0</v>
      </c>
      <c r="K2980" s="13"/>
      <c r="L2980"/>
      <c r="M2980"/>
      <c r="N2980"/>
      <c r="O2980"/>
      <c r="P2980"/>
      <c r="Q2980"/>
      <c r="R2980"/>
      <c r="S2980"/>
      <c r="T2980"/>
      <c r="U2980"/>
      <c r="V2980"/>
      <c r="W2980"/>
      <c r="X2980"/>
      <c r="Y2980"/>
      <c r="Z2980"/>
      <c r="AA2980"/>
      <c r="AB2980"/>
      <c r="AC2980"/>
      <c r="AD2980"/>
      <c r="AE2980"/>
      <c r="AF2980"/>
      <c r="AG2980"/>
      <c r="AH2980"/>
      <c r="AI2980"/>
      <c r="AJ2980"/>
      <c r="AK2980"/>
      <c r="AL2980"/>
    </row>
    <row r="2981" spans="1:38" ht="15.75" customHeight="1" outlineLevel="3" x14ac:dyDescent="0.2">
      <c r="A2981" s="10">
        <v>62</v>
      </c>
      <c r="B2981" s="10" t="s">
        <v>71</v>
      </c>
      <c r="C2981" s="10" t="s">
        <v>1477</v>
      </c>
      <c r="D2981" s="10" t="s">
        <v>160</v>
      </c>
      <c r="E2981" s="11" t="str">
        <f t="array" ref="E2981">_xlfn.XLOOKUP(D2981,Insumos!B:B,Insumos!C:$C)</f>
        <v>KG</v>
      </c>
      <c r="F2981" s="14">
        <v>0.5</v>
      </c>
      <c r="G2981" s="92">
        <f t="array" ref="G2981">IF(B2981="insumo",_xlfn.XLOOKUP($D2981,Insumos!$B$1:$B$996,Insumos!$D$1:$D$996),"")</f>
        <v>0.76</v>
      </c>
      <c r="H2981" s="92">
        <v>0.38</v>
      </c>
      <c r="I2981" s="13">
        <v>0</v>
      </c>
      <c r="J2981" s="13">
        <v>0</v>
      </c>
      <c r="K2981" s="13"/>
      <c r="L2981"/>
      <c r="M2981"/>
      <c r="N2981"/>
      <c r="O2981"/>
      <c r="P2981"/>
      <c r="Q2981"/>
      <c r="R2981"/>
      <c r="S2981"/>
      <c r="T2981"/>
      <c r="U2981"/>
      <c r="V2981"/>
      <c r="W2981"/>
      <c r="X2981"/>
      <c r="Y2981"/>
      <c r="Z2981"/>
      <c r="AA2981"/>
      <c r="AB2981"/>
      <c r="AC2981"/>
      <c r="AD2981"/>
      <c r="AE2981"/>
      <c r="AF2981"/>
      <c r="AG2981"/>
      <c r="AH2981"/>
      <c r="AI2981"/>
      <c r="AJ2981"/>
      <c r="AK2981"/>
      <c r="AL2981"/>
    </row>
    <row r="2982" spans="1:38" ht="15.75" customHeight="1" outlineLevel="2" x14ac:dyDescent="0.2">
      <c r="A2982" s="1067">
        <v>1</v>
      </c>
      <c r="B2982" s="1067" t="s">
        <v>68</v>
      </c>
      <c r="C2982" s="1067" t="s">
        <v>1478</v>
      </c>
      <c r="D2982" s="1067" t="s">
        <v>1478</v>
      </c>
      <c r="E2982" s="1068" t="s">
        <v>70</v>
      </c>
      <c r="F2982" s="1067"/>
      <c r="G2982" s="1069" t="str">
        <f t="array" ref="G2982">IF(B2982="insumo",_xlfn.XLOOKUP($D2982,Insumos!$B$1:$B$996,Insumos!$D$1:$D$996),"")</f>
        <v/>
      </c>
      <c r="H2982" s="1069">
        <v>24.986139999999999</v>
      </c>
      <c r="I2982" s="1070">
        <v>0</v>
      </c>
      <c r="J2982" s="1070">
        <v>0</v>
      </c>
      <c r="K2982" s="1070"/>
      <c r="L2982"/>
      <c r="M2982"/>
      <c r="N2982"/>
      <c r="O2982"/>
      <c r="P2982"/>
      <c r="Q2982"/>
      <c r="R2982"/>
      <c r="S2982"/>
      <c r="T2982"/>
      <c r="U2982"/>
      <c r="V2982"/>
      <c r="W2982"/>
      <c r="X2982"/>
      <c r="Y2982"/>
      <c r="Z2982"/>
      <c r="AA2982"/>
      <c r="AB2982"/>
      <c r="AC2982"/>
      <c r="AD2982"/>
      <c r="AE2982"/>
      <c r="AF2982"/>
      <c r="AG2982"/>
      <c r="AH2982"/>
      <c r="AI2982"/>
      <c r="AJ2982"/>
      <c r="AK2982"/>
      <c r="AL2982"/>
    </row>
    <row r="2983" spans="1:38" ht="15.75" customHeight="1" outlineLevel="3" x14ac:dyDescent="0.2">
      <c r="A2983" s="10">
        <v>32</v>
      </c>
      <c r="B2983" s="10" t="s">
        <v>71</v>
      </c>
      <c r="C2983" s="10" t="s">
        <v>1478</v>
      </c>
      <c r="D2983" s="10" t="s">
        <v>445</v>
      </c>
      <c r="E2983" s="11" t="str">
        <f t="array" ref="E2983">_xlfn.XLOOKUP(D2983,Insumos!B:B,Insumos!C:$C)</f>
        <v>M3</v>
      </c>
      <c r="F2983" s="14">
        <f>0.04*1.1</f>
        <v>4.4000000000000004E-2</v>
      </c>
      <c r="G2983" s="92">
        <f t="array" ref="G2983">IF(B2983="insumo",_xlfn.XLOOKUP($D2983,Insumos!$B$1:$B$996,Insumos!$D$1:$D$996),"")</f>
        <v>550</v>
      </c>
      <c r="H2983" s="92">
        <v>24.2</v>
      </c>
      <c r="I2983" s="13">
        <v>0</v>
      </c>
      <c r="J2983" s="13">
        <v>0</v>
      </c>
      <c r="K2983" s="13"/>
      <c r="L2983"/>
      <c r="M2983"/>
      <c r="N2983"/>
      <c r="O2983"/>
      <c r="P2983"/>
      <c r="Q2983"/>
      <c r="R2983"/>
      <c r="S2983"/>
      <c r="T2983"/>
      <c r="U2983"/>
      <c r="V2983"/>
      <c r="W2983"/>
      <c r="X2983"/>
      <c r="Y2983"/>
      <c r="Z2983"/>
      <c r="AA2983"/>
      <c r="AB2983"/>
      <c r="AC2983"/>
      <c r="AD2983"/>
      <c r="AE2983"/>
      <c r="AF2983"/>
      <c r="AG2983"/>
      <c r="AH2983"/>
      <c r="AI2983"/>
      <c r="AJ2983"/>
      <c r="AK2983"/>
      <c r="AL2983"/>
    </row>
    <row r="2984" spans="1:38" ht="15.75" customHeight="1" outlineLevel="3" x14ac:dyDescent="0.2">
      <c r="A2984" s="10">
        <v>41</v>
      </c>
      <c r="B2984" s="10" t="s">
        <v>71</v>
      </c>
      <c r="C2984" s="10" t="s">
        <v>1478</v>
      </c>
      <c r="D2984" s="10" t="s">
        <v>503</v>
      </c>
      <c r="E2984" s="11" t="str">
        <f t="array" ref="E2984">_xlfn.XLOOKUP(D2984,Insumos!B:B,Insumos!C:$C)</f>
        <v>L</v>
      </c>
      <c r="F2984" s="14">
        <v>2.1000000000000001E-2</v>
      </c>
      <c r="G2984" s="92">
        <f t="array" ref="G2984">IF(B2984="insumo",_xlfn.XLOOKUP($D2984,Insumos!$B$1:$B$996,Insumos!$D$1:$D$996),"")</f>
        <v>19.34</v>
      </c>
      <c r="H2984" s="92">
        <v>0.40614</v>
      </c>
      <c r="I2984" s="13">
        <v>0</v>
      </c>
      <c r="J2984" s="13">
        <v>0</v>
      </c>
      <c r="K2984" s="13"/>
      <c r="L2984"/>
      <c r="M2984"/>
      <c r="N2984"/>
      <c r="O2984"/>
      <c r="P2984"/>
      <c r="Q2984"/>
      <c r="R2984"/>
      <c r="S2984"/>
      <c r="T2984"/>
      <c r="U2984"/>
      <c r="V2984"/>
      <c r="W2984"/>
      <c r="X2984"/>
      <c r="Y2984"/>
      <c r="Z2984"/>
      <c r="AA2984"/>
      <c r="AB2984"/>
      <c r="AC2984"/>
      <c r="AD2984"/>
      <c r="AE2984"/>
      <c r="AF2984"/>
      <c r="AG2984"/>
      <c r="AH2984"/>
      <c r="AI2984"/>
      <c r="AJ2984"/>
      <c r="AK2984"/>
      <c r="AL2984"/>
    </row>
    <row r="2985" spans="1:38" ht="15.75" customHeight="1" outlineLevel="3" x14ac:dyDescent="0.2">
      <c r="A2985" s="10">
        <v>62</v>
      </c>
      <c r="B2985" s="10" t="s">
        <v>71</v>
      </c>
      <c r="C2985" s="10" t="s">
        <v>1478</v>
      </c>
      <c r="D2985" s="10" t="s">
        <v>160</v>
      </c>
      <c r="E2985" s="11" t="str">
        <f t="array" ref="E2985">_xlfn.XLOOKUP(D2985,Insumos!B:B,Insumos!C:$C)</f>
        <v>KG</v>
      </c>
      <c r="F2985" s="14">
        <v>0.5</v>
      </c>
      <c r="G2985" s="92">
        <f t="array" ref="G2985">IF(B2985="insumo",_xlfn.XLOOKUP($D2985,Insumos!$B$1:$B$996,Insumos!$D$1:$D$996),"")</f>
        <v>0.76</v>
      </c>
      <c r="H2985" s="92">
        <v>0.38</v>
      </c>
      <c r="I2985" s="13">
        <v>0</v>
      </c>
      <c r="J2985" s="13">
        <v>0</v>
      </c>
      <c r="K2985" s="13"/>
      <c r="L2985"/>
      <c r="M2985"/>
      <c r="N2985"/>
      <c r="O2985"/>
      <c r="P2985"/>
      <c r="Q2985"/>
      <c r="R2985"/>
      <c r="S2985"/>
      <c r="T2985"/>
      <c r="U2985"/>
      <c r="V2985"/>
      <c r="W2985"/>
      <c r="X2985"/>
      <c r="Y2985"/>
      <c r="Z2985"/>
      <c r="AA2985"/>
      <c r="AB2985"/>
      <c r="AC2985"/>
      <c r="AD2985"/>
      <c r="AE2985"/>
      <c r="AF2985"/>
      <c r="AG2985"/>
      <c r="AH2985"/>
      <c r="AI2985"/>
      <c r="AJ2985"/>
      <c r="AK2985"/>
      <c r="AL2985"/>
    </row>
    <row r="2986" spans="1:38" ht="15.75" customHeight="1" outlineLevel="2" x14ac:dyDescent="0.2">
      <c r="A2986" s="1067">
        <v>1</v>
      </c>
      <c r="B2986" s="1067" t="s">
        <v>68</v>
      </c>
      <c r="C2986" s="1067" t="s">
        <v>586</v>
      </c>
      <c r="D2986" s="1067" t="s">
        <v>586</v>
      </c>
      <c r="E2986" s="1068" t="s">
        <v>70</v>
      </c>
      <c r="F2986" s="1067"/>
      <c r="G2986" s="1069" t="str">
        <f t="array" ref="G2986">IF(B2986="insumo",_xlfn.XLOOKUP($D2986,Insumos!$B$1:$B$996,Insumos!$D$1:$D$996),"")</f>
        <v/>
      </c>
      <c r="H2986" s="1069">
        <v>31.560233333333301</v>
      </c>
      <c r="I2986" s="1070">
        <v>0</v>
      </c>
      <c r="J2986" s="1070">
        <v>0</v>
      </c>
      <c r="K2986" s="1070"/>
      <c r="L2986"/>
      <c r="M2986"/>
      <c r="N2986"/>
      <c r="O2986"/>
      <c r="P2986"/>
      <c r="Q2986"/>
      <c r="R2986"/>
      <c r="S2986"/>
      <c r="T2986"/>
      <c r="U2986"/>
      <c r="V2986"/>
      <c r="W2986"/>
      <c r="X2986"/>
      <c r="Y2986"/>
      <c r="Z2986"/>
      <c r="AA2986"/>
      <c r="AB2986"/>
      <c r="AC2986"/>
      <c r="AD2986"/>
      <c r="AE2986"/>
      <c r="AF2986"/>
      <c r="AG2986"/>
      <c r="AH2986"/>
      <c r="AI2986"/>
      <c r="AJ2986"/>
      <c r="AK2986"/>
      <c r="AL2986"/>
    </row>
    <row r="2987" spans="1:38" ht="15.75" customHeight="1" outlineLevel="3" x14ac:dyDescent="0.2">
      <c r="A2987" s="10">
        <v>32</v>
      </c>
      <c r="B2987" s="10" t="s">
        <v>71</v>
      </c>
      <c r="C2987" s="10" t="s">
        <v>586</v>
      </c>
      <c r="D2987" s="10" t="s">
        <v>445</v>
      </c>
      <c r="E2987" s="11" t="str">
        <f t="array" ref="E2987">_xlfn.XLOOKUP(D2987,Insumos!B:B,Insumos!C:$C)</f>
        <v>M3</v>
      </c>
      <c r="F2987" s="14">
        <v>5.5000000000000007E-2</v>
      </c>
      <c r="G2987" s="92">
        <f t="array" ref="G2987">IF(B2987="insumo",_xlfn.XLOOKUP($D2987,Insumos!$B$1:$B$996,Insumos!$D$1:$D$996),"")</f>
        <v>550</v>
      </c>
      <c r="H2987" s="92">
        <v>30.25</v>
      </c>
      <c r="I2987" s="13">
        <v>0</v>
      </c>
      <c r="J2987" s="13">
        <v>0</v>
      </c>
      <c r="K2987" s="13"/>
      <c r="L2987"/>
      <c r="M2987"/>
      <c r="N2987"/>
      <c r="O2987"/>
      <c r="P2987"/>
      <c r="Q2987"/>
      <c r="R2987"/>
      <c r="S2987"/>
      <c r="T2987"/>
      <c r="U2987"/>
      <c r="V2987"/>
      <c r="W2987"/>
      <c r="X2987"/>
      <c r="Y2987"/>
      <c r="Z2987"/>
      <c r="AA2987"/>
      <c r="AB2987"/>
      <c r="AC2987"/>
      <c r="AD2987"/>
      <c r="AE2987"/>
      <c r="AF2987"/>
      <c r="AG2987"/>
      <c r="AH2987"/>
      <c r="AI2987"/>
      <c r="AJ2987"/>
      <c r="AK2987"/>
      <c r="AL2987"/>
    </row>
    <row r="2988" spans="1:38" ht="15.75" customHeight="1" outlineLevel="3" x14ac:dyDescent="0.2">
      <c r="A2988" s="10">
        <v>41</v>
      </c>
      <c r="B2988" s="10" t="s">
        <v>71</v>
      </c>
      <c r="C2988" s="10" t="s">
        <v>586</v>
      </c>
      <c r="D2988" s="10" t="s">
        <v>503</v>
      </c>
      <c r="E2988" s="11" t="str">
        <f t="array" ref="E2988">_xlfn.XLOOKUP(D2988,Insumos!B:B,Insumos!C:$C)</f>
        <v>L</v>
      </c>
      <c r="F2988" s="14">
        <v>3.5000000000000003E-2</v>
      </c>
      <c r="G2988" s="92">
        <f t="array" ref="G2988">IF(B2988="insumo",_xlfn.XLOOKUP($D2988,Insumos!$B$1:$B$996,Insumos!$D$1:$D$996),"")</f>
        <v>19.34</v>
      </c>
      <c r="H2988" s="92">
        <v>0.67689999999999995</v>
      </c>
      <c r="I2988" s="13">
        <v>0</v>
      </c>
      <c r="J2988" s="13">
        <v>0</v>
      </c>
      <c r="K2988" s="13"/>
      <c r="L2988"/>
      <c r="M2988"/>
      <c r="N2988"/>
      <c r="O2988"/>
      <c r="P2988"/>
      <c r="Q2988"/>
      <c r="R2988"/>
      <c r="S2988"/>
      <c r="T2988"/>
      <c r="U2988"/>
      <c r="V2988"/>
      <c r="W2988"/>
      <c r="X2988"/>
      <c r="Y2988"/>
      <c r="Z2988"/>
      <c r="AA2988"/>
      <c r="AB2988"/>
      <c r="AC2988"/>
      <c r="AD2988"/>
      <c r="AE2988"/>
      <c r="AF2988"/>
      <c r="AG2988"/>
      <c r="AH2988"/>
      <c r="AI2988"/>
      <c r="AJ2988"/>
      <c r="AK2988"/>
      <c r="AL2988"/>
    </row>
    <row r="2989" spans="1:38" ht="15.75" customHeight="1" outlineLevel="3" x14ac:dyDescent="0.2">
      <c r="A2989" s="10">
        <v>62</v>
      </c>
      <c r="B2989" s="10" t="s">
        <v>71</v>
      </c>
      <c r="C2989" s="10" t="s">
        <v>586</v>
      </c>
      <c r="D2989" s="10" t="s">
        <v>160</v>
      </c>
      <c r="E2989" s="11" t="str">
        <f t="array" ref="E2989">_xlfn.XLOOKUP(D2989,Insumos!B:B,Insumos!C:$C)</f>
        <v>KG</v>
      </c>
      <c r="F2989" s="14">
        <v>0.83333333333333348</v>
      </c>
      <c r="G2989" s="92">
        <f t="array" ref="G2989">IF(B2989="insumo",_xlfn.XLOOKUP($D2989,Insumos!$B$1:$B$996,Insumos!$D$1:$D$996),"")</f>
        <v>0.76</v>
      </c>
      <c r="H2989" s="92">
        <v>0.63333333333333297</v>
      </c>
      <c r="I2989" s="13">
        <v>0</v>
      </c>
      <c r="J2989" s="13">
        <v>0</v>
      </c>
      <c r="K2989" s="13"/>
      <c r="L2989"/>
      <c r="M2989"/>
      <c r="N2989"/>
      <c r="O2989"/>
      <c r="P2989"/>
      <c r="Q2989"/>
      <c r="R2989"/>
      <c r="S2989"/>
      <c r="T2989"/>
      <c r="U2989"/>
      <c r="V2989"/>
      <c r="W2989"/>
      <c r="X2989"/>
      <c r="Y2989"/>
      <c r="Z2989"/>
      <c r="AA2989"/>
      <c r="AB2989"/>
      <c r="AC2989"/>
      <c r="AD2989"/>
      <c r="AE2989"/>
      <c r="AF2989"/>
      <c r="AG2989"/>
      <c r="AH2989"/>
      <c r="AI2989"/>
      <c r="AJ2989"/>
      <c r="AK2989"/>
      <c r="AL2989"/>
    </row>
    <row r="2990" spans="1:38" ht="15.75" customHeight="1" outlineLevel="2" x14ac:dyDescent="0.2">
      <c r="A2990" s="1067">
        <v>1</v>
      </c>
      <c r="B2990" s="1067" t="s">
        <v>68</v>
      </c>
      <c r="C2990" s="1067" t="s">
        <v>587</v>
      </c>
      <c r="D2990" s="1067" t="s">
        <v>587</v>
      </c>
      <c r="E2990" s="1068" t="s">
        <v>70</v>
      </c>
      <c r="F2990" s="1067"/>
      <c r="G2990" s="1069" t="str">
        <f t="array" ref="G2990">IF(B2990="insumo",_xlfn.XLOOKUP($D2990,Insumos!$B$1:$B$996,Insumos!$D$1:$D$996),"")</f>
        <v/>
      </c>
      <c r="H2990" s="1069">
        <v>34.716256666666702</v>
      </c>
      <c r="I2990" s="1070">
        <v>0</v>
      </c>
      <c r="J2990" s="1070">
        <v>0</v>
      </c>
      <c r="K2990" s="1070"/>
      <c r="L2990"/>
      <c r="M2990"/>
      <c r="N2990"/>
      <c r="O2990"/>
      <c r="P2990"/>
      <c r="Q2990"/>
      <c r="R2990"/>
      <c r="S2990"/>
      <c r="T2990"/>
      <c r="U2990"/>
      <c r="V2990"/>
      <c r="W2990"/>
      <c r="X2990"/>
      <c r="Y2990"/>
      <c r="Z2990"/>
      <c r="AA2990"/>
      <c r="AB2990"/>
      <c r="AC2990"/>
      <c r="AD2990"/>
      <c r="AE2990"/>
      <c r="AF2990"/>
      <c r="AG2990"/>
      <c r="AH2990"/>
      <c r="AI2990"/>
      <c r="AJ2990"/>
      <c r="AK2990"/>
      <c r="AL2990"/>
    </row>
    <row r="2991" spans="1:38" ht="15.75" customHeight="1" outlineLevel="3" x14ac:dyDescent="0.2">
      <c r="A2991" s="10">
        <v>32</v>
      </c>
      <c r="B2991" s="10" t="s">
        <v>71</v>
      </c>
      <c r="C2991" s="10" t="s">
        <v>587</v>
      </c>
      <c r="D2991" s="10" t="s">
        <v>445</v>
      </c>
      <c r="E2991" s="11" t="str">
        <f t="array" ref="E2991">_xlfn.XLOOKUP(D2991,Insumos!B:B,Insumos!C:$C)</f>
        <v>M3</v>
      </c>
      <c r="F2991" s="14">
        <v>6.0500000000000005E-2</v>
      </c>
      <c r="G2991" s="92">
        <f t="array" ref="G2991">IF(B2991="insumo",_xlfn.XLOOKUP($D2991,Insumos!$B$1:$B$996,Insumos!$D$1:$D$996),"")</f>
        <v>550</v>
      </c>
      <c r="H2991" s="92">
        <v>33.274999999999999</v>
      </c>
      <c r="I2991" s="13">
        <v>0</v>
      </c>
      <c r="J2991" s="13">
        <v>0</v>
      </c>
      <c r="K2991" s="13"/>
      <c r="L2991"/>
      <c r="M2991"/>
      <c r="N2991"/>
      <c r="O2991"/>
      <c r="P2991"/>
      <c r="Q2991"/>
      <c r="R2991"/>
      <c r="S2991"/>
      <c r="T2991"/>
      <c r="U2991"/>
      <c r="V2991"/>
      <c r="W2991"/>
      <c r="X2991"/>
      <c r="Y2991"/>
      <c r="Z2991"/>
      <c r="AA2991"/>
      <c r="AB2991"/>
      <c r="AC2991"/>
      <c r="AD2991"/>
      <c r="AE2991"/>
      <c r="AF2991"/>
      <c r="AG2991"/>
      <c r="AH2991"/>
      <c r="AI2991"/>
      <c r="AJ2991"/>
      <c r="AK2991"/>
      <c r="AL2991"/>
    </row>
    <row r="2992" spans="1:38" ht="15.75" customHeight="1" outlineLevel="3" x14ac:dyDescent="0.2">
      <c r="A2992" s="10">
        <v>41</v>
      </c>
      <c r="B2992" s="10" t="s">
        <v>71</v>
      </c>
      <c r="C2992" s="10" t="s">
        <v>587</v>
      </c>
      <c r="D2992" s="10" t="s">
        <v>503</v>
      </c>
      <c r="E2992" s="11" t="str">
        <f t="array" ref="E2992">_xlfn.XLOOKUP(D2992,Insumos!B:B,Insumos!C:$C)</f>
        <v>L</v>
      </c>
      <c r="F2992" s="14">
        <v>3.8500000000000006E-2</v>
      </c>
      <c r="G2992" s="92">
        <f t="array" ref="G2992">IF(B2992="insumo",_xlfn.XLOOKUP($D2992,Insumos!$B$1:$B$996,Insumos!$D$1:$D$996),"")</f>
        <v>19.34</v>
      </c>
      <c r="H2992" s="92">
        <v>0.74458999999999997</v>
      </c>
      <c r="I2992" s="13">
        <v>0</v>
      </c>
      <c r="J2992" s="13">
        <v>0</v>
      </c>
      <c r="K2992" s="13"/>
      <c r="L2992"/>
      <c r="M2992"/>
      <c r="N2992"/>
      <c r="O2992"/>
      <c r="P2992"/>
      <c r="Q2992"/>
      <c r="R2992"/>
      <c r="S2992"/>
      <c r="T2992"/>
      <c r="U2992"/>
      <c r="V2992"/>
      <c r="W2992"/>
      <c r="X2992"/>
      <c r="Y2992"/>
      <c r="Z2992"/>
      <c r="AA2992"/>
      <c r="AB2992"/>
      <c r="AC2992"/>
      <c r="AD2992"/>
      <c r="AE2992"/>
      <c r="AF2992"/>
      <c r="AG2992"/>
      <c r="AH2992"/>
      <c r="AI2992"/>
      <c r="AJ2992"/>
      <c r="AK2992"/>
      <c r="AL2992"/>
    </row>
    <row r="2993" spans="1:38" ht="15.75" customHeight="1" outlineLevel="3" x14ac:dyDescent="0.2">
      <c r="A2993" s="10">
        <v>62</v>
      </c>
      <c r="B2993" s="10" t="s">
        <v>71</v>
      </c>
      <c r="C2993" s="10" t="s">
        <v>587</v>
      </c>
      <c r="D2993" s="10" t="s">
        <v>160</v>
      </c>
      <c r="E2993" s="11" t="str">
        <f t="array" ref="E2993">_xlfn.XLOOKUP(D2993,Insumos!B:B,Insumos!C:$C)</f>
        <v>KG</v>
      </c>
      <c r="F2993" s="14">
        <v>0.91666666666666674</v>
      </c>
      <c r="G2993" s="92">
        <f t="array" ref="G2993">IF(B2993="insumo",_xlfn.XLOOKUP($D2993,Insumos!$B$1:$B$996,Insumos!$D$1:$D$996),"")</f>
        <v>0.76</v>
      </c>
      <c r="H2993" s="92">
        <v>0.69666666666666699</v>
      </c>
      <c r="I2993" s="13">
        <v>0</v>
      </c>
      <c r="J2993" s="13">
        <v>0</v>
      </c>
      <c r="K2993" s="13"/>
      <c r="L2993"/>
      <c r="M2993"/>
      <c r="N2993"/>
      <c r="O2993"/>
      <c r="P2993"/>
      <c r="Q2993"/>
      <c r="R2993"/>
      <c r="S2993"/>
      <c r="T2993"/>
      <c r="U2993"/>
      <c r="V2993"/>
      <c r="W2993"/>
      <c r="X2993"/>
      <c r="Y2993"/>
      <c r="Z2993"/>
      <c r="AA2993"/>
      <c r="AB2993"/>
      <c r="AC2993"/>
      <c r="AD2993"/>
      <c r="AE2993"/>
      <c r="AF2993"/>
      <c r="AG2993"/>
      <c r="AH2993"/>
      <c r="AI2993"/>
      <c r="AJ2993"/>
      <c r="AK2993"/>
      <c r="AL2993"/>
    </row>
    <row r="2994" spans="1:38" ht="15.75" customHeight="1" outlineLevel="2" x14ac:dyDescent="0.2">
      <c r="A2994" s="1067">
        <v>1</v>
      </c>
      <c r="B2994" s="1067" t="s">
        <v>68</v>
      </c>
      <c r="C2994" s="1067" t="s">
        <v>588</v>
      </c>
      <c r="D2994" s="1067" t="s">
        <v>588</v>
      </c>
      <c r="E2994" s="1068" t="s">
        <v>70</v>
      </c>
      <c r="F2994" s="1067"/>
      <c r="G2994" s="1069" t="str">
        <f t="array" ref="G2994">IF(B2994="insumo",_xlfn.XLOOKUP($D2994,Insumos!$B$1:$B$996,Insumos!$D$1:$D$996),"")</f>
        <v/>
      </c>
      <c r="H2994" s="1069">
        <v>37.872280000000003</v>
      </c>
      <c r="I2994" s="1070">
        <v>0</v>
      </c>
      <c r="J2994" s="1070">
        <v>0</v>
      </c>
      <c r="K2994" s="1070"/>
      <c r="L2994"/>
      <c r="M2994"/>
      <c r="N2994"/>
      <c r="O2994"/>
      <c r="P2994"/>
      <c r="Q2994"/>
      <c r="R2994"/>
      <c r="S2994"/>
      <c r="T2994"/>
      <c r="U2994"/>
      <c r="V2994"/>
      <c r="W2994"/>
      <c r="X2994"/>
      <c r="Y2994"/>
      <c r="Z2994"/>
      <c r="AA2994"/>
      <c r="AB2994"/>
      <c r="AC2994"/>
      <c r="AD2994"/>
      <c r="AE2994"/>
      <c r="AF2994"/>
      <c r="AG2994"/>
      <c r="AH2994"/>
      <c r="AI2994"/>
      <c r="AJ2994"/>
      <c r="AK2994"/>
      <c r="AL2994"/>
    </row>
    <row r="2995" spans="1:38" ht="15.75" customHeight="1" outlineLevel="3" x14ac:dyDescent="0.2">
      <c r="A2995" s="10">
        <v>32</v>
      </c>
      <c r="B2995" s="10" t="s">
        <v>71</v>
      </c>
      <c r="C2995" s="10" t="s">
        <v>588</v>
      </c>
      <c r="D2995" s="10" t="s">
        <v>445</v>
      </c>
      <c r="E2995" s="11" t="str">
        <f t="array" ref="E2995">_xlfn.XLOOKUP(D2995,Insumos!B:B,Insumos!C:$C)</f>
        <v>M3</v>
      </c>
      <c r="F2995" s="14">
        <v>6.6000000000000003E-2</v>
      </c>
      <c r="G2995" s="92">
        <f t="array" ref="G2995">IF(B2995="insumo",_xlfn.XLOOKUP($D2995,Insumos!$B$1:$B$996,Insumos!$D$1:$D$996),"")</f>
        <v>550</v>
      </c>
      <c r="H2995" s="92">
        <v>36.299999999999997</v>
      </c>
      <c r="I2995" s="13">
        <v>0</v>
      </c>
      <c r="J2995" s="13">
        <v>0</v>
      </c>
      <c r="K2995" s="13"/>
      <c r="L2995"/>
      <c r="M2995"/>
      <c r="N2995"/>
      <c r="O2995"/>
      <c r="P2995"/>
      <c r="Q2995"/>
      <c r="R2995"/>
      <c r="S2995"/>
      <c r="T2995"/>
      <c r="U2995"/>
      <c r="V2995"/>
      <c r="W2995"/>
      <c r="X2995"/>
      <c r="Y2995"/>
      <c r="Z2995"/>
      <c r="AA2995"/>
      <c r="AB2995"/>
      <c r="AC2995"/>
      <c r="AD2995"/>
      <c r="AE2995"/>
      <c r="AF2995"/>
      <c r="AG2995"/>
      <c r="AH2995"/>
      <c r="AI2995"/>
      <c r="AJ2995"/>
      <c r="AK2995"/>
      <c r="AL2995"/>
    </row>
    <row r="2996" spans="1:38" ht="15.75" customHeight="1" outlineLevel="3" x14ac:dyDescent="0.2">
      <c r="A2996" s="10">
        <v>41</v>
      </c>
      <c r="B2996" s="10" t="s">
        <v>71</v>
      </c>
      <c r="C2996" s="10" t="s">
        <v>588</v>
      </c>
      <c r="D2996" s="10" t="s">
        <v>503</v>
      </c>
      <c r="E2996" s="11" t="str">
        <f t="array" ref="E2996">_xlfn.XLOOKUP(D2996,Insumos!B:B,Insumos!C:$C)</f>
        <v>L</v>
      </c>
      <c r="F2996" s="14">
        <v>4.2000000000000003E-2</v>
      </c>
      <c r="G2996" s="92">
        <f t="array" ref="G2996">IF(B2996="insumo",_xlfn.XLOOKUP($D2996,Insumos!$B$1:$B$996,Insumos!$D$1:$D$996),"")</f>
        <v>19.34</v>
      </c>
      <c r="H2996" s="92">
        <v>0.81228</v>
      </c>
      <c r="I2996" s="13">
        <v>0</v>
      </c>
      <c r="J2996" s="13">
        <v>0</v>
      </c>
      <c r="K2996" s="13"/>
      <c r="L2996"/>
      <c r="M2996"/>
      <c r="N2996"/>
      <c r="O2996"/>
      <c r="P2996"/>
      <c r="Q2996"/>
      <c r="R2996"/>
      <c r="S2996"/>
      <c r="T2996"/>
      <c r="U2996"/>
      <c r="V2996"/>
      <c r="W2996"/>
      <c r="X2996"/>
      <c r="Y2996"/>
      <c r="Z2996"/>
      <c r="AA2996"/>
      <c r="AB2996"/>
      <c r="AC2996"/>
      <c r="AD2996"/>
      <c r="AE2996"/>
      <c r="AF2996"/>
      <c r="AG2996"/>
      <c r="AH2996"/>
      <c r="AI2996"/>
      <c r="AJ2996"/>
      <c r="AK2996"/>
      <c r="AL2996"/>
    </row>
    <row r="2997" spans="1:38" ht="15.75" customHeight="1" outlineLevel="3" x14ac:dyDescent="0.2">
      <c r="A2997" s="10">
        <v>62</v>
      </c>
      <c r="B2997" s="10" t="s">
        <v>71</v>
      </c>
      <c r="C2997" s="10" t="s">
        <v>588</v>
      </c>
      <c r="D2997" s="10" t="s">
        <v>160</v>
      </c>
      <c r="E2997" s="11" t="str">
        <f t="array" ref="E2997">_xlfn.XLOOKUP(D2997,Insumos!B:B,Insumos!C:$C)</f>
        <v>KG</v>
      </c>
      <c r="F2997" s="14">
        <v>1</v>
      </c>
      <c r="G2997" s="92">
        <f t="array" ref="G2997">IF(B2997="insumo",_xlfn.XLOOKUP($D2997,Insumos!$B$1:$B$996,Insumos!$D$1:$D$996),"")</f>
        <v>0.76</v>
      </c>
      <c r="H2997" s="92">
        <v>0.76</v>
      </c>
      <c r="I2997" s="13">
        <v>0</v>
      </c>
      <c r="J2997" s="13">
        <v>0</v>
      </c>
      <c r="K2997" s="13"/>
      <c r="L2997"/>
      <c r="M2997"/>
      <c r="N2997"/>
      <c r="O2997"/>
      <c r="P2997"/>
      <c r="Q2997"/>
      <c r="R2997"/>
      <c r="S2997"/>
      <c r="T2997"/>
      <c r="U2997"/>
      <c r="V2997"/>
      <c r="W2997"/>
      <c r="X2997"/>
      <c r="Y2997"/>
      <c r="Z2997"/>
      <c r="AA2997"/>
      <c r="AB2997"/>
      <c r="AC2997"/>
      <c r="AD2997"/>
      <c r="AE2997"/>
      <c r="AF2997"/>
      <c r="AG2997"/>
      <c r="AH2997"/>
      <c r="AI2997"/>
      <c r="AJ2997"/>
      <c r="AK2997"/>
      <c r="AL2997"/>
    </row>
    <row r="2998" spans="1:38" ht="15.75" customHeight="1" outlineLevel="2" x14ac:dyDescent="0.2">
      <c r="A2998" s="1067">
        <v>1</v>
      </c>
      <c r="B2998" s="1067" t="s">
        <v>68</v>
      </c>
      <c r="C2998" s="1067" t="s">
        <v>1859</v>
      </c>
      <c r="D2998" s="1067" t="s">
        <v>1859</v>
      </c>
      <c r="E2998" s="1068" t="s">
        <v>70</v>
      </c>
      <c r="F2998" s="1067"/>
      <c r="G2998" s="1069" t="str">
        <f t="array" ref="G2998">IF(B2998="insumo",_xlfn.XLOOKUP($D2998,Insumos!$B$1:$B$996,Insumos!$D$1:$D$996),"")</f>
        <v/>
      </c>
      <c r="H2998" s="1069">
        <v>45.49456</v>
      </c>
      <c r="I2998" s="1070">
        <v>0</v>
      </c>
      <c r="J2998" s="1070">
        <v>0</v>
      </c>
      <c r="K2998" s="1070"/>
      <c r="L2998"/>
      <c r="M2998"/>
      <c r="N2998"/>
      <c r="O2998"/>
      <c r="P2998"/>
      <c r="Q2998"/>
      <c r="R2998"/>
      <c r="S2998"/>
      <c r="T2998"/>
      <c r="U2998"/>
      <c r="V2998"/>
      <c r="W2998"/>
      <c r="X2998"/>
      <c r="Y2998"/>
      <c r="Z2998"/>
      <c r="AA2998"/>
      <c r="AB2998"/>
      <c r="AC2998"/>
      <c r="AD2998"/>
      <c r="AE2998"/>
      <c r="AF2998"/>
      <c r="AG2998"/>
      <c r="AH2998"/>
      <c r="AI2998"/>
      <c r="AJ2998"/>
      <c r="AK2998"/>
      <c r="AL2998"/>
    </row>
    <row r="2999" spans="1:38" ht="15.75" customHeight="1" outlineLevel="3" x14ac:dyDescent="0.2">
      <c r="A2999" s="10">
        <v>32</v>
      </c>
      <c r="B2999" s="10" t="s">
        <v>71</v>
      </c>
      <c r="C2999" s="10" t="s">
        <v>1859</v>
      </c>
      <c r="D2999" s="10" t="s">
        <v>445</v>
      </c>
      <c r="E2999" s="11" t="str">
        <f t="array" ref="E2999">_xlfn.XLOOKUP(D2999,Insumos!B:B,Insumos!C:$C)</f>
        <v>M3</v>
      </c>
      <c r="F2999" s="14">
        <f>0.07*1.1</f>
        <v>7.7000000000000013E-2</v>
      </c>
      <c r="G2999" s="92">
        <f t="array" ref="G2999">IF(B2999="insumo",_xlfn.XLOOKUP($D2999,Insumos!$B$1:$B$996,Insumos!$D$1:$D$996),"")</f>
        <v>550</v>
      </c>
      <c r="H2999" s="92">
        <v>42.35</v>
      </c>
      <c r="I2999" s="13">
        <v>0</v>
      </c>
      <c r="J2999" s="13">
        <v>0</v>
      </c>
      <c r="K2999" s="13"/>
      <c r="L2999"/>
      <c r="M2999"/>
      <c r="N2999"/>
      <c r="O2999"/>
      <c r="P2999"/>
      <c r="Q2999"/>
      <c r="R2999"/>
      <c r="S2999"/>
      <c r="T2999"/>
      <c r="U2999"/>
      <c r="V2999"/>
      <c r="W2999"/>
      <c r="X2999"/>
      <c r="Y2999"/>
      <c r="Z2999"/>
      <c r="AA2999"/>
      <c r="AB2999"/>
      <c r="AC2999"/>
      <c r="AD2999"/>
      <c r="AE2999"/>
      <c r="AF2999"/>
      <c r="AG2999"/>
      <c r="AH2999"/>
      <c r="AI2999"/>
      <c r="AJ2999"/>
      <c r="AK2999"/>
      <c r="AL2999"/>
    </row>
    <row r="3000" spans="1:38" ht="15.75" customHeight="1" outlineLevel="3" x14ac:dyDescent="0.2">
      <c r="A3000" s="10">
        <v>41</v>
      </c>
      <c r="B3000" s="10" t="s">
        <v>71</v>
      </c>
      <c r="C3000" s="10" t="s">
        <v>1859</v>
      </c>
      <c r="D3000" s="10" t="s">
        <v>503</v>
      </c>
      <c r="E3000" s="11" t="str">
        <f t="array" ref="E3000">_xlfn.XLOOKUP(D3000,Insumos!B:B,Insumos!C:$C)</f>
        <v>L</v>
      </c>
      <c r="F3000" s="14">
        <f>(0.021*0.8)/0.2</f>
        <v>8.4000000000000005E-2</v>
      </c>
      <c r="G3000" s="92">
        <f t="array" ref="G3000">IF(B3000="insumo",_xlfn.XLOOKUP($D3000,Insumos!$B$1:$B$996,Insumos!$D$1:$D$996),"")</f>
        <v>19.34</v>
      </c>
      <c r="H3000" s="92">
        <v>1.62456</v>
      </c>
      <c r="I3000" s="13">
        <v>0</v>
      </c>
      <c r="J3000" s="13">
        <v>0</v>
      </c>
      <c r="K3000" s="13"/>
      <c r="L3000"/>
      <c r="M3000"/>
      <c r="N3000"/>
      <c r="O3000"/>
      <c r="P3000"/>
      <c r="Q3000"/>
      <c r="R3000"/>
      <c r="S3000"/>
      <c r="T3000"/>
      <c r="U3000"/>
      <c r="V3000"/>
      <c r="W3000"/>
      <c r="X3000"/>
      <c r="Y3000"/>
      <c r="Z3000"/>
      <c r="AA3000"/>
      <c r="AB3000"/>
      <c r="AC3000"/>
      <c r="AD3000"/>
      <c r="AE3000"/>
      <c r="AF3000"/>
      <c r="AG3000"/>
      <c r="AH3000"/>
      <c r="AI3000"/>
      <c r="AJ3000"/>
      <c r="AK3000"/>
      <c r="AL3000"/>
    </row>
    <row r="3001" spans="1:38" ht="15.75" customHeight="1" outlineLevel="3" x14ac:dyDescent="0.2">
      <c r="A3001" s="10">
        <v>62</v>
      </c>
      <c r="B3001" s="10" t="s">
        <v>71</v>
      </c>
      <c r="C3001" s="10" t="s">
        <v>1859</v>
      </c>
      <c r="D3001" s="10" t="s">
        <v>160</v>
      </c>
      <c r="E3001" s="11" t="str">
        <f t="array" ref="E3001">_xlfn.XLOOKUP(D3001,Insumos!B:B,Insumos!C:$C)</f>
        <v>KG</v>
      </c>
      <c r="F3001" s="14">
        <f>(0.5*0.8)/0.2</f>
        <v>2</v>
      </c>
      <c r="G3001" s="92">
        <f t="array" ref="G3001">IF(B3001="insumo",_xlfn.XLOOKUP($D3001,Insumos!$B$1:$B$996,Insumos!$D$1:$D$996),"")</f>
        <v>0.76</v>
      </c>
      <c r="H3001" s="92">
        <v>1.52</v>
      </c>
      <c r="I3001" s="13">
        <v>0</v>
      </c>
      <c r="J3001" s="13">
        <v>0</v>
      </c>
      <c r="K3001" s="13"/>
      <c r="L3001"/>
      <c r="M3001"/>
      <c r="N3001"/>
      <c r="O3001"/>
      <c r="P3001"/>
      <c r="Q3001"/>
      <c r="R3001"/>
      <c r="S3001"/>
      <c r="T3001"/>
      <c r="U3001"/>
      <c r="V3001"/>
      <c r="W3001"/>
      <c r="X3001"/>
      <c r="Y3001"/>
      <c r="Z3001"/>
      <c r="AA3001"/>
      <c r="AB3001"/>
      <c r="AC3001"/>
      <c r="AD3001"/>
      <c r="AE3001"/>
      <c r="AF3001"/>
      <c r="AG3001"/>
      <c r="AH3001"/>
      <c r="AI3001"/>
      <c r="AJ3001"/>
      <c r="AK3001"/>
      <c r="AL3001"/>
    </row>
    <row r="3002" spans="1:38" ht="15.75" customHeight="1" outlineLevel="2" x14ac:dyDescent="0.2">
      <c r="A3002" s="1067">
        <v>1</v>
      </c>
      <c r="B3002" s="1067" t="s">
        <v>68</v>
      </c>
      <c r="C3002" s="1067" t="s">
        <v>589</v>
      </c>
      <c r="D3002" s="1067" t="s">
        <v>589</v>
      </c>
      <c r="E3002" s="1068" t="s">
        <v>70</v>
      </c>
      <c r="F3002" s="1067"/>
      <c r="G3002" s="1069" t="str">
        <f t="array" ref="G3002">IF(B3002="insumo",_xlfn.XLOOKUP($D3002,Insumos!$B$1:$B$996,Insumos!$D$1:$D$996),"")</f>
        <v/>
      </c>
      <c r="H3002" s="1069">
        <v>51.544559999999997</v>
      </c>
      <c r="I3002" s="1070">
        <v>0</v>
      </c>
      <c r="J3002" s="1070">
        <v>0</v>
      </c>
      <c r="K3002" s="1070"/>
      <c r="L3002"/>
      <c r="M3002"/>
      <c r="N3002"/>
      <c r="O3002"/>
      <c r="P3002"/>
      <c r="Q3002"/>
      <c r="R3002"/>
      <c r="S3002"/>
      <c r="T3002"/>
      <c r="U3002"/>
      <c r="V3002"/>
      <c r="W3002"/>
      <c r="X3002"/>
      <c r="Y3002"/>
      <c r="Z3002"/>
      <c r="AA3002"/>
      <c r="AB3002"/>
      <c r="AC3002"/>
      <c r="AD3002"/>
      <c r="AE3002"/>
      <c r="AF3002"/>
      <c r="AG3002"/>
      <c r="AH3002"/>
      <c r="AI3002"/>
      <c r="AJ3002"/>
      <c r="AK3002"/>
      <c r="AL3002"/>
    </row>
    <row r="3003" spans="1:38" ht="15.75" customHeight="1" outlineLevel="3" x14ac:dyDescent="0.2">
      <c r="A3003" s="10">
        <v>32</v>
      </c>
      <c r="B3003" s="10" t="s">
        <v>71</v>
      </c>
      <c r="C3003" s="10" t="s">
        <v>589</v>
      </c>
      <c r="D3003" s="10" t="s">
        <v>445</v>
      </c>
      <c r="E3003" s="11" t="str">
        <f t="array" ref="E3003">_xlfn.XLOOKUP(D3003,Insumos!B:B,Insumos!C:$C)</f>
        <v>M3</v>
      </c>
      <c r="F3003" s="14">
        <f>0.08*1.1</f>
        <v>8.8000000000000009E-2</v>
      </c>
      <c r="G3003" s="92">
        <f t="array" ref="G3003">IF(B3003="insumo",_xlfn.XLOOKUP($D3003,Insumos!$B$1:$B$996,Insumos!$D$1:$D$996),"")</f>
        <v>550</v>
      </c>
      <c r="H3003" s="92">
        <v>48.4</v>
      </c>
      <c r="I3003" s="13">
        <v>0</v>
      </c>
      <c r="J3003" s="13">
        <v>0</v>
      </c>
      <c r="K3003" s="13"/>
      <c r="L3003"/>
      <c r="M3003"/>
      <c r="N3003"/>
      <c r="O3003"/>
      <c r="P3003"/>
      <c r="Q3003"/>
      <c r="R3003"/>
      <c r="S3003"/>
      <c r="T3003"/>
      <c r="U3003"/>
      <c r="V3003"/>
      <c r="W3003"/>
      <c r="X3003"/>
      <c r="Y3003"/>
      <c r="Z3003"/>
      <c r="AA3003"/>
      <c r="AB3003"/>
      <c r="AC3003"/>
      <c r="AD3003"/>
      <c r="AE3003"/>
      <c r="AF3003"/>
      <c r="AG3003"/>
      <c r="AH3003"/>
      <c r="AI3003"/>
      <c r="AJ3003"/>
      <c r="AK3003"/>
      <c r="AL3003"/>
    </row>
    <row r="3004" spans="1:38" ht="15.75" customHeight="1" outlineLevel="3" x14ac:dyDescent="0.2">
      <c r="A3004" s="10">
        <v>41</v>
      </c>
      <c r="B3004" s="10" t="s">
        <v>71</v>
      </c>
      <c r="C3004" s="10" t="s">
        <v>589</v>
      </c>
      <c r="D3004" s="10" t="s">
        <v>503</v>
      </c>
      <c r="E3004" s="11" t="str">
        <f t="array" ref="E3004">_xlfn.XLOOKUP(D3004,Insumos!B:B,Insumos!C:$C)</f>
        <v>L</v>
      </c>
      <c r="F3004" s="14">
        <f>(0.021*0.8)/0.2</f>
        <v>8.4000000000000005E-2</v>
      </c>
      <c r="G3004" s="92">
        <f t="array" ref="G3004">IF(B3004="insumo",_xlfn.XLOOKUP($D3004,Insumos!$B$1:$B$996,Insumos!$D$1:$D$996),"")</f>
        <v>19.34</v>
      </c>
      <c r="H3004" s="92">
        <v>1.62456</v>
      </c>
      <c r="I3004" s="13">
        <v>0</v>
      </c>
      <c r="J3004" s="13">
        <v>0</v>
      </c>
      <c r="K3004" s="13"/>
      <c r="L3004"/>
      <c r="M3004"/>
      <c r="N3004"/>
      <c r="O3004"/>
      <c r="P3004"/>
      <c r="Q3004"/>
      <c r="R3004"/>
      <c r="S3004"/>
      <c r="T3004"/>
      <c r="U3004"/>
      <c r="V3004"/>
      <c r="W3004"/>
      <c r="X3004"/>
      <c r="Y3004"/>
      <c r="Z3004"/>
      <c r="AA3004"/>
      <c r="AB3004"/>
      <c r="AC3004"/>
      <c r="AD3004"/>
      <c r="AE3004"/>
      <c r="AF3004"/>
      <c r="AG3004"/>
      <c r="AH3004"/>
      <c r="AI3004"/>
      <c r="AJ3004"/>
      <c r="AK3004"/>
      <c r="AL3004"/>
    </row>
    <row r="3005" spans="1:38" ht="15.75" customHeight="1" outlineLevel="3" x14ac:dyDescent="0.2">
      <c r="A3005" s="10">
        <v>62</v>
      </c>
      <c r="B3005" s="10" t="s">
        <v>71</v>
      </c>
      <c r="C3005" s="10" t="s">
        <v>589</v>
      </c>
      <c r="D3005" s="10" t="s">
        <v>160</v>
      </c>
      <c r="E3005" s="11" t="str">
        <f t="array" ref="E3005">_xlfn.XLOOKUP(D3005,Insumos!B:B,Insumos!C:$C)</f>
        <v>KG</v>
      </c>
      <c r="F3005" s="14">
        <f>(0.5*0.8)/0.2</f>
        <v>2</v>
      </c>
      <c r="G3005" s="92">
        <f t="array" ref="G3005">IF(B3005="insumo",_xlfn.XLOOKUP($D3005,Insumos!$B$1:$B$996,Insumos!$D$1:$D$996),"")</f>
        <v>0.76</v>
      </c>
      <c r="H3005" s="92">
        <v>1.52</v>
      </c>
      <c r="I3005" s="13">
        <v>0</v>
      </c>
      <c r="J3005" s="13">
        <v>0</v>
      </c>
      <c r="K3005" s="13"/>
      <c r="L3005"/>
      <c r="M3005"/>
      <c r="N3005"/>
      <c r="O3005"/>
      <c r="P3005"/>
      <c r="Q3005"/>
      <c r="R3005"/>
      <c r="S3005"/>
      <c r="T3005"/>
      <c r="U3005"/>
      <c r="V3005"/>
      <c r="W3005"/>
      <c r="X3005"/>
      <c r="Y3005"/>
      <c r="Z3005"/>
      <c r="AA3005"/>
      <c r="AB3005"/>
      <c r="AC3005"/>
      <c r="AD3005"/>
      <c r="AE3005"/>
      <c r="AF3005"/>
      <c r="AG3005"/>
      <c r="AH3005"/>
      <c r="AI3005"/>
      <c r="AJ3005"/>
      <c r="AK3005"/>
      <c r="AL3005"/>
    </row>
    <row r="3006" spans="1:38" ht="15.75" customHeight="1" outlineLevel="2" x14ac:dyDescent="0.2">
      <c r="A3006" s="1067">
        <v>1</v>
      </c>
      <c r="B3006" s="1067" t="s">
        <v>68</v>
      </c>
      <c r="C3006" s="1067" t="s">
        <v>590</v>
      </c>
      <c r="D3006" s="1067" t="s">
        <v>590</v>
      </c>
      <c r="E3006" s="1068" t="s">
        <v>70</v>
      </c>
      <c r="F3006" s="1067"/>
      <c r="G3006" s="1069" t="str">
        <f t="array" ref="G3006">IF(B3006="insumo",_xlfn.XLOOKUP($D3006,Insumos!$B$1:$B$996,Insumos!$D$1:$D$996),"")</f>
        <v/>
      </c>
      <c r="H3006" s="1069">
        <v>64.430700000000002</v>
      </c>
      <c r="I3006" s="1070">
        <v>0</v>
      </c>
      <c r="J3006" s="1070">
        <v>0</v>
      </c>
      <c r="K3006" s="1070"/>
      <c r="L3006"/>
      <c r="M3006"/>
      <c r="N3006"/>
      <c r="O3006"/>
      <c r="P3006"/>
      <c r="Q3006"/>
      <c r="R3006"/>
      <c r="S3006"/>
      <c r="T3006"/>
      <c r="U3006"/>
      <c r="V3006"/>
      <c r="W3006"/>
      <c r="X3006"/>
      <c r="Y3006"/>
      <c r="Z3006"/>
      <c r="AA3006"/>
      <c r="AB3006"/>
      <c r="AC3006"/>
      <c r="AD3006"/>
      <c r="AE3006"/>
      <c r="AF3006"/>
      <c r="AG3006"/>
      <c r="AH3006"/>
      <c r="AI3006"/>
      <c r="AJ3006"/>
      <c r="AK3006"/>
      <c r="AL3006"/>
    </row>
    <row r="3007" spans="1:38" ht="15.75" customHeight="1" outlineLevel="3" x14ac:dyDescent="0.2">
      <c r="A3007" s="10">
        <v>32</v>
      </c>
      <c r="B3007" s="10" t="s">
        <v>71</v>
      </c>
      <c r="C3007" s="10" t="s">
        <v>590</v>
      </c>
      <c r="D3007" s="10" t="s">
        <v>445</v>
      </c>
      <c r="E3007" s="11" t="str">
        <f t="array" ref="E3007">_xlfn.XLOOKUP(D3007,Insumos!B:B,Insumos!C:$C)</f>
        <v>M3</v>
      </c>
      <c r="F3007" s="14">
        <f>(0.022*1)/0.2</f>
        <v>0.10999999999999999</v>
      </c>
      <c r="G3007" s="92">
        <f t="array" ref="G3007">IF(B3007="insumo",_xlfn.XLOOKUP($D3007,Insumos!$B$1:$B$996,Insumos!$D$1:$D$996),"")</f>
        <v>550</v>
      </c>
      <c r="H3007" s="92">
        <v>60.5</v>
      </c>
      <c r="I3007" s="13">
        <v>0</v>
      </c>
      <c r="J3007" s="13">
        <v>0</v>
      </c>
      <c r="K3007" s="13"/>
      <c r="L3007"/>
      <c r="M3007"/>
      <c r="N3007"/>
      <c r="O3007"/>
      <c r="P3007"/>
      <c r="Q3007"/>
      <c r="R3007"/>
      <c r="S3007"/>
      <c r="T3007"/>
      <c r="U3007"/>
      <c r="V3007"/>
      <c r="W3007"/>
      <c r="X3007"/>
      <c r="Y3007"/>
      <c r="Z3007"/>
      <c r="AA3007"/>
      <c r="AB3007"/>
      <c r="AC3007"/>
      <c r="AD3007"/>
      <c r="AE3007"/>
      <c r="AF3007"/>
      <c r="AG3007"/>
      <c r="AH3007"/>
      <c r="AI3007"/>
      <c r="AJ3007"/>
      <c r="AK3007"/>
      <c r="AL3007"/>
    </row>
    <row r="3008" spans="1:38" ht="15.75" customHeight="1" outlineLevel="3" x14ac:dyDescent="0.2">
      <c r="A3008" s="10">
        <v>41</v>
      </c>
      <c r="B3008" s="10" t="s">
        <v>71</v>
      </c>
      <c r="C3008" s="10" t="s">
        <v>590</v>
      </c>
      <c r="D3008" s="10" t="s">
        <v>503</v>
      </c>
      <c r="E3008" s="11" t="str">
        <f t="array" ref="E3008">_xlfn.XLOOKUP(D3008,Insumos!B:B,Insumos!C:$C)</f>
        <v>L</v>
      </c>
      <c r="F3008" s="14">
        <f>(0.021*1)/0.2</f>
        <v>0.105</v>
      </c>
      <c r="G3008" s="92">
        <f t="array" ref="G3008">IF(B3008="insumo",_xlfn.XLOOKUP($D3008,Insumos!$B$1:$B$996,Insumos!$D$1:$D$996),"")</f>
        <v>19.34</v>
      </c>
      <c r="H3008" s="92">
        <v>2.0306999999999999</v>
      </c>
      <c r="I3008" s="13">
        <v>0</v>
      </c>
      <c r="J3008" s="13">
        <v>0</v>
      </c>
      <c r="K3008" s="13"/>
      <c r="L3008"/>
      <c r="M3008"/>
      <c r="N3008"/>
      <c r="O3008"/>
      <c r="P3008"/>
      <c r="Q3008"/>
      <c r="R3008"/>
      <c r="S3008"/>
      <c r="T3008"/>
      <c r="U3008"/>
      <c r="V3008"/>
      <c r="W3008"/>
      <c r="X3008"/>
      <c r="Y3008"/>
      <c r="Z3008"/>
      <c r="AA3008"/>
      <c r="AB3008"/>
      <c r="AC3008"/>
      <c r="AD3008"/>
      <c r="AE3008"/>
      <c r="AF3008"/>
      <c r="AG3008"/>
      <c r="AH3008"/>
      <c r="AI3008"/>
      <c r="AJ3008"/>
      <c r="AK3008"/>
      <c r="AL3008"/>
    </row>
    <row r="3009" spans="1:38" ht="15.75" customHeight="1" outlineLevel="3" x14ac:dyDescent="0.2">
      <c r="A3009" s="10">
        <v>62</v>
      </c>
      <c r="B3009" s="10" t="s">
        <v>71</v>
      </c>
      <c r="C3009" s="10" t="s">
        <v>590</v>
      </c>
      <c r="D3009" s="10" t="s">
        <v>160</v>
      </c>
      <c r="E3009" s="11" t="str">
        <f t="array" ref="E3009">_xlfn.XLOOKUP(D3009,Insumos!B:B,Insumos!C:$C)</f>
        <v>KG</v>
      </c>
      <c r="F3009" s="14">
        <f>(0.5*1)/0.2</f>
        <v>2.5</v>
      </c>
      <c r="G3009" s="92">
        <f t="array" ref="G3009">IF(B3009="insumo",_xlfn.XLOOKUP($D3009,Insumos!$B$1:$B$996,Insumos!$D$1:$D$996),"")</f>
        <v>0.76</v>
      </c>
      <c r="H3009" s="92">
        <v>1.9</v>
      </c>
      <c r="I3009" s="13">
        <v>0</v>
      </c>
      <c r="J3009" s="13">
        <v>0</v>
      </c>
      <c r="K3009" s="13"/>
      <c r="L3009"/>
      <c r="M3009"/>
      <c r="N3009"/>
      <c r="O3009"/>
      <c r="P3009"/>
      <c r="Q3009"/>
      <c r="R3009"/>
      <c r="S3009"/>
      <c r="T3009"/>
      <c r="U3009"/>
      <c r="V3009"/>
      <c r="W3009"/>
      <c r="X3009"/>
      <c r="Y3009"/>
      <c r="Z3009"/>
      <c r="AA3009"/>
      <c r="AB3009"/>
      <c r="AC3009"/>
      <c r="AD3009"/>
      <c r="AE3009"/>
      <c r="AF3009"/>
      <c r="AG3009"/>
      <c r="AH3009"/>
      <c r="AI3009"/>
      <c r="AJ3009"/>
      <c r="AK3009"/>
      <c r="AL3009"/>
    </row>
    <row r="3010" spans="1:38" ht="15.75" customHeight="1" outlineLevel="2" x14ac:dyDescent="0.2">
      <c r="A3010" s="1067">
        <v>1</v>
      </c>
      <c r="B3010" s="1067" t="s">
        <v>68</v>
      </c>
      <c r="C3010" s="1067" t="s">
        <v>591</v>
      </c>
      <c r="D3010" s="1067" t="s">
        <v>591</v>
      </c>
      <c r="E3010" s="1068" t="s">
        <v>70</v>
      </c>
      <c r="F3010" s="1067"/>
      <c r="G3010" s="1069" t="str">
        <f t="array" ref="G3010">IF(B3010="insumo",_xlfn.XLOOKUP($D3010,Insumos!$B$1:$B$996,Insumos!$D$1:$D$996),"")</f>
        <v/>
      </c>
      <c r="H3010" s="1069">
        <v>77.316839999999999</v>
      </c>
      <c r="I3010" s="1070">
        <v>0</v>
      </c>
      <c r="J3010" s="1070">
        <v>0</v>
      </c>
      <c r="K3010" s="1070"/>
      <c r="L3010"/>
      <c r="M3010"/>
      <c r="N3010"/>
      <c r="O3010"/>
      <c r="P3010"/>
      <c r="Q3010"/>
      <c r="R3010"/>
      <c r="S3010"/>
      <c r="T3010"/>
      <c r="U3010"/>
      <c r="V3010"/>
      <c r="W3010"/>
      <c r="X3010"/>
      <c r="Y3010"/>
      <c r="Z3010"/>
      <c r="AA3010"/>
      <c r="AB3010"/>
      <c r="AC3010"/>
      <c r="AD3010"/>
      <c r="AE3010"/>
      <c r="AF3010"/>
      <c r="AG3010"/>
      <c r="AH3010"/>
      <c r="AI3010"/>
      <c r="AJ3010"/>
      <c r="AK3010"/>
      <c r="AL3010"/>
    </row>
    <row r="3011" spans="1:38" ht="15.75" customHeight="1" outlineLevel="3" x14ac:dyDescent="0.2">
      <c r="A3011" s="10">
        <v>32</v>
      </c>
      <c r="B3011" s="10" t="s">
        <v>71</v>
      </c>
      <c r="C3011" s="10" t="s">
        <v>591</v>
      </c>
      <c r="D3011" s="10" t="s">
        <v>445</v>
      </c>
      <c r="E3011" s="11" t="str">
        <f t="array" ref="E3011">_xlfn.XLOOKUP(D3011,Insumos!B:B,Insumos!C:$C)</f>
        <v>M3</v>
      </c>
      <c r="F3011" s="14">
        <f>(0.022*1.2)/0.2</f>
        <v>0.13199999999999998</v>
      </c>
      <c r="G3011" s="92">
        <f t="array" ref="G3011">IF(B3011="insumo",_xlfn.XLOOKUP($D3011,Insumos!$B$1:$B$996,Insumos!$D$1:$D$996),"")</f>
        <v>550</v>
      </c>
      <c r="H3011" s="92">
        <v>72.599999999999994</v>
      </c>
      <c r="I3011" s="13">
        <v>0</v>
      </c>
      <c r="J3011" s="13">
        <v>0</v>
      </c>
      <c r="K3011" s="13"/>
      <c r="L3011"/>
      <c r="M3011"/>
      <c r="N3011"/>
      <c r="O3011"/>
      <c r="P3011"/>
      <c r="Q3011"/>
      <c r="R3011"/>
      <c r="S3011"/>
      <c r="T3011"/>
      <c r="U3011"/>
      <c r="V3011"/>
      <c r="W3011"/>
      <c r="X3011"/>
      <c r="Y3011"/>
      <c r="Z3011"/>
      <c r="AA3011"/>
      <c r="AB3011"/>
      <c r="AC3011"/>
      <c r="AD3011"/>
      <c r="AE3011"/>
      <c r="AF3011"/>
      <c r="AG3011"/>
      <c r="AH3011"/>
      <c r="AI3011"/>
      <c r="AJ3011"/>
      <c r="AK3011"/>
      <c r="AL3011"/>
    </row>
    <row r="3012" spans="1:38" ht="15.75" customHeight="1" outlineLevel="3" x14ac:dyDescent="0.2">
      <c r="A3012" s="10">
        <v>41</v>
      </c>
      <c r="B3012" s="10" t="s">
        <v>71</v>
      </c>
      <c r="C3012" s="10" t="s">
        <v>591</v>
      </c>
      <c r="D3012" s="10" t="s">
        <v>503</v>
      </c>
      <c r="E3012" s="11" t="str">
        <f t="array" ref="E3012">_xlfn.XLOOKUP(D3012,Insumos!B:B,Insumos!C:$C)</f>
        <v>L</v>
      </c>
      <c r="F3012" s="14">
        <f>(0.021*1.2)/0.2</f>
        <v>0.126</v>
      </c>
      <c r="G3012" s="92">
        <f t="array" ref="G3012">IF(B3012="insumo",_xlfn.XLOOKUP($D3012,Insumos!$B$1:$B$996,Insumos!$D$1:$D$996),"")</f>
        <v>19.34</v>
      </c>
      <c r="H3012" s="92">
        <v>2.4368400000000001</v>
      </c>
      <c r="I3012" s="13">
        <v>0</v>
      </c>
      <c r="J3012" s="13">
        <v>0</v>
      </c>
      <c r="K3012" s="13"/>
      <c r="L3012"/>
      <c r="M3012"/>
      <c r="N3012"/>
      <c r="O3012"/>
      <c r="P3012"/>
      <c r="Q3012"/>
      <c r="R3012"/>
      <c r="S3012"/>
      <c r="T3012"/>
      <c r="U3012"/>
      <c r="V3012"/>
      <c r="W3012"/>
      <c r="X3012"/>
      <c r="Y3012"/>
      <c r="Z3012"/>
      <c r="AA3012"/>
      <c r="AB3012"/>
      <c r="AC3012"/>
      <c r="AD3012"/>
      <c r="AE3012"/>
      <c r="AF3012"/>
      <c r="AG3012"/>
      <c r="AH3012"/>
      <c r="AI3012"/>
      <c r="AJ3012"/>
      <c r="AK3012"/>
      <c r="AL3012"/>
    </row>
    <row r="3013" spans="1:38" ht="15.75" customHeight="1" outlineLevel="3" x14ac:dyDescent="0.2">
      <c r="A3013" s="10">
        <v>62</v>
      </c>
      <c r="B3013" s="10" t="s">
        <v>71</v>
      </c>
      <c r="C3013" s="10" t="s">
        <v>591</v>
      </c>
      <c r="D3013" s="10" t="s">
        <v>160</v>
      </c>
      <c r="E3013" s="11" t="str">
        <f t="array" ref="E3013">_xlfn.XLOOKUP(D3013,Insumos!B:B,Insumos!C:$C)</f>
        <v>KG</v>
      </c>
      <c r="F3013" s="14">
        <f>(0.5*1.2)/0.2</f>
        <v>2.9999999999999996</v>
      </c>
      <c r="G3013" s="92">
        <f t="array" ref="G3013">IF(B3013="insumo",_xlfn.XLOOKUP($D3013,Insumos!$B$1:$B$996,Insumos!$D$1:$D$996),"")</f>
        <v>0.76</v>
      </c>
      <c r="H3013" s="92">
        <v>2.2799999999999998</v>
      </c>
      <c r="I3013" s="13">
        <v>0</v>
      </c>
      <c r="J3013" s="13">
        <v>0</v>
      </c>
      <c r="K3013" s="13"/>
      <c r="L3013"/>
      <c r="M3013"/>
      <c r="N3013"/>
      <c r="O3013"/>
      <c r="P3013"/>
      <c r="Q3013"/>
      <c r="R3013"/>
      <c r="S3013"/>
      <c r="T3013"/>
      <c r="U3013"/>
      <c r="V3013"/>
      <c r="W3013"/>
      <c r="X3013"/>
      <c r="Y3013"/>
      <c r="Z3013"/>
      <c r="AA3013"/>
      <c r="AB3013"/>
      <c r="AC3013"/>
      <c r="AD3013"/>
      <c r="AE3013"/>
      <c r="AF3013"/>
      <c r="AG3013"/>
      <c r="AH3013"/>
      <c r="AI3013"/>
      <c r="AJ3013"/>
      <c r="AK3013"/>
      <c r="AL3013"/>
    </row>
    <row r="3014" spans="1:38" ht="15.75" customHeight="1" outlineLevel="2" x14ac:dyDescent="0.2">
      <c r="A3014" s="1067">
        <v>1</v>
      </c>
      <c r="B3014" s="1067" t="s">
        <v>68</v>
      </c>
      <c r="C3014" s="1067" t="s">
        <v>592</v>
      </c>
      <c r="D3014" s="1067" t="s">
        <v>592</v>
      </c>
      <c r="E3014" s="1068" t="s">
        <v>70</v>
      </c>
      <c r="F3014" s="1067"/>
      <c r="G3014" s="1069" t="str">
        <f t="array" ref="G3014">IF(B3014="insumo",_xlfn.XLOOKUP($D3014,Insumos!$B$1:$B$996,Insumos!$D$1:$D$996),"")</f>
        <v/>
      </c>
      <c r="H3014" s="1069">
        <v>83.759910000000005</v>
      </c>
      <c r="I3014" s="1070">
        <v>0</v>
      </c>
      <c r="J3014" s="1070">
        <v>0</v>
      </c>
      <c r="K3014" s="1070"/>
      <c r="L3014"/>
      <c r="M3014"/>
      <c r="N3014"/>
      <c r="O3014"/>
      <c r="P3014"/>
      <c r="Q3014"/>
      <c r="R3014"/>
      <c r="S3014"/>
      <c r="T3014"/>
      <c r="U3014"/>
      <c r="V3014"/>
      <c r="W3014"/>
      <c r="X3014"/>
      <c r="Y3014"/>
      <c r="Z3014"/>
      <c r="AA3014"/>
      <c r="AB3014"/>
      <c r="AC3014"/>
      <c r="AD3014"/>
      <c r="AE3014"/>
      <c r="AF3014"/>
      <c r="AG3014"/>
      <c r="AH3014"/>
      <c r="AI3014"/>
      <c r="AJ3014"/>
      <c r="AK3014"/>
      <c r="AL3014"/>
    </row>
    <row r="3015" spans="1:38" ht="15.75" customHeight="1" outlineLevel="3" x14ac:dyDescent="0.2">
      <c r="A3015" s="10">
        <v>32</v>
      </c>
      <c r="B3015" s="10" t="s">
        <v>71</v>
      </c>
      <c r="C3015" s="10" t="s">
        <v>592</v>
      </c>
      <c r="D3015" s="10" t="s">
        <v>445</v>
      </c>
      <c r="E3015" s="11" t="str">
        <f t="array" ref="E3015">_xlfn.XLOOKUP(D3015,Insumos!B:B,Insumos!C:$C)</f>
        <v>M3</v>
      </c>
      <c r="F3015" s="14">
        <f>(0.022*1.3)/0.2</f>
        <v>0.14299999999999999</v>
      </c>
      <c r="G3015" s="92">
        <f t="array" ref="G3015">IF(B3015="insumo",_xlfn.XLOOKUP($D3015,Insumos!$B$1:$B$996,Insumos!$D$1:$D$996),"")</f>
        <v>550</v>
      </c>
      <c r="H3015" s="92">
        <v>78.650000000000006</v>
      </c>
      <c r="I3015" s="13">
        <v>0</v>
      </c>
      <c r="J3015" s="13">
        <v>0</v>
      </c>
      <c r="K3015" s="13"/>
      <c r="L3015"/>
      <c r="M3015"/>
      <c r="N3015"/>
      <c r="O3015"/>
      <c r="P3015"/>
      <c r="Q3015"/>
      <c r="R3015"/>
      <c r="S3015"/>
      <c r="T3015"/>
      <c r="U3015"/>
      <c r="V3015"/>
      <c r="W3015"/>
      <c r="X3015"/>
      <c r="Y3015"/>
      <c r="Z3015"/>
      <c r="AA3015"/>
      <c r="AB3015"/>
      <c r="AC3015"/>
      <c r="AD3015"/>
      <c r="AE3015"/>
      <c r="AF3015"/>
      <c r="AG3015"/>
      <c r="AH3015"/>
      <c r="AI3015"/>
      <c r="AJ3015"/>
      <c r="AK3015"/>
      <c r="AL3015"/>
    </row>
    <row r="3016" spans="1:38" ht="15.75" customHeight="1" outlineLevel="3" x14ac:dyDescent="0.2">
      <c r="A3016" s="10">
        <v>41</v>
      </c>
      <c r="B3016" s="10" t="s">
        <v>71</v>
      </c>
      <c r="C3016" s="10" t="s">
        <v>592</v>
      </c>
      <c r="D3016" s="10" t="s">
        <v>503</v>
      </c>
      <c r="E3016" s="11" t="str">
        <f t="array" ref="E3016">_xlfn.XLOOKUP(D3016,Insumos!B:B,Insumos!C:$C)</f>
        <v>L</v>
      </c>
      <c r="F3016" s="14">
        <f>(0.021*1.3)/0.2</f>
        <v>0.13650000000000001</v>
      </c>
      <c r="G3016" s="92">
        <f t="array" ref="G3016">IF(B3016="insumo",_xlfn.XLOOKUP($D3016,Insumos!$B$1:$B$996,Insumos!$D$1:$D$996),"")</f>
        <v>19.34</v>
      </c>
      <c r="H3016" s="92">
        <v>2.63991</v>
      </c>
      <c r="I3016" s="13">
        <v>0</v>
      </c>
      <c r="J3016" s="13">
        <v>0</v>
      </c>
      <c r="K3016" s="13"/>
      <c r="L3016"/>
      <c r="M3016"/>
      <c r="N3016"/>
      <c r="O3016"/>
      <c r="P3016"/>
      <c r="Q3016"/>
      <c r="R3016"/>
      <c r="S3016"/>
      <c r="T3016"/>
      <c r="U3016"/>
      <c r="V3016"/>
      <c r="W3016"/>
      <c r="X3016"/>
      <c r="Y3016"/>
      <c r="Z3016"/>
      <c r="AA3016"/>
      <c r="AB3016"/>
      <c r="AC3016"/>
      <c r="AD3016"/>
      <c r="AE3016"/>
      <c r="AF3016"/>
      <c r="AG3016"/>
      <c r="AH3016"/>
      <c r="AI3016"/>
      <c r="AJ3016"/>
      <c r="AK3016"/>
      <c r="AL3016"/>
    </row>
    <row r="3017" spans="1:38" ht="15.75" customHeight="1" outlineLevel="3" x14ac:dyDescent="0.2">
      <c r="A3017" s="10">
        <v>62</v>
      </c>
      <c r="B3017" s="10" t="s">
        <v>71</v>
      </c>
      <c r="C3017" s="10" t="s">
        <v>592</v>
      </c>
      <c r="D3017" s="10" t="s">
        <v>160</v>
      </c>
      <c r="E3017" s="11" t="str">
        <f t="array" ref="E3017">_xlfn.XLOOKUP(D3017,Insumos!B:B,Insumos!C:$C)</f>
        <v>KG</v>
      </c>
      <c r="F3017" s="14">
        <f>(0.5*1.3)/0.2</f>
        <v>3.25</v>
      </c>
      <c r="G3017" s="92">
        <f t="array" ref="G3017">IF(B3017="insumo",_xlfn.XLOOKUP($D3017,Insumos!$B$1:$B$996,Insumos!$D$1:$D$996),"")</f>
        <v>0.76</v>
      </c>
      <c r="H3017" s="92">
        <v>2.4700000000000002</v>
      </c>
      <c r="I3017" s="13">
        <v>0</v>
      </c>
      <c r="J3017" s="13">
        <v>0</v>
      </c>
      <c r="K3017" s="13"/>
      <c r="L3017"/>
      <c r="M3017"/>
      <c r="N3017"/>
      <c r="O3017"/>
      <c r="P3017"/>
      <c r="Q3017"/>
      <c r="R3017"/>
      <c r="S3017"/>
      <c r="T3017"/>
      <c r="U3017"/>
      <c r="V3017"/>
      <c r="W3017"/>
      <c r="X3017"/>
      <c r="Y3017"/>
      <c r="Z3017"/>
      <c r="AA3017"/>
      <c r="AB3017"/>
      <c r="AC3017"/>
      <c r="AD3017"/>
      <c r="AE3017"/>
      <c r="AF3017"/>
      <c r="AG3017"/>
      <c r="AH3017"/>
      <c r="AI3017"/>
      <c r="AJ3017"/>
      <c r="AK3017"/>
      <c r="AL3017"/>
    </row>
    <row r="3018" spans="1:38" ht="15.75" customHeight="1" outlineLevel="2" x14ac:dyDescent="0.2">
      <c r="A3018" s="1067">
        <v>1</v>
      </c>
      <c r="B3018" s="1067" t="s">
        <v>68</v>
      </c>
      <c r="C3018" s="1067" t="s">
        <v>593</v>
      </c>
      <c r="D3018" s="1067" t="s">
        <v>593</v>
      </c>
      <c r="E3018" s="1068" t="s">
        <v>70</v>
      </c>
      <c r="F3018" s="1067"/>
      <c r="G3018" s="1069" t="str">
        <f t="array" ref="G3018">IF(B3018="insumo",_xlfn.XLOOKUP($D3018,Insumos!$B$1:$B$996,Insumos!$D$1:$D$996),"")</f>
        <v/>
      </c>
      <c r="H3018" s="1069">
        <v>96.646050000000002</v>
      </c>
      <c r="I3018" s="1070">
        <v>0</v>
      </c>
      <c r="J3018" s="1070">
        <v>0</v>
      </c>
      <c r="K3018" s="1070"/>
      <c r="L3018"/>
      <c r="M3018"/>
      <c r="N3018"/>
      <c r="O3018"/>
      <c r="P3018"/>
      <c r="Q3018"/>
      <c r="R3018"/>
      <c r="S3018"/>
      <c r="T3018"/>
      <c r="U3018"/>
      <c r="V3018"/>
      <c r="W3018"/>
      <c r="X3018"/>
      <c r="Y3018"/>
      <c r="Z3018"/>
      <c r="AA3018"/>
      <c r="AB3018"/>
      <c r="AC3018"/>
      <c r="AD3018"/>
      <c r="AE3018"/>
      <c r="AF3018"/>
      <c r="AG3018"/>
      <c r="AH3018"/>
      <c r="AI3018"/>
      <c r="AJ3018"/>
      <c r="AK3018"/>
      <c r="AL3018"/>
    </row>
    <row r="3019" spans="1:38" ht="15.75" customHeight="1" outlineLevel="3" x14ac:dyDescent="0.2">
      <c r="A3019" s="10">
        <v>32</v>
      </c>
      <c r="B3019" s="10" t="s">
        <v>71</v>
      </c>
      <c r="C3019" s="10" t="s">
        <v>593</v>
      </c>
      <c r="D3019" s="10" t="s">
        <v>445</v>
      </c>
      <c r="E3019" s="11" t="str">
        <f t="array" ref="E3019">_xlfn.XLOOKUP(D3019,Insumos!B:B,Insumos!C:$C)</f>
        <v>M3</v>
      </c>
      <c r="F3019" s="14">
        <f>(0.022*1.5)/0.2</f>
        <v>0.16500000000000001</v>
      </c>
      <c r="G3019" s="92">
        <f t="array" ref="G3019">IF(B3019="insumo",_xlfn.XLOOKUP($D3019,Insumos!$B$1:$B$996,Insumos!$D$1:$D$996),"")</f>
        <v>550</v>
      </c>
      <c r="H3019" s="92">
        <v>90.75</v>
      </c>
      <c r="I3019" s="13">
        <v>0</v>
      </c>
      <c r="J3019" s="13">
        <v>0</v>
      </c>
      <c r="K3019" s="13"/>
      <c r="L3019"/>
      <c r="M3019"/>
      <c r="N3019"/>
      <c r="O3019"/>
      <c r="P3019"/>
      <c r="Q3019"/>
      <c r="R3019"/>
      <c r="S3019"/>
      <c r="T3019"/>
      <c r="U3019"/>
      <c r="V3019"/>
      <c r="W3019"/>
      <c r="X3019"/>
      <c r="Y3019"/>
      <c r="Z3019"/>
      <c r="AA3019"/>
      <c r="AB3019"/>
      <c r="AC3019"/>
      <c r="AD3019"/>
      <c r="AE3019"/>
      <c r="AF3019"/>
      <c r="AG3019"/>
      <c r="AH3019"/>
      <c r="AI3019"/>
      <c r="AJ3019"/>
      <c r="AK3019"/>
      <c r="AL3019"/>
    </row>
    <row r="3020" spans="1:38" ht="15.75" customHeight="1" outlineLevel="3" x14ac:dyDescent="0.2">
      <c r="A3020" s="10">
        <v>41</v>
      </c>
      <c r="B3020" s="10" t="s">
        <v>71</v>
      </c>
      <c r="C3020" s="10" t="s">
        <v>593</v>
      </c>
      <c r="D3020" s="10" t="s">
        <v>503</v>
      </c>
      <c r="E3020" s="11" t="str">
        <f t="array" ref="E3020">_xlfn.XLOOKUP(D3020,Insumos!B:B,Insumos!C:$C)</f>
        <v>L</v>
      </c>
      <c r="F3020" s="14">
        <f>(0.021*1.5)/0.2</f>
        <v>0.1575</v>
      </c>
      <c r="G3020" s="92">
        <f t="array" ref="G3020">IF(B3020="insumo",_xlfn.XLOOKUP($D3020,Insumos!$B$1:$B$996,Insumos!$D$1:$D$996),"")</f>
        <v>19.34</v>
      </c>
      <c r="H3020" s="92">
        <v>3.0460500000000001</v>
      </c>
      <c r="I3020" s="13">
        <v>0</v>
      </c>
      <c r="J3020" s="13">
        <v>0</v>
      </c>
      <c r="K3020" s="13"/>
      <c r="L3020"/>
      <c r="M3020"/>
      <c r="N3020"/>
      <c r="O3020"/>
      <c r="P3020"/>
      <c r="Q3020"/>
      <c r="R3020"/>
      <c r="S3020"/>
      <c r="T3020"/>
      <c r="U3020"/>
      <c r="V3020"/>
      <c r="W3020"/>
      <c r="X3020"/>
      <c r="Y3020"/>
      <c r="Z3020"/>
      <c r="AA3020"/>
      <c r="AB3020"/>
      <c r="AC3020"/>
      <c r="AD3020"/>
      <c r="AE3020"/>
      <c r="AF3020"/>
      <c r="AG3020"/>
      <c r="AH3020"/>
      <c r="AI3020"/>
      <c r="AJ3020"/>
      <c r="AK3020"/>
      <c r="AL3020"/>
    </row>
    <row r="3021" spans="1:38" ht="15.75" customHeight="1" outlineLevel="3" x14ac:dyDescent="0.2">
      <c r="A3021" s="10">
        <v>62</v>
      </c>
      <c r="B3021" s="10" t="s">
        <v>71</v>
      </c>
      <c r="C3021" s="10" t="s">
        <v>593</v>
      </c>
      <c r="D3021" s="10" t="s">
        <v>160</v>
      </c>
      <c r="E3021" s="11" t="str">
        <f t="array" ref="E3021">_xlfn.XLOOKUP(D3021,Insumos!B:B,Insumos!C:$C)</f>
        <v>KG</v>
      </c>
      <c r="F3021" s="14">
        <f>(0.5*1.5)/0.2</f>
        <v>3.75</v>
      </c>
      <c r="G3021" s="92">
        <f t="array" ref="G3021">IF(B3021="insumo",_xlfn.XLOOKUP($D3021,Insumos!$B$1:$B$996,Insumos!$D$1:$D$996),"")</f>
        <v>0.76</v>
      </c>
      <c r="H3021" s="92">
        <v>2.85</v>
      </c>
      <c r="I3021" s="13">
        <v>0</v>
      </c>
      <c r="J3021" s="13">
        <v>0</v>
      </c>
      <c r="K3021" s="13"/>
      <c r="L3021"/>
      <c r="M3021"/>
      <c r="N3021"/>
      <c r="O3021"/>
      <c r="P3021"/>
      <c r="Q3021"/>
      <c r="R3021"/>
      <c r="S3021"/>
      <c r="T3021"/>
      <c r="U3021"/>
      <c r="V3021"/>
      <c r="W3021"/>
      <c r="X3021"/>
      <c r="Y3021"/>
      <c r="Z3021"/>
      <c r="AA3021"/>
      <c r="AB3021"/>
      <c r="AC3021"/>
      <c r="AD3021"/>
      <c r="AE3021"/>
      <c r="AF3021"/>
      <c r="AG3021"/>
      <c r="AH3021"/>
      <c r="AI3021"/>
      <c r="AJ3021"/>
      <c r="AK3021"/>
      <c r="AL3021"/>
    </row>
    <row r="3022" spans="1:38" ht="15.75" customHeight="1" outlineLevel="1" x14ac:dyDescent="0.2">
      <c r="A3022" s="1090">
        <v>1</v>
      </c>
      <c r="B3022" s="1090" t="s">
        <v>1228</v>
      </c>
      <c r="C3022" s="1090" t="s">
        <v>593</v>
      </c>
      <c r="D3022" s="1090" t="s">
        <v>1461</v>
      </c>
      <c r="E3022" s="1091"/>
      <c r="F3022" s="1092"/>
      <c r="G3022" s="1091"/>
      <c r="H3022" s="1091">
        <v>0</v>
      </c>
      <c r="I3022" s="1092">
        <v>0</v>
      </c>
      <c r="J3022" s="1092">
        <v>0</v>
      </c>
      <c r="K3022" s="1092"/>
      <c r="L3022"/>
      <c r="M3022"/>
      <c r="N3022"/>
      <c r="O3022"/>
      <c r="P3022"/>
      <c r="Q3022"/>
      <c r="R3022"/>
      <c r="S3022"/>
      <c r="T3022"/>
      <c r="U3022"/>
      <c r="V3022"/>
      <c r="W3022"/>
      <c r="X3022"/>
      <c r="Y3022"/>
      <c r="Z3022"/>
      <c r="AA3022"/>
      <c r="AB3022"/>
      <c r="AC3022"/>
      <c r="AD3022"/>
      <c r="AE3022"/>
      <c r="AF3022"/>
      <c r="AG3022"/>
      <c r="AH3022"/>
      <c r="AI3022"/>
      <c r="AJ3022"/>
      <c r="AK3022"/>
      <c r="AL3022"/>
    </row>
    <row r="3023" spans="1:38" ht="15.75" customHeight="1" outlineLevel="2" x14ac:dyDescent="0.2">
      <c r="A3023" s="1067">
        <v>1</v>
      </c>
      <c r="B3023" s="1067" t="s">
        <v>68</v>
      </c>
      <c r="C3023" s="1067" t="s">
        <v>594</v>
      </c>
      <c r="D3023" s="1067" t="s">
        <v>594</v>
      </c>
      <c r="E3023" s="1068" t="s">
        <v>70</v>
      </c>
      <c r="F3023" s="1067"/>
      <c r="G3023" s="1069" t="str">
        <f t="array" ref="G3023">IF(B3023="insumo",_xlfn.XLOOKUP($D3023,Insumos!$B$1:$B$996,Insumos!$D$1:$D$996),"")</f>
        <v/>
      </c>
      <c r="H3023" s="1069">
        <v>35.310233333333301</v>
      </c>
      <c r="I3023" s="1070">
        <v>0</v>
      </c>
      <c r="J3023" s="1070">
        <v>0</v>
      </c>
      <c r="K3023" s="1070"/>
      <c r="L3023"/>
      <c r="M3023"/>
      <c r="N3023"/>
      <c r="O3023"/>
      <c r="P3023"/>
      <c r="Q3023"/>
      <c r="R3023"/>
      <c r="S3023"/>
      <c r="T3023"/>
      <c r="U3023"/>
      <c r="V3023"/>
      <c r="W3023"/>
      <c r="X3023"/>
      <c r="Y3023"/>
      <c r="Z3023"/>
      <c r="AA3023"/>
      <c r="AB3023"/>
      <c r="AC3023"/>
      <c r="AD3023"/>
      <c r="AE3023"/>
      <c r="AF3023"/>
      <c r="AG3023"/>
      <c r="AH3023"/>
      <c r="AI3023"/>
      <c r="AJ3023"/>
      <c r="AK3023"/>
      <c r="AL3023"/>
    </row>
    <row r="3024" spans="1:38" ht="15.75" customHeight="1" outlineLevel="3" x14ac:dyDescent="0.2">
      <c r="A3024" s="10">
        <v>6</v>
      </c>
      <c r="B3024" s="10" t="s">
        <v>71</v>
      </c>
      <c r="C3024" s="10" t="s">
        <v>594</v>
      </c>
      <c r="D3024" s="10" t="s">
        <v>595</v>
      </c>
      <c r="E3024" s="11" t="str">
        <f t="array" ref="E3024">_xlfn.XLOOKUP(D3024,Insumos!B:B,Insumos!C:$C)</f>
        <v>KG</v>
      </c>
      <c r="F3024" s="14">
        <f>1.7*5</f>
        <v>8.5</v>
      </c>
      <c r="G3024" s="92">
        <f t="array" ref="G3024">IF(B3024="insumo",_xlfn.XLOOKUP($D3024,Insumos!$B$1:$B$996,Insumos!$D$1:$D$996),"")</f>
        <v>4</v>
      </c>
      <c r="H3024" s="92">
        <v>34</v>
      </c>
      <c r="I3024" s="13">
        <v>0</v>
      </c>
      <c r="J3024" s="13">
        <v>0</v>
      </c>
      <c r="K3024" s="13"/>
      <c r="L3024"/>
      <c r="M3024"/>
      <c r="N3024"/>
      <c r="O3024"/>
      <c r="P3024"/>
      <c r="Q3024"/>
      <c r="R3024"/>
      <c r="S3024"/>
      <c r="T3024"/>
      <c r="U3024"/>
      <c r="V3024"/>
      <c r="W3024"/>
      <c r="X3024"/>
      <c r="Y3024"/>
      <c r="Z3024"/>
      <c r="AA3024"/>
      <c r="AB3024"/>
      <c r="AC3024"/>
      <c r="AD3024"/>
      <c r="AE3024"/>
      <c r="AF3024"/>
      <c r="AG3024"/>
      <c r="AH3024"/>
      <c r="AI3024"/>
      <c r="AJ3024"/>
      <c r="AK3024"/>
      <c r="AL3024"/>
    </row>
    <row r="3025" spans="1:38" ht="15.75" customHeight="1" outlineLevel="3" x14ac:dyDescent="0.2">
      <c r="A3025" s="10">
        <v>41</v>
      </c>
      <c r="B3025" s="10" t="s">
        <v>71</v>
      </c>
      <c r="C3025" s="10" t="s">
        <v>594</v>
      </c>
      <c r="D3025" s="10" t="s">
        <v>503</v>
      </c>
      <c r="E3025" s="11" t="str">
        <f t="array" ref="E3025">_xlfn.XLOOKUP(D3025,Insumos!B:B,Insumos!C:$C)</f>
        <v>L</v>
      </c>
      <c r="F3025" s="14">
        <v>3.5000000000000003E-2</v>
      </c>
      <c r="G3025" s="92">
        <f t="array" ref="G3025">IF(B3025="insumo",_xlfn.XLOOKUP($D3025,Insumos!$B$1:$B$996,Insumos!$D$1:$D$996),"")</f>
        <v>19.34</v>
      </c>
      <c r="H3025" s="92">
        <v>0.67689999999999995</v>
      </c>
      <c r="I3025" s="13">
        <v>0</v>
      </c>
      <c r="J3025" s="13">
        <v>0</v>
      </c>
      <c r="K3025" s="13"/>
      <c r="L3025"/>
      <c r="M3025"/>
      <c r="N3025"/>
      <c r="O3025"/>
      <c r="P3025"/>
      <c r="Q3025"/>
      <c r="R3025"/>
      <c r="S3025"/>
      <c r="T3025"/>
      <c r="U3025"/>
      <c r="V3025"/>
      <c r="W3025"/>
      <c r="X3025"/>
      <c r="Y3025"/>
      <c r="Z3025"/>
      <c r="AA3025"/>
      <c r="AB3025"/>
      <c r="AC3025"/>
      <c r="AD3025"/>
      <c r="AE3025"/>
      <c r="AF3025"/>
      <c r="AG3025"/>
      <c r="AH3025"/>
      <c r="AI3025"/>
      <c r="AJ3025"/>
      <c r="AK3025"/>
      <c r="AL3025"/>
    </row>
    <row r="3026" spans="1:38" ht="15.75" customHeight="1" outlineLevel="3" x14ac:dyDescent="0.2">
      <c r="A3026" s="10">
        <v>62</v>
      </c>
      <c r="B3026" s="10" t="s">
        <v>71</v>
      </c>
      <c r="C3026" s="10" t="s">
        <v>594</v>
      </c>
      <c r="D3026" s="10" t="s">
        <v>160</v>
      </c>
      <c r="E3026" s="11" t="str">
        <f t="array" ref="E3026">_xlfn.XLOOKUP(D3026,Insumos!B:B,Insumos!C:$C)</f>
        <v>KG</v>
      </c>
      <c r="F3026" s="14">
        <v>0.83333333333333348</v>
      </c>
      <c r="G3026" s="92">
        <f t="array" ref="G3026">IF(B3026="insumo",_xlfn.XLOOKUP($D3026,Insumos!$B$1:$B$996,Insumos!$D$1:$D$996),"")</f>
        <v>0.76</v>
      </c>
      <c r="H3026" s="92">
        <v>0.63333333333333297</v>
      </c>
      <c r="I3026" s="13">
        <v>0</v>
      </c>
      <c r="J3026" s="13">
        <v>0</v>
      </c>
      <c r="K3026" s="13"/>
      <c r="L3026"/>
      <c r="M3026"/>
      <c r="N3026"/>
      <c r="O3026"/>
      <c r="P3026"/>
      <c r="Q3026"/>
      <c r="R3026"/>
      <c r="S3026"/>
      <c r="T3026"/>
      <c r="U3026"/>
      <c r="V3026"/>
      <c r="W3026"/>
      <c r="X3026"/>
      <c r="Y3026"/>
      <c r="Z3026"/>
      <c r="AA3026"/>
      <c r="AB3026"/>
      <c r="AC3026"/>
      <c r="AD3026"/>
      <c r="AE3026"/>
      <c r="AF3026"/>
      <c r="AG3026"/>
      <c r="AH3026"/>
      <c r="AI3026"/>
      <c r="AJ3026"/>
      <c r="AK3026"/>
      <c r="AL3026"/>
    </row>
    <row r="3027" spans="1:38" ht="15.75" customHeight="1" outlineLevel="2" x14ac:dyDescent="0.2">
      <c r="A3027" s="1067">
        <v>1</v>
      </c>
      <c r="B3027" s="1067" t="s">
        <v>68</v>
      </c>
      <c r="C3027" s="1067" t="s">
        <v>596</v>
      </c>
      <c r="D3027" s="1067" t="s">
        <v>596</v>
      </c>
      <c r="E3027" s="1068" t="s">
        <v>70</v>
      </c>
      <c r="F3027" s="1067"/>
      <c r="G3027" s="1069" t="str">
        <f t="array" ref="G3027">IF(B3027="insumo",_xlfn.XLOOKUP($D3027,Insumos!$B$1:$B$996,Insumos!$D$1:$D$996),"")</f>
        <v/>
      </c>
      <c r="H3027" s="1069">
        <v>55.972279999999998</v>
      </c>
      <c r="I3027" s="1070">
        <v>0</v>
      </c>
      <c r="J3027" s="1070">
        <v>0</v>
      </c>
      <c r="K3027" s="1070"/>
      <c r="L3027"/>
      <c r="M3027"/>
      <c r="N3027"/>
      <c r="O3027"/>
      <c r="P3027"/>
      <c r="Q3027"/>
      <c r="R3027"/>
      <c r="S3027"/>
      <c r="T3027"/>
      <c r="U3027"/>
      <c r="V3027"/>
      <c r="W3027"/>
      <c r="X3027"/>
      <c r="Y3027"/>
      <c r="Z3027"/>
      <c r="AA3027"/>
      <c r="AB3027"/>
      <c r="AC3027"/>
      <c r="AD3027"/>
      <c r="AE3027"/>
      <c r="AF3027"/>
      <c r="AG3027"/>
      <c r="AH3027"/>
      <c r="AI3027"/>
      <c r="AJ3027"/>
      <c r="AK3027"/>
      <c r="AL3027"/>
    </row>
    <row r="3028" spans="1:38" ht="15.75" customHeight="1" outlineLevel="3" x14ac:dyDescent="0.2">
      <c r="A3028" s="10">
        <v>6</v>
      </c>
      <c r="B3028" s="10" t="s">
        <v>71</v>
      </c>
      <c r="C3028" s="10" t="s">
        <v>596</v>
      </c>
      <c r="D3028" s="10" t="s">
        <v>595</v>
      </c>
      <c r="E3028" s="11" t="str">
        <f t="array" ref="E3028">_xlfn.XLOOKUP(D3028,Insumos!B:B,Insumos!C:$C)</f>
        <v>KG</v>
      </c>
      <c r="F3028" s="14">
        <f>1.7*8</f>
        <v>13.6</v>
      </c>
      <c r="G3028" s="92">
        <f t="array" ref="G3028">IF(B3028="insumo",_xlfn.XLOOKUP($D3028,Insumos!$B$1:$B$996,Insumos!$D$1:$D$996),"")</f>
        <v>4</v>
      </c>
      <c r="H3028" s="92">
        <v>54.4</v>
      </c>
      <c r="I3028" s="13">
        <v>0</v>
      </c>
      <c r="J3028" s="13">
        <v>0</v>
      </c>
      <c r="K3028" s="13"/>
      <c r="L3028"/>
      <c r="M3028"/>
      <c r="N3028"/>
      <c r="O3028"/>
      <c r="P3028"/>
      <c r="Q3028"/>
      <c r="R3028"/>
      <c r="S3028"/>
      <c r="T3028"/>
      <c r="U3028"/>
      <c r="V3028"/>
      <c r="W3028"/>
      <c r="X3028"/>
      <c r="Y3028"/>
      <c r="Z3028"/>
      <c r="AA3028"/>
      <c r="AB3028"/>
      <c r="AC3028"/>
      <c r="AD3028"/>
      <c r="AE3028"/>
      <c r="AF3028"/>
      <c r="AG3028"/>
      <c r="AH3028"/>
      <c r="AI3028"/>
      <c r="AJ3028"/>
      <c r="AK3028"/>
      <c r="AL3028"/>
    </row>
    <row r="3029" spans="1:38" ht="15.75" customHeight="1" outlineLevel="3" x14ac:dyDescent="0.2">
      <c r="A3029" s="10">
        <v>41</v>
      </c>
      <c r="B3029" s="10" t="s">
        <v>71</v>
      </c>
      <c r="C3029" s="10" t="s">
        <v>596</v>
      </c>
      <c r="D3029" s="10" t="s">
        <v>503</v>
      </c>
      <c r="E3029" s="11" t="str">
        <f t="array" ref="E3029">_xlfn.XLOOKUP(D3029,Insumos!B:B,Insumos!C:$C)</f>
        <v>L</v>
      </c>
      <c r="F3029" s="14">
        <v>4.2000000000000003E-2</v>
      </c>
      <c r="G3029" s="92">
        <f t="array" ref="G3029">IF(B3029="insumo",_xlfn.XLOOKUP($D3029,Insumos!$B$1:$B$996,Insumos!$D$1:$D$996),"")</f>
        <v>19.34</v>
      </c>
      <c r="H3029" s="92">
        <v>0.81228</v>
      </c>
      <c r="I3029" s="13">
        <v>0</v>
      </c>
      <c r="J3029" s="13">
        <v>0</v>
      </c>
      <c r="K3029" s="13"/>
      <c r="L3029"/>
      <c r="M3029"/>
      <c r="N3029"/>
      <c r="O3029"/>
      <c r="P3029"/>
      <c r="Q3029"/>
      <c r="R3029"/>
      <c r="S3029"/>
      <c r="T3029"/>
      <c r="U3029"/>
      <c r="V3029"/>
      <c r="W3029"/>
      <c r="X3029"/>
      <c r="Y3029"/>
      <c r="Z3029"/>
      <c r="AA3029"/>
      <c r="AB3029"/>
      <c r="AC3029"/>
      <c r="AD3029"/>
      <c r="AE3029"/>
      <c r="AF3029"/>
      <c r="AG3029"/>
      <c r="AH3029"/>
      <c r="AI3029"/>
      <c r="AJ3029"/>
      <c r="AK3029"/>
      <c r="AL3029"/>
    </row>
    <row r="3030" spans="1:38" ht="15.75" customHeight="1" outlineLevel="3" x14ac:dyDescent="0.2">
      <c r="A3030" s="10">
        <v>62</v>
      </c>
      <c r="B3030" s="10" t="s">
        <v>71</v>
      </c>
      <c r="C3030" s="10" t="s">
        <v>596</v>
      </c>
      <c r="D3030" s="10" t="s">
        <v>160</v>
      </c>
      <c r="E3030" s="11" t="str">
        <f t="array" ref="E3030">_xlfn.XLOOKUP(D3030,Insumos!B:B,Insumos!C:$C)</f>
        <v>KG</v>
      </c>
      <c r="F3030" s="14">
        <v>1</v>
      </c>
      <c r="G3030" s="92">
        <f t="array" ref="G3030">IF(B3030="insumo",_xlfn.XLOOKUP($D3030,Insumos!$B$1:$B$996,Insumos!$D$1:$D$996),"")</f>
        <v>0.76</v>
      </c>
      <c r="H3030" s="92">
        <v>0.76</v>
      </c>
      <c r="I3030" s="13">
        <v>0</v>
      </c>
      <c r="J3030" s="13">
        <v>0</v>
      </c>
      <c r="K3030" s="13"/>
      <c r="L3030"/>
      <c r="M3030"/>
      <c r="N3030"/>
      <c r="O3030"/>
      <c r="P3030"/>
      <c r="Q3030"/>
      <c r="R3030"/>
      <c r="S3030"/>
      <c r="T3030"/>
      <c r="U3030"/>
      <c r="V3030"/>
      <c r="W3030"/>
      <c r="X3030"/>
      <c r="Y3030"/>
      <c r="Z3030"/>
      <c r="AA3030"/>
      <c r="AB3030"/>
      <c r="AC3030"/>
      <c r="AD3030"/>
      <c r="AE3030"/>
      <c r="AF3030"/>
      <c r="AG3030"/>
      <c r="AH3030"/>
      <c r="AI3030"/>
      <c r="AJ3030"/>
      <c r="AK3030"/>
      <c r="AL3030"/>
    </row>
    <row r="3031" spans="1:38" ht="15.75" customHeight="1" outlineLevel="2" x14ac:dyDescent="0.2">
      <c r="A3031" s="1067">
        <v>1</v>
      </c>
      <c r="B3031" s="1067" t="s">
        <v>68</v>
      </c>
      <c r="C3031" s="1067" t="s">
        <v>597</v>
      </c>
      <c r="D3031" s="1067" t="s">
        <v>597</v>
      </c>
      <c r="E3031" s="1068" t="s">
        <v>70</v>
      </c>
      <c r="F3031" s="1067"/>
      <c r="G3031" s="1069" t="str">
        <f t="array" ref="G3031">IF(B3031="insumo",_xlfn.XLOOKUP($D3031,Insumos!$B$1:$B$996,Insumos!$D$1:$D$996),"")</f>
        <v/>
      </c>
      <c r="H3031" s="1069">
        <v>71.144559999999998</v>
      </c>
      <c r="I3031" s="1070">
        <v>0</v>
      </c>
      <c r="J3031" s="1070">
        <v>0</v>
      </c>
      <c r="K3031" s="1070"/>
      <c r="L3031"/>
      <c r="M3031"/>
      <c r="N3031"/>
      <c r="O3031"/>
      <c r="P3031"/>
      <c r="Q3031"/>
      <c r="R3031"/>
      <c r="S3031"/>
      <c r="T3031"/>
      <c r="U3031"/>
      <c r="V3031"/>
      <c r="W3031"/>
      <c r="X3031"/>
      <c r="Y3031"/>
      <c r="Z3031"/>
      <c r="AA3031"/>
      <c r="AB3031"/>
      <c r="AC3031"/>
      <c r="AD3031"/>
      <c r="AE3031"/>
      <c r="AF3031"/>
      <c r="AG3031"/>
      <c r="AH3031"/>
      <c r="AI3031"/>
      <c r="AJ3031"/>
      <c r="AK3031"/>
      <c r="AL3031"/>
    </row>
    <row r="3032" spans="1:38" ht="15.75" customHeight="1" outlineLevel="3" x14ac:dyDescent="0.2">
      <c r="A3032" s="10">
        <v>6</v>
      </c>
      <c r="B3032" s="10" t="s">
        <v>71</v>
      </c>
      <c r="C3032" s="10" t="s">
        <v>597</v>
      </c>
      <c r="D3032" s="10" t="s">
        <v>595</v>
      </c>
      <c r="E3032" s="11" t="str">
        <f t="array" ref="E3032">_xlfn.XLOOKUP(D3032,Insumos!B:B,Insumos!C:$C)</f>
        <v>KG</v>
      </c>
      <c r="F3032" s="14">
        <f>1.7*10</f>
        <v>17</v>
      </c>
      <c r="G3032" s="92">
        <f t="array" ref="G3032">IF(B3032="insumo",_xlfn.XLOOKUP($D3032,Insumos!$B$1:$B$996,Insumos!$D$1:$D$996),"")</f>
        <v>4</v>
      </c>
      <c r="H3032" s="92">
        <v>68</v>
      </c>
      <c r="I3032" s="13">
        <v>0</v>
      </c>
      <c r="J3032" s="13">
        <v>0</v>
      </c>
      <c r="K3032" s="13"/>
      <c r="L3032"/>
      <c r="M3032"/>
      <c r="N3032"/>
      <c r="O3032"/>
      <c r="P3032"/>
      <c r="Q3032"/>
      <c r="R3032"/>
      <c r="S3032"/>
      <c r="T3032"/>
      <c r="U3032"/>
      <c r="V3032"/>
      <c r="W3032"/>
      <c r="X3032"/>
      <c r="Y3032"/>
      <c r="Z3032"/>
      <c r="AA3032"/>
      <c r="AB3032"/>
      <c r="AC3032"/>
      <c r="AD3032"/>
      <c r="AE3032"/>
      <c r="AF3032"/>
      <c r="AG3032"/>
      <c r="AH3032"/>
      <c r="AI3032"/>
      <c r="AJ3032"/>
      <c r="AK3032"/>
      <c r="AL3032"/>
    </row>
    <row r="3033" spans="1:38" ht="15.75" customHeight="1" outlineLevel="3" x14ac:dyDescent="0.2">
      <c r="A3033" s="10">
        <v>41</v>
      </c>
      <c r="B3033" s="10" t="s">
        <v>71</v>
      </c>
      <c r="C3033" s="10" t="s">
        <v>597</v>
      </c>
      <c r="D3033" s="10" t="s">
        <v>503</v>
      </c>
      <c r="E3033" s="11" t="str">
        <f t="array" ref="E3033">_xlfn.XLOOKUP(D3033,Insumos!B:B,Insumos!C:$C)</f>
        <v>L</v>
      </c>
      <c r="F3033" s="14">
        <f>(0.021*0.8)/0.2</f>
        <v>8.4000000000000005E-2</v>
      </c>
      <c r="G3033" s="92">
        <f t="array" ref="G3033">IF(B3033="insumo",_xlfn.XLOOKUP($D3033,Insumos!$B$1:$B$996,Insumos!$D$1:$D$996),"")</f>
        <v>19.34</v>
      </c>
      <c r="H3033" s="92">
        <v>1.62456</v>
      </c>
      <c r="I3033" s="13">
        <v>0</v>
      </c>
      <c r="J3033" s="13">
        <v>0</v>
      </c>
      <c r="K3033" s="13"/>
      <c r="L3033"/>
      <c r="M3033"/>
      <c r="N3033"/>
      <c r="O3033"/>
      <c r="P3033"/>
      <c r="Q3033"/>
      <c r="R3033"/>
      <c r="S3033"/>
      <c r="T3033"/>
      <c r="U3033"/>
      <c r="V3033"/>
      <c r="W3033"/>
      <c r="X3033"/>
      <c r="Y3033"/>
      <c r="Z3033"/>
      <c r="AA3033"/>
      <c r="AB3033"/>
      <c r="AC3033"/>
      <c r="AD3033"/>
      <c r="AE3033"/>
      <c r="AF3033"/>
      <c r="AG3033"/>
      <c r="AH3033"/>
      <c r="AI3033"/>
      <c r="AJ3033"/>
      <c r="AK3033"/>
      <c r="AL3033"/>
    </row>
    <row r="3034" spans="1:38" ht="15.75" customHeight="1" outlineLevel="3" x14ac:dyDescent="0.2">
      <c r="A3034" s="10">
        <v>62</v>
      </c>
      <c r="B3034" s="10" t="s">
        <v>71</v>
      </c>
      <c r="C3034" s="10" t="s">
        <v>597</v>
      </c>
      <c r="D3034" s="10" t="s">
        <v>160</v>
      </c>
      <c r="E3034" s="11" t="str">
        <f t="array" ref="E3034">_xlfn.XLOOKUP(D3034,Insumos!B:B,Insumos!C:$C)</f>
        <v>KG</v>
      </c>
      <c r="F3034" s="14">
        <f>(0.5*0.8)/0.2</f>
        <v>2</v>
      </c>
      <c r="G3034" s="92">
        <f t="array" ref="G3034">IF(B3034="insumo",_xlfn.XLOOKUP($D3034,Insumos!$B$1:$B$996,Insumos!$D$1:$D$996),"")</f>
        <v>0.76</v>
      </c>
      <c r="H3034" s="92">
        <v>1.52</v>
      </c>
      <c r="I3034" s="13">
        <v>0</v>
      </c>
      <c r="J3034" s="13">
        <v>0</v>
      </c>
      <c r="K3034" s="13"/>
      <c r="L3034"/>
      <c r="M3034"/>
      <c r="N3034"/>
      <c r="O3034"/>
      <c r="P3034"/>
      <c r="Q3034"/>
      <c r="R3034"/>
      <c r="S3034"/>
      <c r="T3034"/>
      <c r="U3034"/>
      <c r="V3034"/>
      <c r="W3034"/>
      <c r="X3034"/>
      <c r="Y3034"/>
      <c r="Z3034"/>
      <c r="AA3034"/>
      <c r="AB3034"/>
      <c r="AC3034"/>
      <c r="AD3034"/>
      <c r="AE3034"/>
      <c r="AF3034"/>
      <c r="AG3034"/>
      <c r="AH3034"/>
      <c r="AI3034"/>
      <c r="AJ3034"/>
      <c r="AK3034"/>
      <c r="AL3034"/>
    </row>
    <row r="3035" spans="1:38" ht="15.75" customHeight="1" outlineLevel="2" x14ac:dyDescent="0.2">
      <c r="A3035" s="1067">
        <v>1</v>
      </c>
      <c r="B3035" s="1067" t="s">
        <v>68</v>
      </c>
      <c r="C3035" s="1067" t="s">
        <v>598</v>
      </c>
      <c r="D3035" s="1067" t="s">
        <v>598</v>
      </c>
      <c r="E3035" s="1068" t="s">
        <v>70</v>
      </c>
      <c r="F3035" s="1067"/>
      <c r="G3035" s="1069" t="str">
        <f t="array" ref="G3035">IF(B3035="insumo",_xlfn.XLOOKUP($D3035,Insumos!$B$1:$B$996,Insumos!$D$1:$D$996),"")</f>
        <v/>
      </c>
      <c r="H3035" s="1069">
        <v>85.530699999999996</v>
      </c>
      <c r="I3035" s="1070">
        <v>0</v>
      </c>
      <c r="J3035" s="1070">
        <v>0</v>
      </c>
      <c r="K3035" s="1070"/>
      <c r="L3035"/>
      <c r="M3035"/>
      <c r="N3035"/>
      <c r="O3035"/>
      <c r="P3035"/>
      <c r="Q3035"/>
      <c r="R3035"/>
      <c r="S3035"/>
      <c r="T3035"/>
      <c r="U3035"/>
      <c r="V3035"/>
      <c r="W3035"/>
      <c r="X3035"/>
      <c r="Y3035"/>
      <c r="Z3035"/>
      <c r="AA3035"/>
      <c r="AB3035"/>
      <c r="AC3035"/>
      <c r="AD3035"/>
      <c r="AE3035"/>
      <c r="AF3035"/>
      <c r="AG3035"/>
      <c r="AH3035"/>
      <c r="AI3035"/>
      <c r="AJ3035"/>
      <c r="AK3035"/>
      <c r="AL3035"/>
    </row>
    <row r="3036" spans="1:38" ht="15.75" customHeight="1" outlineLevel="3" x14ac:dyDescent="0.2">
      <c r="A3036" s="10">
        <v>6</v>
      </c>
      <c r="B3036" s="10" t="s">
        <v>71</v>
      </c>
      <c r="C3036" s="10" t="s">
        <v>598</v>
      </c>
      <c r="D3036" s="10" t="s">
        <v>595</v>
      </c>
      <c r="E3036" s="11" t="str">
        <f t="array" ref="E3036">_xlfn.XLOOKUP(D3036,Insumos!B:B,Insumos!C:$C)</f>
        <v>KG</v>
      </c>
      <c r="F3036" s="14">
        <f>1.7*12</f>
        <v>20.399999999999999</v>
      </c>
      <c r="G3036" s="92">
        <f t="array" ref="G3036">IF(B3036="insumo",_xlfn.XLOOKUP($D3036,Insumos!$B$1:$B$996,Insumos!$D$1:$D$996),"")</f>
        <v>4</v>
      </c>
      <c r="H3036" s="92">
        <v>81.599999999999994</v>
      </c>
      <c r="I3036" s="13">
        <v>0</v>
      </c>
      <c r="J3036" s="13">
        <v>0</v>
      </c>
      <c r="K3036" s="13"/>
      <c r="L3036"/>
      <c r="M3036"/>
      <c r="N3036"/>
      <c r="O3036"/>
      <c r="P3036"/>
      <c r="Q3036"/>
      <c r="R3036"/>
      <c r="S3036"/>
      <c r="T3036"/>
      <c r="U3036"/>
      <c r="V3036"/>
      <c r="W3036"/>
      <c r="X3036"/>
      <c r="Y3036"/>
      <c r="Z3036"/>
      <c r="AA3036"/>
      <c r="AB3036"/>
      <c r="AC3036"/>
      <c r="AD3036"/>
      <c r="AE3036"/>
      <c r="AF3036"/>
      <c r="AG3036"/>
      <c r="AH3036"/>
      <c r="AI3036"/>
      <c r="AJ3036"/>
      <c r="AK3036"/>
      <c r="AL3036"/>
    </row>
    <row r="3037" spans="1:38" ht="15.75" customHeight="1" outlineLevel="3" x14ac:dyDescent="0.2">
      <c r="A3037" s="10">
        <v>41</v>
      </c>
      <c r="B3037" s="10" t="s">
        <v>71</v>
      </c>
      <c r="C3037" s="10" t="s">
        <v>598</v>
      </c>
      <c r="D3037" s="10" t="s">
        <v>503</v>
      </c>
      <c r="E3037" s="11" t="str">
        <f t="array" ref="E3037">_xlfn.XLOOKUP(D3037,Insumos!B:B,Insumos!C:$C)</f>
        <v>L</v>
      </c>
      <c r="F3037" s="14">
        <f>(0.021*1)/0.2</f>
        <v>0.105</v>
      </c>
      <c r="G3037" s="92">
        <f t="array" ref="G3037">IF(B3037="insumo",_xlfn.XLOOKUP($D3037,Insumos!$B$1:$B$996,Insumos!$D$1:$D$996),"")</f>
        <v>19.34</v>
      </c>
      <c r="H3037" s="92">
        <v>2.0306999999999999</v>
      </c>
      <c r="I3037" s="13">
        <v>0</v>
      </c>
      <c r="J3037" s="13">
        <v>0</v>
      </c>
      <c r="K3037" s="13"/>
      <c r="L3037"/>
      <c r="M3037"/>
      <c r="N3037"/>
      <c r="O3037"/>
      <c r="P3037"/>
      <c r="Q3037"/>
      <c r="R3037"/>
      <c r="S3037"/>
      <c r="T3037"/>
      <c r="U3037"/>
      <c r="V3037"/>
      <c r="W3037"/>
      <c r="X3037"/>
      <c r="Y3037"/>
      <c r="Z3037"/>
      <c r="AA3037"/>
      <c r="AB3037"/>
      <c r="AC3037"/>
      <c r="AD3037"/>
      <c r="AE3037"/>
      <c r="AF3037"/>
      <c r="AG3037"/>
      <c r="AH3037"/>
      <c r="AI3037"/>
      <c r="AJ3037"/>
      <c r="AK3037"/>
      <c r="AL3037"/>
    </row>
    <row r="3038" spans="1:38" ht="15.75" customHeight="1" outlineLevel="3" x14ac:dyDescent="0.2">
      <c r="A3038" s="10">
        <v>62</v>
      </c>
      <c r="B3038" s="10" t="s">
        <v>71</v>
      </c>
      <c r="C3038" s="10" t="s">
        <v>598</v>
      </c>
      <c r="D3038" s="10" t="s">
        <v>160</v>
      </c>
      <c r="E3038" s="11" t="str">
        <f t="array" ref="E3038">_xlfn.XLOOKUP(D3038,Insumos!B:B,Insumos!C:$C)</f>
        <v>KG</v>
      </c>
      <c r="F3038" s="14">
        <f>(0.5*1)/0.2</f>
        <v>2.5</v>
      </c>
      <c r="G3038" s="92">
        <f t="array" ref="G3038">IF(B3038="insumo",_xlfn.XLOOKUP($D3038,Insumos!$B$1:$B$996,Insumos!$D$1:$D$996),"")</f>
        <v>0.76</v>
      </c>
      <c r="H3038" s="92">
        <v>1.9</v>
      </c>
      <c r="I3038" s="13">
        <v>0</v>
      </c>
      <c r="J3038" s="13">
        <v>0</v>
      </c>
      <c r="K3038" s="13"/>
      <c r="L3038"/>
      <c r="M3038"/>
      <c r="N3038"/>
      <c r="O3038"/>
      <c r="P3038"/>
      <c r="Q3038"/>
      <c r="R3038"/>
      <c r="S3038"/>
      <c r="T3038"/>
      <c r="U3038"/>
      <c r="V3038"/>
      <c r="W3038"/>
      <c r="X3038"/>
      <c r="Y3038"/>
      <c r="Z3038"/>
      <c r="AA3038"/>
      <c r="AB3038"/>
      <c r="AC3038"/>
      <c r="AD3038"/>
      <c r="AE3038"/>
      <c r="AF3038"/>
      <c r="AG3038"/>
      <c r="AH3038"/>
      <c r="AI3038"/>
      <c r="AJ3038"/>
      <c r="AK3038"/>
      <c r="AL3038"/>
    </row>
    <row r="3039" spans="1:38" ht="15.75" customHeight="1" outlineLevel="2" x14ac:dyDescent="0.2">
      <c r="A3039" s="1067">
        <v>1</v>
      </c>
      <c r="B3039" s="1067" t="s">
        <v>68</v>
      </c>
      <c r="C3039" s="1067" t="s">
        <v>599</v>
      </c>
      <c r="D3039" s="1067" t="s">
        <v>599</v>
      </c>
      <c r="E3039" s="1068" t="s">
        <v>70</v>
      </c>
      <c r="F3039" s="1067"/>
      <c r="G3039" s="1069" t="str">
        <f t="array" ref="G3039">IF(B3039="insumo",_xlfn.XLOOKUP($D3039,Insumos!$B$1:$B$996,Insumos!$D$1:$D$996),"")</f>
        <v/>
      </c>
      <c r="H3039" s="1069">
        <v>93.116839999999996</v>
      </c>
      <c r="I3039" s="1070">
        <v>0</v>
      </c>
      <c r="J3039" s="1070">
        <v>0</v>
      </c>
      <c r="K3039" s="1070"/>
      <c r="L3039"/>
      <c r="M3039"/>
      <c r="N3039"/>
      <c r="O3039"/>
      <c r="P3039"/>
      <c r="Q3039"/>
      <c r="R3039"/>
      <c r="S3039"/>
      <c r="T3039"/>
      <c r="U3039"/>
      <c r="V3039"/>
      <c r="W3039"/>
      <c r="X3039"/>
      <c r="Y3039"/>
      <c r="Z3039"/>
      <c r="AA3039"/>
      <c r="AB3039"/>
      <c r="AC3039"/>
      <c r="AD3039"/>
      <c r="AE3039"/>
      <c r="AF3039"/>
      <c r="AG3039"/>
      <c r="AH3039"/>
      <c r="AI3039"/>
      <c r="AJ3039"/>
      <c r="AK3039"/>
      <c r="AL3039"/>
    </row>
    <row r="3040" spans="1:38" ht="15.75" customHeight="1" outlineLevel="3" x14ac:dyDescent="0.2">
      <c r="A3040" s="10">
        <v>6</v>
      </c>
      <c r="B3040" s="10" t="s">
        <v>71</v>
      </c>
      <c r="C3040" s="10" t="s">
        <v>599</v>
      </c>
      <c r="D3040" s="10" t="s">
        <v>595</v>
      </c>
      <c r="E3040" s="11" t="str">
        <f t="array" ref="E3040">_xlfn.XLOOKUP(D3040,Insumos!B:B,Insumos!C:$C)</f>
        <v>KG</v>
      </c>
      <c r="F3040" s="14">
        <f>1.7*13</f>
        <v>22.099999999999998</v>
      </c>
      <c r="G3040" s="92">
        <f t="array" ref="G3040">IF(B3040="insumo",_xlfn.XLOOKUP($D3040,Insumos!$B$1:$B$996,Insumos!$D$1:$D$996),"")</f>
        <v>4</v>
      </c>
      <c r="H3040" s="92">
        <v>88.4</v>
      </c>
      <c r="I3040" s="13">
        <v>0</v>
      </c>
      <c r="J3040" s="13">
        <v>0</v>
      </c>
      <c r="K3040" s="13"/>
      <c r="L3040"/>
      <c r="M3040"/>
      <c r="N3040"/>
      <c r="O3040"/>
      <c r="P3040"/>
      <c r="Q3040"/>
      <c r="R3040"/>
      <c r="S3040"/>
      <c r="T3040"/>
      <c r="U3040"/>
      <c r="V3040"/>
      <c r="W3040"/>
      <c r="X3040"/>
      <c r="Y3040"/>
      <c r="Z3040"/>
      <c r="AA3040"/>
      <c r="AB3040"/>
      <c r="AC3040"/>
      <c r="AD3040"/>
      <c r="AE3040"/>
      <c r="AF3040"/>
      <c r="AG3040"/>
      <c r="AH3040"/>
      <c r="AI3040"/>
      <c r="AJ3040"/>
      <c r="AK3040"/>
      <c r="AL3040"/>
    </row>
    <row r="3041" spans="1:38" ht="15.75" customHeight="1" outlineLevel="3" x14ac:dyDescent="0.2">
      <c r="A3041" s="10">
        <v>41</v>
      </c>
      <c r="B3041" s="10" t="s">
        <v>71</v>
      </c>
      <c r="C3041" s="10" t="s">
        <v>599</v>
      </c>
      <c r="D3041" s="10" t="s">
        <v>503</v>
      </c>
      <c r="E3041" s="11" t="str">
        <f t="array" ref="E3041">_xlfn.XLOOKUP(D3041,Insumos!B:B,Insumos!C:$C)</f>
        <v>L</v>
      </c>
      <c r="F3041" s="14">
        <f>(0.021*1.2)/0.2</f>
        <v>0.126</v>
      </c>
      <c r="G3041" s="92">
        <f t="array" ref="G3041">IF(B3041="insumo",_xlfn.XLOOKUP($D3041,Insumos!$B$1:$B$996,Insumos!$D$1:$D$996),"")</f>
        <v>19.34</v>
      </c>
      <c r="H3041" s="92">
        <v>2.4368400000000001</v>
      </c>
      <c r="I3041" s="13">
        <v>0</v>
      </c>
      <c r="J3041" s="13">
        <v>0</v>
      </c>
      <c r="K3041" s="13"/>
      <c r="L3041"/>
      <c r="M3041"/>
      <c r="N3041"/>
      <c r="O3041"/>
      <c r="P3041"/>
      <c r="Q3041"/>
      <c r="R3041"/>
      <c r="S3041"/>
      <c r="T3041"/>
      <c r="U3041"/>
      <c r="V3041"/>
      <c r="W3041"/>
      <c r="X3041"/>
      <c r="Y3041"/>
      <c r="Z3041"/>
      <c r="AA3041"/>
      <c r="AB3041"/>
      <c r="AC3041"/>
      <c r="AD3041"/>
      <c r="AE3041"/>
      <c r="AF3041"/>
      <c r="AG3041"/>
      <c r="AH3041"/>
      <c r="AI3041"/>
      <c r="AJ3041"/>
      <c r="AK3041"/>
      <c r="AL3041"/>
    </row>
    <row r="3042" spans="1:38" ht="15.75" customHeight="1" outlineLevel="3" x14ac:dyDescent="0.2">
      <c r="A3042" s="10">
        <v>62</v>
      </c>
      <c r="B3042" s="10" t="s">
        <v>71</v>
      </c>
      <c r="C3042" s="10" t="s">
        <v>599</v>
      </c>
      <c r="D3042" s="10" t="s">
        <v>160</v>
      </c>
      <c r="E3042" s="11" t="str">
        <f t="array" ref="E3042">_xlfn.XLOOKUP(D3042,Insumos!B:B,Insumos!C:$C)</f>
        <v>KG</v>
      </c>
      <c r="F3042" s="14">
        <f>(0.5*1.2)/0.2</f>
        <v>2.9999999999999996</v>
      </c>
      <c r="G3042" s="92">
        <f t="array" ref="G3042">IF(B3042="insumo",_xlfn.XLOOKUP($D3042,Insumos!$B$1:$B$996,Insumos!$D$1:$D$996),"")</f>
        <v>0.76</v>
      </c>
      <c r="H3042" s="92">
        <v>2.2799999999999998</v>
      </c>
      <c r="I3042" s="13">
        <v>0</v>
      </c>
      <c r="J3042" s="13">
        <v>0</v>
      </c>
      <c r="K3042" s="13"/>
      <c r="L3042"/>
      <c r="M3042"/>
      <c r="N3042"/>
      <c r="O3042"/>
      <c r="P3042"/>
      <c r="Q3042"/>
      <c r="R3042"/>
      <c r="S3042"/>
      <c r="T3042"/>
      <c r="U3042"/>
      <c r="V3042"/>
      <c r="W3042"/>
      <c r="X3042"/>
      <c r="Y3042"/>
      <c r="Z3042"/>
      <c r="AA3042"/>
      <c r="AB3042"/>
      <c r="AC3042"/>
      <c r="AD3042"/>
      <c r="AE3042"/>
      <c r="AF3042"/>
      <c r="AG3042"/>
      <c r="AH3042"/>
      <c r="AI3042"/>
      <c r="AJ3042"/>
      <c r="AK3042"/>
      <c r="AL3042"/>
    </row>
    <row r="3043" spans="1:38" ht="15.75" customHeight="1" outlineLevel="2" x14ac:dyDescent="0.2">
      <c r="A3043" s="1067">
        <v>1</v>
      </c>
      <c r="B3043" s="1067" t="s">
        <v>68</v>
      </c>
      <c r="C3043" s="1067" t="s">
        <v>600</v>
      </c>
      <c r="D3043" s="1067" t="s">
        <v>600</v>
      </c>
      <c r="E3043" s="1068" t="s">
        <v>70</v>
      </c>
      <c r="F3043" s="1067"/>
      <c r="G3043" s="1069" t="str">
        <f t="array" ref="G3043">IF(B3043="insumo",_xlfn.XLOOKUP($D3043,Insumos!$B$1:$B$996,Insumos!$D$1:$D$996),"")</f>
        <v/>
      </c>
      <c r="H3043" s="1069">
        <v>107.10991</v>
      </c>
      <c r="I3043" s="1070">
        <v>0</v>
      </c>
      <c r="J3043" s="1070">
        <v>0</v>
      </c>
      <c r="K3043" s="1070"/>
      <c r="L3043"/>
      <c r="M3043"/>
      <c r="N3043"/>
      <c r="O3043"/>
      <c r="P3043"/>
      <c r="Q3043"/>
      <c r="R3043"/>
      <c r="S3043"/>
      <c r="T3043"/>
      <c r="U3043"/>
      <c r="V3043"/>
      <c r="W3043"/>
      <c r="X3043"/>
      <c r="Y3043"/>
      <c r="Z3043"/>
      <c r="AA3043"/>
      <c r="AB3043"/>
      <c r="AC3043"/>
      <c r="AD3043"/>
      <c r="AE3043"/>
      <c r="AF3043"/>
      <c r="AG3043"/>
      <c r="AH3043"/>
      <c r="AI3043"/>
      <c r="AJ3043"/>
      <c r="AK3043"/>
      <c r="AL3043"/>
    </row>
    <row r="3044" spans="1:38" ht="15.75" customHeight="1" outlineLevel="3" x14ac:dyDescent="0.2">
      <c r="A3044" s="10">
        <v>6</v>
      </c>
      <c r="B3044" s="10" t="s">
        <v>71</v>
      </c>
      <c r="C3044" s="10" t="s">
        <v>600</v>
      </c>
      <c r="D3044" s="10" t="s">
        <v>595</v>
      </c>
      <c r="E3044" s="11" t="str">
        <f t="array" ref="E3044">_xlfn.XLOOKUP(D3044,Insumos!B:B,Insumos!C:$C)</f>
        <v>KG</v>
      </c>
      <c r="F3044" s="14">
        <f>1.7*15</f>
        <v>25.5</v>
      </c>
      <c r="G3044" s="92">
        <f t="array" ref="G3044">IF(B3044="insumo",_xlfn.XLOOKUP($D3044,Insumos!$B$1:$B$996,Insumos!$D$1:$D$996),"")</f>
        <v>4</v>
      </c>
      <c r="H3044" s="92">
        <v>102</v>
      </c>
      <c r="I3044" s="13">
        <v>0</v>
      </c>
      <c r="J3044" s="13">
        <v>0</v>
      </c>
      <c r="K3044" s="13"/>
      <c r="L3044"/>
      <c r="M3044"/>
      <c r="N3044"/>
      <c r="O3044"/>
      <c r="P3044"/>
      <c r="Q3044"/>
      <c r="R3044"/>
      <c r="S3044"/>
      <c r="T3044"/>
      <c r="U3044"/>
      <c r="V3044"/>
      <c r="W3044"/>
      <c r="X3044"/>
      <c r="Y3044"/>
      <c r="Z3044"/>
      <c r="AA3044"/>
      <c r="AB3044"/>
      <c r="AC3044"/>
      <c r="AD3044"/>
      <c r="AE3044"/>
      <c r="AF3044"/>
      <c r="AG3044"/>
      <c r="AH3044"/>
      <c r="AI3044"/>
      <c r="AJ3044"/>
      <c r="AK3044"/>
      <c r="AL3044"/>
    </row>
    <row r="3045" spans="1:38" ht="15.75" customHeight="1" outlineLevel="3" x14ac:dyDescent="0.2">
      <c r="A3045" s="10">
        <v>41</v>
      </c>
      <c r="B3045" s="10" t="s">
        <v>71</v>
      </c>
      <c r="C3045" s="10" t="s">
        <v>600</v>
      </c>
      <c r="D3045" s="10" t="s">
        <v>503</v>
      </c>
      <c r="E3045" s="11" t="str">
        <f t="array" ref="E3045">_xlfn.XLOOKUP(D3045,Insumos!B:B,Insumos!C:$C)</f>
        <v>L</v>
      </c>
      <c r="F3045" s="14">
        <f>(0.021*1.3)/0.2</f>
        <v>0.13650000000000001</v>
      </c>
      <c r="G3045" s="92">
        <f t="array" ref="G3045">IF(B3045="insumo",_xlfn.XLOOKUP($D3045,Insumos!$B$1:$B$996,Insumos!$D$1:$D$996),"")</f>
        <v>19.34</v>
      </c>
      <c r="H3045" s="92">
        <v>2.63991</v>
      </c>
      <c r="I3045" s="13">
        <v>0</v>
      </c>
      <c r="J3045" s="13">
        <v>0</v>
      </c>
      <c r="K3045" s="13"/>
      <c r="L3045"/>
      <c r="M3045"/>
      <c r="N3045"/>
      <c r="O3045"/>
      <c r="P3045"/>
      <c r="Q3045"/>
      <c r="R3045"/>
      <c r="S3045"/>
      <c r="T3045"/>
      <c r="U3045"/>
      <c r="V3045"/>
      <c r="W3045"/>
      <c r="X3045"/>
      <c r="Y3045"/>
      <c r="Z3045"/>
      <c r="AA3045"/>
      <c r="AB3045"/>
      <c r="AC3045"/>
      <c r="AD3045"/>
      <c r="AE3045"/>
      <c r="AF3045"/>
      <c r="AG3045"/>
      <c r="AH3045"/>
      <c r="AI3045"/>
      <c r="AJ3045"/>
      <c r="AK3045"/>
      <c r="AL3045"/>
    </row>
    <row r="3046" spans="1:38" ht="15.75" customHeight="1" outlineLevel="3" x14ac:dyDescent="0.2">
      <c r="A3046" s="10">
        <v>62</v>
      </c>
      <c r="B3046" s="10" t="s">
        <v>71</v>
      </c>
      <c r="C3046" s="10" t="s">
        <v>600</v>
      </c>
      <c r="D3046" s="10" t="s">
        <v>160</v>
      </c>
      <c r="E3046" s="11" t="str">
        <f t="array" ref="E3046">_xlfn.XLOOKUP(D3046,Insumos!B:B,Insumos!C:$C)</f>
        <v>KG</v>
      </c>
      <c r="F3046" s="14">
        <f>(0.5*1.3)/0.2</f>
        <v>3.25</v>
      </c>
      <c r="G3046" s="92">
        <f t="array" ref="G3046">IF(B3046="insumo",_xlfn.XLOOKUP($D3046,Insumos!$B$1:$B$996,Insumos!$D$1:$D$996),"")</f>
        <v>0.76</v>
      </c>
      <c r="H3046" s="92">
        <v>2.4700000000000002</v>
      </c>
      <c r="I3046" s="13">
        <v>0</v>
      </c>
      <c r="J3046" s="13">
        <v>0</v>
      </c>
      <c r="K3046" s="13"/>
      <c r="L3046"/>
      <c r="M3046"/>
      <c r="N3046"/>
      <c r="O3046"/>
      <c r="P3046"/>
      <c r="Q3046"/>
      <c r="R3046"/>
      <c r="S3046"/>
      <c r="T3046"/>
      <c r="U3046"/>
      <c r="V3046"/>
      <c r="W3046"/>
      <c r="X3046"/>
      <c r="Y3046"/>
      <c r="Z3046"/>
      <c r="AA3046"/>
      <c r="AB3046"/>
      <c r="AC3046"/>
      <c r="AD3046"/>
      <c r="AE3046"/>
      <c r="AF3046"/>
      <c r="AG3046"/>
      <c r="AH3046"/>
      <c r="AI3046"/>
      <c r="AJ3046"/>
      <c r="AK3046"/>
      <c r="AL3046"/>
    </row>
    <row r="3047" spans="1:38" ht="15.75" customHeight="1" outlineLevel="1" x14ac:dyDescent="0.2">
      <c r="A3047" s="1090">
        <v>1</v>
      </c>
      <c r="B3047" s="1090" t="s">
        <v>1228</v>
      </c>
      <c r="C3047" s="1090" t="s">
        <v>600</v>
      </c>
      <c r="D3047" s="1090" t="s">
        <v>1462</v>
      </c>
      <c r="E3047" s="1091"/>
      <c r="F3047" s="1092"/>
      <c r="G3047" s="1091"/>
      <c r="H3047" s="1091">
        <v>0</v>
      </c>
      <c r="I3047" s="1092">
        <v>0</v>
      </c>
      <c r="J3047" s="1092">
        <v>0</v>
      </c>
      <c r="K3047" s="1092"/>
      <c r="L3047"/>
      <c r="M3047"/>
      <c r="N3047"/>
      <c r="O3047"/>
      <c r="P3047"/>
      <c r="Q3047"/>
      <c r="R3047"/>
      <c r="S3047"/>
      <c r="T3047"/>
      <c r="U3047"/>
      <c r="V3047"/>
      <c r="W3047"/>
      <c r="X3047"/>
      <c r="Y3047"/>
      <c r="Z3047"/>
      <c r="AA3047"/>
      <c r="AB3047"/>
      <c r="AC3047"/>
      <c r="AD3047"/>
      <c r="AE3047"/>
      <c r="AF3047"/>
      <c r="AG3047"/>
      <c r="AH3047"/>
      <c r="AI3047"/>
      <c r="AJ3047"/>
      <c r="AK3047"/>
      <c r="AL3047"/>
    </row>
    <row r="3048" spans="1:38" ht="15.75" customHeight="1" outlineLevel="2" x14ac:dyDescent="0.2">
      <c r="A3048" s="1067">
        <v>1</v>
      </c>
      <c r="B3048" s="1067" t="s">
        <v>68</v>
      </c>
      <c r="C3048" s="1067" t="s">
        <v>601</v>
      </c>
      <c r="D3048" s="1067" t="s">
        <v>601</v>
      </c>
      <c r="E3048" s="1068" t="s">
        <v>70</v>
      </c>
      <c r="F3048" s="1067"/>
      <c r="G3048" s="1069" t="str">
        <f t="array" ref="G3048">IF(B3048="insumo",_xlfn.XLOOKUP($D3048,Insumos!$B$1:$B$996,Insumos!$D$1:$D$996),"")</f>
        <v/>
      </c>
      <c r="H3048" s="1069">
        <v>26.58521</v>
      </c>
      <c r="I3048" s="1070">
        <v>0</v>
      </c>
      <c r="J3048" s="1070">
        <v>0</v>
      </c>
      <c r="K3048" s="1070"/>
      <c r="L3048"/>
      <c r="M3048"/>
      <c r="N3048"/>
      <c r="O3048"/>
      <c r="P3048"/>
      <c r="Q3048"/>
      <c r="R3048"/>
      <c r="S3048"/>
      <c r="T3048"/>
      <c r="U3048"/>
      <c r="V3048"/>
      <c r="W3048"/>
      <c r="X3048"/>
      <c r="Y3048"/>
      <c r="Z3048"/>
      <c r="AA3048"/>
      <c r="AB3048"/>
      <c r="AC3048"/>
      <c r="AD3048"/>
      <c r="AE3048"/>
      <c r="AF3048"/>
      <c r="AG3048"/>
      <c r="AH3048"/>
      <c r="AI3048"/>
      <c r="AJ3048"/>
      <c r="AK3048"/>
      <c r="AL3048"/>
    </row>
    <row r="3049" spans="1:38" ht="15.75" customHeight="1" outlineLevel="3" x14ac:dyDescent="0.2">
      <c r="A3049" s="10">
        <v>1</v>
      </c>
      <c r="B3049" s="10" t="s">
        <v>71</v>
      </c>
      <c r="C3049" s="10" t="s">
        <v>601</v>
      </c>
      <c r="D3049" s="10" t="s">
        <v>602</v>
      </c>
      <c r="E3049" s="11" t="str">
        <f t="array" ref="E3049">_xlfn.XLOOKUP(D3049,Insumos!B:B,Insumos!C:$C)</f>
        <v>L</v>
      </c>
      <c r="F3049" s="14">
        <v>1.4350000000000001</v>
      </c>
      <c r="G3049" s="92">
        <f t="array" ref="G3049">IF(B3049="insumo",_xlfn.XLOOKUP($D3049,Insumos!$B$1:$B$996,Insumos!$D$1:$D$996),"")</f>
        <v>7.16</v>
      </c>
      <c r="H3049" s="92">
        <v>10.2746</v>
      </c>
      <c r="I3049" s="13">
        <v>0</v>
      </c>
      <c r="J3049" s="13">
        <v>0</v>
      </c>
      <c r="K3049" s="13"/>
      <c r="L3049"/>
      <c r="M3049"/>
      <c r="N3049"/>
      <c r="O3049"/>
      <c r="P3049"/>
      <c r="Q3049"/>
      <c r="R3049"/>
      <c r="S3049"/>
      <c r="T3049"/>
      <c r="U3049"/>
      <c r="V3049"/>
      <c r="W3049"/>
      <c r="X3049"/>
      <c r="Y3049"/>
      <c r="Z3049"/>
      <c r="AA3049"/>
      <c r="AB3049"/>
      <c r="AC3049"/>
      <c r="AD3049"/>
      <c r="AE3049"/>
      <c r="AF3049"/>
      <c r="AG3049"/>
      <c r="AH3049"/>
      <c r="AI3049"/>
      <c r="AJ3049"/>
      <c r="AK3049"/>
      <c r="AL3049"/>
    </row>
    <row r="3050" spans="1:38" ht="15.75" customHeight="1" outlineLevel="3" x14ac:dyDescent="0.2">
      <c r="A3050" s="10">
        <v>3</v>
      </c>
      <c r="B3050" s="10" t="s">
        <v>71</v>
      </c>
      <c r="C3050" s="10" t="s">
        <v>601</v>
      </c>
      <c r="D3050" s="10" t="s">
        <v>446</v>
      </c>
      <c r="E3050" s="11" t="str">
        <f t="array" ref="E3050">_xlfn.XLOOKUP(D3050,Insumos!B:B,Insumos!C:$C)</f>
        <v>M2</v>
      </c>
      <c r="F3050" s="14">
        <v>1.143</v>
      </c>
      <c r="G3050" s="92">
        <f t="array" ref="G3050">IF(B3050="insumo",_xlfn.XLOOKUP($D3050,Insumos!$B$1:$B$996,Insumos!$D$1:$D$996),"")</f>
        <v>14.27</v>
      </c>
      <c r="H3050" s="92">
        <v>16.31061</v>
      </c>
      <c r="I3050" s="13">
        <v>0</v>
      </c>
      <c r="J3050" s="13">
        <v>0</v>
      </c>
      <c r="K3050" s="13"/>
      <c r="L3050"/>
      <c r="M3050"/>
      <c r="N3050"/>
      <c r="O3050"/>
      <c r="P3050"/>
      <c r="Q3050"/>
      <c r="R3050"/>
      <c r="S3050"/>
      <c r="T3050"/>
      <c r="U3050"/>
      <c r="V3050"/>
      <c r="W3050"/>
      <c r="X3050"/>
      <c r="Y3050"/>
      <c r="Z3050"/>
      <c r="AA3050"/>
      <c r="AB3050"/>
      <c r="AC3050"/>
      <c r="AD3050"/>
      <c r="AE3050"/>
      <c r="AF3050"/>
      <c r="AG3050"/>
      <c r="AH3050"/>
      <c r="AI3050"/>
      <c r="AJ3050"/>
      <c r="AK3050"/>
      <c r="AL3050"/>
    </row>
    <row r="3051" spans="1:38" ht="15.75" customHeight="1" outlineLevel="2" x14ac:dyDescent="0.2">
      <c r="A3051" s="1067">
        <v>1</v>
      </c>
      <c r="B3051" s="1067" t="s">
        <v>68</v>
      </c>
      <c r="C3051" s="1067" t="s">
        <v>603</v>
      </c>
      <c r="D3051" s="1067" t="s">
        <v>603</v>
      </c>
      <c r="E3051" s="1068" t="s">
        <v>70</v>
      </c>
      <c r="F3051" s="1067"/>
      <c r="G3051" s="1069" t="str">
        <f t="array" ref="G3051">IF(B3051="insumo",_xlfn.XLOOKUP($D3051,Insumos!$B$1:$B$996,Insumos!$D$1:$D$996),"")</f>
        <v/>
      </c>
      <c r="H3051" s="1069">
        <v>49.921721111111097</v>
      </c>
      <c r="I3051" s="1070">
        <v>5725.7</v>
      </c>
      <c r="J3051" s="1070">
        <v>285836.79856588901</v>
      </c>
      <c r="K3051" s="1070"/>
      <c r="L3051"/>
      <c r="M3051"/>
      <c r="N3051"/>
      <c r="O3051"/>
      <c r="P3051"/>
      <c r="Q3051"/>
      <c r="R3051"/>
      <c r="S3051"/>
      <c r="T3051"/>
      <c r="U3051"/>
      <c r="V3051"/>
      <c r="W3051"/>
      <c r="X3051"/>
      <c r="Y3051"/>
      <c r="Z3051"/>
      <c r="AA3051"/>
      <c r="AB3051"/>
      <c r="AC3051"/>
      <c r="AD3051"/>
      <c r="AE3051"/>
      <c r="AF3051"/>
      <c r="AG3051"/>
      <c r="AH3051"/>
      <c r="AI3051"/>
      <c r="AJ3051"/>
      <c r="AK3051"/>
      <c r="AL3051"/>
    </row>
    <row r="3052" spans="1:38" ht="15.75" customHeight="1" outlineLevel="3" x14ac:dyDescent="0.2">
      <c r="A3052" s="10">
        <v>2</v>
      </c>
      <c r="B3052" s="10" t="s">
        <v>71</v>
      </c>
      <c r="C3052" s="10" t="s">
        <v>603</v>
      </c>
      <c r="D3052" s="10" t="s">
        <v>604</v>
      </c>
      <c r="E3052" s="11" t="str">
        <f t="array" ref="E3052">_xlfn.XLOOKUP(D3052,Insumos!B:B,Insumos!C:$C)</f>
        <v>M2</v>
      </c>
      <c r="F3052" s="14">
        <v>1.1000000000000001</v>
      </c>
      <c r="G3052" s="92">
        <f t="array" ref="G3052">IF(B3052="insumo",_xlfn.XLOOKUP($D3052,Insumos!$B$1:$B$996,Insumos!$D$1:$D$996),"")</f>
        <v>30.555555555555557</v>
      </c>
      <c r="H3052" s="92">
        <v>33.6111111111111</v>
      </c>
      <c r="I3052" s="13">
        <v>5725.7</v>
      </c>
      <c r="J3052" s="13">
        <v>192447.13888888899</v>
      </c>
      <c r="K3052" s="13"/>
      <c r="L3052"/>
      <c r="M3052"/>
      <c r="N3052"/>
      <c r="O3052"/>
      <c r="P3052"/>
      <c r="Q3052"/>
      <c r="R3052"/>
      <c r="S3052"/>
      <c r="T3052"/>
      <c r="U3052"/>
      <c r="V3052"/>
      <c r="W3052"/>
      <c r="X3052"/>
      <c r="Y3052"/>
      <c r="Z3052"/>
      <c r="AA3052"/>
      <c r="AB3052"/>
      <c r="AC3052"/>
      <c r="AD3052"/>
      <c r="AE3052"/>
      <c r="AF3052"/>
      <c r="AG3052"/>
      <c r="AH3052"/>
      <c r="AI3052"/>
      <c r="AJ3052"/>
      <c r="AK3052"/>
      <c r="AL3052"/>
    </row>
    <row r="3053" spans="1:38" ht="15.75" customHeight="1" outlineLevel="3" x14ac:dyDescent="0.2">
      <c r="A3053" s="10">
        <v>3</v>
      </c>
      <c r="B3053" s="10" t="s">
        <v>71</v>
      </c>
      <c r="C3053" s="10" t="s">
        <v>603</v>
      </c>
      <c r="D3053" s="10" t="s">
        <v>446</v>
      </c>
      <c r="E3053" s="11" t="str">
        <f t="array" ref="E3053">_xlfn.XLOOKUP(D3053,Insumos!B:B,Insumos!C:$C)</f>
        <v>M2</v>
      </c>
      <c r="F3053" s="14">
        <v>1.143</v>
      </c>
      <c r="G3053" s="92">
        <f t="array" ref="G3053">IF(B3053="insumo",_xlfn.XLOOKUP($D3053,Insumos!$B$1:$B$996,Insumos!$D$1:$D$996),"")</f>
        <v>14.27</v>
      </c>
      <c r="H3053" s="92">
        <v>16.31061</v>
      </c>
      <c r="I3053" s="13">
        <v>5725.7</v>
      </c>
      <c r="J3053" s="13">
        <v>93389.659677000003</v>
      </c>
      <c r="K3053" s="13"/>
      <c r="L3053"/>
      <c r="M3053"/>
      <c r="N3053"/>
      <c r="O3053"/>
      <c r="P3053"/>
      <c r="Q3053"/>
      <c r="R3053"/>
      <c r="S3053"/>
      <c r="T3053"/>
      <c r="U3053"/>
      <c r="V3053"/>
      <c r="W3053"/>
      <c r="X3053"/>
      <c r="Y3053"/>
      <c r="Z3053"/>
      <c r="AA3053"/>
      <c r="AB3053"/>
      <c r="AC3053"/>
      <c r="AD3053"/>
      <c r="AE3053"/>
      <c r="AF3053"/>
      <c r="AG3053"/>
      <c r="AH3053"/>
      <c r="AI3053"/>
      <c r="AJ3053"/>
      <c r="AK3053"/>
      <c r="AL3053"/>
    </row>
    <row r="3054" spans="1:38" ht="15.75" customHeight="1" outlineLevel="2" x14ac:dyDescent="0.2">
      <c r="A3054" s="1067">
        <v>1</v>
      </c>
      <c r="B3054" s="1067" t="s">
        <v>68</v>
      </c>
      <c r="C3054" s="1067" t="s">
        <v>605</v>
      </c>
      <c r="D3054" s="1067" t="s">
        <v>605</v>
      </c>
      <c r="E3054" s="1068" t="s">
        <v>70</v>
      </c>
      <c r="F3054" s="1067"/>
      <c r="G3054" s="1069" t="str">
        <f t="array" ref="G3054">IF(B3054="insumo",_xlfn.XLOOKUP($D3054,Insumos!$B$1:$B$996,Insumos!$D$1:$D$996),"")</f>
        <v/>
      </c>
      <c r="H3054" s="1069">
        <v>38.118383333333298</v>
      </c>
      <c r="I3054" s="1070">
        <v>0</v>
      </c>
      <c r="J3054" s="1070">
        <v>0</v>
      </c>
      <c r="K3054" s="1070"/>
      <c r="L3054"/>
      <c r="M3054"/>
      <c r="N3054"/>
      <c r="O3054"/>
      <c r="P3054"/>
      <c r="Q3054"/>
      <c r="R3054"/>
      <c r="S3054"/>
      <c r="T3054"/>
      <c r="U3054"/>
      <c r="V3054"/>
      <c r="W3054"/>
      <c r="X3054"/>
      <c r="Y3054"/>
      <c r="Z3054"/>
      <c r="AA3054"/>
      <c r="AB3054"/>
      <c r="AC3054"/>
      <c r="AD3054"/>
      <c r="AE3054"/>
      <c r="AF3054"/>
      <c r="AG3054"/>
      <c r="AH3054"/>
      <c r="AI3054"/>
      <c r="AJ3054"/>
      <c r="AK3054"/>
      <c r="AL3054"/>
    </row>
    <row r="3055" spans="1:38" ht="15.75" customHeight="1" outlineLevel="3" x14ac:dyDescent="0.2">
      <c r="A3055" s="10">
        <v>1</v>
      </c>
      <c r="B3055" s="10" t="s">
        <v>71</v>
      </c>
      <c r="C3055" s="10" t="s">
        <v>605</v>
      </c>
      <c r="D3055" s="10" t="s">
        <v>606</v>
      </c>
      <c r="E3055" s="11" t="str">
        <f t="array" ref="E3055">_xlfn.XLOOKUP(D3055,Insumos!B:B,Insumos!C:$C)</f>
        <v>L</v>
      </c>
      <c r="F3055" s="14">
        <v>1.4350000000000001</v>
      </c>
      <c r="G3055" s="92">
        <f t="array" ref="G3055">IF(B3055="insumo",_xlfn.XLOOKUP($D3055,Insumos!$B$1:$B$996,Insumos!$D$1:$D$996),"")</f>
        <v>26.563333333333333</v>
      </c>
      <c r="H3055" s="92">
        <v>38.118383333333298</v>
      </c>
      <c r="I3055" s="13">
        <v>0</v>
      </c>
      <c r="J3055" s="13">
        <v>0</v>
      </c>
      <c r="K3055" s="13"/>
      <c r="L3055"/>
      <c r="M3055"/>
      <c r="N3055"/>
      <c r="O3055"/>
      <c r="P3055"/>
      <c r="Q3055"/>
      <c r="R3055"/>
      <c r="S3055"/>
      <c r="T3055"/>
      <c r="U3055"/>
      <c r="V3055"/>
      <c r="W3055"/>
      <c r="X3055"/>
      <c r="Y3055"/>
      <c r="Z3055"/>
      <c r="AA3055"/>
      <c r="AB3055"/>
      <c r="AC3055"/>
      <c r="AD3055"/>
      <c r="AE3055"/>
      <c r="AF3055"/>
      <c r="AG3055"/>
      <c r="AH3055"/>
      <c r="AI3055"/>
      <c r="AJ3055"/>
      <c r="AK3055"/>
      <c r="AL3055"/>
    </row>
    <row r="3056" spans="1:38" ht="12.75" outlineLevel="2" x14ac:dyDescent="0.2">
      <c r="A3056" s="1071">
        <v>1</v>
      </c>
      <c r="B3056" s="1071" t="s">
        <v>68</v>
      </c>
      <c r="C3056" s="1071" t="s">
        <v>1860</v>
      </c>
      <c r="D3056" s="1071" t="s">
        <v>1860</v>
      </c>
      <c r="E3056" s="1072" t="s">
        <v>70</v>
      </c>
      <c r="F3056" s="1071"/>
      <c r="G3056" s="1073" t="str">
        <f t="array" ref="G3056">IF(B3056="insumo",_xlfn.XLOOKUP($D3056,Insumos!$B$1:$B$996,Insumos!$D$1:$D$996),"")</f>
        <v/>
      </c>
      <c r="H3056" s="1073">
        <v>143</v>
      </c>
      <c r="I3056" s="1074">
        <v>0</v>
      </c>
      <c r="J3056" s="1074">
        <v>0</v>
      </c>
      <c r="K3056" s="1074"/>
      <c r="L3056"/>
      <c r="M3056"/>
      <c r="N3056"/>
      <c r="O3056"/>
      <c r="P3056"/>
      <c r="Q3056"/>
      <c r="R3056"/>
      <c r="S3056"/>
      <c r="T3056"/>
      <c r="U3056"/>
      <c r="V3056"/>
      <c r="W3056"/>
      <c r="X3056"/>
      <c r="Y3056"/>
      <c r="Z3056"/>
      <c r="AA3056"/>
      <c r="AB3056"/>
      <c r="AC3056"/>
      <c r="AD3056"/>
      <c r="AE3056"/>
      <c r="AF3056"/>
      <c r="AG3056"/>
      <c r="AH3056"/>
      <c r="AI3056"/>
      <c r="AJ3056"/>
      <c r="AK3056"/>
      <c r="AL3056"/>
    </row>
    <row r="3057" spans="1:38" ht="12.75" outlineLevel="3" x14ac:dyDescent="0.2">
      <c r="A3057" s="82">
        <v>1</v>
      </c>
      <c r="B3057" s="82" t="s">
        <v>71</v>
      </c>
      <c r="C3057" s="82" t="s">
        <v>1860</v>
      </c>
      <c r="D3057" s="82" t="s">
        <v>1860</v>
      </c>
      <c r="E3057" s="11" t="str">
        <f t="array" ref="E3057">_xlfn.XLOOKUP(D3057,Insumos!B:B,Insumos!C:$C)</f>
        <v>M2</v>
      </c>
      <c r="F3057" s="86">
        <v>1.1000000000000001</v>
      </c>
      <c r="G3057" s="92">
        <f t="array" ref="G3057">IF(B3057="insumo",_xlfn.XLOOKUP($D3057,Insumos!$B$1:$B$996,Insumos!$D$1:$D$996),"")</f>
        <v>130</v>
      </c>
      <c r="H3057" s="92">
        <v>143</v>
      </c>
      <c r="I3057" s="84">
        <v>0</v>
      </c>
      <c r="J3057" s="84">
        <v>0</v>
      </c>
      <c r="K3057" s="84"/>
      <c r="L3057"/>
      <c r="M3057"/>
      <c r="N3057"/>
      <c r="O3057"/>
      <c r="P3057"/>
      <c r="Q3057"/>
      <c r="R3057"/>
      <c r="S3057"/>
      <c r="T3057"/>
      <c r="U3057"/>
      <c r="V3057"/>
      <c r="W3057"/>
      <c r="X3057"/>
      <c r="Y3057"/>
      <c r="Z3057"/>
      <c r="AA3057"/>
      <c r="AB3057"/>
      <c r="AC3057"/>
      <c r="AD3057"/>
      <c r="AE3057"/>
      <c r="AF3057"/>
      <c r="AG3057"/>
      <c r="AH3057"/>
      <c r="AI3057"/>
      <c r="AJ3057"/>
      <c r="AK3057"/>
      <c r="AL3057"/>
    </row>
    <row r="3058" spans="1:38" ht="12.75" outlineLevel="2" x14ac:dyDescent="0.2">
      <c r="A3058" s="1071">
        <v>1</v>
      </c>
      <c r="B3058" s="1071" t="s">
        <v>68</v>
      </c>
      <c r="C3058" s="1071" t="s">
        <v>1861</v>
      </c>
      <c r="D3058" s="1071" t="s">
        <v>1861</v>
      </c>
      <c r="E3058" s="1072" t="s">
        <v>70</v>
      </c>
      <c r="F3058" s="1071"/>
      <c r="G3058" s="1073" t="str">
        <f t="array" ref="G3058">IF(B3058="insumo",_xlfn.XLOOKUP($D3058,Insumos!$B$1:$B$996,Insumos!$D$1:$D$996),"")</f>
        <v/>
      </c>
      <c r="H3058" s="1073">
        <v>33.6111111111111</v>
      </c>
      <c r="I3058" s="1074">
        <v>0</v>
      </c>
      <c r="J3058" s="1074">
        <v>0</v>
      </c>
      <c r="K3058" s="1074"/>
      <c r="L3058"/>
      <c r="M3058"/>
      <c r="N3058"/>
      <c r="O3058"/>
      <c r="P3058"/>
      <c r="Q3058"/>
      <c r="R3058"/>
      <c r="S3058"/>
      <c r="T3058"/>
      <c r="U3058"/>
      <c r="V3058"/>
      <c r="W3058"/>
      <c r="X3058"/>
      <c r="Y3058"/>
      <c r="Z3058"/>
      <c r="AA3058"/>
      <c r="AB3058"/>
      <c r="AC3058"/>
      <c r="AD3058"/>
      <c r="AE3058"/>
      <c r="AF3058"/>
      <c r="AG3058"/>
      <c r="AH3058"/>
      <c r="AI3058"/>
      <c r="AJ3058"/>
      <c r="AK3058"/>
      <c r="AL3058"/>
    </row>
    <row r="3059" spans="1:38" ht="12.75" outlineLevel="3" x14ac:dyDescent="0.2">
      <c r="A3059" s="82">
        <v>2</v>
      </c>
      <c r="B3059" s="82" t="s">
        <v>71</v>
      </c>
      <c r="C3059" s="82" t="s">
        <v>1861</v>
      </c>
      <c r="D3059" s="82" t="s">
        <v>604</v>
      </c>
      <c r="E3059" s="11" t="str">
        <f t="array" ref="E3059">_xlfn.XLOOKUP(D3059,Insumos!B:B,Insumos!C:$C)</f>
        <v>M2</v>
      </c>
      <c r="F3059" s="86">
        <v>1.1000000000000001</v>
      </c>
      <c r="G3059" s="92">
        <f t="array" ref="G3059">IF(B3059="insumo",_xlfn.XLOOKUP($D3059,Insumos!$B$1:$B$996,Insumos!$D$1:$D$996),"")</f>
        <v>30.555555555555557</v>
      </c>
      <c r="H3059" s="92">
        <v>33.6111111111111</v>
      </c>
      <c r="I3059" s="84">
        <v>0</v>
      </c>
      <c r="J3059" s="84">
        <v>0</v>
      </c>
      <c r="K3059" s="84"/>
      <c r="L3059"/>
      <c r="M3059"/>
      <c r="N3059"/>
      <c r="O3059"/>
      <c r="P3059"/>
      <c r="Q3059"/>
      <c r="R3059"/>
      <c r="S3059"/>
      <c r="T3059"/>
      <c r="U3059"/>
      <c r="V3059"/>
      <c r="W3059"/>
      <c r="X3059"/>
      <c r="Y3059"/>
      <c r="Z3059"/>
      <c r="AA3059"/>
      <c r="AB3059"/>
      <c r="AC3059"/>
      <c r="AD3059"/>
      <c r="AE3059"/>
      <c r="AF3059"/>
      <c r="AG3059"/>
      <c r="AH3059"/>
      <c r="AI3059"/>
      <c r="AJ3059"/>
      <c r="AK3059"/>
      <c r="AL3059"/>
    </row>
    <row r="3060" spans="1:38" ht="12.75" outlineLevel="2" x14ac:dyDescent="0.2">
      <c r="A3060" s="1071">
        <v>1</v>
      </c>
      <c r="B3060" s="1071" t="s">
        <v>68</v>
      </c>
      <c r="C3060" s="1071" t="s">
        <v>1862</v>
      </c>
      <c r="D3060" s="1071" t="s">
        <v>1862</v>
      </c>
      <c r="E3060" s="1072" t="s">
        <v>70</v>
      </c>
      <c r="F3060" s="1071"/>
      <c r="G3060" s="1073" t="str">
        <f t="array" ref="G3060">IF(B3060="insumo",_xlfn.XLOOKUP($D3060,Insumos!$B$1:$B$996,Insumos!$D$1:$D$996),"")</f>
        <v/>
      </c>
      <c r="H3060" s="1073">
        <v>242</v>
      </c>
      <c r="I3060" s="1074">
        <v>0</v>
      </c>
      <c r="J3060" s="1074">
        <v>0</v>
      </c>
      <c r="K3060" s="1074"/>
      <c r="L3060"/>
      <c r="M3060"/>
      <c r="N3060"/>
      <c r="O3060"/>
      <c r="P3060"/>
      <c r="Q3060"/>
      <c r="R3060"/>
      <c r="S3060"/>
      <c r="T3060"/>
      <c r="U3060"/>
      <c r="V3060"/>
      <c r="W3060"/>
      <c r="X3060"/>
      <c r="Y3060"/>
      <c r="Z3060"/>
      <c r="AA3060"/>
      <c r="AB3060"/>
      <c r="AC3060"/>
      <c r="AD3060"/>
      <c r="AE3060"/>
      <c r="AF3060"/>
      <c r="AG3060"/>
      <c r="AH3060"/>
      <c r="AI3060"/>
      <c r="AJ3060"/>
      <c r="AK3060"/>
      <c r="AL3060"/>
    </row>
    <row r="3061" spans="1:38" ht="12.75" outlineLevel="3" x14ac:dyDescent="0.2">
      <c r="A3061" s="82">
        <v>1</v>
      </c>
      <c r="B3061" s="82" t="s">
        <v>71</v>
      </c>
      <c r="C3061" s="82" t="s">
        <v>1862</v>
      </c>
      <c r="D3061" s="82" t="s">
        <v>1862</v>
      </c>
      <c r="E3061" s="11" t="str">
        <f t="array" ref="E3061">_xlfn.XLOOKUP(D3061,Insumos!B:B,Insumos!C:$C)</f>
        <v>M2</v>
      </c>
      <c r="F3061" s="86">
        <v>1.1000000000000001</v>
      </c>
      <c r="G3061" s="92">
        <f t="array" ref="G3061">IF(B3061="insumo",_xlfn.XLOOKUP($D3061,Insumos!$B$1:$B$996,Insumos!$D$1:$D$996),"")</f>
        <v>220</v>
      </c>
      <c r="H3061" s="92">
        <v>242</v>
      </c>
      <c r="I3061" s="84">
        <v>0</v>
      </c>
      <c r="J3061" s="84">
        <v>0</v>
      </c>
      <c r="K3061" s="84"/>
      <c r="L3061"/>
      <c r="M3061"/>
      <c r="N3061"/>
      <c r="O3061"/>
      <c r="P3061"/>
      <c r="Q3061"/>
      <c r="R3061"/>
      <c r="S3061"/>
      <c r="T3061"/>
      <c r="U3061"/>
      <c r="V3061"/>
      <c r="W3061"/>
      <c r="X3061"/>
      <c r="Y3061"/>
      <c r="Z3061"/>
      <c r="AA3061"/>
      <c r="AB3061"/>
      <c r="AC3061"/>
      <c r="AD3061"/>
      <c r="AE3061"/>
      <c r="AF3061"/>
      <c r="AG3061"/>
      <c r="AH3061"/>
      <c r="AI3061"/>
      <c r="AJ3061"/>
      <c r="AK3061"/>
      <c r="AL3061"/>
    </row>
    <row r="3062" spans="1:38" ht="12.75" outlineLevel="2" x14ac:dyDescent="0.2">
      <c r="A3062" s="1071">
        <v>1</v>
      </c>
      <c r="B3062" s="1071" t="s">
        <v>68</v>
      </c>
      <c r="C3062" s="1071" t="s">
        <v>1863</v>
      </c>
      <c r="D3062" s="1071" t="s">
        <v>1863</v>
      </c>
      <c r="E3062" s="1072" t="s">
        <v>70</v>
      </c>
      <c r="F3062" s="1071"/>
      <c r="G3062" s="1073" t="str">
        <f t="array" ref="G3062">IF(B3062="insumo",_xlfn.XLOOKUP($D3062,Insumos!$B$1:$B$996,Insumos!$D$1:$D$996),"")</f>
        <v/>
      </c>
      <c r="H3062" s="1073">
        <v>1320</v>
      </c>
      <c r="I3062" s="1074">
        <v>0</v>
      </c>
      <c r="J3062" s="1074">
        <v>0</v>
      </c>
      <c r="K3062" s="1074"/>
      <c r="L3062"/>
      <c r="M3062"/>
      <c r="N3062"/>
      <c r="O3062"/>
      <c r="P3062"/>
      <c r="Q3062"/>
      <c r="R3062"/>
      <c r="S3062"/>
      <c r="T3062"/>
      <c r="U3062"/>
      <c r="V3062"/>
      <c r="W3062"/>
      <c r="X3062"/>
      <c r="Y3062"/>
      <c r="Z3062"/>
      <c r="AA3062"/>
      <c r="AB3062"/>
      <c r="AC3062"/>
      <c r="AD3062"/>
      <c r="AE3062"/>
      <c r="AF3062"/>
      <c r="AG3062"/>
      <c r="AH3062"/>
      <c r="AI3062"/>
      <c r="AJ3062"/>
      <c r="AK3062"/>
      <c r="AL3062"/>
    </row>
    <row r="3063" spans="1:38" ht="12.75" outlineLevel="3" x14ac:dyDescent="0.2">
      <c r="A3063" s="82">
        <v>1</v>
      </c>
      <c r="B3063" s="82" t="s">
        <v>71</v>
      </c>
      <c r="C3063" s="82" t="s">
        <v>1863</v>
      </c>
      <c r="D3063" s="82" t="s">
        <v>1863</v>
      </c>
      <c r="E3063" s="11" t="str">
        <f t="array" ref="E3063">_xlfn.XLOOKUP(D3063,Insumos!B:B,Insumos!C:$C)</f>
        <v>M2</v>
      </c>
      <c r="F3063" s="86">
        <v>1.1000000000000001</v>
      </c>
      <c r="G3063" s="92">
        <f t="array" ref="G3063">IF(B3063="insumo",_xlfn.XLOOKUP($D3063,Insumos!$B$1:$B$996,Insumos!$D$1:$D$996),"")</f>
        <v>1200</v>
      </c>
      <c r="H3063" s="92">
        <v>1320</v>
      </c>
      <c r="I3063" s="84">
        <v>0</v>
      </c>
      <c r="J3063" s="84">
        <v>0</v>
      </c>
      <c r="K3063" s="84"/>
      <c r="L3063"/>
      <c r="M3063"/>
      <c r="N3063"/>
      <c r="O3063"/>
      <c r="P3063"/>
      <c r="Q3063"/>
      <c r="R3063"/>
      <c r="S3063"/>
      <c r="T3063"/>
      <c r="U3063"/>
      <c r="V3063"/>
      <c r="W3063"/>
      <c r="X3063"/>
      <c r="Y3063"/>
      <c r="Z3063"/>
      <c r="AA3063"/>
      <c r="AB3063"/>
      <c r="AC3063"/>
      <c r="AD3063"/>
      <c r="AE3063"/>
      <c r="AF3063"/>
      <c r="AG3063"/>
      <c r="AH3063"/>
      <c r="AI3063"/>
      <c r="AJ3063"/>
      <c r="AK3063"/>
      <c r="AL3063"/>
    </row>
    <row r="3064" spans="1:38" ht="15.75" customHeight="1" outlineLevel="1" x14ac:dyDescent="0.2">
      <c r="A3064" s="1090">
        <v>1</v>
      </c>
      <c r="B3064" s="1090" t="s">
        <v>1228</v>
      </c>
      <c r="C3064" s="1090" t="s">
        <v>1863</v>
      </c>
      <c r="D3064" s="1090" t="s">
        <v>1463</v>
      </c>
      <c r="E3064" s="1091"/>
      <c r="F3064" s="1092"/>
      <c r="G3064" s="1091"/>
      <c r="H3064" s="1091">
        <v>0</v>
      </c>
      <c r="I3064" s="1092">
        <v>0</v>
      </c>
      <c r="J3064" s="1092">
        <v>0</v>
      </c>
      <c r="K3064" s="1092"/>
      <c r="L3064"/>
      <c r="M3064"/>
      <c r="N3064"/>
      <c r="O3064"/>
      <c r="P3064"/>
      <c r="Q3064"/>
      <c r="R3064"/>
      <c r="S3064"/>
      <c r="T3064"/>
      <c r="U3064"/>
      <c r="V3064"/>
      <c r="W3064"/>
      <c r="X3064"/>
      <c r="Y3064"/>
      <c r="Z3064"/>
      <c r="AA3064"/>
      <c r="AB3064"/>
      <c r="AC3064"/>
      <c r="AD3064"/>
      <c r="AE3064"/>
      <c r="AF3064"/>
      <c r="AG3064"/>
      <c r="AH3064"/>
      <c r="AI3064"/>
      <c r="AJ3064"/>
      <c r="AK3064"/>
      <c r="AL3064"/>
    </row>
    <row r="3065" spans="1:38" ht="15.75" customHeight="1" outlineLevel="2" x14ac:dyDescent="0.2">
      <c r="A3065" s="1067">
        <v>1</v>
      </c>
      <c r="B3065" s="1067" t="s">
        <v>68</v>
      </c>
      <c r="C3065" s="1067" t="s">
        <v>607</v>
      </c>
      <c r="D3065" s="1067" t="s">
        <v>607</v>
      </c>
      <c r="E3065" s="1068" t="s">
        <v>70</v>
      </c>
      <c r="F3065" s="1067"/>
      <c r="G3065" s="1069" t="str">
        <f t="array" ref="G3065">IF(B3065="insumo",_xlfn.XLOOKUP($D3065,Insumos!$B$1:$B$996,Insumos!$D$1:$D$996),"")</f>
        <v/>
      </c>
      <c r="H3065" s="1069">
        <v>12.442690000000001</v>
      </c>
      <c r="I3065" s="1070">
        <v>0</v>
      </c>
      <c r="J3065" s="1070">
        <v>0</v>
      </c>
      <c r="K3065" s="1070"/>
      <c r="L3065"/>
      <c r="M3065"/>
      <c r="N3065"/>
      <c r="O3065"/>
      <c r="P3065"/>
      <c r="Q3065"/>
      <c r="R3065"/>
      <c r="S3065"/>
      <c r="T3065"/>
      <c r="U3065"/>
      <c r="V3065"/>
      <c r="W3065"/>
      <c r="X3065"/>
      <c r="Y3065"/>
      <c r="Z3065"/>
      <c r="AA3065"/>
      <c r="AB3065"/>
      <c r="AC3065"/>
      <c r="AD3065"/>
      <c r="AE3065"/>
      <c r="AF3065"/>
      <c r="AG3065"/>
      <c r="AH3065"/>
      <c r="AI3065"/>
      <c r="AJ3065"/>
      <c r="AK3065"/>
      <c r="AL3065"/>
    </row>
    <row r="3066" spans="1:38" ht="15.75" customHeight="1" outlineLevel="3" x14ac:dyDescent="0.2">
      <c r="A3066" s="10">
        <v>32</v>
      </c>
      <c r="B3066" s="10" t="s">
        <v>71</v>
      </c>
      <c r="C3066" s="10" t="s">
        <v>607</v>
      </c>
      <c r="D3066" s="10" t="s">
        <v>445</v>
      </c>
      <c r="E3066" s="11" t="str">
        <f t="array" ref="E3066">_xlfn.XLOOKUP(D3066,Insumos!B:B,Insumos!C:$C)</f>
        <v>M3</v>
      </c>
      <c r="F3066" s="14">
        <v>5.5000000000000005E-3</v>
      </c>
      <c r="G3066" s="92">
        <f t="array" ref="G3066">IF(B3066="insumo",_xlfn.XLOOKUP($D3066,Insumos!$B$1:$B$996,Insumos!$D$1:$D$996),"")</f>
        <v>550</v>
      </c>
      <c r="H3066" s="92">
        <v>3.0249999999999999</v>
      </c>
      <c r="I3066" s="13">
        <v>0</v>
      </c>
      <c r="J3066" s="13">
        <v>0</v>
      </c>
      <c r="K3066" s="13"/>
      <c r="L3066"/>
      <c r="M3066"/>
      <c r="N3066"/>
      <c r="O3066"/>
      <c r="P3066"/>
      <c r="Q3066"/>
      <c r="R3066"/>
      <c r="S3066"/>
      <c r="T3066"/>
      <c r="U3066"/>
      <c r="V3066"/>
      <c r="W3066"/>
      <c r="X3066"/>
      <c r="Y3066"/>
      <c r="Z3066"/>
      <c r="AA3066"/>
      <c r="AB3066"/>
      <c r="AC3066"/>
      <c r="AD3066"/>
      <c r="AE3066"/>
      <c r="AF3066"/>
      <c r="AG3066"/>
      <c r="AH3066"/>
      <c r="AI3066"/>
      <c r="AJ3066"/>
      <c r="AK3066"/>
      <c r="AL3066"/>
    </row>
    <row r="3067" spans="1:38" ht="15.75" customHeight="1" outlineLevel="3" x14ac:dyDescent="0.2">
      <c r="A3067" s="10">
        <v>41</v>
      </c>
      <c r="B3067" s="10" t="s">
        <v>71</v>
      </c>
      <c r="C3067" s="10" t="s">
        <v>607</v>
      </c>
      <c r="D3067" s="10" t="s">
        <v>503</v>
      </c>
      <c r="E3067" s="11" t="str">
        <f t="array" ref="E3067">_xlfn.XLOOKUP(D3067,Insumos!B:B,Insumos!C:$C)</f>
        <v>L</v>
      </c>
      <c r="F3067" s="14">
        <v>3.5000000000000005E-3</v>
      </c>
      <c r="G3067" s="92">
        <f t="array" ref="G3067">IF(B3067="insumo",_xlfn.XLOOKUP($D3067,Insumos!$B$1:$B$996,Insumos!$D$1:$D$996),"")</f>
        <v>19.34</v>
      </c>
      <c r="H3067" s="92">
        <v>6.769E-2</v>
      </c>
      <c r="I3067" s="13">
        <v>0</v>
      </c>
      <c r="J3067" s="13">
        <v>0</v>
      </c>
      <c r="K3067" s="13"/>
      <c r="L3067"/>
      <c r="M3067"/>
      <c r="N3067"/>
      <c r="O3067"/>
      <c r="P3067"/>
      <c r="Q3067"/>
      <c r="R3067"/>
      <c r="S3067"/>
      <c r="T3067"/>
      <c r="U3067"/>
      <c r="V3067"/>
      <c r="W3067"/>
      <c r="X3067"/>
      <c r="Y3067"/>
      <c r="Z3067"/>
      <c r="AA3067"/>
      <c r="AB3067"/>
      <c r="AC3067"/>
      <c r="AD3067"/>
      <c r="AE3067"/>
      <c r="AF3067"/>
      <c r="AG3067"/>
      <c r="AH3067"/>
      <c r="AI3067"/>
      <c r="AJ3067"/>
      <c r="AK3067"/>
      <c r="AL3067"/>
    </row>
    <row r="3068" spans="1:38" ht="15.75" customHeight="1" outlineLevel="3" x14ac:dyDescent="0.2">
      <c r="A3068" s="10">
        <v>8</v>
      </c>
      <c r="B3068" s="10" t="s">
        <v>71</v>
      </c>
      <c r="C3068" s="10" t="s">
        <v>607</v>
      </c>
      <c r="D3068" s="10" t="s">
        <v>579</v>
      </c>
      <c r="E3068" s="11" t="str">
        <f t="array" ref="E3068">_xlfn.XLOOKUP(D3068,Insumos!B:B,Insumos!C:$C)</f>
        <v>KG</v>
      </c>
      <c r="F3068" s="14">
        <v>2.2000000000000002</v>
      </c>
      <c r="G3068" s="92">
        <f t="array" ref="G3068">IF(B3068="insumo",_xlfn.XLOOKUP($D3068,Insumos!$B$1:$B$996,Insumos!$D$1:$D$996),"")</f>
        <v>4.25</v>
      </c>
      <c r="H3068" s="92">
        <v>9.35</v>
      </c>
      <c r="I3068" s="13">
        <v>0</v>
      </c>
      <c r="J3068" s="13">
        <v>0</v>
      </c>
      <c r="K3068" s="13"/>
      <c r="L3068"/>
      <c r="M3068"/>
      <c r="N3068"/>
      <c r="O3068"/>
      <c r="P3068"/>
      <c r="Q3068"/>
      <c r="R3068"/>
      <c r="S3068"/>
      <c r="T3068"/>
      <c r="U3068"/>
      <c r="V3068"/>
      <c r="W3068"/>
      <c r="X3068"/>
      <c r="Y3068"/>
      <c r="Z3068"/>
      <c r="AA3068"/>
      <c r="AB3068"/>
      <c r="AC3068"/>
      <c r="AD3068"/>
      <c r="AE3068"/>
      <c r="AF3068"/>
      <c r="AG3068"/>
      <c r="AH3068"/>
      <c r="AI3068"/>
      <c r="AJ3068"/>
      <c r="AK3068"/>
      <c r="AL3068"/>
    </row>
    <row r="3069" spans="1:38" ht="15.75" customHeight="1" outlineLevel="2" x14ac:dyDescent="0.2">
      <c r="A3069" s="1067">
        <v>1</v>
      </c>
      <c r="B3069" s="1067" t="s">
        <v>68</v>
      </c>
      <c r="C3069" s="1067" t="s">
        <v>608</v>
      </c>
      <c r="D3069" s="1067" t="s">
        <v>608</v>
      </c>
      <c r="E3069" s="1068" t="s">
        <v>70</v>
      </c>
      <c r="F3069" s="1067"/>
      <c r="G3069" s="1069" t="str">
        <f t="array" ref="G3069">IF(B3069="insumo",_xlfn.XLOOKUP($D3069,Insumos!$B$1:$B$996,Insumos!$D$1:$D$996),"")</f>
        <v/>
      </c>
      <c r="H3069" s="1069">
        <v>3.1560233333333301</v>
      </c>
      <c r="I3069" s="1070">
        <v>0</v>
      </c>
      <c r="J3069" s="1070">
        <v>0</v>
      </c>
      <c r="K3069" s="1070"/>
      <c r="L3069"/>
      <c r="M3069"/>
      <c r="N3069"/>
      <c r="O3069"/>
      <c r="P3069"/>
      <c r="Q3069"/>
      <c r="R3069"/>
      <c r="S3069"/>
      <c r="T3069"/>
      <c r="U3069"/>
      <c r="V3069"/>
      <c r="W3069"/>
      <c r="X3069"/>
      <c r="Y3069"/>
      <c r="Z3069"/>
      <c r="AA3069"/>
      <c r="AB3069"/>
      <c r="AC3069"/>
      <c r="AD3069"/>
      <c r="AE3069"/>
      <c r="AF3069"/>
      <c r="AG3069"/>
      <c r="AH3069"/>
      <c r="AI3069"/>
      <c r="AJ3069"/>
      <c r="AK3069"/>
      <c r="AL3069"/>
    </row>
    <row r="3070" spans="1:38" ht="15.75" customHeight="1" outlineLevel="3" x14ac:dyDescent="0.2">
      <c r="A3070" s="10">
        <v>32</v>
      </c>
      <c r="B3070" s="10" t="s">
        <v>71</v>
      </c>
      <c r="C3070" s="10" t="s">
        <v>608</v>
      </c>
      <c r="D3070" s="10" t="s">
        <v>445</v>
      </c>
      <c r="E3070" s="11" t="str">
        <f t="array" ref="E3070">_xlfn.XLOOKUP(D3070,Insumos!B:B,Insumos!C:$C)</f>
        <v>M3</v>
      </c>
      <c r="F3070" s="14">
        <v>5.5000000000000005E-3</v>
      </c>
      <c r="G3070" s="92">
        <f t="array" ref="G3070">IF(B3070="insumo",_xlfn.XLOOKUP($D3070,Insumos!$B$1:$B$996,Insumos!$D$1:$D$996),"")</f>
        <v>550</v>
      </c>
      <c r="H3070" s="92">
        <v>3.0249999999999999</v>
      </c>
      <c r="I3070" s="13">
        <v>0</v>
      </c>
      <c r="J3070" s="13">
        <v>0</v>
      </c>
      <c r="K3070" s="13"/>
      <c r="L3070"/>
      <c r="M3070"/>
      <c r="N3070"/>
      <c r="O3070"/>
      <c r="P3070"/>
      <c r="Q3070"/>
      <c r="R3070"/>
      <c r="S3070"/>
      <c r="T3070"/>
      <c r="U3070"/>
      <c r="V3070"/>
      <c r="W3070"/>
      <c r="X3070"/>
      <c r="Y3070"/>
      <c r="Z3070"/>
      <c r="AA3070"/>
      <c r="AB3070"/>
      <c r="AC3070"/>
      <c r="AD3070"/>
      <c r="AE3070"/>
      <c r="AF3070"/>
      <c r="AG3070"/>
      <c r="AH3070"/>
      <c r="AI3070"/>
      <c r="AJ3070"/>
      <c r="AK3070"/>
      <c r="AL3070"/>
    </row>
    <row r="3071" spans="1:38" ht="15.75" customHeight="1" outlineLevel="3" x14ac:dyDescent="0.2">
      <c r="A3071" s="10">
        <v>41</v>
      </c>
      <c r="B3071" s="10" t="s">
        <v>71</v>
      </c>
      <c r="C3071" s="10" t="s">
        <v>608</v>
      </c>
      <c r="D3071" s="10" t="s">
        <v>503</v>
      </c>
      <c r="E3071" s="11" t="str">
        <f t="array" ref="E3071">_xlfn.XLOOKUP(D3071,Insumos!B:B,Insumos!C:$C)</f>
        <v>L</v>
      </c>
      <c r="F3071" s="14">
        <v>3.5000000000000005E-3</v>
      </c>
      <c r="G3071" s="92">
        <f t="array" ref="G3071">IF(B3071="insumo",_xlfn.XLOOKUP($D3071,Insumos!$B$1:$B$996,Insumos!$D$1:$D$996),"")</f>
        <v>19.34</v>
      </c>
      <c r="H3071" s="92">
        <v>6.769E-2</v>
      </c>
      <c r="I3071" s="13">
        <v>0</v>
      </c>
      <c r="J3071" s="13">
        <v>0</v>
      </c>
      <c r="K3071" s="13"/>
      <c r="L3071"/>
      <c r="M3071"/>
      <c r="N3071"/>
      <c r="O3071"/>
      <c r="P3071"/>
      <c r="Q3071"/>
      <c r="R3071"/>
      <c r="S3071"/>
      <c r="T3071"/>
      <c r="U3071"/>
      <c r="V3071"/>
      <c r="W3071"/>
      <c r="X3071"/>
      <c r="Y3071"/>
      <c r="Z3071"/>
      <c r="AA3071"/>
      <c r="AB3071"/>
      <c r="AC3071"/>
      <c r="AD3071"/>
      <c r="AE3071"/>
      <c r="AF3071"/>
      <c r="AG3071"/>
      <c r="AH3071"/>
      <c r="AI3071"/>
      <c r="AJ3071"/>
      <c r="AK3071"/>
      <c r="AL3071"/>
    </row>
    <row r="3072" spans="1:38" ht="15.75" customHeight="1" outlineLevel="3" x14ac:dyDescent="0.2">
      <c r="A3072" s="10">
        <v>62</v>
      </c>
      <c r="B3072" s="10" t="s">
        <v>71</v>
      </c>
      <c r="C3072" s="10" t="s">
        <v>608</v>
      </c>
      <c r="D3072" s="10" t="s">
        <v>160</v>
      </c>
      <c r="E3072" s="11" t="str">
        <f t="array" ref="E3072">_xlfn.XLOOKUP(D3072,Insumos!B:B,Insumos!C:$C)</f>
        <v>KG</v>
      </c>
      <c r="F3072" s="14">
        <v>8.3333333333333343E-2</v>
      </c>
      <c r="G3072" s="92">
        <f t="array" ref="G3072">IF(B3072="insumo",_xlfn.XLOOKUP($D3072,Insumos!$B$1:$B$996,Insumos!$D$1:$D$996),"")</f>
        <v>0.76</v>
      </c>
      <c r="H3072" s="92">
        <v>6.3333333333333297E-2</v>
      </c>
      <c r="I3072" s="13">
        <v>0</v>
      </c>
      <c r="J3072" s="13">
        <v>0</v>
      </c>
      <c r="K3072" s="13"/>
      <c r="L3072"/>
      <c r="M3072"/>
      <c r="N3072"/>
      <c r="O3072"/>
      <c r="P3072"/>
      <c r="Q3072"/>
      <c r="R3072"/>
      <c r="S3072"/>
      <c r="T3072"/>
      <c r="U3072"/>
      <c r="V3072"/>
      <c r="W3072"/>
      <c r="X3072"/>
      <c r="Y3072"/>
      <c r="Z3072"/>
      <c r="AA3072"/>
      <c r="AB3072"/>
      <c r="AC3072"/>
      <c r="AD3072"/>
      <c r="AE3072"/>
      <c r="AF3072"/>
      <c r="AG3072"/>
      <c r="AH3072"/>
      <c r="AI3072"/>
      <c r="AJ3072"/>
      <c r="AK3072"/>
      <c r="AL3072"/>
    </row>
    <row r="3073" spans="1:38" ht="15.75" customHeight="1" outlineLevel="2" x14ac:dyDescent="0.2">
      <c r="A3073" s="1067">
        <v>1</v>
      </c>
      <c r="B3073" s="1067" t="s">
        <v>68</v>
      </c>
      <c r="C3073" s="1067" t="s">
        <v>609</v>
      </c>
      <c r="D3073" s="1067" t="s">
        <v>609</v>
      </c>
      <c r="E3073" s="1068" t="s">
        <v>70</v>
      </c>
      <c r="F3073" s="1067"/>
      <c r="G3073" s="1069" t="str">
        <f t="array" ref="G3073">IF(B3073="insumo",_xlfn.XLOOKUP($D3073,Insumos!$B$1:$B$996,Insumos!$D$1:$D$996),"")</f>
        <v/>
      </c>
      <c r="H3073" s="1069">
        <v>6.3120466666666699</v>
      </c>
      <c r="I3073" s="1070">
        <v>0</v>
      </c>
      <c r="J3073" s="1070">
        <v>0</v>
      </c>
      <c r="K3073" s="1070"/>
      <c r="L3073"/>
      <c r="M3073"/>
      <c r="N3073"/>
      <c r="O3073"/>
      <c r="P3073"/>
      <c r="Q3073"/>
      <c r="R3073"/>
      <c r="S3073"/>
      <c r="T3073"/>
      <c r="U3073"/>
      <c r="V3073"/>
      <c r="W3073"/>
      <c r="X3073"/>
      <c r="Y3073"/>
      <c r="Z3073"/>
      <c r="AA3073"/>
      <c r="AB3073"/>
      <c r="AC3073"/>
      <c r="AD3073"/>
      <c r="AE3073"/>
      <c r="AF3073"/>
      <c r="AG3073"/>
      <c r="AH3073"/>
      <c r="AI3073"/>
      <c r="AJ3073"/>
      <c r="AK3073"/>
      <c r="AL3073"/>
    </row>
    <row r="3074" spans="1:38" ht="15.75" customHeight="1" outlineLevel="3" x14ac:dyDescent="0.2">
      <c r="A3074" s="10">
        <v>32</v>
      </c>
      <c r="B3074" s="10" t="s">
        <v>71</v>
      </c>
      <c r="C3074" s="10" t="s">
        <v>609</v>
      </c>
      <c r="D3074" s="10" t="s">
        <v>445</v>
      </c>
      <c r="E3074" s="11" t="str">
        <f t="array" ref="E3074">_xlfn.XLOOKUP(D3074,Insumos!B:B,Insumos!C:$C)</f>
        <v>M3</v>
      </c>
      <c r="F3074" s="14">
        <v>1.1000000000000001E-2</v>
      </c>
      <c r="G3074" s="92">
        <f t="array" ref="G3074">IF(B3074="insumo",_xlfn.XLOOKUP($D3074,Insumos!$B$1:$B$996,Insumos!$D$1:$D$996),"")</f>
        <v>550</v>
      </c>
      <c r="H3074" s="92">
        <v>6.05</v>
      </c>
      <c r="I3074" s="13">
        <v>0</v>
      </c>
      <c r="J3074" s="13">
        <v>0</v>
      </c>
      <c r="K3074" s="13"/>
      <c r="L3074"/>
      <c r="M3074"/>
      <c r="N3074"/>
      <c r="O3074"/>
      <c r="P3074"/>
      <c r="Q3074"/>
      <c r="R3074"/>
      <c r="S3074"/>
      <c r="T3074"/>
      <c r="U3074"/>
      <c r="V3074"/>
      <c r="W3074"/>
      <c r="X3074"/>
      <c r="Y3074"/>
      <c r="Z3074"/>
      <c r="AA3074"/>
      <c r="AB3074"/>
      <c r="AC3074"/>
      <c r="AD3074"/>
      <c r="AE3074"/>
      <c r="AF3074"/>
      <c r="AG3074"/>
      <c r="AH3074"/>
      <c r="AI3074"/>
      <c r="AJ3074"/>
      <c r="AK3074"/>
      <c r="AL3074"/>
    </row>
    <row r="3075" spans="1:38" ht="15.75" customHeight="1" outlineLevel="3" x14ac:dyDescent="0.2">
      <c r="A3075" s="10">
        <v>41</v>
      </c>
      <c r="B3075" s="10" t="s">
        <v>71</v>
      </c>
      <c r="C3075" s="10" t="s">
        <v>609</v>
      </c>
      <c r="D3075" s="10" t="s">
        <v>503</v>
      </c>
      <c r="E3075" s="11" t="str">
        <f t="array" ref="E3075">_xlfn.XLOOKUP(D3075,Insumos!B:B,Insumos!C:$C)</f>
        <v>L</v>
      </c>
      <c r="F3075" s="14">
        <v>7.000000000000001E-3</v>
      </c>
      <c r="G3075" s="92">
        <f t="array" ref="G3075">IF(B3075="insumo",_xlfn.XLOOKUP($D3075,Insumos!$B$1:$B$996,Insumos!$D$1:$D$996),"")</f>
        <v>19.34</v>
      </c>
      <c r="H3075" s="92">
        <v>0.13538</v>
      </c>
      <c r="I3075" s="13">
        <v>0</v>
      </c>
      <c r="J3075" s="13">
        <v>0</v>
      </c>
      <c r="K3075" s="13"/>
      <c r="L3075"/>
      <c r="M3075"/>
      <c r="N3075"/>
      <c r="O3075"/>
      <c r="P3075"/>
      <c r="Q3075"/>
      <c r="R3075"/>
      <c r="S3075"/>
      <c r="T3075"/>
      <c r="U3075"/>
      <c r="V3075"/>
      <c r="W3075"/>
      <c r="X3075"/>
      <c r="Y3075"/>
      <c r="Z3075"/>
      <c r="AA3075"/>
      <c r="AB3075"/>
      <c r="AC3075"/>
      <c r="AD3075"/>
      <c r="AE3075"/>
      <c r="AF3075"/>
      <c r="AG3075"/>
      <c r="AH3075"/>
      <c r="AI3075"/>
      <c r="AJ3075"/>
      <c r="AK3075"/>
      <c r="AL3075"/>
    </row>
    <row r="3076" spans="1:38" ht="15.75" customHeight="1" outlineLevel="3" x14ac:dyDescent="0.2">
      <c r="A3076" s="10">
        <v>62</v>
      </c>
      <c r="B3076" s="10" t="s">
        <v>71</v>
      </c>
      <c r="C3076" s="10" t="s">
        <v>609</v>
      </c>
      <c r="D3076" s="10" t="s">
        <v>160</v>
      </c>
      <c r="E3076" s="11" t="str">
        <f t="array" ref="E3076">_xlfn.XLOOKUP(D3076,Insumos!B:B,Insumos!C:$C)</f>
        <v>KG</v>
      </c>
      <c r="F3076" s="14">
        <v>0.16666666666666669</v>
      </c>
      <c r="G3076" s="92">
        <f t="array" ref="G3076">IF(B3076="insumo",_xlfn.XLOOKUP($D3076,Insumos!$B$1:$B$996,Insumos!$D$1:$D$996),"")</f>
        <v>0.76</v>
      </c>
      <c r="H3076" s="92">
        <v>0.12666666666666701</v>
      </c>
      <c r="I3076" s="13">
        <v>0</v>
      </c>
      <c r="J3076" s="13">
        <v>0</v>
      </c>
      <c r="K3076" s="13"/>
      <c r="L3076"/>
      <c r="M3076"/>
      <c r="N3076"/>
      <c r="O3076"/>
      <c r="P3076"/>
      <c r="Q3076"/>
      <c r="R3076"/>
      <c r="S3076"/>
      <c r="T3076"/>
      <c r="U3076"/>
      <c r="V3076"/>
      <c r="W3076"/>
      <c r="X3076"/>
      <c r="Y3076"/>
      <c r="Z3076"/>
      <c r="AA3076"/>
      <c r="AB3076"/>
      <c r="AC3076"/>
      <c r="AD3076"/>
      <c r="AE3076"/>
      <c r="AF3076"/>
      <c r="AG3076"/>
      <c r="AH3076"/>
      <c r="AI3076"/>
      <c r="AJ3076"/>
      <c r="AK3076"/>
      <c r="AL3076"/>
    </row>
    <row r="3077" spans="1:38" ht="15.75" customHeight="1" outlineLevel="2" x14ac:dyDescent="0.2">
      <c r="A3077" s="1067">
        <v>1</v>
      </c>
      <c r="B3077" s="1067" t="s">
        <v>68</v>
      </c>
      <c r="C3077" s="1067" t="s">
        <v>610</v>
      </c>
      <c r="D3077" s="1067" t="s">
        <v>610</v>
      </c>
      <c r="E3077" s="1068" t="s">
        <v>70</v>
      </c>
      <c r="F3077" s="1067"/>
      <c r="G3077" s="1069" t="str">
        <f t="array" ref="G3077">IF(B3077="insumo",_xlfn.XLOOKUP($D3077,Insumos!$B$1:$B$996,Insumos!$D$1:$D$996),"")</f>
        <v/>
      </c>
      <c r="H3077" s="1069">
        <v>9.4680700000000009</v>
      </c>
      <c r="I3077" s="1070">
        <v>0</v>
      </c>
      <c r="J3077" s="1070">
        <v>0</v>
      </c>
      <c r="K3077" s="1070"/>
      <c r="L3077"/>
      <c r="M3077"/>
      <c r="N3077"/>
      <c r="O3077"/>
      <c r="P3077"/>
      <c r="Q3077"/>
      <c r="R3077"/>
      <c r="S3077"/>
      <c r="T3077"/>
      <c r="U3077"/>
      <c r="V3077"/>
      <c r="W3077"/>
      <c r="X3077"/>
      <c r="Y3077"/>
      <c r="Z3077"/>
      <c r="AA3077"/>
      <c r="AB3077"/>
      <c r="AC3077"/>
      <c r="AD3077"/>
      <c r="AE3077"/>
      <c r="AF3077"/>
      <c r="AG3077"/>
      <c r="AH3077"/>
      <c r="AI3077"/>
      <c r="AJ3077"/>
      <c r="AK3077"/>
      <c r="AL3077"/>
    </row>
    <row r="3078" spans="1:38" ht="15.75" customHeight="1" outlineLevel="3" x14ac:dyDescent="0.2">
      <c r="A3078" s="10">
        <v>32</v>
      </c>
      <c r="B3078" s="10" t="s">
        <v>71</v>
      </c>
      <c r="C3078" s="10" t="s">
        <v>610</v>
      </c>
      <c r="D3078" s="10" t="s">
        <v>445</v>
      </c>
      <c r="E3078" s="11" t="str">
        <f t="array" ref="E3078">_xlfn.XLOOKUP(D3078,Insumos!B:B,Insumos!C:$C)</f>
        <v>M3</v>
      </c>
      <c r="F3078" s="14">
        <v>1.6500000000000001E-2</v>
      </c>
      <c r="G3078" s="92">
        <f t="array" ref="G3078">IF(B3078="insumo",_xlfn.XLOOKUP($D3078,Insumos!$B$1:$B$996,Insumos!$D$1:$D$996),"")</f>
        <v>550</v>
      </c>
      <c r="H3078" s="92">
        <v>9.0749999999999993</v>
      </c>
      <c r="I3078" s="13">
        <v>0</v>
      </c>
      <c r="J3078" s="13">
        <v>0</v>
      </c>
      <c r="K3078" s="13"/>
      <c r="L3078"/>
      <c r="M3078"/>
      <c r="N3078"/>
      <c r="O3078"/>
      <c r="P3078"/>
      <c r="Q3078"/>
      <c r="R3078"/>
      <c r="S3078"/>
      <c r="T3078"/>
      <c r="U3078"/>
      <c r="V3078"/>
      <c r="W3078"/>
      <c r="X3078"/>
      <c r="Y3078"/>
      <c r="Z3078"/>
      <c r="AA3078"/>
      <c r="AB3078"/>
      <c r="AC3078"/>
      <c r="AD3078"/>
      <c r="AE3078"/>
      <c r="AF3078"/>
      <c r="AG3078"/>
      <c r="AH3078"/>
      <c r="AI3078"/>
      <c r="AJ3078"/>
      <c r="AK3078"/>
      <c r="AL3078"/>
    </row>
    <row r="3079" spans="1:38" ht="15.75" customHeight="1" outlineLevel="3" x14ac:dyDescent="0.2">
      <c r="A3079" s="10">
        <v>41</v>
      </c>
      <c r="B3079" s="10" t="s">
        <v>71</v>
      </c>
      <c r="C3079" s="10" t="s">
        <v>610</v>
      </c>
      <c r="D3079" s="10" t="s">
        <v>503</v>
      </c>
      <c r="E3079" s="11" t="str">
        <f t="array" ref="E3079">_xlfn.XLOOKUP(D3079,Insumos!B:B,Insumos!C:$C)</f>
        <v>L</v>
      </c>
      <c r="F3079" s="14">
        <v>1.0500000000000001E-2</v>
      </c>
      <c r="G3079" s="92">
        <f t="array" ref="G3079">IF(B3079="insumo",_xlfn.XLOOKUP($D3079,Insumos!$B$1:$B$996,Insumos!$D$1:$D$996),"")</f>
        <v>19.34</v>
      </c>
      <c r="H3079" s="92">
        <v>0.20307</v>
      </c>
      <c r="I3079" s="13">
        <v>0</v>
      </c>
      <c r="J3079" s="13">
        <v>0</v>
      </c>
      <c r="K3079" s="13"/>
      <c r="L3079"/>
      <c r="M3079"/>
      <c r="N3079"/>
      <c r="O3079"/>
      <c r="P3079"/>
      <c r="Q3079"/>
      <c r="R3079"/>
      <c r="S3079"/>
      <c r="T3079"/>
      <c r="U3079"/>
      <c r="V3079"/>
      <c r="W3079"/>
      <c r="X3079"/>
      <c r="Y3079"/>
      <c r="Z3079"/>
      <c r="AA3079"/>
      <c r="AB3079"/>
      <c r="AC3079"/>
      <c r="AD3079"/>
      <c r="AE3079"/>
      <c r="AF3079"/>
      <c r="AG3079"/>
      <c r="AH3079"/>
      <c r="AI3079"/>
      <c r="AJ3079"/>
      <c r="AK3079"/>
      <c r="AL3079"/>
    </row>
    <row r="3080" spans="1:38" ht="15.75" customHeight="1" outlineLevel="3" x14ac:dyDescent="0.2">
      <c r="A3080" s="10">
        <v>62</v>
      </c>
      <c r="B3080" s="10" t="s">
        <v>71</v>
      </c>
      <c r="C3080" s="10" t="s">
        <v>610</v>
      </c>
      <c r="D3080" s="10" t="s">
        <v>160</v>
      </c>
      <c r="E3080" s="11" t="str">
        <f t="array" ref="E3080">_xlfn.XLOOKUP(D3080,Insumos!B:B,Insumos!C:$C)</f>
        <v>KG</v>
      </c>
      <c r="F3080" s="14">
        <v>0.25</v>
      </c>
      <c r="G3080" s="92">
        <f t="array" ref="G3080">IF(B3080="insumo",_xlfn.XLOOKUP($D3080,Insumos!$B$1:$B$996,Insumos!$D$1:$D$996),"")</f>
        <v>0.76</v>
      </c>
      <c r="H3080" s="92">
        <v>0.19</v>
      </c>
      <c r="I3080" s="13">
        <v>0</v>
      </c>
      <c r="J3080" s="13">
        <v>0</v>
      </c>
      <c r="K3080" s="13"/>
      <c r="L3080"/>
      <c r="M3080"/>
      <c r="N3080"/>
      <c r="O3080"/>
      <c r="P3080"/>
      <c r="Q3080"/>
      <c r="R3080"/>
      <c r="S3080"/>
      <c r="T3080"/>
      <c r="U3080"/>
      <c r="V3080"/>
      <c r="W3080"/>
      <c r="X3080"/>
      <c r="Y3080"/>
      <c r="Z3080"/>
      <c r="AA3080"/>
      <c r="AB3080"/>
      <c r="AC3080"/>
      <c r="AD3080"/>
      <c r="AE3080"/>
      <c r="AF3080"/>
      <c r="AG3080"/>
      <c r="AH3080"/>
      <c r="AI3080"/>
      <c r="AJ3080"/>
      <c r="AK3080"/>
      <c r="AL3080"/>
    </row>
    <row r="3081" spans="1:38" ht="15.75" customHeight="1" outlineLevel="2" x14ac:dyDescent="0.2">
      <c r="A3081" s="1067">
        <v>1</v>
      </c>
      <c r="B3081" s="1067" t="s">
        <v>68</v>
      </c>
      <c r="C3081" s="1067" t="s">
        <v>611</v>
      </c>
      <c r="D3081" s="1067" t="s">
        <v>611</v>
      </c>
      <c r="E3081" s="1068" t="s">
        <v>70</v>
      </c>
      <c r="F3081" s="1067"/>
      <c r="G3081" s="1069" t="str">
        <f t="array" ref="G3081">IF(B3081="insumo",_xlfn.XLOOKUP($D3081,Insumos!$B$1:$B$996,Insumos!$D$1:$D$996),"")</f>
        <v/>
      </c>
      <c r="H3081" s="1069">
        <v>12.624093333333301</v>
      </c>
      <c r="I3081" s="1070">
        <v>0</v>
      </c>
      <c r="J3081" s="1070">
        <v>0</v>
      </c>
      <c r="K3081" s="1070"/>
      <c r="L3081"/>
      <c r="M3081"/>
      <c r="N3081"/>
      <c r="O3081"/>
      <c r="P3081"/>
      <c r="Q3081"/>
      <c r="R3081"/>
      <c r="S3081"/>
      <c r="T3081"/>
      <c r="U3081"/>
      <c r="V3081"/>
      <c r="W3081"/>
      <c r="X3081"/>
      <c r="Y3081"/>
      <c r="Z3081"/>
      <c r="AA3081"/>
      <c r="AB3081"/>
      <c r="AC3081"/>
      <c r="AD3081"/>
      <c r="AE3081"/>
      <c r="AF3081"/>
      <c r="AG3081"/>
      <c r="AH3081"/>
      <c r="AI3081"/>
      <c r="AJ3081"/>
      <c r="AK3081"/>
      <c r="AL3081"/>
    </row>
    <row r="3082" spans="1:38" ht="15.75" customHeight="1" outlineLevel="3" x14ac:dyDescent="0.2">
      <c r="A3082" s="10">
        <v>32</v>
      </c>
      <c r="B3082" s="10" t="s">
        <v>71</v>
      </c>
      <c r="C3082" s="10" t="s">
        <v>611</v>
      </c>
      <c r="D3082" s="10" t="s">
        <v>445</v>
      </c>
      <c r="E3082" s="11" t="str">
        <f t="array" ref="E3082">_xlfn.XLOOKUP(D3082,Insumos!B:B,Insumos!C:$C)</f>
        <v>M3</v>
      </c>
      <c r="F3082" s="14">
        <v>2.2000000000000002E-2</v>
      </c>
      <c r="G3082" s="92">
        <f t="array" ref="G3082">IF(B3082="insumo",_xlfn.XLOOKUP($D3082,Insumos!$B$1:$B$996,Insumos!$D$1:$D$996),"")</f>
        <v>550</v>
      </c>
      <c r="H3082" s="92">
        <v>12.1</v>
      </c>
      <c r="I3082" s="13">
        <v>0</v>
      </c>
      <c r="J3082" s="13">
        <v>0</v>
      </c>
      <c r="K3082" s="13"/>
      <c r="L3082"/>
      <c r="M3082"/>
      <c r="N3082"/>
      <c r="O3082"/>
      <c r="P3082"/>
      <c r="Q3082"/>
      <c r="R3082"/>
      <c r="S3082"/>
      <c r="T3082"/>
      <c r="U3082"/>
      <c r="V3082"/>
      <c r="W3082"/>
      <c r="X3082"/>
      <c r="Y3082"/>
      <c r="Z3082"/>
      <c r="AA3082"/>
      <c r="AB3082"/>
      <c r="AC3082"/>
      <c r="AD3082"/>
      <c r="AE3082"/>
      <c r="AF3082"/>
      <c r="AG3082"/>
      <c r="AH3082"/>
      <c r="AI3082"/>
      <c r="AJ3082"/>
      <c r="AK3082"/>
      <c r="AL3082"/>
    </row>
    <row r="3083" spans="1:38" ht="15.75" customHeight="1" outlineLevel="3" x14ac:dyDescent="0.2">
      <c r="A3083" s="10">
        <v>41</v>
      </c>
      <c r="B3083" s="10" t="s">
        <v>71</v>
      </c>
      <c r="C3083" s="10" t="s">
        <v>611</v>
      </c>
      <c r="D3083" s="10" t="s">
        <v>503</v>
      </c>
      <c r="E3083" s="11" t="str">
        <f t="array" ref="E3083">_xlfn.XLOOKUP(D3083,Insumos!B:B,Insumos!C:$C)</f>
        <v>L</v>
      </c>
      <c r="F3083" s="14">
        <v>1.4000000000000002E-2</v>
      </c>
      <c r="G3083" s="92">
        <f t="array" ref="G3083">IF(B3083="insumo",_xlfn.XLOOKUP($D3083,Insumos!$B$1:$B$996,Insumos!$D$1:$D$996),"")</f>
        <v>19.34</v>
      </c>
      <c r="H3083" s="92">
        <v>0.27076</v>
      </c>
      <c r="I3083" s="13">
        <v>0</v>
      </c>
      <c r="J3083" s="13">
        <v>0</v>
      </c>
      <c r="K3083" s="13"/>
      <c r="L3083"/>
      <c r="M3083"/>
      <c r="N3083"/>
      <c r="O3083"/>
      <c r="P3083"/>
      <c r="Q3083"/>
      <c r="R3083"/>
      <c r="S3083"/>
      <c r="T3083"/>
      <c r="U3083"/>
      <c r="V3083"/>
      <c r="W3083"/>
      <c r="X3083"/>
      <c r="Y3083"/>
      <c r="Z3083"/>
      <c r="AA3083"/>
      <c r="AB3083"/>
      <c r="AC3083"/>
      <c r="AD3083"/>
      <c r="AE3083"/>
      <c r="AF3083"/>
      <c r="AG3083"/>
      <c r="AH3083"/>
      <c r="AI3083"/>
      <c r="AJ3083"/>
      <c r="AK3083"/>
      <c r="AL3083"/>
    </row>
    <row r="3084" spans="1:38" ht="15.75" customHeight="1" outlineLevel="3" x14ac:dyDescent="0.2">
      <c r="A3084" s="10">
        <v>62</v>
      </c>
      <c r="B3084" s="10" t="s">
        <v>71</v>
      </c>
      <c r="C3084" s="10" t="s">
        <v>611</v>
      </c>
      <c r="D3084" s="10" t="s">
        <v>160</v>
      </c>
      <c r="E3084" s="11" t="str">
        <f t="array" ref="E3084">_xlfn.XLOOKUP(D3084,Insumos!B:B,Insumos!C:$C)</f>
        <v>KG</v>
      </c>
      <c r="F3084" s="14">
        <v>0.33333333333333337</v>
      </c>
      <c r="G3084" s="92">
        <f t="array" ref="G3084">IF(B3084="insumo",_xlfn.XLOOKUP($D3084,Insumos!$B$1:$B$996,Insumos!$D$1:$D$996),"")</f>
        <v>0.76</v>
      </c>
      <c r="H3084" s="92">
        <v>0.25333333333333302</v>
      </c>
      <c r="I3084" s="13">
        <v>0</v>
      </c>
      <c r="J3084" s="13">
        <v>0</v>
      </c>
      <c r="K3084" s="13"/>
      <c r="L3084"/>
      <c r="M3084"/>
      <c r="N3084"/>
      <c r="O3084"/>
      <c r="P3084"/>
      <c r="Q3084"/>
      <c r="R3084"/>
      <c r="S3084"/>
      <c r="T3084"/>
      <c r="U3084"/>
      <c r="V3084"/>
      <c r="W3084"/>
      <c r="X3084"/>
      <c r="Y3084"/>
      <c r="Z3084"/>
      <c r="AA3084"/>
      <c r="AB3084"/>
      <c r="AC3084"/>
      <c r="AD3084"/>
      <c r="AE3084"/>
      <c r="AF3084"/>
      <c r="AG3084"/>
      <c r="AH3084"/>
      <c r="AI3084"/>
      <c r="AJ3084"/>
      <c r="AK3084"/>
      <c r="AL3084"/>
    </row>
    <row r="3085" spans="1:38" ht="15.75" customHeight="1" outlineLevel="2" x14ac:dyDescent="0.2">
      <c r="A3085" s="1067">
        <v>1</v>
      </c>
      <c r="B3085" s="1067" t="s">
        <v>68</v>
      </c>
      <c r="C3085" s="1067" t="s">
        <v>612</v>
      </c>
      <c r="D3085" s="1067" t="s">
        <v>612</v>
      </c>
      <c r="E3085" s="1068" t="s">
        <v>70</v>
      </c>
      <c r="F3085" s="1067"/>
      <c r="G3085" s="1069" t="str">
        <f t="array" ref="G3085">IF(B3085="insumo",_xlfn.XLOOKUP($D3085,Insumos!$B$1:$B$996,Insumos!$D$1:$D$996),"")</f>
        <v/>
      </c>
      <c r="H3085" s="1069">
        <v>18.936140000000002</v>
      </c>
      <c r="I3085" s="1070">
        <v>0</v>
      </c>
      <c r="J3085" s="1070">
        <v>0</v>
      </c>
      <c r="K3085" s="1070"/>
      <c r="L3085"/>
      <c r="M3085"/>
      <c r="N3085"/>
      <c r="O3085"/>
      <c r="P3085"/>
      <c r="Q3085"/>
      <c r="R3085"/>
      <c r="S3085"/>
      <c r="T3085"/>
      <c r="U3085"/>
      <c r="V3085"/>
      <c r="W3085"/>
      <c r="X3085"/>
      <c r="Y3085"/>
      <c r="Z3085"/>
      <c r="AA3085"/>
      <c r="AB3085"/>
      <c r="AC3085"/>
      <c r="AD3085"/>
      <c r="AE3085"/>
      <c r="AF3085"/>
      <c r="AG3085"/>
      <c r="AH3085"/>
      <c r="AI3085"/>
      <c r="AJ3085"/>
      <c r="AK3085"/>
      <c r="AL3085"/>
    </row>
    <row r="3086" spans="1:38" ht="15.75" customHeight="1" outlineLevel="3" x14ac:dyDescent="0.2">
      <c r="A3086" s="10">
        <v>32</v>
      </c>
      <c r="B3086" s="10" t="s">
        <v>71</v>
      </c>
      <c r="C3086" s="10" t="s">
        <v>612</v>
      </c>
      <c r="D3086" s="10" t="s">
        <v>445</v>
      </c>
      <c r="E3086" s="11" t="str">
        <f t="array" ref="E3086">_xlfn.XLOOKUP(D3086,Insumos!B:B,Insumos!C:$C)</f>
        <v>M3</v>
      </c>
      <c r="F3086" s="14">
        <v>3.3000000000000002E-2</v>
      </c>
      <c r="G3086" s="92">
        <f t="array" ref="G3086">IF(B3086="insumo",_xlfn.XLOOKUP($D3086,Insumos!$B$1:$B$996,Insumos!$D$1:$D$996),"")</f>
        <v>550</v>
      </c>
      <c r="H3086" s="92">
        <v>18.149999999999999</v>
      </c>
      <c r="I3086" s="13">
        <v>0</v>
      </c>
      <c r="J3086" s="13">
        <v>0</v>
      </c>
      <c r="K3086" s="13"/>
      <c r="L3086"/>
      <c r="M3086"/>
      <c r="N3086"/>
      <c r="O3086"/>
      <c r="P3086"/>
      <c r="Q3086"/>
      <c r="R3086"/>
      <c r="S3086"/>
      <c r="T3086"/>
      <c r="U3086"/>
      <c r="V3086"/>
      <c r="W3086"/>
      <c r="X3086"/>
      <c r="Y3086"/>
      <c r="Z3086"/>
      <c r="AA3086"/>
      <c r="AB3086"/>
      <c r="AC3086"/>
      <c r="AD3086"/>
      <c r="AE3086"/>
      <c r="AF3086"/>
      <c r="AG3086"/>
      <c r="AH3086"/>
      <c r="AI3086"/>
      <c r="AJ3086"/>
      <c r="AK3086"/>
      <c r="AL3086"/>
    </row>
    <row r="3087" spans="1:38" ht="15.75" customHeight="1" outlineLevel="3" x14ac:dyDescent="0.2">
      <c r="A3087" s="10">
        <v>41</v>
      </c>
      <c r="B3087" s="10" t="s">
        <v>71</v>
      </c>
      <c r="C3087" s="10" t="s">
        <v>612</v>
      </c>
      <c r="D3087" s="10" t="s">
        <v>503</v>
      </c>
      <c r="E3087" s="11" t="str">
        <f t="array" ref="E3087">_xlfn.XLOOKUP(D3087,Insumos!B:B,Insumos!C:$C)</f>
        <v>L</v>
      </c>
      <c r="F3087" s="14">
        <f>0.007*3</f>
        <v>2.1000000000000001E-2</v>
      </c>
      <c r="G3087" s="92">
        <f t="array" ref="G3087">IF(B3087="insumo",_xlfn.XLOOKUP($D3087,Insumos!$B$1:$B$996,Insumos!$D$1:$D$996),"")</f>
        <v>19.34</v>
      </c>
      <c r="H3087" s="92">
        <v>0.40614</v>
      </c>
      <c r="I3087" s="13">
        <v>0</v>
      </c>
      <c r="J3087" s="13">
        <v>0</v>
      </c>
      <c r="K3087" s="13"/>
      <c r="L3087"/>
      <c r="M3087"/>
      <c r="N3087"/>
      <c r="O3087"/>
      <c r="P3087"/>
      <c r="Q3087"/>
      <c r="R3087"/>
      <c r="S3087"/>
      <c r="T3087"/>
      <c r="U3087"/>
      <c r="V3087"/>
      <c r="W3087"/>
      <c r="X3087"/>
      <c r="Y3087"/>
      <c r="Z3087"/>
      <c r="AA3087"/>
      <c r="AB3087"/>
      <c r="AC3087"/>
      <c r="AD3087"/>
      <c r="AE3087"/>
      <c r="AF3087"/>
      <c r="AG3087"/>
      <c r="AH3087"/>
      <c r="AI3087"/>
      <c r="AJ3087"/>
      <c r="AK3087"/>
      <c r="AL3087"/>
    </row>
    <row r="3088" spans="1:38" ht="15.75" customHeight="1" outlineLevel="3" x14ac:dyDescent="0.2">
      <c r="A3088" s="10">
        <v>62</v>
      </c>
      <c r="B3088" s="10" t="s">
        <v>71</v>
      </c>
      <c r="C3088" s="10" t="s">
        <v>612</v>
      </c>
      <c r="D3088" s="10" t="s">
        <v>160</v>
      </c>
      <c r="E3088" s="11" t="str">
        <f t="array" ref="E3088">_xlfn.XLOOKUP(D3088,Insumos!B:B,Insumos!C:$C)</f>
        <v>KG</v>
      </c>
      <c r="F3088" s="14">
        <f>0.166666666666667*3</f>
        <v>0.500000000000001</v>
      </c>
      <c r="G3088" s="92">
        <f t="array" ref="G3088">IF(B3088="insumo",_xlfn.XLOOKUP($D3088,Insumos!$B$1:$B$996,Insumos!$D$1:$D$996),"")</f>
        <v>0.76</v>
      </c>
      <c r="H3088" s="92">
        <v>0.380000000000001</v>
      </c>
      <c r="I3088" s="13">
        <v>0</v>
      </c>
      <c r="J3088" s="13">
        <v>0</v>
      </c>
      <c r="K3088" s="13"/>
      <c r="L3088"/>
      <c r="M3088"/>
      <c r="N3088"/>
      <c r="O3088"/>
      <c r="P3088"/>
      <c r="Q3088"/>
      <c r="R3088"/>
      <c r="S3088"/>
      <c r="T3088"/>
      <c r="U3088"/>
      <c r="V3088"/>
      <c r="W3088"/>
      <c r="X3088"/>
      <c r="Y3088"/>
      <c r="Z3088"/>
      <c r="AA3088"/>
      <c r="AB3088"/>
      <c r="AC3088"/>
      <c r="AD3088"/>
      <c r="AE3088"/>
      <c r="AF3088"/>
      <c r="AG3088"/>
      <c r="AH3088"/>
      <c r="AI3088"/>
      <c r="AJ3088"/>
      <c r="AK3088"/>
      <c r="AL3088"/>
    </row>
    <row r="3089" spans="1:38" ht="15.75" customHeight="1" outlineLevel="2" x14ac:dyDescent="0.2">
      <c r="A3089" s="1067">
        <v>1</v>
      </c>
      <c r="B3089" s="1067" t="s">
        <v>68</v>
      </c>
      <c r="C3089" s="1067" t="s">
        <v>613</v>
      </c>
      <c r="D3089" s="1067" t="s">
        <v>613</v>
      </c>
      <c r="E3089" s="1068" t="s">
        <v>70</v>
      </c>
      <c r="F3089" s="1067"/>
      <c r="G3089" s="1069" t="str">
        <f t="array" ref="G3089">IF(B3089="insumo",_xlfn.XLOOKUP($D3089,Insumos!$B$1:$B$996,Insumos!$D$1:$D$996),"")</f>
        <v/>
      </c>
      <c r="H3089" s="1069">
        <v>24.1481866666667</v>
      </c>
      <c r="I3089" s="1070">
        <v>0</v>
      </c>
      <c r="J3089" s="1070">
        <v>0</v>
      </c>
      <c r="K3089" s="1070"/>
      <c r="L3089"/>
      <c r="M3089"/>
      <c r="N3089"/>
      <c r="O3089"/>
      <c r="P3089"/>
      <c r="Q3089"/>
      <c r="R3089"/>
      <c r="S3089"/>
      <c r="T3089"/>
      <c r="U3089"/>
      <c r="V3089"/>
      <c r="W3089"/>
      <c r="X3089"/>
      <c r="Y3089"/>
      <c r="Z3089"/>
      <c r="AA3089"/>
      <c r="AB3089"/>
      <c r="AC3089"/>
      <c r="AD3089"/>
      <c r="AE3089"/>
      <c r="AF3089"/>
      <c r="AG3089"/>
      <c r="AH3089"/>
      <c r="AI3089"/>
      <c r="AJ3089"/>
      <c r="AK3089"/>
      <c r="AL3089"/>
    </row>
    <row r="3090" spans="1:38" ht="15.75" customHeight="1" outlineLevel="3" x14ac:dyDescent="0.2">
      <c r="A3090" s="10">
        <v>32</v>
      </c>
      <c r="B3090" s="10" t="s">
        <v>71</v>
      </c>
      <c r="C3090" s="10" t="s">
        <v>613</v>
      </c>
      <c r="D3090" s="10" t="s">
        <v>445</v>
      </c>
      <c r="E3090" s="11" t="str">
        <f t="array" ref="E3090">_xlfn.XLOOKUP(D3090,Insumos!B:B,Insumos!C:$C)</f>
        <v>M3</v>
      </c>
      <c r="F3090" s="14">
        <f>0.04*1.05</f>
        <v>4.2000000000000003E-2</v>
      </c>
      <c r="G3090" s="92">
        <f t="array" ref="G3090">IF(B3090="insumo",_xlfn.XLOOKUP($D3090,Insumos!$B$1:$B$996,Insumos!$D$1:$D$996),"")</f>
        <v>550</v>
      </c>
      <c r="H3090" s="92">
        <v>23.1</v>
      </c>
      <c r="I3090" s="13">
        <v>0</v>
      </c>
      <c r="J3090" s="13">
        <v>0</v>
      </c>
      <c r="K3090" s="13"/>
      <c r="L3090"/>
      <c r="M3090"/>
      <c r="N3090"/>
      <c r="O3090"/>
      <c r="P3090"/>
      <c r="Q3090"/>
      <c r="R3090"/>
      <c r="S3090"/>
      <c r="T3090"/>
      <c r="U3090"/>
      <c r="V3090"/>
      <c r="W3090"/>
      <c r="X3090"/>
      <c r="Y3090"/>
      <c r="Z3090"/>
      <c r="AA3090"/>
      <c r="AB3090"/>
      <c r="AC3090"/>
      <c r="AD3090"/>
      <c r="AE3090"/>
      <c r="AF3090"/>
      <c r="AG3090"/>
      <c r="AH3090"/>
      <c r="AI3090"/>
      <c r="AJ3090"/>
      <c r="AK3090"/>
      <c r="AL3090"/>
    </row>
    <row r="3091" spans="1:38" ht="15.75" customHeight="1" outlineLevel="3" x14ac:dyDescent="0.2">
      <c r="A3091" s="10">
        <v>41</v>
      </c>
      <c r="B3091" s="10" t="s">
        <v>71</v>
      </c>
      <c r="C3091" s="10" t="s">
        <v>613</v>
      </c>
      <c r="D3091" s="10" t="s">
        <v>503</v>
      </c>
      <c r="E3091" s="11" t="str">
        <f t="array" ref="E3091">_xlfn.XLOOKUP(D3091,Insumos!B:B,Insumos!C:$C)</f>
        <v>L</v>
      </c>
      <c r="F3091" s="14">
        <f>0.007*4</f>
        <v>2.8000000000000001E-2</v>
      </c>
      <c r="G3091" s="92">
        <f t="array" ref="G3091">IF(B3091="insumo",_xlfn.XLOOKUP($D3091,Insumos!$B$1:$B$996,Insumos!$D$1:$D$996),"")</f>
        <v>19.34</v>
      </c>
      <c r="H3091" s="92">
        <v>0.54152</v>
      </c>
      <c r="I3091" s="13">
        <v>0</v>
      </c>
      <c r="J3091" s="13">
        <v>0</v>
      </c>
      <c r="K3091" s="13"/>
      <c r="L3091"/>
      <c r="M3091"/>
      <c r="N3091"/>
      <c r="O3091"/>
      <c r="P3091"/>
      <c r="Q3091"/>
      <c r="R3091"/>
      <c r="S3091"/>
      <c r="T3091"/>
      <c r="U3091"/>
      <c r="V3091"/>
      <c r="W3091"/>
      <c r="X3091"/>
      <c r="Y3091"/>
      <c r="Z3091"/>
      <c r="AA3091"/>
      <c r="AB3091"/>
      <c r="AC3091"/>
      <c r="AD3091"/>
      <c r="AE3091"/>
      <c r="AF3091"/>
      <c r="AG3091"/>
      <c r="AH3091"/>
      <c r="AI3091"/>
      <c r="AJ3091"/>
      <c r="AK3091"/>
      <c r="AL3091"/>
    </row>
    <row r="3092" spans="1:38" ht="15.75" customHeight="1" outlineLevel="3" x14ac:dyDescent="0.2">
      <c r="A3092" s="10">
        <v>62</v>
      </c>
      <c r="B3092" s="10" t="s">
        <v>71</v>
      </c>
      <c r="C3092" s="10" t="s">
        <v>613</v>
      </c>
      <c r="D3092" s="10" t="s">
        <v>160</v>
      </c>
      <c r="E3092" s="11" t="str">
        <f t="array" ref="E3092">_xlfn.XLOOKUP(D3092,Insumos!B:B,Insumos!C:$C)</f>
        <v>KG</v>
      </c>
      <c r="F3092" s="14">
        <f>0.166666666666667*4</f>
        <v>0.66666666666666796</v>
      </c>
      <c r="G3092" s="92">
        <f t="array" ref="G3092">IF(B3092="insumo",_xlfn.XLOOKUP($D3092,Insumos!$B$1:$B$996,Insumos!$D$1:$D$996),"")</f>
        <v>0.76</v>
      </c>
      <c r="H3092" s="92">
        <v>0.50666666666666804</v>
      </c>
      <c r="I3092" s="13">
        <v>0</v>
      </c>
      <c r="J3092" s="13">
        <v>0</v>
      </c>
      <c r="K3092" s="13"/>
      <c r="L3092"/>
      <c r="M3092"/>
      <c r="N3092"/>
      <c r="O3092"/>
      <c r="P3092"/>
      <c r="Q3092"/>
      <c r="R3092"/>
      <c r="S3092"/>
      <c r="T3092"/>
      <c r="U3092"/>
      <c r="V3092"/>
      <c r="W3092"/>
      <c r="X3092"/>
      <c r="Y3092"/>
      <c r="Z3092"/>
      <c r="AA3092"/>
      <c r="AB3092"/>
      <c r="AC3092"/>
      <c r="AD3092"/>
      <c r="AE3092"/>
      <c r="AF3092"/>
      <c r="AG3092"/>
      <c r="AH3092"/>
      <c r="AI3092"/>
      <c r="AJ3092"/>
      <c r="AK3092"/>
      <c r="AL3092"/>
    </row>
    <row r="3093" spans="1:38" ht="15.75" customHeight="1" outlineLevel="2" x14ac:dyDescent="0.2">
      <c r="A3093" s="1067">
        <v>1</v>
      </c>
      <c r="B3093" s="1067" t="s">
        <v>68</v>
      </c>
      <c r="C3093" s="1067" t="s">
        <v>2978</v>
      </c>
      <c r="D3093" s="1067" t="s">
        <v>2978</v>
      </c>
      <c r="E3093" s="1068" t="s">
        <v>70</v>
      </c>
      <c r="F3093" s="1067"/>
      <c r="G3093" s="1069" t="str">
        <f t="array" ref="G3093">IF(B3093="insumo",_xlfn.XLOOKUP($D3093,Insumos!$B$1:$B$996,Insumos!$D$1:$D$996),"")</f>
        <v/>
      </c>
      <c r="H3093" s="1069">
        <v>34.468566666666703</v>
      </c>
      <c r="I3093" s="1070">
        <v>0</v>
      </c>
      <c r="J3093" s="1070">
        <v>0</v>
      </c>
      <c r="K3093" s="1070"/>
      <c r="L3093"/>
      <c r="M3093"/>
      <c r="N3093"/>
      <c r="O3093"/>
      <c r="P3093"/>
      <c r="Q3093"/>
      <c r="R3093"/>
      <c r="S3093"/>
      <c r="T3093"/>
      <c r="U3093"/>
      <c r="V3093"/>
      <c r="W3093"/>
      <c r="X3093"/>
      <c r="Y3093"/>
      <c r="Z3093"/>
      <c r="AA3093"/>
      <c r="AB3093"/>
      <c r="AC3093"/>
      <c r="AD3093"/>
      <c r="AE3093"/>
      <c r="AF3093"/>
      <c r="AG3093"/>
      <c r="AH3093"/>
      <c r="AI3093"/>
      <c r="AJ3093"/>
      <c r="AK3093"/>
      <c r="AL3093"/>
    </row>
    <row r="3094" spans="1:38" ht="15.75" customHeight="1" outlineLevel="3" x14ac:dyDescent="0.2">
      <c r="A3094" s="10">
        <v>32</v>
      </c>
      <c r="B3094" s="10" t="s">
        <v>71</v>
      </c>
      <c r="C3094" s="10" t="s">
        <v>2978</v>
      </c>
      <c r="D3094" s="10" t="s">
        <v>445</v>
      </c>
      <c r="E3094" s="11" t="str">
        <f t="array" ref="E3094">_xlfn.XLOOKUP(D3094,Insumos!B:B,Insumos!C:$C)</f>
        <v>M3</v>
      </c>
      <c r="F3094" s="14">
        <f>0.011*5</f>
        <v>5.4999999999999993E-2</v>
      </c>
      <c r="G3094" s="92">
        <f t="array" ref="G3094">IF(B3094="insumo",_xlfn.XLOOKUP($D3094,Insumos!$B$1:$B$996,Insumos!$D$1:$D$996),"")</f>
        <v>550</v>
      </c>
      <c r="H3094" s="92">
        <v>30.25</v>
      </c>
      <c r="I3094" s="13">
        <v>0</v>
      </c>
      <c r="J3094" s="13">
        <v>0</v>
      </c>
      <c r="K3094" s="13"/>
      <c r="L3094"/>
      <c r="M3094"/>
      <c r="N3094"/>
      <c r="O3094"/>
      <c r="P3094"/>
      <c r="Q3094"/>
      <c r="R3094"/>
      <c r="S3094"/>
      <c r="T3094"/>
      <c r="U3094"/>
      <c r="V3094"/>
      <c r="W3094"/>
      <c r="X3094"/>
      <c r="Y3094"/>
      <c r="Z3094"/>
      <c r="AA3094"/>
      <c r="AB3094"/>
      <c r="AC3094"/>
      <c r="AD3094"/>
      <c r="AE3094"/>
      <c r="AF3094"/>
      <c r="AG3094"/>
      <c r="AH3094"/>
      <c r="AI3094"/>
      <c r="AJ3094"/>
      <c r="AK3094"/>
      <c r="AL3094"/>
    </row>
    <row r="3095" spans="1:38" ht="15.75" customHeight="1" outlineLevel="3" x14ac:dyDescent="0.2">
      <c r="A3095" s="10">
        <v>41</v>
      </c>
      <c r="B3095" s="10" t="s">
        <v>71</v>
      </c>
      <c r="C3095" s="10" t="s">
        <v>2978</v>
      </c>
      <c r="D3095" s="10" t="s">
        <v>503</v>
      </c>
      <c r="E3095" s="11" t="str">
        <f t="array" ref="E3095">_xlfn.XLOOKUP(D3095,Insumos!B:B,Insumos!C:$C)</f>
        <v>L</v>
      </c>
      <c r="F3095" s="14">
        <f>5*0.007</f>
        <v>3.5000000000000003E-2</v>
      </c>
      <c r="G3095" s="92">
        <f t="array" ref="G3095">IF(B3095="insumo",_xlfn.XLOOKUP($D3095,Insumos!$B$1:$B$996,Insumos!$D$1:$D$996),"")</f>
        <v>19.34</v>
      </c>
      <c r="H3095" s="92">
        <v>0.67689999999999995</v>
      </c>
      <c r="I3095" s="13">
        <v>0</v>
      </c>
      <c r="J3095" s="13">
        <v>0</v>
      </c>
      <c r="K3095" s="13"/>
      <c r="L3095"/>
      <c r="M3095"/>
      <c r="N3095"/>
      <c r="O3095"/>
      <c r="P3095"/>
      <c r="Q3095"/>
      <c r="R3095"/>
      <c r="S3095"/>
      <c r="T3095"/>
      <c r="U3095"/>
      <c r="V3095"/>
      <c r="W3095"/>
      <c r="X3095"/>
      <c r="Y3095"/>
      <c r="Z3095"/>
      <c r="AA3095"/>
      <c r="AB3095"/>
      <c r="AC3095"/>
      <c r="AD3095"/>
      <c r="AE3095"/>
      <c r="AF3095"/>
      <c r="AG3095"/>
      <c r="AH3095"/>
      <c r="AI3095"/>
      <c r="AJ3095"/>
      <c r="AK3095"/>
      <c r="AL3095"/>
    </row>
    <row r="3096" spans="1:38" ht="15.75" customHeight="1" outlineLevel="3" x14ac:dyDescent="0.2">
      <c r="A3096" s="10">
        <v>8</v>
      </c>
      <c r="B3096" s="10" t="s">
        <v>71</v>
      </c>
      <c r="C3096" s="10" t="s">
        <v>2978</v>
      </c>
      <c r="D3096" s="10" t="s">
        <v>579</v>
      </c>
      <c r="E3096" s="11" t="str">
        <f t="array" ref="E3096">_xlfn.XLOOKUP(D3096,Insumos!B:B,Insumos!C:$C)</f>
        <v>KG</v>
      </c>
      <c r="F3096" s="14">
        <f>5*0.166666666666667</f>
        <v>0.83333333333333492</v>
      </c>
      <c r="G3096" s="92">
        <f t="array" ref="G3096">IF(B3096="insumo",_xlfn.XLOOKUP($D3096,Insumos!$B$1:$B$996,Insumos!$D$1:$D$996),"")</f>
        <v>4.25</v>
      </c>
      <c r="H3096" s="92">
        <v>3.5416666666666701</v>
      </c>
      <c r="I3096" s="13">
        <v>0</v>
      </c>
      <c r="J3096" s="13">
        <v>0</v>
      </c>
      <c r="K3096" s="13"/>
      <c r="L3096"/>
      <c r="M3096"/>
      <c r="N3096"/>
      <c r="O3096"/>
      <c r="P3096"/>
      <c r="Q3096"/>
      <c r="R3096"/>
      <c r="S3096"/>
      <c r="T3096"/>
      <c r="U3096"/>
      <c r="V3096"/>
      <c r="W3096"/>
      <c r="X3096"/>
      <c r="Y3096"/>
      <c r="Z3096"/>
      <c r="AA3096"/>
      <c r="AB3096"/>
      <c r="AC3096"/>
      <c r="AD3096"/>
      <c r="AE3096"/>
      <c r="AF3096"/>
      <c r="AG3096"/>
      <c r="AH3096"/>
      <c r="AI3096"/>
      <c r="AJ3096"/>
      <c r="AK3096"/>
      <c r="AL3096"/>
    </row>
    <row r="3097" spans="1:38" ht="12.75" outlineLevel="2" x14ac:dyDescent="0.2">
      <c r="A3097" s="1071">
        <v>1</v>
      </c>
      <c r="B3097" s="1071" t="s">
        <v>68</v>
      </c>
      <c r="C3097" s="1071" t="s">
        <v>1864</v>
      </c>
      <c r="D3097" s="1071" t="s">
        <v>1864</v>
      </c>
      <c r="E3097" s="1072" t="s">
        <v>70</v>
      </c>
      <c r="F3097" s="1071"/>
      <c r="G3097" s="1073" t="str">
        <f t="array" ref="G3097">IF(B3097="insumo",_xlfn.XLOOKUP($D3097,Insumos!$B$1:$B$996,Insumos!$D$1:$D$996),"")</f>
        <v/>
      </c>
      <c r="H3097" s="1073">
        <v>15.0006</v>
      </c>
      <c r="I3097" s="1074">
        <v>0</v>
      </c>
      <c r="J3097" s="1074">
        <v>0</v>
      </c>
      <c r="K3097" s="1074"/>
      <c r="L3097"/>
      <c r="M3097"/>
      <c r="N3097"/>
      <c r="O3097"/>
      <c r="P3097"/>
      <c r="Q3097"/>
      <c r="R3097"/>
      <c r="S3097"/>
      <c r="T3097"/>
      <c r="U3097"/>
      <c r="V3097"/>
      <c r="W3097"/>
      <c r="X3097"/>
      <c r="Y3097"/>
      <c r="Z3097"/>
      <c r="AA3097"/>
      <c r="AB3097"/>
      <c r="AC3097"/>
      <c r="AD3097"/>
      <c r="AE3097"/>
      <c r="AF3097"/>
      <c r="AG3097"/>
      <c r="AH3097"/>
      <c r="AI3097"/>
      <c r="AJ3097"/>
      <c r="AK3097"/>
      <c r="AL3097"/>
    </row>
    <row r="3098" spans="1:38" ht="12.75" outlineLevel="3" x14ac:dyDescent="0.2">
      <c r="A3098" s="82">
        <v>1</v>
      </c>
      <c r="B3098" s="82" t="s">
        <v>71</v>
      </c>
      <c r="C3098" s="82" t="s">
        <v>1864</v>
      </c>
      <c r="D3098" s="82" t="s">
        <v>1865</v>
      </c>
      <c r="E3098" s="11" t="str">
        <f t="array" ref="E3098">_xlfn.XLOOKUP(D3098,Insumos!B:B,Insumos!C:$C)</f>
        <v>M3</v>
      </c>
      <c r="F3098" s="86">
        <v>0.34499999999999997</v>
      </c>
      <c r="G3098" s="92">
        <f t="array" ref="G3098">IF(B3098="insumo",_xlfn.XLOOKUP($D3098,Insumos!$B$1:$B$996,Insumos!$D$1:$D$996),"")</f>
        <v>43.48</v>
      </c>
      <c r="H3098" s="92">
        <v>15.0006</v>
      </c>
      <c r="I3098" s="84">
        <v>0</v>
      </c>
      <c r="J3098" s="84">
        <v>0</v>
      </c>
      <c r="K3098" s="84"/>
      <c r="L3098"/>
      <c r="M3098"/>
      <c r="N3098"/>
      <c r="O3098"/>
      <c r="P3098"/>
      <c r="Q3098"/>
      <c r="R3098"/>
      <c r="S3098"/>
      <c r="T3098"/>
      <c r="U3098"/>
      <c r="V3098"/>
      <c r="W3098"/>
      <c r="X3098"/>
      <c r="Y3098"/>
      <c r="Z3098"/>
      <c r="AA3098"/>
      <c r="AB3098"/>
      <c r="AC3098"/>
      <c r="AD3098"/>
      <c r="AE3098"/>
      <c r="AF3098"/>
      <c r="AG3098"/>
      <c r="AH3098"/>
      <c r="AI3098"/>
      <c r="AJ3098"/>
      <c r="AK3098"/>
      <c r="AL3098"/>
    </row>
    <row r="3099" spans="1:38" ht="15.75" customHeight="1" outlineLevel="2" x14ac:dyDescent="0.2">
      <c r="A3099" s="1067">
        <v>1</v>
      </c>
      <c r="B3099" s="1067" t="s">
        <v>68</v>
      </c>
      <c r="C3099" s="1067" t="s">
        <v>614</v>
      </c>
      <c r="D3099" s="1067" t="s">
        <v>614</v>
      </c>
      <c r="E3099" s="1068" t="s">
        <v>70</v>
      </c>
      <c r="F3099" s="1067"/>
      <c r="G3099" s="1069" t="str">
        <f t="array" ref="G3099">IF(B3099="insumo",_xlfn.XLOOKUP($D3099,Insumos!$B$1:$B$996,Insumos!$D$1:$D$996),"")</f>
        <v/>
      </c>
      <c r="H3099" s="1069">
        <v>30.185233333333301</v>
      </c>
      <c r="I3099" s="1070" t="e">
        <v>#REF!</v>
      </c>
      <c r="J3099" s="1070" t="e">
        <v>#REF!</v>
      </c>
      <c r="K3099" s="1070"/>
      <c r="L3099"/>
      <c r="M3099"/>
      <c r="N3099"/>
      <c r="O3099"/>
      <c r="P3099"/>
      <c r="Q3099"/>
      <c r="R3099"/>
      <c r="S3099"/>
      <c r="T3099"/>
      <c r="U3099"/>
      <c r="V3099"/>
      <c r="W3099"/>
      <c r="X3099"/>
      <c r="Y3099"/>
      <c r="Z3099"/>
      <c r="AA3099"/>
      <c r="AB3099"/>
      <c r="AC3099"/>
      <c r="AD3099"/>
      <c r="AE3099"/>
      <c r="AF3099"/>
      <c r="AG3099"/>
      <c r="AH3099"/>
      <c r="AI3099"/>
      <c r="AJ3099"/>
      <c r="AK3099"/>
      <c r="AL3099"/>
    </row>
    <row r="3100" spans="1:38" ht="15.75" customHeight="1" outlineLevel="3" x14ac:dyDescent="0.2">
      <c r="A3100" s="10">
        <v>32</v>
      </c>
      <c r="B3100" s="10" t="s">
        <v>71</v>
      </c>
      <c r="C3100" s="10" t="s">
        <v>614</v>
      </c>
      <c r="D3100" s="10" t="s">
        <v>445</v>
      </c>
      <c r="E3100" s="11" t="str">
        <f t="array" ref="E3100">_xlfn.XLOOKUP(D3100,Insumos!B:B,Insumos!C:$C)</f>
        <v>M3</v>
      </c>
      <c r="F3100" s="14">
        <f>0.05*1.05</f>
        <v>5.2500000000000005E-2</v>
      </c>
      <c r="G3100" s="92">
        <f t="array" ref="G3100">IF(B3100="insumo",_xlfn.XLOOKUP($D3100,Insumos!$B$1:$B$996,Insumos!$D$1:$D$996),"")</f>
        <v>550</v>
      </c>
      <c r="H3100" s="92">
        <v>28.875</v>
      </c>
      <c r="I3100" s="13" t="e">
        <v>#REF!</v>
      </c>
      <c r="J3100" s="13" t="e">
        <v>#REF!</v>
      </c>
      <c r="K3100" s="13"/>
      <c r="L3100"/>
      <c r="M3100"/>
      <c r="N3100"/>
      <c r="O3100"/>
      <c r="P3100"/>
      <c r="Q3100"/>
      <c r="R3100"/>
      <c r="S3100"/>
      <c r="T3100"/>
      <c r="U3100"/>
      <c r="V3100"/>
      <c r="W3100"/>
      <c r="X3100"/>
      <c r="Y3100"/>
      <c r="Z3100"/>
      <c r="AA3100"/>
      <c r="AB3100"/>
      <c r="AC3100"/>
      <c r="AD3100"/>
      <c r="AE3100"/>
      <c r="AF3100"/>
      <c r="AG3100"/>
      <c r="AH3100"/>
      <c r="AI3100"/>
      <c r="AJ3100"/>
      <c r="AK3100"/>
      <c r="AL3100"/>
    </row>
    <row r="3101" spans="1:38" ht="15.75" customHeight="1" outlineLevel="3" x14ac:dyDescent="0.2">
      <c r="A3101" s="10">
        <v>41</v>
      </c>
      <c r="B3101" s="10" t="s">
        <v>71</v>
      </c>
      <c r="C3101" s="10" t="s">
        <v>614</v>
      </c>
      <c r="D3101" s="10" t="s">
        <v>503</v>
      </c>
      <c r="E3101" s="11" t="str">
        <f t="array" ref="E3101">_xlfn.XLOOKUP(D3101,Insumos!B:B,Insumos!C:$C)</f>
        <v>L</v>
      </c>
      <c r="F3101" s="14">
        <f>0.007*5</f>
        <v>3.5000000000000003E-2</v>
      </c>
      <c r="G3101" s="92">
        <f t="array" ref="G3101">IF(B3101="insumo",_xlfn.XLOOKUP($D3101,Insumos!$B$1:$B$996,Insumos!$D$1:$D$996),"")</f>
        <v>19.34</v>
      </c>
      <c r="H3101" s="92">
        <v>0.67689999999999995</v>
      </c>
      <c r="I3101" s="13" t="e">
        <v>#REF!</v>
      </c>
      <c r="J3101" s="13" t="e">
        <v>#REF!</v>
      </c>
      <c r="K3101" s="13"/>
      <c r="L3101"/>
      <c r="M3101"/>
      <c r="N3101"/>
      <c r="O3101"/>
      <c r="P3101"/>
      <c r="Q3101"/>
      <c r="R3101"/>
      <c r="S3101"/>
      <c r="T3101"/>
      <c r="U3101"/>
      <c r="V3101"/>
      <c r="W3101"/>
      <c r="X3101"/>
      <c r="Y3101"/>
      <c r="Z3101"/>
      <c r="AA3101"/>
      <c r="AB3101"/>
      <c r="AC3101"/>
      <c r="AD3101"/>
      <c r="AE3101"/>
      <c r="AF3101"/>
      <c r="AG3101"/>
      <c r="AH3101"/>
      <c r="AI3101"/>
      <c r="AJ3101"/>
      <c r="AK3101"/>
      <c r="AL3101"/>
    </row>
    <row r="3102" spans="1:38" ht="15.75" customHeight="1" outlineLevel="3" x14ac:dyDescent="0.2">
      <c r="A3102" s="10">
        <v>62</v>
      </c>
      <c r="B3102" s="10" t="s">
        <v>71</v>
      </c>
      <c r="C3102" s="10" t="s">
        <v>614</v>
      </c>
      <c r="D3102" s="10" t="s">
        <v>160</v>
      </c>
      <c r="E3102" s="11" t="str">
        <f t="array" ref="E3102">_xlfn.XLOOKUP(D3102,Insumos!B:B,Insumos!C:$C)</f>
        <v>KG</v>
      </c>
      <c r="F3102" s="14">
        <f>0.166666666666667*5</f>
        <v>0.83333333333333492</v>
      </c>
      <c r="G3102" s="92">
        <f t="array" ref="G3102">IF(B3102="insumo",_xlfn.XLOOKUP($D3102,Insumos!$B$1:$B$996,Insumos!$D$1:$D$996),"")</f>
        <v>0.76</v>
      </c>
      <c r="H3102" s="92">
        <v>0.63333333333333497</v>
      </c>
      <c r="I3102" s="13" t="e">
        <v>#REF!</v>
      </c>
      <c r="J3102" s="13" t="e">
        <v>#REF!</v>
      </c>
      <c r="K3102" s="13"/>
      <c r="L3102"/>
      <c r="M3102"/>
      <c r="N3102"/>
      <c r="O3102"/>
      <c r="P3102"/>
      <c r="Q3102"/>
      <c r="R3102"/>
      <c r="S3102"/>
      <c r="T3102"/>
      <c r="U3102"/>
      <c r="V3102"/>
      <c r="W3102"/>
      <c r="X3102"/>
      <c r="Y3102"/>
      <c r="Z3102"/>
      <c r="AA3102"/>
      <c r="AB3102"/>
      <c r="AC3102"/>
      <c r="AD3102"/>
      <c r="AE3102"/>
      <c r="AF3102"/>
      <c r="AG3102"/>
      <c r="AH3102"/>
      <c r="AI3102"/>
      <c r="AJ3102"/>
      <c r="AK3102"/>
      <c r="AL3102"/>
    </row>
    <row r="3103" spans="1:38" ht="15.75" customHeight="1" outlineLevel="2" x14ac:dyDescent="0.2">
      <c r="A3103" s="1067">
        <v>1</v>
      </c>
      <c r="B3103" s="1067" t="s">
        <v>68</v>
      </c>
      <c r="C3103" s="1067" t="s">
        <v>615</v>
      </c>
      <c r="D3103" s="1067" t="s">
        <v>615</v>
      </c>
      <c r="E3103" s="1068" t="s">
        <v>70</v>
      </c>
      <c r="F3103" s="1067"/>
      <c r="G3103" s="1069" t="str">
        <f t="array" ref="G3103">IF(B3103="insumo",_xlfn.XLOOKUP($D3103,Insumos!$B$1:$B$996,Insumos!$D$1:$D$996),"")</f>
        <v/>
      </c>
      <c r="H3103" s="1069">
        <v>23.124199999999998</v>
      </c>
      <c r="I3103" s="1070">
        <v>0</v>
      </c>
      <c r="J3103" s="1070">
        <v>0</v>
      </c>
      <c r="K3103" s="1070"/>
      <c r="L3103"/>
      <c r="M3103"/>
      <c r="N3103"/>
      <c r="O3103"/>
      <c r="P3103"/>
      <c r="Q3103"/>
      <c r="R3103"/>
      <c r="S3103"/>
      <c r="T3103"/>
      <c r="U3103"/>
      <c r="V3103"/>
      <c r="W3103"/>
      <c r="X3103"/>
      <c r="Y3103"/>
      <c r="Z3103"/>
      <c r="AA3103"/>
      <c r="AB3103"/>
      <c r="AC3103"/>
      <c r="AD3103"/>
      <c r="AE3103"/>
      <c r="AF3103"/>
      <c r="AG3103"/>
      <c r="AH3103"/>
      <c r="AI3103"/>
      <c r="AJ3103"/>
      <c r="AK3103"/>
      <c r="AL3103"/>
    </row>
    <row r="3104" spans="1:38" ht="15.75" customHeight="1" outlineLevel="3" x14ac:dyDescent="0.2">
      <c r="A3104" s="10">
        <v>32</v>
      </c>
      <c r="B3104" s="10" t="s">
        <v>71</v>
      </c>
      <c r="C3104" s="10" t="s">
        <v>615</v>
      </c>
      <c r="D3104" s="10" t="s">
        <v>445</v>
      </c>
      <c r="E3104" s="11" t="str">
        <f t="array" ref="E3104">_xlfn.XLOOKUP(D3104,Insumos!B:B,Insumos!C:$C)</f>
        <v>M3</v>
      </c>
      <c r="F3104" s="14">
        <v>3.3000000000000002E-2</v>
      </c>
      <c r="G3104" s="92">
        <f t="array" ref="G3104">IF(B3104="insumo",_xlfn.XLOOKUP($D3104,Insumos!$B$1:$B$996,Insumos!$D$1:$D$996),"")</f>
        <v>550</v>
      </c>
      <c r="H3104" s="92">
        <v>18.149999999999999</v>
      </c>
      <c r="I3104" s="13">
        <v>0</v>
      </c>
      <c r="J3104" s="13">
        <v>0</v>
      </c>
      <c r="K3104" s="13"/>
      <c r="L3104"/>
      <c r="M3104"/>
      <c r="N3104"/>
      <c r="O3104"/>
      <c r="P3104"/>
      <c r="Q3104"/>
      <c r="R3104"/>
      <c r="S3104"/>
      <c r="T3104"/>
      <c r="U3104"/>
      <c r="V3104"/>
      <c r="W3104"/>
      <c r="X3104"/>
      <c r="Y3104"/>
      <c r="Z3104"/>
      <c r="AA3104"/>
      <c r="AB3104"/>
      <c r="AC3104"/>
      <c r="AD3104"/>
      <c r="AE3104"/>
      <c r="AF3104"/>
      <c r="AG3104"/>
      <c r="AH3104"/>
      <c r="AI3104"/>
      <c r="AJ3104"/>
      <c r="AK3104"/>
      <c r="AL3104"/>
    </row>
    <row r="3105" spans="1:38" ht="15.75" customHeight="1" outlineLevel="3" x14ac:dyDescent="0.2">
      <c r="A3105" s="10">
        <v>1</v>
      </c>
      <c r="B3105" s="10" t="s">
        <v>71</v>
      </c>
      <c r="C3105" s="10" t="s">
        <v>615</v>
      </c>
      <c r="D3105" s="10" t="s">
        <v>616</v>
      </c>
      <c r="E3105" s="11" t="str">
        <f t="array" ref="E3105">_xlfn.XLOOKUP(D3105,Insumos!B:B,Insumos!C:$C)</f>
        <v>KG</v>
      </c>
      <c r="F3105" s="14">
        <v>1.56</v>
      </c>
      <c r="G3105" s="92">
        <f t="array" ref="G3105">IF(B3105="insumo",_xlfn.XLOOKUP($D3105,Insumos!$B$1:$B$996,Insumos!$D$1:$D$996),"")</f>
        <v>2.9449999999999998</v>
      </c>
      <c r="H3105" s="92">
        <v>4.5941999999999998</v>
      </c>
      <c r="I3105" s="13">
        <v>0</v>
      </c>
      <c r="J3105" s="13">
        <v>0</v>
      </c>
      <c r="K3105" s="13"/>
      <c r="L3105"/>
      <c r="M3105"/>
      <c r="N3105"/>
      <c r="O3105"/>
      <c r="P3105"/>
      <c r="Q3105"/>
      <c r="R3105"/>
      <c r="S3105"/>
      <c r="T3105"/>
      <c r="U3105"/>
      <c r="V3105"/>
      <c r="W3105"/>
      <c r="X3105"/>
      <c r="Y3105"/>
      <c r="Z3105"/>
      <c r="AA3105"/>
      <c r="AB3105"/>
      <c r="AC3105"/>
      <c r="AD3105"/>
      <c r="AE3105"/>
      <c r="AF3105"/>
      <c r="AG3105"/>
      <c r="AH3105"/>
      <c r="AI3105"/>
      <c r="AJ3105"/>
      <c r="AK3105"/>
      <c r="AL3105"/>
    </row>
    <row r="3106" spans="1:38" ht="15.75" customHeight="1" outlineLevel="3" x14ac:dyDescent="0.2">
      <c r="A3106" s="10">
        <v>62</v>
      </c>
      <c r="B3106" s="10" t="s">
        <v>71</v>
      </c>
      <c r="C3106" s="10" t="s">
        <v>615</v>
      </c>
      <c r="D3106" s="10" t="s">
        <v>160</v>
      </c>
      <c r="E3106" s="11" t="str">
        <f t="array" ref="E3106">_xlfn.XLOOKUP(D3106,Insumos!B:B,Insumos!C:$C)</f>
        <v>KG</v>
      </c>
      <c r="F3106" s="14">
        <v>0.5</v>
      </c>
      <c r="G3106" s="92">
        <f t="array" ref="G3106">IF(B3106="insumo",_xlfn.XLOOKUP($D3106,Insumos!$B$1:$B$996,Insumos!$D$1:$D$996),"")</f>
        <v>0.76</v>
      </c>
      <c r="H3106" s="92">
        <v>0.38</v>
      </c>
      <c r="I3106" s="13">
        <v>0</v>
      </c>
      <c r="J3106" s="13">
        <v>0</v>
      </c>
      <c r="K3106" s="13"/>
      <c r="L3106"/>
      <c r="M3106"/>
      <c r="N3106"/>
      <c r="O3106"/>
      <c r="P3106"/>
      <c r="Q3106"/>
      <c r="R3106"/>
      <c r="S3106"/>
      <c r="T3106"/>
      <c r="U3106"/>
      <c r="V3106"/>
      <c r="W3106"/>
      <c r="X3106"/>
      <c r="Y3106"/>
      <c r="Z3106"/>
      <c r="AA3106"/>
      <c r="AB3106"/>
      <c r="AC3106"/>
      <c r="AD3106"/>
      <c r="AE3106"/>
      <c r="AF3106"/>
      <c r="AG3106"/>
      <c r="AH3106"/>
      <c r="AI3106"/>
      <c r="AJ3106"/>
      <c r="AK3106"/>
      <c r="AL3106"/>
    </row>
    <row r="3107" spans="1:38" ht="15.75" customHeight="1" outlineLevel="1" x14ac:dyDescent="0.2">
      <c r="A3107" s="1090">
        <v>1</v>
      </c>
      <c r="B3107" s="1090" t="s">
        <v>1228</v>
      </c>
      <c r="C3107" s="1090" t="s">
        <v>615</v>
      </c>
      <c r="D3107" s="1090" t="s">
        <v>1464</v>
      </c>
      <c r="E3107" s="1091"/>
      <c r="F3107" s="1092"/>
      <c r="G3107" s="1091"/>
      <c r="H3107" s="1091">
        <v>0</v>
      </c>
      <c r="I3107" s="1092">
        <v>0</v>
      </c>
      <c r="J3107" s="1092">
        <v>0</v>
      </c>
      <c r="K3107" s="1092"/>
      <c r="L3107"/>
      <c r="M3107"/>
      <c r="N3107"/>
      <c r="O3107"/>
      <c r="P3107"/>
      <c r="Q3107"/>
      <c r="R3107"/>
      <c r="S3107"/>
      <c r="T3107"/>
      <c r="U3107"/>
      <c r="V3107"/>
      <c r="W3107"/>
      <c r="X3107"/>
      <c r="Y3107"/>
      <c r="Z3107"/>
      <c r="AA3107"/>
      <c r="AB3107"/>
      <c r="AC3107"/>
      <c r="AD3107"/>
      <c r="AE3107"/>
      <c r="AF3107"/>
      <c r="AG3107"/>
      <c r="AH3107"/>
      <c r="AI3107"/>
      <c r="AJ3107"/>
      <c r="AK3107"/>
      <c r="AL3107"/>
    </row>
    <row r="3108" spans="1:38" ht="15.75" customHeight="1" outlineLevel="2" x14ac:dyDescent="0.2">
      <c r="A3108" s="1067">
        <v>1</v>
      </c>
      <c r="B3108" s="1067" t="s">
        <v>68</v>
      </c>
      <c r="C3108" s="1067" t="s">
        <v>617</v>
      </c>
      <c r="D3108" s="1067" t="s">
        <v>617</v>
      </c>
      <c r="E3108" s="1068" t="s">
        <v>70</v>
      </c>
      <c r="F3108" s="1067"/>
      <c r="G3108" s="1069" t="str">
        <f t="array" ref="G3108">IF(B3108="insumo",_xlfn.XLOOKUP($D3108,Insumos!$B$1:$B$996,Insumos!$D$1:$D$996),"")</f>
        <v/>
      </c>
      <c r="H3108" s="1069">
        <v>30.774093333333301</v>
      </c>
      <c r="I3108" s="1070">
        <v>0</v>
      </c>
      <c r="J3108" s="1070">
        <v>0</v>
      </c>
      <c r="K3108" s="1070"/>
      <c r="L3108"/>
      <c r="M3108"/>
      <c r="N3108"/>
      <c r="O3108"/>
      <c r="P3108"/>
      <c r="Q3108"/>
      <c r="R3108"/>
      <c r="S3108"/>
      <c r="T3108"/>
      <c r="U3108"/>
      <c r="V3108"/>
      <c r="W3108"/>
      <c r="X3108"/>
      <c r="Y3108"/>
      <c r="Z3108"/>
      <c r="AA3108"/>
      <c r="AB3108"/>
      <c r="AC3108"/>
      <c r="AD3108"/>
      <c r="AE3108"/>
      <c r="AF3108"/>
      <c r="AG3108"/>
      <c r="AH3108"/>
      <c r="AI3108"/>
      <c r="AJ3108"/>
      <c r="AK3108"/>
      <c r="AL3108"/>
    </row>
    <row r="3109" spans="1:38" ht="15.75" customHeight="1" outlineLevel="3" x14ac:dyDescent="0.2">
      <c r="A3109" s="10">
        <v>32</v>
      </c>
      <c r="B3109" s="10" t="s">
        <v>71</v>
      </c>
      <c r="C3109" s="10" t="s">
        <v>617</v>
      </c>
      <c r="D3109" s="10" t="s">
        <v>445</v>
      </c>
      <c r="E3109" s="11" t="str">
        <f t="array" ref="E3109">_xlfn.XLOOKUP(D3109,Insumos!B:B,Insumos!C:$C)</f>
        <v>M3</v>
      </c>
      <c r="F3109" s="14">
        <f>0.05*1.1</f>
        <v>5.5000000000000007E-2</v>
      </c>
      <c r="G3109" s="92">
        <f t="array" ref="G3109">IF(B3109="insumo",_xlfn.XLOOKUP($D3109,Insumos!$B$1:$B$996,Insumos!$D$1:$D$996),"")</f>
        <v>550</v>
      </c>
      <c r="H3109" s="92">
        <v>30.25</v>
      </c>
      <c r="I3109" s="13">
        <v>0</v>
      </c>
      <c r="J3109" s="13">
        <v>0</v>
      </c>
      <c r="K3109" s="13"/>
      <c r="L3109"/>
      <c r="M3109"/>
      <c r="N3109"/>
      <c r="O3109"/>
      <c r="P3109"/>
      <c r="Q3109"/>
      <c r="R3109"/>
      <c r="S3109"/>
      <c r="T3109"/>
      <c r="U3109"/>
      <c r="V3109"/>
      <c r="W3109"/>
      <c r="X3109"/>
      <c r="Y3109"/>
      <c r="Z3109"/>
      <c r="AA3109"/>
      <c r="AB3109"/>
      <c r="AC3109"/>
      <c r="AD3109"/>
      <c r="AE3109"/>
      <c r="AF3109"/>
      <c r="AG3109"/>
      <c r="AH3109"/>
      <c r="AI3109"/>
      <c r="AJ3109"/>
      <c r="AK3109"/>
      <c r="AL3109"/>
    </row>
    <row r="3110" spans="1:38" ht="15.75" customHeight="1" outlineLevel="3" x14ac:dyDescent="0.2">
      <c r="A3110" s="10">
        <v>41</v>
      </c>
      <c r="B3110" s="10" t="s">
        <v>71</v>
      </c>
      <c r="C3110" s="10" t="s">
        <v>617</v>
      </c>
      <c r="D3110" s="10" t="s">
        <v>503</v>
      </c>
      <c r="E3110" s="11" t="str">
        <f t="array" ref="E3110">_xlfn.XLOOKUP(D3110,Insumos!B:B,Insumos!C:$C)</f>
        <v>L</v>
      </c>
      <c r="F3110" s="14">
        <v>1.4000000000000002E-2</v>
      </c>
      <c r="G3110" s="92">
        <f t="array" ref="G3110">IF(B3110="insumo",_xlfn.XLOOKUP($D3110,Insumos!$B$1:$B$996,Insumos!$D$1:$D$996),"")</f>
        <v>19.34</v>
      </c>
      <c r="H3110" s="92">
        <v>0.27076</v>
      </c>
      <c r="I3110" s="13">
        <v>0</v>
      </c>
      <c r="J3110" s="13">
        <v>0</v>
      </c>
      <c r="K3110" s="13"/>
      <c r="L3110"/>
      <c r="M3110"/>
      <c r="N3110"/>
      <c r="O3110"/>
      <c r="P3110"/>
      <c r="Q3110"/>
      <c r="R3110"/>
      <c r="S3110"/>
      <c r="T3110"/>
      <c r="U3110"/>
      <c r="V3110"/>
      <c r="W3110"/>
      <c r="X3110"/>
      <c r="Y3110"/>
      <c r="Z3110"/>
      <c r="AA3110"/>
      <c r="AB3110"/>
      <c r="AC3110"/>
      <c r="AD3110"/>
      <c r="AE3110"/>
      <c r="AF3110"/>
      <c r="AG3110"/>
      <c r="AH3110"/>
      <c r="AI3110"/>
      <c r="AJ3110"/>
      <c r="AK3110"/>
      <c r="AL3110"/>
    </row>
    <row r="3111" spans="1:38" ht="15.75" customHeight="1" outlineLevel="3" x14ac:dyDescent="0.2">
      <c r="A3111" s="10">
        <v>62</v>
      </c>
      <c r="B3111" s="10" t="s">
        <v>71</v>
      </c>
      <c r="C3111" s="10" t="s">
        <v>617</v>
      </c>
      <c r="D3111" s="10" t="s">
        <v>160</v>
      </c>
      <c r="E3111" s="11" t="str">
        <f t="array" ref="E3111">_xlfn.XLOOKUP(D3111,Insumos!B:B,Insumos!C:$C)</f>
        <v>KG</v>
      </c>
      <c r="F3111" s="14">
        <v>0.33333333333333337</v>
      </c>
      <c r="G3111" s="92">
        <f t="array" ref="G3111">IF(B3111="insumo",_xlfn.XLOOKUP($D3111,Insumos!$B$1:$B$996,Insumos!$D$1:$D$996),"")</f>
        <v>0.76</v>
      </c>
      <c r="H3111" s="92">
        <v>0.25333333333333302</v>
      </c>
      <c r="I3111" s="13">
        <v>0</v>
      </c>
      <c r="J3111" s="13">
        <v>0</v>
      </c>
      <c r="K3111" s="13"/>
      <c r="L3111"/>
      <c r="M3111"/>
      <c r="N3111"/>
      <c r="O3111"/>
      <c r="P3111"/>
      <c r="Q3111"/>
      <c r="R3111"/>
      <c r="S3111"/>
      <c r="T3111"/>
      <c r="U3111"/>
      <c r="V3111"/>
      <c r="W3111"/>
      <c r="X3111"/>
      <c r="Y3111"/>
      <c r="Z3111"/>
      <c r="AA3111"/>
      <c r="AB3111"/>
      <c r="AC3111"/>
      <c r="AD3111"/>
      <c r="AE3111"/>
      <c r="AF3111"/>
      <c r="AG3111"/>
      <c r="AH3111"/>
      <c r="AI3111"/>
      <c r="AJ3111"/>
      <c r="AK3111"/>
      <c r="AL3111"/>
    </row>
    <row r="3112" spans="1:38" ht="15.75" customHeight="1" outlineLevel="2" x14ac:dyDescent="0.2">
      <c r="A3112" s="1067">
        <v>1</v>
      </c>
      <c r="B3112" s="1067" t="s">
        <v>68</v>
      </c>
      <c r="C3112" s="1067" t="s">
        <v>618</v>
      </c>
      <c r="D3112" s="1067" t="s">
        <v>618</v>
      </c>
      <c r="E3112" s="1068" t="s">
        <v>70</v>
      </c>
      <c r="F3112" s="1067"/>
      <c r="G3112" s="1069" t="str">
        <f t="array" ref="G3112">IF(B3112="insumo",_xlfn.XLOOKUP($D3112,Insumos!$B$1:$B$996,Insumos!$D$1:$D$996),"")</f>
        <v/>
      </c>
      <c r="H3112" s="1069">
        <v>61.444938999999998</v>
      </c>
      <c r="I3112" s="1070" t="e">
        <v>#REF!</v>
      </c>
      <c r="J3112" s="1070" t="e">
        <v>#REF!</v>
      </c>
      <c r="K3112" s="1070"/>
      <c r="L3112"/>
      <c r="M3112"/>
      <c r="N3112"/>
      <c r="O3112"/>
      <c r="P3112"/>
      <c r="Q3112"/>
      <c r="R3112"/>
      <c r="S3112"/>
      <c r="T3112"/>
      <c r="U3112"/>
      <c r="V3112"/>
      <c r="W3112"/>
      <c r="X3112"/>
      <c r="Y3112"/>
      <c r="Z3112"/>
      <c r="AA3112"/>
      <c r="AB3112"/>
      <c r="AC3112"/>
      <c r="AD3112"/>
      <c r="AE3112"/>
      <c r="AF3112"/>
      <c r="AG3112"/>
      <c r="AH3112"/>
      <c r="AI3112"/>
      <c r="AJ3112"/>
      <c r="AK3112"/>
      <c r="AL3112"/>
    </row>
    <row r="3113" spans="1:38" ht="15.75" customHeight="1" outlineLevel="3" x14ac:dyDescent="0.2">
      <c r="A3113" s="10">
        <v>6</v>
      </c>
      <c r="B3113" s="10" t="s">
        <v>71</v>
      </c>
      <c r="C3113" s="10" t="s">
        <v>618</v>
      </c>
      <c r="D3113" s="10" t="s">
        <v>251</v>
      </c>
      <c r="E3113" s="11" t="str">
        <f t="array" ref="E3113">_xlfn.XLOOKUP(D3113,Insumos!B:B,Insumos!C:$C)</f>
        <v>M3</v>
      </c>
      <c r="F3113" s="14">
        <v>2.4299999999999999E-2</v>
      </c>
      <c r="G3113" s="92">
        <f t="array" ref="G3113">IF(B3113="insumo",_xlfn.XLOOKUP($D3113,Insumos!$B$1:$B$996,Insumos!$D$1:$D$996),"")</f>
        <v>604.73</v>
      </c>
      <c r="H3113" s="92">
        <v>14.694939</v>
      </c>
      <c r="I3113" s="13" t="e">
        <v>#REF!</v>
      </c>
      <c r="J3113" s="13" t="e">
        <v>#REF!</v>
      </c>
      <c r="K3113" s="13"/>
      <c r="L3113"/>
      <c r="M3113"/>
      <c r="N3113"/>
      <c r="O3113"/>
      <c r="P3113"/>
      <c r="Q3113"/>
      <c r="R3113"/>
      <c r="S3113"/>
      <c r="T3113"/>
      <c r="U3113"/>
      <c r="V3113"/>
      <c r="W3113"/>
      <c r="X3113"/>
      <c r="Y3113"/>
      <c r="Z3113"/>
      <c r="AA3113"/>
      <c r="AB3113"/>
      <c r="AC3113"/>
      <c r="AD3113"/>
      <c r="AE3113"/>
      <c r="AF3113"/>
      <c r="AG3113"/>
      <c r="AH3113"/>
      <c r="AI3113"/>
      <c r="AJ3113"/>
      <c r="AK3113"/>
      <c r="AL3113"/>
    </row>
    <row r="3114" spans="1:38" ht="15.75" customHeight="1" outlineLevel="3" x14ac:dyDescent="0.2">
      <c r="A3114" s="10">
        <v>4</v>
      </c>
      <c r="B3114" s="10" t="s">
        <v>71</v>
      </c>
      <c r="C3114" s="10" t="s">
        <v>618</v>
      </c>
      <c r="D3114" s="10" t="s">
        <v>619</v>
      </c>
      <c r="E3114" s="11" t="str">
        <f t="array" ref="E3114">_xlfn.XLOOKUP(D3114,Insumos!B:B,Insumos!C:$C)</f>
        <v>KG</v>
      </c>
      <c r="F3114" s="14">
        <v>5</v>
      </c>
      <c r="G3114" s="92">
        <f t="array" ref="G3114">IF(B3114="insumo",_xlfn.XLOOKUP($D3114,Insumos!$B$1:$B$996,Insumos!$D$1:$D$996),"")</f>
        <v>9.35</v>
      </c>
      <c r="H3114" s="92">
        <v>46.75</v>
      </c>
      <c r="I3114" s="13" t="e">
        <v>#REF!</v>
      </c>
      <c r="J3114" s="13" t="e">
        <v>#REF!</v>
      </c>
      <c r="K3114" s="13"/>
      <c r="L3114"/>
      <c r="M3114"/>
      <c r="N3114"/>
      <c r="O3114"/>
      <c r="P3114"/>
      <c r="Q3114"/>
      <c r="R3114"/>
      <c r="S3114"/>
      <c r="T3114"/>
      <c r="U3114"/>
      <c r="V3114"/>
      <c r="W3114"/>
      <c r="X3114"/>
      <c r="Y3114"/>
      <c r="Z3114"/>
      <c r="AA3114"/>
      <c r="AB3114"/>
      <c r="AC3114"/>
      <c r="AD3114"/>
      <c r="AE3114"/>
      <c r="AF3114"/>
      <c r="AG3114"/>
      <c r="AH3114"/>
      <c r="AI3114"/>
      <c r="AJ3114"/>
      <c r="AK3114"/>
      <c r="AL3114"/>
    </row>
    <row r="3115" spans="1:38" ht="15.75" customHeight="1" outlineLevel="2" x14ac:dyDescent="0.2">
      <c r="A3115" s="1067">
        <v>1</v>
      </c>
      <c r="B3115" s="1067" t="s">
        <v>68</v>
      </c>
      <c r="C3115" s="1067" t="s">
        <v>620</v>
      </c>
      <c r="D3115" s="1067" t="s">
        <v>620</v>
      </c>
      <c r="E3115" s="1068" t="s">
        <v>70</v>
      </c>
      <c r="F3115" s="1067"/>
      <c r="G3115" s="1069" t="str">
        <f t="array" ref="G3115">IF(B3115="insumo",_xlfn.XLOOKUP($D3115,Insumos!$B$1:$B$996,Insumos!$D$1:$D$996),"")</f>
        <v/>
      </c>
      <c r="H3115" s="1069">
        <v>59.442408499999999</v>
      </c>
      <c r="I3115" s="1070">
        <v>0</v>
      </c>
      <c r="J3115" s="1070">
        <v>0</v>
      </c>
      <c r="K3115" s="1070"/>
      <c r="L3115"/>
      <c r="M3115"/>
      <c r="N3115"/>
      <c r="O3115"/>
      <c r="P3115"/>
      <c r="Q3115"/>
      <c r="R3115"/>
      <c r="S3115"/>
      <c r="T3115"/>
      <c r="U3115"/>
      <c r="V3115"/>
      <c r="W3115"/>
      <c r="X3115"/>
      <c r="Y3115"/>
      <c r="Z3115"/>
      <c r="AA3115"/>
      <c r="AB3115"/>
      <c r="AC3115"/>
      <c r="AD3115"/>
      <c r="AE3115"/>
      <c r="AF3115"/>
      <c r="AG3115"/>
      <c r="AH3115"/>
      <c r="AI3115"/>
      <c r="AJ3115"/>
      <c r="AK3115"/>
      <c r="AL3115"/>
    </row>
    <row r="3116" spans="1:38" ht="15.75" customHeight="1" outlineLevel="3" x14ac:dyDescent="0.2">
      <c r="A3116" s="10">
        <v>6</v>
      </c>
      <c r="B3116" s="10" t="s">
        <v>71</v>
      </c>
      <c r="C3116" s="10" t="s">
        <v>620</v>
      </c>
      <c r="D3116" s="10" t="s">
        <v>251</v>
      </c>
      <c r="E3116" s="11" t="str">
        <f t="array" ref="E3116">_xlfn.XLOOKUP(D3116,Insumos!B:B,Insumos!C:$C)</f>
        <v>M3</v>
      </c>
      <c r="F3116" s="14">
        <f>0.0243*3/2</f>
        <v>3.6449999999999996E-2</v>
      </c>
      <c r="G3116" s="92">
        <f t="array" ref="G3116">IF(B3116="insumo",_xlfn.XLOOKUP($D3116,Insumos!$B$1:$B$996,Insumos!$D$1:$D$996),"")</f>
        <v>604.73</v>
      </c>
      <c r="H3116" s="92">
        <v>22.042408500000001</v>
      </c>
      <c r="I3116" s="13">
        <v>0</v>
      </c>
      <c r="J3116" s="13">
        <v>0</v>
      </c>
      <c r="K3116" s="13"/>
      <c r="L3116"/>
      <c r="M3116"/>
      <c r="N3116"/>
      <c r="O3116"/>
      <c r="P3116"/>
      <c r="Q3116"/>
      <c r="R3116"/>
      <c r="S3116"/>
      <c r="T3116"/>
      <c r="U3116"/>
      <c r="V3116"/>
      <c r="W3116"/>
      <c r="X3116"/>
      <c r="Y3116"/>
      <c r="Z3116"/>
      <c r="AA3116"/>
      <c r="AB3116"/>
      <c r="AC3116"/>
      <c r="AD3116"/>
      <c r="AE3116"/>
      <c r="AF3116"/>
      <c r="AG3116"/>
      <c r="AH3116"/>
      <c r="AI3116"/>
      <c r="AJ3116"/>
      <c r="AK3116"/>
      <c r="AL3116"/>
    </row>
    <row r="3117" spans="1:38" ht="15.75" customHeight="1" outlineLevel="3" x14ac:dyDescent="0.2">
      <c r="A3117" s="10">
        <v>4</v>
      </c>
      <c r="B3117" s="10" t="s">
        <v>71</v>
      </c>
      <c r="C3117" s="10" t="s">
        <v>620</v>
      </c>
      <c r="D3117" s="10" t="s">
        <v>619</v>
      </c>
      <c r="E3117" s="11" t="str">
        <f t="array" ref="E3117">_xlfn.XLOOKUP(D3117,Insumos!B:B,Insumos!C:$C)</f>
        <v>KG</v>
      </c>
      <c r="F3117" s="14">
        <v>4</v>
      </c>
      <c r="G3117" s="92">
        <f t="array" ref="G3117">IF(B3117="insumo",_xlfn.XLOOKUP($D3117,Insumos!$B$1:$B$996,Insumos!$D$1:$D$996),"")</f>
        <v>9.35</v>
      </c>
      <c r="H3117" s="92">
        <v>37.4</v>
      </c>
      <c r="I3117" s="13">
        <v>0</v>
      </c>
      <c r="J3117" s="13">
        <v>0</v>
      </c>
      <c r="K3117" s="13"/>
      <c r="L3117"/>
      <c r="M3117"/>
      <c r="N3117"/>
      <c r="O3117"/>
      <c r="P3117"/>
      <c r="Q3117"/>
      <c r="R3117"/>
      <c r="S3117"/>
      <c r="T3117"/>
      <c r="U3117"/>
      <c r="V3117"/>
      <c r="W3117"/>
      <c r="X3117"/>
      <c r="Y3117"/>
      <c r="Z3117"/>
      <c r="AA3117"/>
      <c r="AB3117"/>
      <c r="AC3117"/>
      <c r="AD3117"/>
      <c r="AE3117"/>
      <c r="AF3117"/>
      <c r="AG3117"/>
      <c r="AH3117"/>
      <c r="AI3117"/>
      <c r="AJ3117"/>
      <c r="AK3117"/>
      <c r="AL3117"/>
    </row>
    <row r="3118" spans="1:38" ht="15.75" customHeight="1" outlineLevel="2" x14ac:dyDescent="0.2">
      <c r="A3118" s="1067">
        <v>1</v>
      </c>
      <c r="B3118" s="1067" t="s">
        <v>68</v>
      </c>
      <c r="C3118" s="1067" t="s">
        <v>621</v>
      </c>
      <c r="D3118" s="1067" t="s">
        <v>621</v>
      </c>
      <c r="E3118" s="1068" t="s">
        <v>70</v>
      </c>
      <c r="F3118" s="1067"/>
      <c r="G3118" s="1069" t="str">
        <f t="array" ref="G3118">IF(B3118="insumo",_xlfn.XLOOKUP($D3118,Insumos!$B$1:$B$996,Insumos!$D$1:$D$996),"")</f>
        <v/>
      </c>
      <c r="H3118" s="1069">
        <v>12.624093333333301</v>
      </c>
      <c r="I3118" s="1070" t="e">
        <v>#REF!</v>
      </c>
      <c r="J3118" s="1070" t="e">
        <v>#REF!</v>
      </c>
      <c r="K3118" s="1070"/>
      <c r="L3118"/>
      <c r="M3118"/>
      <c r="N3118"/>
      <c r="O3118"/>
      <c r="P3118"/>
      <c r="Q3118"/>
      <c r="R3118"/>
      <c r="S3118"/>
      <c r="T3118"/>
      <c r="U3118"/>
      <c r="V3118"/>
      <c r="W3118"/>
      <c r="X3118"/>
      <c r="Y3118"/>
      <c r="Z3118"/>
      <c r="AA3118"/>
      <c r="AB3118"/>
      <c r="AC3118"/>
      <c r="AD3118"/>
      <c r="AE3118"/>
      <c r="AF3118"/>
      <c r="AG3118"/>
      <c r="AH3118"/>
      <c r="AI3118"/>
      <c r="AJ3118"/>
      <c r="AK3118"/>
      <c r="AL3118"/>
    </row>
    <row r="3119" spans="1:38" ht="15.75" customHeight="1" outlineLevel="3" x14ac:dyDescent="0.2">
      <c r="A3119" s="10">
        <v>32</v>
      </c>
      <c r="B3119" s="10" t="s">
        <v>71</v>
      </c>
      <c r="C3119" s="10" t="s">
        <v>621</v>
      </c>
      <c r="D3119" s="10" t="s">
        <v>445</v>
      </c>
      <c r="E3119" s="11" t="str">
        <f t="array" ref="E3119">_xlfn.XLOOKUP(D3119,Insumos!B:B,Insumos!C:$C)</f>
        <v>M3</v>
      </c>
      <c r="F3119" s="14">
        <v>2.2000000000000002E-2</v>
      </c>
      <c r="G3119" s="92">
        <f t="array" ref="G3119">IF(B3119="insumo",_xlfn.XLOOKUP($D3119,Insumos!$B$1:$B$996,Insumos!$D$1:$D$996),"")</f>
        <v>550</v>
      </c>
      <c r="H3119" s="92">
        <v>12.1</v>
      </c>
      <c r="I3119" s="13" t="e">
        <v>#REF!</v>
      </c>
      <c r="J3119" s="13" t="e">
        <v>#REF!</v>
      </c>
      <c r="K3119" s="13"/>
      <c r="L3119"/>
      <c r="M3119"/>
      <c r="N3119"/>
      <c r="O3119"/>
      <c r="P3119"/>
      <c r="Q3119"/>
      <c r="R3119"/>
      <c r="S3119"/>
      <c r="T3119"/>
      <c r="U3119"/>
      <c r="V3119"/>
      <c r="W3119"/>
      <c r="X3119"/>
      <c r="Y3119"/>
      <c r="Z3119"/>
      <c r="AA3119"/>
      <c r="AB3119"/>
      <c r="AC3119"/>
      <c r="AD3119"/>
      <c r="AE3119"/>
      <c r="AF3119"/>
      <c r="AG3119"/>
      <c r="AH3119"/>
      <c r="AI3119"/>
      <c r="AJ3119"/>
      <c r="AK3119"/>
      <c r="AL3119"/>
    </row>
    <row r="3120" spans="1:38" ht="15.75" customHeight="1" outlineLevel="3" x14ac:dyDescent="0.2">
      <c r="A3120" s="10">
        <v>41</v>
      </c>
      <c r="B3120" s="10" t="s">
        <v>71</v>
      </c>
      <c r="C3120" s="10" t="s">
        <v>621</v>
      </c>
      <c r="D3120" s="10" t="s">
        <v>503</v>
      </c>
      <c r="E3120" s="11" t="str">
        <f t="array" ref="E3120">_xlfn.XLOOKUP(D3120,Insumos!B:B,Insumos!C:$C)</f>
        <v>L</v>
      </c>
      <c r="F3120" s="14">
        <v>1.4000000000000002E-2</v>
      </c>
      <c r="G3120" s="92">
        <f t="array" ref="G3120">IF(B3120="insumo",_xlfn.XLOOKUP($D3120,Insumos!$B$1:$B$996,Insumos!$D$1:$D$996),"")</f>
        <v>19.34</v>
      </c>
      <c r="H3120" s="92">
        <v>0.27076</v>
      </c>
      <c r="I3120" s="13" t="e">
        <v>#REF!</v>
      </c>
      <c r="J3120" s="13" t="e">
        <v>#REF!</v>
      </c>
      <c r="K3120" s="13"/>
      <c r="L3120"/>
      <c r="M3120"/>
      <c r="N3120"/>
      <c r="O3120"/>
      <c r="P3120"/>
      <c r="Q3120"/>
      <c r="R3120"/>
      <c r="S3120"/>
      <c r="T3120"/>
      <c r="U3120"/>
      <c r="V3120"/>
      <c r="W3120"/>
      <c r="X3120"/>
      <c r="Y3120"/>
      <c r="Z3120"/>
      <c r="AA3120"/>
      <c r="AB3120"/>
      <c r="AC3120"/>
      <c r="AD3120"/>
      <c r="AE3120"/>
      <c r="AF3120"/>
      <c r="AG3120"/>
      <c r="AH3120"/>
      <c r="AI3120"/>
      <c r="AJ3120"/>
      <c r="AK3120"/>
      <c r="AL3120"/>
    </row>
    <row r="3121" spans="1:38" ht="15.75" customHeight="1" outlineLevel="3" x14ac:dyDescent="0.2">
      <c r="A3121" s="10">
        <v>62</v>
      </c>
      <c r="B3121" s="10" t="s">
        <v>71</v>
      </c>
      <c r="C3121" s="10" t="s">
        <v>621</v>
      </c>
      <c r="D3121" s="10" t="s">
        <v>160</v>
      </c>
      <c r="E3121" s="11" t="str">
        <f t="array" ref="E3121">_xlfn.XLOOKUP(D3121,Insumos!B:B,Insumos!C:$C)</f>
        <v>KG</v>
      </c>
      <c r="F3121" s="14">
        <v>0.33333333333333337</v>
      </c>
      <c r="G3121" s="92">
        <f t="array" ref="G3121">IF(B3121="insumo",_xlfn.XLOOKUP($D3121,Insumos!$B$1:$B$996,Insumos!$D$1:$D$996),"")</f>
        <v>0.76</v>
      </c>
      <c r="H3121" s="92">
        <v>0.25333333333333302</v>
      </c>
      <c r="I3121" s="13" t="e">
        <v>#REF!</v>
      </c>
      <c r="J3121" s="13" t="e">
        <v>#REF!</v>
      </c>
      <c r="K3121" s="13"/>
      <c r="L3121"/>
      <c r="M3121"/>
      <c r="N3121"/>
      <c r="O3121"/>
      <c r="P3121"/>
      <c r="Q3121"/>
      <c r="R3121"/>
      <c r="S3121"/>
      <c r="T3121"/>
      <c r="U3121"/>
      <c r="V3121"/>
      <c r="W3121"/>
      <c r="X3121"/>
      <c r="Y3121"/>
      <c r="Z3121"/>
      <c r="AA3121"/>
      <c r="AB3121"/>
      <c r="AC3121"/>
      <c r="AD3121"/>
      <c r="AE3121"/>
      <c r="AF3121"/>
      <c r="AG3121"/>
      <c r="AH3121"/>
      <c r="AI3121"/>
      <c r="AJ3121"/>
      <c r="AK3121"/>
      <c r="AL3121"/>
    </row>
    <row r="3122" spans="1:38" ht="15.75" customHeight="1" outlineLevel="2" x14ac:dyDescent="0.2">
      <c r="A3122" s="1067">
        <v>1</v>
      </c>
      <c r="B3122" s="1067" t="s">
        <v>68</v>
      </c>
      <c r="C3122" s="1067" t="s">
        <v>622</v>
      </c>
      <c r="D3122" s="1067" t="s">
        <v>622</v>
      </c>
      <c r="E3122" s="1068" t="s">
        <v>70</v>
      </c>
      <c r="F3122" s="1067"/>
      <c r="G3122" s="1069" t="str">
        <f t="array" ref="G3122">IF(B3122="insumo",_xlfn.XLOOKUP($D3122,Insumos!$B$1:$B$996,Insumos!$D$1:$D$996),"")</f>
        <v/>
      </c>
      <c r="H3122" s="1069">
        <v>33</v>
      </c>
      <c r="I3122" s="1070">
        <v>0</v>
      </c>
      <c r="J3122" s="1070">
        <v>0</v>
      </c>
      <c r="K3122" s="1070"/>
      <c r="L3122"/>
      <c r="M3122"/>
      <c r="N3122"/>
      <c r="O3122"/>
      <c r="P3122"/>
      <c r="Q3122"/>
      <c r="R3122"/>
      <c r="S3122"/>
      <c r="T3122"/>
      <c r="U3122"/>
      <c r="V3122"/>
      <c r="W3122"/>
      <c r="X3122"/>
      <c r="Y3122"/>
      <c r="Z3122"/>
      <c r="AA3122"/>
      <c r="AB3122"/>
      <c r="AC3122"/>
      <c r="AD3122"/>
      <c r="AE3122"/>
      <c r="AF3122"/>
      <c r="AG3122"/>
      <c r="AH3122"/>
      <c r="AI3122"/>
      <c r="AJ3122"/>
      <c r="AK3122"/>
      <c r="AL3122"/>
    </row>
    <row r="3123" spans="1:38" ht="15.75" customHeight="1" outlineLevel="3" x14ac:dyDescent="0.2">
      <c r="A3123" s="10">
        <v>32</v>
      </c>
      <c r="B3123" s="10" t="s">
        <v>71</v>
      </c>
      <c r="C3123" s="10" t="s">
        <v>622</v>
      </c>
      <c r="D3123" s="10" t="s">
        <v>445</v>
      </c>
      <c r="E3123" s="11" t="str">
        <f t="array" ref="E3123">_xlfn.XLOOKUP(D3123,Insumos!B:B,Insumos!C:$C)</f>
        <v>M3</v>
      </c>
      <c r="F3123" s="14">
        <v>0.06</v>
      </c>
      <c r="G3123" s="92">
        <f t="array" ref="G3123">IF(B3123="insumo",_xlfn.XLOOKUP($D3123,Insumos!$B$1:$B$996,Insumos!$D$1:$D$996),"")</f>
        <v>550</v>
      </c>
      <c r="H3123" s="92">
        <v>33</v>
      </c>
      <c r="I3123" s="13">
        <v>0</v>
      </c>
      <c r="J3123" s="13">
        <v>0</v>
      </c>
      <c r="K3123" s="13"/>
      <c r="L3123"/>
      <c r="M3123"/>
      <c r="N3123"/>
      <c r="O3123"/>
      <c r="P3123"/>
      <c r="Q3123"/>
      <c r="R3123"/>
      <c r="S3123"/>
      <c r="T3123"/>
      <c r="U3123"/>
      <c r="V3123"/>
      <c r="W3123"/>
      <c r="X3123"/>
      <c r="Y3123"/>
      <c r="Z3123"/>
      <c r="AA3123"/>
      <c r="AB3123"/>
      <c r="AC3123"/>
      <c r="AD3123"/>
      <c r="AE3123"/>
      <c r="AF3123"/>
      <c r="AG3123"/>
      <c r="AH3123"/>
      <c r="AI3123"/>
      <c r="AJ3123"/>
      <c r="AK3123"/>
      <c r="AL3123"/>
    </row>
    <row r="3124" spans="1:38" ht="15.75" customHeight="1" outlineLevel="2" x14ac:dyDescent="0.2">
      <c r="A3124" s="1067">
        <v>1</v>
      </c>
      <c r="B3124" s="1067" t="s">
        <v>68</v>
      </c>
      <c r="C3124" s="1067" t="s">
        <v>623</v>
      </c>
      <c r="D3124" s="1067" t="s">
        <v>623</v>
      </c>
      <c r="E3124" s="1068" t="s">
        <v>70</v>
      </c>
      <c r="F3124" s="1067"/>
      <c r="G3124" s="1069" t="str">
        <f t="array" ref="G3124">IF(B3124="insumo",_xlfn.XLOOKUP($D3124,Insumos!$B$1:$B$996,Insumos!$D$1:$D$996),"")</f>
        <v/>
      </c>
      <c r="H3124" s="1069">
        <v>182.79599999999999</v>
      </c>
      <c r="I3124" s="1070">
        <v>0</v>
      </c>
      <c r="J3124" s="1070">
        <v>0</v>
      </c>
      <c r="K3124" s="1070"/>
      <c r="L3124"/>
      <c r="M3124"/>
      <c r="N3124"/>
      <c r="O3124"/>
      <c r="P3124"/>
      <c r="Q3124"/>
      <c r="R3124"/>
      <c r="S3124"/>
      <c r="T3124"/>
      <c r="U3124"/>
      <c r="V3124"/>
      <c r="W3124"/>
      <c r="X3124"/>
      <c r="Y3124"/>
      <c r="Z3124"/>
      <c r="AA3124"/>
      <c r="AB3124"/>
      <c r="AC3124"/>
      <c r="AD3124"/>
      <c r="AE3124"/>
      <c r="AF3124"/>
      <c r="AG3124"/>
      <c r="AH3124"/>
      <c r="AI3124"/>
      <c r="AJ3124"/>
      <c r="AK3124"/>
      <c r="AL3124"/>
    </row>
    <row r="3125" spans="1:38" ht="15.75" customHeight="1" outlineLevel="3" x14ac:dyDescent="0.2">
      <c r="A3125" s="10">
        <v>19</v>
      </c>
      <c r="B3125" s="10" t="s">
        <v>71</v>
      </c>
      <c r="C3125" s="10" t="s">
        <v>623</v>
      </c>
      <c r="D3125" s="10" t="s">
        <v>129</v>
      </c>
      <c r="E3125" s="11" t="str">
        <f t="array" ref="E3125">_xlfn.XLOOKUP(D3125,Insumos!B:B,Insumos!C:$C)</f>
        <v>M3</v>
      </c>
      <c r="F3125" s="14">
        <v>1.125E-2</v>
      </c>
      <c r="G3125" s="92">
        <f t="array" ref="G3125">IF(B3125="insumo",_xlfn.XLOOKUP($D3125,Insumos!$B$1:$B$996,Insumos!$D$1:$D$996),"")</f>
        <v>1350</v>
      </c>
      <c r="H3125" s="92">
        <v>15.1875</v>
      </c>
      <c r="I3125" s="13">
        <v>0</v>
      </c>
      <c r="J3125" s="13">
        <v>0</v>
      </c>
      <c r="K3125" s="13"/>
      <c r="L3125"/>
      <c r="M3125"/>
      <c r="N3125"/>
      <c r="O3125"/>
      <c r="P3125"/>
      <c r="Q3125"/>
      <c r="R3125"/>
      <c r="S3125"/>
      <c r="T3125"/>
      <c r="U3125"/>
      <c r="V3125"/>
      <c r="W3125"/>
      <c r="X3125"/>
      <c r="Y3125"/>
      <c r="Z3125"/>
      <c r="AA3125"/>
      <c r="AB3125"/>
      <c r="AC3125"/>
      <c r="AD3125"/>
      <c r="AE3125"/>
      <c r="AF3125"/>
      <c r="AG3125"/>
      <c r="AH3125"/>
      <c r="AI3125"/>
      <c r="AJ3125"/>
      <c r="AK3125"/>
      <c r="AL3125"/>
    </row>
    <row r="3126" spans="1:38" ht="15.75" customHeight="1" outlineLevel="3" x14ac:dyDescent="0.2">
      <c r="A3126" s="10">
        <v>9</v>
      </c>
      <c r="B3126" s="10" t="s">
        <v>71</v>
      </c>
      <c r="C3126" s="10" t="s">
        <v>623</v>
      </c>
      <c r="D3126" s="10" t="s">
        <v>74</v>
      </c>
      <c r="E3126" s="11" t="str">
        <f t="array" ref="E3126">_xlfn.XLOOKUP(D3126,Insumos!B:B,Insumos!C:$C)</f>
        <v>M3</v>
      </c>
      <c r="F3126" s="14">
        <v>7.2900000000000006E-2</v>
      </c>
      <c r="G3126" s="92">
        <f t="array" ref="G3126">IF(B3126="insumo",_xlfn.XLOOKUP($D3126,Insumos!$B$1:$B$996,Insumos!$D$1:$D$996),"")</f>
        <v>490</v>
      </c>
      <c r="H3126" s="92">
        <v>35.720999999999997</v>
      </c>
      <c r="I3126" s="13">
        <v>0</v>
      </c>
      <c r="J3126" s="13">
        <v>0</v>
      </c>
      <c r="K3126" s="13"/>
      <c r="L3126"/>
      <c r="M3126"/>
      <c r="N3126"/>
      <c r="O3126"/>
      <c r="P3126"/>
      <c r="Q3126"/>
      <c r="R3126"/>
      <c r="S3126"/>
      <c r="T3126"/>
      <c r="U3126"/>
      <c r="V3126"/>
      <c r="W3126"/>
      <c r="X3126"/>
      <c r="Y3126"/>
      <c r="Z3126"/>
      <c r="AA3126"/>
      <c r="AB3126"/>
      <c r="AC3126"/>
      <c r="AD3126"/>
      <c r="AE3126"/>
      <c r="AF3126"/>
      <c r="AG3126"/>
      <c r="AH3126"/>
      <c r="AI3126"/>
      <c r="AJ3126"/>
      <c r="AK3126"/>
      <c r="AL3126"/>
    </row>
    <row r="3127" spans="1:38" ht="15.75" customHeight="1" outlineLevel="3" x14ac:dyDescent="0.2">
      <c r="A3127" s="10">
        <v>1</v>
      </c>
      <c r="B3127" s="10" t="s">
        <v>71</v>
      </c>
      <c r="C3127" s="10" t="s">
        <v>623</v>
      </c>
      <c r="D3127" s="10" t="s">
        <v>624</v>
      </c>
      <c r="E3127" s="11" t="str">
        <f t="array" ref="E3127">_xlfn.XLOOKUP(D3127,Insumos!B:B,Insumos!C:$C)</f>
        <v>M3</v>
      </c>
      <c r="F3127" s="14">
        <v>1.8749999999999999E-2</v>
      </c>
      <c r="G3127" s="92">
        <f t="array" ref="G3127">IF(B3127="insumo",_xlfn.XLOOKUP($D3127,Insumos!$B$1:$B$996,Insumos!$D$1:$D$996),"")</f>
        <v>1050</v>
      </c>
      <c r="H3127" s="92">
        <v>19.6875</v>
      </c>
      <c r="I3127" s="13">
        <v>0</v>
      </c>
      <c r="J3127" s="13">
        <v>0</v>
      </c>
      <c r="K3127" s="13"/>
      <c r="L3127"/>
      <c r="M3127"/>
      <c r="N3127"/>
      <c r="O3127"/>
      <c r="P3127"/>
      <c r="Q3127"/>
      <c r="R3127"/>
      <c r="S3127"/>
      <c r="T3127"/>
      <c r="U3127"/>
      <c r="V3127"/>
      <c r="W3127"/>
      <c r="X3127"/>
      <c r="Y3127"/>
      <c r="Z3127"/>
      <c r="AA3127"/>
      <c r="AB3127"/>
      <c r="AC3127"/>
      <c r="AD3127"/>
      <c r="AE3127"/>
      <c r="AF3127"/>
      <c r="AG3127"/>
      <c r="AH3127"/>
      <c r="AI3127"/>
      <c r="AJ3127"/>
      <c r="AK3127"/>
      <c r="AL3127"/>
    </row>
    <row r="3128" spans="1:38" ht="15.75" customHeight="1" outlineLevel="3" x14ac:dyDescent="0.2">
      <c r="A3128" s="10">
        <v>4</v>
      </c>
      <c r="B3128" s="10" t="s">
        <v>71</v>
      </c>
      <c r="C3128" s="10" t="s">
        <v>623</v>
      </c>
      <c r="D3128" s="10" t="s">
        <v>619</v>
      </c>
      <c r="E3128" s="11" t="str">
        <f t="array" ref="E3128">_xlfn.XLOOKUP(D3128,Insumos!B:B,Insumos!C:$C)</f>
        <v>KG</v>
      </c>
      <c r="F3128" s="14">
        <v>12</v>
      </c>
      <c r="G3128" s="92">
        <f t="array" ref="G3128">IF(B3128="insumo",_xlfn.XLOOKUP($D3128,Insumos!$B$1:$B$996,Insumos!$D$1:$D$996),"")</f>
        <v>9.35</v>
      </c>
      <c r="H3128" s="92">
        <v>112.2</v>
      </c>
      <c r="I3128" s="13">
        <v>0</v>
      </c>
      <c r="J3128" s="13">
        <v>0</v>
      </c>
      <c r="K3128" s="13"/>
      <c r="L3128"/>
      <c r="M3128"/>
      <c r="N3128"/>
      <c r="O3128"/>
      <c r="P3128"/>
      <c r="Q3128"/>
      <c r="R3128"/>
      <c r="S3128"/>
      <c r="T3128"/>
      <c r="U3128"/>
      <c r="V3128"/>
      <c r="W3128"/>
      <c r="X3128"/>
      <c r="Y3128"/>
      <c r="Z3128"/>
      <c r="AA3128"/>
      <c r="AB3128"/>
      <c r="AC3128"/>
      <c r="AD3128"/>
      <c r="AE3128"/>
      <c r="AF3128"/>
      <c r="AG3128"/>
      <c r="AH3128"/>
      <c r="AI3128"/>
      <c r="AJ3128"/>
      <c r="AK3128"/>
      <c r="AL3128"/>
    </row>
    <row r="3129" spans="1:38" ht="12.75" outlineLevel="2" x14ac:dyDescent="0.2">
      <c r="A3129" s="1071">
        <v>1</v>
      </c>
      <c r="B3129" s="1071" t="s">
        <v>68</v>
      </c>
      <c r="C3129" s="1071" t="s">
        <v>1866</v>
      </c>
      <c r="D3129" s="1071" t="s">
        <v>1866</v>
      </c>
      <c r="E3129" s="1072" t="s">
        <v>70</v>
      </c>
      <c r="F3129" s="1071"/>
      <c r="G3129" s="1073" t="str">
        <f t="array" ref="G3129">IF(B3129="insumo",_xlfn.XLOOKUP($D3129,Insumos!$B$1:$B$996,Insumos!$D$1:$D$996),"")</f>
        <v/>
      </c>
      <c r="H3129" s="1073">
        <v>77.366820666666698</v>
      </c>
      <c r="I3129" s="1074" t="e">
        <v>#REF!</v>
      </c>
      <c r="J3129" s="1074" t="e">
        <v>#REF!</v>
      </c>
      <c r="K3129" s="1074"/>
      <c r="L3129"/>
      <c r="M3129"/>
      <c r="N3129"/>
      <c r="O3129"/>
      <c r="P3129"/>
      <c r="Q3129"/>
      <c r="R3129"/>
      <c r="S3129"/>
      <c r="T3129"/>
      <c r="U3129"/>
      <c r="V3129"/>
      <c r="W3129"/>
      <c r="X3129"/>
      <c r="Y3129"/>
      <c r="Z3129"/>
      <c r="AA3129"/>
      <c r="AB3129"/>
      <c r="AC3129"/>
      <c r="AD3129"/>
      <c r="AE3129"/>
      <c r="AF3129"/>
      <c r="AG3129"/>
      <c r="AH3129"/>
      <c r="AI3129"/>
      <c r="AJ3129"/>
      <c r="AK3129"/>
      <c r="AL3129"/>
    </row>
    <row r="3130" spans="1:38" ht="12.75" outlineLevel="3" x14ac:dyDescent="0.2">
      <c r="A3130" s="82">
        <v>19</v>
      </c>
      <c r="B3130" s="82" t="s">
        <v>71</v>
      </c>
      <c r="C3130" s="82" t="s">
        <v>1866</v>
      </c>
      <c r="D3130" s="82" t="s">
        <v>129</v>
      </c>
      <c r="E3130" s="11" t="str">
        <f t="array" ref="E3130">_xlfn.XLOOKUP(D3130,Insumos!B:B,Insumos!C:$C)</f>
        <v>M3</v>
      </c>
      <c r="F3130" s="86">
        <v>4.4999999999999997E-3</v>
      </c>
      <c r="G3130" s="92">
        <f t="array" ref="G3130">IF(B3130="insumo",_xlfn.XLOOKUP($D3130,Insumos!$B$1:$B$996,Insumos!$D$1:$D$996),"")</f>
        <v>1350</v>
      </c>
      <c r="H3130" s="92">
        <v>6.0750000000000002</v>
      </c>
      <c r="I3130" s="84" t="e">
        <v>#REF!</v>
      </c>
      <c r="J3130" s="84" t="e">
        <v>#REF!</v>
      </c>
      <c r="K3130" s="84"/>
      <c r="L3130"/>
      <c r="M3130"/>
      <c r="N3130"/>
      <c r="O3130"/>
      <c r="P3130"/>
      <c r="Q3130"/>
      <c r="R3130"/>
      <c r="S3130"/>
      <c r="T3130"/>
      <c r="U3130"/>
      <c r="V3130"/>
      <c r="W3130"/>
      <c r="X3130"/>
      <c r="Y3130"/>
      <c r="Z3130"/>
      <c r="AA3130"/>
      <c r="AB3130"/>
      <c r="AC3130"/>
      <c r="AD3130"/>
      <c r="AE3130"/>
      <c r="AF3130"/>
      <c r="AG3130"/>
      <c r="AH3130"/>
      <c r="AI3130"/>
      <c r="AJ3130"/>
      <c r="AK3130"/>
      <c r="AL3130"/>
    </row>
    <row r="3131" spans="1:38" ht="12.75" outlineLevel="3" x14ac:dyDescent="0.2">
      <c r="A3131" s="82">
        <v>9</v>
      </c>
      <c r="B3131" s="82" t="s">
        <v>71</v>
      </c>
      <c r="C3131" s="82" t="s">
        <v>1866</v>
      </c>
      <c r="D3131" s="82" t="s">
        <v>74</v>
      </c>
      <c r="E3131" s="11" t="str">
        <f t="array" ref="E3131">_xlfn.XLOOKUP(D3131,Insumos!B:B,Insumos!C:$C)</f>
        <v>M3</v>
      </c>
      <c r="F3131" s="86">
        <v>7.3899999999999993E-2</v>
      </c>
      <c r="G3131" s="92">
        <f t="array" ref="G3131">IF(B3131="insumo",_xlfn.XLOOKUP($D3131,Insumos!$B$1:$B$996,Insumos!$D$1:$D$996),"")</f>
        <v>490</v>
      </c>
      <c r="H3131" s="92">
        <v>36.210999999999999</v>
      </c>
      <c r="I3131" s="84" t="e">
        <v>#REF!</v>
      </c>
      <c r="J3131" s="84" t="e">
        <v>#REF!</v>
      </c>
      <c r="K3131" s="84"/>
      <c r="L3131"/>
      <c r="M3131"/>
      <c r="N3131"/>
      <c r="O3131"/>
      <c r="P3131"/>
      <c r="Q3131"/>
      <c r="R3131"/>
      <c r="S3131"/>
      <c r="T3131"/>
      <c r="U3131"/>
      <c r="V3131"/>
      <c r="W3131"/>
      <c r="X3131"/>
      <c r="Y3131"/>
      <c r="Z3131"/>
      <c r="AA3131"/>
      <c r="AB3131"/>
      <c r="AC3131"/>
      <c r="AD3131"/>
      <c r="AE3131"/>
      <c r="AF3131"/>
      <c r="AG3131"/>
      <c r="AH3131"/>
      <c r="AI3131"/>
      <c r="AJ3131"/>
      <c r="AK3131"/>
      <c r="AL3131"/>
    </row>
    <row r="3132" spans="1:38" ht="12.75" outlineLevel="3" x14ac:dyDescent="0.2">
      <c r="A3132" s="82">
        <v>1</v>
      </c>
      <c r="B3132" s="82" t="s">
        <v>71</v>
      </c>
      <c r="C3132" s="82" t="s">
        <v>1866</v>
      </c>
      <c r="D3132" s="82" t="s">
        <v>1867</v>
      </c>
      <c r="E3132" s="11" t="str">
        <f t="array" ref="E3132">_xlfn.XLOOKUP(D3132,Insumos!B:B,Insumos!C:$C)</f>
        <v>KG</v>
      </c>
      <c r="F3132" s="86">
        <v>6.6699999999999995E-2</v>
      </c>
      <c r="G3132" s="92">
        <f t="array" ref="G3132">IF(B3132="insumo",_xlfn.XLOOKUP($D3132,Insumos!$B$1:$B$996,Insumos!$D$1:$D$996),"")</f>
        <v>21.666666666666668</v>
      </c>
      <c r="H3132" s="92">
        <v>1.44516666666667</v>
      </c>
      <c r="I3132" s="84" t="e">
        <v>#REF!</v>
      </c>
      <c r="J3132" s="84" t="e">
        <v>#REF!</v>
      </c>
      <c r="K3132" s="84"/>
      <c r="L3132"/>
      <c r="M3132"/>
      <c r="N3132"/>
      <c r="O3132"/>
      <c r="P3132"/>
      <c r="Q3132"/>
      <c r="R3132"/>
      <c r="S3132"/>
      <c r="T3132"/>
      <c r="U3132"/>
      <c r="V3132"/>
      <c r="W3132"/>
      <c r="X3132"/>
      <c r="Y3132"/>
      <c r="Z3132"/>
      <c r="AA3132"/>
      <c r="AB3132"/>
      <c r="AC3132"/>
      <c r="AD3132"/>
      <c r="AE3132"/>
      <c r="AF3132"/>
      <c r="AG3132"/>
      <c r="AH3132"/>
      <c r="AI3132"/>
      <c r="AJ3132"/>
      <c r="AK3132"/>
      <c r="AL3132"/>
    </row>
    <row r="3133" spans="1:38" ht="12.75" outlineLevel="3" x14ac:dyDescent="0.2">
      <c r="A3133" s="82">
        <v>1</v>
      </c>
      <c r="B3133" s="82" t="s">
        <v>71</v>
      </c>
      <c r="C3133" s="82" t="s">
        <v>1866</v>
      </c>
      <c r="D3133" s="82" t="s">
        <v>1868</v>
      </c>
      <c r="E3133" s="11" t="str">
        <f t="array" ref="E3133">_xlfn.XLOOKUP(D3133,Insumos!B:B,Insumos!C:$C)</f>
        <v>M2</v>
      </c>
      <c r="F3133" s="86">
        <v>2.5000000000000001E-3</v>
      </c>
      <c r="G3133" s="92">
        <f t="array" ref="G3133">IF(B3133="insumo",_xlfn.XLOOKUP($D3133,Insumos!$B$1:$B$996,Insumos!$D$1:$D$996),"")</f>
        <v>650</v>
      </c>
      <c r="H3133" s="92">
        <v>1.625</v>
      </c>
      <c r="I3133" s="84" t="e">
        <v>#REF!</v>
      </c>
      <c r="J3133" s="84" t="e">
        <v>#REF!</v>
      </c>
      <c r="K3133" s="84"/>
      <c r="L3133"/>
      <c r="M3133"/>
      <c r="N3133"/>
      <c r="O3133"/>
      <c r="P3133"/>
      <c r="Q3133"/>
      <c r="R3133"/>
      <c r="S3133"/>
      <c r="T3133"/>
      <c r="U3133"/>
      <c r="V3133"/>
      <c r="W3133"/>
      <c r="X3133"/>
      <c r="Y3133"/>
      <c r="Z3133"/>
      <c r="AA3133"/>
      <c r="AB3133"/>
      <c r="AC3133"/>
      <c r="AD3133"/>
      <c r="AE3133"/>
      <c r="AF3133"/>
      <c r="AG3133"/>
      <c r="AH3133"/>
      <c r="AI3133"/>
      <c r="AJ3133"/>
      <c r="AK3133"/>
      <c r="AL3133"/>
    </row>
    <row r="3134" spans="1:38" ht="12.75" outlineLevel="3" x14ac:dyDescent="0.2">
      <c r="A3134" s="82">
        <v>40</v>
      </c>
      <c r="B3134" s="82" t="s">
        <v>71</v>
      </c>
      <c r="C3134" s="82" t="s">
        <v>1866</v>
      </c>
      <c r="D3134" s="82" t="s">
        <v>87</v>
      </c>
      <c r="E3134" s="11" t="str">
        <f t="array" ref="E3134">_xlfn.XLOOKUP(D3134,Insumos!B:B,Insumos!C:$C)</f>
        <v>KG</v>
      </c>
      <c r="F3134" s="86">
        <v>2.4E-2</v>
      </c>
      <c r="G3134" s="92">
        <f t="array" ref="G3134">IF(B3134="insumo",_xlfn.XLOOKUP($D3134,Insumos!$B$1:$B$996,Insumos!$D$1:$D$996),"")</f>
        <v>18.13</v>
      </c>
      <c r="H3134" s="92">
        <v>0.43512000000000001</v>
      </c>
      <c r="I3134" s="84" t="e">
        <v>#REF!</v>
      </c>
      <c r="J3134" s="84" t="e">
        <v>#REF!</v>
      </c>
      <c r="K3134" s="84"/>
      <c r="L3134"/>
      <c r="M3134"/>
      <c r="N3134"/>
      <c r="O3134"/>
      <c r="P3134"/>
      <c r="Q3134"/>
      <c r="R3134"/>
      <c r="S3134"/>
      <c r="T3134"/>
      <c r="U3134"/>
      <c r="V3134"/>
      <c r="W3134"/>
      <c r="X3134"/>
      <c r="Y3134"/>
      <c r="Z3134"/>
      <c r="AA3134"/>
      <c r="AB3134"/>
      <c r="AC3134"/>
      <c r="AD3134"/>
      <c r="AE3134"/>
      <c r="AF3134"/>
      <c r="AG3134"/>
      <c r="AH3134"/>
      <c r="AI3134"/>
      <c r="AJ3134"/>
      <c r="AK3134"/>
      <c r="AL3134"/>
    </row>
    <row r="3135" spans="1:38" ht="12.75" outlineLevel="3" x14ac:dyDescent="0.2">
      <c r="A3135" s="82">
        <v>1</v>
      </c>
      <c r="B3135" s="82" t="s">
        <v>71</v>
      </c>
      <c r="C3135" s="82" t="s">
        <v>1866</v>
      </c>
      <c r="D3135" s="82" t="s">
        <v>1869</v>
      </c>
      <c r="E3135" s="11" t="str">
        <f t="array" ref="E3135">_xlfn.XLOOKUP(D3135,Insumos!B:B,Insumos!C:$C)</f>
        <v>KG</v>
      </c>
      <c r="F3135" s="86">
        <v>1.7391000000000001</v>
      </c>
      <c r="G3135" s="92">
        <f t="array" ref="G3135">IF(B3135="insumo",_xlfn.XLOOKUP($D3135,Insumos!$B$1:$B$996,Insumos!$D$1:$D$996),"")</f>
        <v>15.780000000000001</v>
      </c>
      <c r="H3135" s="92">
        <v>27.442997999999999</v>
      </c>
      <c r="I3135" s="84" t="e">
        <v>#REF!</v>
      </c>
      <c r="J3135" s="84" t="e">
        <v>#REF!</v>
      </c>
      <c r="K3135" s="84"/>
      <c r="L3135"/>
      <c r="M3135"/>
      <c r="N3135"/>
      <c r="O3135"/>
      <c r="P3135"/>
      <c r="Q3135"/>
      <c r="R3135"/>
      <c r="S3135"/>
      <c r="T3135"/>
      <c r="U3135"/>
      <c r="V3135"/>
      <c r="W3135"/>
      <c r="X3135"/>
      <c r="Y3135"/>
      <c r="Z3135"/>
      <c r="AA3135"/>
      <c r="AB3135"/>
      <c r="AC3135"/>
      <c r="AD3135"/>
      <c r="AE3135"/>
      <c r="AF3135"/>
      <c r="AG3135"/>
      <c r="AH3135"/>
      <c r="AI3135"/>
      <c r="AJ3135"/>
      <c r="AK3135"/>
      <c r="AL3135"/>
    </row>
    <row r="3136" spans="1:38" ht="12.75" outlineLevel="3" x14ac:dyDescent="0.2">
      <c r="A3136" s="82">
        <v>1</v>
      </c>
      <c r="B3136" s="82" t="s">
        <v>71</v>
      </c>
      <c r="C3136" s="82" t="s">
        <v>1866</v>
      </c>
      <c r="D3136" s="82" t="s">
        <v>1206</v>
      </c>
      <c r="E3136" s="11" t="str">
        <f t="array" ref="E3136">_xlfn.XLOOKUP(D3136,Insumos!B:B,Insumos!C:$C)</f>
        <v>L</v>
      </c>
      <c r="F3136" s="86">
        <v>0.1636</v>
      </c>
      <c r="G3136" s="92">
        <f t="array" ref="G3136">IF(B3136="insumo",_xlfn.XLOOKUP($D3136,Insumos!$B$1:$B$996,Insumos!$D$1:$D$996),"")</f>
        <v>25.26</v>
      </c>
      <c r="H3136" s="92">
        <v>4.132536</v>
      </c>
      <c r="I3136" s="84" t="e">
        <v>#REF!</v>
      </c>
      <c r="J3136" s="84" t="e">
        <v>#REF!</v>
      </c>
      <c r="K3136" s="84"/>
      <c r="L3136"/>
      <c r="M3136"/>
      <c r="N3136"/>
      <c r="O3136"/>
      <c r="P3136"/>
      <c r="Q3136"/>
      <c r="R3136"/>
      <c r="S3136"/>
      <c r="T3136"/>
      <c r="U3136"/>
      <c r="V3136"/>
      <c r="W3136"/>
      <c r="X3136"/>
      <c r="Y3136"/>
      <c r="Z3136"/>
      <c r="AA3136"/>
      <c r="AB3136"/>
      <c r="AC3136"/>
      <c r="AD3136"/>
      <c r="AE3136"/>
      <c r="AF3136"/>
      <c r="AG3136"/>
      <c r="AH3136"/>
      <c r="AI3136"/>
      <c r="AJ3136"/>
      <c r="AK3136"/>
      <c r="AL3136"/>
    </row>
    <row r="3137" spans="1:38" ht="15.75" customHeight="1" outlineLevel="2" x14ac:dyDescent="0.2">
      <c r="A3137" s="1067">
        <v>1</v>
      </c>
      <c r="B3137" s="1067" t="s">
        <v>68</v>
      </c>
      <c r="C3137" s="1067" t="s">
        <v>625</v>
      </c>
      <c r="D3137" s="1067" t="s">
        <v>625</v>
      </c>
      <c r="E3137" s="1068" t="s">
        <v>70</v>
      </c>
      <c r="F3137" s="1067"/>
      <c r="G3137" s="1069" t="str">
        <f t="array" ref="G3137">IF(B3137="insumo",_xlfn.XLOOKUP($D3137,Insumos!$B$1:$B$996,Insumos!$D$1:$D$996),"")</f>
        <v/>
      </c>
      <c r="H3137" s="1069">
        <v>75</v>
      </c>
      <c r="I3137" s="1070">
        <v>0</v>
      </c>
      <c r="J3137" s="1070">
        <v>0</v>
      </c>
      <c r="K3137" s="1070"/>
      <c r="L3137"/>
      <c r="M3137"/>
      <c r="N3137"/>
      <c r="O3137"/>
      <c r="P3137"/>
      <c r="Q3137"/>
      <c r="R3137"/>
      <c r="S3137"/>
      <c r="T3137"/>
      <c r="U3137"/>
      <c r="V3137"/>
      <c r="W3137"/>
      <c r="X3137"/>
      <c r="Y3137"/>
      <c r="Z3137"/>
      <c r="AA3137"/>
      <c r="AB3137"/>
      <c r="AC3137"/>
      <c r="AD3137"/>
      <c r="AE3137"/>
      <c r="AF3137"/>
      <c r="AG3137"/>
      <c r="AH3137"/>
      <c r="AI3137"/>
      <c r="AJ3137"/>
      <c r="AK3137"/>
      <c r="AL3137"/>
    </row>
    <row r="3138" spans="1:38" ht="12.75" outlineLevel="3" x14ac:dyDescent="0.2">
      <c r="A3138" s="10">
        <v>1</v>
      </c>
      <c r="B3138" s="10" t="s">
        <v>71</v>
      </c>
      <c r="C3138" s="10" t="s">
        <v>625</v>
      </c>
      <c r="D3138" s="10" t="s">
        <v>625</v>
      </c>
      <c r="E3138" s="11" t="str">
        <f t="array" ref="E3138">_xlfn.XLOOKUP(D3138,Insumos!B:B,Insumos!C:$C)</f>
        <v>M2</v>
      </c>
      <c r="F3138" s="14">
        <v>1</v>
      </c>
      <c r="G3138" s="92">
        <f t="array" ref="G3138">IF(B3138="insumo",_xlfn.XLOOKUP($D3138,Insumos!$B$1:$B$996,Insumos!$D$1:$D$996),"")</f>
        <v>75</v>
      </c>
      <c r="H3138" s="92">
        <v>75</v>
      </c>
      <c r="I3138" s="13">
        <v>0</v>
      </c>
      <c r="J3138" s="13">
        <v>0</v>
      </c>
      <c r="K3138" s="13"/>
      <c r="L3138"/>
      <c r="M3138"/>
      <c r="N3138"/>
      <c r="O3138"/>
      <c r="P3138"/>
      <c r="Q3138"/>
      <c r="R3138"/>
      <c r="S3138"/>
      <c r="T3138"/>
      <c r="U3138"/>
      <c r="V3138"/>
      <c r="W3138"/>
      <c r="X3138"/>
      <c r="Y3138"/>
      <c r="Z3138"/>
      <c r="AA3138"/>
      <c r="AB3138"/>
      <c r="AC3138"/>
      <c r="AD3138"/>
      <c r="AE3138"/>
      <c r="AF3138"/>
      <c r="AG3138"/>
      <c r="AH3138"/>
      <c r="AI3138"/>
      <c r="AJ3138"/>
      <c r="AK3138"/>
      <c r="AL3138"/>
    </row>
    <row r="3139" spans="1:38" ht="12.75" outlineLevel="2" x14ac:dyDescent="0.2">
      <c r="A3139" s="1071">
        <v>1</v>
      </c>
      <c r="B3139" s="1071" t="s">
        <v>68</v>
      </c>
      <c r="C3139" s="1071" t="s">
        <v>1896</v>
      </c>
      <c r="D3139" s="1071" t="s">
        <v>1896</v>
      </c>
      <c r="E3139" s="1072" t="s">
        <v>70</v>
      </c>
      <c r="F3139" s="1071"/>
      <c r="G3139" s="1073" t="str">
        <f t="array" ref="G3139">IF(B3139="insumo",_xlfn.XLOOKUP($D3139,Insumos!$B$1:$B$996,Insumos!$D$1:$D$996),"")</f>
        <v/>
      </c>
      <c r="H3139" s="1073">
        <v>138.044797111111</v>
      </c>
      <c r="I3139" s="1074">
        <v>0</v>
      </c>
      <c r="J3139" s="1074">
        <v>0</v>
      </c>
      <c r="K3139" s="1074"/>
      <c r="L3139"/>
      <c r="M3139"/>
      <c r="N3139"/>
      <c r="O3139"/>
      <c r="P3139"/>
      <c r="Q3139"/>
      <c r="R3139"/>
      <c r="S3139"/>
      <c r="T3139"/>
      <c r="U3139"/>
      <c r="V3139"/>
      <c r="W3139"/>
      <c r="X3139"/>
      <c r="Y3139"/>
      <c r="Z3139"/>
      <c r="AA3139"/>
      <c r="AB3139"/>
      <c r="AC3139"/>
      <c r="AD3139"/>
      <c r="AE3139"/>
      <c r="AF3139"/>
      <c r="AG3139"/>
      <c r="AH3139"/>
      <c r="AI3139"/>
      <c r="AJ3139"/>
      <c r="AK3139"/>
      <c r="AL3139"/>
    </row>
    <row r="3140" spans="1:38" ht="12.75" outlineLevel="3" x14ac:dyDescent="0.2">
      <c r="A3140" s="82">
        <v>2</v>
      </c>
      <c r="B3140" s="82" t="s">
        <v>71</v>
      </c>
      <c r="C3140" s="82" t="s">
        <v>1896</v>
      </c>
      <c r="D3140" s="82" t="s">
        <v>731</v>
      </c>
      <c r="E3140" s="11" t="str">
        <f t="array" ref="E3140">_xlfn.XLOOKUP(D3140,Insumos!B:B,Insumos!C:$C)</f>
        <v>M2</v>
      </c>
      <c r="F3140" s="86">
        <v>1.05</v>
      </c>
      <c r="G3140" s="92">
        <f t="array" ref="G3140">IF(B3140="insumo",_xlfn.XLOOKUP($D3140,Insumos!$B$1:$B$996,Insumos!$D$1:$D$996),"")</f>
        <v>122.96296296296295</v>
      </c>
      <c r="H3140" s="92">
        <v>129.111111111111</v>
      </c>
      <c r="I3140" s="84">
        <v>0</v>
      </c>
      <c r="J3140" s="84">
        <v>0</v>
      </c>
      <c r="K3140" s="84"/>
      <c r="L3140"/>
      <c r="M3140"/>
      <c r="N3140"/>
      <c r="O3140"/>
      <c r="P3140"/>
      <c r="Q3140"/>
      <c r="R3140"/>
      <c r="S3140"/>
      <c r="T3140"/>
      <c r="U3140"/>
      <c r="V3140"/>
      <c r="W3140"/>
      <c r="X3140"/>
      <c r="Y3140"/>
      <c r="Z3140"/>
      <c r="AA3140"/>
      <c r="AB3140"/>
      <c r="AC3140"/>
      <c r="AD3140"/>
      <c r="AE3140"/>
      <c r="AF3140"/>
      <c r="AG3140"/>
      <c r="AH3140"/>
      <c r="AI3140"/>
      <c r="AJ3140"/>
      <c r="AK3140"/>
      <c r="AL3140"/>
    </row>
    <row r="3141" spans="1:38" ht="12.75" outlineLevel="3" x14ac:dyDescent="0.2">
      <c r="A3141" s="82">
        <v>8</v>
      </c>
      <c r="B3141" s="82" t="s">
        <v>71</v>
      </c>
      <c r="C3141" s="82" t="s">
        <v>1896</v>
      </c>
      <c r="D3141" s="82" t="s">
        <v>729</v>
      </c>
      <c r="E3141" s="11" t="str">
        <f t="array" ref="E3141">_xlfn.XLOOKUP(D3141,Insumos!B:B,Insumos!C:$C)</f>
        <v>M3</v>
      </c>
      <c r="F3141" s="86">
        <v>6.6E-3</v>
      </c>
      <c r="G3141" s="92">
        <f t="array" ref="G3141">IF(B3141="insumo",_xlfn.XLOOKUP($D3141,Insumos!$B$1:$B$996,Insumos!$D$1:$D$996),"")</f>
        <v>105.71</v>
      </c>
      <c r="H3141" s="92">
        <v>0.69768600000000003</v>
      </c>
      <c r="I3141" s="84">
        <v>0</v>
      </c>
      <c r="J3141" s="84">
        <v>0</v>
      </c>
      <c r="K3141" s="84"/>
      <c r="L3141"/>
      <c r="M3141"/>
      <c r="N3141"/>
      <c r="O3141"/>
      <c r="P3141"/>
      <c r="Q3141"/>
      <c r="R3141"/>
      <c r="S3141"/>
      <c r="T3141"/>
      <c r="U3141"/>
      <c r="V3141"/>
      <c r="W3141"/>
      <c r="X3141"/>
      <c r="Y3141"/>
      <c r="Z3141"/>
      <c r="AA3141"/>
      <c r="AB3141"/>
      <c r="AC3141"/>
      <c r="AD3141"/>
      <c r="AE3141"/>
      <c r="AF3141"/>
      <c r="AG3141"/>
      <c r="AH3141"/>
      <c r="AI3141"/>
      <c r="AJ3141"/>
      <c r="AK3141"/>
      <c r="AL3141"/>
    </row>
    <row r="3142" spans="1:38" ht="12.75" outlineLevel="3" x14ac:dyDescent="0.2">
      <c r="A3142" s="82">
        <v>10</v>
      </c>
      <c r="B3142" s="82" t="s">
        <v>71</v>
      </c>
      <c r="C3142" s="82" t="s">
        <v>1896</v>
      </c>
      <c r="D3142" s="82" t="s">
        <v>443</v>
      </c>
      <c r="E3142" s="11" t="str">
        <f t="array" ref="E3142">_xlfn.XLOOKUP(D3142,Insumos!B:B,Insumos!C:$C)</f>
        <v>M3</v>
      </c>
      <c r="F3142" s="86">
        <v>5.6800000000000003E-2</v>
      </c>
      <c r="G3142" s="92">
        <f t="array" ref="G3142">IF(B3142="insumo",_xlfn.XLOOKUP($D3142,Insumos!$B$1:$B$996,Insumos!$D$1:$D$996),"")</f>
        <v>145</v>
      </c>
      <c r="H3142" s="92">
        <v>8.2360000000000007</v>
      </c>
      <c r="I3142" s="84">
        <v>0</v>
      </c>
      <c r="J3142" s="84">
        <v>0</v>
      </c>
      <c r="K3142" s="84"/>
      <c r="L3142"/>
      <c r="M3142"/>
      <c r="N3142"/>
      <c r="O3142"/>
      <c r="P3142"/>
      <c r="Q3142"/>
      <c r="R3142"/>
      <c r="S3142"/>
      <c r="T3142"/>
      <c r="U3142"/>
      <c r="V3142"/>
      <c r="W3142"/>
      <c r="X3142"/>
      <c r="Y3142"/>
      <c r="Z3142"/>
      <c r="AA3142"/>
      <c r="AB3142"/>
      <c r="AC3142"/>
      <c r="AD3142"/>
      <c r="AE3142"/>
      <c r="AF3142"/>
      <c r="AG3142"/>
      <c r="AH3142"/>
      <c r="AI3142"/>
      <c r="AJ3142"/>
      <c r="AK3142"/>
      <c r="AL3142"/>
    </row>
    <row r="3143" spans="1:38" ht="15.75" customHeight="1" outlineLevel="1" x14ac:dyDescent="0.2">
      <c r="A3143" s="1090">
        <v>1</v>
      </c>
      <c r="B3143" s="1090" t="s">
        <v>1228</v>
      </c>
      <c r="C3143" s="1090" t="s">
        <v>1896</v>
      </c>
      <c r="D3143" s="1090" t="s">
        <v>1465</v>
      </c>
      <c r="E3143" s="1091"/>
      <c r="F3143" s="1092"/>
      <c r="G3143" s="1091"/>
      <c r="H3143" s="1091">
        <v>0</v>
      </c>
      <c r="I3143" s="1092">
        <v>0</v>
      </c>
      <c r="J3143" s="1092">
        <v>0</v>
      </c>
      <c r="K3143" s="1092"/>
      <c r="L3143"/>
      <c r="M3143"/>
      <c r="N3143"/>
      <c r="O3143"/>
      <c r="P3143"/>
      <c r="Q3143"/>
      <c r="R3143"/>
      <c r="S3143"/>
      <c r="T3143"/>
      <c r="U3143"/>
      <c r="V3143"/>
      <c r="W3143"/>
      <c r="X3143"/>
      <c r="Y3143"/>
      <c r="Z3143"/>
      <c r="AA3143"/>
      <c r="AB3143"/>
      <c r="AC3143"/>
      <c r="AD3143"/>
      <c r="AE3143"/>
      <c r="AF3143"/>
      <c r="AG3143"/>
      <c r="AH3143"/>
      <c r="AI3143"/>
      <c r="AJ3143"/>
      <c r="AK3143"/>
      <c r="AL3143"/>
    </row>
    <row r="3144" spans="1:38" ht="15.75" customHeight="1" outlineLevel="2" x14ac:dyDescent="0.2">
      <c r="A3144" s="1067">
        <v>1</v>
      </c>
      <c r="B3144" s="1067" t="s">
        <v>68</v>
      </c>
      <c r="C3144" s="1067" t="s">
        <v>628</v>
      </c>
      <c r="D3144" s="1067" t="s">
        <v>628</v>
      </c>
      <c r="E3144" s="1068" t="s">
        <v>70</v>
      </c>
      <c r="F3144" s="1067"/>
      <c r="G3144" s="1069" t="str">
        <f t="array" ref="G3144">IF(B3144="insumo",_xlfn.XLOOKUP($D3144,Insumos!$B$1:$B$996,Insumos!$D$1:$D$996),"")</f>
        <v/>
      </c>
      <c r="H3144" s="1069">
        <v>822.7</v>
      </c>
      <c r="I3144" s="1070">
        <v>0</v>
      </c>
      <c r="J3144" s="1070">
        <v>0</v>
      </c>
      <c r="K3144" s="1070"/>
      <c r="L3144"/>
      <c r="M3144"/>
      <c r="N3144"/>
      <c r="O3144"/>
      <c r="P3144"/>
      <c r="Q3144"/>
      <c r="R3144"/>
      <c r="S3144"/>
      <c r="T3144"/>
      <c r="U3144"/>
      <c r="V3144"/>
      <c r="W3144"/>
      <c r="X3144"/>
      <c r="Y3144"/>
      <c r="Z3144"/>
      <c r="AA3144"/>
      <c r="AB3144"/>
      <c r="AC3144"/>
      <c r="AD3144"/>
      <c r="AE3144"/>
      <c r="AF3144"/>
      <c r="AG3144"/>
      <c r="AH3144"/>
      <c r="AI3144"/>
      <c r="AJ3144"/>
      <c r="AK3144"/>
      <c r="AL3144"/>
    </row>
    <row r="3145" spans="1:38" ht="15.75" customHeight="1" outlineLevel="3" x14ac:dyDescent="0.2">
      <c r="A3145" s="10">
        <v>1</v>
      </c>
      <c r="B3145" s="10" t="s">
        <v>71</v>
      </c>
      <c r="C3145" s="10" t="s">
        <v>628</v>
      </c>
      <c r="D3145" s="10" t="s">
        <v>629</v>
      </c>
      <c r="E3145" s="11" t="str">
        <f t="array" ref="E3145">_xlfn.XLOOKUP(D3145,Insumos!B:B,Insumos!C:$C)</f>
        <v>M2</v>
      </c>
      <c r="F3145" s="14">
        <v>1.1000000000000001</v>
      </c>
      <c r="G3145" s="92">
        <f t="array" ref="G3145">IF(B3145="insumo",_xlfn.XLOOKUP($D3145,Insumos!$B$1:$B$996,Insumos!$D$1:$D$996),"")</f>
        <v>557</v>
      </c>
      <c r="H3145" s="92">
        <v>612.70000000000005</v>
      </c>
      <c r="I3145" s="13">
        <v>0</v>
      </c>
      <c r="J3145" s="13">
        <v>0</v>
      </c>
      <c r="K3145" s="13"/>
      <c r="L3145"/>
      <c r="M3145"/>
      <c r="N3145"/>
      <c r="O3145"/>
      <c r="P3145"/>
      <c r="Q3145"/>
      <c r="R3145"/>
      <c r="S3145"/>
      <c r="T3145"/>
      <c r="U3145"/>
      <c r="V3145"/>
      <c r="W3145"/>
      <c r="X3145"/>
      <c r="Y3145"/>
      <c r="Z3145"/>
      <c r="AA3145"/>
      <c r="AB3145"/>
      <c r="AC3145"/>
      <c r="AD3145"/>
      <c r="AE3145"/>
      <c r="AF3145"/>
      <c r="AG3145"/>
      <c r="AH3145"/>
      <c r="AI3145"/>
      <c r="AJ3145"/>
      <c r="AK3145"/>
      <c r="AL3145"/>
    </row>
    <row r="3146" spans="1:38" ht="15.75" customHeight="1" outlineLevel="3" x14ac:dyDescent="0.2">
      <c r="A3146" s="10">
        <v>2</v>
      </c>
      <c r="B3146" s="10" t="s">
        <v>71</v>
      </c>
      <c r="C3146" s="10" t="s">
        <v>628</v>
      </c>
      <c r="D3146" s="10" t="s">
        <v>630</v>
      </c>
      <c r="E3146" s="11" t="str">
        <f t="array" ref="E3146">_xlfn.XLOOKUP(D3146,Insumos!B:B,Insumos!C:$C)</f>
        <v>M2</v>
      </c>
      <c r="F3146" s="14">
        <v>1</v>
      </c>
      <c r="G3146" s="92">
        <f t="array" ref="G3146">IF(B3146="insumo",_xlfn.XLOOKUP($D3146,Insumos!$B$1:$B$996,Insumos!$D$1:$D$996),"")</f>
        <v>210</v>
      </c>
      <c r="H3146" s="92">
        <v>210</v>
      </c>
      <c r="I3146" s="13">
        <v>0</v>
      </c>
      <c r="J3146" s="13">
        <v>0</v>
      </c>
      <c r="K3146" s="13"/>
      <c r="L3146"/>
      <c r="M3146"/>
      <c r="N3146"/>
      <c r="O3146"/>
      <c r="P3146"/>
      <c r="Q3146"/>
      <c r="R3146"/>
      <c r="S3146"/>
      <c r="T3146"/>
      <c r="U3146"/>
      <c r="V3146"/>
      <c r="W3146"/>
      <c r="X3146"/>
      <c r="Y3146"/>
      <c r="Z3146"/>
      <c r="AA3146"/>
      <c r="AB3146"/>
      <c r="AC3146"/>
      <c r="AD3146"/>
      <c r="AE3146"/>
      <c r="AF3146"/>
      <c r="AG3146"/>
      <c r="AH3146"/>
      <c r="AI3146"/>
      <c r="AJ3146"/>
      <c r="AK3146"/>
      <c r="AL3146"/>
    </row>
    <row r="3147" spans="1:38" ht="15.75" customHeight="1" outlineLevel="2" x14ac:dyDescent="0.2">
      <c r="A3147" s="1067">
        <v>1</v>
      </c>
      <c r="B3147" s="1067" t="s">
        <v>68</v>
      </c>
      <c r="C3147" s="1067" t="s">
        <v>3014</v>
      </c>
      <c r="D3147" s="1067" t="s">
        <v>3014</v>
      </c>
      <c r="E3147" s="1068" t="s">
        <v>70</v>
      </c>
      <c r="F3147" s="1067"/>
      <c r="G3147" s="1069" t="str">
        <f t="array" ref="G3147">IF(B3147="insumo",_xlfn.XLOOKUP($D3147,Insumos!$B$1:$B$996,Insumos!$D$1:$D$996),"")</f>
        <v/>
      </c>
      <c r="H3147" s="1069">
        <v>935</v>
      </c>
      <c r="I3147" s="1070" t="e">
        <v>#REF!</v>
      </c>
      <c r="J3147" s="1070" t="e">
        <v>#REF!</v>
      </c>
      <c r="K3147" s="1070"/>
      <c r="L3147"/>
      <c r="M3147"/>
      <c r="N3147"/>
      <c r="O3147"/>
      <c r="P3147"/>
      <c r="Q3147"/>
      <c r="R3147"/>
      <c r="S3147"/>
      <c r="T3147"/>
      <c r="U3147"/>
      <c r="V3147"/>
      <c r="W3147"/>
      <c r="X3147"/>
      <c r="Y3147"/>
      <c r="Z3147"/>
      <c r="AA3147"/>
      <c r="AB3147"/>
      <c r="AC3147"/>
      <c r="AD3147"/>
      <c r="AE3147"/>
      <c r="AF3147"/>
      <c r="AG3147"/>
      <c r="AH3147"/>
      <c r="AI3147"/>
      <c r="AJ3147"/>
      <c r="AK3147"/>
      <c r="AL3147"/>
    </row>
    <row r="3148" spans="1:38" ht="15.75" customHeight="1" outlineLevel="3" x14ac:dyDescent="0.2">
      <c r="A3148" s="10">
        <v>1</v>
      </c>
      <c r="B3148" s="10" t="s">
        <v>71</v>
      </c>
      <c r="C3148" s="10" t="s">
        <v>3014</v>
      </c>
      <c r="D3148" s="10" t="s">
        <v>3011</v>
      </c>
      <c r="E3148" s="11" t="str">
        <f t="array" ref="E3148">_xlfn.XLOOKUP(D3148,Insumos!B:B,Insumos!C:$C)</f>
        <v>M2</v>
      </c>
      <c r="F3148" s="14">
        <v>1.1000000000000001</v>
      </c>
      <c r="G3148" s="92">
        <f t="array" ref="G3148">IF(B3148="insumo",_xlfn.XLOOKUP($D3148,Insumos!$B$1:$B$996,Insumos!$D$1:$D$996),"")</f>
        <v>850</v>
      </c>
      <c r="H3148" s="92">
        <v>935</v>
      </c>
      <c r="I3148" s="13" t="e">
        <v>#REF!</v>
      </c>
      <c r="J3148" s="13" t="e">
        <v>#REF!</v>
      </c>
      <c r="K3148" s="13"/>
      <c r="L3148"/>
      <c r="M3148"/>
      <c r="N3148"/>
      <c r="O3148"/>
      <c r="P3148"/>
      <c r="Q3148"/>
      <c r="R3148"/>
      <c r="S3148"/>
      <c r="T3148"/>
      <c r="U3148"/>
      <c r="V3148"/>
      <c r="W3148"/>
      <c r="X3148"/>
      <c r="Y3148"/>
      <c r="Z3148"/>
      <c r="AA3148"/>
      <c r="AB3148"/>
      <c r="AC3148"/>
      <c r="AD3148"/>
      <c r="AE3148"/>
      <c r="AF3148"/>
      <c r="AG3148"/>
      <c r="AH3148"/>
      <c r="AI3148"/>
      <c r="AJ3148"/>
      <c r="AK3148"/>
      <c r="AL3148"/>
    </row>
    <row r="3149" spans="1:38" ht="15.75" customHeight="1" outlineLevel="2" x14ac:dyDescent="0.2">
      <c r="A3149" s="1067">
        <v>1</v>
      </c>
      <c r="B3149" s="1067" t="s">
        <v>68</v>
      </c>
      <c r="C3149" s="1067" t="s">
        <v>3022</v>
      </c>
      <c r="D3149" s="1067" t="s">
        <v>3022</v>
      </c>
      <c r="E3149" s="1068" t="s">
        <v>70</v>
      </c>
      <c r="F3149" s="1067"/>
      <c r="G3149" s="1069" t="str">
        <f t="array" ref="G3149">IF(B3149="insumo",_xlfn.XLOOKUP($D3149,Insumos!$B$1:$B$996,Insumos!$D$1:$D$996),"")</f>
        <v/>
      </c>
      <c r="H3149" s="1069">
        <v>1155</v>
      </c>
      <c r="I3149" s="1070">
        <v>0</v>
      </c>
      <c r="J3149" s="1070">
        <v>0</v>
      </c>
      <c r="K3149" s="1070"/>
      <c r="L3149"/>
      <c r="M3149"/>
      <c r="N3149"/>
      <c r="O3149"/>
      <c r="P3149"/>
      <c r="Q3149"/>
      <c r="R3149"/>
      <c r="S3149"/>
      <c r="T3149"/>
      <c r="U3149"/>
      <c r="V3149"/>
      <c r="W3149"/>
      <c r="X3149"/>
      <c r="Y3149"/>
      <c r="Z3149"/>
      <c r="AA3149"/>
      <c r="AB3149"/>
      <c r="AC3149"/>
      <c r="AD3149"/>
      <c r="AE3149"/>
      <c r="AF3149"/>
      <c r="AG3149"/>
      <c r="AH3149"/>
      <c r="AI3149"/>
      <c r="AJ3149"/>
      <c r="AK3149"/>
      <c r="AL3149"/>
    </row>
    <row r="3150" spans="1:38" ht="15.75" customHeight="1" outlineLevel="3" x14ac:dyDescent="0.2">
      <c r="A3150" s="10">
        <v>1</v>
      </c>
      <c r="B3150" s="10" t="s">
        <v>71</v>
      </c>
      <c r="C3150" s="10" t="s">
        <v>3022</v>
      </c>
      <c r="D3150" s="10" t="s">
        <v>3022</v>
      </c>
      <c r="E3150" s="11" t="str">
        <f t="array" ref="E3150">_xlfn.XLOOKUP(D3150,Insumos!B:B,Insumos!C:$C)</f>
        <v>M2</v>
      </c>
      <c r="F3150" s="14">
        <v>1.1000000000000001</v>
      </c>
      <c r="G3150" s="92">
        <f t="array" ref="G3150">IF(B3150="insumo",_xlfn.XLOOKUP($D3150,Insumos!$B$1:$B$996,Insumos!$D$1:$D$996),"")</f>
        <v>1050</v>
      </c>
      <c r="H3150" s="92">
        <v>1155</v>
      </c>
      <c r="I3150" s="13">
        <v>0</v>
      </c>
      <c r="J3150" s="13">
        <v>0</v>
      </c>
      <c r="K3150" s="13"/>
      <c r="L3150"/>
      <c r="M3150"/>
      <c r="N3150"/>
      <c r="O3150"/>
      <c r="P3150"/>
      <c r="Q3150"/>
      <c r="R3150"/>
      <c r="S3150"/>
      <c r="T3150"/>
      <c r="U3150"/>
      <c r="V3150"/>
      <c r="W3150"/>
      <c r="X3150"/>
      <c r="Y3150"/>
      <c r="Z3150"/>
      <c r="AA3150"/>
      <c r="AB3150"/>
      <c r="AC3150"/>
      <c r="AD3150"/>
      <c r="AE3150"/>
      <c r="AF3150"/>
      <c r="AG3150"/>
      <c r="AH3150"/>
      <c r="AI3150"/>
      <c r="AJ3150"/>
      <c r="AK3150"/>
      <c r="AL3150"/>
    </row>
    <row r="3151" spans="1:38" ht="15.75" customHeight="1" outlineLevel="2" x14ac:dyDescent="0.2">
      <c r="A3151" s="1067">
        <v>1</v>
      </c>
      <c r="B3151" s="1067" t="s">
        <v>68</v>
      </c>
      <c r="C3151" s="1067" t="s">
        <v>3023</v>
      </c>
      <c r="D3151" s="1067" t="s">
        <v>3023</v>
      </c>
      <c r="E3151" s="1068" t="s">
        <v>70</v>
      </c>
      <c r="F3151" s="1067"/>
      <c r="G3151" s="1069" t="str">
        <f t="array" ref="G3151">IF(B3151="insumo",_xlfn.XLOOKUP($D3151,Insumos!$B$1:$B$996,Insumos!$D$1:$D$996),"")</f>
        <v/>
      </c>
      <c r="H3151" s="1069">
        <v>858</v>
      </c>
      <c r="I3151" s="1070">
        <v>0</v>
      </c>
      <c r="J3151" s="1070">
        <v>0</v>
      </c>
      <c r="K3151" s="1070"/>
      <c r="L3151"/>
      <c r="M3151"/>
      <c r="N3151"/>
      <c r="O3151"/>
      <c r="P3151"/>
      <c r="Q3151"/>
      <c r="R3151"/>
      <c r="S3151"/>
      <c r="T3151"/>
      <c r="U3151"/>
      <c r="V3151"/>
      <c r="W3151"/>
      <c r="X3151"/>
      <c r="Y3151"/>
      <c r="Z3151"/>
      <c r="AA3151"/>
      <c r="AB3151"/>
      <c r="AC3151"/>
      <c r="AD3151"/>
      <c r="AE3151"/>
      <c r="AF3151"/>
      <c r="AG3151"/>
      <c r="AH3151"/>
      <c r="AI3151"/>
      <c r="AJ3151"/>
      <c r="AK3151"/>
      <c r="AL3151"/>
    </row>
    <row r="3152" spans="1:38" ht="15.75" customHeight="1" outlineLevel="3" x14ac:dyDescent="0.2">
      <c r="A3152" s="10">
        <v>1</v>
      </c>
      <c r="B3152" s="10" t="s">
        <v>71</v>
      </c>
      <c r="C3152" s="10" t="s">
        <v>3023</v>
      </c>
      <c r="D3152" s="10" t="s">
        <v>3023</v>
      </c>
      <c r="E3152" s="11" t="str">
        <f t="array" ref="E3152">_xlfn.XLOOKUP(D3152,Insumos!B:B,Insumos!C:$C)</f>
        <v>M2</v>
      </c>
      <c r="F3152" s="14">
        <v>1.1000000000000001</v>
      </c>
      <c r="G3152" s="92">
        <f t="array" ref="G3152">IF(B3152="insumo",_xlfn.XLOOKUP($D3152,Insumos!$B$1:$B$996,Insumos!$D$1:$D$996),"")</f>
        <v>780</v>
      </c>
      <c r="H3152" s="92">
        <v>858</v>
      </c>
      <c r="I3152" s="13">
        <v>0</v>
      </c>
      <c r="J3152" s="13">
        <v>0</v>
      </c>
      <c r="K3152" s="13"/>
      <c r="L3152"/>
      <c r="M3152"/>
      <c r="N3152"/>
      <c r="O3152"/>
      <c r="P3152"/>
      <c r="Q3152"/>
      <c r="R3152"/>
      <c r="S3152"/>
      <c r="T3152"/>
      <c r="U3152"/>
      <c r="V3152"/>
      <c r="W3152"/>
      <c r="X3152"/>
      <c r="Y3152"/>
      <c r="Z3152"/>
      <c r="AA3152"/>
      <c r="AB3152"/>
      <c r="AC3152"/>
      <c r="AD3152"/>
      <c r="AE3152"/>
      <c r="AF3152"/>
      <c r="AG3152"/>
      <c r="AH3152"/>
      <c r="AI3152"/>
      <c r="AJ3152"/>
      <c r="AK3152"/>
      <c r="AL3152"/>
    </row>
    <row r="3153" spans="1:38" ht="15.75" customHeight="1" outlineLevel="2" x14ac:dyDescent="0.2">
      <c r="A3153" s="1067">
        <v>1</v>
      </c>
      <c r="B3153" s="1067" t="s">
        <v>68</v>
      </c>
      <c r="C3153" s="1067" t="s">
        <v>3024</v>
      </c>
      <c r="D3153" s="1067" t="s">
        <v>3024</v>
      </c>
      <c r="E3153" s="1068" t="s">
        <v>70</v>
      </c>
      <c r="F3153" s="1067"/>
      <c r="G3153" s="1069" t="str">
        <f t="array" ref="G3153">IF(B3153="insumo",_xlfn.XLOOKUP($D3153,Insumos!$B$1:$B$996,Insumos!$D$1:$D$996),"")</f>
        <v/>
      </c>
      <c r="H3153" s="1069">
        <v>1210</v>
      </c>
      <c r="I3153" s="1070">
        <v>0</v>
      </c>
      <c r="J3153" s="1070">
        <v>0</v>
      </c>
      <c r="K3153" s="1070"/>
      <c r="L3153"/>
      <c r="M3153"/>
      <c r="N3153"/>
      <c r="O3153"/>
      <c r="P3153"/>
      <c r="Q3153"/>
      <c r="R3153"/>
      <c r="S3153"/>
      <c r="T3153"/>
      <c r="U3153"/>
      <c r="V3153"/>
      <c r="W3153"/>
      <c r="X3153"/>
      <c r="Y3153"/>
      <c r="Z3153"/>
      <c r="AA3153"/>
      <c r="AB3153"/>
      <c r="AC3153"/>
      <c r="AD3153"/>
      <c r="AE3153"/>
      <c r="AF3153"/>
      <c r="AG3153"/>
      <c r="AH3153"/>
      <c r="AI3153"/>
      <c r="AJ3153"/>
      <c r="AK3153"/>
      <c r="AL3153"/>
    </row>
    <row r="3154" spans="1:38" ht="15.75" customHeight="1" outlineLevel="3" x14ac:dyDescent="0.2">
      <c r="A3154" s="10">
        <v>1</v>
      </c>
      <c r="B3154" s="10" t="s">
        <v>71</v>
      </c>
      <c r="C3154" s="10" t="s">
        <v>3024</v>
      </c>
      <c r="D3154" s="10" t="s">
        <v>3024</v>
      </c>
      <c r="E3154" s="11" t="str">
        <f t="array" ref="E3154">_xlfn.XLOOKUP(D3154,Insumos!B:B,Insumos!C:$C)</f>
        <v>M2</v>
      </c>
      <c r="F3154" s="14">
        <v>1.1000000000000001</v>
      </c>
      <c r="G3154" s="92">
        <f t="array" ref="G3154">IF(B3154="insumo",_xlfn.XLOOKUP($D3154,Insumos!$B$1:$B$996,Insumos!$D$1:$D$996),"")</f>
        <v>1100</v>
      </c>
      <c r="H3154" s="92">
        <v>1210</v>
      </c>
      <c r="I3154" s="13">
        <v>0</v>
      </c>
      <c r="J3154" s="13">
        <v>0</v>
      </c>
      <c r="K3154" s="13"/>
      <c r="L3154"/>
      <c r="M3154"/>
      <c r="N3154"/>
      <c r="O3154"/>
      <c r="P3154"/>
      <c r="Q3154"/>
      <c r="R3154"/>
      <c r="S3154"/>
      <c r="T3154"/>
      <c r="U3154"/>
      <c r="V3154"/>
      <c r="W3154"/>
      <c r="X3154"/>
      <c r="Y3154"/>
      <c r="Z3154"/>
      <c r="AA3154"/>
      <c r="AB3154"/>
      <c r="AC3154"/>
      <c r="AD3154"/>
      <c r="AE3154"/>
      <c r="AF3154"/>
      <c r="AG3154"/>
      <c r="AH3154"/>
      <c r="AI3154"/>
      <c r="AJ3154"/>
      <c r="AK3154"/>
      <c r="AL3154"/>
    </row>
    <row r="3155" spans="1:38" ht="15.75" customHeight="1" outlineLevel="2" x14ac:dyDescent="0.2">
      <c r="A3155" s="1067">
        <v>1</v>
      </c>
      <c r="B3155" s="1067" t="s">
        <v>68</v>
      </c>
      <c r="C3155" s="1067" t="s">
        <v>3025</v>
      </c>
      <c r="D3155" s="1067" t="s">
        <v>3025</v>
      </c>
      <c r="E3155" s="1068" t="s">
        <v>70</v>
      </c>
      <c r="F3155" s="1067"/>
      <c r="G3155" s="1069" t="str">
        <f t="array" ref="G3155">IF(B3155="insumo",_xlfn.XLOOKUP($D3155,Insumos!$B$1:$B$996,Insumos!$D$1:$D$996),"")</f>
        <v/>
      </c>
      <c r="H3155" s="1069">
        <v>825</v>
      </c>
      <c r="I3155" s="1070" t="e">
        <v>#REF!</v>
      </c>
      <c r="J3155" s="1070" t="e">
        <v>#REF!</v>
      </c>
      <c r="K3155" s="1070"/>
      <c r="L3155"/>
      <c r="M3155"/>
      <c r="N3155"/>
      <c r="O3155"/>
      <c r="P3155"/>
      <c r="Q3155"/>
      <c r="R3155"/>
      <c r="S3155"/>
      <c r="T3155"/>
      <c r="U3155"/>
      <c r="V3155"/>
      <c r="W3155"/>
      <c r="X3155"/>
      <c r="Y3155"/>
      <c r="Z3155"/>
      <c r="AA3155"/>
      <c r="AB3155"/>
      <c r="AC3155"/>
      <c r="AD3155"/>
      <c r="AE3155"/>
      <c r="AF3155"/>
      <c r="AG3155"/>
      <c r="AH3155"/>
      <c r="AI3155"/>
      <c r="AJ3155"/>
      <c r="AK3155"/>
      <c r="AL3155"/>
    </row>
    <row r="3156" spans="1:38" ht="15.75" customHeight="1" outlineLevel="3" x14ac:dyDescent="0.2">
      <c r="A3156" s="10">
        <v>1</v>
      </c>
      <c r="B3156" s="10" t="s">
        <v>71</v>
      </c>
      <c r="C3156" s="10" t="s">
        <v>3025</v>
      </c>
      <c r="D3156" s="10" t="s">
        <v>3025</v>
      </c>
      <c r="E3156" s="11" t="str">
        <f t="array" ref="E3156">_xlfn.XLOOKUP(D3156,Insumos!B:B,Insumos!C:$C)</f>
        <v>M2</v>
      </c>
      <c r="F3156" s="14">
        <v>1.1000000000000001</v>
      </c>
      <c r="G3156" s="92">
        <f t="array" ref="G3156">IF(B3156="insumo",_xlfn.XLOOKUP($D3156,Insumos!$B$1:$B$996,Insumos!$D$1:$D$996),"")</f>
        <v>750</v>
      </c>
      <c r="H3156" s="92">
        <v>825</v>
      </c>
      <c r="I3156" s="13" t="e">
        <v>#REF!</v>
      </c>
      <c r="J3156" s="13" t="e">
        <v>#REF!</v>
      </c>
      <c r="K3156" s="13"/>
      <c r="L3156"/>
      <c r="M3156"/>
      <c r="N3156"/>
      <c r="O3156"/>
      <c r="P3156"/>
      <c r="Q3156"/>
      <c r="R3156"/>
      <c r="S3156"/>
      <c r="T3156"/>
      <c r="U3156"/>
      <c r="V3156"/>
      <c r="W3156"/>
      <c r="X3156"/>
      <c r="Y3156"/>
      <c r="Z3156"/>
      <c r="AA3156"/>
      <c r="AB3156"/>
      <c r="AC3156"/>
      <c r="AD3156"/>
      <c r="AE3156"/>
      <c r="AF3156"/>
      <c r="AG3156"/>
      <c r="AH3156"/>
      <c r="AI3156"/>
      <c r="AJ3156"/>
      <c r="AK3156"/>
      <c r="AL3156"/>
    </row>
    <row r="3157" spans="1:38" ht="15.75" customHeight="1" outlineLevel="2" x14ac:dyDescent="0.2">
      <c r="A3157" s="1067">
        <v>1</v>
      </c>
      <c r="B3157" s="1067" t="s">
        <v>68</v>
      </c>
      <c r="C3157" s="1067" t="s">
        <v>3015</v>
      </c>
      <c r="D3157" s="1067" t="s">
        <v>3015</v>
      </c>
      <c r="E3157" s="1068" t="s">
        <v>70</v>
      </c>
      <c r="F3157" s="1067"/>
      <c r="G3157" s="1069" t="str">
        <f t="array" ref="G3157">IF(B3157="insumo",_xlfn.XLOOKUP($D3157,Insumos!$B$1:$B$996,Insumos!$D$1:$D$996),"")</f>
        <v/>
      </c>
      <c r="H3157" s="1069">
        <v>870</v>
      </c>
      <c r="I3157" s="1070">
        <v>0</v>
      </c>
      <c r="J3157" s="1070">
        <v>0</v>
      </c>
      <c r="K3157" s="1070"/>
      <c r="L3157"/>
      <c r="M3157"/>
      <c r="N3157"/>
      <c r="O3157"/>
      <c r="P3157"/>
      <c r="Q3157"/>
      <c r="R3157"/>
      <c r="S3157"/>
      <c r="T3157"/>
      <c r="U3157"/>
      <c r="V3157"/>
      <c r="W3157"/>
      <c r="X3157"/>
      <c r="Y3157"/>
      <c r="Z3157"/>
      <c r="AA3157"/>
      <c r="AB3157"/>
      <c r="AC3157"/>
      <c r="AD3157"/>
      <c r="AE3157"/>
      <c r="AF3157"/>
      <c r="AG3157"/>
      <c r="AH3157"/>
      <c r="AI3157"/>
      <c r="AJ3157"/>
      <c r="AK3157"/>
      <c r="AL3157"/>
    </row>
    <row r="3158" spans="1:38" ht="15.75" customHeight="1" outlineLevel="3" x14ac:dyDescent="0.2">
      <c r="A3158" s="10">
        <v>1</v>
      </c>
      <c r="B3158" s="10" t="s">
        <v>71</v>
      </c>
      <c r="C3158" s="10" t="s">
        <v>3015</v>
      </c>
      <c r="D3158" s="10" t="s">
        <v>3008</v>
      </c>
      <c r="E3158" s="11" t="str">
        <f t="array" ref="E3158">_xlfn.XLOOKUP(D3158,Insumos!B:B,Insumos!C:$C)</f>
        <v>M2</v>
      </c>
      <c r="F3158" s="14">
        <v>1.1000000000000001</v>
      </c>
      <c r="G3158" s="92">
        <f t="array" ref="G3158">IF(B3158="insumo",_xlfn.XLOOKUP($D3158,Insumos!$B$1:$B$996,Insumos!$D$1:$D$996),"")</f>
        <v>600</v>
      </c>
      <c r="H3158" s="92">
        <v>660</v>
      </c>
      <c r="I3158" s="13">
        <v>0</v>
      </c>
      <c r="J3158" s="13">
        <v>0</v>
      </c>
      <c r="K3158" s="13"/>
      <c r="L3158"/>
      <c r="M3158"/>
      <c r="N3158"/>
      <c r="O3158"/>
      <c r="P3158"/>
      <c r="Q3158"/>
      <c r="R3158"/>
      <c r="S3158"/>
      <c r="T3158"/>
      <c r="U3158"/>
      <c r="V3158"/>
      <c r="W3158"/>
      <c r="X3158"/>
      <c r="Y3158"/>
      <c r="Z3158"/>
      <c r="AA3158"/>
      <c r="AB3158"/>
      <c r="AC3158"/>
      <c r="AD3158"/>
      <c r="AE3158"/>
      <c r="AF3158"/>
      <c r="AG3158"/>
      <c r="AH3158"/>
      <c r="AI3158"/>
      <c r="AJ3158"/>
      <c r="AK3158"/>
      <c r="AL3158"/>
    </row>
    <row r="3159" spans="1:38" ht="15.75" customHeight="1" outlineLevel="3" x14ac:dyDescent="0.2">
      <c r="A3159" s="10">
        <v>5</v>
      </c>
      <c r="B3159" s="10" t="s">
        <v>71</v>
      </c>
      <c r="C3159" s="10" t="s">
        <v>3015</v>
      </c>
      <c r="D3159" s="10" t="s">
        <v>3016</v>
      </c>
      <c r="E3159" s="11" t="str">
        <f t="array" ref="E3159">_xlfn.XLOOKUP(D3159,Insumos!B:B,Insumos!C:$C)</f>
        <v>M2</v>
      </c>
      <c r="F3159" s="14">
        <v>1</v>
      </c>
      <c r="G3159" s="92">
        <f t="array" ref="G3159">IF(B3159="insumo",_xlfn.XLOOKUP($D3159,Insumos!$B$1:$B$996,Insumos!$D$1:$D$996),"")</f>
        <v>210</v>
      </c>
      <c r="H3159" s="92">
        <v>210</v>
      </c>
      <c r="I3159" s="13">
        <v>0</v>
      </c>
      <c r="J3159" s="13">
        <v>0</v>
      </c>
      <c r="K3159" s="13"/>
      <c r="L3159"/>
      <c r="M3159"/>
      <c r="N3159"/>
      <c r="O3159"/>
      <c r="P3159"/>
      <c r="Q3159"/>
      <c r="R3159"/>
      <c r="S3159"/>
      <c r="T3159"/>
      <c r="U3159"/>
      <c r="V3159"/>
      <c r="W3159"/>
      <c r="X3159"/>
      <c r="Y3159"/>
      <c r="Z3159"/>
      <c r="AA3159"/>
      <c r="AB3159"/>
      <c r="AC3159"/>
      <c r="AD3159"/>
      <c r="AE3159"/>
      <c r="AF3159"/>
      <c r="AG3159"/>
      <c r="AH3159"/>
      <c r="AI3159"/>
      <c r="AJ3159"/>
      <c r="AK3159"/>
      <c r="AL3159"/>
    </row>
    <row r="3160" spans="1:38" ht="15.75" customHeight="1" outlineLevel="2" x14ac:dyDescent="0.2">
      <c r="A3160" s="1067">
        <v>1</v>
      </c>
      <c r="B3160" s="1067" t="s">
        <v>68</v>
      </c>
      <c r="C3160" s="1067" t="s">
        <v>3017</v>
      </c>
      <c r="D3160" s="1067" t="s">
        <v>3017</v>
      </c>
      <c r="E3160" s="1068" t="s">
        <v>70</v>
      </c>
      <c r="F3160" s="1067"/>
      <c r="G3160" s="1069" t="str">
        <f t="array" ref="G3160">IF(B3160="insumo",_xlfn.XLOOKUP($D3160,Insumos!$B$1:$B$996,Insumos!$D$1:$D$996),"")</f>
        <v/>
      </c>
      <c r="H3160" s="1069">
        <v>859</v>
      </c>
      <c r="I3160" s="1070" t="e">
        <v>#REF!</v>
      </c>
      <c r="J3160" s="1070" t="e">
        <v>#REF!</v>
      </c>
      <c r="K3160" s="1070"/>
      <c r="L3160"/>
      <c r="M3160"/>
      <c r="N3160"/>
      <c r="O3160"/>
      <c r="P3160"/>
      <c r="Q3160"/>
      <c r="R3160"/>
      <c r="S3160"/>
      <c r="T3160"/>
      <c r="U3160"/>
      <c r="V3160"/>
      <c r="W3160"/>
      <c r="X3160"/>
      <c r="Y3160"/>
      <c r="Z3160"/>
      <c r="AA3160"/>
      <c r="AB3160"/>
      <c r="AC3160"/>
      <c r="AD3160"/>
      <c r="AE3160"/>
      <c r="AF3160"/>
      <c r="AG3160"/>
      <c r="AH3160"/>
      <c r="AI3160"/>
      <c r="AJ3160"/>
      <c r="AK3160"/>
      <c r="AL3160"/>
    </row>
    <row r="3161" spans="1:38" ht="15.75" customHeight="1" outlineLevel="3" x14ac:dyDescent="0.2">
      <c r="A3161" s="10">
        <v>1</v>
      </c>
      <c r="B3161" s="10" t="s">
        <v>71</v>
      </c>
      <c r="C3161" s="10" t="s">
        <v>3017</v>
      </c>
      <c r="D3161" s="10" t="s">
        <v>3007</v>
      </c>
      <c r="E3161" s="11" t="str">
        <f t="array" ref="E3161">_xlfn.XLOOKUP(D3161,Insumos!B:B,Insumos!C:$C)</f>
        <v>M2</v>
      </c>
      <c r="F3161" s="14">
        <v>1.1000000000000001</v>
      </c>
      <c r="G3161" s="92">
        <f t="array" ref="G3161">IF(B3161="insumo",_xlfn.XLOOKUP($D3161,Insumos!$B$1:$B$996,Insumos!$D$1:$D$996),"")</f>
        <v>590</v>
      </c>
      <c r="H3161" s="92">
        <v>649</v>
      </c>
      <c r="I3161" s="13" t="e">
        <v>#REF!</v>
      </c>
      <c r="J3161" s="13" t="e">
        <v>#REF!</v>
      </c>
      <c r="K3161" s="13"/>
      <c r="L3161"/>
      <c r="M3161"/>
      <c r="N3161"/>
      <c r="O3161"/>
      <c r="P3161"/>
      <c r="Q3161"/>
      <c r="R3161"/>
      <c r="S3161"/>
      <c r="T3161"/>
      <c r="U3161"/>
      <c r="V3161"/>
      <c r="W3161"/>
      <c r="X3161"/>
      <c r="Y3161"/>
      <c r="Z3161"/>
      <c r="AA3161"/>
      <c r="AB3161"/>
      <c r="AC3161"/>
      <c r="AD3161"/>
      <c r="AE3161"/>
      <c r="AF3161"/>
      <c r="AG3161"/>
      <c r="AH3161"/>
      <c r="AI3161"/>
      <c r="AJ3161"/>
      <c r="AK3161"/>
      <c r="AL3161"/>
    </row>
    <row r="3162" spans="1:38" ht="15.75" customHeight="1" outlineLevel="3" x14ac:dyDescent="0.2">
      <c r="A3162" s="10">
        <v>5</v>
      </c>
      <c r="B3162" s="10" t="s">
        <v>71</v>
      </c>
      <c r="C3162" s="10" t="s">
        <v>3017</v>
      </c>
      <c r="D3162" s="10" t="s">
        <v>3016</v>
      </c>
      <c r="E3162" s="11" t="str">
        <f t="array" ref="E3162">_xlfn.XLOOKUP(D3162,Insumos!B:B,Insumos!C:$C)</f>
        <v>M2</v>
      </c>
      <c r="F3162" s="14">
        <v>1</v>
      </c>
      <c r="G3162" s="92">
        <f t="array" ref="G3162">IF(B3162="insumo",_xlfn.XLOOKUP($D3162,Insumos!$B$1:$B$996,Insumos!$D$1:$D$996),"")</f>
        <v>210</v>
      </c>
      <c r="H3162" s="92">
        <v>210</v>
      </c>
      <c r="I3162" s="13" t="e">
        <v>#REF!</v>
      </c>
      <c r="J3162" s="13" t="e">
        <v>#REF!</v>
      </c>
      <c r="K3162" s="13"/>
      <c r="L3162"/>
      <c r="M3162"/>
      <c r="N3162"/>
      <c r="O3162"/>
      <c r="P3162"/>
      <c r="Q3162"/>
      <c r="R3162"/>
      <c r="S3162"/>
      <c r="T3162"/>
      <c r="U3162"/>
      <c r="V3162"/>
      <c r="W3162"/>
      <c r="X3162"/>
      <c r="Y3162"/>
      <c r="Z3162"/>
      <c r="AA3162"/>
      <c r="AB3162"/>
      <c r="AC3162"/>
      <c r="AD3162"/>
      <c r="AE3162"/>
      <c r="AF3162"/>
      <c r="AG3162"/>
      <c r="AH3162"/>
      <c r="AI3162"/>
      <c r="AJ3162"/>
      <c r="AK3162"/>
      <c r="AL3162"/>
    </row>
    <row r="3163" spans="1:38" ht="15.75" customHeight="1" outlineLevel="2" x14ac:dyDescent="0.2">
      <c r="A3163" s="1067">
        <v>1</v>
      </c>
      <c r="B3163" s="1067" t="s">
        <v>68</v>
      </c>
      <c r="C3163" s="1067" t="s">
        <v>3018</v>
      </c>
      <c r="D3163" s="1067" t="s">
        <v>3018</v>
      </c>
      <c r="E3163" s="1068" t="s">
        <v>70</v>
      </c>
      <c r="F3163" s="1067"/>
      <c r="G3163" s="1069" t="str">
        <f t="array" ref="G3163">IF(B3163="insumo",_xlfn.XLOOKUP($D3163,Insumos!$B$1:$B$996,Insumos!$D$1:$D$996),"")</f>
        <v/>
      </c>
      <c r="H3163" s="1069">
        <v>859</v>
      </c>
      <c r="I3163" s="1070" t="e">
        <v>#REF!</v>
      </c>
      <c r="J3163" s="1070" t="e">
        <v>#REF!</v>
      </c>
      <c r="K3163" s="1070"/>
      <c r="L3163"/>
      <c r="M3163"/>
      <c r="N3163"/>
      <c r="O3163"/>
      <c r="P3163"/>
      <c r="Q3163"/>
      <c r="R3163"/>
      <c r="S3163"/>
      <c r="T3163"/>
      <c r="U3163"/>
      <c r="V3163"/>
      <c r="W3163"/>
      <c r="X3163"/>
      <c r="Y3163"/>
      <c r="Z3163"/>
      <c r="AA3163"/>
      <c r="AB3163"/>
      <c r="AC3163"/>
      <c r="AD3163"/>
      <c r="AE3163"/>
      <c r="AF3163"/>
      <c r="AG3163"/>
      <c r="AH3163"/>
      <c r="AI3163"/>
      <c r="AJ3163"/>
      <c r="AK3163"/>
      <c r="AL3163"/>
    </row>
    <row r="3164" spans="1:38" ht="15.75" customHeight="1" outlineLevel="3" x14ac:dyDescent="0.2">
      <c r="A3164" s="10">
        <v>1</v>
      </c>
      <c r="B3164" s="10" t="s">
        <v>71</v>
      </c>
      <c r="C3164" s="10" t="s">
        <v>3018</v>
      </c>
      <c r="D3164" s="10" t="s">
        <v>3009</v>
      </c>
      <c r="E3164" s="11" t="str">
        <f t="array" ref="E3164">_xlfn.XLOOKUP(D3164,Insumos!B:B,Insumos!C:$C)</f>
        <v>M2</v>
      </c>
      <c r="F3164" s="14">
        <v>1.1000000000000001</v>
      </c>
      <c r="G3164" s="92">
        <f t="array" ref="G3164">IF(B3164="insumo",_xlfn.XLOOKUP($D3164,Insumos!$B$1:$B$996,Insumos!$D$1:$D$996),"")</f>
        <v>590</v>
      </c>
      <c r="H3164" s="92">
        <v>649</v>
      </c>
      <c r="I3164" s="13" t="e">
        <v>#REF!</v>
      </c>
      <c r="J3164" s="13" t="e">
        <v>#REF!</v>
      </c>
      <c r="K3164" s="13"/>
      <c r="L3164"/>
      <c r="M3164"/>
      <c r="N3164"/>
      <c r="O3164"/>
      <c r="P3164"/>
      <c r="Q3164"/>
      <c r="R3164"/>
      <c r="S3164"/>
      <c r="T3164"/>
      <c r="U3164"/>
      <c r="V3164"/>
      <c r="W3164"/>
      <c r="X3164"/>
      <c r="Y3164"/>
      <c r="Z3164"/>
      <c r="AA3164"/>
      <c r="AB3164"/>
      <c r="AC3164"/>
      <c r="AD3164"/>
      <c r="AE3164"/>
      <c r="AF3164"/>
      <c r="AG3164"/>
      <c r="AH3164"/>
      <c r="AI3164"/>
      <c r="AJ3164"/>
      <c r="AK3164"/>
      <c r="AL3164"/>
    </row>
    <row r="3165" spans="1:38" ht="15.75" customHeight="1" outlineLevel="3" x14ac:dyDescent="0.2">
      <c r="A3165" s="10">
        <v>5</v>
      </c>
      <c r="B3165" s="10" t="s">
        <v>71</v>
      </c>
      <c r="C3165" s="10" t="s">
        <v>3018</v>
      </c>
      <c r="D3165" s="10" t="s">
        <v>3016</v>
      </c>
      <c r="E3165" s="11" t="str">
        <f t="array" ref="E3165">_xlfn.XLOOKUP(D3165,Insumos!B:B,Insumos!C:$C)</f>
        <v>M2</v>
      </c>
      <c r="F3165" s="14">
        <v>1</v>
      </c>
      <c r="G3165" s="92">
        <f t="array" ref="G3165">IF(B3165="insumo",_xlfn.XLOOKUP($D3165,Insumos!$B$1:$B$996,Insumos!$D$1:$D$996),"")</f>
        <v>210</v>
      </c>
      <c r="H3165" s="92">
        <v>210</v>
      </c>
      <c r="I3165" s="13" t="e">
        <v>#REF!</v>
      </c>
      <c r="J3165" s="13" t="e">
        <v>#REF!</v>
      </c>
      <c r="K3165" s="13"/>
      <c r="L3165"/>
      <c r="M3165"/>
      <c r="N3165"/>
      <c r="O3165"/>
      <c r="P3165"/>
      <c r="Q3165"/>
      <c r="R3165"/>
      <c r="S3165"/>
      <c r="T3165"/>
      <c r="U3165"/>
      <c r="V3165"/>
      <c r="W3165"/>
      <c r="X3165"/>
      <c r="Y3165"/>
      <c r="Z3165"/>
      <c r="AA3165"/>
      <c r="AB3165"/>
      <c r="AC3165"/>
      <c r="AD3165"/>
      <c r="AE3165"/>
      <c r="AF3165"/>
      <c r="AG3165"/>
      <c r="AH3165"/>
      <c r="AI3165"/>
      <c r="AJ3165"/>
      <c r="AK3165"/>
      <c r="AL3165"/>
    </row>
    <row r="3166" spans="1:38" ht="15.75" customHeight="1" outlineLevel="2" x14ac:dyDescent="0.2">
      <c r="A3166" s="1067">
        <v>1</v>
      </c>
      <c r="B3166" s="1067" t="s">
        <v>68</v>
      </c>
      <c r="C3166" s="1067" t="s">
        <v>3019</v>
      </c>
      <c r="D3166" s="1067" t="s">
        <v>3019</v>
      </c>
      <c r="E3166" s="1068" t="s">
        <v>70</v>
      </c>
      <c r="F3166" s="1067"/>
      <c r="G3166" s="1069" t="str">
        <f t="array" ref="G3166">IF(B3166="insumo",_xlfn.XLOOKUP($D3166,Insumos!$B$1:$B$996,Insumos!$D$1:$D$996),"")</f>
        <v/>
      </c>
      <c r="H3166" s="1069">
        <v>1145</v>
      </c>
      <c r="I3166" s="1070">
        <v>0</v>
      </c>
      <c r="J3166" s="1070">
        <v>0</v>
      </c>
      <c r="K3166" s="1070"/>
      <c r="L3166"/>
      <c r="M3166"/>
      <c r="N3166"/>
      <c r="O3166"/>
      <c r="P3166"/>
      <c r="Q3166"/>
      <c r="R3166"/>
      <c r="S3166"/>
      <c r="T3166"/>
      <c r="U3166"/>
      <c r="V3166"/>
      <c r="W3166"/>
      <c r="X3166"/>
      <c r="Y3166"/>
      <c r="Z3166"/>
      <c r="AA3166"/>
      <c r="AB3166"/>
      <c r="AC3166"/>
      <c r="AD3166"/>
      <c r="AE3166"/>
      <c r="AF3166"/>
      <c r="AG3166"/>
      <c r="AH3166"/>
      <c r="AI3166"/>
      <c r="AJ3166"/>
      <c r="AK3166"/>
      <c r="AL3166"/>
    </row>
    <row r="3167" spans="1:38" ht="15.75" customHeight="1" outlineLevel="3" x14ac:dyDescent="0.2">
      <c r="A3167" s="10">
        <v>1</v>
      </c>
      <c r="B3167" s="10" t="s">
        <v>71</v>
      </c>
      <c r="C3167" s="10" t="s">
        <v>3019</v>
      </c>
      <c r="D3167" s="10" t="s">
        <v>3010</v>
      </c>
      <c r="E3167" s="11" t="str">
        <f t="array" ref="E3167">_xlfn.XLOOKUP(D3167,Insumos!B:B,Insumos!C:$C)</f>
        <v>M2</v>
      </c>
      <c r="F3167" s="14">
        <v>1.1000000000000001</v>
      </c>
      <c r="G3167" s="92">
        <f t="array" ref="G3167">IF(B3167="insumo",_xlfn.XLOOKUP($D3167,Insumos!$B$1:$B$996,Insumos!$D$1:$D$996),"")</f>
        <v>850</v>
      </c>
      <c r="H3167" s="92">
        <v>935</v>
      </c>
      <c r="I3167" s="13">
        <v>0</v>
      </c>
      <c r="J3167" s="13">
        <v>0</v>
      </c>
      <c r="K3167" s="13"/>
      <c r="L3167"/>
      <c r="M3167"/>
      <c r="N3167"/>
      <c r="O3167"/>
      <c r="P3167"/>
      <c r="Q3167"/>
      <c r="R3167"/>
      <c r="S3167"/>
      <c r="T3167"/>
      <c r="U3167"/>
      <c r="V3167"/>
      <c r="W3167"/>
      <c r="X3167"/>
      <c r="Y3167"/>
      <c r="Z3167"/>
      <c r="AA3167"/>
      <c r="AB3167"/>
      <c r="AC3167"/>
      <c r="AD3167"/>
      <c r="AE3167"/>
      <c r="AF3167"/>
      <c r="AG3167"/>
      <c r="AH3167"/>
      <c r="AI3167"/>
      <c r="AJ3167"/>
      <c r="AK3167"/>
      <c r="AL3167"/>
    </row>
    <row r="3168" spans="1:38" ht="15.75" customHeight="1" outlineLevel="3" x14ac:dyDescent="0.2">
      <c r="A3168" s="10">
        <v>5</v>
      </c>
      <c r="B3168" s="10" t="s">
        <v>71</v>
      </c>
      <c r="C3168" s="10" t="s">
        <v>3019</v>
      </c>
      <c r="D3168" s="10" t="s">
        <v>3016</v>
      </c>
      <c r="E3168" s="11" t="str">
        <f t="array" ref="E3168">_xlfn.XLOOKUP(D3168,Insumos!B:B,Insumos!C:$C)</f>
        <v>M2</v>
      </c>
      <c r="F3168" s="14">
        <v>1</v>
      </c>
      <c r="G3168" s="92">
        <f t="array" ref="G3168">IF(B3168="insumo",_xlfn.XLOOKUP($D3168,Insumos!$B$1:$B$996,Insumos!$D$1:$D$996),"")</f>
        <v>210</v>
      </c>
      <c r="H3168" s="92">
        <v>210</v>
      </c>
      <c r="I3168" s="13">
        <v>0</v>
      </c>
      <c r="J3168" s="13">
        <v>0</v>
      </c>
      <c r="K3168" s="13"/>
      <c r="L3168"/>
      <c r="M3168"/>
      <c r="N3168"/>
      <c r="O3168"/>
      <c r="P3168"/>
      <c r="Q3168"/>
      <c r="R3168"/>
      <c r="S3168"/>
      <c r="T3168"/>
      <c r="U3168"/>
      <c r="V3168"/>
      <c r="W3168"/>
      <c r="X3168"/>
      <c r="Y3168"/>
      <c r="Z3168"/>
      <c r="AA3168"/>
      <c r="AB3168"/>
      <c r="AC3168"/>
      <c r="AD3168"/>
      <c r="AE3168"/>
      <c r="AF3168"/>
      <c r="AG3168"/>
      <c r="AH3168"/>
      <c r="AI3168"/>
      <c r="AJ3168"/>
      <c r="AK3168"/>
      <c r="AL3168"/>
    </row>
    <row r="3169" spans="1:38" ht="15.75" customHeight="1" outlineLevel="2" x14ac:dyDescent="0.2">
      <c r="A3169" s="1067">
        <v>1</v>
      </c>
      <c r="B3169" s="1067" t="s">
        <v>68</v>
      </c>
      <c r="C3169" s="1067" t="s">
        <v>3020</v>
      </c>
      <c r="D3169" s="1067" t="s">
        <v>3020</v>
      </c>
      <c r="E3169" s="1068" t="s">
        <v>70</v>
      </c>
      <c r="F3169" s="1067"/>
      <c r="G3169" s="1069" t="str">
        <f t="array" ref="G3169">IF(B3169="insumo",_xlfn.XLOOKUP($D3169,Insumos!$B$1:$B$996,Insumos!$D$1:$D$996),"")</f>
        <v/>
      </c>
      <c r="H3169" s="1069">
        <v>1200</v>
      </c>
      <c r="I3169" s="1070" t="e">
        <v>#REF!</v>
      </c>
      <c r="J3169" s="1070" t="e">
        <v>#REF!</v>
      </c>
      <c r="K3169" s="1070"/>
      <c r="L3169"/>
      <c r="M3169"/>
      <c r="N3169"/>
      <c r="O3169"/>
      <c r="P3169"/>
      <c r="Q3169"/>
      <c r="R3169"/>
      <c r="S3169"/>
      <c r="T3169"/>
      <c r="U3169"/>
      <c r="V3169"/>
      <c r="W3169"/>
      <c r="X3169"/>
      <c r="Y3169"/>
      <c r="Z3169"/>
      <c r="AA3169"/>
      <c r="AB3169"/>
      <c r="AC3169"/>
      <c r="AD3169"/>
      <c r="AE3169"/>
      <c r="AF3169"/>
      <c r="AG3169"/>
      <c r="AH3169"/>
      <c r="AI3169"/>
      <c r="AJ3169"/>
      <c r="AK3169"/>
      <c r="AL3169"/>
    </row>
    <row r="3170" spans="1:38" ht="15.75" customHeight="1" outlineLevel="3" x14ac:dyDescent="0.2">
      <c r="A3170" s="10">
        <v>1</v>
      </c>
      <c r="B3170" s="10" t="s">
        <v>71</v>
      </c>
      <c r="C3170" s="10" t="s">
        <v>3020</v>
      </c>
      <c r="D3170" s="10" t="s">
        <v>3012</v>
      </c>
      <c r="E3170" s="11" t="str">
        <f t="array" ref="E3170">_xlfn.XLOOKUP(D3170,Insumos!B:B,Insumos!C:$C)</f>
        <v>M2</v>
      </c>
      <c r="F3170" s="14">
        <v>1.1000000000000001</v>
      </c>
      <c r="G3170" s="92">
        <f t="array" ref="G3170">IF(B3170="insumo",_xlfn.XLOOKUP($D3170,Insumos!$B$1:$B$996,Insumos!$D$1:$D$996),"")</f>
        <v>900</v>
      </c>
      <c r="H3170" s="92">
        <v>990</v>
      </c>
      <c r="I3170" s="13" t="e">
        <v>#REF!</v>
      </c>
      <c r="J3170" s="13" t="e">
        <v>#REF!</v>
      </c>
      <c r="K3170" s="13"/>
      <c r="L3170"/>
      <c r="M3170"/>
      <c r="N3170"/>
      <c r="O3170"/>
      <c r="P3170"/>
      <c r="Q3170"/>
      <c r="R3170"/>
      <c r="S3170"/>
      <c r="T3170"/>
      <c r="U3170"/>
      <c r="V3170"/>
      <c r="W3170"/>
      <c r="X3170"/>
      <c r="Y3170"/>
      <c r="Z3170"/>
      <c r="AA3170"/>
      <c r="AB3170"/>
      <c r="AC3170"/>
      <c r="AD3170"/>
      <c r="AE3170"/>
      <c r="AF3170"/>
      <c r="AG3170"/>
      <c r="AH3170"/>
      <c r="AI3170"/>
      <c r="AJ3170"/>
      <c r="AK3170"/>
      <c r="AL3170"/>
    </row>
    <row r="3171" spans="1:38" ht="15.75" customHeight="1" outlineLevel="3" x14ac:dyDescent="0.2">
      <c r="A3171" s="10">
        <v>5</v>
      </c>
      <c r="B3171" s="10" t="s">
        <v>71</v>
      </c>
      <c r="C3171" s="10" t="s">
        <v>3020</v>
      </c>
      <c r="D3171" s="10" t="s">
        <v>3016</v>
      </c>
      <c r="E3171" s="11" t="str">
        <f t="array" ref="E3171">_xlfn.XLOOKUP(D3171,Insumos!B:B,Insumos!C:$C)</f>
        <v>M2</v>
      </c>
      <c r="F3171" s="14">
        <v>1</v>
      </c>
      <c r="G3171" s="92">
        <f t="array" ref="G3171">IF(B3171="insumo",_xlfn.XLOOKUP($D3171,Insumos!$B$1:$B$996,Insumos!$D$1:$D$996),"")</f>
        <v>210</v>
      </c>
      <c r="H3171" s="92">
        <v>210</v>
      </c>
      <c r="I3171" s="13" t="e">
        <v>#REF!</v>
      </c>
      <c r="J3171" s="13" t="e">
        <v>#REF!</v>
      </c>
      <c r="K3171" s="13"/>
      <c r="L3171"/>
      <c r="M3171"/>
      <c r="N3171"/>
      <c r="O3171"/>
      <c r="P3171"/>
      <c r="Q3171"/>
      <c r="R3171"/>
      <c r="S3171"/>
      <c r="T3171"/>
      <c r="U3171"/>
      <c r="V3171"/>
      <c r="W3171"/>
      <c r="X3171"/>
      <c r="Y3171"/>
      <c r="Z3171"/>
      <c r="AA3171"/>
      <c r="AB3171"/>
      <c r="AC3171"/>
      <c r="AD3171"/>
      <c r="AE3171"/>
      <c r="AF3171"/>
      <c r="AG3171"/>
      <c r="AH3171"/>
      <c r="AI3171"/>
      <c r="AJ3171"/>
      <c r="AK3171"/>
      <c r="AL3171"/>
    </row>
    <row r="3172" spans="1:38" ht="15.75" customHeight="1" outlineLevel="2" x14ac:dyDescent="0.2">
      <c r="A3172" s="1067">
        <v>1</v>
      </c>
      <c r="B3172" s="1067" t="s">
        <v>68</v>
      </c>
      <c r="C3172" s="1067" t="s">
        <v>3021</v>
      </c>
      <c r="D3172" s="1067" t="s">
        <v>3021</v>
      </c>
      <c r="E3172" s="1068" t="s">
        <v>70</v>
      </c>
      <c r="F3172" s="1067"/>
      <c r="G3172" s="1069" t="str">
        <f t="array" ref="G3172">IF(B3172="insumo",_xlfn.XLOOKUP($D3172,Insumos!$B$1:$B$996,Insumos!$D$1:$D$996),"")</f>
        <v/>
      </c>
      <c r="H3172" s="1069">
        <v>1145</v>
      </c>
      <c r="I3172" s="1070">
        <v>0</v>
      </c>
      <c r="J3172" s="1070">
        <v>0</v>
      </c>
      <c r="K3172" s="1070"/>
      <c r="L3172"/>
      <c r="M3172"/>
      <c r="N3172"/>
      <c r="O3172"/>
      <c r="P3172"/>
      <c r="Q3172"/>
      <c r="R3172"/>
      <c r="S3172"/>
      <c r="T3172"/>
      <c r="U3172"/>
      <c r="V3172"/>
      <c r="W3172"/>
      <c r="X3172"/>
      <c r="Y3172"/>
      <c r="Z3172"/>
      <c r="AA3172"/>
      <c r="AB3172"/>
      <c r="AC3172"/>
      <c r="AD3172"/>
      <c r="AE3172"/>
      <c r="AF3172"/>
      <c r="AG3172"/>
      <c r="AH3172"/>
      <c r="AI3172"/>
      <c r="AJ3172"/>
      <c r="AK3172"/>
      <c r="AL3172"/>
    </row>
    <row r="3173" spans="1:38" ht="15.75" customHeight="1" outlineLevel="3" x14ac:dyDescent="0.2">
      <c r="A3173" s="10">
        <v>1</v>
      </c>
      <c r="B3173" s="10" t="s">
        <v>71</v>
      </c>
      <c r="C3173" s="10" t="s">
        <v>3021</v>
      </c>
      <c r="D3173" s="10" t="s">
        <v>3013</v>
      </c>
      <c r="E3173" s="11" t="str">
        <f t="array" ref="E3173">_xlfn.XLOOKUP(D3173,Insumos!B:B,Insumos!C:$C)</f>
        <v>M2</v>
      </c>
      <c r="F3173" s="14">
        <v>1.1000000000000001</v>
      </c>
      <c r="G3173" s="92">
        <f t="array" ref="G3173">IF(B3173="insumo",_xlfn.XLOOKUP($D3173,Insumos!$B$1:$B$996,Insumos!$D$1:$D$996),"")</f>
        <v>850</v>
      </c>
      <c r="H3173" s="92">
        <v>935</v>
      </c>
      <c r="I3173" s="13">
        <v>0</v>
      </c>
      <c r="J3173" s="13">
        <v>0</v>
      </c>
      <c r="K3173" s="13"/>
      <c r="L3173"/>
      <c r="M3173"/>
      <c r="N3173"/>
      <c r="O3173"/>
      <c r="P3173"/>
      <c r="Q3173"/>
      <c r="R3173"/>
      <c r="S3173"/>
      <c r="T3173"/>
      <c r="U3173"/>
      <c r="V3173"/>
      <c r="W3173"/>
      <c r="X3173"/>
      <c r="Y3173"/>
      <c r="Z3173"/>
      <c r="AA3173"/>
      <c r="AB3173"/>
      <c r="AC3173"/>
      <c r="AD3173"/>
      <c r="AE3173"/>
      <c r="AF3173"/>
      <c r="AG3173"/>
      <c r="AH3173"/>
      <c r="AI3173"/>
      <c r="AJ3173"/>
      <c r="AK3173"/>
      <c r="AL3173"/>
    </row>
    <row r="3174" spans="1:38" ht="15.75" customHeight="1" outlineLevel="3" x14ac:dyDescent="0.2">
      <c r="A3174" s="10">
        <v>2</v>
      </c>
      <c r="B3174" s="10" t="s">
        <v>71</v>
      </c>
      <c r="C3174" s="10" t="s">
        <v>3021</v>
      </c>
      <c r="D3174" s="10" t="s">
        <v>630</v>
      </c>
      <c r="E3174" s="11" t="str">
        <f t="array" ref="E3174">_xlfn.XLOOKUP(D3174,Insumos!B:B,Insumos!C:$C)</f>
        <v>M2</v>
      </c>
      <c r="F3174" s="14">
        <v>1</v>
      </c>
      <c r="G3174" s="92">
        <f t="array" ref="G3174">IF(B3174="insumo",_xlfn.XLOOKUP($D3174,Insumos!$B$1:$B$996,Insumos!$D$1:$D$996),"")</f>
        <v>210</v>
      </c>
      <c r="H3174" s="92">
        <v>210</v>
      </c>
      <c r="I3174" s="13">
        <v>0</v>
      </c>
      <c r="J3174" s="13">
        <v>0</v>
      </c>
      <c r="K3174" s="13"/>
      <c r="L3174"/>
      <c r="M3174"/>
      <c r="N3174"/>
      <c r="O3174"/>
      <c r="P3174"/>
      <c r="Q3174"/>
      <c r="R3174"/>
      <c r="S3174"/>
      <c r="T3174"/>
      <c r="U3174"/>
      <c r="V3174"/>
      <c r="W3174"/>
      <c r="X3174"/>
      <c r="Y3174"/>
      <c r="Z3174"/>
      <c r="AA3174"/>
      <c r="AB3174"/>
      <c r="AC3174"/>
      <c r="AD3174"/>
      <c r="AE3174"/>
      <c r="AF3174"/>
      <c r="AG3174"/>
      <c r="AH3174"/>
      <c r="AI3174"/>
      <c r="AJ3174"/>
      <c r="AK3174"/>
      <c r="AL3174"/>
    </row>
    <row r="3175" spans="1:38" ht="15.75" customHeight="1" outlineLevel="2" x14ac:dyDescent="0.2">
      <c r="A3175" s="1067">
        <v>1</v>
      </c>
      <c r="B3175" s="1067" t="s">
        <v>68</v>
      </c>
      <c r="C3175" s="1081" t="s">
        <v>631</v>
      </c>
      <c r="D3175" s="1081" t="s">
        <v>631</v>
      </c>
      <c r="E3175" s="1068" t="s">
        <v>70</v>
      </c>
      <c r="F3175" s="1081"/>
      <c r="G3175" s="1069" t="str">
        <f t="array" ref="G3175">IF(B3175="insumo",_xlfn.XLOOKUP($D3175,Insumos!$B$1:$B$996,Insumos!$D$1:$D$996),"")</f>
        <v/>
      </c>
      <c r="H3175" s="1069">
        <v>138.4</v>
      </c>
      <c r="I3175" s="1082">
        <v>0</v>
      </c>
      <c r="J3175" s="1082">
        <v>0</v>
      </c>
      <c r="K3175" s="1082"/>
      <c r="L3175"/>
      <c r="M3175"/>
      <c r="N3175"/>
      <c r="O3175"/>
      <c r="P3175"/>
      <c r="Q3175"/>
      <c r="R3175"/>
      <c r="S3175"/>
      <c r="T3175"/>
      <c r="U3175"/>
      <c r="V3175"/>
      <c r="W3175"/>
      <c r="X3175"/>
      <c r="Y3175"/>
      <c r="Z3175"/>
      <c r="AA3175"/>
      <c r="AB3175"/>
      <c r="AC3175"/>
      <c r="AD3175"/>
      <c r="AE3175"/>
      <c r="AF3175"/>
      <c r="AG3175"/>
      <c r="AH3175"/>
      <c r="AI3175"/>
      <c r="AJ3175"/>
      <c r="AK3175"/>
      <c r="AL3175"/>
    </row>
    <row r="3176" spans="1:38" ht="15.75" customHeight="1" outlineLevel="3" x14ac:dyDescent="0.2">
      <c r="A3176" s="10">
        <v>1</v>
      </c>
      <c r="B3176" s="10" t="s">
        <v>71</v>
      </c>
      <c r="C3176" s="10" t="s">
        <v>631</v>
      </c>
      <c r="D3176" s="10" t="s">
        <v>632</v>
      </c>
      <c r="E3176" s="11" t="str">
        <f t="array" ref="E3176">_xlfn.XLOOKUP(D3176,Insumos!B:B,Insumos!C:$C)</f>
        <v>M2</v>
      </c>
      <c r="F3176" s="14">
        <v>1</v>
      </c>
      <c r="G3176" s="92">
        <f t="array" ref="G3176">IF(B3176="insumo",_xlfn.XLOOKUP($D3176,Insumos!$B$1:$B$996,Insumos!$D$1:$D$996),"")</f>
        <v>138.4</v>
      </c>
      <c r="H3176" s="92">
        <v>138.4</v>
      </c>
      <c r="I3176" s="13">
        <v>0</v>
      </c>
      <c r="J3176" s="13">
        <v>0</v>
      </c>
      <c r="K3176" s="13"/>
      <c r="L3176"/>
      <c r="M3176"/>
      <c r="N3176"/>
      <c r="O3176"/>
      <c r="P3176"/>
      <c r="Q3176"/>
      <c r="R3176"/>
      <c r="S3176"/>
      <c r="T3176"/>
      <c r="U3176"/>
      <c r="V3176"/>
      <c r="W3176"/>
      <c r="X3176"/>
      <c r="Y3176"/>
      <c r="Z3176"/>
      <c r="AA3176"/>
      <c r="AB3176"/>
      <c r="AC3176"/>
      <c r="AD3176"/>
      <c r="AE3176"/>
      <c r="AF3176"/>
      <c r="AG3176"/>
      <c r="AH3176"/>
      <c r="AI3176"/>
      <c r="AJ3176"/>
      <c r="AK3176"/>
      <c r="AL3176"/>
    </row>
    <row r="3177" spans="1:38" ht="12.75" outlineLevel="2" x14ac:dyDescent="0.2">
      <c r="A3177" s="1071">
        <v>1</v>
      </c>
      <c r="B3177" s="1071" t="s">
        <v>68</v>
      </c>
      <c r="C3177" s="1071" t="s">
        <v>3039</v>
      </c>
      <c r="D3177" s="1071" t="s">
        <v>3039</v>
      </c>
      <c r="E3177" s="1072" t="s">
        <v>70</v>
      </c>
      <c r="F3177" s="1071"/>
      <c r="G3177" s="1073" t="str">
        <f t="array" ref="G3177">IF(B3177="insumo",_xlfn.XLOOKUP($D3177,Insumos!$B$1:$B$996,Insumos!$D$1:$D$996),"")</f>
        <v/>
      </c>
      <c r="H3177" s="1073">
        <v>540</v>
      </c>
      <c r="I3177" s="1074" t="e">
        <v>#REF!</v>
      </c>
      <c r="J3177" s="1074" t="e">
        <v>#REF!</v>
      </c>
      <c r="K3177" s="1074"/>
      <c r="L3177"/>
      <c r="M3177"/>
      <c r="N3177"/>
      <c r="O3177"/>
      <c r="P3177"/>
      <c r="Q3177"/>
      <c r="R3177"/>
      <c r="S3177"/>
      <c r="T3177"/>
      <c r="U3177"/>
      <c r="V3177"/>
      <c r="W3177"/>
      <c r="X3177"/>
      <c r="Y3177"/>
      <c r="Z3177"/>
      <c r="AA3177"/>
      <c r="AB3177"/>
      <c r="AC3177"/>
      <c r="AD3177"/>
      <c r="AE3177"/>
      <c r="AF3177"/>
      <c r="AG3177"/>
      <c r="AH3177"/>
      <c r="AI3177"/>
      <c r="AJ3177"/>
      <c r="AK3177"/>
      <c r="AL3177"/>
    </row>
    <row r="3178" spans="1:38" ht="12.75" outlineLevel="3" x14ac:dyDescent="0.2">
      <c r="A3178" s="82">
        <v>1</v>
      </c>
      <c r="B3178" s="82" t="s">
        <v>71</v>
      </c>
      <c r="C3178" s="10" t="s">
        <v>3039</v>
      </c>
      <c r="D3178" s="10" t="s">
        <v>3039</v>
      </c>
      <c r="E3178" s="11" t="str">
        <f t="array" ref="E3178">_xlfn.XLOOKUP(D3178,Insumos!B:B,Insumos!C:$C)</f>
        <v>M2</v>
      </c>
      <c r="F3178" s="86">
        <v>1</v>
      </c>
      <c r="G3178" s="92">
        <f t="array" ref="G3178">IF(B3178="insumo",_xlfn.XLOOKUP($D3178,Insumos!$B$1:$B$996,Insumos!$D$1:$D$996),"")</f>
        <v>540</v>
      </c>
      <c r="H3178" s="92">
        <v>540</v>
      </c>
      <c r="I3178" s="84" t="e">
        <v>#REF!</v>
      </c>
      <c r="J3178" s="84" t="e">
        <v>#REF!</v>
      </c>
      <c r="K3178" s="84"/>
      <c r="L3178"/>
      <c r="M3178"/>
      <c r="N3178"/>
      <c r="O3178"/>
      <c r="P3178"/>
      <c r="Q3178"/>
      <c r="R3178"/>
      <c r="S3178"/>
      <c r="T3178"/>
      <c r="U3178"/>
      <c r="V3178"/>
      <c r="W3178"/>
      <c r="X3178"/>
      <c r="Y3178"/>
      <c r="Z3178"/>
      <c r="AA3178"/>
      <c r="AB3178"/>
      <c r="AC3178"/>
      <c r="AD3178"/>
      <c r="AE3178"/>
      <c r="AF3178"/>
      <c r="AG3178"/>
      <c r="AH3178"/>
      <c r="AI3178"/>
      <c r="AJ3178"/>
      <c r="AK3178"/>
      <c r="AL3178"/>
    </row>
    <row r="3179" spans="1:38" ht="12.75" outlineLevel="2" x14ac:dyDescent="0.2">
      <c r="A3179" s="1071">
        <v>1</v>
      </c>
      <c r="B3179" s="1071" t="s">
        <v>68</v>
      </c>
      <c r="C3179" s="1071" t="s">
        <v>3040</v>
      </c>
      <c r="D3179" s="1071" t="s">
        <v>3040</v>
      </c>
      <c r="E3179" s="1072" t="s">
        <v>70</v>
      </c>
      <c r="F3179" s="1071"/>
      <c r="G3179" s="1073" t="str">
        <f t="array" ref="G3179">IF(B3179="insumo",_xlfn.XLOOKUP($D3179,Insumos!$B$1:$B$996,Insumos!$D$1:$D$996),"")</f>
        <v/>
      </c>
      <c r="H3179" s="1073">
        <v>610</v>
      </c>
      <c r="I3179" s="1074" t="e">
        <v>#REF!</v>
      </c>
      <c r="J3179" s="1074" t="e">
        <v>#REF!</v>
      </c>
      <c r="K3179" s="1074"/>
      <c r="L3179"/>
      <c r="M3179"/>
      <c r="N3179"/>
      <c r="O3179"/>
      <c r="P3179"/>
      <c r="Q3179"/>
      <c r="R3179"/>
      <c r="S3179"/>
      <c r="T3179"/>
      <c r="U3179"/>
      <c r="V3179"/>
      <c r="W3179"/>
      <c r="X3179"/>
      <c r="Y3179"/>
      <c r="Z3179"/>
      <c r="AA3179"/>
      <c r="AB3179"/>
      <c r="AC3179"/>
      <c r="AD3179"/>
      <c r="AE3179"/>
      <c r="AF3179"/>
      <c r="AG3179"/>
      <c r="AH3179"/>
      <c r="AI3179"/>
      <c r="AJ3179"/>
      <c r="AK3179"/>
      <c r="AL3179"/>
    </row>
    <row r="3180" spans="1:38" ht="12.75" outlineLevel="3" x14ac:dyDescent="0.2">
      <c r="A3180" s="82">
        <v>1</v>
      </c>
      <c r="B3180" s="82" t="s">
        <v>71</v>
      </c>
      <c r="C3180" s="10" t="s">
        <v>3040</v>
      </c>
      <c r="D3180" s="10" t="s">
        <v>3040</v>
      </c>
      <c r="E3180" s="11" t="str">
        <f t="array" ref="E3180">_xlfn.XLOOKUP(D3180,Insumos!B:B,Insumos!C:$C)</f>
        <v>M2</v>
      </c>
      <c r="F3180" s="86">
        <v>1</v>
      </c>
      <c r="G3180" s="92">
        <f t="array" ref="G3180">IF(B3180="insumo",_xlfn.XLOOKUP($D3180,Insumos!$B$1:$B$996,Insumos!$D$1:$D$996),"")</f>
        <v>610</v>
      </c>
      <c r="H3180" s="92">
        <v>610</v>
      </c>
      <c r="I3180" s="84" t="e">
        <v>#REF!</v>
      </c>
      <c r="J3180" s="84" t="e">
        <v>#REF!</v>
      </c>
      <c r="K3180" s="84"/>
      <c r="L3180"/>
      <c r="M3180"/>
      <c r="N3180"/>
      <c r="O3180"/>
      <c r="P3180"/>
      <c r="Q3180"/>
      <c r="R3180"/>
      <c r="S3180"/>
      <c r="T3180"/>
      <c r="U3180"/>
      <c r="V3180"/>
      <c r="W3180"/>
      <c r="X3180"/>
      <c r="Y3180"/>
      <c r="Z3180"/>
      <c r="AA3180"/>
      <c r="AB3180"/>
      <c r="AC3180"/>
      <c r="AD3180"/>
      <c r="AE3180"/>
      <c r="AF3180"/>
      <c r="AG3180"/>
      <c r="AH3180"/>
      <c r="AI3180"/>
      <c r="AJ3180"/>
      <c r="AK3180"/>
      <c r="AL3180"/>
    </row>
    <row r="3181" spans="1:38" ht="12.75" outlineLevel="2" x14ac:dyDescent="0.2">
      <c r="A3181" s="1071">
        <v>1</v>
      </c>
      <c r="B3181" s="1071" t="s">
        <v>68</v>
      </c>
      <c r="C3181" s="1071" t="s">
        <v>1824</v>
      </c>
      <c r="D3181" s="1071" t="s">
        <v>1824</v>
      </c>
      <c r="E3181" s="1072" t="s">
        <v>70</v>
      </c>
      <c r="F3181" s="1071"/>
      <c r="G3181" s="1073" t="str">
        <f t="array" ref="G3181">IF(B3181="insumo",_xlfn.XLOOKUP($D3181,Insumos!$B$1:$B$996,Insumos!$D$1:$D$996),"")</f>
        <v/>
      </c>
      <c r="H3181" s="1073">
        <v>160</v>
      </c>
      <c r="I3181" s="1074">
        <v>0</v>
      </c>
      <c r="J3181" s="1074">
        <v>0</v>
      </c>
      <c r="K3181" s="1074"/>
      <c r="L3181"/>
      <c r="M3181"/>
      <c r="N3181"/>
      <c r="O3181"/>
      <c r="P3181"/>
      <c r="Q3181"/>
      <c r="R3181"/>
      <c r="S3181"/>
      <c r="T3181"/>
      <c r="U3181"/>
      <c r="V3181"/>
      <c r="W3181"/>
      <c r="X3181"/>
      <c r="Y3181"/>
      <c r="Z3181"/>
      <c r="AA3181"/>
      <c r="AB3181"/>
      <c r="AC3181"/>
      <c r="AD3181"/>
      <c r="AE3181"/>
      <c r="AF3181"/>
      <c r="AG3181"/>
      <c r="AH3181"/>
      <c r="AI3181"/>
      <c r="AJ3181"/>
      <c r="AK3181"/>
      <c r="AL3181"/>
    </row>
    <row r="3182" spans="1:38" ht="12.75" outlineLevel="3" x14ac:dyDescent="0.2">
      <c r="A3182" s="82">
        <v>1</v>
      </c>
      <c r="B3182" s="82" t="s">
        <v>71</v>
      </c>
      <c r="C3182" s="82" t="s">
        <v>1824</v>
      </c>
      <c r="D3182" s="82" t="s">
        <v>1824</v>
      </c>
      <c r="E3182" s="11" t="str">
        <f t="array" ref="E3182">_xlfn.XLOOKUP(D3182,Insumos!B:B,Insumos!C:$C)</f>
        <v>M2</v>
      </c>
      <c r="F3182" s="86">
        <v>1</v>
      </c>
      <c r="G3182" s="92">
        <f t="array" ref="G3182">IF(B3182="insumo",_xlfn.XLOOKUP($D3182,Insumos!$B$1:$B$996,Insumos!$D$1:$D$996),"")</f>
        <v>160</v>
      </c>
      <c r="H3182" s="92">
        <v>160</v>
      </c>
      <c r="I3182" s="84">
        <v>0</v>
      </c>
      <c r="J3182" s="84">
        <v>0</v>
      </c>
      <c r="K3182" s="84"/>
      <c r="L3182"/>
      <c r="M3182"/>
      <c r="N3182"/>
      <c r="O3182"/>
      <c r="P3182"/>
      <c r="Q3182"/>
      <c r="R3182"/>
      <c r="S3182"/>
      <c r="T3182"/>
      <c r="U3182"/>
      <c r="V3182"/>
      <c r="W3182"/>
      <c r="X3182"/>
      <c r="Y3182"/>
      <c r="Z3182"/>
      <c r="AA3182"/>
      <c r="AB3182"/>
      <c r="AC3182"/>
      <c r="AD3182"/>
      <c r="AE3182"/>
      <c r="AF3182"/>
      <c r="AG3182"/>
      <c r="AH3182"/>
      <c r="AI3182"/>
      <c r="AJ3182"/>
      <c r="AK3182"/>
      <c r="AL3182"/>
    </row>
    <row r="3183" spans="1:38" ht="12.75" outlineLevel="2" x14ac:dyDescent="0.2">
      <c r="A3183" s="1071">
        <v>1</v>
      </c>
      <c r="B3183" s="1071" t="s">
        <v>68</v>
      </c>
      <c r="C3183" s="1071" t="s">
        <v>1827</v>
      </c>
      <c r="D3183" s="1071" t="s">
        <v>1827</v>
      </c>
      <c r="E3183" s="1072" t="s">
        <v>70</v>
      </c>
      <c r="F3183" s="1071"/>
      <c r="G3183" s="1073" t="str">
        <f t="array" ref="G3183">IF(B3183="insumo",_xlfn.XLOOKUP($D3183,Insumos!$B$1:$B$996,Insumos!$D$1:$D$996),"")</f>
        <v/>
      </c>
      <c r="H3183" s="1073">
        <v>200</v>
      </c>
      <c r="I3183" s="1074">
        <v>0</v>
      </c>
      <c r="J3183" s="1074">
        <v>0</v>
      </c>
      <c r="K3183" s="1074"/>
      <c r="L3183"/>
      <c r="M3183"/>
      <c r="N3183"/>
      <c r="O3183"/>
      <c r="P3183"/>
      <c r="Q3183"/>
      <c r="R3183"/>
      <c r="S3183"/>
      <c r="T3183"/>
      <c r="U3183"/>
      <c r="V3183"/>
      <c r="W3183"/>
      <c r="X3183"/>
      <c r="Y3183"/>
      <c r="Z3183"/>
      <c r="AA3183"/>
      <c r="AB3183"/>
      <c r="AC3183"/>
      <c r="AD3183"/>
      <c r="AE3183"/>
      <c r="AF3183"/>
      <c r="AG3183"/>
      <c r="AH3183"/>
      <c r="AI3183"/>
      <c r="AJ3183"/>
      <c r="AK3183"/>
      <c r="AL3183"/>
    </row>
    <row r="3184" spans="1:38" ht="12.75" outlineLevel="3" x14ac:dyDescent="0.2">
      <c r="A3184" s="82">
        <v>1</v>
      </c>
      <c r="B3184" s="82" t="s">
        <v>71</v>
      </c>
      <c r="C3184" s="82" t="s">
        <v>1827</v>
      </c>
      <c r="D3184" s="82" t="s">
        <v>1827</v>
      </c>
      <c r="E3184" s="11" t="str">
        <f t="array" ref="E3184">_xlfn.XLOOKUP(D3184,Insumos!B:B,Insumos!C:$C)</f>
        <v>M2</v>
      </c>
      <c r="F3184" s="86">
        <v>1</v>
      </c>
      <c r="G3184" s="92">
        <f t="array" ref="G3184">IF(B3184="insumo",_xlfn.XLOOKUP($D3184,Insumos!$B$1:$B$996,Insumos!$D$1:$D$996),"")</f>
        <v>200</v>
      </c>
      <c r="H3184" s="92">
        <v>200</v>
      </c>
      <c r="I3184" s="84">
        <v>0</v>
      </c>
      <c r="J3184" s="84">
        <v>0</v>
      </c>
      <c r="K3184" s="84"/>
      <c r="L3184"/>
      <c r="M3184"/>
      <c r="N3184"/>
      <c r="O3184"/>
      <c r="P3184"/>
      <c r="Q3184"/>
      <c r="R3184"/>
      <c r="S3184"/>
      <c r="T3184"/>
      <c r="U3184"/>
      <c r="V3184"/>
      <c r="W3184"/>
      <c r="X3184"/>
      <c r="Y3184"/>
      <c r="Z3184"/>
      <c r="AA3184"/>
      <c r="AB3184"/>
      <c r="AC3184"/>
      <c r="AD3184"/>
      <c r="AE3184"/>
      <c r="AF3184"/>
      <c r="AG3184"/>
      <c r="AH3184"/>
      <c r="AI3184"/>
      <c r="AJ3184"/>
      <c r="AK3184"/>
      <c r="AL3184"/>
    </row>
    <row r="3185" spans="1:38" ht="12.75" outlineLevel="2" x14ac:dyDescent="0.2">
      <c r="A3185" s="1071">
        <v>1</v>
      </c>
      <c r="B3185" s="1071" t="s">
        <v>68</v>
      </c>
      <c r="C3185" s="1071" t="s">
        <v>1828</v>
      </c>
      <c r="D3185" s="1071" t="s">
        <v>1828</v>
      </c>
      <c r="E3185" s="1072" t="s">
        <v>70</v>
      </c>
      <c r="F3185" s="1071"/>
      <c r="G3185" s="1073" t="str">
        <f t="array" ref="G3185">IF(B3185="insumo",_xlfn.XLOOKUP($D3185,Insumos!$B$1:$B$996,Insumos!$D$1:$D$996),"")</f>
        <v/>
      </c>
      <c r="H3185" s="1073">
        <v>250</v>
      </c>
      <c r="I3185" s="1074">
        <v>0</v>
      </c>
      <c r="J3185" s="1074">
        <v>0</v>
      </c>
      <c r="K3185" s="1074"/>
      <c r="L3185"/>
      <c r="M3185"/>
      <c r="N3185"/>
      <c r="O3185"/>
      <c r="P3185"/>
      <c r="Q3185"/>
      <c r="R3185"/>
      <c r="S3185"/>
      <c r="T3185"/>
      <c r="U3185"/>
      <c r="V3185"/>
      <c r="W3185"/>
      <c r="X3185"/>
      <c r="Y3185"/>
      <c r="Z3185"/>
      <c r="AA3185"/>
      <c r="AB3185"/>
      <c r="AC3185"/>
      <c r="AD3185"/>
      <c r="AE3185"/>
      <c r="AF3185"/>
      <c r="AG3185"/>
      <c r="AH3185"/>
      <c r="AI3185"/>
      <c r="AJ3185"/>
      <c r="AK3185"/>
      <c r="AL3185"/>
    </row>
    <row r="3186" spans="1:38" ht="12.75" outlineLevel="3" x14ac:dyDescent="0.2">
      <c r="A3186" s="82">
        <v>1</v>
      </c>
      <c r="B3186" s="82" t="s">
        <v>71</v>
      </c>
      <c r="C3186" s="82" t="s">
        <v>1828</v>
      </c>
      <c r="D3186" s="82" t="s">
        <v>1828</v>
      </c>
      <c r="E3186" s="11" t="str">
        <f t="array" ref="E3186">_xlfn.XLOOKUP(D3186,Insumos!B:B,Insumos!C:$C)</f>
        <v>M2</v>
      </c>
      <c r="F3186" s="86">
        <v>1</v>
      </c>
      <c r="G3186" s="92">
        <f t="array" ref="G3186">IF(B3186="insumo",_xlfn.XLOOKUP($D3186,Insumos!$B$1:$B$996,Insumos!$D$1:$D$996),"")</f>
        <v>250</v>
      </c>
      <c r="H3186" s="92">
        <v>250</v>
      </c>
      <c r="I3186" s="84">
        <v>0</v>
      </c>
      <c r="J3186" s="84">
        <v>0</v>
      </c>
      <c r="K3186" s="84"/>
      <c r="L3186"/>
      <c r="M3186"/>
      <c r="N3186"/>
      <c r="O3186"/>
      <c r="P3186"/>
      <c r="Q3186"/>
      <c r="R3186"/>
      <c r="S3186"/>
      <c r="T3186"/>
      <c r="U3186"/>
      <c r="V3186"/>
      <c r="W3186"/>
      <c r="X3186"/>
      <c r="Y3186"/>
      <c r="Z3186"/>
      <c r="AA3186"/>
      <c r="AB3186"/>
      <c r="AC3186"/>
      <c r="AD3186"/>
      <c r="AE3186"/>
      <c r="AF3186"/>
      <c r="AG3186"/>
      <c r="AH3186"/>
      <c r="AI3186"/>
      <c r="AJ3186"/>
      <c r="AK3186"/>
      <c r="AL3186"/>
    </row>
    <row r="3187" spans="1:38" ht="12.75" outlineLevel="2" x14ac:dyDescent="0.2">
      <c r="A3187" s="1071">
        <v>1</v>
      </c>
      <c r="B3187" s="1071" t="s">
        <v>68</v>
      </c>
      <c r="C3187" s="1071" t="s">
        <v>1829</v>
      </c>
      <c r="D3187" s="1071" t="s">
        <v>1829</v>
      </c>
      <c r="E3187" s="1072" t="s">
        <v>70</v>
      </c>
      <c r="F3187" s="1071"/>
      <c r="G3187" s="1073" t="str">
        <f t="array" ref="G3187">IF(B3187="insumo",_xlfn.XLOOKUP($D3187,Insumos!$B$1:$B$996,Insumos!$D$1:$D$996),"")</f>
        <v/>
      </c>
      <c r="H3187" s="1073">
        <v>320</v>
      </c>
      <c r="I3187" s="1074">
        <v>0</v>
      </c>
      <c r="J3187" s="1074">
        <v>0</v>
      </c>
      <c r="K3187" s="1074"/>
      <c r="L3187"/>
      <c r="M3187"/>
      <c r="N3187"/>
      <c r="O3187"/>
      <c r="P3187"/>
      <c r="Q3187"/>
      <c r="R3187"/>
      <c r="S3187"/>
      <c r="T3187"/>
      <c r="U3187"/>
      <c r="V3187"/>
      <c r="W3187"/>
      <c r="X3187"/>
      <c r="Y3187"/>
      <c r="Z3187"/>
      <c r="AA3187"/>
      <c r="AB3187"/>
      <c r="AC3187"/>
      <c r="AD3187"/>
      <c r="AE3187"/>
      <c r="AF3187"/>
      <c r="AG3187"/>
      <c r="AH3187"/>
      <c r="AI3187"/>
      <c r="AJ3187"/>
      <c r="AK3187"/>
      <c r="AL3187"/>
    </row>
    <row r="3188" spans="1:38" ht="12.75" outlineLevel="3" x14ac:dyDescent="0.2">
      <c r="A3188" s="82">
        <v>1</v>
      </c>
      <c r="B3188" s="82" t="s">
        <v>71</v>
      </c>
      <c r="C3188" s="82" t="s">
        <v>1829</v>
      </c>
      <c r="D3188" s="82" t="s">
        <v>1829</v>
      </c>
      <c r="E3188" s="11" t="str">
        <f t="array" ref="E3188">_xlfn.XLOOKUP(D3188,Insumos!B:B,Insumos!C:$C)</f>
        <v>M2</v>
      </c>
      <c r="F3188" s="86">
        <v>1</v>
      </c>
      <c r="G3188" s="92">
        <f t="array" ref="G3188">IF(B3188="insumo",_xlfn.XLOOKUP($D3188,Insumos!$B$1:$B$996,Insumos!$D$1:$D$996),"")</f>
        <v>320</v>
      </c>
      <c r="H3188" s="92">
        <v>320</v>
      </c>
      <c r="I3188" s="84">
        <v>0</v>
      </c>
      <c r="J3188" s="84">
        <v>0</v>
      </c>
      <c r="K3188" s="84"/>
      <c r="L3188"/>
      <c r="M3188"/>
      <c r="N3188"/>
      <c r="O3188"/>
      <c r="P3188"/>
      <c r="Q3188"/>
      <c r="R3188"/>
      <c r="S3188"/>
      <c r="T3188"/>
      <c r="U3188"/>
      <c r="V3188"/>
      <c r="W3188"/>
      <c r="X3188"/>
      <c r="Y3188"/>
      <c r="Z3188"/>
      <c r="AA3188"/>
      <c r="AB3188"/>
      <c r="AC3188"/>
      <c r="AD3188"/>
      <c r="AE3188"/>
      <c r="AF3188"/>
      <c r="AG3188"/>
      <c r="AH3188"/>
      <c r="AI3188"/>
      <c r="AJ3188"/>
      <c r="AK3188"/>
      <c r="AL3188"/>
    </row>
    <row r="3189" spans="1:38" ht="12.75" outlineLevel="2" x14ac:dyDescent="0.2">
      <c r="A3189" s="1071">
        <v>1</v>
      </c>
      <c r="B3189" s="1071" t="s">
        <v>68</v>
      </c>
      <c r="C3189" s="1071" t="s">
        <v>1818</v>
      </c>
      <c r="D3189" s="1071" t="s">
        <v>1818</v>
      </c>
      <c r="E3189" s="1072" t="s">
        <v>70</v>
      </c>
      <c r="F3189" s="1071"/>
      <c r="G3189" s="1073" t="str">
        <f t="array" ref="G3189">IF(B3189="insumo",_xlfn.XLOOKUP($D3189,Insumos!$B$1:$B$996,Insumos!$D$1:$D$996),"")</f>
        <v/>
      </c>
      <c r="H3189" s="1073">
        <v>529.65</v>
      </c>
      <c r="I3189" s="1074">
        <v>0</v>
      </c>
      <c r="J3189" s="1074">
        <v>0</v>
      </c>
      <c r="K3189" s="1074"/>
      <c r="L3189"/>
      <c r="M3189"/>
      <c r="N3189"/>
      <c r="O3189"/>
      <c r="P3189"/>
      <c r="Q3189"/>
      <c r="R3189"/>
      <c r="S3189"/>
      <c r="T3189"/>
      <c r="U3189"/>
      <c r="V3189"/>
      <c r="W3189"/>
      <c r="X3189"/>
      <c r="Y3189"/>
      <c r="Z3189"/>
      <c r="AA3189"/>
      <c r="AB3189"/>
      <c r="AC3189"/>
      <c r="AD3189"/>
      <c r="AE3189"/>
      <c r="AF3189"/>
      <c r="AG3189"/>
      <c r="AH3189"/>
      <c r="AI3189"/>
      <c r="AJ3189"/>
      <c r="AK3189"/>
      <c r="AL3189"/>
    </row>
    <row r="3190" spans="1:38" ht="12.75" outlineLevel="3" x14ac:dyDescent="0.2">
      <c r="A3190" s="82">
        <v>1</v>
      </c>
      <c r="B3190" s="82" t="s">
        <v>71</v>
      </c>
      <c r="C3190" s="82" t="s">
        <v>1818</v>
      </c>
      <c r="D3190" s="82" t="s">
        <v>1818</v>
      </c>
      <c r="E3190" s="11" t="str">
        <f t="array" ref="E3190">_xlfn.XLOOKUP(D3190,Insumos!B:B,Insumos!C:$C)</f>
        <v>M2</v>
      </c>
      <c r="F3190" s="90">
        <v>1.1000000000000001</v>
      </c>
      <c r="G3190" s="92">
        <f t="array" ref="G3190">IF(B3190="insumo",_xlfn.XLOOKUP($D3190,Insumos!$B$1:$B$996,Insumos!$D$1:$D$996),"")</f>
        <v>481.5</v>
      </c>
      <c r="H3190" s="92">
        <v>529.65</v>
      </c>
      <c r="I3190" s="84">
        <v>0</v>
      </c>
      <c r="J3190" s="84">
        <v>0</v>
      </c>
      <c r="K3190" s="84"/>
      <c r="L3190"/>
      <c r="M3190"/>
      <c r="N3190"/>
      <c r="O3190"/>
      <c r="P3190"/>
      <c r="Q3190"/>
      <c r="R3190"/>
      <c r="S3190"/>
      <c r="T3190"/>
      <c r="U3190"/>
      <c r="V3190"/>
      <c r="W3190"/>
      <c r="X3190"/>
      <c r="Y3190"/>
      <c r="Z3190"/>
      <c r="AA3190"/>
      <c r="AB3190"/>
      <c r="AC3190"/>
      <c r="AD3190"/>
      <c r="AE3190"/>
      <c r="AF3190"/>
      <c r="AG3190"/>
      <c r="AH3190"/>
      <c r="AI3190"/>
      <c r="AJ3190"/>
      <c r="AK3190"/>
      <c r="AL3190"/>
    </row>
    <row r="3191" spans="1:38" ht="15.75" customHeight="1" outlineLevel="2" x14ac:dyDescent="0.2">
      <c r="A3191" s="1067">
        <v>1</v>
      </c>
      <c r="B3191" s="1067" t="s">
        <v>68</v>
      </c>
      <c r="C3191" s="1081" t="s">
        <v>1509</v>
      </c>
      <c r="D3191" s="1081" t="s">
        <v>1509</v>
      </c>
      <c r="E3191" s="1068" t="s">
        <v>70</v>
      </c>
      <c r="F3191" s="1081"/>
      <c r="G3191" s="1069" t="str">
        <f t="array" ref="G3191">IF(B3191="insumo",_xlfn.XLOOKUP($D3191,Insumos!$B$1:$B$996,Insumos!$D$1:$D$996),"")</f>
        <v/>
      </c>
      <c r="H3191" s="1069">
        <v>342.63975903614499</v>
      </c>
      <c r="I3191" s="1082">
        <v>0</v>
      </c>
      <c r="J3191" s="1082">
        <v>0</v>
      </c>
      <c r="K3191" s="1082"/>
      <c r="L3191"/>
      <c r="M3191"/>
      <c r="N3191"/>
      <c r="O3191"/>
      <c r="P3191"/>
      <c r="Q3191"/>
      <c r="R3191"/>
      <c r="S3191"/>
      <c r="T3191"/>
      <c r="U3191"/>
      <c r="V3191"/>
      <c r="W3191"/>
      <c r="X3191"/>
      <c r="Y3191"/>
      <c r="Z3191"/>
      <c r="AA3191"/>
      <c r="AB3191"/>
      <c r="AC3191"/>
      <c r="AD3191"/>
      <c r="AE3191"/>
      <c r="AF3191"/>
      <c r="AG3191"/>
      <c r="AH3191"/>
      <c r="AI3191"/>
      <c r="AJ3191"/>
      <c r="AK3191"/>
      <c r="AL3191"/>
    </row>
    <row r="3192" spans="1:38" ht="15.75" customHeight="1" outlineLevel="3" x14ac:dyDescent="0.2">
      <c r="A3192" s="10">
        <v>1</v>
      </c>
      <c r="B3192" s="10" t="s">
        <v>71</v>
      </c>
      <c r="C3192" s="10" t="s">
        <v>1509</v>
      </c>
      <c r="D3192" s="10" t="s">
        <v>633</v>
      </c>
      <c r="E3192" s="11" t="str">
        <f t="array" ref="E3192">_xlfn.XLOOKUP(D3192,Insumos!B:B,Insumos!C:$C)</f>
        <v>M2</v>
      </c>
      <c r="F3192" s="14">
        <v>1</v>
      </c>
      <c r="G3192" s="92">
        <f t="array" ref="G3192">IF(B3192="insumo",_xlfn.XLOOKUP($D3192,Insumos!$B$1:$B$996,Insumos!$D$1:$D$996),"")</f>
        <v>342.63975903614454</v>
      </c>
      <c r="H3192" s="92">
        <v>342.63975903614499</v>
      </c>
      <c r="I3192" s="13">
        <v>0</v>
      </c>
      <c r="J3192" s="13">
        <v>0</v>
      </c>
      <c r="K3192" s="13"/>
      <c r="L3192"/>
      <c r="M3192"/>
      <c r="N3192"/>
      <c r="O3192"/>
      <c r="P3192"/>
      <c r="Q3192"/>
      <c r="R3192"/>
      <c r="S3192"/>
      <c r="T3192"/>
      <c r="U3192"/>
      <c r="V3192"/>
      <c r="W3192"/>
      <c r="X3192"/>
      <c r="Y3192"/>
      <c r="Z3192"/>
      <c r="AA3192"/>
      <c r="AB3192"/>
      <c r="AC3192"/>
      <c r="AD3192"/>
      <c r="AE3192"/>
      <c r="AF3192"/>
      <c r="AG3192"/>
      <c r="AH3192"/>
      <c r="AI3192"/>
      <c r="AJ3192"/>
      <c r="AK3192"/>
      <c r="AL3192"/>
    </row>
    <row r="3193" spans="1:38" ht="15.75" customHeight="1" outlineLevel="2" x14ac:dyDescent="0.2">
      <c r="A3193" s="1067">
        <v>1</v>
      </c>
      <c r="B3193" s="1067" t="s">
        <v>68</v>
      </c>
      <c r="C3193" s="1081" t="s">
        <v>634</v>
      </c>
      <c r="D3193" s="1081" t="s">
        <v>634</v>
      </c>
      <c r="E3193" s="1068" t="s">
        <v>70</v>
      </c>
      <c r="F3193" s="1081"/>
      <c r="G3193" s="1069" t="str">
        <f t="array" ref="G3193">IF(B3193="insumo",_xlfn.XLOOKUP($D3193,Insumos!$B$1:$B$996,Insumos!$D$1:$D$996),"")</f>
        <v/>
      </c>
      <c r="H3193" s="1069">
        <v>1036.9504748982399</v>
      </c>
      <c r="I3193" s="1082">
        <v>0</v>
      </c>
      <c r="J3193" s="1082">
        <v>0</v>
      </c>
      <c r="K3193" s="1082"/>
      <c r="L3193"/>
      <c r="M3193"/>
      <c r="N3193"/>
      <c r="O3193"/>
      <c r="P3193"/>
      <c r="Q3193"/>
      <c r="R3193"/>
      <c r="S3193"/>
      <c r="T3193"/>
      <c r="U3193"/>
      <c r="V3193"/>
      <c r="W3193"/>
      <c r="X3193"/>
      <c r="Y3193"/>
      <c r="Z3193"/>
      <c r="AA3193"/>
      <c r="AB3193"/>
      <c r="AC3193"/>
      <c r="AD3193"/>
      <c r="AE3193"/>
      <c r="AF3193"/>
      <c r="AG3193"/>
      <c r="AH3193"/>
      <c r="AI3193"/>
      <c r="AJ3193"/>
      <c r="AK3193"/>
      <c r="AL3193"/>
    </row>
    <row r="3194" spans="1:38" ht="15.75" customHeight="1" outlineLevel="3" x14ac:dyDescent="0.2">
      <c r="A3194" s="10">
        <v>1</v>
      </c>
      <c r="B3194" s="10" t="s">
        <v>71</v>
      </c>
      <c r="C3194" s="10" t="s">
        <v>634</v>
      </c>
      <c r="D3194" s="10" t="s">
        <v>635</v>
      </c>
      <c r="E3194" s="11" t="str">
        <f t="array" ref="E3194">_xlfn.XLOOKUP(D3194,Insumos!B:B,Insumos!C:$C)</f>
        <v>M2</v>
      </c>
      <c r="F3194" s="14">
        <v>1</v>
      </c>
      <c r="G3194" s="92">
        <f t="array" ref="G3194">IF(B3194="insumo",_xlfn.XLOOKUP($D3194,Insumos!$B$1:$B$996,Insumos!$D$1:$D$996),"")</f>
        <v>1036.9504748982358</v>
      </c>
      <c r="H3194" s="92">
        <v>1036.9504748982399</v>
      </c>
      <c r="I3194" s="13">
        <v>0</v>
      </c>
      <c r="J3194" s="13">
        <v>0</v>
      </c>
      <c r="K3194" s="13"/>
      <c r="L3194"/>
      <c r="M3194"/>
      <c r="N3194"/>
      <c r="O3194"/>
      <c r="P3194"/>
      <c r="Q3194"/>
      <c r="R3194"/>
      <c r="S3194"/>
      <c r="T3194"/>
      <c r="U3194"/>
      <c r="V3194"/>
      <c r="W3194"/>
      <c r="X3194"/>
      <c r="Y3194"/>
      <c r="Z3194"/>
      <c r="AA3194"/>
      <c r="AB3194"/>
      <c r="AC3194"/>
      <c r="AD3194"/>
      <c r="AE3194"/>
      <c r="AF3194"/>
      <c r="AG3194"/>
      <c r="AH3194"/>
      <c r="AI3194"/>
      <c r="AJ3194"/>
      <c r="AK3194"/>
      <c r="AL3194"/>
    </row>
    <row r="3195" spans="1:38" ht="12.75" outlineLevel="2" x14ac:dyDescent="0.2">
      <c r="A3195" s="1071">
        <v>1</v>
      </c>
      <c r="B3195" s="1071" t="s">
        <v>68</v>
      </c>
      <c r="C3195" s="1071" t="s">
        <v>1870</v>
      </c>
      <c r="D3195" s="1071" t="s">
        <v>1870</v>
      </c>
      <c r="E3195" s="1072" t="s">
        <v>70</v>
      </c>
      <c r="F3195" s="1071"/>
      <c r="G3195" s="1073" t="str">
        <f t="array" ref="G3195">IF(B3195="insumo",_xlfn.XLOOKUP($D3195,Insumos!$B$1:$B$996,Insumos!$D$1:$D$996),"")</f>
        <v/>
      </c>
      <c r="H3195" s="1073">
        <v>296.7</v>
      </c>
      <c r="I3195" s="1074">
        <v>0</v>
      </c>
      <c r="J3195" s="1074">
        <v>0</v>
      </c>
      <c r="K3195" s="1074"/>
      <c r="L3195"/>
      <c r="M3195"/>
      <c r="N3195"/>
      <c r="O3195"/>
      <c r="P3195"/>
      <c r="Q3195"/>
      <c r="R3195"/>
      <c r="S3195"/>
      <c r="T3195"/>
      <c r="U3195"/>
      <c r="V3195"/>
      <c r="W3195"/>
      <c r="X3195"/>
      <c r="Y3195"/>
      <c r="Z3195"/>
      <c r="AA3195"/>
      <c r="AB3195"/>
      <c r="AC3195"/>
      <c r="AD3195"/>
      <c r="AE3195"/>
      <c r="AF3195"/>
      <c r="AG3195"/>
      <c r="AH3195"/>
      <c r="AI3195"/>
      <c r="AJ3195"/>
      <c r="AK3195"/>
      <c r="AL3195"/>
    </row>
    <row r="3196" spans="1:38" ht="12.75" outlineLevel="3" x14ac:dyDescent="0.2">
      <c r="A3196" s="82">
        <v>2</v>
      </c>
      <c r="B3196" s="82" t="s">
        <v>71</v>
      </c>
      <c r="C3196" s="82" t="s">
        <v>1870</v>
      </c>
      <c r="D3196" s="82" t="s">
        <v>638</v>
      </c>
      <c r="E3196" s="11" t="str">
        <f t="array" ref="E3196">_xlfn.XLOOKUP(D3196,Insumos!B:B,Insumos!C:$C)</f>
        <v>M2</v>
      </c>
      <c r="F3196" s="86">
        <v>1</v>
      </c>
      <c r="G3196" s="92">
        <f t="array" ref="G3196">IF(B3196="insumo",_xlfn.XLOOKUP($D3196,Insumos!$B$1:$B$996,Insumos!$D$1:$D$996),"")</f>
        <v>146.69999999999999</v>
      </c>
      <c r="H3196" s="92">
        <v>146.69999999999999</v>
      </c>
      <c r="I3196" s="84">
        <v>0</v>
      </c>
      <c r="J3196" s="84">
        <v>0</v>
      </c>
      <c r="K3196" s="84"/>
      <c r="L3196"/>
      <c r="M3196"/>
      <c r="N3196"/>
      <c r="O3196"/>
      <c r="P3196"/>
      <c r="Q3196"/>
      <c r="R3196"/>
      <c r="S3196"/>
      <c r="T3196"/>
      <c r="U3196"/>
      <c r="V3196"/>
      <c r="W3196"/>
      <c r="X3196"/>
      <c r="Y3196"/>
      <c r="Z3196"/>
      <c r="AA3196"/>
      <c r="AB3196"/>
      <c r="AC3196"/>
      <c r="AD3196"/>
      <c r="AE3196"/>
      <c r="AF3196"/>
      <c r="AG3196"/>
      <c r="AH3196"/>
      <c r="AI3196"/>
      <c r="AJ3196"/>
      <c r="AK3196"/>
      <c r="AL3196"/>
    </row>
    <row r="3197" spans="1:38" ht="12.75" outlineLevel="3" x14ac:dyDescent="0.2">
      <c r="A3197" s="82">
        <v>3</v>
      </c>
      <c r="B3197" s="82" t="s">
        <v>71</v>
      </c>
      <c r="C3197" s="82" t="s">
        <v>1870</v>
      </c>
      <c r="D3197" s="82" t="s">
        <v>639</v>
      </c>
      <c r="E3197" s="11" t="str">
        <f t="array" ref="E3197">_xlfn.XLOOKUP(D3197,Insumos!B:B,Insumos!C:$C)</f>
        <v>M2</v>
      </c>
      <c r="F3197" s="86">
        <v>1</v>
      </c>
      <c r="G3197" s="92">
        <f t="array" ref="G3197">IF(B3197="insumo",_xlfn.XLOOKUP($D3197,Insumos!$B$1:$B$996,Insumos!$D$1:$D$996),"")</f>
        <v>150</v>
      </c>
      <c r="H3197" s="92">
        <v>150</v>
      </c>
      <c r="I3197" s="84">
        <v>0</v>
      </c>
      <c r="J3197" s="84">
        <v>0</v>
      </c>
      <c r="K3197" s="84"/>
      <c r="L3197"/>
      <c r="M3197"/>
      <c r="N3197"/>
      <c r="O3197"/>
      <c r="P3197"/>
      <c r="Q3197"/>
      <c r="R3197"/>
      <c r="S3197"/>
      <c r="T3197"/>
      <c r="U3197"/>
      <c r="V3197"/>
      <c r="W3197"/>
      <c r="X3197"/>
      <c r="Y3197"/>
      <c r="Z3197"/>
      <c r="AA3197"/>
      <c r="AB3197"/>
      <c r="AC3197"/>
      <c r="AD3197"/>
      <c r="AE3197"/>
      <c r="AF3197"/>
      <c r="AG3197"/>
      <c r="AH3197"/>
      <c r="AI3197"/>
      <c r="AJ3197"/>
      <c r="AK3197"/>
      <c r="AL3197"/>
    </row>
    <row r="3198" spans="1:38" ht="12.75" outlineLevel="2" x14ac:dyDescent="0.2">
      <c r="A3198" s="1071">
        <v>1</v>
      </c>
      <c r="B3198" s="1071" t="s">
        <v>68</v>
      </c>
      <c r="C3198" s="1071" t="s">
        <v>3043</v>
      </c>
      <c r="D3198" s="1071" t="s">
        <v>3043</v>
      </c>
      <c r="E3198" s="1072" t="s">
        <v>70</v>
      </c>
      <c r="F3198" s="1071"/>
      <c r="G3198" s="1073" t="str">
        <f t="array" ref="G3198">IF(B3198="insumo",_xlfn.XLOOKUP($D3198,Insumos!$B$1:$B$996,Insumos!$D$1:$D$996),"")</f>
        <v/>
      </c>
      <c r="H3198" s="1073">
        <v>1525</v>
      </c>
      <c r="I3198" s="1074" t="e">
        <v>#REF!</v>
      </c>
      <c r="J3198" s="1074" t="e">
        <v>#REF!</v>
      </c>
      <c r="K3198" s="1074"/>
      <c r="L3198"/>
      <c r="M3198"/>
      <c r="N3198"/>
      <c r="O3198"/>
      <c r="P3198"/>
      <c r="Q3198"/>
      <c r="R3198"/>
      <c r="S3198"/>
      <c r="T3198"/>
      <c r="U3198"/>
      <c r="V3198"/>
      <c r="W3198"/>
      <c r="X3198"/>
      <c r="Y3198"/>
      <c r="Z3198"/>
      <c r="AA3198"/>
      <c r="AB3198"/>
      <c r="AC3198"/>
      <c r="AD3198"/>
      <c r="AE3198"/>
      <c r="AF3198"/>
      <c r="AG3198"/>
      <c r="AH3198"/>
      <c r="AI3198"/>
      <c r="AJ3198"/>
      <c r="AK3198"/>
      <c r="AL3198"/>
    </row>
    <row r="3199" spans="1:38" ht="12.75" outlineLevel="3" x14ac:dyDescent="0.2">
      <c r="A3199" s="82">
        <v>1</v>
      </c>
      <c r="B3199" s="82" t="s">
        <v>71</v>
      </c>
      <c r="C3199" s="82" t="s">
        <v>3043</v>
      </c>
      <c r="D3199" s="82" t="s">
        <v>3044</v>
      </c>
      <c r="E3199" s="11" t="str">
        <f t="array" ref="E3199">_xlfn.XLOOKUP(D3199,Insumos!B:B,Insumos!C:$C)</f>
        <v>M2</v>
      </c>
      <c r="F3199" s="86">
        <v>1</v>
      </c>
      <c r="G3199" s="92">
        <f t="array" ref="G3199">IF(B3199="insumo",_xlfn.XLOOKUP($D3199,Insumos!$B$1:$B$996,Insumos!$D$1:$D$996),"")</f>
        <v>450</v>
      </c>
      <c r="H3199" s="92">
        <v>450</v>
      </c>
      <c r="I3199" s="84" t="e">
        <v>#REF!</v>
      </c>
      <c r="J3199" s="84" t="e">
        <v>#REF!</v>
      </c>
      <c r="K3199" s="84"/>
      <c r="L3199"/>
      <c r="M3199"/>
      <c r="N3199"/>
      <c r="O3199"/>
      <c r="P3199"/>
      <c r="Q3199"/>
      <c r="R3199"/>
      <c r="S3199"/>
      <c r="T3199"/>
      <c r="U3199"/>
      <c r="V3199"/>
      <c r="W3199"/>
      <c r="X3199"/>
      <c r="Y3199"/>
      <c r="Z3199"/>
      <c r="AA3199"/>
      <c r="AB3199"/>
      <c r="AC3199"/>
      <c r="AD3199"/>
      <c r="AE3199"/>
      <c r="AF3199"/>
      <c r="AG3199"/>
      <c r="AH3199"/>
      <c r="AI3199"/>
      <c r="AJ3199"/>
      <c r="AK3199"/>
      <c r="AL3199"/>
    </row>
    <row r="3200" spans="1:38" ht="12.75" outlineLevel="3" x14ac:dyDescent="0.2">
      <c r="A3200" s="82">
        <v>1</v>
      </c>
      <c r="B3200" s="82" t="s">
        <v>71</v>
      </c>
      <c r="C3200" s="82" t="s">
        <v>3043</v>
      </c>
      <c r="D3200" s="82" t="s">
        <v>25</v>
      </c>
      <c r="E3200" s="11" t="str">
        <f t="array" ref="E3200">_xlfn.XLOOKUP(D3200,Insumos!B:B,Insumos!C:$C)</f>
        <v>M2</v>
      </c>
      <c r="F3200" s="86">
        <v>1</v>
      </c>
      <c r="G3200" s="92">
        <f t="array" ref="G3200">IF(B3200="insumo",_xlfn.XLOOKUP($D3200,Insumos!$B$1:$B$996,Insumos!$D$1:$D$996),"")</f>
        <v>80</v>
      </c>
      <c r="H3200" s="92">
        <v>80</v>
      </c>
      <c r="I3200" s="84" t="e">
        <v>#REF!</v>
      </c>
      <c r="J3200" s="84" t="e">
        <v>#REF!</v>
      </c>
      <c r="K3200" s="84"/>
      <c r="L3200"/>
      <c r="M3200"/>
      <c r="N3200"/>
      <c r="O3200"/>
      <c r="P3200"/>
      <c r="Q3200"/>
      <c r="R3200"/>
      <c r="S3200"/>
      <c r="T3200"/>
      <c r="U3200"/>
      <c r="V3200"/>
      <c r="W3200"/>
      <c r="X3200"/>
      <c r="Y3200"/>
      <c r="Z3200"/>
      <c r="AA3200"/>
      <c r="AB3200"/>
      <c r="AC3200"/>
      <c r="AD3200"/>
      <c r="AE3200"/>
      <c r="AF3200"/>
      <c r="AG3200"/>
      <c r="AH3200"/>
      <c r="AI3200"/>
      <c r="AJ3200"/>
      <c r="AK3200"/>
      <c r="AL3200"/>
    </row>
    <row r="3201" spans="1:38" ht="12.75" outlineLevel="3" x14ac:dyDescent="0.2">
      <c r="A3201" s="82">
        <v>1</v>
      </c>
      <c r="B3201" s="82" t="s">
        <v>71</v>
      </c>
      <c r="C3201" s="82" t="s">
        <v>3043</v>
      </c>
      <c r="D3201" s="82" t="s">
        <v>3045</v>
      </c>
      <c r="E3201" s="11" t="str">
        <f t="array" ref="E3201">_xlfn.XLOOKUP(D3201,Insumos!B:B,Insumos!C:$C)</f>
        <v>M2</v>
      </c>
      <c r="F3201" s="86">
        <v>1</v>
      </c>
      <c r="G3201" s="92">
        <f t="array" ref="G3201">IF(B3201="insumo",_xlfn.XLOOKUP($D3201,Insumos!$B$1:$B$996,Insumos!$D$1:$D$996),"")</f>
        <v>160</v>
      </c>
      <c r="H3201" s="92">
        <v>160</v>
      </c>
      <c r="I3201" s="84" t="e">
        <v>#REF!</v>
      </c>
      <c r="J3201" s="84" t="e">
        <v>#REF!</v>
      </c>
      <c r="K3201" s="84"/>
      <c r="L3201"/>
      <c r="M3201"/>
      <c r="N3201"/>
      <c r="O3201"/>
      <c r="P3201"/>
      <c r="Q3201"/>
      <c r="R3201"/>
      <c r="S3201"/>
      <c r="T3201"/>
      <c r="U3201"/>
      <c r="V3201"/>
      <c r="W3201"/>
      <c r="X3201"/>
      <c r="Y3201"/>
      <c r="Z3201"/>
      <c r="AA3201"/>
      <c r="AB3201"/>
      <c r="AC3201"/>
      <c r="AD3201"/>
      <c r="AE3201"/>
      <c r="AF3201"/>
      <c r="AG3201"/>
      <c r="AH3201"/>
      <c r="AI3201"/>
      <c r="AJ3201"/>
      <c r="AK3201"/>
      <c r="AL3201"/>
    </row>
    <row r="3202" spans="1:38" ht="12.75" outlineLevel="3" x14ac:dyDescent="0.2">
      <c r="A3202" s="82">
        <v>1</v>
      </c>
      <c r="B3202" s="82" t="s">
        <v>71</v>
      </c>
      <c r="C3202" s="82" t="s">
        <v>3043</v>
      </c>
      <c r="D3202" s="82" t="s">
        <v>3046</v>
      </c>
      <c r="E3202" s="11" t="str">
        <f t="array" ref="E3202">_xlfn.XLOOKUP(D3202,Insumos!B:B,Insumos!C:$C)</f>
        <v>M2</v>
      </c>
      <c r="F3202" s="86">
        <v>1</v>
      </c>
      <c r="G3202" s="92">
        <f t="array" ref="G3202">IF(B3202="insumo",_xlfn.XLOOKUP($D3202,Insumos!$B$1:$B$996,Insumos!$D$1:$D$996),"")</f>
        <v>140</v>
      </c>
      <c r="H3202" s="92">
        <v>140</v>
      </c>
      <c r="I3202" s="84" t="e">
        <v>#REF!</v>
      </c>
      <c r="J3202" s="84" t="e">
        <v>#REF!</v>
      </c>
      <c r="K3202" s="84"/>
      <c r="L3202"/>
      <c r="M3202"/>
      <c r="N3202"/>
      <c r="O3202"/>
      <c r="P3202"/>
      <c r="Q3202"/>
      <c r="R3202"/>
      <c r="S3202"/>
      <c r="T3202"/>
      <c r="U3202"/>
      <c r="V3202"/>
      <c r="W3202"/>
      <c r="X3202"/>
      <c r="Y3202"/>
      <c r="Z3202"/>
      <c r="AA3202"/>
      <c r="AB3202"/>
      <c r="AC3202"/>
      <c r="AD3202"/>
      <c r="AE3202"/>
      <c r="AF3202"/>
      <c r="AG3202"/>
      <c r="AH3202"/>
      <c r="AI3202"/>
      <c r="AJ3202"/>
      <c r="AK3202"/>
      <c r="AL3202"/>
    </row>
    <row r="3203" spans="1:38" ht="12.75" outlineLevel="3" x14ac:dyDescent="0.2">
      <c r="A3203" s="82">
        <v>1</v>
      </c>
      <c r="B3203" s="82" t="s">
        <v>71</v>
      </c>
      <c r="C3203" s="82" t="s">
        <v>3043</v>
      </c>
      <c r="D3203" s="82" t="s">
        <v>3047</v>
      </c>
      <c r="E3203" s="11" t="str">
        <f t="array" ref="E3203">_xlfn.XLOOKUP(D3203,Insumos!B:B,Insumos!C:$C)</f>
        <v>M2</v>
      </c>
      <c r="F3203" s="86">
        <v>1</v>
      </c>
      <c r="G3203" s="92">
        <f t="array" ref="G3203">IF(B3203="insumo",_xlfn.XLOOKUP($D3203,Insumos!$B$1:$B$996,Insumos!$D$1:$D$996),"")</f>
        <v>25</v>
      </c>
      <c r="H3203" s="92">
        <v>25</v>
      </c>
      <c r="I3203" s="84" t="e">
        <v>#REF!</v>
      </c>
      <c r="J3203" s="84" t="e">
        <v>#REF!</v>
      </c>
      <c r="K3203" s="84"/>
      <c r="L3203"/>
      <c r="M3203"/>
      <c r="N3203"/>
      <c r="O3203"/>
      <c r="P3203"/>
      <c r="Q3203"/>
      <c r="R3203"/>
      <c r="S3203"/>
      <c r="T3203"/>
      <c r="U3203"/>
      <c r="V3203"/>
      <c r="W3203"/>
      <c r="X3203"/>
      <c r="Y3203"/>
      <c r="Z3203"/>
      <c r="AA3203"/>
      <c r="AB3203"/>
      <c r="AC3203"/>
      <c r="AD3203"/>
      <c r="AE3203"/>
      <c r="AF3203"/>
      <c r="AG3203"/>
      <c r="AH3203"/>
      <c r="AI3203"/>
      <c r="AJ3203"/>
      <c r="AK3203"/>
      <c r="AL3203"/>
    </row>
    <row r="3204" spans="1:38" ht="12.75" outlineLevel="3" x14ac:dyDescent="0.2">
      <c r="A3204" s="82">
        <v>1</v>
      </c>
      <c r="B3204" s="82" t="s">
        <v>71</v>
      </c>
      <c r="C3204" s="82" t="s">
        <v>3043</v>
      </c>
      <c r="D3204" s="82" t="s">
        <v>3048</v>
      </c>
      <c r="E3204" s="11" t="str">
        <f t="array" ref="E3204">_xlfn.XLOOKUP(D3204,Insumos!B:B,Insumos!C:$C)</f>
        <v>M2</v>
      </c>
      <c r="F3204" s="86">
        <v>1</v>
      </c>
      <c r="G3204" s="92">
        <f t="array" ref="G3204">IF(B3204="insumo",_xlfn.XLOOKUP($D3204,Insumos!$B$1:$B$996,Insumos!$D$1:$D$996),"")</f>
        <v>260</v>
      </c>
      <c r="H3204" s="92">
        <v>260</v>
      </c>
      <c r="I3204" s="84" t="e">
        <v>#REF!</v>
      </c>
      <c r="J3204" s="84" t="e">
        <v>#REF!</v>
      </c>
      <c r="K3204" s="84"/>
      <c r="L3204"/>
      <c r="M3204"/>
      <c r="N3204"/>
      <c r="O3204"/>
      <c r="P3204"/>
      <c r="Q3204"/>
      <c r="R3204"/>
      <c r="S3204"/>
      <c r="T3204"/>
      <c r="U3204"/>
      <c r="V3204"/>
      <c r="W3204"/>
      <c r="X3204"/>
      <c r="Y3204"/>
      <c r="Z3204"/>
      <c r="AA3204"/>
      <c r="AB3204"/>
      <c r="AC3204"/>
      <c r="AD3204"/>
      <c r="AE3204"/>
      <c r="AF3204"/>
      <c r="AG3204"/>
      <c r="AH3204"/>
      <c r="AI3204"/>
      <c r="AJ3204"/>
      <c r="AK3204"/>
      <c r="AL3204"/>
    </row>
    <row r="3205" spans="1:38" ht="12.75" outlineLevel="3" x14ac:dyDescent="0.2">
      <c r="A3205" s="82">
        <v>1</v>
      </c>
      <c r="B3205" s="82" t="s">
        <v>71</v>
      </c>
      <c r="C3205" s="82" t="s">
        <v>3043</v>
      </c>
      <c r="D3205" s="82" t="s">
        <v>3049</v>
      </c>
      <c r="E3205" s="11" t="str">
        <f t="array" ref="E3205">_xlfn.XLOOKUP(D3205,Insumos!B:B,Insumos!C:$C)</f>
        <v>M2</v>
      </c>
      <c r="F3205" s="86">
        <v>1</v>
      </c>
      <c r="G3205" s="92">
        <f t="array" ref="G3205">IF(B3205="insumo",_xlfn.XLOOKUP($D3205,Insumos!$B$1:$B$996,Insumos!$D$1:$D$996),"")</f>
        <v>320</v>
      </c>
      <c r="H3205" s="92">
        <v>320</v>
      </c>
      <c r="I3205" s="84" t="e">
        <v>#REF!</v>
      </c>
      <c r="J3205" s="84" t="e">
        <v>#REF!</v>
      </c>
      <c r="K3205" s="84"/>
      <c r="L3205"/>
      <c r="M3205"/>
      <c r="N3205"/>
      <c r="O3205"/>
      <c r="P3205"/>
      <c r="Q3205"/>
      <c r="R3205"/>
      <c r="S3205"/>
      <c r="T3205"/>
      <c r="U3205"/>
      <c r="V3205"/>
      <c r="W3205"/>
      <c r="X3205"/>
      <c r="Y3205"/>
      <c r="Z3205"/>
      <c r="AA3205"/>
      <c r="AB3205"/>
      <c r="AC3205"/>
      <c r="AD3205"/>
      <c r="AE3205"/>
      <c r="AF3205"/>
      <c r="AG3205"/>
      <c r="AH3205"/>
      <c r="AI3205"/>
      <c r="AJ3205"/>
      <c r="AK3205"/>
      <c r="AL3205"/>
    </row>
    <row r="3206" spans="1:38" ht="12.75" outlineLevel="3" x14ac:dyDescent="0.2">
      <c r="A3206" s="82">
        <v>1</v>
      </c>
      <c r="B3206" s="82" t="s">
        <v>71</v>
      </c>
      <c r="C3206" s="82" t="s">
        <v>3043</v>
      </c>
      <c r="D3206" s="82" t="s">
        <v>3050</v>
      </c>
      <c r="E3206" s="11" t="str">
        <f t="array" ref="E3206">_xlfn.XLOOKUP(D3206,Insumos!B:B,Insumos!C:$C)</f>
        <v>M2</v>
      </c>
      <c r="F3206" s="86">
        <v>1</v>
      </c>
      <c r="G3206" s="92">
        <f t="array" ref="G3206">IF(B3206="insumo",_xlfn.XLOOKUP($D3206,Insumos!$B$1:$B$996,Insumos!$D$1:$D$996),"")</f>
        <v>90</v>
      </c>
      <c r="H3206" s="92">
        <v>90</v>
      </c>
      <c r="I3206" s="84" t="e">
        <v>#REF!</v>
      </c>
      <c r="J3206" s="84" t="e">
        <v>#REF!</v>
      </c>
      <c r="K3206" s="84"/>
      <c r="L3206"/>
      <c r="M3206"/>
      <c r="N3206"/>
      <c r="O3206"/>
      <c r="P3206"/>
      <c r="Q3206"/>
      <c r="R3206"/>
      <c r="S3206"/>
      <c r="T3206"/>
      <c r="U3206"/>
      <c r="V3206"/>
      <c r="W3206"/>
      <c r="X3206"/>
      <c r="Y3206"/>
      <c r="Z3206"/>
      <c r="AA3206"/>
      <c r="AB3206"/>
      <c r="AC3206"/>
      <c r="AD3206"/>
      <c r="AE3206"/>
      <c r="AF3206"/>
      <c r="AG3206"/>
      <c r="AH3206"/>
      <c r="AI3206"/>
      <c r="AJ3206"/>
      <c r="AK3206"/>
      <c r="AL3206"/>
    </row>
    <row r="3207" spans="1:38" ht="15.75" customHeight="1" outlineLevel="2" x14ac:dyDescent="0.2">
      <c r="A3207" s="1067">
        <v>1</v>
      </c>
      <c r="B3207" s="1067" t="s">
        <v>68</v>
      </c>
      <c r="C3207" s="1081" t="s">
        <v>3056</v>
      </c>
      <c r="D3207" s="1081" t="s">
        <v>3056</v>
      </c>
      <c r="E3207" s="1068" t="s">
        <v>113</v>
      </c>
      <c r="F3207" s="1081"/>
      <c r="G3207" s="1069" t="str">
        <f t="array" ref="G3207">IF(B3207="insumo",_xlfn.XLOOKUP($D3207,Insumos!$B$1:$B$996,Insumos!$D$1:$D$996),"")</f>
        <v/>
      </c>
      <c r="H3207" s="1069">
        <v>150</v>
      </c>
      <c r="I3207" s="1082" t="e">
        <v>#REF!</v>
      </c>
      <c r="J3207" s="1082" t="e">
        <v>#REF!</v>
      </c>
      <c r="K3207" s="1082"/>
      <c r="L3207"/>
      <c r="M3207"/>
      <c r="N3207"/>
      <c r="O3207"/>
      <c r="P3207"/>
      <c r="Q3207"/>
      <c r="R3207"/>
      <c r="S3207"/>
      <c r="T3207"/>
      <c r="U3207"/>
      <c r="V3207"/>
      <c r="W3207"/>
      <c r="X3207"/>
      <c r="Y3207"/>
      <c r="Z3207"/>
      <c r="AA3207"/>
      <c r="AB3207"/>
      <c r="AC3207"/>
      <c r="AD3207"/>
      <c r="AE3207"/>
      <c r="AF3207"/>
      <c r="AG3207"/>
      <c r="AH3207"/>
      <c r="AI3207"/>
      <c r="AJ3207"/>
      <c r="AK3207"/>
      <c r="AL3207"/>
    </row>
    <row r="3208" spans="1:38" ht="15.75" customHeight="1" outlineLevel="3" x14ac:dyDescent="0.2">
      <c r="A3208" s="10">
        <v>1</v>
      </c>
      <c r="B3208" s="10" t="s">
        <v>71</v>
      </c>
      <c r="C3208" s="82" t="s">
        <v>3056</v>
      </c>
      <c r="D3208" s="82" t="s">
        <v>3056</v>
      </c>
      <c r="E3208" s="11" t="str">
        <f t="array" ref="E3208">_xlfn.XLOOKUP(D3208,Insumos!B:B,Insumos!C:$C)</f>
        <v>M</v>
      </c>
      <c r="F3208" s="14">
        <v>1</v>
      </c>
      <c r="G3208" s="92">
        <f t="array" ref="G3208">IF(B3208="insumo",_xlfn.XLOOKUP($D3208,Insumos!$B$1:$B$996,Insumos!$D$1:$D$996),"")</f>
        <v>150</v>
      </c>
      <c r="H3208" s="92">
        <v>150</v>
      </c>
      <c r="I3208" s="13" t="e">
        <v>#REF!</v>
      </c>
      <c r="J3208" s="13" t="e">
        <v>#REF!</v>
      </c>
      <c r="K3208" s="13"/>
      <c r="L3208"/>
      <c r="M3208"/>
      <c r="N3208"/>
      <c r="O3208"/>
      <c r="P3208"/>
      <c r="Q3208"/>
      <c r="R3208"/>
      <c r="S3208"/>
      <c r="T3208"/>
      <c r="U3208"/>
      <c r="V3208"/>
      <c r="W3208"/>
      <c r="X3208"/>
      <c r="Y3208"/>
      <c r="Z3208"/>
      <c r="AA3208"/>
      <c r="AB3208"/>
      <c r="AC3208"/>
      <c r="AD3208"/>
      <c r="AE3208"/>
      <c r="AF3208"/>
      <c r="AG3208"/>
      <c r="AH3208"/>
      <c r="AI3208"/>
      <c r="AJ3208"/>
      <c r="AK3208"/>
      <c r="AL3208"/>
    </row>
    <row r="3209" spans="1:38" ht="15.75" customHeight="1" outlineLevel="2" x14ac:dyDescent="0.2">
      <c r="A3209" s="1067">
        <v>1</v>
      </c>
      <c r="B3209" s="1067" t="s">
        <v>68</v>
      </c>
      <c r="C3209" s="1081" t="s">
        <v>636</v>
      </c>
      <c r="D3209" s="1081" t="s">
        <v>636</v>
      </c>
      <c r="E3209" s="1068" t="s">
        <v>70</v>
      </c>
      <c r="F3209" s="1081"/>
      <c r="G3209" s="1069" t="str">
        <f t="array" ref="G3209">IF(B3209="insumo",_xlfn.XLOOKUP($D3209,Insumos!$B$1:$B$996,Insumos!$D$1:$D$996),"")</f>
        <v/>
      </c>
      <c r="H3209" s="1069">
        <v>568.92672413793105</v>
      </c>
      <c r="I3209" s="1082">
        <v>0</v>
      </c>
      <c r="J3209" s="1082">
        <v>0</v>
      </c>
      <c r="K3209" s="1082"/>
      <c r="L3209"/>
      <c r="M3209"/>
      <c r="N3209"/>
      <c r="O3209"/>
      <c r="P3209"/>
      <c r="Q3209"/>
      <c r="R3209"/>
      <c r="S3209"/>
      <c r="T3209"/>
      <c r="U3209"/>
      <c r="V3209"/>
      <c r="W3209"/>
      <c r="X3209"/>
      <c r="Y3209"/>
      <c r="Z3209"/>
      <c r="AA3209"/>
      <c r="AB3209"/>
      <c r="AC3209"/>
      <c r="AD3209"/>
      <c r="AE3209"/>
      <c r="AF3209"/>
      <c r="AG3209"/>
      <c r="AH3209"/>
      <c r="AI3209"/>
      <c r="AJ3209"/>
      <c r="AK3209"/>
      <c r="AL3209"/>
    </row>
    <row r="3210" spans="1:38" ht="15.75" customHeight="1" outlineLevel="3" x14ac:dyDescent="0.2">
      <c r="A3210" s="10">
        <v>2</v>
      </c>
      <c r="B3210" s="10" t="s">
        <v>71</v>
      </c>
      <c r="C3210" s="10" t="s">
        <v>636</v>
      </c>
      <c r="D3210" s="10" t="s">
        <v>637</v>
      </c>
      <c r="E3210" s="11" t="str">
        <f t="array" ref="E3210">_xlfn.XLOOKUP(D3210,Insumos!B:B,Insumos!C:$C)</f>
        <v>M2</v>
      </c>
      <c r="F3210" s="14">
        <v>1</v>
      </c>
      <c r="G3210" s="92">
        <f t="array" ref="G3210">IF(B3210="insumo",_xlfn.XLOOKUP($D3210,Insumos!$B$1:$B$996,Insumos!$D$1:$D$996),"")</f>
        <v>568.92672413793116</v>
      </c>
      <c r="H3210" s="92">
        <v>568.92672413793105</v>
      </c>
      <c r="I3210" s="13">
        <v>0</v>
      </c>
      <c r="J3210" s="13">
        <v>0</v>
      </c>
      <c r="K3210" s="13"/>
      <c r="L3210"/>
      <c r="M3210"/>
      <c r="N3210"/>
      <c r="O3210"/>
      <c r="P3210"/>
      <c r="Q3210"/>
      <c r="R3210"/>
      <c r="S3210"/>
      <c r="T3210"/>
      <c r="U3210"/>
      <c r="V3210"/>
      <c r="W3210"/>
      <c r="X3210"/>
      <c r="Y3210"/>
      <c r="Z3210"/>
      <c r="AA3210"/>
      <c r="AB3210"/>
      <c r="AC3210"/>
      <c r="AD3210"/>
      <c r="AE3210"/>
      <c r="AF3210"/>
      <c r="AG3210"/>
      <c r="AH3210"/>
      <c r="AI3210"/>
      <c r="AJ3210"/>
      <c r="AK3210"/>
      <c r="AL3210"/>
    </row>
    <row r="3211" spans="1:38" ht="15.75" customHeight="1" outlineLevel="2" x14ac:dyDescent="0.2">
      <c r="A3211" s="1067">
        <v>1</v>
      </c>
      <c r="B3211" s="1067" t="s">
        <v>68</v>
      </c>
      <c r="C3211" s="1067" t="s">
        <v>705</v>
      </c>
      <c r="D3211" s="1067" t="s">
        <v>705</v>
      </c>
      <c r="E3211" s="1068" t="s">
        <v>70</v>
      </c>
      <c r="F3211" s="1067"/>
      <c r="G3211" s="1069" t="str">
        <f t="array" ref="G3211">IF(B3211="insumo",_xlfn.XLOOKUP($D3211,Insumos!$B$1:$B$996,Insumos!$D$1:$D$996),"")</f>
        <v/>
      </c>
      <c r="H3211" s="1069">
        <v>150</v>
      </c>
      <c r="I3211" s="1070">
        <v>0</v>
      </c>
      <c r="J3211" s="1070">
        <v>0</v>
      </c>
      <c r="K3211" s="1070"/>
      <c r="L3211"/>
      <c r="M3211"/>
      <c r="N3211"/>
      <c r="O3211"/>
      <c r="P3211"/>
      <c r="Q3211"/>
      <c r="R3211"/>
      <c r="S3211"/>
      <c r="T3211"/>
      <c r="U3211"/>
      <c r="V3211"/>
      <c r="W3211"/>
      <c r="X3211"/>
      <c r="Y3211"/>
      <c r="Z3211"/>
      <c r="AA3211"/>
      <c r="AB3211"/>
      <c r="AC3211"/>
      <c r="AD3211"/>
      <c r="AE3211"/>
      <c r="AF3211"/>
      <c r="AG3211"/>
      <c r="AH3211"/>
      <c r="AI3211"/>
      <c r="AJ3211"/>
      <c r="AK3211"/>
      <c r="AL3211"/>
    </row>
    <row r="3212" spans="1:38" ht="15.75" customHeight="1" outlineLevel="3" x14ac:dyDescent="0.2">
      <c r="A3212" s="10">
        <v>3</v>
      </c>
      <c r="B3212" s="10" t="s">
        <v>71</v>
      </c>
      <c r="C3212" s="10" t="s">
        <v>705</v>
      </c>
      <c r="D3212" s="10" t="s">
        <v>706</v>
      </c>
      <c r="E3212" s="11" t="str">
        <f t="array" ref="E3212">_xlfn.XLOOKUP(D3212,Insumos!B:B,Insumos!C:$C)</f>
        <v>M2</v>
      </c>
      <c r="F3212" s="14">
        <v>1</v>
      </c>
      <c r="G3212" s="92">
        <f t="array" ref="G3212">IF(B3212="insumo",_xlfn.XLOOKUP($D3212,Insumos!$B$1:$B$996,Insumos!$D$1:$D$996),"")</f>
        <v>150</v>
      </c>
      <c r="H3212" s="92">
        <v>150</v>
      </c>
      <c r="I3212" s="13">
        <v>0</v>
      </c>
      <c r="J3212" s="13">
        <v>0</v>
      </c>
      <c r="K3212" s="13"/>
      <c r="L3212"/>
      <c r="M3212"/>
      <c r="N3212"/>
      <c r="O3212"/>
      <c r="P3212"/>
      <c r="Q3212"/>
      <c r="R3212"/>
      <c r="S3212"/>
      <c r="T3212"/>
      <c r="U3212"/>
      <c r="V3212"/>
      <c r="W3212"/>
      <c r="X3212"/>
      <c r="Y3212"/>
      <c r="Z3212"/>
      <c r="AA3212"/>
      <c r="AB3212"/>
      <c r="AC3212"/>
      <c r="AD3212"/>
      <c r="AE3212"/>
      <c r="AF3212"/>
      <c r="AG3212"/>
      <c r="AH3212"/>
      <c r="AI3212"/>
      <c r="AJ3212"/>
      <c r="AK3212"/>
      <c r="AL3212"/>
    </row>
    <row r="3213" spans="1:38" ht="15.75" customHeight="1" outlineLevel="2" x14ac:dyDescent="0.2">
      <c r="A3213" s="1067">
        <v>1</v>
      </c>
      <c r="B3213" s="1067" t="s">
        <v>68</v>
      </c>
      <c r="C3213" s="1067" t="s">
        <v>707</v>
      </c>
      <c r="D3213" s="1067" t="s">
        <v>707</v>
      </c>
      <c r="E3213" s="1068" t="s">
        <v>70</v>
      </c>
      <c r="F3213" s="1067"/>
      <c r="G3213" s="1069" t="str">
        <f t="array" ref="G3213">IF(B3213="insumo",_xlfn.XLOOKUP($D3213,Insumos!$B$1:$B$996,Insumos!$D$1:$D$996),"")</f>
        <v/>
      </c>
      <c r="H3213" s="1069">
        <v>150</v>
      </c>
      <c r="I3213" s="1070">
        <v>0</v>
      </c>
      <c r="J3213" s="1070">
        <v>0</v>
      </c>
      <c r="K3213" s="1070"/>
      <c r="L3213"/>
      <c r="M3213"/>
      <c r="N3213"/>
      <c r="O3213"/>
      <c r="P3213"/>
      <c r="Q3213"/>
      <c r="R3213"/>
      <c r="S3213"/>
      <c r="T3213"/>
      <c r="U3213"/>
      <c r="V3213"/>
      <c r="W3213"/>
      <c r="X3213"/>
      <c r="Y3213"/>
      <c r="Z3213"/>
      <c r="AA3213"/>
      <c r="AB3213"/>
      <c r="AC3213"/>
      <c r="AD3213"/>
      <c r="AE3213"/>
      <c r="AF3213"/>
      <c r="AG3213"/>
      <c r="AH3213"/>
      <c r="AI3213"/>
      <c r="AJ3213"/>
      <c r="AK3213"/>
      <c r="AL3213"/>
    </row>
    <row r="3214" spans="1:38" ht="15.75" customHeight="1" outlineLevel="3" x14ac:dyDescent="0.2">
      <c r="A3214" s="10">
        <v>3</v>
      </c>
      <c r="B3214" s="10" t="s">
        <v>71</v>
      </c>
      <c r="C3214" s="10" t="s">
        <v>707</v>
      </c>
      <c r="D3214" s="10" t="s">
        <v>706</v>
      </c>
      <c r="E3214" s="11" t="str">
        <f t="array" ref="E3214">_xlfn.XLOOKUP(D3214,Insumos!B:B,Insumos!C:$C)</f>
        <v>M2</v>
      </c>
      <c r="F3214" s="14">
        <v>1</v>
      </c>
      <c r="G3214" s="92">
        <f t="array" ref="G3214">IF(B3214="insumo",_xlfn.XLOOKUP($D3214,Insumos!$B$1:$B$996,Insumos!$D$1:$D$996),"")</f>
        <v>150</v>
      </c>
      <c r="H3214" s="92">
        <v>150</v>
      </c>
      <c r="I3214" s="13">
        <v>0</v>
      </c>
      <c r="J3214" s="13">
        <v>0</v>
      </c>
      <c r="K3214" s="13"/>
      <c r="L3214"/>
      <c r="M3214"/>
      <c r="N3214"/>
      <c r="O3214"/>
      <c r="P3214"/>
      <c r="Q3214"/>
      <c r="R3214"/>
      <c r="S3214"/>
      <c r="T3214"/>
      <c r="U3214"/>
      <c r="V3214"/>
      <c r="W3214"/>
      <c r="X3214"/>
      <c r="Y3214"/>
      <c r="Z3214"/>
      <c r="AA3214"/>
      <c r="AB3214"/>
      <c r="AC3214"/>
      <c r="AD3214"/>
      <c r="AE3214"/>
      <c r="AF3214"/>
      <c r="AG3214"/>
      <c r="AH3214"/>
      <c r="AI3214"/>
      <c r="AJ3214"/>
      <c r="AK3214"/>
      <c r="AL3214"/>
    </row>
    <row r="3215" spans="1:38" ht="15.75" customHeight="1" outlineLevel="2" x14ac:dyDescent="0.2">
      <c r="A3215" s="1067">
        <v>1</v>
      </c>
      <c r="B3215" s="1067" t="s">
        <v>68</v>
      </c>
      <c r="C3215" s="1067" t="s">
        <v>1501</v>
      </c>
      <c r="D3215" s="1067" t="s">
        <v>1501</v>
      </c>
      <c r="E3215" s="1068" t="s">
        <v>70</v>
      </c>
      <c r="F3215" s="1081"/>
      <c r="G3215" s="1069" t="str">
        <f t="array" ref="G3215">IF(B3215="insumo",_xlfn.XLOOKUP($D3215,Insumos!$B$1:$B$996,Insumos!$D$1:$D$996),"")</f>
        <v/>
      </c>
      <c r="H3215" s="1069">
        <v>240</v>
      </c>
      <c r="I3215" s="1082">
        <v>0</v>
      </c>
      <c r="J3215" s="1082">
        <v>0</v>
      </c>
      <c r="K3215" s="1082"/>
      <c r="L3215"/>
      <c r="M3215"/>
      <c r="N3215"/>
      <c r="O3215"/>
      <c r="P3215"/>
      <c r="Q3215"/>
      <c r="R3215"/>
      <c r="S3215"/>
      <c r="T3215"/>
      <c r="U3215"/>
      <c r="V3215"/>
      <c r="W3215"/>
      <c r="X3215"/>
      <c r="Y3215"/>
      <c r="Z3215"/>
      <c r="AA3215"/>
      <c r="AB3215"/>
      <c r="AC3215"/>
      <c r="AD3215"/>
      <c r="AE3215"/>
      <c r="AF3215"/>
      <c r="AG3215"/>
      <c r="AH3215"/>
      <c r="AI3215"/>
      <c r="AJ3215"/>
      <c r="AK3215"/>
      <c r="AL3215"/>
    </row>
    <row r="3216" spans="1:38" ht="15.75" customHeight="1" outlineLevel="3" x14ac:dyDescent="0.2">
      <c r="A3216" s="10">
        <v>1</v>
      </c>
      <c r="B3216" s="10" t="s">
        <v>71</v>
      </c>
      <c r="C3216" s="10" t="s">
        <v>1501</v>
      </c>
      <c r="D3216" s="10" t="s">
        <v>1504</v>
      </c>
      <c r="E3216" s="11" t="str">
        <f t="array" ref="E3216">_xlfn.XLOOKUP(D3216,Insumos!B:B,Insumos!C:$C)</f>
        <v>M2</v>
      </c>
      <c r="F3216" s="14">
        <v>1</v>
      </c>
      <c r="G3216" s="92">
        <f t="array" ref="G3216">IF(B3216="insumo",_xlfn.XLOOKUP($D3216,Insumos!$B$1:$B$996,Insumos!$D$1:$D$996),"")</f>
        <v>240</v>
      </c>
      <c r="H3216" s="92">
        <v>240</v>
      </c>
      <c r="I3216" s="13">
        <v>0</v>
      </c>
      <c r="J3216" s="13">
        <v>0</v>
      </c>
      <c r="K3216" s="13"/>
      <c r="L3216"/>
      <c r="M3216"/>
      <c r="N3216"/>
      <c r="O3216"/>
      <c r="P3216"/>
      <c r="Q3216"/>
      <c r="R3216"/>
      <c r="S3216"/>
      <c r="T3216"/>
      <c r="U3216"/>
      <c r="V3216"/>
      <c r="W3216"/>
      <c r="X3216"/>
      <c r="Y3216"/>
      <c r="Z3216"/>
      <c r="AA3216"/>
      <c r="AB3216"/>
      <c r="AC3216"/>
      <c r="AD3216"/>
      <c r="AE3216"/>
      <c r="AF3216"/>
      <c r="AG3216"/>
      <c r="AH3216"/>
      <c r="AI3216"/>
      <c r="AJ3216"/>
      <c r="AK3216"/>
      <c r="AL3216"/>
    </row>
    <row r="3217" spans="1:38" ht="15.75" customHeight="1" outlineLevel="2" x14ac:dyDescent="0.2">
      <c r="A3217" s="1067">
        <v>1</v>
      </c>
      <c r="B3217" s="1067" t="s">
        <v>68</v>
      </c>
      <c r="C3217" s="1067" t="s">
        <v>3036</v>
      </c>
      <c r="D3217" s="1067" t="s">
        <v>3036</v>
      </c>
      <c r="E3217" s="1068" t="s">
        <v>70</v>
      </c>
      <c r="F3217" s="1067"/>
      <c r="G3217" s="1069" t="str">
        <f t="array" ref="G3217">IF(B3217="insumo",_xlfn.XLOOKUP($D3217,Insumos!$B$1:$B$996,Insumos!$D$1:$D$996),"")</f>
        <v/>
      </c>
      <c r="H3217" s="1069">
        <v>590</v>
      </c>
      <c r="I3217" s="1070" t="e">
        <v>#REF!</v>
      </c>
      <c r="J3217" s="1070" t="e">
        <v>#REF!</v>
      </c>
      <c r="K3217" s="1070"/>
      <c r="L3217"/>
      <c r="M3217"/>
      <c r="N3217"/>
      <c r="O3217"/>
      <c r="P3217"/>
      <c r="Q3217"/>
      <c r="R3217"/>
      <c r="S3217"/>
      <c r="T3217"/>
      <c r="U3217"/>
      <c r="V3217"/>
      <c r="W3217"/>
      <c r="X3217"/>
      <c r="Y3217"/>
      <c r="Z3217"/>
      <c r="AA3217"/>
      <c r="AB3217"/>
      <c r="AC3217"/>
      <c r="AD3217"/>
      <c r="AE3217"/>
      <c r="AF3217"/>
      <c r="AG3217"/>
      <c r="AH3217"/>
      <c r="AI3217"/>
      <c r="AJ3217"/>
      <c r="AK3217"/>
      <c r="AL3217"/>
    </row>
    <row r="3218" spans="1:38" ht="15.75" customHeight="1" outlineLevel="3" x14ac:dyDescent="0.2">
      <c r="A3218" s="10">
        <v>1</v>
      </c>
      <c r="B3218" s="10" t="s">
        <v>71</v>
      </c>
      <c r="C3218" s="10" t="s">
        <v>3036</v>
      </c>
      <c r="D3218" s="10" t="s">
        <v>3035</v>
      </c>
      <c r="E3218" s="11" t="str">
        <f t="array" ref="E3218">_xlfn.XLOOKUP(D3218,Insumos!B:B,Insumos!C:$C)</f>
        <v>M2</v>
      </c>
      <c r="F3218" s="14">
        <v>1</v>
      </c>
      <c r="G3218" s="92">
        <f t="array" ref="G3218">IF(B3218="insumo",_xlfn.XLOOKUP($D3218,Insumos!$B$1:$B$996,Insumos!$D$1:$D$996),"")</f>
        <v>590</v>
      </c>
      <c r="H3218" s="92">
        <v>590</v>
      </c>
      <c r="I3218" s="13" t="e">
        <v>#REF!</v>
      </c>
      <c r="J3218" s="13" t="e">
        <v>#REF!</v>
      </c>
      <c r="K3218" s="13"/>
      <c r="L3218"/>
      <c r="M3218"/>
      <c r="N3218"/>
      <c r="O3218"/>
      <c r="P3218"/>
      <c r="Q3218"/>
      <c r="R3218"/>
      <c r="S3218"/>
      <c r="T3218"/>
      <c r="U3218"/>
      <c r="V3218"/>
      <c r="W3218"/>
      <c r="X3218"/>
      <c r="Y3218"/>
      <c r="Z3218"/>
      <c r="AA3218"/>
      <c r="AB3218"/>
      <c r="AC3218"/>
      <c r="AD3218"/>
      <c r="AE3218"/>
      <c r="AF3218"/>
      <c r="AG3218"/>
      <c r="AH3218"/>
      <c r="AI3218"/>
      <c r="AJ3218"/>
      <c r="AK3218"/>
      <c r="AL3218"/>
    </row>
    <row r="3219" spans="1:38" ht="15.75" customHeight="1" outlineLevel="2" x14ac:dyDescent="0.2">
      <c r="A3219" s="1067">
        <v>1</v>
      </c>
      <c r="B3219" s="1067" t="s">
        <v>68</v>
      </c>
      <c r="C3219" s="1067" t="s">
        <v>3042</v>
      </c>
      <c r="D3219" s="1067" t="s">
        <v>3042</v>
      </c>
      <c r="E3219" s="1068" t="s">
        <v>70</v>
      </c>
      <c r="F3219" s="1067"/>
      <c r="G3219" s="1069" t="str">
        <f t="array" ref="G3219">IF(B3219="insumo",_xlfn.XLOOKUP($D3219,Insumos!$B$1:$B$996,Insumos!$D$1:$D$996),"")</f>
        <v/>
      </c>
      <c r="H3219" s="1069">
        <v>590</v>
      </c>
      <c r="I3219" s="1070" t="e">
        <v>#REF!</v>
      </c>
      <c r="J3219" s="1070" t="e">
        <v>#REF!</v>
      </c>
      <c r="K3219" s="1070"/>
      <c r="L3219"/>
      <c r="M3219"/>
      <c r="N3219"/>
      <c r="O3219"/>
      <c r="P3219"/>
      <c r="Q3219"/>
      <c r="R3219"/>
      <c r="S3219"/>
      <c r="T3219"/>
      <c r="U3219"/>
      <c r="V3219"/>
      <c r="W3219"/>
      <c r="X3219"/>
      <c r="Y3219"/>
      <c r="Z3219"/>
      <c r="AA3219"/>
      <c r="AB3219"/>
      <c r="AC3219"/>
      <c r="AD3219"/>
      <c r="AE3219"/>
      <c r="AF3219"/>
      <c r="AG3219"/>
      <c r="AH3219"/>
      <c r="AI3219"/>
      <c r="AJ3219"/>
      <c r="AK3219"/>
      <c r="AL3219"/>
    </row>
    <row r="3220" spans="1:38" ht="15.75" customHeight="1" outlineLevel="3" x14ac:dyDescent="0.2">
      <c r="A3220" s="10">
        <v>1</v>
      </c>
      <c r="B3220" s="10" t="s">
        <v>71</v>
      </c>
      <c r="C3220" s="10" t="s">
        <v>3042</v>
      </c>
      <c r="D3220" s="10" t="s">
        <v>3041</v>
      </c>
      <c r="E3220" s="11" t="str">
        <f t="array" ref="E3220">_xlfn.XLOOKUP(D3220,Insumos!B:B,Insumos!C:$C)</f>
        <v>M2</v>
      </c>
      <c r="F3220" s="14">
        <v>1</v>
      </c>
      <c r="G3220" s="92">
        <f t="array" ref="G3220">IF(B3220="insumo",_xlfn.XLOOKUP($D3220,Insumos!$B$1:$B$996,Insumos!$D$1:$D$996),"")</f>
        <v>590</v>
      </c>
      <c r="H3220" s="92">
        <v>590</v>
      </c>
      <c r="I3220" s="13" t="e">
        <v>#REF!</v>
      </c>
      <c r="J3220" s="13" t="e">
        <v>#REF!</v>
      </c>
      <c r="K3220" s="13"/>
      <c r="L3220"/>
      <c r="M3220"/>
      <c r="N3220"/>
      <c r="O3220"/>
      <c r="P3220"/>
      <c r="Q3220"/>
      <c r="R3220"/>
      <c r="S3220"/>
      <c r="T3220"/>
      <c r="U3220"/>
      <c r="V3220"/>
      <c r="W3220"/>
      <c r="X3220"/>
      <c r="Y3220"/>
      <c r="Z3220"/>
      <c r="AA3220"/>
      <c r="AB3220"/>
      <c r="AC3220"/>
      <c r="AD3220"/>
      <c r="AE3220"/>
      <c r="AF3220"/>
      <c r="AG3220"/>
      <c r="AH3220"/>
      <c r="AI3220"/>
      <c r="AJ3220"/>
      <c r="AK3220"/>
      <c r="AL3220"/>
    </row>
    <row r="3221" spans="1:38" ht="15.75" customHeight="1" outlineLevel="2" x14ac:dyDescent="0.2">
      <c r="A3221" s="1067">
        <v>1</v>
      </c>
      <c r="B3221" s="1067" t="s">
        <v>68</v>
      </c>
      <c r="C3221" s="1067" t="s">
        <v>3037</v>
      </c>
      <c r="D3221" s="1067" t="s">
        <v>3037</v>
      </c>
      <c r="E3221" s="1068" t="s">
        <v>70</v>
      </c>
      <c r="F3221" s="1067"/>
      <c r="G3221" s="1069" t="str">
        <f t="array" ref="G3221">IF(B3221="insumo",_xlfn.XLOOKUP($D3221,Insumos!$B$1:$B$996,Insumos!$D$1:$D$996),"")</f>
        <v/>
      </c>
      <c r="H3221" s="1069">
        <v>590</v>
      </c>
      <c r="I3221" s="1070" t="e">
        <v>#REF!</v>
      </c>
      <c r="J3221" s="1070" t="e">
        <v>#REF!</v>
      </c>
      <c r="K3221" s="1070"/>
      <c r="L3221"/>
      <c r="M3221"/>
      <c r="N3221"/>
      <c r="O3221"/>
      <c r="P3221"/>
      <c r="Q3221"/>
      <c r="R3221"/>
      <c r="S3221"/>
      <c r="T3221"/>
      <c r="U3221"/>
      <c r="V3221"/>
      <c r="W3221"/>
      <c r="X3221"/>
      <c r="Y3221"/>
      <c r="Z3221"/>
      <c r="AA3221"/>
      <c r="AB3221"/>
      <c r="AC3221"/>
      <c r="AD3221"/>
      <c r="AE3221"/>
      <c r="AF3221"/>
      <c r="AG3221"/>
      <c r="AH3221"/>
      <c r="AI3221"/>
      <c r="AJ3221"/>
      <c r="AK3221"/>
      <c r="AL3221"/>
    </row>
    <row r="3222" spans="1:38" ht="15.75" customHeight="1" outlineLevel="3" x14ac:dyDescent="0.2">
      <c r="A3222" s="10">
        <v>1</v>
      </c>
      <c r="B3222" s="10" t="s">
        <v>71</v>
      </c>
      <c r="C3222" s="10" t="s">
        <v>3037</v>
      </c>
      <c r="D3222" s="10" t="s">
        <v>3038</v>
      </c>
      <c r="E3222" s="11" t="str">
        <f t="array" ref="E3222">_xlfn.XLOOKUP(D3222,Insumos!B:B,Insumos!C:$C)</f>
        <v>M2</v>
      </c>
      <c r="F3222" s="14">
        <v>1</v>
      </c>
      <c r="G3222" s="92">
        <f t="array" ref="G3222">IF(B3222="insumo",_xlfn.XLOOKUP($D3222,Insumos!$B$1:$B$996,Insumos!$D$1:$D$996),"")</f>
        <v>590</v>
      </c>
      <c r="H3222" s="92">
        <v>590</v>
      </c>
      <c r="I3222" s="13" t="e">
        <v>#REF!</v>
      </c>
      <c r="J3222" s="13" t="e">
        <v>#REF!</v>
      </c>
      <c r="K3222" s="13"/>
      <c r="L3222"/>
      <c r="M3222"/>
      <c r="N3222"/>
      <c r="O3222"/>
      <c r="P3222"/>
      <c r="Q3222"/>
      <c r="R3222"/>
      <c r="S3222"/>
      <c r="T3222"/>
      <c r="U3222"/>
      <c r="V3222"/>
      <c r="W3222"/>
      <c r="X3222"/>
      <c r="Y3222"/>
      <c r="Z3222"/>
      <c r="AA3222"/>
      <c r="AB3222"/>
      <c r="AC3222"/>
      <c r="AD3222"/>
      <c r="AE3222"/>
      <c r="AF3222"/>
      <c r="AG3222"/>
      <c r="AH3222"/>
      <c r="AI3222"/>
      <c r="AJ3222"/>
      <c r="AK3222"/>
      <c r="AL3222"/>
    </row>
    <row r="3223" spans="1:38" ht="15.75" customHeight="1" outlineLevel="2" x14ac:dyDescent="0.2">
      <c r="A3223" s="1067">
        <v>1</v>
      </c>
      <c r="B3223" s="1067" t="s">
        <v>68</v>
      </c>
      <c r="C3223" s="1067" t="s">
        <v>1502</v>
      </c>
      <c r="D3223" s="1067" t="s">
        <v>1502</v>
      </c>
      <c r="E3223" s="1068" t="s">
        <v>70</v>
      </c>
      <c r="F3223" s="1067"/>
      <c r="G3223" s="1069" t="str">
        <f t="array" ref="G3223">IF(B3223="insumo",_xlfn.XLOOKUP($D3223,Insumos!$B$1:$B$996,Insumos!$D$1:$D$996),"")</f>
        <v/>
      </c>
      <c r="H3223" s="1069">
        <v>269.76</v>
      </c>
      <c r="I3223" s="1070">
        <v>0</v>
      </c>
      <c r="J3223" s="1070">
        <v>0</v>
      </c>
      <c r="K3223" s="1070"/>
      <c r="L3223"/>
      <c r="M3223"/>
      <c r="N3223"/>
      <c r="O3223"/>
      <c r="P3223"/>
      <c r="Q3223"/>
      <c r="R3223"/>
      <c r="S3223"/>
      <c r="T3223"/>
      <c r="U3223"/>
      <c r="V3223"/>
      <c r="W3223"/>
      <c r="X3223"/>
      <c r="Y3223"/>
      <c r="Z3223"/>
      <c r="AA3223"/>
      <c r="AB3223"/>
      <c r="AC3223"/>
      <c r="AD3223"/>
      <c r="AE3223"/>
      <c r="AF3223"/>
      <c r="AG3223"/>
      <c r="AH3223"/>
      <c r="AI3223"/>
      <c r="AJ3223"/>
      <c r="AK3223"/>
      <c r="AL3223"/>
    </row>
    <row r="3224" spans="1:38" ht="15.75" customHeight="1" outlineLevel="3" x14ac:dyDescent="0.2">
      <c r="A3224" s="10">
        <v>2</v>
      </c>
      <c r="B3224" s="10" t="s">
        <v>71</v>
      </c>
      <c r="C3224" s="10" t="s">
        <v>1502</v>
      </c>
      <c r="D3224" s="10" t="s">
        <v>1505</v>
      </c>
      <c r="E3224" s="11" t="str">
        <f t="array" ref="E3224">_xlfn.XLOOKUP(D3224,Insumos!B:B,Insumos!C:$C)</f>
        <v>M2</v>
      </c>
      <c r="F3224" s="14">
        <v>1</v>
      </c>
      <c r="G3224" s="92">
        <f t="array" ref="G3224">IF(B3224="insumo",_xlfn.XLOOKUP($D3224,Insumos!$B$1:$B$996,Insumos!$D$1:$D$996),"")</f>
        <v>269.76</v>
      </c>
      <c r="H3224" s="92">
        <v>269.76</v>
      </c>
      <c r="I3224" s="13">
        <v>0</v>
      </c>
      <c r="J3224" s="13">
        <v>0</v>
      </c>
      <c r="K3224" s="13"/>
      <c r="L3224"/>
      <c r="M3224"/>
      <c r="N3224"/>
      <c r="O3224"/>
      <c r="P3224"/>
      <c r="Q3224"/>
      <c r="R3224"/>
      <c r="S3224"/>
      <c r="T3224"/>
      <c r="U3224"/>
      <c r="V3224"/>
      <c r="W3224"/>
      <c r="X3224"/>
      <c r="Y3224"/>
      <c r="Z3224"/>
      <c r="AA3224"/>
      <c r="AB3224"/>
      <c r="AC3224"/>
      <c r="AD3224"/>
      <c r="AE3224"/>
      <c r="AF3224"/>
      <c r="AG3224"/>
      <c r="AH3224"/>
      <c r="AI3224"/>
      <c r="AJ3224"/>
      <c r="AK3224"/>
      <c r="AL3224"/>
    </row>
    <row r="3225" spans="1:38" ht="15.75" customHeight="1" outlineLevel="2" x14ac:dyDescent="0.2">
      <c r="A3225" s="1067">
        <v>1</v>
      </c>
      <c r="B3225" s="1067" t="s">
        <v>68</v>
      </c>
      <c r="C3225" s="1067" t="s">
        <v>1503</v>
      </c>
      <c r="D3225" s="1067" t="s">
        <v>1503</v>
      </c>
      <c r="E3225" s="1068" t="s">
        <v>70</v>
      </c>
      <c r="F3225" s="1067"/>
      <c r="G3225" s="1069" t="str">
        <f t="array" ref="G3225">IF(B3225="insumo",_xlfn.XLOOKUP($D3225,Insumos!$B$1:$B$996,Insumos!$D$1:$D$996),"")</f>
        <v/>
      </c>
      <c r="H3225" s="1069">
        <v>161.80000000000001</v>
      </c>
      <c r="I3225" s="1070">
        <v>0</v>
      </c>
      <c r="J3225" s="1070">
        <v>0</v>
      </c>
      <c r="K3225" s="1070"/>
      <c r="L3225"/>
      <c r="M3225"/>
      <c r="N3225"/>
      <c r="O3225"/>
      <c r="P3225"/>
      <c r="Q3225"/>
      <c r="R3225"/>
      <c r="S3225"/>
      <c r="T3225"/>
      <c r="U3225"/>
      <c r="V3225"/>
      <c r="W3225"/>
      <c r="X3225"/>
      <c r="Y3225"/>
      <c r="Z3225"/>
      <c r="AA3225"/>
      <c r="AB3225"/>
      <c r="AC3225"/>
      <c r="AD3225"/>
      <c r="AE3225"/>
      <c r="AF3225"/>
      <c r="AG3225"/>
      <c r="AH3225"/>
      <c r="AI3225"/>
      <c r="AJ3225"/>
      <c r="AK3225"/>
      <c r="AL3225"/>
    </row>
    <row r="3226" spans="1:38" ht="15.75" customHeight="1" outlineLevel="3" x14ac:dyDescent="0.2">
      <c r="A3226" s="10">
        <v>1</v>
      </c>
      <c r="B3226" s="10" t="s">
        <v>71</v>
      </c>
      <c r="C3226" s="10" t="s">
        <v>1503</v>
      </c>
      <c r="D3226" s="10" t="s">
        <v>1506</v>
      </c>
      <c r="E3226" s="11" t="str">
        <f t="array" ref="E3226">_xlfn.XLOOKUP(D3226,Insumos!B:B,Insumos!C:$C)</f>
        <v>M2</v>
      </c>
      <c r="F3226" s="14">
        <v>1</v>
      </c>
      <c r="G3226" s="92">
        <f t="array" ref="G3226">IF(B3226="insumo",_xlfn.XLOOKUP($D3226,Insumos!$B$1:$B$996,Insumos!$D$1:$D$996),"")</f>
        <v>161.80000000000001</v>
      </c>
      <c r="H3226" s="92">
        <v>161.80000000000001</v>
      </c>
      <c r="I3226" s="13">
        <v>0</v>
      </c>
      <c r="J3226" s="13">
        <v>0</v>
      </c>
      <c r="K3226" s="13"/>
      <c r="L3226"/>
      <c r="M3226"/>
      <c r="N3226"/>
      <c r="O3226"/>
      <c r="P3226"/>
      <c r="Q3226"/>
      <c r="R3226"/>
      <c r="S3226"/>
      <c r="T3226"/>
      <c r="U3226"/>
      <c r="V3226"/>
      <c r="W3226"/>
      <c r="X3226"/>
      <c r="Y3226"/>
      <c r="Z3226"/>
      <c r="AA3226"/>
      <c r="AB3226"/>
      <c r="AC3226"/>
      <c r="AD3226"/>
      <c r="AE3226"/>
      <c r="AF3226"/>
      <c r="AG3226"/>
      <c r="AH3226"/>
      <c r="AI3226"/>
      <c r="AJ3226"/>
      <c r="AK3226"/>
      <c r="AL3226"/>
    </row>
    <row r="3227" spans="1:38" ht="12.75" outlineLevel="2" x14ac:dyDescent="0.2">
      <c r="A3227" s="1071">
        <v>1</v>
      </c>
      <c r="B3227" s="1071" t="s">
        <v>68</v>
      </c>
      <c r="C3227" s="1071" t="s">
        <v>1799</v>
      </c>
      <c r="D3227" s="1071" t="s">
        <v>1799</v>
      </c>
      <c r="E3227" s="1072" t="s">
        <v>70</v>
      </c>
      <c r="F3227" s="1071"/>
      <c r="G3227" s="1073" t="str">
        <f t="array" ref="G3227">IF(B3227="insumo",_xlfn.XLOOKUP($D3227,Insumos!$B$1:$B$996,Insumos!$D$1:$D$996),"")</f>
        <v/>
      </c>
      <c r="H3227" s="1073">
        <v>177</v>
      </c>
      <c r="I3227" s="1074">
        <v>0</v>
      </c>
      <c r="J3227" s="1074">
        <v>0</v>
      </c>
      <c r="K3227" s="1074"/>
      <c r="L3227"/>
      <c r="M3227"/>
      <c r="N3227"/>
      <c r="O3227"/>
      <c r="P3227"/>
      <c r="Q3227"/>
      <c r="R3227"/>
      <c r="S3227"/>
      <c r="T3227"/>
      <c r="U3227"/>
      <c r="V3227"/>
      <c r="W3227"/>
      <c r="X3227"/>
      <c r="Y3227"/>
      <c r="Z3227"/>
      <c r="AA3227"/>
      <c r="AB3227"/>
      <c r="AC3227"/>
      <c r="AD3227"/>
      <c r="AE3227"/>
      <c r="AF3227"/>
      <c r="AG3227"/>
      <c r="AH3227"/>
      <c r="AI3227"/>
      <c r="AJ3227"/>
      <c r="AK3227"/>
      <c r="AL3227"/>
    </row>
    <row r="3228" spans="1:38" ht="12.75" outlineLevel="3" x14ac:dyDescent="0.2">
      <c r="A3228" s="82">
        <v>1</v>
      </c>
      <c r="B3228" s="82" t="s">
        <v>71</v>
      </c>
      <c r="C3228" s="82" t="s">
        <v>1799</v>
      </c>
      <c r="D3228" s="82" t="s">
        <v>1799</v>
      </c>
      <c r="E3228" s="11" t="str">
        <f t="array" ref="E3228">_xlfn.XLOOKUP(D3228,Insumos!B:B,Insumos!C:$C)</f>
        <v>M2</v>
      </c>
      <c r="F3228" s="86">
        <v>1</v>
      </c>
      <c r="G3228" s="92">
        <f t="array" ref="G3228">IF(B3228="insumo",_xlfn.XLOOKUP($D3228,Insumos!$B$1:$B$996,Insumos!$D$1:$D$996),"")</f>
        <v>177</v>
      </c>
      <c r="H3228" s="92">
        <v>177</v>
      </c>
      <c r="I3228" s="84">
        <v>0</v>
      </c>
      <c r="J3228" s="84">
        <v>0</v>
      </c>
      <c r="K3228" s="84"/>
      <c r="L3228"/>
      <c r="M3228"/>
      <c r="N3228"/>
      <c r="O3228"/>
      <c r="P3228"/>
      <c r="Q3228"/>
      <c r="R3228"/>
      <c r="S3228"/>
      <c r="T3228"/>
      <c r="U3228"/>
      <c r="V3228"/>
      <c r="W3228"/>
      <c r="X3228"/>
      <c r="Y3228"/>
      <c r="Z3228"/>
      <c r="AA3228"/>
      <c r="AB3228"/>
      <c r="AC3228"/>
      <c r="AD3228"/>
      <c r="AE3228"/>
      <c r="AF3228"/>
      <c r="AG3228"/>
      <c r="AH3228"/>
      <c r="AI3228"/>
      <c r="AJ3228"/>
      <c r="AK3228"/>
      <c r="AL3228"/>
    </row>
    <row r="3229" spans="1:38" ht="15.75" customHeight="1" outlineLevel="2" x14ac:dyDescent="0.2">
      <c r="A3229" s="1067">
        <v>1</v>
      </c>
      <c r="B3229" s="1067" t="s">
        <v>68</v>
      </c>
      <c r="C3229" s="1067" t="s">
        <v>1508</v>
      </c>
      <c r="D3229" s="1067" t="s">
        <v>1508</v>
      </c>
      <c r="E3229" s="1068" t="s">
        <v>70</v>
      </c>
      <c r="F3229" s="1067"/>
      <c r="G3229" s="1069" t="str">
        <f t="array" ref="G3229">IF(B3229="insumo",_xlfn.XLOOKUP($D3229,Insumos!$B$1:$B$996,Insumos!$D$1:$D$996),"")</f>
        <v/>
      </c>
      <c r="H3229" s="1069">
        <v>250</v>
      </c>
      <c r="I3229" s="1070">
        <v>0</v>
      </c>
      <c r="J3229" s="1070">
        <v>0</v>
      </c>
      <c r="K3229" s="1070"/>
      <c r="L3229"/>
      <c r="M3229"/>
      <c r="N3229"/>
      <c r="O3229"/>
      <c r="P3229"/>
      <c r="Q3229"/>
      <c r="R3229"/>
      <c r="S3229"/>
      <c r="T3229"/>
      <c r="U3229"/>
      <c r="V3229"/>
      <c r="W3229"/>
      <c r="X3229"/>
      <c r="Y3229"/>
      <c r="Z3229"/>
      <c r="AA3229"/>
      <c r="AB3229"/>
      <c r="AC3229"/>
      <c r="AD3229"/>
      <c r="AE3229"/>
      <c r="AF3229"/>
      <c r="AG3229"/>
      <c r="AH3229"/>
      <c r="AI3229"/>
      <c r="AJ3229"/>
      <c r="AK3229"/>
      <c r="AL3229"/>
    </row>
    <row r="3230" spans="1:38" ht="15.75" customHeight="1" outlineLevel="3" x14ac:dyDescent="0.2">
      <c r="A3230" s="10">
        <v>1</v>
      </c>
      <c r="B3230" s="10" t="s">
        <v>71</v>
      </c>
      <c r="C3230" s="10" t="s">
        <v>1508</v>
      </c>
      <c r="D3230" s="10" t="s">
        <v>1510</v>
      </c>
      <c r="E3230" s="11" t="str">
        <f t="array" ref="E3230">_xlfn.XLOOKUP(D3230,Insumos!B:B,Insumos!C:$C)</f>
        <v>M2</v>
      </c>
      <c r="F3230" s="14">
        <v>1</v>
      </c>
      <c r="G3230" s="92">
        <f t="array" ref="G3230">IF(B3230="insumo",_xlfn.XLOOKUP($D3230,Insumos!$B$1:$B$996,Insumos!$D$1:$D$996),"")</f>
        <v>250</v>
      </c>
      <c r="H3230" s="92">
        <v>250</v>
      </c>
      <c r="I3230" s="13">
        <v>0</v>
      </c>
      <c r="J3230" s="13">
        <v>0</v>
      </c>
      <c r="K3230" s="13"/>
      <c r="L3230"/>
      <c r="M3230"/>
      <c r="N3230"/>
      <c r="O3230"/>
      <c r="P3230"/>
      <c r="Q3230"/>
      <c r="R3230"/>
      <c r="S3230"/>
      <c r="T3230"/>
      <c r="U3230"/>
      <c r="V3230"/>
      <c r="W3230"/>
      <c r="X3230"/>
      <c r="Y3230"/>
      <c r="Z3230"/>
      <c r="AA3230"/>
      <c r="AB3230"/>
      <c r="AC3230"/>
      <c r="AD3230"/>
      <c r="AE3230"/>
      <c r="AF3230"/>
      <c r="AG3230"/>
      <c r="AH3230"/>
      <c r="AI3230"/>
      <c r="AJ3230"/>
      <c r="AK3230"/>
      <c r="AL3230"/>
    </row>
    <row r="3231" spans="1:38" ht="12.75" outlineLevel="2" x14ac:dyDescent="0.2">
      <c r="A3231" s="1071">
        <v>1</v>
      </c>
      <c r="B3231" s="1071" t="s">
        <v>68</v>
      </c>
      <c r="C3231" s="1071" t="s">
        <v>1890</v>
      </c>
      <c r="D3231" s="1071" t="s">
        <v>1890</v>
      </c>
      <c r="E3231" s="1072" t="s">
        <v>70</v>
      </c>
      <c r="F3231" s="1071"/>
      <c r="G3231" s="1073" t="str">
        <f t="array" ref="G3231">IF(B3231="insumo",_xlfn.XLOOKUP($D3231,Insumos!$B$1:$B$996,Insumos!$D$1:$D$996),"")</f>
        <v/>
      </c>
      <c r="H3231" s="1073">
        <v>101.998107</v>
      </c>
      <c r="I3231" s="1074">
        <v>0</v>
      </c>
      <c r="J3231" s="1074">
        <v>0</v>
      </c>
      <c r="K3231" s="1074"/>
      <c r="L3231"/>
      <c r="M3231"/>
      <c r="N3231"/>
      <c r="O3231"/>
      <c r="P3231"/>
      <c r="Q3231"/>
      <c r="R3231"/>
      <c r="S3231"/>
      <c r="T3231"/>
      <c r="U3231"/>
      <c r="V3231"/>
      <c r="W3231"/>
      <c r="X3231"/>
      <c r="Y3231"/>
      <c r="Z3231"/>
      <c r="AA3231"/>
      <c r="AB3231"/>
      <c r="AC3231"/>
      <c r="AD3231"/>
      <c r="AE3231"/>
      <c r="AF3231"/>
      <c r="AG3231"/>
      <c r="AH3231"/>
      <c r="AI3231"/>
      <c r="AJ3231"/>
      <c r="AK3231"/>
      <c r="AL3231"/>
    </row>
    <row r="3232" spans="1:38" ht="12.75" outlineLevel="3" x14ac:dyDescent="0.2">
      <c r="A3232" s="82">
        <v>7</v>
      </c>
      <c r="B3232" s="82" t="s">
        <v>71</v>
      </c>
      <c r="C3232" s="82" t="s">
        <v>1890</v>
      </c>
      <c r="D3232" s="82" t="s">
        <v>700</v>
      </c>
      <c r="E3232" s="11" t="str">
        <f t="array" ref="E3232">_xlfn.XLOOKUP(D3232,Insumos!B:B,Insumos!C:$C)</f>
        <v>KG</v>
      </c>
      <c r="F3232" s="86">
        <v>0.56369999999999998</v>
      </c>
      <c r="G3232" s="92">
        <f t="array" ref="G3232">IF(B3232="insumo",_xlfn.XLOOKUP($D3232,Insumos!$B$1:$B$996,Insumos!$D$1:$D$996),"")</f>
        <v>25.11</v>
      </c>
      <c r="H3232" s="92">
        <v>14.154507000000001</v>
      </c>
      <c r="I3232" s="84">
        <v>0</v>
      </c>
      <c r="J3232" s="84">
        <v>0</v>
      </c>
      <c r="K3232" s="84"/>
      <c r="L3232"/>
      <c r="M3232"/>
      <c r="N3232"/>
      <c r="O3232"/>
      <c r="P3232"/>
      <c r="Q3232"/>
      <c r="R3232"/>
      <c r="S3232"/>
      <c r="T3232"/>
      <c r="U3232"/>
      <c r="V3232"/>
      <c r="W3232"/>
      <c r="X3232"/>
      <c r="Y3232"/>
      <c r="Z3232"/>
      <c r="AA3232"/>
      <c r="AB3232"/>
      <c r="AC3232"/>
      <c r="AD3232"/>
      <c r="AE3232"/>
      <c r="AF3232"/>
      <c r="AG3232"/>
      <c r="AH3232"/>
      <c r="AI3232"/>
      <c r="AJ3232"/>
      <c r="AK3232"/>
      <c r="AL3232"/>
    </row>
    <row r="3233" spans="1:38" ht="12.75" outlineLevel="3" x14ac:dyDescent="0.2">
      <c r="A3233" s="82">
        <v>1</v>
      </c>
      <c r="B3233" s="82" t="s">
        <v>71</v>
      </c>
      <c r="C3233" s="82" t="s">
        <v>1890</v>
      </c>
      <c r="D3233" s="82" t="s">
        <v>701</v>
      </c>
      <c r="E3233" s="11" t="str">
        <f t="array" ref="E3233">_xlfn.XLOOKUP(D3233,Insumos!B:B,Insumos!C:$C)</f>
        <v>M2</v>
      </c>
      <c r="F3233" s="86">
        <v>1.1000000000000001</v>
      </c>
      <c r="G3233" s="92">
        <f t="array" ref="G3233">IF(B3233="insumo",_xlfn.XLOOKUP($D3233,Insumos!$B$1:$B$996,Insumos!$D$1:$D$996),"")</f>
        <v>56.675999999999995</v>
      </c>
      <c r="H3233" s="92">
        <v>62.343600000000002</v>
      </c>
      <c r="I3233" s="84">
        <v>0</v>
      </c>
      <c r="J3233" s="84">
        <v>0</v>
      </c>
      <c r="K3233" s="84"/>
      <c r="L3233"/>
      <c r="M3233"/>
      <c r="N3233"/>
      <c r="O3233"/>
      <c r="P3233"/>
      <c r="Q3233"/>
      <c r="R3233"/>
      <c r="S3233"/>
      <c r="T3233"/>
      <c r="U3233"/>
      <c r="V3233"/>
      <c r="W3233"/>
      <c r="X3233"/>
      <c r="Y3233"/>
      <c r="Z3233"/>
      <c r="AA3233"/>
      <c r="AB3233"/>
      <c r="AC3233"/>
      <c r="AD3233"/>
      <c r="AE3233"/>
      <c r="AF3233"/>
      <c r="AG3233"/>
      <c r="AH3233"/>
      <c r="AI3233"/>
      <c r="AJ3233"/>
      <c r="AK3233"/>
      <c r="AL3233"/>
    </row>
    <row r="3234" spans="1:38" ht="12.75" outlineLevel="3" x14ac:dyDescent="0.2">
      <c r="A3234" s="82">
        <v>1</v>
      </c>
      <c r="B3234" s="82" t="s">
        <v>71</v>
      </c>
      <c r="C3234" s="82" t="s">
        <v>1890</v>
      </c>
      <c r="D3234" s="82" t="s">
        <v>702</v>
      </c>
      <c r="E3234" s="11" t="str">
        <f t="array" ref="E3234">_xlfn.XLOOKUP(D3234,Insumos!B:B,Insumos!C:$C)</f>
        <v>M2</v>
      </c>
      <c r="F3234" s="86">
        <v>1</v>
      </c>
      <c r="G3234" s="92">
        <f t="array" ref="G3234">IF(B3234="insumo",_xlfn.XLOOKUP($D3234,Insumos!$B$1:$B$996,Insumos!$D$1:$D$996),"")</f>
        <v>25.5</v>
      </c>
      <c r="H3234" s="92">
        <v>25.5</v>
      </c>
      <c r="I3234" s="84">
        <v>0</v>
      </c>
      <c r="J3234" s="84">
        <v>0</v>
      </c>
      <c r="K3234" s="84"/>
      <c r="L3234"/>
      <c r="M3234"/>
      <c r="N3234"/>
      <c r="O3234"/>
      <c r="P3234"/>
      <c r="Q3234"/>
      <c r="R3234"/>
      <c r="S3234"/>
      <c r="T3234"/>
      <c r="U3234"/>
      <c r="V3234"/>
      <c r="W3234"/>
      <c r="X3234"/>
      <c r="Y3234"/>
      <c r="Z3234"/>
      <c r="AA3234"/>
      <c r="AB3234"/>
      <c r="AC3234"/>
      <c r="AD3234"/>
      <c r="AE3234"/>
      <c r="AF3234"/>
      <c r="AG3234"/>
      <c r="AH3234"/>
      <c r="AI3234"/>
      <c r="AJ3234"/>
      <c r="AK3234"/>
      <c r="AL3234"/>
    </row>
    <row r="3235" spans="1:38" ht="15.75" customHeight="1" outlineLevel="2" x14ac:dyDescent="0.2">
      <c r="A3235" s="1067">
        <v>1</v>
      </c>
      <c r="B3235" s="1067" t="s">
        <v>68</v>
      </c>
      <c r="C3235" s="1067" t="s">
        <v>643</v>
      </c>
      <c r="D3235" s="1067" t="s">
        <v>643</v>
      </c>
      <c r="E3235" s="1068" t="s">
        <v>70</v>
      </c>
      <c r="F3235" s="1067"/>
      <c r="G3235" s="1069" t="str">
        <f t="array" ref="G3235">IF(B3235="insumo",_xlfn.XLOOKUP($D3235,Insumos!$B$1:$B$996,Insumos!$D$1:$D$996),"")</f>
        <v/>
      </c>
      <c r="H3235" s="1069">
        <v>13.476141999999999</v>
      </c>
      <c r="I3235" s="1070">
        <v>0</v>
      </c>
      <c r="J3235" s="1070">
        <v>0</v>
      </c>
      <c r="K3235" s="1070"/>
      <c r="L3235"/>
      <c r="M3235"/>
      <c r="N3235"/>
      <c r="O3235"/>
      <c r="P3235"/>
      <c r="Q3235"/>
      <c r="R3235"/>
      <c r="S3235"/>
      <c r="T3235"/>
      <c r="U3235"/>
      <c r="V3235"/>
      <c r="W3235"/>
      <c r="X3235"/>
      <c r="Y3235"/>
      <c r="Z3235"/>
      <c r="AA3235"/>
      <c r="AB3235"/>
      <c r="AC3235"/>
      <c r="AD3235"/>
      <c r="AE3235"/>
      <c r="AF3235"/>
      <c r="AG3235"/>
      <c r="AH3235"/>
      <c r="AI3235"/>
      <c r="AJ3235"/>
      <c r="AK3235"/>
      <c r="AL3235"/>
    </row>
    <row r="3236" spans="1:38" ht="15.75" customHeight="1" outlineLevel="3" x14ac:dyDescent="0.2">
      <c r="A3236" s="10">
        <v>1</v>
      </c>
      <c r="B3236" s="10" t="s">
        <v>71</v>
      </c>
      <c r="C3236" s="10" t="s">
        <v>643</v>
      </c>
      <c r="D3236" s="10" t="s">
        <v>644</v>
      </c>
      <c r="E3236" s="11" t="str">
        <f t="array" ref="E3236">_xlfn.XLOOKUP(D3236,Insumos!B:B,Insumos!C:$C)</f>
        <v>M3</v>
      </c>
      <c r="F3236" s="14">
        <v>4.4600000000000001E-2</v>
      </c>
      <c r="G3236" s="92">
        <f t="array" ref="G3236">IF(B3236="insumo",_xlfn.XLOOKUP($D3236,Insumos!$B$1:$B$996,Insumos!$D$1:$D$996),"")</f>
        <v>143.57</v>
      </c>
      <c r="H3236" s="92">
        <v>6.4032220000000004</v>
      </c>
      <c r="I3236" s="13">
        <v>0</v>
      </c>
      <c r="J3236" s="13">
        <v>0</v>
      </c>
      <c r="K3236" s="13"/>
      <c r="L3236"/>
      <c r="M3236"/>
      <c r="N3236"/>
      <c r="O3236"/>
      <c r="P3236"/>
      <c r="Q3236"/>
      <c r="R3236"/>
      <c r="S3236"/>
      <c r="T3236"/>
      <c r="U3236"/>
      <c r="V3236"/>
      <c r="W3236"/>
      <c r="X3236"/>
      <c r="Y3236"/>
      <c r="Z3236"/>
      <c r="AA3236"/>
      <c r="AB3236"/>
      <c r="AC3236"/>
      <c r="AD3236"/>
      <c r="AE3236"/>
      <c r="AF3236"/>
      <c r="AG3236"/>
      <c r="AH3236"/>
      <c r="AI3236"/>
      <c r="AJ3236"/>
      <c r="AK3236"/>
      <c r="AL3236"/>
    </row>
    <row r="3237" spans="1:38" ht="15.75" customHeight="1" outlineLevel="3" x14ac:dyDescent="0.2">
      <c r="A3237" s="10">
        <v>1</v>
      </c>
      <c r="B3237" s="10" t="s">
        <v>71</v>
      </c>
      <c r="C3237" s="10" t="s">
        <v>643</v>
      </c>
      <c r="D3237" s="10" t="s">
        <v>645</v>
      </c>
      <c r="E3237" s="11" t="str">
        <f t="array" ref="E3237">_xlfn.XLOOKUP(D3237,Insumos!B:B,Insumos!C:$C)</f>
        <v>M2</v>
      </c>
      <c r="F3237" s="14">
        <v>0.63719999999999999</v>
      </c>
      <c r="G3237" s="92">
        <f t="array" ref="G3237">IF(B3237="insumo",_xlfn.XLOOKUP($D3237,Insumos!$B$1:$B$996,Insumos!$D$1:$D$996),"")</f>
        <v>11.1</v>
      </c>
      <c r="H3237" s="92">
        <v>7.0729199999999999</v>
      </c>
      <c r="I3237" s="13">
        <v>0</v>
      </c>
      <c r="J3237" s="13">
        <v>0</v>
      </c>
      <c r="K3237" s="13"/>
      <c r="L3237"/>
      <c r="M3237"/>
      <c r="N3237"/>
      <c r="O3237"/>
      <c r="P3237"/>
      <c r="Q3237"/>
      <c r="R3237"/>
      <c r="S3237"/>
      <c r="T3237"/>
      <c r="U3237"/>
      <c r="V3237"/>
      <c r="W3237"/>
      <c r="X3237"/>
      <c r="Y3237"/>
      <c r="Z3237"/>
      <c r="AA3237"/>
      <c r="AB3237"/>
      <c r="AC3237"/>
      <c r="AD3237"/>
      <c r="AE3237"/>
      <c r="AF3237"/>
      <c r="AG3237"/>
      <c r="AH3237"/>
      <c r="AI3237"/>
      <c r="AJ3237"/>
      <c r="AK3237"/>
      <c r="AL3237"/>
    </row>
    <row r="3238" spans="1:38" ht="15.75" customHeight="1" outlineLevel="1" x14ac:dyDescent="0.2">
      <c r="A3238" s="1090">
        <v>1</v>
      </c>
      <c r="B3238" s="1090" t="s">
        <v>1228</v>
      </c>
      <c r="C3238" s="1090" t="s">
        <v>643</v>
      </c>
      <c r="D3238" s="1090" t="s">
        <v>1871</v>
      </c>
      <c r="E3238" s="1091"/>
      <c r="F3238" s="1092"/>
      <c r="G3238" s="1091"/>
      <c r="H3238" s="1091">
        <v>0</v>
      </c>
      <c r="I3238" s="1092">
        <v>0</v>
      </c>
      <c r="J3238" s="1092">
        <v>0</v>
      </c>
      <c r="K3238" s="1092"/>
      <c r="L3238"/>
      <c r="M3238"/>
      <c r="N3238"/>
      <c r="O3238"/>
      <c r="P3238"/>
      <c r="Q3238"/>
      <c r="R3238"/>
      <c r="S3238"/>
      <c r="T3238"/>
      <c r="U3238"/>
      <c r="V3238"/>
      <c r="W3238"/>
      <c r="X3238"/>
      <c r="Y3238"/>
      <c r="Z3238"/>
      <c r="AA3238"/>
      <c r="AB3238"/>
      <c r="AC3238"/>
      <c r="AD3238"/>
      <c r="AE3238"/>
      <c r="AF3238"/>
      <c r="AG3238"/>
      <c r="AH3238"/>
      <c r="AI3238"/>
      <c r="AJ3238"/>
      <c r="AK3238"/>
      <c r="AL3238"/>
    </row>
    <row r="3239" spans="1:38" ht="15.75" customHeight="1" outlineLevel="2" x14ac:dyDescent="0.2">
      <c r="A3239" s="1067">
        <v>1</v>
      </c>
      <c r="B3239" s="1067" t="s">
        <v>68</v>
      </c>
      <c r="C3239" s="1067" t="s">
        <v>648</v>
      </c>
      <c r="D3239" s="1067" t="s">
        <v>648</v>
      </c>
      <c r="E3239" s="1068" t="s">
        <v>70</v>
      </c>
      <c r="F3239" s="1067"/>
      <c r="G3239" s="1069" t="str">
        <f t="array" ref="G3239">IF(B3239="insumo",_xlfn.XLOOKUP($D3239,Insumos!$B$1:$B$996,Insumos!$D$1:$D$996),"")</f>
        <v/>
      </c>
      <c r="H3239" s="1069">
        <v>733.0326</v>
      </c>
      <c r="I3239" s="1070">
        <v>0</v>
      </c>
      <c r="J3239" s="1070">
        <v>0</v>
      </c>
      <c r="K3239" s="1070"/>
      <c r="L3239"/>
      <c r="M3239"/>
      <c r="N3239"/>
      <c r="O3239"/>
      <c r="P3239"/>
      <c r="Q3239"/>
      <c r="R3239"/>
      <c r="S3239"/>
      <c r="T3239"/>
      <c r="U3239"/>
      <c r="V3239"/>
      <c r="W3239"/>
      <c r="X3239"/>
      <c r="Y3239"/>
      <c r="Z3239"/>
      <c r="AA3239"/>
      <c r="AB3239"/>
      <c r="AC3239"/>
      <c r="AD3239"/>
      <c r="AE3239"/>
      <c r="AF3239"/>
      <c r="AG3239"/>
      <c r="AH3239"/>
      <c r="AI3239"/>
      <c r="AJ3239"/>
      <c r="AK3239"/>
      <c r="AL3239"/>
    </row>
    <row r="3240" spans="1:38" ht="15.75" customHeight="1" outlineLevel="3" x14ac:dyDescent="0.2">
      <c r="A3240" s="10">
        <v>3</v>
      </c>
      <c r="B3240" s="10" t="s">
        <v>71</v>
      </c>
      <c r="C3240" s="10" t="s">
        <v>648</v>
      </c>
      <c r="D3240" s="10" t="s">
        <v>649</v>
      </c>
      <c r="E3240" s="11" t="str">
        <f t="array" ref="E3240">_xlfn.XLOOKUP(D3240,Insumos!B:B,Insumos!C:$C)</f>
        <v>M2</v>
      </c>
      <c r="F3240" s="14">
        <v>1.1000000000000001</v>
      </c>
      <c r="G3240" s="92">
        <f t="array" ref="G3240">IF(B3240="insumo",_xlfn.XLOOKUP($D3240,Insumos!$B$1:$B$996,Insumos!$D$1:$D$996),"")</f>
        <v>650</v>
      </c>
      <c r="H3240" s="92">
        <v>715</v>
      </c>
      <c r="I3240" s="13">
        <v>0</v>
      </c>
      <c r="J3240" s="13">
        <v>0</v>
      </c>
      <c r="K3240" s="13"/>
      <c r="L3240"/>
      <c r="M3240"/>
      <c r="N3240"/>
      <c r="O3240"/>
      <c r="P3240"/>
      <c r="Q3240"/>
      <c r="R3240"/>
      <c r="S3240"/>
      <c r="T3240"/>
      <c r="U3240"/>
      <c r="V3240"/>
      <c r="W3240"/>
      <c r="X3240"/>
      <c r="Y3240"/>
      <c r="Z3240"/>
      <c r="AA3240"/>
      <c r="AB3240"/>
      <c r="AC3240"/>
      <c r="AD3240"/>
      <c r="AE3240"/>
      <c r="AF3240"/>
      <c r="AG3240"/>
      <c r="AH3240"/>
      <c r="AI3240"/>
      <c r="AJ3240"/>
      <c r="AK3240"/>
      <c r="AL3240"/>
    </row>
    <row r="3241" spans="1:38" ht="15.75" customHeight="1" outlineLevel="3" x14ac:dyDescent="0.2">
      <c r="A3241" s="10">
        <v>191</v>
      </c>
      <c r="B3241" s="10" t="s">
        <v>71</v>
      </c>
      <c r="C3241" s="10" t="s">
        <v>648</v>
      </c>
      <c r="D3241" s="10" t="s">
        <v>481</v>
      </c>
      <c r="E3241" s="11" t="str">
        <f t="array" ref="E3241">_xlfn.XLOOKUP(D3241,Insumos!B:B,Insumos!C:$C)</f>
        <v>KG</v>
      </c>
      <c r="F3241" s="14">
        <v>8.8000000000000007</v>
      </c>
      <c r="G3241" s="92">
        <f t="array" ref="G3241">IF(B3241="insumo",_xlfn.XLOOKUP($D3241,Insumos!$B$1:$B$996,Insumos!$D$1:$D$996),"")</f>
        <v>1.0645</v>
      </c>
      <c r="H3241" s="92">
        <v>9.3675999999999995</v>
      </c>
      <c r="I3241" s="13">
        <v>0</v>
      </c>
      <c r="J3241" s="13">
        <v>0</v>
      </c>
      <c r="K3241" s="13"/>
      <c r="L3241"/>
      <c r="M3241"/>
      <c r="N3241"/>
      <c r="O3241"/>
      <c r="P3241"/>
      <c r="Q3241"/>
      <c r="R3241"/>
      <c r="S3241"/>
      <c r="T3241"/>
      <c r="U3241"/>
      <c r="V3241"/>
      <c r="W3241"/>
      <c r="X3241"/>
      <c r="Y3241"/>
      <c r="Z3241"/>
      <c r="AA3241"/>
      <c r="AB3241"/>
      <c r="AC3241"/>
      <c r="AD3241"/>
      <c r="AE3241"/>
      <c r="AF3241"/>
      <c r="AG3241"/>
      <c r="AH3241"/>
      <c r="AI3241"/>
      <c r="AJ3241"/>
      <c r="AK3241"/>
      <c r="AL3241"/>
    </row>
    <row r="3242" spans="1:38" ht="15.75" customHeight="1" outlineLevel="3" x14ac:dyDescent="0.2">
      <c r="A3242" s="10">
        <v>34</v>
      </c>
      <c r="B3242" s="10" t="s">
        <v>71</v>
      </c>
      <c r="C3242" s="10" t="s">
        <v>648</v>
      </c>
      <c r="D3242" s="10" t="s">
        <v>538</v>
      </c>
      <c r="E3242" s="11" t="str">
        <f t="array" ref="E3242">_xlfn.XLOOKUP(D3242,Insumos!B:B,Insumos!C:$C)</f>
        <v>UN</v>
      </c>
      <c r="F3242" s="14">
        <v>0.5</v>
      </c>
      <c r="G3242" s="92">
        <f t="array" ref="G3242">IF(B3242="insumo",_xlfn.XLOOKUP($D3242,Insumos!$B$1:$B$996,Insumos!$D$1:$D$996),"")</f>
        <v>17.329999999999998</v>
      </c>
      <c r="H3242" s="92">
        <v>8.6649999999999991</v>
      </c>
      <c r="I3242" s="13">
        <v>0</v>
      </c>
      <c r="J3242" s="13">
        <v>0</v>
      </c>
      <c r="K3242" s="13"/>
      <c r="L3242"/>
      <c r="M3242"/>
      <c r="N3242"/>
      <c r="O3242"/>
      <c r="P3242"/>
      <c r="Q3242"/>
      <c r="R3242"/>
      <c r="S3242"/>
      <c r="T3242"/>
      <c r="U3242"/>
      <c r="V3242"/>
      <c r="W3242"/>
      <c r="X3242"/>
      <c r="Y3242"/>
      <c r="Z3242"/>
      <c r="AA3242"/>
      <c r="AB3242"/>
      <c r="AC3242"/>
      <c r="AD3242"/>
      <c r="AE3242"/>
      <c r="AF3242"/>
      <c r="AG3242"/>
      <c r="AH3242"/>
      <c r="AI3242"/>
      <c r="AJ3242"/>
      <c r="AK3242"/>
      <c r="AL3242"/>
    </row>
    <row r="3243" spans="1:38" ht="12.75" outlineLevel="2" x14ac:dyDescent="0.2">
      <c r="A3243" s="1071">
        <v>1</v>
      </c>
      <c r="B3243" s="1071" t="s">
        <v>68</v>
      </c>
      <c r="C3243" s="1071" t="s">
        <v>1872</v>
      </c>
      <c r="D3243" s="1071" t="s">
        <v>1872</v>
      </c>
      <c r="E3243" s="1072" t="s">
        <v>70</v>
      </c>
      <c r="F3243" s="1071"/>
      <c r="G3243" s="1073" t="str">
        <f t="array" ref="G3243">IF(B3243="insumo",_xlfn.XLOOKUP($D3243,Insumos!$B$1:$B$996,Insumos!$D$1:$D$996),"")</f>
        <v/>
      </c>
      <c r="H3243" s="1073">
        <v>843.0326</v>
      </c>
      <c r="I3243" s="1074">
        <v>0</v>
      </c>
      <c r="J3243" s="1074">
        <v>0</v>
      </c>
      <c r="K3243" s="1074"/>
      <c r="L3243"/>
      <c r="M3243"/>
      <c r="N3243"/>
      <c r="O3243"/>
      <c r="P3243"/>
      <c r="Q3243"/>
      <c r="R3243"/>
      <c r="S3243"/>
      <c r="T3243"/>
      <c r="U3243"/>
      <c r="V3243"/>
      <c r="W3243"/>
      <c r="X3243"/>
      <c r="Y3243"/>
      <c r="Z3243"/>
      <c r="AA3243"/>
      <c r="AB3243"/>
      <c r="AC3243"/>
      <c r="AD3243"/>
      <c r="AE3243"/>
      <c r="AF3243"/>
      <c r="AG3243"/>
      <c r="AH3243"/>
      <c r="AI3243"/>
      <c r="AJ3243"/>
      <c r="AK3243"/>
      <c r="AL3243"/>
    </row>
    <row r="3244" spans="1:38" ht="12.75" outlineLevel="3" x14ac:dyDescent="0.2">
      <c r="A3244" s="82">
        <v>1</v>
      </c>
      <c r="B3244" s="82" t="s">
        <v>71</v>
      </c>
      <c r="C3244" s="82" t="s">
        <v>1872</v>
      </c>
      <c r="D3244" s="82" t="s">
        <v>1853</v>
      </c>
      <c r="E3244" s="11" t="str">
        <f t="array" ref="E3244">_xlfn.XLOOKUP(D3244,Insumos!B:B,Insumos!C:$C)</f>
        <v>M2</v>
      </c>
      <c r="F3244" s="90">
        <v>1.1000000000000001</v>
      </c>
      <c r="G3244" s="92">
        <f t="array" ref="G3244">IF(B3244="insumo",_xlfn.XLOOKUP($D3244,Insumos!$B$1:$B$996,Insumos!$D$1:$D$996),"")</f>
        <v>750</v>
      </c>
      <c r="H3244" s="92">
        <v>825</v>
      </c>
      <c r="I3244" s="84">
        <v>0</v>
      </c>
      <c r="J3244" s="84">
        <v>0</v>
      </c>
      <c r="K3244" s="84"/>
      <c r="L3244"/>
      <c r="M3244"/>
      <c r="N3244"/>
      <c r="O3244"/>
      <c r="P3244"/>
      <c r="Q3244"/>
      <c r="R3244"/>
      <c r="S3244"/>
      <c r="T3244"/>
      <c r="U3244"/>
      <c r="V3244"/>
      <c r="W3244"/>
      <c r="X3244"/>
      <c r="Y3244"/>
      <c r="Z3244"/>
      <c r="AA3244"/>
      <c r="AB3244"/>
      <c r="AC3244"/>
      <c r="AD3244"/>
      <c r="AE3244"/>
      <c r="AF3244"/>
      <c r="AG3244"/>
      <c r="AH3244"/>
      <c r="AI3244"/>
      <c r="AJ3244"/>
      <c r="AK3244"/>
      <c r="AL3244"/>
    </row>
    <row r="3245" spans="1:38" ht="12.75" outlineLevel="3" x14ac:dyDescent="0.2">
      <c r="A3245" s="82">
        <v>191</v>
      </c>
      <c r="B3245" s="82" t="s">
        <v>71</v>
      </c>
      <c r="C3245" s="82" t="s">
        <v>1872</v>
      </c>
      <c r="D3245" s="82" t="s">
        <v>481</v>
      </c>
      <c r="E3245" s="11" t="str">
        <f t="array" ref="E3245">_xlfn.XLOOKUP(D3245,Insumos!B:B,Insumos!C:$C)</f>
        <v>KG</v>
      </c>
      <c r="F3245" s="90">
        <v>8.8000000000000007</v>
      </c>
      <c r="G3245" s="92">
        <f t="array" ref="G3245">IF(B3245="insumo",_xlfn.XLOOKUP($D3245,Insumos!$B$1:$B$996,Insumos!$D$1:$D$996),"")</f>
        <v>1.0645</v>
      </c>
      <c r="H3245" s="92">
        <v>9.3675999999999995</v>
      </c>
      <c r="I3245" s="84">
        <v>0</v>
      </c>
      <c r="J3245" s="84">
        <v>0</v>
      </c>
      <c r="K3245" s="84"/>
      <c r="L3245"/>
      <c r="M3245"/>
      <c r="N3245"/>
      <c r="O3245"/>
      <c r="P3245"/>
      <c r="Q3245"/>
      <c r="R3245"/>
      <c r="S3245"/>
      <c r="T3245"/>
      <c r="U3245"/>
      <c r="V3245"/>
      <c r="W3245"/>
      <c r="X3245"/>
      <c r="Y3245"/>
      <c r="Z3245"/>
      <c r="AA3245"/>
      <c r="AB3245"/>
      <c r="AC3245"/>
      <c r="AD3245"/>
      <c r="AE3245"/>
      <c r="AF3245"/>
      <c r="AG3245"/>
      <c r="AH3245"/>
      <c r="AI3245"/>
      <c r="AJ3245"/>
      <c r="AK3245"/>
      <c r="AL3245"/>
    </row>
    <row r="3246" spans="1:38" ht="12.75" outlineLevel="3" x14ac:dyDescent="0.2">
      <c r="A3246" s="82">
        <v>34</v>
      </c>
      <c r="B3246" s="82" t="s">
        <v>71</v>
      </c>
      <c r="C3246" s="82" t="s">
        <v>1872</v>
      </c>
      <c r="D3246" s="82" t="s">
        <v>538</v>
      </c>
      <c r="E3246" s="11" t="str">
        <f t="array" ref="E3246">_xlfn.XLOOKUP(D3246,Insumos!B:B,Insumos!C:$C)</f>
        <v>UN</v>
      </c>
      <c r="F3246" s="90">
        <v>0.5</v>
      </c>
      <c r="G3246" s="92">
        <f t="array" ref="G3246">IF(B3246="insumo",_xlfn.XLOOKUP($D3246,Insumos!$B$1:$B$996,Insumos!$D$1:$D$996),"")</f>
        <v>17.329999999999998</v>
      </c>
      <c r="H3246" s="92">
        <v>8.6649999999999991</v>
      </c>
      <c r="I3246" s="84">
        <v>0</v>
      </c>
      <c r="J3246" s="84">
        <v>0</v>
      </c>
      <c r="K3246" s="84"/>
      <c r="L3246"/>
      <c r="M3246"/>
      <c r="N3246"/>
      <c r="O3246"/>
      <c r="P3246"/>
      <c r="Q3246"/>
      <c r="R3246"/>
      <c r="S3246"/>
      <c r="T3246"/>
      <c r="U3246"/>
      <c r="V3246"/>
      <c r="W3246"/>
      <c r="X3246"/>
      <c r="Y3246"/>
      <c r="Z3246"/>
      <c r="AA3246"/>
      <c r="AB3246"/>
      <c r="AC3246"/>
      <c r="AD3246"/>
      <c r="AE3246"/>
      <c r="AF3246"/>
      <c r="AG3246"/>
      <c r="AH3246"/>
      <c r="AI3246"/>
      <c r="AJ3246"/>
      <c r="AK3246"/>
      <c r="AL3246"/>
    </row>
    <row r="3247" spans="1:38" ht="12.75" outlineLevel="2" x14ac:dyDescent="0.2">
      <c r="A3247" s="1071">
        <v>1</v>
      </c>
      <c r="B3247" s="1071" t="s">
        <v>68</v>
      </c>
      <c r="C3247" s="1071" t="s">
        <v>1891</v>
      </c>
      <c r="D3247" s="1071" t="s">
        <v>1891</v>
      </c>
      <c r="E3247" s="1072" t="s">
        <v>70</v>
      </c>
      <c r="F3247" s="1071"/>
      <c r="G3247" s="1073" t="str">
        <f t="array" ref="G3247">IF(B3247="insumo",_xlfn.XLOOKUP($D3247,Insumos!$B$1:$B$996,Insumos!$D$1:$D$996),"")</f>
        <v/>
      </c>
      <c r="H3247" s="1073">
        <v>700.31970000000001</v>
      </c>
      <c r="I3247" s="1074">
        <v>0</v>
      </c>
      <c r="J3247" s="1074">
        <v>0</v>
      </c>
      <c r="K3247" s="1074"/>
      <c r="L3247"/>
      <c r="M3247"/>
      <c r="N3247"/>
      <c r="O3247"/>
      <c r="P3247"/>
      <c r="Q3247"/>
      <c r="R3247"/>
      <c r="S3247"/>
      <c r="T3247"/>
      <c r="U3247"/>
      <c r="V3247"/>
      <c r="W3247"/>
      <c r="X3247"/>
      <c r="Y3247"/>
      <c r="Z3247"/>
      <c r="AA3247"/>
      <c r="AB3247"/>
      <c r="AC3247"/>
      <c r="AD3247"/>
      <c r="AE3247"/>
      <c r="AF3247"/>
      <c r="AG3247"/>
      <c r="AH3247"/>
      <c r="AI3247"/>
      <c r="AJ3247"/>
      <c r="AK3247"/>
      <c r="AL3247"/>
    </row>
    <row r="3248" spans="1:38" ht="12.75" outlineLevel="3" x14ac:dyDescent="0.2">
      <c r="A3248" s="82">
        <v>4</v>
      </c>
      <c r="B3248" s="82" t="s">
        <v>71</v>
      </c>
      <c r="C3248" s="82" t="s">
        <v>1891</v>
      </c>
      <c r="D3248" s="82" t="s">
        <v>1847</v>
      </c>
      <c r="E3248" s="11" t="str">
        <f t="array" ref="E3248">_xlfn.XLOOKUP(D3248,Insumos!B:B,Insumos!C:$C)</f>
        <v>M2</v>
      </c>
      <c r="F3248" s="86">
        <v>1.05</v>
      </c>
      <c r="G3248" s="92">
        <f t="array" ref="G3248">IF(B3248="insumo",_xlfn.XLOOKUP($D3248,Insumos!$B$1:$B$996,Insumos!$D$1:$D$996),"")</f>
        <v>650</v>
      </c>
      <c r="H3248" s="92">
        <v>682.5</v>
      </c>
      <c r="I3248" s="84">
        <v>0</v>
      </c>
      <c r="J3248" s="84">
        <v>0</v>
      </c>
      <c r="K3248" s="84"/>
      <c r="L3248"/>
      <c r="M3248"/>
      <c r="N3248"/>
      <c r="O3248"/>
      <c r="P3248"/>
      <c r="Q3248"/>
      <c r="R3248"/>
      <c r="S3248"/>
      <c r="T3248"/>
      <c r="U3248"/>
      <c r="V3248"/>
      <c r="W3248"/>
      <c r="X3248"/>
      <c r="Y3248"/>
      <c r="Z3248"/>
      <c r="AA3248"/>
      <c r="AB3248"/>
      <c r="AC3248"/>
      <c r="AD3248"/>
      <c r="AE3248"/>
      <c r="AF3248"/>
      <c r="AG3248"/>
      <c r="AH3248"/>
      <c r="AI3248"/>
      <c r="AJ3248"/>
      <c r="AK3248"/>
      <c r="AL3248"/>
    </row>
    <row r="3249" spans="1:38" ht="12.75" outlineLevel="3" x14ac:dyDescent="0.2">
      <c r="A3249" s="82">
        <v>191</v>
      </c>
      <c r="B3249" s="82" t="s">
        <v>71</v>
      </c>
      <c r="C3249" s="82" t="s">
        <v>1891</v>
      </c>
      <c r="D3249" s="82" t="s">
        <v>481</v>
      </c>
      <c r="E3249" s="11" t="str">
        <f t="array" ref="E3249">_xlfn.XLOOKUP(D3249,Insumos!B:B,Insumos!C:$C)</f>
        <v>KG</v>
      </c>
      <c r="F3249" s="86">
        <v>8.6</v>
      </c>
      <c r="G3249" s="92">
        <f t="array" ref="G3249">IF(B3249="insumo",_xlfn.XLOOKUP($D3249,Insumos!$B$1:$B$996,Insumos!$D$1:$D$996),"")</f>
        <v>1.0645</v>
      </c>
      <c r="H3249" s="92">
        <v>9.1547000000000001</v>
      </c>
      <c r="I3249" s="84">
        <v>0</v>
      </c>
      <c r="J3249" s="84">
        <v>0</v>
      </c>
      <c r="K3249" s="84"/>
      <c r="L3249"/>
      <c r="M3249"/>
      <c r="N3249"/>
      <c r="O3249"/>
      <c r="P3249"/>
      <c r="Q3249"/>
      <c r="R3249"/>
      <c r="S3249"/>
      <c r="T3249"/>
      <c r="U3249"/>
      <c r="V3249"/>
      <c r="W3249"/>
      <c r="X3249"/>
      <c r="Y3249"/>
      <c r="Z3249"/>
      <c r="AA3249"/>
      <c r="AB3249"/>
      <c r="AC3249"/>
      <c r="AD3249"/>
      <c r="AE3249"/>
      <c r="AF3249"/>
      <c r="AG3249"/>
      <c r="AH3249"/>
      <c r="AI3249"/>
      <c r="AJ3249"/>
      <c r="AK3249"/>
      <c r="AL3249"/>
    </row>
    <row r="3250" spans="1:38" ht="12.75" outlineLevel="3" x14ac:dyDescent="0.2">
      <c r="A3250" s="82">
        <v>34</v>
      </c>
      <c r="B3250" s="82" t="s">
        <v>71</v>
      </c>
      <c r="C3250" s="82" t="s">
        <v>1891</v>
      </c>
      <c r="D3250" s="82" t="s">
        <v>538</v>
      </c>
      <c r="E3250" s="11" t="str">
        <f t="array" ref="E3250">_xlfn.XLOOKUP(D3250,Insumos!B:B,Insumos!C:$C)</f>
        <v>UN</v>
      </c>
      <c r="F3250" s="86">
        <v>0.5</v>
      </c>
      <c r="G3250" s="92">
        <f t="array" ref="G3250">IF(B3250="insumo",_xlfn.XLOOKUP($D3250,Insumos!$B$1:$B$996,Insumos!$D$1:$D$996),"")</f>
        <v>17.329999999999998</v>
      </c>
      <c r="H3250" s="92">
        <v>8.6649999999999991</v>
      </c>
      <c r="I3250" s="84">
        <v>0</v>
      </c>
      <c r="J3250" s="84">
        <v>0</v>
      </c>
      <c r="K3250" s="84"/>
      <c r="L3250"/>
      <c r="M3250"/>
      <c r="N3250"/>
      <c r="O3250"/>
      <c r="P3250"/>
      <c r="Q3250"/>
      <c r="R3250"/>
      <c r="S3250"/>
      <c r="T3250"/>
      <c r="U3250"/>
      <c r="V3250"/>
      <c r="W3250"/>
      <c r="X3250"/>
      <c r="Y3250"/>
      <c r="Z3250"/>
      <c r="AA3250"/>
      <c r="AB3250"/>
      <c r="AC3250"/>
      <c r="AD3250"/>
      <c r="AE3250"/>
      <c r="AF3250"/>
      <c r="AG3250"/>
      <c r="AH3250"/>
      <c r="AI3250"/>
      <c r="AJ3250"/>
      <c r="AK3250"/>
      <c r="AL3250"/>
    </row>
    <row r="3251" spans="1:38" ht="15.75" customHeight="1" outlineLevel="2" x14ac:dyDescent="0.2">
      <c r="A3251" s="1067">
        <v>1</v>
      </c>
      <c r="B3251" s="1067" t="s">
        <v>68</v>
      </c>
      <c r="C3251" s="1067" t="s">
        <v>650</v>
      </c>
      <c r="D3251" s="1067" t="s">
        <v>650</v>
      </c>
      <c r="E3251" s="1068" t="s">
        <v>70</v>
      </c>
      <c r="F3251" s="1067"/>
      <c r="G3251" s="1069" t="str">
        <f t="array" ref="G3251">IF(B3251="insumo",_xlfn.XLOOKUP($D3251,Insumos!$B$1:$B$996,Insumos!$D$1:$D$996),"")</f>
        <v/>
      </c>
      <c r="H3251" s="1069">
        <v>145.74260000000001</v>
      </c>
      <c r="I3251" s="1070">
        <v>0</v>
      </c>
      <c r="J3251" s="1070">
        <v>0</v>
      </c>
      <c r="K3251" s="1070"/>
      <c r="L3251"/>
      <c r="M3251"/>
      <c r="N3251"/>
      <c r="O3251"/>
      <c r="P3251"/>
      <c r="Q3251"/>
      <c r="R3251"/>
      <c r="S3251"/>
      <c r="T3251"/>
      <c r="U3251"/>
      <c r="V3251"/>
      <c r="W3251"/>
      <c r="X3251"/>
      <c r="Y3251"/>
      <c r="Z3251"/>
      <c r="AA3251"/>
      <c r="AB3251"/>
      <c r="AC3251"/>
      <c r="AD3251"/>
      <c r="AE3251"/>
      <c r="AF3251"/>
      <c r="AG3251"/>
      <c r="AH3251"/>
      <c r="AI3251"/>
      <c r="AJ3251"/>
      <c r="AK3251"/>
      <c r="AL3251"/>
    </row>
    <row r="3252" spans="1:38" ht="15.75" customHeight="1" outlineLevel="3" x14ac:dyDescent="0.2">
      <c r="A3252" s="10">
        <v>1</v>
      </c>
      <c r="B3252" s="10" t="s">
        <v>71</v>
      </c>
      <c r="C3252" s="10" t="s">
        <v>650</v>
      </c>
      <c r="D3252" s="10" t="s">
        <v>651</v>
      </c>
      <c r="E3252" s="11" t="str">
        <f t="array" ref="E3252">_xlfn.XLOOKUP(D3252,Insumos!B:B,Insumos!C:$C)</f>
        <v>M2</v>
      </c>
      <c r="F3252" s="14">
        <v>1.1000000000000001</v>
      </c>
      <c r="G3252" s="92">
        <f t="array" ref="G3252">IF(B3252="insumo",_xlfn.XLOOKUP($D3252,Insumos!$B$1:$B$996,Insumos!$D$1:$D$996),"")</f>
        <v>116.1</v>
      </c>
      <c r="H3252" s="92">
        <v>127.71</v>
      </c>
      <c r="I3252" s="13">
        <v>0</v>
      </c>
      <c r="J3252" s="13">
        <v>0</v>
      </c>
      <c r="K3252" s="13"/>
      <c r="L3252"/>
      <c r="M3252"/>
      <c r="N3252"/>
      <c r="O3252"/>
      <c r="P3252"/>
      <c r="Q3252"/>
      <c r="R3252"/>
      <c r="S3252"/>
      <c r="T3252"/>
      <c r="U3252"/>
      <c r="V3252"/>
      <c r="W3252"/>
      <c r="X3252"/>
      <c r="Y3252"/>
      <c r="Z3252"/>
      <c r="AA3252"/>
      <c r="AB3252"/>
      <c r="AC3252"/>
      <c r="AD3252"/>
      <c r="AE3252"/>
      <c r="AF3252"/>
      <c r="AG3252"/>
      <c r="AH3252"/>
      <c r="AI3252"/>
      <c r="AJ3252"/>
      <c r="AK3252"/>
      <c r="AL3252"/>
    </row>
    <row r="3253" spans="1:38" ht="15.75" customHeight="1" outlineLevel="3" x14ac:dyDescent="0.2">
      <c r="A3253" s="10">
        <v>191</v>
      </c>
      <c r="B3253" s="10" t="s">
        <v>71</v>
      </c>
      <c r="C3253" s="10" t="s">
        <v>650</v>
      </c>
      <c r="D3253" s="10" t="s">
        <v>481</v>
      </c>
      <c r="E3253" s="11" t="str">
        <f t="array" ref="E3253">_xlfn.XLOOKUP(D3253,Insumos!B:B,Insumos!C:$C)</f>
        <v>KG</v>
      </c>
      <c r="F3253" s="14">
        <v>8.8000000000000007</v>
      </c>
      <c r="G3253" s="92">
        <f t="array" ref="G3253">IF(B3253="insumo",_xlfn.XLOOKUP($D3253,Insumos!$B$1:$B$996,Insumos!$D$1:$D$996),"")</f>
        <v>1.0645</v>
      </c>
      <c r="H3253" s="92">
        <v>9.3675999999999995</v>
      </c>
      <c r="I3253" s="13">
        <v>0</v>
      </c>
      <c r="J3253" s="13">
        <v>0</v>
      </c>
      <c r="K3253" s="13"/>
      <c r="L3253"/>
      <c r="M3253"/>
      <c r="N3253"/>
      <c r="O3253"/>
      <c r="P3253"/>
      <c r="Q3253"/>
      <c r="R3253"/>
      <c r="S3253"/>
      <c r="T3253"/>
      <c r="U3253"/>
      <c r="V3253"/>
      <c r="W3253"/>
      <c r="X3253"/>
      <c r="Y3253"/>
      <c r="Z3253"/>
      <c r="AA3253"/>
      <c r="AB3253"/>
      <c r="AC3253"/>
      <c r="AD3253"/>
      <c r="AE3253"/>
      <c r="AF3253"/>
      <c r="AG3253"/>
      <c r="AH3253"/>
      <c r="AI3253"/>
      <c r="AJ3253"/>
      <c r="AK3253"/>
      <c r="AL3253"/>
    </row>
    <row r="3254" spans="1:38" ht="15.75" customHeight="1" outlineLevel="3" x14ac:dyDescent="0.2">
      <c r="A3254" s="10">
        <v>34</v>
      </c>
      <c r="B3254" s="10" t="s">
        <v>71</v>
      </c>
      <c r="C3254" s="10" t="s">
        <v>650</v>
      </c>
      <c r="D3254" s="10" t="s">
        <v>538</v>
      </c>
      <c r="E3254" s="11" t="str">
        <f t="array" ref="E3254">_xlfn.XLOOKUP(D3254,Insumos!B:B,Insumos!C:$C)</f>
        <v>UN</v>
      </c>
      <c r="F3254" s="14">
        <v>0.5</v>
      </c>
      <c r="G3254" s="92">
        <f t="array" ref="G3254">IF(B3254="insumo",_xlfn.XLOOKUP($D3254,Insumos!$B$1:$B$996,Insumos!$D$1:$D$996),"")</f>
        <v>17.329999999999998</v>
      </c>
      <c r="H3254" s="92">
        <v>8.6649999999999991</v>
      </c>
      <c r="I3254" s="13">
        <v>0</v>
      </c>
      <c r="J3254" s="13">
        <v>0</v>
      </c>
      <c r="K3254" s="13"/>
      <c r="L3254"/>
      <c r="M3254"/>
      <c r="N3254"/>
      <c r="O3254"/>
      <c r="P3254"/>
      <c r="Q3254"/>
      <c r="R3254"/>
      <c r="S3254"/>
      <c r="T3254"/>
      <c r="U3254"/>
      <c r="V3254"/>
      <c r="W3254"/>
      <c r="X3254"/>
      <c r="Y3254"/>
      <c r="Z3254"/>
      <c r="AA3254"/>
      <c r="AB3254"/>
      <c r="AC3254"/>
      <c r="AD3254"/>
      <c r="AE3254"/>
      <c r="AF3254"/>
      <c r="AG3254"/>
      <c r="AH3254"/>
      <c r="AI3254"/>
      <c r="AJ3254"/>
      <c r="AK3254"/>
      <c r="AL3254"/>
    </row>
    <row r="3255" spans="1:38" ht="15.75" customHeight="1" outlineLevel="2" x14ac:dyDescent="0.2">
      <c r="A3255" s="1067">
        <v>1</v>
      </c>
      <c r="B3255" s="1067" t="s">
        <v>68</v>
      </c>
      <c r="C3255" s="1067" t="s">
        <v>652</v>
      </c>
      <c r="D3255" s="1067" t="s">
        <v>652</v>
      </c>
      <c r="E3255" s="1068" t="s">
        <v>70</v>
      </c>
      <c r="F3255" s="1067"/>
      <c r="G3255" s="1069" t="str">
        <f t="array" ref="G3255">IF(B3255="insumo",_xlfn.XLOOKUP($D3255,Insumos!$B$1:$B$996,Insumos!$D$1:$D$996),"")</f>
        <v/>
      </c>
      <c r="H3255" s="1069">
        <v>58.688600000000001</v>
      </c>
      <c r="I3255" s="1070">
        <v>0</v>
      </c>
      <c r="J3255" s="1070">
        <v>0</v>
      </c>
      <c r="K3255" s="1070"/>
      <c r="L3255"/>
      <c r="M3255"/>
      <c r="N3255"/>
      <c r="O3255"/>
      <c r="P3255"/>
      <c r="Q3255"/>
      <c r="R3255"/>
      <c r="S3255"/>
      <c r="T3255"/>
      <c r="U3255"/>
      <c r="V3255"/>
      <c r="W3255"/>
      <c r="X3255"/>
      <c r="Y3255"/>
      <c r="Z3255"/>
      <c r="AA3255"/>
      <c r="AB3255"/>
      <c r="AC3255"/>
      <c r="AD3255"/>
      <c r="AE3255"/>
      <c r="AF3255"/>
      <c r="AG3255"/>
      <c r="AH3255"/>
      <c r="AI3255"/>
      <c r="AJ3255"/>
      <c r="AK3255"/>
      <c r="AL3255"/>
    </row>
    <row r="3256" spans="1:38" ht="15.75" customHeight="1" outlineLevel="3" x14ac:dyDescent="0.2">
      <c r="A3256" s="10">
        <v>1</v>
      </c>
      <c r="B3256" s="10" t="s">
        <v>71</v>
      </c>
      <c r="C3256" s="10" t="s">
        <v>652</v>
      </c>
      <c r="D3256" s="10" t="s">
        <v>653</v>
      </c>
      <c r="E3256" s="11" t="str">
        <f t="array" ref="E3256">_xlfn.XLOOKUP(D3256,Insumos!B:B,Insumos!C:$C)</f>
        <v>M2</v>
      </c>
      <c r="F3256" s="14">
        <v>1.1000000000000001</v>
      </c>
      <c r="G3256" s="92">
        <f t="array" ref="G3256">IF(B3256="insumo",_xlfn.XLOOKUP($D3256,Insumos!$B$1:$B$996,Insumos!$D$1:$D$996),"")</f>
        <v>36.96</v>
      </c>
      <c r="H3256" s="92">
        <v>40.655999999999999</v>
      </c>
      <c r="I3256" s="13">
        <v>0</v>
      </c>
      <c r="J3256" s="13">
        <v>0</v>
      </c>
      <c r="K3256" s="13"/>
      <c r="L3256"/>
      <c r="M3256"/>
      <c r="N3256"/>
      <c r="O3256"/>
      <c r="P3256"/>
      <c r="Q3256"/>
      <c r="R3256"/>
      <c r="S3256"/>
      <c r="T3256"/>
      <c r="U3256"/>
      <c r="V3256"/>
      <c r="W3256"/>
      <c r="X3256"/>
      <c r="Y3256"/>
      <c r="Z3256"/>
      <c r="AA3256"/>
      <c r="AB3256"/>
      <c r="AC3256"/>
      <c r="AD3256"/>
      <c r="AE3256"/>
      <c r="AF3256"/>
      <c r="AG3256"/>
      <c r="AH3256"/>
      <c r="AI3256"/>
      <c r="AJ3256"/>
      <c r="AK3256"/>
      <c r="AL3256"/>
    </row>
    <row r="3257" spans="1:38" ht="15.75" customHeight="1" outlineLevel="3" x14ac:dyDescent="0.2">
      <c r="A3257" s="10">
        <v>191</v>
      </c>
      <c r="B3257" s="10" t="s">
        <v>71</v>
      </c>
      <c r="C3257" s="10" t="s">
        <v>652</v>
      </c>
      <c r="D3257" s="10" t="s">
        <v>481</v>
      </c>
      <c r="E3257" s="11" t="str">
        <f t="array" ref="E3257">_xlfn.XLOOKUP(D3257,Insumos!B:B,Insumos!C:$C)</f>
        <v>KG</v>
      </c>
      <c r="F3257" s="14">
        <v>8.8000000000000007</v>
      </c>
      <c r="G3257" s="92">
        <f t="array" ref="G3257">IF(B3257="insumo",_xlfn.XLOOKUP($D3257,Insumos!$B$1:$B$996,Insumos!$D$1:$D$996),"")</f>
        <v>1.0645</v>
      </c>
      <c r="H3257" s="92">
        <v>9.3675999999999995</v>
      </c>
      <c r="I3257" s="13">
        <v>0</v>
      </c>
      <c r="J3257" s="13">
        <v>0</v>
      </c>
      <c r="K3257" s="13"/>
      <c r="L3257"/>
      <c r="M3257"/>
      <c r="N3257"/>
      <c r="O3257"/>
      <c r="P3257"/>
      <c r="Q3257"/>
      <c r="R3257"/>
      <c r="S3257"/>
      <c r="T3257"/>
      <c r="U3257"/>
      <c r="V3257"/>
      <c r="W3257"/>
      <c r="X3257"/>
      <c r="Y3257"/>
      <c r="Z3257"/>
      <c r="AA3257"/>
      <c r="AB3257"/>
      <c r="AC3257"/>
      <c r="AD3257"/>
      <c r="AE3257"/>
      <c r="AF3257"/>
      <c r="AG3257"/>
      <c r="AH3257"/>
      <c r="AI3257"/>
      <c r="AJ3257"/>
      <c r="AK3257"/>
      <c r="AL3257"/>
    </row>
    <row r="3258" spans="1:38" ht="15.75" customHeight="1" outlineLevel="3" x14ac:dyDescent="0.2">
      <c r="A3258" s="10">
        <v>34</v>
      </c>
      <c r="B3258" s="10" t="s">
        <v>71</v>
      </c>
      <c r="C3258" s="10" t="s">
        <v>652</v>
      </c>
      <c r="D3258" s="10" t="s">
        <v>538</v>
      </c>
      <c r="E3258" s="11" t="str">
        <f t="array" ref="E3258">_xlfn.XLOOKUP(D3258,Insumos!B:B,Insumos!C:$C)</f>
        <v>UN</v>
      </c>
      <c r="F3258" s="14">
        <v>0.5</v>
      </c>
      <c r="G3258" s="92">
        <f t="array" ref="G3258">IF(B3258="insumo",_xlfn.XLOOKUP($D3258,Insumos!$B$1:$B$996,Insumos!$D$1:$D$996),"")</f>
        <v>17.329999999999998</v>
      </c>
      <c r="H3258" s="92">
        <v>8.6649999999999991</v>
      </c>
      <c r="I3258" s="13">
        <v>0</v>
      </c>
      <c r="J3258" s="13">
        <v>0</v>
      </c>
      <c r="K3258" s="13"/>
      <c r="L3258"/>
      <c r="M3258"/>
      <c r="N3258"/>
      <c r="O3258"/>
      <c r="P3258"/>
      <c r="Q3258"/>
      <c r="R3258"/>
      <c r="S3258"/>
      <c r="T3258"/>
      <c r="U3258"/>
      <c r="V3258"/>
      <c r="W3258"/>
      <c r="X3258"/>
      <c r="Y3258"/>
      <c r="Z3258"/>
      <c r="AA3258"/>
      <c r="AB3258"/>
      <c r="AC3258"/>
      <c r="AD3258"/>
      <c r="AE3258"/>
      <c r="AF3258"/>
      <c r="AG3258"/>
      <c r="AH3258"/>
      <c r="AI3258"/>
      <c r="AJ3258"/>
      <c r="AK3258"/>
      <c r="AL3258"/>
    </row>
    <row r="3259" spans="1:38" ht="15.75" customHeight="1" outlineLevel="1" x14ac:dyDescent="0.2">
      <c r="A3259" s="1090">
        <v>1</v>
      </c>
      <c r="B3259" s="1090" t="s">
        <v>1228</v>
      </c>
      <c r="C3259" s="1090" t="s">
        <v>652</v>
      </c>
      <c r="D3259" s="1090" t="s">
        <v>1473</v>
      </c>
      <c r="E3259" s="1091"/>
      <c r="F3259" s="1092"/>
      <c r="G3259" s="1091"/>
      <c r="H3259" s="1091">
        <v>0</v>
      </c>
      <c r="I3259" s="1092">
        <v>0</v>
      </c>
      <c r="J3259" s="1092">
        <v>0</v>
      </c>
      <c r="K3259" s="1092"/>
      <c r="L3259"/>
      <c r="M3259"/>
      <c r="N3259"/>
      <c r="O3259"/>
      <c r="P3259"/>
      <c r="Q3259"/>
      <c r="R3259"/>
      <c r="S3259"/>
      <c r="T3259"/>
      <c r="U3259"/>
      <c r="V3259"/>
      <c r="W3259"/>
      <c r="X3259"/>
      <c r="Y3259"/>
      <c r="Z3259"/>
      <c r="AA3259"/>
      <c r="AB3259"/>
      <c r="AC3259"/>
      <c r="AD3259"/>
      <c r="AE3259"/>
      <c r="AF3259"/>
      <c r="AG3259"/>
      <c r="AH3259"/>
      <c r="AI3259"/>
      <c r="AJ3259"/>
      <c r="AK3259"/>
      <c r="AL3259"/>
    </row>
    <row r="3260" spans="1:38" ht="15.75" customHeight="1" outlineLevel="2" x14ac:dyDescent="0.2">
      <c r="A3260" s="1067">
        <v>1</v>
      </c>
      <c r="B3260" s="1067" t="s">
        <v>68</v>
      </c>
      <c r="C3260" s="1067" t="s">
        <v>656</v>
      </c>
      <c r="D3260" s="1067" t="s">
        <v>656</v>
      </c>
      <c r="E3260" s="1068" t="s">
        <v>70</v>
      </c>
      <c r="F3260" s="1067"/>
      <c r="G3260" s="1069" t="str">
        <f t="array" ref="G3260">IF(B3260="insumo",_xlfn.XLOOKUP($D3260,Insumos!$B$1:$B$996,Insumos!$D$1:$D$996),"")</f>
        <v/>
      </c>
      <c r="H3260" s="1069">
        <v>52.237000000000002</v>
      </c>
      <c r="I3260" s="1070">
        <v>0</v>
      </c>
      <c r="J3260" s="1070">
        <v>0</v>
      </c>
      <c r="K3260" s="1070"/>
      <c r="L3260"/>
      <c r="M3260"/>
      <c r="N3260"/>
      <c r="O3260"/>
      <c r="P3260"/>
      <c r="Q3260"/>
      <c r="R3260"/>
      <c r="S3260"/>
      <c r="T3260"/>
      <c r="U3260"/>
      <c r="V3260"/>
      <c r="W3260"/>
      <c r="X3260"/>
      <c r="Y3260"/>
      <c r="Z3260"/>
      <c r="AA3260"/>
      <c r="AB3260"/>
      <c r="AC3260"/>
      <c r="AD3260"/>
      <c r="AE3260"/>
      <c r="AF3260"/>
      <c r="AG3260"/>
      <c r="AH3260"/>
      <c r="AI3260"/>
      <c r="AJ3260"/>
      <c r="AK3260"/>
      <c r="AL3260"/>
    </row>
    <row r="3261" spans="1:38" ht="15.75" customHeight="1" outlineLevel="3" x14ac:dyDescent="0.2">
      <c r="A3261" s="10">
        <v>2</v>
      </c>
      <c r="B3261" s="10" t="s">
        <v>71</v>
      </c>
      <c r="C3261" s="10" t="s">
        <v>656</v>
      </c>
      <c r="D3261" s="10" t="s">
        <v>657</v>
      </c>
      <c r="E3261" s="11" t="str">
        <f t="array" ref="E3261">_xlfn.XLOOKUP(D3261,Insumos!B:B,Insumos!C:$C)</f>
        <v>M2</v>
      </c>
      <c r="F3261" s="14">
        <v>1.1000000000000001</v>
      </c>
      <c r="G3261" s="92">
        <f t="array" ref="G3261">IF(B3261="insumo",_xlfn.XLOOKUP($D3261,Insumos!$B$1:$B$996,Insumos!$D$1:$D$996),"")</f>
        <v>39.64</v>
      </c>
      <c r="H3261" s="92">
        <v>43.603999999999999</v>
      </c>
      <c r="I3261" s="13">
        <v>0</v>
      </c>
      <c r="J3261" s="13">
        <v>0</v>
      </c>
      <c r="K3261" s="13"/>
      <c r="L3261"/>
      <c r="M3261"/>
      <c r="N3261"/>
      <c r="O3261"/>
      <c r="P3261"/>
      <c r="Q3261"/>
      <c r="R3261"/>
      <c r="S3261"/>
      <c r="T3261"/>
      <c r="U3261"/>
      <c r="V3261"/>
      <c r="W3261"/>
      <c r="X3261"/>
      <c r="Y3261"/>
      <c r="Z3261"/>
      <c r="AA3261"/>
      <c r="AB3261"/>
      <c r="AC3261"/>
      <c r="AD3261"/>
      <c r="AE3261"/>
      <c r="AF3261"/>
      <c r="AG3261"/>
      <c r="AH3261"/>
      <c r="AI3261"/>
      <c r="AJ3261"/>
      <c r="AK3261"/>
      <c r="AL3261"/>
    </row>
    <row r="3262" spans="1:38" ht="15.75" customHeight="1" outlineLevel="3" x14ac:dyDescent="0.2">
      <c r="A3262" s="10">
        <v>16</v>
      </c>
      <c r="B3262" s="10" t="s">
        <v>71</v>
      </c>
      <c r="C3262" s="10" t="s">
        <v>656</v>
      </c>
      <c r="D3262" s="10" t="s">
        <v>658</v>
      </c>
      <c r="E3262" s="11" t="str">
        <f t="array" ref="E3262">_xlfn.XLOOKUP(D3262,Insumos!B:B,Insumos!C:$C)</f>
        <v>KG</v>
      </c>
      <c r="F3262" s="14">
        <v>8.8000000000000007</v>
      </c>
      <c r="G3262" s="92">
        <f t="array" ref="G3262">IF(B3262="insumo",_xlfn.XLOOKUP($D3262,Insumos!$B$1:$B$996,Insumos!$D$1:$D$996),"")</f>
        <v>0.95</v>
      </c>
      <c r="H3262" s="92">
        <v>8.36</v>
      </c>
      <c r="I3262" s="13">
        <v>0</v>
      </c>
      <c r="J3262" s="13">
        <v>0</v>
      </c>
      <c r="K3262" s="13"/>
      <c r="L3262"/>
      <c r="M3262"/>
      <c r="N3262"/>
      <c r="O3262"/>
      <c r="P3262"/>
      <c r="Q3262"/>
      <c r="R3262"/>
      <c r="S3262"/>
      <c r="T3262"/>
      <c r="U3262"/>
      <c r="V3262"/>
      <c r="W3262"/>
      <c r="X3262"/>
      <c r="Y3262"/>
      <c r="Z3262"/>
      <c r="AA3262"/>
      <c r="AB3262"/>
      <c r="AC3262"/>
      <c r="AD3262"/>
      <c r="AE3262"/>
      <c r="AF3262"/>
      <c r="AG3262"/>
      <c r="AH3262"/>
      <c r="AI3262"/>
      <c r="AJ3262"/>
      <c r="AK3262"/>
      <c r="AL3262"/>
    </row>
    <row r="3263" spans="1:38" ht="15.75" customHeight="1" outlineLevel="3" x14ac:dyDescent="0.2">
      <c r="A3263" s="10">
        <v>17</v>
      </c>
      <c r="B3263" s="10" t="s">
        <v>71</v>
      </c>
      <c r="C3263" s="10" t="s">
        <v>656</v>
      </c>
      <c r="D3263" s="10" t="s">
        <v>521</v>
      </c>
      <c r="E3263" s="11" t="str">
        <f t="array" ref="E3263">_xlfn.XLOOKUP(D3263,Insumos!B:B,Insumos!C:$C)</f>
        <v>UN</v>
      </c>
      <c r="F3263" s="14">
        <v>1</v>
      </c>
      <c r="G3263" s="92">
        <f t="array" ref="G3263">IF(B3263="insumo",_xlfn.XLOOKUP($D3263,Insumos!$B$1:$B$996,Insumos!$D$1:$D$996),"")</f>
        <v>0.05</v>
      </c>
      <c r="H3263" s="92">
        <v>0.05</v>
      </c>
      <c r="I3263" s="13">
        <v>0</v>
      </c>
      <c r="J3263" s="13">
        <v>0</v>
      </c>
      <c r="K3263" s="13"/>
      <c r="L3263"/>
      <c r="M3263"/>
      <c r="N3263"/>
      <c r="O3263"/>
      <c r="P3263"/>
      <c r="Q3263"/>
      <c r="R3263"/>
      <c r="S3263"/>
      <c r="T3263"/>
      <c r="U3263"/>
      <c r="V3263"/>
      <c r="W3263"/>
      <c r="X3263"/>
      <c r="Y3263"/>
      <c r="Z3263"/>
      <c r="AA3263"/>
      <c r="AB3263"/>
      <c r="AC3263"/>
      <c r="AD3263"/>
      <c r="AE3263"/>
      <c r="AF3263"/>
      <c r="AG3263"/>
      <c r="AH3263"/>
      <c r="AI3263"/>
      <c r="AJ3263"/>
      <c r="AK3263"/>
      <c r="AL3263"/>
    </row>
    <row r="3264" spans="1:38" ht="15.75" customHeight="1" outlineLevel="3" x14ac:dyDescent="0.2">
      <c r="A3264" s="10">
        <v>101</v>
      </c>
      <c r="B3264" s="10" t="s">
        <v>71</v>
      </c>
      <c r="C3264" s="10" t="s">
        <v>656</v>
      </c>
      <c r="D3264" s="10" t="s">
        <v>507</v>
      </c>
      <c r="E3264" s="11" t="str">
        <f t="array" ref="E3264">_xlfn.XLOOKUP(D3264,Insumos!B:B,Insumos!C:$C)</f>
        <v>KG</v>
      </c>
      <c r="F3264" s="14">
        <v>0.02</v>
      </c>
      <c r="G3264" s="92">
        <f t="array" ref="G3264">IF(B3264="insumo",_xlfn.XLOOKUP($D3264,Insumos!$B$1:$B$996,Insumos!$D$1:$D$996),"")</f>
        <v>11.15</v>
      </c>
      <c r="H3264" s="92">
        <v>0.223</v>
      </c>
      <c r="I3264" s="13">
        <v>0</v>
      </c>
      <c r="J3264" s="13">
        <v>0</v>
      </c>
      <c r="K3264" s="13"/>
      <c r="L3264"/>
      <c r="M3264"/>
      <c r="N3264"/>
      <c r="O3264"/>
      <c r="P3264"/>
      <c r="Q3264"/>
      <c r="R3264"/>
      <c r="S3264"/>
      <c r="T3264"/>
      <c r="U3264"/>
      <c r="V3264"/>
      <c r="W3264"/>
      <c r="X3264"/>
      <c r="Y3264"/>
      <c r="Z3264"/>
      <c r="AA3264"/>
      <c r="AB3264"/>
      <c r="AC3264"/>
      <c r="AD3264"/>
      <c r="AE3264"/>
      <c r="AF3264"/>
      <c r="AG3264"/>
      <c r="AH3264"/>
      <c r="AI3264"/>
      <c r="AJ3264"/>
      <c r="AK3264"/>
      <c r="AL3264"/>
    </row>
    <row r="3265" spans="1:38" ht="15.75" customHeight="1" outlineLevel="2" x14ac:dyDescent="0.2">
      <c r="A3265" s="1067">
        <v>1</v>
      </c>
      <c r="B3265" s="1067" t="s">
        <v>68</v>
      </c>
      <c r="C3265" s="1067" t="s">
        <v>2981</v>
      </c>
      <c r="D3265" s="1067" t="s">
        <v>2981</v>
      </c>
      <c r="E3265" s="1068" t="s">
        <v>70</v>
      </c>
      <c r="F3265" s="1067"/>
      <c r="G3265" s="1069" t="str">
        <f t="array" ref="G3265">IF(B3265="insumo",_xlfn.XLOOKUP($D3265,Insumos!$B$1:$B$996,Insumos!$D$1:$D$996),"")</f>
        <v/>
      </c>
      <c r="H3265" s="1069">
        <v>61.7806</v>
      </c>
      <c r="I3265" s="1070">
        <v>0</v>
      </c>
      <c r="J3265" s="1070">
        <v>0</v>
      </c>
      <c r="K3265" s="1070"/>
      <c r="L3265"/>
      <c r="M3265"/>
      <c r="N3265"/>
      <c r="O3265"/>
      <c r="P3265"/>
      <c r="Q3265"/>
      <c r="R3265"/>
      <c r="S3265"/>
      <c r="T3265"/>
      <c r="U3265"/>
      <c r="V3265"/>
      <c r="W3265"/>
      <c r="X3265"/>
      <c r="Y3265"/>
      <c r="Z3265"/>
      <c r="AA3265"/>
      <c r="AB3265"/>
      <c r="AC3265"/>
      <c r="AD3265"/>
      <c r="AE3265"/>
      <c r="AF3265"/>
      <c r="AG3265"/>
      <c r="AH3265"/>
      <c r="AI3265"/>
      <c r="AJ3265"/>
      <c r="AK3265"/>
      <c r="AL3265"/>
    </row>
    <row r="3266" spans="1:38" ht="15.75" customHeight="1" outlineLevel="3" x14ac:dyDescent="0.2">
      <c r="A3266" s="10">
        <v>6</v>
      </c>
      <c r="B3266" s="10" t="s">
        <v>71</v>
      </c>
      <c r="C3266" s="10" t="s">
        <v>2981</v>
      </c>
      <c r="D3266" s="10" t="s">
        <v>505</v>
      </c>
      <c r="E3266" s="11" t="str">
        <f t="array" ref="E3266">_xlfn.XLOOKUP(D3266,Insumos!B:B,Insumos!C:$C)</f>
        <v>M2</v>
      </c>
      <c r="F3266" s="14">
        <v>1.1000000000000001</v>
      </c>
      <c r="G3266" s="92">
        <f t="array" ref="G3266">IF(B3266="insumo",_xlfn.XLOOKUP($D3266,Insumos!$B$1:$B$996,Insumos!$D$1:$D$996),"")</f>
        <v>47.23</v>
      </c>
      <c r="H3266" s="92">
        <v>51.953000000000003</v>
      </c>
      <c r="I3266" s="13">
        <v>0</v>
      </c>
      <c r="J3266" s="13">
        <v>0</v>
      </c>
      <c r="K3266" s="13"/>
      <c r="L3266"/>
      <c r="M3266"/>
      <c r="N3266"/>
      <c r="O3266"/>
      <c r="P3266"/>
      <c r="Q3266"/>
      <c r="R3266"/>
      <c r="S3266"/>
      <c r="T3266"/>
      <c r="U3266"/>
      <c r="V3266"/>
      <c r="W3266"/>
      <c r="X3266"/>
      <c r="Y3266"/>
      <c r="Z3266"/>
      <c r="AA3266"/>
      <c r="AB3266"/>
      <c r="AC3266"/>
      <c r="AD3266"/>
      <c r="AE3266"/>
      <c r="AF3266"/>
      <c r="AG3266"/>
      <c r="AH3266"/>
      <c r="AI3266"/>
      <c r="AJ3266"/>
      <c r="AK3266"/>
      <c r="AL3266"/>
    </row>
    <row r="3267" spans="1:38" ht="15.75" customHeight="1" outlineLevel="3" x14ac:dyDescent="0.2">
      <c r="A3267" s="10">
        <v>191</v>
      </c>
      <c r="B3267" s="10" t="s">
        <v>71</v>
      </c>
      <c r="C3267" s="10" t="s">
        <v>2981</v>
      </c>
      <c r="D3267" s="10" t="s">
        <v>481</v>
      </c>
      <c r="E3267" s="11" t="str">
        <f t="array" ref="E3267">_xlfn.XLOOKUP(D3267,Insumos!B:B,Insumos!C:$C)</f>
        <v>KG</v>
      </c>
      <c r="F3267" s="14">
        <v>8.8000000000000007</v>
      </c>
      <c r="G3267" s="92">
        <f t="array" ref="G3267">IF(B3267="insumo",_xlfn.XLOOKUP($D3267,Insumos!$B$1:$B$996,Insumos!$D$1:$D$996),"")</f>
        <v>1.0645</v>
      </c>
      <c r="H3267" s="92">
        <v>9.3675999999999995</v>
      </c>
      <c r="I3267" s="13">
        <v>0</v>
      </c>
      <c r="J3267" s="13">
        <v>0</v>
      </c>
      <c r="K3267" s="13"/>
      <c r="L3267"/>
      <c r="M3267"/>
      <c r="N3267"/>
      <c r="O3267"/>
      <c r="P3267"/>
      <c r="Q3267"/>
      <c r="R3267"/>
      <c r="S3267"/>
      <c r="T3267"/>
      <c r="U3267"/>
      <c r="V3267"/>
      <c r="W3267"/>
      <c r="X3267"/>
      <c r="Y3267"/>
      <c r="Z3267"/>
      <c r="AA3267"/>
      <c r="AB3267"/>
      <c r="AC3267"/>
      <c r="AD3267"/>
      <c r="AE3267"/>
      <c r="AF3267"/>
      <c r="AG3267"/>
      <c r="AH3267"/>
      <c r="AI3267"/>
      <c r="AJ3267"/>
      <c r="AK3267"/>
      <c r="AL3267"/>
    </row>
    <row r="3268" spans="1:38" ht="15.75" customHeight="1" outlineLevel="3" x14ac:dyDescent="0.2">
      <c r="A3268" s="10">
        <v>142</v>
      </c>
      <c r="B3268" s="10" t="s">
        <v>71</v>
      </c>
      <c r="C3268" s="10" t="s">
        <v>2981</v>
      </c>
      <c r="D3268" s="10" t="s">
        <v>506</v>
      </c>
      <c r="E3268" s="11" t="str">
        <f t="array" ref="E3268">_xlfn.XLOOKUP(D3268,Insumos!B:B,Insumos!C:$C)</f>
        <v>UN</v>
      </c>
      <c r="F3268" s="14">
        <v>1</v>
      </c>
      <c r="G3268" s="92">
        <f t="array" ref="G3268">IF(B3268="insumo",_xlfn.XLOOKUP($D3268,Insumos!$B$1:$B$996,Insumos!$D$1:$D$996),"")</f>
        <v>0.08</v>
      </c>
      <c r="H3268" s="92">
        <v>0.08</v>
      </c>
      <c r="I3268" s="13">
        <v>0</v>
      </c>
      <c r="J3268" s="13">
        <v>0</v>
      </c>
      <c r="K3268" s="13"/>
      <c r="L3268"/>
      <c r="M3268"/>
      <c r="N3268"/>
      <c r="O3268"/>
      <c r="P3268"/>
      <c r="Q3268"/>
      <c r="R3268"/>
      <c r="S3268"/>
      <c r="T3268"/>
      <c r="U3268"/>
      <c r="V3268"/>
      <c r="W3268"/>
      <c r="X3268"/>
      <c r="Y3268"/>
      <c r="Z3268"/>
      <c r="AA3268"/>
      <c r="AB3268"/>
      <c r="AC3268"/>
      <c r="AD3268"/>
      <c r="AE3268"/>
      <c r="AF3268"/>
      <c r="AG3268"/>
      <c r="AH3268"/>
      <c r="AI3268"/>
      <c r="AJ3268"/>
      <c r="AK3268"/>
      <c r="AL3268"/>
    </row>
    <row r="3269" spans="1:38" ht="15.75" customHeight="1" outlineLevel="3" x14ac:dyDescent="0.2">
      <c r="A3269" s="10">
        <v>36</v>
      </c>
      <c r="B3269" s="10" t="s">
        <v>71</v>
      </c>
      <c r="C3269" s="82" t="s">
        <v>2981</v>
      </c>
      <c r="D3269" s="82" t="s">
        <v>2856</v>
      </c>
      <c r="E3269" s="11" t="str">
        <f t="array" ref="E3269">_xlfn.XLOOKUP(D3269,Insumos!B:B,Insumos!C:$C)</f>
        <v>KG</v>
      </c>
      <c r="F3269" s="14">
        <v>0.01</v>
      </c>
      <c r="G3269" s="92">
        <f t="array" ref="G3269">IF(B3269="insumo",_xlfn.XLOOKUP($D3269,Insumos!$B$1:$B$996,Insumos!$D$1:$D$996),"")</f>
        <v>38</v>
      </c>
      <c r="H3269" s="92">
        <v>0.38</v>
      </c>
      <c r="I3269" s="13">
        <v>0</v>
      </c>
      <c r="J3269" s="13">
        <v>0</v>
      </c>
      <c r="K3269" s="13"/>
      <c r="L3269"/>
      <c r="M3269"/>
      <c r="N3269"/>
      <c r="O3269"/>
      <c r="P3269"/>
      <c r="Q3269"/>
      <c r="R3269"/>
      <c r="S3269"/>
      <c r="T3269"/>
      <c r="U3269"/>
      <c r="V3269"/>
      <c r="W3269"/>
      <c r="X3269"/>
      <c r="Y3269"/>
      <c r="Z3269"/>
      <c r="AA3269"/>
      <c r="AB3269"/>
      <c r="AC3269"/>
      <c r="AD3269"/>
      <c r="AE3269"/>
      <c r="AF3269"/>
      <c r="AG3269"/>
      <c r="AH3269"/>
      <c r="AI3269"/>
      <c r="AJ3269"/>
      <c r="AK3269"/>
      <c r="AL3269"/>
    </row>
    <row r="3270" spans="1:38" ht="12.75" outlineLevel="2" x14ac:dyDescent="0.2">
      <c r="A3270" s="1071">
        <v>1</v>
      </c>
      <c r="B3270" s="1071" t="s">
        <v>68</v>
      </c>
      <c r="C3270" s="1071" t="s">
        <v>2982</v>
      </c>
      <c r="D3270" s="1071" t="s">
        <v>2982</v>
      </c>
      <c r="E3270" s="1072" t="s">
        <v>70</v>
      </c>
      <c r="F3270" s="1071"/>
      <c r="G3270" s="1073" t="str">
        <f t="array" ref="G3270">IF(B3270="insumo",_xlfn.XLOOKUP($D3270,Insumos!$B$1:$B$996,Insumos!$D$1:$D$996),"")</f>
        <v/>
      </c>
      <c r="H3270" s="1073">
        <v>79.119</v>
      </c>
      <c r="I3270" s="1074">
        <v>0</v>
      </c>
      <c r="J3270" s="1074">
        <v>0</v>
      </c>
      <c r="K3270" s="1074"/>
      <c r="L3270"/>
      <c r="M3270"/>
      <c r="N3270"/>
      <c r="O3270"/>
      <c r="P3270"/>
      <c r="Q3270"/>
      <c r="R3270"/>
      <c r="S3270"/>
      <c r="T3270"/>
      <c r="U3270"/>
      <c r="V3270"/>
      <c r="W3270"/>
      <c r="X3270"/>
      <c r="Y3270"/>
      <c r="Z3270"/>
      <c r="AA3270"/>
      <c r="AB3270"/>
      <c r="AC3270"/>
      <c r="AD3270"/>
      <c r="AE3270"/>
      <c r="AF3270"/>
      <c r="AG3270"/>
      <c r="AH3270"/>
      <c r="AI3270"/>
      <c r="AJ3270"/>
      <c r="AK3270"/>
      <c r="AL3270"/>
    </row>
    <row r="3271" spans="1:38" ht="12.75" outlineLevel="3" x14ac:dyDescent="0.2">
      <c r="A3271" s="82">
        <v>6</v>
      </c>
      <c r="B3271" s="82" t="s">
        <v>71</v>
      </c>
      <c r="C3271" s="82" t="s">
        <v>2982</v>
      </c>
      <c r="D3271" s="82" t="s">
        <v>1798</v>
      </c>
      <c r="E3271" s="11" t="str">
        <f t="array" ref="E3271">_xlfn.XLOOKUP(D3271,Insumos!B:B,Insumos!C:$C)</f>
        <v>M2</v>
      </c>
      <c r="F3271" s="88">
        <v>1.1000000000000001</v>
      </c>
      <c r="G3271" s="92">
        <f t="array" ref="G3271">IF(B3271="insumo",_xlfn.XLOOKUP($D3271,Insumos!$B$1:$B$996,Insumos!$D$1:$D$996),"")</f>
        <v>63.59</v>
      </c>
      <c r="H3271" s="92">
        <v>69.948999999999998</v>
      </c>
      <c r="I3271" s="84">
        <v>0</v>
      </c>
      <c r="J3271" s="84">
        <v>0</v>
      </c>
      <c r="K3271" s="84"/>
      <c r="L3271"/>
      <c r="M3271"/>
      <c r="N3271"/>
      <c r="O3271"/>
      <c r="P3271"/>
      <c r="Q3271"/>
      <c r="R3271"/>
      <c r="S3271"/>
      <c r="T3271"/>
      <c r="U3271"/>
      <c r="V3271"/>
      <c r="W3271"/>
      <c r="X3271"/>
      <c r="Y3271"/>
      <c r="Z3271"/>
      <c r="AA3271"/>
      <c r="AB3271"/>
      <c r="AC3271"/>
      <c r="AD3271"/>
      <c r="AE3271"/>
      <c r="AF3271"/>
      <c r="AG3271"/>
      <c r="AH3271"/>
      <c r="AI3271"/>
      <c r="AJ3271"/>
      <c r="AK3271"/>
      <c r="AL3271"/>
    </row>
    <row r="3272" spans="1:38" ht="12.75" outlineLevel="3" x14ac:dyDescent="0.2">
      <c r="A3272" s="82">
        <v>16</v>
      </c>
      <c r="B3272" s="82" t="s">
        <v>71</v>
      </c>
      <c r="C3272" s="82" t="s">
        <v>2982</v>
      </c>
      <c r="D3272" s="82" t="s">
        <v>658</v>
      </c>
      <c r="E3272" s="11" t="str">
        <f t="array" ref="E3272">_xlfn.XLOOKUP(D3272,Insumos!B:B,Insumos!C:$C)</f>
        <v>KG</v>
      </c>
      <c r="F3272" s="88">
        <v>8.8000000000000007</v>
      </c>
      <c r="G3272" s="92">
        <f t="array" ref="G3272">IF(B3272="insumo",_xlfn.XLOOKUP($D3272,Insumos!$B$1:$B$996,Insumos!$D$1:$D$996),"")</f>
        <v>0.95</v>
      </c>
      <c r="H3272" s="92">
        <v>8.36</v>
      </c>
      <c r="I3272" s="84">
        <v>0</v>
      </c>
      <c r="J3272" s="84">
        <v>0</v>
      </c>
      <c r="K3272" s="84"/>
      <c r="L3272"/>
      <c r="M3272"/>
      <c r="N3272"/>
      <c r="O3272"/>
      <c r="P3272"/>
      <c r="Q3272"/>
      <c r="R3272"/>
      <c r="S3272"/>
      <c r="T3272"/>
      <c r="U3272"/>
      <c r="V3272"/>
      <c r="W3272"/>
      <c r="X3272"/>
      <c r="Y3272"/>
      <c r="Z3272"/>
      <c r="AA3272"/>
      <c r="AB3272"/>
      <c r="AC3272"/>
      <c r="AD3272"/>
      <c r="AE3272"/>
      <c r="AF3272"/>
      <c r="AG3272"/>
      <c r="AH3272"/>
      <c r="AI3272"/>
      <c r="AJ3272"/>
      <c r="AK3272"/>
      <c r="AL3272"/>
    </row>
    <row r="3273" spans="1:38" ht="12.75" outlineLevel="3" x14ac:dyDescent="0.2">
      <c r="A3273" s="82">
        <v>17</v>
      </c>
      <c r="B3273" s="82" t="s">
        <v>71</v>
      </c>
      <c r="C3273" s="82" t="s">
        <v>2982</v>
      </c>
      <c r="D3273" s="82" t="s">
        <v>521</v>
      </c>
      <c r="E3273" s="11" t="str">
        <f t="array" ref="E3273">_xlfn.XLOOKUP(D3273,Insumos!B:B,Insumos!C:$C)</f>
        <v>UN</v>
      </c>
      <c r="F3273" s="88">
        <v>1</v>
      </c>
      <c r="G3273" s="92">
        <f t="array" ref="G3273">IF(B3273="insumo",_xlfn.XLOOKUP($D3273,Insumos!$B$1:$B$996,Insumos!$D$1:$D$996),"")</f>
        <v>0.05</v>
      </c>
      <c r="H3273" s="92">
        <v>0.05</v>
      </c>
      <c r="I3273" s="84">
        <v>0</v>
      </c>
      <c r="J3273" s="84">
        <v>0</v>
      </c>
      <c r="K3273" s="84"/>
      <c r="L3273"/>
      <c r="M3273"/>
      <c r="N3273"/>
      <c r="O3273"/>
      <c r="P3273"/>
      <c r="Q3273"/>
      <c r="R3273"/>
      <c r="S3273"/>
      <c r="T3273"/>
      <c r="U3273"/>
      <c r="V3273"/>
      <c r="W3273"/>
      <c r="X3273"/>
      <c r="Y3273"/>
      <c r="Z3273"/>
      <c r="AA3273"/>
      <c r="AB3273"/>
      <c r="AC3273"/>
      <c r="AD3273"/>
      <c r="AE3273"/>
      <c r="AF3273"/>
      <c r="AG3273"/>
      <c r="AH3273"/>
      <c r="AI3273"/>
      <c r="AJ3273"/>
      <c r="AK3273"/>
      <c r="AL3273"/>
    </row>
    <row r="3274" spans="1:38" ht="12.75" outlineLevel="3" x14ac:dyDescent="0.2">
      <c r="A3274" s="82">
        <v>36</v>
      </c>
      <c r="B3274" s="82" t="s">
        <v>71</v>
      </c>
      <c r="C3274" s="82" t="s">
        <v>2982</v>
      </c>
      <c r="D3274" s="82" t="s">
        <v>2856</v>
      </c>
      <c r="E3274" s="11" t="str">
        <f t="array" ref="E3274">_xlfn.XLOOKUP(D3274,Insumos!B:B,Insumos!C:$C)</f>
        <v>KG</v>
      </c>
      <c r="F3274" s="88">
        <v>0.02</v>
      </c>
      <c r="G3274" s="92">
        <f t="array" ref="G3274">IF(B3274="insumo",_xlfn.XLOOKUP($D3274,Insumos!$B$1:$B$996,Insumos!$D$1:$D$996),"")</f>
        <v>38</v>
      </c>
      <c r="H3274" s="92">
        <v>0.76</v>
      </c>
      <c r="I3274" s="84">
        <v>0</v>
      </c>
      <c r="J3274" s="84">
        <v>0</v>
      </c>
      <c r="K3274" s="84"/>
      <c r="L3274"/>
      <c r="M3274"/>
      <c r="N3274"/>
      <c r="O3274"/>
      <c r="P3274"/>
      <c r="Q3274"/>
      <c r="R3274"/>
      <c r="S3274"/>
      <c r="T3274"/>
      <c r="U3274"/>
      <c r="V3274"/>
      <c r="W3274"/>
      <c r="X3274"/>
      <c r="Y3274"/>
      <c r="Z3274"/>
      <c r="AA3274"/>
      <c r="AB3274"/>
      <c r="AC3274"/>
      <c r="AD3274"/>
      <c r="AE3274"/>
      <c r="AF3274"/>
      <c r="AG3274"/>
      <c r="AH3274"/>
      <c r="AI3274"/>
      <c r="AJ3274"/>
      <c r="AK3274"/>
      <c r="AL3274"/>
    </row>
    <row r="3275" spans="1:38" ht="12.75" outlineLevel="2" x14ac:dyDescent="0.2">
      <c r="A3275" s="1071">
        <v>1</v>
      </c>
      <c r="B3275" s="1071" t="s">
        <v>68</v>
      </c>
      <c r="C3275" s="1071" t="s">
        <v>2983</v>
      </c>
      <c r="D3275" s="1071" t="s">
        <v>2983</v>
      </c>
      <c r="E3275" s="1072" t="s">
        <v>70</v>
      </c>
      <c r="F3275" s="1071"/>
      <c r="G3275" s="1073" t="str">
        <f t="array" ref="G3275">IF(B3275="insumo",_xlfn.XLOOKUP($D3275,Insumos!$B$1:$B$996,Insumos!$D$1:$D$996),"")</f>
        <v/>
      </c>
      <c r="H3275" s="1073">
        <v>89.938599999999994</v>
      </c>
      <c r="I3275" s="1074">
        <v>0</v>
      </c>
      <c r="J3275" s="1074">
        <v>0</v>
      </c>
      <c r="K3275" s="1074"/>
      <c r="L3275"/>
      <c r="M3275"/>
      <c r="N3275"/>
      <c r="O3275"/>
      <c r="P3275"/>
      <c r="Q3275"/>
      <c r="R3275"/>
      <c r="S3275"/>
      <c r="T3275"/>
      <c r="U3275"/>
      <c r="V3275"/>
      <c r="W3275"/>
      <c r="X3275"/>
      <c r="Y3275"/>
      <c r="Z3275"/>
      <c r="AA3275"/>
      <c r="AB3275"/>
      <c r="AC3275"/>
      <c r="AD3275"/>
      <c r="AE3275"/>
      <c r="AF3275"/>
      <c r="AG3275"/>
      <c r="AH3275"/>
      <c r="AI3275"/>
      <c r="AJ3275"/>
      <c r="AK3275"/>
      <c r="AL3275"/>
    </row>
    <row r="3276" spans="1:38" ht="12.75" outlineLevel="3" x14ac:dyDescent="0.2">
      <c r="A3276" s="82">
        <v>3</v>
      </c>
      <c r="B3276" s="82" t="s">
        <v>71</v>
      </c>
      <c r="C3276" s="89" t="s">
        <v>2983</v>
      </c>
      <c r="D3276" s="89" t="s">
        <v>1830</v>
      </c>
      <c r="E3276" s="11" t="str">
        <f t="array" ref="E3276">_xlfn.XLOOKUP(D3276,Insumos!B:B,Insumos!C:$C)</f>
        <v>M2</v>
      </c>
      <c r="F3276" s="86">
        <v>1.1000000000000001</v>
      </c>
      <c r="G3276" s="92">
        <f t="array" ref="G3276">IF(B3276="insumo",_xlfn.XLOOKUP($D3276,Insumos!$B$1:$B$996,Insumos!$D$1:$D$996),"")</f>
        <v>72.63</v>
      </c>
      <c r="H3276" s="92">
        <v>79.893000000000001</v>
      </c>
      <c r="I3276" s="84">
        <v>0</v>
      </c>
      <c r="J3276" s="84">
        <v>0</v>
      </c>
      <c r="K3276" s="84"/>
      <c r="L3276"/>
      <c r="M3276"/>
      <c r="N3276"/>
      <c r="O3276"/>
      <c r="P3276"/>
      <c r="Q3276"/>
      <c r="R3276"/>
      <c r="S3276"/>
      <c r="T3276"/>
      <c r="U3276"/>
      <c r="V3276"/>
      <c r="W3276"/>
      <c r="X3276"/>
      <c r="Y3276"/>
      <c r="Z3276"/>
      <c r="AA3276"/>
      <c r="AB3276"/>
      <c r="AC3276"/>
      <c r="AD3276"/>
      <c r="AE3276"/>
      <c r="AF3276"/>
      <c r="AG3276"/>
      <c r="AH3276"/>
      <c r="AI3276"/>
      <c r="AJ3276"/>
      <c r="AK3276"/>
      <c r="AL3276"/>
    </row>
    <row r="3277" spans="1:38" ht="12.75" outlineLevel="3" x14ac:dyDescent="0.2">
      <c r="A3277" s="82">
        <v>191</v>
      </c>
      <c r="B3277" s="82" t="s">
        <v>71</v>
      </c>
      <c r="C3277" s="82" t="s">
        <v>2983</v>
      </c>
      <c r="D3277" s="82" t="s">
        <v>481</v>
      </c>
      <c r="E3277" s="11" t="str">
        <f t="array" ref="E3277">_xlfn.XLOOKUP(D3277,Insumos!B:B,Insumos!C:$C)</f>
        <v>KG</v>
      </c>
      <c r="F3277" s="86">
        <v>8.8000000000000007</v>
      </c>
      <c r="G3277" s="92">
        <f t="array" ref="G3277">IF(B3277="insumo",_xlfn.XLOOKUP($D3277,Insumos!$B$1:$B$996,Insumos!$D$1:$D$996),"")</f>
        <v>1.0645</v>
      </c>
      <c r="H3277" s="92">
        <v>9.3675999999999995</v>
      </c>
      <c r="I3277" s="84">
        <v>0</v>
      </c>
      <c r="J3277" s="84">
        <v>0</v>
      </c>
      <c r="K3277" s="84"/>
      <c r="L3277"/>
      <c r="M3277"/>
      <c r="N3277"/>
      <c r="O3277"/>
      <c r="P3277"/>
      <c r="Q3277"/>
      <c r="R3277"/>
      <c r="S3277"/>
      <c r="T3277"/>
      <c r="U3277"/>
      <c r="V3277"/>
      <c r="W3277"/>
      <c r="X3277"/>
      <c r="Y3277"/>
      <c r="Z3277"/>
      <c r="AA3277"/>
      <c r="AB3277"/>
      <c r="AC3277"/>
      <c r="AD3277"/>
      <c r="AE3277"/>
      <c r="AF3277"/>
      <c r="AG3277"/>
      <c r="AH3277"/>
      <c r="AI3277"/>
      <c r="AJ3277"/>
      <c r="AK3277"/>
      <c r="AL3277"/>
    </row>
    <row r="3278" spans="1:38" ht="12.75" outlineLevel="3" x14ac:dyDescent="0.2">
      <c r="A3278" s="82">
        <v>142</v>
      </c>
      <c r="B3278" s="82" t="s">
        <v>71</v>
      </c>
      <c r="C3278" s="82" t="s">
        <v>2983</v>
      </c>
      <c r="D3278" s="82" t="s">
        <v>506</v>
      </c>
      <c r="E3278" s="11" t="str">
        <f t="array" ref="E3278">_xlfn.XLOOKUP(D3278,Insumos!B:B,Insumos!C:$C)</f>
        <v>UN</v>
      </c>
      <c r="F3278" s="86">
        <v>3</v>
      </c>
      <c r="G3278" s="92">
        <f t="array" ref="G3278">IF(B3278="insumo",_xlfn.XLOOKUP($D3278,Insumos!$B$1:$B$996,Insumos!$D$1:$D$996),"")</f>
        <v>0.08</v>
      </c>
      <c r="H3278" s="92">
        <v>0.24</v>
      </c>
      <c r="I3278" s="84">
        <v>0</v>
      </c>
      <c r="J3278" s="84">
        <v>0</v>
      </c>
      <c r="K3278" s="84"/>
      <c r="L3278"/>
      <c r="M3278"/>
      <c r="N3278"/>
      <c r="O3278"/>
      <c r="P3278"/>
      <c r="Q3278"/>
      <c r="R3278"/>
      <c r="S3278"/>
      <c r="T3278"/>
      <c r="U3278"/>
      <c r="V3278"/>
      <c r="W3278"/>
      <c r="X3278"/>
      <c r="Y3278"/>
      <c r="Z3278"/>
      <c r="AA3278"/>
      <c r="AB3278"/>
      <c r="AC3278"/>
      <c r="AD3278"/>
      <c r="AE3278"/>
      <c r="AF3278"/>
      <c r="AG3278"/>
      <c r="AH3278"/>
      <c r="AI3278"/>
      <c r="AJ3278"/>
      <c r="AK3278"/>
      <c r="AL3278"/>
    </row>
    <row r="3279" spans="1:38" ht="12.75" outlineLevel="3" x14ac:dyDescent="0.2">
      <c r="A3279" s="82">
        <v>22</v>
      </c>
      <c r="B3279" s="82" t="s">
        <v>71</v>
      </c>
      <c r="C3279" s="82" t="s">
        <v>2983</v>
      </c>
      <c r="D3279" s="82" t="s">
        <v>1833</v>
      </c>
      <c r="E3279" s="11" t="str">
        <f t="array" ref="E3279">_xlfn.XLOOKUP(D3279,Insumos!B:B,Insumos!C:$C)</f>
        <v>KG</v>
      </c>
      <c r="F3279" s="86">
        <v>0.01</v>
      </c>
      <c r="G3279" s="92">
        <f t="array" ref="G3279">IF(B3279="insumo",_xlfn.XLOOKUP($D3279,Insumos!$B$1:$B$996,Insumos!$D$1:$D$996),"")</f>
        <v>43.8</v>
      </c>
      <c r="H3279" s="92">
        <v>0.438</v>
      </c>
      <c r="I3279" s="84">
        <v>0</v>
      </c>
      <c r="J3279" s="84">
        <v>0</v>
      </c>
      <c r="K3279" s="84"/>
      <c r="L3279"/>
      <c r="M3279"/>
      <c r="N3279"/>
      <c r="O3279"/>
      <c r="P3279"/>
      <c r="Q3279"/>
      <c r="R3279"/>
      <c r="S3279"/>
      <c r="T3279"/>
      <c r="U3279"/>
      <c r="V3279"/>
      <c r="W3279"/>
      <c r="X3279"/>
      <c r="Y3279"/>
      <c r="Z3279"/>
      <c r="AA3279"/>
      <c r="AB3279"/>
      <c r="AC3279"/>
      <c r="AD3279"/>
      <c r="AE3279"/>
      <c r="AF3279"/>
      <c r="AG3279"/>
      <c r="AH3279"/>
      <c r="AI3279"/>
      <c r="AJ3279"/>
      <c r="AK3279"/>
      <c r="AL3279"/>
    </row>
    <row r="3280" spans="1:38" ht="12.75" outlineLevel="2" x14ac:dyDescent="0.2">
      <c r="A3280" s="1071">
        <v>1</v>
      </c>
      <c r="B3280" s="1071" t="s">
        <v>68</v>
      </c>
      <c r="C3280" s="1071" t="s">
        <v>2984</v>
      </c>
      <c r="D3280" s="1071" t="s">
        <v>2984</v>
      </c>
      <c r="E3280" s="1072" t="s">
        <v>70</v>
      </c>
      <c r="F3280" s="1071"/>
      <c r="G3280" s="1073" t="str">
        <f t="array" ref="G3280">IF(B3280="insumo",_xlfn.XLOOKUP($D3280,Insumos!$B$1:$B$996,Insumos!$D$1:$D$996),"")</f>
        <v/>
      </c>
      <c r="H3280" s="1073">
        <v>61.8386</v>
      </c>
      <c r="I3280" s="1074" t="e">
        <v>#REF!</v>
      </c>
      <c r="J3280" s="1074" t="e">
        <v>#REF!</v>
      </c>
      <c r="K3280" s="1074"/>
      <c r="L3280"/>
      <c r="M3280"/>
      <c r="N3280"/>
      <c r="O3280"/>
      <c r="P3280"/>
      <c r="Q3280"/>
      <c r="R3280"/>
      <c r="S3280"/>
      <c r="T3280"/>
      <c r="U3280"/>
      <c r="V3280"/>
      <c r="W3280"/>
      <c r="X3280"/>
      <c r="Y3280"/>
      <c r="Z3280"/>
      <c r="AA3280"/>
      <c r="AB3280"/>
      <c r="AC3280"/>
      <c r="AD3280"/>
      <c r="AE3280"/>
      <c r="AF3280"/>
      <c r="AG3280"/>
      <c r="AH3280"/>
      <c r="AI3280"/>
      <c r="AJ3280"/>
      <c r="AK3280"/>
      <c r="AL3280"/>
    </row>
    <row r="3281" spans="1:38" ht="12.75" outlineLevel="3" x14ac:dyDescent="0.2">
      <c r="A3281" s="82">
        <v>6</v>
      </c>
      <c r="B3281" s="82" t="s">
        <v>71</v>
      </c>
      <c r="C3281" s="89" t="s">
        <v>2984</v>
      </c>
      <c r="D3281" s="89" t="s">
        <v>505</v>
      </c>
      <c r="E3281" s="11" t="str">
        <f t="array" ref="E3281">_xlfn.XLOOKUP(D3281,Insumos!B:B,Insumos!C:$C)</f>
        <v>M2</v>
      </c>
      <c r="F3281" s="86">
        <v>1.1000000000000001</v>
      </c>
      <c r="G3281" s="92">
        <f t="array" ref="G3281">IF(B3281="insumo",_xlfn.XLOOKUP($D3281,Insumos!$B$1:$B$996,Insumos!$D$1:$D$996),"")</f>
        <v>47.23</v>
      </c>
      <c r="H3281" s="92">
        <v>51.953000000000003</v>
      </c>
      <c r="I3281" s="84" t="e">
        <v>#REF!</v>
      </c>
      <c r="J3281" s="84" t="e">
        <v>#REF!</v>
      </c>
      <c r="K3281" s="84"/>
      <c r="L3281"/>
      <c r="M3281"/>
      <c r="N3281"/>
      <c r="O3281"/>
      <c r="P3281"/>
      <c r="Q3281"/>
      <c r="R3281"/>
      <c r="S3281"/>
      <c r="T3281"/>
      <c r="U3281"/>
      <c r="V3281"/>
      <c r="W3281"/>
      <c r="X3281"/>
      <c r="Y3281"/>
      <c r="Z3281"/>
      <c r="AA3281"/>
      <c r="AB3281"/>
      <c r="AC3281"/>
      <c r="AD3281"/>
      <c r="AE3281"/>
      <c r="AF3281"/>
      <c r="AG3281"/>
      <c r="AH3281"/>
      <c r="AI3281"/>
      <c r="AJ3281"/>
      <c r="AK3281"/>
      <c r="AL3281"/>
    </row>
    <row r="3282" spans="1:38" ht="12.75" outlineLevel="3" x14ac:dyDescent="0.2">
      <c r="A3282" s="82">
        <v>191</v>
      </c>
      <c r="B3282" s="82" t="s">
        <v>71</v>
      </c>
      <c r="C3282" s="82" t="s">
        <v>2984</v>
      </c>
      <c r="D3282" s="82" t="s">
        <v>481</v>
      </c>
      <c r="E3282" s="11" t="str">
        <f t="array" ref="E3282">_xlfn.XLOOKUP(D3282,Insumos!B:B,Insumos!C:$C)</f>
        <v>KG</v>
      </c>
      <c r="F3282" s="86">
        <v>8.8000000000000007</v>
      </c>
      <c r="G3282" s="92">
        <f t="array" ref="G3282">IF(B3282="insumo",_xlfn.XLOOKUP($D3282,Insumos!$B$1:$B$996,Insumos!$D$1:$D$996),"")</f>
        <v>1.0645</v>
      </c>
      <c r="H3282" s="92">
        <v>9.3675999999999995</v>
      </c>
      <c r="I3282" s="84" t="e">
        <v>#REF!</v>
      </c>
      <c r="J3282" s="84" t="e">
        <v>#REF!</v>
      </c>
      <c r="K3282" s="84"/>
      <c r="L3282"/>
      <c r="M3282"/>
      <c r="N3282"/>
      <c r="O3282"/>
      <c r="P3282"/>
      <c r="Q3282"/>
      <c r="R3282"/>
      <c r="S3282"/>
      <c r="T3282"/>
      <c r="U3282"/>
      <c r="V3282"/>
      <c r="W3282"/>
      <c r="X3282"/>
      <c r="Y3282"/>
      <c r="Z3282"/>
      <c r="AA3282"/>
      <c r="AB3282"/>
      <c r="AC3282"/>
      <c r="AD3282"/>
      <c r="AE3282"/>
      <c r="AF3282"/>
      <c r="AG3282"/>
      <c r="AH3282"/>
      <c r="AI3282"/>
      <c r="AJ3282"/>
      <c r="AK3282"/>
      <c r="AL3282"/>
    </row>
    <row r="3283" spans="1:38" ht="12.75" outlineLevel="3" x14ac:dyDescent="0.2">
      <c r="A3283" s="82">
        <v>142</v>
      </c>
      <c r="B3283" s="82" t="s">
        <v>71</v>
      </c>
      <c r="C3283" s="82" t="s">
        <v>2984</v>
      </c>
      <c r="D3283" s="82" t="s">
        <v>506</v>
      </c>
      <c r="E3283" s="11" t="str">
        <f t="array" ref="E3283">_xlfn.XLOOKUP(D3283,Insumos!B:B,Insumos!C:$C)</f>
        <v>UN</v>
      </c>
      <c r="F3283" s="86">
        <v>1</v>
      </c>
      <c r="G3283" s="92">
        <f t="array" ref="G3283">IF(B3283="insumo",_xlfn.XLOOKUP($D3283,Insumos!$B$1:$B$996,Insumos!$D$1:$D$996),"")</f>
        <v>0.08</v>
      </c>
      <c r="H3283" s="92">
        <v>0.08</v>
      </c>
      <c r="I3283" s="84" t="e">
        <v>#REF!</v>
      </c>
      <c r="J3283" s="84" t="e">
        <v>#REF!</v>
      </c>
      <c r="K3283" s="84"/>
      <c r="L3283"/>
      <c r="M3283"/>
      <c r="N3283"/>
      <c r="O3283"/>
      <c r="P3283"/>
      <c r="Q3283"/>
      <c r="R3283"/>
      <c r="S3283"/>
      <c r="T3283"/>
      <c r="U3283"/>
      <c r="V3283"/>
      <c r="W3283"/>
      <c r="X3283"/>
      <c r="Y3283"/>
      <c r="Z3283"/>
      <c r="AA3283"/>
      <c r="AB3283"/>
      <c r="AC3283"/>
      <c r="AD3283"/>
      <c r="AE3283"/>
      <c r="AF3283"/>
      <c r="AG3283"/>
      <c r="AH3283"/>
      <c r="AI3283"/>
      <c r="AJ3283"/>
      <c r="AK3283"/>
      <c r="AL3283"/>
    </row>
    <row r="3284" spans="1:38" ht="12.75" outlineLevel="3" x14ac:dyDescent="0.2">
      <c r="A3284" s="82">
        <v>22</v>
      </c>
      <c r="B3284" s="82" t="s">
        <v>71</v>
      </c>
      <c r="C3284" s="82" t="s">
        <v>2984</v>
      </c>
      <c r="D3284" s="82" t="s">
        <v>1833</v>
      </c>
      <c r="E3284" s="11" t="str">
        <f t="array" ref="E3284">_xlfn.XLOOKUP(D3284,Insumos!B:B,Insumos!C:$C)</f>
        <v>KG</v>
      </c>
      <c r="F3284" s="86">
        <v>0.01</v>
      </c>
      <c r="G3284" s="92">
        <f t="array" ref="G3284">IF(B3284="insumo",_xlfn.XLOOKUP($D3284,Insumos!$B$1:$B$996,Insumos!$D$1:$D$996),"")</f>
        <v>43.8</v>
      </c>
      <c r="H3284" s="92">
        <v>0.438</v>
      </c>
      <c r="I3284" s="84" t="e">
        <v>#REF!</v>
      </c>
      <c r="J3284" s="84" t="e">
        <v>#REF!</v>
      </c>
      <c r="K3284" s="84"/>
      <c r="L3284"/>
      <c r="M3284"/>
      <c r="N3284"/>
      <c r="O3284"/>
      <c r="P3284"/>
      <c r="Q3284"/>
      <c r="R3284"/>
      <c r="S3284"/>
      <c r="T3284"/>
      <c r="U3284"/>
      <c r="V3284"/>
      <c r="W3284"/>
      <c r="X3284"/>
      <c r="Y3284"/>
      <c r="Z3284"/>
      <c r="AA3284"/>
      <c r="AB3284"/>
      <c r="AC3284"/>
      <c r="AD3284"/>
      <c r="AE3284"/>
      <c r="AF3284"/>
      <c r="AG3284"/>
      <c r="AH3284"/>
      <c r="AI3284"/>
      <c r="AJ3284"/>
      <c r="AK3284"/>
      <c r="AL3284"/>
    </row>
    <row r="3285" spans="1:38" ht="15.75" customHeight="1" outlineLevel="2" x14ac:dyDescent="0.2">
      <c r="A3285" s="1067">
        <v>1</v>
      </c>
      <c r="B3285" s="1067" t="s">
        <v>68</v>
      </c>
      <c r="C3285" s="1067" t="s">
        <v>1493</v>
      </c>
      <c r="D3285" s="1067" t="s">
        <v>1493</v>
      </c>
      <c r="E3285" s="1068" t="s">
        <v>70</v>
      </c>
      <c r="F3285" s="1067"/>
      <c r="G3285" s="1069" t="str">
        <f t="array" ref="G3285">IF(B3285="insumo",_xlfn.XLOOKUP($D3285,Insumos!$B$1:$B$996,Insumos!$D$1:$D$996),"")</f>
        <v/>
      </c>
      <c r="H3285" s="1069">
        <v>58.073</v>
      </c>
      <c r="I3285" s="1070">
        <v>0</v>
      </c>
      <c r="J3285" s="1070">
        <v>0</v>
      </c>
      <c r="K3285" s="1070"/>
      <c r="L3285"/>
      <c r="M3285"/>
      <c r="N3285"/>
      <c r="O3285"/>
      <c r="P3285"/>
      <c r="Q3285"/>
      <c r="R3285"/>
      <c r="S3285"/>
      <c r="T3285"/>
      <c r="U3285"/>
      <c r="V3285"/>
      <c r="W3285"/>
      <c r="X3285"/>
      <c r="Y3285"/>
      <c r="Z3285"/>
      <c r="AA3285"/>
      <c r="AB3285"/>
      <c r="AC3285"/>
      <c r="AD3285"/>
      <c r="AE3285"/>
      <c r="AF3285"/>
      <c r="AG3285"/>
      <c r="AH3285"/>
      <c r="AI3285"/>
      <c r="AJ3285"/>
      <c r="AK3285"/>
      <c r="AL3285"/>
    </row>
    <row r="3286" spans="1:38" ht="15.75" customHeight="1" outlineLevel="3" x14ac:dyDescent="0.2">
      <c r="A3286" s="10">
        <v>4</v>
      </c>
      <c r="B3286" s="10" t="s">
        <v>71</v>
      </c>
      <c r="C3286" s="82" t="s">
        <v>1493</v>
      </c>
      <c r="D3286" s="82" t="s">
        <v>673</v>
      </c>
      <c r="E3286" s="11" t="str">
        <f t="array" ref="E3286">_xlfn.XLOOKUP(D3286,Insumos!B:B,Insumos!C:$C)</f>
        <v>M2</v>
      </c>
      <c r="F3286" s="14">
        <v>1.1000000000000001</v>
      </c>
      <c r="G3286" s="92">
        <f t="array" ref="G3286">IF(B3286="insumo",_xlfn.XLOOKUP($D3286,Insumos!$B$1:$B$996,Insumos!$D$1:$D$996),"")</f>
        <v>44.9</v>
      </c>
      <c r="H3286" s="92">
        <v>49.39</v>
      </c>
      <c r="I3286" s="13">
        <v>0</v>
      </c>
      <c r="J3286" s="13">
        <v>0</v>
      </c>
      <c r="K3286" s="13"/>
      <c r="L3286"/>
      <c r="M3286"/>
      <c r="N3286"/>
      <c r="O3286"/>
      <c r="P3286"/>
      <c r="Q3286"/>
      <c r="R3286"/>
      <c r="S3286"/>
      <c r="T3286"/>
      <c r="U3286"/>
      <c r="V3286"/>
      <c r="W3286"/>
      <c r="X3286"/>
      <c r="Y3286"/>
      <c r="Z3286"/>
      <c r="AA3286"/>
      <c r="AB3286"/>
      <c r="AC3286"/>
      <c r="AD3286"/>
      <c r="AE3286"/>
      <c r="AF3286"/>
      <c r="AG3286"/>
      <c r="AH3286"/>
      <c r="AI3286"/>
      <c r="AJ3286"/>
      <c r="AK3286"/>
      <c r="AL3286"/>
    </row>
    <row r="3287" spans="1:38" ht="15.75" customHeight="1" outlineLevel="3" x14ac:dyDescent="0.2">
      <c r="A3287" s="10">
        <v>16</v>
      </c>
      <c r="B3287" s="10" t="s">
        <v>71</v>
      </c>
      <c r="C3287" s="10" t="s">
        <v>1493</v>
      </c>
      <c r="D3287" s="10" t="s">
        <v>658</v>
      </c>
      <c r="E3287" s="11" t="str">
        <f t="array" ref="E3287">_xlfn.XLOOKUP(D3287,Insumos!B:B,Insumos!C:$C)</f>
        <v>KG</v>
      </c>
      <c r="F3287" s="14">
        <v>8.8000000000000007</v>
      </c>
      <c r="G3287" s="92">
        <f t="array" ref="G3287">IF(B3287="insumo",_xlfn.XLOOKUP($D3287,Insumos!$B$1:$B$996,Insumos!$D$1:$D$996),"")</f>
        <v>0.95</v>
      </c>
      <c r="H3287" s="92">
        <v>8.36</v>
      </c>
      <c r="I3287" s="13">
        <v>0</v>
      </c>
      <c r="J3287" s="13">
        <v>0</v>
      </c>
      <c r="K3287" s="13"/>
      <c r="L3287"/>
      <c r="M3287"/>
      <c r="N3287"/>
      <c r="O3287"/>
      <c r="P3287"/>
      <c r="Q3287"/>
      <c r="R3287"/>
      <c r="S3287"/>
      <c r="T3287"/>
      <c r="U3287"/>
      <c r="V3287"/>
      <c r="W3287"/>
      <c r="X3287"/>
      <c r="Y3287"/>
      <c r="Z3287"/>
      <c r="AA3287"/>
      <c r="AB3287"/>
      <c r="AC3287"/>
      <c r="AD3287"/>
      <c r="AE3287"/>
      <c r="AF3287"/>
      <c r="AG3287"/>
      <c r="AH3287"/>
      <c r="AI3287"/>
      <c r="AJ3287"/>
      <c r="AK3287"/>
      <c r="AL3287"/>
    </row>
    <row r="3288" spans="1:38" ht="15.75" customHeight="1" outlineLevel="3" x14ac:dyDescent="0.2">
      <c r="A3288" s="10">
        <v>17</v>
      </c>
      <c r="B3288" s="10" t="s">
        <v>71</v>
      </c>
      <c r="C3288" s="10" t="s">
        <v>1493</v>
      </c>
      <c r="D3288" s="10" t="s">
        <v>521</v>
      </c>
      <c r="E3288" s="11" t="str">
        <f t="array" ref="E3288">_xlfn.XLOOKUP(D3288,Insumos!B:B,Insumos!C:$C)</f>
        <v>UN</v>
      </c>
      <c r="F3288" s="14">
        <v>2</v>
      </c>
      <c r="G3288" s="92">
        <f t="array" ref="G3288">IF(B3288="insumo",_xlfn.XLOOKUP($D3288,Insumos!$B$1:$B$996,Insumos!$D$1:$D$996),"")</f>
        <v>0.05</v>
      </c>
      <c r="H3288" s="92">
        <v>0.1</v>
      </c>
      <c r="I3288" s="13">
        <v>0</v>
      </c>
      <c r="J3288" s="13">
        <v>0</v>
      </c>
      <c r="K3288" s="13"/>
      <c r="L3288"/>
      <c r="M3288"/>
      <c r="N3288"/>
      <c r="O3288"/>
      <c r="P3288"/>
      <c r="Q3288"/>
      <c r="R3288"/>
      <c r="S3288"/>
      <c r="T3288"/>
      <c r="U3288"/>
      <c r="V3288"/>
      <c r="W3288"/>
      <c r="X3288"/>
      <c r="Y3288"/>
      <c r="Z3288"/>
      <c r="AA3288"/>
      <c r="AB3288"/>
      <c r="AC3288"/>
      <c r="AD3288"/>
      <c r="AE3288"/>
      <c r="AF3288"/>
      <c r="AG3288"/>
      <c r="AH3288"/>
      <c r="AI3288"/>
      <c r="AJ3288"/>
      <c r="AK3288"/>
      <c r="AL3288"/>
    </row>
    <row r="3289" spans="1:38" ht="15.75" customHeight="1" outlineLevel="3" x14ac:dyDescent="0.2">
      <c r="A3289" s="10">
        <v>101</v>
      </c>
      <c r="B3289" s="10" t="s">
        <v>71</v>
      </c>
      <c r="C3289" s="10" t="s">
        <v>1493</v>
      </c>
      <c r="D3289" s="10" t="s">
        <v>507</v>
      </c>
      <c r="E3289" s="11" t="str">
        <f t="array" ref="E3289">_xlfn.XLOOKUP(D3289,Insumos!B:B,Insumos!C:$C)</f>
        <v>KG</v>
      </c>
      <c r="F3289" s="14">
        <v>0.02</v>
      </c>
      <c r="G3289" s="92">
        <f t="array" ref="G3289">IF(B3289="insumo",_xlfn.XLOOKUP($D3289,Insumos!$B$1:$B$996,Insumos!$D$1:$D$996),"")</f>
        <v>11.15</v>
      </c>
      <c r="H3289" s="92">
        <v>0.223</v>
      </c>
      <c r="I3289" s="13">
        <v>0</v>
      </c>
      <c r="J3289" s="13">
        <v>0</v>
      </c>
      <c r="K3289" s="13"/>
      <c r="L3289"/>
      <c r="M3289"/>
      <c r="N3289"/>
      <c r="O3289"/>
      <c r="P3289"/>
      <c r="Q3289"/>
      <c r="R3289"/>
      <c r="S3289"/>
      <c r="T3289"/>
      <c r="U3289"/>
      <c r="V3289"/>
      <c r="W3289"/>
      <c r="X3289"/>
      <c r="Y3289"/>
      <c r="Z3289"/>
      <c r="AA3289"/>
      <c r="AB3289"/>
      <c r="AC3289"/>
      <c r="AD3289"/>
      <c r="AE3289"/>
      <c r="AF3289"/>
      <c r="AG3289"/>
      <c r="AH3289"/>
      <c r="AI3289"/>
      <c r="AJ3289"/>
      <c r="AK3289"/>
      <c r="AL3289"/>
    </row>
    <row r="3290" spans="1:38" ht="12.75" outlineLevel="2" x14ac:dyDescent="0.2">
      <c r="A3290" s="1071">
        <v>1</v>
      </c>
      <c r="B3290" s="1071" t="s">
        <v>68</v>
      </c>
      <c r="C3290" s="1071" t="s">
        <v>1875</v>
      </c>
      <c r="D3290" s="1071" t="s">
        <v>1875</v>
      </c>
      <c r="E3290" s="1072" t="s">
        <v>70</v>
      </c>
      <c r="F3290" s="1071"/>
      <c r="G3290" s="1073" t="str">
        <f t="array" ref="G3290">IF(B3290="insumo",_xlfn.XLOOKUP($D3290,Insumos!$B$1:$B$996,Insumos!$D$1:$D$996),"")</f>
        <v/>
      </c>
      <c r="H3290" s="1073">
        <v>79.119</v>
      </c>
      <c r="I3290" s="1074">
        <v>0</v>
      </c>
      <c r="J3290" s="1074">
        <v>0</v>
      </c>
      <c r="K3290" s="1074"/>
      <c r="L3290"/>
      <c r="M3290"/>
      <c r="N3290"/>
      <c r="O3290"/>
      <c r="P3290"/>
      <c r="Q3290"/>
      <c r="R3290"/>
      <c r="S3290"/>
      <c r="T3290"/>
      <c r="U3290"/>
      <c r="V3290"/>
      <c r="W3290"/>
      <c r="X3290"/>
      <c r="Y3290"/>
      <c r="Z3290"/>
      <c r="AA3290"/>
      <c r="AB3290"/>
      <c r="AC3290"/>
      <c r="AD3290"/>
      <c r="AE3290"/>
      <c r="AF3290"/>
      <c r="AG3290"/>
      <c r="AH3290"/>
      <c r="AI3290"/>
      <c r="AJ3290"/>
      <c r="AK3290"/>
      <c r="AL3290"/>
    </row>
    <row r="3291" spans="1:38" ht="12.75" outlineLevel="3" x14ac:dyDescent="0.2">
      <c r="A3291" s="82">
        <v>6</v>
      </c>
      <c r="B3291" s="82" t="s">
        <v>71</v>
      </c>
      <c r="C3291" s="82" t="s">
        <v>1875</v>
      </c>
      <c r="D3291" s="82" t="s">
        <v>1798</v>
      </c>
      <c r="E3291" s="11" t="str">
        <f t="array" ref="E3291">_xlfn.XLOOKUP(D3291,Insumos!B:B,Insumos!C:$C)</f>
        <v>M2</v>
      </c>
      <c r="F3291" s="90">
        <v>1.1000000000000001</v>
      </c>
      <c r="G3291" s="92">
        <f t="array" ref="G3291">IF(B3291="insumo",_xlfn.XLOOKUP($D3291,Insumos!$B$1:$B$996,Insumos!$D$1:$D$996),"")</f>
        <v>63.59</v>
      </c>
      <c r="H3291" s="92">
        <v>69.948999999999998</v>
      </c>
      <c r="I3291" s="84">
        <v>0</v>
      </c>
      <c r="J3291" s="84">
        <v>0</v>
      </c>
      <c r="K3291" s="84"/>
      <c r="L3291"/>
      <c r="M3291"/>
      <c r="N3291"/>
      <c r="O3291"/>
      <c r="P3291"/>
      <c r="Q3291"/>
      <c r="R3291"/>
      <c r="S3291"/>
      <c r="T3291"/>
      <c r="U3291"/>
      <c r="V3291"/>
      <c r="W3291"/>
      <c r="X3291"/>
      <c r="Y3291"/>
      <c r="Z3291"/>
      <c r="AA3291"/>
      <c r="AB3291"/>
      <c r="AC3291"/>
      <c r="AD3291"/>
      <c r="AE3291"/>
      <c r="AF3291"/>
      <c r="AG3291"/>
      <c r="AH3291"/>
      <c r="AI3291"/>
      <c r="AJ3291"/>
      <c r="AK3291"/>
      <c r="AL3291"/>
    </row>
    <row r="3292" spans="1:38" ht="12.75" outlineLevel="3" x14ac:dyDescent="0.2">
      <c r="A3292" s="82">
        <v>16</v>
      </c>
      <c r="B3292" s="82" t="s">
        <v>71</v>
      </c>
      <c r="C3292" s="82" t="s">
        <v>1875</v>
      </c>
      <c r="D3292" s="82" t="s">
        <v>658</v>
      </c>
      <c r="E3292" s="11" t="str">
        <f t="array" ref="E3292">_xlfn.XLOOKUP(D3292,Insumos!B:B,Insumos!C:$C)</f>
        <v>KG</v>
      </c>
      <c r="F3292" s="90">
        <v>8.8000000000000007</v>
      </c>
      <c r="G3292" s="92">
        <f t="array" ref="G3292">IF(B3292="insumo",_xlfn.XLOOKUP($D3292,Insumos!$B$1:$B$996,Insumos!$D$1:$D$996),"")</f>
        <v>0.95</v>
      </c>
      <c r="H3292" s="92">
        <v>8.36</v>
      </c>
      <c r="I3292" s="84">
        <v>0</v>
      </c>
      <c r="J3292" s="84">
        <v>0</v>
      </c>
      <c r="K3292" s="84"/>
      <c r="L3292"/>
      <c r="M3292"/>
      <c r="N3292"/>
      <c r="O3292"/>
      <c r="P3292"/>
      <c r="Q3292"/>
      <c r="R3292"/>
      <c r="S3292"/>
      <c r="T3292"/>
      <c r="U3292"/>
      <c r="V3292"/>
      <c r="W3292"/>
      <c r="X3292"/>
      <c r="Y3292"/>
      <c r="Z3292"/>
      <c r="AA3292"/>
      <c r="AB3292"/>
      <c r="AC3292"/>
      <c r="AD3292"/>
      <c r="AE3292"/>
      <c r="AF3292"/>
      <c r="AG3292"/>
      <c r="AH3292"/>
      <c r="AI3292"/>
      <c r="AJ3292"/>
      <c r="AK3292"/>
      <c r="AL3292"/>
    </row>
    <row r="3293" spans="1:38" ht="12.75" outlineLevel="3" x14ac:dyDescent="0.2">
      <c r="A3293" s="82">
        <v>17</v>
      </c>
      <c r="B3293" s="82" t="s">
        <v>71</v>
      </c>
      <c r="C3293" s="82" t="s">
        <v>1875</v>
      </c>
      <c r="D3293" s="82" t="s">
        <v>521</v>
      </c>
      <c r="E3293" s="11" t="str">
        <f t="array" ref="E3293">_xlfn.XLOOKUP(D3293,Insumos!B:B,Insumos!C:$C)</f>
        <v>UN</v>
      </c>
      <c r="F3293" s="90">
        <v>1</v>
      </c>
      <c r="G3293" s="92">
        <f t="array" ref="G3293">IF(B3293="insumo",_xlfn.XLOOKUP($D3293,Insumos!$B$1:$B$996,Insumos!$D$1:$D$996),"")</f>
        <v>0.05</v>
      </c>
      <c r="H3293" s="92">
        <v>0.05</v>
      </c>
      <c r="I3293" s="84">
        <v>0</v>
      </c>
      <c r="J3293" s="84">
        <v>0</v>
      </c>
      <c r="K3293" s="84"/>
      <c r="L3293"/>
      <c r="M3293"/>
      <c r="N3293"/>
      <c r="O3293"/>
      <c r="P3293"/>
      <c r="Q3293"/>
      <c r="R3293"/>
      <c r="S3293"/>
      <c r="T3293"/>
      <c r="U3293"/>
      <c r="V3293"/>
      <c r="W3293"/>
      <c r="X3293"/>
      <c r="Y3293"/>
      <c r="Z3293"/>
      <c r="AA3293"/>
      <c r="AB3293"/>
      <c r="AC3293"/>
      <c r="AD3293"/>
      <c r="AE3293"/>
      <c r="AF3293"/>
      <c r="AG3293"/>
      <c r="AH3293"/>
      <c r="AI3293"/>
      <c r="AJ3293"/>
      <c r="AK3293"/>
      <c r="AL3293"/>
    </row>
    <row r="3294" spans="1:38" ht="12.75" outlineLevel="3" x14ac:dyDescent="0.2">
      <c r="A3294" s="82">
        <v>36</v>
      </c>
      <c r="B3294" s="82" t="s">
        <v>71</v>
      </c>
      <c r="C3294" s="82" t="s">
        <v>1875</v>
      </c>
      <c r="D3294" s="82" t="s">
        <v>2856</v>
      </c>
      <c r="E3294" s="11" t="str">
        <f t="array" ref="E3294">_xlfn.XLOOKUP(D3294,Insumos!B:B,Insumos!C:$C)</f>
        <v>KG</v>
      </c>
      <c r="F3294" s="90">
        <v>0.02</v>
      </c>
      <c r="G3294" s="92">
        <f t="array" ref="G3294">IF(B3294="insumo",_xlfn.XLOOKUP($D3294,Insumos!$B$1:$B$996,Insumos!$D$1:$D$996),"")</f>
        <v>38</v>
      </c>
      <c r="H3294" s="92">
        <v>0.76</v>
      </c>
      <c r="I3294" s="84">
        <v>0</v>
      </c>
      <c r="J3294" s="84">
        <v>0</v>
      </c>
      <c r="K3294" s="84"/>
      <c r="L3294"/>
      <c r="M3294"/>
      <c r="N3294"/>
      <c r="O3294"/>
      <c r="P3294"/>
      <c r="Q3294"/>
      <c r="R3294"/>
      <c r="S3294"/>
      <c r="T3294"/>
      <c r="U3294"/>
      <c r="V3294"/>
      <c r="W3294"/>
      <c r="X3294"/>
      <c r="Y3294"/>
      <c r="Z3294"/>
      <c r="AA3294"/>
      <c r="AB3294"/>
      <c r="AC3294"/>
      <c r="AD3294"/>
      <c r="AE3294"/>
      <c r="AF3294"/>
      <c r="AG3294"/>
      <c r="AH3294"/>
      <c r="AI3294"/>
      <c r="AJ3294"/>
      <c r="AK3294"/>
      <c r="AL3294"/>
    </row>
    <row r="3295" spans="1:38" ht="12.75" outlineLevel="2" x14ac:dyDescent="0.2">
      <c r="A3295" s="1071">
        <v>1</v>
      </c>
      <c r="B3295" s="1071" t="s">
        <v>68</v>
      </c>
      <c r="C3295" s="1071" t="s">
        <v>1876</v>
      </c>
      <c r="D3295" s="1071" t="s">
        <v>1876</v>
      </c>
      <c r="E3295" s="1072" t="s">
        <v>70</v>
      </c>
      <c r="F3295" s="1071"/>
      <c r="G3295" s="1073" t="str">
        <f t="array" ref="G3295">IF(B3295="insumo",_xlfn.XLOOKUP($D3295,Insumos!$B$1:$B$996,Insumos!$D$1:$D$996),"")</f>
        <v/>
      </c>
      <c r="H3295" s="1073">
        <v>52.237000000000002</v>
      </c>
      <c r="I3295" s="1074">
        <v>0</v>
      </c>
      <c r="J3295" s="1074">
        <v>0</v>
      </c>
      <c r="K3295" s="1074"/>
      <c r="L3295"/>
      <c r="M3295"/>
      <c r="N3295"/>
      <c r="O3295"/>
      <c r="P3295"/>
      <c r="Q3295"/>
      <c r="R3295"/>
      <c r="S3295"/>
      <c r="T3295"/>
      <c r="U3295"/>
      <c r="V3295"/>
      <c r="W3295"/>
      <c r="X3295"/>
      <c r="Y3295"/>
      <c r="Z3295"/>
      <c r="AA3295"/>
      <c r="AB3295"/>
      <c r="AC3295"/>
      <c r="AD3295"/>
      <c r="AE3295"/>
      <c r="AF3295"/>
      <c r="AG3295"/>
      <c r="AH3295"/>
      <c r="AI3295"/>
      <c r="AJ3295"/>
      <c r="AK3295"/>
      <c r="AL3295"/>
    </row>
    <row r="3296" spans="1:38" ht="12.75" outlineLevel="3" x14ac:dyDescent="0.2">
      <c r="A3296" s="82">
        <v>2</v>
      </c>
      <c r="B3296" s="82" t="s">
        <v>71</v>
      </c>
      <c r="C3296" s="82" t="s">
        <v>1876</v>
      </c>
      <c r="D3296" s="82" t="s">
        <v>657</v>
      </c>
      <c r="E3296" s="11" t="str">
        <f t="array" ref="E3296">_xlfn.XLOOKUP(D3296,Insumos!B:B,Insumos!C:$C)</f>
        <v>M2</v>
      </c>
      <c r="F3296" s="90">
        <v>1.1000000000000001</v>
      </c>
      <c r="G3296" s="92">
        <f t="array" ref="G3296">IF(B3296="insumo",_xlfn.XLOOKUP($D3296,Insumos!$B$1:$B$996,Insumos!$D$1:$D$996),"")</f>
        <v>39.64</v>
      </c>
      <c r="H3296" s="92">
        <v>43.603999999999999</v>
      </c>
      <c r="I3296" s="84">
        <v>0</v>
      </c>
      <c r="J3296" s="84">
        <v>0</v>
      </c>
      <c r="K3296" s="84"/>
      <c r="L3296"/>
      <c r="M3296"/>
      <c r="N3296"/>
      <c r="O3296"/>
      <c r="P3296"/>
      <c r="Q3296"/>
      <c r="R3296"/>
      <c r="S3296"/>
      <c r="T3296"/>
      <c r="U3296"/>
      <c r="V3296"/>
      <c r="W3296"/>
      <c r="X3296"/>
      <c r="Y3296"/>
      <c r="Z3296"/>
      <c r="AA3296"/>
      <c r="AB3296"/>
      <c r="AC3296"/>
      <c r="AD3296"/>
      <c r="AE3296"/>
      <c r="AF3296"/>
      <c r="AG3296"/>
      <c r="AH3296"/>
      <c r="AI3296"/>
      <c r="AJ3296"/>
      <c r="AK3296"/>
      <c r="AL3296"/>
    </row>
    <row r="3297" spans="1:38" ht="12.75" outlineLevel="3" x14ac:dyDescent="0.2">
      <c r="A3297" s="82">
        <v>16</v>
      </c>
      <c r="B3297" s="82" t="s">
        <v>71</v>
      </c>
      <c r="C3297" s="82" t="s">
        <v>1876</v>
      </c>
      <c r="D3297" s="82" t="s">
        <v>658</v>
      </c>
      <c r="E3297" s="11" t="str">
        <f t="array" ref="E3297">_xlfn.XLOOKUP(D3297,Insumos!B:B,Insumos!C:$C)</f>
        <v>KG</v>
      </c>
      <c r="F3297" s="90">
        <v>8.8000000000000007</v>
      </c>
      <c r="G3297" s="92">
        <f t="array" ref="G3297">IF(B3297="insumo",_xlfn.XLOOKUP($D3297,Insumos!$B$1:$B$996,Insumos!$D$1:$D$996),"")</f>
        <v>0.95</v>
      </c>
      <c r="H3297" s="92">
        <v>8.36</v>
      </c>
      <c r="I3297" s="84">
        <v>0</v>
      </c>
      <c r="J3297" s="84">
        <v>0</v>
      </c>
      <c r="K3297" s="84"/>
      <c r="L3297"/>
      <c r="M3297"/>
      <c r="N3297"/>
      <c r="O3297"/>
      <c r="P3297"/>
      <c r="Q3297"/>
      <c r="R3297"/>
      <c r="S3297"/>
      <c r="T3297"/>
      <c r="U3297"/>
      <c r="V3297"/>
      <c r="W3297"/>
      <c r="X3297"/>
      <c r="Y3297"/>
      <c r="Z3297"/>
      <c r="AA3297"/>
      <c r="AB3297"/>
      <c r="AC3297"/>
      <c r="AD3297"/>
      <c r="AE3297"/>
      <c r="AF3297"/>
      <c r="AG3297"/>
      <c r="AH3297"/>
      <c r="AI3297"/>
      <c r="AJ3297"/>
      <c r="AK3297"/>
      <c r="AL3297"/>
    </row>
    <row r="3298" spans="1:38" ht="12.75" outlineLevel="3" x14ac:dyDescent="0.2">
      <c r="A3298" s="82">
        <v>17</v>
      </c>
      <c r="B3298" s="82" t="s">
        <v>71</v>
      </c>
      <c r="C3298" s="82" t="s">
        <v>1876</v>
      </c>
      <c r="D3298" s="82" t="s">
        <v>521</v>
      </c>
      <c r="E3298" s="11" t="str">
        <f t="array" ref="E3298">_xlfn.XLOOKUP(D3298,Insumos!B:B,Insumos!C:$C)</f>
        <v>UN</v>
      </c>
      <c r="F3298" s="90">
        <v>1</v>
      </c>
      <c r="G3298" s="92">
        <f t="array" ref="G3298">IF(B3298="insumo",_xlfn.XLOOKUP($D3298,Insumos!$B$1:$B$996,Insumos!$D$1:$D$996),"")</f>
        <v>0.05</v>
      </c>
      <c r="H3298" s="92">
        <v>0.05</v>
      </c>
      <c r="I3298" s="84">
        <v>0</v>
      </c>
      <c r="J3298" s="84">
        <v>0</v>
      </c>
      <c r="K3298" s="84"/>
      <c r="L3298"/>
      <c r="M3298"/>
      <c r="N3298"/>
      <c r="O3298"/>
      <c r="P3298"/>
      <c r="Q3298"/>
      <c r="R3298"/>
      <c r="S3298"/>
      <c r="T3298"/>
      <c r="U3298"/>
      <c r="V3298"/>
      <c r="W3298"/>
      <c r="X3298"/>
      <c r="Y3298"/>
      <c r="Z3298"/>
      <c r="AA3298"/>
      <c r="AB3298"/>
      <c r="AC3298"/>
      <c r="AD3298"/>
      <c r="AE3298"/>
      <c r="AF3298"/>
      <c r="AG3298"/>
      <c r="AH3298"/>
      <c r="AI3298"/>
      <c r="AJ3298"/>
      <c r="AK3298"/>
      <c r="AL3298"/>
    </row>
    <row r="3299" spans="1:38" ht="12.75" outlineLevel="3" x14ac:dyDescent="0.2">
      <c r="A3299" s="82">
        <v>101</v>
      </c>
      <c r="B3299" s="82" t="s">
        <v>71</v>
      </c>
      <c r="C3299" s="82" t="s">
        <v>1876</v>
      </c>
      <c r="D3299" s="82" t="s">
        <v>507</v>
      </c>
      <c r="E3299" s="11" t="str">
        <f t="array" ref="E3299">_xlfn.XLOOKUP(D3299,Insumos!B:B,Insumos!C:$C)</f>
        <v>KG</v>
      </c>
      <c r="F3299" s="90">
        <v>0.02</v>
      </c>
      <c r="G3299" s="92">
        <f t="array" ref="G3299">IF(B3299="insumo",_xlfn.XLOOKUP($D3299,Insumos!$B$1:$B$996,Insumos!$D$1:$D$996),"")</f>
        <v>11.15</v>
      </c>
      <c r="H3299" s="92">
        <v>0.223</v>
      </c>
      <c r="I3299" s="84">
        <v>0</v>
      </c>
      <c r="J3299" s="84">
        <v>0</v>
      </c>
      <c r="K3299" s="84"/>
      <c r="L3299"/>
      <c r="M3299"/>
      <c r="N3299"/>
      <c r="O3299"/>
      <c r="P3299"/>
      <c r="Q3299"/>
      <c r="R3299"/>
      <c r="S3299"/>
      <c r="T3299"/>
      <c r="U3299"/>
      <c r="V3299"/>
      <c r="W3299"/>
      <c r="X3299"/>
      <c r="Y3299"/>
      <c r="Z3299"/>
      <c r="AA3299"/>
      <c r="AB3299"/>
      <c r="AC3299"/>
      <c r="AD3299"/>
      <c r="AE3299"/>
      <c r="AF3299"/>
      <c r="AG3299"/>
      <c r="AH3299"/>
      <c r="AI3299"/>
      <c r="AJ3299"/>
      <c r="AK3299"/>
      <c r="AL3299"/>
    </row>
    <row r="3300" spans="1:38" ht="12.75" outlineLevel="2" x14ac:dyDescent="0.2">
      <c r="A3300" s="1071">
        <v>1</v>
      </c>
      <c r="B3300" s="1071" t="s">
        <v>68</v>
      </c>
      <c r="C3300" s="1071" t="s">
        <v>1884</v>
      </c>
      <c r="D3300" s="1071" t="s">
        <v>1884</v>
      </c>
      <c r="E3300" s="1072" t="s">
        <v>70</v>
      </c>
      <c r="F3300" s="1071"/>
      <c r="G3300" s="1073" t="str">
        <f t="array" ref="G3300">IF(B3300="insumo",_xlfn.XLOOKUP($D3300,Insumos!$B$1:$B$996,Insumos!$D$1:$D$996),"")</f>
        <v/>
      </c>
      <c r="H3300" s="1073">
        <v>58.073</v>
      </c>
      <c r="I3300" s="1074" t="e">
        <v>#REF!</v>
      </c>
      <c r="J3300" s="1074" t="e">
        <v>#REF!</v>
      </c>
      <c r="K3300" s="1074"/>
      <c r="L3300"/>
      <c r="M3300"/>
      <c r="N3300"/>
      <c r="O3300"/>
      <c r="P3300"/>
      <c r="Q3300"/>
      <c r="R3300"/>
      <c r="S3300"/>
      <c r="T3300"/>
      <c r="U3300"/>
      <c r="V3300"/>
      <c r="W3300"/>
      <c r="X3300"/>
      <c r="Y3300"/>
      <c r="Z3300"/>
      <c r="AA3300"/>
      <c r="AB3300"/>
      <c r="AC3300"/>
      <c r="AD3300"/>
      <c r="AE3300"/>
      <c r="AF3300"/>
      <c r="AG3300"/>
      <c r="AH3300"/>
      <c r="AI3300"/>
      <c r="AJ3300"/>
      <c r="AK3300"/>
      <c r="AL3300"/>
    </row>
    <row r="3301" spans="1:38" ht="12.75" outlineLevel="3" x14ac:dyDescent="0.2">
      <c r="A3301" s="82">
        <v>4</v>
      </c>
      <c r="B3301" s="82" t="s">
        <v>71</v>
      </c>
      <c r="C3301" s="82" t="s">
        <v>1884</v>
      </c>
      <c r="D3301" s="82" t="s">
        <v>673</v>
      </c>
      <c r="E3301" s="11" t="str">
        <f t="array" ref="E3301">_xlfn.XLOOKUP(D3301,Insumos!B:B,Insumos!C:$C)</f>
        <v>M2</v>
      </c>
      <c r="F3301" s="90">
        <v>1.1000000000000001</v>
      </c>
      <c r="G3301" s="92">
        <f t="array" ref="G3301">IF(B3301="insumo",_xlfn.XLOOKUP($D3301,Insumos!$B$1:$B$996,Insumos!$D$1:$D$996),"")</f>
        <v>44.9</v>
      </c>
      <c r="H3301" s="92">
        <v>49.39</v>
      </c>
      <c r="I3301" s="84" t="e">
        <v>#REF!</v>
      </c>
      <c r="J3301" s="84" t="e">
        <v>#REF!</v>
      </c>
      <c r="K3301" s="84"/>
      <c r="L3301"/>
      <c r="M3301"/>
      <c r="N3301"/>
      <c r="O3301"/>
      <c r="P3301"/>
      <c r="Q3301"/>
      <c r="R3301"/>
      <c r="S3301"/>
      <c r="T3301"/>
      <c r="U3301"/>
      <c r="V3301"/>
      <c r="W3301"/>
      <c r="X3301"/>
      <c r="Y3301"/>
      <c r="Z3301"/>
      <c r="AA3301"/>
      <c r="AB3301"/>
      <c r="AC3301"/>
      <c r="AD3301"/>
      <c r="AE3301"/>
      <c r="AF3301"/>
      <c r="AG3301"/>
      <c r="AH3301"/>
      <c r="AI3301"/>
      <c r="AJ3301"/>
      <c r="AK3301"/>
      <c r="AL3301"/>
    </row>
    <row r="3302" spans="1:38" ht="12.75" outlineLevel="3" x14ac:dyDescent="0.2">
      <c r="A3302" s="82">
        <v>16</v>
      </c>
      <c r="B3302" s="82" t="s">
        <v>71</v>
      </c>
      <c r="C3302" s="82" t="s">
        <v>1884</v>
      </c>
      <c r="D3302" s="82" t="s">
        <v>658</v>
      </c>
      <c r="E3302" s="11" t="str">
        <f t="array" ref="E3302">_xlfn.XLOOKUP(D3302,Insumos!B:B,Insumos!C:$C)</f>
        <v>KG</v>
      </c>
      <c r="F3302" s="90">
        <v>8.8000000000000007</v>
      </c>
      <c r="G3302" s="92">
        <f t="array" ref="G3302">IF(B3302="insumo",_xlfn.XLOOKUP($D3302,Insumos!$B$1:$B$996,Insumos!$D$1:$D$996),"")</f>
        <v>0.95</v>
      </c>
      <c r="H3302" s="92">
        <v>8.36</v>
      </c>
      <c r="I3302" s="84" t="e">
        <v>#REF!</v>
      </c>
      <c r="J3302" s="84" t="e">
        <v>#REF!</v>
      </c>
      <c r="K3302" s="84"/>
      <c r="L3302"/>
      <c r="M3302"/>
      <c r="N3302"/>
      <c r="O3302"/>
      <c r="P3302"/>
      <c r="Q3302"/>
      <c r="R3302"/>
      <c r="S3302"/>
      <c r="T3302"/>
      <c r="U3302"/>
      <c r="V3302"/>
      <c r="W3302"/>
      <c r="X3302"/>
      <c r="Y3302"/>
      <c r="Z3302"/>
      <c r="AA3302"/>
      <c r="AB3302"/>
      <c r="AC3302"/>
      <c r="AD3302"/>
      <c r="AE3302"/>
      <c r="AF3302"/>
      <c r="AG3302"/>
      <c r="AH3302"/>
      <c r="AI3302"/>
      <c r="AJ3302"/>
      <c r="AK3302"/>
      <c r="AL3302"/>
    </row>
    <row r="3303" spans="1:38" ht="12.75" outlineLevel="3" x14ac:dyDescent="0.2">
      <c r="A3303" s="82">
        <v>17</v>
      </c>
      <c r="B3303" s="82" t="s">
        <v>71</v>
      </c>
      <c r="C3303" s="82" t="s">
        <v>1884</v>
      </c>
      <c r="D3303" s="82" t="s">
        <v>521</v>
      </c>
      <c r="E3303" s="11" t="str">
        <f t="array" ref="E3303">_xlfn.XLOOKUP(D3303,Insumos!B:B,Insumos!C:$C)</f>
        <v>UN</v>
      </c>
      <c r="F3303" s="90">
        <v>2</v>
      </c>
      <c r="G3303" s="92">
        <f t="array" ref="G3303">IF(B3303="insumo",_xlfn.XLOOKUP($D3303,Insumos!$B$1:$B$996,Insumos!$D$1:$D$996),"")</f>
        <v>0.05</v>
      </c>
      <c r="H3303" s="92">
        <v>0.1</v>
      </c>
      <c r="I3303" s="84" t="e">
        <v>#REF!</v>
      </c>
      <c r="J3303" s="84" t="e">
        <v>#REF!</v>
      </c>
      <c r="K3303" s="84"/>
      <c r="L3303"/>
      <c r="M3303"/>
      <c r="N3303"/>
      <c r="O3303"/>
      <c r="P3303"/>
      <c r="Q3303"/>
      <c r="R3303"/>
      <c r="S3303"/>
      <c r="T3303"/>
      <c r="U3303"/>
      <c r="V3303"/>
      <c r="W3303"/>
      <c r="X3303"/>
      <c r="Y3303"/>
      <c r="Z3303"/>
      <c r="AA3303"/>
      <c r="AB3303"/>
      <c r="AC3303"/>
      <c r="AD3303"/>
      <c r="AE3303"/>
      <c r="AF3303"/>
      <c r="AG3303"/>
      <c r="AH3303"/>
      <c r="AI3303"/>
      <c r="AJ3303"/>
      <c r="AK3303"/>
      <c r="AL3303"/>
    </row>
    <row r="3304" spans="1:38" ht="12.75" outlineLevel="3" x14ac:dyDescent="0.2">
      <c r="A3304" s="82">
        <v>101</v>
      </c>
      <c r="B3304" s="82" t="s">
        <v>71</v>
      </c>
      <c r="C3304" s="82" t="s">
        <v>1884</v>
      </c>
      <c r="D3304" s="82" t="s">
        <v>507</v>
      </c>
      <c r="E3304" s="11" t="str">
        <f t="array" ref="E3304">_xlfn.XLOOKUP(D3304,Insumos!B:B,Insumos!C:$C)</f>
        <v>KG</v>
      </c>
      <c r="F3304" s="90">
        <v>0.02</v>
      </c>
      <c r="G3304" s="92">
        <f t="array" ref="G3304">IF(B3304="insumo",_xlfn.XLOOKUP($D3304,Insumos!$B$1:$B$996,Insumos!$D$1:$D$996),"")</f>
        <v>11.15</v>
      </c>
      <c r="H3304" s="92">
        <v>0.223</v>
      </c>
      <c r="I3304" s="84" t="e">
        <v>#REF!</v>
      </c>
      <c r="J3304" s="84" t="e">
        <v>#REF!</v>
      </c>
      <c r="K3304" s="84"/>
      <c r="L3304"/>
      <c r="M3304"/>
      <c r="N3304"/>
      <c r="O3304"/>
      <c r="P3304"/>
      <c r="Q3304"/>
      <c r="R3304"/>
      <c r="S3304"/>
      <c r="T3304"/>
      <c r="U3304"/>
      <c r="V3304"/>
      <c r="W3304"/>
      <c r="X3304"/>
      <c r="Y3304"/>
      <c r="Z3304"/>
      <c r="AA3304"/>
      <c r="AB3304"/>
      <c r="AC3304"/>
      <c r="AD3304"/>
      <c r="AE3304"/>
      <c r="AF3304"/>
      <c r="AG3304"/>
      <c r="AH3304"/>
      <c r="AI3304"/>
      <c r="AJ3304"/>
      <c r="AK3304"/>
      <c r="AL3304"/>
    </row>
    <row r="3305" spans="1:38" ht="12.75" outlineLevel="2" x14ac:dyDescent="0.2">
      <c r="A3305" s="1071">
        <v>1</v>
      </c>
      <c r="B3305" s="1071" t="s">
        <v>68</v>
      </c>
      <c r="C3305" s="1071" t="s">
        <v>1874</v>
      </c>
      <c r="D3305" s="1071" t="s">
        <v>1874</v>
      </c>
      <c r="E3305" s="1072" t="s">
        <v>70</v>
      </c>
      <c r="F3305" s="1071"/>
      <c r="G3305" s="1073" t="str">
        <f t="array" ref="G3305">IF(B3305="insumo",_xlfn.XLOOKUP($D3305,Insumos!$B$1:$B$996,Insumos!$D$1:$D$996),"")</f>
        <v/>
      </c>
      <c r="H3305" s="1073">
        <v>78.581999999999994</v>
      </c>
      <c r="I3305" s="1074">
        <v>0</v>
      </c>
      <c r="J3305" s="1074">
        <v>0</v>
      </c>
      <c r="K3305" s="1074"/>
      <c r="L3305"/>
      <c r="M3305"/>
      <c r="N3305"/>
      <c r="O3305"/>
      <c r="P3305"/>
      <c r="Q3305"/>
      <c r="R3305"/>
      <c r="S3305"/>
      <c r="T3305"/>
      <c r="U3305"/>
      <c r="V3305"/>
      <c r="W3305"/>
      <c r="X3305"/>
      <c r="Y3305"/>
      <c r="Z3305"/>
      <c r="AA3305"/>
      <c r="AB3305"/>
      <c r="AC3305"/>
      <c r="AD3305"/>
      <c r="AE3305"/>
      <c r="AF3305"/>
      <c r="AG3305"/>
      <c r="AH3305"/>
      <c r="AI3305"/>
      <c r="AJ3305"/>
      <c r="AK3305"/>
      <c r="AL3305"/>
    </row>
    <row r="3306" spans="1:38" ht="12.75" outlineLevel="3" x14ac:dyDescent="0.2">
      <c r="A3306" s="82">
        <v>6</v>
      </c>
      <c r="B3306" s="82" t="s">
        <v>71</v>
      </c>
      <c r="C3306" s="82" t="s">
        <v>1874</v>
      </c>
      <c r="D3306" s="82" t="s">
        <v>1798</v>
      </c>
      <c r="E3306" s="11" t="str">
        <f t="array" ref="E3306">_xlfn.XLOOKUP(D3306,Insumos!B:B,Insumos!C:$C)</f>
        <v>M2</v>
      </c>
      <c r="F3306" s="90">
        <v>1.1000000000000001</v>
      </c>
      <c r="G3306" s="92">
        <f t="array" ref="G3306">IF(B3306="insumo",_xlfn.XLOOKUP($D3306,Insumos!$B$1:$B$996,Insumos!$D$1:$D$996),"")</f>
        <v>63.59</v>
      </c>
      <c r="H3306" s="92">
        <v>69.948999999999998</v>
      </c>
      <c r="I3306" s="84">
        <v>0</v>
      </c>
      <c r="J3306" s="84">
        <v>0</v>
      </c>
      <c r="K3306" s="84"/>
      <c r="L3306"/>
      <c r="M3306"/>
      <c r="N3306"/>
      <c r="O3306"/>
      <c r="P3306"/>
      <c r="Q3306"/>
      <c r="R3306"/>
      <c r="S3306"/>
      <c r="T3306"/>
      <c r="U3306"/>
      <c r="V3306"/>
      <c r="W3306"/>
      <c r="X3306"/>
      <c r="Y3306"/>
      <c r="Z3306"/>
      <c r="AA3306"/>
      <c r="AB3306"/>
      <c r="AC3306"/>
      <c r="AD3306"/>
      <c r="AE3306"/>
      <c r="AF3306"/>
      <c r="AG3306"/>
      <c r="AH3306"/>
      <c r="AI3306"/>
      <c r="AJ3306"/>
      <c r="AK3306"/>
      <c r="AL3306"/>
    </row>
    <row r="3307" spans="1:38" ht="12.75" outlineLevel="3" x14ac:dyDescent="0.2">
      <c r="A3307" s="82">
        <v>16</v>
      </c>
      <c r="B3307" s="82" t="s">
        <v>71</v>
      </c>
      <c r="C3307" s="82" t="s">
        <v>1874</v>
      </c>
      <c r="D3307" s="82" t="s">
        <v>658</v>
      </c>
      <c r="E3307" s="11" t="str">
        <f t="array" ref="E3307">_xlfn.XLOOKUP(D3307,Insumos!B:B,Insumos!C:$C)</f>
        <v>KG</v>
      </c>
      <c r="F3307" s="90">
        <v>8.8000000000000007</v>
      </c>
      <c r="G3307" s="92">
        <f t="array" ref="G3307">IF(B3307="insumo",_xlfn.XLOOKUP($D3307,Insumos!$B$1:$B$996,Insumos!$D$1:$D$996),"")</f>
        <v>0.95</v>
      </c>
      <c r="H3307" s="92">
        <v>8.36</v>
      </c>
      <c r="I3307" s="84">
        <v>0</v>
      </c>
      <c r="J3307" s="84">
        <v>0</v>
      </c>
      <c r="K3307" s="84"/>
      <c r="L3307"/>
      <c r="M3307"/>
      <c r="N3307"/>
      <c r="O3307"/>
      <c r="P3307"/>
      <c r="Q3307"/>
      <c r="R3307"/>
      <c r="S3307"/>
      <c r="T3307"/>
      <c r="U3307"/>
      <c r="V3307"/>
      <c r="W3307"/>
      <c r="X3307"/>
      <c r="Y3307"/>
      <c r="Z3307"/>
      <c r="AA3307"/>
      <c r="AB3307"/>
      <c r="AC3307"/>
      <c r="AD3307"/>
      <c r="AE3307"/>
      <c r="AF3307"/>
      <c r="AG3307"/>
      <c r="AH3307"/>
      <c r="AI3307"/>
      <c r="AJ3307"/>
      <c r="AK3307"/>
      <c r="AL3307"/>
    </row>
    <row r="3308" spans="1:38" ht="12.75" outlineLevel="3" x14ac:dyDescent="0.2">
      <c r="A3308" s="82">
        <v>17</v>
      </c>
      <c r="B3308" s="82" t="s">
        <v>71</v>
      </c>
      <c r="C3308" s="82" t="s">
        <v>1874</v>
      </c>
      <c r="D3308" s="82" t="s">
        <v>521</v>
      </c>
      <c r="E3308" s="11" t="str">
        <f t="array" ref="E3308">_xlfn.XLOOKUP(D3308,Insumos!B:B,Insumos!C:$C)</f>
        <v>UN</v>
      </c>
      <c r="F3308" s="90">
        <v>1</v>
      </c>
      <c r="G3308" s="92">
        <f t="array" ref="G3308">IF(B3308="insumo",_xlfn.XLOOKUP($D3308,Insumos!$B$1:$B$996,Insumos!$D$1:$D$996),"")</f>
        <v>0.05</v>
      </c>
      <c r="H3308" s="92">
        <v>0.05</v>
      </c>
      <c r="I3308" s="84">
        <v>0</v>
      </c>
      <c r="J3308" s="84">
        <v>0</v>
      </c>
      <c r="K3308" s="84"/>
      <c r="L3308"/>
      <c r="M3308"/>
      <c r="N3308"/>
      <c r="O3308"/>
      <c r="P3308"/>
      <c r="Q3308"/>
      <c r="R3308"/>
      <c r="S3308"/>
      <c r="T3308"/>
      <c r="U3308"/>
      <c r="V3308"/>
      <c r="W3308"/>
      <c r="X3308"/>
      <c r="Y3308"/>
      <c r="Z3308"/>
      <c r="AA3308"/>
      <c r="AB3308"/>
      <c r="AC3308"/>
      <c r="AD3308"/>
      <c r="AE3308"/>
      <c r="AF3308"/>
      <c r="AG3308"/>
      <c r="AH3308"/>
      <c r="AI3308"/>
      <c r="AJ3308"/>
      <c r="AK3308"/>
      <c r="AL3308"/>
    </row>
    <row r="3309" spans="1:38" ht="12.75" outlineLevel="3" x14ac:dyDescent="0.2">
      <c r="A3309" s="82">
        <v>101</v>
      </c>
      <c r="B3309" s="82" t="s">
        <v>71</v>
      </c>
      <c r="C3309" s="82" t="s">
        <v>1874</v>
      </c>
      <c r="D3309" s="82" t="s">
        <v>507</v>
      </c>
      <c r="E3309" s="11" t="str">
        <f t="array" ref="E3309">_xlfn.XLOOKUP(D3309,Insumos!B:B,Insumos!C:$C)</f>
        <v>KG</v>
      </c>
      <c r="F3309" s="90">
        <v>0.02</v>
      </c>
      <c r="G3309" s="92">
        <f t="array" ref="G3309">IF(B3309="insumo",_xlfn.XLOOKUP($D3309,Insumos!$B$1:$B$996,Insumos!$D$1:$D$996),"")</f>
        <v>11.15</v>
      </c>
      <c r="H3309" s="92">
        <v>0.223</v>
      </c>
      <c r="I3309" s="84">
        <v>0</v>
      </c>
      <c r="J3309" s="84">
        <v>0</v>
      </c>
      <c r="K3309" s="84"/>
      <c r="L3309"/>
      <c r="M3309"/>
      <c r="N3309"/>
      <c r="O3309"/>
      <c r="P3309"/>
      <c r="Q3309"/>
      <c r="R3309"/>
      <c r="S3309"/>
      <c r="T3309"/>
      <c r="U3309"/>
      <c r="V3309"/>
      <c r="W3309"/>
      <c r="X3309"/>
      <c r="Y3309"/>
      <c r="Z3309"/>
      <c r="AA3309"/>
      <c r="AB3309"/>
      <c r="AC3309"/>
      <c r="AD3309"/>
      <c r="AE3309"/>
      <c r="AF3309"/>
      <c r="AG3309"/>
      <c r="AH3309"/>
      <c r="AI3309"/>
      <c r="AJ3309"/>
      <c r="AK3309"/>
      <c r="AL3309"/>
    </row>
    <row r="3310" spans="1:38" ht="15.75" customHeight="1" outlineLevel="1" x14ac:dyDescent="0.2">
      <c r="A3310" s="1090">
        <v>1</v>
      </c>
      <c r="B3310" s="1090" t="s">
        <v>1228</v>
      </c>
      <c r="C3310" s="1090" t="s">
        <v>1874</v>
      </c>
      <c r="D3310" s="1090" t="s">
        <v>1474</v>
      </c>
      <c r="E3310" s="1091"/>
      <c r="F3310" s="1092"/>
      <c r="G3310" s="1091"/>
      <c r="H3310" s="1091">
        <v>0</v>
      </c>
      <c r="I3310" s="1092">
        <v>0</v>
      </c>
      <c r="J3310" s="1092">
        <v>0</v>
      </c>
      <c r="K3310" s="1092"/>
      <c r="L3310"/>
      <c r="M3310"/>
      <c r="N3310"/>
      <c r="O3310"/>
      <c r="P3310"/>
      <c r="Q3310"/>
      <c r="R3310"/>
      <c r="S3310"/>
      <c r="T3310"/>
      <c r="U3310"/>
      <c r="V3310"/>
      <c r="W3310"/>
      <c r="X3310"/>
      <c r="Y3310"/>
      <c r="Z3310"/>
      <c r="AA3310"/>
      <c r="AB3310"/>
      <c r="AC3310"/>
      <c r="AD3310"/>
      <c r="AE3310"/>
      <c r="AF3310"/>
      <c r="AG3310"/>
      <c r="AH3310"/>
      <c r="AI3310"/>
      <c r="AJ3310"/>
      <c r="AK3310"/>
      <c r="AL3310"/>
    </row>
    <row r="3311" spans="1:38" ht="15.75" customHeight="1" outlineLevel="2" x14ac:dyDescent="0.2">
      <c r="A3311" s="1067">
        <v>1</v>
      </c>
      <c r="B3311" s="1067" t="s">
        <v>68</v>
      </c>
      <c r="C3311" s="1067" t="s">
        <v>1499</v>
      </c>
      <c r="D3311" s="1067" t="s">
        <v>1499</v>
      </c>
      <c r="E3311" s="1068" t="s">
        <v>70</v>
      </c>
      <c r="F3311" s="1067"/>
      <c r="G3311" s="1069" t="str">
        <f t="array" ref="G3311">IF(B3311="insumo",_xlfn.XLOOKUP($D3311,Insumos!$B$1:$B$996,Insumos!$D$1:$D$996),"")</f>
        <v/>
      </c>
      <c r="H3311" s="1069">
        <v>59.060600000000001</v>
      </c>
      <c r="I3311" s="1070">
        <v>0</v>
      </c>
      <c r="J3311" s="1070">
        <v>0</v>
      </c>
      <c r="K3311" s="1070"/>
      <c r="L3311"/>
      <c r="M3311"/>
      <c r="N3311"/>
      <c r="O3311"/>
      <c r="P3311"/>
      <c r="Q3311"/>
      <c r="R3311"/>
      <c r="S3311"/>
      <c r="T3311"/>
      <c r="U3311"/>
      <c r="V3311"/>
      <c r="W3311"/>
      <c r="X3311"/>
      <c r="Y3311"/>
      <c r="Z3311"/>
      <c r="AA3311"/>
      <c r="AB3311"/>
      <c r="AC3311"/>
      <c r="AD3311"/>
      <c r="AE3311"/>
      <c r="AF3311"/>
      <c r="AG3311"/>
      <c r="AH3311"/>
      <c r="AI3311"/>
      <c r="AJ3311"/>
      <c r="AK3311"/>
      <c r="AL3311"/>
    </row>
    <row r="3312" spans="1:38" ht="13.5" customHeight="1" outlineLevel="3" x14ac:dyDescent="0.2">
      <c r="A3312" s="10">
        <v>1</v>
      </c>
      <c r="B3312" s="10" t="s">
        <v>71</v>
      </c>
      <c r="C3312" s="10" t="s">
        <v>1499</v>
      </c>
      <c r="D3312" s="10" t="s">
        <v>1500</v>
      </c>
      <c r="E3312" s="11" t="str">
        <f t="array" ref="E3312">_xlfn.XLOOKUP(D3312,Insumos!B:B,Insumos!C:$C)</f>
        <v>M2</v>
      </c>
      <c r="F3312" s="14">
        <v>1.1000000000000001</v>
      </c>
      <c r="G3312" s="92">
        <f t="array" ref="G3312">IF(B3312="insumo",_xlfn.XLOOKUP($D3312,Insumos!$B$1:$B$996,Insumos!$D$1:$D$996),"")</f>
        <v>44.9</v>
      </c>
      <c r="H3312" s="92">
        <v>49.39</v>
      </c>
      <c r="I3312" s="13">
        <v>0</v>
      </c>
      <c r="J3312" s="13">
        <v>0</v>
      </c>
      <c r="K3312" s="13"/>
      <c r="L3312"/>
      <c r="M3312"/>
      <c r="N3312"/>
      <c r="O3312"/>
      <c r="P3312"/>
      <c r="Q3312"/>
      <c r="R3312"/>
      <c r="S3312"/>
      <c r="T3312"/>
      <c r="U3312"/>
      <c r="V3312"/>
      <c r="W3312"/>
      <c r="X3312"/>
      <c r="Y3312"/>
      <c r="Z3312"/>
      <c r="AA3312"/>
      <c r="AB3312"/>
      <c r="AC3312"/>
      <c r="AD3312"/>
      <c r="AE3312"/>
      <c r="AF3312"/>
      <c r="AG3312"/>
      <c r="AH3312"/>
      <c r="AI3312"/>
      <c r="AJ3312"/>
      <c r="AK3312"/>
      <c r="AL3312"/>
    </row>
    <row r="3313" spans="1:38" ht="15.75" customHeight="1" outlineLevel="3" x14ac:dyDescent="0.2">
      <c r="A3313" s="10">
        <v>191</v>
      </c>
      <c r="B3313" s="10" t="s">
        <v>71</v>
      </c>
      <c r="C3313" s="10" t="s">
        <v>1499</v>
      </c>
      <c r="D3313" s="10" t="s">
        <v>481</v>
      </c>
      <c r="E3313" s="11" t="str">
        <f t="array" ref="E3313">_xlfn.XLOOKUP(D3313,Insumos!B:B,Insumos!C:$C)</f>
        <v>KG</v>
      </c>
      <c r="F3313" s="14">
        <v>8.8000000000000007</v>
      </c>
      <c r="G3313" s="92">
        <f t="array" ref="G3313">IF(B3313="insumo",_xlfn.XLOOKUP($D3313,Insumos!$B$1:$B$996,Insumos!$D$1:$D$996),"")</f>
        <v>1.0645</v>
      </c>
      <c r="H3313" s="92">
        <v>9.3675999999999995</v>
      </c>
      <c r="I3313" s="13">
        <v>0</v>
      </c>
      <c r="J3313" s="13">
        <v>0</v>
      </c>
      <c r="K3313" s="13"/>
      <c r="L3313"/>
      <c r="M3313"/>
      <c r="N3313"/>
      <c r="O3313"/>
      <c r="P3313"/>
      <c r="Q3313"/>
      <c r="R3313"/>
      <c r="S3313"/>
      <c r="T3313"/>
      <c r="U3313"/>
      <c r="V3313"/>
      <c r="W3313"/>
      <c r="X3313"/>
      <c r="Y3313"/>
      <c r="Z3313"/>
      <c r="AA3313"/>
      <c r="AB3313"/>
      <c r="AC3313"/>
      <c r="AD3313"/>
      <c r="AE3313"/>
      <c r="AF3313"/>
      <c r="AG3313"/>
      <c r="AH3313"/>
      <c r="AI3313"/>
      <c r="AJ3313"/>
      <c r="AK3313"/>
      <c r="AL3313"/>
    </row>
    <row r="3314" spans="1:38" ht="15.75" customHeight="1" outlineLevel="3" x14ac:dyDescent="0.2">
      <c r="A3314" s="10">
        <v>142</v>
      </c>
      <c r="B3314" s="10" t="s">
        <v>71</v>
      </c>
      <c r="C3314" s="10" t="s">
        <v>1499</v>
      </c>
      <c r="D3314" s="10" t="s">
        <v>506</v>
      </c>
      <c r="E3314" s="11" t="str">
        <f t="array" ref="E3314">_xlfn.XLOOKUP(D3314,Insumos!B:B,Insumos!C:$C)</f>
        <v>UN</v>
      </c>
      <c r="F3314" s="14">
        <v>1</v>
      </c>
      <c r="G3314" s="92">
        <f t="array" ref="G3314">IF(B3314="insumo",_xlfn.XLOOKUP($D3314,Insumos!$B$1:$B$996,Insumos!$D$1:$D$996),"")</f>
        <v>0.08</v>
      </c>
      <c r="H3314" s="92">
        <v>0.08</v>
      </c>
      <c r="I3314" s="13">
        <v>0</v>
      </c>
      <c r="J3314" s="13">
        <v>0</v>
      </c>
      <c r="K3314" s="13"/>
      <c r="L3314"/>
      <c r="M3314"/>
      <c r="N3314"/>
      <c r="O3314"/>
      <c r="P3314"/>
      <c r="Q3314"/>
      <c r="R3314"/>
      <c r="S3314"/>
      <c r="T3314"/>
      <c r="U3314"/>
      <c r="V3314"/>
      <c r="W3314"/>
      <c r="X3314"/>
      <c r="Y3314"/>
      <c r="Z3314"/>
      <c r="AA3314"/>
      <c r="AB3314"/>
      <c r="AC3314"/>
      <c r="AD3314"/>
      <c r="AE3314"/>
      <c r="AF3314"/>
      <c r="AG3314"/>
      <c r="AH3314"/>
      <c r="AI3314"/>
      <c r="AJ3314"/>
      <c r="AK3314"/>
      <c r="AL3314"/>
    </row>
    <row r="3315" spans="1:38" ht="15.75" customHeight="1" outlineLevel="3" x14ac:dyDescent="0.2">
      <c r="A3315" s="10">
        <v>101</v>
      </c>
      <c r="B3315" s="10" t="s">
        <v>71</v>
      </c>
      <c r="C3315" s="10" t="s">
        <v>1499</v>
      </c>
      <c r="D3315" s="10" t="s">
        <v>507</v>
      </c>
      <c r="E3315" s="11" t="str">
        <f t="array" ref="E3315">_xlfn.XLOOKUP(D3315,Insumos!B:B,Insumos!C:$C)</f>
        <v>KG</v>
      </c>
      <c r="F3315" s="14">
        <v>0.02</v>
      </c>
      <c r="G3315" s="92">
        <f t="array" ref="G3315">IF(B3315="insumo",_xlfn.XLOOKUP($D3315,Insumos!$B$1:$B$996,Insumos!$D$1:$D$996),"")</f>
        <v>11.15</v>
      </c>
      <c r="H3315" s="92">
        <v>0.223</v>
      </c>
      <c r="I3315" s="13">
        <v>0</v>
      </c>
      <c r="J3315" s="13">
        <v>0</v>
      </c>
      <c r="K3315" s="13"/>
      <c r="L3315"/>
      <c r="M3315"/>
      <c r="N3315"/>
      <c r="O3315"/>
      <c r="P3315"/>
      <c r="Q3315"/>
      <c r="R3315"/>
      <c r="S3315"/>
      <c r="T3315"/>
      <c r="U3315"/>
      <c r="V3315"/>
      <c r="W3315"/>
      <c r="X3315"/>
      <c r="Y3315"/>
      <c r="Z3315"/>
      <c r="AA3315"/>
      <c r="AB3315"/>
      <c r="AC3315"/>
      <c r="AD3315"/>
      <c r="AE3315"/>
      <c r="AF3315"/>
      <c r="AG3315"/>
      <c r="AH3315"/>
      <c r="AI3315"/>
      <c r="AJ3315"/>
      <c r="AK3315"/>
      <c r="AL3315"/>
    </row>
    <row r="3316" spans="1:38" ht="15.75" customHeight="1" outlineLevel="2" x14ac:dyDescent="0.2">
      <c r="A3316" s="1067">
        <v>1</v>
      </c>
      <c r="B3316" s="1067" t="s">
        <v>68</v>
      </c>
      <c r="C3316" s="1067" t="s">
        <v>646</v>
      </c>
      <c r="D3316" s="1067" t="s">
        <v>646</v>
      </c>
      <c r="E3316" s="1068" t="s">
        <v>70</v>
      </c>
      <c r="F3316" s="1067"/>
      <c r="G3316" s="1069" t="str">
        <f t="array" ref="G3316">IF(B3316="insumo",_xlfn.XLOOKUP($D3316,Insumos!$B$1:$B$996,Insumos!$D$1:$D$996),"")</f>
        <v/>
      </c>
      <c r="H3316" s="1069">
        <v>130.4066</v>
      </c>
      <c r="I3316" s="1070">
        <v>0</v>
      </c>
      <c r="J3316" s="1070">
        <v>0</v>
      </c>
      <c r="K3316" s="1070"/>
      <c r="L3316"/>
      <c r="M3316"/>
      <c r="N3316"/>
      <c r="O3316"/>
      <c r="P3316"/>
      <c r="Q3316"/>
      <c r="R3316"/>
      <c r="S3316"/>
      <c r="T3316"/>
      <c r="U3316"/>
      <c r="V3316"/>
      <c r="W3316"/>
      <c r="X3316"/>
      <c r="Y3316"/>
      <c r="Z3316"/>
      <c r="AA3316"/>
      <c r="AB3316"/>
      <c r="AC3316"/>
      <c r="AD3316"/>
      <c r="AE3316"/>
      <c r="AF3316"/>
      <c r="AG3316"/>
      <c r="AH3316"/>
      <c r="AI3316"/>
      <c r="AJ3316"/>
      <c r="AK3316"/>
      <c r="AL3316"/>
    </row>
    <row r="3317" spans="1:38" ht="15.75" customHeight="1" outlineLevel="3" x14ac:dyDescent="0.2">
      <c r="A3317" s="10">
        <v>2</v>
      </c>
      <c r="B3317" s="10" t="s">
        <v>71</v>
      </c>
      <c r="C3317" s="10" t="s">
        <v>646</v>
      </c>
      <c r="D3317" s="10" t="s">
        <v>647</v>
      </c>
      <c r="E3317" s="11" t="str">
        <f t="array" ref="E3317">_xlfn.XLOOKUP(D3317,Insumos!B:B,Insumos!C:$C)</f>
        <v>M2</v>
      </c>
      <c r="F3317" s="14">
        <v>1.1000000000000001</v>
      </c>
      <c r="G3317" s="92">
        <f t="array" ref="G3317">IF(B3317="insumo",_xlfn.XLOOKUP($D3317,Insumos!$B$1:$B$996,Insumos!$D$1:$D$996),"")</f>
        <v>109.89</v>
      </c>
      <c r="H3317" s="92">
        <v>120.879</v>
      </c>
      <c r="I3317" s="13">
        <v>0</v>
      </c>
      <c r="J3317" s="13">
        <v>0</v>
      </c>
      <c r="K3317" s="13"/>
      <c r="L3317"/>
      <c r="M3317"/>
      <c r="N3317"/>
      <c r="O3317"/>
      <c r="P3317"/>
      <c r="Q3317"/>
      <c r="R3317"/>
      <c r="S3317"/>
      <c r="T3317"/>
      <c r="U3317"/>
      <c r="V3317"/>
      <c r="W3317"/>
      <c r="X3317"/>
      <c r="Y3317"/>
      <c r="Z3317"/>
      <c r="AA3317"/>
      <c r="AB3317"/>
      <c r="AC3317"/>
      <c r="AD3317"/>
      <c r="AE3317"/>
      <c r="AF3317"/>
      <c r="AG3317"/>
      <c r="AH3317"/>
      <c r="AI3317"/>
      <c r="AJ3317"/>
      <c r="AK3317"/>
      <c r="AL3317"/>
    </row>
    <row r="3318" spans="1:38" ht="15.75" customHeight="1" outlineLevel="3" x14ac:dyDescent="0.2">
      <c r="A3318" s="10">
        <v>191</v>
      </c>
      <c r="B3318" s="10" t="s">
        <v>71</v>
      </c>
      <c r="C3318" s="10" t="s">
        <v>646</v>
      </c>
      <c r="D3318" s="10" t="s">
        <v>481</v>
      </c>
      <c r="E3318" s="11" t="str">
        <f t="array" ref="E3318">_xlfn.XLOOKUP(D3318,Insumos!B:B,Insumos!C:$C)</f>
        <v>KG</v>
      </c>
      <c r="F3318" s="14">
        <v>8.8000000000000007</v>
      </c>
      <c r="G3318" s="92">
        <f t="array" ref="G3318">IF(B3318="insumo",_xlfn.XLOOKUP($D3318,Insumos!$B$1:$B$996,Insumos!$D$1:$D$996),"")</f>
        <v>1.0645</v>
      </c>
      <c r="H3318" s="92">
        <v>9.3675999999999995</v>
      </c>
      <c r="I3318" s="13">
        <v>0</v>
      </c>
      <c r="J3318" s="13">
        <v>0</v>
      </c>
      <c r="K3318" s="13"/>
      <c r="L3318"/>
      <c r="M3318"/>
      <c r="N3318"/>
      <c r="O3318"/>
      <c r="P3318"/>
      <c r="Q3318"/>
      <c r="R3318"/>
      <c r="S3318"/>
      <c r="T3318"/>
      <c r="U3318"/>
      <c r="V3318"/>
      <c r="W3318"/>
      <c r="X3318"/>
      <c r="Y3318"/>
      <c r="Z3318"/>
      <c r="AA3318"/>
      <c r="AB3318"/>
      <c r="AC3318"/>
      <c r="AD3318"/>
      <c r="AE3318"/>
      <c r="AF3318"/>
      <c r="AG3318"/>
      <c r="AH3318"/>
      <c r="AI3318"/>
      <c r="AJ3318"/>
      <c r="AK3318"/>
      <c r="AL3318"/>
    </row>
    <row r="3319" spans="1:38" ht="15.75" customHeight="1" outlineLevel="3" x14ac:dyDescent="0.2">
      <c r="A3319" s="10">
        <v>142</v>
      </c>
      <c r="B3319" s="10" t="s">
        <v>71</v>
      </c>
      <c r="C3319" s="10" t="s">
        <v>646</v>
      </c>
      <c r="D3319" s="10" t="s">
        <v>506</v>
      </c>
      <c r="E3319" s="11" t="str">
        <f t="array" ref="E3319">_xlfn.XLOOKUP(D3319,Insumos!B:B,Insumos!C:$C)</f>
        <v>UN</v>
      </c>
      <c r="F3319" s="14">
        <v>2</v>
      </c>
      <c r="G3319" s="92">
        <f t="array" ref="G3319">IF(B3319="insumo",_xlfn.XLOOKUP($D3319,Insumos!$B$1:$B$996,Insumos!$D$1:$D$996),"")</f>
        <v>0.08</v>
      </c>
      <c r="H3319" s="92">
        <v>0.16</v>
      </c>
      <c r="I3319" s="13">
        <v>0</v>
      </c>
      <c r="J3319" s="13">
        <v>0</v>
      </c>
      <c r="K3319" s="13"/>
      <c r="L3319"/>
      <c r="M3319"/>
      <c r="N3319"/>
      <c r="O3319"/>
      <c r="P3319"/>
      <c r="Q3319"/>
      <c r="R3319"/>
      <c r="S3319"/>
      <c r="T3319"/>
      <c r="U3319"/>
      <c r="V3319"/>
      <c r="W3319"/>
      <c r="X3319"/>
      <c r="Y3319"/>
      <c r="Z3319"/>
      <c r="AA3319"/>
      <c r="AB3319"/>
      <c r="AC3319"/>
      <c r="AD3319"/>
      <c r="AE3319"/>
      <c r="AF3319"/>
      <c r="AG3319"/>
      <c r="AH3319"/>
      <c r="AI3319"/>
      <c r="AJ3319"/>
      <c r="AK3319"/>
      <c r="AL3319"/>
    </row>
    <row r="3320" spans="1:38" ht="15.75" customHeight="1" outlineLevel="2" x14ac:dyDescent="0.2">
      <c r="A3320" s="1067">
        <v>1</v>
      </c>
      <c r="B3320" s="1067" t="s">
        <v>68</v>
      </c>
      <c r="C3320" s="1067" t="s">
        <v>1492</v>
      </c>
      <c r="D3320" s="1067" t="s">
        <v>1492</v>
      </c>
      <c r="E3320" s="1068" t="s">
        <v>70</v>
      </c>
      <c r="F3320" s="1067"/>
      <c r="G3320" s="1069" t="str">
        <f t="array" ref="G3320">IF(B3320="insumo",_xlfn.XLOOKUP($D3320,Insumos!$B$1:$B$996,Insumos!$D$1:$D$996),"")</f>
        <v/>
      </c>
      <c r="H3320" s="1069">
        <v>100.373</v>
      </c>
      <c r="I3320" s="1070">
        <v>0</v>
      </c>
      <c r="J3320" s="1070">
        <v>0</v>
      </c>
      <c r="K3320" s="1070"/>
      <c r="L3320"/>
      <c r="M3320"/>
      <c r="N3320"/>
      <c r="O3320"/>
      <c r="P3320"/>
      <c r="Q3320"/>
      <c r="R3320"/>
      <c r="S3320"/>
      <c r="T3320"/>
      <c r="U3320"/>
      <c r="V3320"/>
      <c r="W3320"/>
      <c r="X3320"/>
      <c r="Y3320"/>
      <c r="Z3320"/>
      <c r="AA3320"/>
      <c r="AB3320"/>
      <c r="AC3320"/>
      <c r="AD3320"/>
      <c r="AE3320"/>
      <c r="AF3320"/>
      <c r="AG3320"/>
      <c r="AH3320"/>
      <c r="AI3320"/>
      <c r="AJ3320"/>
      <c r="AK3320"/>
      <c r="AL3320"/>
    </row>
    <row r="3321" spans="1:38" ht="15.75" customHeight="1" outlineLevel="3" x14ac:dyDescent="0.2">
      <c r="A3321" s="10">
        <v>1</v>
      </c>
      <c r="B3321" s="10" t="s">
        <v>71</v>
      </c>
      <c r="C3321" s="10" t="s">
        <v>1492</v>
      </c>
      <c r="D3321" s="10" t="s">
        <v>1490</v>
      </c>
      <c r="E3321" s="11" t="str">
        <f t="array" ref="E3321">_xlfn.XLOOKUP(D3321,Insumos!B:B,Insumos!C:$C)</f>
        <v>M2</v>
      </c>
      <c r="F3321" s="14">
        <v>1.1000000000000001</v>
      </c>
      <c r="G3321" s="92">
        <f t="array" ref="G3321">IF(B3321="insumo",_xlfn.XLOOKUP($D3321,Insumos!$B$1:$B$996,Insumos!$D$1:$D$996),"")</f>
        <v>83.4</v>
      </c>
      <c r="H3321" s="92">
        <v>91.74</v>
      </c>
      <c r="I3321" s="13">
        <v>0</v>
      </c>
      <c r="J3321" s="13">
        <v>0</v>
      </c>
      <c r="K3321" s="13"/>
      <c r="L3321"/>
      <c r="M3321"/>
      <c r="N3321"/>
      <c r="O3321"/>
      <c r="P3321"/>
      <c r="Q3321"/>
      <c r="R3321"/>
      <c r="S3321"/>
      <c r="T3321"/>
      <c r="U3321"/>
      <c r="V3321"/>
      <c r="W3321"/>
      <c r="X3321"/>
      <c r="Y3321"/>
      <c r="Z3321"/>
      <c r="AA3321"/>
      <c r="AB3321"/>
      <c r="AC3321"/>
      <c r="AD3321"/>
      <c r="AE3321"/>
      <c r="AF3321"/>
      <c r="AG3321"/>
      <c r="AH3321"/>
      <c r="AI3321"/>
      <c r="AJ3321"/>
      <c r="AK3321"/>
      <c r="AL3321"/>
    </row>
    <row r="3322" spans="1:38" ht="15.75" customHeight="1" outlineLevel="3" x14ac:dyDescent="0.2">
      <c r="A3322" s="10">
        <v>16</v>
      </c>
      <c r="B3322" s="10" t="s">
        <v>71</v>
      </c>
      <c r="C3322" s="10" t="s">
        <v>1492</v>
      </c>
      <c r="D3322" s="10" t="s">
        <v>658</v>
      </c>
      <c r="E3322" s="11" t="str">
        <f t="array" ref="E3322">_xlfn.XLOOKUP(D3322,Insumos!B:B,Insumos!C:$C)</f>
        <v>KG</v>
      </c>
      <c r="F3322" s="14">
        <v>8.8000000000000007</v>
      </c>
      <c r="G3322" s="92">
        <f t="array" ref="G3322">IF(B3322="insumo",_xlfn.XLOOKUP($D3322,Insumos!$B$1:$B$996,Insumos!$D$1:$D$996),"")</f>
        <v>0.95</v>
      </c>
      <c r="H3322" s="92">
        <v>8.36</v>
      </c>
      <c r="I3322" s="13">
        <v>0</v>
      </c>
      <c r="J3322" s="13">
        <v>0</v>
      </c>
      <c r="K3322" s="13"/>
      <c r="L3322"/>
      <c r="M3322"/>
      <c r="N3322"/>
      <c r="O3322"/>
      <c r="P3322"/>
      <c r="Q3322"/>
      <c r="R3322"/>
      <c r="S3322"/>
      <c r="T3322"/>
      <c r="U3322"/>
      <c r="V3322"/>
      <c r="W3322"/>
      <c r="X3322"/>
      <c r="Y3322"/>
      <c r="Z3322"/>
      <c r="AA3322"/>
      <c r="AB3322"/>
      <c r="AC3322"/>
      <c r="AD3322"/>
      <c r="AE3322"/>
      <c r="AF3322"/>
      <c r="AG3322"/>
      <c r="AH3322"/>
      <c r="AI3322"/>
      <c r="AJ3322"/>
      <c r="AK3322"/>
      <c r="AL3322"/>
    </row>
    <row r="3323" spans="1:38" ht="15.75" customHeight="1" outlineLevel="3" x14ac:dyDescent="0.2">
      <c r="A3323" s="10">
        <v>17</v>
      </c>
      <c r="B3323" s="10" t="s">
        <v>71</v>
      </c>
      <c r="C3323" s="10" t="s">
        <v>1492</v>
      </c>
      <c r="D3323" s="10" t="s">
        <v>521</v>
      </c>
      <c r="E3323" s="11" t="str">
        <f t="array" ref="E3323">_xlfn.XLOOKUP(D3323,Insumos!B:B,Insumos!C:$C)</f>
        <v>UN</v>
      </c>
      <c r="F3323" s="14">
        <v>1</v>
      </c>
      <c r="G3323" s="92">
        <f t="array" ref="G3323">IF(B3323="insumo",_xlfn.XLOOKUP($D3323,Insumos!$B$1:$B$996,Insumos!$D$1:$D$996),"")</f>
        <v>0.05</v>
      </c>
      <c r="H3323" s="92">
        <v>0.05</v>
      </c>
      <c r="I3323" s="13">
        <v>0</v>
      </c>
      <c r="J3323" s="13">
        <v>0</v>
      </c>
      <c r="K3323" s="13"/>
      <c r="L3323"/>
      <c r="M3323"/>
      <c r="N3323"/>
      <c r="O3323"/>
      <c r="P3323"/>
      <c r="Q3323"/>
      <c r="R3323"/>
      <c r="S3323"/>
      <c r="T3323"/>
      <c r="U3323"/>
      <c r="V3323"/>
      <c r="W3323"/>
      <c r="X3323"/>
      <c r="Y3323"/>
      <c r="Z3323"/>
      <c r="AA3323"/>
      <c r="AB3323"/>
      <c r="AC3323"/>
      <c r="AD3323"/>
      <c r="AE3323"/>
      <c r="AF3323"/>
      <c r="AG3323"/>
      <c r="AH3323"/>
      <c r="AI3323"/>
      <c r="AJ3323"/>
      <c r="AK3323"/>
      <c r="AL3323"/>
    </row>
    <row r="3324" spans="1:38" ht="15.75" customHeight="1" outlineLevel="3" x14ac:dyDescent="0.2">
      <c r="A3324" s="10">
        <v>101</v>
      </c>
      <c r="B3324" s="10" t="s">
        <v>71</v>
      </c>
      <c r="C3324" s="10" t="s">
        <v>1492</v>
      </c>
      <c r="D3324" s="10" t="s">
        <v>507</v>
      </c>
      <c r="E3324" s="11" t="str">
        <f t="array" ref="E3324">_xlfn.XLOOKUP(D3324,Insumos!B:B,Insumos!C:$C)</f>
        <v>KG</v>
      </c>
      <c r="F3324" s="14">
        <v>0.02</v>
      </c>
      <c r="G3324" s="92">
        <f t="array" ref="G3324">IF(B3324="insumo",_xlfn.XLOOKUP($D3324,Insumos!$B$1:$B$996,Insumos!$D$1:$D$996),"")</f>
        <v>11.15</v>
      </c>
      <c r="H3324" s="92">
        <v>0.223</v>
      </c>
      <c r="I3324" s="13">
        <v>0</v>
      </c>
      <c r="J3324" s="13">
        <v>0</v>
      </c>
      <c r="K3324" s="13"/>
      <c r="L3324"/>
      <c r="M3324"/>
      <c r="N3324"/>
      <c r="O3324"/>
      <c r="P3324"/>
      <c r="Q3324"/>
      <c r="R3324"/>
      <c r="S3324"/>
      <c r="T3324"/>
      <c r="U3324"/>
      <c r="V3324"/>
      <c r="W3324"/>
      <c r="X3324"/>
      <c r="Y3324"/>
      <c r="Z3324"/>
      <c r="AA3324"/>
      <c r="AB3324"/>
      <c r="AC3324"/>
      <c r="AD3324"/>
      <c r="AE3324"/>
      <c r="AF3324"/>
      <c r="AG3324"/>
      <c r="AH3324"/>
      <c r="AI3324"/>
      <c r="AJ3324"/>
      <c r="AK3324"/>
      <c r="AL3324"/>
    </row>
    <row r="3325" spans="1:38" ht="15.75" customHeight="1" outlineLevel="2" x14ac:dyDescent="0.2">
      <c r="A3325" s="1067">
        <v>1</v>
      </c>
      <c r="B3325" s="1067" t="s">
        <v>68</v>
      </c>
      <c r="C3325" s="1067" t="s">
        <v>3058</v>
      </c>
      <c r="D3325" s="1067" t="s">
        <v>3058</v>
      </c>
      <c r="E3325" s="1068" t="s">
        <v>70</v>
      </c>
      <c r="F3325" s="1067"/>
      <c r="G3325" s="1069" t="str">
        <f t="array" ref="G3325">IF(B3325="insumo",_xlfn.XLOOKUP($D3325,Insumos!$B$1:$B$996,Insumos!$D$1:$D$996),"")</f>
        <v/>
      </c>
      <c r="H3325" s="1069">
        <v>117.6276</v>
      </c>
      <c r="I3325" s="1070" t="e">
        <v>#REF!</v>
      </c>
      <c r="J3325" s="1070" t="e">
        <v>#REF!</v>
      </c>
      <c r="K3325" s="1070"/>
      <c r="L3325"/>
      <c r="M3325"/>
      <c r="N3325"/>
      <c r="O3325"/>
      <c r="P3325"/>
      <c r="Q3325"/>
      <c r="R3325"/>
      <c r="S3325"/>
      <c r="T3325"/>
      <c r="U3325"/>
      <c r="V3325"/>
      <c r="W3325"/>
      <c r="X3325"/>
      <c r="Y3325"/>
      <c r="Z3325"/>
      <c r="AA3325"/>
      <c r="AB3325"/>
      <c r="AC3325"/>
      <c r="AD3325"/>
      <c r="AE3325"/>
      <c r="AF3325"/>
      <c r="AG3325"/>
      <c r="AH3325"/>
      <c r="AI3325"/>
      <c r="AJ3325"/>
      <c r="AK3325"/>
      <c r="AL3325"/>
    </row>
    <row r="3326" spans="1:38" ht="15.75" customHeight="1" outlineLevel="3" x14ac:dyDescent="0.2">
      <c r="A3326" s="10">
        <v>2</v>
      </c>
      <c r="B3326" s="10" t="s">
        <v>71</v>
      </c>
      <c r="C3326" s="10" t="s">
        <v>3058</v>
      </c>
      <c r="D3326" s="10" t="s">
        <v>3006</v>
      </c>
      <c r="E3326" s="11" t="str">
        <f t="array" ref="E3326">_xlfn.XLOOKUP(D3326,Insumos!B:B,Insumos!C:$C)</f>
        <v>M2</v>
      </c>
      <c r="F3326" s="14">
        <v>1.1000000000000001</v>
      </c>
      <c r="G3326" s="92">
        <f t="array" ref="G3326">IF(B3326="insumo",_xlfn.XLOOKUP($D3326,Insumos!$B$1:$B$996,Insumos!$D$1:$D$996),"")</f>
        <v>98</v>
      </c>
      <c r="H3326" s="92">
        <v>107.8</v>
      </c>
      <c r="I3326" s="13" t="e">
        <v>#REF!</v>
      </c>
      <c r="J3326" s="13" t="e">
        <v>#REF!</v>
      </c>
      <c r="K3326" s="13"/>
      <c r="L3326"/>
      <c r="M3326"/>
      <c r="N3326"/>
      <c r="O3326"/>
      <c r="P3326"/>
      <c r="Q3326"/>
      <c r="R3326"/>
      <c r="S3326"/>
      <c r="T3326"/>
      <c r="U3326"/>
      <c r="V3326"/>
      <c r="W3326"/>
      <c r="X3326"/>
      <c r="Y3326"/>
      <c r="Z3326"/>
      <c r="AA3326"/>
      <c r="AB3326"/>
      <c r="AC3326"/>
      <c r="AD3326"/>
      <c r="AE3326"/>
      <c r="AF3326"/>
      <c r="AG3326"/>
      <c r="AH3326"/>
      <c r="AI3326"/>
      <c r="AJ3326"/>
      <c r="AK3326"/>
      <c r="AL3326"/>
    </row>
    <row r="3327" spans="1:38" ht="15.75" customHeight="1" outlineLevel="3" x14ac:dyDescent="0.2">
      <c r="A3327" s="10">
        <v>191</v>
      </c>
      <c r="B3327" s="10" t="s">
        <v>71</v>
      </c>
      <c r="C3327" s="10" t="s">
        <v>3058</v>
      </c>
      <c r="D3327" s="10" t="s">
        <v>481</v>
      </c>
      <c r="E3327" s="11" t="str">
        <f t="array" ref="E3327">_xlfn.XLOOKUP(D3327,Insumos!B:B,Insumos!C:$C)</f>
        <v>KG</v>
      </c>
      <c r="F3327" s="14">
        <v>8.8000000000000007</v>
      </c>
      <c r="G3327" s="92">
        <f t="array" ref="G3327">IF(B3327="insumo",_xlfn.XLOOKUP($D3327,Insumos!$B$1:$B$996,Insumos!$D$1:$D$996),"")</f>
        <v>1.0645</v>
      </c>
      <c r="H3327" s="92">
        <v>9.3675999999999995</v>
      </c>
      <c r="I3327" s="13" t="e">
        <v>#REF!</v>
      </c>
      <c r="J3327" s="13" t="e">
        <v>#REF!</v>
      </c>
      <c r="K3327" s="13"/>
      <c r="L3327"/>
      <c r="M3327"/>
      <c r="N3327"/>
      <c r="O3327"/>
      <c r="P3327"/>
      <c r="Q3327"/>
      <c r="R3327"/>
      <c r="S3327"/>
      <c r="T3327"/>
      <c r="U3327"/>
      <c r="V3327"/>
      <c r="W3327"/>
      <c r="X3327"/>
      <c r="Y3327"/>
      <c r="Z3327"/>
      <c r="AA3327"/>
      <c r="AB3327"/>
      <c r="AC3327"/>
      <c r="AD3327"/>
      <c r="AE3327"/>
      <c r="AF3327"/>
      <c r="AG3327"/>
      <c r="AH3327"/>
      <c r="AI3327"/>
      <c r="AJ3327"/>
      <c r="AK3327"/>
      <c r="AL3327"/>
    </row>
    <row r="3328" spans="1:38" ht="15.75" customHeight="1" outlineLevel="3" x14ac:dyDescent="0.2">
      <c r="A3328" s="10">
        <v>142</v>
      </c>
      <c r="B3328" s="10" t="s">
        <v>71</v>
      </c>
      <c r="C3328" s="10" t="s">
        <v>3058</v>
      </c>
      <c r="D3328" s="10" t="s">
        <v>506</v>
      </c>
      <c r="E3328" s="11" t="str">
        <f t="array" ref="E3328">_xlfn.XLOOKUP(D3328,Insumos!B:B,Insumos!C:$C)</f>
        <v>UN</v>
      </c>
      <c r="F3328" s="14">
        <v>1</v>
      </c>
      <c r="G3328" s="92">
        <f t="array" ref="G3328">IF(B3328="insumo",_xlfn.XLOOKUP($D3328,Insumos!$B$1:$B$996,Insumos!$D$1:$D$996),"")</f>
        <v>0.08</v>
      </c>
      <c r="H3328" s="92">
        <v>0.08</v>
      </c>
      <c r="I3328" s="13" t="e">
        <v>#REF!</v>
      </c>
      <c r="J3328" s="13" t="e">
        <v>#REF!</v>
      </c>
      <c r="K3328" s="13"/>
      <c r="L3328"/>
      <c r="M3328"/>
      <c r="N3328"/>
      <c r="O3328"/>
      <c r="P3328"/>
      <c r="Q3328"/>
      <c r="R3328"/>
      <c r="S3328"/>
      <c r="T3328"/>
      <c r="U3328"/>
      <c r="V3328"/>
      <c r="W3328"/>
      <c r="X3328"/>
      <c r="Y3328"/>
      <c r="Z3328"/>
      <c r="AA3328"/>
      <c r="AB3328"/>
      <c r="AC3328"/>
      <c r="AD3328"/>
      <c r="AE3328"/>
      <c r="AF3328"/>
      <c r="AG3328"/>
      <c r="AH3328"/>
      <c r="AI3328"/>
      <c r="AJ3328"/>
      <c r="AK3328"/>
      <c r="AL3328"/>
    </row>
    <row r="3329" spans="1:38" ht="15.75" customHeight="1" outlineLevel="3" x14ac:dyDescent="0.2">
      <c r="A3329" s="10">
        <v>36</v>
      </c>
      <c r="B3329" s="10" t="s">
        <v>71</v>
      </c>
      <c r="C3329" s="82" t="s">
        <v>3058</v>
      </c>
      <c r="D3329" s="82" t="s">
        <v>2856</v>
      </c>
      <c r="E3329" s="11" t="str">
        <f t="array" ref="E3329">_xlfn.XLOOKUP(D3329,Insumos!B:B,Insumos!C:$C)</f>
        <v>KG</v>
      </c>
      <c r="F3329" s="14">
        <v>0.01</v>
      </c>
      <c r="G3329" s="92">
        <f t="array" ref="G3329">IF(B3329="insumo",_xlfn.XLOOKUP($D3329,Insumos!$B$1:$B$996,Insumos!$D$1:$D$996),"")</f>
        <v>38</v>
      </c>
      <c r="H3329" s="92">
        <v>0.38</v>
      </c>
      <c r="I3329" s="13" t="e">
        <v>#REF!</v>
      </c>
      <c r="J3329" s="13" t="e">
        <v>#REF!</v>
      </c>
      <c r="K3329" s="13"/>
      <c r="L3329"/>
      <c r="M3329"/>
      <c r="N3329"/>
      <c r="O3329"/>
      <c r="P3329"/>
      <c r="Q3329"/>
      <c r="R3329"/>
      <c r="S3329"/>
      <c r="T3329"/>
      <c r="U3329"/>
      <c r="V3329"/>
      <c r="W3329"/>
      <c r="X3329"/>
      <c r="Y3329"/>
      <c r="Z3329"/>
      <c r="AA3329"/>
      <c r="AB3329"/>
      <c r="AC3329"/>
      <c r="AD3329"/>
      <c r="AE3329"/>
      <c r="AF3329"/>
      <c r="AG3329"/>
      <c r="AH3329"/>
      <c r="AI3329"/>
      <c r="AJ3329"/>
      <c r="AK3329"/>
      <c r="AL3329"/>
    </row>
    <row r="3330" spans="1:38" ht="15.75" customHeight="1" outlineLevel="2" x14ac:dyDescent="0.2">
      <c r="A3330" s="1067">
        <v>1</v>
      </c>
      <c r="B3330" s="1067" t="s">
        <v>68</v>
      </c>
      <c r="C3330" s="1067" t="s">
        <v>2979</v>
      </c>
      <c r="D3330" s="1067" t="s">
        <v>2979</v>
      </c>
      <c r="E3330" s="1068" t="s">
        <v>70</v>
      </c>
      <c r="F3330" s="1067"/>
      <c r="G3330" s="1069" t="str">
        <f t="array" ref="G3330">IF(B3330="insumo",_xlfn.XLOOKUP($D3330,Insumos!$B$1:$B$996,Insumos!$D$1:$D$996),"")</f>
        <v/>
      </c>
      <c r="H3330" s="1069">
        <v>229.82759999999999</v>
      </c>
      <c r="I3330" s="1070" t="e">
        <v>#REF!</v>
      </c>
      <c r="J3330" s="1070" t="e">
        <v>#REF!</v>
      </c>
      <c r="K3330" s="1070"/>
      <c r="L3330"/>
      <c r="M3330"/>
      <c r="N3330"/>
      <c r="O3330"/>
      <c r="P3330"/>
      <c r="Q3330"/>
      <c r="R3330"/>
      <c r="S3330"/>
      <c r="T3330"/>
      <c r="U3330"/>
      <c r="V3330"/>
      <c r="W3330"/>
      <c r="X3330"/>
      <c r="Y3330"/>
      <c r="Z3330"/>
      <c r="AA3330"/>
      <c r="AB3330"/>
      <c r="AC3330"/>
      <c r="AD3330"/>
      <c r="AE3330"/>
      <c r="AF3330"/>
      <c r="AG3330"/>
      <c r="AH3330"/>
      <c r="AI3330"/>
      <c r="AJ3330"/>
      <c r="AK3330"/>
      <c r="AL3330"/>
    </row>
    <row r="3331" spans="1:38" ht="15.75" customHeight="1" outlineLevel="3" x14ac:dyDescent="0.2">
      <c r="A3331" s="10">
        <v>2</v>
      </c>
      <c r="B3331" s="10" t="s">
        <v>71</v>
      </c>
      <c r="C3331" s="10" t="s">
        <v>2979</v>
      </c>
      <c r="D3331" s="10" t="s">
        <v>2845</v>
      </c>
      <c r="E3331" s="11" t="str">
        <f t="array" ref="E3331">_xlfn.XLOOKUP(D3331,Insumos!B:B,Insumos!C:$C)</f>
        <v>M2</v>
      </c>
      <c r="F3331" s="14">
        <v>1.1000000000000001</v>
      </c>
      <c r="G3331" s="92">
        <f t="array" ref="G3331">IF(B3331="insumo",_xlfn.XLOOKUP($D3331,Insumos!$B$1:$B$996,Insumos!$D$1:$D$996),"")</f>
        <v>200</v>
      </c>
      <c r="H3331" s="92">
        <v>220</v>
      </c>
      <c r="I3331" s="13" t="e">
        <v>#REF!</v>
      </c>
      <c r="J3331" s="13" t="e">
        <v>#REF!</v>
      </c>
      <c r="K3331" s="13"/>
      <c r="L3331"/>
      <c r="M3331"/>
      <c r="N3331"/>
      <c r="O3331"/>
      <c r="P3331"/>
      <c r="Q3331"/>
      <c r="R3331"/>
      <c r="S3331"/>
      <c r="T3331"/>
      <c r="U3331"/>
      <c r="V3331"/>
      <c r="W3331"/>
      <c r="X3331"/>
      <c r="Y3331"/>
      <c r="Z3331"/>
      <c r="AA3331"/>
      <c r="AB3331"/>
      <c r="AC3331"/>
      <c r="AD3331"/>
      <c r="AE3331"/>
      <c r="AF3331"/>
      <c r="AG3331"/>
      <c r="AH3331"/>
      <c r="AI3331"/>
      <c r="AJ3331"/>
      <c r="AK3331"/>
      <c r="AL3331"/>
    </row>
    <row r="3332" spans="1:38" ht="15.75" customHeight="1" outlineLevel="3" x14ac:dyDescent="0.2">
      <c r="A3332" s="10">
        <v>191</v>
      </c>
      <c r="B3332" s="10" t="s">
        <v>71</v>
      </c>
      <c r="C3332" s="10" t="s">
        <v>2979</v>
      </c>
      <c r="D3332" s="10" t="s">
        <v>481</v>
      </c>
      <c r="E3332" s="11" t="str">
        <f t="array" ref="E3332">_xlfn.XLOOKUP(D3332,Insumos!B:B,Insumos!C:$C)</f>
        <v>KG</v>
      </c>
      <c r="F3332" s="14">
        <v>8.8000000000000007</v>
      </c>
      <c r="G3332" s="92">
        <f t="array" ref="G3332">IF(B3332="insumo",_xlfn.XLOOKUP($D3332,Insumos!$B$1:$B$996,Insumos!$D$1:$D$996),"")</f>
        <v>1.0645</v>
      </c>
      <c r="H3332" s="92">
        <v>9.3675999999999995</v>
      </c>
      <c r="I3332" s="13" t="e">
        <v>#REF!</v>
      </c>
      <c r="J3332" s="13" t="e">
        <v>#REF!</v>
      </c>
      <c r="K3332" s="13"/>
      <c r="L3332"/>
      <c r="M3332"/>
      <c r="N3332"/>
      <c r="O3332"/>
      <c r="P3332"/>
      <c r="Q3332"/>
      <c r="R3332"/>
      <c r="S3332"/>
      <c r="T3332"/>
      <c r="U3332"/>
      <c r="V3332"/>
      <c r="W3332"/>
      <c r="X3332"/>
      <c r="Y3332"/>
      <c r="Z3332"/>
      <c r="AA3332"/>
      <c r="AB3332"/>
      <c r="AC3332"/>
      <c r="AD3332"/>
      <c r="AE3332"/>
      <c r="AF3332"/>
      <c r="AG3332"/>
      <c r="AH3332"/>
      <c r="AI3332"/>
      <c r="AJ3332"/>
      <c r="AK3332"/>
      <c r="AL3332"/>
    </row>
    <row r="3333" spans="1:38" ht="15.75" customHeight="1" outlineLevel="3" x14ac:dyDescent="0.2">
      <c r="A3333" s="10">
        <v>142</v>
      </c>
      <c r="B3333" s="10" t="s">
        <v>71</v>
      </c>
      <c r="C3333" s="10" t="s">
        <v>2979</v>
      </c>
      <c r="D3333" s="10" t="s">
        <v>506</v>
      </c>
      <c r="E3333" s="11" t="str">
        <f t="array" ref="E3333">_xlfn.XLOOKUP(D3333,Insumos!B:B,Insumos!C:$C)</f>
        <v>UN</v>
      </c>
      <c r="F3333" s="14">
        <v>1</v>
      </c>
      <c r="G3333" s="92">
        <f t="array" ref="G3333">IF(B3333="insumo",_xlfn.XLOOKUP($D3333,Insumos!$B$1:$B$996,Insumos!$D$1:$D$996),"")</f>
        <v>0.08</v>
      </c>
      <c r="H3333" s="92">
        <v>0.08</v>
      </c>
      <c r="I3333" s="13" t="e">
        <v>#REF!</v>
      </c>
      <c r="J3333" s="13" t="e">
        <v>#REF!</v>
      </c>
      <c r="K3333" s="13"/>
      <c r="L3333"/>
      <c r="M3333"/>
      <c r="N3333"/>
      <c r="O3333"/>
      <c r="P3333"/>
      <c r="Q3333"/>
      <c r="R3333"/>
      <c r="S3333"/>
      <c r="T3333"/>
      <c r="U3333"/>
      <c r="V3333"/>
      <c r="W3333"/>
      <c r="X3333"/>
      <c r="Y3333"/>
      <c r="Z3333"/>
      <c r="AA3333"/>
      <c r="AB3333"/>
      <c r="AC3333"/>
      <c r="AD3333"/>
      <c r="AE3333"/>
      <c r="AF3333"/>
      <c r="AG3333"/>
      <c r="AH3333"/>
      <c r="AI3333"/>
      <c r="AJ3333"/>
      <c r="AK3333"/>
      <c r="AL3333"/>
    </row>
    <row r="3334" spans="1:38" ht="15.75" customHeight="1" outlineLevel="3" x14ac:dyDescent="0.2">
      <c r="A3334" s="10">
        <v>36</v>
      </c>
      <c r="B3334" s="10" t="s">
        <v>71</v>
      </c>
      <c r="C3334" s="82" t="s">
        <v>2979</v>
      </c>
      <c r="D3334" s="82" t="s">
        <v>2856</v>
      </c>
      <c r="E3334" s="11" t="str">
        <f t="array" ref="E3334">_xlfn.XLOOKUP(D3334,Insumos!B:B,Insumos!C:$C)</f>
        <v>KG</v>
      </c>
      <c r="F3334" s="14">
        <v>0.01</v>
      </c>
      <c r="G3334" s="92">
        <f t="array" ref="G3334">IF(B3334="insumo",_xlfn.XLOOKUP($D3334,Insumos!$B$1:$B$996,Insumos!$D$1:$D$996),"")</f>
        <v>38</v>
      </c>
      <c r="H3334" s="92">
        <v>0.38</v>
      </c>
      <c r="I3334" s="13" t="e">
        <v>#REF!</v>
      </c>
      <c r="J3334" s="13" t="e">
        <v>#REF!</v>
      </c>
      <c r="K3334" s="13"/>
      <c r="L3334"/>
      <c r="M3334"/>
      <c r="N3334"/>
      <c r="O3334"/>
      <c r="P3334"/>
      <c r="Q3334"/>
      <c r="R3334"/>
      <c r="S3334"/>
      <c r="T3334"/>
      <c r="U3334"/>
      <c r="V3334"/>
      <c r="W3334"/>
      <c r="X3334"/>
      <c r="Y3334"/>
      <c r="Z3334"/>
      <c r="AA3334"/>
      <c r="AB3334"/>
      <c r="AC3334"/>
      <c r="AD3334"/>
      <c r="AE3334"/>
      <c r="AF3334"/>
      <c r="AG3334"/>
      <c r="AH3334"/>
      <c r="AI3334"/>
      <c r="AJ3334"/>
      <c r="AK3334"/>
      <c r="AL3334"/>
    </row>
    <row r="3335" spans="1:38" ht="15.75" customHeight="1" outlineLevel="2" x14ac:dyDescent="0.2">
      <c r="A3335" s="1067">
        <v>1</v>
      </c>
      <c r="B3335" s="1067" t="s">
        <v>68</v>
      </c>
      <c r="C3335" s="1067" t="s">
        <v>2980</v>
      </c>
      <c r="D3335" s="1067" t="s">
        <v>2980</v>
      </c>
      <c r="E3335" s="1068" t="s">
        <v>70</v>
      </c>
      <c r="F3335" s="1067"/>
      <c r="G3335" s="1069" t="str">
        <f t="array" ref="G3335">IF(B3335="insumo",_xlfn.XLOOKUP($D3335,Insumos!$B$1:$B$996,Insumos!$D$1:$D$996),"")</f>
        <v/>
      </c>
      <c r="H3335" s="1069">
        <v>141.82759999999999</v>
      </c>
      <c r="I3335" s="1070" t="e">
        <v>#REF!</v>
      </c>
      <c r="J3335" s="1070" t="e">
        <v>#REF!</v>
      </c>
      <c r="K3335" s="1070"/>
      <c r="L3335"/>
      <c r="M3335"/>
      <c r="N3335"/>
      <c r="O3335"/>
      <c r="P3335"/>
      <c r="Q3335"/>
      <c r="R3335"/>
      <c r="S3335"/>
      <c r="T3335"/>
      <c r="U3335"/>
      <c r="V3335"/>
      <c r="W3335"/>
      <c r="X3335"/>
      <c r="Y3335"/>
      <c r="Z3335"/>
      <c r="AA3335"/>
      <c r="AB3335"/>
      <c r="AC3335"/>
      <c r="AD3335"/>
      <c r="AE3335"/>
      <c r="AF3335"/>
      <c r="AG3335"/>
      <c r="AH3335"/>
      <c r="AI3335"/>
      <c r="AJ3335"/>
      <c r="AK3335"/>
      <c r="AL3335"/>
    </row>
    <row r="3336" spans="1:38" ht="15.75" customHeight="1" outlineLevel="3" x14ac:dyDescent="0.2">
      <c r="A3336" s="10">
        <v>3</v>
      </c>
      <c r="B3336" s="10" t="s">
        <v>71</v>
      </c>
      <c r="C3336" s="10" t="s">
        <v>2980</v>
      </c>
      <c r="D3336" s="10" t="s">
        <v>2847</v>
      </c>
      <c r="E3336" s="11" t="str">
        <f t="array" ref="E3336">_xlfn.XLOOKUP(D3336,Insumos!B:B,Insumos!C:$C)</f>
        <v>M2</v>
      </c>
      <c r="F3336" s="14">
        <v>1.1000000000000001</v>
      </c>
      <c r="G3336" s="92">
        <f t="array" ref="G3336">IF(B3336="insumo",_xlfn.XLOOKUP($D3336,Insumos!$B$1:$B$996,Insumos!$D$1:$D$996),"")</f>
        <v>120</v>
      </c>
      <c r="H3336" s="92">
        <v>132</v>
      </c>
      <c r="I3336" s="13" t="e">
        <v>#REF!</v>
      </c>
      <c r="J3336" s="13" t="e">
        <v>#REF!</v>
      </c>
      <c r="K3336" s="13"/>
      <c r="L3336"/>
      <c r="M3336"/>
      <c r="N3336"/>
      <c r="O3336"/>
      <c r="P3336"/>
      <c r="Q3336"/>
      <c r="R3336"/>
      <c r="S3336"/>
      <c r="T3336"/>
      <c r="U3336"/>
      <c r="V3336"/>
      <c r="W3336"/>
      <c r="X3336"/>
      <c r="Y3336"/>
      <c r="Z3336"/>
      <c r="AA3336"/>
      <c r="AB3336"/>
      <c r="AC3336"/>
      <c r="AD3336"/>
      <c r="AE3336"/>
      <c r="AF3336"/>
      <c r="AG3336"/>
      <c r="AH3336"/>
      <c r="AI3336"/>
      <c r="AJ3336"/>
      <c r="AK3336"/>
      <c r="AL3336"/>
    </row>
    <row r="3337" spans="1:38" ht="15.75" customHeight="1" outlineLevel="3" x14ac:dyDescent="0.2">
      <c r="A3337" s="10">
        <v>191</v>
      </c>
      <c r="B3337" s="10" t="s">
        <v>71</v>
      </c>
      <c r="C3337" s="10" t="s">
        <v>2980</v>
      </c>
      <c r="D3337" s="10" t="s">
        <v>481</v>
      </c>
      <c r="E3337" s="11" t="str">
        <f t="array" ref="E3337">_xlfn.XLOOKUP(D3337,Insumos!B:B,Insumos!C:$C)</f>
        <v>KG</v>
      </c>
      <c r="F3337" s="14">
        <v>8.8000000000000007</v>
      </c>
      <c r="G3337" s="92">
        <f t="array" ref="G3337">IF(B3337="insumo",_xlfn.XLOOKUP($D3337,Insumos!$B$1:$B$996,Insumos!$D$1:$D$996),"")</f>
        <v>1.0645</v>
      </c>
      <c r="H3337" s="92">
        <v>9.3675999999999995</v>
      </c>
      <c r="I3337" s="13" t="e">
        <v>#REF!</v>
      </c>
      <c r="J3337" s="13" t="e">
        <v>#REF!</v>
      </c>
      <c r="K3337" s="13"/>
      <c r="L3337"/>
      <c r="M3337"/>
      <c r="N3337"/>
      <c r="O3337"/>
      <c r="P3337"/>
      <c r="Q3337"/>
      <c r="R3337"/>
      <c r="S3337"/>
      <c r="T3337"/>
      <c r="U3337"/>
      <c r="V3337"/>
      <c r="W3337"/>
      <c r="X3337"/>
      <c r="Y3337"/>
      <c r="Z3337"/>
      <c r="AA3337"/>
      <c r="AB3337"/>
      <c r="AC3337"/>
      <c r="AD3337"/>
      <c r="AE3337"/>
      <c r="AF3337"/>
      <c r="AG3337"/>
      <c r="AH3337"/>
      <c r="AI3337"/>
      <c r="AJ3337"/>
      <c r="AK3337"/>
      <c r="AL3337"/>
    </row>
    <row r="3338" spans="1:38" ht="15.75" customHeight="1" outlineLevel="3" x14ac:dyDescent="0.2">
      <c r="A3338" s="10">
        <v>142</v>
      </c>
      <c r="B3338" s="10" t="s">
        <v>71</v>
      </c>
      <c r="C3338" s="10" t="s">
        <v>2980</v>
      </c>
      <c r="D3338" s="10" t="s">
        <v>506</v>
      </c>
      <c r="E3338" s="11" t="str">
        <f t="array" ref="E3338">_xlfn.XLOOKUP(D3338,Insumos!B:B,Insumos!C:$C)</f>
        <v>UN</v>
      </c>
      <c r="F3338" s="14">
        <v>1</v>
      </c>
      <c r="G3338" s="92">
        <f t="array" ref="G3338">IF(B3338="insumo",_xlfn.XLOOKUP($D3338,Insumos!$B$1:$B$996,Insumos!$D$1:$D$996),"")</f>
        <v>0.08</v>
      </c>
      <c r="H3338" s="92">
        <v>0.08</v>
      </c>
      <c r="I3338" s="13" t="e">
        <v>#REF!</v>
      </c>
      <c r="J3338" s="13" t="e">
        <v>#REF!</v>
      </c>
      <c r="K3338" s="13"/>
      <c r="L3338"/>
      <c r="M3338"/>
      <c r="N3338"/>
      <c r="O3338"/>
      <c r="P3338"/>
      <c r="Q3338"/>
      <c r="R3338"/>
      <c r="S3338"/>
      <c r="T3338"/>
      <c r="U3338"/>
      <c r="V3338"/>
      <c r="W3338"/>
      <c r="X3338"/>
      <c r="Y3338"/>
      <c r="Z3338"/>
      <c r="AA3338"/>
      <c r="AB3338"/>
      <c r="AC3338"/>
      <c r="AD3338"/>
      <c r="AE3338"/>
      <c r="AF3338"/>
      <c r="AG3338"/>
      <c r="AH3338"/>
      <c r="AI3338"/>
      <c r="AJ3338"/>
      <c r="AK3338"/>
      <c r="AL3338"/>
    </row>
    <row r="3339" spans="1:38" ht="15.75" customHeight="1" outlineLevel="3" x14ac:dyDescent="0.2">
      <c r="A3339" s="10">
        <v>36</v>
      </c>
      <c r="B3339" s="10" t="s">
        <v>71</v>
      </c>
      <c r="C3339" s="82" t="s">
        <v>2980</v>
      </c>
      <c r="D3339" s="82" t="s">
        <v>2856</v>
      </c>
      <c r="E3339" s="11" t="str">
        <f t="array" ref="E3339">_xlfn.XLOOKUP(D3339,Insumos!B:B,Insumos!C:$C)</f>
        <v>KG</v>
      </c>
      <c r="F3339" s="14">
        <v>0.01</v>
      </c>
      <c r="G3339" s="92">
        <f t="array" ref="G3339">IF(B3339="insumo",_xlfn.XLOOKUP($D3339,Insumos!$B$1:$B$996,Insumos!$D$1:$D$996),"")</f>
        <v>38</v>
      </c>
      <c r="H3339" s="92">
        <v>0.38</v>
      </c>
      <c r="I3339" s="13" t="e">
        <v>#REF!</v>
      </c>
      <c r="J3339" s="13" t="e">
        <v>#REF!</v>
      </c>
      <c r="K3339" s="13"/>
      <c r="L3339"/>
      <c r="M3339"/>
      <c r="N3339"/>
      <c r="O3339"/>
      <c r="P3339"/>
      <c r="Q3339"/>
      <c r="R3339"/>
      <c r="S3339"/>
      <c r="T3339"/>
      <c r="U3339"/>
      <c r="V3339"/>
      <c r="W3339"/>
      <c r="X3339"/>
      <c r="Y3339"/>
      <c r="Z3339"/>
      <c r="AA3339"/>
      <c r="AB3339"/>
      <c r="AC3339"/>
      <c r="AD3339"/>
      <c r="AE3339"/>
      <c r="AF3339"/>
      <c r="AG3339"/>
      <c r="AH3339"/>
      <c r="AI3339"/>
      <c r="AJ3339"/>
      <c r="AK3339"/>
      <c r="AL3339"/>
    </row>
    <row r="3340" spans="1:38" ht="15.75" customHeight="1" outlineLevel="2" x14ac:dyDescent="0.2">
      <c r="A3340" s="1067">
        <v>1</v>
      </c>
      <c r="B3340" s="1067" t="s">
        <v>68</v>
      </c>
      <c r="C3340" s="1067" t="s">
        <v>655</v>
      </c>
      <c r="D3340" s="1067" t="s">
        <v>655</v>
      </c>
      <c r="E3340" s="1068" t="s">
        <v>70</v>
      </c>
      <c r="F3340" s="1067"/>
      <c r="G3340" s="1069" t="str">
        <f t="array" ref="G3340">IF(B3340="insumo",_xlfn.XLOOKUP($D3340,Insumos!$B$1:$B$996,Insumos!$D$1:$D$996),"")</f>
        <v/>
      </c>
      <c r="H3340" s="1069">
        <v>108.56059999999999</v>
      </c>
      <c r="I3340" s="1070">
        <v>0</v>
      </c>
      <c r="J3340" s="1070">
        <v>0</v>
      </c>
      <c r="K3340" s="1070"/>
      <c r="L3340"/>
      <c r="M3340"/>
      <c r="N3340"/>
      <c r="O3340"/>
      <c r="P3340"/>
      <c r="Q3340"/>
      <c r="R3340"/>
      <c r="S3340"/>
      <c r="T3340"/>
      <c r="U3340"/>
      <c r="V3340"/>
      <c r="W3340"/>
      <c r="X3340"/>
      <c r="Y3340"/>
      <c r="Z3340"/>
      <c r="AA3340"/>
      <c r="AB3340"/>
      <c r="AC3340"/>
      <c r="AD3340"/>
      <c r="AE3340"/>
      <c r="AF3340"/>
      <c r="AG3340"/>
      <c r="AH3340"/>
      <c r="AI3340"/>
      <c r="AJ3340"/>
      <c r="AK3340"/>
      <c r="AL3340"/>
    </row>
    <row r="3341" spans="1:38" ht="15.75" customHeight="1" outlineLevel="3" x14ac:dyDescent="0.2">
      <c r="A3341" s="10">
        <v>2</v>
      </c>
      <c r="B3341" s="10" t="s">
        <v>71</v>
      </c>
      <c r="C3341" s="10" t="s">
        <v>655</v>
      </c>
      <c r="D3341" s="10" t="s">
        <v>654</v>
      </c>
      <c r="E3341" s="11" t="str">
        <f t="array" ref="E3341">_xlfn.XLOOKUP(D3341,Insumos!B:B,Insumos!C:$C)</f>
        <v>M2</v>
      </c>
      <c r="F3341" s="14">
        <v>1.1000000000000001</v>
      </c>
      <c r="G3341" s="92">
        <f t="array" ref="G3341">IF(B3341="insumo",_xlfn.XLOOKUP($D3341,Insumos!$B$1:$B$996,Insumos!$D$1:$D$996),"")</f>
        <v>89.9</v>
      </c>
      <c r="H3341" s="92">
        <v>98.89</v>
      </c>
      <c r="I3341" s="13">
        <v>0</v>
      </c>
      <c r="J3341" s="13">
        <v>0</v>
      </c>
      <c r="K3341" s="13"/>
      <c r="L3341"/>
      <c r="M3341"/>
      <c r="N3341"/>
      <c r="O3341"/>
      <c r="P3341"/>
      <c r="Q3341"/>
      <c r="R3341"/>
      <c r="S3341"/>
      <c r="T3341"/>
      <c r="U3341"/>
      <c r="V3341"/>
      <c r="W3341"/>
      <c r="X3341"/>
      <c r="Y3341"/>
      <c r="Z3341"/>
      <c r="AA3341"/>
      <c r="AB3341"/>
      <c r="AC3341"/>
      <c r="AD3341"/>
      <c r="AE3341"/>
      <c r="AF3341"/>
      <c r="AG3341"/>
      <c r="AH3341"/>
      <c r="AI3341"/>
      <c r="AJ3341"/>
      <c r="AK3341"/>
      <c r="AL3341"/>
    </row>
    <row r="3342" spans="1:38" ht="15.75" customHeight="1" outlineLevel="3" x14ac:dyDescent="0.2">
      <c r="A3342" s="10">
        <v>191</v>
      </c>
      <c r="B3342" s="10" t="s">
        <v>71</v>
      </c>
      <c r="C3342" s="10" t="s">
        <v>655</v>
      </c>
      <c r="D3342" s="10" t="s">
        <v>481</v>
      </c>
      <c r="E3342" s="11" t="str">
        <f t="array" ref="E3342">_xlfn.XLOOKUP(D3342,Insumos!B:B,Insumos!C:$C)</f>
        <v>KG</v>
      </c>
      <c r="F3342" s="14">
        <v>8.8000000000000007</v>
      </c>
      <c r="G3342" s="92">
        <f t="array" ref="G3342">IF(B3342="insumo",_xlfn.XLOOKUP($D3342,Insumos!$B$1:$B$996,Insumos!$D$1:$D$996),"")</f>
        <v>1.0645</v>
      </c>
      <c r="H3342" s="92">
        <v>9.3675999999999995</v>
      </c>
      <c r="I3342" s="13">
        <v>0</v>
      </c>
      <c r="J3342" s="13">
        <v>0</v>
      </c>
      <c r="K3342" s="13"/>
      <c r="L3342"/>
      <c r="M3342"/>
      <c r="N3342"/>
      <c r="O3342"/>
      <c r="P3342"/>
      <c r="Q3342"/>
      <c r="R3342"/>
      <c r="S3342"/>
      <c r="T3342"/>
      <c r="U3342"/>
      <c r="V3342"/>
      <c r="W3342"/>
      <c r="X3342"/>
      <c r="Y3342"/>
      <c r="Z3342"/>
      <c r="AA3342"/>
      <c r="AB3342"/>
      <c r="AC3342"/>
      <c r="AD3342"/>
      <c r="AE3342"/>
      <c r="AF3342"/>
      <c r="AG3342"/>
      <c r="AH3342"/>
      <c r="AI3342"/>
      <c r="AJ3342"/>
      <c r="AK3342"/>
      <c r="AL3342"/>
    </row>
    <row r="3343" spans="1:38" ht="15.75" customHeight="1" outlineLevel="3" x14ac:dyDescent="0.2">
      <c r="A3343" s="10">
        <v>142</v>
      </c>
      <c r="B3343" s="10" t="s">
        <v>71</v>
      </c>
      <c r="C3343" s="10" t="s">
        <v>655</v>
      </c>
      <c r="D3343" s="10" t="s">
        <v>506</v>
      </c>
      <c r="E3343" s="11" t="str">
        <f t="array" ref="E3343">_xlfn.XLOOKUP(D3343,Insumos!B:B,Insumos!C:$C)</f>
        <v>UN</v>
      </c>
      <c r="F3343" s="14">
        <v>1</v>
      </c>
      <c r="G3343" s="92">
        <f t="array" ref="G3343">IF(B3343="insumo",_xlfn.XLOOKUP($D3343,Insumos!$B$1:$B$996,Insumos!$D$1:$D$996),"")</f>
        <v>0.08</v>
      </c>
      <c r="H3343" s="92">
        <v>0.08</v>
      </c>
      <c r="I3343" s="13">
        <v>0</v>
      </c>
      <c r="J3343" s="13">
        <v>0</v>
      </c>
      <c r="K3343" s="13"/>
      <c r="L3343"/>
      <c r="M3343"/>
      <c r="N3343"/>
      <c r="O3343"/>
      <c r="P3343"/>
      <c r="Q3343"/>
      <c r="R3343"/>
      <c r="S3343"/>
      <c r="T3343"/>
      <c r="U3343"/>
      <c r="V3343"/>
      <c r="W3343"/>
      <c r="X3343"/>
      <c r="Y3343"/>
      <c r="Z3343"/>
      <c r="AA3343"/>
      <c r="AB3343"/>
      <c r="AC3343"/>
      <c r="AD3343"/>
      <c r="AE3343"/>
      <c r="AF3343"/>
      <c r="AG3343"/>
      <c r="AH3343"/>
      <c r="AI3343"/>
      <c r="AJ3343"/>
      <c r="AK3343"/>
      <c r="AL3343"/>
    </row>
    <row r="3344" spans="1:38" ht="15.75" customHeight="1" outlineLevel="3" x14ac:dyDescent="0.2">
      <c r="A3344" s="10">
        <v>101</v>
      </c>
      <c r="B3344" s="10" t="s">
        <v>71</v>
      </c>
      <c r="C3344" s="10" t="s">
        <v>655</v>
      </c>
      <c r="D3344" s="10" t="s">
        <v>507</v>
      </c>
      <c r="E3344" s="11" t="str">
        <f t="array" ref="E3344">_xlfn.XLOOKUP(D3344,Insumos!B:B,Insumos!C:$C)</f>
        <v>KG</v>
      </c>
      <c r="F3344" s="14">
        <v>0.02</v>
      </c>
      <c r="G3344" s="92">
        <f t="array" ref="G3344">IF(B3344="insumo",_xlfn.XLOOKUP($D3344,Insumos!$B$1:$B$996,Insumos!$D$1:$D$996),"")</f>
        <v>11.15</v>
      </c>
      <c r="H3344" s="92">
        <v>0.223</v>
      </c>
      <c r="I3344" s="13">
        <v>0</v>
      </c>
      <c r="J3344" s="13">
        <v>0</v>
      </c>
      <c r="K3344" s="13"/>
      <c r="L3344"/>
      <c r="M3344"/>
      <c r="N3344"/>
      <c r="O3344"/>
      <c r="P3344"/>
      <c r="Q3344"/>
      <c r="R3344"/>
      <c r="S3344"/>
      <c r="T3344"/>
      <c r="U3344"/>
      <c r="V3344"/>
      <c r="W3344"/>
      <c r="X3344"/>
      <c r="Y3344"/>
      <c r="Z3344"/>
      <c r="AA3344"/>
      <c r="AB3344"/>
      <c r="AC3344"/>
      <c r="AD3344"/>
      <c r="AE3344"/>
      <c r="AF3344"/>
      <c r="AG3344"/>
      <c r="AH3344"/>
      <c r="AI3344"/>
      <c r="AJ3344"/>
      <c r="AK3344"/>
      <c r="AL3344"/>
    </row>
    <row r="3345" spans="1:38" ht="15.75" customHeight="1" outlineLevel="2" x14ac:dyDescent="0.2">
      <c r="A3345" s="1067">
        <v>1</v>
      </c>
      <c r="B3345" s="1067" t="s">
        <v>68</v>
      </c>
      <c r="C3345" s="1067" t="s">
        <v>1685</v>
      </c>
      <c r="D3345" s="1067" t="s">
        <v>1685</v>
      </c>
      <c r="E3345" s="1068" t="s">
        <v>70</v>
      </c>
      <c r="F3345" s="1067"/>
      <c r="G3345" s="1069" t="str">
        <f t="array" ref="G3345">IF(B3345="insumo",_xlfn.XLOOKUP($D3345,Insumos!$B$1:$B$996,Insumos!$D$1:$D$996),"")</f>
        <v/>
      </c>
      <c r="H3345" s="1069">
        <v>57.805100000000003</v>
      </c>
      <c r="I3345" s="1070">
        <v>0</v>
      </c>
      <c r="J3345" s="1070">
        <v>0</v>
      </c>
      <c r="K3345" s="1070"/>
      <c r="L3345"/>
      <c r="M3345"/>
      <c r="N3345"/>
      <c r="O3345"/>
      <c r="P3345"/>
      <c r="Q3345"/>
      <c r="R3345"/>
      <c r="S3345"/>
      <c r="T3345"/>
      <c r="U3345"/>
      <c r="V3345"/>
      <c r="W3345"/>
      <c r="X3345"/>
      <c r="Y3345"/>
      <c r="Z3345"/>
      <c r="AA3345"/>
      <c r="AB3345"/>
      <c r="AC3345"/>
      <c r="AD3345"/>
      <c r="AE3345"/>
      <c r="AF3345"/>
      <c r="AG3345"/>
      <c r="AH3345"/>
      <c r="AI3345"/>
      <c r="AJ3345"/>
      <c r="AK3345"/>
      <c r="AL3345"/>
    </row>
    <row r="3346" spans="1:38" ht="15.75" customHeight="1" outlineLevel="3" x14ac:dyDescent="0.2">
      <c r="A3346" s="10">
        <v>3</v>
      </c>
      <c r="B3346" s="10" t="s">
        <v>71</v>
      </c>
      <c r="C3346" s="10" t="s">
        <v>1685</v>
      </c>
      <c r="D3346" s="10" t="s">
        <v>1431</v>
      </c>
      <c r="E3346" s="11" t="str">
        <f t="array" ref="E3346">_xlfn.XLOOKUP(D3346,Insumos!B:B,Insumos!C:$C)</f>
        <v>M2</v>
      </c>
      <c r="F3346" s="14">
        <v>1.1000000000000001</v>
      </c>
      <c r="G3346" s="92">
        <f t="array" ref="G3346">IF(B3346="insumo",_xlfn.XLOOKUP($D3346,Insumos!$B$1:$B$996,Insumos!$D$1:$D$996),"")</f>
        <v>43.86</v>
      </c>
      <c r="H3346" s="92">
        <v>48.246000000000002</v>
      </c>
      <c r="I3346" s="13">
        <v>0</v>
      </c>
      <c r="J3346" s="13">
        <v>0</v>
      </c>
      <c r="K3346" s="13"/>
      <c r="L3346"/>
      <c r="M3346"/>
      <c r="N3346"/>
      <c r="O3346"/>
      <c r="P3346"/>
      <c r="Q3346"/>
      <c r="R3346"/>
      <c r="S3346"/>
      <c r="T3346"/>
      <c r="U3346"/>
      <c r="V3346"/>
      <c r="W3346"/>
      <c r="X3346"/>
      <c r="Y3346"/>
      <c r="Z3346"/>
      <c r="AA3346"/>
      <c r="AB3346"/>
      <c r="AC3346"/>
      <c r="AD3346"/>
      <c r="AE3346"/>
      <c r="AF3346"/>
      <c r="AG3346"/>
      <c r="AH3346"/>
      <c r="AI3346"/>
      <c r="AJ3346"/>
      <c r="AK3346"/>
      <c r="AL3346"/>
    </row>
    <row r="3347" spans="1:38" ht="15.75" customHeight="1" outlineLevel="3" x14ac:dyDescent="0.2">
      <c r="A3347" s="10">
        <v>191</v>
      </c>
      <c r="B3347" s="10" t="s">
        <v>71</v>
      </c>
      <c r="C3347" s="10" t="s">
        <v>1685</v>
      </c>
      <c r="D3347" s="10" t="s">
        <v>481</v>
      </c>
      <c r="E3347" s="11" t="str">
        <f t="array" ref="E3347">_xlfn.XLOOKUP(D3347,Insumos!B:B,Insumos!C:$C)</f>
        <v>KG</v>
      </c>
      <c r="F3347" s="14">
        <v>8.8000000000000007</v>
      </c>
      <c r="G3347" s="92">
        <f t="array" ref="G3347">IF(B3347="insumo",_xlfn.XLOOKUP($D3347,Insumos!$B$1:$B$996,Insumos!$D$1:$D$996),"")</f>
        <v>1.0645</v>
      </c>
      <c r="H3347" s="92">
        <v>9.3675999999999995</v>
      </c>
      <c r="I3347" s="13">
        <v>0</v>
      </c>
      <c r="J3347" s="13">
        <v>0</v>
      </c>
      <c r="K3347" s="13"/>
      <c r="L3347"/>
      <c r="M3347"/>
      <c r="N3347"/>
      <c r="O3347"/>
      <c r="P3347"/>
      <c r="Q3347"/>
      <c r="R3347"/>
      <c r="S3347"/>
      <c r="T3347"/>
      <c r="U3347"/>
      <c r="V3347"/>
      <c r="W3347"/>
      <c r="X3347"/>
      <c r="Y3347"/>
      <c r="Z3347"/>
      <c r="AA3347"/>
      <c r="AB3347"/>
      <c r="AC3347"/>
      <c r="AD3347"/>
      <c r="AE3347"/>
      <c r="AF3347"/>
      <c r="AG3347"/>
      <c r="AH3347"/>
      <c r="AI3347"/>
      <c r="AJ3347"/>
      <c r="AK3347"/>
      <c r="AL3347"/>
    </row>
    <row r="3348" spans="1:38" ht="15.75" customHeight="1" outlineLevel="3" x14ac:dyDescent="0.2">
      <c r="A3348" s="10">
        <v>142</v>
      </c>
      <c r="B3348" s="10" t="s">
        <v>71</v>
      </c>
      <c r="C3348" s="10" t="s">
        <v>1685</v>
      </c>
      <c r="D3348" s="10" t="s">
        <v>506</v>
      </c>
      <c r="E3348" s="11" t="str">
        <f t="array" ref="E3348">_xlfn.XLOOKUP(D3348,Insumos!B:B,Insumos!C:$C)</f>
        <v>UN</v>
      </c>
      <c r="F3348" s="14">
        <v>1</v>
      </c>
      <c r="G3348" s="92">
        <f t="array" ref="G3348">IF(B3348="insumo",_xlfn.XLOOKUP($D3348,Insumos!$B$1:$B$996,Insumos!$D$1:$D$996),"")</f>
        <v>0.08</v>
      </c>
      <c r="H3348" s="92">
        <v>0.08</v>
      </c>
      <c r="I3348" s="13">
        <v>0</v>
      </c>
      <c r="J3348" s="13">
        <v>0</v>
      </c>
      <c r="K3348" s="13"/>
      <c r="L3348"/>
      <c r="M3348"/>
      <c r="N3348"/>
      <c r="O3348"/>
      <c r="P3348"/>
      <c r="Q3348"/>
      <c r="R3348"/>
      <c r="S3348"/>
      <c r="T3348"/>
      <c r="U3348"/>
      <c r="V3348"/>
      <c r="W3348"/>
      <c r="X3348"/>
      <c r="Y3348"/>
      <c r="Z3348"/>
      <c r="AA3348"/>
      <c r="AB3348"/>
      <c r="AC3348"/>
      <c r="AD3348"/>
      <c r="AE3348"/>
      <c r="AF3348"/>
      <c r="AG3348"/>
      <c r="AH3348"/>
      <c r="AI3348"/>
      <c r="AJ3348"/>
      <c r="AK3348"/>
      <c r="AL3348"/>
    </row>
    <row r="3349" spans="1:38" ht="15.75" customHeight="1" outlineLevel="3" x14ac:dyDescent="0.2">
      <c r="A3349" s="10">
        <v>101</v>
      </c>
      <c r="B3349" s="10" t="s">
        <v>71</v>
      </c>
      <c r="C3349" s="10" t="s">
        <v>1685</v>
      </c>
      <c r="D3349" s="10" t="s">
        <v>507</v>
      </c>
      <c r="E3349" s="11" t="str">
        <f t="array" ref="E3349">_xlfn.XLOOKUP(D3349,Insumos!B:B,Insumos!C:$C)</f>
        <v>KG</v>
      </c>
      <c r="F3349" s="14">
        <v>0.01</v>
      </c>
      <c r="G3349" s="92">
        <f t="array" ref="G3349">IF(B3349="insumo",_xlfn.XLOOKUP($D3349,Insumos!$B$1:$B$996,Insumos!$D$1:$D$996),"")</f>
        <v>11.15</v>
      </c>
      <c r="H3349" s="92">
        <v>0.1115</v>
      </c>
      <c r="I3349" s="13">
        <v>0</v>
      </c>
      <c r="J3349" s="13">
        <v>0</v>
      </c>
      <c r="K3349" s="13"/>
      <c r="L3349"/>
      <c r="M3349"/>
      <c r="N3349"/>
      <c r="O3349"/>
      <c r="P3349"/>
      <c r="Q3349"/>
      <c r="R3349"/>
      <c r="S3349"/>
      <c r="T3349"/>
      <c r="U3349"/>
      <c r="V3349"/>
      <c r="W3349"/>
      <c r="X3349"/>
      <c r="Y3349"/>
      <c r="Z3349"/>
      <c r="AA3349"/>
      <c r="AB3349"/>
      <c r="AC3349"/>
      <c r="AD3349"/>
      <c r="AE3349"/>
      <c r="AF3349"/>
      <c r="AG3349"/>
      <c r="AH3349"/>
      <c r="AI3349"/>
      <c r="AJ3349"/>
      <c r="AK3349"/>
      <c r="AL3349"/>
    </row>
    <row r="3350" spans="1:38" ht="15.75" customHeight="1" outlineLevel="2" x14ac:dyDescent="0.2">
      <c r="A3350" s="1067">
        <v>1</v>
      </c>
      <c r="B3350" s="1067" t="s">
        <v>68</v>
      </c>
      <c r="C3350" s="1067" t="s">
        <v>662</v>
      </c>
      <c r="D3350" s="1067" t="s">
        <v>662</v>
      </c>
      <c r="E3350" s="1068" t="s">
        <v>70</v>
      </c>
      <c r="F3350" s="1067"/>
      <c r="G3350" s="1069" t="str">
        <f t="array" ref="G3350">IF(B3350="insumo",_xlfn.XLOOKUP($D3350,Insumos!$B$1:$B$996,Insumos!$D$1:$D$996),"")</f>
        <v/>
      </c>
      <c r="H3350" s="1069">
        <v>108.56059999999999</v>
      </c>
      <c r="I3350" s="1070">
        <v>0</v>
      </c>
      <c r="J3350" s="1070">
        <v>0</v>
      </c>
      <c r="K3350" s="1070"/>
      <c r="L3350"/>
      <c r="M3350"/>
      <c r="N3350"/>
      <c r="O3350"/>
      <c r="P3350"/>
      <c r="Q3350"/>
      <c r="R3350"/>
      <c r="S3350"/>
      <c r="T3350"/>
      <c r="U3350"/>
      <c r="V3350"/>
      <c r="W3350"/>
      <c r="X3350"/>
      <c r="Y3350"/>
      <c r="Z3350"/>
      <c r="AA3350"/>
      <c r="AB3350"/>
      <c r="AC3350"/>
      <c r="AD3350"/>
      <c r="AE3350"/>
      <c r="AF3350"/>
      <c r="AG3350"/>
      <c r="AH3350"/>
      <c r="AI3350"/>
      <c r="AJ3350"/>
      <c r="AK3350"/>
      <c r="AL3350"/>
    </row>
    <row r="3351" spans="1:38" ht="15.75" customHeight="1" outlineLevel="3" x14ac:dyDescent="0.2">
      <c r="A3351" s="10">
        <v>2</v>
      </c>
      <c r="B3351" s="10" t="s">
        <v>71</v>
      </c>
      <c r="C3351" s="10" t="s">
        <v>662</v>
      </c>
      <c r="D3351" s="10" t="s">
        <v>654</v>
      </c>
      <c r="E3351" s="11" t="str">
        <f t="array" ref="E3351">_xlfn.XLOOKUP(D3351,Insumos!B:B,Insumos!C:$C)</f>
        <v>M2</v>
      </c>
      <c r="F3351" s="14">
        <v>1.1000000000000001</v>
      </c>
      <c r="G3351" s="92">
        <f t="array" ref="G3351">IF(B3351="insumo",_xlfn.XLOOKUP($D3351,Insumos!$B$1:$B$996,Insumos!$D$1:$D$996),"")</f>
        <v>89.9</v>
      </c>
      <c r="H3351" s="92">
        <v>98.89</v>
      </c>
      <c r="I3351" s="13">
        <v>0</v>
      </c>
      <c r="J3351" s="13">
        <v>0</v>
      </c>
      <c r="K3351" s="13"/>
      <c r="L3351"/>
      <c r="M3351"/>
      <c r="N3351"/>
      <c r="O3351"/>
      <c r="P3351"/>
      <c r="Q3351"/>
      <c r="R3351"/>
      <c r="S3351"/>
      <c r="T3351"/>
      <c r="U3351"/>
      <c r="V3351"/>
      <c r="W3351"/>
      <c r="X3351"/>
      <c r="Y3351"/>
      <c r="Z3351"/>
      <c r="AA3351"/>
      <c r="AB3351"/>
      <c r="AC3351"/>
      <c r="AD3351"/>
      <c r="AE3351"/>
      <c r="AF3351"/>
      <c r="AG3351"/>
      <c r="AH3351"/>
      <c r="AI3351"/>
      <c r="AJ3351"/>
      <c r="AK3351"/>
      <c r="AL3351"/>
    </row>
    <row r="3352" spans="1:38" ht="15.75" customHeight="1" outlineLevel="3" x14ac:dyDescent="0.2">
      <c r="A3352" s="10">
        <v>191</v>
      </c>
      <c r="B3352" s="10" t="s">
        <v>71</v>
      </c>
      <c r="C3352" s="10" t="s">
        <v>662</v>
      </c>
      <c r="D3352" s="10" t="s">
        <v>481</v>
      </c>
      <c r="E3352" s="11" t="str">
        <f t="array" ref="E3352">_xlfn.XLOOKUP(D3352,Insumos!B:B,Insumos!C:$C)</f>
        <v>KG</v>
      </c>
      <c r="F3352" s="14">
        <v>8.8000000000000007</v>
      </c>
      <c r="G3352" s="92">
        <f t="array" ref="G3352">IF(B3352="insumo",_xlfn.XLOOKUP($D3352,Insumos!$B$1:$B$996,Insumos!$D$1:$D$996),"")</f>
        <v>1.0645</v>
      </c>
      <c r="H3352" s="92">
        <v>9.3675999999999995</v>
      </c>
      <c r="I3352" s="13">
        <v>0</v>
      </c>
      <c r="J3352" s="13">
        <v>0</v>
      </c>
      <c r="K3352" s="13"/>
      <c r="L3352"/>
      <c r="M3352"/>
      <c r="N3352"/>
      <c r="O3352"/>
      <c r="P3352"/>
      <c r="Q3352"/>
      <c r="R3352"/>
      <c r="S3352"/>
      <c r="T3352"/>
      <c r="U3352"/>
      <c r="V3352"/>
      <c r="W3352"/>
      <c r="X3352"/>
      <c r="Y3352"/>
      <c r="Z3352"/>
      <c r="AA3352"/>
      <c r="AB3352"/>
      <c r="AC3352"/>
      <c r="AD3352"/>
      <c r="AE3352"/>
      <c r="AF3352"/>
      <c r="AG3352"/>
      <c r="AH3352"/>
      <c r="AI3352"/>
      <c r="AJ3352"/>
      <c r="AK3352"/>
      <c r="AL3352"/>
    </row>
    <row r="3353" spans="1:38" ht="15.75" customHeight="1" outlineLevel="3" x14ac:dyDescent="0.2">
      <c r="A3353" s="10">
        <v>142</v>
      </c>
      <c r="B3353" s="10" t="s">
        <v>71</v>
      </c>
      <c r="C3353" s="10" t="s">
        <v>662</v>
      </c>
      <c r="D3353" s="10" t="s">
        <v>506</v>
      </c>
      <c r="E3353" s="11" t="str">
        <f t="array" ref="E3353">_xlfn.XLOOKUP(D3353,Insumos!B:B,Insumos!C:$C)</f>
        <v>UN</v>
      </c>
      <c r="F3353" s="14">
        <v>1</v>
      </c>
      <c r="G3353" s="92">
        <f t="array" ref="G3353">IF(B3353="insumo",_xlfn.XLOOKUP($D3353,Insumos!$B$1:$B$996,Insumos!$D$1:$D$996),"")</f>
        <v>0.08</v>
      </c>
      <c r="H3353" s="92">
        <v>0.08</v>
      </c>
      <c r="I3353" s="13">
        <v>0</v>
      </c>
      <c r="J3353" s="13">
        <v>0</v>
      </c>
      <c r="K3353" s="13"/>
      <c r="L3353"/>
      <c r="M3353"/>
      <c r="N3353"/>
      <c r="O3353"/>
      <c r="P3353"/>
      <c r="Q3353"/>
      <c r="R3353"/>
      <c r="S3353"/>
      <c r="T3353"/>
      <c r="U3353"/>
      <c r="V3353"/>
      <c r="W3353"/>
      <c r="X3353"/>
      <c r="Y3353"/>
      <c r="Z3353"/>
      <c r="AA3353"/>
      <c r="AB3353"/>
      <c r="AC3353"/>
      <c r="AD3353"/>
      <c r="AE3353"/>
      <c r="AF3353"/>
      <c r="AG3353"/>
      <c r="AH3353"/>
      <c r="AI3353"/>
      <c r="AJ3353"/>
      <c r="AK3353"/>
      <c r="AL3353"/>
    </row>
    <row r="3354" spans="1:38" ht="15.75" customHeight="1" outlineLevel="3" x14ac:dyDescent="0.2">
      <c r="A3354" s="10">
        <v>101</v>
      </c>
      <c r="B3354" s="10" t="s">
        <v>71</v>
      </c>
      <c r="C3354" s="10" t="s">
        <v>662</v>
      </c>
      <c r="D3354" s="10" t="s">
        <v>507</v>
      </c>
      <c r="E3354" s="11" t="str">
        <f t="array" ref="E3354">_xlfn.XLOOKUP(D3354,Insumos!B:B,Insumos!C:$C)</f>
        <v>KG</v>
      </c>
      <c r="F3354" s="14">
        <v>0.02</v>
      </c>
      <c r="G3354" s="92">
        <f t="array" ref="G3354">IF(B3354="insumo",_xlfn.XLOOKUP($D3354,Insumos!$B$1:$B$996,Insumos!$D$1:$D$996),"")</f>
        <v>11.15</v>
      </c>
      <c r="H3354" s="92">
        <v>0.223</v>
      </c>
      <c r="I3354" s="13">
        <v>0</v>
      </c>
      <c r="J3354" s="13">
        <v>0</v>
      </c>
      <c r="K3354" s="13"/>
      <c r="L3354"/>
      <c r="M3354"/>
      <c r="N3354"/>
      <c r="O3354"/>
      <c r="P3354"/>
      <c r="Q3354"/>
      <c r="R3354"/>
      <c r="S3354"/>
      <c r="T3354"/>
      <c r="U3354"/>
      <c r="V3354"/>
      <c r="W3354"/>
      <c r="X3354"/>
      <c r="Y3354"/>
      <c r="Z3354"/>
      <c r="AA3354"/>
      <c r="AB3354"/>
      <c r="AC3354"/>
      <c r="AD3354"/>
      <c r="AE3354"/>
      <c r="AF3354"/>
      <c r="AG3354"/>
      <c r="AH3354"/>
      <c r="AI3354"/>
      <c r="AJ3354"/>
      <c r="AK3354"/>
      <c r="AL3354"/>
    </row>
    <row r="3355" spans="1:38" ht="15.75" customHeight="1" outlineLevel="2" x14ac:dyDescent="0.2">
      <c r="A3355" s="1067">
        <v>1</v>
      </c>
      <c r="B3355" s="1067" t="s">
        <v>68</v>
      </c>
      <c r="C3355" s="1067" t="s">
        <v>666</v>
      </c>
      <c r="D3355" s="1067" t="s">
        <v>666</v>
      </c>
      <c r="E3355" s="1068" t="s">
        <v>70</v>
      </c>
      <c r="F3355" s="1067"/>
      <c r="G3355" s="1069" t="str">
        <f t="array" ref="G3355">IF(B3355="insumo",_xlfn.XLOOKUP($D3355,Insumos!$B$1:$B$996,Insumos!$D$1:$D$996),"")</f>
        <v/>
      </c>
      <c r="H3355" s="1069">
        <v>93.050600000000003</v>
      </c>
      <c r="I3355" s="1070">
        <v>0</v>
      </c>
      <c r="J3355" s="1070">
        <v>0</v>
      </c>
      <c r="K3355" s="1070"/>
      <c r="L3355"/>
      <c r="M3355"/>
      <c r="N3355"/>
      <c r="O3355"/>
      <c r="P3355"/>
      <c r="Q3355"/>
      <c r="R3355"/>
      <c r="S3355"/>
      <c r="T3355"/>
      <c r="U3355"/>
      <c r="V3355"/>
      <c r="W3355"/>
      <c r="X3355"/>
      <c r="Y3355"/>
      <c r="Z3355"/>
      <c r="AA3355"/>
      <c r="AB3355"/>
      <c r="AC3355"/>
      <c r="AD3355"/>
      <c r="AE3355"/>
      <c r="AF3355"/>
      <c r="AG3355"/>
      <c r="AH3355"/>
      <c r="AI3355"/>
      <c r="AJ3355"/>
      <c r="AK3355"/>
      <c r="AL3355"/>
    </row>
    <row r="3356" spans="1:38" ht="15.75" customHeight="1" outlineLevel="3" x14ac:dyDescent="0.2">
      <c r="A3356" s="10">
        <v>2</v>
      </c>
      <c r="B3356" s="10" t="s">
        <v>71</v>
      </c>
      <c r="C3356" s="10" t="s">
        <v>666</v>
      </c>
      <c r="D3356" s="10" t="s">
        <v>667</v>
      </c>
      <c r="E3356" s="11" t="str">
        <f t="array" ref="E3356">_xlfn.XLOOKUP(D3356,Insumos!B:B,Insumos!C:$C)</f>
        <v>M2</v>
      </c>
      <c r="F3356" s="14">
        <v>1.1000000000000001</v>
      </c>
      <c r="G3356" s="92">
        <f t="array" ref="G3356">IF(B3356="insumo",_xlfn.XLOOKUP($D3356,Insumos!$B$1:$B$996,Insumos!$D$1:$D$996),"")</f>
        <v>75.8</v>
      </c>
      <c r="H3356" s="92">
        <v>83.38</v>
      </c>
      <c r="I3356" s="13">
        <v>0</v>
      </c>
      <c r="J3356" s="13">
        <v>0</v>
      </c>
      <c r="K3356" s="13"/>
      <c r="L3356"/>
      <c r="M3356"/>
      <c r="N3356"/>
      <c r="O3356"/>
      <c r="P3356"/>
      <c r="Q3356"/>
      <c r="R3356"/>
      <c r="S3356"/>
      <c r="T3356"/>
      <c r="U3356"/>
      <c r="V3356"/>
      <c r="W3356"/>
      <c r="X3356"/>
      <c r="Y3356"/>
      <c r="Z3356"/>
      <c r="AA3356"/>
      <c r="AB3356"/>
      <c r="AC3356"/>
      <c r="AD3356"/>
      <c r="AE3356"/>
      <c r="AF3356"/>
      <c r="AG3356"/>
      <c r="AH3356"/>
      <c r="AI3356"/>
      <c r="AJ3356"/>
      <c r="AK3356"/>
      <c r="AL3356"/>
    </row>
    <row r="3357" spans="1:38" ht="15.75" customHeight="1" outlineLevel="3" x14ac:dyDescent="0.2">
      <c r="A3357" s="10">
        <v>191</v>
      </c>
      <c r="B3357" s="10" t="s">
        <v>71</v>
      </c>
      <c r="C3357" s="10" t="s">
        <v>666</v>
      </c>
      <c r="D3357" s="10" t="s">
        <v>481</v>
      </c>
      <c r="E3357" s="11" t="str">
        <f t="array" ref="E3357">_xlfn.XLOOKUP(D3357,Insumos!B:B,Insumos!C:$C)</f>
        <v>KG</v>
      </c>
      <c r="F3357" s="14">
        <v>8.8000000000000007</v>
      </c>
      <c r="G3357" s="92">
        <f t="array" ref="G3357">IF(B3357="insumo",_xlfn.XLOOKUP($D3357,Insumos!$B$1:$B$996,Insumos!$D$1:$D$996),"")</f>
        <v>1.0645</v>
      </c>
      <c r="H3357" s="92">
        <v>9.3675999999999995</v>
      </c>
      <c r="I3357" s="13">
        <v>0</v>
      </c>
      <c r="J3357" s="13">
        <v>0</v>
      </c>
      <c r="K3357" s="13"/>
      <c r="L3357"/>
      <c r="M3357"/>
      <c r="N3357"/>
      <c r="O3357"/>
      <c r="P3357"/>
      <c r="Q3357"/>
      <c r="R3357"/>
      <c r="S3357"/>
      <c r="T3357"/>
      <c r="U3357"/>
      <c r="V3357"/>
      <c r="W3357"/>
      <c r="X3357"/>
      <c r="Y3357"/>
      <c r="Z3357"/>
      <c r="AA3357"/>
      <c r="AB3357"/>
      <c r="AC3357"/>
      <c r="AD3357"/>
      <c r="AE3357"/>
      <c r="AF3357"/>
      <c r="AG3357"/>
      <c r="AH3357"/>
      <c r="AI3357"/>
      <c r="AJ3357"/>
      <c r="AK3357"/>
      <c r="AL3357"/>
    </row>
    <row r="3358" spans="1:38" ht="15.75" customHeight="1" outlineLevel="3" x14ac:dyDescent="0.2">
      <c r="A3358" s="10">
        <v>142</v>
      </c>
      <c r="B3358" s="10" t="s">
        <v>71</v>
      </c>
      <c r="C3358" s="10" t="s">
        <v>666</v>
      </c>
      <c r="D3358" s="10" t="s">
        <v>506</v>
      </c>
      <c r="E3358" s="11" t="str">
        <f t="array" ref="E3358">_xlfn.XLOOKUP(D3358,Insumos!B:B,Insumos!C:$C)</f>
        <v>UN</v>
      </c>
      <c r="F3358" s="14">
        <v>1</v>
      </c>
      <c r="G3358" s="92">
        <f t="array" ref="G3358">IF(B3358="insumo",_xlfn.XLOOKUP($D3358,Insumos!$B$1:$B$996,Insumos!$D$1:$D$996),"")</f>
        <v>0.08</v>
      </c>
      <c r="H3358" s="92">
        <v>0.08</v>
      </c>
      <c r="I3358" s="13">
        <v>0</v>
      </c>
      <c r="J3358" s="13">
        <v>0</v>
      </c>
      <c r="K3358" s="13"/>
      <c r="L3358"/>
      <c r="M3358"/>
      <c r="N3358"/>
      <c r="O3358"/>
      <c r="P3358"/>
      <c r="Q3358"/>
      <c r="R3358"/>
      <c r="S3358"/>
      <c r="T3358"/>
      <c r="U3358"/>
      <c r="V3358"/>
      <c r="W3358"/>
      <c r="X3358"/>
      <c r="Y3358"/>
      <c r="Z3358"/>
      <c r="AA3358"/>
      <c r="AB3358"/>
      <c r="AC3358"/>
      <c r="AD3358"/>
      <c r="AE3358"/>
      <c r="AF3358"/>
      <c r="AG3358"/>
      <c r="AH3358"/>
      <c r="AI3358"/>
      <c r="AJ3358"/>
      <c r="AK3358"/>
      <c r="AL3358"/>
    </row>
    <row r="3359" spans="1:38" ht="15.75" customHeight="1" outlineLevel="3" x14ac:dyDescent="0.2">
      <c r="A3359" s="10">
        <v>101</v>
      </c>
      <c r="B3359" s="10" t="s">
        <v>71</v>
      </c>
      <c r="C3359" s="10" t="s">
        <v>666</v>
      </c>
      <c r="D3359" s="10" t="s">
        <v>507</v>
      </c>
      <c r="E3359" s="11" t="str">
        <f t="array" ref="E3359">_xlfn.XLOOKUP(D3359,Insumos!B:B,Insumos!C:$C)</f>
        <v>KG</v>
      </c>
      <c r="F3359" s="14">
        <v>0.02</v>
      </c>
      <c r="G3359" s="92">
        <f t="array" ref="G3359">IF(B3359="insumo",_xlfn.XLOOKUP($D3359,Insumos!$B$1:$B$996,Insumos!$D$1:$D$996),"")</f>
        <v>11.15</v>
      </c>
      <c r="H3359" s="92">
        <v>0.223</v>
      </c>
      <c r="I3359" s="13">
        <v>0</v>
      </c>
      <c r="J3359" s="13">
        <v>0</v>
      </c>
      <c r="K3359" s="13"/>
      <c r="L3359"/>
      <c r="M3359"/>
      <c r="N3359"/>
      <c r="O3359"/>
      <c r="P3359"/>
      <c r="Q3359"/>
      <c r="R3359"/>
      <c r="S3359"/>
      <c r="T3359"/>
      <c r="U3359"/>
      <c r="V3359"/>
      <c r="W3359"/>
      <c r="X3359"/>
      <c r="Y3359"/>
      <c r="Z3359"/>
      <c r="AA3359"/>
      <c r="AB3359"/>
      <c r="AC3359"/>
      <c r="AD3359"/>
      <c r="AE3359"/>
      <c r="AF3359"/>
      <c r="AG3359"/>
      <c r="AH3359"/>
      <c r="AI3359"/>
      <c r="AJ3359"/>
      <c r="AK3359"/>
      <c r="AL3359"/>
    </row>
    <row r="3360" spans="1:38" ht="15.75" customHeight="1" outlineLevel="2" x14ac:dyDescent="0.2">
      <c r="A3360" s="1067">
        <v>1</v>
      </c>
      <c r="B3360" s="1067" t="s">
        <v>68</v>
      </c>
      <c r="C3360" s="1067" t="s">
        <v>674</v>
      </c>
      <c r="D3360" s="1067" t="s">
        <v>674</v>
      </c>
      <c r="E3360" s="1068" t="s">
        <v>70</v>
      </c>
      <c r="F3360" s="1067"/>
      <c r="G3360" s="1069" t="str">
        <f t="array" ref="G3360">IF(B3360="insumo",_xlfn.XLOOKUP($D3360,Insumos!$B$1:$B$996,Insumos!$D$1:$D$996),"")</f>
        <v/>
      </c>
      <c r="H3360" s="1069">
        <v>133.17500000000001</v>
      </c>
      <c r="I3360" s="1070">
        <v>0</v>
      </c>
      <c r="J3360" s="1070">
        <v>0</v>
      </c>
      <c r="K3360" s="1070"/>
      <c r="L3360"/>
      <c r="M3360"/>
      <c r="N3360"/>
      <c r="O3360"/>
      <c r="P3360"/>
      <c r="Q3360"/>
      <c r="R3360"/>
      <c r="S3360"/>
      <c r="T3360"/>
      <c r="U3360"/>
      <c r="V3360"/>
      <c r="W3360"/>
      <c r="X3360"/>
      <c r="Y3360"/>
      <c r="Z3360"/>
      <c r="AA3360"/>
      <c r="AB3360"/>
      <c r="AC3360"/>
      <c r="AD3360"/>
      <c r="AE3360"/>
      <c r="AF3360"/>
      <c r="AG3360"/>
      <c r="AH3360"/>
      <c r="AI3360"/>
      <c r="AJ3360"/>
      <c r="AK3360"/>
      <c r="AL3360"/>
    </row>
    <row r="3361" spans="1:38" ht="15.75" customHeight="1" outlineLevel="3" x14ac:dyDescent="0.2">
      <c r="A3361" s="10">
        <v>1</v>
      </c>
      <c r="B3361" s="10" t="s">
        <v>71</v>
      </c>
      <c r="C3361" s="10" t="s">
        <v>674</v>
      </c>
      <c r="D3361" s="10" t="s">
        <v>675</v>
      </c>
      <c r="E3361" s="11" t="str">
        <f t="array" ref="E3361">_xlfn.XLOOKUP(D3361,Insumos!B:B,Insumos!C:$C)</f>
        <v>M2</v>
      </c>
      <c r="F3361" s="14">
        <v>1.1000000000000001</v>
      </c>
      <c r="G3361" s="92">
        <f t="array" ref="G3361">IF(B3361="insumo",_xlfn.XLOOKUP($D3361,Insumos!$B$1:$B$996,Insumos!$D$1:$D$996),"")</f>
        <v>113.22</v>
      </c>
      <c r="H3361" s="92">
        <v>124.542</v>
      </c>
      <c r="I3361" s="13">
        <v>0</v>
      </c>
      <c r="J3361" s="13">
        <v>0</v>
      </c>
      <c r="K3361" s="13"/>
      <c r="L3361"/>
      <c r="M3361"/>
      <c r="N3361"/>
      <c r="O3361"/>
      <c r="P3361"/>
      <c r="Q3361"/>
      <c r="R3361"/>
      <c r="S3361"/>
      <c r="T3361"/>
      <c r="U3361"/>
      <c r="V3361"/>
      <c r="W3361"/>
      <c r="X3361"/>
      <c r="Y3361"/>
      <c r="Z3361"/>
      <c r="AA3361"/>
      <c r="AB3361"/>
      <c r="AC3361"/>
      <c r="AD3361"/>
      <c r="AE3361"/>
      <c r="AF3361"/>
      <c r="AG3361"/>
      <c r="AH3361"/>
      <c r="AI3361"/>
      <c r="AJ3361"/>
      <c r="AK3361"/>
      <c r="AL3361"/>
    </row>
    <row r="3362" spans="1:38" ht="15.75" customHeight="1" outlineLevel="3" x14ac:dyDescent="0.2">
      <c r="A3362" s="10">
        <v>16</v>
      </c>
      <c r="B3362" s="10" t="s">
        <v>71</v>
      </c>
      <c r="C3362" s="10" t="s">
        <v>674</v>
      </c>
      <c r="D3362" s="10" t="s">
        <v>658</v>
      </c>
      <c r="E3362" s="11" t="str">
        <f t="array" ref="E3362">_xlfn.XLOOKUP(D3362,Insumos!B:B,Insumos!C:$C)</f>
        <v>KG</v>
      </c>
      <c r="F3362" s="14">
        <v>8.8000000000000007</v>
      </c>
      <c r="G3362" s="92">
        <f t="array" ref="G3362">IF(B3362="insumo",_xlfn.XLOOKUP($D3362,Insumos!$B$1:$B$996,Insumos!$D$1:$D$996),"")</f>
        <v>0.95</v>
      </c>
      <c r="H3362" s="92">
        <v>8.36</v>
      </c>
      <c r="I3362" s="13">
        <v>0</v>
      </c>
      <c r="J3362" s="13">
        <v>0</v>
      </c>
      <c r="K3362" s="13"/>
      <c r="L3362"/>
      <c r="M3362"/>
      <c r="N3362"/>
      <c r="O3362"/>
      <c r="P3362"/>
      <c r="Q3362"/>
      <c r="R3362"/>
      <c r="S3362"/>
      <c r="T3362"/>
      <c r="U3362"/>
      <c r="V3362"/>
      <c r="W3362"/>
      <c r="X3362"/>
      <c r="Y3362"/>
      <c r="Z3362"/>
      <c r="AA3362"/>
      <c r="AB3362"/>
      <c r="AC3362"/>
      <c r="AD3362"/>
      <c r="AE3362"/>
      <c r="AF3362"/>
      <c r="AG3362"/>
      <c r="AH3362"/>
      <c r="AI3362"/>
      <c r="AJ3362"/>
      <c r="AK3362"/>
      <c r="AL3362"/>
    </row>
    <row r="3363" spans="1:38" ht="15.75" customHeight="1" outlineLevel="3" x14ac:dyDescent="0.2">
      <c r="A3363" s="10">
        <v>17</v>
      </c>
      <c r="B3363" s="10" t="s">
        <v>71</v>
      </c>
      <c r="C3363" s="10" t="s">
        <v>674</v>
      </c>
      <c r="D3363" s="10" t="s">
        <v>521</v>
      </c>
      <c r="E3363" s="11" t="str">
        <f t="array" ref="E3363">_xlfn.XLOOKUP(D3363,Insumos!B:B,Insumos!C:$C)</f>
        <v>UN</v>
      </c>
      <c r="F3363" s="14">
        <v>1</v>
      </c>
      <c r="G3363" s="92">
        <f t="array" ref="G3363">IF(B3363="insumo",_xlfn.XLOOKUP($D3363,Insumos!$B$1:$B$996,Insumos!$D$1:$D$996),"")</f>
        <v>0.05</v>
      </c>
      <c r="H3363" s="92">
        <v>0.05</v>
      </c>
      <c r="I3363" s="13">
        <v>0</v>
      </c>
      <c r="J3363" s="13">
        <v>0</v>
      </c>
      <c r="K3363" s="13"/>
      <c r="L3363"/>
      <c r="M3363"/>
      <c r="N3363"/>
      <c r="O3363"/>
      <c r="P3363"/>
      <c r="Q3363"/>
      <c r="R3363"/>
      <c r="S3363"/>
      <c r="T3363"/>
      <c r="U3363"/>
      <c r="V3363"/>
      <c r="W3363"/>
      <c r="X3363"/>
      <c r="Y3363"/>
      <c r="Z3363"/>
      <c r="AA3363"/>
      <c r="AB3363"/>
      <c r="AC3363"/>
      <c r="AD3363"/>
      <c r="AE3363"/>
      <c r="AF3363"/>
      <c r="AG3363"/>
      <c r="AH3363"/>
      <c r="AI3363"/>
      <c r="AJ3363"/>
      <c r="AK3363"/>
      <c r="AL3363"/>
    </row>
    <row r="3364" spans="1:38" ht="15.75" customHeight="1" outlineLevel="3" x14ac:dyDescent="0.2">
      <c r="A3364" s="10">
        <v>101</v>
      </c>
      <c r="B3364" s="10" t="s">
        <v>71</v>
      </c>
      <c r="C3364" s="10" t="s">
        <v>674</v>
      </c>
      <c r="D3364" s="10" t="s">
        <v>507</v>
      </c>
      <c r="E3364" s="11" t="str">
        <f t="array" ref="E3364">_xlfn.XLOOKUP(D3364,Insumos!B:B,Insumos!C:$C)</f>
        <v>KG</v>
      </c>
      <c r="F3364" s="14">
        <v>0.02</v>
      </c>
      <c r="G3364" s="92">
        <f t="array" ref="G3364">IF(B3364="insumo",_xlfn.XLOOKUP($D3364,Insumos!$B$1:$B$996,Insumos!$D$1:$D$996),"")</f>
        <v>11.15</v>
      </c>
      <c r="H3364" s="92">
        <v>0.223</v>
      </c>
      <c r="I3364" s="13">
        <v>0</v>
      </c>
      <c r="J3364" s="13">
        <v>0</v>
      </c>
      <c r="K3364" s="13"/>
      <c r="L3364"/>
      <c r="M3364"/>
      <c r="N3364"/>
      <c r="O3364"/>
      <c r="P3364"/>
      <c r="Q3364"/>
      <c r="R3364"/>
      <c r="S3364"/>
      <c r="T3364"/>
      <c r="U3364"/>
      <c r="V3364"/>
      <c r="W3364"/>
      <c r="X3364"/>
      <c r="Y3364"/>
      <c r="Z3364"/>
      <c r="AA3364"/>
      <c r="AB3364"/>
      <c r="AC3364"/>
      <c r="AD3364"/>
      <c r="AE3364"/>
      <c r="AF3364"/>
      <c r="AG3364"/>
      <c r="AH3364"/>
      <c r="AI3364"/>
      <c r="AJ3364"/>
      <c r="AK3364"/>
      <c r="AL3364"/>
    </row>
    <row r="3365" spans="1:38" ht="15.75" customHeight="1" outlineLevel="2" x14ac:dyDescent="0.2">
      <c r="A3365" s="1067">
        <v>1</v>
      </c>
      <c r="B3365" s="1067" t="s">
        <v>68</v>
      </c>
      <c r="C3365" s="1067" t="s">
        <v>678</v>
      </c>
      <c r="D3365" s="1067" t="s">
        <v>678</v>
      </c>
      <c r="E3365" s="1068" t="s">
        <v>70</v>
      </c>
      <c r="F3365" s="1067"/>
      <c r="G3365" s="1069" t="str">
        <f t="array" ref="G3365">IF(B3365="insumo",_xlfn.XLOOKUP($D3365,Insumos!$B$1:$B$996,Insumos!$D$1:$D$996),"")</f>
        <v/>
      </c>
      <c r="H3365" s="1069">
        <v>127.32299999999999</v>
      </c>
      <c r="I3365" s="1070">
        <v>0</v>
      </c>
      <c r="J3365" s="1070">
        <v>0</v>
      </c>
      <c r="K3365" s="1070"/>
      <c r="L3365"/>
      <c r="M3365"/>
      <c r="N3365"/>
      <c r="O3365"/>
      <c r="P3365"/>
      <c r="Q3365"/>
      <c r="R3365"/>
      <c r="S3365"/>
      <c r="T3365"/>
      <c r="U3365"/>
      <c r="V3365"/>
      <c r="W3365"/>
      <c r="X3365"/>
      <c r="Y3365"/>
      <c r="Z3365"/>
      <c r="AA3365"/>
      <c r="AB3365"/>
      <c r="AC3365"/>
      <c r="AD3365"/>
      <c r="AE3365"/>
      <c r="AF3365"/>
      <c r="AG3365"/>
      <c r="AH3365"/>
      <c r="AI3365"/>
      <c r="AJ3365"/>
      <c r="AK3365"/>
      <c r="AL3365"/>
    </row>
    <row r="3366" spans="1:38" ht="15.75" customHeight="1" outlineLevel="3" x14ac:dyDescent="0.2">
      <c r="A3366" s="10">
        <v>2</v>
      </c>
      <c r="B3366" s="10" t="s">
        <v>71</v>
      </c>
      <c r="C3366" s="10" t="s">
        <v>678</v>
      </c>
      <c r="D3366" s="10" t="s">
        <v>679</v>
      </c>
      <c r="E3366" s="11" t="str">
        <f t="array" ref="E3366">_xlfn.XLOOKUP(D3366,Insumos!B:B,Insumos!C:$C)</f>
        <v>M2</v>
      </c>
      <c r="F3366" s="14">
        <v>1.1000000000000001</v>
      </c>
      <c r="G3366" s="92">
        <f t="array" ref="G3366">IF(B3366="insumo",_xlfn.XLOOKUP($D3366,Insumos!$B$1:$B$996,Insumos!$D$1:$D$996),"")</f>
        <v>107.9</v>
      </c>
      <c r="H3366" s="92">
        <v>118.69</v>
      </c>
      <c r="I3366" s="13">
        <v>0</v>
      </c>
      <c r="J3366" s="13">
        <v>0</v>
      </c>
      <c r="K3366" s="13"/>
      <c r="L3366"/>
      <c r="M3366"/>
      <c r="N3366"/>
      <c r="O3366"/>
      <c r="P3366"/>
      <c r="Q3366"/>
      <c r="R3366"/>
      <c r="S3366"/>
      <c r="T3366"/>
      <c r="U3366"/>
      <c r="V3366"/>
      <c r="W3366"/>
      <c r="X3366"/>
      <c r="Y3366"/>
      <c r="Z3366"/>
      <c r="AA3366"/>
      <c r="AB3366"/>
      <c r="AC3366"/>
      <c r="AD3366"/>
      <c r="AE3366"/>
      <c r="AF3366"/>
      <c r="AG3366"/>
      <c r="AH3366"/>
      <c r="AI3366"/>
      <c r="AJ3366"/>
      <c r="AK3366"/>
      <c r="AL3366"/>
    </row>
    <row r="3367" spans="1:38" ht="15.75" customHeight="1" outlineLevel="3" x14ac:dyDescent="0.2">
      <c r="A3367" s="10">
        <v>16</v>
      </c>
      <c r="B3367" s="10" t="s">
        <v>71</v>
      </c>
      <c r="C3367" s="10" t="s">
        <v>678</v>
      </c>
      <c r="D3367" s="10" t="s">
        <v>658</v>
      </c>
      <c r="E3367" s="11" t="str">
        <f t="array" ref="E3367">_xlfn.XLOOKUP(D3367,Insumos!B:B,Insumos!C:$C)</f>
        <v>KG</v>
      </c>
      <c r="F3367" s="14">
        <v>8.8000000000000007</v>
      </c>
      <c r="G3367" s="92">
        <f t="array" ref="G3367">IF(B3367="insumo",_xlfn.XLOOKUP($D3367,Insumos!$B$1:$B$996,Insumos!$D$1:$D$996),"")</f>
        <v>0.95</v>
      </c>
      <c r="H3367" s="92">
        <v>8.36</v>
      </c>
      <c r="I3367" s="13">
        <v>0</v>
      </c>
      <c r="J3367" s="13">
        <v>0</v>
      </c>
      <c r="K3367" s="13"/>
      <c r="L3367"/>
      <c r="M3367"/>
      <c r="N3367"/>
      <c r="O3367"/>
      <c r="P3367"/>
      <c r="Q3367"/>
      <c r="R3367"/>
      <c r="S3367"/>
      <c r="T3367"/>
      <c r="U3367"/>
      <c r="V3367"/>
      <c r="W3367"/>
      <c r="X3367"/>
      <c r="Y3367"/>
      <c r="Z3367"/>
      <c r="AA3367"/>
      <c r="AB3367"/>
      <c r="AC3367"/>
      <c r="AD3367"/>
      <c r="AE3367"/>
      <c r="AF3367"/>
      <c r="AG3367"/>
      <c r="AH3367"/>
      <c r="AI3367"/>
      <c r="AJ3367"/>
      <c r="AK3367"/>
      <c r="AL3367"/>
    </row>
    <row r="3368" spans="1:38" ht="15.75" customHeight="1" outlineLevel="3" x14ac:dyDescent="0.2">
      <c r="A3368" s="10">
        <v>17</v>
      </c>
      <c r="B3368" s="10" t="s">
        <v>71</v>
      </c>
      <c r="C3368" s="10" t="s">
        <v>678</v>
      </c>
      <c r="D3368" s="10" t="s">
        <v>521</v>
      </c>
      <c r="E3368" s="11" t="str">
        <f t="array" ref="E3368">_xlfn.XLOOKUP(D3368,Insumos!B:B,Insumos!C:$C)</f>
        <v>UN</v>
      </c>
      <c r="F3368" s="14">
        <v>1</v>
      </c>
      <c r="G3368" s="92">
        <f t="array" ref="G3368">IF(B3368="insumo",_xlfn.XLOOKUP($D3368,Insumos!$B$1:$B$996,Insumos!$D$1:$D$996),"")</f>
        <v>0.05</v>
      </c>
      <c r="H3368" s="92">
        <v>0.05</v>
      </c>
      <c r="I3368" s="13">
        <v>0</v>
      </c>
      <c r="J3368" s="13">
        <v>0</v>
      </c>
      <c r="K3368" s="13"/>
      <c r="L3368"/>
      <c r="M3368"/>
      <c r="N3368"/>
      <c r="O3368"/>
      <c r="P3368"/>
      <c r="Q3368"/>
      <c r="R3368"/>
      <c r="S3368"/>
      <c r="T3368"/>
      <c r="U3368"/>
      <c r="V3368"/>
      <c r="W3368"/>
      <c r="X3368"/>
      <c r="Y3368"/>
      <c r="Z3368"/>
      <c r="AA3368"/>
      <c r="AB3368"/>
      <c r="AC3368"/>
      <c r="AD3368"/>
      <c r="AE3368"/>
      <c r="AF3368"/>
      <c r="AG3368"/>
      <c r="AH3368"/>
      <c r="AI3368"/>
      <c r="AJ3368"/>
      <c r="AK3368"/>
      <c r="AL3368"/>
    </row>
    <row r="3369" spans="1:38" ht="15.75" customHeight="1" outlineLevel="3" x14ac:dyDescent="0.2">
      <c r="A3369" s="10">
        <v>101</v>
      </c>
      <c r="B3369" s="10" t="s">
        <v>71</v>
      </c>
      <c r="C3369" s="10" t="s">
        <v>678</v>
      </c>
      <c r="D3369" s="10" t="s">
        <v>507</v>
      </c>
      <c r="E3369" s="11" t="str">
        <f t="array" ref="E3369">_xlfn.XLOOKUP(D3369,Insumos!B:B,Insumos!C:$C)</f>
        <v>KG</v>
      </c>
      <c r="F3369" s="14">
        <v>0.02</v>
      </c>
      <c r="G3369" s="92">
        <f t="array" ref="G3369">IF(B3369="insumo",_xlfn.XLOOKUP($D3369,Insumos!$B$1:$B$996,Insumos!$D$1:$D$996),"")</f>
        <v>11.15</v>
      </c>
      <c r="H3369" s="92">
        <v>0.223</v>
      </c>
      <c r="I3369" s="13">
        <v>0</v>
      </c>
      <c r="J3369" s="13">
        <v>0</v>
      </c>
      <c r="K3369" s="13"/>
      <c r="L3369"/>
      <c r="M3369"/>
      <c r="N3369"/>
      <c r="O3369"/>
      <c r="P3369"/>
      <c r="Q3369"/>
      <c r="R3369"/>
      <c r="S3369"/>
      <c r="T3369"/>
      <c r="U3369"/>
      <c r="V3369"/>
      <c r="W3369"/>
      <c r="X3369"/>
      <c r="Y3369"/>
      <c r="Z3369"/>
      <c r="AA3369"/>
      <c r="AB3369"/>
      <c r="AC3369"/>
      <c r="AD3369"/>
      <c r="AE3369"/>
      <c r="AF3369"/>
      <c r="AG3369"/>
      <c r="AH3369"/>
      <c r="AI3369"/>
      <c r="AJ3369"/>
      <c r="AK3369"/>
      <c r="AL3369"/>
    </row>
    <row r="3370" spans="1:38" ht="15.75" customHeight="1" outlineLevel="2" x14ac:dyDescent="0.2">
      <c r="A3370" s="1067">
        <v>1</v>
      </c>
      <c r="B3370" s="1067" t="s">
        <v>68</v>
      </c>
      <c r="C3370" s="1067" t="s">
        <v>680</v>
      </c>
      <c r="D3370" s="1067" t="s">
        <v>680</v>
      </c>
      <c r="E3370" s="1068" t="s">
        <v>70</v>
      </c>
      <c r="F3370" s="1067"/>
      <c r="G3370" s="1069" t="str">
        <f t="array" ref="G3370">IF(B3370="insumo",_xlfn.XLOOKUP($D3370,Insumos!$B$1:$B$996,Insumos!$D$1:$D$996),"")</f>
        <v/>
      </c>
      <c r="H3370" s="1069">
        <v>127.32299999999999</v>
      </c>
      <c r="I3370" s="1070">
        <v>0</v>
      </c>
      <c r="J3370" s="1070">
        <v>0</v>
      </c>
      <c r="K3370" s="1070"/>
      <c r="L3370"/>
      <c r="M3370"/>
      <c r="N3370"/>
      <c r="O3370"/>
      <c r="P3370"/>
      <c r="Q3370"/>
      <c r="R3370"/>
      <c r="S3370"/>
      <c r="T3370"/>
      <c r="U3370"/>
      <c r="V3370"/>
      <c r="W3370"/>
      <c r="X3370"/>
      <c r="Y3370"/>
      <c r="Z3370"/>
      <c r="AA3370"/>
      <c r="AB3370"/>
      <c r="AC3370"/>
      <c r="AD3370"/>
      <c r="AE3370"/>
      <c r="AF3370"/>
      <c r="AG3370"/>
      <c r="AH3370"/>
      <c r="AI3370"/>
      <c r="AJ3370"/>
      <c r="AK3370"/>
      <c r="AL3370"/>
    </row>
    <row r="3371" spans="1:38" ht="15.75" customHeight="1" outlineLevel="3" x14ac:dyDescent="0.2">
      <c r="A3371" s="10">
        <v>2</v>
      </c>
      <c r="B3371" s="10" t="s">
        <v>71</v>
      </c>
      <c r="C3371" s="10" t="s">
        <v>680</v>
      </c>
      <c r="D3371" s="10" t="s">
        <v>679</v>
      </c>
      <c r="E3371" s="11" t="str">
        <f t="array" ref="E3371">_xlfn.XLOOKUP(D3371,Insumos!B:B,Insumos!C:$C)</f>
        <v>M2</v>
      </c>
      <c r="F3371" s="14">
        <v>1.1000000000000001</v>
      </c>
      <c r="G3371" s="92">
        <f t="array" ref="G3371">IF(B3371="insumo",_xlfn.XLOOKUP($D3371,Insumos!$B$1:$B$996,Insumos!$D$1:$D$996),"")</f>
        <v>107.9</v>
      </c>
      <c r="H3371" s="92">
        <v>118.69</v>
      </c>
      <c r="I3371" s="13">
        <v>0</v>
      </c>
      <c r="J3371" s="13">
        <v>0</v>
      </c>
      <c r="K3371" s="13"/>
      <c r="L3371"/>
      <c r="M3371"/>
      <c r="N3371"/>
      <c r="O3371"/>
      <c r="P3371"/>
      <c r="Q3371"/>
      <c r="R3371"/>
      <c r="S3371"/>
      <c r="T3371"/>
      <c r="U3371"/>
      <c r="V3371"/>
      <c r="W3371"/>
      <c r="X3371"/>
      <c r="Y3371"/>
      <c r="Z3371"/>
      <c r="AA3371"/>
      <c r="AB3371"/>
      <c r="AC3371"/>
      <c r="AD3371"/>
      <c r="AE3371"/>
      <c r="AF3371"/>
      <c r="AG3371"/>
      <c r="AH3371"/>
      <c r="AI3371"/>
      <c r="AJ3371"/>
      <c r="AK3371"/>
      <c r="AL3371"/>
    </row>
    <row r="3372" spans="1:38" ht="15.75" customHeight="1" outlineLevel="3" x14ac:dyDescent="0.2">
      <c r="A3372" s="10">
        <v>16</v>
      </c>
      <c r="B3372" s="10" t="s">
        <v>71</v>
      </c>
      <c r="C3372" s="10" t="s">
        <v>680</v>
      </c>
      <c r="D3372" s="10" t="s">
        <v>658</v>
      </c>
      <c r="E3372" s="11" t="str">
        <f t="array" ref="E3372">_xlfn.XLOOKUP(D3372,Insumos!B:B,Insumos!C:$C)</f>
        <v>KG</v>
      </c>
      <c r="F3372" s="14">
        <v>8.8000000000000007</v>
      </c>
      <c r="G3372" s="92">
        <f t="array" ref="G3372">IF(B3372="insumo",_xlfn.XLOOKUP($D3372,Insumos!$B$1:$B$996,Insumos!$D$1:$D$996),"")</f>
        <v>0.95</v>
      </c>
      <c r="H3372" s="92">
        <v>8.36</v>
      </c>
      <c r="I3372" s="13">
        <v>0</v>
      </c>
      <c r="J3372" s="13">
        <v>0</v>
      </c>
      <c r="K3372" s="13"/>
      <c r="L3372"/>
      <c r="M3372"/>
      <c r="N3372"/>
      <c r="O3372"/>
      <c r="P3372"/>
      <c r="Q3372"/>
      <c r="R3372"/>
      <c r="S3372"/>
      <c r="T3372"/>
      <c r="U3372"/>
      <c r="V3372"/>
      <c r="W3372"/>
      <c r="X3372"/>
      <c r="Y3372"/>
      <c r="Z3372"/>
      <c r="AA3372"/>
      <c r="AB3372"/>
      <c r="AC3372"/>
      <c r="AD3372"/>
      <c r="AE3372"/>
      <c r="AF3372"/>
      <c r="AG3372"/>
      <c r="AH3372"/>
      <c r="AI3372"/>
      <c r="AJ3372"/>
      <c r="AK3372"/>
      <c r="AL3372"/>
    </row>
    <row r="3373" spans="1:38" ht="15.75" customHeight="1" outlineLevel="3" x14ac:dyDescent="0.2">
      <c r="A3373" s="10">
        <v>17</v>
      </c>
      <c r="B3373" s="10" t="s">
        <v>71</v>
      </c>
      <c r="C3373" s="10" t="s">
        <v>680</v>
      </c>
      <c r="D3373" s="10" t="s">
        <v>521</v>
      </c>
      <c r="E3373" s="11" t="str">
        <f t="array" ref="E3373">_xlfn.XLOOKUP(D3373,Insumos!B:B,Insumos!C:$C)</f>
        <v>UN</v>
      </c>
      <c r="F3373" s="14">
        <v>1</v>
      </c>
      <c r="G3373" s="92">
        <f t="array" ref="G3373">IF(B3373="insumo",_xlfn.XLOOKUP($D3373,Insumos!$B$1:$B$996,Insumos!$D$1:$D$996),"")</f>
        <v>0.05</v>
      </c>
      <c r="H3373" s="92">
        <v>0.05</v>
      </c>
      <c r="I3373" s="13">
        <v>0</v>
      </c>
      <c r="J3373" s="13">
        <v>0</v>
      </c>
      <c r="K3373" s="13"/>
      <c r="L3373"/>
      <c r="M3373"/>
      <c r="N3373"/>
      <c r="O3373"/>
      <c r="P3373"/>
      <c r="Q3373"/>
      <c r="R3373"/>
      <c r="S3373"/>
      <c r="T3373"/>
      <c r="U3373"/>
      <c r="V3373"/>
      <c r="W3373"/>
      <c r="X3373"/>
      <c r="Y3373"/>
      <c r="Z3373"/>
      <c r="AA3373"/>
      <c r="AB3373"/>
      <c r="AC3373"/>
      <c r="AD3373"/>
      <c r="AE3373"/>
      <c r="AF3373"/>
      <c r="AG3373"/>
      <c r="AH3373"/>
      <c r="AI3373"/>
      <c r="AJ3373"/>
      <c r="AK3373"/>
      <c r="AL3373"/>
    </row>
    <row r="3374" spans="1:38" ht="15.75" customHeight="1" outlineLevel="3" x14ac:dyDescent="0.2">
      <c r="A3374" s="10">
        <v>101</v>
      </c>
      <c r="B3374" s="10" t="s">
        <v>71</v>
      </c>
      <c r="C3374" s="10" t="s">
        <v>680</v>
      </c>
      <c r="D3374" s="10" t="s">
        <v>507</v>
      </c>
      <c r="E3374" s="11" t="str">
        <f t="array" ref="E3374">_xlfn.XLOOKUP(D3374,Insumos!B:B,Insumos!C:$C)</f>
        <v>KG</v>
      </c>
      <c r="F3374" s="14">
        <v>0.02</v>
      </c>
      <c r="G3374" s="92">
        <f t="array" ref="G3374">IF(B3374="insumo",_xlfn.XLOOKUP($D3374,Insumos!$B$1:$B$996,Insumos!$D$1:$D$996),"")</f>
        <v>11.15</v>
      </c>
      <c r="H3374" s="92">
        <v>0.223</v>
      </c>
      <c r="I3374" s="13">
        <v>0</v>
      </c>
      <c r="J3374" s="13">
        <v>0</v>
      </c>
      <c r="K3374" s="13"/>
      <c r="L3374"/>
      <c r="M3374"/>
      <c r="N3374"/>
      <c r="O3374"/>
      <c r="P3374"/>
      <c r="Q3374"/>
      <c r="R3374"/>
      <c r="S3374"/>
      <c r="T3374"/>
      <c r="U3374"/>
      <c r="V3374"/>
      <c r="W3374"/>
      <c r="X3374"/>
      <c r="Y3374"/>
      <c r="Z3374"/>
      <c r="AA3374"/>
      <c r="AB3374"/>
      <c r="AC3374"/>
      <c r="AD3374"/>
      <c r="AE3374"/>
      <c r="AF3374"/>
      <c r="AG3374"/>
      <c r="AH3374"/>
      <c r="AI3374"/>
      <c r="AJ3374"/>
      <c r="AK3374"/>
      <c r="AL3374"/>
    </row>
    <row r="3375" spans="1:38" ht="15.75" customHeight="1" outlineLevel="2" x14ac:dyDescent="0.2">
      <c r="A3375" s="1067">
        <v>1</v>
      </c>
      <c r="B3375" s="1067" t="s">
        <v>68</v>
      </c>
      <c r="C3375" s="1067" t="s">
        <v>1484</v>
      </c>
      <c r="D3375" s="1067" t="s">
        <v>1484</v>
      </c>
      <c r="E3375" s="1068" t="s">
        <v>70</v>
      </c>
      <c r="F3375" s="1067"/>
      <c r="G3375" s="1069" t="str">
        <f t="array" ref="G3375">IF(B3375="insumo",_xlfn.XLOOKUP($D3375,Insumos!$B$1:$B$996,Insumos!$D$1:$D$996),"")</f>
        <v/>
      </c>
      <c r="H3375" s="1069">
        <v>57.805100000000003</v>
      </c>
      <c r="I3375" s="1070">
        <v>0</v>
      </c>
      <c r="J3375" s="1070">
        <v>0</v>
      </c>
      <c r="K3375" s="1070"/>
      <c r="L3375"/>
      <c r="M3375"/>
      <c r="N3375"/>
      <c r="O3375"/>
      <c r="P3375"/>
      <c r="Q3375"/>
      <c r="R3375"/>
      <c r="S3375"/>
      <c r="T3375"/>
      <c r="U3375"/>
      <c r="V3375"/>
      <c r="W3375"/>
      <c r="X3375"/>
      <c r="Y3375"/>
      <c r="Z3375"/>
      <c r="AA3375"/>
      <c r="AB3375"/>
      <c r="AC3375"/>
      <c r="AD3375"/>
      <c r="AE3375"/>
      <c r="AF3375"/>
      <c r="AG3375"/>
      <c r="AH3375"/>
      <c r="AI3375"/>
      <c r="AJ3375"/>
      <c r="AK3375"/>
      <c r="AL3375"/>
    </row>
    <row r="3376" spans="1:38" ht="15.75" customHeight="1" outlineLevel="3" x14ac:dyDescent="0.2">
      <c r="A3376" s="10">
        <v>3</v>
      </c>
      <c r="B3376" s="10" t="s">
        <v>71</v>
      </c>
      <c r="C3376" s="10" t="s">
        <v>1484</v>
      </c>
      <c r="D3376" s="10" t="s">
        <v>1431</v>
      </c>
      <c r="E3376" s="11" t="str">
        <f t="array" ref="E3376">_xlfn.XLOOKUP(D3376,Insumos!B:B,Insumos!C:$C)</f>
        <v>M2</v>
      </c>
      <c r="F3376" s="14">
        <v>1.1000000000000001</v>
      </c>
      <c r="G3376" s="92">
        <f t="array" ref="G3376">IF(B3376="insumo",_xlfn.XLOOKUP($D3376,Insumos!$B$1:$B$996,Insumos!$D$1:$D$996),"")</f>
        <v>43.86</v>
      </c>
      <c r="H3376" s="92">
        <v>48.246000000000002</v>
      </c>
      <c r="I3376" s="13">
        <v>0</v>
      </c>
      <c r="J3376" s="13">
        <v>0</v>
      </c>
      <c r="K3376" s="13"/>
      <c r="L3376"/>
      <c r="M3376"/>
      <c r="N3376"/>
      <c r="O3376"/>
      <c r="P3376"/>
      <c r="Q3376"/>
      <c r="R3376"/>
      <c r="S3376"/>
      <c r="T3376"/>
      <c r="U3376"/>
      <c r="V3376"/>
      <c r="W3376"/>
      <c r="X3376"/>
      <c r="Y3376"/>
      <c r="Z3376"/>
      <c r="AA3376"/>
      <c r="AB3376"/>
      <c r="AC3376"/>
      <c r="AD3376"/>
      <c r="AE3376"/>
      <c r="AF3376"/>
      <c r="AG3376"/>
      <c r="AH3376"/>
      <c r="AI3376"/>
      <c r="AJ3376"/>
      <c r="AK3376"/>
      <c r="AL3376"/>
    </row>
    <row r="3377" spans="1:38" ht="15.75" customHeight="1" outlineLevel="3" x14ac:dyDescent="0.2">
      <c r="A3377" s="10">
        <v>191</v>
      </c>
      <c r="B3377" s="10" t="s">
        <v>71</v>
      </c>
      <c r="C3377" s="10" t="s">
        <v>1484</v>
      </c>
      <c r="D3377" s="10" t="s">
        <v>481</v>
      </c>
      <c r="E3377" s="11" t="str">
        <f t="array" ref="E3377">_xlfn.XLOOKUP(D3377,Insumos!B:B,Insumos!C:$C)</f>
        <v>KG</v>
      </c>
      <c r="F3377" s="14">
        <v>8.8000000000000007</v>
      </c>
      <c r="G3377" s="92">
        <f t="array" ref="G3377">IF(B3377="insumo",_xlfn.XLOOKUP($D3377,Insumos!$B$1:$B$996,Insumos!$D$1:$D$996),"")</f>
        <v>1.0645</v>
      </c>
      <c r="H3377" s="92">
        <v>9.3675999999999995</v>
      </c>
      <c r="I3377" s="13">
        <v>0</v>
      </c>
      <c r="J3377" s="13">
        <v>0</v>
      </c>
      <c r="K3377" s="13"/>
      <c r="L3377"/>
      <c r="M3377"/>
      <c r="N3377"/>
      <c r="O3377"/>
      <c r="P3377"/>
      <c r="Q3377"/>
      <c r="R3377"/>
      <c r="S3377"/>
      <c r="T3377"/>
      <c r="U3377"/>
      <c r="V3377"/>
      <c r="W3377"/>
      <c r="X3377"/>
      <c r="Y3377"/>
      <c r="Z3377"/>
      <c r="AA3377"/>
      <c r="AB3377"/>
      <c r="AC3377"/>
      <c r="AD3377"/>
      <c r="AE3377"/>
      <c r="AF3377"/>
      <c r="AG3377"/>
      <c r="AH3377"/>
      <c r="AI3377"/>
      <c r="AJ3377"/>
      <c r="AK3377"/>
      <c r="AL3377"/>
    </row>
    <row r="3378" spans="1:38" ht="15.75" customHeight="1" outlineLevel="3" x14ac:dyDescent="0.2">
      <c r="A3378" s="10">
        <v>142</v>
      </c>
      <c r="B3378" s="10" t="s">
        <v>71</v>
      </c>
      <c r="C3378" s="10" t="s">
        <v>1484</v>
      </c>
      <c r="D3378" s="10" t="s">
        <v>506</v>
      </c>
      <c r="E3378" s="11" t="str">
        <f t="array" ref="E3378">_xlfn.XLOOKUP(D3378,Insumos!B:B,Insumos!C:$C)</f>
        <v>UN</v>
      </c>
      <c r="F3378" s="14">
        <v>1</v>
      </c>
      <c r="G3378" s="92">
        <f t="array" ref="G3378">IF(B3378="insumo",_xlfn.XLOOKUP($D3378,Insumos!$B$1:$B$996,Insumos!$D$1:$D$996),"")</f>
        <v>0.08</v>
      </c>
      <c r="H3378" s="92">
        <v>0.08</v>
      </c>
      <c r="I3378" s="13">
        <v>0</v>
      </c>
      <c r="J3378" s="13">
        <v>0</v>
      </c>
      <c r="K3378" s="13"/>
      <c r="L3378"/>
      <c r="M3378"/>
      <c r="N3378"/>
      <c r="O3378"/>
      <c r="P3378"/>
      <c r="Q3378"/>
      <c r="R3378"/>
      <c r="S3378"/>
      <c r="T3378"/>
      <c r="U3378"/>
      <c r="V3378"/>
      <c r="W3378"/>
      <c r="X3378"/>
      <c r="Y3378"/>
      <c r="Z3378"/>
      <c r="AA3378"/>
      <c r="AB3378"/>
      <c r="AC3378"/>
      <c r="AD3378"/>
      <c r="AE3378"/>
      <c r="AF3378"/>
      <c r="AG3378"/>
      <c r="AH3378"/>
      <c r="AI3378"/>
      <c r="AJ3378"/>
      <c r="AK3378"/>
      <c r="AL3378"/>
    </row>
    <row r="3379" spans="1:38" ht="15.75" customHeight="1" outlineLevel="3" x14ac:dyDescent="0.2">
      <c r="A3379" s="10">
        <v>101</v>
      </c>
      <c r="B3379" s="10" t="s">
        <v>71</v>
      </c>
      <c r="C3379" s="10" t="s">
        <v>1484</v>
      </c>
      <c r="D3379" s="10" t="s">
        <v>507</v>
      </c>
      <c r="E3379" s="11" t="str">
        <f t="array" ref="E3379">_xlfn.XLOOKUP(D3379,Insumos!B:B,Insumos!C:$C)</f>
        <v>KG</v>
      </c>
      <c r="F3379" s="14">
        <v>0.01</v>
      </c>
      <c r="G3379" s="92">
        <f t="array" ref="G3379">IF(B3379="insumo",_xlfn.XLOOKUP($D3379,Insumos!$B$1:$B$996,Insumos!$D$1:$D$996),"")</f>
        <v>11.15</v>
      </c>
      <c r="H3379" s="92">
        <v>0.1115</v>
      </c>
      <c r="I3379" s="13">
        <v>0</v>
      </c>
      <c r="J3379" s="13">
        <v>0</v>
      </c>
      <c r="K3379" s="13"/>
      <c r="L3379"/>
      <c r="M3379"/>
      <c r="N3379"/>
      <c r="O3379"/>
      <c r="P3379"/>
      <c r="Q3379"/>
      <c r="R3379"/>
      <c r="S3379"/>
      <c r="T3379"/>
      <c r="U3379"/>
      <c r="V3379"/>
      <c r="W3379"/>
      <c r="X3379"/>
      <c r="Y3379"/>
      <c r="Z3379"/>
      <c r="AA3379"/>
      <c r="AB3379"/>
      <c r="AC3379"/>
      <c r="AD3379"/>
      <c r="AE3379"/>
      <c r="AF3379"/>
      <c r="AG3379"/>
      <c r="AH3379"/>
      <c r="AI3379"/>
      <c r="AJ3379"/>
      <c r="AK3379"/>
      <c r="AL3379"/>
    </row>
    <row r="3380" spans="1:38" ht="15.75" customHeight="1" outlineLevel="2" x14ac:dyDescent="0.2">
      <c r="A3380" s="1067">
        <v>1</v>
      </c>
      <c r="B3380" s="1067" t="s">
        <v>68</v>
      </c>
      <c r="C3380" s="1067" t="s">
        <v>681</v>
      </c>
      <c r="D3380" s="1067" t="s">
        <v>681</v>
      </c>
      <c r="E3380" s="1068" t="s">
        <v>70</v>
      </c>
      <c r="F3380" s="1067"/>
      <c r="G3380" s="1069" t="str">
        <f t="array" ref="G3380">IF(B3380="insumo",_xlfn.XLOOKUP($D3380,Insumos!$B$1:$B$996,Insumos!$D$1:$D$996),"")</f>
        <v/>
      </c>
      <c r="H3380" s="1069">
        <v>93.489099999999993</v>
      </c>
      <c r="I3380" s="1070">
        <v>0</v>
      </c>
      <c r="J3380" s="1070">
        <v>0</v>
      </c>
      <c r="K3380" s="1070"/>
      <c r="L3380"/>
      <c r="M3380"/>
      <c r="N3380"/>
      <c r="O3380"/>
      <c r="P3380"/>
      <c r="Q3380"/>
      <c r="R3380"/>
      <c r="S3380"/>
      <c r="T3380"/>
      <c r="U3380"/>
      <c r="V3380"/>
      <c r="W3380"/>
      <c r="X3380"/>
      <c r="Y3380"/>
      <c r="Z3380"/>
      <c r="AA3380"/>
      <c r="AB3380"/>
      <c r="AC3380"/>
      <c r="AD3380"/>
      <c r="AE3380"/>
      <c r="AF3380"/>
      <c r="AG3380"/>
      <c r="AH3380"/>
      <c r="AI3380"/>
      <c r="AJ3380"/>
      <c r="AK3380"/>
      <c r="AL3380"/>
    </row>
    <row r="3381" spans="1:38" ht="15.75" customHeight="1" outlineLevel="3" x14ac:dyDescent="0.2">
      <c r="A3381" s="10">
        <v>1</v>
      </c>
      <c r="B3381" s="10" t="s">
        <v>71</v>
      </c>
      <c r="C3381" s="10" t="s">
        <v>681</v>
      </c>
      <c r="D3381" s="10" t="s">
        <v>682</v>
      </c>
      <c r="E3381" s="11" t="str">
        <f t="array" ref="E3381">_xlfn.XLOOKUP(D3381,Insumos!B:B,Insumos!C:$C)</f>
        <v>M2</v>
      </c>
      <c r="F3381" s="14">
        <v>1.1000000000000001</v>
      </c>
      <c r="G3381" s="92">
        <f t="array" ref="G3381">IF(B3381="insumo",_xlfn.XLOOKUP($D3381,Insumos!$B$1:$B$996,Insumos!$D$1:$D$996),"")</f>
        <v>76.3</v>
      </c>
      <c r="H3381" s="92">
        <v>83.93</v>
      </c>
      <c r="I3381" s="13">
        <v>0</v>
      </c>
      <c r="J3381" s="13">
        <v>0</v>
      </c>
      <c r="K3381" s="13"/>
      <c r="L3381"/>
      <c r="M3381"/>
      <c r="N3381"/>
      <c r="O3381"/>
      <c r="P3381"/>
      <c r="Q3381"/>
      <c r="R3381"/>
      <c r="S3381"/>
      <c r="T3381"/>
      <c r="U3381"/>
      <c r="V3381"/>
      <c r="W3381"/>
      <c r="X3381"/>
      <c r="Y3381"/>
      <c r="Z3381"/>
      <c r="AA3381"/>
      <c r="AB3381"/>
      <c r="AC3381"/>
      <c r="AD3381"/>
      <c r="AE3381"/>
      <c r="AF3381"/>
      <c r="AG3381"/>
      <c r="AH3381"/>
      <c r="AI3381"/>
      <c r="AJ3381"/>
      <c r="AK3381"/>
      <c r="AL3381"/>
    </row>
    <row r="3382" spans="1:38" ht="15.75" customHeight="1" outlineLevel="3" x14ac:dyDescent="0.2">
      <c r="A3382" s="10">
        <v>191</v>
      </c>
      <c r="B3382" s="10" t="s">
        <v>71</v>
      </c>
      <c r="C3382" s="10" t="s">
        <v>681</v>
      </c>
      <c r="D3382" s="10" t="s">
        <v>481</v>
      </c>
      <c r="E3382" s="11" t="str">
        <f t="array" ref="E3382">_xlfn.XLOOKUP(D3382,Insumos!B:B,Insumos!C:$C)</f>
        <v>KG</v>
      </c>
      <c r="F3382" s="14">
        <v>8.8000000000000007</v>
      </c>
      <c r="G3382" s="92">
        <f t="array" ref="G3382">IF(B3382="insumo",_xlfn.XLOOKUP($D3382,Insumos!$B$1:$B$996,Insumos!$D$1:$D$996),"")</f>
        <v>1.0645</v>
      </c>
      <c r="H3382" s="92">
        <v>9.3675999999999995</v>
      </c>
      <c r="I3382" s="13">
        <v>0</v>
      </c>
      <c r="J3382" s="13">
        <v>0</v>
      </c>
      <c r="K3382" s="13"/>
      <c r="L3382"/>
      <c r="M3382"/>
      <c r="N3382"/>
      <c r="O3382"/>
      <c r="P3382"/>
      <c r="Q3382"/>
      <c r="R3382"/>
      <c r="S3382"/>
      <c r="T3382"/>
      <c r="U3382"/>
      <c r="V3382"/>
      <c r="W3382"/>
      <c r="X3382"/>
      <c r="Y3382"/>
      <c r="Z3382"/>
      <c r="AA3382"/>
      <c r="AB3382"/>
      <c r="AC3382"/>
      <c r="AD3382"/>
      <c r="AE3382"/>
      <c r="AF3382"/>
      <c r="AG3382"/>
      <c r="AH3382"/>
      <c r="AI3382"/>
      <c r="AJ3382"/>
      <c r="AK3382"/>
      <c r="AL3382"/>
    </row>
    <row r="3383" spans="1:38" ht="15.75" customHeight="1" outlineLevel="3" x14ac:dyDescent="0.2">
      <c r="A3383" s="10">
        <v>142</v>
      </c>
      <c r="B3383" s="10" t="s">
        <v>71</v>
      </c>
      <c r="C3383" s="10" t="s">
        <v>681</v>
      </c>
      <c r="D3383" s="10" t="s">
        <v>506</v>
      </c>
      <c r="E3383" s="11" t="str">
        <f t="array" ref="E3383">_xlfn.XLOOKUP(D3383,Insumos!B:B,Insumos!C:$C)</f>
        <v>UN</v>
      </c>
      <c r="F3383" s="14">
        <v>1</v>
      </c>
      <c r="G3383" s="92">
        <f t="array" ref="G3383">IF(B3383="insumo",_xlfn.XLOOKUP($D3383,Insumos!$B$1:$B$996,Insumos!$D$1:$D$996),"")</f>
        <v>0.08</v>
      </c>
      <c r="H3383" s="92">
        <v>0.08</v>
      </c>
      <c r="I3383" s="13">
        <v>0</v>
      </c>
      <c r="J3383" s="13">
        <v>0</v>
      </c>
      <c r="K3383" s="13"/>
      <c r="L3383"/>
      <c r="M3383"/>
      <c r="N3383"/>
      <c r="O3383"/>
      <c r="P3383"/>
      <c r="Q3383"/>
      <c r="R3383"/>
      <c r="S3383"/>
      <c r="T3383"/>
      <c r="U3383"/>
      <c r="V3383"/>
      <c r="W3383"/>
      <c r="X3383"/>
      <c r="Y3383"/>
      <c r="Z3383"/>
      <c r="AA3383"/>
      <c r="AB3383"/>
      <c r="AC3383"/>
      <c r="AD3383"/>
      <c r="AE3383"/>
      <c r="AF3383"/>
      <c r="AG3383"/>
      <c r="AH3383"/>
      <c r="AI3383"/>
      <c r="AJ3383"/>
      <c r="AK3383"/>
      <c r="AL3383"/>
    </row>
    <row r="3384" spans="1:38" ht="15.75" customHeight="1" outlineLevel="3" x14ac:dyDescent="0.2">
      <c r="A3384" s="10">
        <v>101</v>
      </c>
      <c r="B3384" s="10" t="s">
        <v>71</v>
      </c>
      <c r="C3384" s="10" t="s">
        <v>681</v>
      </c>
      <c r="D3384" s="10" t="s">
        <v>507</v>
      </c>
      <c r="E3384" s="11" t="str">
        <f t="array" ref="E3384">_xlfn.XLOOKUP(D3384,Insumos!B:B,Insumos!C:$C)</f>
        <v>KG</v>
      </c>
      <c r="F3384" s="14">
        <v>0.01</v>
      </c>
      <c r="G3384" s="92">
        <f t="array" ref="G3384">IF(B3384="insumo",_xlfn.XLOOKUP($D3384,Insumos!$B$1:$B$996,Insumos!$D$1:$D$996),"")</f>
        <v>11.15</v>
      </c>
      <c r="H3384" s="92">
        <v>0.1115</v>
      </c>
      <c r="I3384" s="13">
        <v>0</v>
      </c>
      <c r="J3384" s="13">
        <v>0</v>
      </c>
      <c r="K3384" s="13"/>
      <c r="L3384"/>
      <c r="M3384"/>
      <c r="N3384"/>
      <c r="O3384"/>
      <c r="P3384"/>
      <c r="Q3384"/>
      <c r="R3384"/>
      <c r="S3384"/>
      <c r="T3384"/>
      <c r="U3384"/>
      <c r="V3384"/>
      <c r="W3384"/>
      <c r="X3384"/>
      <c r="Y3384"/>
      <c r="Z3384"/>
      <c r="AA3384"/>
      <c r="AB3384"/>
      <c r="AC3384"/>
      <c r="AD3384"/>
      <c r="AE3384"/>
      <c r="AF3384"/>
      <c r="AG3384"/>
      <c r="AH3384"/>
      <c r="AI3384"/>
      <c r="AJ3384"/>
      <c r="AK3384"/>
      <c r="AL3384"/>
    </row>
    <row r="3385" spans="1:38" ht="15.75" customHeight="1" outlineLevel="2" x14ac:dyDescent="0.2">
      <c r="A3385" s="1067">
        <v>1</v>
      </c>
      <c r="B3385" s="1067" t="s">
        <v>68</v>
      </c>
      <c r="C3385" s="1067" t="s">
        <v>683</v>
      </c>
      <c r="D3385" s="1067" t="s">
        <v>683</v>
      </c>
      <c r="E3385" s="1068" t="s">
        <v>70</v>
      </c>
      <c r="F3385" s="1067"/>
      <c r="G3385" s="1069" t="str">
        <f t="array" ref="G3385">IF(B3385="insumo",_xlfn.XLOOKUP($D3385,Insumos!$B$1:$B$996,Insumos!$D$1:$D$996),"")</f>
        <v/>
      </c>
      <c r="H3385" s="1069">
        <v>85.349100000000007</v>
      </c>
      <c r="I3385" s="1070">
        <v>0</v>
      </c>
      <c r="J3385" s="1070">
        <v>0</v>
      </c>
      <c r="K3385" s="1070"/>
      <c r="L3385"/>
      <c r="M3385"/>
      <c r="N3385"/>
      <c r="O3385"/>
      <c r="P3385"/>
      <c r="Q3385"/>
      <c r="R3385"/>
      <c r="S3385"/>
      <c r="T3385"/>
      <c r="U3385"/>
      <c r="V3385"/>
      <c r="W3385"/>
      <c r="X3385"/>
      <c r="Y3385"/>
      <c r="Z3385"/>
      <c r="AA3385"/>
      <c r="AB3385"/>
      <c r="AC3385"/>
      <c r="AD3385"/>
      <c r="AE3385"/>
      <c r="AF3385"/>
      <c r="AG3385"/>
      <c r="AH3385"/>
      <c r="AI3385"/>
      <c r="AJ3385"/>
      <c r="AK3385"/>
      <c r="AL3385"/>
    </row>
    <row r="3386" spans="1:38" ht="15.75" customHeight="1" outlineLevel="3" x14ac:dyDescent="0.2">
      <c r="A3386" s="10">
        <v>1</v>
      </c>
      <c r="B3386" s="10" t="s">
        <v>71</v>
      </c>
      <c r="C3386" s="10" t="s">
        <v>683</v>
      </c>
      <c r="D3386" s="10" t="s">
        <v>684</v>
      </c>
      <c r="E3386" s="11" t="str">
        <f t="array" ref="E3386">_xlfn.XLOOKUP(D3386,Insumos!B:B,Insumos!C:$C)</f>
        <v>M2</v>
      </c>
      <c r="F3386" s="14">
        <v>1.1000000000000001</v>
      </c>
      <c r="G3386" s="92">
        <f t="array" ref="G3386">IF(B3386="insumo",_xlfn.XLOOKUP($D3386,Insumos!$B$1:$B$996,Insumos!$D$1:$D$996),"")</f>
        <v>68.900000000000006</v>
      </c>
      <c r="H3386" s="92">
        <v>75.790000000000006</v>
      </c>
      <c r="I3386" s="13">
        <v>0</v>
      </c>
      <c r="J3386" s="13">
        <v>0</v>
      </c>
      <c r="K3386" s="13"/>
      <c r="L3386"/>
      <c r="M3386"/>
      <c r="N3386"/>
      <c r="O3386"/>
      <c r="P3386"/>
      <c r="Q3386"/>
      <c r="R3386"/>
      <c r="S3386"/>
      <c r="T3386"/>
      <c r="U3386"/>
      <c r="V3386"/>
      <c r="W3386"/>
      <c r="X3386"/>
      <c r="Y3386"/>
      <c r="Z3386"/>
      <c r="AA3386"/>
      <c r="AB3386"/>
      <c r="AC3386"/>
      <c r="AD3386"/>
      <c r="AE3386"/>
      <c r="AF3386"/>
      <c r="AG3386"/>
      <c r="AH3386"/>
      <c r="AI3386"/>
      <c r="AJ3386"/>
      <c r="AK3386"/>
      <c r="AL3386"/>
    </row>
    <row r="3387" spans="1:38" ht="15.75" customHeight="1" outlineLevel="3" x14ac:dyDescent="0.2">
      <c r="A3387" s="10">
        <v>191</v>
      </c>
      <c r="B3387" s="10" t="s">
        <v>71</v>
      </c>
      <c r="C3387" s="10" t="s">
        <v>683</v>
      </c>
      <c r="D3387" s="10" t="s">
        <v>481</v>
      </c>
      <c r="E3387" s="11" t="str">
        <f t="array" ref="E3387">_xlfn.XLOOKUP(D3387,Insumos!B:B,Insumos!C:$C)</f>
        <v>KG</v>
      </c>
      <c r="F3387" s="14">
        <v>8.8000000000000007</v>
      </c>
      <c r="G3387" s="92">
        <f t="array" ref="G3387">IF(B3387="insumo",_xlfn.XLOOKUP($D3387,Insumos!$B$1:$B$996,Insumos!$D$1:$D$996),"")</f>
        <v>1.0645</v>
      </c>
      <c r="H3387" s="92">
        <v>9.3675999999999995</v>
      </c>
      <c r="I3387" s="13">
        <v>0</v>
      </c>
      <c r="J3387" s="13">
        <v>0</v>
      </c>
      <c r="K3387" s="13"/>
      <c r="L3387"/>
      <c r="M3387"/>
      <c r="N3387"/>
      <c r="O3387"/>
      <c r="P3387"/>
      <c r="Q3387"/>
      <c r="R3387"/>
      <c r="S3387"/>
      <c r="T3387"/>
      <c r="U3387"/>
      <c r="V3387"/>
      <c r="W3387"/>
      <c r="X3387"/>
      <c r="Y3387"/>
      <c r="Z3387"/>
      <c r="AA3387"/>
      <c r="AB3387"/>
      <c r="AC3387"/>
      <c r="AD3387"/>
      <c r="AE3387"/>
      <c r="AF3387"/>
      <c r="AG3387"/>
      <c r="AH3387"/>
      <c r="AI3387"/>
      <c r="AJ3387"/>
      <c r="AK3387"/>
      <c r="AL3387"/>
    </row>
    <row r="3388" spans="1:38" ht="15.75" customHeight="1" outlineLevel="3" x14ac:dyDescent="0.2">
      <c r="A3388" s="10">
        <v>142</v>
      </c>
      <c r="B3388" s="10" t="s">
        <v>71</v>
      </c>
      <c r="C3388" s="10" t="s">
        <v>683</v>
      </c>
      <c r="D3388" s="10" t="s">
        <v>506</v>
      </c>
      <c r="E3388" s="11" t="str">
        <f t="array" ref="E3388">_xlfn.XLOOKUP(D3388,Insumos!B:B,Insumos!C:$C)</f>
        <v>UN</v>
      </c>
      <c r="F3388" s="14">
        <v>1</v>
      </c>
      <c r="G3388" s="92">
        <f t="array" ref="G3388">IF(B3388="insumo",_xlfn.XLOOKUP($D3388,Insumos!$B$1:$B$996,Insumos!$D$1:$D$996),"")</f>
        <v>0.08</v>
      </c>
      <c r="H3388" s="92">
        <v>0.08</v>
      </c>
      <c r="I3388" s="13">
        <v>0</v>
      </c>
      <c r="J3388" s="13">
        <v>0</v>
      </c>
      <c r="K3388" s="13"/>
      <c r="L3388"/>
      <c r="M3388"/>
      <c r="N3388"/>
      <c r="O3388"/>
      <c r="P3388"/>
      <c r="Q3388"/>
      <c r="R3388"/>
      <c r="S3388"/>
      <c r="T3388"/>
      <c r="U3388"/>
      <c r="V3388"/>
      <c r="W3388"/>
      <c r="X3388"/>
      <c r="Y3388"/>
      <c r="Z3388"/>
      <c r="AA3388"/>
      <c r="AB3388"/>
      <c r="AC3388"/>
      <c r="AD3388"/>
      <c r="AE3388"/>
      <c r="AF3388"/>
      <c r="AG3388"/>
      <c r="AH3388"/>
      <c r="AI3388"/>
      <c r="AJ3388"/>
      <c r="AK3388"/>
      <c r="AL3388"/>
    </row>
    <row r="3389" spans="1:38" ht="15.75" customHeight="1" outlineLevel="3" x14ac:dyDescent="0.2">
      <c r="A3389" s="10">
        <v>101</v>
      </c>
      <c r="B3389" s="10" t="s">
        <v>71</v>
      </c>
      <c r="C3389" s="10" t="s">
        <v>683</v>
      </c>
      <c r="D3389" s="10" t="s">
        <v>507</v>
      </c>
      <c r="E3389" s="11" t="str">
        <f t="array" ref="E3389">_xlfn.XLOOKUP(D3389,Insumos!B:B,Insumos!C:$C)</f>
        <v>KG</v>
      </c>
      <c r="F3389" s="14">
        <v>0.01</v>
      </c>
      <c r="G3389" s="92">
        <f t="array" ref="G3389">IF(B3389="insumo",_xlfn.XLOOKUP($D3389,Insumos!$B$1:$B$996,Insumos!$D$1:$D$996),"")</f>
        <v>11.15</v>
      </c>
      <c r="H3389" s="92">
        <v>0.1115</v>
      </c>
      <c r="I3389" s="13">
        <v>0</v>
      </c>
      <c r="J3389" s="13">
        <v>0</v>
      </c>
      <c r="K3389" s="13"/>
      <c r="L3389"/>
      <c r="M3389"/>
      <c r="N3389"/>
      <c r="O3389"/>
      <c r="P3389"/>
      <c r="Q3389"/>
      <c r="R3389"/>
      <c r="S3389"/>
      <c r="T3389"/>
      <c r="U3389"/>
      <c r="V3389"/>
      <c r="W3389"/>
      <c r="X3389"/>
      <c r="Y3389"/>
      <c r="Z3389"/>
      <c r="AA3389"/>
      <c r="AB3389"/>
      <c r="AC3389"/>
      <c r="AD3389"/>
      <c r="AE3389"/>
      <c r="AF3389"/>
      <c r="AG3389"/>
      <c r="AH3389"/>
      <c r="AI3389"/>
      <c r="AJ3389"/>
      <c r="AK3389"/>
      <c r="AL3389"/>
    </row>
    <row r="3390" spans="1:38" ht="15.75" customHeight="1" outlineLevel="2" x14ac:dyDescent="0.2">
      <c r="A3390" s="1067">
        <v>1</v>
      </c>
      <c r="B3390" s="1067" t="s">
        <v>68</v>
      </c>
      <c r="C3390" s="1067" t="s">
        <v>685</v>
      </c>
      <c r="D3390" s="1067" t="s">
        <v>685</v>
      </c>
      <c r="E3390" s="1068" t="s">
        <v>70</v>
      </c>
      <c r="F3390" s="1067"/>
      <c r="G3390" s="1069" t="str">
        <f t="array" ref="G3390">IF(B3390="insumo",_xlfn.XLOOKUP($D3390,Insumos!$B$1:$B$996,Insumos!$D$1:$D$996),"")</f>
        <v/>
      </c>
      <c r="H3390" s="1069">
        <v>108.4491</v>
      </c>
      <c r="I3390" s="1070">
        <v>0</v>
      </c>
      <c r="J3390" s="1070">
        <v>0</v>
      </c>
      <c r="K3390" s="1070"/>
      <c r="L3390"/>
      <c r="M3390"/>
      <c r="N3390"/>
      <c r="O3390"/>
      <c r="P3390"/>
      <c r="Q3390"/>
      <c r="R3390"/>
      <c r="S3390"/>
      <c r="T3390"/>
      <c r="U3390"/>
      <c r="V3390"/>
      <c r="W3390"/>
      <c r="X3390"/>
      <c r="Y3390"/>
      <c r="Z3390"/>
      <c r="AA3390"/>
      <c r="AB3390"/>
      <c r="AC3390"/>
      <c r="AD3390"/>
      <c r="AE3390"/>
      <c r="AF3390"/>
      <c r="AG3390"/>
      <c r="AH3390"/>
      <c r="AI3390"/>
      <c r="AJ3390"/>
      <c r="AK3390"/>
      <c r="AL3390"/>
    </row>
    <row r="3391" spans="1:38" ht="15.75" customHeight="1" outlineLevel="3" x14ac:dyDescent="0.2">
      <c r="A3391" s="10">
        <v>1</v>
      </c>
      <c r="B3391" s="10" t="s">
        <v>71</v>
      </c>
      <c r="C3391" s="10" t="s">
        <v>685</v>
      </c>
      <c r="D3391" s="10" t="s">
        <v>686</v>
      </c>
      <c r="E3391" s="11" t="str">
        <f t="array" ref="E3391">_xlfn.XLOOKUP(D3391,Insumos!B:B,Insumos!C:$C)</f>
        <v>M2</v>
      </c>
      <c r="F3391" s="14">
        <v>1.1000000000000001</v>
      </c>
      <c r="G3391" s="92">
        <f t="array" ref="G3391">IF(B3391="insumo",_xlfn.XLOOKUP($D3391,Insumos!$B$1:$B$996,Insumos!$D$1:$D$996),"")</f>
        <v>89.9</v>
      </c>
      <c r="H3391" s="92">
        <v>98.89</v>
      </c>
      <c r="I3391" s="13">
        <v>0</v>
      </c>
      <c r="J3391" s="13">
        <v>0</v>
      </c>
      <c r="K3391" s="13"/>
      <c r="L3391"/>
      <c r="M3391"/>
      <c r="N3391"/>
      <c r="O3391"/>
      <c r="P3391"/>
      <c r="Q3391"/>
      <c r="R3391"/>
      <c r="S3391"/>
      <c r="T3391"/>
      <c r="U3391"/>
      <c r="V3391"/>
      <c r="W3391"/>
      <c r="X3391"/>
      <c r="Y3391"/>
      <c r="Z3391"/>
      <c r="AA3391"/>
      <c r="AB3391"/>
      <c r="AC3391"/>
      <c r="AD3391"/>
      <c r="AE3391"/>
      <c r="AF3391"/>
      <c r="AG3391"/>
      <c r="AH3391"/>
      <c r="AI3391"/>
      <c r="AJ3391"/>
      <c r="AK3391"/>
      <c r="AL3391"/>
    </row>
    <row r="3392" spans="1:38" ht="15.75" customHeight="1" outlineLevel="3" x14ac:dyDescent="0.2">
      <c r="A3392" s="10">
        <v>191</v>
      </c>
      <c r="B3392" s="10" t="s">
        <v>71</v>
      </c>
      <c r="C3392" s="10" t="s">
        <v>685</v>
      </c>
      <c r="D3392" s="10" t="s">
        <v>481</v>
      </c>
      <c r="E3392" s="11" t="str">
        <f t="array" ref="E3392">_xlfn.XLOOKUP(D3392,Insumos!B:B,Insumos!C:$C)</f>
        <v>KG</v>
      </c>
      <c r="F3392" s="14">
        <v>8.8000000000000007</v>
      </c>
      <c r="G3392" s="92">
        <f t="array" ref="G3392">IF(B3392="insumo",_xlfn.XLOOKUP($D3392,Insumos!$B$1:$B$996,Insumos!$D$1:$D$996),"")</f>
        <v>1.0645</v>
      </c>
      <c r="H3392" s="92">
        <v>9.3675999999999995</v>
      </c>
      <c r="I3392" s="13">
        <v>0</v>
      </c>
      <c r="J3392" s="13">
        <v>0</v>
      </c>
      <c r="K3392" s="13"/>
      <c r="L3392"/>
      <c r="M3392"/>
      <c r="N3392"/>
      <c r="O3392"/>
      <c r="P3392"/>
      <c r="Q3392"/>
      <c r="R3392"/>
      <c r="S3392"/>
      <c r="T3392"/>
      <c r="U3392"/>
      <c r="V3392"/>
      <c r="W3392"/>
      <c r="X3392"/>
      <c r="Y3392"/>
      <c r="Z3392"/>
      <c r="AA3392"/>
      <c r="AB3392"/>
      <c r="AC3392"/>
      <c r="AD3392"/>
      <c r="AE3392"/>
      <c r="AF3392"/>
      <c r="AG3392"/>
      <c r="AH3392"/>
      <c r="AI3392"/>
      <c r="AJ3392"/>
      <c r="AK3392"/>
      <c r="AL3392"/>
    </row>
    <row r="3393" spans="1:38" ht="15.75" customHeight="1" outlineLevel="3" x14ac:dyDescent="0.2">
      <c r="A3393" s="10">
        <v>142</v>
      </c>
      <c r="B3393" s="10" t="s">
        <v>71</v>
      </c>
      <c r="C3393" s="10" t="s">
        <v>685</v>
      </c>
      <c r="D3393" s="10" t="s">
        <v>506</v>
      </c>
      <c r="E3393" s="11" t="str">
        <f t="array" ref="E3393">_xlfn.XLOOKUP(D3393,Insumos!B:B,Insumos!C:$C)</f>
        <v>UN</v>
      </c>
      <c r="F3393" s="14">
        <v>1</v>
      </c>
      <c r="G3393" s="92">
        <f t="array" ref="G3393">IF(B3393="insumo",_xlfn.XLOOKUP($D3393,Insumos!$B$1:$B$996,Insumos!$D$1:$D$996),"")</f>
        <v>0.08</v>
      </c>
      <c r="H3393" s="92">
        <v>0.08</v>
      </c>
      <c r="I3393" s="13">
        <v>0</v>
      </c>
      <c r="J3393" s="13">
        <v>0</v>
      </c>
      <c r="K3393" s="13"/>
      <c r="L3393"/>
      <c r="M3393"/>
      <c r="N3393"/>
      <c r="O3393"/>
      <c r="P3393"/>
      <c r="Q3393"/>
      <c r="R3393"/>
      <c r="S3393"/>
      <c r="T3393"/>
      <c r="U3393"/>
      <c r="V3393"/>
      <c r="W3393"/>
      <c r="X3393"/>
      <c r="Y3393"/>
      <c r="Z3393"/>
      <c r="AA3393"/>
      <c r="AB3393"/>
      <c r="AC3393"/>
      <c r="AD3393"/>
      <c r="AE3393"/>
      <c r="AF3393"/>
      <c r="AG3393"/>
      <c r="AH3393"/>
      <c r="AI3393"/>
      <c r="AJ3393"/>
      <c r="AK3393"/>
      <c r="AL3393"/>
    </row>
    <row r="3394" spans="1:38" ht="15.75" customHeight="1" outlineLevel="3" x14ac:dyDescent="0.2">
      <c r="A3394" s="10">
        <v>101</v>
      </c>
      <c r="B3394" s="10" t="s">
        <v>71</v>
      </c>
      <c r="C3394" s="10" t="s">
        <v>685</v>
      </c>
      <c r="D3394" s="10" t="s">
        <v>507</v>
      </c>
      <c r="E3394" s="11" t="str">
        <f t="array" ref="E3394">_xlfn.XLOOKUP(D3394,Insumos!B:B,Insumos!C:$C)</f>
        <v>KG</v>
      </c>
      <c r="F3394" s="14">
        <v>0.01</v>
      </c>
      <c r="G3394" s="92">
        <f t="array" ref="G3394">IF(B3394="insumo",_xlfn.XLOOKUP($D3394,Insumos!$B$1:$B$996,Insumos!$D$1:$D$996),"")</f>
        <v>11.15</v>
      </c>
      <c r="H3394" s="92">
        <v>0.1115</v>
      </c>
      <c r="I3394" s="13">
        <v>0</v>
      </c>
      <c r="J3394" s="13">
        <v>0</v>
      </c>
      <c r="K3394" s="13"/>
      <c r="L3394"/>
      <c r="M3394"/>
      <c r="N3394"/>
      <c r="O3394"/>
      <c r="P3394"/>
      <c r="Q3394"/>
      <c r="R3394"/>
      <c r="S3394"/>
      <c r="T3394"/>
      <c r="U3394"/>
      <c r="V3394"/>
      <c r="W3394"/>
      <c r="X3394"/>
      <c r="Y3394"/>
      <c r="Z3394"/>
      <c r="AA3394"/>
      <c r="AB3394"/>
      <c r="AC3394"/>
      <c r="AD3394"/>
      <c r="AE3394"/>
      <c r="AF3394"/>
      <c r="AG3394"/>
      <c r="AH3394"/>
      <c r="AI3394"/>
      <c r="AJ3394"/>
      <c r="AK3394"/>
      <c r="AL3394"/>
    </row>
    <row r="3395" spans="1:38" ht="15.75" customHeight="1" outlineLevel="2" x14ac:dyDescent="0.2">
      <c r="A3395" s="1067">
        <v>1</v>
      </c>
      <c r="B3395" s="1067" t="s">
        <v>68</v>
      </c>
      <c r="C3395" s="1067" t="s">
        <v>687</v>
      </c>
      <c r="D3395" s="1067" t="s">
        <v>687</v>
      </c>
      <c r="E3395" s="1068" t="s">
        <v>70</v>
      </c>
      <c r="F3395" s="1067"/>
      <c r="G3395" s="1069" t="str">
        <f t="array" ref="G3395">IF(B3395="insumo",_xlfn.XLOOKUP($D3395,Insumos!$B$1:$B$996,Insumos!$D$1:$D$996),"")</f>
        <v/>
      </c>
      <c r="H3395" s="1069">
        <v>167.4641</v>
      </c>
      <c r="I3395" s="1070">
        <v>0</v>
      </c>
      <c r="J3395" s="1070">
        <v>0</v>
      </c>
      <c r="K3395" s="1070"/>
      <c r="L3395"/>
      <c r="M3395"/>
      <c r="N3395"/>
      <c r="O3395"/>
      <c r="P3395"/>
      <c r="Q3395"/>
      <c r="R3395"/>
      <c r="S3395"/>
      <c r="T3395"/>
      <c r="U3395"/>
      <c r="V3395"/>
      <c r="W3395"/>
      <c r="X3395"/>
      <c r="Y3395"/>
      <c r="Z3395"/>
      <c r="AA3395"/>
      <c r="AB3395"/>
      <c r="AC3395"/>
      <c r="AD3395"/>
      <c r="AE3395"/>
      <c r="AF3395"/>
      <c r="AG3395"/>
      <c r="AH3395"/>
      <c r="AI3395"/>
      <c r="AJ3395"/>
      <c r="AK3395"/>
      <c r="AL3395"/>
    </row>
    <row r="3396" spans="1:38" ht="15.75" customHeight="1" outlineLevel="3" x14ac:dyDescent="0.2">
      <c r="A3396" s="10">
        <v>2</v>
      </c>
      <c r="B3396" s="10" t="s">
        <v>71</v>
      </c>
      <c r="C3396" s="10" t="s">
        <v>687</v>
      </c>
      <c r="D3396" s="10" t="s">
        <v>516</v>
      </c>
      <c r="E3396" s="11" t="str">
        <f t="array" ref="E3396">_xlfn.XLOOKUP(D3396,Insumos!B:B,Insumos!C:$C)</f>
        <v>M2</v>
      </c>
      <c r="F3396" s="14">
        <v>1.1000000000000001</v>
      </c>
      <c r="G3396" s="92">
        <f t="array" ref="G3396">IF(B3396="insumo",_xlfn.XLOOKUP($D3396,Insumos!$B$1:$B$996,Insumos!$D$1:$D$996),"")</f>
        <v>143.55000000000001</v>
      </c>
      <c r="H3396" s="92">
        <v>157.905</v>
      </c>
      <c r="I3396" s="13">
        <v>0</v>
      </c>
      <c r="J3396" s="13">
        <v>0</v>
      </c>
      <c r="K3396" s="13"/>
      <c r="L3396"/>
      <c r="M3396"/>
      <c r="N3396"/>
      <c r="O3396"/>
      <c r="P3396"/>
      <c r="Q3396"/>
      <c r="R3396"/>
      <c r="S3396"/>
      <c r="T3396"/>
      <c r="U3396"/>
      <c r="V3396"/>
      <c r="W3396"/>
      <c r="X3396"/>
      <c r="Y3396"/>
      <c r="Z3396"/>
      <c r="AA3396"/>
      <c r="AB3396"/>
      <c r="AC3396"/>
      <c r="AD3396"/>
      <c r="AE3396"/>
      <c r="AF3396"/>
      <c r="AG3396"/>
      <c r="AH3396"/>
      <c r="AI3396"/>
      <c r="AJ3396"/>
      <c r="AK3396"/>
      <c r="AL3396"/>
    </row>
    <row r="3397" spans="1:38" ht="15.75" customHeight="1" outlineLevel="3" x14ac:dyDescent="0.2">
      <c r="A3397" s="10">
        <v>191</v>
      </c>
      <c r="B3397" s="10" t="s">
        <v>71</v>
      </c>
      <c r="C3397" s="10" t="s">
        <v>687</v>
      </c>
      <c r="D3397" s="10" t="s">
        <v>481</v>
      </c>
      <c r="E3397" s="11" t="str">
        <f t="array" ref="E3397">_xlfn.XLOOKUP(D3397,Insumos!B:B,Insumos!C:$C)</f>
        <v>KG</v>
      </c>
      <c r="F3397" s="14">
        <v>8.8000000000000007</v>
      </c>
      <c r="G3397" s="92">
        <f t="array" ref="G3397">IF(B3397="insumo",_xlfn.XLOOKUP($D3397,Insumos!$B$1:$B$996,Insumos!$D$1:$D$996),"")</f>
        <v>1.0645</v>
      </c>
      <c r="H3397" s="92">
        <v>9.3675999999999995</v>
      </c>
      <c r="I3397" s="13">
        <v>0</v>
      </c>
      <c r="J3397" s="13">
        <v>0</v>
      </c>
      <c r="K3397" s="13"/>
      <c r="L3397"/>
      <c r="M3397"/>
      <c r="N3397"/>
      <c r="O3397"/>
      <c r="P3397"/>
      <c r="Q3397"/>
      <c r="R3397"/>
      <c r="S3397"/>
      <c r="T3397"/>
      <c r="U3397"/>
      <c r="V3397"/>
      <c r="W3397"/>
      <c r="X3397"/>
      <c r="Y3397"/>
      <c r="Z3397"/>
      <c r="AA3397"/>
      <c r="AB3397"/>
      <c r="AC3397"/>
      <c r="AD3397"/>
      <c r="AE3397"/>
      <c r="AF3397"/>
      <c r="AG3397"/>
      <c r="AH3397"/>
      <c r="AI3397"/>
      <c r="AJ3397"/>
      <c r="AK3397"/>
      <c r="AL3397"/>
    </row>
    <row r="3398" spans="1:38" ht="15.75" customHeight="1" outlineLevel="3" x14ac:dyDescent="0.2">
      <c r="A3398" s="10">
        <v>142</v>
      </c>
      <c r="B3398" s="10" t="s">
        <v>71</v>
      </c>
      <c r="C3398" s="10" t="s">
        <v>687</v>
      </c>
      <c r="D3398" s="10" t="s">
        <v>506</v>
      </c>
      <c r="E3398" s="11" t="str">
        <f t="array" ref="E3398">_xlfn.XLOOKUP(D3398,Insumos!B:B,Insumos!C:$C)</f>
        <v>UN</v>
      </c>
      <c r="F3398" s="14">
        <v>1</v>
      </c>
      <c r="G3398" s="92">
        <f t="array" ref="G3398">IF(B3398="insumo",_xlfn.XLOOKUP($D3398,Insumos!$B$1:$B$996,Insumos!$D$1:$D$996),"")</f>
        <v>0.08</v>
      </c>
      <c r="H3398" s="92">
        <v>0.08</v>
      </c>
      <c r="I3398" s="13">
        <v>0</v>
      </c>
      <c r="J3398" s="13">
        <v>0</v>
      </c>
      <c r="K3398" s="13"/>
      <c r="L3398"/>
      <c r="M3398"/>
      <c r="N3398"/>
      <c r="O3398"/>
      <c r="P3398"/>
      <c r="Q3398"/>
      <c r="R3398"/>
      <c r="S3398"/>
      <c r="T3398"/>
      <c r="U3398"/>
      <c r="V3398"/>
      <c r="W3398"/>
      <c r="X3398"/>
      <c r="Y3398"/>
      <c r="Z3398"/>
      <c r="AA3398"/>
      <c r="AB3398"/>
      <c r="AC3398"/>
      <c r="AD3398"/>
      <c r="AE3398"/>
      <c r="AF3398"/>
      <c r="AG3398"/>
      <c r="AH3398"/>
      <c r="AI3398"/>
      <c r="AJ3398"/>
      <c r="AK3398"/>
      <c r="AL3398"/>
    </row>
    <row r="3399" spans="1:38" ht="15.75" customHeight="1" outlineLevel="3" x14ac:dyDescent="0.2">
      <c r="A3399" s="10">
        <v>101</v>
      </c>
      <c r="B3399" s="10" t="s">
        <v>71</v>
      </c>
      <c r="C3399" s="10" t="s">
        <v>687</v>
      </c>
      <c r="D3399" s="10" t="s">
        <v>507</v>
      </c>
      <c r="E3399" s="11" t="str">
        <f t="array" ref="E3399">_xlfn.XLOOKUP(D3399,Insumos!B:B,Insumos!C:$C)</f>
        <v>KG</v>
      </c>
      <c r="F3399" s="14">
        <v>0.01</v>
      </c>
      <c r="G3399" s="92">
        <f t="array" ref="G3399">IF(B3399="insumo",_xlfn.XLOOKUP($D3399,Insumos!$B$1:$B$996,Insumos!$D$1:$D$996),"")</f>
        <v>11.15</v>
      </c>
      <c r="H3399" s="92">
        <v>0.1115</v>
      </c>
      <c r="I3399" s="13">
        <v>0</v>
      </c>
      <c r="J3399" s="13">
        <v>0</v>
      </c>
      <c r="K3399" s="13"/>
      <c r="L3399"/>
      <c r="M3399"/>
      <c r="N3399"/>
      <c r="O3399"/>
      <c r="P3399"/>
      <c r="Q3399"/>
      <c r="R3399"/>
      <c r="S3399"/>
      <c r="T3399"/>
      <c r="U3399"/>
      <c r="V3399"/>
      <c r="W3399"/>
      <c r="X3399"/>
      <c r="Y3399"/>
      <c r="Z3399"/>
      <c r="AA3399"/>
      <c r="AB3399"/>
      <c r="AC3399"/>
      <c r="AD3399"/>
      <c r="AE3399"/>
      <c r="AF3399"/>
      <c r="AG3399"/>
      <c r="AH3399"/>
      <c r="AI3399"/>
      <c r="AJ3399"/>
      <c r="AK3399"/>
      <c r="AL3399"/>
    </row>
    <row r="3400" spans="1:38" ht="15.75" customHeight="1" outlineLevel="2" x14ac:dyDescent="0.2">
      <c r="A3400" s="1067">
        <v>1</v>
      </c>
      <c r="B3400" s="1067" t="s">
        <v>68</v>
      </c>
      <c r="C3400" s="1067" t="s">
        <v>688</v>
      </c>
      <c r="D3400" s="1067" t="s">
        <v>688</v>
      </c>
      <c r="E3400" s="1068" t="s">
        <v>70</v>
      </c>
      <c r="F3400" s="1067"/>
      <c r="G3400" s="1069" t="str">
        <f t="array" ref="G3400">IF(B3400="insumo",_xlfn.XLOOKUP($D3400,Insumos!$B$1:$B$996,Insumos!$D$1:$D$996),"")</f>
        <v/>
      </c>
      <c r="H3400" s="1069">
        <v>47.949100000000001</v>
      </c>
      <c r="I3400" s="1070">
        <v>0</v>
      </c>
      <c r="J3400" s="1070">
        <v>0</v>
      </c>
      <c r="K3400" s="1070"/>
      <c r="L3400"/>
      <c r="M3400"/>
      <c r="N3400"/>
      <c r="O3400"/>
      <c r="P3400"/>
      <c r="Q3400"/>
      <c r="R3400"/>
      <c r="S3400"/>
      <c r="T3400"/>
      <c r="U3400"/>
      <c r="V3400"/>
      <c r="W3400"/>
      <c r="X3400"/>
      <c r="Y3400"/>
      <c r="Z3400"/>
      <c r="AA3400"/>
      <c r="AB3400"/>
      <c r="AC3400"/>
      <c r="AD3400"/>
      <c r="AE3400"/>
      <c r="AF3400"/>
      <c r="AG3400"/>
      <c r="AH3400"/>
      <c r="AI3400"/>
      <c r="AJ3400"/>
      <c r="AK3400"/>
      <c r="AL3400"/>
    </row>
    <row r="3401" spans="1:38" ht="15.75" customHeight="1" outlineLevel="3" x14ac:dyDescent="0.2">
      <c r="A3401" s="10">
        <v>2</v>
      </c>
      <c r="B3401" s="10" t="s">
        <v>71</v>
      </c>
      <c r="C3401" s="10" t="s">
        <v>688</v>
      </c>
      <c r="D3401" s="10" t="s">
        <v>689</v>
      </c>
      <c r="E3401" s="11" t="str">
        <f t="array" ref="E3401">_xlfn.XLOOKUP(D3401,Insumos!B:B,Insumos!C:$C)</f>
        <v>M2</v>
      </c>
      <c r="F3401" s="14">
        <v>1.1000000000000001</v>
      </c>
      <c r="G3401" s="92">
        <f t="array" ref="G3401">IF(B3401="insumo",_xlfn.XLOOKUP($D3401,Insumos!$B$1:$B$996,Insumos!$D$1:$D$996),"")</f>
        <v>34.9</v>
      </c>
      <c r="H3401" s="92">
        <v>38.39</v>
      </c>
      <c r="I3401" s="13">
        <v>0</v>
      </c>
      <c r="J3401" s="13">
        <v>0</v>
      </c>
      <c r="K3401" s="13"/>
      <c r="L3401"/>
      <c r="M3401"/>
      <c r="N3401"/>
      <c r="O3401"/>
      <c r="P3401"/>
      <c r="Q3401"/>
      <c r="R3401"/>
      <c r="S3401"/>
      <c r="T3401"/>
      <c r="U3401"/>
      <c r="V3401"/>
      <c r="W3401"/>
      <c r="X3401"/>
      <c r="Y3401"/>
      <c r="Z3401"/>
      <c r="AA3401"/>
      <c r="AB3401"/>
      <c r="AC3401"/>
      <c r="AD3401"/>
      <c r="AE3401"/>
      <c r="AF3401"/>
      <c r="AG3401"/>
      <c r="AH3401"/>
      <c r="AI3401"/>
      <c r="AJ3401"/>
      <c r="AK3401"/>
      <c r="AL3401"/>
    </row>
    <row r="3402" spans="1:38" ht="15.75" customHeight="1" outlineLevel="3" x14ac:dyDescent="0.2">
      <c r="A3402" s="10">
        <v>191</v>
      </c>
      <c r="B3402" s="10" t="s">
        <v>71</v>
      </c>
      <c r="C3402" s="10" t="s">
        <v>688</v>
      </c>
      <c r="D3402" s="10" t="s">
        <v>481</v>
      </c>
      <c r="E3402" s="11" t="str">
        <f t="array" ref="E3402">_xlfn.XLOOKUP(D3402,Insumos!B:B,Insumos!C:$C)</f>
        <v>KG</v>
      </c>
      <c r="F3402" s="14">
        <v>8.8000000000000007</v>
      </c>
      <c r="G3402" s="92">
        <f t="array" ref="G3402">IF(B3402="insumo",_xlfn.XLOOKUP($D3402,Insumos!$B$1:$B$996,Insumos!$D$1:$D$996),"")</f>
        <v>1.0645</v>
      </c>
      <c r="H3402" s="92">
        <v>9.3675999999999995</v>
      </c>
      <c r="I3402" s="13">
        <v>0</v>
      </c>
      <c r="J3402" s="13">
        <v>0</v>
      </c>
      <c r="K3402" s="13"/>
      <c r="L3402"/>
      <c r="M3402"/>
      <c r="N3402"/>
      <c r="O3402"/>
      <c r="P3402"/>
      <c r="Q3402"/>
      <c r="R3402"/>
      <c r="S3402"/>
      <c r="T3402"/>
      <c r="U3402"/>
      <c r="V3402"/>
      <c r="W3402"/>
      <c r="X3402"/>
      <c r="Y3402"/>
      <c r="Z3402"/>
      <c r="AA3402"/>
      <c r="AB3402"/>
      <c r="AC3402"/>
      <c r="AD3402"/>
      <c r="AE3402"/>
      <c r="AF3402"/>
      <c r="AG3402"/>
      <c r="AH3402"/>
      <c r="AI3402"/>
      <c r="AJ3402"/>
      <c r="AK3402"/>
      <c r="AL3402"/>
    </row>
    <row r="3403" spans="1:38" ht="15.75" customHeight="1" outlineLevel="3" x14ac:dyDescent="0.2">
      <c r="A3403" s="10">
        <v>142</v>
      </c>
      <c r="B3403" s="10" t="s">
        <v>71</v>
      </c>
      <c r="C3403" s="10" t="s">
        <v>688</v>
      </c>
      <c r="D3403" s="10" t="s">
        <v>506</v>
      </c>
      <c r="E3403" s="11" t="str">
        <f t="array" ref="E3403">_xlfn.XLOOKUP(D3403,Insumos!B:B,Insumos!C:$C)</f>
        <v>UN</v>
      </c>
      <c r="F3403" s="14">
        <v>1</v>
      </c>
      <c r="G3403" s="92">
        <f t="array" ref="G3403">IF(B3403="insumo",_xlfn.XLOOKUP($D3403,Insumos!$B$1:$B$996,Insumos!$D$1:$D$996),"")</f>
        <v>0.08</v>
      </c>
      <c r="H3403" s="92">
        <v>0.08</v>
      </c>
      <c r="I3403" s="13">
        <v>0</v>
      </c>
      <c r="J3403" s="13">
        <v>0</v>
      </c>
      <c r="K3403" s="13"/>
      <c r="L3403"/>
      <c r="M3403"/>
      <c r="N3403"/>
      <c r="O3403"/>
      <c r="P3403"/>
      <c r="Q3403"/>
      <c r="R3403"/>
      <c r="S3403"/>
      <c r="T3403"/>
      <c r="U3403"/>
      <c r="V3403"/>
      <c r="W3403"/>
      <c r="X3403"/>
      <c r="Y3403"/>
      <c r="Z3403"/>
      <c r="AA3403"/>
      <c r="AB3403"/>
      <c r="AC3403"/>
      <c r="AD3403"/>
      <c r="AE3403"/>
      <c r="AF3403"/>
      <c r="AG3403"/>
      <c r="AH3403"/>
      <c r="AI3403"/>
      <c r="AJ3403"/>
      <c r="AK3403"/>
      <c r="AL3403"/>
    </row>
    <row r="3404" spans="1:38" ht="15.75" customHeight="1" outlineLevel="3" x14ac:dyDescent="0.2">
      <c r="A3404" s="10">
        <v>101</v>
      </c>
      <c r="B3404" s="10" t="s">
        <v>71</v>
      </c>
      <c r="C3404" s="10" t="s">
        <v>688</v>
      </c>
      <c r="D3404" s="10" t="s">
        <v>507</v>
      </c>
      <c r="E3404" s="11" t="str">
        <f t="array" ref="E3404">_xlfn.XLOOKUP(D3404,Insumos!B:B,Insumos!C:$C)</f>
        <v>KG</v>
      </c>
      <c r="F3404" s="14">
        <v>0.01</v>
      </c>
      <c r="G3404" s="92">
        <f t="array" ref="G3404">IF(B3404="insumo",_xlfn.XLOOKUP($D3404,Insumos!$B$1:$B$996,Insumos!$D$1:$D$996),"")</f>
        <v>11.15</v>
      </c>
      <c r="H3404" s="92">
        <v>0.1115</v>
      </c>
      <c r="I3404" s="13">
        <v>0</v>
      </c>
      <c r="J3404" s="13">
        <v>0</v>
      </c>
      <c r="K3404" s="13"/>
      <c r="L3404"/>
      <c r="M3404"/>
      <c r="N3404"/>
      <c r="O3404"/>
      <c r="P3404"/>
      <c r="Q3404"/>
      <c r="R3404"/>
      <c r="S3404"/>
      <c r="T3404"/>
      <c r="U3404"/>
      <c r="V3404"/>
      <c r="W3404"/>
      <c r="X3404"/>
      <c r="Y3404"/>
      <c r="Z3404"/>
      <c r="AA3404"/>
      <c r="AB3404"/>
      <c r="AC3404"/>
      <c r="AD3404"/>
      <c r="AE3404"/>
      <c r="AF3404"/>
      <c r="AG3404"/>
      <c r="AH3404"/>
      <c r="AI3404"/>
      <c r="AJ3404"/>
      <c r="AK3404"/>
      <c r="AL3404"/>
    </row>
    <row r="3405" spans="1:38" ht="15.75" customHeight="1" outlineLevel="2" x14ac:dyDescent="0.2">
      <c r="A3405" s="1067">
        <v>1</v>
      </c>
      <c r="B3405" s="1067" t="s">
        <v>68</v>
      </c>
      <c r="C3405" s="1067" t="s">
        <v>690</v>
      </c>
      <c r="D3405" s="1067" t="s">
        <v>690</v>
      </c>
      <c r="E3405" s="1068" t="s">
        <v>70</v>
      </c>
      <c r="F3405" s="1067"/>
      <c r="G3405" s="1069" t="str">
        <f t="array" ref="G3405">IF(B3405="insumo",_xlfn.XLOOKUP($D3405,Insumos!$B$1:$B$996,Insumos!$D$1:$D$996),"")</f>
        <v/>
      </c>
      <c r="H3405" s="1069">
        <v>102.9491</v>
      </c>
      <c r="I3405" s="1070">
        <v>0</v>
      </c>
      <c r="J3405" s="1070">
        <v>0</v>
      </c>
      <c r="K3405" s="1070"/>
      <c r="L3405"/>
      <c r="M3405"/>
      <c r="N3405"/>
      <c r="O3405"/>
      <c r="P3405"/>
      <c r="Q3405"/>
      <c r="R3405"/>
      <c r="S3405"/>
      <c r="T3405"/>
      <c r="U3405"/>
      <c r="V3405"/>
      <c r="W3405"/>
      <c r="X3405"/>
      <c r="Y3405"/>
      <c r="Z3405"/>
      <c r="AA3405"/>
      <c r="AB3405"/>
      <c r="AC3405"/>
      <c r="AD3405"/>
      <c r="AE3405"/>
      <c r="AF3405"/>
      <c r="AG3405"/>
      <c r="AH3405"/>
      <c r="AI3405"/>
      <c r="AJ3405"/>
      <c r="AK3405"/>
      <c r="AL3405"/>
    </row>
    <row r="3406" spans="1:38" ht="15.75" customHeight="1" outlineLevel="3" x14ac:dyDescent="0.2">
      <c r="A3406" s="10">
        <v>1</v>
      </c>
      <c r="B3406" s="10" t="s">
        <v>71</v>
      </c>
      <c r="C3406" s="10" t="s">
        <v>690</v>
      </c>
      <c r="D3406" s="10" t="s">
        <v>691</v>
      </c>
      <c r="E3406" s="11" t="str">
        <f t="array" ref="E3406">_xlfn.XLOOKUP(D3406,Insumos!B:B,Insumos!C:$C)</f>
        <v>M2</v>
      </c>
      <c r="F3406" s="14">
        <v>1.1000000000000001</v>
      </c>
      <c r="G3406" s="92">
        <f t="array" ref="G3406">IF(B3406="insumo",_xlfn.XLOOKUP($D3406,Insumos!$B$1:$B$996,Insumos!$D$1:$D$996),"")</f>
        <v>84.9</v>
      </c>
      <c r="H3406" s="92">
        <v>93.39</v>
      </c>
      <c r="I3406" s="13">
        <v>0</v>
      </c>
      <c r="J3406" s="13">
        <v>0</v>
      </c>
      <c r="K3406" s="13"/>
      <c r="L3406"/>
      <c r="M3406"/>
      <c r="N3406"/>
      <c r="O3406"/>
      <c r="P3406"/>
      <c r="Q3406"/>
      <c r="R3406"/>
      <c r="S3406"/>
      <c r="T3406"/>
      <c r="U3406"/>
      <c r="V3406"/>
      <c r="W3406"/>
      <c r="X3406"/>
      <c r="Y3406"/>
      <c r="Z3406"/>
      <c r="AA3406"/>
      <c r="AB3406"/>
      <c r="AC3406"/>
      <c r="AD3406"/>
      <c r="AE3406"/>
      <c r="AF3406"/>
      <c r="AG3406"/>
      <c r="AH3406"/>
      <c r="AI3406"/>
      <c r="AJ3406"/>
      <c r="AK3406"/>
      <c r="AL3406"/>
    </row>
    <row r="3407" spans="1:38" ht="15.75" customHeight="1" outlineLevel="3" x14ac:dyDescent="0.2">
      <c r="A3407" s="10">
        <v>191</v>
      </c>
      <c r="B3407" s="10" t="s">
        <v>71</v>
      </c>
      <c r="C3407" s="10" t="s">
        <v>690</v>
      </c>
      <c r="D3407" s="10" t="s">
        <v>481</v>
      </c>
      <c r="E3407" s="11" t="str">
        <f t="array" ref="E3407">_xlfn.XLOOKUP(D3407,Insumos!B:B,Insumos!C:$C)</f>
        <v>KG</v>
      </c>
      <c r="F3407" s="14">
        <v>8.8000000000000007</v>
      </c>
      <c r="G3407" s="92">
        <f t="array" ref="G3407">IF(B3407="insumo",_xlfn.XLOOKUP($D3407,Insumos!$B$1:$B$996,Insumos!$D$1:$D$996),"")</f>
        <v>1.0645</v>
      </c>
      <c r="H3407" s="92">
        <v>9.3675999999999995</v>
      </c>
      <c r="I3407" s="13">
        <v>0</v>
      </c>
      <c r="J3407" s="13">
        <v>0</v>
      </c>
      <c r="K3407" s="13"/>
      <c r="L3407"/>
      <c r="M3407"/>
      <c r="N3407"/>
      <c r="O3407"/>
      <c r="P3407"/>
      <c r="Q3407"/>
      <c r="R3407"/>
      <c r="S3407"/>
      <c r="T3407"/>
      <c r="U3407"/>
      <c r="V3407"/>
      <c r="W3407"/>
      <c r="X3407"/>
      <c r="Y3407"/>
      <c r="Z3407"/>
      <c r="AA3407"/>
      <c r="AB3407"/>
      <c r="AC3407"/>
      <c r="AD3407"/>
      <c r="AE3407"/>
      <c r="AF3407"/>
      <c r="AG3407"/>
      <c r="AH3407"/>
      <c r="AI3407"/>
      <c r="AJ3407"/>
      <c r="AK3407"/>
      <c r="AL3407"/>
    </row>
    <row r="3408" spans="1:38" ht="15.75" customHeight="1" outlineLevel="3" x14ac:dyDescent="0.2">
      <c r="A3408" s="10">
        <v>142</v>
      </c>
      <c r="B3408" s="10" t="s">
        <v>71</v>
      </c>
      <c r="C3408" s="10" t="s">
        <v>690</v>
      </c>
      <c r="D3408" s="10" t="s">
        <v>506</v>
      </c>
      <c r="E3408" s="11" t="str">
        <f t="array" ref="E3408">_xlfn.XLOOKUP(D3408,Insumos!B:B,Insumos!C:$C)</f>
        <v>UN</v>
      </c>
      <c r="F3408" s="14">
        <v>1</v>
      </c>
      <c r="G3408" s="92">
        <f t="array" ref="G3408">IF(B3408="insumo",_xlfn.XLOOKUP($D3408,Insumos!$B$1:$B$996,Insumos!$D$1:$D$996),"")</f>
        <v>0.08</v>
      </c>
      <c r="H3408" s="92">
        <v>0.08</v>
      </c>
      <c r="I3408" s="13">
        <v>0</v>
      </c>
      <c r="J3408" s="13">
        <v>0</v>
      </c>
      <c r="K3408" s="13"/>
      <c r="L3408"/>
      <c r="M3408"/>
      <c r="N3408"/>
      <c r="O3408"/>
      <c r="P3408"/>
      <c r="Q3408"/>
      <c r="R3408"/>
      <c r="S3408"/>
      <c r="T3408"/>
      <c r="U3408"/>
      <c r="V3408"/>
      <c r="W3408"/>
      <c r="X3408"/>
      <c r="Y3408"/>
      <c r="Z3408"/>
      <c r="AA3408"/>
      <c r="AB3408"/>
      <c r="AC3408"/>
      <c r="AD3408"/>
      <c r="AE3408"/>
      <c r="AF3408"/>
      <c r="AG3408"/>
      <c r="AH3408"/>
      <c r="AI3408"/>
      <c r="AJ3408"/>
      <c r="AK3408"/>
      <c r="AL3408"/>
    </row>
    <row r="3409" spans="1:38" ht="15.75" customHeight="1" outlineLevel="3" x14ac:dyDescent="0.2">
      <c r="A3409" s="10">
        <v>101</v>
      </c>
      <c r="B3409" s="10" t="s">
        <v>71</v>
      </c>
      <c r="C3409" s="10" t="s">
        <v>690</v>
      </c>
      <c r="D3409" s="10" t="s">
        <v>507</v>
      </c>
      <c r="E3409" s="11" t="str">
        <f t="array" ref="E3409">_xlfn.XLOOKUP(D3409,Insumos!B:B,Insumos!C:$C)</f>
        <v>KG</v>
      </c>
      <c r="F3409" s="14">
        <v>0.01</v>
      </c>
      <c r="G3409" s="92">
        <f t="array" ref="G3409">IF(B3409="insumo",_xlfn.XLOOKUP($D3409,Insumos!$B$1:$B$996,Insumos!$D$1:$D$996),"")</f>
        <v>11.15</v>
      </c>
      <c r="H3409" s="92">
        <v>0.1115</v>
      </c>
      <c r="I3409" s="13">
        <v>0</v>
      </c>
      <c r="J3409" s="13">
        <v>0</v>
      </c>
      <c r="K3409" s="13"/>
      <c r="L3409"/>
      <c r="M3409"/>
      <c r="N3409"/>
      <c r="O3409"/>
      <c r="P3409"/>
      <c r="Q3409"/>
      <c r="R3409"/>
      <c r="S3409"/>
      <c r="T3409"/>
      <c r="U3409"/>
      <c r="V3409"/>
      <c r="W3409"/>
      <c r="X3409"/>
      <c r="Y3409"/>
      <c r="Z3409"/>
      <c r="AA3409"/>
      <c r="AB3409"/>
      <c r="AC3409"/>
      <c r="AD3409"/>
      <c r="AE3409"/>
      <c r="AF3409"/>
      <c r="AG3409"/>
      <c r="AH3409"/>
      <c r="AI3409"/>
      <c r="AJ3409"/>
      <c r="AK3409"/>
      <c r="AL3409"/>
    </row>
    <row r="3410" spans="1:38" ht="15.75" customHeight="1" outlineLevel="2" x14ac:dyDescent="0.2">
      <c r="A3410" s="1067">
        <v>1</v>
      </c>
      <c r="B3410" s="1067" t="s">
        <v>68</v>
      </c>
      <c r="C3410" s="1067" t="s">
        <v>668</v>
      </c>
      <c r="D3410" s="1067" t="s">
        <v>668</v>
      </c>
      <c r="E3410" s="1068" t="s">
        <v>70</v>
      </c>
      <c r="F3410" s="1067"/>
      <c r="G3410" s="1069" t="str">
        <f t="array" ref="G3410">IF(B3410="insumo",_xlfn.XLOOKUP($D3410,Insumos!$B$1:$B$996,Insumos!$D$1:$D$996),"")</f>
        <v/>
      </c>
      <c r="H3410" s="1069">
        <v>97.559100000000001</v>
      </c>
      <c r="I3410" s="1070">
        <v>0</v>
      </c>
      <c r="J3410" s="1070">
        <v>0</v>
      </c>
      <c r="K3410" s="1070"/>
      <c r="L3410"/>
      <c r="M3410"/>
      <c r="N3410"/>
      <c r="O3410"/>
      <c r="P3410"/>
      <c r="Q3410"/>
      <c r="R3410"/>
      <c r="S3410"/>
      <c r="T3410"/>
      <c r="U3410"/>
      <c r="V3410"/>
      <c r="W3410"/>
      <c r="X3410"/>
      <c r="Y3410"/>
      <c r="Z3410"/>
      <c r="AA3410"/>
      <c r="AB3410"/>
      <c r="AC3410"/>
      <c r="AD3410"/>
      <c r="AE3410"/>
      <c r="AF3410"/>
      <c r="AG3410"/>
      <c r="AH3410"/>
      <c r="AI3410"/>
      <c r="AJ3410"/>
      <c r="AK3410"/>
      <c r="AL3410"/>
    </row>
    <row r="3411" spans="1:38" ht="15.75" customHeight="1" outlineLevel="3" x14ac:dyDescent="0.2">
      <c r="A3411" s="10">
        <v>1</v>
      </c>
      <c r="B3411" s="10" t="s">
        <v>71</v>
      </c>
      <c r="C3411" s="10" t="s">
        <v>668</v>
      </c>
      <c r="D3411" s="10" t="s">
        <v>669</v>
      </c>
      <c r="E3411" s="11" t="str">
        <f t="array" ref="E3411">_xlfn.XLOOKUP(D3411,Insumos!B:B,Insumos!C:$C)</f>
        <v>M2</v>
      </c>
      <c r="F3411" s="14">
        <v>1.1000000000000001</v>
      </c>
      <c r="G3411" s="92">
        <f t="array" ref="G3411">IF(B3411="insumo",_xlfn.XLOOKUP($D3411,Insumos!$B$1:$B$996,Insumos!$D$1:$D$996),"")</f>
        <v>80</v>
      </c>
      <c r="H3411" s="92">
        <v>88</v>
      </c>
      <c r="I3411" s="13">
        <v>0</v>
      </c>
      <c r="J3411" s="13">
        <v>0</v>
      </c>
      <c r="K3411" s="13"/>
      <c r="L3411"/>
      <c r="M3411"/>
      <c r="N3411"/>
      <c r="O3411"/>
      <c r="P3411"/>
      <c r="Q3411"/>
      <c r="R3411"/>
      <c r="S3411"/>
      <c r="T3411"/>
      <c r="U3411"/>
      <c r="V3411"/>
      <c r="W3411"/>
      <c r="X3411"/>
      <c r="Y3411"/>
      <c r="Z3411"/>
      <c r="AA3411"/>
      <c r="AB3411"/>
      <c r="AC3411"/>
      <c r="AD3411"/>
      <c r="AE3411"/>
      <c r="AF3411"/>
      <c r="AG3411"/>
      <c r="AH3411"/>
      <c r="AI3411"/>
      <c r="AJ3411"/>
      <c r="AK3411"/>
      <c r="AL3411"/>
    </row>
    <row r="3412" spans="1:38" ht="15.75" customHeight="1" outlineLevel="3" x14ac:dyDescent="0.2">
      <c r="A3412" s="10">
        <v>191</v>
      </c>
      <c r="B3412" s="10" t="s">
        <v>71</v>
      </c>
      <c r="C3412" s="10" t="s">
        <v>668</v>
      </c>
      <c r="D3412" s="10" t="s">
        <v>481</v>
      </c>
      <c r="E3412" s="11" t="str">
        <f t="array" ref="E3412">_xlfn.XLOOKUP(D3412,Insumos!B:B,Insumos!C:$C)</f>
        <v>KG</v>
      </c>
      <c r="F3412" s="14">
        <v>8.8000000000000007</v>
      </c>
      <c r="G3412" s="92">
        <f t="array" ref="G3412">IF(B3412="insumo",_xlfn.XLOOKUP($D3412,Insumos!$B$1:$B$996,Insumos!$D$1:$D$996),"")</f>
        <v>1.0645</v>
      </c>
      <c r="H3412" s="92">
        <v>9.3675999999999995</v>
      </c>
      <c r="I3412" s="13">
        <v>0</v>
      </c>
      <c r="J3412" s="13">
        <v>0</v>
      </c>
      <c r="K3412" s="13"/>
      <c r="L3412"/>
      <c r="M3412"/>
      <c r="N3412"/>
      <c r="O3412"/>
      <c r="P3412"/>
      <c r="Q3412"/>
      <c r="R3412"/>
      <c r="S3412"/>
      <c r="T3412"/>
      <c r="U3412"/>
      <c r="V3412"/>
      <c r="W3412"/>
      <c r="X3412"/>
      <c r="Y3412"/>
      <c r="Z3412"/>
      <c r="AA3412"/>
      <c r="AB3412"/>
      <c r="AC3412"/>
      <c r="AD3412"/>
      <c r="AE3412"/>
      <c r="AF3412"/>
      <c r="AG3412"/>
      <c r="AH3412"/>
      <c r="AI3412"/>
      <c r="AJ3412"/>
      <c r="AK3412"/>
      <c r="AL3412"/>
    </row>
    <row r="3413" spans="1:38" ht="15.75" customHeight="1" outlineLevel="3" x14ac:dyDescent="0.2">
      <c r="A3413" s="10">
        <v>142</v>
      </c>
      <c r="B3413" s="10" t="s">
        <v>71</v>
      </c>
      <c r="C3413" s="10" t="s">
        <v>668</v>
      </c>
      <c r="D3413" s="10" t="s">
        <v>506</v>
      </c>
      <c r="E3413" s="11" t="str">
        <f t="array" ref="E3413">_xlfn.XLOOKUP(D3413,Insumos!B:B,Insumos!C:$C)</f>
        <v>UN</v>
      </c>
      <c r="F3413" s="14">
        <v>1</v>
      </c>
      <c r="G3413" s="92">
        <f t="array" ref="G3413">IF(B3413="insumo",_xlfn.XLOOKUP($D3413,Insumos!$B$1:$B$996,Insumos!$D$1:$D$996),"")</f>
        <v>0.08</v>
      </c>
      <c r="H3413" s="92">
        <v>0.08</v>
      </c>
      <c r="I3413" s="13">
        <v>0</v>
      </c>
      <c r="J3413" s="13">
        <v>0</v>
      </c>
      <c r="K3413" s="13"/>
      <c r="L3413"/>
      <c r="M3413"/>
      <c r="N3413"/>
      <c r="O3413"/>
      <c r="P3413"/>
      <c r="Q3413"/>
      <c r="R3413"/>
      <c r="S3413"/>
      <c r="T3413"/>
      <c r="U3413"/>
      <c r="V3413"/>
      <c r="W3413"/>
      <c r="X3413"/>
      <c r="Y3413"/>
      <c r="Z3413"/>
      <c r="AA3413"/>
      <c r="AB3413"/>
      <c r="AC3413"/>
      <c r="AD3413"/>
      <c r="AE3413"/>
      <c r="AF3413"/>
      <c r="AG3413"/>
      <c r="AH3413"/>
      <c r="AI3413"/>
      <c r="AJ3413"/>
      <c r="AK3413"/>
      <c r="AL3413"/>
    </row>
    <row r="3414" spans="1:38" ht="15.75" customHeight="1" outlineLevel="3" x14ac:dyDescent="0.2">
      <c r="A3414" s="10">
        <v>101</v>
      </c>
      <c r="B3414" s="10" t="s">
        <v>71</v>
      </c>
      <c r="C3414" s="10" t="s">
        <v>668</v>
      </c>
      <c r="D3414" s="10" t="s">
        <v>507</v>
      </c>
      <c r="E3414" s="11" t="str">
        <f t="array" ref="E3414">_xlfn.XLOOKUP(D3414,Insumos!B:B,Insumos!C:$C)</f>
        <v>KG</v>
      </c>
      <c r="F3414" s="14">
        <v>0.01</v>
      </c>
      <c r="G3414" s="92">
        <f t="array" ref="G3414">IF(B3414="insumo",_xlfn.XLOOKUP($D3414,Insumos!$B$1:$B$996,Insumos!$D$1:$D$996),"")</f>
        <v>11.15</v>
      </c>
      <c r="H3414" s="92">
        <v>0.1115</v>
      </c>
      <c r="I3414" s="13">
        <v>0</v>
      </c>
      <c r="J3414" s="13">
        <v>0</v>
      </c>
      <c r="K3414" s="13"/>
      <c r="L3414"/>
      <c r="M3414"/>
      <c r="N3414"/>
      <c r="O3414"/>
      <c r="P3414"/>
      <c r="Q3414"/>
      <c r="R3414"/>
      <c r="S3414"/>
      <c r="T3414"/>
      <c r="U3414"/>
      <c r="V3414"/>
      <c r="W3414"/>
      <c r="X3414"/>
      <c r="Y3414"/>
      <c r="Z3414"/>
      <c r="AA3414"/>
      <c r="AB3414"/>
      <c r="AC3414"/>
      <c r="AD3414"/>
      <c r="AE3414"/>
      <c r="AF3414"/>
      <c r="AG3414"/>
      <c r="AH3414"/>
      <c r="AI3414"/>
      <c r="AJ3414"/>
      <c r="AK3414"/>
      <c r="AL3414"/>
    </row>
    <row r="3415" spans="1:38" ht="15.75" customHeight="1" outlineLevel="2" x14ac:dyDescent="0.2">
      <c r="A3415" s="1067">
        <v>1</v>
      </c>
      <c r="B3415" s="1067" t="s">
        <v>68</v>
      </c>
      <c r="C3415" s="1067" t="s">
        <v>692</v>
      </c>
      <c r="D3415" s="1067" t="s">
        <v>692</v>
      </c>
      <c r="E3415" s="1068" t="s">
        <v>70</v>
      </c>
      <c r="F3415" s="1067"/>
      <c r="G3415" s="1069" t="str">
        <f t="array" ref="G3415">IF(B3415="insumo",_xlfn.XLOOKUP($D3415,Insumos!$B$1:$B$996,Insumos!$D$1:$D$996),"")</f>
        <v/>
      </c>
      <c r="H3415" s="1069">
        <v>168.94909999999999</v>
      </c>
      <c r="I3415" s="1070">
        <v>0</v>
      </c>
      <c r="J3415" s="1070">
        <v>0</v>
      </c>
      <c r="K3415" s="1070"/>
      <c r="L3415"/>
      <c r="M3415"/>
      <c r="N3415"/>
      <c r="O3415"/>
      <c r="P3415"/>
      <c r="Q3415"/>
      <c r="R3415"/>
      <c r="S3415"/>
      <c r="T3415"/>
      <c r="U3415"/>
      <c r="V3415"/>
      <c r="W3415"/>
      <c r="X3415"/>
      <c r="Y3415"/>
      <c r="Z3415"/>
      <c r="AA3415"/>
      <c r="AB3415"/>
      <c r="AC3415"/>
      <c r="AD3415"/>
      <c r="AE3415"/>
      <c r="AF3415"/>
      <c r="AG3415"/>
      <c r="AH3415"/>
      <c r="AI3415"/>
      <c r="AJ3415"/>
      <c r="AK3415"/>
      <c r="AL3415"/>
    </row>
    <row r="3416" spans="1:38" ht="15.75" customHeight="1" outlineLevel="3" x14ac:dyDescent="0.2">
      <c r="A3416" s="10">
        <v>1</v>
      </c>
      <c r="B3416" s="10" t="s">
        <v>71</v>
      </c>
      <c r="C3416" s="10" t="s">
        <v>692</v>
      </c>
      <c r="D3416" s="10" t="s">
        <v>693</v>
      </c>
      <c r="E3416" s="11" t="str">
        <f t="array" ref="E3416">_xlfn.XLOOKUP(D3416,Insumos!B:B,Insumos!C:$C)</f>
        <v>M2</v>
      </c>
      <c r="F3416" s="14">
        <v>1.1000000000000001</v>
      </c>
      <c r="G3416" s="92">
        <f t="array" ref="G3416">IF(B3416="insumo",_xlfn.XLOOKUP($D3416,Insumos!$B$1:$B$996,Insumos!$D$1:$D$996),"")</f>
        <v>144.9</v>
      </c>
      <c r="H3416" s="92">
        <v>159.38999999999999</v>
      </c>
      <c r="I3416" s="13">
        <v>0</v>
      </c>
      <c r="J3416" s="13">
        <v>0</v>
      </c>
      <c r="K3416" s="13"/>
      <c r="L3416"/>
      <c r="M3416"/>
      <c r="N3416"/>
      <c r="O3416"/>
      <c r="P3416"/>
      <c r="Q3416"/>
      <c r="R3416"/>
      <c r="S3416"/>
      <c r="T3416"/>
      <c r="U3416"/>
      <c r="V3416"/>
      <c r="W3416"/>
      <c r="X3416"/>
      <c r="Y3416"/>
      <c r="Z3416"/>
      <c r="AA3416"/>
      <c r="AB3416"/>
      <c r="AC3416"/>
      <c r="AD3416"/>
      <c r="AE3416"/>
      <c r="AF3416"/>
      <c r="AG3416"/>
      <c r="AH3416"/>
      <c r="AI3416"/>
      <c r="AJ3416"/>
      <c r="AK3416"/>
      <c r="AL3416"/>
    </row>
    <row r="3417" spans="1:38" ht="15.75" customHeight="1" outlineLevel="3" x14ac:dyDescent="0.2">
      <c r="A3417" s="10">
        <v>191</v>
      </c>
      <c r="B3417" s="10" t="s">
        <v>71</v>
      </c>
      <c r="C3417" s="10" t="s">
        <v>692</v>
      </c>
      <c r="D3417" s="10" t="s">
        <v>481</v>
      </c>
      <c r="E3417" s="11" t="str">
        <f t="array" ref="E3417">_xlfn.XLOOKUP(D3417,Insumos!B:B,Insumos!C:$C)</f>
        <v>KG</v>
      </c>
      <c r="F3417" s="14">
        <v>8.8000000000000007</v>
      </c>
      <c r="G3417" s="92">
        <f t="array" ref="G3417">IF(B3417="insumo",_xlfn.XLOOKUP($D3417,Insumos!$B$1:$B$996,Insumos!$D$1:$D$996),"")</f>
        <v>1.0645</v>
      </c>
      <c r="H3417" s="92">
        <v>9.3675999999999995</v>
      </c>
      <c r="I3417" s="13">
        <v>0</v>
      </c>
      <c r="J3417" s="13">
        <v>0</v>
      </c>
      <c r="K3417" s="13"/>
      <c r="L3417"/>
      <c r="M3417"/>
      <c r="N3417"/>
      <c r="O3417"/>
      <c r="P3417"/>
      <c r="Q3417"/>
      <c r="R3417"/>
      <c r="S3417"/>
      <c r="T3417"/>
      <c r="U3417"/>
      <c r="V3417"/>
      <c r="W3417"/>
      <c r="X3417"/>
      <c r="Y3417"/>
      <c r="Z3417"/>
      <c r="AA3417"/>
      <c r="AB3417"/>
      <c r="AC3417"/>
      <c r="AD3417"/>
      <c r="AE3417"/>
      <c r="AF3417"/>
      <c r="AG3417"/>
      <c r="AH3417"/>
      <c r="AI3417"/>
      <c r="AJ3417"/>
      <c r="AK3417"/>
      <c r="AL3417"/>
    </row>
    <row r="3418" spans="1:38" ht="15.75" customHeight="1" outlineLevel="3" x14ac:dyDescent="0.2">
      <c r="A3418" s="10">
        <v>142</v>
      </c>
      <c r="B3418" s="10" t="s">
        <v>71</v>
      </c>
      <c r="C3418" s="10" t="s">
        <v>692</v>
      </c>
      <c r="D3418" s="10" t="s">
        <v>506</v>
      </c>
      <c r="E3418" s="11" t="str">
        <f t="array" ref="E3418">_xlfn.XLOOKUP(D3418,Insumos!B:B,Insumos!C:$C)</f>
        <v>UN</v>
      </c>
      <c r="F3418" s="14">
        <v>1</v>
      </c>
      <c r="G3418" s="92">
        <f t="array" ref="G3418">IF(B3418="insumo",_xlfn.XLOOKUP($D3418,Insumos!$B$1:$B$996,Insumos!$D$1:$D$996),"")</f>
        <v>0.08</v>
      </c>
      <c r="H3418" s="92">
        <v>0.08</v>
      </c>
      <c r="I3418" s="13">
        <v>0</v>
      </c>
      <c r="J3418" s="13">
        <v>0</v>
      </c>
      <c r="K3418" s="13"/>
      <c r="L3418"/>
      <c r="M3418"/>
      <c r="N3418"/>
      <c r="O3418"/>
      <c r="P3418"/>
      <c r="Q3418"/>
      <c r="R3418"/>
      <c r="S3418"/>
      <c r="T3418"/>
      <c r="U3418"/>
      <c r="V3418"/>
      <c r="W3418"/>
      <c r="X3418"/>
      <c r="Y3418"/>
      <c r="Z3418"/>
      <c r="AA3418"/>
      <c r="AB3418"/>
      <c r="AC3418"/>
      <c r="AD3418"/>
      <c r="AE3418"/>
      <c r="AF3418"/>
      <c r="AG3418"/>
      <c r="AH3418"/>
      <c r="AI3418"/>
      <c r="AJ3418"/>
      <c r="AK3418"/>
      <c r="AL3418"/>
    </row>
    <row r="3419" spans="1:38" ht="15.75" customHeight="1" outlineLevel="3" x14ac:dyDescent="0.2">
      <c r="A3419" s="10">
        <v>101</v>
      </c>
      <c r="B3419" s="10" t="s">
        <v>71</v>
      </c>
      <c r="C3419" s="10" t="s">
        <v>692</v>
      </c>
      <c r="D3419" s="10" t="s">
        <v>507</v>
      </c>
      <c r="E3419" s="11" t="str">
        <f t="array" ref="E3419">_xlfn.XLOOKUP(D3419,Insumos!B:B,Insumos!C:$C)</f>
        <v>KG</v>
      </c>
      <c r="F3419" s="14">
        <v>0.01</v>
      </c>
      <c r="G3419" s="92">
        <f t="array" ref="G3419">IF(B3419="insumo",_xlfn.XLOOKUP($D3419,Insumos!$B$1:$B$996,Insumos!$D$1:$D$996),"")</f>
        <v>11.15</v>
      </c>
      <c r="H3419" s="92">
        <v>0.1115</v>
      </c>
      <c r="I3419" s="13">
        <v>0</v>
      </c>
      <c r="J3419" s="13">
        <v>0</v>
      </c>
      <c r="K3419" s="13"/>
      <c r="L3419"/>
      <c r="M3419"/>
      <c r="N3419"/>
      <c r="O3419"/>
      <c r="P3419"/>
      <c r="Q3419"/>
      <c r="R3419"/>
      <c r="S3419"/>
      <c r="T3419"/>
      <c r="U3419"/>
      <c r="V3419"/>
      <c r="W3419"/>
      <c r="X3419"/>
      <c r="Y3419"/>
      <c r="Z3419"/>
      <c r="AA3419"/>
      <c r="AB3419"/>
      <c r="AC3419"/>
      <c r="AD3419"/>
      <c r="AE3419"/>
      <c r="AF3419"/>
      <c r="AG3419"/>
      <c r="AH3419"/>
      <c r="AI3419"/>
      <c r="AJ3419"/>
      <c r="AK3419"/>
      <c r="AL3419"/>
    </row>
    <row r="3420" spans="1:38" ht="15.75" customHeight="1" outlineLevel="2" x14ac:dyDescent="0.2">
      <c r="A3420" s="1067">
        <v>1</v>
      </c>
      <c r="B3420" s="1067" t="s">
        <v>68</v>
      </c>
      <c r="C3420" s="1067" t="s">
        <v>670</v>
      </c>
      <c r="D3420" s="1067" t="s">
        <v>670</v>
      </c>
      <c r="E3420" s="1068" t="s">
        <v>70</v>
      </c>
      <c r="F3420" s="1067"/>
      <c r="G3420" s="1069" t="str">
        <f t="array" ref="G3420">IF(B3420="insumo",_xlfn.XLOOKUP($D3420,Insumos!$B$1:$B$996,Insumos!$D$1:$D$996),"")</f>
        <v/>
      </c>
      <c r="H3420" s="1069">
        <v>92.939099999999996</v>
      </c>
      <c r="I3420" s="1070">
        <v>0</v>
      </c>
      <c r="J3420" s="1070">
        <v>0</v>
      </c>
      <c r="K3420" s="1070"/>
      <c r="L3420"/>
      <c r="M3420"/>
      <c r="N3420"/>
      <c r="O3420"/>
      <c r="P3420"/>
      <c r="Q3420"/>
      <c r="R3420"/>
      <c r="S3420"/>
      <c r="T3420"/>
      <c r="U3420"/>
      <c r="V3420"/>
      <c r="W3420"/>
      <c r="X3420"/>
      <c r="Y3420"/>
      <c r="Z3420"/>
      <c r="AA3420"/>
      <c r="AB3420"/>
      <c r="AC3420"/>
      <c r="AD3420"/>
      <c r="AE3420"/>
      <c r="AF3420"/>
      <c r="AG3420"/>
      <c r="AH3420"/>
      <c r="AI3420"/>
      <c r="AJ3420"/>
      <c r="AK3420"/>
      <c r="AL3420"/>
    </row>
    <row r="3421" spans="1:38" ht="15.75" customHeight="1" outlineLevel="3" x14ac:dyDescent="0.2">
      <c r="A3421" s="10">
        <v>2</v>
      </c>
      <c r="B3421" s="10" t="s">
        <v>71</v>
      </c>
      <c r="C3421" s="10" t="s">
        <v>670</v>
      </c>
      <c r="D3421" s="10" t="s">
        <v>667</v>
      </c>
      <c r="E3421" s="11" t="str">
        <f t="array" ref="E3421">_xlfn.XLOOKUP(D3421,Insumos!B:B,Insumos!C:$C)</f>
        <v>M2</v>
      </c>
      <c r="F3421" s="14">
        <v>1.1000000000000001</v>
      </c>
      <c r="G3421" s="92">
        <f t="array" ref="G3421">IF(B3421="insumo",_xlfn.XLOOKUP($D3421,Insumos!$B$1:$B$996,Insumos!$D$1:$D$996),"")</f>
        <v>75.8</v>
      </c>
      <c r="H3421" s="92">
        <v>83.38</v>
      </c>
      <c r="I3421" s="13">
        <v>0</v>
      </c>
      <c r="J3421" s="13">
        <v>0</v>
      </c>
      <c r="K3421" s="13"/>
      <c r="L3421"/>
      <c r="M3421"/>
      <c r="N3421"/>
      <c r="O3421"/>
      <c r="P3421"/>
      <c r="Q3421"/>
      <c r="R3421"/>
      <c r="S3421"/>
      <c r="T3421"/>
      <c r="U3421"/>
      <c r="V3421"/>
      <c r="W3421"/>
      <c r="X3421"/>
      <c r="Y3421"/>
      <c r="Z3421"/>
      <c r="AA3421"/>
      <c r="AB3421"/>
      <c r="AC3421"/>
      <c r="AD3421"/>
      <c r="AE3421"/>
      <c r="AF3421"/>
      <c r="AG3421"/>
      <c r="AH3421"/>
      <c r="AI3421"/>
      <c r="AJ3421"/>
      <c r="AK3421"/>
      <c r="AL3421"/>
    </row>
    <row r="3422" spans="1:38" ht="15.75" customHeight="1" outlineLevel="3" x14ac:dyDescent="0.2">
      <c r="A3422" s="10">
        <v>191</v>
      </c>
      <c r="B3422" s="10" t="s">
        <v>71</v>
      </c>
      <c r="C3422" s="10" t="s">
        <v>670</v>
      </c>
      <c r="D3422" s="10" t="s">
        <v>481</v>
      </c>
      <c r="E3422" s="11" t="str">
        <f t="array" ref="E3422">_xlfn.XLOOKUP(D3422,Insumos!B:B,Insumos!C:$C)</f>
        <v>KG</v>
      </c>
      <c r="F3422" s="14">
        <v>8.8000000000000007</v>
      </c>
      <c r="G3422" s="92">
        <f t="array" ref="G3422">IF(B3422="insumo",_xlfn.XLOOKUP($D3422,Insumos!$B$1:$B$996,Insumos!$D$1:$D$996),"")</f>
        <v>1.0645</v>
      </c>
      <c r="H3422" s="92">
        <v>9.3675999999999995</v>
      </c>
      <c r="I3422" s="13">
        <v>0</v>
      </c>
      <c r="J3422" s="13">
        <v>0</v>
      </c>
      <c r="K3422" s="13"/>
      <c r="L3422"/>
      <c r="M3422"/>
      <c r="N3422"/>
      <c r="O3422"/>
      <c r="P3422"/>
      <c r="Q3422"/>
      <c r="R3422"/>
      <c r="S3422"/>
      <c r="T3422"/>
      <c r="U3422"/>
      <c r="V3422"/>
      <c r="W3422"/>
      <c r="X3422"/>
      <c r="Y3422"/>
      <c r="Z3422"/>
      <c r="AA3422"/>
      <c r="AB3422"/>
      <c r="AC3422"/>
      <c r="AD3422"/>
      <c r="AE3422"/>
      <c r="AF3422"/>
      <c r="AG3422"/>
      <c r="AH3422"/>
      <c r="AI3422"/>
      <c r="AJ3422"/>
      <c r="AK3422"/>
      <c r="AL3422"/>
    </row>
    <row r="3423" spans="1:38" ht="15.75" customHeight="1" outlineLevel="3" x14ac:dyDescent="0.2">
      <c r="A3423" s="10">
        <v>142</v>
      </c>
      <c r="B3423" s="10" t="s">
        <v>71</v>
      </c>
      <c r="C3423" s="10" t="s">
        <v>670</v>
      </c>
      <c r="D3423" s="10" t="s">
        <v>506</v>
      </c>
      <c r="E3423" s="11" t="str">
        <f t="array" ref="E3423">_xlfn.XLOOKUP(D3423,Insumos!B:B,Insumos!C:$C)</f>
        <v>UN</v>
      </c>
      <c r="F3423" s="14">
        <v>1</v>
      </c>
      <c r="G3423" s="92">
        <f t="array" ref="G3423">IF(B3423="insumo",_xlfn.XLOOKUP($D3423,Insumos!$B$1:$B$996,Insumos!$D$1:$D$996),"")</f>
        <v>0.08</v>
      </c>
      <c r="H3423" s="92">
        <v>0.08</v>
      </c>
      <c r="I3423" s="13">
        <v>0</v>
      </c>
      <c r="J3423" s="13">
        <v>0</v>
      </c>
      <c r="K3423" s="13"/>
      <c r="L3423"/>
      <c r="M3423"/>
      <c r="N3423"/>
      <c r="O3423"/>
      <c r="P3423"/>
      <c r="Q3423"/>
      <c r="R3423"/>
      <c r="S3423"/>
      <c r="T3423"/>
      <c r="U3423"/>
      <c r="V3423"/>
      <c r="W3423"/>
      <c r="X3423"/>
      <c r="Y3423"/>
      <c r="Z3423"/>
      <c r="AA3423"/>
      <c r="AB3423"/>
      <c r="AC3423"/>
      <c r="AD3423"/>
      <c r="AE3423"/>
      <c r="AF3423"/>
      <c r="AG3423"/>
      <c r="AH3423"/>
      <c r="AI3423"/>
      <c r="AJ3423"/>
      <c r="AK3423"/>
      <c r="AL3423"/>
    </row>
    <row r="3424" spans="1:38" ht="15.75" customHeight="1" outlineLevel="3" x14ac:dyDescent="0.2">
      <c r="A3424" s="10">
        <v>101</v>
      </c>
      <c r="B3424" s="10" t="s">
        <v>71</v>
      </c>
      <c r="C3424" s="10" t="s">
        <v>670</v>
      </c>
      <c r="D3424" s="10" t="s">
        <v>507</v>
      </c>
      <c r="E3424" s="11" t="str">
        <f t="array" ref="E3424">_xlfn.XLOOKUP(D3424,Insumos!B:B,Insumos!C:$C)</f>
        <v>KG</v>
      </c>
      <c r="F3424" s="14">
        <v>0.01</v>
      </c>
      <c r="G3424" s="92">
        <f t="array" ref="G3424">IF(B3424="insumo",_xlfn.XLOOKUP($D3424,Insumos!$B$1:$B$996,Insumos!$D$1:$D$996),"")</f>
        <v>11.15</v>
      </c>
      <c r="H3424" s="92">
        <v>0.1115</v>
      </c>
      <c r="I3424" s="13">
        <v>0</v>
      </c>
      <c r="J3424" s="13">
        <v>0</v>
      </c>
      <c r="K3424" s="13"/>
      <c r="L3424"/>
      <c r="M3424"/>
      <c r="N3424"/>
      <c r="O3424"/>
      <c r="P3424"/>
      <c r="Q3424"/>
      <c r="R3424"/>
      <c r="S3424"/>
      <c r="T3424"/>
      <c r="U3424"/>
      <c r="V3424"/>
      <c r="W3424"/>
      <c r="X3424"/>
      <c r="Y3424"/>
      <c r="Z3424"/>
      <c r="AA3424"/>
      <c r="AB3424"/>
      <c r="AC3424"/>
      <c r="AD3424"/>
      <c r="AE3424"/>
      <c r="AF3424"/>
      <c r="AG3424"/>
      <c r="AH3424"/>
      <c r="AI3424"/>
      <c r="AJ3424"/>
      <c r="AK3424"/>
      <c r="AL3424"/>
    </row>
    <row r="3425" spans="1:38" ht="15.75" customHeight="1" outlineLevel="2" x14ac:dyDescent="0.2">
      <c r="A3425" s="1067">
        <v>1</v>
      </c>
      <c r="B3425" s="1067" t="s">
        <v>68</v>
      </c>
      <c r="C3425" s="1067" t="s">
        <v>659</v>
      </c>
      <c r="D3425" s="1067" t="s">
        <v>659</v>
      </c>
      <c r="E3425" s="1068" t="s">
        <v>70</v>
      </c>
      <c r="F3425" s="1067"/>
      <c r="G3425" s="1069" t="str">
        <f t="array" ref="G3425">IF(B3425="insumo",_xlfn.XLOOKUP($D3425,Insumos!$B$1:$B$996,Insumos!$D$1:$D$996),"")</f>
        <v/>
      </c>
      <c r="H3425" s="1069">
        <v>206.53559999999999</v>
      </c>
      <c r="I3425" s="1070">
        <v>0</v>
      </c>
      <c r="J3425" s="1070">
        <v>0</v>
      </c>
      <c r="K3425" s="1070"/>
      <c r="L3425"/>
      <c r="M3425"/>
      <c r="N3425"/>
      <c r="O3425"/>
      <c r="P3425"/>
      <c r="Q3425"/>
      <c r="R3425"/>
      <c r="S3425"/>
      <c r="T3425"/>
      <c r="U3425"/>
      <c r="V3425"/>
      <c r="W3425"/>
      <c r="X3425"/>
      <c r="Y3425"/>
      <c r="Z3425"/>
      <c r="AA3425"/>
      <c r="AB3425"/>
      <c r="AC3425"/>
      <c r="AD3425"/>
      <c r="AE3425"/>
      <c r="AF3425"/>
      <c r="AG3425"/>
      <c r="AH3425"/>
      <c r="AI3425"/>
      <c r="AJ3425"/>
      <c r="AK3425"/>
      <c r="AL3425"/>
    </row>
    <row r="3426" spans="1:38" ht="15.75" customHeight="1" outlineLevel="3" x14ac:dyDescent="0.2">
      <c r="A3426" s="10">
        <v>1</v>
      </c>
      <c r="B3426" s="10" t="s">
        <v>71</v>
      </c>
      <c r="C3426" s="10" t="s">
        <v>659</v>
      </c>
      <c r="D3426" s="10" t="s">
        <v>660</v>
      </c>
      <c r="E3426" s="11" t="str">
        <f t="array" ref="E3426">_xlfn.XLOOKUP(D3426,Insumos!B:B,Insumos!C:$C)</f>
        <v>M2</v>
      </c>
      <c r="F3426" s="14">
        <v>1.1000000000000001</v>
      </c>
      <c r="G3426" s="92">
        <f t="array" ref="G3426">IF(B3426="insumo",_xlfn.XLOOKUP($D3426,Insumos!$B$1:$B$996,Insumos!$D$1:$D$996),"")</f>
        <v>178.8</v>
      </c>
      <c r="H3426" s="92">
        <v>196.68</v>
      </c>
      <c r="I3426" s="13">
        <v>0</v>
      </c>
      <c r="J3426" s="13">
        <v>0</v>
      </c>
      <c r="K3426" s="13"/>
      <c r="L3426"/>
      <c r="M3426"/>
      <c r="N3426"/>
      <c r="O3426"/>
      <c r="P3426"/>
      <c r="Q3426"/>
      <c r="R3426"/>
      <c r="S3426"/>
      <c r="T3426"/>
      <c r="U3426"/>
      <c r="V3426"/>
      <c r="W3426"/>
      <c r="X3426"/>
      <c r="Y3426"/>
      <c r="Z3426"/>
      <c r="AA3426"/>
      <c r="AB3426"/>
      <c r="AC3426"/>
      <c r="AD3426"/>
      <c r="AE3426"/>
      <c r="AF3426"/>
      <c r="AG3426"/>
      <c r="AH3426"/>
      <c r="AI3426"/>
      <c r="AJ3426"/>
      <c r="AK3426"/>
      <c r="AL3426"/>
    </row>
    <row r="3427" spans="1:38" ht="15.75" customHeight="1" outlineLevel="3" x14ac:dyDescent="0.2">
      <c r="A3427" s="10">
        <v>191</v>
      </c>
      <c r="B3427" s="10" t="s">
        <v>71</v>
      </c>
      <c r="C3427" s="10" t="s">
        <v>659</v>
      </c>
      <c r="D3427" s="10" t="s">
        <v>481</v>
      </c>
      <c r="E3427" s="11" t="str">
        <f t="array" ref="E3427">_xlfn.XLOOKUP(D3427,Insumos!B:B,Insumos!C:$C)</f>
        <v>KG</v>
      </c>
      <c r="F3427" s="14">
        <v>8.8000000000000007</v>
      </c>
      <c r="G3427" s="92">
        <f t="array" ref="G3427">IF(B3427="insumo",_xlfn.XLOOKUP($D3427,Insumos!$B$1:$B$996,Insumos!$D$1:$D$996),"")</f>
        <v>1.0645</v>
      </c>
      <c r="H3427" s="92">
        <v>9.3675999999999995</v>
      </c>
      <c r="I3427" s="13">
        <v>0</v>
      </c>
      <c r="J3427" s="13">
        <v>0</v>
      </c>
      <c r="K3427" s="13"/>
      <c r="L3427"/>
      <c r="M3427"/>
      <c r="N3427"/>
      <c r="O3427"/>
      <c r="P3427"/>
      <c r="Q3427"/>
      <c r="R3427"/>
      <c r="S3427"/>
      <c r="T3427"/>
      <c r="U3427"/>
      <c r="V3427"/>
      <c r="W3427"/>
      <c r="X3427"/>
      <c r="Y3427"/>
      <c r="Z3427"/>
      <c r="AA3427"/>
      <c r="AB3427"/>
      <c r="AC3427"/>
      <c r="AD3427"/>
      <c r="AE3427"/>
      <c r="AF3427"/>
      <c r="AG3427"/>
      <c r="AH3427"/>
      <c r="AI3427"/>
      <c r="AJ3427"/>
      <c r="AK3427"/>
      <c r="AL3427"/>
    </row>
    <row r="3428" spans="1:38" ht="15.75" customHeight="1" outlineLevel="3" x14ac:dyDescent="0.2">
      <c r="A3428" s="10">
        <v>17</v>
      </c>
      <c r="B3428" s="10" t="s">
        <v>71</v>
      </c>
      <c r="C3428" s="10" t="s">
        <v>659</v>
      </c>
      <c r="D3428" s="10" t="s">
        <v>521</v>
      </c>
      <c r="E3428" s="11" t="str">
        <f t="array" ref="E3428">_xlfn.XLOOKUP(D3428,Insumos!B:B,Insumos!C:$C)</f>
        <v>UN</v>
      </c>
      <c r="F3428" s="14">
        <v>1</v>
      </c>
      <c r="G3428" s="92">
        <f t="array" ref="G3428">IF(B3428="insumo",_xlfn.XLOOKUP($D3428,Insumos!$B$1:$B$996,Insumos!$D$1:$D$996),"")</f>
        <v>0.05</v>
      </c>
      <c r="H3428" s="92">
        <v>0.05</v>
      </c>
      <c r="I3428" s="13">
        <v>0</v>
      </c>
      <c r="J3428" s="13">
        <v>0</v>
      </c>
      <c r="K3428" s="13"/>
      <c r="L3428"/>
      <c r="M3428"/>
      <c r="N3428"/>
      <c r="O3428"/>
      <c r="P3428"/>
      <c r="Q3428"/>
      <c r="R3428"/>
      <c r="S3428"/>
      <c r="T3428"/>
      <c r="U3428"/>
      <c r="V3428"/>
      <c r="W3428"/>
      <c r="X3428"/>
      <c r="Y3428"/>
      <c r="Z3428"/>
      <c r="AA3428"/>
      <c r="AB3428"/>
      <c r="AC3428"/>
      <c r="AD3428"/>
      <c r="AE3428"/>
      <c r="AF3428"/>
      <c r="AG3428"/>
      <c r="AH3428"/>
      <c r="AI3428"/>
      <c r="AJ3428"/>
      <c r="AK3428"/>
      <c r="AL3428"/>
    </row>
    <row r="3429" spans="1:38" ht="15.75" customHeight="1" outlineLevel="3" x14ac:dyDescent="0.2">
      <c r="A3429" s="10">
        <v>22</v>
      </c>
      <c r="B3429" s="10" t="s">
        <v>71</v>
      </c>
      <c r="C3429" s="10" t="s">
        <v>659</v>
      </c>
      <c r="D3429" s="10" t="s">
        <v>661</v>
      </c>
      <c r="E3429" s="11" t="str">
        <f t="array" ref="E3429">_xlfn.XLOOKUP(D3429,Insumos!B:B,Insumos!C:$C)</f>
        <v>KG</v>
      </c>
      <c r="F3429" s="14">
        <v>0.01</v>
      </c>
      <c r="G3429" s="92">
        <f t="array" ref="G3429">IF(B3429="insumo",_xlfn.XLOOKUP($D3429,Insumos!$B$1:$B$996,Insumos!$D$1:$D$996),"")</f>
        <v>43.8</v>
      </c>
      <c r="H3429" s="92">
        <v>0.438</v>
      </c>
      <c r="I3429" s="13">
        <v>0</v>
      </c>
      <c r="J3429" s="13">
        <v>0</v>
      </c>
      <c r="K3429" s="13"/>
      <c r="L3429"/>
      <c r="M3429"/>
      <c r="N3429"/>
      <c r="O3429"/>
      <c r="P3429"/>
      <c r="Q3429"/>
      <c r="R3429"/>
      <c r="S3429"/>
      <c r="T3429"/>
      <c r="U3429"/>
      <c r="V3429"/>
      <c r="W3429"/>
      <c r="X3429"/>
      <c r="Y3429"/>
      <c r="Z3429"/>
      <c r="AA3429"/>
      <c r="AB3429"/>
      <c r="AC3429"/>
      <c r="AD3429"/>
      <c r="AE3429"/>
      <c r="AF3429"/>
      <c r="AG3429"/>
      <c r="AH3429"/>
      <c r="AI3429"/>
      <c r="AJ3429"/>
      <c r="AK3429"/>
      <c r="AL3429"/>
    </row>
    <row r="3430" spans="1:38" ht="15.75" customHeight="1" outlineLevel="2" x14ac:dyDescent="0.2">
      <c r="A3430" s="1067">
        <v>1</v>
      </c>
      <c r="B3430" s="1067" t="s">
        <v>68</v>
      </c>
      <c r="C3430" s="1067" t="s">
        <v>1487</v>
      </c>
      <c r="D3430" s="1067" t="s">
        <v>1487</v>
      </c>
      <c r="E3430" s="1068" t="s">
        <v>70</v>
      </c>
      <c r="F3430" s="1067"/>
      <c r="G3430" s="1069" t="str">
        <f t="array" ref="G3430">IF(B3430="insumo",_xlfn.XLOOKUP($D3430,Insumos!$B$1:$B$996,Insumos!$D$1:$D$996),"")</f>
        <v/>
      </c>
      <c r="H3430" s="1069">
        <v>128.2491</v>
      </c>
      <c r="I3430" s="1070">
        <v>0</v>
      </c>
      <c r="J3430" s="1070">
        <v>0</v>
      </c>
      <c r="K3430" s="1070"/>
      <c r="L3430"/>
      <c r="M3430"/>
      <c r="N3430"/>
      <c r="O3430"/>
      <c r="P3430"/>
      <c r="Q3430"/>
      <c r="R3430"/>
      <c r="S3430"/>
      <c r="T3430"/>
      <c r="U3430"/>
      <c r="V3430"/>
      <c r="W3430"/>
      <c r="X3430"/>
      <c r="Y3430"/>
      <c r="Z3430"/>
      <c r="AA3430"/>
      <c r="AB3430"/>
      <c r="AC3430"/>
      <c r="AD3430"/>
      <c r="AE3430"/>
      <c r="AF3430"/>
      <c r="AG3430"/>
      <c r="AH3430"/>
      <c r="AI3430"/>
      <c r="AJ3430"/>
      <c r="AK3430"/>
      <c r="AL3430"/>
    </row>
    <row r="3431" spans="1:38" ht="15.75" customHeight="1" outlineLevel="3" x14ac:dyDescent="0.2">
      <c r="A3431" s="10">
        <v>1</v>
      </c>
      <c r="B3431" s="10" t="s">
        <v>71</v>
      </c>
      <c r="C3431" s="10" t="s">
        <v>1487</v>
      </c>
      <c r="D3431" s="10" t="s">
        <v>1485</v>
      </c>
      <c r="E3431" s="11" t="str">
        <f t="array" ref="E3431">_xlfn.XLOOKUP(D3431,Insumos!B:B,Insumos!C:$C)</f>
        <v>M2</v>
      </c>
      <c r="F3431" s="14">
        <v>1.1000000000000001</v>
      </c>
      <c r="G3431" s="92">
        <f t="array" ref="G3431">IF(B3431="insumo",_xlfn.XLOOKUP($D3431,Insumos!$B$1:$B$996,Insumos!$D$1:$D$996),"")</f>
        <v>107.9</v>
      </c>
      <c r="H3431" s="92">
        <v>118.69</v>
      </c>
      <c r="I3431" s="13">
        <v>0</v>
      </c>
      <c r="J3431" s="13">
        <v>0</v>
      </c>
      <c r="K3431" s="13"/>
      <c r="L3431"/>
      <c r="M3431"/>
      <c r="N3431"/>
      <c r="O3431"/>
      <c r="P3431"/>
      <c r="Q3431"/>
      <c r="R3431"/>
      <c r="S3431"/>
      <c r="T3431"/>
      <c r="U3431"/>
      <c r="V3431"/>
      <c r="W3431"/>
      <c r="X3431"/>
      <c r="Y3431"/>
      <c r="Z3431"/>
      <c r="AA3431"/>
      <c r="AB3431"/>
      <c r="AC3431"/>
      <c r="AD3431"/>
      <c r="AE3431"/>
      <c r="AF3431"/>
      <c r="AG3431"/>
      <c r="AH3431"/>
      <c r="AI3431"/>
      <c r="AJ3431"/>
      <c r="AK3431"/>
      <c r="AL3431"/>
    </row>
    <row r="3432" spans="1:38" ht="15.75" customHeight="1" outlineLevel="3" x14ac:dyDescent="0.2">
      <c r="A3432" s="10">
        <v>191</v>
      </c>
      <c r="B3432" s="10" t="s">
        <v>71</v>
      </c>
      <c r="C3432" s="10" t="s">
        <v>1487</v>
      </c>
      <c r="D3432" s="10" t="s">
        <v>481</v>
      </c>
      <c r="E3432" s="11" t="str">
        <f t="array" ref="E3432">_xlfn.XLOOKUP(D3432,Insumos!B:B,Insumos!C:$C)</f>
        <v>KG</v>
      </c>
      <c r="F3432" s="14">
        <v>8.8000000000000007</v>
      </c>
      <c r="G3432" s="92">
        <f t="array" ref="G3432">IF(B3432="insumo",_xlfn.XLOOKUP($D3432,Insumos!$B$1:$B$996,Insumos!$D$1:$D$996),"")</f>
        <v>1.0645</v>
      </c>
      <c r="H3432" s="92">
        <v>9.3675999999999995</v>
      </c>
      <c r="I3432" s="13">
        <v>0</v>
      </c>
      <c r="J3432" s="13">
        <v>0</v>
      </c>
      <c r="K3432" s="13"/>
      <c r="L3432"/>
      <c r="M3432"/>
      <c r="N3432"/>
      <c r="O3432"/>
      <c r="P3432"/>
      <c r="Q3432"/>
      <c r="R3432"/>
      <c r="S3432"/>
      <c r="T3432"/>
      <c r="U3432"/>
      <c r="V3432"/>
      <c r="W3432"/>
      <c r="X3432"/>
      <c r="Y3432"/>
      <c r="Z3432"/>
      <c r="AA3432"/>
      <c r="AB3432"/>
      <c r="AC3432"/>
      <c r="AD3432"/>
      <c r="AE3432"/>
      <c r="AF3432"/>
      <c r="AG3432"/>
      <c r="AH3432"/>
      <c r="AI3432"/>
      <c r="AJ3432"/>
      <c r="AK3432"/>
      <c r="AL3432"/>
    </row>
    <row r="3433" spans="1:38" ht="15.75" customHeight="1" outlineLevel="3" x14ac:dyDescent="0.2">
      <c r="A3433" s="10">
        <v>142</v>
      </c>
      <c r="B3433" s="10" t="s">
        <v>71</v>
      </c>
      <c r="C3433" s="10" t="s">
        <v>1487</v>
      </c>
      <c r="D3433" s="10" t="s">
        <v>506</v>
      </c>
      <c r="E3433" s="11" t="str">
        <f t="array" ref="E3433">_xlfn.XLOOKUP(D3433,Insumos!B:B,Insumos!C:$C)</f>
        <v>UN</v>
      </c>
      <c r="F3433" s="14">
        <v>1</v>
      </c>
      <c r="G3433" s="92">
        <f t="array" ref="G3433">IF(B3433="insumo",_xlfn.XLOOKUP($D3433,Insumos!$B$1:$B$996,Insumos!$D$1:$D$996),"")</f>
        <v>0.08</v>
      </c>
      <c r="H3433" s="92">
        <v>0.08</v>
      </c>
      <c r="I3433" s="13">
        <v>0</v>
      </c>
      <c r="J3433" s="13">
        <v>0</v>
      </c>
      <c r="K3433" s="13"/>
      <c r="L3433"/>
      <c r="M3433"/>
      <c r="N3433"/>
      <c r="O3433"/>
      <c r="P3433"/>
      <c r="Q3433"/>
      <c r="R3433"/>
      <c r="S3433"/>
      <c r="T3433"/>
      <c r="U3433"/>
      <c r="V3433"/>
      <c r="W3433"/>
      <c r="X3433"/>
      <c r="Y3433"/>
      <c r="Z3433"/>
      <c r="AA3433"/>
      <c r="AB3433"/>
      <c r="AC3433"/>
      <c r="AD3433"/>
      <c r="AE3433"/>
      <c r="AF3433"/>
      <c r="AG3433"/>
      <c r="AH3433"/>
      <c r="AI3433"/>
      <c r="AJ3433"/>
      <c r="AK3433"/>
      <c r="AL3433"/>
    </row>
    <row r="3434" spans="1:38" ht="15.75" customHeight="1" outlineLevel="3" x14ac:dyDescent="0.2">
      <c r="A3434" s="10">
        <v>101</v>
      </c>
      <c r="B3434" s="10" t="s">
        <v>71</v>
      </c>
      <c r="C3434" s="10" t="s">
        <v>1487</v>
      </c>
      <c r="D3434" s="10" t="s">
        <v>507</v>
      </c>
      <c r="E3434" s="11" t="str">
        <f t="array" ref="E3434">_xlfn.XLOOKUP(D3434,Insumos!B:B,Insumos!C:$C)</f>
        <v>KG</v>
      </c>
      <c r="F3434" s="14">
        <v>0.01</v>
      </c>
      <c r="G3434" s="92">
        <f t="array" ref="G3434">IF(B3434="insumo",_xlfn.XLOOKUP($D3434,Insumos!$B$1:$B$996,Insumos!$D$1:$D$996),"")</f>
        <v>11.15</v>
      </c>
      <c r="H3434" s="92">
        <v>0.1115</v>
      </c>
      <c r="I3434" s="13">
        <v>0</v>
      </c>
      <c r="J3434" s="13">
        <v>0</v>
      </c>
      <c r="K3434" s="13"/>
      <c r="L3434"/>
      <c r="M3434"/>
      <c r="N3434"/>
      <c r="O3434"/>
      <c r="P3434"/>
      <c r="Q3434"/>
      <c r="R3434"/>
      <c r="S3434"/>
      <c r="T3434"/>
      <c r="U3434"/>
      <c r="V3434"/>
      <c r="W3434"/>
      <c r="X3434"/>
      <c r="Y3434"/>
      <c r="Z3434"/>
      <c r="AA3434"/>
      <c r="AB3434"/>
      <c r="AC3434"/>
      <c r="AD3434"/>
      <c r="AE3434"/>
      <c r="AF3434"/>
      <c r="AG3434"/>
      <c r="AH3434"/>
      <c r="AI3434"/>
      <c r="AJ3434"/>
      <c r="AK3434"/>
      <c r="AL3434"/>
    </row>
    <row r="3435" spans="1:38" ht="15.75" customHeight="1" outlineLevel="2" x14ac:dyDescent="0.2">
      <c r="A3435" s="1067">
        <v>1</v>
      </c>
      <c r="B3435" s="1067" t="s">
        <v>68</v>
      </c>
      <c r="C3435" s="1067" t="s">
        <v>1488</v>
      </c>
      <c r="D3435" s="1067" t="s">
        <v>1488</v>
      </c>
      <c r="E3435" s="1068" t="s">
        <v>70</v>
      </c>
      <c r="F3435" s="1067"/>
      <c r="G3435" s="1069" t="str">
        <f t="array" ref="G3435">IF(B3435="insumo",_xlfn.XLOOKUP($D3435,Insumos!$B$1:$B$996,Insumos!$D$1:$D$996),"")</f>
        <v/>
      </c>
      <c r="H3435" s="1069">
        <v>93.5441</v>
      </c>
      <c r="I3435" s="1070">
        <v>0</v>
      </c>
      <c r="J3435" s="1070">
        <v>0</v>
      </c>
      <c r="K3435" s="1070"/>
      <c r="L3435"/>
      <c r="M3435"/>
      <c r="N3435"/>
      <c r="O3435"/>
      <c r="P3435"/>
      <c r="Q3435"/>
      <c r="R3435"/>
      <c r="S3435"/>
      <c r="T3435"/>
      <c r="U3435"/>
      <c r="V3435"/>
      <c r="W3435"/>
      <c r="X3435"/>
      <c r="Y3435"/>
      <c r="Z3435"/>
      <c r="AA3435"/>
      <c r="AB3435"/>
      <c r="AC3435"/>
      <c r="AD3435"/>
      <c r="AE3435"/>
      <c r="AF3435"/>
      <c r="AG3435"/>
      <c r="AH3435"/>
      <c r="AI3435"/>
      <c r="AJ3435"/>
      <c r="AK3435"/>
      <c r="AL3435"/>
    </row>
    <row r="3436" spans="1:38" ht="15.75" customHeight="1" outlineLevel="3" x14ac:dyDescent="0.2">
      <c r="A3436" s="10">
        <v>1</v>
      </c>
      <c r="B3436" s="10" t="s">
        <v>71</v>
      </c>
      <c r="C3436" s="10" t="s">
        <v>1488</v>
      </c>
      <c r="D3436" s="10" t="s">
        <v>1486</v>
      </c>
      <c r="E3436" s="11" t="str">
        <f t="array" ref="E3436">_xlfn.XLOOKUP(D3436,Insumos!B:B,Insumos!C:$C)</f>
        <v>M2</v>
      </c>
      <c r="F3436" s="14">
        <v>1.1000000000000001</v>
      </c>
      <c r="G3436" s="92">
        <f t="array" ref="G3436">IF(B3436="insumo",_xlfn.XLOOKUP($D3436,Insumos!$B$1:$B$996,Insumos!$D$1:$D$996),"")</f>
        <v>76.349999999999994</v>
      </c>
      <c r="H3436" s="92">
        <v>83.984999999999999</v>
      </c>
      <c r="I3436" s="13">
        <v>0</v>
      </c>
      <c r="J3436" s="13">
        <v>0</v>
      </c>
      <c r="K3436" s="13"/>
      <c r="L3436"/>
      <c r="M3436"/>
      <c r="N3436"/>
      <c r="O3436"/>
      <c r="P3436"/>
      <c r="Q3436"/>
      <c r="R3436"/>
      <c r="S3436"/>
      <c r="T3436"/>
      <c r="U3436"/>
      <c r="V3436"/>
      <c r="W3436"/>
      <c r="X3436"/>
      <c r="Y3436"/>
      <c r="Z3436"/>
      <c r="AA3436"/>
      <c r="AB3436"/>
      <c r="AC3436"/>
      <c r="AD3436"/>
      <c r="AE3436"/>
      <c r="AF3436"/>
      <c r="AG3436"/>
      <c r="AH3436"/>
      <c r="AI3436"/>
      <c r="AJ3436"/>
      <c r="AK3436"/>
      <c r="AL3436"/>
    </row>
    <row r="3437" spans="1:38" ht="15.75" customHeight="1" outlineLevel="3" x14ac:dyDescent="0.2">
      <c r="A3437" s="10">
        <v>191</v>
      </c>
      <c r="B3437" s="10" t="s">
        <v>71</v>
      </c>
      <c r="C3437" s="10" t="s">
        <v>1488</v>
      </c>
      <c r="D3437" s="10" t="s">
        <v>481</v>
      </c>
      <c r="E3437" s="11" t="str">
        <f t="array" ref="E3437">_xlfn.XLOOKUP(D3437,Insumos!B:B,Insumos!C:$C)</f>
        <v>KG</v>
      </c>
      <c r="F3437" s="14">
        <v>8.8000000000000007</v>
      </c>
      <c r="G3437" s="92">
        <f t="array" ref="G3437">IF(B3437="insumo",_xlfn.XLOOKUP($D3437,Insumos!$B$1:$B$996,Insumos!$D$1:$D$996),"")</f>
        <v>1.0645</v>
      </c>
      <c r="H3437" s="92">
        <v>9.3675999999999995</v>
      </c>
      <c r="I3437" s="13">
        <v>0</v>
      </c>
      <c r="J3437" s="13">
        <v>0</v>
      </c>
      <c r="K3437" s="13"/>
      <c r="L3437"/>
      <c r="M3437"/>
      <c r="N3437"/>
      <c r="O3437"/>
      <c r="P3437"/>
      <c r="Q3437"/>
      <c r="R3437"/>
      <c r="S3437"/>
      <c r="T3437"/>
      <c r="U3437"/>
      <c r="V3437"/>
      <c r="W3437"/>
      <c r="X3437"/>
      <c r="Y3437"/>
      <c r="Z3437"/>
      <c r="AA3437"/>
      <c r="AB3437"/>
      <c r="AC3437"/>
      <c r="AD3437"/>
      <c r="AE3437"/>
      <c r="AF3437"/>
      <c r="AG3437"/>
      <c r="AH3437"/>
      <c r="AI3437"/>
      <c r="AJ3437"/>
      <c r="AK3437"/>
      <c r="AL3437"/>
    </row>
    <row r="3438" spans="1:38" ht="15.75" customHeight="1" outlineLevel="3" x14ac:dyDescent="0.2">
      <c r="A3438" s="10">
        <v>142</v>
      </c>
      <c r="B3438" s="10" t="s">
        <v>71</v>
      </c>
      <c r="C3438" s="10" t="s">
        <v>1488</v>
      </c>
      <c r="D3438" s="10" t="s">
        <v>506</v>
      </c>
      <c r="E3438" s="11" t="str">
        <f t="array" ref="E3438">_xlfn.XLOOKUP(D3438,Insumos!B:B,Insumos!C:$C)</f>
        <v>UN</v>
      </c>
      <c r="F3438" s="14">
        <v>1</v>
      </c>
      <c r="G3438" s="92">
        <f t="array" ref="G3438">IF(B3438="insumo",_xlfn.XLOOKUP($D3438,Insumos!$B$1:$B$996,Insumos!$D$1:$D$996),"")</f>
        <v>0.08</v>
      </c>
      <c r="H3438" s="92">
        <v>0.08</v>
      </c>
      <c r="I3438" s="13">
        <v>0</v>
      </c>
      <c r="J3438" s="13">
        <v>0</v>
      </c>
      <c r="K3438" s="13"/>
      <c r="L3438"/>
      <c r="M3438"/>
      <c r="N3438"/>
      <c r="O3438"/>
      <c r="P3438"/>
      <c r="Q3438"/>
      <c r="R3438"/>
      <c r="S3438"/>
      <c r="T3438"/>
      <c r="U3438"/>
      <c r="V3438"/>
      <c r="W3438"/>
      <c r="X3438"/>
      <c r="Y3438"/>
      <c r="Z3438"/>
      <c r="AA3438"/>
      <c r="AB3438"/>
      <c r="AC3438"/>
      <c r="AD3438"/>
      <c r="AE3438"/>
      <c r="AF3438"/>
      <c r="AG3438"/>
      <c r="AH3438"/>
      <c r="AI3438"/>
      <c r="AJ3438"/>
      <c r="AK3438"/>
      <c r="AL3438"/>
    </row>
    <row r="3439" spans="1:38" ht="15.75" customHeight="1" outlineLevel="3" x14ac:dyDescent="0.2">
      <c r="A3439" s="10">
        <v>101</v>
      </c>
      <c r="B3439" s="10" t="s">
        <v>71</v>
      </c>
      <c r="C3439" s="10" t="s">
        <v>1488</v>
      </c>
      <c r="D3439" s="10" t="s">
        <v>507</v>
      </c>
      <c r="E3439" s="11" t="str">
        <f t="array" ref="E3439">_xlfn.XLOOKUP(D3439,Insumos!B:B,Insumos!C:$C)</f>
        <v>KG</v>
      </c>
      <c r="F3439" s="14">
        <v>0.01</v>
      </c>
      <c r="G3439" s="92">
        <f t="array" ref="G3439">IF(B3439="insumo",_xlfn.XLOOKUP($D3439,Insumos!$B$1:$B$996,Insumos!$D$1:$D$996),"")</f>
        <v>11.15</v>
      </c>
      <c r="H3439" s="92">
        <v>0.1115</v>
      </c>
      <c r="I3439" s="13">
        <v>0</v>
      </c>
      <c r="J3439" s="13">
        <v>0</v>
      </c>
      <c r="K3439" s="13"/>
      <c r="L3439"/>
      <c r="M3439"/>
      <c r="N3439"/>
      <c r="O3439"/>
      <c r="P3439"/>
      <c r="Q3439"/>
      <c r="R3439"/>
      <c r="S3439"/>
      <c r="T3439"/>
      <c r="U3439"/>
      <c r="V3439"/>
      <c r="W3439"/>
      <c r="X3439"/>
      <c r="Y3439"/>
      <c r="Z3439"/>
      <c r="AA3439"/>
      <c r="AB3439"/>
      <c r="AC3439"/>
      <c r="AD3439"/>
      <c r="AE3439"/>
      <c r="AF3439"/>
      <c r="AG3439"/>
      <c r="AH3439"/>
      <c r="AI3439"/>
      <c r="AJ3439"/>
      <c r="AK3439"/>
      <c r="AL3439"/>
    </row>
    <row r="3440" spans="1:38" ht="15.75" customHeight="1" outlineLevel="2" x14ac:dyDescent="0.2">
      <c r="A3440" s="1067">
        <v>1</v>
      </c>
      <c r="B3440" s="1067" t="s">
        <v>68</v>
      </c>
      <c r="C3440" s="1067" t="s">
        <v>1495</v>
      </c>
      <c r="D3440" s="1067" t="s">
        <v>1495</v>
      </c>
      <c r="E3440" s="1068" t="s">
        <v>70</v>
      </c>
      <c r="F3440" s="1067"/>
      <c r="G3440" s="1069" t="str">
        <f t="array" ref="G3440">IF(B3440="insumo",_xlfn.XLOOKUP($D3440,Insumos!$B$1:$B$996,Insumos!$D$1:$D$996),"")</f>
        <v/>
      </c>
      <c r="H3440" s="1069">
        <v>117.683833333333</v>
      </c>
      <c r="I3440" s="1070">
        <v>0</v>
      </c>
      <c r="J3440" s="1070">
        <v>0</v>
      </c>
      <c r="K3440" s="1070"/>
      <c r="L3440"/>
      <c r="M3440"/>
      <c r="N3440"/>
      <c r="O3440"/>
      <c r="P3440"/>
      <c r="Q3440"/>
      <c r="R3440"/>
      <c r="S3440"/>
      <c r="T3440"/>
      <c r="U3440"/>
      <c r="V3440"/>
      <c r="W3440"/>
      <c r="X3440"/>
      <c r="Y3440"/>
      <c r="Z3440"/>
      <c r="AA3440"/>
      <c r="AB3440"/>
      <c r="AC3440"/>
      <c r="AD3440"/>
      <c r="AE3440"/>
      <c r="AF3440"/>
      <c r="AG3440"/>
      <c r="AH3440"/>
      <c r="AI3440"/>
      <c r="AJ3440"/>
      <c r="AK3440"/>
      <c r="AL3440"/>
    </row>
    <row r="3441" spans="1:38" ht="15.75" customHeight="1" outlineLevel="3" x14ac:dyDescent="0.2">
      <c r="A3441" s="10">
        <v>1</v>
      </c>
      <c r="B3441" s="10" t="s">
        <v>71</v>
      </c>
      <c r="C3441" s="10" t="s">
        <v>1495</v>
      </c>
      <c r="D3441" s="10" t="s">
        <v>1496</v>
      </c>
      <c r="E3441" s="11" t="str">
        <f t="array" ref="E3441">_xlfn.XLOOKUP(D3441,Insumos!B:B,Insumos!C:$C)</f>
        <v>M2</v>
      </c>
      <c r="F3441" s="14">
        <v>1.1000000000000001</v>
      </c>
      <c r="G3441" s="92">
        <f t="array" ref="G3441">IF(B3441="insumo",_xlfn.XLOOKUP($D3441,Insumos!$B$1:$B$996,Insumos!$D$1:$D$996),"")</f>
        <v>92.916666666666671</v>
      </c>
      <c r="H3441" s="92">
        <v>102.208333333333</v>
      </c>
      <c r="I3441" s="13">
        <v>0</v>
      </c>
      <c r="J3441" s="13">
        <v>0</v>
      </c>
      <c r="K3441" s="13"/>
      <c r="L3441"/>
      <c r="M3441"/>
      <c r="N3441"/>
      <c r="O3441"/>
      <c r="P3441"/>
      <c r="Q3441"/>
      <c r="R3441"/>
      <c r="S3441"/>
      <c r="T3441"/>
      <c r="U3441"/>
      <c r="V3441"/>
      <c r="W3441"/>
      <c r="X3441"/>
      <c r="Y3441"/>
      <c r="Z3441"/>
      <c r="AA3441"/>
      <c r="AB3441"/>
      <c r="AC3441"/>
      <c r="AD3441"/>
      <c r="AE3441"/>
      <c r="AF3441"/>
      <c r="AG3441"/>
      <c r="AH3441"/>
      <c r="AI3441"/>
      <c r="AJ3441"/>
      <c r="AK3441"/>
      <c r="AL3441"/>
    </row>
    <row r="3442" spans="1:38" ht="15.75" customHeight="1" outlineLevel="3" x14ac:dyDescent="0.2">
      <c r="A3442" s="10">
        <v>191</v>
      </c>
      <c r="B3442" s="10" t="s">
        <v>71</v>
      </c>
      <c r="C3442" s="10" t="s">
        <v>1495</v>
      </c>
      <c r="D3442" s="10" t="s">
        <v>481</v>
      </c>
      <c r="E3442" s="11" t="str">
        <f t="array" ref="E3442">_xlfn.XLOOKUP(D3442,Insumos!B:B,Insumos!C:$C)</f>
        <v>KG</v>
      </c>
      <c r="F3442" s="14">
        <v>9</v>
      </c>
      <c r="G3442" s="92">
        <f t="array" ref="G3442">IF(B3442="insumo",_xlfn.XLOOKUP($D3442,Insumos!$B$1:$B$996,Insumos!$D$1:$D$996),"")</f>
        <v>1.0645</v>
      </c>
      <c r="H3442" s="92">
        <v>9.5805000000000007</v>
      </c>
      <c r="I3442" s="13">
        <v>0</v>
      </c>
      <c r="J3442" s="13">
        <v>0</v>
      </c>
      <c r="K3442" s="13"/>
      <c r="L3442"/>
      <c r="M3442"/>
      <c r="N3442"/>
      <c r="O3442"/>
      <c r="P3442"/>
      <c r="Q3442"/>
      <c r="R3442"/>
      <c r="S3442"/>
      <c r="T3442"/>
      <c r="U3442"/>
      <c r="V3442"/>
      <c r="W3442"/>
      <c r="X3442"/>
      <c r="Y3442"/>
      <c r="Z3442"/>
      <c r="AA3442"/>
      <c r="AB3442"/>
      <c r="AC3442"/>
      <c r="AD3442"/>
      <c r="AE3442"/>
      <c r="AF3442"/>
      <c r="AG3442"/>
      <c r="AH3442"/>
      <c r="AI3442"/>
      <c r="AJ3442"/>
      <c r="AK3442"/>
      <c r="AL3442"/>
    </row>
    <row r="3443" spans="1:38" ht="15.75" customHeight="1" outlineLevel="3" x14ac:dyDescent="0.2">
      <c r="A3443" s="10">
        <v>142</v>
      </c>
      <c r="B3443" s="10" t="s">
        <v>71</v>
      </c>
      <c r="C3443" s="10" t="s">
        <v>1495</v>
      </c>
      <c r="D3443" s="10" t="s">
        <v>506</v>
      </c>
      <c r="E3443" s="11" t="str">
        <f t="array" ref="E3443">_xlfn.XLOOKUP(D3443,Insumos!B:B,Insumos!C:$C)</f>
        <v>UN</v>
      </c>
      <c r="F3443" s="14">
        <v>4</v>
      </c>
      <c r="G3443" s="92">
        <f t="array" ref="G3443">IF(B3443="insumo",_xlfn.XLOOKUP($D3443,Insumos!$B$1:$B$996,Insumos!$D$1:$D$996),"")</f>
        <v>0.08</v>
      </c>
      <c r="H3443" s="92">
        <v>0.32</v>
      </c>
      <c r="I3443" s="13">
        <v>0</v>
      </c>
      <c r="J3443" s="13">
        <v>0</v>
      </c>
      <c r="K3443" s="13"/>
      <c r="L3443"/>
      <c r="M3443"/>
      <c r="N3443"/>
      <c r="O3443"/>
      <c r="P3443"/>
      <c r="Q3443"/>
      <c r="R3443"/>
      <c r="S3443"/>
      <c r="T3443"/>
      <c r="U3443"/>
      <c r="V3443"/>
      <c r="W3443"/>
      <c r="X3443"/>
      <c r="Y3443"/>
      <c r="Z3443"/>
      <c r="AA3443"/>
      <c r="AB3443"/>
      <c r="AC3443"/>
      <c r="AD3443"/>
      <c r="AE3443"/>
      <c r="AF3443"/>
      <c r="AG3443"/>
      <c r="AH3443"/>
      <c r="AI3443"/>
      <c r="AJ3443"/>
      <c r="AK3443"/>
      <c r="AL3443"/>
    </row>
    <row r="3444" spans="1:38" ht="15.75" customHeight="1" outlineLevel="3" x14ac:dyDescent="0.2">
      <c r="A3444" s="10">
        <v>101</v>
      </c>
      <c r="B3444" s="10" t="s">
        <v>71</v>
      </c>
      <c r="C3444" s="10" t="s">
        <v>1495</v>
      </c>
      <c r="D3444" s="10" t="s">
        <v>507</v>
      </c>
      <c r="E3444" s="11" t="str">
        <f t="array" ref="E3444">_xlfn.XLOOKUP(D3444,Insumos!B:B,Insumos!C:$C)</f>
        <v>KG</v>
      </c>
      <c r="F3444" s="14">
        <v>0.5</v>
      </c>
      <c r="G3444" s="92">
        <f t="array" ref="G3444">IF(B3444="insumo",_xlfn.XLOOKUP($D3444,Insumos!$B$1:$B$996,Insumos!$D$1:$D$996),"")</f>
        <v>11.15</v>
      </c>
      <c r="H3444" s="92">
        <v>5.5750000000000002</v>
      </c>
      <c r="I3444" s="13">
        <v>0</v>
      </c>
      <c r="J3444" s="13">
        <v>0</v>
      </c>
      <c r="K3444" s="13"/>
      <c r="L3444"/>
      <c r="M3444"/>
      <c r="N3444"/>
      <c r="O3444"/>
      <c r="P3444"/>
      <c r="Q3444"/>
      <c r="R3444"/>
      <c r="S3444"/>
      <c r="T3444"/>
      <c r="U3444"/>
      <c r="V3444"/>
      <c r="W3444"/>
      <c r="X3444"/>
      <c r="Y3444"/>
      <c r="Z3444"/>
      <c r="AA3444"/>
      <c r="AB3444"/>
      <c r="AC3444"/>
      <c r="AD3444"/>
      <c r="AE3444"/>
      <c r="AF3444"/>
      <c r="AG3444"/>
      <c r="AH3444"/>
      <c r="AI3444"/>
      <c r="AJ3444"/>
      <c r="AK3444"/>
      <c r="AL3444"/>
    </row>
    <row r="3445" spans="1:38" ht="15.75" customHeight="1" outlineLevel="2" x14ac:dyDescent="0.2">
      <c r="A3445" s="1067">
        <v>1</v>
      </c>
      <c r="B3445" s="1067" t="s">
        <v>68</v>
      </c>
      <c r="C3445" s="1067" t="s">
        <v>665</v>
      </c>
      <c r="D3445" s="1067" t="s">
        <v>665</v>
      </c>
      <c r="E3445" s="1068" t="s">
        <v>70</v>
      </c>
      <c r="F3445" s="1067"/>
      <c r="G3445" s="1069" t="str">
        <f t="array" ref="G3445">IF(B3445="insumo",_xlfn.XLOOKUP($D3445,Insumos!$B$1:$B$996,Insumos!$D$1:$D$996),"")</f>
        <v/>
      </c>
      <c r="H3445" s="1069">
        <v>166.05449999999999</v>
      </c>
      <c r="I3445" s="1070">
        <v>0</v>
      </c>
      <c r="J3445" s="1070">
        <v>0</v>
      </c>
      <c r="K3445" s="1070"/>
      <c r="L3445"/>
      <c r="M3445"/>
      <c r="N3445"/>
      <c r="O3445"/>
      <c r="P3445"/>
      <c r="Q3445"/>
      <c r="R3445"/>
      <c r="S3445"/>
      <c r="T3445"/>
      <c r="U3445"/>
      <c r="V3445"/>
      <c r="W3445"/>
      <c r="X3445"/>
      <c r="Y3445"/>
      <c r="Z3445"/>
      <c r="AA3445"/>
      <c r="AB3445"/>
      <c r="AC3445"/>
      <c r="AD3445"/>
      <c r="AE3445"/>
      <c r="AF3445"/>
      <c r="AG3445"/>
      <c r="AH3445"/>
      <c r="AI3445"/>
      <c r="AJ3445"/>
      <c r="AK3445"/>
      <c r="AL3445"/>
    </row>
    <row r="3446" spans="1:38" ht="15.75" customHeight="1" outlineLevel="3" x14ac:dyDescent="0.2">
      <c r="A3446" s="10">
        <v>3</v>
      </c>
      <c r="B3446" s="10" t="s">
        <v>71</v>
      </c>
      <c r="C3446" s="10" t="s">
        <v>665</v>
      </c>
      <c r="D3446" s="10" t="s">
        <v>664</v>
      </c>
      <c r="E3446" s="11" t="str">
        <f t="array" ref="E3446">_xlfn.XLOOKUP(D3446,Insumos!B:B,Insumos!C:$C)</f>
        <v>M2</v>
      </c>
      <c r="F3446" s="14">
        <v>1.1000000000000001</v>
      </c>
      <c r="G3446" s="92">
        <f t="array" ref="G3446">IF(B3446="insumo",_xlfn.XLOOKUP($D3446,Insumos!$B$1:$B$996,Insumos!$D$1:$D$996),"")</f>
        <v>136.88999999999999</v>
      </c>
      <c r="H3446" s="92">
        <v>150.57900000000001</v>
      </c>
      <c r="I3446" s="13">
        <v>0</v>
      </c>
      <c r="J3446" s="13">
        <v>0</v>
      </c>
      <c r="K3446" s="13"/>
      <c r="L3446"/>
      <c r="M3446"/>
      <c r="N3446"/>
      <c r="O3446"/>
      <c r="P3446"/>
      <c r="Q3446"/>
      <c r="R3446"/>
      <c r="S3446"/>
      <c r="T3446"/>
      <c r="U3446"/>
      <c r="V3446"/>
      <c r="W3446"/>
      <c r="X3446"/>
      <c r="Y3446"/>
      <c r="Z3446"/>
      <c r="AA3446"/>
      <c r="AB3446"/>
      <c r="AC3446"/>
      <c r="AD3446"/>
      <c r="AE3446"/>
      <c r="AF3446"/>
      <c r="AG3446"/>
      <c r="AH3446"/>
      <c r="AI3446"/>
      <c r="AJ3446"/>
      <c r="AK3446"/>
      <c r="AL3446"/>
    </row>
    <row r="3447" spans="1:38" ht="15.75" customHeight="1" outlineLevel="3" x14ac:dyDescent="0.2">
      <c r="A3447" s="10">
        <v>191</v>
      </c>
      <c r="B3447" s="10" t="s">
        <v>71</v>
      </c>
      <c r="C3447" s="10" t="s">
        <v>665</v>
      </c>
      <c r="D3447" s="10" t="s">
        <v>481</v>
      </c>
      <c r="E3447" s="11" t="str">
        <f t="array" ref="E3447">_xlfn.XLOOKUP(D3447,Insumos!B:B,Insumos!C:$C)</f>
        <v>KG</v>
      </c>
      <c r="F3447" s="14">
        <v>9</v>
      </c>
      <c r="G3447" s="92">
        <f t="array" ref="G3447">IF(B3447="insumo",_xlfn.XLOOKUP($D3447,Insumos!$B$1:$B$996,Insumos!$D$1:$D$996),"")</f>
        <v>1.0645</v>
      </c>
      <c r="H3447" s="92">
        <v>9.5805000000000007</v>
      </c>
      <c r="I3447" s="13">
        <v>0</v>
      </c>
      <c r="J3447" s="13">
        <v>0</v>
      </c>
      <c r="K3447" s="13"/>
      <c r="L3447"/>
      <c r="M3447"/>
      <c r="N3447"/>
      <c r="O3447"/>
      <c r="P3447"/>
      <c r="Q3447"/>
      <c r="R3447"/>
      <c r="S3447"/>
      <c r="T3447"/>
      <c r="U3447"/>
      <c r="V3447"/>
      <c r="W3447"/>
      <c r="X3447"/>
      <c r="Y3447"/>
      <c r="Z3447"/>
      <c r="AA3447"/>
      <c r="AB3447"/>
      <c r="AC3447"/>
      <c r="AD3447"/>
      <c r="AE3447"/>
      <c r="AF3447"/>
      <c r="AG3447"/>
      <c r="AH3447"/>
      <c r="AI3447"/>
      <c r="AJ3447"/>
      <c r="AK3447"/>
      <c r="AL3447"/>
    </row>
    <row r="3448" spans="1:38" ht="15.75" customHeight="1" outlineLevel="3" x14ac:dyDescent="0.2">
      <c r="A3448" s="10">
        <v>142</v>
      </c>
      <c r="B3448" s="10" t="s">
        <v>71</v>
      </c>
      <c r="C3448" s="10" t="s">
        <v>665</v>
      </c>
      <c r="D3448" s="10" t="s">
        <v>506</v>
      </c>
      <c r="E3448" s="11" t="str">
        <f t="array" ref="E3448">_xlfn.XLOOKUP(D3448,Insumos!B:B,Insumos!C:$C)</f>
        <v>UN</v>
      </c>
      <c r="F3448" s="14">
        <v>4</v>
      </c>
      <c r="G3448" s="92">
        <f t="array" ref="G3448">IF(B3448="insumo",_xlfn.XLOOKUP($D3448,Insumos!$B$1:$B$996,Insumos!$D$1:$D$996),"")</f>
        <v>0.08</v>
      </c>
      <c r="H3448" s="92">
        <v>0.32</v>
      </c>
      <c r="I3448" s="13">
        <v>0</v>
      </c>
      <c r="J3448" s="13">
        <v>0</v>
      </c>
      <c r="K3448" s="13"/>
      <c r="L3448"/>
      <c r="M3448"/>
      <c r="N3448"/>
      <c r="O3448"/>
      <c r="P3448"/>
      <c r="Q3448"/>
      <c r="R3448"/>
      <c r="S3448"/>
      <c r="T3448"/>
      <c r="U3448"/>
      <c r="V3448"/>
      <c r="W3448"/>
      <c r="X3448"/>
      <c r="Y3448"/>
      <c r="Z3448"/>
      <c r="AA3448"/>
      <c r="AB3448"/>
      <c r="AC3448"/>
      <c r="AD3448"/>
      <c r="AE3448"/>
      <c r="AF3448"/>
      <c r="AG3448"/>
      <c r="AH3448"/>
      <c r="AI3448"/>
      <c r="AJ3448"/>
      <c r="AK3448"/>
      <c r="AL3448"/>
    </row>
    <row r="3449" spans="1:38" ht="15.75" customHeight="1" outlineLevel="3" x14ac:dyDescent="0.2">
      <c r="A3449" s="10">
        <v>101</v>
      </c>
      <c r="B3449" s="10" t="s">
        <v>71</v>
      </c>
      <c r="C3449" s="10" t="s">
        <v>665</v>
      </c>
      <c r="D3449" s="10" t="s">
        <v>507</v>
      </c>
      <c r="E3449" s="11" t="str">
        <f t="array" ref="E3449">_xlfn.XLOOKUP(D3449,Insumos!B:B,Insumos!C:$C)</f>
        <v>KG</v>
      </c>
      <c r="F3449" s="14">
        <v>0.5</v>
      </c>
      <c r="G3449" s="92">
        <f t="array" ref="G3449">IF(B3449="insumo",_xlfn.XLOOKUP($D3449,Insumos!$B$1:$B$996,Insumos!$D$1:$D$996),"")</f>
        <v>11.15</v>
      </c>
      <c r="H3449" s="92">
        <v>5.5750000000000002</v>
      </c>
      <c r="I3449" s="13">
        <v>0</v>
      </c>
      <c r="J3449" s="13">
        <v>0</v>
      </c>
      <c r="K3449" s="13"/>
      <c r="L3449"/>
      <c r="M3449"/>
      <c r="N3449"/>
      <c r="O3449"/>
      <c r="P3449"/>
      <c r="Q3449"/>
      <c r="R3449"/>
      <c r="S3449"/>
      <c r="T3449"/>
      <c r="U3449"/>
      <c r="V3449"/>
      <c r="W3449"/>
      <c r="X3449"/>
      <c r="Y3449"/>
      <c r="Z3449"/>
      <c r="AA3449"/>
      <c r="AB3449"/>
      <c r="AC3449"/>
      <c r="AD3449"/>
      <c r="AE3449"/>
      <c r="AF3449"/>
      <c r="AG3449"/>
      <c r="AH3449"/>
      <c r="AI3449"/>
      <c r="AJ3449"/>
      <c r="AK3449"/>
      <c r="AL3449"/>
    </row>
    <row r="3450" spans="1:38" ht="15.75" customHeight="1" outlineLevel="2" x14ac:dyDescent="0.2">
      <c r="A3450" s="1067">
        <v>1</v>
      </c>
      <c r="B3450" s="1067" t="s">
        <v>68</v>
      </c>
      <c r="C3450" s="1067" t="s">
        <v>671</v>
      </c>
      <c r="D3450" s="1067" t="s">
        <v>671</v>
      </c>
      <c r="E3450" s="1068" t="s">
        <v>70</v>
      </c>
      <c r="F3450" s="1067"/>
      <c r="G3450" s="1069" t="str">
        <f t="array" ref="G3450">IF(B3450="insumo",_xlfn.XLOOKUP($D3450,Insumos!$B$1:$B$996,Insumos!$D$1:$D$996),"")</f>
        <v/>
      </c>
      <c r="H3450" s="1069">
        <v>169.47550000000001</v>
      </c>
      <c r="I3450" s="1070">
        <v>0</v>
      </c>
      <c r="J3450" s="1070">
        <v>0</v>
      </c>
      <c r="K3450" s="1070"/>
      <c r="L3450"/>
      <c r="M3450"/>
      <c r="N3450"/>
      <c r="O3450"/>
      <c r="P3450"/>
      <c r="Q3450"/>
      <c r="R3450"/>
      <c r="S3450"/>
      <c r="T3450"/>
      <c r="U3450"/>
      <c r="V3450"/>
      <c r="W3450"/>
      <c r="X3450"/>
      <c r="Y3450"/>
      <c r="Z3450"/>
      <c r="AA3450"/>
      <c r="AB3450"/>
      <c r="AC3450"/>
      <c r="AD3450"/>
      <c r="AE3450"/>
      <c r="AF3450"/>
      <c r="AG3450"/>
      <c r="AH3450"/>
      <c r="AI3450"/>
      <c r="AJ3450"/>
      <c r="AK3450"/>
      <c r="AL3450"/>
    </row>
    <row r="3451" spans="1:38" ht="15.75" customHeight="1" outlineLevel="3" x14ac:dyDescent="0.2">
      <c r="A3451" s="10">
        <v>1</v>
      </c>
      <c r="B3451" s="10" t="s">
        <v>71</v>
      </c>
      <c r="C3451" s="10" t="s">
        <v>671</v>
      </c>
      <c r="D3451" s="10" t="s">
        <v>672</v>
      </c>
      <c r="E3451" s="11" t="str">
        <f t="array" ref="E3451">_xlfn.XLOOKUP(D3451,Insumos!B:B,Insumos!C:$C)</f>
        <v>M2</v>
      </c>
      <c r="F3451" s="14">
        <v>1.1000000000000001</v>
      </c>
      <c r="G3451" s="92">
        <f t="array" ref="G3451">IF(B3451="insumo",_xlfn.XLOOKUP($D3451,Insumos!$B$1:$B$996,Insumos!$D$1:$D$996),"")</f>
        <v>140</v>
      </c>
      <c r="H3451" s="92">
        <v>154</v>
      </c>
      <c r="I3451" s="13">
        <v>0</v>
      </c>
      <c r="J3451" s="13">
        <v>0</v>
      </c>
      <c r="K3451" s="13"/>
      <c r="L3451"/>
      <c r="M3451"/>
      <c r="N3451"/>
      <c r="O3451"/>
      <c r="P3451"/>
      <c r="Q3451"/>
      <c r="R3451"/>
      <c r="S3451"/>
      <c r="T3451"/>
      <c r="U3451"/>
      <c r="V3451"/>
      <c r="W3451"/>
      <c r="X3451"/>
      <c r="Y3451"/>
      <c r="Z3451"/>
      <c r="AA3451"/>
      <c r="AB3451"/>
      <c r="AC3451"/>
      <c r="AD3451"/>
      <c r="AE3451"/>
      <c r="AF3451"/>
      <c r="AG3451"/>
      <c r="AH3451"/>
      <c r="AI3451"/>
      <c r="AJ3451"/>
      <c r="AK3451"/>
      <c r="AL3451"/>
    </row>
    <row r="3452" spans="1:38" ht="15.75" customHeight="1" outlineLevel="3" x14ac:dyDescent="0.2">
      <c r="A3452" s="10">
        <v>191</v>
      </c>
      <c r="B3452" s="10" t="s">
        <v>71</v>
      </c>
      <c r="C3452" s="10" t="s">
        <v>671</v>
      </c>
      <c r="D3452" s="10" t="s">
        <v>481</v>
      </c>
      <c r="E3452" s="11" t="str">
        <f t="array" ref="E3452">_xlfn.XLOOKUP(D3452,Insumos!B:B,Insumos!C:$C)</f>
        <v>KG</v>
      </c>
      <c r="F3452" s="14">
        <v>9</v>
      </c>
      <c r="G3452" s="92">
        <f t="array" ref="G3452">IF(B3452="insumo",_xlfn.XLOOKUP($D3452,Insumos!$B$1:$B$996,Insumos!$D$1:$D$996),"")</f>
        <v>1.0645</v>
      </c>
      <c r="H3452" s="92">
        <v>9.5805000000000007</v>
      </c>
      <c r="I3452" s="13">
        <v>0</v>
      </c>
      <c r="J3452" s="13">
        <v>0</v>
      </c>
      <c r="K3452" s="13"/>
      <c r="L3452"/>
      <c r="M3452"/>
      <c r="N3452"/>
      <c r="O3452"/>
      <c r="P3452"/>
      <c r="Q3452"/>
      <c r="R3452"/>
      <c r="S3452"/>
      <c r="T3452"/>
      <c r="U3452"/>
      <c r="V3452"/>
      <c r="W3452"/>
      <c r="X3452"/>
      <c r="Y3452"/>
      <c r="Z3452"/>
      <c r="AA3452"/>
      <c r="AB3452"/>
      <c r="AC3452"/>
      <c r="AD3452"/>
      <c r="AE3452"/>
      <c r="AF3452"/>
      <c r="AG3452"/>
      <c r="AH3452"/>
      <c r="AI3452"/>
      <c r="AJ3452"/>
      <c r="AK3452"/>
      <c r="AL3452"/>
    </row>
    <row r="3453" spans="1:38" ht="15.75" customHeight="1" outlineLevel="3" x14ac:dyDescent="0.2">
      <c r="A3453" s="10">
        <v>142</v>
      </c>
      <c r="B3453" s="10" t="s">
        <v>71</v>
      </c>
      <c r="C3453" s="10" t="s">
        <v>671</v>
      </c>
      <c r="D3453" s="10" t="s">
        <v>506</v>
      </c>
      <c r="E3453" s="11" t="str">
        <f t="array" ref="E3453">_xlfn.XLOOKUP(D3453,Insumos!B:B,Insumos!C:$C)</f>
        <v>UN</v>
      </c>
      <c r="F3453" s="14">
        <v>4</v>
      </c>
      <c r="G3453" s="92">
        <f t="array" ref="G3453">IF(B3453="insumo",_xlfn.XLOOKUP($D3453,Insumos!$B$1:$B$996,Insumos!$D$1:$D$996),"")</f>
        <v>0.08</v>
      </c>
      <c r="H3453" s="92">
        <v>0.32</v>
      </c>
      <c r="I3453" s="13">
        <v>0</v>
      </c>
      <c r="J3453" s="13">
        <v>0</v>
      </c>
      <c r="K3453" s="13"/>
      <c r="L3453"/>
      <c r="M3453"/>
      <c r="N3453"/>
      <c r="O3453"/>
      <c r="P3453"/>
      <c r="Q3453"/>
      <c r="R3453"/>
      <c r="S3453"/>
      <c r="T3453"/>
      <c r="U3453"/>
      <c r="V3453"/>
      <c r="W3453"/>
      <c r="X3453"/>
      <c r="Y3453"/>
      <c r="Z3453"/>
      <c r="AA3453"/>
      <c r="AB3453"/>
      <c r="AC3453"/>
      <c r="AD3453"/>
      <c r="AE3453"/>
      <c r="AF3453"/>
      <c r="AG3453"/>
      <c r="AH3453"/>
      <c r="AI3453"/>
      <c r="AJ3453"/>
      <c r="AK3453"/>
      <c r="AL3453"/>
    </row>
    <row r="3454" spans="1:38" ht="15.75" customHeight="1" outlineLevel="3" x14ac:dyDescent="0.2">
      <c r="A3454" s="10">
        <v>101</v>
      </c>
      <c r="B3454" s="10" t="s">
        <v>71</v>
      </c>
      <c r="C3454" s="10" t="s">
        <v>671</v>
      </c>
      <c r="D3454" s="10" t="s">
        <v>507</v>
      </c>
      <c r="E3454" s="11" t="str">
        <f t="array" ref="E3454">_xlfn.XLOOKUP(D3454,Insumos!B:B,Insumos!C:$C)</f>
        <v>KG</v>
      </c>
      <c r="F3454" s="14">
        <v>0.5</v>
      </c>
      <c r="G3454" s="92">
        <f t="array" ref="G3454">IF(B3454="insumo",_xlfn.XLOOKUP($D3454,Insumos!$B$1:$B$996,Insumos!$D$1:$D$996),"")</f>
        <v>11.15</v>
      </c>
      <c r="H3454" s="92">
        <v>5.5750000000000002</v>
      </c>
      <c r="I3454" s="13">
        <v>0</v>
      </c>
      <c r="J3454" s="13">
        <v>0</v>
      </c>
      <c r="K3454" s="13"/>
      <c r="L3454"/>
      <c r="M3454"/>
      <c r="N3454"/>
      <c r="O3454"/>
      <c r="P3454"/>
      <c r="Q3454"/>
      <c r="R3454"/>
      <c r="S3454"/>
      <c r="T3454"/>
      <c r="U3454"/>
      <c r="V3454"/>
      <c r="W3454"/>
      <c r="X3454"/>
      <c r="Y3454"/>
      <c r="Z3454"/>
      <c r="AA3454"/>
      <c r="AB3454"/>
      <c r="AC3454"/>
      <c r="AD3454"/>
      <c r="AE3454"/>
      <c r="AF3454"/>
      <c r="AG3454"/>
      <c r="AH3454"/>
      <c r="AI3454"/>
      <c r="AJ3454"/>
      <c r="AK3454"/>
      <c r="AL3454"/>
    </row>
    <row r="3455" spans="1:38" ht="15.75" customHeight="1" outlineLevel="2" x14ac:dyDescent="0.2">
      <c r="A3455" s="1067">
        <v>1</v>
      </c>
      <c r="B3455" s="1067" t="s">
        <v>68</v>
      </c>
      <c r="C3455" s="1067" t="s">
        <v>1481</v>
      </c>
      <c r="D3455" s="1067" t="s">
        <v>1481</v>
      </c>
      <c r="E3455" s="1068" t="s">
        <v>70</v>
      </c>
      <c r="F3455" s="1067"/>
      <c r="G3455" s="1069" t="str">
        <f t="array" ref="G3455">IF(B3455="insumo",_xlfn.XLOOKUP($D3455,Insumos!$B$1:$B$996,Insumos!$D$1:$D$996),"")</f>
        <v/>
      </c>
      <c r="H3455" s="1069">
        <v>156.73910000000001</v>
      </c>
      <c r="I3455" s="1070">
        <v>0</v>
      </c>
      <c r="J3455" s="1070">
        <v>0</v>
      </c>
      <c r="K3455" s="1070"/>
      <c r="L3455"/>
      <c r="M3455"/>
      <c r="N3455"/>
      <c r="O3455"/>
      <c r="P3455"/>
      <c r="Q3455"/>
      <c r="R3455"/>
      <c r="S3455"/>
      <c r="T3455"/>
      <c r="U3455"/>
      <c r="V3455"/>
      <c r="W3455"/>
      <c r="X3455"/>
      <c r="Y3455"/>
      <c r="Z3455"/>
      <c r="AA3455"/>
      <c r="AB3455"/>
      <c r="AC3455"/>
      <c r="AD3455"/>
      <c r="AE3455"/>
      <c r="AF3455"/>
      <c r="AG3455"/>
      <c r="AH3455"/>
      <c r="AI3455"/>
      <c r="AJ3455"/>
      <c r="AK3455"/>
      <c r="AL3455"/>
    </row>
    <row r="3456" spans="1:38" ht="15.75" customHeight="1" outlineLevel="3" x14ac:dyDescent="0.2">
      <c r="A3456" s="10">
        <v>2</v>
      </c>
      <c r="B3456" s="10" t="s">
        <v>71</v>
      </c>
      <c r="C3456" s="10" t="s">
        <v>1481</v>
      </c>
      <c r="D3456" s="10" t="s">
        <v>1428</v>
      </c>
      <c r="E3456" s="11" t="str">
        <f t="array" ref="E3456">_xlfn.XLOOKUP(D3456,Insumos!B:B,Insumos!C:$C)</f>
        <v>M2</v>
      </c>
      <c r="F3456" s="14">
        <v>1.1000000000000001</v>
      </c>
      <c r="G3456" s="92">
        <f t="array" ref="G3456">IF(B3456="insumo",_xlfn.XLOOKUP($D3456,Insumos!$B$1:$B$996,Insumos!$D$1:$D$996),"")</f>
        <v>133.80000000000001</v>
      </c>
      <c r="H3456" s="92">
        <v>147.18</v>
      </c>
      <c r="I3456" s="13">
        <v>0</v>
      </c>
      <c r="J3456" s="13">
        <v>0</v>
      </c>
      <c r="K3456" s="13"/>
      <c r="L3456"/>
      <c r="M3456"/>
      <c r="N3456"/>
      <c r="O3456"/>
      <c r="P3456"/>
      <c r="Q3456"/>
      <c r="R3456"/>
      <c r="S3456"/>
      <c r="T3456"/>
      <c r="U3456"/>
      <c r="V3456"/>
      <c r="W3456"/>
      <c r="X3456"/>
      <c r="Y3456"/>
      <c r="Z3456"/>
      <c r="AA3456"/>
      <c r="AB3456"/>
      <c r="AC3456"/>
      <c r="AD3456"/>
      <c r="AE3456"/>
      <c r="AF3456"/>
      <c r="AG3456"/>
      <c r="AH3456"/>
      <c r="AI3456"/>
      <c r="AJ3456"/>
      <c r="AK3456"/>
      <c r="AL3456"/>
    </row>
    <row r="3457" spans="1:38" ht="15.75" customHeight="1" outlineLevel="3" x14ac:dyDescent="0.2">
      <c r="A3457" s="10">
        <v>191</v>
      </c>
      <c r="B3457" s="10" t="s">
        <v>71</v>
      </c>
      <c r="C3457" s="10" t="s">
        <v>1481</v>
      </c>
      <c r="D3457" s="10" t="s">
        <v>481</v>
      </c>
      <c r="E3457" s="11" t="str">
        <f t="array" ref="E3457">_xlfn.XLOOKUP(D3457,Insumos!B:B,Insumos!C:$C)</f>
        <v>KG</v>
      </c>
      <c r="F3457" s="14">
        <v>8.8000000000000007</v>
      </c>
      <c r="G3457" s="92">
        <f t="array" ref="G3457">IF(B3457="insumo",_xlfn.XLOOKUP($D3457,Insumos!$B$1:$B$996,Insumos!$D$1:$D$996),"")</f>
        <v>1.0645</v>
      </c>
      <c r="H3457" s="92">
        <v>9.3675999999999995</v>
      </c>
      <c r="I3457" s="13">
        <v>0</v>
      </c>
      <c r="J3457" s="13">
        <v>0</v>
      </c>
      <c r="K3457" s="13"/>
      <c r="L3457"/>
      <c r="M3457"/>
      <c r="N3457"/>
      <c r="O3457"/>
      <c r="P3457"/>
      <c r="Q3457"/>
      <c r="R3457"/>
      <c r="S3457"/>
      <c r="T3457"/>
      <c r="U3457"/>
      <c r="V3457"/>
      <c r="W3457"/>
      <c r="X3457"/>
      <c r="Y3457"/>
      <c r="Z3457"/>
      <c r="AA3457"/>
      <c r="AB3457"/>
      <c r="AC3457"/>
      <c r="AD3457"/>
      <c r="AE3457"/>
      <c r="AF3457"/>
      <c r="AG3457"/>
      <c r="AH3457"/>
      <c r="AI3457"/>
      <c r="AJ3457"/>
      <c r="AK3457"/>
      <c r="AL3457"/>
    </row>
    <row r="3458" spans="1:38" ht="15.75" customHeight="1" outlineLevel="3" x14ac:dyDescent="0.2">
      <c r="A3458" s="10">
        <v>142</v>
      </c>
      <c r="B3458" s="10" t="s">
        <v>71</v>
      </c>
      <c r="C3458" s="10" t="s">
        <v>1481</v>
      </c>
      <c r="D3458" s="10" t="s">
        <v>506</v>
      </c>
      <c r="E3458" s="11" t="str">
        <f t="array" ref="E3458">_xlfn.XLOOKUP(D3458,Insumos!B:B,Insumos!C:$C)</f>
        <v>UN</v>
      </c>
      <c r="F3458" s="14">
        <v>1</v>
      </c>
      <c r="G3458" s="92">
        <f t="array" ref="G3458">IF(B3458="insumo",_xlfn.XLOOKUP($D3458,Insumos!$B$1:$B$996,Insumos!$D$1:$D$996),"")</f>
        <v>0.08</v>
      </c>
      <c r="H3458" s="92">
        <v>0.08</v>
      </c>
      <c r="I3458" s="13">
        <v>0</v>
      </c>
      <c r="J3458" s="13">
        <v>0</v>
      </c>
      <c r="K3458" s="13"/>
      <c r="L3458"/>
      <c r="M3458"/>
      <c r="N3458"/>
      <c r="O3458"/>
      <c r="P3458"/>
      <c r="Q3458"/>
      <c r="R3458"/>
      <c r="S3458"/>
      <c r="T3458"/>
      <c r="U3458"/>
      <c r="V3458"/>
      <c r="W3458"/>
      <c r="X3458"/>
      <c r="Y3458"/>
      <c r="Z3458"/>
      <c r="AA3458"/>
      <c r="AB3458"/>
      <c r="AC3458"/>
      <c r="AD3458"/>
      <c r="AE3458"/>
      <c r="AF3458"/>
      <c r="AG3458"/>
      <c r="AH3458"/>
      <c r="AI3458"/>
      <c r="AJ3458"/>
      <c r="AK3458"/>
      <c r="AL3458"/>
    </row>
    <row r="3459" spans="1:38" ht="15.75" customHeight="1" outlineLevel="3" x14ac:dyDescent="0.2">
      <c r="A3459" s="10">
        <v>101</v>
      </c>
      <c r="B3459" s="10" t="s">
        <v>71</v>
      </c>
      <c r="C3459" s="10" t="s">
        <v>1481</v>
      </c>
      <c r="D3459" s="10" t="s">
        <v>507</v>
      </c>
      <c r="E3459" s="11" t="str">
        <f t="array" ref="E3459">_xlfn.XLOOKUP(D3459,Insumos!B:B,Insumos!C:$C)</f>
        <v>KG</v>
      </c>
      <c r="F3459" s="14">
        <v>0.01</v>
      </c>
      <c r="G3459" s="92">
        <f t="array" ref="G3459">IF(B3459="insumo",_xlfn.XLOOKUP($D3459,Insumos!$B$1:$B$996,Insumos!$D$1:$D$996),"")</f>
        <v>11.15</v>
      </c>
      <c r="H3459" s="92">
        <v>0.1115</v>
      </c>
      <c r="I3459" s="13">
        <v>0</v>
      </c>
      <c r="J3459" s="13">
        <v>0</v>
      </c>
      <c r="K3459" s="13"/>
      <c r="L3459"/>
      <c r="M3459"/>
      <c r="N3459"/>
      <c r="O3459"/>
      <c r="P3459"/>
      <c r="Q3459"/>
      <c r="R3459"/>
      <c r="S3459"/>
      <c r="T3459"/>
      <c r="U3459"/>
      <c r="V3459"/>
      <c r="W3459"/>
      <c r="X3459"/>
      <c r="Y3459"/>
      <c r="Z3459"/>
      <c r="AA3459"/>
      <c r="AB3459"/>
      <c r="AC3459"/>
      <c r="AD3459"/>
      <c r="AE3459"/>
      <c r="AF3459"/>
      <c r="AG3459"/>
      <c r="AH3459"/>
      <c r="AI3459"/>
      <c r="AJ3459"/>
      <c r="AK3459"/>
      <c r="AL3459"/>
    </row>
    <row r="3460" spans="1:38" ht="15.75" customHeight="1" outlineLevel="2" x14ac:dyDescent="0.2">
      <c r="A3460" s="1067">
        <v>1</v>
      </c>
      <c r="B3460" s="1067" t="s">
        <v>68</v>
      </c>
      <c r="C3460" s="1067" t="s">
        <v>1482</v>
      </c>
      <c r="D3460" s="1067" t="s">
        <v>1482</v>
      </c>
      <c r="E3460" s="1068" t="s">
        <v>70</v>
      </c>
      <c r="F3460" s="1067"/>
      <c r="G3460" s="1069" t="str">
        <f t="array" ref="G3460">IF(B3460="insumo",_xlfn.XLOOKUP($D3460,Insumos!$B$1:$B$996,Insumos!$D$1:$D$996),"")</f>
        <v/>
      </c>
      <c r="H3460" s="1069">
        <v>156.73910000000001</v>
      </c>
      <c r="I3460" s="1070">
        <v>0</v>
      </c>
      <c r="J3460" s="1070">
        <v>0</v>
      </c>
      <c r="K3460" s="1070"/>
      <c r="L3460"/>
      <c r="M3460"/>
      <c r="N3460"/>
      <c r="O3460"/>
      <c r="P3460"/>
      <c r="Q3460"/>
      <c r="R3460"/>
      <c r="S3460"/>
      <c r="T3460"/>
      <c r="U3460"/>
      <c r="V3460"/>
      <c r="W3460"/>
      <c r="X3460"/>
      <c r="Y3460"/>
      <c r="Z3460"/>
      <c r="AA3460"/>
      <c r="AB3460"/>
      <c r="AC3460"/>
      <c r="AD3460"/>
      <c r="AE3460"/>
      <c r="AF3460"/>
      <c r="AG3460"/>
      <c r="AH3460"/>
      <c r="AI3460"/>
      <c r="AJ3460"/>
      <c r="AK3460"/>
      <c r="AL3460"/>
    </row>
    <row r="3461" spans="1:38" ht="15.75" customHeight="1" outlineLevel="3" x14ac:dyDescent="0.2">
      <c r="A3461" s="10">
        <v>2</v>
      </c>
      <c r="B3461" s="10" t="s">
        <v>71</v>
      </c>
      <c r="C3461" s="10" t="s">
        <v>1482</v>
      </c>
      <c r="D3461" s="10" t="s">
        <v>1429</v>
      </c>
      <c r="E3461" s="11" t="str">
        <f t="array" ref="E3461">_xlfn.XLOOKUP(D3461,Insumos!B:B,Insumos!C:$C)</f>
        <v>M2</v>
      </c>
      <c r="F3461" s="14">
        <v>1.1000000000000001</v>
      </c>
      <c r="G3461" s="92">
        <f t="array" ref="G3461">IF(B3461="insumo",_xlfn.XLOOKUP($D3461,Insumos!$B$1:$B$996,Insumos!$D$1:$D$996),"")</f>
        <v>133.80000000000001</v>
      </c>
      <c r="H3461" s="92">
        <v>147.18</v>
      </c>
      <c r="I3461" s="13">
        <v>0</v>
      </c>
      <c r="J3461" s="13">
        <v>0</v>
      </c>
      <c r="K3461" s="13"/>
      <c r="L3461"/>
      <c r="M3461"/>
      <c r="N3461"/>
      <c r="O3461"/>
      <c r="P3461"/>
      <c r="Q3461"/>
      <c r="R3461"/>
      <c r="S3461"/>
      <c r="T3461"/>
      <c r="U3461"/>
      <c r="V3461"/>
      <c r="W3461"/>
      <c r="X3461"/>
      <c r="Y3461"/>
      <c r="Z3461"/>
      <c r="AA3461"/>
      <c r="AB3461"/>
      <c r="AC3461"/>
      <c r="AD3461"/>
      <c r="AE3461"/>
      <c r="AF3461"/>
      <c r="AG3461"/>
      <c r="AH3461"/>
      <c r="AI3461"/>
      <c r="AJ3461"/>
      <c r="AK3461"/>
      <c r="AL3461"/>
    </row>
    <row r="3462" spans="1:38" ht="15.75" customHeight="1" outlineLevel="3" x14ac:dyDescent="0.2">
      <c r="A3462" s="10">
        <v>191</v>
      </c>
      <c r="B3462" s="10" t="s">
        <v>71</v>
      </c>
      <c r="C3462" s="10" t="s">
        <v>1482</v>
      </c>
      <c r="D3462" s="10" t="s">
        <v>481</v>
      </c>
      <c r="E3462" s="11" t="str">
        <f t="array" ref="E3462">_xlfn.XLOOKUP(D3462,Insumos!B:B,Insumos!C:$C)</f>
        <v>KG</v>
      </c>
      <c r="F3462" s="14">
        <v>8.8000000000000007</v>
      </c>
      <c r="G3462" s="92">
        <f t="array" ref="G3462">IF(B3462="insumo",_xlfn.XLOOKUP($D3462,Insumos!$B$1:$B$996,Insumos!$D$1:$D$996),"")</f>
        <v>1.0645</v>
      </c>
      <c r="H3462" s="92">
        <v>9.3675999999999995</v>
      </c>
      <c r="I3462" s="13">
        <v>0</v>
      </c>
      <c r="J3462" s="13">
        <v>0</v>
      </c>
      <c r="K3462" s="13"/>
      <c r="L3462"/>
      <c r="M3462"/>
      <c r="N3462"/>
      <c r="O3462"/>
      <c r="P3462"/>
      <c r="Q3462"/>
      <c r="R3462"/>
      <c r="S3462"/>
      <c r="T3462"/>
      <c r="U3462"/>
      <c r="V3462"/>
      <c r="W3462"/>
      <c r="X3462"/>
      <c r="Y3462"/>
      <c r="Z3462"/>
      <c r="AA3462"/>
      <c r="AB3462"/>
      <c r="AC3462"/>
      <c r="AD3462"/>
      <c r="AE3462"/>
      <c r="AF3462"/>
      <c r="AG3462"/>
      <c r="AH3462"/>
      <c r="AI3462"/>
      <c r="AJ3462"/>
      <c r="AK3462"/>
      <c r="AL3462"/>
    </row>
    <row r="3463" spans="1:38" ht="15.75" customHeight="1" outlineLevel="3" x14ac:dyDescent="0.2">
      <c r="A3463" s="10">
        <v>142</v>
      </c>
      <c r="B3463" s="10" t="s">
        <v>71</v>
      </c>
      <c r="C3463" s="10" t="s">
        <v>1482</v>
      </c>
      <c r="D3463" s="10" t="s">
        <v>506</v>
      </c>
      <c r="E3463" s="11" t="str">
        <f t="array" ref="E3463">_xlfn.XLOOKUP(D3463,Insumos!B:B,Insumos!C:$C)</f>
        <v>UN</v>
      </c>
      <c r="F3463" s="14">
        <v>1</v>
      </c>
      <c r="G3463" s="92">
        <f t="array" ref="G3463">IF(B3463="insumo",_xlfn.XLOOKUP($D3463,Insumos!$B$1:$B$996,Insumos!$D$1:$D$996),"")</f>
        <v>0.08</v>
      </c>
      <c r="H3463" s="92">
        <v>0.08</v>
      </c>
      <c r="I3463" s="13">
        <v>0</v>
      </c>
      <c r="J3463" s="13">
        <v>0</v>
      </c>
      <c r="K3463" s="13"/>
      <c r="L3463"/>
      <c r="M3463"/>
      <c r="N3463"/>
      <c r="O3463"/>
      <c r="P3463"/>
      <c r="Q3463"/>
      <c r="R3463"/>
      <c r="S3463"/>
      <c r="T3463"/>
      <c r="U3463"/>
      <c r="V3463"/>
      <c r="W3463"/>
      <c r="X3463"/>
      <c r="Y3463"/>
      <c r="Z3463"/>
      <c r="AA3463"/>
      <c r="AB3463"/>
      <c r="AC3463"/>
      <c r="AD3463"/>
      <c r="AE3463"/>
      <c r="AF3463"/>
      <c r="AG3463"/>
      <c r="AH3463"/>
      <c r="AI3463"/>
      <c r="AJ3463"/>
      <c r="AK3463"/>
      <c r="AL3463"/>
    </row>
    <row r="3464" spans="1:38" ht="15.75" customHeight="1" outlineLevel="3" x14ac:dyDescent="0.2">
      <c r="A3464" s="10">
        <v>101</v>
      </c>
      <c r="B3464" s="10" t="s">
        <v>71</v>
      </c>
      <c r="C3464" s="10" t="s">
        <v>1482</v>
      </c>
      <c r="D3464" s="10" t="s">
        <v>507</v>
      </c>
      <c r="E3464" s="11" t="str">
        <f t="array" ref="E3464">_xlfn.XLOOKUP(D3464,Insumos!B:B,Insumos!C:$C)</f>
        <v>KG</v>
      </c>
      <c r="F3464" s="14">
        <v>0.01</v>
      </c>
      <c r="G3464" s="92">
        <f t="array" ref="G3464">IF(B3464="insumo",_xlfn.XLOOKUP($D3464,Insumos!$B$1:$B$996,Insumos!$D$1:$D$996),"")</f>
        <v>11.15</v>
      </c>
      <c r="H3464" s="92">
        <v>0.1115</v>
      </c>
      <c r="I3464" s="13">
        <v>0</v>
      </c>
      <c r="J3464" s="13">
        <v>0</v>
      </c>
      <c r="K3464" s="13"/>
      <c r="L3464"/>
      <c r="M3464"/>
      <c r="N3464"/>
      <c r="O3464"/>
      <c r="P3464"/>
      <c r="Q3464"/>
      <c r="R3464"/>
      <c r="S3464"/>
      <c r="T3464"/>
      <c r="U3464"/>
      <c r="V3464"/>
      <c r="W3464"/>
      <c r="X3464"/>
      <c r="Y3464"/>
      <c r="Z3464"/>
      <c r="AA3464"/>
      <c r="AB3464"/>
      <c r="AC3464"/>
      <c r="AD3464"/>
      <c r="AE3464"/>
      <c r="AF3464"/>
      <c r="AG3464"/>
      <c r="AH3464"/>
      <c r="AI3464"/>
      <c r="AJ3464"/>
      <c r="AK3464"/>
      <c r="AL3464"/>
    </row>
    <row r="3465" spans="1:38" ht="15.75" customHeight="1" outlineLevel="2" x14ac:dyDescent="0.2">
      <c r="A3465" s="1067">
        <v>1</v>
      </c>
      <c r="B3465" s="1067" t="s">
        <v>68</v>
      </c>
      <c r="C3465" s="1067" t="s">
        <v>1483</v>
      </c>
      <c r="D3465" s="1067" t="s">
        <v>1483</v>
      </c>
      <c r="E3465" s="1068" t="s">
        <v>70</v>
      </c>
      <c r="F3465" s="1067"/>
      <c r="G3465" s="1069" t="str">
        <f t="array" ref="G3465">IF(B3465="insumo",_xlfn.XLOOKUP($D3465,Insumos!$B$1:$B$996,Insumos!$D$1:$D$996),"")</f>
        <v/>
      </c>
      <c r="H3465" s="1069">
        <v>156.73910000000001</v>
      </c>
      <c r="I3465" s="1070">
        <v>0</v>
      </c>
      <c r="J3465" s="1070">
        <v>0</v>
      </c>
      <c r="K3465" s="1070"/>
      <c r="L3465"/>
      <c r="M3465"/>
      <c r="N3465"/>
      <c r="O3465"/>
      <c r="P3465"/>
      <c r="Q3465"/>
      <c r="R3465"/>
      <c r="S3465"/>
      <c r="T3465"/>
      <c r="U3465"/>
      <c r="V3465"/>
      <c r="W3465"/>
      <c r="X3465"/>
      <c r="Y3465"/>
      <c r="Z3465"/>
      <c r="AA3465"/>
      <c r="AB3465"/>
      <c r="AC3465"/>
      <c r="AD3465"/>
      <c r="AE3465"/>
      <c r="AF3465"/>
      <c r="AG3465"/>
      <c r="AH3465"/>
      <c r="AI3465"/>
      <c r="AJ3465"/>
      <c r="AK3465"/>
      <c r="AL3465"/>
    </row>
    <row r="3466" spans="1:38" ht="15.75" customHeight="1" outlineLevel="3" x14ac:dyDescent="0.2">
      <c r="A3466" s="10">
        <v>2</v>
      </c>
      <c r="B3466" s="10" t="s">
        <v>71</v>
      </c>
      <c r="C3466" s="10" t="s">
        <v>1483</v>
      </c>
      <c r="D3466" s="10" t="s">
        <v>1430</v>
      </c>
      <c r="E3466" s="11" t="str">
        <f t="array" ref="E3466">_xlfn.XLOOKUP(D3466,Insumos!B:B,Insumos!C:$C)</f>
        <v>M2</v>
      </c>
      <c r="F3466" s="14">
        <v>1.1000000000000001</v>
      </c>
      <c r="G3466" s="92">
        <f t="array" ref="G3466">IF(B3466="insumo",_xlfn.XLOOKUP($D3466,Insumos!$B$1:$B$996,Insumos!$D$1:$D$996),"")</f>
        <v>133.80000000000001</v>
      </c>
      <c r="H3466" s="92">
        <v>147.18</v>
      </c>
      <c r="I3466" s="13">
        <v>0</v>
      </c>
      <c r="J3466" s="13">
        <v>0</v>
      </c>
      <c r="K3466" s="13"/>
      <c r="L3466"/>
      <c r="M3466"/>
      <c r="N3466"/>
      <c r="O3466"/>
      <c r="P3466"/>
      <c r="Q3466"/>
      <c r="R3466"/>
      <c r="S3466"/>
      <c r="T3466"/>
      <c r="U3466"/>
      <c r="V3466"/>
      <c r="W3466"/>
      <c r="X3466"/>
      <c r="Y3466"/>
      <c r="Z3466"/>
      <c r="AA3466"/>
      <c r="AB3466"/>
      <c r="AC3466"/>
      <c r="AD3466"/>
      <c r="AE3466"/>
      <c r="AF3466"/>
      <c r="AG3466"/>
      <c r="AH3466"/>
      <c r="AI3466"/>
      <c r="AJ3466"/>
      <c r="AK3466"/>
      <c r="AL3466"/>
    </row>
    <row r="3467" spans="1:38" ht="15.75" customHeight="1" outlineLevel="3" x14ac:dyDescent="0.2">
      <c r="A3467" s="10">
        <v>191</v>
      </c>
      <c r="B3467" s="10" t="s">
        <v>71</v>
      </c>
      <c r="C3467" s="10" t="s">
        <v>1483</v>
      </c>
      <c r="D3467" s="10" t="s">
        <v>481</v>
      </c>
      <c r="E3467" s="11" t="str">
        <f t="array" ref="E3467">_xlfn.XLOOKUP(D3467,Insumos!B:B,Insumos!C:$C)</f>
        <v>KG</v>
      </c>
      <c r="F3467" s="14">
        <v>8.8000000000000007</v>
      </c>
      <c r="G3467" s="92">
        <f t="array" ref="G3467">IF(B3467="insumo",_xlfn.XLOOKUP($D3467,Insumos!$B$1:$B$996,Insumos!$D$1:$D$996),"")</f>
        <v>1.0645</v>
      </c>
      <c r="H3467" s="92">
        <v>9.3675999999999995</v>
      </c>
      <c r="I3467" s="13">
        <v>0</v>
      </c>
      <c r="J3467" s="13">
        <v>0</v>
      </c>
      <c r="K3467" s="13"/>
      <c r="L3467"/>
      <c r="M3467"/>
      <c r="N3467"/>
      <c r="O3467"/>
      <c r="P3467"/>
      <c r="Q3467"/>
      <c r="R3467"/>
      <c r="S3467"/>
      <c r="T3467"/>
      <c r="U3467"/>
      <c r="V3467"/>
      <c r="W3467"/>
      <c r="X3467"/>
      <c r="Y3467"/>
      <c r="Z3467"/>
      <c r="AA3467"/>
      <c r="AB3467"/>
      <c r="AC3467"/>
      <c r="AD3467"/>
      <c r="AE3467"/>
      <c r="AF3467"/>
      <c r="AG3467"/>
      <c r="AH3467"/>
      <c r="AI3467"/>
      <c r="AJ3467"/>
      <c r="AK3467"/>
      <c r="AL3467"/>
    </row>
    <row r="3468" spans="1:38" ht="15.75" customHeight="1" outlineLevel="3" x14ac:dyDescent="0.2">
      <c r="A3468" s="10">
        <v>142</v>
      </c>
      <c r="B3468" s="10" t="s">
        <v>71</v>
      </c>
      <c r="C3468" s="10" t="s">
        <v>1483</v>
      </c>
      <c r="D3468" s="10" t="s">
        <v>506</v>
      </c>
      <c r="E3468" s="11" t="str">
        <f t="array" ref="E3468">_xlfn.XLOOKUP(D3468,Insumos!B:B,Insumos!C:$C)</f>
        <v>UN</v>
      </c>
      <c r="F3468" s="14">
        <v>1</v>
      </c>
      <c r="G3468" s="92">
        <f t="array" ref="G3468">IF(B3468="insumo",_xlfn.XLOOKUP($D3468,Insumos!$B$1:$B$996,Insumos!$D$1:$D$996),"")</f>
        <v>0.08</v>
      </c>
      <c r="H3468" s="92">
        <v>0.08</v>
      </c>
      <c r="I3468" s="13">
        <v>0</v>
      </c>
      <c r="J3468" s="13">
        <v>0</v>
      </c>
      <c r="K3468" s="13"/>
      <c r="L3468"/>
      <c r="M3468"/>
      <c r="N3468"/>
      <c r="O3468"/>
      <c r="P3468"/>
      <c r="Q3468"/>
      <c r="R3468"/>
      <c r="S3468"/>
      <c r="T3468"/>
      <c r="U3468"/>
      <c r="V3468"/>
      <c r="W3468"/>
      <c r="X3468"/>
      <c r="Y3468"/>
      <c r="Z3468"/>
      <c r="AA3468"/>
      <c r="AB3468"/>
      <c r="AC3468"/>
      <c r="AD3468"/>
      <c r="AE3468"/>
      <c r="AF3468"/>
      <c r="AG3468"/>
      <c r="AH3468"/>
      <c r="AI3468"/>
      <c r="AJ3468"/>
      <c r="AK3468"/>
      <c r="AL3468"/>
    </row>
    <row r="3469" spans="1:38" ht="15.75" customHeight="1" outlineLevel="3" x14ac:dyDescent="0.2">
      <c r="A3469" s="10">
        <v>101</v>
      </c>
      <c r="B3469" s="10" t="s">
        <v>71</v>
      </c>
      <c r="C3469" s="10" t="s">
        <v>1483</v>
      </c>
      <c r="D3469" s="10" t="s">
        <v>507</v>
      </c>
      <c r="E3469" s="11" t="str">
        <f t="array" ref="E3469">_xlfn.XLOOKUP(D3469,Insumos!B:B,Insumos!C:$C)</f>
        <v>KG</v>
      </c>
      <c r="F3469" s="14">
        <v>0.01</v>
      </c>
      <c r="G3469" s="92">
        <f t="array" ref="G3469">IF(B3469="insumo",_xlfn.XLOOKUP($D3469,Insumos!$B$1:$B$996,Insumos!$D$1:$D$996),"")</f>
        <v>11.15</v>
      </c>
      <c r="H3469" s="92">
        <v>0.1115</v>
      </c>
      <c r="I3469" s="13">
        <v>0</v>
      </c>
      <c r="J3469" s="13">
        <v>0</v>
      </c>
      <c r="K3469" s="13"/>
      <c r="L3469"/>
      <c r="M3469"/>
      <c r="N3469"/>
      <c r="O3469"/>
      <c r="P3469"/>
      <c r="Q3469"/>
      <c r="R3469"/>
      <c r="S3469"/>
      <c r="T3469"/>
      <c r="U3469"/>
      <c r="V3469"/>
      <c r="W3469"/>
      <c r="X3469"/>
      <c r="Y3469"/>
      <c r="Z3469"/>
      <c r="AA3469"/>
      <c r="AB3469"/>
      <c r="AC3469"/>
      <c r="AD3469"/>
      <c r="AE3469"/>
      <c r="AF3469"/>
      <c r="AG3469"/>
      <c r="AH3469"/>
      <c r="AI3469"/>
      <c r="AJ3469"/>
      <c r="AK3469"/>
      <c r="AL3469"/>
    </row>
    <row r="3470" spans="1:38" ht="15.75" customHeight="1" outlineLevel="2" x14ac:dyDescent="0.2">
      <c r="A3470" s="1067">
        <v>1</v>
      </c>
      <c r="B3470" s="1067" t="s">
        <v>68</v>
      </c>
      <c r="C3470" s="1067" t="s">
        <v>1491</v>
      </c>
      <c r="D3470" s="1067" t="s">
        <v>1491</v>
      </c>
      <c r="E3470" s="1068" t="s">
        <v>70</v>
      </c>
      <c r="F3470" s="1067"/>
      <c r="G3470" s="1069" t="str">
        <f t="array" ref="G3470">IF(B3470="insumo",_xlfn.XLOOKUP($D3470,Insumos!$B$1:$B$996,Insumos!$D$1:$D$996),"")</f>
        <v/>
      </c>
      <c r="H3470" s="1069">
        <v>217.00649999999999</v>
      </c>
      <c r="I3470" s="1070">
        <v>0</v>
      </c>
      <c r="J3470" s="1070">
        <v>0</v>
      </c>
      <c r="K3470" s="1070"/>
      <c r="L3470"/>
      <c r="M3470"/>
      <c r="N3470"/>
      <c r="O3470"/>
      <c r="P3470"/>
      <c r="Q3470"/>
      <c r="R3470"/>
      <c r="S3470"/>
      <c r="T3470"/>
      <c r="U3470"/>
      <c r="V3470"/>
      <c r="W3470"/>
      <c r="X3470"/>
      <c r="Y3470"/>
      <c r="Z3470"/>
      <c r="AA3470"/>
      <c r="AB3470"/>
      <c r="AC3470"/>
      <c r="AD3470"/>
      <c r="AE3470"/>
      <c r="AF3470"/>
      <c r="AG3470"/>
      <c r="AH3470"/>
      <c r="AI3470"/>
      <c r="AJ3470"/>
      <c r="AK3470"/>
      <c r="AL3470"/>
    </row>
    <row r="3471" spans="1:38" ht="15.75" customHeight="1" outlineLevel="3" x14ac:dyDescent="0.2">
      <c r="A3471" s="10">
        <v>1</v>
      </c>
      <c r="B3471" s="10" t="s">
        <v>71</v>
      </c>
      <c r="C3471" s="10" t="s">
        <v>1491</v>
      </c>
      <c r="D3471" s="10" t="s">
        <v>1489</v>
      </c>
      <c r="E3471" s="11" t="str">
        <f t="array" ref="E3471">_xlfn.XLOOKUP(D3471,Insumos!B:B,Insumos!C:$C)</f>
        <v>M2</v>
      </c>
      <c r="F3471" s="14">
        <v>1.1000000000000001</v>
      </c>
      <c r="G3471" s="92">
        <f t="array" ref="G3471">IF(B3471="insumo",_xlfn.XLOOKUP($D3471,Insumos!$B$1:$B$996,Insumos!$D$1:$D$996),"")</f>
        <v>183.21</v>
      </c>
      <c r="H3471" s="92">
        <v>201.53100000000001</v>
      </c>
      <c r="I3471" s="13">
        <v>0</v>
      </c>
      <c r="J3471" s="13">
        <v>0</v>
      </c>
      <c r="K3471" s="13"/>
      <c r="L3471"/>
      <c r="M3471"/>
      <c r="N3471"/>
      <c r="O3471"/>
      <c r="P3471"/>
      <c r="Q3471"/>
      <c r="R3471"/>
      <c r="S3471"/>
      <c r="T3471"/>
      <c r="U3471"/>
      <c r="V3471"/>
      <c r="W3471"/>
      <c r="X3471"/>
      <c r="Y3471"/>
      <c r="Z3471"/>
      <c r="AA3471"/>
      <c r="AB3471"/>
      <c r="AC3471"/>
      <c r="AD3471"/>
      <c r="AE3471"/>
      <c r="AF3471"/>
      <c r="AG3471"/>
      <c r="AH3471"/>
      <c r="AI3471"/>
      <c r="AJ3471"/>
      <c r="AK3471"/>
      <c r="AL3471"/>
    </row>
    <row r="3472" spans="1:38" ht="15.75" customHeight="1" outlineLevel="3" x14ac:dyDescent="0.2">
      <c r="A3472" s="10">
        <v>191</v>
      </c>
      <c r="B3472" s="10" t="s">
        <v>71</v>
      </c>
      <c r="C3472" s="10" t="s">
        <v>1491</v>
      </c>
      <c r="D3472" s="10" t="s">
        <v>481</v>
      </c>
      <c r="E3472" s="11" t="str">
        <f t="array" ref="E3472">_xlfn.XLOOKUP(D3472,Insumos!B:B,Insumos!C:$C)</f>
        <v>KG</v>
      </c>
      <c r="F3472" s="14">
        <v>9</v>
      </c>
      <c r="G3472" s="92">
        <f t="array" ref="G3472">IF(B3472="insumo",_xlfn.XLOOKUP($D3472,Insumos!$B$1:$B$996,Insumos!$D$1:$D$996),"")</f>
        <v>1.0645</v>
      </c>
      <c r="H3472" s="92">
        <v>9.5805000000000007</v>
      </c>
      <c r="I3472" s="13">
        <v>0</v>
      </c>
      <c r="J3472" s="13">
        <v>0</v>
      </c>
      <c r="K3472" s="13"/>
      <c r="L3472"/>
      <c r="M3472"/>
      <c r="N3472"/>
      <c r="O3472"/>
      <c r="P3472"/>
      <c r="Q3472"/>
      <c r="R3472"/>
      <c r="S3472"/>
      <c r="T3472"/>
      <c r="U3472"/>
      <c r="V3472"/>
      <c r="W3472"/>
      <c r="X3472"/>
      <c r="Y3472"/>
      <c r="Z3472"/>
      <c r="AA3472"/>
      <c r="AB3472"/>
      <c r="AC3472"/>
      <c r="AD3472"/>
      <c r="AE3472"/>
      <c r="AF3472"/>
      <c r="AG3472"/>
      <c r="AH3472"/>
      <c r="AI3472"/>
      <c r="AJ3472"/>
      <c r="AK3472"/>
      <c r="AL3472"/>
    </row>
    <row r="3473" spans="1:38" ht="15.75" customHeight="1" outlineLevel="3" x14ac:dyDescent="0.2">
      <c r="A3473" s="10">
        <v>142</v>
      </c>
      <c r="B3473" s="10" t="s">
        <v>71</v>
      </c>
      <c r="C3473" s="10" t="s">
        <v>1491</v>
      </c>
      <c r="D3473" s="10" t="s">
        <v>506</v>
      </c>
      <c r="E3473" s="11" t="str">
        <f t="array" ref="E3473">_xlfn.XLOOKUP(D3473,Insumos!B:B,Insumos!C:$C)</f>
        <v>UN</v>
      </c>
      <c r="F3473" s="14">
        <v>4</v>
      </c>
      <c r="G3473" s="92">
        <f t="array" ref="G3473">IF(B3473="insumo",_xlfn.XLOOKUP($D3473,Insumos!$B$1:$B$996,Insumos!$D$1:$D$996),"")</f>
        <v>0.08</v>
      </c>
      <c r="H3473" s="92">
        <v>0.32</v>
      </c>
      <c r="I3473" s="13">
        <v>0</v>
      </c>
      <c r="J3473" s="13">
        <v>0</v>
      </c>
      <c r="K3473" s="13"/>
      <c r="L3473"/>
      <c r="M3473"/>
      <c r="N3473"/>
      <c r="O3473"/>
      <c r="P3473"/>
      <c r="Q3473"/>
      <c r="R3473"/>
      <c r="S3473"/>
      <c r="T3473"/>
      <c r="U3473"/>
      <c r="V3473"/>
      <c r="W3473"/>
      <c r="X3473"/>
      <c r="Y3473"/>
      <c r="Z3473"/>
      <c r="AA3473"/>
      <c r="AB3473"/>
      <c r="AC3473"/>
      <c r="AD3473"/>
      <c r="AE3473"/>
      <c r="AF3473"/>
      <c r="AG3473"/>
      <c r="AH3473"/>
      <c r="AI3473"/>
      <c r="AJ3473"/>
      <c r="AK3473"/>
      <c r="AL3473"/>
    </row>
    <row r="3474" spans="1:38" ht="15.75" customHeight="1" outlineLevel="3" x14ac:dyDescent="0.2">
      <c r="A3474" s="10">
        <v>101</v>
      </c>
      <c r="B3474" s="10" t="s">
        <v>71</v>
      </c>
      <c r="C3474" s="10" t="s">
        <v>1491</v>
      </c>
      <c r="D3474" s="10" t="s">
        <v>507</v>
      </c>
      <c r="E3474" s="11" t="str">
        <f t="array" ref="E3474">_xlfn.XLOOKUP(D3474,Insumos!B:B,Insumos!C:$C)</f>
        <v>KG</v>
      </c>
      <c r="F3474" s="14">
        <v>0.5</v>
      </c>
      <c r="G3474" s="92">
        <f t="array" ref="G3474">IF(B3474="insumo",_xlfn.XLOOKUP($D3474,Insumos!$B$1:$B$996,Insumos!$D$1:$D$996),"")</f>
        <v>11.15</v>
      </c>
      <c r="H3474" s="92">
        <v>5.5750000000000002</v>
      </c>
      <c r="I3474" s="13">
        <v>0</v>
      </c>
      <c r="J3474" s="13">
        <v>0</v>
      </c>
      <c r="K3474" s="13"/>
      <c r="L3474"/>
      <c r="M3474"/>
      <c r="N3474"/>
      <c r="O3474"/>
      <c r="P3474"/>
      <c r="Q3474"/>
      <c r="R3474"/>
      <c r="S3474"/>
      <c r="T3474"/>
      <c r="U3474"/>
      <c r="V3474"/>
      <c r="W3474"/>
      <c r="X3474"/>
      <c r="Y3474"/>
      <c r="Z3474"/>
      <c r="AA3474"/>
      <c r="AB3474"/>
      <c r="AC3474"/>
      <c r="AD3474"/>
      <c r="AE3474"/>
      <c r="AF3474"/>
      <c r="AG3474"/>
      <c r="AH3474"/>
      <c r="AI3474"/>
      <c r="AJ3474"/>
      <c r="AK3474"/>
      <c r="AL3474"/>
    </row>
    <row r="3475" spans="1:38" ht="15.75" customHeight="1" outlineLevel="2" x14ac:dyDescent="0.2">
      <c r="A3475" s="1067">
        <v>1</v>
      </c>
      <c r="B3475" s="1067" t="s">
        <v>68</v>
      </c>
      <c r="C3475" s="1067" t="s">
        <v>694</v>
      </c>
      <c r="D3475" s="1067" t="s">
        <v>694</v>
      </c>
      <c r="E3475" s="1068" t="s">
        <v>70</v>
      </c>
      <c r="F3475" s="1067"/>
      <c r="G3475" s="1069" t="str">
        <f t="array" ref="G3475">IF(B3475="insumo",_xlfn.XLOOKUP($D3475,Insumos!$B$1:$B$996,Insumos!$D$1:$D$996),"")</f>
        <v/>
      </c>
      <c r="H3475" s="1069">
        <v>119.42059999999999</v>
      </c>
      <c r="I3475" s="1070">
        <v>0</v>
      </c>
      <c r="J3475" s="1070">
        <v>0</v>
      </c>
      <c r="K3475" s="1070"/>
      <c r="L3475"/>
      <c r="M3475"/>
      <c r="N3475"/>
      <c r="O3475"/>
      <c r="P3475"/>
      <c r="Q3475"/>
      <c r="R3475"/>
      <c r="S3475"/>
      <c r="T3475"/>
      <c r="U3475"/>
      <c r="V3475"/>
      <c r="W3475"/>
      <c r="X3475"/>
      <c r="Y3475"/>
      <c r="Z3475"/>
      <c r="AA3475"/>
      <c r="AB3475"/>
      <c r="AC3475"/>
      <c r="AD3475"/>
      <c r="AE3475"/>
      <c r="AF3475"/>
      <c r="AG3475"/>
      <c r="AH3475"/>
      <c r="AI3475"/>
      <c r="AJ3475"/>
      <c r="AK3475"/>
      <c r="AL3475"/>
    </row>
    <row r="3476" spans="1:38" ht="15.75" customHeight="1" outlineLevel="3" x14ac:dyDescent="0.2">
      <c r="A3476" s="10">
        <v>1</v>
      </c>
      <c r="B3476" s="10" t="s">
        <v>71</v>
      </c>
      <c r="C3476" s="10" t="s">
        <v>694</v>
      </c>
      <c r="D3476" s="10" t="s">
        <v>695</v>
      </c>
      <c r="E3476" s="11" t="str">
        <f t="array" ref="E3476">_xlfn.XLOOKUP(D3476,Insumos!B:B,Insumos!C:$C)</f>
        <v>M2</v>
      </c>
      <c r="F3476" s="14">
        <v>1.1000000000000001</v>
      </c>
      <c r="G3476" s="92">
        <f t="array" ref="G3476">IF(B3476="insumo",_xlfn.XLOOKUP($D3476,Insumos!$B$1:$B$996,Insumos!$D$1:$D$996),"")</f>
        <v>99.7</v>
      </c>
      <c r="H3476" s="92">
        <v>109.67</v>
      </c>
      <c r="I3476" s="13">
        <v>0</v>
      </c>
      <c r="J3476" s="13">
        <v>0</v>
      </c>
      <c r="K3476" s="13"/>
      <c r="L3476"/>
      <c r="M3476"/>
      <c r="N3476"/>
      <c r="O3476"/>
      <c r="P3476"/>
      <c r="Q3476"/>
      <c r="R3476"/>
      <c r="S3476"/>
      <c r="T3476"/>
      <c r="U3476"/>
      <c r="V3476"/>
      <c r="W3476"/>
      <c r="X3476"/>
      <c r="Y3476"/>
      <c r="Z3476"/>
      <c r="AA3476"/>
      <c r="AB3476"/>
      <c r="AC3476"/>
      <c r="AD3476"/>
      <c r="AE3476"/>
      <c r="AF3476"/>
      <c r="AG3476"/>
      <c r="AH3476"/>
      <c r="AI3476"/>
      <c r="AJ3476"/>
      <c r="AK3476"/>
      <c r="AL3476"/>
    </row>
    <row r="3477" spans="1:38" ht="15.75" customHeight="1" outlineLevel="3" x14ac:dyDescent="0.2">
      <c r="A3477" s="10">
        <v>191</v>
      </c>
      <c r="B3477" s="10" t="s">
        <v>71</v>
      </c>
      <c r="C3477" s="10" t="s">
        <v>694</v>
      </c>
      <c r="D3477" s="10" t="s">
        <v>481</v>
      </c>
      <c r="E3477" s="11" t="str">
        <f t="array" ref="E3477">_xlfn.XLOOKUP(D3477,Insumos!B:B,Insumos!C:$C)</f>
        <v>KG</v>
      </c>
      <c r="F3477" s="14">
        <v>8.8000000000000007</v>
      </c>
      <c r="G3477" s="92">
        <f t="array" ref="G3477">IF(B3477="insumo",_xlfn.XLOOKUP($D3477,Insumos!$B$1:$B$996,Insumos!$D$1:$D$996),"")</f>
        <v>1.0645</v>
      </c>
      <c r="H3477" s="92">
        <v>9.3675999999999995</v>
      </c>
      <c r="I3477" s="13">
        <v>0</v>
      </c>
      <c r="J3477" s="13">
        <v>0</v>
      </c>
      <c r="K3477" s="13"/>
      <c r="L3477"/>
      <c r="M3477"/>
      <c r="N3477"/>
      <c r="O3477"/>
      <c r="P3477"/>
      <c r="Q3477"/>
      <c r="R3477"/>
      <c r="S3477"/>
      <c r="T3477"/>
      <c r="U3477"/>
      <c r="V3477"/>
      <c r="W3477"/>
      <c r="X3477"/>
      <c r="Y3477"/>
      <c r="Z3477"/>
      <c r="AA3477"/>
      <c r="AB3477"/>
      <c r="AC3477"/>
      <c r="AD3477"/>
      <c r="AE3477"/>
      <c r="AF3477"/>
      <c r="AG3477"/>
      <c r="AH3477"/>
      <c r="AI3477"/>
      <c r="AJ3477"/>
      <c r="AK3477"/>
      <c r="AL3477"/>
    </row>
    <row r="3478" spans="1:38" ht="15.75" customHeight="1" outlineLevel="3" x14ac:dyDescent="0.2">
      <c r="A3478" s="10">
        <v>142</v>
      </c>
      <c r="B3478" s="10" t="s">
        <v>71</v>
      </c>
      <c r="C3478" s="10" t="s">
        <v>694</v>
      </c>
      <c r="D3478" s="10" t="s">
        <v>506</v>
      </c>
      <c r="E3478" s="11" t="str">
        <f t="array" ref="E3478">_xlfn.XLOOKUP(D3478,Insumos!B:B,Insumos!C:$C)</f>
        <v>UN</v>
      </c>
      <c r="F3478" s="14">
        <v>2</v>
      </c>
      <c r="G3478" s="92">
        <f t="array" ref="G3478">IF(B3478="insumo",_xlfn.XLOOKUP($D3478,Insumos!$B$1:$B$996,Insumos!$D$1:$D$996),"")</f>
        <v>0.08</v>
      </c>
      <c r="H3478" s="92">
        <v>0.16</v>
      </c>
      <c r="I3478" s="13">
        <v>0</v>
      </c>
      <c r="J3478" s="13">
        <v>0</v>
      </c>
      <c r="K3478" s="13"/>
      <c r="L3478"/>
      <c r="M3478"/>
      <c r="N3478"/>
      <c r="O3478"/>
      <c r="P3478"/>
      <c r="Q3478"/>
      <c r="R3478"/>
      <c r="S3478"/>
      <c r="T3478"/>
      <c r="U3478"/>
      <c r="V3478"/>
      <c r="W3478"/>
      <c r="X3478"/>
      <c r="Y3478"/>
      <c r="Z3478"/>
      <c r="AA3478"/>
      <c r="AB3478"/>
      <c r="AC3478"/>
      <c r="AD3478"/>
      <c r="AE3478"/>
      <c r="AF3478"/>
      <c r="AG3478"/>
      <c r="AH3478"/>
      <c r="AI3478"/>
      <c r="AJ3478"/>
      <c r="AK3478"/>
      <c r="AL3478"/>
    </row>
    <row r="3479" spans="1:38" ht="15.75" customHeight="1" outlineLevel="3" x14ac:dyDescent="0.2">
      <c r="A3479" s="10">
        <v>101</v>
      </c>
      <c r="B3479" s="10" t="s">
        <v>71</v>
      </c>
      <c r="C3479" s="10" t="s">
        <v>694</v>
      </c>
      <c r="D3479" s="10" t="s">
        <v>507</v>
      </c>
      <c r="E3479" s="11" t="str">
        <f t="array" ref="E3479">_xlfn.XLOOKUP(D3479,Insumos!B:B,Insumos!C:$C)</f>
        <v>KG</v>
      </c>
      <c r="F3479" s="14">
        <v>0.02</v>
      </c>
      <c r="G3479" s="92">
        <f t="array" ref="G3479">IF(B3479="insumo",_xlfn.XLOOKUP($D3479,Insumos!$B$1:$B$996,Insumos!$D$1:$D$996),"")</f>
        <v>11.15</v>
      </c>
      <c r="H3479" s="92">
        <v>0.223</v>
      </c>
      <c r="I3479" s="13">
        <v>0</v>
      </c>
      <c r="J3479" s="13">
        <v>0</v>
      </c>
      <c r="K3479" s="13"/>
      <c r="L3479"/>
      <c r="M3479"/>
      <c r="N3479"/>
      <c r="O3479"/>
      <c r="P3479"/>
      <c r="Q3479"/>
      <c r="R3479"/>
      <c r="S3479"/>
      <c r="T3479"/>
      <c r="U3479"/>
      <c r="V3479"/>
      <c r="W3479"/>
      <c r="X3479"/>
      <c r="Y3479"/>
      <c r="Z3479"/>
      <c r="AA3479"/>
      <c r="AB3479"/>
      <c r="AC3479"/>
      <c r="AD3479"/>
      <c r="AE3479"/>
      <c r="AF3479"/>
      <c r="AG3479"/>
      <c r="AH3479"/>
      <c r="AI3479"/>
      <c r="AJ3479"/>
      <c r="AK3479"/>
      <c r="AL3479"/>
    </row>
    <row r="3480" spans="1:38" ht="15.75" customHeight="1" outlineLevel="2" x14ac:dyDescent="0.2">
      <c r="A3480" s="1067">
        <v>1</v>
      </c>
      <c r="B3480" s="1067" t="s">
        <v>68</v>
      </c>
      <c r="C3480" s="1067" t="s">
        <v>696</v>
      </c>
      <c r="D3480" s="1067" t="s">
        <v>696</v>
      </c>
      <c r="E3480" s="1068" t="s">
        <v>70</v>
      </c>
      <c r="F3480" s="1067"/>
      <c r="G3480" s="1069" t="str">
        <f t="array" ref="G3480">IF(B3480="insumo",_xlfn.XLOOKUP($D3480,Insumos!$B$1:$B$996,Insumos!$D$1:$D$996),"")</f>
        <v/>
      </c>
      <c r="H3480" s="1069">
        <v>185.75059999999999</v>
      </c>
      <c r="I3480" s="1070">
        <v>0</v>
      </c>
      <c r="J3480" s="1070">
        <v>0</v>
      </c>
      <c r="K3480" s="1070"/>
      <c r="L3480"/>
      <c r="M3480"/>
      <c r="N3480"/>
      <c r="O3480"/>
      <c r="P3480"/>
      <c r="Q3480"/>
      <c r="R3480"/>
      <c r="S3480"/>
      <c r="T3480"/>
      <c r="U3480"/>
      <c r="V3480"/>
      <c r="W3480"/>
      <c r="X3480"/>
      <c r="Y3480"/>
      <c r="Z3480"/>
      <c r="AA3480"/>
      <c r="AB3480"/>
      <c r="AC3480"/>
      <c r="AD3480"/>
      <c r="AE3480"/>
      <c r="AF3480"/>
      <c r="AG3480"/>
      <c r="AH3480"/>
      <c r="AI3480"/>
      <c r="AJ3480"/>
      <c r="AK3480"/>
      <c r="AL3480"/>
    </row>
    <row r="3481" spans="1:38" ht="15.75" customHeight="1" outlineLevel="3" x14ac:dyDescent="0.2">
      <c r="A3481" s="10">
        <v>1</v>
      </c>
      <c r="B3481" s="10" t="s">
        <v>71</v>
      </c>
      <c r="C3481" s="10" t="s">
        <v>696</v>
      </c>
      <c r="D3481" s="10" t="s">
        <v>697</v>
      </c>
      <c r="E3481" s="11" t="str">
        <f t="array" ref="E3481">_xlfn.XLOOKUP(D3481,Insumos!B:B,Insumos!C:$C)</f>
        <v>M2</v>
      </c>
      <c r="F3481" s="14">
        <v>1.1000000000000001</v>
      </c>
      <c r="G3481" s="92">
        <f t="array" ref="G3481">IF(B3481="insumo",_xlfn.XLOOKUP($D3481,Insumos!$B$1:$B$996,Insumos!$D$1:$D$996),"")</f>
        <v>160</v>
      </c>
      <c r="H3481" s="92">
        <v>176</v>
      </c>
      <c r="I3481" s="13">
        <v>0</v>
      </c>
      <c r="J3481" s="13">
        <v>0</v>
      </c>
      <c r="K3481" s="13"/>
      <c r="L3481"/>
      <c r="M3481"/>
      <c r="N3481"/>
      <c r="O3481"/>
      <c r="P3481"/>
      <c r="Q3481"/>
      <c r="R3481"/>
      <c r="S3481"/>
      <c r="T3481"/>
      <c r="U3481"/>
      <c r="V3481"/>
      <c r="W3481"/>
      <c r="X3481"/>
      <c r="Y3481"/>
      <c r="Z3481"/>
      <c r="AA3481"/>
      <c r="AB3481"/>
      <c r="AC3481"/>
      <c r="AD3481"/>
      <c r="AE3481"/>
      <c r="AF3481"/>
      <c r="AG3481"/>
      <c r="AH3481"/>
      <c r="AI3481"/>
      <c r="AJ3481"/>
      <c r="AK3481"/>
      <c r="AL3481"/>
    </row>
    <row r="3482" spans="1:38" ht="15.75" customHeight="1" outlineLevel="3" x14ac:dyDescent="0.2">
      <c r="A3482" s="10">
        <v>191</v>
      </c>
      <c r="B3482" s="10" t="s">
        <v>71</v>
      </c>
      <c r="C3482" s="10" t="s">
        <v>696</v>
      </c>
      <c r="D3482" s="10" t="s">
        <v>481</v>
      </c>
      <c r="E3482" s="11" t="str">
        <f t="array" ref="E3482">_xlfn.XLOOKUP(D3482,Insumos!B:B,Insumos!C:$C)</f>
        <v>KG</v>
      </c>
      <c r="F3482" s="14">
        <v>8.8000000000000007</v>
      </c>
      <c r="G3482" s="92">
        <f t="array" ref="G3482">IF(B3482="insumo",_xlfn.XLOOKUP($D3482,Insumos!$B$1:$B$996,Insumos!$D$1:$D$996),"")</f>
        <v>1.0645</v>
      </c>
      <c r="H3482" s="92">
        <v>9.3675999999999995</v>
      </c>
      <c r="I3482" s="13">
        <v>0</v>
      </c>
      <c r="J3482" s="13">
        <v>0</v>
      </c>
      <c r="K3482" s="13"/>
      <c r="L3482"/>
      <c r="M3482"/>
      <c r="N3482"/>
      <c r="O3482"/>
      <c r="P3482"/>
      <c r="Q3482"/>
      <c r="R3482"/>
      <c r="S3482"/>
      <c r="T3482"/>
      <c r="U3482"/>
      <c r="V3482"/>
      <c r="W3482"/>
      <c r="X3482"/>
      <c r="Y3482"/>
      <c r="Z3482"/>
      <c r="AA3482"/>
      <c r="AB3482"/>
      <c r="AC3482"/>
      <c r="AD3482"/>
      <c r="AE3482"/>
      <c r="AF3482"/>
      <c r="AG3482"/>
      <c r="AH3482"/>
      <c r="AI3482"/>
      <c r="AJ3482"/>
      <c r="AK3482"/>
      <c r="AL3482"/>
    </row>
    <row r="3483" spans="1:38" ht="15.75" customHeight="1" outlineLevel="3" x14ac:dyDescent="0.2">
      <c r="A3483" s="10">
        <v>142</v>
      </c>
      <c r="B3483" s="10" t="s">
        <v>71</v>
      </c>
      <c r="C3483" s="10" t="s">
        <v>696</v>
      </c>
      <c r="D3483" s="10" t="s">
        <v>506</v>
      </c>
      <c r="E3483" s="11" t="str">
        <f t="array" ref="E3483">_xlfn.XLOOKUP(D3483,Insumos!B:B,Insumos!C:$C)</f>
        <v>UN</v>
      </c>
      <c r="F3483" s="14">
        <v>2</v>
      </c>
      <c r="G3483" s="92">
        <f t="array" ref="G3483">IF(B3483="insumo",_xlfn.XLOOKUP($D3483,Insumos!$B$1:$B$996,Insumos!$D$1:$D$996),"")</f>
        <v>0.08</v>
      </c>
      <c r="H3483" s="92">
        <v>0.16</v>
      </c>
      <c r="I3483" s="13">
        <v>0</v>
      </c>
      <c r="J3483" s="13">
        <v>0</v>
      </c>
      <c r="K3483" s="13"/>
      <c r="L3483"/>
      <c r="M3483"/>
      <c r="N3483"/>
      <c r="O3483"/>
      <c r="P3483"/>
      <c r="Q3483"/>
      <c r="R3483"/>
      <c r="S3483"/>
      <c r="T3483"/>
      <c r="U3483"/>
      <c r="V3483"/>
      <c r="W3483"/>
      <c r="X3483"/>
      <c r="Y3483"/>
      <c r="Z3483"/>
      <c r="AA3483"/>
      <c r="AB3483"/>
      <c r="AC3483"/>
      <c r="AD3483"/>
      <c r="AE3483"/>
      <c r="AF3483"/>
      <c r="AG3483"/>
      <c r="AH3483"/>
      <c r="AI3483"/>
      <c r="AJ3483"/>
      <c r="AK3483"/>
      <c r="AL3483"/>
    </row>
    <row r="3484" spans="1:38" ht="15.75" customHeight="1" outlineLevel="3" x14ac:dyDescent="0.2">
      <c r="A3484" s="10">
        <v>101</v>
      </c>
      <c r="B3484" s="10" t="s">
        <v>71</v>
      </c>
      <c r="C3484" s="10" t="s">
        <v>696</v>
      </c>
      <c r="D3484" s="10" t="s">
        <v>507</v>
      </c>
      <c r="E3484" s="11" t="str">
        <f t="array" ref="E3484">_xlfn.XLOOKUP(D3484,Insumos!B:B,Insumos!C:$C)</f>
        <v>KG</v>
      </c>
      <c r="F3484" s="14">
        <v>0.02</v>
      </c>
      <c r="G3484" s="92">
        <f t="array" ref="G3484">IF(B3484="insumo",_xlfn.XLOOKUP($D3484,Insumos!$B$1:$B$996,Insumos!$D$1:$D$996),"")</f>
        <v>11.15</v>
      </c>
      <c r="H3484" s="92">
        <v>0.223</v>
      </c>
      <c r="I3484" s="13">
        <v>0</v>
      </c>
      <c r="J3484" s="13">
        <v>0</v>
      </c>
      <c r="K3484" s="13"/>
      <c r="L3484"/>
      <c r="M3484"/>
      <c r="N3484"/>
      <c r="O3484"/>
      <c r="P3484"/>
      <c r="Q3484"/>
      <c r="R3484"/>
      <c r="S3484"/>
      <c r="T3484"/>
      <c r="U3484"/>
      <c r="V3484"/>
      <c r="W3484"/>
      <c r="X3484"/>
      <c r="Y3484"/>
      <c r="Z3484"/>
      <c r="AA3484"/>
      <c r="AB3484"/>
      <c r="AC3484"/>
      <c r="AD3484"/>
      <c r="AE3484"/>
      <c r="AF3484"/>
      <c r="AG3484"/>
      <c r="AH3484"/>
      <c r="AI3484"/>
      <c r="AJ3484"/>
      <c r="AK3484"/>
      <c r="AL3484"/>
    </row>
    <row r="3485" spans="1:38" ht="12.75" outlineLevel="2" x14ac:dyDescent="0.2">
      <c r="A3485" s="1071">
        <v>1</v>
      </c>
      <c r="B3485" s="1071" t="s">
        <v>68</v>
      </c>
      <c r="C3485" s="1071" t="s">
        <v>1873</v>
      </c>
      <c r="D3485" s="1071" t="s">
        <v>1873</v>
      </c>
      <c r="E3485" s="1072" t="s">
        <v>70</v>
      </c>
      <c r="F3485" s="1071"/>
      <c r="G3485" s="1073" t="str">
        <f t="array" ref="G3485">IF(B3485="insumo",_xlfn.XLOOKUP($D3485,Insumos!$B$1:$B$996,Insumos!$D$1:$D$996),"")</f>
        <v/>
      </c>
      <c r="H3485" s="1073">
        <v>95.456000000000003</v>
      </c>
      <c r="I3485" s="1074">
        <v>0</v>
      </c>
      <c r="J3485" s="1074">
        <v>0</v>
      </c>
      <c r="K3485" s="1074"/>
      <c r="L3485"/>
      <c r="M3485"/>
      <c r="N3485"/>
      <c r="O3485"/>
      <c r="P3485"/>
      <c r="Q3485"/>
      <c r="R3485"/>
      <c r="S3485"/>
      <c r="T3485"/>
      <c r="U3485"/>
      <c r="V3485"/>
      <c r="W3485"/>
      <c r="X3485"/>
      <c r="Y3485"/>
      <c r="Z3485"/>
      <c r="AA3485"/>
      <c r="AB3485"/>
      <c r="AC3485"/>
      <c r="AD3485"/>
      <c r="AE3485"/>
      <c r="AF3485"/>
      <c r="AG3485"/>
      <c r="AH3485"/>
      <c r="AI3485"/>
      <c r="AJ3485"/>
      <c r="AK3485"/>
      <c r="AL3485"/>
    </row>
    <row r="3486" spans="1:38" ht="12.75" outlineLevel="3" x14ac:dyDescent="0.2">
      <c r="A3486" s="82">
        <v>1</v>
      </c>
      <c r="B3486" s="82" t="s">
        <v>71</v>
      </c>
      <c r="C3486" s="82" t="s">
        <v>1873</v>
      </c>
      <c r="D3486" s="82" t="s">
        <v>1805</v>
      </c>
      <c r="E3486" s="11" t="str">
        <f t="array" ref="E3486">_xlfn.XLOOKUP(D3486,Insumos!B:B,Insumos!C:$C)</f>
        <v>M2</v>
      </c>
      <c r="F3486" s="90">
        <v>1.1000000000000001</v>
      </c>
      <c r="G3486" s="92">
        <f t="array" ref="G3486">IF(B3486="insumo",_xlfn.XLOOKUP($D3486,Insumos!$B$1:$B$996,Insumos!$D$1:$D$996),"")</f>
        <v>78.930000000000007</v>
      </c>
      <c r="H3486" s="92">
        <v>86.822999999999993</v>
      </c>
      <c r="I3486" s="84">
        <v>0</v>
      </c>
      <c r="J3486" s="84">
        <v>0</v>
      </c>
      <c r="K3486" s="84"/>
      <c r="L3486"/>
      <c r="M3486"/>
      <c r="N3486"/>
      <c r="O3486"/>
      <c r="P3486"/>
      <c r="Q3486"/>
      <c r="R3486"/>
      <c r="S3486"/>
      <c r="T3486"/>
      <c r="U3486"/>
      <c r="V3486"/>
      <c r="W3486"/>
      <c r="X3486"/>
      <c r="Y3486"/>
      <c r="Z3486"/>
      <c r="AA3486"/>
      <c r="AB3486"/>
      <c r="AC3486"/>
      <c r="AD3486"/>
      <c r="AE3486"/>
      <c r="AF3486"/>
      <c r="AG3486"/>
      <c r="AH3486"/>
      <c r="AI3486"/>
      <c r="AJ3486"/>
      <c r="AK3486"/>
      <c r="AL3486"/>
    </row>
    <row r="3487" spans="1:38" ht="12.75" outlineLevel="3" x14ac:dyDescent="0.2">
      <c r="A3487" s="82">
        <v>16</v>
      </c>
      <c r="B3487" s="82" t="s">
        <v>71</v>
      </c>
      <c r="C3487" s="82" t="s">
        <v>1873</v>
      </c>
      <c r="D3487" s="82" t="s">
        <v>658</v>
      </c>
      <c r="E3487" s="11" t="str">
        <f t="array" ref="E3487">_xlfn.XLOOKUP(D3487,Insumos!B:B,Insumos!C:$C)</f>
        <v>KG</v>
      </c>
      <c r="F3487" s="90">
        <v>8.8000000000000007</v>
      </c>
      <c r="G3487" s="92">
        <f t="array" ref="G3487">IF(B3487="insumo",_xlfn.XLOOKUP($D3487,Insumos!$B$1:$B$996,Insumos!$D$1:$D$996),"")</f>
        <v>0.95</v>
      </c>
      <c r="H3487" s="92">
        <v>8.36</v>
      </c>
      <c r="I3487" s="84">
        <v>0</v>
      </c>
      <c r="J3487" s="84">
        <v>0</v>
      </c>
      <c r="K3487" s="84"/>
      <c r="L3487"/>
      <c r="M3487"/>
      <c r="N3487"/>
      <c r="O3487"/>
      <c r="P3487"/>
      <c r="Q3487"/>
      <c r="R3487"/>
      <c r="S3487"/>
      <c r="T3487"/>
      <c r="U3487"/>
      <c r="V3487"/>
      <c r="W3487"/>
      <c r="X3487"/>
      <c r="Y3487"/>
      <c r="Z3487"/>
      <c r="AA3487"/>
      <c r="AB3487"/>
      <c r="AC3487"/>
      <c r="AD3487"/>
      <c r="AE3487"/>
      <c r="AF3487"/>
      <c r="AG3487"/>
      <c r="AH3487"/>
      <c r="AI3487"/>
      <c r="AJ3487"/>
      <c r="AK3487"/>
      <c r="AL3487"/>
    </row>
    <row r="3488" spans="1:38" ht="12.75" outlineLevel="3" x14ac:dyDescent="0.2">
      <c r="A3488" s="82">
        <v>17</v>
      </c>
      <c r="B3488" s="82" t="s">
        <v>71</v>
      </c>
      <c r="C3488" s="82" t="s">
        <v>1873</v>
      </c>
      <c r="D3488" s="82" t="s">
        <v>521</v>
      </c>
      <c r="E3488" s="11" t="str">
        <f t="array" ref="E3488">_xlfn.XLOOKUP(D3488,Insumos!B:B,Insumos!C:$C)</f>
        <v>UN</v>
      </c>
      <c r="F3488" s="90">
        <v>1</v>
      </c>
      <c r="G3488" s="92">
        <f t="array" ref="G3488">IF(B3488="insumo",_xlfn.XLOOKUP($D3488,Insumos!$B$1:$B$996,Insumos!$D$1:$D$996),"")</f>
        <v>0.05</v>
      </c>
      <c r="H3488" s="92">
        <v>0.05</v>
      </c>
      <c r="I3488" s="84">
        <v>0</v>
      </c>
      <c r="J3488" s="84">
        <v>0</v>
      </c>
      <c r="K3488" s="84"/>
      <c r="L3488"/>
      <c r="M3488"/>
      <c r="N3488"/>
      <c r="O3488"/>
      <c r="P3488"/>
      <c r="Q3488"/>
      <c r="R3488"/>
      <c r="S3488"/>
      <c r="T3488"/>
      <c r="U3488"/>
      <c r="V3488"/>
      <c r="W3488"/>
      <c r="X3488"/>
      <c r="Y3488"/>
      <c r="Z3488"/>
      <c r="AA3488"/>
      <c r="AB3488"/>
      <c r="AC3488"/>
      <c r="AD3488"/>
      <c r="AE3488"/>
      <c r="AF3488"/>
      <c r="AG3488"/>
      <c r="AH3488"/>
      <c r="AI3488"/>
      <c r="AJ3488"/>
      <c r="AK3488"/>
      <c r="AL3488"/>
    </row>
    <row r="3489" spans="1:38" ht="12.75" outlineLevel="3" x14ac:dyDescent="0.2">
      <c r="A3489" s="82">
        <v>101</v>
      </c>
      <c r="B3489" s="82" t="s">
        <v>71</v>
      </c>
      <c r="C3489" s="82" t="s">
        <v>1873</v>
      </c>
      <c r="D3489" s="82" t="s">
        <v>507</v>
      </c>
      <c r="E3489" s="11" t="str">
        <f t="array" ref="E3489">_xlfn.XLOOKUP(D3489,Insumos!B:B,Insumos!C:$C)</f>
        <v>KG</v>
      </c>
      <c r="F3489" s="90">
        <v>0.02</v>
      </c>
      <c r="G3489" s="92">
        <f t="array" ref="G3489">IF(B3489="insumo",_xlfn.XLOOKUP($D3489,Insumos!$B$1:$B$996,Insumos!$D$1:$D$996),"")</f>
        <v>11.15</v>
      </c>
      <c r="H3489" s="92">
        <v>0.223</v>
      </c>
      <c r="I3489" s="84">
        <v>0</v>
      </c>
      <c r="J3489" s="84">
        <v>0</v>
      </c>
      <c r="K3489" s="84"/>
      <c r="L3489"/>
      <c r="M3489"/>
      <c r="N3489"/>
      <c r="O3489"/>
      <c r="P3489"/>
      <c r="Q3489"/>
      <c r="R3489"/>
      <c r="S3489"/>
      <c r="T3489"/>
      <c r="U3489"/>
      <c r="V3489"/>
      <c r="W3489"/>
      <c r="X3489"/>
      <c r="Y3489"/>
      <c r="Z3489"/>
      <c r="AA3489"/>
      <c r="AB3489"/>
      <c r="AC3489"/>
      <c r="AD3489"/>
      <c r="AE3489"/>
      <c r="AF3489"/>
      <c r="AG3489"/>
      <c r="AH3489"/>
      <c r="AI3489"/>
      <c r="AJ3489"/>
      <c r="AK3489"/>
      <c r="AL3489"/>
    </row>
    <row r="3490" spans="1:38" ht="12.75" outlineLevel="2" x14ac:dyDescent="0.2">
      <c r="A3490" s="1071">
        <v>1</v>
      </c>
      <c r="B3490" s="1071" t="s">
        <v>68</v>
      </c>
      <c r="C3490" s="1071" t="s">
        <v>1877</v>
      </c>
      <c r="D3490" s="1071" t="s">
        <v>1877</v>
      </c>
      <c r="E3490" s="1072" t="s">
        <v>70</v>
      </c>
      <c r="F3490" s="1071"/>
      <c r="G3490" s="1073" t="str">
        <f t="array" ref="G3490">IF(B3490="insumo",_xlfn.XLOOKUP($D3490,Insumos!$B$1:$B$996,Insumos!$D$1:$D$996),"")</f>
        <v/>
      </c>
      <c r="H3490" s="1073">
        <v>141.54810000000001</v>
      </c>
      <c r="I3490" s="1074">
        <v>0</v>
      </c>
      <c r="J3490" s="1074">
        <v>0</v>
      </c>
      <c r="K3490" s="1074"/>
      <c r="L3490"/>
      <c r="M3490"/>
      <c r="N3490"/>
      <c r="O3490"/>
      <c r="P3490"/>
      <c r="Q3490"/>
      <c r="R3490"/>
      <c r="S3490"/>
      <c r="T3490"/>
      <c r="U3490"/>
      <c r="V3490"/>
      <c r="W3490"/>
      <c r="X3490"/>
      <c r="Y3490"/>
      <c r="Z3490"/>
      <c r="AA3490"/>
      <c r="AB3490"/>
      <c r="AC3490"/>
      <c r="AD3490"/>
      <c r="AE3490"/>
      <c r="AF3490"/>
      <c r="AG3490"/>
      <c r="AH3490"/>
      <c r="AI3490"/>
      <c r="AJ3490"/>
      <c r="AK3490"/>
      <c r="AL3490"/>
    </row>
    <row r="3491" spans="1:38" ht="12.75" outlineLevel="3" x14ac:dyDescent="0.2">
      <c r="A3491" s="82">
        <v>2</v>
      </c>
      <c r="B3491" s="82" t="s">
        <v>71</v>
      </c>
      <c r="C3491" s="82" t="s">
        <v>1877</v>
      </c>
      <c r="D3491" s="82" t="s">
        <v>1804</v>
      </c>
      <c r="E3491" s="11" t="str">
        <f t="array" ref="E3491">_xlfn.XLOOKUP(D3491,Insumos!B:B,Insumos!C:$C)</f>
        <v>M2</v>
      </c>
      <c r="F3491" s="90">
        <v>1.1000000000000001</v>
      </c>
      <c r="G3491" s="92">
        <f t="array" ref="G3491">IF(B3491="insumo",_xlfn.XLOOKUP($D3491,Insumos!$B$1:$B$996,Insumos!$D$1:$D$996),"")</f>
        <v>119.99</v>
      </c>
      <c r="H3491" s="92">
        <v>131.989</v>
      </c>
      <c r="I3491" s="84">
        <v>0</v>
      </c>
      <c r="J3491" s="84">
        <v>0</v>
      </c>
      <c r="K3491" s="84"/>
      <c r="L3491"/>
      <c r="M3491"/>
      <c r="N3491"/>
      <c r="O3491"/>
      <c r="P3491"/>
      <c r="Q3491"/>
      <c r="R3491"/>
      <c r="S3491"/>
      <c r="T3491"/>
      <c r="U3491"/>
      <c r="V3491"/>
      <c r="W3491"/>
      <c r="X3491"/>
      <c r="Y3491"/>
      <c r="Z3491"/>
      <c r="AA3491"/>
      <c r="AB3491"/>
      <c r="AC3491"/>
      <c r="AD3491"/>
      <c r="AE3491"/>
      <c r="AF3491"/>
      <c r="AG3491"/>
      <c r="AH3491"/>
      <c r="AI3491"/>
      <c r="AJ3491"/>
      <c r="AK3491"/>
      <c r="AL3491"/>
    </row>
    <row r="3492" spans="1:38" ht="12.75" outlineLevel="3" x14ac:dyDescent="0.2">
      <c r="A3492" s="82">
        <v>191</v>
      </c>
      <c r="B3492" s="82" t="s">
        <v>71</v>
      </c>
      <c r="C3492" s="82" t="s">
        <v>1877</v>
      </c>
      <c r="D3492" s="82" t="s">
        <v>481</v>
      </c>
      <c r="E3492" s="11" t="str">
        <f t="array" ref="E3492">_xlfn.XLOOKUP(D3492,Insumos!B:B,Insumos!C:$C)</f>
        <v>KG</v>
      </c>
      <c r="F3492" s="90">
        <v>8.8000000000000007</v>
      </c>
      <c r="G3492" s="92">
        <f t="array" ref="G3492">IF(B3492="insumo",_xlfn.XLOOKUP($D3492,Insumos!$B$1:$B$996,Insumos!$D$1:$D$996),"")</f>
        <v>1.0645</v>
      </c>
      <c r="H3492" s="92">
        <v>9.3675999999999995</v>
      </c>
      <c r="I3492" s="84">
        <v>0</v>
      </c>
      <c r="J3492" s="84">
        <v>0</v>
      </c>
      <c r="K3492" s="84"/>
      <c r="L3492"/>
      <c r="M3492"/>
      <c r="N3492"/>
      <c r="O3492"/>
      <c r="P3492"/>
      <c r="Q3492"/>
      <c r="R3492"/>
      <c r="S3492"/>
      <c r="T3492"/>
      <c r="U3492"/>
      <c r="V3492"/>
      <c r="W3492"/>
      <c r="X3492"/>
      <c r="Y3492"/>
      <c r="Z3492"/>
      <c r="AA3492"/>
      <c r="AB3492"/>
      <c r="AC3492"/>
      <c r="AD3492"/>
      <c r="AE3492"/>
      <c r="AF3492"/>
      <c r="AG3492"/>
      <c r="AH3492"/>
      <c r="AI3492"/>
      <c r="AJ3492"/>
      <c r="AK3492"/>
      <c r="AL3492"/>
    </row>
    <row r="3493" spans="1:38" ht="12.75" outlineLevel="3" x14ac:dyDescent="0.2">
      <c r="A3493" s="82">
        <v>142</v>
      </c>
      <c r="B3493" s="82" t="s">
        <v>71</v>
      </c>
      <c r="C3493" s="82" t="s">
        <v>1877</v>
      </c>
      <c r="D3493" s="82" t="s">
        <v>506</v>
      </c>
      <c r="E3493" s="11" t="str">
        <f t="array" ref="E3493">_xlfn.XLOOKUP(D3493,Insumos!B:B,Insumos!C:$C)</f>
        <v>UN</v>
      </c>
      <c r="F3493" s="90">
        <v>1</v>
      </c>
      <c r="G3493" s="92">
        <f t="array" ref="G3493">IF(B3493="insumo",_xlfn.XLOOKUP($D3493,Insumos!$B$1:$B$996,Insumos!$D$1:$D$996),"")</f>
        <v>0.08</v>
      </c>
      <c r="H3493" s="92">
        <v>0.08</v>
      </c>
      <c r="I3493" s="84">
        <v>0</v>
      </c>
      <c r="J3493" s="84">
        <v>0</v>
      </c>
      <c r="K3493" s="84"/>
      <c r="L3493"/>
      <c r="M3493"/>
      <c r="N3493"/>
      <c r="O3493"/>
      <c r="P3493"/>
      <c r="Q3493"/>
      <c r="R3493"/>
      <c r="S3493"/>
      <c r="T3493"/>
      <c r="U3493"/>
      <c r="V3493"/>
      <c r="W3493"/>
      <c r="X3493"/>
      <c r="Y3493"/>
      <c r="Z3493"/>
      <c r="AA3493"/>
      <c r="AB3493"/>
      <c r="AC3493"/>
      <c r="AD3493"/>
      <c r="AE3493"/>
      <c r="AF3493"/>
      <c r="AG3493"/>
      <c r="AH3493"/>
      <c r="AI3493"/>
      <c r="AJ3493"/>
      <c r="AK3493"/>
      <c r="AL3493"/>
    </row>
    <row r="3494" spans="1:38" ht="12.75" outlineLevel="3" x14ac:dyDescent="0.2">
      <c r="A3494" s="82">
        <v>101</v>
      </c>
      <c r="B3494" s="82" t="s">
        <v>71</v>
      </c>
      <c r="C3494" s="82" t="s">
        <v>1877</v>
      </c>
      <c r="D3494" s="82" t="s">
        <v>507</v>
      </c>
      <c r="E3494" s="11" t="str">
        <f t="array" ref="E3494">_xlfn.XLOOKUP(D3494,Insumos!B:B,Insumos!C:$C)</f>
        <v>KG</v>
      </c>
      <c r="F3494" s="90">
        <v>0.01</v>
      </c>
      <c r="G3494" s="92">
        <f t="array" ref="G3494">IF(B3494="insumo",_xlfn.XLOOKUP($D3494,Insumos!$B$1:$B$996,Insumos!$D$1:$D$996),"")</f>
        <v>11.15</v>
      </c>
      <c r="H3494" s="92">
        <v>0.1115</v>
      </c>
      <c r="I3494" s="84">
        <v>0</v>
      </c>
      <c r="J3494" s="84">
        <v>0</v>
      </c>
      <c r="K3494" s="84"/>
      <c r="L3494"/>
      <c r="M3494"/>
      <c r="N3494"/>
      <c r="O3494"/>
      <c r="P3494"/>
      <c r="Q3494"/>
      <c r="R3494"/>
      <c r="S3494"/>
      <c r="T3494"/>
      <c r="U3494"/>
      <c r="V3494"/>
      <c r="W3494"/>
      <c r="X3494"/>
      <c r="Y3494"/>
      <c r="Z3494"/>
      <c r="AA3494"/>
      <c r="AB3494"/>
      <c r="AC3494"/>
      <c r="AD3494"/>
      <c r="AE3494"/>
      <c r="AF3494"/>
      <c r="AG3494"/>
      <c r="AH3494"/>
      <c r="AI3494"/>
      <c r="AJ3494"/>
      <c r="AK3494"/>
      <c r="AL3494"/>
    </row>
    <row r="3495" spans="1:38" ht="12.75" outlineLevel="2" x14ac:dyDescent="0.2">
      <c r="A3495" s="1071">
        <v>1</v>
      </c>
      <c r="B3495" s="1071" t="s">
        <v>68</v>
      </c>
      <c r="C3495" s="1071" t="s">
        <v>1878</v>
      </c>
      <c r="D3495" s="1071" t="s">
        <v>1878</v>
      </c>
      <c r="E3495" s="1072" t="s">
        <v>70</v>
      </c>
      <c r="F3495" s="1071"/>
      <c r="G3495" s="1073" t="str">
        <f t="array" ref="G3495">IF(B3495="insumo",_xlfn.XLOOKUP($D3495,Insumos!$B$1:$B$996,Insumos!$D$1:$D$996),"")</f>
        <v/>
      </c>
      <c r="H3495" s="1073">
        <v>99.759100000000004</v>
      </c>
      <c r="I3495" s="1074">
        <v>0</v>
      </c>
      <c r="J3495" s="1074">
        <v>0</v>
      </c>
      <c r="K3495" s="1074"/>
      <c r="L3495"/>
      <c r="M3495"/>
      <c r="N3495"/>
      <c r="O3495"/>
      <c r="P3495"/>
      <c r="Q3495"/>
      <c r="R3495"/>
      <c r="S3495"/>
      <c r="T3495"/>
      <c r="U3495"/>
      <c r="V3495"/>
      <c r="W3495"/>
      <c r="X3495"/>
      <c r="Y3495"/>
      <c r="Z3495"/>
      <c r="AA3495"/>
      <c r="AB3495"/>
      <c r="AC3495"/>
      <c r="AD3495"/>
      <c r="AE3495"/>
      <c r="AF3495"/>
      <c r="AG3495"/>
      <c r="AH3495"/>
      <c r="AI3495"/>
      <c r="AJ3495"/>
      <c r="AK3495"/>
      <c r="AL3495"/>
    </row>
    <row r="3496" spans="1:38" ht="12.75" outlineLevel="3" x14ac:dyDescent="0.2">
      <c r="A3496" s="82">
        <v>5</v>
      </c>
      <c r="B3496" s="82" t="s">
        <v>71</v>
      </c>
      <c r="C3496" s="82" t="s">
        <v>1878</v>
      </c>
      <c r="D3496" s="82" t="s">
        <v>663</v>
      </c>
      <c r="E3496" s="11" t="str">
        <f t="array" ref="E3496">_xlfn.XLOOKUP(D3496,Insumos!B:B,Insumos!C:$C)</f>
        <v>M2</v>
      </c>
      <c r="F3496" s="90">
        <v>1.1000000000000001</v>
      </c>
      <c r="G3496" s="92">
        <f t="array" ref="G3496">IF(B3496="insumo",_xlfn.XLOOKUP($D3496,Insumos!$B$1:$B$996,Insumos!$D$1:$D$996),"")</f>
        <v>82</v>
      </c>
      <c r="H3496" s="92">
        <v>90.2</v>
      </c>
      <c r="I3496" s="84">
        <v>0</v>
      </c>
      <c r="J3496" s="84">
        <v>0</v>
      </c>
      <c r="K3496" s="84"/>
      <c r="L3496"/>
      <c r="M3496"/>
      <c r="N3496"/>
      <c r="O3496"/>
      <c r="P3496"/>
      <c r="Q3496"/>
      <c r="R3496"/>
      <c r="S3496"/>
      <c r="T3496"/>
      <c r="U3496"/>
      <c r="V3496"/>
      <c r="W3496"/>
      <c r="X3496"/>
      <c r="Y3496"/>
      <c r="Z3496"/>
      <c r="AA3496"/>
      <c r="AB3496"/>
      <c r="AC3496"/>
      <c r="AD3496"/>
      <c r="AE3496"/>
      <c r="AF3496"/>
      <c r="AG3496"/>
      <c r="AH3496"/>
      <c r="AI3496"/>
      <c r="AJ3496"/>
      <c r="AK3496"/>
      <c r="AL3496"/>
    </row>
    <row r="3497" spans="1:38" ht="12.75" outlineLevel="3" x14ac:dyDescent="0.2">
      <c r="A3497" s="82">
        <v>191</v>
      </c>
      <c r="B3497" s="82" t="s">
        <v>71</v>
      </c>
      <c r="C3497" s="82" t="s">
        <v>1878</v>
      </c>
      <c r="D3497" s="82" t="s">
        <v>481</v>
      </c>
      <c r="E3497" s="11" t="str">
        <f t="array" ref="E3497">_xlfn.XLOOKUP(D3497,Insumos!B:B,Insumos!C:$C)</f>
        <v>KG</v>
      </c>
      <c r="F3497" s="90">
        <v>8.8000000000000007</v>
      </c>
      <c r="G3497" s="92">
        <f t="array" ref="G3497">IF(B3497="insumo",_xlfn.XLOOKUP($D3497,Insumos!$B$1:$B$996,Insumos!$D$1:$D$996),"")</f>
        <v>1.0645</v>
      </c>
      <c r="H3497" s="92">
        <v>9.3675999999999995</v>
      </c>
      <c r="I3497" s="84">
        <v>0</v>
      </c>
      <c r="J3497" s="84">
        <v>0</v>
      </c>
      <c r="K3497" s="84"/>
      <c r="L3497"/>
      <c r="M3497"/>
      <c r="N3497"/>
      <c r="O3497"/>
      <c r="P3497"/>
      <c r="Q3497"/>
      <c r="R3497"/>
      <c r="S3497"/>
      <c r="T3497"/>
      <c r="U3497"/>
      <c r="V3497"/>
      <c r="W3497"/>
      <c r="X3497"/>
      <c r="Y3497"/>
      <c r="Z3497"/>
      <c r="AA3497"/>
      <c r="AB3497"/>
      <c r="AC3497"/>
      <c r="AD3497"/>
      <c r="AE3497"/>
      <c r="AF3497"/>
      <c r="AG3497"/>
      <c r="AH3497"/>
      <c r="AI3497"/>
      <c r="AJ3497"/>
      <c r="AK3497"/>
      <c r="AL3497"/>
    </row>
    <row r="3498" spans="1:38" ht="12.75" outlineLevel="3" x14ac:dyDescent="0.2">
      <c r="A3498" s="82">
        <v>142</v>
      </c>
      <c r="B3498" s="82" t="s">
        <v>71</v>
      </c>
      <c r="C3498" s="82" t="s">
        <v>1878</v>
      </c>
      <c r="D3498" s="82" t="s">
        <v>506</v>
      </c>
      <c r="E3498" s="11" t="str">
        <f t="array" ref="E3498">_xlfn.XLOOKUP(D3498,Insumos!B:B,Insumos!C:$C)</f>
        <v>UN</v>
      </c>
      <c r="F3498" s="90">
        <v>1</v>
      </c>
      <c r="G3498" s="92">
        <f t="array" ref="G3498">IF(B3498="insumo",_xlfn.XLOOKUP($D3498,Insumos!$B$1:$B$996,Insumos!$D$1:$D$996),"")</f>
        <v>0.08</v>
      </c>
      <c r="H3498" s="92">
        <v>0.08</v>
      </c>
      <c r="I3498" s="84">
        <v>0</v>
      </c>
      <c r="J3498" s="84">
        <v>0</v>
      </c>
      <c r="K3498" s="84"/>
      <c r="L3498"/>
      <c r="M3498"/>
      <c r="N3498"/>
      <c r="O3498"/>
      <c r="P3498"/>
      <c r="Q3498"/>
      <c r="R3498"/>
      <c r="S3498"/>
      <c r="T3498"/>
      <c r="U3498"/>
      <c r="V3498"/>
      <c r="W3498"/>
      <c r="X3498"/>
      <c r="Y3498"/>
      <c r="Z3498"/>
      <c r="AA3498"/>
      <c r="AB3498"/>
      <c r="AC3498"/>
      <c r="AD3498"/>
      <c r="AE3498"/>
      <c r="AF3498"/>
      <c r="AG3498"/>
      <c r="AH3498"/>
      <c r="AI3498"/>
      <c r="AJ3498"/>
      <c r="AK3498"/>
      <c r="AL3498"/>
    </row>
    <row r="3499" spans="1:38" ht="12.75" outlineLevel="3" x14ac:dyDescent="0.2">
      <c r="A3499" s="82">
        <v>101</v>
      </c>
      <c r="B3499" s="82" t="s">
        <v>71</v>
      </c>
      <c r="C3499" s="82" t="s">
        <v>1878</v>
      </c>
      <c r="D3499" s="82" t="s">
        <v>507</v>
      </c>
      <c r="E3499" s="11" t="str">
        <f t="array" ref="E3499">_xlfn.XLOOKUP(D3499,Insumos!B:B,Insumos!C:$C)</f>
        <v>KG</v>
      </c>
      <c r="F3499" s="90">
        <v>0.01</v>
      </c>
      <c r="G3499" s="92">
        <f t="array" ref="G3499">IF(B3499="insumo",_xlfn.XLOOKUP($D3499,Insumos!$B$1:$B$996,Insumos!$D$1:$D$996),"")</f>
        <v>11.15</v>
      </c>
      <c r="H3499" s="92">
        <v>0.1115</v>
      </c>
      <c r="I3499" s="84">
        <v>0</v>
      </c>
      <c r="J3499" s="84">
        <v>0</v>
      </c>
      <c r="K3499" s="84"/>
      <c r="L3499"/>
      <c r="M3499"/>
      <c r="N3499"/>
      <c r="O3499"/>
      <c r="P3499"/>
      <c r="Q3499"/>
      <c r="R3499"/>
      <c r="S3499"/>
      <c r="T3499"/>
      <c r="U3499"/>
      <c r="V3499"/>
      <c r="W3499"/>
      <c r="X3499"/>
      <c r="Y3499"/>
      <c r="Z3499"/>
      <c r="AA3499"/>
      <c r="AB3499"/>
      <c r="AC3499"/>
      <c r="AD3499"/>
      <c r="AE3499"/>
      <c r="AF3499"/>
      <c r="AG3499"/>
      <c r="AH3499"/>
      <c r="AI3499"/>
      <c r="AJ3499"/>
      <c r="AK3499"/>
      <c r="AL3499"/>
    </row>
    <row r="3500" spans="1:38" ht="12.75" outlineLevel="2" x14ac:dyDescent="0.2">
      <c r="A3500" s="1071">
        <v>1</v>
      </c>
      <c r="B3500" s="1071" t="s">
        <v>68</v>
      </c>
      <c r="C3500" s="1071" t="s">
        <v>2985</v>
      </c>
      <c r="D3500" s="1071" t="s">
        <v>2985</v>
      </c>
      <c r="E3500" s="1072" t="s">
        <v>70</v>
      </c>
      <c r="F3500" s="1071"/>
      <c r="G3500" s="1073" t="str">
        <f t="array" ref="G3500">IF(B3500="insumo",_xlfn.XLOOKUP($D3500,Insumos!$B$1:$B$996,Insumos!$D$1:$D$996),"")</f>
        <v/>
      </c>
      <c r="H3500" s="1073">
        <v>102.7886</v>
      </c>
      <c r="I3500" s="1074" t="e">
        <v>#REF!</v>
      </c>
      <c r="J3500" s="1074" t="e">
        <v>#REF!</v>
      </c>
      <c r="K3500" s="1074"/>
      <c r="L3500"/>
      <c r="M3500"/>
      <c r="N3500"/>
      <c r="O3500"/>
      <c r="P3500"/>
      <c r="Q3500"/>
      <c r="R3500"/>
      <c r="S3500"/>
      <c r="T3500"/>
      <c r="U3500"/>
      <c r="V3500"/>
      <c r="W3500"/>
      <c r="X3500"/>
      <c r="Y3500"/>
      <c r="Z3500"/>
      <c r="AA3500"/>
      <c r="AB3500"/>
      <c r="AC3500"/>
      <c r="AD3500"/>
      <c r="AE3500"/>
      <c r="AF3500"/>
      <c r="AG3500"/>
      <c r="AH3500"/>
      <c r="AI3500"/>
      <c r="AJ3500"/>
      <c r="AK3500"/>
      <c r="AL3500"/>
    </row>
    <row r="3501" spans="1:38" ht="12.75" outlineLevel="3" x14ac:dyDescent="0.2">
      <c r="A3501" s="82">
        <v>1</v>
      </c>
      <c r="B3501" s="82" t="s">
        <v>71</v>
      </c>
      <c r="C3501" s="82" t="s">
        <v>2985</v>
      </c>
      <c r="D3501" s="82" t="s">
        <v>2986</v>
      </c>
      <c r="E3501" s="11" t="str">
        <f t="array" ref="E3501">_xlfn.XLOOKUP(D3501,Insumos!B:B,Insumos!C:$C)</f>
        <v>M2</v>
      </c>
      <c r="F3501" s="90">
        <v>1.1000000000000001</v>
      </c>
      <c r="G3501" s="92">
        <f t="array" ref="G3501">IF(B3501="insumo",_xlfn.XLOOKUP($D3501,Insumos!$B$1:$B$996,Insumos!$D$1:$D$996),"")</f>
        <v>84.51</v>
      </c>
      <c r="H3501" s="92">
        <v>92.960999999999999</v>
      </c>
      <c r="I3501" s="84" t="e">
        <v>#REF!</v>
      </c>
      <c r="J3501" s="84" t="e">
        <v>#REF!</v>
      </c>
      <c r="K3501" s="84"/>
      <c r="L3501"/>
      <c r="M3501"/>
      <c r="N3501"/>
      <c r="O3501"/>
      <c r="P3501"/>
      <c r="Q3501"/>
      <c r="R3501"/>
      <c r="S3501"/>
      <c r="T3501"/>
      <c r="U3501"/>
      <c r="V3501"/>
      <c r="W3501"/>
      <c r="X3501"/>
      <c r="Y3501"/>
      <c r="Z3501"/>
      <c r="AA3501"/>
      <c r="AB3501"/>
      <c r="AC3501"/>
      <c r="AD3501"/>
      <c r="AE3501"/>
      <c r="AF3501"/>
      <c r="AG3501"/>
      <c r="AH3501"/>
      <c r="AI3501"/>
      <c r="AJ3501"/>
      <c r="AK3501"/>
      <c r="AL3501"/>
    </row>
    <row r="3502" spans="1:38" ht="12.75" outlineLevel="3" x14ac:dyDescent="0.2">
      <c r="A3502" s="82">
        <v>191</v>
      </c>
      <c r="B3502" s="82" t="s">
        <v>71</v>
      </c>
      <c r="C3502" s="82" t="s">
        <v>2985</v>
      </c>
      <c r="D3502" s="82" t="s">
        <v>481</v>
      </c>
      <c r="E3502" s="11" t="str">
        <f t="array" ref="E3502">_xlfn.XLOOKUP(D3502,Insumos!B:B,Insumos!C:$C)</f>
        <v>KG</v>
      </c>
      <c r="F3502" s="90">
        <v>8.8000000000000007</v>
      </c>
      <c r="G3502" s="92">
        <f t="array" ref="G3502">IF(B3502="insumo",_xlfn.XLOOKUP($D3502,Insumos!$B$1:$B$996,Insumos!$D$1:$D$996),"")</f>
        <v>1.0645</v>
      </c>
      <c r="H3502" s="92">
        <v>9.3675999999999995</v>
      </c>
      <c r="I3502" s="84" t="e">
        <v>#REF!</v>
      </c>
      <c r="J3502" s="84" t="e">
        <v>#REF!</v>
      </c>
      <c r="K3502" s="84"/>
      <c r="L3502"/>
      <c r="M3502"/>
      <c r="N3502"/>
      <c r="O3502"/>
      <c r="P3502"/>
      <c r="Q3502"/>
      <c r="R3502"/>
      <c r="S3502"/>
      <c r="T3502"/>
      <c r="U3502"/>
      <c r="V3502"/>
      <c r="W3502"/>
      <c r="X3502"/>
      <c r="Y3502"/>
      <c r="Z3502"/>
      <c r="AA3502"/>
      <c r="AB3502"/>
      <c r="AC3502"/>
      <c r="AD3502"/>
      <c r="AE3502"/>
      <c r="AF3502"/>
      <c r="AG3502"/>
      <c r="AH3502"/>
      <c r="AI3502"/>
      <c r="AJ3502"/>
      <c r="AK3502"/>
      <c r="AL3502"/>
    </row>
    <row r="3503" spans="1:38" ht="12.75" outlineLevel="3" x14ac:dyDescent="0.2">
      <c r="A3503" s="82">
        <v>142</v>
      </c>
      <c r="B3503" s="82" t="s">
        <v>71</v>
      </c>
      <c r="C3503" s="82" t="s">
        <v>2985</v>
      </c>
      <c r="D3503" s="82" t="s">
        <v>506</v>
      </c>
      <c r="E3503" s="11" t="str">
        <f t="array" ref="E3503">_xlfn.XLOOKUP(D3503,Insumos!B:B,Insumos!C:$C)</f>
        <v>UN</v>
      </c>
      <c r="F3503" s="90">
        <v>1</v>
      </c>
      <c r="G3503" s="92">
        <f t="array" ref="G3503">IF(B3503="insumo",_xlfn.XLOOKUP($D3503,Insumos!$B$1:$B$996,Insumos!$D$1:$D$996),"")</f>
        <v>0.08</v>
      </c>
      <c r="H3503" s="92">
        <v>0.08</v>
      </c>
      <c r="I3503" s="84" t="e">
        <v>#REF!</v>
      </c>
      <c r="J3503" s="84" t="e">
        <v>#REF!</v>
      </c>
      <c r="K3503" s="84"/>
      <c r="L3503"/>
      <c r="M3503"/>
      <c r="N3503"/>
      <c r="O3503"/>
      <c r="P3503"/>
      <c r="Q3503"/>
      <c r="R3503"/>
      <c r="S3503"/>
      <c r="T3503"/>
      <c r="U3503"/>
      <c r="V3503"/>
      <c r="W3503"/>
      <c r="X3503"/>
      <c r="Y3503"/>
      <c r="Z3503"/>
      <c r="AA3503"/>
      <c r="AB3503"/>
      <c r="AC3503"/>
      <c r="AD3503"/>
      <c r="AE3503"/>
      <c r="AF3503"/>
      <c r="AG3503"/>
      <c r="AH3503"/>
      <c r="AI3503"/>
      <c r="AJ3503"/>
      <c r="AK3503"/>
      <c r="AL3503"/>
    </row>
    <row r="3504" spans="1:38" ht="12.75" outlineLevel="3" x14ac:dyDescent="0.2">
      <c r="A3504" s="82">
        <v>36</v>
      </c>
      <c r="B3504" s="82" t="s">
        <v>71</v>
      </c>
      <c r="C3504" s="82" t="s">
        <v>2985</v>
      </c>
      <c r="D3504" s="82" t="s">
        <v>2856</v>
      </c>
      <c r="E3504" s="11" t="str">
        <f t="array" ref="E3504">_xlfn.XLOOKUP(D3504,Insumos!B:B,Insumos!C:$C)</f>
        <v>KG</v>
      </c>
      <c r="F3504" s="90">
        <v>0.01</v>
      </c>
      <c r="G3504" s="92">
        <f t="array" ref="G3504">IF(B3504="insumo",_xlfn.XLOOKUP($D3504,Insumos!$B$1:$B$996,Insumos!$D$1:$D$996),"")</f>
        <v>38</v>
      </c>
      <c r="H3504" s="92">
        <v>0.38</v>
      </c>
      <c r="I3504" s="84" t="e">
        <v>#REF!</v>
      </c>
      <c r="J3504" s="84" t="e">
        <v>#REF!</v>
      </c>
      <c r="K3504" s="84"/>
      <c r="L3504"/>
      <c r="M3504"/>
      <c r="N3504"/>
      <c r="O3504"/>
      <c r="P3504"/>
      <c r="Q3504"/>
      <c r="R3504"/>
      <c r="S3504"/>
      <c r="T3504"/>
      <c r="U3504"/>
      <c r="V3504"/>
      <c r="W3504"/>
      <c r="X3504"/>
      <c r="Y3504"/>
      <c r="Z3504"/>
      <c r="AA3504"/>
      <c r="AB3504"/>
      <c r="AC3504"/>
      <c r="AD3504"/>
      <c r="AE3504"/>
      <c r="AF3504"/>
      <c r="AG3504"/>
      <c r="AH3504"/>
      <c r="AI3504"/>
      <c r="AJ3504"/>
      <c r="AK3504"/>
      <c r="AL3504"/>
    </row>
    <row r="3505" spans="1:38" ht="12.75" outlineLevel="2" x14ac:dyDescent="0.2">
      <c r="A3505" s="1071">
        <v>1</v>
      </c>
      <c r="B3505" s="1071" t="s">
        <v>68</v>
      </c>
      <c r="C3505" s="1071" t="s">
        <v>1879</v>
      </c>
      <c r="D3505" s="1071" t="s">
        <v>1879</v>
      </c>
      <c r="E3505" s="1072" t="s">
        <v>70</v>
      </c>
      <c r="F3505" s="1071"/>
      <c r="G3505" s="1073" t="str">
        <f t="array" ref="G3505">IF(B3505="insumo",_xlfn.XLOOKUP($D3505,Insumos!$B$1:$B$996,Insumos!$D$1:$D$996),"")</f>
        <v/>
      </c>
      <c r="H3505" s="1073">
        <v>83.820099999999996</v>
      </c>
      <c r="I3505" s="1074">
        <v>0</v>
      </c>
      <c r="J3505" s="1074">
        <v>0</v>
      </c>
      <c r="K3505" s="1074"/>
      <c r="L3505"/>
      <c r="M3505"/>
      <c r="N3505"/>
      <c r="O3505"/>
      <c r="P3505"/>
      <c r="Q3505"/>
      <c r="R3505"/>
      <c r="S3505"/>
      <c r="T3505"/>
      <c r="U3505"/>
      <c r="V3505"/>
      <c r="W3505"/>
      <c r="X3505"/>
      <c r="Y3505"/>
      <c r="Z3505"/>
      <c r="AA3505"/>
      <c r="AB3505"/>
      <c r="AC3505"/>
      <c r="AD3505"/>
      <c r="AE3505"/>
      <c r="AF3505"/>
      <c r="AG3505"/>
      <c r="AH3505"/>
      <c r="AI3505"/>
      <c r="AJ3505"/>
      <c r="AK3505"/>
      <c r="AL3505"/>
    </row>
    <row r="3506" spans="1:38" ht="12.75" outlineLevel="3" x14ac:dyDescent="0.2">
      <c r="A3506" s="82">
        <v>1</v>
      </c>
      <c r="B3506" s="82" t="s">
        <v>71</v>
      </c>
      <c r="C3506" s="82" t="s">
        <v>1879</v>
      </c>
      <c r="D3506" s="82" t="s">
        <v>1823</v>
      </c>
      <c r="E3506" s="11" t="str">
        <f t="array" ref="E3506">_xlfn.XLOOKUP(D3506,Insumos!B:B,Insumos!C:$C)</f>
        <v>M2</v>
      </c>
      <c r="F3506" s="90">
        <v>1.1000000000000001</v>
      </c>
      <c r="G3506" s="92">
        <f t="array" ref="G3506">IF(B3506="insumo",_xlfn.XLOOKUP($D3506,Insumos!$B$1:$B$996,Insumos!$D$1:$D$996),"")</f>
        <v>67.510000000000005</v>
      </c>
      <c r="H3506" s="92">
        <v>74.260999999999996</v>
      </c>
      <c r="I3506" s="84">
        <v>0</v>
      </c>
      <c r="J3506" s="84">
        <v>0</v>
      </c>
      <c r="K3506" s="84"/>
      <c r="L3506"/>
      <c r="M3506"/>
      <c r="N3506"/>
      <c r="O3506"/>
      <c r="P3506"/>
      <c r="Q3506"/>
      <c r="R3506"/>
      <c r="S3506"/>
      <c r="T3506"/>
      <c r="U3506"/>
      <c r="V3506"/>
      <c r="W3506"/>
      <c r="X3506"/>
      <c r="Y3506"/>
      <c r="Z3506"/>
      <c r="AA3506"/>
      <c r="AB3506"/>
      <c r="AC3506"/>
      <c r="AD3506"/>
      <c r="AE3506"/>
      <c r="AF3506"/>
      <c r="AG3506"/>
      <c r="AH3506"/>
      <c r="AI3506"/>
      <c r="AJ3506"/>
      <c r="AK3506"/>
      <c r="AL3506"/>
    </row>
    <row r="3507" spans="1:38" ht="12.75" outlineLevel="3" x14ac:dyDescent="0.2">
      <c r="A3507" s="82">
        <v>191</v>
      </c>
      <c r="B3507" s="82" t="s">
        <v>71</v>
      </c>
      <c r="C3507" s="82" t="s">
        <v>1879</v>
      </c>
      <c r="D3507" s="82" t="s">
        <v>481</v>
      </c>
      <c r="E3507" s="11" t="str">
        <f t="array" ref="E3507">_xlfn.XLOOKUP(D3507,Insumos!B:B,Insumos!C:$C)</f>
        <v>KG</v>
      </c>
      <c r="F3507" s="90">
        <v>8.8000000000000007</v>
      </c>
      <c r="G3507" s="92">
        <f t="array" ref="G3507">IF(B3507="insumo",_xlfn.XLOOKUP($D3507,Insumos!$B$1:$B$996,Insumos!$D$1:$D$996),"")</f>
        <v>1.0645</v>
      </c>
      <c r="H3507" s="92">
        <v>9.3675999999999995</v>
      </c>
      <c r="I3507" s="84">
        <v>0</v>
      </c>
      <c r="J3507" s="84">
        <v>0</v>
      </c>
      <c r="K3507" s="84"/>
      <c r="L3507"/>
      <c r="M3507"/>
      <c r="N3507"/>
      <c r="O3507"/>
      <c r="P3507"/>
      <c r="Q3507"/>
      <c r="R3507"/>
      <c r="S3507"/>
      <c r="T3507"/>
      <c r="U3507"/>
      <c r="V3507"/>
      <c r="W3507"/>
      <c r="X3507"/>
      <c r="Y3507"/>
      <c r="Z3507"/>
      <c r="AA3507"/>
      <c r="AB3507"/>
      <c r="AC3507"/>
      <c r="AD3507"/>
      <c r="AE3507"/>
      <c r="AF3507"/>
      <c r="AG3507"/>
      <c r="AH3507"/>
      <c r="AI3507"/>
      <c r="AJ3507"/>
      <c r="AK3507"/>
      <c r="AL3507"/>
    </row>
    <row r="3508" spans="1:38" ht="12.75" outlineLevel="3" x14ac:dyDescent="0.2">
      <c r="A3508" s="82">
        <v>142</v>
      </c>
      <c r="B3508" s="82" t="s">
        <v>71</v>
      </c>
      <c r="C3508" s="82" t="s">
        <v>1879</v>
      </c>
      <c r="D3508" s="82" t="s">
        <v>506</v>
      </c>
      <c r="E3508" s="11" t="str">
        <f t="array" ref="E3508">_xlfn.XLOOKUP(D3508,Insumos!B:B,Insumos!C:$C)</f>
        <v>UN</v>
      </c>
      <c r="F3508" s="90">
        <v>1</v>
      </c>
      <c r="G3508" s="92">
        <f t="array" ref="G3508">IF(B3508="insumo",_xlfn.XLOOKUP($D3508,Insumos!$B$1:$B$996,Insumos!$D$1:$D$996),"")</f>
        <v>0.08</v>
      </c>
      <c r="H3508" s="92">
        <v>0.08</v>
      </c>
      <c r="I3508" s="84">
        <v>0</v>
      </c>
      <c r="J3508" s="84">
        <v>0</v>
      </c>
      <c r="K3508" s="84"/>
      <c r="L3508"/>
      <c r="M3508"/>
      <c r="N3508"/>
      <c r="O3508"/>
      <c r="P3508"/>
      <c r="Q3508"/>
      <c r="R3508"/>
      <c r="S3508"/>
      <c r="T3508"/>
      <c r="U3508"/>
      <c r="V3508"/>
      <c r="W3508"/>
      <c r="X3508"/>
      <c r="Y3508"/>
      <c r="Z3508"/>
      <c r="AA3508"/>
      <c r="AB3508"/>
      <c r="AC3508"/>
      <c r="AD3508"/>
      <c r="AE3508"/>
      <c r="AF3508"/>
      <c r="AG3508"/>
      <c r="AH3508"/>
      <c r="AI3508"/>
      <c r="AJ3508"/>
      <c r="AK3508"/>
      <c r="AL3508"/>
    </row>
    <row r="3509" spans="1:38" ht="12.75" outlineLevel="3" x14ac:dyDescent="0.2">
      <c r="A3509" s="82">
        <v>101</v>
      </c>
      <c r="B3509" s="82" t="s">
        <v>71</v>
      </c>
      <c r="C3509" s="82" t="s">
        <v>1879</v>
      </c>
      <c r="D3509" s="82" t="s">
        <v>507</v>
      </c>
      <c r="E3509" s="11" t="str">
        <f t="array" ref="E3509">_xlfn.XLOOKUP(D3509,Insumos!B:B,Insumos!C:$C)</f>
        <v>KG</v>
      </c>
      <c r="F3509" s="90">
        <v>0.01</v>
      </c>
      <c r="G3509" s="92">
        <f t="array" ref="G3509">IF(B3509="insumo",_xlfn.XLOOKUP($D3509,Insumos!$B$1:$B$996,Insumos!$D$1:$D$996),"")</f>
        <v>11.15</v>
      </c>
      <c r="H3509" s="92">
        <v>0.1115</v>
      </c>
      <c r="I3509" s="84">
        <v>0</v>
      </c>
      <c r="J3509" s="84">
        <v>0</v>
      </c>
      <c r="K3509" s="84"/>
      <c r="L3509"/>
      <c r="M3509"/>
      <c r="N3509"/>
      <c r="O3509"/>
      <c r="P3509"/>
      <c r="Q3509"/>
      <c r="R3509"/>
      <c r="S3509"/>
      <c r="T3509"/>
      <c r="U3509"/>
      <c r="V3509"/>
      <c r="W3509"/>
      <c r="X3509"/>
      <c r="Y3509"/>
      <c r="Z3509"/>
      <c r="AA3509"/>
      <c r="AB3509"/>
      <c r="AC3509"/>
      <c r="AD3509"/>
      <c r="AE3509"/>
      <c r="AF3509"/>
      <c r="AG3509"/>
      <c r="AH3509"/>
      <c r="AI3509"/>
      <c r="AJ3509"/>
      <c r="AK3509"/>
      <c r="AL3509"/>
    </row>
    <row r="3510" spans="1:38" ht="12.75" outlineLevel="2" x14ac:dyDescent="0.2">
      <c r="A3510" s="1071">
        <v>1</v>
      </c>
      <c r="B3510" s="1071" t="s">
        <v>68</v>
      </c>
      <c r="C3510" s="1071" t="s">
        <v>1880</v>
      </c>
      <c r="D3510" s="1071" t="s">
        <v>1880</v>
      </c>
      <c r="E3510" s="1072" t="s">
        <v>70</v>
      </c>
      <c r="F3510" s="1071"/>
      <c r="G3510" s="1073" t="str">
        <f t="array" ref="G3510">IF(B3510="insumo",_xlfn.XLOOKUP($D3510,Insumos!$B$1:$B$996,Insumos!$D$1:$D$996),"")</f>
        <v/>
      </c>
      <c r="H3510" s="1073">
        <v>166.05449999999999</v>
      </c>
      <c r="I3510" s="1074">
        <v>0</v>
      </c>
      <c r="J3510" s="1074">
        <v>0</v>
      </c>
      <c r="K3510" s="1074"/>
      <c r="L3510"/>
      <c r="M3510"/>
      <c r="N3510"/>
      <c r="O3510"/>
      <c r="P3510"/>
      <c r="Q3510"/>
      <c r="R3510"/>
      <c r="S3510"/>
      <c r="T3510"/>
      <c r="U3510"/>
      <c r="V3510"/>
      <c r="W3510"/>
      <c r="X3510"/>
      <c r="Y3510"/>
      <c r="Z3510"/>
      <c r="AA3510"/>
      <c r="AB3510"/>
      <c r="AC3510"/>
      <c r="AD3510"/>
      <c r="AE3510"/>
      <c r="AF3510"/>
      <c r="AG3510"/>
      <c r="AH3510"/>
      <c r="AI3510"/>
      <c r="AJ3510"/>
      <c r="AK3510"/>
      <c r="AL3510"/>
    </row>
    <row r="3511" spans="1:38" ht="12.75" outlineLevel="3" x14ac:dyDescent="0.2">
      <c r="A3511" s="82">
        <v>3</v>
      </c>
      <c r="B3511" s="82" t="s">
        <v>71</v>
      </c>
      <c r="C3511" s="82" t="s">
        <v>1880</v>
      </c>
      <c r="D3511" s="82" t="s">
        <v>664</v>
      </c>
      <c r="E3511" s="11" t="str">
        <f t="array" ref="E3511">_xlfn.XLOOKUP(D3511,Insumos!B:B,Insumos!C:$C)</f>
        <v>M2</v>
      </c>
      <c r="F3511" s="86">
        <v>1.1000000000000001</v>
      </c>
      <c r="G3511" s="92">
        <f t="array" ref="G3511">IF(B3511="insumo",_xlfn.XLOOKUP($D3511,Insumos!$B$1:$B$996,Insumos!$D$1:$D$996),"")</f>
        <v>136.88999999999999</v>
      </c>
      <c r="H3511" s="92">
        <v>150.57900000000001</v>
      </c>
      <c r="I3511" s="84">
        <v>0</v>
      </c>
      <c r="J3511" s="84">
        <v>0</v>
      </c>
      <c r="K3511" s="84"/>
      <c r="L3511"/>
      <c r="M3511"/>
      <c r="N3511"/>
      <c r="O3511"/>
      <c r="P3511"/>
      <c r="Q3511"/>
      <c r="R3511"/>
      <c r="S3511"/>
      <c r="T3511"/>
      <c r="U3511"/>
      <c r="V3511"/>
      <c r="W3511"/>
      <c r="X3511"/>
      <c r="Y3511"/>
      <c r="Z3511"/>
      <c r="AA3511"/>
      <c r="AB3511"/>
      <c r="AC3511"/>
      <c r="AD3511"/>
      <c r="AE3511"/>
      <c r="AF3511"/>
      <c r="AG3511"/>
      <c r="AH3511"/>
      <c r="AI3511"/>
      <c r="AJ3511"/>
      <c r="AK3511"/>
      <c r="AL3511"/>
    </row>
    <row r="3512" spans="1:38" ht="12.75" outlineLevel="3" x14ac:dyDescent="0.2">
      <c r="A3512" s="82">
        <v>191</v>
      </c>
      <c r="B3512" s="82" t="s">
        <v>71</v>
      </c>
      <c r="C3512" s="82" t="s">
        <v>1880</v>
      </c>
      <c r="D3512" s="82" t="s">
        <v>481</v>
      </c>
      <c r="E3512" s="11" t="str">
        <f t="array" ref="E3512">_xlfn.XLOOKUP(D3512,Insumos!B:B,Insumos!C:$C)</f>
        <v>KG</v>
      </c>
      <c r="F3512" s="86">
        <v>9</v>
      </c>
      <c r="G3512" s="92">
        <f t="array" ref="G3512">IF(B3512="insumo",_xlfn.XLOOKUP($D3512,Insumos!$B$1:$B$996,Insumos!$D$1:$D$996),"")</f>
        <v>1.0645</v>
      </c>
      <c r="H3512" s="92">
        <v>9.5805000000000007</v>
      </c>
      <c r="I3512" s="84">
        <v>0</v>
      </c>
      <c r="J3512" s="84">
        <v>0</v>
      </c>
      <c r="K3512" s="84"/>
      <c r="L3512"/>
      <c r="M3512"/>
      <c r="N3512"/>
      <c r="O3512"/>
      <c r="P3512"/>
      <c r="Q3512"/>
      <c r="R3512"/>
      <c r="S3512"/>
      <c r="T3512"/>
      <c r="U3512"/>
      <c r="V3512"/>
      <c r="W3512"/>
      <c r="X3512"/>
      <c r="Y3512"/>
      <c r="Z3512"/>
      <c r="AA3512"/>
      <c r="AB3512"/>
      <c r="AC3512"/>
      <c r="AD3512"/>
      <c r="AE3512"/>
      <c r="AF3512"/>
      <c r="AG3512"/>
      <c r="AH3512"/>
      <c r="AI3512"/>
      <c r="AJ3512"/>
      <c r="AK3512"/>
      <c r="AL3512"/>
    </row>
    <row r="3513" spans="1:38" ht="12.75" outlineLevel="3" x14ac:dyDescent="0.2">
      <c r="A3513" s="82">
        <v>142</v>
      </c>
      <c r="B3513" s="82" t="s">
        <v>71</v>
      </c>
      <c r="C3513" s="82" t="s">
        <v>1880</v>
      </c>
      <c r="D3513" s="82" t="s">
        <v>506</v>
      </c>
      <c r="E3513" s="11" t="str">
        <f t="array" ref="E3513">_xlfn.XLOOKUP(D3513,Insumos!B:B,Insumos!C:$C)</f>
        <v>UN</v>
      </c>
      <c r="F3513" s="86">
        <v>4</v>
      </c>
      <c r="G3513" s="92">
        <f t="array" ref="G3513">IF(B3513="insumo",_xlfn.XLOOKUP($D3513,Insumos!$B$1:$B$996,Insumos!$D$1:$D$996),"")</f>
        <v>0.08</v>
      </c>
      <c r="H3513" s="92">
        <v>0.32</v>
      </c>
      <c r="I3513" s="84">
        <v>0</v>
      </c>
      <c r="J3513" s="84">
        <v>0</v>
      </c>
      <c r="K3513" s="84"/>
      <c r="L3513"/>
      <c r="M3513"/>
      <c r="N3513"/>
      <c r="O3513"/>
      <c r="P3513"/>
      <c r="Q3513"/>
      <c r="R3513"/>
      <c r="S3513"/>
      <c r="T3513"/>
      <c r="U3513"/>
      <c r="V3513"/>
      <c r="W3513"/>
      <c r="X3513"/>
      <c r="Y3513"/>
      <c r="Z3513"/>
      <c r="AA3513"/>
      <c r="AB3513"/>
      <c r="AC3513"/>
      <c r="AD3513"/>
      <c r="AE3513"/>
      <c r="AF3513"/>
      <c r="AG3513"/>
      <c r="AH3513"/>
      <c r="AI3513"/>
      <c r="AJ3513"/>
      <c r="AK3513"/>
      <c r="AL3513"/>
    </row>
    <row r="3514" spans="1:38" ht="12.75" outlineLevel="3" x14ac:dyDescent="0.2">
      <c r="A3514" s="82">
        <v>101</v>
      </c>
      <c r="B3514" s="82" t="s">
        <v>71</v>
      </c>
      <c r="C3514" s="82" t="s">
        <v>1880</v>
      </c>
      <c r="D3514" s="82" t="s">
        <v>507</v>
      </c>
      <c r="E3514" s="11" t="str">
        <f t="array" ref="E3514">_xlfn.XLOOKUP(D3514,Insumos!B:B,Insumos!C:$C)</f>
        <v>KG</v>
      </c>
      <c r="F3514" s="86">
        <v>0.5</v>
      </c>
      <c r="G3514" s="92">
        <f t="array" ref="G3514">IF(B3514="insumo",_xlfn.XLOOKUP($D3514,Insumos!$B$1:$B$996,Insumos!$D$1:$D$996),"")</f>
        <v>11.15</v>
      </c>
      <c r="H3514" s="92">
        <v>5.5750000000000002</v>
      </c>
      <c r="I3514" s="84">
        <v>0</v>
      </c>
      <c r="J3514" s="84">
        <v>0</v>
      </c>
      <c r="K3514" s="84"/>
      <c r="L3514"/>
      <c r="M3514"/>
      <c r="N3514"/>
      <c r="O3514"/>
      <c r="P3514"/>
      <c r="Q3514"/>
      <c r="R3514"/>
      <c r="S3514"/>
      <c r="T3514"/>
      <c r="U3514"/>
      <c r="V3514"/>
      <c r="W3514"/>
      <c r="X3514"/>
      <c r="Y3514"/>
      <c r="Z3514"/>
      <c r="AA3514"/>
      <c r="AB3514"/>
      <c r="AC3514"/>
      <c r="AD3514"/>
      <c r="AE3514"/>
      <c r="AF3514"/>
      <c r="AG3514"/>
      <c r="AH3514"/>
      <c r="AI3514"/>
      <c r="AJ3514"/>
      <c r="AK3514"/>
      <c r="AL3514"/>
    </row>
    <row r="3515" spans="1:38" ht="12.75" outlineLevel="2" x14ac:dyDescent="0.2">
      <c r="A3515" s="1071">
        <v>1</v>
      </c>
      <c r="B3515" s="1071" t="s">
        <v>68</v>
      </c>
      <c r="C3515" s="1071" t="s">
        <v>1881</v>
      </c>
      <c r="D3515" s="1071" t="s">
        <v>1881</v>
      </c>
      <c r="E3515" s="1072" t="s">
        <v>70</v>
      </c>
      <c r="F3515" s="1071"/>
      <c r="G3515" s="1073" t="str">
        <f t="array" ref="G3515">IF(B3515="insumo",_xlfn.XLOOKUP($D3515,Insumos!$B$1:$B$996,Insumos!$D$1:$D$996),"")</f>
        <v/>
      </c>
      <c r="H3515" s="1073">
        <v>268.0591</v>
      </c>
      <c r="I3515" s="1074">
        <v>0</v>
      </c>
      <c r="J3515" s="1074">
        <v>0</v>
      </c>
      <c r="K3515" s="1074"/>
      <c r="L3515"/>
      <c r="M3515"/>
      <c r="N3515"/>
      <c r="O3515"/>
      <c r="P3515"/>
      <c r="Q3515"/>
      <c r="R3515"/>
      <c r="S3515"/>
      <c r="T3515"/>
      <c r="U3515"/>
      <c r="V3515"/>
      <c r="W3515"/>
      <c r="X3515"/>
      <c r="Y3515"/>
      <c r="Z3515"/>
      <c r="AA3515"/>
      <c r="AB3515"/>
      <c r="AC3515"/>
      <c r="AD3515"/>
      <c r="AE3515"/>
      <c r="AF3515"/>
      <c r="AG3515"/>
      <c r="AH3515"/>
      <c r="AI3515"/>
      <c r="AJ3515"/>
      <c r="AK3515"/>
      <c r="AL3515"/>
    </row>
    <row r="3516" spans="1:38" ht="12.75" outlineLevel="3" x14ac:dyDescent="0.2">
      <c r="A3516" s="82">
        <v>1</v>
      </c>
      <c r="B3516" s="82" t="s">
        <v>71</v>
      </c>
      <c r="C3516" s="82" t="s">
        <v>1881</v>
      </c>
      <c r="D3516" s="82" t="s">
        <v>1810</v>
      </c>
      <c r="E3516" s="11" t="str">
        <f t="array" ref="E3516">_xlfn.XLOOKUP(D3516,Insumos!B:B,Insumos!C:$C)</f>
        <v>M2</v>
      </c>
      <c r="F3516" s="90">
        <v>1.1000000000000001</v>
      </c>
      <c r="G3516" s="92">
        <f t="array" ref="G3516">IF(B3516="insumo",_xlfn.XLOOKUP($D3516,Insumos!$B$1:$B$996,Insumos!$D$1:$D$996),"")</f>
        <v>235</v>
      </c>
      <c r="H3516" s="92">
        <v>258.5</v>
      </c>
      <c r="I3516" s="84">
        <v>0</v>
      </c>
      <c r="J3516" s="84">
        <v>0</v>
      </c>
      <c r="K3516" s="84"/>
      <c r="L3516"/>
      <c r="M3516"/>
      <c r="N3516"/>
      <c r="O3516"/>
      <c r="P3516"/>
      <c r="Q3516"/>
      <c r="R3516"/>
      <c r="S3516"/>
      <c r="T3516"/>
      <c r="U3516"/>
      <c r="V3516"/>
      <c r="W3516"/>
      <c r="X3516"/>
      <c r="Y3516"/>
      <c r="Z3516"/>
      <c r="AA3516"/>
      <c r="AB3516"/>
      <c r="AC3516"/>
      <c r="AD3516"/>
      <c r="AE3516"/>
      <c r="AF3516"/>
      <c r="AG3516"/>
      <c r="AH3516"/>
      <c r="AI3516"/>
      <c r="AJ3516"/>
      <c r="AK3516"/>
      <c r="AL3516"/>
    </row>
    <row r="3517" spans="1:38" ht="12.75" outlineLevel="3" x14ac:dyDescent="0.2">
      <c r="A3517" s="82">
        <v>191</v>
      </c>
      <c r="B3517" s="82" t="s">
        <v>71</v>
      </c>
      <c r="C3517" s="82" t="s">
        <v>1881</v>
      </c>
      <c r="D3517" s="82" t="s">
        <v>481</v>
      </c>
      <c r="E3517" s="11" t="str">
        <f t="array" ref="E3517">_xlfn.XLOOKUP(D3517,Insumos!B:B,Insumos!C:$C)</f>
        <v>KG</v>
      </c>
      <c r="F3517" s="90">
        <v>8.8000000000000007</v>
      </c>
      <c r="G3517" s="92">
        <f t="array" ref="G3517">IF(B3517="insumo",_xlfn.XLOOKUP($D3517,Insumos!$B$1:$B$996,Insumos!$D$1:$D$996),"")</f>
        <v>1.0645</v>
      </c>
      <c r="H3517" s="92">
        <v>9.3675999999999995</v>
      </c>
      <c r="I3517" s="84">
        <v>0</v>
      </c>
      <c r="J3517" s="84">
        <v>0</v>
      </c>
      <c r="K3517" s="84"/>
      <c r="L3517"/>
      <c r="M3517"/>
      <c r="N3517"/>
      <c r="O3517"/>
      <c r="P3517"/>
      <c r="Q3517"/>
      <c r="R3517"/>
      <c r="S3517"/>
      <c r="T3517"/>
      <c r="U3517"/>
      <c r="V3517"/>
      <c r="W3517"/>
      <c r="X3517"/>
      <c r="Y3517"/>
      <c r="Z3517"/>
      <c r="AA3517"/>
      <c r="AB3517"/>
      <c r="AC3517"/>
      <c r="AD3517"/>
      <c r="AE3517"/>
      <c r="AF3517"/>
      <c r="AG3517"/>
      <c r="AH3517"/>
      <c r="AI3517"/>
      <c r="AJ3517"/>
      <c r="AK3517"/>
      <c r="AL3517"/>
    </row>
    <row r="3518" spans="1:38" ht="12.75" outlineLevel="3" x14ac:dyDescent="0.2">
      <c r="A3518" s="82">
        <v>142</v>
      </c>
      <c r="B3518" s="82" t="s">
        <v>71</v>
      </c>
      <c r="C3518" s="82" t="s">
        <v>1881</v>
      </c>
      <c r="D3518" s="82" t="s">
        <v>506</v>
      </c>
      <c r="E3518" s="11" t="str">
        <f t="array" ref="E3518">_xlfn.XLOOKUP(D3518,Insumos!B:B,Insumos!C:$C)</f>
        <v>UN</v>
      </c>
      <c r="F3518" s="90">
        <v>1</v>
      </c>
      <c r="G3518" s="92">
        <f t="array" ref="G3518">IF(B3518="insumo",_xlfn.XLOOKUP($D3518,Insumos!$B$1:$B$996,Insumos!$D$1:$D$996),"")</f>
        <v>0.08</v>
      </c>
      <c r="H3518" s="92">
        <v>0.08</v>
      </c>
      <c r="I3518" s="84">
        <v>0</v>
      </c>
      <c r="J3518" s="84">
        <v>0</v>
      </c>
      <c r="K3518" s="84"/>
      <c r="L3518"/>
      <c r="M3518"/>
      <c r="N3518"/>
      <c r="O3518"/>
      <c r="P3518"/>
      <c r="Q3518"/>
      <c r="R3518"/>
      <c r="S3518"/>
      <c r="T3518"/>
      <c r="U3518"/>
      <c r="V3518"/>
      <c r="W3518"/>
      <c r="X3518"/>
      <c r="Y3518"/>
      <c r="Z3518"/>
      <c r="AA3518"/>
      <c r="AB3518"/>
      <c r="AC3518"/>
      <c r="AD3518"/>
      <c r="AE3518"/>
      <c r="AF3518"/>
      <c r="AG3518"/>
      <c r="AH3518"/>
      <c r="AI3518"/>
      <c r="AJ3518"/>
      <c r="AK3518"/>
      <c r="AL3518"/>
    </row>
    <row r="3519" spans="1:38" ht="12.75" outlineLevel="3" x14ac:dyDescent="0.2">
      <c r="A3519" s="82">
        <v>101</v>
      </c>
      <c r="B3519" s="82" t="s">
        <v>71</v>
      </c>
      <c r="C3519" s="82" t="s">
        <v>1881</v>
      </c>
      <c r="D3519" s="82" t="s">
        <v>507</v>
      </c>
      <c r="E3519" s="11" t="str">
        <f t="array" ref="E3519">_xlfn.XLOOKUP(D3519,Insumos!B:B,Insumos!C:$C)</f>
        <v>KG</v>
      </c>
      <c r="F3519" s="90">
        <v>0.01</v>
      </c>
      <c r="G3519" s="92">
        <f t="array" ref="G3519">IF(B3519="insumo",_xlfn.XLOOKUP($D3519,Insumos!$B$1:$B$996,Insumos!$D$1:$D$996),"")</f>
        <v>11.15</v>
      </c>
      <c r="H3519" s="92">
        <v>0.1115</v>
      </c>
      <c r="I3519" s="84">
        <v>0</v>
      </c>
      <c r="J3519" s="84">
        <v>0</v>
      </c>
      <c r="K3519" s="84"/>
      <c r="L3519"/>
      <c r="M3519"/>
      <c r="N3519"/>
      <c r="O3519"/>
      <c r="P3519"/>
      <c r="Q3519"/>
      <c r="R3519"/>
      <c r="S3519"/>
      <c r="T3519"/>
      <c r="U3519"/>
      <c r="V3519"/>
      <c r="W3519"/>
      <c r="X3519"/>
      <c r="Y3519"/>
      <c r="Z3519"/>
      <c r="AA3519"/>
      <c r="AB3519"/>
      <c r="AC3519"/>
      <c r="AD3519"/>
      <c r="AE3519"/>
      <c r="AF3519"/>
      <c r="AG3519"/>
      <c r="AH3519"/>
      <c r="AI3519"/>
      <c r="AJ3519"/>
      <c r="AK3519"/>
      <c r="AL3519"/>
    </row>
    <row r="3520" spans="1:38" ht="12.75" outlineLevel="2" x14ac:dyDescent="0.2">
      <c r="A3520" s="1071">
        <v>1</v>
      </c>
      <c r="B3520" s="1071" t="s">
        <v>68</v>
      </c>
      <c r="C3520" s="1071" t="s">
        <v>1882</v>
      </c>
      <c r="D3520" s="1071" t="s">
        <v>1882</v>
      </c>
      <c r="E3520" s="1072" t="s">
        <v>70</v>
      </c>
      <c r="F3520" s="1071"/>
      <c r="G3520" s="1073" t="str">
        <f t="array" ref="G3520">IF(B3520="insumo",_xlfn.XLOOKUP($D3520,Insumos!$B$1:$B$996,Insumos!$D$1:$D$996),"")</f>
        <v/>
      </c>
      <c r="H3520" s="1073">
        <v>158.0591</v>
      </c>
      <c r="I3520" s="1074">
        <v>0</v>
      </c>
      <c r="J3520" s="1074">
        <v>0</v>
      </c>
      <c r="K3520" s="1074"/>
      <c r="L3520"/>
      <c r="M3520"/>
      <c r="N3520"/>
      <c r="O3520"/>
      <c r="P3520"/>
      <c r="Q3520"/>
      <c r="R3520"/>
      <c r="S3520"/>
      <c r="T3520"/>
      <c r="U3520"/>
      <c r="V3520"/>
      <c r="W3520"/>
      <c r="X3520"/>
      <c r="Y3520"/>
      <c r="Z3520"/>
      <c r="AA3520"/>
      <c r="AB3520"/>
      <c r="AC3520"/>
      <c r="AD3520"/>
      <c r="AE3520"/>
      <c r="AF3520"/>
      <c r="AG3520"/>
      <c r="AH3520"/>
      <c r="AI3520"/>
      <c r="AJ3520"/>
      <c r="AK3520"/>
      <c r="AL3520"/>
    </row>
    <row r="3521" spans="1:38" ht="12.75" outlineLevel="3" x14ac:dyDescent="0.2">
      <c r="A3521" s="82">
        <v>1</v>
      </c>
      <c r="B3521" s="82" t="s">
        <v>71</v>
      </c>
      <c r="C3521" s="82" t="s">
        <v>1882</v>
      </c>
      <c r="D3521" s="82" t="s">
        <v>1807</v>
      </c>
      <c r="E3521" s="11" t="str">
        <f t="array" ref="E3521">_xlfn.XLOOKUP(D3521,Insumos!B:B,Insumos!C:$C)</f>
        <v>M2</v>
      </c>
      <c r="F3521" s="90">
        <v>1.1000000000000001</v>
      </c>
      <c r="G3521" s="92">
        <f t="array" ref="G3521">IF(B3521="insumo",_xlfn.XLOOKUP($D3521,Insumos!$B$1:$B$996,Insumos!$D$1:$D$996),"")</f>
        <v>135</v>
      </c>
      <c r="H3521" s="92">
        <v>148.5</v>
      </c>
      <c r="I3521" s="84">
        <v>0</v>
      </c>
      <c r="J3521" s="84">
        <v>0</v>
      </c>
      <c r="K3521" s="84"/>
      <c r="L3521"/>
      <c r="M3521"/>
      <c r="N3521"/>
      <c r="O3521"/>
      <c r="P3521"/>
      <c r="Q3521"/>
      <c r="R3521"/>
      <c r="S3521"/>
      <c r="T3521"/>
      <c r="U3521"/>
      <c r="V3521"/>
      <c r="W3521"/>
      <c r="X3521"/>
      <c r="Y3521"/>
      <c r="Z3521"/>
      <c r="AA3521"/>
      <c r="AB3521"/>
      <c r="AC3521"/>
      <c r="AD3521"/>
      <c r="AE3521"/>
      <c r="AF3521"/>
      <c r="AG3521"/>
      <c r="AH3521"/>
      <c r="AI3521"/>
      <c r="AJ3521"/>
      <c r="AK3521"/>
      <c r="AL3521"/>
    </row>
    <row r="3522" spans="1:38" ht="12.75" outlineLevel="3" x14ac:dyDescent="0.2">
      <c r="A3522" s="82">
        <v>191</v>
      </c>
      <c r="B3522" s="82" t="s">
        <v>71</v>
      </c>
      <c r="C3522" s="82" t="s">
        <v>1882</v>
      </c>
      <c r="D3522" s="82" t="s">
        <v>481</v>
      </c>
      <c r="E3522" s="11" t="str">
        <f t="array" ref="E3522">_xlfn.XLOOKUP(D3522,Insumos!B:B,Insumos!C:$C)</f>
        <v>KG</v>
      </c>
      <c r="F3522" s="90">
        <v>8.8000000000000007</v>
      </c>
      <c r="G3522" s="92">
        <f t="array" ref="G3522">IF(B3522="insumo",_xlfn.XLOOKUP($D3522,Insumos!$B$1:$B$996,Insumos!$D$1:$D$996),"")</f>
        <v>1.0645</v>
      </c>
      <c r="H3522" s="92">
        <v>9.3675999999999995</v>
      </c>
      <c r="I3522" s="84">
        <v>0</v>
      </c>
      <c r="J3522" s="84">
        <v>0</v>
      </c>
      <c r="K3522" s="84"/>
      <c r="L3522"/>
      <c r="M3522"/>
      <c r="N3522"/>
      <c r="O3522"/>
      <c r="P3522"/>
      <c r="Q3522"/>
      <c r="R3522"/>
      <c r="S3522"/>
      <c r="T3522"/>
      <c r="U3522"/>
      <c r="V3522"/>
      <c r="W3522"/>
      <c r="X3522"/>
      <c r="Y3522"/>
      <c r="Z3522"/>
      <c r="AA3522"/>
      <c r="AB3522"/>
      <c r="AC3522"/>
      <c r="AD3522"/>
      <c r="AE3522"/>
      <c r="AF3522"/>
      <c r="AG3522"/>
      <c r="AH3522"/>
      <c r="AI3522"/>
      <c r="AJ3522"/>
      <c r="AK3522"/>
      <c r="AL3522"/>
    </row>
    <row r="3523" spans="1:38" ht="12.75" outlineLevel="3" x14ac:dyDescent="0.2">
      <c r="A3523" s="82">
        <v>142</v>
      </c>
      <c r="B3523" s="82" t="s">
        <v>71</v>
      </c>
      <c r="C3523" s="82" t="s">
        <v>1882</v>
      </c>
      <c r="D3523" s="82" t="s">
        <v>506</v>
      </c>
      <c r="E3523" s="11" t="str">
        <f t="array" ref="E3523">_xlfn.XLOOKUP(D3523,Insumos!B:B,Insumos!C:$C)</f>
        <v>UN</v>
      </c>
      <c r="F3523" s="90">
        <v>1</v>
      </c>
      <c r="G3523" s="92">
        <f t="array" ref="G3523">IF(B3523="insumo",_xlfn.XLOOKUP($D3523,Insumos!$B$1:$B$996,Insumos!$D$1:$D$996),"")</f>
        <v>0.08</v>
      </c>
      <c r="H3523" s="92">
        <v>0.08</v>
      </c>
      <c r="I3523" s="84">
        <v>0</v>
      </c>
      <c r="J3523" s="84">
        <v>0</v>
      </c>
      <c r="K3523" s="84"/>
      <c r="L3523"/>
      <c r="M3523"/>
      <c r="N3523"/>
      <c r="O3523"/>
      <c r="P3523"/>
      <c r="Q3523"/>
      <c r="R3523"/>
      <c r="S3523"/>
      <c r="T3523"/>
      <c r="U3523"/>
      <c r="V3523"/>
      <c r="W3523"/>
      <c r="X3523"/>
      <c r="Y3523"/>
      <c r="Z3523"/>
      <c r="AA3523"/>
      <c r="AB3523"/>
      <c r="AC3523"/>
      <c r="AD3523"/>
      <c r="AE3523"/>
      <c r="AF3523"/>
      <c r="AG3523"/>
      <c r="AH3523"/>
      <c r="AI3523"/>
      <c r="AJ3523"/>
      <c r="AK3523"/>
      <c r="AL3523"/>
    </row>
    <row r="3524" spans="1:38" ht="12.75" outlineLevel="3" x14ac:dyDescent="0.2">
      <c r="A3524" s="82">
        <v>101</v>
      </c>
      <c r="B3524" s="82" t="s">
        <v>71</v>
      </c>
      <c r="C3524" s="82" t="s">
        <v>1882</v>
      </c>
      <c r="D3524" s="82" t="s">
        <v>507</v>
      </c>
      <c r="E3524" s="11" t="str">
        <f t="array" ref="E3524">_xlfn.XLOOKUP(D3524,Insumos!B:B,Insumos!C:$C)</f>
        <v>KG</v>
      </c>
      <c r="F3524" s="90">
        <v>0.01</v>
      </c>
      <c r="G3524" s="92">
        <f t="array" ref="G3524">IF(B3524="insumo",_xlfn.XLOOKUP($D3524,Insumos!$B$1:$B$996,Insumos!$D$1:$D$996),"")</f>
        <v>11.15</v>
      </c>
      <c r="H3524" s="92">
        <v>0.1115</v>
      </c>
      <c r="I3524" s="84">
        <v>0</v>
      </c>
      <c r="J3524" s="84">
        <v>0</v>
      </c>
      <c r="K3524" s="84"/>
      <c r="L3524"/>
      <c r="M3524"/>
      <c r="N3524"/>
      <c r="O3524"/>
      <c r="P3524"/>
      <c r="Q3524"/>
      <c r="R3524"/>
      <c r="S3524"/>
      <c r="T3524"/>
      <c r="U3524"/>
      <c r="V3524"/>
      <c r="W3524"/>
      <c r="X3524"/>
      <c r="Y3524"/>
      <c r="Z3524"/>
      <c r="AA3524"/>
      <c r="AB3524"/>
      <c r="AC3524"/>
      <c r="AD3524"/>
      <c r="AE3524"/>
      <c r="AF3524"/>
      <c r="AG3524"/>
      <c r="AH3524"/>
      <c r="AI3524"/>
      <c r="AJ3524"/>
      <c r="AK3524"/>
      <c r="AL3524"/>
    </row>
    <row r="3525" spans="1:38" ht="12.75" outlineLevel="2" x14ac:dyDescent="0.2">
      <c r="A3525" s="1071">
        <v>1</v>
      </c>
      <c r="B3525" s="1071" t="s">
        <v>68</v>
      </c>
      <c r="C3525" s="1071" t="s">
        <v>1883</v>
      </c>
      <c r="D3525" s="1071" t="s">
        <v>1883</v>
      </c>
      <c r="E3525" s="1072" t="s">
        <v>70</v>
      </c>
      <c r="F3525" s="1071"/>
      <c r="G3525" s="1073" t="str">
        <f t="array" ref="G3525">IF(B3525="insumo",_xlfn.XLOOKUP($D3525,Insumos!$B$1:$B$996,Insumos!$D$1:$D$996),"")</f>
        <v/>
      </c>
      <c r="H3525" s="1073">
        <v>167.6951</v>
      </c>
      <c r="I3525" s="1074">
        <v>0</v>
      </c>
      <c r="J3525" s="1074">
        <v>0</v>
      </c>
      <c r="K3525" s="1074"/>
      <c r="L3525"/>
      <c r="M3525"/>
      <c r="N3525"/>
      <c r="O3525"/>
      <c r="P3525"/>
      <c r="Q3525"/>
      <c r="R3525"/>
      <c r="S3525"/>
      <c r="T3525"/>
      <c r="U3525"/>
      <c r="V3525"/>
      <c r="W3525"/>
      <c r="X3525"/>
      <c r="Y3525"/>
      <c r="Z3525"/>
      <c r="AA3525"/>
      <c r="AB3525"/>
      <c r="AC3525"/>
      <c r="AD3525"/>
      <c r="AE3525"/>
      <c r="AF3525"/>
      <c r="AG3525"/>
      <c r="AH3525"/>
      <c r="AI3525"/>
      <c r="AJ3525"/>
      <c r="AK3525"/>
      <c r="AL3525"/>
    </row>
    <row r="3526" spans="1:38" ht="12.75" outlineLevel="3" x14ac:dyDescent="0.2">
      <c r="A3526" s="82">
        <v>1</v>
      </c>
      <c r="B3526" s="82" t="s">
        <v>71</v>
      </c>
      <c r="C3526" s="82" t="s">
        <v>1883</v>
      </c>
      <c r="D3526" s="82" t="s">
        <v>1806</v>
      </c>
      <c r="E3526" s="11" t="str">
        <f t="array" ref="E3526">_xlfn.XLOOKUP(D3526,Insumos!B:B,Insumos!C:$C)</f>
        <v>M2</v>
      </c>
      <c r="F3526" s="90">
        <v>1.1000000000000001</v>
      </c>
      <c r="G3526" s="92">
        <f t="array" ref="G3526">IF(B3526="insumo",_xlfn.XLOOKUP($D3526,Insumos!$B$1:$B$996,Insumos!$D$1:$D$996),"")</f>
        <v>143.76</v>
      </c>
      <c r="H3526" s="92">
        <v>158.136</v>
      </c>
      <c r="I3526" s="84">
        <v>0</v>
      </c>
      <c r="J3526" s="84">
        <v>0</v>
      </c>
      <c r="K3526" s="84"/>
      <c r="L3526"/>
      <c r="M3526"/>
      <c r="N3526"/>
      <c r="O3526"/>
      <c r="P3526"/>
      <c r="Q3526"/>
      <c r="R3526"/>
      <c r="S3526"/>
      <c r="T3526"/>
      <c r="U3526"/>
      <c r="V3526"/>
      <c r="W3526"/>
      <c r="X3526"/>
      <c r="Y3526"/>
      <c r="Z3526"/>
      <c r="AA3526"/>
      <c r="AB3526"/>
      <c r="AC3526"/>
      <c r="AD3526"/>
      <c r="AE3526"/>
      <c r="AF3526"/>
      <c r="AG3526"/>
      <c r="AH3526"/>
      <c r="AI3526"/>
      <c r="AJ3526"/>
      <c r="AK3526"/>
      <c r="AL3526"/>
    </row>
    <row r="3527" spans="1:38" ht="12.75" outlineLevel="3" x14ac:dyDescent="0.2">
      <c r="A3527" s="82">
        <v>191</v>
      </c>
      <c r="B3527" s="82" t="s">
        <v>71</v>
      </c>
      <c r="C3527" s="82" t="s">
        <v>1883</v>
      </c>
      <c r="D3527" s="82" t="s">
        <v>481</v>
      </c>
      <c r="E3527" s="11" t="str">
        <f t="array" ref="E3527">_xlfn.XLOOKUP(D3527,Insumos!B:B,Insumos!C:$C)</f>
        <v>KG</v>
      </c>
      <c r="F3527" s="90">
        <v>8.8000000000000007</v>
      </c>
      <c r="G3527" s="92">
        <f t="array" ref="G3527">IF(B3527="insumo",_xlfn.XLOOKUP($D3527,Insumos!$B$1:$B$996,Insumos!$D$1:$D$996),"")</f>
        <v>1.0645</v>
      </c>
      <c r="H3527" s="92">
        <v>9.3675999999999995</v>
      </c>
      <c r="I3527" s="84">
        <v>0</v>
      </c>
      <c r="J3527" s="84">
        <v>0</v>
      </c>
      <c r="K3527" s="84"/>
      <c r="L3527"/>
      <c r="M3527"/>
      <c r="N3527"/>
      <c r="O3527"/>
      <c r="P3527"/>
      <c r="Q3527"/>
      <c r="R3527"/>
      <c r="S3527"/>
      <c r="T3527"/>
      <c r="U3527"/>
      <c r="V3527"/>
      <c r="W3527"/>
      <c r="X3527"/>
      <c r="Y3527"/>
      <c r="Z3527"/>
      <c r="AA3527"/>
      <c r="AB3527"/>
      <c r="AC3527"/>
      <c r="AD3527"/>
      <c r="AE3527"/>
      <c r="AF3527"/>
      <c r="AG3527"/>
      <c r="AH3527"/>
      <c r="AI3527"/>
      <c r="AJ3527"/>
      <c r="AK3527"/>
      <c r="AL3527"/>
    </row>
    <row r="3528" spans="1:38" ht="12.75" outlineLevel="3" x14ac:dyDescent="0.2">
      <c r="A3528" s="82">
        <v>142</v>
      </c>
      <c r="B3528" s="82" t="s">
        <v>71</v>
      </c>
      <c r="C3528" s="82" t="s">
        <v>1883</v>
      </c>
      <c r="D3528" s="82" t="s">
        <v>506</v>
      </c>
      <c r="E3528" s="11" t="str">
        <f t="array" ref="E3528">_xlfn.XLOOKUP(D3528,Insumos!B:B,Insumos!C:$C)</f>
        <v>UN</v>
      </c>
      <c r="F3528" s="90">
        <v>1</v>
      </c>
      <c r="G3528" s="92">
        <f t="array" ref="G3528">IF(B3528="insumo",_xlfn.XLOOKUP($D3528,Insumos!$B$1:$B$996,Insumos!$D$1:$D$996),"")</f>
        <v>0.08</v>
      </c>
      <c r="H3528" s="92">
        <v>0.08</v>
      </c>
      <c r="I3528" s="84">
        <v>0</v>
      </c>
      <c r="J3528" s="84">
        <v>0</v>
      </c>
      <c r="K3528" s="84"/>
      <c r="L3528"/>
      <c r="M3528"/>
      <c r="N3528"/>
      <c r="O3528"/>
      <c r="P3528"/>
      <c r="Q3528"/>
      <c r="R3528"/>
      <c r="S3528"/>
      <c r="T3528"/>
      <c r="U3528"/>
      <c r="V3528"/>
      <c r="W3528"/>
      <c r="X3528"/>
      <c r="Y3528"/>
      <c r="Z3528"/>
      <c r="AA3528"/>
      <c r="AB3528"/>
      <c r="AC3528"/>
      <c r="AD3528"/>
      <c r="AE3528"/>
      <c r="AF3528"/>
      <c r="AG3528"/>
      <c r="AH3528"/>
      <c r="AI3528"/>
      <c r="AJ3528"/>
      <c r="AK3528"/>
      <c r="AL3528"/>
    </row>
    <row r="3529" spans="1:38" ht="12.75" outlineLevel="3" x14ac:dyDescent="0.2">
      <c r="A3529" s="82">
        <v>101</v>
      </c>
      <c r="B3529" s="82" t="s">
        <v>71</v>
      </c>
      <c r="C3529" s="82" t="s">
        <v>1883</v>
      </c>
      <c r="D3529" s="82" t="s">
        <v>507</v>
      </c>
      <c r="E3529" s="11" t="str">
        <f t="array" ref="E3529">_xlfn.XLOOKUP(D3529,Insumos!B:B,Insumos!C:$C)</f>
        <v>KG</v>
      </c>
      <c r="F3529" s="90">
        <v>0.01</v>
      </c>
      <c r="G3529" s="92">
        <f t="array" ref="G3529">IF(B3529="insumo",_xlfn.XLOOKUP($D3529,Insumos!$B$1:$B$996,Insumos!$D$1:$D$996),"")</f>
        <v>11.15</v>
      </c>
      <c r="H3529" s="92">
        <v>0.1115</v>
      </c>
      <c r="I3529" s="84">
        <v>0</v>
      </c>
      <c r="J3529" s="84">
        <v>0</v>
      </c>
      <c r="K3529" s="84"/>
      <c r="L3529"/>
      <c r="M3529"/>
      <c r="N3529"/>
      <c r="O3529"/>
      <c r="P3529"/>
      <c r="Q3529"/>
      <c r="R3529"/>
      <c r="S3529"/>
      <c r="T3529"/>
      <c r="U3529"/>
      <c r="V3529"/>
      <c r="W3529"/>
      <c r="X3529"/>
      <c r="Y3529"/>
      <c r="Z3529"/>
      <c r="AA3529"/>
      <c r="AB3529"/>
      <c r="AC3529"/>
      <c r="AD3529"/>
      <c r="AE3529"/>
      <c r="AF3529"/>
      <c r="AG3529"/>
      <c r="AH3529"/>
      <c r="AI3529"/>
      <c r="AJ3529"/>
      <c r="AK3529"/>
      <c r="AL3529"/>
    </row>
    <row r="3530" spans="1:38" ht="12.75" outlineLevel="2" x14ac:dyDescent="0.2">
      <c r="A3530" s="1071">
        <v>1</v>
      </c>
      <c r="B3530" s="1071" t="s">
        <v>68</v>
      </c>
      <c r="C3530" s="1071" t="s">
        <v>1886</v>
      </c>
      <c r="D3530" s="1071" t="s">
        <v>1886</v>
      </c>
      <c r="E3530" s="1072" t="s">
        <v>70</v>
      </c>
      <c r="F3530" s="1071"/>
      <c r="G3530" s="1073" t="str">
        <f t="array" ref="G3530">IF(B3530="insumo",_xlfn.XLOOKUP($D3530,Insumos!$B$1:$B$996,Insumos!$D$1:$D$996),"")</f>
        <v/>
      </c>
      <c r="H3530" s="1073">
        <v>123.95910000000001</v>
      </c>
      <c r="I3530" s="1074">
        <v>0</v>
      </c>
      <c r="J3530" s="1074">
        <v>0</v>
      </c>
      <c r="K3530" s="1074"/>
      <c r="L3530"/>
      <c r="M3530"/>
      <c r="N3530"/>
      <c r="O3530"/>
      <c r="P3530"/>
      <c r="Q3530"/>
      <c r="R3530"/>
      <c r="S3530"/>
      <c r="T3530"/>
      <c r="U3530"/>
      <c r="V3530"/>
      <c r="W3530"/>
      <c r="X3530"/>
      <c r="Y3530"/>
      <c r="Z3530"/>
      <c r="AA3530"/>
      <c r="AB3530"/>
      <c r="AC3530"/>
      <c r="AD3530"/>
      <c r="AE3530"/>
      <c r="AF3530"/>
      <c r="AG3530"/>
      <c r="AH3530"/>
      <c r="AI3530"/>
      <c r="AJ3530"/>
      <c r="AK3530"/>
      <c r="AL3530"/>
    </row>
    <row r="3531" spans="1:38" ht="12.75" outlineLevel="3" x14ac:dyDescent="0.2">
      <c r="A3531" s="82">
        <v>1</v>
      </c>
      <c r="B3531" s="82" t="s">
        <v>71</v>
      </c>
      <c r="C3531" s="82" t="s">
        <v>1886</v>
      </c>
      <c r="D3531" s="82" t="s">
        <v>1817</v>
      </c>
      <c r="E3531" s="11" t="str">
        <f t="array" ref="E3531">_xlfn.XLOOKUP(D3531,Insumos!B:B,Insumos!C:$C)</f>
        <v>M2</v>
      </c>
      <c r="F3531" s="90">
        <v>1.1000000000000001</v>
      </c>
      <c r="G3531" s="92">
        <f t="array" ref="G3531">IF(B3531="insumo",_xlfn.XLOOKUP($D3531,Insumos!$B$1:$B$996,Insumos!$D$1:$D$996),"")</f>
        <v>104</v>
      </c>
      <c r="H3531" s="92">
        <v>114.4</v>
      </c>
      <c r="I3531" s="84">
        <v>0</v>
      </c>
      <c r="J3531" s="84">
        <v>0</v>
      </c>
      <c r="K3531" s="84"/>
      <c r="L3531"/>
      <c r="M3531"/>
      <c r="N3531"/>
      <c r="O3531"/>
      <c r="P3531"/>
      <c r="Q3531"/>
      <c r="R3531"/>
      <c r="S3531"/>
      <c r="T3531"/>
      <c r="U3531"/>
      <c r="V3531"/>
      <c r="W3531"/>
      <c r="X3531"/>
      <c r="Y3531"/>
      <c r="Z3531"/>
      <c r="AA3531"/>
      <c r="AB3531"/>
      <c r="AC3531"/>
      <c r="AD3531"/>
      <c r="AE3531"/>
      <c r="AF3531"/>
      <c r="AG3531"/>
      <c r="AH3531"/>
      <c r="AI3531"/>
      <c r="AJ3531"/>
      <c r="AK3531"/>
      <c r="AL3531"/>
    </row>
    <row r="3532" spans="1:38" ht="12.75" outlineLevel="3" x14ac:dyDescent="0.2">
      <c r="A3532" s="82">
        <v>191</v>
      </c>
      <c r="B3532" s="82" t="s">
        <v>71</v>
      </c>
      <c r="C3532" s="82" t="s">
        <v>1886</v>
      </c>
      <c r="D3532" s="82" t="s">
        <v>481</v>
      </c>
      <c r="E3532" s="11" t="str">
        <f t="array" ref="E3532">_xlfn.XLOOKUP(D3532,Insumos!B:B,Insumos!C:$C)</f>
        <v>KG</v>
      </c>
      <c r="F3532" s="90">
        <v>8.8000000000000007</v>
      </c>
      <c r="G3532" s="92">
        <f t="array" ref="G3532">IF(B3532="insumo",_xlfn.XLOOKUP($D3532,Insumos!$B$1:$B$996,Insumos!$D$1:$D$996),"")</f>
        <v>1.0645</v>
      </c>
      <c r="H3532" s="92">
        <v>9.3675999999999995</v>
      </c>
      <c r="I3532" s="84">
        <v>0</v>
      </c>
      <c r="J3532" s="84">
        <v>0</v>
      </c>
      <c r="K3532" s="84"/>
      <c r="L3532"/>
      <c r="M3532"/>
      <c r="N3532"/>
      <c r="O3532"/>
      <c r="P3532"/>
      <c r="Q3532"/>
      <c r="R3532"/>
      <c r="S3532"/>
      <c r="T3532"/>
      <c r="U3532"/>
      <c r="V3532"/>
      <c r="W3532"/>
      <c r="X3532"/>
      <c r="Y3532"/>
      <c r="Z3532"/>
      <c r="AA3532"/>
      <c r="AB3532"/>
      <c r="AC3532"/>
      <c r="AD3532"/>
      <c r="AE3532"/>
      <c r="AF3532"/>
      <c r="AG3532"/>
      <c r="AH3532"/>
      <c r="AI3532"/>
      <c r="AJ3532"/>
      <c r="AK3532"/>
      <c r="AL3532"/>
    </row>
    <row r="3533" spans="1:38" ht="12.75" outlineLevel="3" x14ac:dyDescent="0.2">
      <c r="A3533" s="82">
        <v>142</v>
      </c>
      <c r="B3533" s="82" t="s">
        <v>71</v>
      </c>
      <c r="C3533" s="82" t="s">
        <v>1886</v>
      </c>
      <c r="D3533" s="82" t="s">
        <v>506</v>
      </c>
      <c r="E3533" s="11" t="str">
        <f t="array" ref="E3533">_xlfn.XLOOKUP(D3533,Insumos!B:B,Insumos!C:$C)</f>
        <v>UN</v>
      </c>
      <c r="F3533" s="90">
        <v>1</v>
      </c>
      <c r="G3533" s="92">
        <f t="array" ref="G3533">IF(B3533="insumo",_xlfn.XLOOKUP($D3533,Insumos!$B$1:$B$996,Insumos!$D$1:$D$996),"")</f>
        <v>0.08</v>
      </c>
      <c r="H3533" s="92">
        <v>0.08</v>
      </c>
      <c r="I3533" s="84">
        <v>0</v>
      </c>
      <c r="J3533" s="84">
        <v>0</v>
      </c>
      <c r="K3533" s="84"/>
      <c r="L3533"/>
      <c r="M3533"/>
      <c r="N3533"/>
      <c r="O3533"/>
      <c r="P3533"/>
      <c r="Q3533"/>
      <c r="R3533"/>
      <c r="S3533"/>
      <c r="T3533"/>
      <c r="U3533"/>
      <c r="V3533"/>
      <c r="W3533"/>
      <c r="X3533"/>
      <c r="Y3533"/>
      <c r="Z3533"/>
      <c r="AA3533"/>
      <c r="AB3533"/>
      <c r="AC3533"/>
      <c r="AD3533"/>
      <c r="AE3533"/>
      <c r="AF3533"/>
      <c r="AG3533"/>
      <c r="AH3533"/>
      <c r="AI3533"/>
      <c r="AJ3533"/>
      <c r="AK3533"/>
      <c r="AL3533"/>
    </row>
    <row r="3534" spans="1:38" ht="12.75" outlineLevel="3" x14ac:dyDescent="0.2">
      <c r="A3534" s="82">
        <v>101</v>
      </c>
      <c r="B3534" s="82" t="s">
        <v>71</v>
      </c>
      <c r="C3534" s="82" t="s">
        <v>1886</v>
      </c>
      <c r="D3534" s="82" t="s">
        <v>507</v>
      </c>
      <c r="E3534" s="11" t="str">
        <f t="array" ref="E3534">_xlfn.XLOOKUP(D3534,Insumos!B:B,Insumos!C:$C)</f>
        <v>KG</v>
      </c>
      <c r="F3534" s="90">
        <v>0.01</v>
      </c>
      <c r="G3534" s="92">
        <f t="array" ref="G3534">IF(B3534="insumo",_xlfn.XLOOKUP($D3534,Insumos!$B$1:$B$996,Insumos!$D$1:$D$996),"")</f>
        <v>11.15</v>
      </c>
      <c r="H3534" s="92">
        <v>0.1115</v>
      </c>
      <c r="I3534" s="84">
        <v>0</v>
      </c>
      <c r="J3534" s="84">
        <v>0</v>
      </c>
      <c r="K3534" s="84"/>
      <c r="L3534"/>
      <c r="M3534"/>
      <c r="N3534"/>
      <c r="O3534"/>
      <c r="P3534"/>
      <c r="Q3534"/>
      <c r="R3534"/>
      <c r="S3534"/>
      <c r="T3534"/>
      <c r="U3534"/>
      <c r="V3534"/>
      <c r="W3534"/>
      <c r="X3534"/>
      <c r="Y3534"/>
      <c r="Z3534"/>
      <c r="AA3534"/>
      <c r="AB3534"/>
      <c r="AC3534"/>
      <c r="AD3534"/>
      <c r="AE3534"/>
      <c r="AF3534"/>
      <c r="AG3534"/>
      <c r="AH3534"/>
      <c r="AI3534"/>
      <c r="AJ3534"/>
      <c r="AK3534"/>
      <c r="AL3534"/>
    </row>
    <row r="3535" spans="1:38" ht="12.75" outlineLevel="2" x14ac:dyDescent="0.2">
      <c r="A3535" s="1071">
        <v>1</v>
      </c>
      <c r="B3535" s="1071" t="s">
        <v>68</v>
      </c>
      <c r="C3535" s="1071" t="s">
        <v>1887</v>
      </c>
      <c r="D3535" s="1071" t="s">
        <v>1887</v>
      </c>
      <c r="E3535" s="1072" t="s">
        <v>70</v>
      </c>
      <c r="F3535" s="1071"/>
      <c r="G3535" s="1073" t="str">
        <f t="array" ref="G3535">IF(B3535="insumo",_xlfn.XLOOKUP($D3535,Insumos!$B$1:$B$996,Insumos!$D$1:$D$996),"")</f>
        <v/>
      </c>
      <c r="H3535" s="1073">
        <v>107.45910000000001</v>
      </c>
      <c r="I3535" s="1074">
        <v>0</v>
      </c>
      <c r="J3535" s="1074">
        <v>0</v>
      </c>
      <c r="K3535" s="1074"/>
      <c r="L3535"/>
      <c r="M3535"/>
      <c r="N3535"/>
      <c r="O3535"/>
      <c r="P3535"/>
      <c r="Q3535"/>
      <c r="R3535"/>
      <c r="S3535"/>
      <c r="T3535"/>
      <c r="U3535"/>
      <c r="V3535"/>
      <c r="W3535"/>
      <c r="X3535"/>
      <c r="Y3535"/>
      <c r="Z3535"/>
      <c r="AA3535"/>
      <c r="AB3535"/>
      <c r="AC3535"/>
      <c r="AD3535"/>
      <c r="AE3535"/>
      <c r="AF3535"/>
      <c r="AG3535"/>
      <c r="AH3535"/>
      <c r="AI3535"/>
      <c r="AJ3535"/>
      <c r="AK3535"/>
      <c r="AL3535"/>
    </row>
    <row r="3536" spans="1:38" ht="12.75" outlineLevel="3" x14ac:dyDescent="0.2">
      <c r="A3536" s="82">
        <v>1</v>
      </c>
      <c r="B3536" s="82" t="s">
        <v>71</v>
      </c>
      <c r="C3536" s="82" t="s">
        <v>1887</v>
      </c>
      <c r="D3536" s="82" t="s">
        <v>1816</v>
      </c>
      <c r="E3536" s="11" t="str">
        <f t="array" ref="E3536">_xlfn.XLOOKUP(D3536,Insumos!B:B,Insumos!C:$C)</f>
        <v>M2</v>
      </c>
      <c r="F3536" s="90">
        <v>1.1000000000000001</v>
      </c>
      <c r="G3536" s="92">
        <f t="array" ref="G3536">IF(B3536="insumo",_xlfn.XLOOKUP($D3536,Insumos!$B$1:$B$996,Insumos!$D$1:$D$996),"")</f>
        <v>89</v>
      </c>
      <c r="H3536" s="92">
        <v>97.9</v>
      </c>
      <c r="I3536" s="84">
        <v>0</v>
      </c>
      <c r="J3536" s="84">
        <v>0</v>
      </c>
      <c r="K3536" s="84"/>
      <c r="L3536"/>
      <c r="M3536"/>
      <c r="N3536"/>
      <c r="O3536"/>
      <c r="P3536"/>
      <c r="Q3536"/>
      <c r="R3536"/>
      <c r="S3536"/>
      <c r="T3536"/>
      <c r="U3536"/>
      <c r="V3536"/>
      <c r="W3536"/>
      <c r="X3536"/>
      <c r="Y3536"/>
      <c r="Z3536"/>
      <c r="AA3536"/>
      <c r="AB3536"/>
      <c r="AC3536"/>
      <c r="AD3536"/>
      <c r="AE3536"/>
      <c r="AF3536"/>
      <c r="AG3536"/>
      <c r="AH3536"/>
      <c r="AI3536"/>
      <c r="AJ3536"/>
      <c r="AK3536"/>
      <c r="AL3536"/>
    </row>
    <row r="3537" spans="1:38" ht="12.75" outlineLevel="3" x14ac:dyDescent="0.2">
      <c r="A3537" s="82">
        <v>191</v>
      </c>
      <c r="B3537" s="82" t="s">
        <v>71</v>
      </c>
      <c r="C3537" s="82" t="s">
        <v>1887</v>
      </c>
      <c r="D3537" s="82" t="s">
        <v>481</v>
      </c>
      <c r="E3537" s="11" t="str">
        <f t="array" ref="E3537">_xlfn.XLOOKUP(D3537,Insumos!B:B,Insumos!C:$C)</f>
        <v>KG</v>
      </c>
      <c r="F3537" s="90">
        <v>8.8000000000000007</v>
      </c>
      <c r="G3537" s="92">
        <f t="array" ref="G3537">IF(B3537="insumo",_xlfn.XLOOKUP($D3537,Insumos!$B$1:$B$996,Insumos!$D$1:$D$996),"")</f>
        <v>1.0645</v>
      </c>
      <c r="H3537" s="92">
        <v>9.3675999999999995</v>
      </c>
      <c r="I3537" s="84">
        <v>0</v>
      </c>
      <c r="J3537" s="84">
        <v>0</v>
      </c>
      <c r="K3537" s="84"/>
      <c r="L3537"/>
      <c r="M3537"/>
      <c r="N3537"/>
      <c r="O3537"/>
      <c r="P3537"/>
      <c r="Q3537"/>
      <c r="R3537"/>
      <c r="S3537"/>
      <c r="T3537"/>
      <c r="U3537"/>
      <c r="V3537"/>
      <c r="W3537"/>
      <c r="X3537"/>
      <c r="Y3537"/>
      <c r="Z3537"/>
      <c r="AA3537"/>
      <c r="AB3537"/>
      <c r="AC3537"/>
      <c r="AD3537"/>
      <c r="AE3537"/>
      <c r="AF3537"/>
      <c r="AG3537"/>
      <c r="AH3537"/>
      <c r="AI3537"/>
      <c r="AJ3537"/>
      <c r="AK3537"/>
      <c r="AL3537"/>
    </row>
    <row r="3538" spans="1:38" ht="12.75" outlineLevel="3" x14ac:dyDescent="0.2">
      <c r="A3538" s="82">
        <v>142</v>
      </c>
      <c r="B3538" s="82" t="s">
        <v>71</v>
      </c>
      <c r="C3538" s="82" t="s">
        <v>1887</v>
      </c>
      <c r="D3538" s="82" t="s">
        <v>506</v>
      </c>
      <c r="E3538" s="11" t="str">
        <f t="array" ref="E3538">_xlfn.XLOOKUP(D3538,Insumos!B:B,Insumos!C:$C)</f>
        <v>UN</v>
      </c>
      <c r="F3538" s="90">
        <v>1</v>
      </c>
      <c r="G3538" s="92">
        <f t="array" ref="G3538">IF(B3538="insumo",_xlfn.XLOOKUP($D3538,Insumos!$B$1:$B$996,Insumos!$D$1:$D$996),"")</f>
        <v>0.08</v>
      </c>
      <c r="H3538" s="92">
        <v>0.08</v>
      </c>
      <c r="I3538" s="84">
        <v>0</v>
      </c>
      <c r="J3538" s="84">
        <v>0</v>
      </c>
      <c r="K3538" s="84"/>
      <c r="L3538"/>
      <c r="M3538"/>
      <c r="N3538"/>
      <c r="O3538"/>
      <c r="P3538"/>
      <c r="Q3538"/>
      <c r="R3538"/>
      <c r="S3538"/>
      <c r="T3538"/>
      <c r="U3538"/>
      <c r="V3538"/>
      <c r="W3538"/>
      <c r="X3538"/>
      <c r="Y3538"/>
      <c r="Z3538"/>
      <c r="AA3538"/>
      <c r="AB3538"/>
      <c r="AC3538"/>
      <c r="AD3538"/>
      <c r="AE3538"/>
      <c r="AF3538"/>
      <c r="AG3538"/>
      <c r="AH3538"/>
      <c r="AI3538"/>
      <c r="AJ3538"/>
      <c r="AK3538"/>
      <c r="AL3538"/>
    </row>
    <row r="3539" spans="1:38" ht="12.75" outlineLevel="3" x14ac:dyDescent="0.2">
      <c r="A3539" s="82">
        <v>101</v>
      </c>
      <c r="B3539" s="82" t="s">
        <v>71</v>
      </c>
      <c r="C3539" s="82" t="s">
        <v>1887</v>
      </c>
      <c r="D3539" s="82" t="s">
        <v>507</v>
      </c>
      <c r="E3539" s="11" t="str">
        <f t="array" ref="E3539">_xlfn.XLOOKUP(D3539,Insumos!B:B,Insumos!C:$C)</f>
        <v>KG</v>
      </c>
      <c r="F3539" s="90">
        <v>0.01</v>
      </c>
      <c r="G3539" s="92">
        <f t="array" ref="G3539">IF(B3539="insumo",_xlfn.XLOOKUP($D3539,Insumos!$B$1:$B$996,Insumos!$D$1:$D$996),"")</f>
        <v>11.15</v>
      </c>
      <c r="H3539" s="92">
        <v>0.1115</v>
      </c>
      <c r="I3539" s="84">
        <v>0</v>
      </c>
      <c r="J3539" s="84">
        <v>0</v>
      </c>
      <c r="K3539" s="84"/>
      <c r="L3539"/>
      <c r="M3539"/>
      <c r="N3539"/>
      <c r="O3539"/>
      <c r="P3539"/>
      <c r="Q3539"/>
      <c r="R3539"/>
      <c r="S3539"/>
      <c r="T3539"/>
      <c r="U3539"/>
      <c r="V3539"/>
      <c r="W3539"/>
      <c r="X3539"/>
      <c r="Y3539"/>
      <c r="Z3539"/>
      <c r="AA3539"/>
      <c r="AB3539"/>
      <c r="AC3539"/>
      <c r="AD3539"/>
      <c r="AE3539"/>
      <c r="AF3539"/>
      <c r="AG3539"/>
      <c r="AH3539"/>
      <c r="AI3539"/>
      <c r="AJ3539"/>
      <c r="AK3539"/>
      <c r="AL3539"/>
    </row>
    <row r="3540" spans="1:38" ht="12.75" outlineLevel="2" x14ac:dyDescent="0.2">
      <c r="A3540" s="1071">
        <v>1</v>
      </c>
      <c r="B3540" s="1071" t="s">
        <v>68</v>
      </c>
      <c r="C3540" s="1071" t="s">
        <v>1888</v>
      </c>
      <c r="D3540" s="1071" t="s">
        <v>1888</v>
      </c>
      <c r="E3540" s="1072" t="s">
        <v>70</v>
      </c>
      <c r="F3540" s="1071"/>
      <c r="G3540" s="1073" t="str">
        <f t="array" ref="G3540">IF(B3540="insumo",_xlfn.XLOOKUP($D3540,Insumos!$B$1:$B$996,Insumos!$D$1:$D$996),"")</f>
        <v/>
      </c>
      <c r="H3540" s="1073">
        <v>47.949100000000001</v>
      </c>
      <c r="I3540" s="1074">
        <v>0</v>
      </c>
      <c r="J3540" s="1074">
        <v>0</v>
      </c>
      <c r="K3540" s="1074"/>
      <c r="L3540"/>
      <c r="M3540"/>
      <c r="N3540"/>
      <c r="O3540"/>
      <c r="P3540"/>
      <c r="Q3540"/>
      <c r="R3540"/>
      <c r="S3540"/>
      <c r="T3540"/>
      <c r="U3540"/>
      <c r="V3540"/>
      <c r="W3540"/>
      <c r="X3540"/>
      <c r="Y3540"/>
      <c r="Z3540"/>
      <c r="AA3540"/>
      <c r="AB3540"/>
      <c r="AC3540"/>
      <c r="AD3540"/>
      <c r="AE3540"/>
      <c r="AF3540"/>
      <c r="AG3540"/>
      <c r="AH3540"/>
      <c r="AI3540"/>
      <c r="AJ3540"/>
      <c r="AK3540"/>
      <c r="AL3540"/>
    </row>
    <row r="3541" spans="1:38" ht="12.75" outlineLevel="3" x14ac:dyDescent="0.2">
      <c r="A3541" s="82">
        <v>2</v>
      </c>
      <c r="B3541" s="82" t="s">
        <v>71</v>
      </c>
      <c r="C3541" s="82" t="s">
        <v>1888</v>
      </c>
      <c r="D3541" s="82" t="s">
        <v>689</v>
      </c>
      <c r="E3541" s="11" t="str">
        <f t="array" ref="E3541">_xlfn.XLOOKUP(D3541,Insumos!B:B,Insumos!C:$C)</f>
        <v>M2</v>
      </c>
      <c r="F3541" s="90">
        <v>1.1000000000000001</v>
      </c>
      <c r="G3541" s="92">
        <f t="array" ref="G3541">IF(B3541="insumo",_xlfn.XLOOKUP($D3541,Insumos!$B$1:$B$996,Insumos!$D$1:$D$996),"")</f>
        <v>34.9</v>
      </c>
      <c r="H3541" s="92">
        <v>38.39</v>
      </c>
      <c r="I3541" s="84">
        <v>0</v>
      </c>
      <c r="J3541" s="84">
        <v>0</v>
      </c>
      <c r="K3541" s="84"/>
      <c r="L3541"/>
      <c r="M3541"/>
      <c r="N3541"/>
      <c r="O3541"/>
      <c r="P3541"/>
      <c r="Q3541"/>
      <c r="R3541"/>
      <c r="S3541"/>
      <c r="T3541"/>
      <c r="U3541"/>
      <c r="V3541"/>
      <c r="W3541"/>
      <c r="X3541"/>
      <c r="Y3541"/>
      <c r="Z3541"/>
      <c r="AA3541"/>
      <c r="AB3541"/>
      <c r="AC3541"/>
      <c r="AD3541"/>
      <c r="AE3541"/>
      <c r="AF3541"/>
      <c r="AG3541"/>
      <c r="AH3541"/>
      <c r="AI3541"/>
      <c r="AJ3541"/>
      <c r="AK3541"/>
      <c r="AL3541"/>
    </row>
    <row r="3542" spans="1:38" ht="12.75" outlineLevel="3" x14ac:dyDescent="0.2">
      <c r="A3542" s="82">
        <v>191</v>
      </c>
      <c r="B3542" s="82" t="s">
        <v>71</v>
      </c>
      <c r="C3542" s="82" t="s">
        <v>1888</v>
      </c>
      <c r="D3542" s="82" t="s">
        <v>481</v>
      </c>
      <c r="E3542" s="11" t="str">
        <f t="array" ref="E3542">_xlfn.XLOOKUP(D3542,Insumos!B:B,Insumos!C:$C)</f>
        <v>KG</v>
      </c>
      <c r="F3542" s="90">
        <v>8.8000000000000007</v>
      </c>
      <c r="G3542" s="92">
        <f t="array" ref="G3542">IF(B3542="insumo",_xlfn.XLOOKUP($D3542,Insumos!$B$1:$B$996,Insumos!$D$1:$D$996),"")</f>
        <v>1.0645</v>
      </c>
      <c r="H3542" s="92">
        <v>9.3675999999999995</v>
      </c>
      <c r="I3542" s="84">
        <v>0</v>
      </c>
      <c r="J3542" s="84">
        <v>0</v>
      </c>
      <c r="K3542" s="84"/>
      <c r="L3542"/>
      <c r="M3542"/>
      <c r="N3542"/>
      <c r="O3542"/>
      <c r="P3542"/>
      <c r="Q3542"/>
      <c r="R3542"/>
      <c r="S3542"/>
      <c r="T3542"/>
      <c r="U3542"/>
      <c r="V3542"/>
      <c r="W3542"/>
      <c r="X3542"/>
      <c r="Y3542"/>
      <c r="Z3542"/>
      <c r="AA3542"/>
      <c r="AB3542"/>
      <c r="AC3542"/>
      <c r="AD3542"/>
      <c r="AE3542"/>
      <c r="AF3542"/>
      <c r="AG3542"/>
      <c r="AH3542"/>
      <c r="AI3542"/>
      <c r="AJ3542"/>
      <c r="AK3542"/>
      <c r="AL3542"/>
    </row>
    <row r="3543" spans="1:38" ht="12.75" outlineLevel="3" x14ac:dyDescent="0.2">
      <c r="A3543" s="82">
        <v>142</v>
      </c>
      <c r="B3543" s="82" t="s">
        <v>71</v>
      </c>
      <c r="C3543" s="82" t="s">
        <v>1888</v>
      </c>
      <c r="D3543" s="82" t="s">
        <v>506</v>
      </c>
      <c r="E3543" s="11" t="str">
        <f t="array" ref="E3543">_xlfn.XLOOKUP(D3543,Insumos!B:B,Insumos!C:$C)</f>
        <v>UN</v>
      </c>
      <c r="F3543" s="90">
        <v>1</v>
      </c>
      <c r="G3543" s="92">
        <f t="array" ref="G3543">IF(B3543="insumo",_xlfn.XLOOKUP($D3543,Insumos!$B$1:$B$996,Insumos!$D$1:$D$996),"")</f>
        <v>0.08</v>
      </c>
      <c r="H3543" s="92">
        <v>0.08</v>
      </c>
      <c r="I3543" s="84">
        <v>0</v>
      </c>
      <c r="J3543" s="84">
        <v>0</v>
      </c>
      <c r="K3543" s="84"/>
      <c r="L3543"/>
      <c r="M3543"/>
      <c r="N3543"/>
      <c r="O3543"/>
      <c r="P3543"/>
      <c r="Q3543"/>
      <c r="R3543"/>
      <c r="S3543"/>
      <c r="T3543"/>
      <c r="U3543"/>
      <c r="V3543"/>
      <c r="W3543"/>
      <c r="X3543"/>
      <c r="Y3543"/>
      <c r="Z3543"/>
      <c r="AA3543"/>
      <c r="AB3543"/>
      <c r="AC3543"/>
      <c r="AD3543"/>
      <c r="AE3543"/>
      <c r="AF3543"/>
      <c r="AG3543"/>
      <c r="AH3543"/>
      <c r="AI3543"/>
      <c r="AJ3543"/>
      <c r="AK3543"/>
      <c r="AL3543"/>
    </row>
    <row r="3544" spans="1:38" ht="12.75" outlineLevel="3" x14ac:dyDescent="0.2">
      <c r="A3544" s="82">
        <v>101</v>
      </c>
      <c r="B3544" s="82" t="s">
        <v>71</v>
      </c>
      <c r="C3544" s="82" t="s">
        <v>1888</v>
      </c>
      <c r="D3544" s="82" t="s">
        <v>507</v>
      </c>
      <c r="E3544" s="11" t="str">
        <f t="array" ref="E3544">_xlfn.XLOOKUP(D3544,Insumos!B:B,Insumos!C:$C)</f>
        <v>KG</v>
      </c>
      <c r="F3544" s="90">
        <v>0.01</v>
      </c>
      <c r="G3544" s="92">
        <f t="array" ref="G3544">IF(B3544="insumo",_xlfn.XLOOKUP($D3544,Insumos!$B$1:$B$996,Insumos!$D$1:$D$996),"")</f>
        <v>11.15</v>
      </c>
      <c r="H3544" s="92">
        <v>0.1115</v>
      </c>
      <c r="I3544" s="84">
        <v>0</v>
      </c>
      <c r="J3544" s="84">
        <v>0</v>
      </c>
      <c r="K3544" s="84"/>
      <c r="L3544"/>
      <c r="M3544"/>
      <c r="N3544"/>
      <c r="O3544"/>
      <c r="P3544"/>
      <c r="Q3544"/>
      <c r="R3544"/>
      <c r="S3544"/>
      <c r="T3544"/>
      <c r="U3544"/>
      <c r="V3544"/>
      <c r="W3544"/>
      <c r="X3544"/>
      <c r="Y3544"/>
      <c r="Z3544"/>
      <c r="AA3544"/>
      <c r="AB3544"/>
      <c r="AC3544"/>
      <c r="AD3544"/>
      <c r="AE3544"/>
      <c r="AF3544"/>
      <c r="AG3544"/>
      <c r="AH3544"/>
      <c r="AI3544"/>
      <c r="AJ3544"/>
      <c r="AK3544"/>
      <c r="AL3544"/>
    </row>
    <row r="3545" spans="1:38" ht="12.75" outlineLevel="2" x14ac:dyDescent="0.2">
      <c r="A3545" s="1071">
        <v>1</v>
      </c>
      <c r="B3545" s="1071" t="s">
        <v>68</v>
      </c>
      <c r="C3545" s="1071" t="s">
        <v>1889</v>
      </c>
      <c r="D3545" s="1071" t="s">
        <v>1889</v>
      </c>
      <c r="E3545" s="1072" t="s">
        <v>70</v>
      </c>
      <c r="F3545" s="1071"/>
      <c r="G3545" s="1073" t="str">
        <f t="array" ref="G3545">IF(B3545="insumo",_xlfn.XLOOKUP($D3545,Insumos!$B$1:$B$996,Insumos!$D$1:$D$996),"")</f>
        <v/>
      </c>
      <c r="H3545" s="1073">
        <v>217.00649999999999</v>
      </c>
      <c r="I3545" s="1074">
        <v>0</v>
      </c>
      <c r="J3545" s="1074">
        <v>0</v>
      </c>
      <c r="K3545" s="1074"/>
      <c r="L3545"/>
      <c r="M3545"/>
      <c r="N3545"/>
      <c r="O3545"/>
      <c r="P3545"/>
      <c r="Q3545"/>
      <c r="R3545"/>
      <c r="S3545"/>
      <c r="T3545"/>
      <c r="U3545"/>
      <c r="V3545"/>
      <c r="W3545"/>
      <c r="X3545"/>
      <c r="Y3545"/>
      <c r="Z3545"/>
      <c r="AA3545"/>
      <c r="AB3545"/>
      <c r="AC3545"/>
      <c r="AD3545"/>
      <c r="AE3545"/>
      <c r="AF3545"/>
      <c r="AG3545"/>
      <c r="AH3545"/>
      <c r="AI3545"/>
      <c r="AJ3545"/>
      <c r="AK3545"/>
      <c r="AL3545"/>
    </row>
    <row r="3546" spans="1:38" ht="12.75" outlineLevel="3" x14ac:dyDescent="0.2">
      <c r="A3546" s="82">
        <v>1</v>
      </c>
      <c r="B3546" s="82" t="s">
        <v>71</v>
      </c>
      <c r="C3546" s="82" t="s">
        <v>1889</v>
      </c>
      <c r="D3546" s="82" t="s">
        <v>698</v>
      </c>
      <c r="E3546" s="11" t="str">
        <f t="array" ref="E3546">_xlfn.XLOOKUP(D3546,Insumos!B:B,Insumos!C:$C)</f>
        <v>M2</v>
      </c>
      <c r="F3546" s="86">
        <v>1.1000000000000001</v>
      </c>
      <c r="G3546" s="92">
        <f t="array" ref="G3546">IF(B3546="insumo",_xlfn.XLOOKUP($D3546,Insumos!$B$1:$B$996,Insumos!$D$1:$D$996),"")</f>
        <v>183.21</v>
      </c>
      <c r="H3546" s="92">
        <v>201.53100000000001</v>
      </c>
      <c r="I3546" s="84">
        <v>0</v>
      </c>
      <c r="J3546" s="84">
        <v>0</v>
      </c>
      <c r="K3546" s="84"/>
      <c r="L3546"/>
      <c r="M3546"/>
      <c r="N3546"/>
      <c r="O3546"/>
      <c r="P3546"/>
      <c r="Q3546"/>
      <c r="R3546"/>
      <c r="S3546"/>
      <c r="T3546"/>
      <c r="U3546"/>
      <c r="V3546"/>
      <c r="W3546"/>
      <c r="X3546"/>
      <c r="Y3546"/>
      <c r="Z3546"/>
      <c r="AA3546"/>
      <c r="AB3546"/>
      <c r="AC3546"/>
      <c r="AD3546"/>
      <c r="AE3546"/>
      <c r="AF3546"/>
      <c r="AG3546"/>
      <c r="AH3546"/>
      <c r="AI3546"/>
      <c r="AJ3546"/>
      <c r="AK3546"/>
      <c r="AL3546"/>
    </row>
    <row r="3547" spans="1:38" ht="12.75" outlineLevel="3" x14ac:dyDescent="0.2">
      <c r="A3547" s="82">
        <v>191</v>
      </c>
      <c r="B3547" s="82" t="s">
        <v>71</v>
      </c>
      <c r="C3547" s="82" t="s">
        <v>1889</v>
      </c>
      <c r="D3547" s="82" t="s">
        <v>481</v>
      </c>
      <c r="E3547" s="11" t="str">
        <f t="array" ref="E3547">_xlfn.XLOOKUP(D3547,Insumos!B:B,Insumos!C:$C)</f>
        <v>KG</v>
      </c>
      <c r="F3547" s="86">
        <v>9</v>
      </c>
      <c r="G3547" s="92">
        <f t="array" ref="G3547">IF(B3547="insumo",_xlfn.XLOOKUP($D3547,Insumos!$B$1:$B$996,Insumos!$D$1:$D$996),"")</f>
        <v>1.0645</v>
      </c>
      <c r="H3547" s="92">
        <v>9.5805000000000007</v>
      </c>
      <c r="I3547" s="84">
        <v>0</v>
      </c>
      <c r="J3547" s="84">
        <v>0</v>
      </c>
      <c r="K3547" s="84"/>
      <c r="L3547"/>
      <c r="M3547"/>
      <c r="N3547"/>
      <c r="O3547"/>
      <c r="P3547"/>
      <c r="Q3547"/>
      <c r="R3547"/>
      <c r="S3547"/>
      <c r="T3547"/>
      <c r="U3547"/>
      <c r="V3547"/>
      <c r="W3547"/>
      <c r="X3547"/>
      <c r="Y3547"/>
      <c r="Z3547"/>
      <c r="AA3547"/>
      <c r="AB3547"/>
      <c r="AC3547"/>
      <c r="AD3547"/>
      <c r="AE3547"/>
      <c r="AF3547"/>
      <c r="AG3547"/>
      <c r="AH3547"/>
      <c r="AI3547"/>
      <c r="AJ3547"/>
      <c r="AK3547"/>
      <c r="AL3547"/>
    </row>
    <row r="3548" spans="1:38" ht="12.75" outlineLevel="3" x14ac:dyDescent="0.2">
      <c r="A3548" s="82">
        <v>142</v>
      </c>
      <c r="B3548" s="82" t="s">
        <v>71</v>
      </c>
      <c r="C3548" s="82" t="s">
        <v>1889</v>
      </c>
      <c r="D3548" s="82" t="s">
        <v>506</v>
      </c>
      <c r="E3548" s="11" t="str">
        <f t="array" ref="E3548">_xlfn.XLOOKUP(D3548,Insumos!B:B,Insumos!C:$C)</f>
        <v>UN</v>
      </c>
      <c r="F3548" s="86">
        <v>4</v>
      </c>
      <c r="G3548" s="92">
        <f t="array" ref="G3548">IF(B3548="insumo",_xlfn.XLOOKUP($D3548,Insumos!$B$1:$B$996,Insumos!$D$1:$D$996),"")</f>
        <v>0.08</v>
      </c>
      <c r="H3548" s="92">
        <v>0.32</v>
      </c>
      <c r="I3548" s="84">
        <v>0</v>
      </c>
      <c r="J3548" s="84">
        <v>0</v>
      </c>
      <c r="K3548" s="84"/>
      <c r="L3548"/>
      <c r="M3548"/>
      <c r="N3548"/>
      <c r="O3548"/>
      <c r="P3548"/>
      <c r="Q3548"/>
      <c r="R3548"/>
      <c r="S3548"/>
      <c r="T3548"/>
      <c r="U3548"/>
      <c r="V3548"/>
      <c r="W3548"/>
      <c r="X3548"/>
      <c r="Y3548"/>
      <c r="Z3548"/>
      <c r="AA3548"/>
      <c r="AB3548"/>
      <c r="AC3548"/>
      <c r="AD3548"/>
      <c r="AE3548"/>
      <c r="AF3548"/>
      <c r="AG3548"/>
      <c r="AH3548"/>
      <c r="AI3548"/>
      <c r="AJ3548"/>
      <c r="AK3548"/>
      <c r="AL3548"/>
    </row>
    <row r="3549" spans="1:38" ht="12.75" outlineLevel="3" x14ac:dyDescent="0.2">
      <c r="A3549" s="82">
        <v>101</v>
      </c>
      <c r="B3549" s="82" t="s">
        <v>71</v>
      </c>
      <c r="C3549" s="82" t="s">
        <v>1889</v>
      </c>
      <c r="D3549" s="82" t="s">
        <v>507</v>
      </c>
      <c r="E3549" s="11" t="str">
        <f t="array" ref="E3549">_xlfn.XLOOKUP(D3549,Insumos!B:B,Insumos!C:$C)</f>
        <v>KG</v>
      </c>
      <c r="F3549" s="86">
        <v>0.5</v>
      </c>
      <c r="G3549" s="92">
        <f t="array" ref="G3549">IF(B3549="insumo",_xlfn.XLOOKUP($D3549,Insumos!$B$1:$B$996,Insumos!$D$1:$D$996),"")</f>
        <v>11.15</v>
      </c>
      <c r="H3549" s="92">
        <v>5.5750000000000002</v>
      </c>
      <c r="I3549" s="84">
        <v>0</v>
      </c>
      <c r="J3549" s="84">
        <v>0</v>
      </c>
      <c r="K3549" s="84"/>
      <c r="L3549"/>
      <c r="M3549"/>
      <c r="N3549"/>
      <c r="O3549"/>
      <c r="P3549"/>
      <c r="Q3549"/>
      <c r="R3549"/>
      <c r="S3549"/>
      <c r="T3549"/>
      <c r="U3549"/>
      <c r="V3549"/>
      <c r="W3549"/>
      <c r="X3549"/>
      <c r="Y3549"/>
      <c r="Z3549"/>
      <c r="AA3549"/>
      <c r="AB3549"/>
      <c r="AC3549"/>
      <c r="AD3549"/>
      <c r="AE3549"/>
      <c r="AF3549"/>
      <c r="AG3549"/>
      <c r="AH3549"/>
      <c r="AI3549"/>
      <c r="AJ3549"/>
      <c r="AK3549"/>
      <c r="AL3549"/>
    </row>
    <row r="3550" spans="1:38" ht="15.75" customHeight="1" outlineLevel="1" x14ac:dyDescent="0.2">
      <c r="A3550" s="1090">
        <v>1</v>
      </c>
      <c r="B3550" s="1090" t="s">
        <v>1228</v>
      </c>
      <c r="C3550" s="1090" t="s">
        <v>1889</v>
      </c>
      <c r="D3550" s="1090" t="s">
        <v>1476</v>
      </c>
      <c r="E3550" s="1091"/>
      <c r="F3550" s="1092"/>
      <c r="G3550" s="1091"/>
      <c r="H3550" s="1091">
        <v>0</v>
      </c>
      <c r="I3550" s="1092">
        <v>0</v>
      </c>
      <c r="J3550" s="1092">
        <v>0</v>
      </c>
      <c r="K3550" s="1092"/>
      <c r="L3550"/>
      <c r="M3550"/>
      <c r="N3550"/>
      <c r="O3550"/>
      <c r="P3550"/>
      <c r="Q3550"/>
      <c r="R3550"/>
      <c r="S3550"/>
      <c r="T3550"/>
      <c r="U3550"/>
      <c r="V3550"/>
      <c r="W3550"/>
      <c r="X3550"/>
      <c r="Y3550"/>
      <c r="Z3550"/>
      <c r="AA3550"/>
      <c r="AB3550"/>
      <c r="AC3550"/>
      <c r="AD3550"/>
      <c r="AE3550"/>
      <c r="AF3550"/>
      <c r="AG3550"/>
      <c r="AH3550"/>
      <c r="AI3550"/>
      <c r="AJ3550"/>
      <c r="AK3550"/>
      <c r="AL3550"/>
    </row>
    <row r="3551" spans="1:38" ht="15.75" customHeight="1" outlineLevel="2" x14ac:dyDescent="0.2">
      <c r="A3551" s="1067">
        <v>1</v>
      </c>
      <c r="B3551" s="1067" t="s">
        <v>68</v>
      </c>
      <c r="C3551" s="1067" t="s">
        <v>699</v>
      </c>
      <c r="D3551" s="1067" t="s">
        <v>699</v>
      </c>
      <c r="E3551" s="1068" t="s">
        <v>70</v>
      </c>
      <c r="F3551" s="1067"/>
      <c r="G3551" s="1069" t="str">
        <f t="array" ref="G3551">IF(B3551="insumo",_xlfn.XLOOKUP($D3551,Insumos!$B$1:$B$996,Insumos!$D$1:$D$996),"")</f>
        <v/>
      </c>
      <c r="H3551" s="1069">
        <v>156.16550000000001</v>
      </c>
      <c r="I3551" s="1070">
        <v>0</v>
      </c>
      <c r="J3551" s="1070">
        <v>0</v>
      </c>
      <c r="K3551" s="1070"/>
      <c r="L3551"/>
      <c r="M3551"/>
      <c r="N3551"/>
      <c r="O3551"/>
      <c r="P3551"/>
      <c r="Q3551"/>
      <c r="R3551"/>
      <c r="S3551"/>
      <c r="T3551"/>
      <c r="U3551"/>
      <c r="V3551"/>
      <c r="W3551"/>
      <c r="X3551"/>
      <c r="Y3551"/>
      <c r="Z3551"/>
      <c r="AA3551"/>
      <c r="AB3551"/>
      <c r="AC3551"/>
      <c r="AD3551"/>
      <c r="AE3551"/>
      <c r="AF3551"/>
      <c r="AG3551"/>
      <c r="AH3551"/>
      <c r="AI3551"/>
      <c r="AJ3551"/>
      <c r="AK3551"/>
      <c r="AL3551"/>
    </row>
    <row r="3552" spans="1:38" ht="15.75" customHeight="1" outlineLevel="3" x14ac:dyDescent="0.2">
      <c r="A3552" s="10">
        <v>3</v>
      </c>
      <c r="B3552" s="10" t="s">
        <v>71</v>
      </c>
      <c r="C3552" s="10" t="s">
        <v>699</v>
      </c>
      <c r="D3552" s="10" t="s">
        <v>525</v>
      </c>
      <c r="E3552" s="11" t="str">
        <f t="array" ref="E3552">_xlfn.XLOOKUP(D3552,Insumos!B:B,Insumos!C:$C)</f>
        <v>M2</v>
      </c>
      <c r="F3552" s="14">
        <v>1.1000000000000001</v>
      </c>
      <c r="G3552" s="92">
        <f t="array" ref="G3552">IF(B3552="insumo",_xlfn.XLOOKUP($D3552,Insumos!$B$1:$B$996,Insumos!$D$1:$D$996),"")</f>
        <v>127.9</v>
      </c>
      <c r="H3552" s="92">
        <v>140.69</v>
      </c>
      <c r="I3552" s="13">
        <v>0</v>
      </c>
      <c r="J3552" s="13">
        <v>0</v>
      </c>
      <c r="K3552" s="13"/>
      <c r="L3552"/>
      <c r="M3552"/>
      <c r="N3552"/>
      <c r="O3552"/>
      <c r="P3552"/>
      <c r="Q3552"/>
      <c r="R3552"/>
      <c r="S3552"/>
      <c r="T3552"/>
      <c r="U3552"/>
      <c r="V3552"/>
      <c r="W3552"/>
      <c r="X3552"/>
      <c r="Y3552"/>
      <c r="Z3552"/>
      <c r="AA3552"/>
      <c r="AB3552"/>
      <c r="AC3552"/>
      <c r="AD3552"/>
      <c r="AE3552"/>
      <c r="AF3552"/>
      <c r="AG3552"/>
      <c r="AH3552"/>
      <c r="AI3552"/>
      <c r="AJ3552"/>
      <c r="AK3552"/>
      <c r="AL3552"/>
    </row>
    <row r="3553" spans="1:38" ht="15.75" customHeight="1" outlineLevel="3" x14ac:dyDescent="0.2">
      <c r="A3553" s="10">
        <v>191</v>
      </c>
      <c r="B3553" s="10" t="s">
        <v>71</v>
      </c>
      <c r="C3553" s="10" t="s">
        <v>699</v>
      </c>
      <c r="D3553" s="10" t="s">
        <v>481</v>
      </c>
      <c r="E3553" s="11" t="str">
        <f t="array" ref="E3553">_xlfn.XLOOKUP(D3553,Insumos!B:B,Insumos!C:$C)</f>
        <v>KG</v>
      </c>
      <c r="F3553" s="14">
        <v>9</v>
      </c>
      <c r="G3553" s="92">
        <f t="array" ref="G3553">IF(B3553="insumo",_xlfn.XLOOKUP($D3553,Insumos!$B$1:$B$996,Insumos!$D$1:$D$996),"")</f>
        <v>1.0645</v>
      </c>
      <c r="H3553" s="92">
        <v>9.5805000000000007</v>
      </c>
      <c r="I3553" s="13">
        <v>0</v>
      </c>
      <c r="J3553" s="13">
        <v>0</v>
      </c>
      <c r="K3553" s="13"/>
      <c r="L3553"/>
      <c r="M3553"/>
      <c r="N3553"/>
      <c r="O3553"/>
      <c r="P3553"/>
      <c r="Q3553"/>
      <c r="R3553"/>
      <c r="S3553"/>
      <c r="T3553"/>
      <c r="U3553"/>
      <c r="V3553"/>
      <c r="W3553"/>
      <c r="X3553"/>
      <c r="Y3553"/>
      <c r="Z3553"/>
      <c r="AA3553"/>
      <c r="AB3553"/>
      <c r="AC3553"/>
      <c r="AD3553"/>
      <c r="AE3553"/>
      <c r="AF3553"/>
      <c r="AG3553"/>
      <c r="AH3553"/>
      <c r="AI3553"/>
      <c r="AJ3553"/>
      <c r="AK3553"/>
      <c r="AL3553"/>
    </row>
    <row r="3554" spans="1:38" ht="15.75" customHeight="1" outlineLevel="3" x14ac:dyDescent="0.2">
      <c r="A3554" s="10">
        <v>142</v>
      </c>
      <c r="B3554" s="10" t="s">
        <v>71</v>
      </c>
      <c r="C3554" s="10" t="s">
        <v>699</v>
      </c>
      <c r="D3554" s="10" t="s">
        <v>506</v>
      </c>
      <c r="E3554" s="11" t="str">
        <f t="array" ref="E3554">_xlfn.XLOOKUP(D3554,Insumos!B:B,Insumos!C:$C)</f>
        <v>UN</v>
      </c>
      <c r="F3554" s="14">
        <v>4</v>
      </c>
      <c r="G3554" s="92">
        <f t="array" ref="G3554">IF(B3554="insumo",_xlfn.XLOOKUP($D3554,Insumos!$B$1:$B$996,Insumos!$D$1:$D$996),"")</f>
        <v>0.08</v>
      </c>
      <c r="H3554" s="92">
        <v>0.32</v>
      </c>
      <c r="I3554" s="13">
        <v>0</v>
      </c>
      <c r="J3554" s="13">
        <v>0</v>
      </c>
      <c r="K3554" s="13"/>
      <c r="L3554"/>
      <c r="M3554"/>
      <c r="N3554"/>
      <c r="O3554"/>
      <c r="P3554"/>
      <c r="Q3554"/>
      <c r="R3554"/>
      <c r="S3554"/>
      <c r="T3554"/>
      <c r="U3554"/>
      <c r="V3554"/>
      <c r="W3554"/>
      <c r="X3554"/>
      <c r="Y3554"/>
      <c r="Z3554"/>
      <c r="AA3554"/>
      <c r="AB3554"/>
      <c r="AC3554"/>
      <c r="AD3554"/>
      <c r="AE3554"/>
      <c r="AF3554"/>
      <c r="AG3554"/>
      <c r="AH3554"/>
      <c r="AI3554"/>
      <c r="AJ3554"/>
      <c r="AK3554"/>
      <c r="AL3554"/>
    </row>
    <row r="3555" spans="1:38" ht="15.75" customHeight="1" outlineLevel="3" x14ac:dyDescent="0.2">
      <c r="A3555" s="10">
        <v>101</v>
      </c>
      <c r="B3555" s="10" t="s">
        <v>71</v>
      </c>
      <c r="C3555" s="10" t="s">
        <v>699</v>
      </c>
      <c r="D3555" s="10" t="s">
        <v>507</v>
      </c>
      <c r="E3555" s="11" t="str">
        <f t="array" ref="E3555">_xlfn.XLOOKUP(D3555,Insumos!B:B,Insumos!C:$C)</f>
        <v>KG</v>
      </c>
      <c r="F3555" s="14">
        <v>0.5</v>
      </c>
      <c r="G3555" s="92">
        <f t="array" ref="G3555">IF(B3555="insumo",_xlfn.XLOOKUP($D3555,Insumos!$B$1:$B$996,Insumos!$D$1:$D$996),"")</f>
        <v>11.15</v>
      </c>
      <c r="H3555" s="92">
        <v>5.5750000000000002</v>
      </c>
      <c r="I3555" s="13">
        <v>0</v>
      </c>
      <c r="J3555" s="13">
        <v>0</v>
      </c>
      <c r="K3555" s="13"/>
      <c r="L3555"/>
      <c r="M3555"/>
      <c r="N3555"/>
      <c r="O3555"/>
      <c r="P3555"/>
      <c r="Q3555"/>
      <c r="R3555"/>
      <c r="S3555"/>
      <c r="T3555"/>
      <c r="U3555"/>
      <c r="V3555"/>
      <c r="W3555"/>
      <c r="X3555"/>
      <c r="Y3555"/>
      <c r="Z3555"/>
      <c r="AA3555"/>
      <c r="AB3555"/>
      <c r="AC3555"/>
      <c r="AD3555"/>
      <c r="AE3555"/>
      <c r="AF3555"/>
      <c r="AG3555"/>
      <c r="AH3555"/>
      <c r="AI3555"/>
      <c r="AJ3555"/>
      <c r="AK3555"/>
      <c r="AL3555"/>
    </row>
    <row r="3556" spans="1:38" ht="12.75" outlineLevel="2" x14ac:dyDescent="0.2">
      <c r="A3556" s="1071">
        <v>1</v>
      </c>
      <c r="B3556" s="1071" t="s">
        <v>68</v>
      </c>
      <c r="C3556" s="1071" t="s">
        <v>1885</v>
      </c>
      <c r="D3556" s="1071" t="s">
        <v>1885</v>
      </c>
      <c r="E3556" s="1072" t="s">
        <v>70</v>
      </c>
      <c r="F3556" s="1071"/>
      <c r="G3556" s="1073" t="str">
        <f t="array" ref="G3556">IF(B3556="insumo",_xlfn.XLOOKUP($D3556,Insumos!$B$1:$B$996,Insumos!$D$1:$D$996),"")</f>
        <v/>
      </c>
      <c r="H3556" s="1073">
        <v>533.95527500000003</v>
      </c>
      <c r="I3556" s="1074">
        <v>0</v>
      </c>
      <c r="J3556" s="1074">
        <v>0</v>
      </c>
      <c r="K3556" s="1074"/>
      <c r="L3556"/>
      <c r="M3556"/>
      <c r="N3556"/>
      <c r="O3556"/>
      <c r="P3556"/>
      <c r="Q3556"/>
      <c r="R3556"/>
      <c r="S3556"/>
      <c r="T3556"/>
      <c r="U3556"/>
      <c r="V3556"/>
      <c r="W3556"/>
      <c r="X3556"/>
      <c r="Y3556"/>
      <c r="Z3556"/>
      <c r="AA3556"/>
      <c r="AB3556"/>
      <c r="AC3556"/>
      <c r="AD3556"/>
      <c r="AE3556"/>
      <c r="AF3556"/>
      <c r="AG3556"/>
      <c r="AH3556"/>
      <c r="AI3556"/>
      <c r="AJ3556"/>
      <c r="AK3556"/>
      <c r="AL3556"/>
    </row>
    <row r="3557" spans="1:38" ht="12.75" outlineLevel="3" x14ac:dyDescent="0.2">
      <c r="A3557" s="82">
        <v>1</v>
      </c>
      <c r="B3557" s="82" t="s">
        <v>71</v>
      </c>
      <c r="C3557" s="82" t="s">
        <v>1885</v>
      </c>
      <c r="D3557" s="82" t="s">
        <v>1852</v>
      </c>
      <c r="E3557" s="11" t="str">
        <f t="array" ref="E3557">_xlfn.XLOOKUP(D3557,Insumos!B:B,Insumos!C:$C)</f>
        <v>M2</v>
      </c>
      <c r="F3557" s="90">
        <v>1.1000000000000001</v>
      </c>
      <c r="G3557" s="92">
        <f t="array" ref="G3557">IF(B3557="insumo",_xlfn.XLOOKUP($D3557,Insumos!$B$1:$B$996,Insumos!$D$1:$D$996),"")</f>
        <v>480</v>
      </c>
      <c r="H3557" s="92">
        <v>528</v>
      </c>
      <c r="I3557" s="84">
        <v>0</v>
      </c>
      <c r="J3557" s="84">
        <v>0</v>
      </c>
      <c r="K3557" s="84"/>
      <c r="L3557"/>
      <c r="M3557"/>
      <c r="N3557"/>
      <c r="O3557"/>
      <c r="P3557"/>
      <c r="Q3557"/>
      <c r="R3557"/>
      <c r="S3557"/>
      <c r="T3557"/>
      <c r="U3557"/>
      <c r="V3557"/>
      <c r="W3557"/>
      <c r="X3557"/>
      <c r="Y3557"/>
      <c r="Z3557"/>
      <c r="AA3557"/>
      <c r="AB3557"/>
      <c r="AC3557"/>
      <c r="AD3557"/>
      <c r="AE3557"/>
      <c r="AF3557"/>
      <c r="AG3557"/>
      <c r="AH3557"/>
      <c r="AI3557"/>
      <c r="AJ3557"/>
      <c r="AK3557"/>
      <c r="AL3557"/>
    </row>
    <row r="3558" spans="1:38" ht="12.75" outlineLevel="3" x14ac:dyDescent="0.2">
      <c r="A3558" s="82">
        <v>191</v>
      </c>
      <c r="B3558" s="82" t="s">
        <v>71</v>
      </c>
      <c r="C3558" s="82" t="s">
        <v>1885</v>
      </c>
      <c r="D3558" s="82" t="s">
        <v>481</v>
      </c>
      <c r="E3558" s="11" t="str">
        <f t="array" ref="E3558">_xlfn.XLOOKUP(D3558,Insumos!B:B,Insumos!C:$C)</f>
        <v>KG</v>
      </c>
      <c r="F3558" s="90">
        <v>4.95</v>
      </c>
      <c r="G3558" s="92">
        <f t="array" ref="G3558">IF(B3558="insumo",_xlfn.XLOOKUP($D3558,Insumos!$B$1:$B$996,Insumos!$D$1:$D$996),"")</f>
        <v>1.0645</v>
      </c>
      <c r="H3558" s="92">
        <v>5.2692750000000004</v>
      </c>
      <c r="I3558" s="84">
        <v>0</v>
      </c>
      <c r="J3558" s="84">
        <v>0</v>
      </c>
      <c r="K3558" s="84"/>
      <c r="L3558"/>
      <c r="M3558"/>
      <c r="N3558"/>
      <c r="O3558"/>
      <c r="P3558"/>
      <c r="Q3558"/>
      <c r="R3558"/>
      <c r="S3558"/>
      <c r="T3558"/>
      <c r="U3558"/>
      <c r="V3558"/>
      <c r="W3558"/>
      <c r="X3558"/>
      <c r="Y3558"/>
      <c r="Z3558"/>
      <c r="AA3558"/>
      <c r="AB3558"/>
      <c r="AC3558"/>
      <c r="AD3558"/>
      <c r="AE3558"/>
      <c r="AF3558"/>
      <c r="AG3558"/>
      <c r="AH3558"/>
      <c r="AI3558"/>
      <c r="AJ3558"/>
      <c r="AK3558"/>
      <c r="AL3558"/>
    </row>
    <row r="3559" spans="1:38" ht="12.75" outlineLevel="3" x14ac:dyDescent="0.2">
      <c r="A3559" s="82">
        <v>142</v>
      </c>
      <c r="B3559" s="82" t="s">
        <v>71</v>
      </c>
      <c r="C3559" s="82" t="s">
        <v>1885</v>
      </c>
      <c r="D3559" s="82" t="s">
        <v>506</v>
      </c>
      <c r="E3559" s="11" t="str">
        <f t="array" ref="E3559">_xlfn.XLOOKUP(D3559,Insumos!B:B,Insumos!C:$C)</f>
        <v>UN</v>
      </c>
      <c r="F3559" s="90">
        <v>3</v>
      </c>
      <c r="G3559" s="92">
        <f t="array" ref="G3559">IF(B3559="insumo",_xlfn.XLOOKUP($D3559,Insumos!$B$1:$B$996,Insumos!$D$1:$D$996),"")</f>
        <v>0.08</v>
      </c>
      <c r="H3559" s="92">
        <v>0.24</v>
      </c>
      <c r="I3559" s="84">
        <v>0</v>
      </c>
      <c r="J3559" s="84">
        <v>0</v>
      </c>
      <c r="K3559" s="84"/>
      <c r="L3559"/>
      <c r="M3559"/>
      <c r="N3559"/>
      <c r="O3559"/>
      <c r="P3559"/>
      <c r="Q3559"/>
      <c r="R3559"/>
      <c r="S3559"/>
      <c r="T3559"/>
      <c r="U3559"/>
      <c r="V3559"/>
      <c r="W3559"/>
      <c r="X3559"/>
      <c r="Y3559"/>
      <c r="Z3559"/>
      <c r="AA3559"/>
      <c r="AB3559"/>
      <c r="AC3559"/>
      <c r="AD3559"/>
      <c r="AE3559"/>
      <c r="AF3559"/>
      <c r="AG3559"/>
      <c r="AH3559"/>
      <c r="AI3559"/>
      <c r="AJ3559"/>
      <c r="AK3559"/>
      <c r="AL3559"/>
    </row>
    <row r="3560" spans="1:38" ht="12.75" outlineLevel="3" x14ac:dyDescent="0.2">
      <c r="A3560" s="82">
        <v>101</v>
      </c>
      <c r="B3560" s="82" t="s">
        <v>71</v>
      </c>
      <c r="C3560" s="82" t="s">
        <v>1885</v>
      </c>
      <c r="D3560" s="82" t="s">
        <v>507</v>
      </c>
      <c r="E3560" s="11" t="str">
        <f t="array" ref="E3560">_xlfn.XLOOKUP(D3560,Insumos!B:B,Insumos!C:$C)</f>
        <v>KG</v>
      </c>
      <c r="F3560" s="90">
        <v>0.04</v>
      </c>
      <c r="G3560" s="92">
        <f t="array" ref="G3560">IF(B3560="insumo",_xlfn.XLOOKUP($D3560,Insumos!$B$1:$B$996,Insumos!$D$1:$D$996),"")</f>
        <v>11.15</v>
      </c>
      <c r="H3560" s="92">
        <v>0.44600000000000001</v>
      </c>
      <c r="I3560" s="84">
        <v>0</v>
      </c>
      <c r="J3560" s="84">
        <v>0</v>
      </c>
      <c r="K3560" s="84"/>
      <c r="L3560"/>
      <c r="M3560"/>
      <c r="N3560"/>
      <c r="O3560"/>
      <c r="P3560"/>
      <c r="Q3560"/>
      <c r="R3560"/>
      <c r="S3560"/>
      <c r="T3560"/>
      <c r="U3560"/>
      <c r="V3560"/>
      <c r="W3560"/>
      <c r="X3560"/>
      <c r="Y3560"/>
      <c r="Z3560"/>
      <c r="AA3560"/>
      <c r="AB3560"/>
      <c r="AC3560"/>
      <c r="AD3560"/>
      <c r="AE3560"/>
      <c r="AF3560"/>
      <c r="AG3560"/>
      <c r="AH3560"/>
      <c r="AI3560"/>
      <c r="AJ3560"/>
      <c r="AK3560"/>
      <c r="AL3560"/>
    </row>
    <row r="3561" spans="1:38" ht="15.75" customHeight="1" outlineLevel="2" x14ac:dyDescent="0.2">
      <c r="A3561" s="1067">
        <v>1</v>
      </c>
      <c r="B3561" s="1067" t="s">
        <v>68</v>
      </c>
      <c r="C3561" s="1067" t="s">
        <v>676</v>
      </c>
      <c r="D3561" s="1067" t="s">
        <v>676</v>
      </c>
      <c r="E3561" s="1068" t="s">
        <v>70</v>
      </c>
      <c r="F3561" s="1067"/>
      <c r="G3561" s="1069" t="str">
        <f t="array" ref="G3561">IF(B3561="insumo",_xlfn.XLOOKUP($D3561,Insumos!$B$1:$B$996,Insumos!$D$1:$D$996),"")</f>
        <v/>
      </c>
      <c r="H3561" s="1069">
        <v>206.65027499999999</v>
      </c>
      <c r="I3561" s="1070">
        <v>0</v>
      </c>
      <c r="J3561" s="1070">
        <v>0</v>
      </c>
      <c r="K3561" s="1070"/>
      <c r="L3561"/>
      <c r="M3561"/>
      <c r="N3561"/>
      <c r="O3561"/>
      <c r="P3561"/>
      <c r="Q3561"/>
      <c r="R3561"/>
      <c r="S3561"/>
      <c r="T3561"/>
      <c r="U3561"/>
      <c r="V3561"/>
      <c r="W3561"/>
      <c r="X3561"/>
      <c r="Y3561"/>
      <c r="Z3561"/>
      <c r="AA3561"/>
      <c r="AB3561"/>
      <c r="AC3561"/>
      <c r="AD3561"/>
      <c r="AE3561"/>
      <c r="AF3561"/>
      <c r="AG3561"/>
      <c r="AH3561"/>
      <c r="AI3561"/>
      <c r="AJ3561"/>
      <c r="AK3561"/>
      <c r="AL3561"/>
    </row>
    <row r="3562" spans="1:38" ht="15.75" customHeight="1" outlineLevel="3" x14ac:dyDescent="0.2">
      <c r="A3562" s="10">
        <v>1</v>
      </c>
      <c r="B3562" s="10" t="s">
        <v>71</v>
      </c>
      <c r="C3562" s="10" t="s">
        <v>676</v>
      </c>
      <c r="D3562" s="10" t="s">
        <v>677</v>
      </c>
      <c r="E3562" s="11" t="str">
        <f t="array" ref="E3562">_xlfn.XLOOKUP(D3562,Insumos!B:B,Insumos!C:$C)</f>
        <v>M2</v>
      </c>
      <c r="F3562" s="14">
        <v>1.1000000000000001</v>
      </c>
      <c r="G3562" s="92">
        <f t="array" ref="G3562">IF(B3562="insumo",_xlfn.XLOOKUP($D3562,Insumos!$B$1:$B$996,Insumos!$D$1:$D$996),"")</f>
        <v>182.45</v>
      </c>
      <c r="H3562" s="92">
        <v>200.69499999999999</v>
      </c>
      <c r="I3562" s="13">
        <v>0</v>
      </c>
      <c r="J3562" s="13">
        <v>0</v>
      </c>
      <c r="K3562" s="13"/>
      <c r="L3562"/>
      <c r="M3562"/>
      <c r="N3562"/>
      <c r="O3562"/>
      <c r="P3562"/>
      <c r="Q3562"/>
      <c r="R3562"/>
      <c r="S3562"/>
      <c r="T3562"/>
      <c r="U3562"/>
      <c r="V3562"/>
      <c r="W3562"/>
      <c r="X3562"/>
      <c r="Y3562"/>
      <c r="Z3562"/>
      <c r="AA3562"/>
      <c r="AB3562"/>
      <c r="AC3562"/>
      <c r="AD3562"/>
      <c r="AE3562"/>
      <c r="AF3562"/>
      <c r="AG3562"/>
      <c r="AH3562"/>
      <c r="AI3562"/>
      <c r="AJ3562"/>
      <c r="AK3562"/>
      <c r="AL3562"/>
    </row>
    <row r="3563" spans="1:38" ht="15.75" customHeight="1" outlineLevel="3" x14ac:dyDescent="0.2">
      <c r="A3563" s="10">
        <v>191</v>
      </c>
      <c r="B3563" s="10" t="s">
        <v>71</v>
      </c>
      <c r="C3563" s="10" t="s">
        <v>676</v>
      </c>
      <c r="D3563" s="10" t="s">
        <v>481</v>
      </c>
      <c r="E3563" s="11" t="str">
        <f t="array" ref="E3563">_xlfn.XLOOKUP(D3563,Insumos!B:B,Insumos!C:$C)</f>
        <v>KG</v>
      </c>
      <c r="F3563" s="14">
        <v>4.95</v>
      </c>
      <c r="G3563" s="92">
        <f t="array" ref="G3563">IF(B3563="insumo",_xlfn.XLOOKUP($D3563,Insumos!$B$1:$B$996,Insumos!$D$1:$D$996),"")</f>
        <v>1.0645</v>
      </c>
      <c r="H3563" s="92">
        <v>5.2692750000000004</v>
      </c>
      <c r="I3563" s="13">
        <v>0</v>
      </c>
      <c r="J3563" s="13">
        <v>0</v>
      </c>
      <c r="K3563" s="13"/>
      <c r="L3563"/>
      <c r="M3563"/>
      <c r="N3563"/>
      <c r="O3563"/>
      <c r="P3563"/>
      <c r="Q3563"/>
      <c r="R3563"/>
      <c r="S3563"/>
      <c r="T3563"/>
      <c r="U3563"/>
      <c r="V3563"/>
      <c r="W3563"/>
      <c r="X3563"/>
      <c r="Y3563"/>
      <c r="Z3563"/>
      <c r="AA3563"/>
      <c r="AB3563"/>
      <c r="AC3563"/>
      <c r="AD3563"/>
      <c r="AE3563"/>
      <c r="AF3563"/>
      <c r="AG3563"/>
      <c r="AH3563"/>
      <c r="AI3563"/>
      <c r="AJ3563"/>
      <c r="AK3563"/>
      <c r="AL3563"/>
    </row>
    <row r="3564" spans="1:38" ht="15.75" customHeight="1" outlineLevel="3" x14ac:dyDescent="0.2">
      <c r="A3564" s="10">
        <v>142</v>
      </c>
      <c r="B3564" s="10" t="s">
        <v>71</v>
      </c>
      <c r="C3564" s="10" t="s">
        <v>676</v>
      </c>
      <c r="D3564" s="10" t="s">
        <v>506</v>
      </c>
      <c r="E3564" s="11" t="str">
        <f t="array" ref="E3564">_xlfn.XLOOKUP(D3564,Insumos!B:B,Insumos!C:$C)</f>
        <v>UN</v>
      </c>
      <c r="F3564" s="14">
        <v>3</v>
      </c>
      <c r="G3564" s="92">
        <f t="array" ref="G3564">IF(B3564="insumo",_xlfn.XLOOKUP($D3564,Insumos!$B$1:$B$996,Insumos!$D$1:$D$996),"")</f>
        <v>0.08</v>
      </c>
      <c r="H3564" s="92">
        <v>0.24</v>
      </c>
      <c r="I3564" s="13">
        <v>0</v>
      </c>
      <c r="J3564" s="13">
        <v>0</v>
      </c>
      <c r="K3564" s="13"/>
      <c r="L3564"/>
      <c r="M3564"/>
      <c r="N3564"/>
      <c r="O3564"/>
      <c r="P3564"/>
      <c r="Q3564"/>
      <c r="R3564"/>
      <c r="S3564"/>
      <c r="T3564"/>
      <c r="U3564"/>
      <c r="V3564"/>
      <c r="W3564"/>
      <c r="X3564"/>
      <c r="Y3564"/>
      <c r="Z3564"/>
      <c r="AA3564"/>
      <c r="AB3564"/>
      <c r="AC3564"/>
      <c r="AD3564"/>
      <c r="AE3564"/>
      <c r="AF3564"/>
      <c r="AG3564"/>
      <c r="AH3564"/>
      <c r="AI3564"/>
      <c r="AJ3564"/>
      <c r="AK3564"/>
      <c r="AL3564"/>
    </row>
    <row r="3565" spans="1:38" ht="15.75" customHeight="1" outlineLevel="3" x14ac:dyDescent="0.2">
      <c r="A3565" s="10">
        <v>101</v>
      </c>
      <c r="B3565" s="10" t="s">
        <v>71</v>
      </c>
      <c r="C3565" s="10" t="s">
        <v>676</v>
      </c>
      <c r="D3565" s="10" t="s">
        <v>507</v>
      </c>
      <c r="E3565" s="11" t="str">
        <f t="array" ref="E3565">_xlfn.XLOOKUP(D3565,Insumos!B:B,Insumos!C:$C)</f>
        <v>KG</v>
      </c>
      <c r="F3565" s="14">
        <v>0.04</v>
      </c>
      <c r="G3565" s="92">
        <f t="array" ref="G3565">IF(B3565="insumo",_xlfn.XLOOKUP($D3565,Insumos!$B$1:$B$996,Insumos!$D$1:$D$996),"")</f>
        <v>11.15</v>
      </c>
      <c r="H3565" s="92">
        <v>0.44600000000000001</v>
      </c>
      <c r="I3565" s="13">
        <v>0</v>
      </c>
      <c r="J3565" s="13">
        <v>0</v>
      </c>
      <c r="K3565" s="13"/>
      <c r="L3565"/>
      <c r="M3565"/>
      <c r="N3565"/>
      <c r="O3565"/>
      <c r="P3565"/>
      <c r="Q3565"/>
      <c r="R3565"/>
      <c r="S3565"/>
      <c r="T3565"/>
      <c r="U3565"/>
      <c r="V3565"/>
      <c r="W3565"/>
      <c r="X3565"/>
      <c r="Y3565"/>
      <c r="Z3565"/>
      <c r="AA3565"/>
      <c r="AB3565"/>
      <c r="AC3565"/>
      <c r="AD3565"/>
      <c r="AE3565"/>
      <c r="AF3565"/>
      <c r="AG3565"/>
      <c r="AH3565"/>
      <c r="AI3565"/>
      <c r="AJ3565"/>
      <c r="AK3565"/>
      <c r="AL3565"/>
    </row>
    <row r="3566" spans="1:38" ht="15.75" customHeight="1" outlineLevel="2" x14ac:dyDescent="0.2">
      <c r="A3566" s="1067">
        <v>1</v>
      </c>
      <c r="B3566" s="1067" t="s">
        <v>68</v>
      </c>
      <c r="C3566" s="1067" t="s">
        <v>1479</v>
      </c>
      <c r="D3566" s="1067" t="s">
        <v>1479</v>
      </c>
      <c r="E3566" s="1068" t="s">
        <v>70</v>
      </c>
      <c r="F3566" s="1067"/>
      <c r="G3566" s="1069" t="str">
        <f t="array" ref="G3566">IF(B3566="insumo",_xlfn.XLOOKUP($D3566,Insumos!$B$1:$B$996,Insumos!$D$1:$D$996),"")</f>
        <v/>
      </c>
      <c r="H3566" s="1069">
        <v>262.85377499999998</v>
      </c>
      <c r="I3566" s="1070">
        <v>0</v>
      </c>
      <c r="J3566" s="1070">
        <v>0</v>
      </c>
      <c r="K3566" s="1070"/>
      <c r="L3566"/>
      <c r="M3566"/>
      <c r="N3566"/>
      <c r="O3566"/>
      <c r="P3566"/>
      <c r="Q3566"/>
      <c r="R3566"/>
      <c r="S3566"/>
      <c r="T3566"/>
      <c r="U3566"/>
      <c r="V3566"/>
      <c r="W3566"/>
      <c r="X3566"/>
      <c r="Y3566"/>
      <c r="Z3566"/>
      <c r="AA3566"/>
      <c r="AB3566"/>
      <c r="AC3566"/>
      <c r="AD3566"/>
      <c r="AE3566"/>
      <c r="AF3566"/>
      <c r="AG3566"/>
      <c r="AH3566"/>
      <c r="AI3566"/>
      <c r="AJ3566"/>
      <c r="AK3566"/>
      <c r="AL3566"/>
    </row>
    <row r="3567" spans="1:38" ht="15.75" customHeight="1" outlineLevel="3" x14ac:dyDescent="0.2">
      <c r="A3567" s="10">
        <v>3</v>
      </c>
      <c r="B3567" s="10" t="s">
        <v>71</v>
      </c>
      <c r="C3567" s="10" t="s">
        <v>1479</v>
      </c>
      <c r="D3567" s="10" t="s">
        <v>1422</v>
      </c>
      <c r="E3567" s="11" t="str">
        <f t="array" ref="E3567">_xlfn.XLOOKUP(D3567,Insumos!B:B,Insumos!C:$C)</f>
        <v>M2</v>
      </c>
      <c r="F3567" s="14">
        <v>1.1000000000000001</v>
      </c>
      <c r="G3567" s="92">
        <f t="array" ref="G3567">IF(B3567="insumo",_xlfn.XLOOKUP($D3567,Insumos!$B$1:$B$996,Insumos!$D$1:$D$996),"")</f>
        <v>233.37</v>
      </c>
      <c r="H3567" s="92">
        <v>256.70699999999999</v>
      </c>
      <c r="I3567" s="13">
        <v>0</v>
      </c>
      <c r="J3567" s="13">
        <v>0</v>
      </c>
      <c r="K3567" s="13"/>
      <c r="L3567"/>
      <c r="M3567"/>
      <c r="N3567"/>
      <c r="O3567"/>
      <c r="P3567"/>
      <c r="Q3567"/>
      <c r="R3567"/>
      <c r="S3567"/>
      <c r="T3567"/>
      <c r="U3567"/>
      <c r="V3567"/>
      <c r="W3567"/>
      <c r="X3567"/>
      <c r="Y3567"/>
      <c r="Z3567"/>
      <c r="AA3567"/>
      <c r="AB3567"/>
      <c r="AC3567"/>
      <c r="AD3567"/>
      <c r="AE3567"/>
      <c r="AF3567"/>
      <c r="AG3567"/>
      <c r="AH3567"/>
      <c r="AI3567"/>
      <c r="AJ3567"/>
      <c r="AK3567"/>
      <c r="AL3567"/>
    </row>
    <row r="3568" spans="1:38" ht="15.75" customHeight="1" outlineLevel="3" x14ac:dyDescent="0.2">
      <c r="A3568" s="10">
        <v>191</v>
      </c>
      <c r="B3568" s="10" t="s">
        <v>71</v>
      </c>
      <c r="C3568" s="10" t="s">
        <v>1479</v>
      </c>
      <c r="D3568" s="10" t="s">
        <v>481</v>
      </c>
      <c r="E3568" s="11" t="str">
        <f t="array" ref="E3568">_xlfn.XLOOKUP(D3568,Insumos!B:B,Insumos!C:$C)</f>
        <v>KG</v>
      </c>
      <c r="F3568" s="14">
        <v>4.95</v>
      </c>
      <c r="G3568" s="92">
        <f t="array" ref="G3568">IF(B3568="insumo",_xlfn.XLOOKUP($D3568,Insumos!$B$1:$B$996,Insumos!$D$1:$D$996),"")</f>
        <v>1.0645</v>
      </c>
      <c r="H3568" s="92">
        <v>5.2692750000000004</v>
      </c>
      <c r="I3568" s="13">
        <v>0</v>
      </c>
      <c r="J3568" s="13">
        <v>0</v>
      </c>
      <c r="K3568" s="13"/>
      <c r="L3568"/>
      <c r="M3568"/>
      <c r="N3568"/>
      <c r="O3568"/>
      <c r="P3568"/>
      <c r="Q3568"/>
      <c r="R3568"/>
      <c r="S3568"/>
      <c r="T3568"/>
      <c r="U3568"/>
      <c r="V3568"/>
      <c r="W3568"/>
      <c r="X3568"/>
      <c r="Y3568"/>
      <c r="Z3568"/>
      <c r="AA3568"/>
      <c r="AB3568"/>
      <c r="AC3568"/>
      <c r="AD3568"/>
      <c r="AE3568"/>
      <c r="AF3568"/>
      <c r="AG3568"/>
      <c r="AH3568"/>
      <c r="AI3568"/>
      <c r="AJ3568"/>
      <c r="AK3568"/>
      <c r="AL3568"/>
    </row>
    <row r="3569" spans="1:38" ht="15.75" customHeight="1" outlineLevel="3" x14ac:dyDescent="0.2">
      <c r="A3569" s="10">
        <v>142</v>
      </c>
      <c r="B3569" s="10" t="s">
        <v>71</v>
      </c>
      <c r="C3569" s="10" t="s">
        <v>1479</v>
      </c>
      <c r="D3569" s="10" t="s">
        <v>506</v>
      </c>
      <c r="E3569" s="11" t="str">
        <f t="array" ref="E3569">_xlfn.XLOOKUP(D3569,Insumos!B:B,Insumos!C:$C)</f>
        <v>UN</v>
      </c>
      <c r="F3569" s="14">
        <v>4</v>
      </c>
      <c r="G3569" s="92">
        <f t="array" ref="G3569">IF(B3569="insumo",_xlfn.XLOOKUP($D3569,Insumos!$B$1:$B$996,Insumos!$D$1:$D$996),"")</f>
        <v>0.08</v>
      </c>
      <c r="H3569" s="92">
        <v>0.32</v>
      </c>
      <c r="I3569" s="13">
        <v>0</v>
      </c>
      <c r="J3569" s="13">
        <v>0</v>
      </c>
      <c r="K3569" s="13"/>
      <c r="L3569"/>
      <c r="M3569"/>
      <c r="N3569"/>
      <c r="O3569"/>
      <c r="P3569"/>
      <c r="Q3569"/>
      <c r="R3569"/>
      <c r="S3569"/>
      <c r="T3569"/>
      <c r="U3569"/>
      <c r="V3569"/>
      <c r="W3569"/>
      <c r="X3569"/>
      <c r="Y3569"/>
      <c r="Z3569"/>
      <c r="AA3569"/>
      <c r="AB3569"/>
      <c r="AC3569"/>
      <c r="AD3569"/>
      <c r="AE3569"/>
      <c r="AF3569"/>
      <c r="AG3569"/>
      <c r="AH3569"/>
      <c r="AI3569"/>
      <c r="AJ3569"/>
      <c r="AK3569"/>
      <c r="AL3569"/>
    </row>
    <row r="3570" spans="1:38" ht="15.75" customHeight="1" outlineLevel="3" x14ac:dyDescent="0.2">
      <c r="A3570" s="10">
        <v>101</v>
      </c>
      <c r="B3570" s="10" t="s">
        <v>71</v>
      </c>
      <c r="C3570" s="10" t="s">
        <v>1479</v>
      </c>
      <c r="D3570" s="10" t="s">
        <v>507</v>
      </c>
      <c r="E3570" s="11" t="str">
        <f t="array" ref="E3570">_xlfn.XLOOKUP(D3570,Insumos!B:B,Insumos!C:$C)</f>
        <v>KG</v>
      </c>
      <c r="F3570" s="14">
        <v>0.05</v>
      </c>
      <c r="G3570" s="92">
        <f t="array" ref="G3570">IF(B3570="insumo",_xlfn.XLOOKUP($D3570,Insumos!$B$1:$B$996,Insumos!$D$1:$D$996),"")</f>
        <v>11.15</v>
      </c>
      <c r="H3570" s="92">
        <v>0.5575</v>
      </c>
      <c r="I3570" s="13">
        <v>0</v>
      </c>
      <c r="J3570" s="13">
        <v>0</v>
      </c>
      <c r="K3570" s="13"/>
      <c r="L3570"/>
      <c r="M3570"/>
      <c r="N3570"/>
      <c r="O3570"/>
      <c r="P3570"/>
      <c r="Q3570"/>
      <c r="R3570"/>
      <c r="S3570"/>
      <c r="T3570"/>
      <c r="U3570"/>
      <c r="V3570"/>
      <c r="W3570"/>
      <c r="X3570"/>
      <c r="Y3570"/>
      <c r="Z3570"/>
      <c r="AA3570"/>
      <c r="AB3570"/>
      <c r="AC3570"/>
      <c r="AD3570"/>
      <c r="AE3570"/>
      <c r="AF3570"/>
      <c r="AG3570"/>
      <c r="AH3570"/>
      <c r="AI3570"/>
      <c r="AJ3570"/>
      <c r="AK3570"/>
      <c r="AL3570"/>
    </row>
    <row r="3571" spans="1:38" ht="15.75" customHeight="1" outlineLevel="2" x14ac:dyDescent="0.2">
      <c r="A3571" s="1067">
        <v>1</v>
      </c>
      <c r="B3571" s="1067" t="s">
        <v>68</v>
      </c>
      <c r="C3571" s="1067" t="s">
        <v>1480</v>
      </c>
      <c r="D3571" s="1067" t="s">
        <v>1480</v>
      </c>
      <c r="E3571" s="1068" t="s">
        <v>70</v>
      </c>
      <c r="F3571" s="1067"/>
      <c r="G3571" s="1069" t="str">
        <f t="array" ref="G3571">IF(B3571="insumo",_xlfn.XLOOKUP($D3571,Insumos!$B$1:$B$996,Insumos!$D$1:$D$996),"")</f>
        <v/>
      </c>
      <c r="H3571" s="1069">
        <v>186.172775</v>
      </c>
      <c r="I3571" s="1070">
        <v>0</v>
      </c>
      <c r="J3571" s="1070">
        <v>0</v>
      </c>
      <c r="K3571" s="1070"/>
      <c r="L3571"/>
      <c r="M3571"/>
      <c r="N3571"/>
      <c r="O3571"/>
      <c r="P3571"/>
      <c r="Q3571"/>
      <c r="R3571"/>
      <c r="S3571"/>
      <c r="T3571"/>
      <c r="U3571"/>
      <c r="V3571"/>
      <c r="W3571"/>
      <c r="X3571"/>
      <c r="Y3571"/>
      <c r="Z3571"/>
      <c r="AA3571"/>
      <c r="AB3571"/>
      <c r="AC3571"/>
      <c r="AD3571"/>
      <c r="AE3571"/>
      <c r="AF3571"/>
      <c r="AG3571"/>
      <c r="AH3571"/>
      <c r="AI3571"/>
      <c r="AJ3571"/>
      <c r="AK3571"/>
      <c r="AL3571"/>
    </row>
    <row r="3572" spans="1:38" ht="15.75" customHeight="1" outlineLevel="3" x14ac:dyDescent="0.2">
      <c r="A3572" s="10">
        <v>2</v>
      </c>
      <c r="B3572" s="10" t="s">
        <v>71</v>
      </c>
      <c r="C3572" s="10" t="s">
        <v>1480</v>
      </c>
      <c r="D3572" s="10" t="s">
        <v>1423</v>
      </c>
      <c r="E3572" s="11" t="str">
        <f t="array" ref="E3572">_xlfn.XLOOKUP(D3572,Insumos!B:B,Insumos!C:$C)</f>
        <v>M2</v>
      </c>
      <c r="F3572" s="14">
        <v>1.1000000000000001</v>
      </c>
      <c r="G3572" s="92">
        <f t="array" ref="G3572">IF(B3572="insumo",_xlfn.XLOOKUP($D3572,Insumos!$B$1:$B$996,Insumos!$D$1:$D$996),"")</f>
        <v>163.66</v>
      </c>
      <c r="H3572" s="92">
        <v>180.02600000000001</v>
      </c>
      <c r="I3572" s="13">
        <v>0</v>
      </c>
      <c r="J3572" s="13">
        <v>0</v>
      </c>
      <c r="K3572" s="13"/>
      <c r="L3572"/>
      <c r="M3572"/>
      <c r="N3572"/>
      <c r="O3572"/>
      <c r="P3572"/>
      <c r="Q3572"/>
      <c r="R3572"/>
      <c r="S3572"/>
      <c r="T3572"/>
      <c r="U3572"/>
      <c r="V3572"/>
      <c r="W3572"/>
      <c r="X3572"/>
      <c r="Y3572"/>
      <c r="Z3572"/>
      <c r="AA3572"/>
      <c r="AB3572"/>
      <c r="AC3572"/>
      <c r="AD3572"/>
      <c r="AE3572"/>
      <c r="AF3572"/>
      <c r="AG3572"/>
      <c r="AH3572"/>
      <c r="AI3572"/>
      <c r="AJ3572"/>
      <c r="AK3572"/>
      <c r="AL3572"/>
    </row>
    <row r="3573" spans="1:38" ht="15.75" customHeight="1" outlineLevel="3" x14ac:dyDescent="0.2">
      <c r="A3573" s="10">
        <v>191</v>
      </c>
      <c r="B3573" s="10" t="s">
        <v>71</v>
      </c>
      <c r="C3573" s="10" t="s">
        <v>1480</v>
      </c>
      <c r="D3573" s="10" t="s">
        <v>481</v>
      </c>
      <c r="E3573" s="11" t="str">
        <f t="array" ref="E3573">_xlfn.XLOOKUP(D3573,Insumos!B:B,Insumos!C:$C)</f>
        <v>KG</v>
      </c>
      <c r="F3573" s="14">
        <v>4.95</v>
      </c>
      <c r="G3573" s="92">
        <f t="array" ref="G3573">IF(B3573="insumo",_xlfn.XLOOKUP($D3573,Insumos!$B$1:$B$996,Insumos!$D$1:$D$996),"")</f>
        <v>1.0645</v>
      </c>
      <c r="H3573" s="92">
        <v>5.2692750000000004</v>
      </c>
      <c r="I3573" s="13">
        <v>0</v>
      </c>
      <c r="J3573" s="13">
        <v>0</v>
      </c>
      <c r="K3573" s="13"/>
      <c r="L3573"/>
      <c r="M3573"/>
      <c r="N3573"/>
      <c r="O3573"/>
      <c r="P3573"/>
      <c r="Q3573"/>
      <c r="R3573"/>
      <c r="S3573"/>
      <c r="T3573"/>
      <c r="U3573"/>
      <c r="V3573"/>
      <c r="W3573"/>
      <c r="X3573"/>
      <c r="Y3573"/>
      <c r="Z3573"/>
      <c r="AA3573"/>
      <c r="AB3573"/>
      <c r="AC3573"/>
      <c r="AD3573"/>
      <c r="AE3573"/>
      <c r="AF3573"/>
      <c r="AG3573"/>
      <c r="AH3573"/>
      <c r="AI3573"/>
      <c r="AJ3573"/>
      <c r="AK3573"/>
      <c r="AL3573"/>
    </row>
    <row r="3574" spans="1:38" ht="15.75" customHeight="1" outlineLevel="3" x14ac:dyDescent="0.2">
      <c r="A3574" s="10">
        <v>142</v>
      </c>
      <c r="B3574" s="10" t="s">
        <v>71</v>
      </c>
      <c r="C3574" s="10" t="s">
        <v>1480</v>
      </c>
      <c r="D3574" s="10" t="s">
        <v>506</v>
      </c>
      <c r="E3574" s="11" t="str">
        <f t="array" ref="E3574">_xlfn.XLOOKUP(D3574,Insumos!B:B,Insumos!C:$C)</f>
        <v>UN</v>
      </c>
      <c r="F3574" s="14">
        <v>4</v>
      </c>
      <c r="G3574" s="92">
        <f t="array" ref="G3574">IF(B3574="insumo",_xlfn.XLOOKUP($D3574,Insumos!$B$1:$B$996,Insumos!$D$1:$D$996),"")</f>
        <v>0.08</v>
      </c>
      <c r="H3574" s="92">
        <v>0.32</v>
      </c>
      <c r="I3574" s="13">
        <v>0</v>
      </c>
      <c r="J3574" s="13">
        <v>0</v>
      </c>
      <c r="K3574" s="13"/>
      <c r="L3574"/>
      <c r="M3574"/>
      <c r="N3574"/>
      <c r="O3574"/>
      <c r="P3574"/>
      <c r="Q3574"/>
      <c r="R3574"/>
      <c r="S3574"/>
      <c r="T3574"/>
      <c r="U3574"/>
      <c r="V3574"/>
      <c r="W3574"/>
      <c r="X3574"/>
      <c r="Y3574"/>
      <c r="Z3574"/>
      <c r="AA3574"/>
      <c r="AB3574"/>
      <c r="AC3574"/>
      <c r="AD3574"/>
      <c r="AE3574"/>
      <c r="AF3574"/>
      <c r="AG3574"/>
      <c r="AH3574"/>
      <c r="AI3574"/>
      <c r="AJ3574"/>
      <c r="AK3574"/>
      <c r="AL3574"/>
    </row>
    <row r="3575" spans="1:38" ht="15.75" customHeight="1" outlineLevel="3" x14ac:dyDescent="0.2">
      <c r="A3575" s="10">
        <v>101</v>
      </c>
      <c r="B3575" s="10" t="s">
        <v>71</v>
      </c>
      <c r="C3575" s="10" t="s">
        <v>1480</v>
      </c>
      <c r="D3575" s="10" t="s">
        <v>507</v>
      </c>
      <c r="E3575" s="11" t="str">
        <f t="array" ref="E3575">_xlfn.XLOOKUP(D3575,Insumos!B:B,Insumos!C:$C)</f>
        <v>KG</v>
      </c>
      <c r="F3575" s="14">
        <v>0.05</v>
      </c>
      <c r="G3575" s="92">
        <f t="array" ref="G3575">IF(B3575="insumo",_xlfn.XLOOKUP($D3575,Insumos!$B$1:$B$996,Insumos!$D$1:$D$996),"")</f>
        <v>11.15</v>
      </c>
      <c r="H3575" s="92">
        <v>0.5575</v>
      </c>
      <c r="I3575" s="13">
        <v>0</v>
      </c>
      <c r="J3575" s="13">
        <v>0</v>
      </c>
      <c r="K3575" s="13"/>
      <c r="L3575"/>
      <c r="M3575"/>
      <c r="N3575"/>
      <c r="O3575"/>
      <c r="P3575"/>
      <c r="Q3575"/>
      <c r="R3575"/>
      <c r="S3575"/>
      <c r="T3575"/>
      <c r="U3575"/>
      <c r="V3575"/>
      <c r="W3575"/>
      <c r="X3575"/>
      <c r="Y3575"/>
      <c r="Z3575"/>
      <c r="AA3575"/>
      <c r="AB3575"/>
      <c r="AC3575"/>
      <c r="AD3575"/>
      <c r="AE3575"/>
      <c r="AF3575"/>
      <c r="AG3575"/>
      <c r="AH3575"/>
      <c r="AI3575"/>
      <c r="AJ3575"/>
      <c r="AK3575"/>
      <c r="AL3575"/>
    </row>
    <row r="3576" spans="1:38" ht="15.75" customHeight="1" outlineLevel="1" x14ac:dyDescent="0.2">
      <c r="A3576" s="1090">
        <v>1</v>
      </c>
      <c r="B3576" s="1090" t="s">
        <v>1228</v>
      </c>
      <c r="C3576" s="1090" t="s">
        <v>1480</v>
      </c>
      <c r="D3576" s="1090" t="s">
        <v>1475</v>
      </c>
      <c r="E3576" s="1091"/>
      <c r="F3576" s="1092"/>
      <c r="G3576" s="1091"/>
      <c r="H3576" s="1091">
        <v>0</v>
      </c>
      <c r="I3576" s="1092">
        <v>0</v>
      </c>
      <c r="J3576" s="1092">
        <v>0</v>
      </c>
      <c r="K3576" s="1092"/>
      <c r="L3576"/>
      <c r="M3576"/>
      <c r="N3576"/>
      <c r="O3576"/>
      <c r="P3576"/>
      <c r="Q3576"/>
      <c r="R3576"/>
      <c r="S3576"/>
      <c r="T3576"/>
      <c r="U3576"/>
      <c r="V3576"/>
      <c r="W3576"/>
      <c r="X3576"/>
      <c r="Y3576"/>
      <c r="Z3576"/>
      <c r="AA3576"/>
      <c r="AB3576"/>
      <c r="AC3576"/>
      <c r="AD3576"/>
      <c r="AE3576"/>
      <c r="AF3576"/>
      <c r="AG3576"/>
      <c r="AH3576"/>
      <c r="AI3576"/>
      <c r="AJ3576"/>
      <c r="AK3576"/>
      <c r="AL3576"/>
    </row>
    <row r="3577" spans="1:38" ht="15.75" customHeight="1" outlineLevel="2" x14ac:dyDescent="0.2">
      <c r="A3577" s="1067">
        <v>1</v>
      </c>
      <c r="B3577" s="1067" t="s">
        <v>68</v>
      </c>
      <c r="C3577" s="1067" t="s">
        <v>1497</v>
      </c>
      <c r="D3577" s="1067" t="s">
        <v>1497</v>
      </c>
      <c r="E3577" s="1068" t="s">
        <v>70</v>
      </c>
      <c r="F3577" s="1067"/>
      <c r="G3577" s="1069" t="str">
        <f t="array" ref="G3577">IF(B3577="insumo",_xlfn.XLOOKUP($D3577,Insumos!$B$1:$B$996,Insumos!$D$1:$D$996),"")</f>
        <v/>
      </c>
      <c r="H3577" s="1069">
        <v>997.24549999999999</v>
      </c>
      <c r="I3577" s="1070">
        <v>0</v>
      </c>
      <c r="J3577" s="1070">
        <v>0</v>
      </c>
      <c r="K3577" s="1070"/>
      <c r="L3577"/>
      <c r="M3577"/>
      <c r="N3577"/>
      <c r="O3577"/>
      <c r="P3577"/>
      <c r="Q3577"/>
      <c r="R3577"/>
      <c r="S3577"/>
      <c r="T3577"/>
      <c r="U3577"/>
      <c r="V3577"/>
      <c r="W3577"/>
      <c r="X3577"/>
      <c r="Y3577"/>
      <c r="Z3577"/>
      <c r="AA3577"/>
      <c r="AB3577"/>
      <c r="AC3577"/>
      <c r="AD3577"/>
      <c r="AE3577"/>
      <c r="AF3577"/>
      <c r="AG3577"/>
      <c r="AH3577"/>
      <c r="AI3577"/>
      <c r="AJ3577"/>
      <c r="AK3577"/>
      <c r="AL3577"/>
    </row>
    <row r="3578" spans="1:38" ht="15.75" customHeight="1" outlineLevel="3" x14ac:dyDescent="0.2">
      <c r="A3578" s="10">
        <v>1</v>
      </c>
      <c r="B3578" s="10" t="s">
        <v>71</v>
      </c>
      <c r="C3578" s="10" t="s">
        <v>1497</v>
      </c>
      <c r="D3578" s="10" t="s">
        <v>1498</v>
      </c>
      <c r="E3578" s="11" t="str">
        <f t="array" ref="E3578">_xlfn.XLOOKUP(D3578,Insumos!B:B,Insumos!C:$C)</f>
        <v>M2</v>
      </c>
      <c r="F3578" s="14">
        <v>1.1000000000000001</v>
      </c>
      <c r="G3578" s="92">
        <f t="array" ref="G3578">IF(B3578="insumo",_xlfn.XLOOKUP($D3578,Insumos!$B$1:$B$996,Insumos!$D$1:$D$996),"")</f>
        <v>890</v>
      </c>
      <c r="H3578" s="92">
        <v>979</v>
      </c>
      <c r="I3578" s="13">
        <v>0</v>
      </c>
      <c r="J3578" s="13">
        <v>0</v>
      </c>
      <c r="K3578" s="13"/>
      <c r="L3578"/>
      <c r="M3578"/>
      <c r="N3578"/>
      <c r="O3578"/>
      <c r="P3578"/>
      <c r="Q3578"/>
      <c r="R3578"/>
      <c r="S3578"/>
      <c r="T3578"/>
      <c r="U3578"/>
      <c r="V3578"/>
      <c r="W3578"/>
      <c r="X3578"/>
      <c r="Y3578"/>
      <c r="Z3578"/>
      <c r="AA3578"/>
      <c r="AB3578"/>
      <c r="AC3578"/>
      <c r="AD3578"/>
      <c r="AE3578"/>
      <c r="AF3578"/>
      <c r="AG3578"/>
      <c r="AH3578"/>
      <c r="AI3578"/>
      <c r="AJ3578"/>
      <c r="AK3578"/>
      <c r="AL3578"/>
    </row>
    <row r="3579" spans="1:38" ht="15.75" customHeight="1" outlineLevel="3" x14ac:dyDescent="0.2">
      <c r="A3579" s="10">
        <v>191</v>
      </c>
      <c r="B3579" s="10" t="s">
        <v>71</v>
      </c>
      <c r="C3579" s="10" t="s">
        <v>1497</v>
      </c>
      <c r="D3579" s="10" t="s">
        <v>481</v>
      </c>
      <c r="E3579" s="11" t="str">
        <f t="array" ref="E3579">_xlfn.XLOOKUP(D3579,Insumos!B:B,Insumos!C:$C)</f>
        <v>KG</v>
      </c>
      <c r="F3579" s="14">
        <v>9</v>
      </c>
      <c r="G3579" s="92">
        <f t="array" ref="G3579">IF(B3579="insumo",_xlfn.XLOOKUP($D3579,Insumos!$B$1:$B$996,Insumos!$D$1:$D$996),"")</f>
        <v>1.0645</v>
      </c>
      <c r="H3579" s="92">
        <v>9.5805000000000007</v>
      </c>
      <c r="I3579" s="13">
        <v>0</v>
      </c>
      <c r="J3579" s="13">
        <v>0</v>
      </c>
      <c r="K3579" s="13"/>
      <c r="L3579"/>
      <c r="M3579"/>
      <c r="N3579"/>
      <c r="O3579"/>
      <c r="P3579"/>
      <c r="Q3579"/>
      <c r="R3579"/>
      <c r="S3579"/>
      <c r="T3579"/>
      <c r="U3579"/>
      <c r="V3579"/>
      <c r="W3579"/>
      <c r="X3579"/>
      <c r="Y3579"/>
      <c r="Z3579"/>
      <c r="AA3579"/>
      <c r="AB3579"/>
      <c r="AC3579"/>
      <c r="AD3579"/>
      <c r="AE3579"/>
      <c r="AF3579"/>
      <c r="AG3579"/>
      <c r="AH3579"/>
      <c r="AI3579"/>
      <c r="AJ3579"/>
      <c r="AK3579"/>
      <c r="AL3579"/>
    </row>
    <row r="3580" spans="1:38" ht="15.75" customHeight="1" outlineLevel="3" x14ac:dyDescent="0.2">
      <c r="A3580" s="10">
        <v>34</v>
      </c>
      <c r="B3580" s="10" t="s">
        <v>71</v>
      </c>
      <c r="C3580" s="10" t="s">
        <v>1497</v>
      </c>
      <c r="D3580" s="10" t="s">
        <v>538</v>
      </c>
      <c r="E3580" s="11" t="str">
        <f t="array" ref="E3580">_xlfn.XLOOKUP(D3580,Insumos!B:B,Insumos!C:$C)</f>
        <v>UN</v>
      </c>
      <c r="F3580" s="14">
        <v>0.5</v>
      </c>
      <c r="G3580" s="92">
        <f t="array" ref="G3580">IF(B3580="insumo",_xlfn.XLOOKUP($D3580,Insumos!$B$1:$B$996,Insumos!$D$1:$D$996),"")</f>
        <v>17.329999999999998</v>
      </c>
      <c r="H3580" s="92">
        <v>8.6649999999999991</v>
      </c>
      <c r="I3580" s="13">
        <v>0</v>
      </c>
      <c r="J3580" s="13">
        <v>0</v>
      </c>
      <c r="K3580" s="13"/>
      <c r="L3580"/>
      <c r="M3580"/>
      <c r="N3580"/>
      <c r="O3580"/>
      <c r="P3580"/>
      <c r="Q3580"/>
      <c r="R3580"/>
      <c r="S3580"/>
      <c r="T3580"/>
      <c r="U3580"/>
      <c r="V3580"/>
      <c r="W3580"/>
      <c r="X3580"/>
      <c r="Y3580"/>
      <c r="Z3580"/>
      <c r="AA3580"/>
      <c r="AB3580"/>
      <c r="AC3580"/>
      <c r="AD3580"/>
      <c r="AE3580"/>
      <c r="AF3580"/>
      <c r="AG3580"/>
      <c r="AH3580"/>
      <c r="AI3580"/>
      <c r="AJ3580"/>
      <c r="AK3580"/>
      <c r="AL3580"/>
    </row>
    <row r="3581" spans="1:38" ht="15.75" customHeight="1" outlineLevel="2" x14ac:dyDescent="0.2">
      <c r="A3581" s="1067">
        <v>1</v>
      </c>
      <c r="B3581" s="1067" t="s">
        <v>68</v>
      </c>
      <c r="C3581" s="1067" t="s">
        <v>703</v>
      </c>
      <c r="D3581" s="1067" t="s">
        <v>703</v>
      </c>
      <c r="E3581" s="1068" t="s">
        <v>70</v>
      </c>
      <c r="F3581" s="1067"/>
      <c r="G3581" s="1069" t="str">
        <f t="array" ref="G3581">IF(B3581="insumo",_xlfn.XLOOKUP($D3581,Insumos!$B$1:$B$996,Insumos!$D$1:$D$996),"")</f>
        <v/>
      </c>
      <c r="H3581" s="1069">
        <v>546.24549999999999</v>
      </c>
      <c r="I3581" s="1070">
        <v>0</v>
      </c>
      <c r="J3581" s="1070">
        <v>0</v>
      </c>
      <c r="K3581" s="1070"/>
      <c r="L3581"/>
      <c r="M3581"/>
      <c r="N3581"/>
      <c r="O3581"/>
      <c r="P3581"/>
      <c r="Q3581"/>
      <c r="R3581"/>
      <c r="S3581"/>
      <c r="T3581"/>
      <c r="U3581"/>
      <c r="V3581"/>
      <c r="W3581"/>
      <c r="X3581"/>
      <c r="Y3581"/>
      <c r="Z3581"/>
      <c r="AA3581"/>
      <c r="AB3581"/>
      <c r="AC3581"/>
      <c r="AD3581"/>
      <c r="AE3581"/>
      <c r="AF3581"/>
      <c r="AG3581"/>
      <c r="AH3581"/>
      <c r="AI3581"/>
      <c r="AJ3581"/>
      <c r="AK3581"/>
      <c r="AL3581"/>
    </row>
    <row r="3582" spans="1:38" ht="15.75" customHeight="1" outlineLevel="3" x14ac:dyDescent="0.2">
      <c r="A3582" s="10">
        <v>3</v>
      </c>
      <c r="B3582" s="10" t="s">
        <v>71</v>
      </c>
      <c r="C3582" s="10" t="s">
        <v>703</v>
      </c>
      <c r="D3582" s="10" t="s">
        <v>527</v>
      </c>
      <c r="E3582" s="11" t="str">
        <f t="array" ref="E3582">_xlfn.XLOOKUP(D3582,Insumos!B:B,Insumos!C:$C)</f>
        <v>M2</v>
      </c>
      <c r="F3582" s="14">
        <v>1.1000000000000001</v>
      </c>
      <c r="G3582" s="92">
        <f t="array" ref="G3582">IF(B3582="insumo",_xlfn.XLOOKUP($D3582,Insumos!$B$1:$B$996,Insumos!$D$1:$D$996),"")</f>
        <v>480</v>
      </c>
      <c r="H3582" s="92">
        <v>528</v>
      </c>
      <c r="I3582" s="13">
        <v>0</v>
      </c>
      <c r="J3582" s="13">
        <v>0</v>
      </c>
      <c r="K3582" s="13"/>
      <c r="L3582"/>
      <c r="M3582"/>
      <c r="N3582"/>
      <c r="O3582"/>
      <c r="P3582"/>
      <c r="Q3582"/>
      <c r="R3582"/>
      <c r="S3582"/>
      <c r="T3582"/>
      <c r="U3582"/>
      <c r="V3582"/>
      <c r="W3582"/>
      <c r="X3582"/>
      <c r="Y3582"/>
      <c r="Z3582"/>
      <c r="AA3582"/>
      <c r="AB3582"/>
      <c r="AC3582"/>
      <c r="AD3582"/>
      <c r="AE3582"/>
      <c r="AF3582"/>
      <c r="AG3582"/>
      <c r="AH3582"/>
      <c r="AI3582"/>
      <c r="AJ3582"/>
      <c r="AK3582"/>
      <c r="AL3582"/>
    </row>
    <row r="3583" spans="1:38" ht="15.75" customHeight="1" outlineLevel="3" x14ac:dyDescent="0.2">
      <c r="A3583" s="10">
        <v>191</v>
      </c>
      <c r="B3583" s="10" t="s">
        <v>71</v>
      </c>
      <c r="C3583" s="10" t="s">
        <v>703</v>
      </c>
      <c r="D3583" s="10" t="s">
        <v>481</v>
      </c>
      <c r="E3583" s="11" t="str">
        <f t="array" ref="E3583">_xlfn.XLOOKUP(D3583,Insumos!B:B,Insumos!C:$C)</f>
        <v>KG</v>
      </c>
      <c r="F3583" s="14">
        <v>9</v>
      </c>
      <c r="G3583" s="92">
        <f t="array" ref="G3583">IF(B3583="insumo",_xlfn.XLOOKUP($D3583,Insumos!$B$1:$B$996,Insumos!$D$1:$D$996),"")</f>
        <v>1.0645</v>
      </c>
      <c r="H3583" s="92">
        <v>9.5805000000000007</v>
      </c>
      <c r="I3583" s="13">
        <v>0</v>
      </c>
      <c r="J3583" s="13">
        <v>0</v>
      </c>
      <c r="K3583" s="13"/>
      <c r="L3583"/>
      <c r="M3583"/>
      <c r="N3583"/>
      <c r="O3583"/>
      <c r="P3583"/>
      <c r="Q3583"/>
      <c r="R3583"/>
      <c r="S3583"/>
      <c r="T3583"/>
      <c r="U3583"/>
      <c r="V3583"/>
      <c r="W3583"/>
      <c r="X3583"/>
      <c r="Y3583"/>
      <c r="Z3583"/>
      <c r="AA3583"/>
      <c r="AB3583"/>
      <c r="AC3583"/>
      <c r="AD3583"/>
      <c r="AE3583"/>
      <c r="AF3583"/>
      <c r="AG3583"/>
      <c r="AH3583"/>
      <c r="AI3583"/>
      <c r="AJ3583"/>
      <c r="AK3583"/>
      <c r="AL3583"/>
    </row>
    <row r="3584" spans="1:38" ht="15.75" customHeight="1" outlineLevel="3" x14ac:dyDescent="0.2">
      <c r="A3584" s="10">
        <v>34</v>
      </c>
      <c r="B3584" s="10" t="s">
        <v>71</v>
      </c>
      <c r="C3584" s="10" t="s">
        <v>703</v>
      </c>
      <c r="D3584" s="10" t="s">
        <v>538</v>
      </c>
      <c r="E3584" s="11" t="str">
        <f t="array" ref="E3584">_xlfn.XLOOKUP(D3584,Insumos!B:B,Insumos!C:$C)</f>
        <v>UN</v>
      </c>
      <c r="F3584" s="14">
        <v>0.5</v>
      </c>
      <c r="G3584" s="92">
        <f t="array" ref="G3584">IF(B3584="insumo",_xlfn.XLOOKUP($D3584,Insumos!$B$1:$B$996,Insumos!$D$1:$D$996),"")</f>
        <v>17.329999999999998</v>
      </c>
      <c r="H3584" s="92">
        <v>8.6649999999999991</v>
      </c>
      <c r="I3584" s="13">
        <v>0</v>
      </c>
      <c r="J3584" s="13">
        <v>0</v>
      </c>
      <c r="K3584" s="13"/>
      <c r="L3584"/>
      <c r="M3584"/>
      <c r="N3584"/>
      <c r="O3584"/>
      <c r="P3584"/>
      <c r="Q3584"/>
      <c r="R3584"/>
      <c r="S3584"/>
      <c r="T3584"/>
      <c r="U3584"/>
      <c r="V3584"/>
      <c r="W3584"/>
      <c r="X3584"/>
      <c r="Y3584"/>
      <c r="Z3584"/>
      <c r="AA3584"/>
      <c r="AB3584"/>
      <c r="AC3584"/>
      <c r="AD3584"/>
      <c r="AE3584"/>
      <c r="AF3584"/>
      <c r="AG3584"/>
      <c r="AH3584"/>
      <c r="AI3584"/>
      <c r="AJ3584"/>
      <c r="AK3584"/>
      <c r="AL3584"/>
    </row>
    <row r="3585" spans="1:38" ht="15.75" customHeight="1" outlineLevel="2" x14ac:dyDescent="0.2">
      <c r="A3585" s="1067">
        <v>1</v>
      </c>
      <c r="B3585" s="1067" t="s">
        <v>68</v>
      </c>
      <c r="C3585" s="1067" t="s">
        <v>704</v>
      </c>
      <c r="D3585" s="1067" t="s">
        <v>704</v>
      </c>
      <c r="E3585" s="1068" t="s">
        <v>70</v>
      </c>
      <c r="F3585" s="1067"/>
      <c r="G3585" s="1069" t="str">
        <f t="array" ref="G3585">IF(B3585="insumo",_xlfn.XLOOKUP($D3585,Insumos!$B$1:$B$996,Insumos!$D$1:$D$996),"")</f>
        <v/>
      </c>
      <c r="H3585" s="1069">
        <v>898.24549999999999</v>
      </c>
      <c r="I3585" s="1070">
        <v>0</v>
      </c>
      <c r="J3585" s="1070">
        <v>0</v>
      </c>
      <c r="K3585" s="1070"/>
      <c r="L3585"/>
      <c r="M3585"/>
      <c r="N3585"/>
      <c r="O3585"/>
      <c r="P3585"/>
      <c r="Q3585"/>
      <c r="R3585"/>
      <c r="S3585"/>
      <c r="T3585"/>
      <c r="U3585"/>
      <c r="V3585"/>
      <c r="W3585"/>
      <c r="X3585"/>
      <c r="Y3585"/>
      <c r="Z3585"/>
      <c r="AA3585"/>
      <c r="AB3585"/>
      <c r="AC3585"/>
      <c r="AD3585"/>
      <c r="AE3585"/>
      <c r="AF3585"/>
      <c r="AG3585"/>
      <c r="AH3585"/>
      <c r="AI3585"/>
      <c r="AJ3585"/>
      <c r="AK3585"/>
      <c r="AL3585"/>
    </row>
    <row r="3586" spans="1:38" ht="15.75" customHeight="1" outlineLevel="3" x14ac:dyDescent="0.2">
      <c r="A3586" s="10">
        <v>10</v>
      </c>
      <c r="B3586" s="10" t="s">
        <v>71</v>
      </c>
      <c r="C3586" s="10" t="s">
        <v>704</v>
      </c>
      <c r="D3586" s="10" t="s">
        <v>531</v>
      </c>
      <c r="E3586" s="11" t="str">
        <f t="array" ref="E3586">_xlfn.XLOOKUP(D3586,Insumos!B:B,Insumos!C:$C)</f>
        <v>M2</v>
      </c>
      <c r="F3586" s="14">
        <v>1.1000000000000001</v>
      </c>
      <c r="G3586" s="92">
        <f t="array" ref="G3586">IF(B3586="insumo",_xlfn.XLOOKUP($D3586,Insumos!$B$1:$B$996,Insumos!$D$1:$D$996),"")</f>
        <v>800</v>
      </c>
      <c r="H3586" s="92">
        <v>880</v>
      </c>
      <c r="I3586" s="13">
        <v>0</v>
      </c>
      <c r="J3586" s="13">
        <v>0</v>
      </c>
      <c r="K3586" s="13"/>
      <c r="L3586"/>
      <c r="M3586"/>
      <c r="N3586"/>
      <c r="O3586"/>
      <c r="P3586"/>
      <c r="Q3586"/>
      <c r="R3586"/>
      <c r="S3586"/>
      <c r="T3586"/>
      <c r="U3586"/>
      <c r="V3586"/>
      <c r="W3586"/>
      <c r="X3586"/>
      <c r="Y3586"/>
      <c r="Z3586"/>
      <c r="AA3586"/>
      <c r="AB3586"/>
      <c r="AC3586"/>
      <c r="AD3586"/>
      <c r="AE3586"/>
      <c r="AF3586"/>
      <c r="AG3586"/>
      <c r="AH3586"/>
      <c r="AI3586"/>
      <c r="AJ3586"/>
      <c r="AK3586"/>
      <c r="AL3586"/>
    </row>
    <row r="3587" spans="1:38" ht="15.75" customHeight="1" outlineLevel="3" x14ac:dyDescent="0.2">
      <c r="A3587" s="10">
        <v>191</v>
      </c>
      <c r="B3587" s="10" t="s">
        <v>71</v>
      </c>
      <c r="C3587" s="10" t="s">
        <v>704</v>
      </c>
      <c r="D3587" s="10" t="s">
        <v>481</v>
      </c>
      <c r="E3587" s="11" t="str">
        <f t="array" ref="E3587">_xlfn.XLOOKUP(D3587,Insumos!B:B,Insumos!C:$C)</f>
        <v>KG</v>
      </c>
      <c r="F3587" s="14">
        <v>9</v>
      </c>
      <c r="G3587" s="92">
        <f t="array" ref="G3587">IF(B3587="insumo",_xlfn.XLOOKUP($D3587,Insumos!$B$1:$B$996,Insumos!$D$1:$D$996),"")</f>
        <v>1.0645</v>
      </c>
      <c r="H3587" s="92">
        <v>9.5805000000000007</v>
      </c>
      <c r="I3587" s="13">
        <v>0</v>
      </c>
      <c r="J3587" s="13">
        <v>0</v>
      </c>
      <c r="K3587" s="13"/>
      <c r="L3587"/>
      <c r="M3587"/>
      <c r="N3587"/>
      <c r="O3587"/>
      <c r="P3587"/>
      <c r="Q3587"/>
      <c r="R3587"/>
      <c r="S3587"/>
      <c r="T3587"/>
      <c r="U3587"/>
      <c r="V3587"/>
      <c r="W3587"/>
      <c r="X3587"/>
      <c r="Y3587"/>
      <c r="Z3587"/>
      <c r="AA3587"/>
      <c r="AB3587"/>
      <c r="AC3587"/>
      <c r="AD3587"/>
      <c r="AE3587"/>
      <c r="AF3587"/>
      <c r="AG3587"/>
      <c r="AH3587"/>
      <c r="AI3587"/>
      <c r="AJ3587"/>
      <c r="AK3587"/>
      <c r="AL3587"/>
    </row>
    <row r="3588" spans="1:38" ht="15.75" customHeight="1" outlineLevel="3" x14ac:dyDescent="0.2">
      <c r="A3588" s="10">
        <v>34</v>
      </c>
      <c r="B3588" s="10" t="s">
        <v>71</v>
      </c>
      <c r="C3588" s="10" t="s">
        <v>704</v>
      </c>
      <c r="D3588" s="10" t="s">
        <v>538</v>
      </c>
      <c r="E3588" s="11" t="str">
        <f t="array" ref="E3588">_xlfn.XLOOKUP(D3588,Insumos!B:B,Insumos!C:$C)</f>
        <v>UN</v>
      </c>
      <c r="F3588" s="14">
        <v>0.5</v>
      </c>
      <c r="G3588" s="92">
        <f t="array" ref="G3588">IF(B3588="insumo",_xlfn.XLOOKUP($D3588,Insumos!$B$1:$B$996,Insumos!$D$1:$D$996),"")</f>
        <v>17.329999999999998</v>
      </c>
      <c r="H3588" s="92">
        <v>8.6649999999999991</v>
      </c>
      <c r="I3588" s="13">
        <v>0</v>
      </c>
      <c r="J3588" s="13">
        <v>0</v>
      </c>
      <c r="K3588" s="13"/>
      <c r="L3588"/>
      <c r="M3588"/>
      <c r="N3588"/>
      <c r="O3588"/>
      <c r="P3588"/>
      <c r="Q3588"/>
      <c r="R3588"/>
      <c r="S3588"/>
      <c r="T3588"/>
      <c r="U3588"/>
      <c r="V3588"/>
      <c r="W3588"/>
      <c r="X3588"/>
      <c r="Y3588"/>
      <c r="Z3588"/>
      <c r="AA3588"/>
      <c r="AB3588"/>
      <c r="AC3588"/>
      <c r="AD3588"/>
      <c r="AE3588"/>
      <c r="AF3588"/>
      <c r="AG3588"/>
      <c r="AH3588"/>
      <c r="AI3588"/>
      <c r="AJ3588"/>
      <c r="AK3588"/>
      <c r="AL3588"/>
    </row>
    <row r="3589" spans="1:38" ht="15.75" customHeight="1" outlineLevel="2" x14ac:dyDescent="0.2">
      <c r="A3589" s="1067">
        <v>1</v>
      </c>
      <c r="B3589" s="1067" t="s">
        <v>68</v>
      </c>
      <c r="C3589" s="1067" t="s">
        <v>3033</v>
      </c>
      <c r="D3589" s="1067" t="s">
        <v>3033</v>
      </c>
      <c r="E3589" s="1068" t="s">
        <v>70</v>
      </c>
      <c r="F3589" s="1067"/>
      <c r="G3589" s="1069" t="str">
        <f t="array" ref="G3589">IF(B3589="insumo",_xlfn.XLOOKUP($D3589,Insumos!$B$1:$B$996,Insumos!$D$1:$D$996),"")</f>
        <v/>
      </c>
      <c r="H3589" s="1069">
        <v>1498.2455</v>
      </c>
      <c r="I3589" s="1070" t="e">
        <v>#REF!</v>
      </c>
      <c r="J3589" s="1070" t="e">
        <v>#REF!</v>
      </c>
      <c r="K3589" s="1070"/>
      <c r="L3589"/>
      <c r="M3589"/>
      <c r="N3589"/>
      <c r="O3589"/>
      <c r="P3589"/>
      <c r="Q3589"/>
      <c r="R3589"/>
      <c r="S3589"/>
      <c r="T3589"/>
      <c r="U3589"/>
      <c r="V3589"/>
      <c r="W3589"/>
      <c r="X3589"/>
      <c r="Y3589"/>
      <c r="Z3589"/>
      <c r="AA3589"/>
      <c r="AB3589"/>
      <c r="AC3589"/>
      <c r="AD3589"/>
      <c r="AE3589"/>
      <c r="AF3589"/>
      <c r="AG3589"/>
      <c r="AH3589"/>
      <c r="AI3589"/>
      <c r="AJ3589"/>
      <c r="AK3589"/>
      <c r="AL3589"/>
    </row>
    <row r="3590" spans="1:38" ht="15.75" customHeight="1" outlineLevel="3" x14ac:dyDescent="0.2">
      <c r="A3590" s="10">
        <v>4</v>
      </c>
      <c r="B3590" s="10" t="s">
        <v>71</v>
      </c>
      <c r="C3590" s="10" t="s">
        <v>3033</v>
      </c>
      <c r="D3590" s="10" t="s">
        <v>2873</v>
      </c>
      <c r="E3590" s="11" t="str">
        <f t="array" ref="E3590">_xlfn.XLOOKUP(D3590,Insumos!B:B,Insumos!C:$C)</f>
        <v>M2</v>
      </c>
      <c r="F3590" s="14">
        <v>1.1000000000000001</v>
      </c>
      <c r="G3590" s="92">
        <f t="array" ref="G3590">IF(B3590="insumo",_xlfn.XLOOKUP($D3590,Insumos!$B$1:$B$996,Insumos!$D$1:$D$996),"")</f>
        <v>800</v>
      </c>
      <c r="H3590" s="92">
        <v>880</v>
      </c>
      <c r="I3590" s="13" t="e">
        <v>#REF!</v>
      </c>
      <c r="J3590" s="13" t="e">
        <v>#REF!</v>
      </c>
      <c r="K3590" s="13"/>
      <c r="L3590"/>
      <c r="M3590"/>
      <c r="N3590"/>
      <c r="O3590"/>
      <c r="P3590"/>
      <c r="Q3590"/>
      <c r="R3590"/>
      <c r="S3590"/>
      <c r="T3590"/>
      <c r="U3590"/>
      <c r="V3590"/>
      <c r="W3590"/>
      <c r="X3590"/>
      <c r="Y3590"/>
      <c r="Z3590"/>
      <c r="AA3590"/>
      <c r="AB3590"/>
      <c r="AC3590"/>
      <c r="AD3590"/>
      <c r="AE3590"/>
      <c r="AF3590"/>
      <c r="AG3590"/>
      <c r="AH3590"/>
      <c r="AI3590"/>
      <c r="AJ3590"/>
      <c r="AK3590"/>
      <c r="AL3590"/>
    </row>
    <row r="3591" spans="1:38" ht="15.75" customHeight="1" outlineLevel="3" x14ac:dyDescent="0.2">
      <c r="A3591" s="10">
        <v>1</v>
      </c>
      <c r="B3591" s="10" t="s">
        <v>71</v>
      </c>
      <c r="C3591" s="10" t="s">
        <v>3033</v>
      </c>
      <c r="D3591" s="10" t="s">
        <v>3032</v>
      </c>
      <c r="E3591" s="11" t="str">
        <f t="array" ref="E3591">_xlfn.XLOOKUP(D3591,Insumos!B:B,Insumos!C:$C)</f>
        <v>M2</v>
      </c>
      <c r="F3591" s="14">
        <v>1</v>
      </c>
      <c r="G3591" s="92">
        <f t="array" ref="G3591">IF(B3591="insumo",_xlfn.XLOOKUP($D3591,Insumos!$B$1:$B$996,Insumos!$D$1:$D$996),"")</f>
        <v>600</v>
      </c>
      <c r="H3591" s="92">
        <v>600</v>
      </c>
      <c r="I3591" s="13" t="e">
        <v>#REF!</v>
      </c>
      <c r="J3591" s="13" t="e">
        <v>#REF!</v>
      </c>
      <c r="K3591" s="13"/>
      <c r="L3591"/>
      <c r="M3591"/>
      <c r="N3591"/>
      <c r="O3591"/>
      <c r="P3591"/>
      <c r="Q3591"/>
      <c r="R3591"/>
      <c r="S3591"/>
      <c r="T3591"/>
      <c r="U3591"/>
      <c r="V3591"/>
      <c r="W3591"/>
      <c r="X3591"/>
      <c r="Y3591"/>
      <c r="Z3591"/>
      <c r="AA3591"/>
      <c r="AB3591"/>
      <c r="AC3591"/>
      <c r="AD3591"/>
      <c r="AE3591"/>
      <c r="AF3591"/>
      <c r="AG3591"/>
      <c r="AH3591"/>
      <c r="AI3591"/>
      <c r="AJ3591"/>
      <c r="AK3591"/>
      <c r="AL3591"/>
    </row>
    <row r="3592" spans="1:38" ht="15.75" customHeight="1" outlineLevel="3" x14ac:dyDescent="0.2">
      <c r="A3592" s="10">
        <v>191</v>
      </c>
      <c r="B3592" s="10" t="s">
        <v>71</v>
      </c>
      <c r="C3592" s="10" t="s">
        <v>3033</v>
      </c>
      <c r="D3592" s="10" t="s">
        <v>481</v>
      </c>
      <c r="E3592" s="11" t="str">
        <f t="array" ref="E3592">_xlfn.XLOOKUP(D3592,Insumos!B:B,Insumos!C:$C)</f>
        <v>KG</v>
      </c>
      <c r="F3592" s="14">
        <v>9</v>
      </c>
      <c r="G3592" s="92">
        <f t="array" ref="G3592">IF(B3592="insumo",_xlfn.XLOOKUP($D3592,Insumos!$B$1:$B$996,Insumos!$D$1:$D$996),"")</f>
        <v>1.0645</v>
      </c>
      <c r="H3592" s="92">
        <v>9.5805000000000007</v>
      </c>
      <c r="I3592" s="13" t="e">
        <v>#REF!</v>
      </c>
      <c r="J3592" s="13" t="e">
        <v>#REF!</v>
      </c>
      <c r="K3592" s="13"/>
      <c r="L3592"/>
      <c r="M3592"/>
      <c r="N3592"/>
      <c r="O3592"/>
      <c r="P3592"/>
      <c r="Q3592"/>
      <c r="R3592"/>
      <c r="S3592"/>
      <c r="T3592"/>
      <c r="U3592"/>
      <c r="V3592"/>
      <c r="W3592"/>
      <c r="X3592"/>
      <c r="Y3592"/>
      <c r="Z3592"/>
      <c r="AA3592"/>
      <c r="AB3592"/>
      <c r="AC3592"/>
      <c r="AD3592"/>
      <c r="AE3592"/>
      <c r="AF3592"/>
      <c r="AG3592"/>
      <c r="AH3592"/>
      <c r="AI3592"/>
      <c r="AJ3592"/>
      <c r="AK3592"/>
      <c r="AL3592"/>
    </row>
    <row r="3593" spans="1:38" ht="15.75" customHeight="1" outlineLevel="3" x14ac:dyDescent="0.2">
      <c r="A3593" s="10">
        <v>34</v>
      </c>
      <c r="B3593" s="10" t="s">
        <v>71</v>
      </c>
      <c r="C3593" s="10" t="s">
        <v>3033</v>
      </c>
      <c r="D3593" s="10" t="s">
        <v>538</v>
      </c>
      <c r="E3593" s="11" t="str">
        <f t="array" ref="E3593">_xlfn.XLOOKUP(D3593,Insumos!B:B,Insumos!C:$C)</f>
        <v>UN</v>
      </c>
      <c r="F3593" s="14">
        <v>0.5</v>
      </c>
      <c r="G3593" s="92">
        <f t="array" ref="G3593">IF(B3593="insumo",_xlfn.XLOOKUP($D3593,Insumos!$B$1:$B$996,Insumos!$D$1:$D$996),"")</f>
        <v>17.329999999999998</v>
      </c>
      <c r="H3593" s="92">
        <v>8.6649999999999991</v>
      </c>
      <c r="I3593" s="13" t="e">
        <v>#REF!</v>
      </c>
      <c r="J3593" s="13" t="e">
        <v>#REF!</v>
      </c>
      <c r="K3593" s="13"/>
      <c r="L3593"/>
      <c r="M3593"/>
      <c r="N3593"/>
      <c r="O3593"/>
      <c r="P3593"/>
      <c r="Q3593"/>
      <c r="R3593"/>
      <c r="S3593"/>
      <c r="T3593"/>
      <c r="U3593"/>
      <c r="V3593"/>
      <c r="W3593"/>
      <c r="X3593"/>
      <c r="Y3593"/>
      <c r="Z3593"/>
      <c r="AA3593"/>
      <c r="AB3593"/>
      <c r="AC3593"/>
      <c r="AD3593"/>
      <c r="AE3593"/>
      <c r="AF3593"/>
      <c r="AG3593"/>
      <c r="AH3593"/>
      <c r="AI3593"/>
      <c r="AJ3593"/>
      <c r="AK3593"/>
      <c r="AL3593"/>
    </row>
    <row r="3594" spans="1:38" ht="15.75" customHeight="1" outlineLevel="2" x14ac:dyDescent="0.2">
      <c r="A3594" s="1067">
        <v>1</v>
      </c>
      <c r="B3594" s="1067" t="s">
        <v>68</v>
      </c>
      <c r="C3594" s="1067" t="s">
        <v>3026</v>
      </c>
      <c r="D3594" s="1067" t="s">
        <v>3026</v>
      </c>
      <c r="E3594" s="1068" t="s">
        <v>70</v>
      </c>
      <c r="F3594" s="1067"/>
      <c r="G3594" s="1069" t="str">
        <f t="array" ref="G3594">IF(B3594="insumo",_xlfn.XLOOKUP($D3594,Insumos!$B$1:$B$996,Insumos!$D$1:$D$996),"")</f>
        <v/>
      </c>
      <c r="H3594" s="1069">
        <v>898.24549999999999</v>
      </c>
      <c r="I3594" s="1070" t="e">
        <v>#REF!</v>
      </c>
      <c r="J3594" s="1070" t="e">
        <v>#REF!</v>
      </c>
      <c r="K3594" s="1070"/>
      <c r="L3594"/>
      <c r="M3594"/>
      <c r="N3594"/>
      <c r="O3594"/>
      <c r="P3594"/>
      <c r="Q3594"/>
      <c r="R3594"/>
      <c r="S3594"/>
      <c r="T3594"/>
      <c r="U3594"/>
      <c r="V3594"/>
      <c r="W3594"/>
      <c r="X3594"/>
      <c r="Y3594"/>
      <c r="Z3594"/>
      <c r="AA3594"/>
      <c r="AB3594"/>
      <c r="AC3594"/>
      <c r="AD3594"/>
      <c r="AE3594"/>
      <c r="AF3594"/>
      <c r="AG3594"/>
      <c r="AH3594"/>
      <c r="AI3594"/>
      <c r="AJ3594"/>
      <c r="AK3594"/>
      <c r="AL3594"/>
    </row>
    <row r="3595" spans="1:38" ht="15.75" customHeight="1" outlineLevel="3" x14ac:dyDescent="0.2">
      <c r="A3595" s="10">
        <v>4</v>
      </c>
      <c r="B3595" s="10" t="s">
        <v>71</v>
      </c>
      <c r="C3595" s="10" t="s">
        <v>3026</v>
      </c>
      <c r="D3595" s="10" t="s">
        <v>2873</v>
      </c>
      <c r="E3595" s="11" t="str">
        <f t="array" ref="E3595">_xlfn.XLOOKUP(D3595,Insumos!B:B,Insumos!C:$C)</f>
        <v>M2</v>
      </c>
      <c r="F3595" s="14">
        <v>1.1000000000000001</v>
      </c>
      <c r="G3595" s="92">
        <f t="array" ref="G3595">IF(B3595="insumo",_xlfn.XLOOKUP($D3595,Insumos!$B$1:$B$996,Insumos!$D$1:$D$996),"")</f>
        <v>800</v>
      </c>
      <c r="H3595" s="92">
        <v>880</v>
      </c>
      <c r="I3595" s="13" t="e">
        <v>#REF!</v>
      </c>
      <c r="J3595" s="13" t="e">
        <v>#REF!</v>
      </c>
      <c r="K3595" s="13"/>
      <c r="L3595"/>
      <c r="M3595"/>
      <c r="N3595"/>
      <c r="O3595"/>
      <c r="P3595"/>
      <c r="Q3595"/>
      <c r="R3595"/>
      <c r="S3595"/>
      <c r="T3595"/>
      <c r="U3595"/>
      <c r="V3595"/>
      <c r="W3595"/>
      <c r="X3595"/>
      <c r="Y3595"/>
      <c r="Z3595"/>
      <c r="AA3595"/>
      <c r="AB3595"/>
      <c r="AC3595"/>
      <c r="AD3595"/>
      <c r="AE3595"/>
      <c r="AF3595"/>
      <c r="AG3595"/>
      <c r="AH3595"/>
      <c r="AI3595"/>
      <c r="AJ3595"/>
      <c r="AK3595"/>
      <c r="AL3595"/>
    </row>
    <row r="3596" spans="1:38" ht="15.75" customHeight="1" outlineLevel="3" x14ac:dyDescent="0.2">
      <c r="A3596" s="10">
        <v>191</v>
      </c>
      <c r="B3596" s="10" t="s">
        <v>71</v>
      </c>
      <c r="C3596" s="10" t="s">
        <v>3026</v>
      </c>
      <c r="D3596" s="10" t="s">
        <v>481</v>
      </c>
      <c r="E3596" s="11" t="str">
        <f t="array" ref="E3596">_xlfn.XLOOKUP(D3596,Insumos!B:B,Insumos!C:$C)</f>
        <v>KG</v>
      </c>
      <c r="F3596" s="14">
        <v>9</v>
      </c>
      <c r="G3596" s="92">
        <f t="array" ref="G3596">IF(B3596="insumo",_xlfn.XLOOKUP($D3596,Insumos!$B$1:$B$996,Insumos!$D$1:$D$996),"")</f>
        <v>1.0645</v>
      </c>
      <c r="H3596" s="92">
        <v>9.5805000000000007</v>
      </c>
      <c r="I3596" s="13" t="e">
        <v>#REF!</v>
      </c>
      <c r="J3596" s="13" t="e">
        <v>#REF!</v>
      </c>
      <c r="K3596" s="13"/>
      <c r="L3596"/>
      <c r="M3596"/>
      <c r="N3596"/>
      <c r="O3596"/>
      <c r="P3596"/>
      <c r="Q3596"/>
      <c r="R3596"/>
      <c r="S3596"/>
      <c r="T3596"/>
      <c r="U3596"/>
      <c r="V3596"/>
      <c r="W3596"/>
      <c r="X3596"/>
      <c r="Y3596"/>
      <c r="Z3596"/>
      <c r="AA3596"/>
      <c r="AB3596"/>
      <c r="AC3596"/>
      <c r="AD3596"/>
      <c r="AE3596"/>
      <c r="AF3596"/>
      <c r="AG3596"/>
      <c r="AH3596"/>
      <c r="AI3596"/>
      <c r="AJ3596"/>
      <c r="AK3596"/>
      <c r="AL3596"/>
    </row>
    <row r="3597" spans="1:38" ht="15.75" customHeight="1" outlineLevel="3" x14ac:dyDescent="0.2">
      <c r="A3597" s="10">
        <v>34</v>
      </c>
      <c r="B3597" s="10" t="s">
        <v>71</v>
      </c>
      <c r="C3597" s="10" t="s">
        <v>3026</v>
      </c>
      <c r="D3597" s="10" t="s">
        <v>538</v>
      </c>
      <c r="E3597" s="11" t="str">
        <f t="array" ref="E3597">_xlfn.XLOOKUP(D3597,Insumos!B:B,Insumos!C:$C)</f>
        <v>UN</v>
      </c>
      <c r="F3597" s="14">
        <v>0.5</v>
      </c>
      <c r="G3597" s="92">
        <f t="array" ref="G3597">IF(B3597="insumo",_xlfn.XLOOKUP($D3597,Insumos!$B$1:$B$996,Insumos!$D$1:$D$996),"")</f>
        <v>17.329999999999998</v>
      </c>
      <c r="H3597" s="92">
        <v>8.6649999999999991</v>
      </c>
      <c r="I3597" s="13" t="e">
        <v>#REF!</v>
      </c>
      <c r="J3597" s="13" t="e">
        <v>#REF!</v>
      </c>
      <c r="K3597" s="13"/>
      <c r="L3597"/>
      <c r="M3597"/>
      <c r="N3597"/>
      <c r="O3597"/>
      <c r="P3597"/>
      <c r="Q3597"/>
      <c r="R3597"/>
      <c r="S3597"/>
      <c r="T3597"/>
      <c r="U3597"/>
      <c r="V3597"/>
      <c r="W3597"/>
      <c r="X3597"/>
      <c r="Y3597"/>
      <c r="Z3597"/>
      <c r="AA3597"/>
      <c r="AB3597"/>
      <c r="AC3597"/>
      <c r="AD3597"/>
      <c r="AE3597"/>
      <c r="AF3597"/>
      <c r="AG3597"/>
      <c r="AH3597"/>
      <c r="AI3597"/>
      <c r="AJ3597"/>
      <c r="AK3597"/>
      <c r="AL3597"/>
    </row>
    <row r="3598" spans="1:38" ht="15.75" customHeight="1" outlineLevel="2" x14ac:dyDescent="0.2">
      <c r="A3598" s="1067">
        <v>1</v>
      </c>
      <c r="B3598" s="1067" t="s">
        <v>68</v>
      </c>
      <c r="C3598" s="1067" t="s">
        <v>3027</v>
      </c>
      <c r="D3598" s="1067" t="s">
        <v>3027</v>
      </c>
      <c r="E3598" s="1068" t="s">
        <v>70</v>
      </c>
      <c r="F3598" s="1067"/>
      <c r="G3598" s="1069" t="str">
        <f t="array" ref="G3598">IF(B3598="insumo",_xlfn.XLOOKUP($D3598,Insumos!$B$1:$B$996,Insumos!$D$1:$D$996),"")</f>
        <v/>
      </c>
      <c r="H3598" s="1069">
        <v>1008.2455</v>
      </c>
      <c r="I3598" s="1070">
        <v>0</v>
      </c>
      <c r="J3598" s="1070">
        <v>0</v>
      </c>
      <c r="K3598" s="1070"/>
      <c r="L3598"/>
      <c r="M3598"/>
      <c r="N3598"/>
      <c r="O3598"/>
      <c r="P3598"/>
      <c r="Q3598"/>
      <c r="R3598"/>
      <c r="S3598"/>
      <c r="T3598"/>
      <c r="U3598"/>
      <c r="V3598"/>
      <c r="W3598"/>
      <c r="X3598"/>
      <c r="Y3598"/>
      <c r="Z3598"/>
      <c r="AA3598"/>
      <c r="AB3598"/>
      <c r="AC3598"/>
      <c r="AD3598"/>
      <c r="AE3598"/>
      <c r="AF3598"/>
      <c r="AG3598"/>
      <c r="AH3598"/>
      <c r="AI3598"/>
      <c r="AJ3598"/>
      <c r="AK3598"/>
      <c r="AL3598"/>
    </row>
    <row r="3599" spans="1:38" ht="15.75" customHeight="1" outlineLevel="3" x14ac:dyDescent="0.2">
      <c r="A3599" s="10">
        <v>2</v>
      </c>
      <c r="B3599" s="10" t="s">
        <v>71</v>
      </c>
      <c r="C3599" s="10" t="s">
        <v>3027</v>
      </c>
      <c r="D3599" s="10" t="s">
        <v>2875</v>
      </c>
      <c r="E3599" s="11" t="str">
        <f t="array" ref="E3599">_xlfn.XLOOKUP(D3599,Insumos!B:B,Insumos!C:$C)</f>
        <v>M2</v>
      </c>
      <c r="F3599" s="14">
        <v>1.1000000000000001</v>
      </c>
      <c r="G3599" s="92">
        <f t="array" ref="G3599">IF(B3599="insumo",_xlfn.XLOOKUP($D3599,Insumos!$B$1:$B$996,Insumos!$D$1:$D$996),"")</f>
        <v>900</v>
      </c>
      <c r="H3599" s="92">
        <v>990</v>
      </c>
      <c r="I3599" s="13">
        <v>0</v>
      </c>
      <c r="J3599" s="13">
        <v>0</v>
      </c>
      <c r="K3599" s="13"/>
      <c r="L3599"/>
      <c r="M3599"/>
      <c r="N3599"/>
      <c r="O3599"/>
      <c r="P3599"/>
      <c r="Q3599"/>
      <c r="R3599"/>
      <c r="S3599"/>
      <c r="T3599"/>
      <c r="U3599"/>
      <c r="V3599"/>
      <c r="W3599"/>
      <c r="X3599"/>
      <c r="Y3599"/>
      <c r="Z3599"/>
      <c r="AA3599"/>
      <c r="AB3599"/>
      <c r="AC3599"/>
      <c r="AD3599"/>
      <c r="AE3599"/>
      <c r="AF3599"/>
      <c r="AG3599"/>
      <c r="AH3599"/>
      <c r="AI3599"/>
      <c r="AJ3599"/>
      <c r="AK3599"/>
      <c r="AL3599"/>
    </row>
    <row r="3600" spans="1:38" ht="15.75" customHeight="1" outlineLevel="3" x14ac:dyDescent="0.2">
      <c r="A3600" s="10">
        <v>191</v>
      </c>
      <c r="B3600" s="10" t="s">
        <v>71</v>
      </c>
      <c r="C3600" s="10" t="s">
        <v>3027</v>
      </c>
      <c r="D3600" s="10" t="s">
        <v>481</v>
      </c>
      <c r="E3600" s="11" t="str">
        <f t="array" ref="E3600">_xlfn.XLOOKUP(D3600,Insumos!B:B,Insumos!C:$C)</f>
        <v>KG</v>
      </c>
      <c r="F3600" s="14">
        <v>9</v>
      </c>
      <c r="G3600" s="92">
        <f t="array" ref="G3600">IF(B3600="insumo",_xlfn.XLOOKUP($D3600,Insumos!$B$1:$B$996,Insumos!$D$1:$D$996),"")</f>
        <v>1.0645</v>
      </c>
      <c r="H3600" s="92">
        <v>9.5805000000000007</v>
      </c>
      <c r="I3600" s="13">
        <v>0</v>
      </c>
      <c r="J3600" s="13">
        <v>0</v>
      </c>
      <c r="K3600" s="13"/>
      <c r="L3600"/>
      <c r="M3600"/>
      <c r="N3600"/>
      <c r="O3600"/>
      <c r="P3600"/>
      <c r="Q3600"/>
      <c r="R3600"/>
      <c r="S3600"/>
      <c r="T3600"/>
      <c r="U3600"/>
      <c r="V3600"/>
      <c r="W3600"/>
      <c r="X3600"/>
      <c r="Y3600"/>
      <c r="Z3600"/>
      <c r="AA3600"/>
      <c r="AB3600"/>
      <c r="AC3600"/>
      <c r="AD3600"/>
      <c r="AE3600"/>
      <c r="AF3600"/>
      <c r="AG3600"/>
      <c r="AH3600"/>
      <c r="AI3600"/>
      <c r="AJ3600"/>
      <c r="AK3600"/>
      <c r="AL3600"/>
    </row>
    <row r="3601" spans="1:38" ht="15.75" customHeight="1" outlineLevel="3" x14ac:dyDescent="0.2">
      <c r="A3601" s="10">
        <v>34</v>
      </c>
      <c r="B3601" s="10" t="s">
        <v>71</v>
      </c>
      <c r="C3601" s="10" t="s">
        <v>3027</v>
      </c>
      <c r="D3601" s="10" t="s">
        <v>538</v>
      </c>
      <c r="E3601" s="11" t="str">
        <f t="array" ref="E3601">_xlfn.XLOOKUP(D3601,Insumos!B:B,Insumos!C:$C)</f>
        <v>UN</v>
      </c>
      <c r="F3601" s="14">
        <v>0.5</v>
      </c>
      <c r="G3601" s="92">
        <f t="array" ref="G3601">IF(B3601="insumo",_xlfn.XLOOKUP($D3601,Insumos!$B$1:$B$996,Insumos!$D$1:$D$996),"")</f>
        <v>17.329999999999998</v>
      </c>
      <c r="H3601" s="92">
        <v>8.6649999999999991</v>
      </c>
      <c r="I3601" s="13">
        <v>0</v>
      </c>
      <c r="J3601" s="13">
        <v>0</v>
      </c>
      <c r="K3601" s="13"/>
      <c r="L3601"/>
      <c r="M3601"/>
      <c r="N3601"/>
      <c r="O3601"/>
      <c r="P3601"/>
      <c r="Q3601"/>
      <c r="R3601"/>
      <c r="S3601"/>
      <c r="T3601"/>
      <c r="U3601"/>
      <c r="V3601"/>
      <c r="W3601"/>
      <c r="X3601"/>
      <c r="Y3601"/>
      <c r="Z3601"/>
      <c r="AA3601"/>
      <c r="AB3601"/>
      <c r="AC3601"/>
      <c r="AD3601"/>
      <c r="AE3601"/>
      <c r="AF3601"/>
      <c r="AG3601"/>
      <c r="AH3601"/>
      <c r="AI3601"/>
      <c r="AJ3601"/>
      <c r="AK3601"/>
      <c r="AL3601"/>
    </row>
    <row r="3602" spans="1:38" ht="15.75" customHeight="1" outlineLevel="2" x14ac:dyDescent="0.2">
      <c r="A3602" s="1067">
        <v>1</v>
      </c>
      <c r="B3602" s="1067" t="s">
        <v>68</v>
      </c>
      <c r="C3602" s="1067" t="s">
        <v>3028</v>
      </c>
      <c r="D3602" s="1067" t="s">
        <v>3028</v>
      </c>
      <c r="E3602" s="1068" t="s">
        <v>70</v>
      </c>
      <c r="F3602" s="1067"/>
      <c r="G3602" s="1069" t="str">
        <f t="array" ref="G3602">IF(B3602="insumo",_xlfn.XLOOKUP($D3602,Insumos!$B$1:$B$996,Insumos!$D$1:$D$996),"")</f>
        <v/>
      </c>
      <c r="H3602" s="1069">
        <v>1448.2455</v>
      </c>
      <c r="I3602" s="1070">
        <v>0</v>
      </c>
      <c r="J3602" s="1070">
        <v>0</v>
      </c>
      <c r="K3602" s="1070"/>
      <c r="L3602"/>
      <c r="M3602"/>
      <c r="N3602"/>
      <c r="O3602"/>
      <c r="P3602"/>
      <c r="Q3602"/>
      <c r="R3602"/>
      <c r="S3602"/>
      <c r="T3602"/>
      <c r="U3602"/>
      <c r="V3602"/>
      <c r="W3602"/>
      <c r="X3602"/>
      <c r="Y3602"/>
      <c r="Z3602"/>
      <c r="AA3602"/>
      <c r="AB3602"/>
      <c r="AC3602"/>
      <c r="AD3602"/>
      <c r="AE3602"/>
      <c r="AF3602"/>
      <c r="AG3602"/>
      <c r="AH3602"/>
      <c r="AI3602"/>
      <c r="AJ3602"/>
      <c r="AK3602"/>
      <c r="AL3602"/>
    </row>
    <row r="3603" spans="1:38" ht="15.75" customHeight="1" outlineLevel="3" x14ac:dyDescent="0.2">
      <c r="A3603" s="10">
        <v>2</v>
      </c>
      <c r="B3603" s="10" t="s">
        <v>71</v>
      </c>
      <c r="C3603" s="10" t="s">
        <v>3028</v>
      </c>
      <c r="D3603" s="10" t="s">
        <v>2879</v>
      </c>
      <c r="E3603" s="11" t="str">
        <f t="array" ref="E3603">_xlfn.XLOOKUP(D3603,Insumos!B:B,Insumos!C:$C)</f>
        <v>M2</v>
      </c>
      <c r="F3603" s="14">
        <v>1.1000000000000001</v>
      </c>
      <c r="G3603" s="92">
        <f t="array" ref="G3603">IF(B3603="insumo",_xlfn.XLOOKUP($D3603,Insumos!$B$1:$B$996,Insumos!$D$1:$D$996),"")</f>
        <v>1300</v>
      </c>
      <c r="H3603" s="92">
        <v>1430</v>
      </c>
      <c r="I3603" s="13">
        <v>0</v>
      </c>
      <c r="J3603" s="13">
        <v>0</v>
      </c>
      <c r="K3603" s="13"/>
      <c r="L3603"/>
      <c r="M3603"/>
      <c r="N3603"/>
      <c r="O3603"/>
      <c r="P3603"/>
      <c r="Q3603"/>
      <c r="R3603"/>
      <c r="S3603"/>
      <c r="T3603"/>
      <c r="U3603"/>
      <c r="V3603"/>
      <c r="W3603"/>
      <c r="X3603"/>
      <c r="Y3603"/>
      <c r="Z3603"/>
      <c r="AA3603"/>
      <c r="AB3603"/>
      <c r="AC3603"/>
      <c r="AD3603"/>
      <c r="AE3603"/>
      <c r="AF3603"/>
      <c r="AG3603"/>
      <c r="AH3603"/>
      <c r="AI3603"/>
      <c r="AJ3603"/>
      <c r="AK3603"/>
      <c r="AL3603"/>
    </row>
    <row r="3604" spans="1:38" ht="15.75" customHeight="1" outlineLevel="3" x14ac:dyDescent="0.2">
      <c r="A3604" s="10">
        <v>191</v>
      </c>
      <c r="B3604" s="10" t="s">
        <v>71</v>
      </c>
      <c r="C3604" s="10" t="s">
        <v>3028</v>
      </c>
      <c r="D3604" s="10" t="s">
        <v>481</v>
      </c>
      <c r="E3604" s="11" t="str">
        <f t="array" ref="E3604">_xlfn.XLOOKUP(D3604,Insumos!B:B,Insumos!C:$C)</f>
        <v>KG</v>
      </c>
      <c r="F3604" s="14">
        <v>9</v>
      </c>
      <c r="G3604" s="92">
        <f t="array" ref="G3604">IF(B3604="insumo",_xlfn.XLOOKUP($D3604,Insumos!$B$1:$B$996,Insumos!$D$1:$D$996),"")</f>
        <v>1.0645</v>
      </c>
      <c r="H3604" s="92">
        <v>9.5805000000000007</v>
      </c>
      <c r="I3604" s="13">
        <v>0</v>
      </c>
      <c r="J3604" s="13">
        <v>0</v>
      </c>
      <c r="K3604" s="13"/>
      <c r="L3604"/>
      <c r="M3604"/>
      <c r="N3604"/>
      <c r="O3604"/>
      <c r="P3604"/>
      <c r="Q3604"/>
      <c r="R3604"/>
      <c r="S3604"/>
      <c r="T3604"/>
      <c r="U3604"/>
      <c r="V3604"/>
      <c r="W3604"/>
      <c r="X3604"/>
      <c r="Y3604"/>
      <c r="Z3604"/>
      <c r="AA3604"/>
      <c r="AB3604"/>
      <c r="AC3604"/>
      <c r="AD3604"/>
      <c r="AE3604"/>
      <c r="AF3604"/>
      <c r="AG3604"/>
      <c r="AH3604"/>
      <c r="AI3604"/>
      <c r="AJ3604"/>
      <c r="AK3604"/>
      <c r="AL3604"/>
    </row>
    <row r="3605" spans="1:38" ht="15.75" customHeight="1" outlineLevel="3" x14ac:dyDescent="0.2">
      <c r="A3605" s="10">
        <v>34</v>
      </c>
      <c r="B3605" s="10" t="s">
        <v>71</v>
      </c>
      <c r="C3605" s="10" t="s">
        <v>3028</v>
      </c>
      <c r="D3605" s="10" t="s">
        <v>538</v>
      </c>
      <c r="E3605" s="11" t="str">
        <f t="array" ref="E3605">_xlfn.XLOOKUP(D3605,Insumos!B:B,Insumos!C:$C)</f>
        <v>UN</v>
      </c>
      <c r="F3605" s="14">
        <v>0.5</v>
      </c>
      <c r="G3605" s="92">
        <f t="array" ref="G3605">IF(B3605="insumo",_xlfn.XLOOKUP($D3605,Insumos!$B$1:$B$996,Insumos!$D$1:$D$996),"")</f>
        <v>17.329999999999998</v>
      </c>
      <c r="H3605" s="92">
        <v>8.6649999999999991</v>
      </c>
      <c r="I3605" s="13">
        <v>0</v>
      </c>
      <c r="J3605" s="13">
        <v>0</v>
      </c>
      <c r="K3605" s="13"/>
      <c r="L3605"/>
      <c r="M3605"/>
      <c r="N3605"/>
      <c r="O3605"/>
      <c r="P3605"/>
      <c r="Q3605"/>
      <c r="R3605"/>
      <c r="S3605"/>
      <c r="T3605"/>
      <c r="U3605"/>
      <c r="V3605"/>
      <c r="W3605"/>
      <c r="X3605"/>
      <c r="Y3605"/>
      <c r="Z3605"/>
      <c r="AA3605"/>
      <c r="AB3605"/>
      <c r="AC3605"/>
      <c r="AD3605"/>
      <c r="AE3605"/>
      <c r="AF3605"/>
      <c r="AG3605"/>
      <c r="AH3605"/>
      <c r="AI3605"/>
      <c r="AJ3605"/>
      <c r="AK3605"/>
      <c r="AL3605"/>
    </row>
    <row r="3606" spans="1:38" ht="15.75" customHeight="1" outlineLevel="2" x14ac:dyDescent="0.2">
      <c r="A3606" s="1067">
        <v>1</v>
      </c>
      <c r="B3606" s="1067" t="s">
        <v>68</v>
      </c>
      <c r="C3606" s="1067" t="s">
        <v>3029</v>
      </c>
      <c r="D3606" s="1067" t="s">
        <v>3029</v>
      </c>
      <c r="E3606" s="1068" t="s">
        <v>70</v>
      </c>
      <c r="F3606" s="1067"/>
      <c r="G3606" s="1069" t="str">
        <f t="array" ref="G3606">IF(B3606="insumo",_xlfn.XLOOKUP($D3606,Insumos!$B$1:$B$996,Insumos!$D$1:$D$996),"")</f>
        <v/>
      </c>
      <c r="H3606" s="1069">
        <v>2438.2455</v>
      </c>
      <c r="I3606" s="1070">
        <v>0</v>
      </c>
      <c r="J3606" s="1070">
        <v>0</v>
      </c>
      <c r="K3606" s="1070"/>
      <c r="L3606"/>
      <c r="M3606"/>
      <c r="N3606"/>
      <c r="O3606"/>
      <c r="P3606"/>
      <c r="Q3606"/>
      <c r="R3606"/>
      <c r="S3606"/>
      <c r="T3606"/>
      <c r="U3606"/>
      <c r="V3606"/>
      <c r="W3606"/>
      <c r="X3606"/>
      <c r="Y3606"/>
      <c r="Z3606"/>
      <c r="AA3606"/>
      <c r="AB3606"/>
      <c r="AC3606"/>
      <c r="AD3606"/>
      <c r="AE3606"/>
      <c r="AF3606"/>
      <c r="AG3606"/>
      <c r="AH3606"/>
      <c r="AI3606"/>
      <c r="AJ3606"/>
      <c r="AK3606"/>
      <c r="AL3606"/>
    </row>
    <row r="3607" spans="1:38" ht="15.75" customHeight="1" outlineLevel="3" x14ac:dyDescent="0.2">
      <c r="A3607" s="10">
        <v>2</v>
      </c>
      <c r="B3607" s="10" t="s">
        <v>71</v>
      </c>
      <c r="C3607" s="10" t="s">
        <v>3029</v>
      </c>
      <c r="D3607" s="10" t="s">
        <v>2881</v>
      </c>
      <c r="E3607" s="11" t="str">
        <f t="array" ref="E3607">_xlfn.XLOOKUP(D3607,Insumos!B:B,Insumos!C:$C)</f>
        <v>M2</v>
      </c>
      <c r="F3607" s="14">
        <v>1.1000000000000001</v>
      </c>
      <c r="G3607" s="92">
        <f t="array" ref="G3607">IF(B3607="insumo",_xlfn.XLOOKUP($D3607,Insumos!$B$1:$B$996,Insumos!$D$1:$D$996),"")</f>
        <v>2200</v>
      </c>
      <c r="H3607" s="92">
        <v>2420</v>
      </c>
      <c r="I3607" s="13">
        <v>0</v>
      </c>
      <c r="J3607" s="13">
        <v>0</v>
      </c>
      <c r="K3607" s="13"/>
      <c r="L3607"/>
      <c r="M3607"/>
      <c r="N3607"/>
      <c r="O3607"/>
      <c r="P3607"/>
      <c r="Q3607"/>
      <c r="R3607"/>
      <c r="S3607"/>
      <c r="T3607"/>
      <c r="U3607"/>
      <c r="V3607"/>
      <c r="W3607"/>
      <c r="X3607"/>
      <c r="Y3607"/>
      <c r="Z3607"/>
      <c r="AA3607"/>
      <c r="AB3607"/>
      <c r="AC3607"/>
      <c r="AD3607"/>
      <c r="AE3607"/>
      <c r="AF3607"/>
      <c r="AG3607"/>
      <c r="AH3607"/>
      <c r="AI3607"/>
      <c r="AJ3607"/>
      <c r="AK3607"/>
      <c r="AL3607"/>
    </row>
    <row r="3608" spans="1:38" ht="15.75" customHeight="1" outlineLevel="3" x14ac:dyDescent="0.2">
      <c r="A3608" s="10">
        <v>191</v>
      </c>
      <c r="B3608" s="10" t="s">
        <v>71</v>
      </c>
      <c r="C3608" s="10" t="s">
        <v>3029</v>
      </c>
      <c r="D3608" s="10" t="s">
        <v>481</v>
      </c>
      <c r="E3608" s="11" t="str">
        <f t="array" ref="E3608">_xlfn.XLOOKUP(D3608,Insumos!B:B,Insumos!C:$C)</f>
        <v>KG</v>
      </c>
      <c r="F3608" s="14">
        <v>9</v>
      </c>
      <c r="G3608" s="92">
        <f t="array" ref="G3608">IF(B3608="insumo",_xlfn.XLOOKUP($D3608,Insumos!$B$1:$B$996,Insumos!$D$1:$D$996),"")</f>
        <v>1.0645</v>
      </c>
      <c r="H3608" s="92">
        <v>9.5805000000000007</v>
      </c>
      <c r="I3608" s="13">
        <v>0</v>
      </c>
      <c r="J3608" s="13">
        <v>0</v>
      </c>
      <c r="K3608" s="13"/>
      <c r="L3608"/>
      <c r="M3608"/>
      <c r="N3608"/>
      <c r="O3608"/>
      <c r="P3608"/>
      <c r="Q3608"/>
      <c r="R3608"/>
      <c r="S3608"/>
      <c r="T3608"/>
      <c r="U3608"/>
      <c r="V3608"/>
      <c r="W3608"/>
      <c r="X3608"/>
      <c r="Y3608"/>
      <c r="Z3608"/>
      <c r="AA3608"/>
      <c r="AB3608"/>
      <c r="AC3608"/>
      <c r="AD3608"/>
      <c r="AE3608"/>
      <c r="AF3608"/>
      <c r="AG3608"/>
      <c r="AH3608"/>
      <c r="AI3608"/>
      <c r="AJ3608"/>
      <c r="AK3608"/>
      <c r="AL3608"/>
    </row>
    <row r="3609" spans="1:38" ht="15.75" customHeight="1" outlineLevel="3" x14ac:dyDescent="0.2">
      <c r="A3609" s="10">
        <v>34</v>
      </c>
      <c r="B3609" s="10" t="s">
        <v>71</v>
      </c>
      <c r="C3609" s="10" t="s">
        <v>3029</v>
      </c>
      <c r="D3609" s="10" t="s">
        <v>538</v>
      </c>
      <c r="E3609" s="11" t="str">
        <f t="array" ref="E3609">_xlfn.XLOOKUP(D3609,Insumos!B:B,Insumos!C:$C)</f>
        <v>UN</v>
      </c>
      <c r="F3609" s="14">
        <v>0.5</v>
      </c>
      <c r="G3609" s="92">
        <f t="array" ref="G3609">IF(B3609="insumo",_xlfn.XLOOKUP($D3609,Insumos!$B$1:$B$996,Insumos!$D$1:$D$996),"")</f>
        <v>17.329999999999998</v>
      </c>
      <c r="H3609" s="92">
        <v>8.6649999999999991</v>
      </c>
      <c r="I3609" s="13">
        <v>0</v>
      </c>
      <c r="J3609" s="13">
        <v>0</v>
      </c>
      <c r="K3609" s="13"/>
      <c r="L3609"/>
      <c r="M3609"/>
      <c r="N3609"/>
      <c r="O3609"/>
      <c r="P3609"/>
      <c r="Q3609"/>
      <c r="R3609"/>
      <c r="S3609"/>
      <c r="T3609"/>
      <c r="U3609"/>
      <c r="V3609"/>
      <c r="W3609"/>
      <c r="X3609"/>
      <c r="Y3609"/>
      <c r="Z3609"/>
      <c r="AA3609"/>
      <c r="AB3609"/>
      <c r="AC3609"/>
      <c r="AD3609"/>
      <c r="AE3609"/>
      <c r="AF3609"/>
      <c r="AG3609"/>
      <c r="AH3609"/>
      <c r="AI3609"/>
      <c r="AJ3609"/>
      <c r="AK3609"/>
      <c r="AL3609"/>
    </row>
    <row r="3610" spans="1:38" ht="15.75" customHeight="1" outlineLevel="2" x14ac:dyDescent="0.2">
      <c r="A3610" s="1067">
        <v>1</v>
      </c>
      <c r="B3610" s="1067" t="s">
        <v>68</v>
      </c>
      <c r="C3610" s="1067" t="s">
        <v>3030</v>
      </c>
      <c r="D3610" s="1067" t="s">
        <v>3030</v>
      </c>
      <c r="E3610" s="1068" t="s">
        <v>70</v>
      </c>
      <c r="F3610" s="1067"/>
      <c r="G3610" s="1069" t="str">
        <f t="array" ref="G3610">IF(B3610="insumo",_xlfn.XLOOKUP($D3610,Insumos!$B$1:$B$996,Insumos!$D$1:$D$996),"")</f>
        <v/>
      </c>
      <c r="H3610" s="1069">
        <v>1448.2455</v>
      </c>
      <c r="I3610" s="1070" t="e">
        <v>#REF!</v>
      </c>
      <c r="J3610" s="1070" t="e">
        <v>#REF!</v>
      </c>
      <c r="K3610" s="1070"/>
      <c r="L3610"/>
      <c r="M3610"/>
      <c r="N3610"/>
      <c r="O3610"/>
      <c r="P3610"/>
      <c r="Q3610"/>
      <c r="R3610"/>
      <c r="S3610"/>
      <c r="T3610"/>
      <c r="U3610"/>
      <c r="V3610"/>
      <c r="W3610"/>
      <c r="X3610"/>
      <c r="Y3610"/>
      <c r="Z3610"/>
      <c r="AA3610"/>
      <c r="AB3610"/>
      <c r="AC3610"/>
      <c r="AD3610"/>
      <c r="AE3610"/>
      <c r="AF3610"/>
      <c r="AG3610"/>
      <c r="AH3610"/>
      <c r="AI3610"/>
      <c r="AJ3610"/>
      <c r="AK3610"/>
      <c r="AL3610"/>
    </row>
    <row r="3611" spans="1:38" ht="15.75" customHeight="1" outlineLevel="3" x14ac:dyDescent="0.2">
      <c r="A3611" s="10">
        <v>5</v>
      </c>
      <c r="B3611" s="10" t="s">
        <v>71</v>
      </c>
      <c r="C3611" s="10" t="s">
        <v>3030</v>
      </c>
      <c r="D3611" s="10" t="s">
        <v>2877</v>
      </c>
      <c r="E3611" s="11" t="str">
        <f t="array" ref="E3611">_xlfn.XLOOKUP(D3611,Insumos!B:B,Insumos!C:$C)</f>
        <v>M2</v>
      </c>
      <c r="F3611" s="14">
        <v>1.1000000000000001</v>
      </c>
      <c r="G3611" s="92">
        <f t="array" ref="G3611">IF(B3611="insumo",_xlfn.XLOOKUP($D3611,Insumos!$B$1:$B$996,Insumos!$D$1:$D$996),"")</f>
        <v>1300</v>
      </c>
      <c r="H3611" s="92">
        <v>1430</v>
      </c>
      <c r="I3611" s="13" t="e">
        <v>#REF!</v>
      </c>
      <c r="J3611" s="13" t="e">
        <v>#REF!</v>
      </c>
      <c r="K3611" s="13"/>
      <c r="L3611"/>
      <c r="M3611"/>
      <c r="N3611"/>
      <c r="O3611"/>
      <c r="P3611"/>
      <c r="Q3611"/>
      <c r="R3611"/>
      <c r="S3611"/>
      <c r="T3611"/>
      <c r="U3611"/>
      <c r="V3611"/>
      <c r="W3611"/>
      <c r="X3611"/>
      <c r="Y3611"/>
      <c r="Z3611"/>
      <c r="AA3611"/>
      <c r="AB3611"/>
      <c r="AC3611"/>
      <c r="AD3611"/>
      <c r="AE3611"/>
      <c r="AF3611"/>
      <c r="AG3611"/>
      <c r="AH3611"/>
      <c r="AI3611"/>
      <c r="AJ3611"/>
      <c r="AK3611"/>
      <c r="AL3611"/>
    </row>
    <row r="3612" spans="1:38" ht="15.75" customHeight="1" outlineLevel="3" x14ac:dyDescent="0.2">
      <c r="A3612" s="10">
        <v>191</v>
      </c>
      <c r="B3612" s="10" t="s">
        <v>71</v>
      </c>
      <c r="C3612" s="10" t="s">
        <v>3030</v>
      </c>
      <c r="D3612" s="10" t="s">
        <v>481</v>
      </c>
      <c r="E3612" s="11" t="str">
        <f t="array" ref="E3612">_xlfn.XLOOKUP(D3612,Insumos!B:B,Insumos!C:$C)</f>
        <v>KG</v>
      </c>
      <c r="F3612" s="14">
        <v>9</v>
      </c>
      <c r="G3612" s="92">
        <f t="array" ref="G3612">IF(B3612="insumo",_xlfn.XLOOKUP($D3612,Insumos!$B$1:$B$996,Insumos!$D$1:$D$996),"")</f>
        <v>1.0645</v>
      </c>
      <c r="H3612" s="92">
        <v>9.5805000000000007</v>
      </c>
      <c r="I3612" s="13" t="e">
        <v>#REF!</v>
      </c>
      <c r="J3612" s="13" t="e">
        <v>#REF!</v>
      </c>
      <c r="K3612" s="13"/>
      <c r="L3612"/>
      <c r="M3612"/>
      <c r="N3612"/>
      <c r="O3612"/>
      <c r="P3612"/>
      <c r="Q3612"/>
      <c r="R3612"/>
      <c r="S3612"/>
      <c r="T3612"/>
      <c r="U3612"/>
      <c r="V3612"/>
      <c r="W3612"/>
      <c r="X3612"/>
      <c r="Y3612"/>
      <c r="Z3612"/>
      <c r="AA3612"/>
      <c r="AB3612"/>
      <c r="AC3612"/>
      <c r="AD3612"/>
      <c r="AE3612"/>
      <c r="AF3612"/>
      <c r="AG3612"/>
      <c r="AH3612"/>
      <c r="AI3612"/>
      <c r="AJ3612"/>
      <c r="AK3612"/>
      <c r="AL3612"/>
    </row>
    <row r="3613" spans="1:38" ht="15.75" customHeight="1" outlineLevel="3" x14ac:dyDescent="0.2">
      <c r="A3613" s="10">
        <v>34</v>
      </c>
      <c r="B3613" s="10" t="s">
        <v>71</v>
      </c>
      <c r="C3613" s="10" t="s">
        <v>3030</v>
      </c>
      <c r="D3613" s="10" t="s">
        <v>538</v>
      </c>
      <c r="E3613" s="11" t="str">
        <f t="array" ref="E3613">_xlfn.XLOOKUP(D3613,Insumos!B:B,Insumos!C:$C)</f>
        <v>UN</v>
      </c>
      <c r="F3613" s="14">
        <v>0.5</v>
      </c>
      <c r="G3613" s="92">
        <f t="array" ref="G3613">IF(B3613="insumo",_xlfn.XLOOKUP($D3613,Insumos!$B$1:$B$996,Insumos!$D$1:$D$996),"")</f>
        <v>17.329999999999998</v>
      </c>
      <c r="H3613" s="92">
        <v>8.6649999999999991</v>
      </c>
      <c r="I3613" s="13" t="e">
        <v>#REF!</v>
      </c>
      <c r="J3613" s="13" t="e">
        <v>#REF!</v>
      </c>
      <c r="K3613" s="13"/>
      <c r="L3613"/>
      <c r="M3613"/>
      <c r="N3613"/>
      <c r="O3613"/>
      <c r="P3613"/>
      <c r="Q3613"/>
      <c r="R3613"/>
      <c r="S3613"/>
      <c r="T3613"/>
      <c r="U3613"/>
      <c r="V3613"/>
      <c r="W3613"/>
      <c r="X3613"/>
      <c r="Y3613"/>
      <c r="Z3613"/>
      <c r="AA3613"/>
      <c r="AB3613"/>
      <c r="AC3613"/>
      <c r="AD3613"/>
      <c r="AE3613"/>
      <c r="AF3613"/>
      <c r="AG3613"/>
      <c r="AH3613"/>
      <c r="AI3613"/>
      <c r="AJ3613"/>
      <c r="AK3613"/>
      <c r="AL3613"/>
    </row>
    <row r="3614" spans="1:38" ht="15.75" customHeight="1" outlineLevel="2" x14ac:dyDescent="0.2">
      <c r="A3614" s="1067">
        <v>1</v>
      </c>
      <c r="B3614" s="1067" t="s">
        <v>68</v>
      </c>
      <c r="C3614" s="1067" t="s">
        <v>3031</v>
      </c>
      <c r="D3614" s="1067" t="s">
        <v>3031</v>
      </c>
      <c r="E3614" s="1068" t="s">
        <v>70</v>
      </c>
      <c r="F3614" s="1067"/>
      <c r="G3614" s="1069" t="str">
        <f t="array" ref="G3614">IF(B3614="insumo",_xlfn.XLOOKUP($D3614,Insumos!$B$1:$B$996,Insumos!$D$1:$D$996),"")</f>
        <v/>
      </c>
      <c r="H3614" s="1069">
        <v>3538.2455</v>
      </c>
      <c r="I3614" s="1070" t="e">
        <v>#REF!</v>
      </c>
      <c r="J3614" s="1070" t="e">
        <v>#REF!</v>
      </c>
      <c r="K3614" s="1070"/>
      <c r="L3614"/>
      <c r="M3614"/>
      <c r="N3614"/>
      <c r="O3614"/>
      <c r="P3614"/>
      <c r="Q3614"/>
      <c r="R3614"/>
      <c r="S3614"/>
      <c r="T3614"/>
      <c r="U3614"/>
      <c r="V3614"/>
      <c r="W3614"/>
      <c r="X3614"/>
      <c r="Y3614"/>
      <c r="Z3614"/>
      <c r="AA3614"/>
      <c r="AB3614"/>
      <c r="AC3614"/>
      <c r="AD3614"/>
      <c r="AE3614"/>
      <c r="AF3614"/>
      <c r="AG3614"/>
      <c r="AH3614"/>
      <c r="AI3614"/>
      <c r="AJ3614"/>
      <c r="AK3614"/>
      <c r="AL3614"/>
    </row>
    <row r="3615" spans="1:38" ht="15.75" customHeight="1" outlineLevel="3" x14ac:dyDescent="0.2">
      <c r="A3615" s="10">
        <v>2</v>
      </c>
      <c r="B3615" s="10" t="s">
        <v>71</v>
      </c>
      <c r="C3615" s="10" t="s">
        <v>3031</v>
      </c>
      <c r="D3615" s="10" t="s">
        <v>2890</v>
      </c>
      <c r="E3615" s="11" t="str">
        <f t="array" ref="E3615">_xlfn.XLOOKUP(D3615,Insumos!B:B,Insumos!C:$C)</f>
        <v>M2</v>
      </c>
      <c r="F3615" s="14">
        <v>1.1000000000000001</v>
      </c>
      <c r="G3615" s="92">
        <f t="array" ref="G3615">IF(B3615="insumo",_xlfn.XLOOKUP($D3615,Insumos!$B$1:$B$996,Insumos!$D$1:$D$996),"")</f>
        <v>3200</v>
      </c>
      <c r="H3615" s="92">
        <v>3520</v>
      </c>
      <c r="I3615" s="13" t="e">
        <v>#REF!</v>
      </c>
      <c r="J3615" s="13" t="e">
        <v>#REF!</v>
      </c>
      <c r="K3615" s="13"/>
      <c r="L3615"/>
      <c r="M3615"/>
      <c r="N3615"/>
      <c r="O3615"/>
      <c r="P3615"/>
      <c r="Q3615"/>
      <c r="R3615"/>
      <c r="S3615"/>
      <c r="T3615"/>
      <c r="U3615"/>
      <c r="V3615"/>
      <c r="W3615"/>
      <c r="X3615"/>
      <c r="Y3615"/>
      <c r="Z3615"/>
      <c r="AA3615"/>
      <c r="AB3615"/>
      <c r="AC3615"/>
      <c r="AD3615"/>
      <c r="AE3615"/>
      <c r="AF3615"/>
      <c r="AG3615"/>
      <c r="AH3615"/>
      <c r="AI3615"/>
      <c r="AJ3615"/>
      <c r="AK3615"/>
      <c r="AL3615"/>
    </row>
    <row r="3616" spans="1:38" ht="15.75" customHeight="1" outlineLevel="3" x14ac:dyDescent="0.2">
      <c r="A3616" s="10">
        <v>191</v>
      </c>
      <c r="B3616" s="10" t="s">
        <v>71</v>
      </c>
      <c r="C3616" s="10" t="s">
        <v>3031</v>
      </c>
      <c r="D3616" s="10" t="s">
        <v>481</v>
      </c>
      <c r="E3616" s="11" t="str">
        <f t="array" ref="E3616">_xlfn.XLOOKUP(D3616,Insumos!B:B,Insumos!C:$C)</f>
        <v>KG</v>
      </c>
      <c r="F3616" s="14">
        <v>9</v>
      </c>
      <c r="G3616" s="92">
        <f t="array" ref="G3616">IF(B3616="insumo",_xlfn.XLOOKUP($D3616,Insumos!$B$1:$B$996,Insumos!$D$1:$D$996),"")</f>
        <v>1.0645</v>
      </c>
      <c r="H3616" s="92">
        <v>9.5805000000000007</v>
      </c>
      <c r="I3616" s="13" t="e">
        <v>#REF!</v>
      </c>
      <c r="J3616" s="13" t="e">
        <v>#REF!</v>
      </c>
      <c r="K3616" s="13"/>
      <c r="L3616"/>
      <c r="M3616"/>
      <c r="N3616"/>
      <c r="O3616"/>
      <c r="P3616"/>
      <c r="Q3616"/>
      <c r="R3616"/>
      <c r="S3616"/>
      <c r="T3616"/>
      <c r="U3616"/>
      <c r="V3616"/>
      <c r="W3616"/>
      <c r="X3616"/>
      <c r="Y3616"/>
      <c r="Z3616"/>
      <c r="AA3616"/>
      <c r="AB3616"/>
      <c r="AC3616"/>
      <c r="AD3616"/>
      <c r="AE3616"/>
      <c r="AF3616"/>
      <c r="AG3616"/>
      <c r="AH3616"/>
      <c r="AI3616"/>
      <c r="AJ3616"/>
      <c r="AK3616"/>
      <c r="AL3616"/>
    </row>
    <row r="3617" spans="1:38" ht="15.75" customHeight="1" outlineLevel="3" x14ac:dyDescent="0.2">
      <c r="A3617" s="10">
        <v>34</v>
      </c>
      <c r="B3617" s="10" t="s">
        <v>71</v>
      </c>
      <c r="C3617" s="10" t="s">
        <v>3031</v>
      </c>
      <c r="D3617" s="10" t="s">
        <v>538</v>
      </c>
      <c r="E3617" s="11" t="str">
        <f t="array" ref="E3617">_xlfn.XLOOKUP(D3617,Insumos!B:B,Insumos!C:$C)</f>
        <v>UN</v>
      </c>
      <c r="F3617" s="14">
        <v>0.5</v>
      </c>
      <c r="G3617" s="92">
        <f t="array" ref="G3617">IF(B3617="insumo",_xlfn.XLOOKUP($D3617,Insumos!$B$1:$B$996,Insumos!$D$1:$D$996),"")</f>
        <v>17.329999999999998</v>
      </c>
      <c r="H3617" s="92">
        <v>8.6649999999999991</v>
      </c>
      <c r="I3617" s="13" t="e">
        <v>#REF!</v>
      </c>
      <c r="J3617" s="13" t="e">
        <v>#REF!</v>
      </c>
      <c r="K3617" s="13"/>
      <c r="L3617"/>
      <c r="M3617"/>
      <c r="N3617"/>
      <c r="O3617"/>
      <c r="P3617"/>
      <c r="Q3617"/>
      <c r="R3617"/>
      <c r="S3617"/>
      <c r="T3617"/>
      <c r="U3617"/>
      <c r="V3617"/>
      <c r="W3617"/>
      <c r="X3617"/>
      <c r="Y3617"/>
      <c r="Z3617"/>
      <c r="AA3617"/>
      <c r="AB3617"/>
      <c r="AC3617"/>
      <c r="AD3617"/>
      <c r="AE3617"/>
      <c r="AF3617"/>
      <c r="AG3617"/>
      <c r="AH3617"/>
      <c r="AI3617"/>
      <c r="AJ3617"/>
      <c r="AK3617"/>
      <c r="AL3617"/>
    </row>
    <row r="3618" spans="1:38" ht="15.75" customHeight="1" outlineLevel="2" x14ac:dyDescent="0.2">
      <c r="A3618" s="1067">
        <v>1</v>
      </c>
      <c r="B3618" s="1067" t="s">
        <v>68</v>
      </c>
      <c r="C3618" s="1067" t="s">
        <v>708</v>
      </c>
      <c r="D3618" s="1067" t="s">
        <v>708</v>
      </c>
      <c r="E3618" s="1068" t="s">
        <v>113</v>
      </c>
      <c r="F3618" s="1067"/>
      <c r="G3618" s="1069" t="str">
        <f t="array" ref="G3618">IF(B3618="insumo",_xlfn.XLOOKUP($D3618,Insumos!$B$1:$B$996,Insumos!$D$1:$D$996),"")</f>
        <v/>
      </c>
      <c r="H3618" s="1069">
        <v>898.0326</v>
      </c>
      <c r="I3618" s="1070">
        <v>0</v>
      </c>
      <c r="J3618" s="1070">
        <v>0</v>
      </c>
      <c r="K3618" s="1070"/>
      <c r="L3618"/>
      <c r="M3618"/>
      <c r="N3618"/>
      <c r="O3618"/>
      <c r="P3618"/>
      <c r="Q3618"/>
      <c r="R3618"/>
      <c r="S3618"/>
      <c r="T3618"/>
      <c r="U3618"/>
      <c r="V3618"/>
      <c r="W3618"/>
      <c r="X3618"/>
      <c r="Y3618"/>
      <c r="Z3618"/>
      <c r="AA3618"/>
      <c r="AB3618"/>
      <c r="AC3618"/>
      <c r="AD3618"/>
      <c r="AE3618"/>
      <c r="AF3618"/>
      <c r="AG3618"/>
      <c r="AH3618"/>
      <c r="AI3618"/>
      <c r="AJ3618"/>
      <c r="AK3618"/>
      <c r="AL3618"/>
    </row>
    <row r="3619" spans="1:38" ht="15.75" customHeight="1" outlineLevel="3" x14ac:dyDescent="0.2">
      <c r="A3619" s="10">
        <v>10</v>
      </c>
      <c r="B3619" s="10" t="s">
        <v>71</v>
      </c>
      <c r="C3619" s="10" t="s">
        <v>708</v>
      </c>
      <c r="D3619" s="10" t="s">
        <v>531</v>
      </c>
      <c r="E3619" s="11" t="str">
        <f t="array" ref="E3619">_xlfn.XLOOKUP(D3619,Insumos!B:B,Insumos!C:$C)</f>
        <v>M2</v>
      </c>
      <c r="F3619" s="14">
        <v>1.1000000000000001</v>
      </c>
      <c r="G3619" s="92">
        <f t="array" ref="G3619">IF(B3619="insumo",_xlfn.XLOOKUP($D3619,Insumos!$B$1:$B$996,Insumos!$D$1:$D$996),"")</f>
        <v>800</v>
      </c>
      <c r="H3619" s="92">
        <v>880</v>
      </c>
      <c r="I3619" s="13">
        <v>0</v>
      </c>
      <c r="J3619" s="13">
        <v>0</v>
      </c>
      <c r="K3619" s="13"/>
      <c r="L3619"/>
      <c r="M3619"/>
      <c r="N3619"/>
      <c r="O3619"/>
      <c r="P3619"/>
      <c r="Q3619"/>
      <c r="R3619"/>
      <c r="S3619"/>
      <c r="T3619"/>
      <c r="U3619"/>
      <c r="V3619"/>
      <c r="W3619"/>
      <c r="X3619"/>
      <c r="Y3619"/>
      <c r="Z3619"/>
      <c r="AA3619"/>
      <c r="AB3619"/>
      <c r="AC3619"/>
      <c r="AD3619"/>
      <c r="AE3619"/>
      <c r="AF3619"/>
      <c r="AG3619"/>
      <c r="AH3619"/>
      <c r="AI3619"/>
      <c r="AJ3619"/>
      <c r="AK3619"/>
      <c r="AL3619"/>
    </row>
    <row r="3620" spans="1:38" ht="15.75" customHeight="1" outlineLevel="3" x14ac:dyDescent="0.2">
      <c r="A3620" s="10">
        <v>191</v>
      </c>
      <c r="B3620" s="10" t="s">
        <v>71</v>
      </c>
      <c r="C3620" s="10" t="s">
        <v>708</v>
      </c>
      <c r="D3620" s="10" t="s">
        <v>481</v>
      </c>
      <c r="E3620" s="11" t="str">
        <f t="array" ref="E3620">_xlfn.XLOOKUP(D3620,Insumos!B:B,Insumos!C:$C)</f>
        <v>KG</v>
      </c>
      <c r="F3620" s="14">
        <v>8.8000000000000007</v>
      </c>
      <c r="G3620" s="92">
        <f t="array" ref="G3620">IF(B3620="insumo",_xlfn.XLOOKUP($D3620,Insumos!$B$1:$B$996,Insumos!$D$1:$D$996),"")</f>
        <v>1.0645</v>
      </c>
      <c r="H3620" s="92">
        <v>9.3675999999999995</v>
      </c>
      <c r="I3620" s="13">
        <v>0</v>
      </c>
      <c r="J3620" s="13">
        <v>0</v>
      </c>
      <c r="K3620" s="13"/>
      <c r="L3620"/>
      <c r="M3620"/>
      <c r="N3620"/>
      <c r="O3620"/>
      <c r="P3620"/>
      <c r="Q3620"/>
      <c r="R3620"/>
      <c r="S3620"/>
      <c r="T3620"/>
      <c r="U3620"/>
      <c r="V3620"/>
      <c r="W3620"/>
      <c r="X3620"/>
      <c r="Y3620"/>
      <c r="Z3620"/>
      <c r="AA3620"/>
      <c r="AB3620"/>
      <c r="AC3620"/>
      <c r="AD3620"/>
      <c r="AE3620"/>
      <c r="AF3620"/>
      <c r="AG3620"/>
      <c r="AH3620"/>
      <c r="AI3620"/>
      <c r="AJ3620"/>
      <c r="AK3620"/>
      <c r="AL3620"/>
    </row>
    <row r="3621" spans="1:38" ht="15.75" customHeight="1" outlineLevel="3" x14ac:dyDescent="0.2">
      <c r="A3621" s="10">
        <v>34</v>
      </c>
      <c r="B3621" s="10" t="s">
        <v>71</v>
      </c>
      <c r="C3621" s="10" t="s">
        <v>708</v>
      </c>
      <c r="D3621" s="10" t="s">
        <v>538</v>
      </c>
      <c r="E3621" s="11" t="str">
        <f t="array" ref="E3621">_xlfn.XLOOKUP(D3621,Insumos!B:B,Insumos!C:$C)</f>
        <v>UN</v>
      </c>
      <c r="F3621" s="14">
        <v>0.5</v>
      </c>
      <c r="G3621" s="92">
        <f t="array" ref="G3621">IF(B3621="insumo",_xlfn.XLOOKUP($D3621,Insumos!$B$1:$B$996,Insumos!$D$1:$D$996),"")</f>
        <v>17.329999999999998</v>
      </c>
      <c r="H3621" s="92">
        <v>8.6649999999999991</v>
      </c>
      <c r="I3621" s="13">
        <v>0</v>
      </c>
      <c r="J3621" s="13">
        <v>0</v>
      </c>
      <c r="K3621" s="13"/>
      <c r="L3621"/>
      <c r="M3621"/>
      <c r="N3621"/>
      <c r="O3621"/>
      <c r="P3621"/>
      <c r="Q3621"/>
      <c r="R3621"/>
      <c r="S3621"/>
      <c r="T3621"/>
      <c r="U3621"/>
      <c r="V3621"/>
      <c r="W3621"/>
      <c r="X3621"/>
      <c r="Y3621"/>
      <c r="Z3621"/>
      <c r="AA3621"/>
      <c r="AB3621"/>
      <c r="AC3621"/>
      <c r="AD3621"/>
      <c r="AE3621"/>
      <c r="AF3621"/>
      <c r="AG3621"/>
      <c r="AH3621"/>
      <c r="AI3621"/>
      <c r="AJ3621"/>
      <c r="AK3621"/>
      <c r="AL3621"/>
    </row>
    <row r="3622" spans="1:38" ht="15.75" customHeight="1" outlineLevel="1" x14ac:dyDescent="0.2">
      <c r="A3622" s="1090">
        <v>1</v>
      </c>
      <c r="B3622" s="1090" t="s">
        <v>1228</v>
      </c>
      <c r="C3622" s="1090" t="s">
        <v>708</v>
      </c>
      <c r="D3622" s="1090" t="s">
        <v>1472</v>
      </c>
      <c r="E3622" s="1091"/>
      <c r="F3622" s="1092"/>
      <c r="G3622" s="1091"/>
      <c r="H3622" s="1091">
        <v>0</v>
      </c>
      <c r="I3622" s="1092">
        <v>0</v>
      </c>
      <c r="J3622" s="1092">
        <v>0</v>
      </c>
      <c r="K3622" s="1092"/>
      <c r="L3622"/>
      <c r="M3622"/>
      <c r="N3622"/>
      <c r="O3622"/>
      <c r="P3622"/>
      <c r="Q3622"/>
      <c r="R3622"/>
      <c r="S3622"/>
      <c r="T3622"/>
      <c r="U3622"/>
      <c r="V3622"/>
      <c r="W3622"/>
      <c r="X3622"/>
      <c r="Y3622"/>
      <c r="Z3622"/>
      <c r="AA3622"/>
      <c r="AB3622"/>
      <c r="AC3622"/>
      <c r="AD3622"/>
      <c r="AE3622"/>
      <c r="AF3622"/>
      <c r="AG3622"/>
      <c r="AH3622"/>
      <c r="AI3622"/>
      <c r="AJ3622"/>
      <c r="AK3622"/>
      <c r="AL3622"/>
    </row>
    <row r="3623" spans="1:38" ht="15.75" customHeight="1" outlineLevel="2" x14ac:dyDescent="0.2">
      <c r="A3623" s="1067">
        <v>1</v>
      </c>
      <c r="B3623" s="1067" t="s">
        <v>68</v>
      </c>
      <c r="C3623" s="1067" t="s">
        <v>1521</v>
      </c>
      <c r="D3623" s="1067" t="s">
        <v>1521</v>
      </c>
      <c r="E3623" s="1068" t="s">
        <v>113</v>
      </c>
      <c r="F3623" s="1067"/>
      <c r="G3623" s="1069" t="str">
        <f t="array" ref="G3623">IF(B3623="insumo",_xlfn.XLOOKUP($D3623,Insumos!$B$1:$B$996,Insumos!$D$1:$D$996),"")</f>
        <v/>
      </c>
      <c r="H3623" s="1069">
        <v>19.960488999999999</v>
      </c>
      <c r="I3623" s="1070">
        <v>0</v>
      </c>
      <c r="J3623" s="1070">
        <v>0</v>
      </c>
      <c r="K3623" s="1070"/>
      <c r="L3623"/>
      <c r="M3623"/>
      <c r="N3623"/>
      <c r="O3623"/>
      <c r="P3623"/>
      <c r="Q3623"/>
      <c r="R3623"/>
      <c r="S3623"/>
      <c r="T3623"/>
      <c r="U3623"/>
      <c r="V3623"/>
      <c r="W3623"/>
      <c r="X3623"/>
      <c r="Y3623"/>
      <c r="Z3623"/>
      <c r="AA3623"/>
      <c r="AB3623"/>
      <c r="AC3623"/>
      <c r="AD3623"/>
      <c r="AE3623"/>
      <c r="AF3623"/>
      <c r="AG3623"/>
      <c r="AH3623"/>
      <c r="AI3623"/>
      <c r="AJ3623"/>
      <c r="AK3623"/>
      <c r="AL3623"/>
    </row>
    <row r="3624" spans="1:38" ht="15.75" customHeight="1" outlineLevel="3" x14ac:dyDescent="0.2">
      <c r="A3624" s="10">
        <v>3</v>
      </c>
      <c r="B3624" s="10" t="s">
        <v>71</v>
      </c>
      <c r="C3624" s="10" t="s">
        <v>1521</v>
      </c>
      <c r="D3624" s="10" t="s">
        <v>1181</v>
      </c>
      <c r="E3624" s="11" t="str">
        <f t="array" ref="E3624">_xlfn.XLOOKUP(D3624,Insumos!B:B,Insumos!C:$C)</f>
        <v>KG</v>
      </c>
      <c r="F3624" s="14">
        <v>4.0300000000000002E-2</v>
      </c>
      <c r="G3624" s="92">
        <f t="array" ref="G3624">IF(B3624="insumo",_xlfn.XLOOKUP($D3624,Insumos!$B$1:$B$996,Insumos!$D$1:$D$996),"")</f>
        <v>17.63</v>
      </c>
      <c r="H3624" s="92">
        <v>0.71048900000000004</v>
      </c>
      <c r="I3624" s="13">
        <v>0</v>
      </c>
      <c r="J3624" s="13">
        <v>0</v>
      </c>
      <c r="K3624" s="13"/>
      <c r="L3624"/>
      <c r="M3624"/>
      <c r="N3624"/>
      <c r="O3624"/>
      <c r="P3624"/>
      <c r="Q3624"/>
      <c r="R3624"/>
      <c r="S3624"/>
      <c r="T3624"/>
      <c r="U3624"/>
      <c r="V3624"/>
      <c r="W3624"/>
      <c r="X3624"/>
      <c r="Y3624"/>
      <c r="Z3624"/>
      <c r="AA3624"/>
      <c r="AB3624"/>
      <c r="AC3624"/>
      <c r="AD3624"/>
      <c r="AE3624"/>
      <c r="AF3624"/>
      <c r="AG3624"/>
      <c r="AH3624"/>
      <c r="AI3624"/>
      <c r="AJ3624"/>
      <c r="AK3624"/>
      <c r="AL3624"/>
    </row>
    <row r="3625" spans="1:38" ht="15.75" customHeight="1" outlineLevel="3" x14ac:dyDescent="0.2">
      <c r="A3625" s="10">
        <v>2</v>
      </c>
      <c r="B3625" s="10" t="s">
        <v>71</v>
      </c>
      <c r="C3625" s="10" t="s">
        <v>1521</v>
      </c>
      <c r="D3625" s="10" t="s">
        <v>709</v>
      </c>
      <c r="E3625" s="11" t="str">
        <f t="array" ref="E3625">_xlfn.XLOOKUP(D3625,Insumos!B:B,Insumos!C:$C)</f>
        <v>M</v>
      </c>
      <c r="F3625" s="14">
        <v>1</v>
      </c>
      <c r="G3625" s="92">
        <f t="array" ref="G3625">IF(B3625="insumo",_xlfn.XLOOKUP($D3625,Insumos!$B$1:$B$996,Insumos!$D$1:$D$996),"")</f>
        <v>19.25</v>
      </c>
      <c r="H3625" s="92">
        <v>19.25</v>
      </c>
      <c r="I3625" s="13">
        <v>0</v>
      </c>
      <c r="J3625" s="13">
        <v>0</v>
      </c>
      <c r="K3625" s="13"/>
      <c r="L3625"/>
      <c r="M3625"/>
      <c r="N3625"/>
      <c r="O3625"/>
      <c r="P3625"/>
      <c r="Q3625"/>
      <c r="R3625"/>
      <c r="S3625"/>
      <c r="T3625"/>
      <c r="U3625"/>
      <c r="V3625"/>
      <c r="W3625"/>
      <c r="X3625"/>
      <c r="Y3625"/>
      <c r="Z3625"/>
      <c r="AA3625"/>
      <c r="AB3625"/>
      <c r="AC3625"/>
      <c r="AD3625"/>
      <c r="AE3625"/>
      <c r="AF3625"/>
      <c r="AG3625"/>
      <c r="AH3625"/>
      <c r="AI3625"/>
      <c r="AJ3625"/>
      <c r="AK3625"/>
      <c r="AL3625"/>
    </row>
    <row r="3626" spans="1:38" ht="15.75" customHeight="1" outlineLevel="2" x14ac:dyDescent="0.2">
      <c r="A3626" s="1067">
        <v>1</v>
      </c>
      <c r="B3626" s="1067" t="s">
        <v>68</v>
      </c>
      <c r="C3626" s="1067" t="s">
        <v>709</v>
      </c>
      <c r="D3626" s="1067" t="s">
        <v>709</v>
      </c>
      <c r="E3626" s="1068" t="s">
        <v>113</v>
      </c>
      <c r="F3626" s="1067"/>
      <c r="G3626" s="1069" t="str">
        <f t="array" ref="G3626">IF(B3626="insumo",_xlfn.XLOOKUP($D3626,Insumos!$B$1:$B$996,Insumos!$D$1:$D$996),"")</f>
        <v/>
      </c>
      <c r="H3626" s="1069">
        <v>2.1364390000000002</v>
      </c>
      <c r="I3626" s="1070">
        <v>0</v>
      </c>
      <c r="J3626" s="1070">
        <v>0</v>
      </c>
      <c r="K3626" s="1070"/>
      <c r="L3626"/>
      <c r="M3626"/>
      <c r="N3626"/>
      <c r="O3626"/>
      <c r="P3626"/>
      <c r="Q3626"/>
      <c r="R3626"/>
      <c r="S3626"/>
      <c r="T3626"/>
      <c r="U3626"/>
      <c r="V3626"/>
      <c r="W3626"/>
      <c r="X3626"/>
      <c r="Y3626"/>
      <c r="Z3626"/>
      <c r="AA3626"/>
      <c r="AB3626"/>
      <c r="AC3626"/>
      <c r="AD3626"/>
      <c r="AE3626"/>
      <c r="AF3626"/>
      <c r="AG3626"/>
      <c r="AH3626"/>
      <c r="AI3626"/>
      <c r="AJ3626"/>
      <c r="AK3626"/>
      <c r="AL3626"/>
    </row>
    <row r="3627" spans="1:38" ht="15.75" customHeight="1" outlineLevel="3" x14ac:dyDescent="0.2">
      <c r="A3627" s="10">
        <v>2</v>
      </c>
      <c r="B3627" s="10" t="s">
        <v>71</v>
      </c>
      <c r="C3627" s="10" t="s">
        <v>709</v>
      </c>
      <c r="D3627" s="10" t="s">
        <v>710</v>
      </c>
      <c r="E3627" s="11" t="str">
        <f t="array" ref="E3627">_xlfn.XLOOKUP(D3627,Insumos!B:B,Insumos!C:$C)</f>
        <v>KG</v>
      </c>
      <c r="F3627" s="14">
        <v>4.0300000000000002E-2</v>
      </c>
      <c r="G3627" s="92">
        <f t="array" ref="G3627">IF(B3627="insumo",_xlfn.XLOOKUP($D3627,Insumos!$B$1:$B$996,Insumos!$D$1:$D$996),"")</f>
        <v>29.13</v>
      </c>
      <c r="H3627" s="92">
        <v>1.1739390000000001</v>
      </c>
      <c r="I3627" s="13">
        <v>0</v>
      </c>
      <c r="J3627" s="13">
        <v>0</v>
      </c>
      <c r="K3627" s="13"/>
      <c r="L3627"/>
      <c r="M3627"/>
      <c r="N3627"/>
      <c r="O3627"/>
      <c r="P3627"/>
      <c r="Q3627"/>
      <c r="R3627"/>
      <c r="S3627"/>
      <c r="T3627"/>
      <c r="U3627"/>
      <c r="V3627"/>
      <c r="W3627"/>
      <c r="X3627"/>
      <c r="Y3627"/>
      <c r="Z3627"/>
      <c r="AA3627"/>
      <c r="AB3627"/>
      <c r="AC3627"/>
      <c r="AD3627"/>
      <c r="AE3627"/>
      <c r="AF3627"/>
      <c r="AG3627"/>
      <c r="AH3627"/>
      <c r="AI3627"/>
      <c r="AJ3627"/>
      <c r="AK3627"/>
      <c r="AL3627"/>
    </row>
    <row r="3628" spans="1:38" ht="15.75" customHeight="1" outlineLevel="3" x14ac:dyDescent="0.2">
      <c r="A3628" s="10">
        <v>2</v>
      </c>
      <c r="B3628" s="10" t="s">
        <v>71</v>
      </c>
      <c r="C3628" s="10" t="s">
        <v>709</v>
      </c>
      <c r="D3628" s="10" t="s">
        <v>709</v>
      </c>
      <c r="E3628" s="11" t="str">
        <f t="array" ref="E3628">_xlfn.XLOOKUP(D3628,Insumos!B:B,Insumos!C:$C)</f>
        <v>M</v>
      </c>
      <c r="F3628" s="14">
        <v>0.05</v>
      </c>
      <c r="G3628" s="92">
        <f t="array" ref="G3628">IF(B3628="insumo",_xlfn.XLOOKUP($D3628,Insumos!$B$1:$B$996,Insumos!$D$1:$D$996),"")</f>
        <v>19.25</v>
      </c>
      <c r="H3628" s="92">
        <v>0.96250000000000002</v>
      </c>
      <c r="I3628" s="13">
        <v>0</v>
      </c>
      <c r="J3628" s="13">
        <v>0</v>
      </c>
      <c r="K3628" s="13"/>
      <c r="L3628"/>
      <c r="M3628"/>
      <c r="N3628"/>
      <c r="O3628"/>
      <c r="P3628"/>
      <c r="Q3628"/>
      <c r="R3628"/>
      <c r="S3628"/>
      <c r="T3628"/>
      <c r="U3628"/>
      <c r="V3628"/>
      <c r="W3628"/>
      <c r="X3628"/>
      <c r="Y3628"/>
      <c r="Z3628"/>
      <c r="AA3628"/>
      <c r="AB3628"/>
      <c r="AC3628"/>
      <c r="AD3628"/>
      <c r="AE3628"/>
      <c r="AF3628"/>
      <c r="AG3628"/>
      <c r="AH3628"/>
      <c r="AI3628"/>
      <c r="AJ3628"/>
      <c r="AK3628"/>
      <c r="AL3628"/>
    </row>
    <row r="3629" spans="1:38" ht="15.75" customHeight="1" outlineLevel="2" x14ac:dyDescent="0.2">
      <c r="A3629" s="1067">
        <v>1</v>
      </c>
      <c r="B3629" s="1067" t="s">
        <v>68</v>
      </c>
      <c r="C3629" s="1067" t="s">
        <v>1517</v>
      </c>
      <c r="D3629" s="1067" t="s">
        <v>1517</v>
      </c>
      <c r="E3629" s="1068" t="s">
        <v>113</v>
      </c>
      <c r="F3629" s="1067"/>
      <c r="G3629" s="1069" t="str">
        <f t="array" ref="G3629">IF(B3629="insumo",_xlfn.XLOOKUP($D3629,Insumos!$B$1:$B$996,Insumos!$D$1:$D$996),"")</f>
        <v/>
      </c>
      <c r="H3629" s="1069">
        <v>16.573938999999999</v>
      </c>
      <c r="I3629" s="1070">
        <v>0</v>
      </c>
      <c r="J3629" s="1070">
        <v>0</v>
      </c>
      <c r="K3629" s="1070"/>
      <c r="L3629"/>
      <c r="M3629"/>
      <c r="N3629"/>
      <c r="O3629"/>
      <c r="P3629"/>
      <c r="Q3629"/>
      <c r="R3629"/>
      <c r="S3629"/>
      <c r="T3629"/>
      <c r="U3629"/>
      <c r="V3629"/>
      <c r="W3629"/>
      <c r="X3629"/>
      <c r="Y3629"/>
      <c r="Z3629"/>
      <c r="AA3629"/>
      <c r="AB3629"/>
      <c r="AC3629"/>
      <c r="AD3629"/>
      <c r="AE3629"/>
      <c r="AF3629"/>
      <c r="AG3629"/>
      <c r="AH3629"/>
      <c r="AI3629"/>
      <c r="AJ3629"/>
      <c r="AK3629"/>
      <c r="AL3629"/>
    </row>
    <row r="3630" spans="1:38" ht="15.75" customHeight="1" outlineLevel="3" x14ac:dyDescent="0.2">
      <c r="A3630" s="10">
        <v>2</v>
      </c>
      <c r="B3630" s="10" t="s">
        <v>71</v>
      </c>
      <c r="C3630" s="10" t="s">
        <v>1517</v>
      </c>
      <c r="D3630" s="10" t="s">
        <v>710</v>
      </c>
      <c r="E3630" s="11" t="str">
        <f t="array" ref="E3630">_xlfn.XLOOKUP(D3630,Insumos!B:B,Insumos!C:$C)</f>
        <v>KG</v>
      </c>
      <c r="F3630" s="14">
        <v>4.0300000000000002E-2</v>
      </c>
      <c r="G3630" s="92">
        <f t="array" ref="G3630">IF(B3630="insumo",_xlfn.XLOOKUP($D3630,Insumos!$B$1:$B$996,Insumos!$D$1:$D$996),"")</f>
        <v>29.13</v>
      </c>
      <c r="H3630" s="92">
        <v>1.1739390000000001</v>
      </c>
      <c r="I3630" s="13">
        <v>0</v>
      </c>
      <c r="J3630" s="13">
        <v>0</v>
      </c>
      <c r="K3630" s="13"/>
      <c r="L3630"/>
      <c r="M3630"/>
      <c r="N3630"/>
      <c r="O3630"/>
      <c r="P3630"/>
      <c r="Q3630"/>
      <c r="R3630"/>
      <c r="S3630"/>
      <c r="T3630"/>
      <c r="U3630"/>
      <c r="V3630"/>
      <c r="W3630"/>
      <c r="X3630"/>
      <c r="Y3630"/>
      <c r="Z3630"/>
      <c r="AA3630"/>
      <c r="AB3630"/>
      <c r="AC3630"/>
      <c r="AD3630"/>
      <c r="AE3630"/>
      <c r="AF3630"/>
      <c r="AG3630"/>
      <c r="AH3630"/>
      <c r="AI3630"/>
      <c r="AJ3630"/>
      <c r="AK3630"/>
      <c r="AL3630"/>
    </row>
    <row r="3631" spans="1:38" ht="15.75" customHeight="1" outlineLevel="3" x14ac:dyDescent="0.2">
      <c r="A3631" s="10">
        <v>1</v>
      </c>
      <c r="B3631" s="10" t="s">
        <v>71</v>
      </c>
      <c r="C3631" s="10" t="s">
        <v>1517</v>
      </c>
      <c r="D3631" s="10" t="s">
        <v>1517</v>
      </c>
      <c r="E3631" s="11" t="str">
        <f t="array" ref="E3631">_xlfn.XLOOKUP(D3631,Insumos!B:B,Insumos!C:$C)</f>
        <v>M</v>
      </c>
      <c r="F3631" s="14">
        <v>0.2</v>
      </c>
      <c r="G3631" s="92">
        <f t="array" ref="G3631">IF(B3631="insumo",_xlfn.XLOOKUP($D3631,Insumos!$B$1:$B$996,Insumos!$D$1:$D$996),"")</f>
        <v>77</v>
      </c>
      <c r="H3631" s="92">
        <v>15.4</v>
      </c>
      <c r="I3631" s="13">
        <v>0</v>
      </c>
      <c r="J3631" s="13">
        <v>0</v>
      </c>
      <c r="K3631" s="13"/>
      <c r="L3631"/>
      <c r="M3631"/>
      <c r="N3631"/>
      <c r="O3631"/>
      <c r="P3631"/>
      <c r="Q3631"/>
      <c r="R3631"/>
      <c r="S3631"/>
      <c r="T3631"/>
      <c r="U3631"/>
      <c r="V3631"/>
      <c r="W3631"/>
      <c r="X3631"/>
      <c r="Y3631"/>
      <c r="Z3631"/>
      <c r="AA3631"/>
      <c r="AB3631"/>
      <c r="AC3631"/>
      <c r="AD3631"/>
      <c r="AE3631"/>
      <c r="AF3631"/>
      <c r="AG3631"/>
      <c r="AH3631"/>
      <c r="AI3631"/>
      <c r="AJ3631"/>
      <c r="AK3631"/>
      <c r="AL3631"/>
    </row>
    <row r="3632" spans="1:38" ht="15.75" customHeight="1" outlineLevel="2" x14ac:dyDescent="0.2">
      <c r="A3632" s="1067">
        <v>1</v>
      </c>
      <c r="B3632" s="1067" t="s">
        <v>68</v>
      </c>
      <c r="C3632" s="1067" t="s">
        <v>711</v>
      </c>
      <c r="D3632" s="1067" t="s">
        <v>711</v>
      </c>
      <c r="E3632" s="1068" t="s">
        <v>113</v>
      </c>
      <c r="F3632" s="1067"/>
      <c r="G3632" s="1069" t="str">
        <f t="array" ref="G3632">IF(B3632="insumo",_xlfn.XLOOKUP($D3632,Insumos!$B$1:$B$996,Insumos!$D$1:$D$996),"")</f>
        <v/>
      </c>
      <c r="H3632" s="1069">
        <v>44.912275000000001</v>
      </c>
      <c r="I3632" s="1070">
        <v>0</v>
      </c>
      <c r="J3632" s="1070">
        <v>0</v>
      </c>
      <c r="K3632" s="1070"/>
      <c r="L3632"/>
      <c r="M3632"/>
      <c r="N3632"/>
      <c r="O3632"/>
      <c r="P3632"/>
      <c r="Q3632"/>
      <c r="R3632"/>
      <c r="S3632"/>
      <c r="T3632"/>
      <c r="U3632"/>
      <c r="V3632"/>
      <c r="W3632"/>
      <c r="X3632"/>
      <c r="Y3632"/>
      <c r="Z3632"/>
      <c r="AA3632"/>
      <c r="AB3632"/>
      <c r="AC3632"/>
      <c r="AD3632"/>
      <c r="AE3632"/>
      <c r="AF3632"/>
      <c r="AG3632"/>
      <c r="AH3632"/>
      <c r="AI3632"/>
      <c r="AJ3632"/>
      <c r="AK3632"/>
      <c r="AL3632"/>
    </row>
    <row r="3633" spans="1:38" ht="15.75" customHeight="1" outlineLevel="3" x14ac:dyDescent="0.2">
      <c r="A3633" s="10">
        <v>10</v>
      </c>
      <c r="B3633" s="10" t="s">
        <v>71</v>
      </c>
      <c r="C3633" s="10" t="s">
        <v>711</v>
      </c>
      <c r="D3633" s="10" t="s">
        <v>531</v>
      </c>
      <c r="E3633" s="11" t="str">
        <f t="array" ref="E3633">_xlfn.XLOOKUP(D3633,Insumos!B:B,Insumos!C:$C)</f>
        <v>M2</v>
      </c>
      <c r="F3633" s="14">
        <v>5.5000000000000007E-2</v>
      </c>
      <c r="G3633" s="92">
        <f t="array" ref="G3633">IF(B3633="insumo",_xlfn.XLOOKUP($D3633,Insumos!$B$1:$B$996,Insumos!$D$1:$D$996),"")</f>
        <v>800</v>
      </c>
      <c r="H3633" s="92">
        <v>44</v>
      </c>
      <c r="I3633" s="13">
        <v>0</v>
      </c>
      <c r="J3633" s="13">
        <v>0</v>
      </c>
      <c r="K3633" s="13"/>
      <c r="L3633"/>
      <c r="M3633"/>
      <c r="N3633"/>
      <c r="O3633"/>
      <c r="P3633"/>
      <c r="Q3633"/>
      <c r="R3633"/>
      <c r="S3633"/>
      <c r="T3633"/>
      <c r="U3633"/>
      <c r="V3633"/>
      <c r="W3633"/>
      <c r="X3633"/>
      <c r="Y3633"/>
      <c r="Z3633"/>
      <c r="AA3633"/>
      <c r="AB3633"/>
      <c r="AC3633"/>
      <c r="AD3633"/>
      <c r="AE3633"/>
      <c r="AF3633"/>
      <c r="AG3633"/>
      <c r="AH3633"/>
      <c r="AI3633"/>
      <c r="AJ3633"/>
      <c r="AK3633"/>
      <c r="AL3633"/>
    </row>
    <row r="3634" spans="1:38" ht="15.75" customHeight="1" outlineLevel="3" x14ac:dyDescent="0.2">
      <c r="A3634" s="10">
        <v>191</v>
      </c>
      <c r="B3634" s="10" t="s">
        <v>71</v>
      </c>
      <c r="C3634" s="10" t="s">
        <v>711</v>
      </c>
      <c r="D3634" s="10" t="s">
        <v>481</v>
      </c>
      <c r="E3634" s="11" t="str">
        <f t="array" ref="E3634">_xlfn.XLOOKUP(D3634,Insumos!B:B,Insumos!C:$C)</f>
        <v>KG</v>
      </c>
      <c r="F3634" s="14">
        <v>0.45</v>
      </c>
      <c r="G3634" s="92">
        <f t="array" ref="G3634">IF(B3634="insumo",_xlfn.XLOOKUP($D3634,Insumos!$B$1:$B$996,Insumos!$D$1:$D$996),"")</f>
        <v>1.0645</v>
      </c>
      <c r="H3634" s="92">
        <v>0.47902499999999998</v>
      </c>
      <c r="I3634" s="13">
        <v>0</v>
      </c>
      <c r="J3634" s="13">
        <v>0</v>
      </c>
      <c r="K3634" s="13"/>
      <c r="L3634"/>
      <c r="M3634"/>
      <c r="N3634"/>
      <c r="O3634"/>
      <c r="P3634"/>
      <c r="Q3634"/>
      <c r="R3634"/>
      <c r="S3634"/>
      <c r="T3634"/>
      <c r="U3634"/>
      <c r="V3634"/>
      <c r="W3634"/>
      <c r="X3634"/>
      <c r="Y3634"/>
      <c r="Z3634"/>
      <c r="AA3634"/>
      <c r="AB3634"/>
      <c r="AC3634"/>
      <c r="AD3634"/>
      <c r="AE3634"/>
      <c r="AF3634"/>
      <c r="AG3634"/>
      <c r="AH3634"/>
      <c r="AI3634"/>
      <c r="AJ3634"/>
      <c r="AK3634"/>
      <c r="AL3634"/>
    </row>
    <row r="3635" spans="1:38" ht="15.75" customHeight="1" outlineLevel="3" x14ac:dyDescent="0.2">
      <c r="A3635" s="10">
        <v>34</v>
      </c>
      <c r="B3635" s="10" t="s">
        <v>71</v>
      </c>
      <c r="C3635" s="10" t="s">
        <v>711</v>
      </c>
      <c r="D3635" s="10" t="s">
        <v>538</v>
      </c>
      <c r="E3635" s="11" t="str">
        <f t="array" ref="E3635">_xlfn.XLOOKUP(D3635,Insumos!B:B,Insumos!C:$C)</f>
        <v>UN</v>
      </c>
      <c r="F3635" s="14">
        <v>2.5000000000000001E-2</v>
      </c>
      <c r="G3635" s="92">
        <f t="array" ref="G3635">IF(B3635="insumo",_xlfn.XLOOKUP($D3635,Insumos!$B$1:$B$996,Insumos!$D$1:$D$996),"")</f>
        <v>17.329999999999998</v>
      </c>
      <c r="H3635" s="92">
        <v>0.43325000000000002</v>
      </c>
      <c r="I3635" s="13">
        <v>0</v>
      </c>
      <c r="J3635" s="13">
        <v>0</v>
      </c>
      <c r="K3635" s="13"/>
      <c r="L3635"/>
      <c r="M3635"/>
      <c r="N3635"/>
      <c r="O3635"/>
      <c r="P3635"/>
      <c r="Q3635"/>
      <c r="R3635"/>
      <c r="S3635"/>
      <c r="T3635"/>
      <c r="U3635"/>
      <c r="V3635"/>
      <c r="W3635"/>
      <c r="X3635"/>
      <c r="Y3635"/>
      <c r="Z3635"/>
      <c r="AA3635"/>
      <c r="AB3635"/>
      <c r="AC3635"/>
      <c r="AD3635"/>
      <c r="AE3635"/>
      <c r="AF3635"/>
      <c r="AG3635"/>
      <c r="AH3635"/>
      <c r="AI3635"/>
      <c r="AJ3635"/>
      <c r="AK3635"/>
      <c r="AL3635"/>
    </row>
    <row r="3636" spans="1:38" ht="15.75" customHeight="1" outlineLevel="2" x14ac:dyDescent="0.2">
      <c r="A3636" s="1067">
        <v>1</v>
      </c>
      <c r="B3636" s="1067" t="s">
        <v>68</v>
      </c>
      <c r="C3636" s="1067" t="s">
        <v>712</v>
      </c>
      <c r="D3636" s="1067" t="s">
        <v>712</v>
      </c>
      <c r="E3636" s="1068" t="s">
        <v>113</v>
      </c>
      <c r="F3636" s="1067"/>
      <c r="G3636" s="1069" t="str">
        <f t="array" ref="G3636">IF(B3636="insumo",_xlfn.XLOOKUP($D3636,Insumos!$B$1:$B$996,Insumos!$D$1:$D$996),"")</f>
        <v/>
      </c>
      <c r="H3636" s="1069">
        <v>134.73682500000001</v>
      </c>
      <c r="I3636" s="1070">
        <v>0</v>
      </c>
      <c r="J3636" s="1070">
        <v>0</v>
      </c>
      <c r="K3636" s="1070"/>
      <c r="L3636"/>
      <c r="M3636"/>
      <c r="N3636"/>
      <c r="O3636"/>
      <c r="P3636"/>
      <c r="Q3636"/>
      <c r="R3636"/>
      <c r="S3636"/>
      <c r="T3636"/>
      <c r="U3636"/>
      <c r="V3636"/>
      <c r="W3636"/>
      <c r="X3636"/>
      <c r="Y3636"/>
      <c r="Z3636"/>
      <c r="AA3636"/>
      <c r="AB3636"/>
      <c r="AC3636"/>
      <c r="AD3636"/>
      <c r="AE3636"/>
      <c r="AF3636"/>
      <c r="AG3636"/>
      <c r="AH3636"/>
      <c r="AI3636"/>
      <c r="AJ3636"/>
      <c r="AK3636"/>
      <c r="AL3636"/>
    </row>
    <row r="3637" spans="1:38" ht="15.75" customHeight="1" outlineLevel="3" x14ac:dyDescent="0.2">
      <c r="A3637" s="10">
        <v>10</v>
      </c>
      <c r="B3637" s="10" t="s">
        <v>71</v>
      </c>
      <c r="C3637" s="10" t="s">
        <v>712</v>
      </c>
      <c r="D3637" s="10" t="s">
        <v>531</v>
      </c>
      <c r="E3637" s="11" t="str">
        <f t="array" ref="E3637">_xlfn.XLOOKUP(D3637,Insumos!B:B,Insumos!C:$C)</f>
        <v>M2</v>
      </c>
      <c r="F3637" s="14">
        <v>0.16500000000000001</v>
      </c>
      <c r="G3637" s="92">
        <f t="array" ref="G3637">IF(B3637="insumo",_xlfn.XLOOKUP($D3637,Insumos!$B$1:$B$996,Insumos!$D$1:$D$996),"")</f>
        <v>800</v>
      </c>
      <c r="H3637" s="92">
        <v>132</v>
      </c>
      <c r="I3637" s="13">
        <v>0</v>
      </c>
      <c r="J3637" s="13">
        <v>0</v>
      </c>
      <c r="K3637" s="13"/>
      <c r="L3637"/>
      <c r="M3637"/>
      <c r="N3637"/>
      <c r="O3637"/>
      <c r="P3637"/>
      <c r="Q3637"/>
      <c r="R3637"/>
      <c r="S3637"/>
      <c r="T3637"/>
      <c r="U3637"/>
      <c r="V3637"/>
      <c r="W3637"/>
      <c r="X3637"/>
      <c r="Y3637"/>
      <c r="Z3637"/>
      <c r="AA3637"/>
      <c r="AB3637"/>
      <c r="AC3637"/>
      <c r="AD3637"/>
      <c r="AE3637"/>
      <c r="AF3637"/>
      <c r="AG3637"/>
      <c r="AH3637"/>
      <c r="AI3637"/>
      <c r="AJ3637"/>
      <c r="AK3637"/>
      <c r="AL3637"/>
    </row>
    <row r="3638" spans="1:38" ht="15.75" customHeight="1" outlineLevel="3" x14ac:dyDescent="0.2">
      <c r="A3638" s="10">
        <v>191</v>
      </c>
      <c r="B3638" s="10" t="s">
        <v>71</v>
      </c>
      <c r="C3638" s="10" t="s">
        <v>712</v>
      </c>
      <c r="D3638" s="10" t="s">
        <v>481</v>
      </c>
      <c r="E3638" s="11" t="str">
        <f t="array" ref="E3638">_xlfn.XLOOKUP(D3638,Insumos!B:B,Insumos!C:$C)</f>
        <v>KG</v>
      </c>
      <c r="F3638" s="14">
        <v>1.3499999999999999</v>
      </c>
      <c r="G3638" s="92">
        <f t="array" ref="G3638">IF(B3638="insumo",_xlfn.XLOOKUP($D3638,Insumos!$B$1:$B$996,Insumos!$D$1:$D$996),"")</f>
        <v>1.0645</v>
      </c>
      <c r="H3638" s="92">
        <v>1.4370750000000001</v>
      </c>
      <c r="I3638" s="13">
        <v>0</v>
      </c>
      <c r="J3638" s="13">
        <v>0</v>
      </c>
      <c r="K3638" s="13"/>
      <c r="L3638"/>
      <c r="M3638"/>
      <c r="N3638"/>
      <c r="O3638"/>
      <c r="P3638"/>
      <c r="Q3638"/>
      <c r="R3638"/>
      <c r="S3638"/>
      <c r="T3638"/>
      <c r="U3638"/>
      <c r="V3638"/>
      <c r="W3638"/>
      <c r="X3638"/>
      <c r="Y3638"/>
      <c r="Z3638"/>
      <c r="AA3638"/>
      <c r="AB3638"/>
      <c r="AC3638"/>
      <c r="AD3638"/>
      <c r="AE3638"/>
      <c r="AF3638"/>
      <c r="AG3638"/>
      <c r="AH3638"/>
      <c r="AI3638"/>
      <c r="AJ3638"/>
      <c r="AK3638"/>
      <c r="AL3638"/>
    </row>
    <row r="3639" spans="1:38" ht="15.75" customHeight="1" outlineLevel="3" x14ac:dyDescent="0.2">
      <c r="A3639" s="10">
        <v>34</v>
      </c>
      <c r="B3639" s="10" t="s">
        <v>71</v>
      </c>
      <c r="C3639" s="10" t="s">
        <v>712</v>
      </c>
      <c r="D3639" s="10" t="s">
        <v>538</v>
      </c>
      <c r="E3639" s="11" t="str">
        <f t="array" ref="E3639">_xlfn.XLOOKUP(D3639,Insumos!B:B,Insumos!C:$C)</f>
        <v>UN</v>
      </c>
      <c r="F3639" s="14">
        <v>7.4999999999999997E-2</v>
      </c>
      <c r="G3639" s="92">
        <f t="array" ref="G3639">IF(B3639="insumo",_xlfn.XLOOKUP($D3639,Insumos!$B$1:$B$996,Insumos!$D$1:$D$996),"")</f>
        <v>17.329999999999998</v>
      </c>
      <c r="H3639" s="92">
        <v>1.29975</v>
      </c>
      <c r="I3639" s="13">
        <v>0</v>
      </c>
      <c r="J3639" s="13">
        <v>0</v>
      </c>
      <c r="K3639" s="13"/>
      <c r="L3639"/>
      <c r="M3639"/>
      <c r="N3639"/>
      <c r="O3639"/>
      <c r="P3639"/>
      <c r="Q3639"/>
      <c r="R3639"/>
      <c r="S3639"/>
      <c r="T3639"/>
      <c r="U3639"/>
      <c r="V3639"/>
      <c r="W3639"/>
      <c r="X3639"/>
      <c r="Y3639"/>
      <c r="Z3639"/>
      <c r="AA3639"/>
      <c r="AB3639"/>
      <c r="AC3639"/>
      <c r="AD3639"/>
      <c r="AE3639"/>
      <c r="AF3639"/>
      <c r="AG3639"/>
      <c r="AH3639"/>
      <c r="AI3639"/>
      <c r="AJ3639"/>
      <c r="AK3639"/>
      <c r="AL3639"/>
    </row>
    <row r="3640" spans="1:38" ht="15.75" customHeight="1" outlineLevel="2" x14ac:dyDescent="0.2">
      <c r="A3640" s="1067">
        <v>1</v>
      </c>
      <c r="B3640" s="1067" t="s">
        <v>68</v>
      </c>
      <c r="C3640" s="1067" t="s">
        <v>1519</v>
      </c>
      <c r="D3640" s="1067" t="s">
        <v>1519</v>
      </c>
      <c r="E3640" s="1068" t="s">
        <v>113</v>
      </c>
      <c r="F3640" s="1067"/>
      <c r="G3640" s="1069" t="str">
        <f t="array" ref="G3640">IF(B3640="insumo",_xlfn.XLOOKUP($D3640,Insumos!$B$1:$B$996,Insumos!$D$1:$D$996),"")</f>
        <v/>
      </c>
      <c r="H3640" s="1069">
        <v>170.73682500000001</v>
      </c>
      <c r="I3640" s="1070">
        <v>0</v>
      </c>
      <c r="J3640" s="1070">
        <v>0</v>
      </c>
      <c r="K3640" s="1070"/>
      <c r="L3640"/>
      <c r="M3640"/>
      <c r="N3640"/>
      <c r="O3640"/>
      <c r="P3640"/>
      <c r="Q3640"/>
      <c r="R3640"/>
      <c r="S3640"/>
      <c r="T3640"/>
      <c r="U3640"/>
      <c r="V3640"/>
      <c r="W3640"/>
      <c r="X3640"/>
      <c r="Y3640"/>
      <c r="Z3640"/>
      <c r="AA3640"/>
      <c r="AB3640"/>
      <c r="AC3640"/>
      <c r="AD3640"/>
      <c r="AE3640"/>
      <c r="AF3640"/>
      <c r="AG3640"/>
      <c r="AH3640"/>
      <c r="AI3640"/>
      <c r="AJ3640"/>
      <c r="AK3640"/>
      <c r="AL3640"/>
    </row>
    <row r="3641" spans="1:38" ht="15.75" customHeight="1" outlineLevel="3" x14ac:dyDescent="0.2">
      <c r="A3641" s="10">
        <v>10</v>
      </c>
      <c r="B3641" s="10" t="s">
        <v>71</v>
      </c>
      <c r="C3641" s="10" t="s">
        <v>1519</v>
      </c>
      <c r="D3641" s="10" t="s">
        <v>531</v>
      </c>
      <c r="E3641" s="11" t="str">
        <f t="array" ref="E3641">_xlfn.XLOOKUP(D3641,Insumos!B:B,Insumos!C:$C)</f>
        <v>M2</v>
      </c>
      <c r="F3641" s="14">
        <f>0.2*1.05</f>
        <v>0.21000000000000002</v>
      </c>
      <c r="G3641" s="92">
        <f t="array" ref="G3641">IF(B3641="insumo",_xlfn.XLOOKUP($D3641,Insumos!$B$1:$B$996,Insumos!$D$1:$D$996),"")</f>
        <v>800</v>
      </c>
      <c r="H3641" s="92">
        <v>168</v>
      </c>
      <c r="I3641" s="13">
        <v>0</v>
      </c>
      <c r="J3641" s="13">
        <v>0</v>
      </c>
      <c r="K3641" s="13"/>
      <c r="L3641"/>
      <c r="M3641"/>
      <c r="N3641"/>
      <c r="O3641"/>
      <c r="P3641"/>
      <c r="Q3641"/>
      <c r="R3641"/>
      <c r="S3641"/>
      <c r="T3641"/>
      <c r="U3641"/>
      <c r="V3641"/>
      <c r="W3641"/>
      <c r="X3641"/>
      <c r="Y3641"/>
      <c r="Z3641"/>
      <c r="AA3641"/>
      <c r="AB3641"/>
      <c r="AC3641"/>
      <c r="AD3641"/>
      <c r="AE3641"/>
      <c r="AF3641"/>
      <c r="AG3641"/>
      <c r="AH3641"/>
      <c r="AI3641"/>
      <c r="AJ3641"/>
      <c r="AK3641"/>
      <c r="AL3641"/>
    </row>
    <row r="3642" spans="1:38" ht="15.75" customHeight="1" outlineLevel="3" x14ac:dyDescent="0.2">
      <c r="A3642" s="10">
        <v>191</v>
      </c>
      <c r="B3642" s="10" t="s">
        <v>71</v>
      </c>
      <c r="C3642" s="10" t="s">
        <v>1519</v>
      </c>
      <c r="D3642" s="10" t="s">
        <v>481</v>
      </c>
      <c r="E3642" s="11" t="str">
        <f t="array" ref="E3642">_xlfn.XLOOKUP(D3642,Insumos!B:B,Insumos!C:$C)</f>
        <v>KG</v>
      </c>
      <c r="F3642" s="14">
        <v>1.3499999999999999</v>
      </c>
      <c r="G3642" s="92">
        <f t="array" ref="G3642">IF(B3642="insumo",_xlfn.XLOOKUP($D3642,Insumos!$B$1:$B$996,Insumos!$D$1:$D$996),"")</f>
        <v>1.0645</v>
      </c>
      <c r="H3642" s="92">
        <v>1.4370750000000001</v>
      </c>
      <c r="I3642" s="13">
        <v>0</v>
      </c>
      <c r="J3642" s="13">
        <v>0</v>
      </c>
      <c r="K3642" s="13"/>
      <c r="L3642"/>
      <c r="M3642"/>
      <c r="N3642"/>
      <c r="O3642"/>
      <c r="P3642"/>
      <c r="Q3642"/>
      <c r="R3642"/>
      <c r="S3642"/>
      <c r="T3642"/>
      <c r="U3642"/>
      <c r="V3642"/>
      <c r="W3642"/>
      <c r="X3642"/>
      <c r="Y3642"/>
      <c r="Z3642"/>
      <c r="AA3642"/>
      <c r="AB3642"/>
      <c r="AC3642"/>
      <c r="AD3642"/>
      <c r="AE3642"/>
      <c r="AF3642"/>
      <c r="AG3642"/>
      <c r="AH3642"/>
      <c r="AI3642"/>
      <c r="AJ3642"/>
      <c r="AK3642"/>
      <c r="AL3642"/>
    </row>
    <row r="3643" spans="1:38" ht="15.75" customHeight="1" outlineLevel="3" x14ac:dyDescent="0.2">
      <c r="A3643" s="10">
        <v>34</v>
      </c>
      <c r="B3643" s="10" t="s">
        <v>71</v>
      </c>
      <c r="C3643" s="10" t="s">
        <v>1519</v>
      </c>
      <c r="D3643" s="10" t="s">
        <v>538</v>
      </c>
      <c r="E3643" s="11" t="str">
        <f t="array" ref="E3643">_xlfn.XLOOKUP(D3643,Insumos!B:B,Insumos!C:$C)</f>
        <v>UN</v>
      </c>
      <c r="F3643" s="14">
        <v>7.4999999999999997E-2</v>
      </c>
      <c r="G3643" s="92">
        <f t="array" ref="G3643">IF(B3643="insumo",_xlfn.XLOOKUP($D3643,Insumos!$B$1:$B$996,Insumos!$D$1:$D$996),"")</f>
        <v>17.329999999999998</v>
      </c>
      <c r="H3643" s="92">
        <v>1.29975</v>
      </c>
      <c r="I3643" s="13">
        <v>0</v>
      </c>
      <c r="J3643" s="13">
        <v>0</v>
      </c>
      <c r="K3643" s="13"/>
      <c r="L3643"/>
      <c r="M3643"/>
      <c r="N3643"/>
      <c r="O3643"/>
      <c r="P3643"/>
      <c r="Q3643"/>
      <c r="R3643"/>
      <c r="S3643"/>
      <c r="T3643"/>
      <c r="U3643"/>
      <c r="V3643"/>
      <c r="W3643"/>
      <c r="X3643"/>
      <c r="Y3643"/>
      <c r="Z3643"/>
      <c r="AA3643"/>
      <c r="AB3643"/>
      <c r="AC3643"/>
      <c r="AD3643"/>
      <c r="AE3643"/>
      <c r="AF3643"/>
      <c r="AG3643"/>
      <c r="AH3643"/>
      <c r="AI3643"/>
      <c r="AJ3643"/>
      <c r="AK3643"/>
      <c r="AL3643"/>
    </row>
    <row r="3644" spans="1:38" ht="15.75" customHeight="1" outlineLevel="2" x14ac:dyDescent="0.2">
      <c r="A3644" s="1067">
        <v>1</v>
      </c>
      <c r="B3644" s="1067" t="s">
        <v>68</v>
      </c>
      <c r="C3644" s="1067" t="s">
        <v>713</v>
      </c>
      <c r="D3644" s="1067" t="s">
        <v>713</v>
      </c>
      <c r="E3644" s="1068" t="s">
        <v>113</v>
      </c>
      <c r="F3644" s="1067"/>
      <c r="G3644" s="1069" t="str">
        <f t="array" ref="G3644">IF(B3644="insumo",_xlfn.XLOOKUP($D3644,Insumos!$B$1:$B$996,Insumos!$D$1:$D$996),"")</f>
        <v/>
      </c>
      <c r="H3644" s="1069">
        <v>256.1739</v>
      </c>
      <c r="I3644" s="1070">
        <v>0</v>
      </c>
      <c r="J3644" s="1070">
        <v>0</v>
      </c>
      <c r="K3644" s="1070"/>
      <c r="L3644"/>
      <c r="M3644"/>
      <c r="N3644"/>
      <c r="O3644"/>
      <c r="P3644"/>
      <c r="Q3644"/>
      <c r="R3644"/>
      <c r="S3644"/>
      <c r="T3644"/>
      <c r="U3644"/>
      <c r="V3644"/>
      <c r="W3644"/>
      <c r="X3644"/>
      <c r="Y3644"/>
      <c r="Z3644"/>
      <c r="AA3644"/>
      <c r="AB3644"/>
      <c r="AC3644"/>
      <c r="AD3644"/>
      <c r="AE3644"/>
      <c r="AF3644"/>
      <c r="AG3644"/>
      <c r="AH3644"/>
      <c r="AI3644"/>
      <c r="AJ3644"/>
      <c r="AK3644"/>
      <c r="AL3644"/>
    </row>
    <row r="3645" spans="1:38" ht="15.75" customHeight="1" outlineLevel="3" x14ac:dyDescent="0.2">
      <c r="A3645" s="10">
        <v>10</v>
      </c>
      <c r="B3645" s="10" t="s">
        <v>71</v>
      </c>
      <c r="C3645" s="10" t="s">
        <v>713</v>
      </c>
      <c r="D3645" s="10" t="s">
        <v>531</v>
      </c>
      <c r="E3645" s="11" t="str">
        <f t="array" ref="E3645">_xlfn.XLOOKUP(D3645,Insumos!B:B,Insumos!C:$C)</f>
        <v>M2</v>
      </c>
      <c r="F3645" s="14">
        <f>0.3*1.05</f>
        <v>0.315</v>
      </c>
      <c r="G3645" s="92">
        <f t="array" ref="G3645">IF(B3645="insumo",_xlfn.XLOOKUP($D3645,Insumos!$B$1:$B$996,Insumos!$D$1:$D$996),"")</f>
        <v>800</v>
      </c>
      <c r="H3645" s="92">
        <v>252</v>
      </c>
      <c r="I3645" s="13">
        <v>0</v>
      </c>
      <c r="J3645" s="13">
        <v>0</v>
      </c>
      <c r="K3645" s="13"/>
      <c r="L3645"/>
      <c r="M3645"/>
      <c r="N3645"/>
      <c r="O3645"/>
      <c r="P3645"/>
      <c r="Q3645"/>
      <c r="R3645"/>
      <c r="S3645"/>
      <c r="T3645"/>
      <c r="U3645"/>
      <c r="V3645"/>
      <c r="W3645"/>
      <c r="X3645"/>
      <c r="Y3645"/>
      <c r="Z3645"/>
      <c r="AA3645"/>
      <c r="AB3645"/>
      <c r="AC3645"/>
      <c r="AD3645"/>
      <c r="AE3645"/>
      <c r="AF3645"/>
      <c r="AG3645"/>
      <c r="AH3645"/>
      <c r="AI3645"/>
      <c r="AJ3645"/>
      <c r="AK3645"/>
      <c r="AL3645"/>
    </row>
    <row r="3646" spans="1:38" ht="15.75" customHeight="1" outlineLevel="3" x14ac:dyDescent="0.2">
      <c r="A3646" s="10">
        <v>191</v>
      </c>
      <c r="B3646" s="10" t="s">
        <v>71</v>
      </c>
      <c r="C3646" s="10" t="s">
        <v>713</v>
      </c>
      <c r="D3646" s="10" t="s">
        <v>481</v>
      </c>
      <c r="E3646" s="11" t="str">
        <f t="array" ref="E3646">_xlfn.XLOOKUP(D3646,Insumos!B:B,Insumos!C:$C)</f>
        <v>KG</v>
      </c>
      <c r="F3646" s="14">
        <f>9*0.3</f>
        <v>2.6999999999999997</v>
      </c>
      <c r="G3646" s="92">
        <f t="array" ref="G3646">IF(B3646="insumo",_xlfn.XLOOKUP($D3646,Insumos!$B$1:$B$996,Insumos!$D$1:$D$996),"")</f>
        <v>1.0645</v>
      </c>
      <c r="H3646" s="92">
        <v>2.8741500000000002</v>
      </c>
      <c r="I3646" s="13">
        <v>0</v>
      </c>
      <c r="J3646" s="13">
        <v>0</v>
      </c>
      <c r="K3646" s="13"/>
      <c r="L3646"/>
      <c r="M3646"/>
      <c r="N3646"/>
      <c r="O3646"/>
      <c r="P3646"/>
      <c r="Q3646"/>
      <c r="R3646"/>
      <c r="S3646"/>
      <c r="T3646"/>
      <c r="U3646"/>
      <c r="V3646"/>
      <c r="W3646"/>
      <c r="X3646"/>
      <c r="Y3646"/>
      <c r="Z3646"/>
      <c r="AA3646"/>
      <c r="AB3646"/>
      <c r="AC3646"/>
      <c r="AD3646"/>
      <c r="AE3646"/>
      <c r="AF3646"/>
      <c r="AG3646"/>
      <c r="AH3646"/>
      <c r="AI3646"/>
      <c r="AJ3646"/>
      <c r="AK3646"/>
      <c r="AL3646"/>
    </row>
    <row r="3647" spans="1:38" ht="15.75" customHeight="1" outlineLevel="3" x14ac:dyDescent="0.2">
      <c r="A3647" s="10">
        <v>34</v>
      </c>
      <c r="B3647" s="10" t="s">
        <v>71</v>
      </c>
      <c r="C3647" s="10" t="s">
        <v>713</v>
      </c>
      <c r="D3647" s="10" t="s">
        <v>538</v>
      </c>
      <c r="E3647" s="11" t="str">
        <f t="array" ref="E3647">_xlfn.XLOOKUP(D3647,Insumos!B:B,Insumos!C:$C)</f>
        <v>UN</v>
      </c>
      <c r="F3647" s="14">
        <v>7.4999999999999997E-2</v>
      </c>
      <c r="G3647" s="92">
        <f t="array" ref="G3647">IF(B3647="insumo",_xlfn.XLOOKUP($D3647,Insumos!$B$1:$B$996,Insumos!$D$1:$D$996),"")</f>
        <v>17.329999999999998</v>
      </c>
      <c r="H3647" s="92">
        <v>1.29975</v>
      </c>
      <c r="I3647" s="13">
        <v>0</v>
      </c>
      <c r="J3647" s="13">
        <v>0</v>
      </c>
      <c r="K3647" s="13"/>
      <c r="L3647"/>
      <c r="M3647"/>
      <c r="N3647"/>
      <c r="O3647"/>
      <c r="P3647"/>
      <c r="Q3647"/>
      <c r="R3647"/>
      <c r="S3647"/>
      <c r="T3647"/>
      <c r="U3647"/>
      <c r="V3647"/>
      <c r="W3647"/>
      <c r="X3647"/>
      <c r="Y3647"/>
      <c r="Z3647"/>
      <c r="AA3647"/>
      <c r="AB3647"/>
      <c r="AC3647"/>
      <c r="AD3647"/>
      <c r="AE3647"/>
      <c r="AF3647"/>
      <c r="AG3647"/>
      <c r="AH3647"/>
      <c r="AI3647"/>
      <c r="AJ3647"/>
      <c r="AK3647"/>
      <c r="AL3647"/>
    </row>
    <row r="3648" spans="1:38" ht="15.75" customHeight="1" outlineLevel="2" x14ac:dyDescent="0.2">
      <c r="A3648" s="1067">
        <v>1</v>
      </c>
      <c r="B3648" s="1067" t="s">
        <v>68</v>
      </c>
      <c r="C3648" s="1067" t="s">
        <v>714</v>
      </c>
      <c r="D3648" s="1067" t="s">
        <v>714</v>
      </c>
      <c r="E3648" s="1068" t="s">
        <v>113</v>
      </c>
      <c r="F3648" s="1067"/>
      <c r="G3648" s="1069" t="str">
        <f t="array" ref="G3648">IF(B3648="insumo",_xlfn.XLOOKUP($D3648,Insumos!$B$1:$B$996,Insumos!$D$1:$D$996),"")</f>
        <v/>
      </c>
      <c r="H3648" s="1069">
        <v>43.820583333333303</v>
      </c>
      <c r="I3648" s="1070" t="e">
        <v>#REF!</v>
      </c>
      <c r="J3648" s="1070" t="e">
        <v>#REF!</v>
      </c>
      <c r="K3648" s="1070"/>
      <c r="L3648"/>
      <c r="M3648"/>
      <c r="N3648"/>
      <c r="O3648"/>
      <c r="P3648"/>
      <c r="Q3648"/>
      <c r="R3648"/>
      <c r="S3648"/>
      <c r="T3648"/>
      <c r="U3648"/>
      <c r="V3648"/>
      <c r="W3648"/>
      <c r="X3648"/>
      <c r="Y3648"/>
      <c r="Z3648"/>
      <c r="AA3648"/>
      <c r="AB3648"/>
      <c r="AC3648"/>
      <c r="AD3648"/>
      <c r="AE3648"/>
      <c r="AF3648"/>
      <c r="AG3648"/>
      <c r="AH3648"/>
      <c r="AI3648"/>
      <c r="AJ3648"/>
      <c r="AK3648"/>
      <c r="AL3648"/>
    </row>
    <row r="3649" spans="1:38" ht="15.75" customHeight="1" outlineLevel="3" x14ac:dyDescent="0.2">
      <c r="A3649" s="10">
        <v>1</v>
      </c>
      <c r="B3649" s="10" t="s">
        <v>71</v>
      </c>
      <c r="C3649" s="10" t="s">
        <v>714</v>
      </c>
      <c r="D3649" s="10" t="s">
        <v>715</v>
      </c>
      <c r="E3649" s="11" t="str">
        <f t="array" ref="E3649">_xlfn.XLOOKUP(D3649,Insumos!B:B,Insumos!C:$C)</f>
        <v>M</v>
      </c>
      <c r="F3649" s="14">
        <v>1.34</v>
      </c>
      <c r="G3649" s="92">
        <f t="array" ref="G3649">IF(B3649="insumo",_xlfn.XLOOKUP($D3649,Insumos!$B$1:$B$996,Insumos!$D$1:$D$996),"")</f>
        <v>28.954166666666666</v>
      </c>
      <c r="H3649" s="92">
        <v>38.798583333333298</v>
      </c>
      <c r="I3649" s="13" t="e">
        <v>#REF!</v>
      </c>
      <c r="J3649" s="13" t="e">
        <v>#REF!</v>
      </c>
      <c r="K3649" s="13"/>
      <c r="L3649"/>
      <c r="M3649"/>
      <c r="N3649"/>
      <c r="O3649"/>
      <c r="P3649"/>
      <c r="Q3649"/>
      <c r="R3649"/>
      <c r="S3649"/>
      <c r="T3649"/>
      <c r="U3649"/>
      <c r="V3649"/>
      <c r="W3649"/>
      <c r="X3649"/>
      <c r="Y3649"/>
      <c r="Z3649"/>
      <c r="AA3649"/>
      <c r="AB3649"/>
      <c r="AC3649"/>
      <c r="AD3649"/>
      <c r="AE3649"/>
      <c r="AF3649"/>
      <c r="AG3649"/>
      <c r="AH3649"/>
      <c r="AI3649"/>
      <c r="AJ3649"/>
      <c r="AK3649"/>
      <c r="AL3649"/>
    </row>
    <row r="3650" spans="1:38" ht="15.75" customHeight="1" outlineLevel="3" x14ac:dyDescent="0.2">
      <c r="A3650" s="10">
        <v>7</v>
      </c>
      <c r="B3650" s="10" t="s">
        <v>71</v>
      </c>
      <c r="C3650" s="10" t="s">
        <v>714</v>
      </c>
      <c r="D3650" s="10" t="s">
        <v>700</v>
      </c>
      <c r="E3650" s="11" t="str">
        <f t="array" ref="E3650">_xlfn.XLOOKUP(D3650,Insumos!B:B,Insumos!C:$C)</f>
        <v>KG</v>
      </c>
      <c r="F3650" s="14">
        <v>0.2</v>
      </c>
      <c r="G3650" s="92">
        <f t="array" ref="G3650">IF(B3650="insumo",_xlfn.XLOOKUP($D3650,Insumos!$B$1:$B$996,Insumos!$D$1:$D$996),"")</f>
        <v>25.11</v>
      </c>
      <c r="H3650" s="92">
        <v>5.0220000000000002</v>
      </c>
      <c r="I3650" s="13" t="e">
        <v>#REF!</v>
      </c>
      <c r="J3650" s="13" t="e">
        <v>#REF!</v>
      </c>
      <c r="K3650" s="13"/>
      <c r="L3650"/>
      <c r="M3650"/>
      <c r="N3650"/>
      <c r="O3650"/>
      <c r="P3650"/>
      <c r="Q3650"/>
      <c r="R3650"/>
      <c r="S3650"/>
      <c r="T3650"/>
      <c r="U3650"/>
      <c r="V3650"/>
      <c r="W3650"/>
      <c r="X3650"/>
      <c r="Y3650"/>
      <c r="Z3650"/>
      <c r="AA3650"/>
      <c r="AB3650"/>
      <c r="AC3650"/>
      <c r="AD3650"/>
      <c r="AE3650"/>
      <c r="AF3650"/>
      <c r="AG3650"/>
      <c r="AH3650"/>
      <c r="AI3650"/>
      <c r="AJ3650"/>
      <c r="AK3650"/>
      <c r="AL3650"/>
    </row>
    <row r="3651" spans="1:38" ht="15.75" customHeight="1" outlineLevel="2" x14ac:dyDescent="0.2">
      <c r="A3651" s="1067">
        <v>1</v>
      </c>
      <c r="B3651" s="1067" t="s">
        <v>68</v>
      </c>
      <c r="C3651" s="1067" t="s">
        <v>716</v>
      </c>
      <c r="D3651" s="1067" t="s">
        <v>716</v>
      </c>
      <c r="E3651" s="1068" t="s">
        <v>113</v>
      </c>
      <c r="F3651" s="1067"/>
      <c r="G3651" s="1069" t="str">
        <f t="array" ref="G3651">IF(B3651="insumo",_xlfn.XLOOKUP($D3651,Insumos!$B$1:$B$996,Insumos!$D$1:$D$996),"")</f>
        <v/>
      </c>
      <c r="H3651" s="1069">
        <v>72.356999999999999</v>
      </c>
      <c r="I3651" s="1070">
        <v>0</v>
      </c>
      <c r="J3651" s="1070">
        <v>0</v>
      </c>
      <c r="K3651" s="1070"/>
      <c r="L3651"/>
      <c r="M3651"/>
      <c r="N3651"/>
      <c r="O3651"/>
      <c r="P3651"/>
      <c r="Q3651"/>
      <c r="R3651"/>
      <c r="S3651"/>
      <c r="T3651"/>
      <c r="U3651"/>
      <c r="V3651"/>
      <c r="W3651"/>
      <c r="X3651"/>
      <c r="Y3651"/>
      <c r="Z3651"/>
      <c r="AA3651"/>
      <c r="AB3651"/>
      <c r="AC3651"/>
      <c r="AD3651"/>
      <c r="AE3651"/>
      <c r="AF3651"/>
      <c r="AG3651"/>
      <c r="AH3651"/>
      <c r="AI3651"/>
      <c r="AJ3651"/>
      <c r="AK3651"/>
      <c r="AL3651"/>
    </row>
    <row r="3652" spans="1:38" ht="15.75" customHeight="1" outlineLevel="3" x14ac:dyDescent="0.2">
      <c r="A3652" s="10">
        <v>1</v>
      </c>
      <c r="B3652" s="10" t="s">
        <v>71</v>
      </c>
      <c r="C3652" s="10" t="s">
        <v>716</v>
      </c>
      <c r="D3652" s="10" t="s">
        <v>717</v>
      </c>
      <c r="E3652" s="11" t="str">
        <f t="array" ref="E3652">_xlfn.XLOOKUP(D3652,Insumos!B:B,Insumos!C:$C)</f>
        <v>M</v>
      </c>
      <c r="F3652" s="14">
        <v>1.34</v>
      </c>
      <c r="G3652" s="92">
        <f t="array" ref="G3652">IF(B3652="insumo",_xlfn.XLOOKUP($D3652,Insumos!$B$1:$B$996,Insumos!$D$1:$D$996),"")</f>
        <v>50.25</v>
      </c>
      <c r="H3652" s="92">
        <v>67.334999999999994</v>
      </c>
      <c r="I3652" s="13">
        <v>0</v>
      </c>
      <c r="J3652" s="13">
        <v>0</v>
      </c>
      <c r="K3652" s="13"/>
      <c r="L3652"/>
      <c r="M3652"/>
      <c r="N3652"/>
      <c r="O3652"/>
      <c r="P3652"/>
      <c r="Q3652"/>
      <c r="R3652"/>
      <c r="S3652"/>
      <c r="T3652"/>
      <c r="U3652"/>
      <c r="V3652"/>
      <c r="W3652"/>
      <c r="X3652"/>
      <c r="Y3652"/>
      <c r="Z3652"/>
      <c r="AA3652"/>
      <c r="AB3652"/>
      <c r="AC3652"/>
      <c r="AD3652"/>
      <c r="AE3652"/>
      <c r="AF3652"/>
      <c r="AG3652"/>
      <c r="AH3652"/>
      <c r="AI3652"/>
      <c r="AJ3652"/>
      <c r="AK3652"/>
      <c r="AL3652"/>
    </row>
    <row r="3653" spans="1:38" ht="15.75" customHeight="1" outlineLevel="3" x14ac:dyDescent="0.2">
      <c r="A3653" s="10">
        <v>7</v>
      </c>
      <c r="B3653" s="10" t="s">
        <v>71</v>
      </c>
      <c r="C3653" s="10" t="s">
        <v>716</v>
      </c>
      <c r="D3653" s="10" t="s">
        <v>700</v>
      </c>
      <c r="E3653" s="11" t="str">
        <f t="array" ref="E3653">_xlfn.XLOOKUP(D3653,Insumos!B:B,Insumos!C:$C)</f>
        <v>KG</v>
      </c>
      <c r="F3653" s="14">
        <v>0.2</v>
      </c>
      <c r="G3653" s="92">
        <f t="array" ref="G3653">IF(B3653="insumo",_xlfn.XLOOKUP($D3653,Insumos!$B$1:$B$996,Insumos!$D$1:$D$996),"")</f>
        <v>25.11</v>
      </c>
      <c r="H3653" s="92">
        <v>5.0220000000000002</v>
      </c>
      <c r="I3653" s="13">
        <v>0</v>
      </c>
      <c r="J3653" s="13">
        <v>0</v>
      </c>
      <c r="K3653" s="13"/>
      <c r="L3653"/>
      <c r="M3653"/>
      <c r="N3653"/>
      <c r="O3653"/>
      <c r="P3653"/>
      <c r="Q3653"/>
      <c r="R3653"/>
      <c r="S3653"/>
      <c r="T3653"/>
      <c r="U3653"/>
      <c r="V3653"/>
      <c r="W3653"/>
      <c r="X3653"/>
      <c r="Y3653"/>
      <c r="Z3653"/>
      <c r="AA3653"/>
      <c r="AB3653"/>
      <c r="AC3653"/>
      <c r="AD3653"/>
      <c r="AE3653"/>
      <c r="AF3653"/>
      <c r="AG3653"/>
      <c r="AH3653"/>
      <c r="AI3653"/>
      <c r="AJ3653"/>
      <c r="AK3653"/>
      <c r="AL3653"/>
    </row>
    <row r="3654" spans="1:38" ht="15.75" customHeight="1" outlineLevel="2" x14ac:dyDescent="0.2">
      <c r="A3654" s="1067">
        <v>1</v>
      </c>
      <c r="B3654" s="1067" t="s">
        <v>68</v>
      </c>
      <c r="C3654" s="1067" t="s">
        <v>3053</v>
      </c>
      <c r="D3654" s="1067" t="s">
        <v>3053</v>
      </c>
      <c r="E3654" s="1068" t="s">
        <v>113</v>
      </c>
      <c r="F3654" s="1067"/>
      <c r="G3654" s="1069" t="str">
        <f t="array" ref="G3654">IF(B3654="insumo",_xlfn.XLOOKUP($D3654,Insumos!$B$1:$B$996,Insumos!$D$1:$D$996),"")</f>
        <v/>
      </c>
      <c r="H3654" s="1069">
        <v>1768.6529250000001</v>
      </c>
      <c r="I3654" s="1070" t="e">
        <v>#REF!</v>
      </c>
      <c r="J3654" s="1070" t="e">
        <v>#REF!</v>
      </c>
      <c r="K3654" s="1070"/>
      <c r="L3654"/>
      <c r="M3654"/>
      <c r="N3654"/>
      <c r="O3654"/>
      <c r="P3654"/>
      <c r="Q3654"/>
      <c r="R3654"/>
      <c r="S3654"/>
      <c r="T3654"/>
      <c r="U3654"/>
      <c r="V3654"/>
      <c r="W3654"/>
      <c r="X3654"/>
      <c r="Y3654"/>
      <c r="Z3654"/>
      <c r="AA3654"/>
      <c r="AB3654"/>
      <c r="AC3654"/>
      <c r="AD3654"/>
      <c r="AE3654"/>
      <c r="AF3654"/>
      <c r="AG3654"/>
      <c r="AH3654"/>
      <c r="AI3654"/>
      <c r="AJ3654"/>
      <c r="AK3654"/>
      <c r="AL3654"/>
    </row>
    <row r="3655" spans="1:38" ht="15.75" customHeight="1" outlineLevel="3" x14ac:dyDescent="0.2">
      <c r="A3655" s="10">
        <v>1</v>
      </c>
      <c r="B3655" s="10" t="s">
        <v>71</v>
      </c>
      <c r="C3655" s="10" t="s">
        <v>3053</v>
      </c>
      <c r="D3655" s="10" t="s">
        <v>3052</v>
      </c>
      <c r="E3655" s="11" t="str">
        <f t="array" ref="E3655">_xlfn.XLOOKUP(D3655,Insumos!B:B,Insumos!C:$C)</f>
        <v>M2</v>
      </c>
      <c r="F3655" s="14">
        <f>0.35*1.05</f>
        <v>0.36749999999999999</v>
      </c>
      <c r="G3655" s="92">
        <f t="array" ref="G3655">IF(B3655="insumo",_xlfn.XLOOKUP($D3655,Insumos!$B$1:$B$996,Insumos!$D$1:$D$996),"")</f>
        <v>4800</v>
      </c>
      <c r="H3655" s="92">
        <v>1764</v>
      </c>
      <c r="I3655" s="13" t="e">
        <v>#REF!</v>
      </c>
      <c r="J3655" s="13" t="e">
        <v>#REF!</v>
      </c>
      <c r="K3655" s="13"/>
      <c r="L3655"/>
      <c r="M3655"/>
      <c r="N3655"/>
      <c r="O3655"/>
      <c r="P3655"/>
      <c r="Q3655"/>
      <c r="R3655"/>
      <c r="S3655"/>
      <c r="T3655"/>
      <c r="U3655"/>
      <c r="V3655"/>
      <c r="W3655"/>
      <c r="X3655"/>
      <c r="Y3655"/>
      <c r="Z3655"/>
      <c r="AA3655"/>
      <c r="AB3655"/>
      <c r="AC3655"/>
      <c r="AD3655"/>
      <c r="AE3655"/>
      <c r="AF3655"/>
      <c r="AG3655"/>
      <c r="AH3655"/>
      <c r="AI3655"/>
      <c r="AJ3655"/>
      <c r="AK3655"/>
      <c r="AL3655"/>
    </row>
    <row r="3656" spans="1:38" ht="15.75" customHeight="1" outlineLevel="3" x14ac:dyDescent="0.2">
      <c r="A3656" s="10">
        <v>191</v>
      </c>
      <c r="B3656" s="10" t="s">
        <v>71</v>
      </c>
      <c r="C3656" s="10" t="s">
        <v>3053</v>
      </c>
      <c r="D3656" s="10" t="s">
        <v>481</v>
      </c>
      <c r="E3656" s="11" t="str">
        <f t="array" ref="E3656">_xlfn.XLOOKUP(D3656,Insumos!B:B,Insumos!C:$C)</f>
        <v>KG</v>
      </c>
      <c r="F3656" s="14">
        <f>9*0.35</f>
        <v>3.15</v>
      </c>
      <c r="G3656" s="92">
        <f t="array" ref="G3656">IF(B3656="insumo",_xlfn.XLOOKUP($D3656,Insumos!$B$1:$B$996,Insumos!$D$1:$D$996),"")</f>
        <v>1.0645</v>
      </c>
      <c r="H3656" s="92">
        <v>3.3531749999999998</v>
      </c>
      <c r="I3656" s="13" t="e">
        <v>#REF!</v>
      </c>
      <c r="J3656" s="13" t="e">
        <v>#REF!</v>
      </c>
      <c r="K3656" s="13"/>
      <c r="L3656"/>
      <c r="M3656"/>
      <c r="N3656"/>
      <c r="O3656"/>
      <c r="P3656"/>
      <c r="Q3656"/>
      <c r="R3656"/>
      <c r="S3656"/>
      <c r="T3656"/>
      <c r="U3656"/>
      <c r="V3656"/>
      <c r="W3656"/>
      <c r="X3656"/>
      <c r="Y3656"/>
      <c r="Z3656"/>
      <c r="AA3656"/>
      <c r="AB3656"/>
      <c r="AC3656"/>
      <c r="AD3656"/>
      <c r="AE3656"/>
      <c r="AF3656"/>
      <c r="AG3656"/>
      <c r="AH3656"/>
      <c r="AI3656"/>
      <c r="AJ3656"/>
      <c r="AK3656"/>
      <c r="AL3656"/>
    </row>
    <row r="3657" spans="1:38" ht="15.75" customHeight="1" outlineLevel="3" x14ac:dyDescent="0.2">
      <c r="A3657" s="10">
        <v>34</v>
      </c>
      <c r="B3657" s="10" t="s">
        <v>71</v>
      </c>
      <c r="C3657" s="10" t="s">
        <v>3053</v>
      </c>
      <c r="D3657" s="10" t="s">
        <v>538</v>
      </c>
      <c r="E3657" s="11" t="str">
        <f t="array" ref="E3657">_xlfn.XLOOKUP(D3657,Insumos!B:B,Insumos!C:$C)</f>
        <v>UN</v>
      </c>
      <c r="F3657" s="14">
        <v>7.4999999999999997E-2</v>
      </c>
      <c r="G3657" s="92">
        <f t="array" ref="G3657">IF(B3657="insumo",_xlfn.XLOOKUP($D3657,Insumos!$B$1:$B$996,Insumos!$D$1:$D$996),"")</f>
        <v>17.329999999999998</v>
      </c>
      <c r="H3657" s="92">
        <v>1.29975</v>
      </c>
      <c r="I3657" s="13" t="e">
        <v>#REF!</v>
      </c>
      <c r="J3657" s="13" t="e">
        <v>#REF!</v>
      </c>
      <c r="K3657" s="13"/>
      <c r="L3657"/>
      <c r="M3657"/>
      <c r="N3657"/>
      <c r="O3657"/>
      <c r="P3657"/>
      <c r="Q3657"/>
      <c r="R3657"/>
      <c r="S3657"/>
      <c r="T3657"/>
      <c r="U3657"/>
      <c r="V3657"/>
      <c r="W3657"/>
      <c r="X3657"/>
      <c r="Y3657"/>
      <c r="Z3657"/>
      <c r="AA3657"/>
      <c r="AB3657"/>
      <c r="AC3657"/>
      <c r="AD3657"/>
      <c r="AE3657"/>
      <c r="AF3657"/>
      <c r="AG3657"/>
      <c r="AH3657"/>
      <c r="AI3657"/>
      <c r="AJ3657"/>
      <c r="AK3657"/>
      <c r="AL3657"/>
    </row>
    <row r="3658" spans="1:38" ht="15.75" customHeight="1" outlineLevel="2" x14ac:dyDescent="0.2">
      <c r="A3658" s="1067">
        <v>1</v>
      </c>
      <c r="B3658" s="1067" t="s">
        <v>68</v>
      </c>
      <c r="C3658" s="1067" t="s">
        <v>718</v>
      </c>
      <c r="D3658" s="1067" t="s">
        <v>718</v>
      </c>
      <c r="E3658" s="1068" t="s">
        <v>113</v>
      </c>
      <c r="F3658" s="1067"/>
      <c r="G3658" s="1069" t="str">
        <f t="array" ref="G3658">IF(B3658="insumo",_xlfn.XLOOKUP($D3658,Insumos!$B$1:$B$996,Insumos!$D$1:$D$996),"")</f>
        <v/>
      </c>
      <c r="H3658" s="1069">
        <v>81.936824999999999</v>
      </c>
      <c r="I3658" s="1070">
        <v>0</v>
      </c>
      <c r="J3658" s="1070">
        <v>0</v>
      </c>
      <c r="K3658" s="1070"/>
      <c r="L3658"/>
      <c r="M3658"/>
      <c r="N3658"/>
      <c r="O3658"/>
      <c r="P3658"/>
      <c r="Q3658"/>
      <c r="R3658"/>
      <c r="S3658"/>
      <c r="T3658"/>
      <c r="U3658"/>
      <c r="V3658"/>
      <c r="W3658"/>
      <c r="X3658"/>
      <c r="Y3658"/>
      <c r="Z3658"/>
      <c r="AA3658"/>
      <c r="AB3658"/>
      <c r="AC3658"/>
      <c r="AD3658"/>
      <c r="AE3658"/>
      <c r="AF3658"/>
      <c r="AG3658"/>
      <c r="AH3658"/>
      <c r="AI3658"/>
      <c r="AJ3658"/>
      <c r="AK3658"/>
      <c r="AL3658"/>
    </row>
    <row r="3659" spans="1:38" ht="15.75" customHeight="1" outlineLevel="3" x14ac:dyDescent="0.2">
      <c r="A3659" s="10">
        <v>3</v>
      </c>
      <c r="B3659" s="10" t="s">
        <v>71</v>
      </c>
      <c r="C3659" s="10" t="s">
        <v>718</v>
      </c>
      <c r="D3659" s="10" t="s">
        <v>527</v>
      </c>
      <c r="E3659" s="11" t="str">
        <f t="array" ref="E3659">_xlfn.XLOOKUP(D3659,Insumos!B:B,Insumos!C:$C)</f>
        <v>M2</v>
      </c>
      <c r="F3659" s="14">
        <v>0.16500000000000001</v>
      </c>
      <c r="G3659" s="92">
        <f t="array" ref="G3659">IF(B3659="insumo",_xlfn.XLOOKUP($D3659,Insumos!$B$1:$B$996,Insumos!$D$1:$D$996),"")</f>
        <v>480</v>
      </c>
      <c r="H3659" s="92">
        <v>79.2</v>
      </c>
      <c r="I3659" s="13">
        <v>0</v>
      </c>
      <c r="J3659" s="13">
        <v>0</v>
      </c>
      <c r="K3659" s="13"/>
      <c r="L3659"/>
      <c r="M3659"/>
      <c r="N3659"/>
      <c r="O3659"/>
      <c r="P3659"/>
      <c r="Q3659"/>
      <c r="R3659"/>
      <c r="S3659"/>
      <c r="T3659"/>
      <c r="U3659"/>
      <c r="V3659"/>
      <c r="W3659"/>
      <c r="X3659"/>
      <c r="Y3659"/>
      <c r="Z3659"/>
      <c r="AA3659"/>
      <c r="AB3659"/>
      <c r="AC3659"/>
      <c r="AD3659"/>
      <c r="AE3659"/>
      <c r="AF3659"/>
      <c r="AG3659"/>
      <c r="AH3659"/>
      <c r="AI3659"/>
      <c r="AJ3659"/>
      <c r="AK3659"/>
      <c r="AL3659"/>
    </row>
    <row r="3660" spans="1:38" ht="15.75" customHeight="1" outlineLevel="3" x14ac:dyDescent="0.2">
      <c r="A3660" s="10">
        <v>191</v>
      </c>
      <c r="B3660" s="10" t="s">
        <v>71</v>
      </c>
      <c r="C3660" s="10" t="s">
        <v>718</v>
      </c>
      <c r="D3660" s="10" t="s">
        <v>481</v>
      </c>
      <c r="E3660" s="11" t="str">
        <f t="array" ref="E3660">_xlfn.XLOOKUP(D3660,Insumos!B:B,Insumos!C:$C)</f>
        <v>KG</v>
      </c>
      <c r="F3660" s="14">
        <v>1.3499999999999999</v>
      </c>
      <c r="G3660" s="92">
        <f t="array" ref="G3660">IF(B3660="insumo",_xlfn.XLOOKUP($D3660,Insumos!$B$1:$B$996,Insumos!$D$1:$D$996),"")</f>
        <v>1.0645</v>
      </c>
      <c r="H3660" s="92">
        <v>1.4370750000000001</v>
      </c>
      <c r="I3660" s="13">
        <v>0</v>
      </c>
      <c r="J3660" s="13">
        <v>0</v>
      </c>
      <c r="K3660" s="13"/>
      <c r="L3660"/>
      <c r="M3660"/>
      <c r="N3660"/>
      <c r="O3660"/>
      <c r="P3660"/>
      <c r="Q3660"/>
      <c r="R3660"/>
      <c r="S3660"/>
      <c r="T3660"/>
      <c r="U3660"/>
      <c r="V3660"/>
      <c r="W3660"/>
      <c r="X3660"/>
      <c r="Y3660"/>
      <c r="Z3660"/>
      <c r="AA3660"/>
      <c r="AB3660"/>
      <c r="AC3660"/>
      <c r="AD3660"/>
      <c r="AE3660"/>
      <c r="AF3660"/>
      <c r="AG3660"/>
      <c r="AH3660"/>
      <c r="AI3660"/>
      <c r="AJ3660"/>
      <c r="AK3660"/>
      <c r="AL3660"/>
    </row>
    <row r="3661" spans="1:38" ht="15.75" customHeight="1" outlineLevel="3" x14ac:dyDescent="0.2">
      <c r="A3661" s="10">
        <v>34</v>
      </c>
      <c r="B3661" s="10" t="s">
        <v>71</v>
      </c>
      <c r="C3661" s="10" t="s">
        <v>718</v>
      </c>
      <c r="D3661" s="10" t="s">
        <v>538</v>
      </c>
      <c r="E3661" s="11" t="str">
        <f t="array" ref="E3661">_xlfn.XLOOKUP(D3661,Insumos!B:B,Insumos!C:$C)</f>
        <v>UN</v>
      </c>
      <c r="F3661" s="14">
        <v>7.4999999999999997E-2</v>
      </c>
      <c r="G3661" s="92">
        <f t="array" ref="G3661">IF(B3661="insumo",_xlfn.XLOOKUP($D3661,Insumos!$B$1:$B$996,Insumos!$D$1:$D$996),"")</f>
        <v>17.329999999999998</v>
      </c>
      <c r="H3661" s="92">
        <v>1.29975</v>
      </c>
      <c r="I3661" s="13">
        <v>0</v>
      </c>
      <c r="J3661" s="13">
        <v>0</v>
      </c>
      <c r="K3661" s="13"/>
      <c r="L3661"/>
      <c r="M3661"/>
      <c r="N3661"/>
      <c r="O3661"/>
      <c r="P3661"/>
      <c r="Q3661"/>
      <c r="R3661"/>
      <c r="S3661"/>
      <c r="T3661"/>
      <c r="U3661"/>
      <c r="V3661"/>
      <c r="W3661"/>
      <c r="X3661"/>
      <c r="Y3661"/>
      <c r="Z3661"/>
      <c r="AA3661"/>
      <c r="AB3661"/>
      <c r="AC3661"/>
      <c r="AD3661"/>
      <c r="AE3661"/>
      <c r="AF3661"/>
      <c r="AG3661"/>
      <c r="AH3661"/>
      <c r="AI3661"/>
      <c r="AJ3661"/>
      <c r="AK3661"/>
      <c r="AL3661"/>
    </row>
    <row r="3662" spans="1:38" ht="15.75" customHeight="1" outlineLevel="2" x14ac:dyDescent="0.2">
      <c r="A3662" s="1067">
        <v>1</v>
      </c>
      <c r="B3662" s="1067" t="s">
        <v>68</v>
      </c>
      <c r="C3662" s="1067" t="s">
        <v>1515</v>
      </c>
      <c r="D3662" s="1067" t="s">
        <v>1515</v>
      </c>
      <c r="E3662" s="1068" t="s">
        <v>113</v>
      </c>
      <c r="F3662" s="1067"/>
      <c r="G3662" s="1069" t="str">
        <f t="array" ref="G3662">IF(B3662="insumo",_xlfn.XLOOKUP($D3662,Insumos!$B$1:$B$996,Insumos!$D$1:$D$996),"")</f>
        <v/>
      </c>
      <c r="H3662" s="1069">
        <v>34.111166666666698</v>
      </c>
      <c r="I3662" s="1070">
        <v>0</v>
      </c>
      <c r="J3662" s="1070">
        <v>0</v>
      </c>
      <c r="K3662" s="1070"/>
      <c r="L3662"/>
      <c r="M3662"/>
      <c r="N3662"/>
      <c r="O3662"/>
      <c r="P3662"/>
      <c r="Q3662"/>
      <c r="R3662"/>
      <c r="S3662"/>
      <c r="T3662"/>
      <c r="U3662"/>
      <c r="V3662"/>
      <c r="W3662"/>
      <c r="X3662"/>
      <c r="Y3662"/>
      <c r="Z3662"/>
      <c r="AA3662"/>
      <c r="AB3662"/>
      <c r="AC3662"/>
      <c r="AD3662"/>
      <c r="AE3662"/>
      <c r="AF3662"/>
      <c r="AG3662"/>
      <c r="AH3662"/>
      <c r="AI3662"/>
      <c r="AJ3662"/>
      <c r="AK3662"/>
      <c r="AL3662"/>
    </row>
    <row r="3663" spans="1:38" ht="15.75" customHeight="1" outlineLevel="3" x14ac:dyDescent="0.2">
      <c r="A3663" s="10">
        <v>7</v>
      </c>
      <c r="B3663" s="10" t="s">
        <v>71</v>
      </c>
      <c r="C3663" s="10" t="s">
        <v>1515</v>
      </c>
      <c r="D3663" s="10" t="s">
        <v>700</v>
      </c>
      <c r="E3663" s="11" t="str">
        <f t="array" ref="E3663">_xlfn.XLOOKUP(D3663,Insumos!B:B,Insumos!C:$C)</f>
        <v>KG</v>
      </c>
      <c r="F3663" s="14">
        <v>0.2</v>
      </c>
      <c r="G3663" s="92">
        <f t="array" ref="G3663">IF(B3663="insumo",_xlfn.XLOOKUP($D3663,Insumos!$B$1:$B$996,Insumos!$D$1:$D$996),"")</f>
        <v>25.11</v>
      </c>
      <c r="H3663" s="92">
        <v>5.0220000000000002</v>
      </c>
      <c r="I3663" s="13">
        <v>0</v>
      </c>
      <c r="J3663" s="13">
        <v>0</v>
      </c>
      <c r="K3663" s="13"/>
      <c r="L3663"/>
      <c r="M3663"/>
      <c r="N3663"/>
      <c r="O3663"/>
      <c r="P3663"/>
      <c r="Q3663"/>
      <c r="R3663"/>
      <c r="S3663"/>
      <c r="T3663"/>
      <c r="U3663"/>
      <c r="V3663"/>
      <c r="W3663"/>
      <c r="X3663"/>
      <c r="Y3663"/>
      <c r="Z3663"/>
      <c r="AA3663"/>
      <c r="AB3663"/>
      <c r="AC3663"/>
      <c r="AD3663"/>
      <c r="AE3663"/>
      <c r="AF3663"/>
      <c r="AG3663"/>
      <c r="AH3663"/>
      <c r="AI3663"/>
      <c r="AJ3663"/>
      <c r="AK3663"/>
      <c r="AL3663"/>
    </row>
    <row r="3664" spans="1:38" ht="15.75" customHeight="1" outlineLevel="3" x14ac:dyDescent="0.2">
      <c r="A3664" s="10">
        <v>1</v>
      </c>
      <c r="B3664" s="10" t="s">
        <v>71</v>
      </c>
      <c r="C3664" s="10" t="s">
        <v>1515</v>
      </c>
      <c r="D3664" s="10" t="s">
        <v>1516</v>
      </c>
      <c r="E3664" s="11" t="str">
        <f t="array" ref="E3664">_xlfn.XLOOKUP(D3664,Insumos!B:B,Insumos!C:$C)</f>
        <v>M</v>
      </c>
      <c r="F3664" s="14">
        <v>1.34</v>
      </c>
      <c r="G3664" s="92">
        <f t="array" ref="G3664">IF(B3664="insumo",_xlfn.XLOOKUP($D3664,Insumos!$B$1:$B$996,Insumos!$D$1:$D$996),"")</f>
        <v>21.708333333333336</v>
      </c>
      <c r="H3664" s="92">
        <v>29.089166666666699</v>
      </c>
      <c r="I3664" s="13">
        <v>0</v>
      </c>
      <c r="J3664" s="13">
        <v>0</v>
      </c>
      <c r="K3664" s="13"/>
      <c r="L3664"/>
      <c r="M3664"/>
      <c r="N3664"/>
      <c r="O3664"/>
      <c r="P3664"/>
      <c r="Q3664"/>
      <c r="R3664"/>
      <c r="S3664"/>
      <c r="T3664"/>
      <c r="U3664"/>
      <c r="V3664"/>
      <c r="W3664"/>
      <c r="X3664"/>
      <c r="Y3664"/>
      <c r="Z3664"/>
      <c r="AA3664"/>
      <c r="AB3664"/>
      <c r="AC3664"/>
      <c r="AD3664"/>
      <c r="AE3664"/>
      <c r="AF3664"/>
      <c r="AG3664"/>
      <c r="AH3664"/>
      <c r="AI3664"/>
      <c r="AJ3664"/>
      <c r="AK3664"/>
      <c r="AL3664"/>
    </row>
    <row r="3665" spans="1:38" ht="15.75" customHeight="1" outlineLevel="2" x14ac:dyDescent="0.2">
      <c r="A3665" s="1067">
        <v>1</v>
      </c>
      <c r="B3665" s="1067" t="s">
        <v>68</v>
      </c>
      <c r="C3665" s="1067" t="s">
        <v>1520</v>
      </c>
      <c r="D3665" s="1067" t="s">
        <v>1520</v>
      </c>
      <c r="E3665" s="1068" t="s">
        <v>113</v>
      </c>
      <c r="F3665" s="1067"/>
      <c r="G3665" s="1069" t="str">
        <f t="array" ref="G3665">IF(B3665="insumo",_xlfn.XLOOKUP($D3665,Insumos!$B$1:$B$996,Insumos!$D$1:$D$996),"")</f>
        <v/>
      </c>
      <c r="H3665" s="1069">
        <v>51.921999999999997</v>
      </c>
      <c r="I3665" s="1070">
        <v>0</v>
      </c>
      <c r="J3665" s="1070">
        <v>0</v>
      </c>
      <c r="K3665" s="1070"/>
      <c r="L3665"/>
      <c r="M3665"/>
      <c r="N3665"/>
      <c r="O3665"/>
      <c r="P3665"/>
      <c r="Q3665"/>
      <c r="R3665"/>
      <c r="S3665"/>
      <c r="T3665"/>
      <c r="U3665"/>
      <c r="V3665"/>
      <c r="W3665"/>
      <c r="X3665"/>
      <c r="Y3665"/>
      <c r="Z3665"/>
      <c r="AA3665"/>
      <c r="AB3665"/>
      <c r="AC3665"/>
      <c r="AD3665"/>
      <c r="AE3665"/>
      <c r="AF3665"/>
      <c r="AG3665"/>
      <c r="AH3665"/>
      <c r="AI3665"/>
      <c r="AJ3665"/>
      <c r="AK3665"/>
      <c r="AL3665"/>
    </row>
    <row r="3666" spans="1:38" ht="15.75" customHeight="1" outlineLevel="3" x14ac:dyDescent="0.2">
      <c r="A3666" s="10">
        <v>7</v>
      </c>
      <c r="B3666" s="10" t="s">
        <v>71</v>
      </c>
      <c r="C3666" s="10" t="s">
        <v>1520</v>
      </c>
      <c r="D3666" s="10" t="s">
        <v>700</v>
      </c>
      <c r="E3666" s="11" t="str">
        <f t="array" ref="E3666">_xlfn.XLOOKUP(D3666,Insumos!B:B,Insumos!C:$C)</f>
        <v>KG</v>
      </c>
      <c r="F3666" s="14">
        <v>0.2</v>
      </c>
      <c r="G3666" s="92">
        <f t="array" ref="G3666">IF(B3666="insumo",_xlfn.XLOOKUP($D3666,Insumos!$B$1:$B$996,Insumos!$D$1:$D$996),"")</f>
        <v>25.11</v>
      </c>
      <c r="H3666" s="92">
        <v>5.0220000000000002</v>
      </c>
      <c r="I3666" s="13">
        <v>0</v>
      </c>
      <c r="J3666" s="13">
        <v>0</v>
      </c>
      <c r="K3666" s="13"/>
      <c r="L3666"/>
      <c r="M3666"/>
      <c r="N3666"/>
      <c r="O3666"/>
      <c r="P3666"/>
      <c r="Q3666"/>
      <c r="R3666"/>
      <c r="S3666"/>
      <c r="T3666"/>
      <c r="U3666"/>
      <c r="V3666"/>
      <c r="W3666"/>
      <c r="X3666"/>
      <c r="Y3666"/>
      <c r="Z3666"/>
      <c r="AA3666"/>
      <c r="AB3666"/>
      <c r="AC3666"/>
      <c r="AD3666"/>
      <c r="AE3666"/>
      <c r="AF3666"/>
      <c r="AG3666"/>
      <c r="AH3666"/>
      <c r="AI3666"/>
      <c r="AJ3666"/>
      <c r="AK3666"/>
      <c r="AL3666"/>
    </row>
    <row r="3667" spans="1:38" ht="15.75" customHeight="1" outlineLevel="3" x14ac:dyDescent="0.2">
      <c r="A3667" s="10">
        <v>1</v>
      </c>
      <c r="B3667" s="10" t="s">
        <v>71</v>
      </c>
      <c r="C3667" s="10" t="s">
        <v>1520</v>
      </c>
      <c r="D3667" s="10" t="s">
        <v>1520</v>
      </c>
      <c r="E3667" s="11" t="str">
        <f t="array" ref="E3667">_xlfn.XLOOKUP(D3667,Insumos!B:B,Insumos!C:$C)</f>
        <v>M</v>
      </c>
      <c r="F3667" s="14">
        <v>1.34</v>
      </c>
      <c r="G3667" s="92">
        <f t="array" ref="G3667">IF(B3667="insumo",_xlfn.XLOOKUP($D3667,Insumos!$B$1:$B$996,Insumos!$D$1:$D$996),"")</f>
        <v>35</v>
      </c>
      <c r="H3667" s="92">
        <v>46.9</v>
      </c>
      <c r="I3667" s="13">
        <v>0</v>
      </c>
      <c r="J3667" s="13">
        <v>0</v>
      </c>
      <c r="K3667" s="13"/>
      <c r="L3667"/>
      <c r="M3667"/>
      <c r="N3667"/>
      <c r="O3667"/>
      <c r="P3667"/>
      <c r="Q3667"/>
      <c r="R3667"/>
      <c r="S3667"/>
      <c r="T3667"/>
      <c r="U3667"/>
      <c r="V3667"/>
      <c r="W3667"/>
      <c r="X3667"/>
      <c r="Y3667"/>
      <c r="Z3667"/>
      <c r="AA3667"/>
      <c r="AB3667"/>
      <c r="AC3667"/>
      <c r="AD3667"/>
      <c r="AE3667"/>
      <c r="AF3667"/>
      <c r="AG3667"/>
      <c r="AH3667"/>
      <c r="AI3667"/>
      <c r="AJ3667"/>
      <c r="AK3667"/>
      <c r="AL3667"/>
    </row>
    <row r="3668" spans="1:38" ht="15.75" customHeight="1" outlineLevel="2" x14ac:dyDescent="0.2">
      <c r="A3668" s="1067">
        <v>1</v>
      </c>
      <c r="B3668" s="1067" t="s">
        <v>68</v>
      </c>
      <c r="C3668" s="1067" t="s">
        <v>719</v>
      </c>
      <c r="D3668" s="1067" t="s">
        <v>719</v>
      </c>
      <c r="E3668" s="1068" t="s">
        <v>113</v>
      </c>
      <c r="F3668" s="1067"/>
      <c r="G3668" s="1069" t="str">
        <f t="array" ref="G3668">IF(B3668="insumo",_xlfn.XLOOKUP($D3668,Insumos!$B$1:$B$996,Insumos!$D$1:$D$996),"")</f>
        <v/>
      </c>
      <c r="H3668" s="1069">
        <v>33.872199999999999</v>
      </c>
      <c r="I3668" s="1070">
        <v>0</v>
      </c>
      <c r="J3668" s="1070">
        <v>0</v>
      </c>
      <c r="K3668" s="1070"/>
      <c r="L3668"/>
      <c r="M3668"/>
      <c r="N3668"/>
      <c r="O3668"/>
      <c r="P3668"/>
      <c r="Q3668"/>
      <c r="R3668"/>
      <c r="S3668"/>
      <c r="T3668"/>
      <c r="U3668"/>
      <c r="V3668"/>
      <c r="W3668"/>
      <c r="X3668"/>
      <c r="Y3668"/>
      <c r="Z3668"/>
      <c r="AA3668"/>
      <c r="AB3668"/>
      <c r="AC3668"/>
      <c r="AD3668"/>
      <c r="AE3668"/>
      <c r="AF3668"/>
      <c r="AG3668"/>
      <c r="AH3668"/>
      <c r="AI3668"/>
      <c r="AJ3668"/>
      <c r="AK3668"/>
      <c r="AL3668"/>
    </row>
    <row r="3669" spans="1:38" ht="15.75" customHeight="1" outlineLevel="3" x14ac:dyDescent="0.2">
      <c r="A3669" s="10">
        <v>7</v>
      </c>
      <c r="B3669" s="10" t="s">
        <v>71</v>
      </c>
      <c r="C3669" s="10" t="s">
        <v>719</v>
      </c>
      <c r="D3669" s="10" t="s">
        <v>700</v>
      </c>
      <c r="E3669" s="11" t="str">
        <f t="array" ref="E3669">_xlfn.XLOOKUP(D3669,Insumos!B:B,Insumos!C:$C)</f>
        <v>KG</v>
      </c>
      <c r="F3669" s="14">
        <v>0.2</v>
      </c>
      <c r="G3669" s="92">
        <f t="array" ref="G3669">IF(B3669="insumo",_xlfn.XLOOKUP($D3669,Insumos!$B$1:$B$996,Insumos!$D$1:$D$996),"")</f>
        <v>25.11</v>
      </c>
      <c r="H3669" s="92">
        <v>5.0220000000000002</v>
      </c>
      <c r="I3669" s="13">
        <v>0</v>
      </c>
      <c r="J3669" s="13">
        <v>0</v>
      </c>
      <c r="K3669" s="13"/>
      <c r="L3669"/>
      <c r="M3669"/>
      <c r="N3669"/>
      <c r="O3669"/>
      <c r="P3669"/>
      <c r="Q3669"/>
      <c r="R3669"/>
      <c r="S3669"/>
      <c r="T3669"/>
      <c r="U3669"/>
      <c r="V3669"/>
      <c r="W3669"/>
      <c r="X3669"/>
      <c r="Y3669"/>
      <c r="Z3669"/>
      <c r="AA3669"/>
      <c r="AB3669"/>
      <c r="AC3669"/>
      <c r="AD3669"/>
      <c r="AE3669"/>
      <c r="AF3669"/>
      <c r="AG3669"/>
      <c r="AH3669"/>
      <c r="AI3669"/>
      <c r="AJ3669"/>
      <c r="AK3669"/>
      <c r="AL3669"/>
    </row>
    <row r="3670" spans="1:38" ht="15.75" customHeight="1" outlineLevel="3" x14ac:dyDescent="0.2">
      <c r="A3670" s="10">
        <v>1</v>
      </c>
      <c r="B3670" s="10" t="s">
        <v>71</v>
      </c>
      <c r="C3670" s="10" t="s">
        <v>719</v>
      </c>
      <c r="D3670" s="10" t="s">
        <v>720</v>
      </c>
      <c r="E3670" s="11" t="str">
        <f t="array" ref="E3670">_xlfn.XLOOKUP(D3670,Insumos!B:B,Insumos!C:$C)</f>
        <v>M</v>
      </c>
      <c r="F3670" s="14">
        <v>1.34</v>
      </c>
      <c r="G3670" s="92">
        <f t="array" ref="G3670">IF(B3670="insumo",_xlfn.XLOOKUP($D3670,Insumos!$B$1:$B$996,Insumos!$D$1:$D$996),"")</f>
        <v>21.53</v>
      </c>
      <c r="H3670" s="92">
        <v>28.850200000000001</v>
      </c>
      <c r="I3670" s="13">
        <v>0</v>
      </c>
      <c r="J3670" s="13">
        <v>0</v>
      </c>
      <c r="K3670" s="13"/>
      <c r="L3670"/>
      <c r="M3670"/>
      <c r="N3670"/>
      <c r="O3670"/>
      <c r="P3670"/>
      <c r="Q3670"/>
      <c r="R3670"/>
      <c r="S3670"/>
      <c r="T3670"/>
      <c r="U3670"/>
      <c r="V3670"/>
      <c r="W3670"/>
      <c r="X3670"/>
      <c r="Y3670"/>
      <c r="Z3670"/>
      <c r="AA3670"/>
      <c r="AB3670"/>
      <c r="AC3670"/>
      <c r="AD3670"/>
      <c r="AE3670"/>
      <c r="AF3670"/>
      <c r="AG3670"/>
      <c r="AH3670"/>
      <c r="AI3670"/>
      <c r="AJ3670"/>
      <c r="AK3670"/>
      <c r="AL3670"/>
    </row>
    <row r="3671" spans="1:38" ht="16.5" customHeight="1" outlineLevel="2" x14ac:dyDescent="0.2">
      <c r="A3671" s="1067">
        <v>1</v>
      </c>
      <c r="B3671" s="1067" t="s">
        <v>68</v>
      </c>
      <c r="C3671" s="1067" t="s">
        <v>721</v>
      </c>
      <c r="D3671" s="1067" t="s">
        <v>721</v>
      </c>
      <c r="E3671" s="1068" t="s">
        <v>113</v>
      </c>
      <c r="F3671" s="1067"/>
      <c r="G3671" s="1069" t="str">
        <f t="array" ref="G3671">IF(B3671="insumo",_xlfn.XLOOKUP($D3671,Insumos!$B$1:$B$996,Insumos!$D$1:$D$996),"")</f>
        <v/>
      </c>
      <c r="H3671" s="1069">
        <v>27.926352000000001</v>
      </c>
      <c r="I3671" s="1070">
        <v>0</v>
      </c>
      <c r="J3671" s="1070">
        <v>0</v>
      </c>
      <c r="K3671" s="1070"/>
      <c r="L3671"/>
      <c r="M3671"/>
      <c r="N3671"/>
      <c r="O3671"/>
      <c r="P3671"/>
      <c r="Q3671"/>
      <c r="R3671"/>
      <c r="S3671"/>
      <c r="T3671"/>
      <c r="U3671"/>
      <c r="V3671"/>
      <c r="W3671"/>
      <c r="X3671"/>
      <c r="Y3671"/>
      <c r="Z3671"/>
      <c r="AA3671"/>
      <c r="AB3671"/>
      <c r="AC3671"/>
      <c r="AD3671"/>
      <c r="AE3671"/>
      <c r="AF3671"/>
      <c r="AG3671"/>
      <c r="AH3671"/>
      <c r="AI3671"/>
      <c r="AJ3671"/>
      <c r="AK3671"/>
      <c r="AL3671"/>
    </row>
    <row r="3672" spans="1:38" ht="15.75" customHeight="1" outlineLevel="3" x14ac:dyDescent="0.2">
      <c r="A3672" s="10">
        <v>7</v>
      </c>
      <c r="B3672" s="10" t="s">
        <v>71</v>
      </c>
      <c r="C3672" s="10" t="s">
        <v>721</v>
      </c>
      <c r="D3672" s="10" t="s">
        <v>700</v>
      </c>
      <c r="E3672" s="11" t="str">
        <f t="array" ref="E3672">_xlfn.XLOOKUP(D3672,Insumos!B:B,Insumos!C:$C)</f>
        <v>KG</v>
      </c>
      <c r="F3672" s="14">
        <v>0.2</v>
      </c>
      <c r="G3672" s="92">
        <f t="array" ref="G3672">IF(B3672="insumo",_xlfn.XLOOKUP($D3672,Insumos!$B$1:$B$996,Insumos!$D$1:$D$996),"")</f>
        <v>25.11</v>
      </c>
      <c r="H3672" s="92">
        <v>5.0220000000000002</v>
      </c>
      <c r="I3672" s="13">
        <v>0</v>
      </c>
      <c r="J3672" s="13">
        <v>0</v>
      </c>
      <c r="K3672" s="13"/>
      <c r="L3672"/>
      <c r="M3672"/>
      <c r="N3672"/>
      <c r="O3672"/>
      <c r="P3672"/>
      <c r="Q3672"/>
      <c r="R3672"/>
      <c r="S3672"/>
      <c r="T3672"/>
      <c r="U3672"/>
      <c r="V3672"/>
      <c r="W3672"/>
      <c r="X3672"/>
      <c r="Y3672"/>
      <c r="Z3672"/>
      <c r="AA3672"/>
      <c r="AB3672"/>
      <c r="AC3672"/>
      <c r="AD3672"/>
      <c r="AE3672"/>
      <c r="AF3672"/>
      <c r="AG3672"/>
      <c r="AH3672"/>
      <c r="AI3672"/>
      <c r="AJ3672"/>
      <c r="AK3672"/>
      <c r="AL3672"/>
    </row>
    <row r="3673" spans="1:38" ht="15.75" customHeight="1" outlineLevel="3" x14ac:dyDescent="0.2">
      <c r="A3673" s="10">
        <v>1</v>
      </c>
      <c r="B3673" s="10" t="s">
        <v>71</v>
      </c>
      <c r="C3673" s="10" t="s">
        <v>721</v>
      </c>
      <c r="D3673" s="10" t="s">
        <v>722</v>
      </c>
      <c r="E3673" s="11" t="str">
        <f t="array" ref="E3673">_xlfn.XLOOKUP(D3673,Insumos!B:B,Insumos!C:$C)</f>
        <v>UN</v>
      </c>
      <c r="F3673" s="14">
        <v>1.34</v>
      </c>
      <c r="G3673" s="92">
        <f t="array" ref="G3673">IF(B3673="insumo",_xlfn.XLOOKUP($D3673,Insumos!$B$1:$B$996,Insumos!$D$1:$D$996),"")</f>
        <v>17.0928</v>
      </c>
      <c r="H3673" s="92">
        <v>22.904351999999999</v>
      </c>
      <c r="I3673" s="13">
        <v>0</v>
      </c>
      <c r="J3673" s="13">
        <v>0</v>
      </c>
      <c r="K3673" s="13"/>
      <c r="L3673"/>
      <c r="M3673"/>
      <c r="N3673"/>
      <c r="O3673"/>
      <c r="P3673"/>
      <c r="Q3673"/>
      <c r="R3673"/>
      <c r="S3673"/>
      <c r="T3673"/>
      <c r="U3673"/>
      <c r="V3673"/>
      <c r="W3673"/>
      <c r="X3673"/>
      <c r="Y3673"/>
      <c r="Z3673"/>
      <c r="AA3673"/>
      <c r="AB3673"/>
      <c r="AC3673"/>
      <c r="AD3673"/>
      <c r="AE3673"/>
      <c r="AF3673"/>
      <c r="AG3673"/>
      <c r="AH3673"/>
      <c r="AI3673"/>
      <c r="AJ3673"/>
      <c r="AK3673"/>
      <c r="AL3673"/>
    </row>
    <row r="3674" spans="1:38" ht="12.75" outlineLevel="2" x14ac:dyDescent="0.2">
      <c r="A3674" s="1071">
        <v>1</v>
      </c>
      <c r="B3674" s="1071" t="s">
        <v>68</v>
      </c>
      <c r="C3674" s="1071" t="s">
        <v>1892</v>
      </c>
      <c r="D3674" s="1071" t="s">
        <v>1892</v>
      </c>
      <c r="E3674" s="1072" t="s">
        <v>113</v>
      </c>
      <c r="F3674" s="1071"/>
      <c r="G3674" s="1073" t="str">
        <f t="array" ref="G3674">IF(B3674="insumo",_xlfn.XLOOKUP($D3674,Insumos!$B$1:$B$996,Insumos!$D$1:$D$996),"")</f>
        <v/>
      </c>
      <c r="H3674" s="1073">
        <v>8.1190499999999997</v>
      </c>
      <c r="I3674" s="1074">
        <v>0</v>
      </c>
      <c r="J3674" s="1074">
        <v>0</v>
      </c>
      <c r="K3674" s="1074"/>
      <c r="L3674"/>
      <c r="M3674"/>
      <c r="N3674"/>
      <c r="O3674"/>
      <c r="P3674"/>
      <c r="Q3674"/>
      <c r="R3674"/>
      <c r="S3674"/>
      <c r="T3674"/>
      <c r="U3674"/>
      <c r="V3674"/>
      <c r="W3674"/>
      <c r="X3674"/>
      <c r="Y3674"/>
      <c r="Z3674"/>
      <c r="AA3674"/>
      <c r="AB3674"/>
      <c r="AC3674"/>
      <c r="AD3674"/>
      <c r="AE3674"/>
      <c r="AF3674"/>
      <c r="AG3674"/>
      <c r="AH3674"/>
      <c r="AI3674"/>
      <c r="AJ3674"/>
      <c r="AK3674"/>
      <c r="AL3674"/>
    </row>
    <row r="3675" spans="1:38" ht="12.75" outlineLevel="3" x14ac:dyDescent="0.2">
      <c r="A3675" s="82">
        <v>4</v>
      </c>
      <c r="B3675" s="82" t="s">
        <v>71</v>
      </c>
      <c r="C3675" s="82" t="s">
        <v>1892</v>
      </c>
      <c r="D3675" s="82" t="s">
        <v>673</v>
      </c>
      <c r="E3675" s="11" t="str">
        <f t="array" ref="E3675">_xlfn.XLOOKUP(D3675,Insumos!B:B,Insumos!C:$C)</f>
        <v>M2</v>
      </c>
      <c r="F3675" s="86">
        <v>0.11000000000000001</v>
      </c>
      <c r="G3675" s="92">
        <f t="array" ref="G3675">IF(B3675="insumo",_xlfn.XLOOKUP($D3675,Insumos!$B$1:$B$996,Insumos!$D$1:$D$996),"")</f>
        <v>44.9</v>
      </c>
      <c r="H3675" s="92">
        <v>4.9390000000000001</v>
      </c>
      <c r="I3675" s="84">
        <v>0</v>
      </c>
      <c r="J3675" s="84">
        <v>0</v>
      </c>
      <c r="K3675" s="84"/>
      <c r="L3675"/>
      <c r="M3675"/>
      <c r="N3675"/>
      <c r="O3675"/>
      <c r="P3675"/>
      <c r="Q3675"/>
      <c r="R3675"/>
      <c r="S3675"/>
      <c r="T3675"/>
      <c r="U3675"/>
      <c r="V3675"/>
      <c r="W3675"/>
      <c r="X3675"/>
      <c r="Y3675"/>
      <c r="Z3675"/>
      <c r="AA3675"/>
      <c r="AB3675"/>
      <c r="AC3675"/>
      <c r="AD3675"/>
      <c r="AE3675"/>
      <c r="AF3675"/>
      <c r="AG3675"/>
      <c r="AH3675"/>
      <c r="AI3675"/>
      <c r="AJ3675"/>
      <c r="AK3675"/>
      <c r="AL3675"/>
    </row>
    <row r="3676" spans="1:38" ht="12.75" outlineLevel="3" x14ac:dyDescent="0.2">
      <c r="A3676" s="82">
        <v>191</v>
      </c>
      <c r="B3676" s="82" t="s">
        <v>71</v>
      </c>
      <c r="C3676" s="82" t="s">
        <v>1892</v>
      </c>
      <c r="D3676" s="82" t="s">
        <v>481</v>
      </c>
      <c r="E3676" s="11" t="str">
        <f t="array" ref="E3676">_xlfn.XLOOKUP(D3676,Insumos!B:B,Insumos!C:$C)</f>
        <v>KG</v>
      </c>
      <c r="F3676" s="86">
        <v>0.9</v>
      </c>
      <c r="G3676" s="92">
        <f t="array" ref="G3676">IF(B3676="insumo",_xlfn.XLOOKUP($D3676,Insumos!$B$1:$B$996,Insumos!$D$1:$D$996),"")</f>
        <v>1.0645</v>
      </c>
      <c r="H3676" s="92">
        <v>0.95804999999999996</v>
      </c>
      <c r="I3676" s="84">
        <v>0</v>
      </c>
      <c r="J3676" s="84">
        <v>0</v>
      </c>
      <c r="K3676" s="84"/>
      <c r="L3676"/>
      <c r="M3676"/>
      <c r="N3676"/>
      <c r="O3676"/>
      <c r="P3676"/>
      <c r="Q3676"/>
      <c r="R3676"/>
      <c r="S3676"/>
      <c r="T3676"/>
      <c r="U3676"/>
      <c r="V3676"/>
      <c r="W3676"/>
      <c r="X3676"/>
      <c r="Y3676"/>
      <c r="Z3676"/>
      <c r="AA3676"/>
      <c r="AB3676"/>
      <c r="AC3676"/>
      <c r="AD3676"/>
      <c r="AE3676"/>
      <c r="AF3676"/>
      <c r="AG3676"/>
      <c r="AH3676"/>
      <c r="AI3676"/>
      <c r="AJ3676"/>
      <c r="AK3676"/>
      <c r="AL3676"/>
    </row>
    <row r="3677" spans="1:38" ht="12.75" outlineLevel="3" x14ac:dyDescent="0.2">
      <c r="A3677" s="82">
        <v>142</v>
      </c>
      <c r="B3677" s="82" t="s">
        <v>71</v>
      </c>
      <c r="C3677" s="82" t="s">
        <v>1892</v>
      </c>
      <c r="D3677" s="82" t="s">
        <v>506</v>
      </c>
      <c r="E3677" s="11" t="str">
        <f t="array" ref="E3677">_xlfn.XLOOKUP(D3677,Insumos!B:B,Insumos!C:$C)</f>
        <v>UN</v>
      </c>
      <c r="F3677" s="86">
        <v>0.4</v>
      </c>
      <c r="G3677" s="92">
        <f t="array" ref="G3677">IF(B3677="insumo",_xlfn.XLOOKUP($D3677,Insumos!$B$1:$B$996,Insumos!$D$1:$D$996),"")</f>
        <v>0.08</v>
      </c>
      <c r="H3677" s="92">
        <v>3.2000000000000001E-2</v>
      </c>
      <c r="I3677" s="84">
        <v>0</v>
      </c>
      <c r="J3677" s="84">
        <v>0</v>
      </c>
      <c r="K3677" s="84"/>
      <c r="L3677"/>
      <c r="M3677"/>
      <c r="N3677"/>
      <c r="O3677"/>
      <c r="P3677"/>
      <c r="Q3677"/>
      <c r="R3677"/>
      <c r="S3677"/>
      <c r="T3677"/>
      <c r="U3677"/>
      <c r="V3677"/>
      <c r="W3677"/>
      <c r="X3677"/>
      <c r="Y3677"/>
      <c r="Z3677"/>
      <c r="AA3677"/>
      <c r="AB3677"/>
      <c r="AC3677"/>
      <c r="AD3677"/>
      <c r="AE3677"/>
      <c r="AF3677"/>
      <c r="AG3677"/>
      <c r="AH3677"/>
      <c r="AI3677"/>
      <c r="AJ3677"/>
      <c r="AK3677"/>
      <c r="AL3677"/>
    </row>
    <row r="3678" spans="1:38" ht="12.75" outlineLevel="3" x14ac:dyDescent="0.2">
      <c r="A3678" s="82">
        <v>22</v>
      </c>
      <c r="B3678" s="82" t="s">
        <v>71</v>
      </c>
      <c r="C3678" s="82" t="s">
        <v>1892</v>
      </c>
      <c r="D3678" s="82" t="s">
        <v>1833</v>
      </c>
      <c r="E3678" s="11" t="str">
        <f t="array" ref="E3678">_xlfn.XLOOKUP(D3678,Insumos!B:B,Insumos!C:$C)</f>
        <v>KG</v>
      </c>
      <c r="F3678" s="86">
        <v>0.05</v>
      </c>
      <c r="G3678" s="92">
        <f t="array" ref="G3678">IF(B3678="insumo",_xlfn.XLOOKUP($D3678,Insumos!$B$1:$B$996,Insumos!$D$1:$D$996),"")</f>
        <v>43.8</v>
      </c>
      <c r="H3678" s="92">
        <v>2.19</v>
      </c>
      <c r="I3678" s="84">
        <v>0</v>
      </c>
      <c r="J3678" s="84">
        <v>0</v>
      </c>
      <c r="K3678" s="84"/>
      <c r="L3678"/>
      <c r="M3678"/>
      <c r="N3678"/>
      <c r="O3678"/>
      <c r="P3678"/>
      <c r="Q3678"/>
      <c r="R3678"/>
      <c r="S3678"/>
      <c r="T3678"/>
      <c r="U3678"/>
      <c r="V3678"/>
      <c r="W3678"/>
      <c r="X3678"/>
      <c r="Y3678"/>
      <c r="Z3678"/>
      <c r="AA3678"/>
      <c r="AB3678"/>
      <c r="AC3678"/>
      <c r="AD3678"/>
      <c r="AE3678"/>
      <c r="AF3678"/>
      <c r="AG3678"/>
      <c r="AH3678"/>
      <c r="AI3678"/>
      <c r="AJ3678"/>
      <c r="AK3678"/>
      <c r="AL3678"/>
    </row>
    <row r="3679" spans="1:38" ht="15.75" customHeight="1" outlineLevel="2" x14ac:dyDescent="0.2">
      <c r="A3679" s="1067">
        <v>1</v>
      </c>
      <c r="B3679" s="1067" t="s">
        <v>68</v>
      </c>
      <c r="C3679" s="1067" t="s">
        <v>1518</v>
      </c>
      <c r="D3679" s="1067" t="s">
        <v>1518</v>
      </c>
      <c r="E3679" s="1068" t="s">
        <v>113</v>
      </c>
      <c r="F3679" s="1067"/>
      <c r="G3679" s="1069" t="str">
        <f t="array" ref="G3679">IF(B3679="insumo",_xlfn.XLOOKUP($D3679,Insumos!$B$1:$B$996,Insumos!$D$1:$D$996),"")</f>
        <v/>
      </c>
      <c r="H3679" s="1069">
        <v>10.114274999999999</v>
      </c>
      <c r="I3679" s="1070" t="e">
        <v>#REF!</v>
      </c>
      <c r="J3679" s="1070" t="e">
        <v>#REF!</v>
      </c>
      <c r="K3679" s="1070"/>
      <c r="L3679"/>
      <c r="M3679"/>
      <c r="N3679"/>
      <c r="O3679"/>
      <c r="P3679"/>
      <c r="Q3679"/>
      <c r="R3679"/>
      <c r="S3679"/>
      <c r="T3679"/>
      <c r="U3679"/>
      <c r="V3679"/>
      <c r="W3679"/>
      <c r="X3679"/>
      <c r="Y3679"/>
      <c r="Z3679"/>
      <c r="AA3679"/>
      <c r="AB3679"/>
      <c r="AC3679"/>
      <c r="AD3679"/>
      <c r="AE3679"/>
      <c r="AF3679"/>
      <c r="AG3679"/>
      <c r="AH3679"/>
      <c r="AI3679"/>
      <c r="AJ3679"/>
      <c r="AK3679"/>
      <c r="AL3679"/>
    </row>
    <row r="3680" spans="1:38" ht="15.75" customHeight="1" outlineLevel="3" x14ac:dyDescent="0.2">
      <c r="A3680" s="10">
        <v>6</v>
      </c>
      <c r="B3680" s="10" t="s">
        <v>71</v>
      </c>
      <c r="C3680" s="10" t="s">
        <v>1518</v>
      </c>
      <c r="D3680" s="10" t="s">
        <v>505</v>
      </c>
      <c r="E3680" s="11" t="str">
        <f t="array" ref="E3680">_xlfn.XLOOKUP(D3680,Insumos!B:B,Insumos!C:$C)</f>
        <v>M2</v>
      </c>
      <c r="F3680" s="14">
        <v>0.16500000000000001</v>
      </c>
      <c r="G3680" s="92">
        <f t="array" ref="G3680">IF(B3680="insumo",_xlfn.XLOOKUP($D3680,Insumos!$B$1:$B$996,Insumos!$D$1:$D$996),"")</f>
        <v>47.23</v>
      </c>
      <c r="H3680" s="92">
        <v>7.7929500000000003</v>
      </c>
      <c r="I3680" s="13" t="e">
        <v>#REF!</v>
      </c>
      <c r="J3680" s="13" t="e">
        <v>#REF!</v>
      </c>
      <c r="K3680" s="13"/>
      <c r="L3680"/>
      <c r="M3680"/>
      <c r="N3680"/>
      <c r="O3680"/>
      <c r="P3680"/>
      <c r="Q3680"/>
      <c r="R3680"/>
      <c r="S3680"/>
      <c r="T3680"/>
      <c r="U3680"/>
      <c r="V3680"/>
      <c r="W3680"/>
      <c r="X3680"/>
      <c r="Y3680"/>
      <c r="Z3680"/>
      <c r="AA3680"/>
      <c r="AB3680"/>
      <c r="AC3680"/>
      <c r="AD3680"/>
      <c r="AE3680"/>
      <c r="AF3680"/>
      <c r="AG3680"/>
      <c r="AH3680"/>
      <c r="AI3680"/>
      <c r="AJ3680"/>
      <c r="AK3680"/>
      <c r="AL3680"/>
    </row>
    <row r="3681" spans="1:38" ht="15.75" customHeight="1" outlineLevel="3" x14ac:dyDescent="0.2">
      <c r="A3681" s="10">
        <v>191</v>
      </c>
      <c r="B3681" s="10" t="s">
        <v>71</v>
      </c>
      <c r="C3681" s="10" t="s">
        <v>1518</v>
      </c>
      <c r="D3681" s="10" t="s">
        <v>481</v>
      </c>
      <c r="E3681" s="11" t="str">
        <f t="array" ref="E3681">_xlfn.XLOOKUP(D3681,Insumos!B:B,Insumos!C:$C)</f>
        <v>KG</v>
      </c>
      <c r="F3681" s="14">
        <v>1.3499999999999999</v>
      </c>
      <c r="G3681" s="92">
        <f t="array" ref="G3681">IF(B3681="insumo",_xlfn.XLOOKUP($D3681,Insumos!$B$1:$B$996,Insumos!$D$1:$D$996),"")</f>
        <v>1.0645</v>
      </c>
      <c r="H3681" s="92">
        <v>1.4370750000000001</v>
      </c>
      <c r="I3681" s="13" t="e">
        <v>#REF!</v>
      </c>
      <c r="J3681" s="13" t="e">
        <v>#REF!</v>
      </c>
      <c r="K3681" s="13"/>
      <c r="L3681"/>
      <c r="M3681"/>
      <c r="N3681"/>
      <c r="O3681"/>
      <c r="P3681"/>
      <c r="Q3681"/>
      <c r="R3681"/>
      <c r="S3681"/>
      <c r="T3681"/>
      <c r="U3681"/>
      <c r="V3681"/>
      <c r="W3681"/>
      <c r="X3681"/>
      <c r="Y3681"/>
      <c r="Z3681"/>
      <c r="AA3681"/>
      <c r="AB3681"/>
      <c r="AC3681"/>
      <c r="AD3681"/>
      <c r="AE3681"/>
      <c r="AF3681"/>
      <c r="AG3681"/>
      <c r="AH3681"/>
      <c r="AI3681"/>
      <c r="AJ3681"/>
      <c r="AK3681"/>
      <c r="AL3681"/>
    </row>
    <row r="3682" spans="1:38" ht="15.75" customHeight="1" outlineLevel="3" x14ac:dyDescent="0.2">
      <c r="A3682" s="10">
        <v>142</v>
      </c>
      <c r="B3682" s="10" t="s">
        <v>71</v>
      </c>
      <c r="C3682" s="10" t="s">
        <v>1518</v>
      </c>
      <c r="D3682" s="10" t="s">
        <v>506</v>
      </c>
      <c r="E3682" s="11" t="str">
        <f t="array" ref="E3682">_xlfn.XLOOKUP(D3682,Insumos!B:B,Insumos!C:$C)</f>
        <v>UN</v>
      </c>
      <c r="F3682" s="14">
        <v>0.6</v>
      </c>
      <c r="G3682" s="92">
        <f t="array" ref="G3682">IF(B3682="insumo",_xlfn.XLOOKUP($D3682,Insumos!$B$1:$B$996,Insumos!$D$1:$D$996),"")</f>
        <v>0.08</v>
      </c>
      <c r="H3682" s="92">
        <v>4.8000000000000001E-2</v>
      </c>
      <c r="I3682" s="13" t="e">
        <v>#REF!</v>
      </c>
      <c r="J3682" s="13" t="e">
        <v>#REF!</v>
      </c>
      <c r="K3682" s="13"/>
      <c r="L3682"/>
      <c r="M3682"/>
      <c r="N3682"/>
      <c r="O3682"/>
      <c r="P3682"/>
      <c r="Q3682"/>
      <c r="R3682"/>
      <c r="S3682"/>
      <c r="T3682"/>
      <c r="U3682"/>
      <c r="V3682"/>
      <c r="W3682"/>
      <c r="X3682"/>
      <c r="Y3682"/>
      <c r="Z3682"/>
      <c r="AA3682"/>
      <c r="AB3682"/>
      <c r="AC3682"/>
      <c r="AD3682"/>
      <c r="AE3682"/>
      <c r="AF3682"/>
      <c r="AG3682"/>
      <c r="AH3682"/>
      <c r="AI3682"/>
      <c r="AJ3682"/>
      <c r="AK3682"/>
      <c r="AL3682"/>
    </row>
    <row r="3683" spans="1:38" ht="15.75" customHeight="1" outlineLevel="3" x14ac:dyDescent="0.2">
      <c r="A3683" s="10">
        <v>101</v>
      </c>
      <c r="B3683" s="10" t="s">
        <v>71</v>
      </c>
      <c r="C3683" s="10" t="s">
        <v>1518</v>
      </c>
      <c r="D3683" s="10" t="s">
        <v>507</v>
      </c>
      <c r="E3683" s="11" t="str">
        <f t="array" ref="E3683">_xlfn.XLOOKUP(D3683,Insumos!B:B,Insumos!C:$C)</f>
        <v>KG</v>
      </c>
      <c r="F3683" s="14">
        <v>7.4999999999999997E-2</v>
      </c>
      <c r="G3683" s="92">
        <f t="array" ref="G3683">IF(B3683="insumo",_xlfn.XLOOKUP($D3683,Insumos!$B$1:$B$996,Insumos!$D$1:$D$996),"")</f>
        <v>11.15</v>
      </c>
      <c r="H3683" s="92">
        <v>0.83625000000000005</v>
      </c>
      <c r="I3683" s="13" t="e">
        <v>#REF!</v>
      </c>
      <c r="J3683" s="13" t="e">
        <v>#REF!</v>
      </c>
      <c r="K3683" s="13"/>
      <c r="L3683"/>
      <c r="M3683"/>
      <c r="N3683"/>
      <c r="O3683"/>
      <c r="P3683"/>
      <c r="Q3683"/>
      <c r="R3683"/>
      <c r="S3683"/>
      <c r="T3683"/>
      <c r="U3683"/>
      <c r="V3683"/>
      <c r="W3683"/>
      <c r="X3683"/>
      <c r="Y3683"/>
      <c r="Z3683"/>
      <c r="AA3683"/>
      <c r="AB3683"/>
      <c r="AC3683"/>
      <c r="AD3683"/>
      <c r="AE3683"/>
      <c r="AF3683"/>
      <c r="AG3683"/>
      <c r="AH3683"/>
      <c r="AI3683"/>
      <c r="AJ3683"/>
      <c r="AK3683"/>
      <c r="AL3683"/>
    </row>
    <row r="3684" spans="1:38" ht="12.75" outlineLevel="2" x14ac:dyDescent="0.2">
      <c r="A3684" s="1071">
        <v>1</v>
      </c>
      <c r="B3684" s="1071" t="s">
        <v>68</v>
      </c>
      <c r="C3684" s="1071" t="s">
        <v>1893</v>
      </c>
      <c r="D3684" s="1071" t="s">
        <v>1893</v>
      </c>
      <c r="E3684" s="1072" t="s">
        <v>113</v>
      </c>
      <c r="F3684" s="1071"/>
      <c r="G3684" s="1073" t="str">
        <f t="array" ref="G3684">IF(B3684="insumo",_xlfn.XLOOKUP($D3684,Insumos!$B$1:$B$996,Insumos!$D$1:$D$996),"")</f>
        <v/>
      </c>
      <c r="H3684" s="1073">
        <v>22.48705</v>
      </c>
      <c r="I3684" s="1074">
        <v>0</v>
      </c>
      <c r="J3684" s="1074">
        <v>0</v>
      </c>
      <c r="K3684" s="1074"/>
      <c r="L3684"/>
      <c r="M3684"/>
      <c r="N3684"/>
      <c r="O3684"/>
      <c r="P3684"/>
      <c r="Q3684"/>
      <c r="R3684"/>
      <c r="S3684"/>
      <c r="T3684"/>
      <c r="U3684"/>
      <c r="V3684"/>
      <c r="W3684"/>
      <c r="X3684"/>
      <c r="Y3684"/>
      <c r="Z3684"/>
      <c r="AA3684"/>
      <c r="AB3684"/>
      <c r="AC3684"/>
      <c r="AD3684"/>
      <c r="AE3684"/>
      <c r="AF3684"/>
      <c r="AG3684"/>
      <c r="AH3684"/>
      <c r="AI3684"/>
      <c r="AJ3684"/>
      <c r="AK3684"/>
      <c r="AL3684"/>
    </row>
    <row r="3685" spans="1:38" ht="12.75" outlineLevel="3" x14ac:dyDescent="0.2">
      <c r="A3685" s="82">
        <v>4</v>
      </c>
      <c r="B3685" s="82" t="s">
        <v>71</v>
      </c>
      <c r="C3685" s="82" t="s">
        <v>1893</v>
      </c>
      <c r="D3685" s="82" t="s">
        <v>673</v>
      </c>
      <c r="E3685" s="11" t="str">
        <f t="array" ref="E3685">_xlfn.XLOOKUP(D3685,Insumos!B:B,Insumos!C:$C)</f>
        <v>M2</v>
      </c>
      <c r="F3685" s="86">
        <f>1*0.43</f>
        <v>0.43</v>
      </c>
      <c r="G3685" s="92">
        <f t="array" ref="G3685">IF(B3685="insumo",_xlfn.XLOOKUP($D3685,Insumos!$B$1:$B$996,Insumos!$D$1:$D$996),"")</f>
        <v>44.9</v>
      </c>
      <c r="H3685" s="92">
        <v>19.306999999999999</v>
      </c>
      <c r="I3685" s="84">
        <v>0</v>
      </c>
      <c r="J3685" s="84">
        <v>0</v>
      </c>
      <c r="K3685" s="84"/>
      <c r="L3685"/>
      <c r="M3685"/>
      <c r="N3685"/>
      <c r="O3685"/>
      <c r="P3685"/>
      <c r="Q3685"/>
      <c r="R3685"/>
      <c r="S3685"/>
      <c r="T3685"/>
      <c r="U3685"/>
      <c r="V3685"/>
      <c r="W3685"/>
      <c r="X3685"/>
      <c r="Y3685"/>
      <c r="Z3685"/>
      <c r="AA3685"/>
      <c r="AB3685"/>
      <c r="AC3685"/>
      <c r="AD3685"/>
      <c r="AE3685"/>
      <c r="AF3685"/>
      <c r="AG3685"/>
      <c r="AH3685"/>
      <c r="AI3685"/>
      <c r="AJ3685"/>
      <c r="AK3685"/>
      <c r="AL3685"/>
    </row>
    <row r="3686" spans="1:38" ht="12.75" outlineLevel="3" x14ac:dyDescent="0.2">
      <c r="A3686" s="82">
        <v>191</v>
      </c>
      <c r="B3686" s="82" t="s">
        <v>71</v>
      </c>
      <c r="C3686" s="82" t="s">
        <v>1893</v>
      </c>
      <c r="D3686" s="82" t="s">
        <v>481</v>
      </c>
      <c r="E3686" s="11" t="str">
        <f t="array" ref="E3686">_xlfn.XLOOKUP(D3686,Insumos!B:B,Insumos!C:$C)</f>
        <v>KG</v>
      </c>
      <c r="F3686" s="86">
        <v>0.9</v>
      </c>
      <c r="G3686" s="92">
        <f t="array" ref="G3686">IF(B3686="insumo",_xlfn.XLOOKUP($D3686,Insumos!$B$1:$B$996,Insumos!$D$1:$D$996),"")</f>
        <v>1.0645</v>
      </c>
      <c r="H3686" s="92">
        <v>0.95804999999999996</v>
      </c>
      <c r="I3686" s="84">
        <v>0</v>
      </c>
      <c r="J3686" s="84">
        <v>0</v>
      </c>
      <c r="K3686" s="84"/>
      <c r="L3686"/>
      <c r="M3686"/>
      <c r="N3686"/>
      <c r="O3686"/>
      <c r="P3686"/>
      <c r="Q3686"/>
      <c r="R3686"/>
      <c r="S3686"/>
      <c r="T3686"/>
      <c r="U3686"/>
      <c r="V3686"/>
      <c r="W3686"/>
      <c r="X3686"/>
      <c r="Y3686"/>
      <c r="Z3686"/>
      <c r="AA3686"/>
      <c r="AB3686"/>
      <c r="AC3686"/>
      <c r="AD3686"/>
      <c r="AE3686"/>
      <c r="AF3686"/>
      <c r="AG3686"/>
      <c r="AH3686"/>
      <c r="AI3686"/>
      <c r="AJ3686"/>
      <c r="AK3686"/>
      <c r="AL3686"/>
    </row>
    <row r="3687" spans="1:38" ht="12.75" outlineLevel="3" x14ac:dyDescent="0.2">
      <c r="A3687" s="82">
        <v>142</v>
      </c>
      <c r="B3687" s="82" t="s">
        <v>71</v>
      </c>
      <c r="C3687" s="82" t="s">
        <v>1893</v>
      </c>
      <c r="D3687" s="82" t="s">
        <v>506</v>
      </c>
      <c r="E3687" s="11" t="str">
        <f t="array" ref="E3687">_xlfn.XLOOKUP(D3687,Insumos!B:B,Insumos!C:$C)</f>
        <v>UN</v>
      </c>
      <c r="F3687" s="86">
        <v>0.4</v>
      </c>
      <c r="G3687" s="92">
        <f t="array" ref="G3687">IF(B3687="insumo",_xlfn.XLOOKUP($D3687,Insumos!$B$1:$B$996,Insumos!$D$1:$D$996),"")</f>
        <v>0.08</v>
      </c>
      <c r="H3687" s="92">
        <v>3.2000000000000001E-2</v>
      </c>
      <c r="I3687" s="84">
        <v>0</v>
      </c>
      <c r="J3687" s="84">
        <v>0</v>
      </c>
      <c r="K3687" s="84"/>
      <c r="L3687"/>
      <c r="M3687"/>
      <c r="N3687"/>
      <c r="O3687"/>
      <c r="P3687"/>
      <c r="Q3687"/>
      <c r="R3687"/>
      <c r="S3687"/>
      <c r="T3687"/>
      <c r="U3687"/>
      <c r="V3687"/>
      <c r="W3687"/>
      <c r="X3687"/>
      <c r="Y3687"/>
      <c r="Z3687"/>
      <c r="AA3687"/>
      <c r="AB3687"/>
      <c r="AC3687"/>
      <c r="AD3687"/>
      <c r="AE3687"/>
      <c r="AF3687"/>
      <c r="AG3687"/>
      <c r="AH3687"/>
      <c r="AI3687"/>
      <c r="AJ3687"/>
      <c r="AK3687"/>
      <c r="AL3687"/>
    </row>
    <row r="3688" spans="1:38" ht="12.75" outlineLevel="3" x14ac:dyDescent="0.2">
      <c r="A3688" s="82">
        <v>22</v>
      </c>
      <c r="B3688" s="82" t="s">
        <v>71</v>
      </c>
      <c r="C3688" s="82" t="s">
        <v>1893</v>
      </c>
      <c r="D3688" s="82" t="s">
        <v>1833</v>
      </c>
      <c r="E3688" s="11" t="str">
        <f t="array" ref="E3688">_xlfn.XLOOKUP(D3688,Insumos!B:B,Insumos!C:$C)</f>
        <v>KG</v>
      </c>
      <c r="F3688" s="86">
        <v>0.05</v>
      </c>
      <c r="G3688" s="92">
        <f t="array" ref="G3688">IF(B3688="insumo",_xlfn.XLOOKUP($D3688,Insumos!$B$1:$B$996,Insumos!$D$1:$D$996),"")</f>
        <v>43.8</v>
      </c>
      <c r="H3688" s="92">
        <v>2.19</v>
      </c>
      <c r="I3688" s="84">
        <v>0</v>
      </c>
      <c r="J3688" s="84">
        <v>0</v>
      </c>
      <c r="K3688" s="84"/>
      <c r="L3688"/>
      <c r="M3688"/>
      <c r="N3688"/>
      <c r="O3688"/>
      <c r="P3688"/>
      <c r="Q3688"/>
      <c r="R3688"/>
      <c r="S3688"/>
      <c r="T3688"/>
      <c r="U3688"/>
      <c r="V3688"/>
      <c r="W3688"/>
      <c r="X3688"/>
      <c r="Y3688"/>
      <c r="Z3688"/>
      <c r="AA3688"/>
      <c r="AB3688"/>
      <c r="AC3688"/>
      <c r="AD3688"/>
      <c r="AE3688"/>
      <c r="AF3688"/>
      <c r="AG3688"/>
      <c r="AH3688"/>
      <c r="AI3688"/>
      <c r="AJ3688"/>
      <c r="AK3688"/>
      <c r="AL3688"/>
    </row>
    <row r="3689" spans="1:38" ht="15.75" customHeight="1" outlineLevel="2" x14ac:dyDescent="0.2">
      <c r="A3689" s="1067">
        <v>1</v>
      </c>
      <c r="B3689" s="1067" t="s">
        <v>68</v>
      </c>
      <c r="C3689" s="1067" t="s">
        <v>723</v>
      </c>
      <c r="D3689" s="1067" t="s">
        <v>723</v>
      </c>
      <c r="E3689" s="1068" t="s">
        <v>113</v>
      </c>
      <c r="F3689" s="1067"/>
      <c r="G3689" s="1069" t="str">
        <f t="array" ref="G3689">IF(B3689="insumo",_xlfn.XLOOKUP($D3689,Insumos!$B$1:$B$996,Insumos!$D$1:$D$996),"")</f>
        <v/>
      </c>
      <c r="H3689" s="1069">
        <v>10.567550000000001</v>
      </c>
      <c r="I3689" s="1070">
        <v>0</v>
      </c>
      <c r="J3689" s="1070">
        <v>0</v>
      </c>
      <c r="K3689" s="1070"/>
      <c r="L3689"/>
      <c r="M3689"/>
      <c r="N3689"/>
      <c r="O3689"/>
      <c r="P3689"/>
      <c r="Q3689"/>
      <c r="R3689"/>
      <c r="S3689"/>
      <c r="T3689"/>
      <c r="U3689"/>
      <c r="V3689"/>
      <c r="W3689"/>
      <c r="X3689"/>
      <c r="Y3689"/>
      <c r="Z3689"/>
      <c r="AA3689"/>
      <c r="AB3689"/>
      <c r="AC3689"/>
      <c r="AD3689"/>
      <c r="AE3689"/>
      <c r="AF3689"/>
      <c r="AG3689"/>
      <c r="AH3689"/>
      <c r="AI3689"/>
      <c r="AJ3689"/>
      <c r="AK3689"/>
      <c r="AL3689"/>
    </row>
    <row r="3690" spans="1:38" ht="15.75" customHeight="1" outlineLevel="3" x14ac:dyDescent="0.2">
      <c r="A3690" s="10">
        <v>5</v>
      </c>
      <c r="B3690" s="10" t="s">
        <v>71</v>
      </c>
      <c r="C3690" s="10" t="s">
        <v>723</v>
      </c>
      <c r="D3690" s="10" t="s">
        <v>663</v>
      </c>
      <c r="E3690" s="11" t="str">
        <f t="array" ref="E3690">_xlfn.XLOOKUP(D3690,Insumos!B:B,Insumos!C:$C)</f>
        <v>M2</v>
      </c>
      <c r="F3690" s="14">
        <v>0.11000000000000001</v>
      </c>
      <c r="G3690" s="92">
        <f t="array" ref="G3690">IF(B3690="insumo",_xlfn.XLOOKUP($D3690,Insumos!$B$1:$B$996,Insumos!$D$1:$D$996),"")</f>
        <v>82</v>
      </c>
      <c r="H3690" s="92">
        <v>9.02</v>
      </c>
      <c r="I3690" s="13">
        <v>0</v>
      </c>
      <c r="J3690" s="13">
        <v>0</v>
      </c>
      <c r="K3690" s="13"/>
      <c r="L3690"/>
      <c r="M3690"/>
      <c r="N3690"/>
      <c r="O3690"/>
      <c r="P3690"/>
      <c r="Q3690"/>
      <c r="R3690"/>
      <c r="S3690"/>
      <c r="T3690"/>
      <c r="U3690"/>
      <c r="V3690"/>
      <c r="W3690"/>
      <c r="X3690"/>
      <c r="Y3690"/>
      <c r="Z3690"/>
      <c r="AA3690"/>
      <c r="AB3690"/>
      <c r="AC3690"/>
      <c r="AD3690"/>
      <c r="AE3690"/>
      <c r="AF3690"/>
      <c r="AG3690"/>
      <c r="AH3690"/>
      <c r="AI3690"/>
      <c r="AJ3690"/>
      <c r="AK3690"/>
      <c r="AL3690"/>
    </row>
    <row r="3691" spans="1:38" ht="15.75" customHeight="1" outlineLevel="3" x14ac:dyDescent="0.2">
      <c r="A3691" s="10">
        <v>191</v>
      </c>
      <c r="B3691" s="10" t="s">
        <v>71</v>
      </c>
      <c r="C3691" s="10" t="s">
        <v>723</v>
      </c>
      <c r="D3691" s="10" t="s">
        <v>481</v>
      </c>
      <c r="E3691" s="11" t="str">
        <f t="array" ref="E3691">_xlfn.XLOOKUP(D3691,Insumos!B:B,Insumos!C:$C)</f>
        <v>KG</v>
      </c>
      <c r="F3691" s="14">
        <v>0.9</v>
      </c>
      <c r="G3691" s="92">
        <f t="array" ref="G3691">IF(B3691="insumo",_xlfn.XLOOKUP($D3691,Insumos!$B$1:$B$996,Insumos!$D$1:$D$996),"")</f>
        <v>1.0645</v>
      </c>
      <c r="H3691" s="92">
        <v>0.95804999999999996</v>
      </c>
      <c r="I3691" s="13">
        <v>0</v>
      </c>
      <c r="J3691" s="13">
        <v>0</v>
      </c>
      <c r="K3691" s="13"/>
      <c r="L3691"/>
      <c r="M3691"/>
      <c r="N3691"/>
      <c r="O3691"/>
      <c r="P3691"/>
      <c r="Q3691"/>
      <c r="R3691"/>
      <c r="S3691"/>
      <c r="T3691"/>
      <c r="U3691"/>
      <c r="V3691"/>
      <c r="W3691"/>
      <c r="X3691"/>
      <c r="Y3691"/>
      <c r="Z3691"/>
      <c r="AA3691"/>
      <c r="AB3691"/>
      <c r="AC3691"/>
      <c r="AD3691"/>
      <c r="AE3691"/>
      <c r="AF3691"/>
      <c r="AG3691"/>
      <c r="AH3691"/>
      <c r="AI3691"/>
      <c r="AJ3691"/>
      <c r="AK3691"/>
      <c r="AL3691"/>
    </row>
    <row r="3692" spans="1:38" ht="15.75" customHeight="1" outlineLevel="3" x14ac:dyDescent="0.2">
      <c r="A3692" s="10">
        <v>142</v>
      </c>
      <c r="B3692" s="10" t="s">
        <v>71</v>
      </c>
      <c r="C3692" s="10" t="s">
        <v>723</v>
      </c>
      <c r="D3692" s="10" t="s">
        <v>506</v>
      </c>
      <c r="E3692" s="11" t="str">
        <f t="array" ref="E3692">_xlfn.XLOOKUP(D3692,Insumos!B:B,Insumos!C:$C)</f>
        <v>UN</v>
      </c>
      <c r="F3692" s="14">
        <v>0.4</v>
      </c>
      <c r="G3692" s="92">
        <f t="array" ref="G3692">IF(B3692="insumo",_xlfn.XLOOKUP($D3692,Insumos!$B$1:$B$996,Insumos!$D$1:$D$996),"")</f>
        <v>0.08</v>
      </c>
      <c r="H3692" s="92">
        <v>3.2000000000000001E-2</v>
      </c>
      <c r="I3692" s="13">
        <v>0</v>
      </c>
      <c r="J3692" s="13">
        <v>0</v>
      </c>
      <c r="K3692" s="13"/>
      <c r="L3692"/>
      <c r="M3692"/>
      <c r="N3692"/>
      <c r="O3692"/>
      <c r="P3692"/>
      <c r="Q3692"/>
      <c r="R3692"/>
      <c r="S3692"/>
      <c r="T3692"/>
      <c r="U3692"/>
      <c r="V3692"/>
      <c r="W3692"/>
      <c r="X3692"/>
      <c r="Y3692"/>
      <c r="Z3692"/>
      <c r="AA3692"/>
      <c r="AB3692"/>
      <c r="AC3692"/>
      <c r="AD3692"/>
      <c r="AE3692"/>
      <c r="AF3692"/>
      <c r="AG3692"/>
      <c r="AH3692"/>
      <c r="AI3692"/>
      <c r="AJ3692"/>
      <c r="AK3692"/>
      <c r="AL3692"/>
    </row>
    <row r="3693" spans="1:38" ht="15.75" customHeight="1" outlineLevel="3" x14ac:dyDescent="0.2">
      <c r="A3693" s="10">
        <v>101</v>
      </c>
      <c r="B3693" s="10" t="s">
        <v>71</v>
      </c>
      <c r="C3693" s="10" t="s">
        <v>723</v>
      </c>
      <c r="D3693" s="10" t="s">
        <v>507</v>
      </c>
      <c r="E3693" s="11" t="str">
        <f t="array" ref="E3693">_xlfn.XLOOKUP(D3693,Insumos!B:B,Insumos!C:$C)</f>
        <v>KG</v>
      </c>
      <c r="F3693" s="14">
        <v>0.05</v>
      </c>
      <c r="G3693" s="92">
        <f t="array" ref="G3693">IF(B3693="insumo",_xlfn.XLOOKUP($D3693,Insumos!$B$1:$B$996,Insumos!$D$1:$D$996),"")</f>
        <v>11.15</v>
      </c>
      <c r="H3693" s="92">
        <v>0.5575</v>
      </c>
      <c r="I3693" s="13">
        <v>0</v>
      </c>
      <c r="J3693" s="13">
        <v>0</v>
      </c>
      <c r="K3693" s="13"/>
      <c r="L3693"/>
      <c r="M3693"/>
      <c r="N3693"/>
      <c r="O3693"/>
      <c r="P3693"/>
      <c r="Q3693"/>
      <c r="R3693"/>
      <c r="S3693"/>
      <c r="T3693"/>
      <c r="U3693"/>
      <c r="V3693"/>
      <c r="W3693"/>
      <c r="X3693"/>
      <c r="Y3693"/>
      <c r="Z3693"/>
      <c r="AA3693"/>
      <c r="AB3693"/>
      <c r="AC3693"/>
      <c r="AD3693"/>
      <c r="AE3693"/>
      <c r="AF3693"/>
      <c r="AG3693"/>
      <c r="AH3693"/>
      <c r="AI3693"/>
      <c r="AJ3693"/>
      <c r="AK3693"/>
      <c r="AL3693"/>
    </row>
    <row r="3694" spans="1:38" ht="15.75" customHeight="1" outlineLevel="2" x14ac:dyDescent="0.2">
      <c r="A3694" s="1067">
        <v>1</v>
      </c>
      <c r="B3694" s="1067" t="s">
        <v>68</v>
      </c>
      <c r="C3694" s="1067" t="s">
        <v>724</v>
      </c>
      <c r="D3694" s="1067" t="s">
        <v>724</v>
      </c>
      <c r="E3694" s="1068" t="s">
        <v>113</v>
      </c>
      <c r="F3694" s="1067"/>
      <c r="G3694" s="1069" t="str">
        <f t="array" ref="G3694">IF(B3694="insumo",_xlfn.XLOOKUP($D3694,Insumos!$B$1:$B$996,Insumos!$D$1:$D$996),"")</f>
        <v/>
      </c>
      <c r="H3694" s="1069">
        <v>15.851324999999999</v>
      </c>
      <c r="I3694" s="1070">
        <v>0</v>
      </c>
      <c r="J3694" s="1070">
        <v>0</v>
      </c>
      <c r="K3694" s="1070"/>
      <c r="L3694"/>
      <c r="M3694"/>
      <c r="N3694"/>
      <c r="O3694"/>
      <c r="P3694"/>
      <c r="Q3694"/>
      <c r="R3694"/>
      <c r="S3694"/>
      <c r="T3694"/>
      <c r="U3694"/>
      <c r="V3694"/>
      <c r="W3694"/>
      <c r="X3694"/>
      <c r="Y3694"/>
      <c r="Z3694"/>
      <c r="AA3694"/>
      <c r="AB3694"/>
      <c r="AC3694"/>
      <c r="AD3694"/>
      <c r="AE3694"/>
      <c r="AF3694"/>
      <c r="AG3694"/>
      <c r="AH3694"/>
      <c r="AI3694"/>
      <c r="AJ3694"/>
      <c r="AK3694"/>
      <c r="AL3694"/>
    </row>
    <row r="3695" spans="1:38" ht="15.75" customHeight="1" outlineLevel="3" x14ac:dyDescent="0.2">
      <c r="A3695" s="10">
        <v>5</v>
      </c>
      <c r="B3695" s="10" t="s">
        <v>71</v>
      </c>
      <c r="C3695" s="10" t="s">
        <v>724</v>
      </c>
      <c r="D3695" s="10" t="s">
        <v>663</v>
      </c>
      <c r="E3695" s="11" t="str">
        <f t="array" ref="E3695">_xlfn.XLOOKUP(D3695,Insumos!B:B,Insumos!C:$C)</f>
        <v>M2</v>
      </c>
      <c r="F3695" s="14">
        <v>0.16500000000000001</v>
      </c>
      <c r="G3695" s="92">
        <f t="array" ref="G3695">IF(B3695="insumo",_xlfn.XLOOKUP($D3695,Insumos!$B$1:$B$996,Insumos!$D$1:$D$996),"")</f>
        <v>82</v>
      </c>
      <c r="H3695" s="92">
        <v>13.53</v>
      </c>
      <c r="I3695" s="13">
        <v>0</v>
      </c>
      <c r="J3695" s="13">
        <v>0</v>
      </c>
      <c r="K3695" s="13"/>
      <c r="L3695"/>
      <c r="M3695"/>
      <c r="N3695"/>
      <c r="O3695"/>
      <c r="P3695"/>
      <c r="Q3695"/>
      <c r="R3695"/>
      <c r="S3695"/>
      <c r="T3695"/>
      <c r="U3695"/>
      <c r="V3695"/>
      <c r="W3695"/>
      <c r="X3695"/>
      <c r="Y3695"/>
      <c r="Z3695"/>
      <c r="AA3695"/>
      <c r="AB3695"/>
      <c r="AC3695"/>
      <c r="AD3695"/>
      <c r="AE3695"/>
      <c r="AF3695"/>
      <c r="AG3695"/>
      <c r="AH3695"/>
      <c r="AI3695"/>
      <c r="AJ3695"/>
      <c r="AK3695"/>
      <c r="AL3695"/>
    </row>
    <row r="3696" spans="1:38" ht="15.75" customHeight="1" outlineLevel="3" x14ac:dyDescent="0.2">
      <c r="A3696" s="10">
        <v>191</v>
      </c>
      <c r="B3696" s="10" t="s">
        <v>71</v>
      </c>
      <c r="C3696" s="10" t="s">
        <v>724</v>
      </c>
      <c r="D3696" s="10" t="s">
        <v>481</v>
      </c>
      <c r="E3696" s="11" t="str">
        <f t="array" ref="E3696">_xlfn.XLOOKUP(D3696,Insumos!B:B,Insumos!C:$C)</f>
        <v>KG</v>
      </c>
      <c r="F3696" s="14">
        <v>1.3499999999999999</v>
      </c>
      <c r="G3696" s="92">
        <f t="array" ref="G3696">IF(B3696="insumo",_xlfn.XLOOKUP($D3696,Insumos!$B$1:$B$996,Insumos!$D$1:$D$996),"")</f>
        <v>1.0645</v>
      </c>
      <c r="H3696" s="92">
        <v>1.4370750000000001</v>
      </c>
      <c r="I3696" s="13">
        <v>0</v>
      </c>
      <c r="J3696" s="13">
        <v>0</v>
      </c>
      <c r="K3696" s="13"/>
      <c r="L3696"/>
      <c r="M3696"/>
      <c r="N3696"/>
      <c r="O3696"/>
      <c r="P3696"/>
      <c r="Q3696"/>
      <c r="R3696"/>
      <c r="S3696"/>
      <c r="T3696"/>
      <c r="U3696"/>
      <c r="V3696"/>
      <c r="W3696"/>
      <c r="X3696"/>
      <c r="Y3696"/>
      <c r="Z3696"/>
      <c r="AA3696"/>
      <c r="AB3696"/>
      <c r="AC3696"/>
      <c r="AD3696"/>
      <c r="AE3696"/>
      <c r="AF3696"/>
      <c r="AG3696"/>
      <c r="AH3696"/>
      <c r="AI3696"/>
      <c r="AJ3696"/>
      <c r="AK3696"/>
      <c r="AL3696"/>
    </row>
    <row r="3697" spans="1:38" ht="15.75" customHeight="1" outlineLevel="3" x14ac:dyDescent="0.2">
      <c r="A3697" s="10">
        <v>142</v>
      </c>
      <c r="B3697" s="10" t="s">
        <v>71</v>
      </c>
      <c r="C3697" s="10" t="s">
        <v>724</v>
      </c>
      <c r="D3697" s="10" t="s">
        <v>506</v>
      </c>
      <c r="E3697" s="11" t="str">
        <f t="array" ref="E3697">_xlfn.XLOOKUP(D3697,Insumos!B:B,Insumos!C:$C)</f>
        <v>UN</v>
      </c>
      <c r="F3697" s="14">
        <v>0.6</v>
      </c>
      <c r="G3697" s="92">
        <f t="array" ref="G3697">IF(B3697="insumo",_xlfn.XLOOKUP($D3697,Insumos!$B$1:$B$996,Insumos!$D$1:$D$996),"")</f>
        <v>0.08</v>
      </c>
      <c r="H3697" s="92">
        <v>4.8000000000000001E-2</v>
      </c>
      <c r="I3697" s="13">
        <v>0</v>
      </c>
      <c r="J3697" s="13">
        <v>0</v>
      </c>
      <c r="K3697" s="13"/>
      <c r="L3697"/>
      <c r="M3697"/>
      <c r="N3697"/>
      <c r="O3697"/>
      <c r="P3697"/>
      <c r="Q3697"/>
      <c r="R3697"/>
      <c r="S3697"/>
      <c r="T3697"/>
      <c r="U3697"/>
      <c r="V3697"/>
      <c r="W3697"/>
      <c r="X3697"/>
      <c r="Y3697"/>
      <c r="Z3697"/>
      <c r="AA3697"/>
      <c r="AB3697"/>
      <c r="AC3697"/>
      <c r="AD3697"/>
      <c r="AE3697"/>
      <c r="AF3697"/>
      <c r="AG3697"/>
      <c r="AH3697"/>
      <c r="AI3697"/>
      <c r="AJ3697"/>
      <c r="AK3697"/>
      <c r="AL3697"/>
    </row>
    <row r="3698" spans="1:38" ht="15.75" customHeight="1" outlineLevel="3" x14ac:dyDescent="0.2">
      <c r="A3698" s="10">
        <v>101</v>
      </c>
      <c r="B3698" s="10" t="s">
        <v>71</v>
      </c>
      <c r="C3698" s="10" t="s">
        <v>724</v>
      </c>
      <c r="D3698" s="10" t="s">
        <v>507</v>
      </c>
      <c r="E3698" s="11" t="str">
        <f t="array" ref="E3698">_xlfn.XLOOKUP(D3698,Insumos!B:B,Insumos!C:$C)</f>
        <v>KG</v>
      </c>
      <c r="F3698" s="14">
        <v>7.4999999999999997E-2</v>
      </c>
      <c r="G3698" s="92">
        <f t="array" ref="G3698">IF(B3698="insumo",_xlfn.XLOOKUP($D3698,Insumos!$B$1:$B$996,Insumos!$D$1:$D$996),"")</f>
        <v>11.15</v>
      </c>
      <c r="H3698" s="92">
        <v>0.83625000000000005</v>
      </c>
      <c r="I3698" s="13">
        <v>0</v>
      </c>
      <c r="J3698" s="13">
        <v>0</v>
      </c>
      <c r="K3698" s="13"/>
      <c r="L3698"/>
      <c r="M3698"/>
      <c r="N3698"/>
      <c r="O3698"/>
      <c r="P3698"/>
      <c r="Q3698"/>
      <c r="R3698"/>
      <c r="S3698"/>
      <c r="T3698"/>
      <c r="U3698"/>
      <c r="V3698"/>
      <c r="W3698"/>
      <c r="X3698"/>
      <c r="Y3698"/>
      <c r="Z3698"/>
      <c r="AA3698"/>
      <c r="AB3698"/>
      <c r="AC3698"/>
      <c r="AD3698"/>
      <c r="AE3698"/>
      <c r="AF3698"/>
      <c r="AG3698"/>
      <c r="AH3698"/>
      <c r="AI3698"/>
      <c r="AJ3698"/>
      <c r="AK3698"/>
      <c r="AL3698"/>
    </row>
    <row r="3699" spans="1:38" ht="12.75" outlineLevel="2" x14ac:dyDescent="0.2">
      <c r="A3699" s="1071">
        <v>1</v>
      </c>
      <c r="B3699" s="1071" t="s">
        <v>68</v>
      </c>
      <c r="C3699" s="1071" t="s">
        <v>3051</v>
      </c>
      <c r="D3699" s="1071" t="s">
        <v>3051</v>
      </c>
      <c r="E3699" s="1072" t="s">
        <v>113</v>
      </c>
      <c r="F3699" s="1071"/>
      <c r="G3699" s="1073" t="str">
        <f t="array" ref="G3699">IF(B3699="insumo",_xlfn.XLOOKUP($D3699,Insumos!$B$1:$B$996,Insumos!$D$1:$D$996),"")</f>
        <v/>
      </c>
      <c r="H3699" s="1073">
        <v>22.121324999999999</v>
      </c>
      <c r="I3699" s="1074" t="e">
        <v>#REF!</v>
      </c>
      <c r="J3699" s="1074" t="e">
        <v>#REF!</v>
      </c>
      <c r="K3699" s="1074"/>
      <c r="L3699"/>
      <c r="M3699"/>
      <c r="N3699"/>
      <c r="O3699"/>
      <c r="P3699"/>
      <c r="Q3699"/>
      <c r="R3699"/>
      <c r="S3699"/>
      <c r="T3699"/>
      <c r="U3699"/>
      <c r="V3699"/>
      <c r="W3699"/>
      <c r="X3699"/>
      <c r="Y3699"/>
      <c r="Z3699"/>
      <c r="AA3699"/>
      <c r="AB3699"/>
      <c r="AC3699"/>
      <c r="AD3699"/>
      <c r="AE3699"/>
      <c r="AF3699"/>
      <c r="AG3699"/>
      <c r="AH3699"/>
      <c r="AI3699"/>
      <c r="AJ3699"/>
      <c r="AK3699"/>
      <c r="AL3699"/>
    </row>
    <row r="3700" spans="1:38" ht="12.75" outlineLevel="3" x14ac:dyDescent="0.2">
      <c r="A3700" s="82">
        <v>3</v>
      </c>
      <c r="B3700" s="82" t="s">
        <v>71</v>
      </c>
      <c r="C3700" s="82" t="s">
        <v>3051</v>
      </c>
      <c r="D3700" s="82" t="s">
        <v>2847</v>
      </c>
      <c r="E3700" s="11" t="str">
        <f t="array" ref="E3700">_xlfn.XLOOKUP(D3700,Insumos!B:B,Insumos!C:$C)</f>
        <v>M2</v>
      </c>
      <c r="F3700" s="86">
        <v>0.16500000000000001</v>
      </c>
      <c r="G3700" s="92">
        <f t="array" ref="G3700">IF(B3700="insumo",_xlfn.XLOOKUP($D3700,Insumos!$B$1:$B$996,Insumos!$D$1:$D$996),"")</f>
        <v>120</v>
      </c>
      <c r="H3700" s="92">
        <v>19.8</v>
      </c>
      <c r="I3700" s="84" t="e">
        <v>#REF!</v>
      </c>
      <c r="J3700" s="84" t="e">
        <v>#REF!</v>
      </c>
      <c r="K3700" s="84"/>
      <c r="L3700"/>
      <c r="M3700"/>
      <c r="N3700"/>
      <c r="O3700"/>
      <c r="P3700"/>
      <c r="Q3700"/>
      <c r="R3700"/>
      <c r="S3700"/>
      <c r="T3700"/>
      <c r="U3700"/>
      <c r="V3700"/>
      <c r="W3700"/>
      <c r="X3700"/>
      <c r="Y3700"/>
      <c r="Z3700"/>
      <c r="AA3700"/>
      <c r="AB3700"/>
      <c r="AC3700"/>
      <c r="AD3700"/>
      <c r="AE3700"/>
      <c r="AF3700"/>
      <c r="AG3700"/>
      <c r="AH3700"/>
      <c r="AI3700"/>
      <c r="AJ3700"/>
      <c r="AK3700"/>
      <c r="AL3700"/>
    </row>
    <row r="3701" spans="1:38" ht="12.75" outlineLevel="3" x14ac:dyDescent="0.2">
      <c r="A3701" s="82">
        <v>191</v>
      </c>
      <c r="B3701" s="82" t="s">
        <v>71</v>
      </c>
      <c r="C3701" s="82" t="s">
        <v>3051</v>
      </c>
      <c r="D3701" s="82" t="s">
        <v>481</v>
      </c>
      <c r="E3701" s="11" t="str">
        <f t="array" ref="E3701">_xlfn.XLOOKUP(D3701,Insumos!B:B,Insumos!C:$C)</f>
        <v>KG</v>
      </c>
      <c r="F3701" s="86">
        <v>1.3499999999999999</v>
      </c>
      <c r="G3701" s="92">
        <f t="array" ref="G3701">IF(B3701="insumo",_xlfn.XLOOKUP($D3701,Insumos!$B$1:$B$996,Insumos!$D$1:$D$996),"")</f>
        <v>1.0645</v>
      </c>
      <c r="H3701" s="92">
        <v>1.4370750000000001</v>
      </c>
      <c r="I3701" s="84" t="e">
        <v>#REF!</v>
      </c>
      <c r="J3701" s="84" t="e">
        <v>#REF!</v>
      </c>
      <c r="K3701" s="84"/>
      <c r="L3701"/>
      <c r="M3701"/>
      <c r="N3701"/>
      <c r="O3701"/>
      <c r="P3701"/>
      <c r="Q3701"/>
      <c r="R3701"/>
      <c r="S3701"/>
      <c r="T3701"/>
      <c r="U3701"/>
      <c r="V3701"/>
      <c r="W3701"/>
      <c r="X3701"/>
      <c r="Y3701"/>
      <c r="Z3701"/>
      <c r="AA3701"/>
      <c r="AB3701"/>
      <c r="AC3701"/>
      <c r="AD3701"/>
      <c r="AE3701"/>
      <c r="AF3701"/>
      <c r="AG3701"/>
      <c r="AH3701"/>
      <c r="AI3701"/>
      <c r="AJ3701"/>
      <c r="AK3701"/>
      <c r="AL3701"/>
    </row>
    <row r="3702" spans="1:38" ht="12.75" outlineLevel="3" x14ac:dyDescent="0.2">
      <c r="A3702" s="82">
        <v>142</v>
      </c>
      <c r="B3702" s="82" t="s">
        <v>71</v>
      </c>
      <c r="C3702" s="82" t="s">
        <v>3051</v>
      </c>
      <c r="D3702" s="82" t="s">
        <v>506</v>
      </c>
      <c r="E3702" s="11" t="str">
        <f t="array" ref="E3702">_xlfn.XLOOKUP(D3702,Insumos!B:B,Insumos!C:$C)</f>
        <v>UN</v>
      </c>
      <c r="F3702" s="86">
        <v>0.6</v>
      </c>
      <c r="G3702" s="92">
        <f t="array" ref="G3702">IF(B3702="insumo",_xlfn.XLOOKUP($D3702,Insumos!$B$1:$B$996,Insumos!$D$1:$D$996),"")</f>
        <v>0.08</v>
      </c>
      <c r="H3702" s="92">
        <v>4.8000000000000001E-2</v>
      </c>
      <c r="I3702" s="84" t="e">
        <v>#REF!</v>
      </c>
      <c r="J3702" s="84" t="e">
        <v>#REF!</v>
      </c>
      <c r="K3702" s="84"/>
      <c r="L3702"/>
      <c r="M3702"/>
      <c r="N3702"/>
      <c r="O3702"/>
      <c r="P3702"/>
      <c r="Q3702"/>
      <c r="R3702"/>
      <c r="S3702"/>
      <c r="T3702"/>
      <c r="U3702"/>
      <c r="V3702"/>
      <c r="W3702"/>
      <c r="X3702"/>
      <c r="Y3702"/>
      <c r="Z3702"/>
      <c r="AA3702"/>
      <c r="AB3702"/>
      <c r="AC3702"/>
      <c r="AD3702"/>
      <c r="AE3702"/>
      <c r="AF3702"/>
      <c r="AG3702"/>
      <c r="AH3702"/>
      <c r="AI3702"/>
      <c r="AJ3702"/>
      <c r="AK3702"/>
      <c r="AL3702"/>
    </row>
    <row r="3703" spans="1:38" ht="12.75" outlineLevel="3" x14ac:dyDescent="0.2">
      <c r="A3703" s="82">
        <v>101</v>
      </c>
      <c r="B3703" s="82" t="s">
        <v>71</v>
      </c>
      <c r="C3703" s="82" t="s">
        <v>3051</v>
      </c>
      <c r="D3703" s="82" t="s">
        <v>507</v>
      </c>
      <c r="E3703" s="11" t="str">
        <f t="array" ref="E3703">_xlfn.XLOOKUP(D3703,Insumos!B:B,Insumos!C:$C)</f>
        <v>KG</v>
      </c>
      <c r="F3703" s="86">
        <v>7.4999999999999997E-2</v>
      </c>
      <c r="G3703" s="92">
        <f t="array" ref="G3703">IF(B3703="insumo",_xlfn.XLOOKUP($D3703,Insumos!$B$1:$B$996,Insumos!$D$1:$D$996),"")</f>
        <v>11.15</v>
      </c>
      <c r="H3703" s="92">
        <v>0.83625000000000005</v>
      </c>
      <c r="I3703" s="84" t="e">
        <v>#REF!</v>
      </c>
      <c r="J3703" s="84" t="e">
        <v>#REF!</v>
      </c>
      <c r="K3703" s="84"/>
      <c r="L3703"/>
      <c r="M3703"/>
      <c r="N3703"/>
      <c r="O3703"/>
      <c r="P3703"/>
      <c r="Q3703"/>
      <c r="R3703"/>
      <c r="S3703"/>
      <c r="T3703"/>
      <c r="U3703"/>
      <c r="V3703"/>
      <c r="W3703"/>
      <c r="X3703"/>
      <c r="Y3703"/>
      <c r="Z3703"/>
      <c r="AA3703"/>
      <c r="AB3703"/>
      <c r="AC3703"/>
      <c r="AD3703"/>
      <c r="AE3703"/>
      <c r="AF3703"/>
      <c r="AG3703"/>
      <c r="AH3703"/>
      <c r="AI3703"/>
      <c r="AJ3703"/>
      <c r="AK3703"/>
      <c r="AL3703"/>
    </row>
    <row r="3704" spans="1:38" ht="12.75" outlineLevel="2" x14ac:dyDescent="0.2">
      <c r="A3704" s="1071">
        <v>1</v>
      </c>
      <c r="B3704" s="1071" t="s">
        <v>68</v>
      </c>
      <c r="C3704" s="1071" t="s">
        <v>1894</v>
      </c>
      <c r="D3704" s="1071" t="s">
        <v>1894</v>
      </c>
      <c r="E3704" s="1072" t="s">
        <v>113</v>
      </c>
      <c r="F3704" s="1071"/>
      <c r="G3704" s="1073" t="str">
        <f t="array" ref="G3704">IF(B3704="insumo",_xlfn.XLOOKUP($D3704,Insumos!$B$1:$B$996,Insumos!$D$1:$D$996),"")</f>
        <v/>
      </c>
      <c r="H3704" s="1073">
        <v>22.119675000000001</v>
      </c>
      <c r="I3704" s="1074">
        <v>0</v>
      </c>
      <c r="J3704" s="1074">
        <v>0</v>
      </c>
      <c r="K3704" s="1074"/>
      <c r="L3704"/>
      <c r="M3704"/>
      <c r="N3704"/>
      <c r="O3704"/>
      <c r="P3704"/>
      <c r="Q3704"/>
      <c r="R3704"/>
      <c r="S3704"/>
      <c r="T3704"/>
      <c r="U3704"/>
      <c r="V3704"/>
      <c r="W3704"/>
      <c r="X3704"/>
      <c r="Y3704"/>
      <c r="Z3704"/>
      <c r="AA3704"/>
      <c r="AB3704"/>
      <c r="AC3704"/>
      <c r="AD3704"/>
      <c r="AE3704"/>
      <c r="AF3704"/>
      <c r="AG3704"/>
      <c r="AH3704"/>
      <c r="AI3704"/>
      <c r="AJ3704"/>
      <c r="AK3704"/>
      <c r="AL3704"/>
    </row>
    <row r="3705" spans="1:38" ht="12.75" outlineLevel="3" x14ac:dyDescent="0.2">
      <c r="A3705" s="82">
        <v>2</v>
      </c>
      <c r="B3705" s="82" t="s">
        <v>71</v>
      </c>
      <c r="C3705" s="82" t="s">
        <v>1894</v>
      </c>
      <c r="D3705" s="82" t="s">
        <v>1804</v>
      </c>
      <c r="E3705" s="11" t="str">
        <f t="array" ref="E3705">_xlfn.XLOOKUP(D3705,Insumos!B:B,Insumos!C:$C)</f>
        <v>M2</v>
      </c>
      <c r="F3705" s="86">
        <v>0.16500000000000001</v>
      </c>
      <c r="G3705" s="92">
        <f t="array" ref="G3705">IF(B3705="insumo",_xlfn.XLOOKUP($D3705,Insumos!$B$1:$B$996,Insumos!$D$1:$D$996),"")</f>
        <v>119.99</v>
      </c>
      <c r="H3705" s="92">
        <v>19.798349999999999</v>
      </c>
      <c r="I3705" s="84">
        <v>0</v>
      </c>
      <c r="J3705" s="84">
        <v>0</v>
      </c>
      <c r="K3705" s="84"/>
      <c r="L3705"/>
      <c r="M3705"/>
      <c r="N3705"/>
      <c r="O3705"/>
      <c r="P3705"/>
      <c r="Q3705"/>
      <c r="R3705"/>
      <c r="S3705"/>
      <c r="T3705"/>
      <c r="U3705"/>
      <c r="V3705"/>
      <c r="W3705"/>
      <c r="X3705"/>
      <c r="Y3705"/>
      <c r="Z3705"/>
      <c r="AA3705"/>
      <c r="AB3705"/>
      <c r="AC3705"/>
      <c r="AD3705"/>
      <c r="AE3705"/>
      <c r="AF3705"/>
      <c r="AG3705"/>
      <c r="AH3705"/>
      <c r="AI3705"/>
      <c r="AJ3705"/>
      <c r="AK3705"/>
      <c r="AL3705"/>
    </row>
    <row r="3706" spans="1:38" ht="12.75" outlineLevel="3" x14ac:dyDescent="0.2">
      <c r="A3706" s="82">
        <v>191</v>
      </c>
      <c r="B3706" s="82" t="s">
        <v>71</v>
      </c>
      <c r="C3706" s="82" t="s">
        <v>1894</v>
      </c>
      <c r="D3706" s="82" t="s">
        <v>481</v>
      </c>
      <c r="E3706" s="11" t="str">
        <f t="array" ref="E3706">_xlfn.XLOOKUP(D3706,Insumos!B:B,Insumos!C:$C)</f>
        <v>KG</v>
      </c>
      <c r="F3706" s="86">
        <v>1.3499999999999999</v>
      </c>
      <c r="G3706" s="92">
        <f t="array" ref="G3706">IF(B3706="insumo",_xlfn.XLOOKUP($D3706,Insumos!$B$1:$B$996,Insumos!$D$1:$D$996),"")</f>
        <v>1.0645</v>
      </c>
      <c r="H3706" s="92">
        <v>1.4370750000000001</v>
      </c>
      <c r="I3706" s="84">
        <v>0</v>
      </c>
      <c r="J3706" s="84">
        <v>0</v>
      </c>
      <c r="K3706" s="84"/>
      <c r="L3706"/>
      <c r="M3706"/>
      <c r="N3706"/>
      <c r="O3706"/>
      <c r="P3706"/>
      <c r="Q3706"/>
      <c r="R3706"/>
      <c r="S3706"/>
      <c r="T3706"/>
      <c r="U3706"/>
      <c r="V3706"/>
      <c r="W3706"/>
      <c r="X3706"/>
      <c r="Y3706"/>
      <c r="Z3706"/>
      <c r="AA3706"/>
      <c r="AB3706"/>
      <c r="AC3706"/>
      <c r="AD3706"/>
      <c r="AE3706"/>
      <c r="AF3706"/>
      <c r="AG3706"/>
      <c r="AH3706"/>
      <c r="AI3706"/>
      <c r="AJ3706"/>
      <c r="AK3706"/>
      <c r="AL3706"/>
    </row>
    <row r="3707" spans="1:38" ht="12.75" outlineLevel="3" x14ac:dyDescent="0.2">
      <c r="A3707" s="82">
        <v>142</v>
      </c>
      <c r="B3707" s="82" t="s">
        <v>71</v>
      </c>
      <c r="C3707" s="82" t="s">
        <v>1894</v>
      </c>
      <c r="D3707" s="82" t="s">
        <v>506</v>
      </c>
      <c r="E3707" s="11" t="str">
        <f t="array" ref="E3707">_xlfn.XLOOKUP(D3707,Insumos!B:B,Insumos!C:$C)</f>
        <v>UN</v>
      </c>
      <c r="F3707" s="86">
        <v>0.6</v>
      </c>
      <c r="G3707" s="92">
        <f t="array" ref="G3707">IF(B3707="insumo",_xlfn.XLOOKUP($D3707,Insumos!$B$1:$B$996,Insumos!$D$1:$D$996),"")</f>
        <v>0.08</v>
      </c>
      <c r="H3707" s="92">
        <v>4.8000000000000001E-2</v>
      </c>
      <c r="I3707" s="84">
        <v>0</v>
      </c>
      <c r="J3707" s="84">
        <v>0</v>
      </c>
      <c r="K3707" s="84"/>
      <c r="L3707"/>
      <c r="M3707"/>
      <c r="N3707"/>
      <c r="O3707"/>
      <c r="P3707"/>
      <c r="Q3707"/>
      <c r="R3707"/>
      <c r="S3707"/>
      <c r="T3707"/>
      <c r="U3707"/>
      <c r="V3707"/>
      <c r="W3707"/>
      <c r="X3707"/>
      <c r="Y3707"/>
      <c r="Z3707"/>
      <c r="AA3707"/>
      <c r="AB3707"/>
      <c r="AC3707"/>
      <c r="AD3707"/>
      <c r="AE3707"/>
      <c r="AF3707"/>
      <c r="AG3707"/>
      <c r="AH3707"/>
      <c r="AI3707"/>
      <c r="AJ3707"/>
      <c r="AK3707"/>
      <c r="AL3707"/>
    </row>
    <row r="3708" spans="1:38" ht="12.75" outlineLevel="3" x14ac:dyDescent="0.2">
      <c r="A3708" s="82">
        <v>101</v>
      </c>
      <c r="B3708" s="82" t="s">
        <v>71</v>
      </c>
      <c r="C3708" s="82" t="s">
        <v>1894</v>
      </c>
      <c r="D3708" s="82" t="s">
        <v>507</v>
      </c>
      <c r="E3708" s="11" t="str">
        <f t="array" ref="E3708">_xlfn.XLOOKUP(D3708,Insumos!B:B,Insumos!C:$C)</f>
        <v>KG</v>
      </c>
      <c r="F3708" s="86">
        <v>7.4999999999999997E-2</v>
      </c>
      <c r="G3708" s="92">
        <f t="array" ref="G3708">IF(B3708="insumo",_xlfn.XLOOKUP($D3708,Insumos!$B$1:$B$996,Insumos!$D$1:$D$996),"")</f>
        <v>11.15</v>
      </c>
      <c r="H3708" s="92">
        <v>0.83625000000000005</v>
      </c>
      <c r="I3708" s="84">
        <v>0</v>
      </c>
      <c r="J3708" s="84">
        <v>0</v>
      </c>
      <c r="K3708" s="84"/>
      <c r="L3708"/>
      <c r="M3708"/>
      <c r="N3708"/>
      <c r="O3708"/>
      <c r="P3708"/>
      <c r="Q3708"/>
      <c r="R3708"/>
      <c r="S3708"/>
      <c r="T3708"/>
      <c r="U3708"/>
      <c r="V3708"/>
      <c r="W3708"/>
      <c r="X3708"/>
      <c r="Y3708"/>
      <c r="Z3708"/>
      <c r="AA3708"/>
      <c r="AB3708"/>
      <c r="AC3708"/>
      <c r="AD3708"/>
      <c r="AE3708"/>
      <c r="AF3708"/>
      <c r="AG3708"/>
      <c r="AH3708"/>
      <c r="AI3708"/>
      <c r="AJ3708"/>
      <c r="AK3708"/>
      <c r="AL3708"/>
    </row>
    <row r="3709" spans="1:38" ht="15.75" customHeight="1" outlineLevel="2" x14ac:dyDescent="0.2">
      <c r="A3709" s="1067">
        <v>1</v>
      </c>
      <c r="B3709" s="1067" t="s">
        <v>68</v>
      </c>
      <c r="C3709" s="1067" t="s">
        <v>725</v>
      </c>
      <c r="D3709" s="1067" t="s">
        <v>725</v>
      </c>
      <c r="E3709" s="1068" t="s">
        <v>113</v>
      </c>
      <c r="F3709" s="1067"/>
      <c r="G3709" s="1069" t="str">
        <f t="array" ref="G3709">IF(B3709="insumo",_xlfn.XLOOKUP($D3709,Insumos!$B$1:$B$996,Insumos!$D$1:$D$996),"")</f>
        <v/>
      </c>
      <c r="H3709" s="1069">
        <v>17.436457499999999</v>
      </c>
      <c r="I3709" s="1070">
        <v>0</v>
      </c>
      <c r="J3709" s="1070">
        <v>0</v>
      </c>
      <c r="K3709" s="1070"/>
      <c r="L3709"/>
      <c r="M3709"/>
      <c r="N3709"/>
      <c r="O3709"/>
      <c r="P3709"/>
      <c r="Q3709"/>
      <c r="R3709"/>
      <c r="S3709"/>
      <c r="T3709"/>
      <c r="U3709"/>
      <c r="V3709"/>
      <c r="W3709"/>
      <c r="X3709"/>
      <c r="Y3709"/>
      <c r="Z3709"/>
      <c r="AA3709"/>
      <c r="AB3709"/>
      <c r="AC3709"/>
      <c r="AD3709"/>
      <c r="AE3709"/>
      <c r="AF3709"/>
      <c r="AG3709"/>
      <c r="AH3709"/>
      <c r="AI3709"/>
      <c r="AJ3709"/>
      <c r="AK3709"/>
      <c r="AL3709"/>
    </row>
    <row r="3710" spans="1:38" ht="15.75" customHeight="1" outlineLevel="3" x14ac:dyDescent="0.2">
      <c r="A3710" s="10">
        <v>5</v>
      </c>
      <c r="B3710" s="10" t="s">
        <v>71</v>
      </c>
      <c r="C3710" s="10" t="s">
        <v>725</v>
      </c>
      <c r="D3710" s="10" t="s">
        <v>663</v>
      </c>
      <c r="E3710" s="11" t="str">
        <f t="array" ref="E3710">_xlfn.XLOOKUP(D3710,Insumos!B:B,Insumos!C:$C)</f>
        <v>M2</v>
      </c>
      <c r="F3710" s="14">
        <v>0.18150000000000002</v>
      </c>
      <c r="G3710" s="92">
        <f t="array" ref="G3710">IF(B3710="insumo",_xlfn.XLOOKUP($D3710,Insumos!$B$1:$B$996,Insumos!$D$1:$D$996),"")</f>
        <v>82</v>
      </c>
      <c r="H3710" s="92">
        <v>14.882999999999999</v>
      </c>
      <c r="I3710" s="13">
        <v>0</v>
      </c>
      <c r="J3710" s="13">
        <v>0</v>
      </c>
      <c r="K3710" s="13"/>
      <c r="L3710"/>
      <c r="M3710"/>
      <c r="N3710"/>
      <c r="O3710"/>
      <c r="P3710"/>
      <c r="Q3710"/>
      <c r="R3710"/>
      <c r="S3710"/>
      <c r="T3710"/>
      <c r="U3710"/>
      <c r="V3710"/>
      <c r="W3710"/>
      <c r="X3710"/>
      <c r="Y3710"/>
      <c r="Z3710"/>
      <c r="AA3710"/>
      <c r="AB3710"/>
      <c r="AC3710"/>
      <c r="AD3710"/>
      <c r="AE3710"/>
      <c r="AF3710"/>
      <c r="AG3710"/>
      <c r="AH3710"/>
      <c r="AI3710"/>
      <c r="AJ3710"/>
      <c r="AK3710"/>
      <c r="AL3710"/>
    </row>
    <row r="3711" spans="1:38" ht="15.75" customHeight="1" outlineLevel="3" x14ac:dyDescent="0.2">
      <c r="A3711" s="10">
        <v>191</v>
      </c>
      <c r="B3711" s="10" t="s">
        <v>71</v>
      </c>
      <c r="C3711" s="10" t="s">
        <v>725</v>
      </c>
      <c r="D3711" s="10" t="s">
        <v>481</v>
      </c>
      <c r="E3711" s="11" t="str">
        <f t="array" ref="E3711">_xlfn.XLOOKUP(D3711,Insumos!B:B,Insumos!C:$C)</f>
        <v>KG</v>
      </c>
      <c r="F3711" s="14">
        <v>1.4850000000000001</v>
      </c>
      <c r="G3711" s="92">
        <f t="array" ref="G3711">IF(B3711="insumo",_xlfn.XLOOKUP($D3711,Insumos!$B$1:$B$996,Insumos!$D$1:$D$996),"")</f>
        <v>1.0645</v>
      </c>
      <c r="H3711" s="92">
        <v>1.5807825</v>
      </c>
      <c r="I3711" s="13">
        <v>0</v>
      </c>
      <c r="J3711" s="13">
        <v>0</v>
      </c>
      <c r="K3711" s="13"/>
      <c r="L3711"/>
      <c r="M3711"/>
      <c r="N3711"/>
      <c r="O3711"/>
      <c r="P3711"/>
      <c r="Q3711"/>
      <c r="R3711"/>
      <c r="S3711"/>
      <c r="T3711"/>
      <c r="U3711"/>
      <c r="V3711"/>
      <c r="W3711"/>
      <c r="X3711"/>
      <c r="Y3711"/>
      <c r="Z3711"/>
      <c r="AA3711"/>
      <c r="AB3711"/>
      <c r="AC3711"/>
      <c r="AD3711"/>
      <c r="AE3711"/>
      <c r="AF3711"/>
      <c r="AG3711"/>
      <c r="AH3711"/>
      <c r="AI3711"/>
      <c r="AJ3711"/>
      <c r="AK3711"/>
      <c r="AL3711"/>
    </row>
    <row r="3712" spans="1:38" ht="15.75" customHeight="1" outlineLevel="3" x14ac:dyDescent="0.2">
      <c r="A3712" s="10">
        <v>142</v>
      </c>
      <c r="B3712" s="10" t="s">
        <v>71</v>
      </c>
      <c r="C3712" s="10" t="s">
        <v>725</v>
      </c>
      <c r="D3712" s="10" t="s">
        <v>506</v>
      </c>
      <c r="E3712" s="11" t="str">
        <f t="array" ref="E3712">_xlfn.XLOOKUP(D3712,Insumos!B:B,Insumos!C:$C)</f>
        <v>UN</v>
      </c>
      <c r="F3712" s="14">
        <v>0.66</v>
      </c>
      <c r="G3712" s="92">
        <f t="array" ref="G3712">IF(B3712="insumo",_xlfn.XLOOKUP($D3712,Insumos!$B$1:$B$996,Insumos!$D$1:$D$996),"")</f>
        <v>0.08</v>
      </c>
      <c r="H3712" s="92">
        <v>5.28E-2</v>
      </c>
      <c r="I3712" s="13">
        <v>0</v>
      </c>
      <c r="J3712" s="13">
        <v>0</v>
      </c>
      <c r="K3712" s="13"/>
      <c r="L3712"/>
      <c r="M3712"/>
      <c r="N3712"/>
      <c r="O3712"/>
      <c r="P3712"/>
      <c r="Q3712"/>
      <c r="R3712"/>
      <c r="S3712"/>
      <c r="T3712"/>
      <c r="U3712"/>
      <c r="V3712"/>
      <c r="W3712"/>
      <c r="X3712"/>
      <c r="Y3712"/>
      <c r="Z3712"/>
      <c r="AA3712"/>
      <c r="AB3712"/>
      <c r="AC3712"/>
      <c r="AD3712"/>
      <c r="AE3712"/>
      <c r="AF3712"/>
      <c r="AG3712"/>
      <c r="AH3712"/>
      <c r="AI3712"/>
      <c r="AJ3712"/>
      <c r="AK3712"/>
      <c r="AL3712"/>
    </row>
    <row r="3713" spans="1:38" ht="15.75" customHeight="1" outlineLevel="3" x14ac:dyDescent="0.2">
      <c r="A3713" s="10">
        <v>101</v>
      </c>
      <c r="B3713" s="10" t="s">
        <v>71</v>
      </c>
      <c r="C3713" s="10" t="s">
        <v>725</v>
      </c>
      <c r="D3713" s="10" t="s">
        <v>507</v>
      </c>
      <c r="E3713" s="11" t="str">
        <f t="array" ref="E3713">_xlfn.XLOOKUP(D3713,Insumos!B:B,Insumos!C:$C)</f>
        <v>KG</v>
      </c>
      <c r="F3713" s="14">
        <v>8.2500000000000004E-2</v>
      </c>
      <c r="G3713" s="92">
        <f t="array" ref="G3713">IF(B3713="insumo",_xlfn.XLOOKUP($D3713,Insumos!$B$1:$B$996,Insumos!$D$1:$D$996),"")</f>
        <v>11.15</v>
      </c>
      <c r="H3713" s="92">
        <v>0.919875</v>
      </c>
      <c r="I3713" s="13">
        <v>0</v>
      </c>
      <c r="J3713" s="13">
        <v>0</v>
      </c>
      <c r="K3713" s="13"/>
      <c r="L3713"/>
      <c r="M3713"/>
      <c r="N3713"/>
      <c r="O3713"/>
      <c r="P3713"/>
      <c r="Q3713"/>
      <c r="R3713"/>
      <c r="S3713"/>
      <c r="T3713"/>
      <c r="U3713"/>
      <c r="V3713"/>
      <c r="W3713"/>
      <c r="X3713"/>
      <c r="Y3713"/>
      <c r="Z3713"/>
      <c r="AA3713"/>
      <c r="AB3713"/>
      <c r="AC3713"/>
      <c r="AD3713"/>
      <c r="AE3713"/>
      <c r="AF3713"/>
      <c r="AG3713"/>
      <c r="AH3713"/>
      <c r="AI3713"/>
      <c r="AJ3713"/>
      <c r="AK3713"/>
      <c r="AL3713"/>
    </row>
    <row r="3714" spans="1:38" ht="15.75" customHeight="1" outlineLevel="1" x14ac:dyDescent="0.2">
      <c r="A3714" s="1090">
        <v>1</v>
      </c>
      <c r="B3714" s="1090" t="s">
        <v>1228</v>
      </c>
      <c r="C3714" s="1090" t="s">
        <v>725</v>
      </c>
      <c r="D3714" s="1090" t="s">
        <v>1466</v>
      </c>
      <c r="E3714" s="1091"/>
      <c r="F3714" s="1092"/>
      <c r="G3714" s="1091"/>
      <c r="H3714" s="1091">
        <v>0</v>
      </c>
      <c r="I3714" s="1092">
        <v>0</v>
      </c>
      <c r="J3714" s="1092">
        <v>0</v>
      </c>
      <c r="K3714" s="1092"/>
      <c r="L3714"/>
      <c r="M3714"/>
      <c r="N3714"/>
      <c r="O3714"/>
      <c r="P3714"/>
      <c r="Q3714"/>
      <c r="R3714"/>
      <c r="S3714"/>
      <c r="T3714"/>
      <c r="U3714"/>
      <c r="V3714"/>
      <c r="W3714"/>
      <c r="X3714"/>
      <c r="Y3714"/>
      <c r="Z3714"/>
      <c r="AA3714"/>
      <c r="AB3714"/>
      <c r="AC3714"/>
      <c r="AD3714"/>
      <c r="AE3714"/>
      <c r="AF3714"/>
      <c r="AG3714"/>
      <c r="AH3714"/>
      <c r="AI3714"/>
      <c r="AJ3714"/>
      <c r="AK3714"/>
      <c r="AL3714"/>
    </row>
    <row r="3715" spans="1:38" ht="15.75" customHeight="1" outlineLevel="2" x14ac:dyDescent="0.2">
      <c r="A3715" s="1067">
        <v>1</v>
      </c>
      <c r="B3715" s="1067" t="s">
        <v>68</v>
      </c>
      <c r="C3715" s="1067" t="s">
        <v>640</v>
      </c>
      <c r="D3715" s="1067" t="s">
        <v>640</v>
      </c>
      <c r="E3715" s="1068" t="s">
        <v>113</v>
      </c>
      <c r="F3715" s="1067"/>
      <c r="G3715" s="1069" t="str">
        <f t="array" ref="G3715">IF(B3715="insumo",_xlfn.XLOOKUP($D3715,Insumos!$B$1:$B$996,Insumos!$D$1:$D$996),"")</f>
        <v/>
      </c>
      <c r="H3715" s="1069">
        <v>133.333333333333</v>
      </c>
      <c r="I3715" s="1070">
        <v>0</v>
      </c>
      <c r="J3715" s="1070">
        <v>0</v>
      </c>
      <c r="K3715" s="1070"/>
      <c r="L3715"/>
      <c r="M3715"/>
      <c r="N3715"/>
      <c r="O3715"/>
      <c r="P3715"/>
      <c r="Q3715"/>
      <c r="R3715"/>
      <c r="S3715"/>
      <c r="T3715"/>
      <c r="U3715"/>
      <c r="V3715"/>
      <c r="W3715"/>
      <c r="X3715"/>
      <c r="Y3715"/>
      <c r="Z3715"/>
      <c r="AA3715"/>
      <c r="AB3715"/>
      <c r="AC3715"/>
      <c r="AD3715"/>
      <c r="AE3715"/>
      <c r="AF3715"/>
      <c r="AG3715"/>
      <c r="AH3715"/>
      <c r="AI3715"/>
      <c r="AJ3715"/>
      <c r="AK3715"/>
      <c r="AL3715"/>
    </row>
    <row r="3716" spans="1:38" ht="15.75" customHeight="1" outlineLevel="3" x14ac:dyDescent="0.2">
      <c r="A3716" s="10">
        <v>1</v>
      </c>
      <c r="B3716" s="10" t="s">
        <v>71</v>
      </c>
      <c r="C3716" s="10" t="s">
        <v>640</v>
      </c>
      <c r="D3716" s="10" t="s">
        <v>640</v>
      </c>
      <c r="E3716" s="11" t="str">
        <f t="array" ref="E3716">_xlfn.XLOOKUP(D3716,Insumos!B:B,Insumos!C:$C)</f>
        <v>M</v>
      </c>
      <c r="F3716" s="14">
        <v>1</v>
      </c>
      <c r="G3716" s="92">
        <f t="array" ref="G3716">IF(B3716="insumo",_xlfn.XLOOKUP($D3716,Insumos!$B$1:$B$996,Insumos!$D$1:$D$996),"")</f>
        <v>133.33333333333334</v>
      </c>
      <c r="H3716" s="92">
        <v>133.333333333333</v>
      </c>
      <c r="I3716" s="13">
        <v>0</v>
      </c>
      <c r="J3716" s="13">
        <v>0</v>
      </c>
      <c r="K3716" s="13"/>
      <c r="L3716"/>
      <c r="M3716"/>
      <c r="N3716"/>
      <c r="O3716"/>
      <c r="P3716"/>
      <c r="Q3716"/>
      <c r="R3716"/>
      <c r="S3716"/>
      <c r="T3716"/>
      <c r="U3716"/>
      <c r="V3716"/>
      <c r="W3716"/>
      <c r="X3716"/>
      <c r="Y3716"/>
      <c r="Z3716"/>
      <c r="AA3716"/>
      <c r="AB3716"/>
      <c r="AC3716"/>
      <c r="AD3716"/>
      <c r="AE3716"/>
      <c r="AF3716"/>
      <c r="AG3716"/>
      <c r="AH3716"/>
      <c r="AI3716"/>
      <c r="AJ3716"/>
      <c r="AK3716"/>
      <c r="AL3716"/>
    </row>
    <row r="3717" spans="1:38" ht="15.75" customHeight="1" outlineLevel="2" x14ac:dyDescent="0.2">
      <c r="A3717" s="1067">
        <v>1</v>
      </c>
      <c r="B3717" s="1067" t="s">
        <v>68</v>
      </c>
      <c r="C3717" s="1067" t="s">
        <v>641</v>
      </c>
      <c r="D3717" s="1067" t="s">
        <v>641</v>
      </c>
      <c r="E3717" s="1068" t="s">
        <v>642</v>
      </c>
      <c r="F3717" s="1067"/>
      <c r="G3717" s="1069" t="str">
        <f t="array" ref="G3717">IF(B3717="insumo",_xlfn.XLOOKUP($D3717,Insumos!$B$1:$B$996,Insumos!$D$1:$D$996),"")</f>
        <v/>
      </c>
      <c r="H3717" s="1069">
        <v>133.333333333333</v>
      </c>
      <c r="I3717" s="1070">
        <v>0</v>
      </c>
      <c r="J3717" s="1070">
        <v>0</v>
      </c>
      <c r="K3717" s="1070"/>
      <c r="L3717"/>
      <c r="M3717"/>
      <c r="N3717"/>
      <c r="O3717"/>
      <c r="P3717"/>
      <c r="Q3717"/>
      <c r="R3717"/>
      <c r="S3717"/>
      <c r="T3717"/>
      <c r="U3717"/>
      <c r="V3717"/>
      <c r="W3717"/>
      <c r="X3717"/>
      <c r="Y3717"/>
      <c r="Z3717"/>
      <c r="AA3717"/>
      <c r="AB3717"/>
      <c r="AC3717"/>
      <c r="AD3717"/>
      <c r="AE3717"/>
      <c r="AF3717"/>
      <c r="AG3717"/>
      <c r="AH3717"/>
      <c r="AI3717"/>
      <c r="AJ3717"/>
      <c r="AK3717"/>
      <c r="AL3717"/>
    </row>
    <row r="3718" spans="1:38" ht="15.75" customHeight="1" outlineLevel="3" x14ac:dyDescent="0.2">
      <c r="A3718" s="10">
        <v>1</v>
      </c>
      <c r="B3718" s="10" t="s">
        <v>71</v>
      </c>
      <c r="C3718" s="10" t="s">
        <v>641</v>
      </c>
      <c r="D3718" s="10" t="s">
        <v>641</v>
      </c>
      <c r="E3718" s="11" t="str">
        <f t="array" ref="E3718">_xlfn.XLOOKUP(D3718,Insumos!B:B,Insumos!C:$C)</f>
        <v>M2</v>
      </c>
      <c r="F3718" s="14">
        <f>1*0.07</f>
        <v>7.0000000000000007E-2</v>
      </c>
      <c r="G3718" s="92">
        <f t="array" ref="G3718">IF(B3718="insumo",_xlfn.XLOOKUP($D3718,Insumos!$B$1:$B$996,Insumos!$D$1:$D$996),"")</f>
        <v>1904.7619047619048</v>
      </c>
      <c r="H3718" s="92">
        <v>133.333333333333</v>
      </c>
      <c r="I3718" s="13">
        <v>0</v>
      </c>
      <c r="J3718" s="13">
        <v>0</v>
      </c>
      <c r="K3718" s="13"/>
      <c r="L3718"/>
      <c r="M3718"/>
      <c r="N3718"/>
      <c r="O3718"/>
      <c r="P3718"/>
      <c r="Q3718"/>
      <c r="R3718"/>
      <c r="S3718"/>
      <c r="T3718"/>
      <c r="U3718"/>
      <c r="V3718"/>
      <c r="W3718"/>
      <c r="X3718"/>
      <c r="Y3718"/>
      <c r="Z3718"/>
      <c r="AA3718"/>
      <c r="AB3718"/>
      <c r="AC3718"/>
      <c r="AD3718"/>
      <c r="AE3718"/>
      <c r="AF3718"/>
      <c r="AG3718"/>
      <c r="AH3718"/>
      <c r="AI3718"/>
      <c r="AJ3718"/>
      <c r="AK3718"/>
      <c r="AL3718"/>
    </row>
    <row r="3719" spans="1:38" ht="15.75" customHeight="1" outlineLevel="2" x14ac:dyDescent="0.2">
      <c r="A3719" s="1067">
        <v>1</v>
      </c>
      <c r="B3719" s="1067" t="s">
        <v>68</v>
      </c>
      <c r="C3719" s="1067" t="s">
        <v>726</v>
      </c>
      <c r="D3719" s="1067" t="s">
        <v>726</v>
      </c>
      <c r="E3719" s="1068" t="s">
        <v>642</v>
      </c>
      <c r="F3719" s="1067"/>
      <c r="G3719" s="1069" t="str">
        <f t="array" ref="G3719">IF(B3719="insumo",_xlfn.XLOOKUP($D3719,Insumos!$B$1:$B$996,Insumos!$D$1:$D$996),"")</f>
        <v/>
      </c>
      <c r="H3719" s="1069">
        <v>153.10210000000001</v>
      </c>
      <c r="I3719" s="1070">
        <v>0</v>
      </c>
      <c r="J3719" s="1070">
        <v>0</v>
      </c>
      <c r="K3719" s="1070"/>
      <c r="L3719"/>
      <c r="M3719"/>
      <c r="N3719"/>
      <c r="O3719"/>
      <c r="P3719"/>
      <c r="Q3719"/>
      <c r="R3719"/>
      <c r="S3719"/>
      <c r="T3719"/>
      <c r="U3719"/>
      <c r="V3719"/>
      <c r="W3719"/>
      <c r="X3719"/>
      <c r="Y3719"/>
      <c r="Z3719"/>
      <c r="AA3719"/>
      <c r="AB3719"/>
      <c r="AC3719"/>
      <c r="AD3719"/>
      <c r="AE3719"/>
      <c r="AF3719"/>
      <c r="AG3719"/>
      <c r="AH3719"/>
      <c r="AI3719"/>
      <c r="AJ3719"/>
      <c r="AK3719"/>
      <c r="AL3719"/>
    </row>
    <row r="3720" spans="1:38" ht="15.75" customHeight="1" outlineLevel="3" x14ac:dyDescent="0.2">
      <c r="A3720" s="10">
        <v>3</v>
      </c>
      <c r="B3720" s="10" t="s">
        <v>71</v>
      </c>
      <c r="C3720" s="10" t="s">
        <v>726</v>
      </c>
      <c r="D3720" s="10" t="s">
        <v>664</v>
      </c>
      <c r="E3720" s="11" t="str">
        <f t="array" ref="E3720">_xlfn.XLOOKUP(D3720,Insumos!B:B,Insumos!C:$C)</f>
        <v>M2</v>
      </c>
      <c r="F3720" s="14">
        <f>1.05</f>
        <v>1.05</v>
      </c>
      <c r="G3720" s="92">
        <f t="array" ref="G3720">IF(B3720="insumo",_xlfn.XLOOKUP($D3720,Insumos!$B$1:$B$996,Insumos!$D$1:$D$996),"")</f>
        <v>136.88999999999999</v>
      </c>
      <c r="H3720" s="92">
        <v>143.7345</v>
      </c>
      <c r="I3720" s="13">
        <v>0</v>
      </c>
      <c r="J3720" s="13">
        <v>0</v>
      </c>
      <c r="K3720" s="13"/>
      <c r="L3720"/>
      <c r="M3720"/>
      <c r="N3720"/>
      <c r="O3720"/>
      <c r="P3720"/>
      <c r="Q3720"/>
      <c r="R3720"/>
      <c r="S3720"/>
      <c r="T3720"/>
      <c r="U3720"/>
      <c r="V3720"/>
      <c r="W3720"/>
      <c r="X3720"/>
      <c r="Y3720"/>
      <c r="Z3720"/>
      <c r="AA3720"/>
      <c r="AB3720"/>
      <c r="AC3720"/>
      <c r="AD3720"/>
      <c r="AE3720"/>
      <c r="AF3720"/>
      <c r="AG3720"/>
      <c r="AH3720"/>
      <c r="AI3720"/>
      <c r="AJ3720"/>
      <c r="AK3720"/>
      <c r="AL3720"/>
    </row>
    <row r="3721" spans="1:38" ht="15.75" customHeight="1" outlineLevel="3" x14ac:dyDescent="0.2">
      <c r="A3721" s="10">
        <v>191</v>
      </c>
      <c r="B3721" s="10" t="s">
        <v>71</v>
      </c>
      <c r="C3721" s="10" t="s">
        <v>726</v>
      </c>
      <c r="D3721" s="10" t="s">
        <v>481</v>
      </c>
      <c r="E3721" s="11" t="str">
        <f t="array" ref="E3721">_xlfn.XLOOKUP(D3721,Insumos!B:B,Insumos!C:$C)</f>
        <v>KG</v>
      </c>
      <c r="F3721" s="14">
        <v>8.8000000000000007</v>
      </c>
      <c r="G3721" s="92">
        <f t="array" ref="G3721">IF(B3721="insumo",_xlfn.XLOOKUP($D3721,Insumos!$B$1:$B$996,Insumos!$D$1:$D$996),"")</f>
        <v>1.0645</v>
      </c>
      <c r="H3721" s="92">
        <v>9.3675999999999995</v>
      </c>
      <c r="I3721" s="13">
        <v>0</v>
      </c>
      <c r="J3721" s="13">
        <v>0</v>
      </c>
      <c r="K3721" s="13"/>
      <c r="L3721"/>
      <c r="M3721"/>
      <c r="N3721"/>
      <c r="O3721"/>
      <c r="P3721"/>
      <c r="Q3721"/>
      <c r="R3721"/>
      <c r="S3721"/>
      <c r="T3721"/>
      <c r="U3721"/>
      <c r="V3721"/>
      <c r="W3721"/>
      <c r="X3721"/>
      <c r="Y3721"/>
      <c r="Z3721"/>
      <c r="AA3721"/>
      <c r="AB3721"/>
      <c r="AC3721"/>
      <c r="AD3721"/>
      <c r="AE3721"/>
      <c r="AF3721"/>
      <c r="AG3721"/>
      <c r="AH3721"/>
      <c r="AI3721"/>
      <c r="AJ3721"/>
      <c r="AK3721"/>
      <c r="AL3721"/>
    </row>
    <row r="3722" spans="1:38" ht="12.75" outlineLevel="2" x14ac:dyDescent="0.2">
      <c r="A3722" s="1071">
        <v>1</v>
      </c>
      <c r="B3722" s="1071" t="s">
        <v>68</v>
      </c>
      <c r="C3722" s="1071" t="s">
        <v>1895</v>
      </c>
      <c r="D3722" s="1071" t="s">
        <v>1895</v>
      </c>
      <c r="E3722" s="1072" t="s">
        <v>642</v>
      </c>
      <c r="F3722" s="1071"/>
      <c r="G3722" s="1073" t="str">
        <f t="array" ref="G3722">IF(B3722="insumo",_xlfn.XLOOKUP($D3722,Insumos!$B$1:$B$996,Insumos!$D$1:$D$996),"")</f>
        <v/>
      </c>
      <c r="H3722" s="1073">
        <v>691.86760000000004</v>
      </c>
      <c r="I3722" s="1074">
        <v>0</v>
      </c>
      <c r="J3722" s="1074">
        <v>0</v>
      </c>
      <c r="K3722" s="1074"/>
      <c r="L3722"/>
      <c r="M3722"/>
      <c r="N3722"/>
      <c r="O3722"/>
      <c r="P3722"/>
      <c r="Q3722"/>
      <c r="R3722"/>
      <c r="S3722"/>
      <c r="T3722"/>
      <c r="U3722"/>
      <c r="V3722"/>
      <c r="W3722"/>
      <c r="X3722"/>
      <c r="Y3722"/>
      <c r="Z3722"/>
      <c r="AA3722"/>
      <c r="AB3722"/>
      <c r="AC3722"/>
      <c r="AD3722"/>
      <c r="AE3722"/>
      <c r="AF3722"/>
      <c r="AG3722"/>
      <c r="AH3722"/>
      <c r="AI3722"/>
      <c r="AJ3722"/>
      <c r="AK3722"/>
      <c r="AL3722"/>
    </row>
    <row r="3723" spans="1:38" ht="12.75" outlineLevel="3" x14ac:dyDescent="0.2">
      <c r="A3723" s="82">
        <v>4</v>
      </c>
      <c r="B3723" s="82" t="s">
        <v>71</v>
      </c>
      <c r="C3723" s="82" t="s">
        <v>1895</v>
      </c>
      <c r="D3723" s="82" t="s">
        <v>1847</v>
      </c>
      <c r="E3723" s="11" t="str">
        <f t="array" ref="E3723">_xlfn.XLOOKUP(D3723,Insumos!B:B,Insumos!C:$C)</f>
        <v>M2</v>
      </c>
      <c r="F3723" s="86">
        <f>1.05</f>
        <v>1.05</v>
      </c>
      <c r="G3723" s="92">
        <f t="array" ref="G3723">IF(B3723="insumo",_xlfn.XLOOKUP($D3723,Insumos!$B$1:$B$996,Insumos!$D$1:$D$996),"")</f>
        <v>650</v>
      </c>
      <c r="H3723" s="92">
        <v>682.5</v>
      </c>
      <c r="I3723" s="84">
        <v>0</v>
      </c>
      <c r="J3723" s="84">
        <v>0</v>
      </c>
      <c r="K3723" s="84"/>
      <c r="L3723"/>
      <c r="M3723"/>
      <c r="N3723"/>
      <c r="O3723"/>
      <c r="P3723"/>
      <c r="Q3723"/>
      <c r="R3723"/>
      <c r="S3723"/>
      <c r="T3723"/>
      <c r="U3723"/>
      <c r="V3723"/>
      <c r="W3723"/>
      <c r="X3723"/>
      <c r="Y3723"/>
      <c r="Z3723"/>
      <c r="AA3723"/>
      <c r="AB3723"/>
      <c r="AC3723"/>
      <c r="AD3723"/>
      <c r="AE3723"/>
      <c r="AF3723"/>
      <c r="AG3723"/>
      <c r="AH3723"/>
      <c r="AI3723"/>
      <c r="AJ3723"/>
      <c r="AK3723"/>
      <c r="AL3723"/>
    </row>
    <row r="3724" spans="1:38" ht="12.75" outlineLevel="3" x14ac:dyDescent="0.2">
      <c r="A3724" s="82">
        <v>191</v>
      </c>
      <c r="B3724" s="82" t="s">
        <v>71</v>
      </c>
      <c r="C3724" s="82" t="s">
        <v>1895</v>
      </c>
      <c r="D3724" s="82" t="s">
        <v>481</v>
      </c>
      <c r="E3724" s="11" t="str">
        <f t="array" ref="E3724">_xlfn.XLOOKUP(D3724,Insumos!B:B,Insumos!C:$C)</f>
        <v>KG</v>
      </c>
      <c r="F3724" s="86">
        <v>8.8000000000000007</v>
      </c>
      <c r="G3724" s="92">
        <f t="array" ref="G3724">IF(B3724="insumo",_xlfn.XLOOKUP($D3724,Insumos!$B$1:$B$996,Insumos!$D$1:$D$996),"")</f>
        <v>1.0645</v>
      </c>
      <c r="H3724" s="92">
        <v>9.3675999999999995</v>
      </c>
      <c r="I3724" s="84">
        <v>0</v>
      </c>
      <c r="J3724" s="84">
        <v>0</v>
      </c>
      <c r="K3724" s="84"/>
      <c r="L3724"/>
      <c r="M3724"/>
      <c r="N3724"/>
      <c r="O3724"/>
      <c r="P3724"/>
      <c r="Q3724"/>
      <c r="R3724"/>
      <c r="S3724"/>
      <c r="T3724"/>
      <c r="U3724"/>
      <c r="V3724"/>
      <c r="W3724"/>
      <c r="X3724"/>
      <c r="Y3724"/>
      <c r="Z3724"/>
      <c r="AA3724"/>
      <c r="AB3724"/>
      <c r="AC3724"/>
      <c r="AD3724"/>
      <c r="AE3724"/>
      <c r="AF3724"/>
      <c r="AG3724"/>
      <c r="AH3724"/>
      <c r="AI3724"/>
      <c r="AJ3724"/>
      <c r="AK3724"/>
      <c r="AL3724"/>
    </row>
    <row r="3725" spans="1:38" ht="15.75" customHeight="1" outlineLevel="2" x14ac:dyDescent="0.2">
      <c r="A3725" s="1067">
        <v>1</v>
      </c>
      <c r="B3725" s="1067" t="s">
        <v>68</v>
      </c>
      <c r="C3725" s="1067" t="s">
        <v>1525</v>
      </c>
      <c r="D3725" s="1067" t="s">
        <v>1525</v>
      </c>
      <c r="E3725" s="1068" t="s">
        <v>642</v>
      </c>
      <c r="F3725" s="1067"/>
      <c r="G3725" s="1069" t="str">
        <f t="array" ref="G3725">IF(B3725="insumo",_xlfn.XLOOKUP($D3725,Insumos!$B$1:$B$996,Insumos!$D$1:$D$996),"")</f>
        <v/>
      </c>
      <c r="H3725" s="1069">
        <v>691.86760000000004</v>
      </c>
      <c r="I3725" s="1070">
        <v>0</v>
      </c>
      <c r="J3725" s="1070">
        <v>0</v>
      </c>
      <c r="K3725" s="1070"/>
      <c r="L3725"/>
      <c r="M3725"/>
      <c r="N3725"/>
      <c r="O3725"/>
      <c r="P3725"/>
      <c r="Q3725"/>
      <c r="R3725"/>
      <c r="S3725"/>
      <c r="T3725"/>
      <c r="U3725"/>
      <c r="V3725"/>
      <c r="W3725"/>
      <c r="X3725"/>
      <c r="Y3725"/>
      <c r="Z3725"/>
      <c r="AA3725"/>
      <c r="AB3725"/>
      <c r="AC3725"/>
      <c r="AD3725"/>
      <c r="AE3725"/>
      <c r="AF3725"/>
      <c r="AG3725"/>
      <c r="AH3725"/>
      <c r="AI3725"/>
      <c r="AJ3725"/>
      <c r="AK3725"/>
      <c r="AL3725"/>
    </row>
    <row r="3726" spans="1:38" ht="15.75" customHeight="1" outlineLevel="3" x14ac:dyDescent="0.2">
      <c r="A3726" s="10">
        <v>2</v>
      </c>
      <c r="B3726" s="10" t="s">
        <v>71</v>
      </c>
      <c r="C3726" s="10" t="s">
        <v>1525</v>
      </c>
      <c r="D3726" s="10" t="s">
        <v>1437</v>
      </c>
      <c r="E3726" s="11" t="str">
        <f t="array" ref="E3726">_xlfn.XLOOKUP(D3726,Insumos!B:B,Insumos!C:$C)</f>
        <v>M2</v>
      </c>
      <c r="F3726" s="14">
        <f>1.05</f>
        <v>1.05</v>
      </c>
      <c r="G3726" s="92">
        <f t="array" ref="G3726">IF(B3726="insumo",_xlfn.XLOOKUP($D3726,Insumos!$B$1:$B$996,Insumos!$D$1:$D$996),"")</f>
        <v>650</v>
      </c>
      <c r="H3726" s="92">
        <v>682.5</v>
      </c>
      <c r="I3726" s="13">
        <v>0</v>
      </c>
      <c r="J3726" s="13">
        <v>0</v>
      </c>
      <c r="K3726" s="13"/>
      <c r="L3726"/>
      <c r="M3726"/>
      <c r="N3726"/>
      <c r="O3726"/>
      <c r="P3726"/>
      <c r="Q3726"/>
      <c r="R3726"/>
      <c r="S3726"/>
      <c r="T3726"/>
      <c r="U3726"/>
      <c r="V3726"/>
      <c r="W3726"/>
      <c r="X3726"/>
      <c r="Y3726"/>
      <c r="Z3726"/>
      <c r="AA3726"/>
      <c r="AB3726"/>
      <c r="AC3726"/>
      <c r="AD3726"/>
      <c r="AE3726"/>
      <c r="AF3726"/>
      <c r="AG3726"/>
      <c r="AH3726"/>
      <c r="AI3726"/>
      <c r="AJ3726"/>
      <c r="AK3726"/>
      <c r="AL3726"/>
    </row>
    <row r="3727" spans="1:38" ht="15.75" customHeight="1" outlineLevel="3" x14ac:dyDescent="0.2">
      <c r="A3727" s="10">
        <v>191</v>
      </c>
      <c r="B3727" s="10" t="s">
        <v>71</v>
      </c>
      <c r="C3727" s="10" t="s">
        <v>1525</v>
      </c>
      <c r="D3727" s="10" t="s">
        <v>481</v>
      </c>
      <c r="E3727" s="11" t="str">
        <f t="array" ref="E3727">_xlfn.XLOOKUP(D3727,Insumos!B:B,Insumos!C:$C)</f>
        <v>KG</v>
      </c>
      <c r="F3727" s="14">
        <v>8.8000000000000007</v>
      </c>
      <c r="G3727" s="92">
        <f t="array" ref="G3727">IF(B3727="insumo",_xlfn.XLOOKUP($D3727,Insumos!$B$1:$B$996,Insumos!$D$1:$D$996),"")</f>
        <v>1.0645</v>
      </c>
      <c r="H3727" s="92">
        <v>9.3675999999999995</v>
      </c>
      <c r="I3727" s="13">
        <v>0</v>
      </c>
      <c r="J3727" s="13">
        <v>0</v>
      </c>
      <c r="K3727" s="13"/>
      <c r="L3727"/>
      <c r="M3727"/>
      <c r="N3727"/>
      <c r="O3727"/>
      <c r="P3727"/>
      <c r="Q3727"/>
      <c r="R3727"/>
      <c r="S3727"/>
      <c r="T3727"/>
      <c r="U3727"/>
      <c r="V3727"/>
      <c r="W3727"/>
      <c r="X3727"/>
      <c r="Y3727"/>
      <c r="Z3727"/>
      <c r="AA3727"/>
      <c r="AB3727"/>
      <c r="AC3727"/>
      <c r="AD3727"/>
      <c r="AE3727"/>
      <c r="AF3727"/>
      <c r="AG3727"/>
      <c r="AH3727"/>
      <c r="AI3727"/>
      <c r="AJ3727"/>
      <c r="AK3727"/>
      <c r="AL3727"/>
    </row>
    <row r="3728" spans="1:38" ht="15.75" customHeight="1" outlineLevel="2" x14ac:dyDescent="0.2">
      <c r="A3728" s="1067">
        <v>1</v>
      </c>
      <c r="B3728" s="1067" t="s">
        <v>68</v>
      </c>
      <c r="C3728" s="1067" t="s">
        <v>1526</v>
      </c>
      <c r="D3728" s="1067" t="s">
        <v>1526</v>
      </c>
      <c r="E3728" s="1068" t="s">
        <v>642</v>
      </c>
      <c r="F3728" s="1067"/>
      <c r="G3728" s="1069" t="str">
        <f t="array" ref="G3728">IF(B3728="insumo",_xlfn.XLOOKUP($D3728,Insumos!$B$1:$B$996,Insumos!$D$1:$D$996),"")</f>
        <v/>
      </c>
      <c r="H3728" s="1069">
        <v>1951.8676</v>
      </c>
      <c r="I3728" s="1070">
        <v>0</v>
      </c>
      <c r="J3728" s="1070">
        <v>0</v>
      </c>
      <c r="K3728" s="1070"/>
      <c r="L3728"/>
      <c r="M3728"/>
      <c r="N3728"/>
      <c r="O3728"/>
      <c r="P3728"/>
      <c r="Q3728"/>
      <c r="R3728"/>
      <c r="S3728"/>
      <c r="T3728"/>
      <c r="U3728"/>
      <c r="V3728"/>
      <c r="W3728"/>
      <c r="X3728"/>
      <c r="Y3728"/>
      <c r="Z3728"/>
      <c r="AA3728"/>
      <c r="AB3728"/>
      <c r="AC3728"/>
      <c r="AD3728"/>
      <c r="AE3728"/>
      <c r="AF3728"/>
      <c r="AG3728"/>
      <c r="AH3728"/>
      <c r="AI3728"/>
      <c r="AJ3728"/>
      <c r="AK3728"/>
      <c r="AL3728"/>
    </row>
    <row r="3729" spans="1:38" ht="15.75" customHeight="1" outlineLevel="3" x14ac:dyDescent="0.2">
      <c r="A3729" s="10">
        <v>1</v>
      </c>
      <c r="B3729" s="10" t="s">
        <v>71</v>
      </c>
      <c r="C3729" s="10" t="s">
        <v>1526</v>
      </c>
      <c r="D3729" s="10" t="s">
        <v>1527</v>
      </c>
      <c r="E3729" s="11" t="str">
        <f t="array" ref="E3729">_xlfn.XLOOKUP(D3729,Insumos!B:B,Insumos!C:$C)</f>
        <v>M2</v>
      </c>
      <c r="F3729" s="14">
        <f>1.05</f>
        <v>1.05</v>
      </c>
      <c r="G3729" s="92">
        <f t="array" ref="G3729">IF(B3729="insumo",_xlfn.XLOOKUP($D3729,Insumos!$B$1:$B$996,Insumos!$D$1:$D$996),"")</f>
        <v>1850</v>
      </c>
      <c r="H3729" s="92">
        <v>1942.5</v>
      </c>
      <c r="I3729" s="13">
        <v>0</v>
      </c>
      <c r="J3729" s="13">
        <v>0</v>
      </c>
      <c r="K3729" s="13"/>
      <c r="L3729"/>
      <c r="M3729"/>
      <c r="N3729"/>
      <c r="O3729"/>
      <c r="P3729"/>
      <c r="Q3729"/>
      <c r="R3729"/>
      <c r="S3729"/>
      <c r="T3729"/>
      <c r="U3729"/>
      <c r="V3729"/>
      <c r="W3729"/>
      <c r="X3729"/>
      <c r="Y3729"/>
      <c r="Z3729"/>
      <c r="AA3729"/>
      <c r="AB3729"/>
      <c r="AC3729"/>
      <c r="AD3729"/>
      <c r="AE3729"/>
      <c r="AF3729"/>
      <c r="AG3729"/>
      <c r="AH3729"/>
      <c r="AI3729"/>
      <c r="AJ3729"/>
      <c r="AK3729"/>
      <c r="AL3729"/>
    </row>
    <row r="3730" spans="1:38" ht="15.75" customHeight="1" outlineLevel="3" x14ac:dyDescent="0.2">
      <c r="A3730" s="10">
        <v>191</v>
      </c>
      <c r="B3730" s="10" t="s">
        <v>71</v>
      </c>
      <c r="C3730" s="10" t="s">
        <v>1526</v>
      </c>
      <c r="D3730" s="10" t="s">
        <v>481</v>
      </c>
      <c r="E3730" s="11" t="str">
        <f t="array" ref="E3730">_xlfn.XLOOKUP(D3730,Insumos!B:B,Insumos!C:$C)</f>
        <v>KG</v>
      </c>
      <c r="F3730" s="14">
        <v>8.8000000000000007</v>
      </c>
      <c r="G3730" s="92">
        <f t="array" ref="G3730">IF(B3730="insumo",_xlfn.XLOOKUP($D3730,Insumos!$B$1:$B$996,Insumos!$D$1:$D$996),"")</f>
        <v>1.0645</v>
      </c>
      <c r="H3730" s="92">
        <v>9.3675999999999995</v>
      </c>
      <c r="I3730" s="13">
        <v>0</v>
      </c>
      <c r="J3730" s="13">
        <v>0</v>
      </c>
      <c r="K3730" s="13"/>
      <c r="L3730"/>
      <c r="M3730"/>
      <c r="N3730"/>
      <c r="O3730"/>
      <c r="P3730"/>
      <c r="Q3730"/>
      <c r="R3730"/>
      <c r="S3730"/>
      <c r="T3730"/>
      <c r="U3730"/>
      <c r="V3730"/>
      <c r="W3730"/>
      <c r="X3730"/>
      <c r="Y3730"/>
      <c r="Z3730"/>
      <c r="AA3730"/>
      <c r="AB3730"/>
      <c r="AC3730"/>
      <c r="AD3730"/>
      <c r="AE3730"/>
      <c r="AF3730"/>
      <c r="AG3730"/>
      <c r="AH3730"/>
      <c r="AI3730"/>
      <c r="AJ3730"/>
      <c r="AK3730"/>
      <c r="AL3730"/>
    </row>
    <row r="3731" spans="1:38" ht="15.75" customHeight="1" outlineLevel="1" x14ac:dyDescent="0.2">
      <c r="A3731" s="1090">
        <v>1</v>
      </c>
      <c r="B3731" s="1090" t="s">
        <v>1228</v>
      </c>
      <c r="C3731" s="1090" t="s">
        <v>1526</v>
      </c>
      <c r="D3731" s="1090" t="s">
        <v>1467</v>
      </c>
      <c r="E3731" s="1091"/>
      <c r="F3731" s="1092"/>
      <c r="G3731" s="1091"/>
      <c r="H3731" s="1091">
        <v>0</v>
      </c>
      <c r="I3731" s="1092">
        <v>0</v>
      </c>
      <c r="J3731" s="1092">
        <v>0</v>
      </c>
      <c r="K3731" s="1092"/>
      <c r="L3731"/>
      <c r="M3731"/>
      <c r="N3731"/>
      <c r="O3731"/>
      <c r="P3731"/>
      <c r="Q3731"/>
      <c r="R3731"/>
      <c r="S3731"/>
      <c r="T3731"/>
      <c r="U3731"/>
      <c r="V3731"/>
      <c r="W3731"/>
      <c r="X3731"/>
      <c r="Y3731"/>
      <c r="Z3731"/>
      <c r="AA3731"/>
      <c r="AB3731"/>
      <c r="AC3731"/>
      <c r="AD3731"/>
      <c r="AE3731"/>
      <c r="AF3731"/>
      <c r="AG3731"/>
      <c r="AH3731"/>
      <c r="AI3731"/>
      <c r="AJ3731"/>
      <c r="AK3731"/>
      <c r="AL3731"/>
    </row>
    <row r="3732" spans="1:38" ht="15.75" customHeight="1" outlineLevel="2" x14ac:dyDescent="0.2">
      <c r="A3732" s="1067">
        <v>1</v>
      </c>
      <c r="B3732" s="1067" t="s">
        <v>68</v>
      </c>
      <c r="C3732" s="1067" t="s">
        <v>727</v>
      </c>
      <c r="D3732" s="1067" t="s">
        <v>727</v>
      </c>
      <c r="E3732" s="1068" t="s">
        <v>70</v>
      </c>
      <c r="F3732" s="1067"/>
      <c r="G3732" s="1069" t="str">
        <f t="array" ref="G3732">IF(B3732="insumo",_xlfn.XLOOKUP($D3732,Insumos!$B$1:$B$996,Insumos!$D$1:$D$996),"")</f>
        <v/>
      </c>
      <c r="H3732" s="1069">
        <v>91.883685999999997</v>
      </c>
      <c r="I3732" s="1070">
        <v>0</v>
      </c>
      <c r="J3732" s="1070">
        <v>0</v>
      </c>
      <c r="K3732" s="1070"/>
      <c r="L3732"/>
      <c r="M3732"/>
      <c r="N3732"/>
      <c r="O3732"/>
      <c r="P3732"/>
      <c r="Q3732"/>
      <c r="R3732"/>
      <c r="S3732"/>
      <c r="T3732"/>
      <c r="U3732"/>
      <c r="V3732"/>
      <c r="W3732"/>
      <c r="X3732"/>
      <c r="Y3732"/>
      <c r="Z3732"/>
      <c r="AA3732"/>
      <c r="AB3732"/>
      <c r="AC3732"/>
      <c r="AD3732"/>
      <c r="AE3732"/>
      <c r="AF3732"/>
      <c r="AG3732"/>
      <c r="AH3732"/>
      <c r="AI3732"/>
      <c r="AJ3732"/>
      <c r="AK3732"/>
      <c r="AL3732"/>
    </row>
    <row r="3733" spans="1:38" ht="15.75" customHeight="1" outlineLevel="3" x14ac:dyDescent="0.2">
      <c r="A3733" s="10">
        <v>1</v>
      </c>
      <c r="B3733" s="10" t="s">
        <v>71</v>
      </c>
      <c r="C3733" s="10" t="s">
        <v>727</v>
      </c>
      <c r="D3733" s="10" t="s">
        <v>728</v>
      </c>
      <c r="E3733" s="11" t="str">
        <f t="array" ref="E3733">_xlfn.XLOOKUP(D3733,Insumos!B:B,Insumos!C:$C)</f>
        <v>M2</v>
      </c>
      <c r="F3733" s="14">
        <v>1.05</v>
      </c>
      <c r="G3733" s="92">
        <f t="array" ref="G3733">IF(B3733="insumo",_xlfn.XLOOKUP($D3733,Insumos!$B$1:$B$996,Insumos!$D$1:$D$996),"")</f>
        <v>79</v>
      </c>
      <c r="H3733" s="92">
        <v>82.95</v>
      </c>
      <c r="I3733" s="13">
        <v>0</v>
      </c>
      <c r="J3733" s="13">
        <v>0</v>
      </c>
      <c r="K3733" s="13"/>
      <c r="L3733"/>
      <c r="M3733"/>
      <c r="N3733"/>
      <c r="O3733"/>
      <c r="P3733"/>
      <c r="Q3733"/>
      <c r="R3733"/>
      <c r="S3733"/>
      <c r="T3733"/>
      <c r="U3733"/>
      <c r="V3733"/>
      <c r="W3733"/>
      <c r="X3733"/>
      <c r="Y3733"/>
      <c r="Z3733"/>
      <c r="AA3733"/>
      <c r="AB3733"/>
      <c r="AC3733"/>
      <c r="AD3733"/>
      <c r="AE3733"/>
      <c r="AF3733"/>
      <c r="AG3733"/>
      <c r="AH3733"/>
      <c r="AI3733"/>
      <c r="AJ3733"/>
      <c r="AK3733"/>
      <c r="AL3733"/>
    </row>
    <row r="3734" spans="1:38" ht="15.75" customHeight="1" outlineLevel="3" x14ac:dyDescent="0.2">
      <c r="A3734" s="10">
        <v>8</v>
      </c>
      <c r="B3734" s="10" t="s">
        <v>71</v>
      </c>
      <c r="C3734" s="10" t="s">
        <v>727</v>
      </c>
      <c r="D3734" s="10" t="s">
        <v>729</v>
      </c>
      <c r="E3734" s="11" t="str">
        <f t="array" ref="E3734">_xlfn.XLOOKUP(D3734,Insumos!B:B,Insumos!C:$C)</f>
        <v>M3</v>
      </c>
      <c r="F3734" s="14">
        <v>6.6E-3</v>
      </c>
      <c r="G3734" s="92">
        <f t="array" ref="G3734">IF(B3734="insumo",_xlfn.XLOOKUP($D3734,Insumos!$B$1:$B$996,Insumos!$D$1:$D$996),"")</f>
        <v>105.71</v>
      </c>
      <c r="H3734" s="92">
        <v>0.69768600000000003</v>
      </c>
      <c r="I3734" s="13">
        <v>0</v>
      </c>
      <c r="J3734" s="13">
        <v>0</v>
      </c>
      <c r="K3734" s="13"/>
      <c r="L3734"/>
      <c r="M3734"/>
      <c r="N3734"/>
      <c r="O3734"/>
      <c r="P3734"/>
      <c r="Q3734"/>
      <c r="R3734"/>
      <c r="S3734"/>
      <c r="T3734"/>
      <c r="U3734"/>
      <c r="V3734"/>
      <c r="W3734"/>
      <c r="X3734"/>
      <c r="Y3734"/>
      <c r="Z3734"/>
      <c r="AA3734"/>
      <c r="AB3734"/>
      <c r="AC3734"/>
      <c r="AD3734"/>
      <c r="AE3734"/>
      <c r="AF3734"/>
      <c r="AG3734"/>
      <c r="AH3734"/>
      <c r="AI3734"/>
      <c r="AJ3734"/>
      <c r="AK3734"/>
      <c r="AL3734"/>
    </row>
    <row r="3735" spans="1:38" ht="15.75" customHeight="1" outlineLevel="3" x14ac:dyDescent="0.2">
      <c r="A3735" s="10">
        <v>10</v>
      </c>
      <c r="B3735" s="10" t="s">
        <v>71</v>
      </c>
      <c r="C3735" s="10" t="s">
        <v>727</v>
      </c>
      <c r="D3735" s="10" t="s">
        <v>443</v>
      </c>
      <c r="E3735" s="11" t="str">
        <f t="array" ref="E3735">_xlfn.XLOOKUP(D3735,Insumos!B:B,Insumos!C:$C)</f>
        <v>M3</v>
      </c>
      <c r="F3735" s="14">
        <v>5.6800000000000003E-2</v>
      </c>
      <c r="G3735" s="92">
        <f t="array" ref="G3735">IF(B3735="insumo",_xlfn.XLOOKUP($D3735,Insumos!$B$1:$B$996,Insumos!$D$1:$D$996),"")</f>
        <v>145</v>
      </c>
      <c r="H3735" s="92">
        <v>8.2360000000000007</v>
      </c>
      <c r="I3735" s="13">
        <v>0</v>
      </c>
      <c r="J3735" s="13">
        <v>0</v>
      </c>
      <c r="K3735" s="13"/>
      <c r="L3735"/>
      <c r="M3735"/>
      <c r="N3735"/>
      <c r="O3735"/>
      <c r="P3735"/>
      <c r="Q3735"/>
      <c r="R3735"/>
      <c r="S3735"/>
      <c r="T3735"/>
      <c r="U3735"/>
      <c r="V3735"/>
      <c r="W3735"/>
      <c r="X3735"/>
      <c r="Y3735"/>
      <c r="Z3735"/>
      <c r="AA3735"/>
      <c r="AB3735"/>
      <c r="AC3735"/>
      <c r="AD3735"/>
      <c r="AE3735"/>
      <c r="AF3735"/>
      <c r="AG3735"/>
      <c r="AH3735"/>
      <c r="AI3735"/>
      <c r="AJ3735"/>
      <c r="AK3735"/>
      <c r="AL3735"/>
    </row>
    <row r="3736" spans="1:38" ht="15.75" customHeight="1" outlineLevel="2" x14ac:dyDescent="0.2">
      <c r="A3736" s="1067">
        <v>1</v>
      </c>
      <c r="B3736" s="1067" t="s">
        <v>68</v>
      </c>
      <c r="C3736" s="1067" t="s">
        <v>730</v>
      </c>
      <c r="D3736" s="1067" t="s">
        <v>730</v>
      </c>
      <c r="E3736" s="1068" t="s">
        <v>70</v>
      </c>
      <c r="F3736" s="1067"/>
      <c r="G3736" s="1069" t="str">
        <f t="array" ref="G3736">IF(B3736="insumo",_xlfn.XLOOKUP($D3736,Insumos!$B$1:$B$996,Insumos!$D$1:$D$996),"")</f>
        <v/>
      </c>
      <c r="H3736" s="1069">
        <v>138.044797111111</v>
      </c>
      <c r="I3736" s="1070">
        <v>0</v>
      </c>
      <c r="J3736" s="1070">
        <v>0</v>
      </c>
      <c r="K3736" s="1070"/>
      <c r="L3736"/>
      <c r="M3736"/>
      <c r="N3736"/>
      <c r="O3736"/>
      <c r="P3736"/>
      <c r="Q3736"/>
      <c r="R3736"/>
      <c r="S3736"/>
      <c r="T3736"/>
      <c r="U3736"/>
      <c r="V3736"/>
      <c r="W3736"/>
      <c r="X3736"/>
      <c r="Y3736"/>
      <c r="Z3736"/>
      <c r="AA3736"/>
      <c r="AB3736"/>
      <c r="AC3736"/>
      <c r="AD3736"/>
      <c r="AE3736"/>
      <c r="AF3736"/>
      <c r="AG3736"/>
      <c r="AH3736"/>
      <c r="AI3736"/>
      <c r="AJ3736"/>
      <c r="AK3736"/>
      <c r="AL3736"/>
    </row>
    <row r="3737" spans="1:38" ht="15.75" customHeight="1" outlineLevel="3" x14ac:dyDescent="0.2">
      <c r="A3737" s="10">
        <v>2</v>
      </c>
      <c r="B3737" s="10" t="s">
        <v>71</v>
      </c>
      <c r="C3737" s="10" t="s">
        <v>730</v>
      </c>
      <c r="D3737" s="10" t="s">
        <v>731</v>
      </c>
      <c r="E3737" s="11" t="str">
        <f t="array" ref="E3737">_xlfn.XLOOKUP(D3737,Insumos!B:B,Insumos!C:$C)</f>
        <v>M2</v>
      </c>
      <c r="F3737" s="14">
        <v>1.05</v>
      </c>
      <c r="G3737" s="92">
        <f t="array" ref="G3737">IF(B3737="insumo",_xlfn.XLOOKUP($D3737,Insumos!$B$1:$B$996,Insumos!$D$1:$D$996),"")</f>
        <v>122.96296296296295</v>
      </c>
      <c r="H3737" s="92">
        <v>129.111111111111</v>
      </c>
      <c r="I3737" s="13">
        <v>0</v>
      </c>
      <c r="J3737" s="13">
        <v>0</v>
      </c>
      <c r="K3737" s="13"/>
      <c r="L3737"/>
      <c r="M3737"/>
      <c r="N3737"/>
      <c r="O3737"/>
      <c r="P3737"/>
      <c r="Q3737"/>
      <c r="R3737"/>
      <c r="S3737"/>
      <c r="T3737"/>
      <c r="U3737"/>
      <c r="V3737"/>
      <c r="W3737"/>
      <c r="X3737"/>
      <c r="Y3737"/>
      <c r="Z3737"/>
      <c r="AA3737"/>
      <c r="AB3737"/>
      <c r="AC3737"/>
      <c r="AD3737"/>
      <c r="AE3737"/>
      <c r="AF3737"/>
      <c r="AG3737"/>
      <c r="AH3737"/>
      <c r="AI3737"/>
      <c r="AJ3737"/>
      <c r="AK3737"/>
      <c r="AL3737"/>
    </row>
    <row r="3738" spans="1:38" ht="15.75" customHeight="1" outlineLevel="3" x14ac:dyDescent="0.2">
      <c r="A3738" s="10">
        <v>8</v>
      </c>
      <c r="B3738" s="10" t="s">
        <v>71</v>
      </c>
      <c r="C3738" s="10" t="s">
        <v>730</v>
      </c>
      <c r="D3738" s="10" t="s">
        <v>729</v>
      </c>
      <c r="E3738" s="11" t="str">
        <f t="array" ref="E3738">_xlfn.XLOOKUP(D3738,Insumos!B:B,Insumos!C:$C)</f>
        <v>M3</v>
      </c>
      <c r="F3738" s="14">
        <v>6.6E-3</v>
      </c>
      <c r="G3738" s="92">
        <f t="array" ref="G3738">IF(B3738="insumo",_xlfn.XLOOKUP($D3738,Insumos!$B$1:$B$996,Insumos!$D$1:$D$996),"")</f>
        <v>105.71</v>
      </c>
      <c r="H3738" s="92">
        <v>0.69768600000000003</v>
      </c>
      <c r="I3738" s="13">
        <v>0</v>
      </c>
      <c r="J3738" s="13">
        <v>0</v>
      </c>
      <c r="K3738" s="13"/>
      <c r="L3738"/>
      <c r="M3738"/>
      <c r="N3738"/>
      <c r="O3738"/>
      <c r="P3738"/>
      <c r="Q3738"/>
      <c r="R3738"/>
      <c r="S3738"/>
      <c r="T3738"/>
      <c r="U3738"/>
      <c r="V3738"/>
      <c r="W3738"/>
      <c r="X3738"/>
      <c r="Y3738"/>
      <c r="Z3738"/>
      <c r="AA3738"/>
      <c r="AB3738"/>
      <c r="AC3738"/>
      <c r="AD3738"/>
      <c r="AE3738"/>
      <c r="AF3738"/>
      <c r="AG3738"/>
      <c r="AH3738"/>
      <c r="AI3738"/>
      <c r="AJ3738"/>
      <c r="AK3738"/>
      <c r="AL3738"/>
    </row>
    <row r="3739" spans="1:38" ht="15.75" customHeight="1" outlineLevel="3" x14ac:dyDescent="0.2">
      <c r="A3739" s="10">
        <v>10</v>
      </c>
      <c r="B3739" s="10" t="s">
        <v>71</v>
      </c>
      <c r="C3739" s="10" t="s">
        <v>730</v>
      </c>
      <c r="D3739" s="10" t="s">
        <v>443</v>
      </c>
      <c r="E3739" s="11" t="str">
        <f t="array" ref="E3739">_xlfn.XLOOKUP(D3739,Insumos!B:B,Insumos!C:$C)</f>
        <v>M3</v>
      </c>
      <c r="F3739" s="14">
        <v>5.6800000000000003E-2</v>
      </c>
      <c r="G3739" s="92">
        <f t="array" ref="G3739">IF(B3739="insumo",_xlfn.XLOOKUP($D3739,Insumos!$B$1:$B$996,Insumos!$D$1:$D$996),"")</f>
        <v>145</v>
      </c>
      <c r="H3739" s="92">
        <v>8.2360000000000007</v>
      </c>
      <c r="I3739" s="13">
        <v>0</v>
      </c>
      <c r="J3739" s="13">
        <v>0</v>
      </c>
      <c r="K3739" s="13"/>
      <c r="L3739"/>
      <c r="M3739"/>
      <c r="N3739"/>
      <c r="O3739"/>
      <c r="P3739"/>
      <c r="Q3739"/>
      <c r="R3739"/>
      <c r="S3739"/>
      <c r="T3739"/>
      <c r="U3739"/>
      <c r="V3739"/>
      <c r="W3739"/>
      <c r="X3739"/>
      <c r="Y3739"/>
      <c r="Z3739"/>
      <c r="AA3739"/>
      <c r="AB3739"/>
      <c r="AC3739"/>
      <c r="AD3739"/>
      <c r="AE3739"/>
      <c r="AF3739"/>
      <c r="AG3739"/>
      <c r="AH3739"/>
      <c r="AI3739"/>
      <c r="AJ3739"/>
      <c r="AK3739"/>
      <c r="AL3739"/>
    </row>
    <row r="3740" spans="1:38" ht="15.75" customHeight="1" outlineLevel="2" x14ac:dyDescent="0.2">
      <c r="A3740" s="1067">
        <v>1</v>
      </c>
      <c r="B3740" s="1067" t="s">
        <v>68</v>
      </c>
      <c r="C3740" s="1067" t="s">
        <v>732</v>
      </c>
      <c r="D3740" s="1067" t="s">
        <v>732</v>
      </c>
      <c r="E3740" s="1068" t="s">
        <v>70</v>
      </c>
      <c r="F3740" s="1067"/>
      <c r="G3740" s="1069" t="str">
        <f t="array" ref="G3740">IF(B3740="insumo",_xlfn.XLOOKUP($D3740,Insumos!$B$1:$B$996,Insumos!$D$1:$D$996),"")</f>
        <v/>
      </c>
      <c r="H3740" s="1069">
        <v>78.128686000000002</v>
      </c>
      <c r="I3740" s="1070">
        <v>0</v>
      </c>
      <c r="J3740" s="1070">
        <v>0</v>
      </c>
      <c r="K3740" s="1070"/>
      <c r="L3740"/>
      <c r="M3740"/>
      <c r="N3740"/>
      <c r="O3740"/>
      <c r="P3740"/>
      <c r="Q3740"/>
      <c r="R3740"/>
      <c r="S3740"/>
      <c r="T3740"/>
      <c r="U3740"/>
      <c r="V3740"/>
      <c r="W3740"/>
      <c r="X3740"/>
      <c r="Y3740"/>
      <c r="Z3740"/>
      <c r="AA3740"/>
      <c r="AB3740"/>
      <c r="AC3740"/>
      <c r="AD3740"/>
      <c r="AE3740"/>
      <c r="AF3740"/>
      <c r="AG3740"/>
      <c r="AH3740"/>
      <c r="AI3740"/>
      <c r="AJ3740"/>
      <c r="AK3740"/>
      <c r="AL3740"/>
    </row>
    <row r="3741" spans="1:38" ht="15.75" customHeight="1" outlineLevel="3" x14ac:dyDescent="0.2">
      <c r="A3741" s="10">
        <v>3</v>
      </c>
      <c r="B3741" s="10" t="s">
        <v>71</v>
      </c>
      <c r="C3741" s="10" t="s">
        <v>732</v>
      </c>
      <c r="D3741" s="10" t="s">
        <v>733</v>
      </c>
      <c r="E3741" s="11" t="str">
        <f t="array" ref="E3741">_xlfn.XLOOKUP(D3741,Insumos!B:B,Insumos!C:$C)</f>
        <v>M2</v>
      </c>
      <c r="F3741" s="14">
        <v>1.05</v>
      </c>
      <c r="G3741" s="92">
        <f t="array" ref="G3741">IF(B3741="insumo",_xlfn.XLOOKUP($D3741,Insumos!$B$1:$B$996,Insumos!$D$1:$D$996),"")</f>
        <v>65.900000000000006</v>
      </c>
      <c r="H3741" s="92">
        <v>69.194999999999993</v>
      </c>
      <c r="I3741" s="13">
        <v>0</v>
      </c>
      <c r="J3741" s="13">
        <v>0</v>
      </c>
      <c r="K3741" s="13"/>
      <c r="L3741"/>
      <c r="M3741"/>
      <c r="N3741"/>
      <c r="O3741"/>
      <c r="P3741"/>
      <c r="Q3741"/>
      <c r="R3741"/>
      <c r="S3741"/>
      <c r="T3741"/>
      <c r="U3741"/>
      <c r="V3741"/>
      <c r="W3741"/>
      <c r="X3741"/>
      <c r="Y3741"/>
      <c r="Z3741"/>
      <c r="AA3741"/>
      <c r="AB3741"/>
      <c r="AC3741"/>
      <c r="AD3741"/>
      <c r="AE3741"/>
      <c r="AF3741"/>
      <c r="AG3741"/>
      <c r="AH3741"/>
      <c r="AI3741"/>
      <c r="AJ3741"/>
      <c r="AK3741"/>
      <c r="AL3741"/>
    </row>
    <row r="3742" spans="1:38" ht="15.75" customHeight="1" outlineLevel="3" x14ac:dyDescent="0.2">
      <c r="A3742" s="10">
        <v>8</v>
      </c>
      <c r="B3742" s="10" t="s">
        <v>71</v>
      </c>
      <c r="C3742" s="10" t="s">
        <v>732</v>
      </c>
      <c r="D3742" s="10" t="s">
        <v>729</v>
      </c>
      <c r="E3742" s="11" t="str">
        <f t="array" ref="E3742">_xlfn.XLOOKUP(D3742,Insumos!B:B,Insumos!C:$C)</f>
        <v>M3</v>
      </c>
      <c r="F3742" s="14">
        <v>6.6E-3</v>
      </c>
      <c r="G3742" s="92">
        <f t="array" ref="G3742">IF(B3742="insumo",_xlfn.XLOOKUP($D3742,Insumos!$B$1:$B$996,Insumos!$D$1:$D$996),"")</f>
        <v>105.71</v>
      </c>
      <c r="H3742" s="92">
        <v>0.69768600000000003</v>
      </c>
      <c r="I3742" s="13">
        <v>0</v>
      </c>
      <c r="J3742" s="13">
        <v>0</v>
      </c>
      <c r="K3742" s="13"/>
      <c r="L3742"/>
      <c r="M3742"/>
      <c r="N3742"/>
      <c r="O3742"/>
      <c r="P3742"/>
      <c r="Q3742"/>
      <c r="R3742"/>
      <c r="S3742"/>
      <c r="T3742"/>
      <c r="U3742"/>
      <c r="V3742"/>
      <c r="W3742"/>
      <c r="X3742"/>
      <c r="Y3742"/>
      <c r="Z3742"/>
      <c r="AA3742"/>
      <c r="AB3742"/>
      <c r="AC3742"/>
      <c r="AD3742"/>
      <c r="AE3742"/>
      <c r="AF3742"/>
      <c r="AG3742"/>
      <c r="AH3742"/>
      <c r="AI3742"/>
      <c r="AJ3742"/>
      <c r="AK3742"/>
      <c r="AL3742"/>
    </row>
    <row r="3743" spans="1:38" ht="15.75" customHeight="1" outlineLevel="3" x14ac:dyDescent="0.2">
      <c r="A3743" s="10">
        <v>10</v>
      </c>
      <c r="B3743" s="10" t="s">
        <v>71</v>
      </c>
      <c r="C3743" s="10" t="s">
        <v>732</v>
      </c>
      <c r="D3743" s="10" t="s">
        <v>443</v>
      </c>
      <c r="E3743" s="11" t="str">
        <f t="array" ref="E3743">_xlfn.XLOOKUP(D3743,Insumos!B:B,Insumos!C:$C)</f>
        <v>M3</v>
      </c>
      <c r="F3743" s="14">
        <v>5.6800000000000003E-2</v>
      </c>
      <c r="G3743" s="92">
        <f t="array" ref="G3743">IF(B3743="insumo",_xlfn.XLOOKUP($D3743,Insumos!$B$1:$B$996,Insumos!$D$1:$D$996),"")</f>
        <v>145</v>
      </c>
      <c r="H3743" s="92">
        <v>8.2360000000000007</v>
      </c>
      <c r="I3743" s="13">
        <v>0</v>
      </c>
      <c r="J3743" s="13">
        <v>0</v>
      </c>
      <c r="K3743" s="13"/>
      <c r="L3743"/>
      <c r="M3743"/>
      <c r="N3743"/>
      <c r="O3743"/>
      <c r="P3743"/>
      <c r="Q3743"/>
      <c r="R3743"/>
      <c r="S3743"/>
      <c r="T3743"/>
      <c r="U3743"/>
      <c r="V3743"/>
      <c r="W3743"/>
      <c r="X3743"/>
      <c r="Y3743"/>
      <c r="Z3743"/>
      <c r="AA3743"/>
      <c r="AB3743"/>
      <c r="AC3743"/>
      <c r="AD3743"/>
      <c r="AE3743"/>
      <c r="AF3743"/>
      <c r="AG3743"/>
      <c r="AH3743"/>
      <c r="AI3743"/>
      <c r="AJ3743"/>
      <c r="AK3743"/>
      <c r="AL3743"/>
    </row>
    <row r="3744" spans="1:38" ht="15.75" customHeight="1" outlineLevel="2" x14ac:dyDescent="0.2">
      <c r="A3744" s="1067">
        <v>1</v>
      </c>
      <c r="B3744" s="1067" t="s">
        <v>68</v>
      </c>
      <c r="C3744" s="1067" t="s">
        <v>1513</v>
      </c>
      <c r="D3744" s="1067" t="s">
        <v>1513</v>
      </c>
      <c r="E3744" s="1068" t="s">
        <v>70</v>
      </c>
      <c r="F3744" s="1067"/>
      <c r="G3744" s="1069" t="str">
        <f t="array" ref="G3744">IF(B3744="insumo",_xlfn.XLOOKUP($D3744,Insumos!$B$1:$B$996,Insumos!$D$1:$D$996),"")</f>
        <v/>
      </c>
      <c r="H3744" s="1069">
        <v>204.05</v>
      </c>
      <c r="I3744" s="1070">
        <v>0</v>
      </c>
      <c r="J3744" s="1070">
        <v>0</v>
      </c>
      <c r="K3744" s="1070"/>
      <c r="L3744"/>
      <c r="M3744"/>
      <c r="N3744"/>
      <c r="O3744"/>
      <c r="P3744"/>
      <c r="Q3744"/>
      <c r="R3744"/>
      <c r="S3744"/>
      <c r="T3744"/>
      <c r="U3744"/>
      <c r="V3744"/>
      <c r="W3744"/>
      <c r="X3744"/>
      <c r="Y3744"/>
      <c r="Z3744"/>
      <c r="AA3744"/>
      <c r="AB3744"/>
      <c r="AC3744"/>
      <c r="AD3744"/>
      <c r="AE3744"/>
      <c r="AF3744"/>
      <c r="AG3744"/>
      <c r="AH3744"/>
      <c r="AI3744"/>
      <c r="AJ3744"/>
      <c r="AK3744"/>
      <c r="AL3744"/>
    </row>
    <row r="3745" spans="1:38" ht="15.75" customHeight="1" outlineLevel="3" x14ac:dyDescent="0.2">
      <c r="A3745" s="10">
        <v>1</v>
      </c>
      <c r="B3745" s="10" t="s">
        <v>71</v>
      </c>
      <c r="C3745" s="10" t="s">
        <v>1513</v>
      </c>
      <c r="D3745" s="10" t="s">
        <v>1507</v>
      </c>
      <c r="E3745" s="11" t="str">
        <f t="array" ref="E3745">_xlfn.XLOOKUP(D3745,Insumos!B:B,Insumos!C:$C)</f>
        <v>M2</v>
      </c>
      <c r="F3745" s="14">
        <v>1.05</v>
      </c>
      <c r="G3745" s="92">
        <f t="array" ref="G3745">IF(B3745="insumo",_xlfn.XLOOKUP($D3745,Insumos!$B$1:$B$996,Insumos!$D$1:$D$996),"")</f>
        <v>180</v>
      </c>
      <c r="H3745" s="92">
        <v>189</v>
      </c>
      <c r="I3745" s="13">
        <v>0</v>
      </c>
      <c r="J3745" s="13">
        <v>0</v>
      </c>
      <c r="K3745" s="13"/>
      <c r="L3745"/>
      <c r="M3745"/>
      <c r="N3745"/>
      <c r="O3745"/>
      <c r="P3745"/>
      <c r="Q3745"/>
      <c r="R3745"/>
      <c r="S3745"/>
      <c r="T3745"/>
      <c r="U3745"/>
      <c r="V3745"/>
      <c r="W3745"/>
      <c r="X3745"/>
      <c r="Y3745"/>
      <c r="Z3745"/>
      <c r="AA3745"/>
      <c r="AB3745"/>
      <c r="AC3745"/>
      <c r="AD3745"/>
      <c r="AE3745"/>
      <c r="AF3745"/>
      <c r="AG3745"/>
      <c r="AH3745"/>
      <c r="AI3745"/>
      <c r="AJ3745"/>
      <c r="AK3745"/>
      <c r="AL3745"/>
    </row>
    <row r="3746" spans="1:38" ht="15.75" customHeight="1" outlineLevel="3" x14ac:dyDescent="0.2">
      <c r="A3746" s="10">
        <v>16</v>
      </c>
      <c r="B3746" s="10" t="s">
        <v>71</v>
      </c>
      <c r="C3746" s="10" t="s">
        <v>1513</v>
      </c>
      <c r="D3746" s="10" t="s">
        <v>658</v>
      </c>
      <c r="E3746" s="11" t="str">
        <f t="array" ref="E3746">_xlfn.XLOOKUP(D3746,Insumos!B:B,Insumos!C:$C)</f>
        <v>KG</v>
      </c>
      <c r="F3746" s="14">
        <v>8.8000000000000007</v>
      </c>
      <c r="G3746" s="92">
        <f t="array" ref="G3746">IF(B3746="insumo",_xlfn.XLOOKUP($D3746,Insumos!$B$1:$B$996,Insumos!$D$1:$D$996),"")</f>
        <v>0.95</v>
      </c>
      <c r="H3746" s="92">
        <v>8.36</v>
      </c>
      <c r="I3746" s="13">
        <v>0</v>
      </c>
      <c r="J3746" s="13">
        <v>0</v>
      </c>
      <c r="K3746" s="13"/>
      <c r="L3746"/>
      <c r="M3746"/>
      <c r="N3746"/>
      <c r="O3746"/>
      <c r="P3746"/>
      <c r="Q3746"/>
      <c r="R3746"/>
      <c r="S3746"/>
      <c r="T3746"/>
      <c r="U3746"/>
      <c r="V3746"/>
      <c r="W3746"/>
      <c r="X3746"/>
      <c r="Y3746"/>
      <c r="Z3746"/>
      <c r="AA3746"/>
      <c r="AB3746"/>
      <c r="AC3746"/>
      <c r="AD3746"/>
      <c r="AE3746"/>
      <c r="AF3746"/>
      <c r="AG3746"/>
      <c r="AH3746"/>
      <c r="AI3746"/>
      <c r="AJ3746"/>
      <c r="AK3746"/>
      <c r="AL3746"/>
    </row>
    <row r="3747" spans="1:38" ht="15.75" customHeight="1" outlineLevel="3" x14ac:dyDescent="0.2">
      <c r="A3747" s="10">
        <v>101</v>
      </c>
      <c r="B3747" s="10" t="s">
        <v>71</v>
      </c>
      <c r="C3747" s="10" t="s">
        <v>1513</v>
      </c>
      <c r="D3747" s="10" t="s">
        <v>507</v>
      </c>
      <c r="E3747" s="11" t="str">
        <f t="array" ref="E3747">_xlfn.XLOOKUP(D3747,Insumos!B:B,Insumos!C:$C)</f>
        <v>KG</v>
      </c>
      <c r="F3747" s="14">
        <v>0.6</v>
      </c>
      <c r="G3747" s="92">
        <f t="array" ref="G3747">IF(B3747="insumo",_xlfn.XLOOKUP($D3747,Insumos!$B$1:$B$996,Insumos!$D$1:$D$996),"")</f>
        <v>11.15</v>
      </c>
      <c r="H3747" s="92">
        <v>6.69</v>
      </c>
      <c r="I3747" s="13">
        <v>0</v>
      </c>
      <c r="J3747" s="13">
        <v>0</v>
      </c>
      <c r="K3747" s="13"/>
      <c r="L3747"/>
      <c r="M3747"/>
      <c r="N3747"/>
      <c r="O3747"/>
      <c r="P3747"/>
      <c r="Q3747"/>
      <c r="R3747"/>
      <c r="S3747"/>
      <c r="T3747"/>
      <c r="U3747"/>
      <c r="V3747"/>
      <c r="W3747"/>
      <c r="X3747"/>
      <c r="Y3747"/>
      <c r="Z3747"/>
      <c r="AA3747"/>
      <c r="AB3747"/>
      <c r="AC3747"/>
      <c r="AD3747"/>
      <c r="AE3747"/>
      <c r="AF3747"/>
      <c r="AG3747"/>
      <c r="AH3747"/>
      <c r="AI3747"/>
      <c r="AJ3747"/>
      <c r="AK3747"/>
      <c r="AL3747"/>
    </row>
    <row r="3748" spans="1:38" ht="15.75" customHeight="1" outlineLevel="2" x14ac:dyDescent="0.2">
      <c r="A3748" s="1067">
        <v>2</v>
      </c>
      <c r="B3748" s="1067" t="s">
        <v>68</v>
      </c>
      <c r="C3748" s="1067" t="s">
        <v>776</v>
      </c>
      <c r="D3748" s="1067" t="s">
        <v>776</v>
      </c>
      <c r="E3748" s="1068" t="s">
        <v>70</v>
      </c>
      <c r="F3748" s="1067"/>
      <c r="G3748" s="1069" t="str">
        <f t="array" ref="G3748">IF(B3748="insumo",_xlfn.XLOOKUP($D3748,Insumos!$B$1:$B$996,Insumos!$D$1:$D$996),"")</f>
        <v/>
      </c>
      <c r="H3748" s="1069">
        <v>234.38605799999999</v>
      </c>
      <c r="I3748" s="1070">
        <v>0</v>
      </c>
      <c r="J3748" s="1070">
        <v>0</v>
      </c>
      <c r="K3748" s="1070"/>
      <c r="L3748"/>
      <c r="M3748"/>
      <c r="N3748"/>
      <c r="O3748"/>
      <c r="P3748"/>
      <c r="Q3748"/>
      <c r="R3748"/>
      <c r="S3748"/>
      <c r="T3748"/>
      <c r="U3748"/>
      <c r="V3748"/>
      <c r="W3748"/>
      <c r="X3748"/>
      <c r="Y3748"/>
      <c r="Z3748"/>
      <c r="AA3748"/>
      <c r="AB3748"/>
      <c r="AC3748"/>
      <c r="AD3748"/>
      <c r="AE3748"/>
      <c r="AF3748"/>
      <c r="AG3748"/>
      <c r="AH3748"/>
      <c r="AI3748"/>
      <c r="AJ3748"/>
      <c r="AK3748"/>
      <c r="AL3748"/>
    </row>
    <row r="3749" spans="1:38" ht="15.75" customHeight="1" outlineLevel="3" x14ac:dyDescent="0.2">
      <c r="A3749" s="10">
        <v>3</v>
      </c>
      <c r="B3749" s="10" t="s">
        <v>71</v>
      </c>
      <c r="C3749" s="10" t="s">
        <v>776</v>
      </c>
      <c r="D3749" s="10" t="s">
        <v>733</v>
      </c>
      <c r="E3749" s="11" t="str">
        <f t="array" ref="E3749">_xlfn.XLOOKUP(D3749,Insumos!B:B,Insumos!C:$C)</f>
        <v>M2</v>
      </c>
      <c r="F3749" s="14">
        <v>1.05</v>
      </c>
      <c r="G3749" s="92">
        <f t="array" ref="G3749">IF(B3749="insumo",_xlfn.XLOOKUP($D3749,Insumos!$B$1:$B$996,Insumos!$D$1:$D$996),"")</f>
        <v>65.900000000000006</v>
      </c>
      <c r="H3749" s="92">
        <v>69.194999999999993</v>
      </c>
      <c r="I3749" s="13">
        <v>0</v>
      </c>
      <c r="J3749" s="13">
        <v>0</v>
      </c>
      <c r="K3749" s="13"/>
      <c r="L3749"/>
      <c r="M3749"/>
      <c r="N3749"/>
      <c r="O3749"/>
      <c r="P3749"/>
      <c r="Q3749"/>
      <c r="R3749"/>
      <c r="S3749"/>
      <c r="T3749"/>
      <c r="U3749"/>
      <c r="V3749"/>
      <c r="W3749"/>
      <c r="X3749"/>
      <c r="Y3749"/>
      <c r="Z3749"/>
      <c r="AA3749"/>
      <c r="AB3749"/>
      <c r="AC3749"/>
      <c r="AD3749"/>
      <c r="AE3749"/>
      <c r="AF3749"/>
      <c r="AG3749"/>
      <c r="AH3749"/>
      <c r="AI3749"/>
      <c r="AJ3749"/>
      <c r="AK3749"/>
      <c r="AL3749"/>
    </row>
    <row r="3750" spans="1:38" ht="15.75" customHeight="1" outlineLevel="3" x14ac:dyDescent="0.2">
      <c r="A3750" s="10">
        <v>8</v>
      </c>
      <c r="B3750" s="10" t="s">
        <v>71</v>
      </c>
      <c r="C3750" s="10" t="s">
        <v>776</v>
      </c>
      <c r="D3750" s="10" t="s">
        <v>729</v>
      </c>
      <c r="E3750" s="11" t="str">
        <f t="array" ref="E3750">_xlfn.XLOOKUP(D3750,Insumos!B:B,Insumos!C:$C)</f>
        <v>M3</v>
      </c>
      <c r="F3750" s="14">
        <v>6.6E-3</v>
      </c>
      <c r="G3750" s="92">
        <f t="array" ref="G3750">IF(B3750="insumo",_xlfn.XLOOKUP($D3750,Insumos!$B$1:$B$996,Insumos!$D$1:$D$996),"")</f>
        <v>105.71</v>
      </c>
      <c r="H3750" s="92">
        <v>0.69768600000000003</v>
      </c>
      <c r="I3750" s="13">
        <v>0</v>
      </c>
      <c r="J3750" s="13">
        <v>0</v>
      </c>
      <c r="K3750" s="13"/>
      <c r="L3750"/>
      <c r="M3750"/>
      <c r="N3750"/>
      <c r="O3750"/>
      <c r="P3750"/>
      <c r="Q3750"/>
      <c r="R3750"/>
      <c r="S3750"/>
      <c r="T3750"/>
      <c r="U3750"/>
      <c r="V3750"/>
      <c r="W3750"/>
      <c r="X3750"/>
      <c r="Y3750"/>
      <c r="Z3750"/>
      <c r="AA3750"/>
      <c r="AB3750"/>
      <c r="AC3750"/>
      <c r="AD3750"/>
      <c r="AE3750"/>
      <c r="AF3750"/>
      <c r="AG3750"/>
      <c r="AH3750"/>
      <c r="AI3750"/>
      <c r="AJ3750"/>
      <c r="AK3750"/>
      <c r="AL3750"/>
    </row>
    <row r="3751" spans="1:38" ht="15.75" customHeight="1" outlineLevel="3" x14ac:dyDescent="0.2">
      <c r="A3751" s="10">
        <v>10</v>
      </c>
      <c r="B3751" s="10" t="s">
        <v>71</v>
      </c>
      <c r="C3751" s="10" t="s">
        <v>776</v>
      </c>
      <c r="D3751" s="10" t="s">
        <v>443</v>
      </c>
      <c r="E3751" s="11" t="str">
        <f t="array" ref="E3751">_xlfn.XLOOKUP(D3751,Insumos!B:B,Insumos!C:$C)</f>
        <v>M3</v>
      </c>
      <c r="F3751" s="14">
        <v>5.6800000000000003E-2</v>
      </c>
      <c r="G3751" s="92">
        <f t="array" ref="G3751">IF(B3751="insumo",_xlfn.XLOOKUP($D3751,Insumos!$B$1:$B$996,Insumos!$D$1:$D$996),"")</f>
        <v>145</v>
      </c>
      <c r="H3751" s="92">
        <v>8.2360000000000007</v>
      </c>
      <c r="I3751" s="13">
        <v>0</v>
      </c>
      <c r="J3751" s="13">
        <v>0</v>
      </c>
      <c r="K3751" s="13"/>
      <c r="L3751"/>
      <c r="M3751"/>
      <c r="N3751"/>
      <c r="O3751"/>
      <c r="P3751"/>
      <c r="Q3751"/>
      <c r="R3751"/>
      <c r="S3751"/>
      <c r="T3751"/>
      <c r="U3751"/>
      <c r="V3751"/>
      <c r="W3751"/>
      <c r="X3751"/>
      <c r="Y3751"/>
      <c r="Z3751"/>
      <c r="AA3751"/>
      <c r="AB3751"/>
      <c r="AC3751"/>
      <c r="AD3751"/>
      <c r="AE3751"/>
      <c r="AF3751"/>
      <c r="AG3751"/>
      <c r="AH3751"/>
      <c r="AI3751"/>
      <c r="AJ3751"/>
      <c r="AK3751"/>
      <c r="AL3751"/>
    </row>
    <row r="3752" spans="1:38" ht="15.75" customHeight="1" outlineLevel="2" x14ac:dyDescent="0.2">
      <c r="A3752" s="1067">
        <v>2</v>
      </c>
      <c r="B3752" s="1067" t="s">
        <v>68</v>
      </c>
      <c r="C3752" s="1067" t="s">
        <v>777</v>
      </c>
      <c r="D3752" s="1067" t="s">
        <v>777</v>
      </c>
      <c r="E3752" s="1068" t="s">
        <v>70</v>
      </c>
      <c r="F3752" s="1067"/>
      <c r="G3752" s="1069" t="str">
        <f t="array" ref="G3752">IF(B3752="insumo",_xlfn.XLOOKUP($D3752,Insumos!$B$1:$B$996,Insumos!$D$1:$D$996),"")</f>
        <v/>
      </c>
      <c r="H3752" s="1069">
        <v>350.936058</v>
      </c>
      <c r="I3752" s="1070">
        <v>0</v>
      </c>
      <c r="J3752" s="1070">
        <v>0</v>
      </c>
      <c r="K3752" s="1070"/>
      <c r="L3752"/>
      <c r="M3752"/>
      <c r="N3752"/>
      <c r="O3752"/>
      <c r="P3752"/>
      <c r="Q3752"/>
      <c r="R3752"/>
      <c r="S3752"/>
      <c r="T3752"/>
      <c r="U3752"/>
      <c r="V3752"/>
      <c r="W3752"/>
      <c r="X3752"/>
      <c r="Y3752"/>
      <c r="Z3752"/>
      <c r="AA3752"/>
      <c r="AB3752"/>
      <c r="AC3752"/>
      <c r="AD3752"/>
      <c r="AE3752"/>
      <c r="AF3752"/>
      <c r="AG3752"/>
      <c r="AH3752"/>
      <c r="AI3752"/>
      <c r="AJ3752"/>
      <c r="AK3752"/>
      <c r="AL3752"/>
    </row>
    <row r="3753" spans="1:38" ht="15.75" customHeight="1" outlineLevel="3" x14ac:dyDescent="0.2">
      <c r="A3753" s="10">
        <v>2</v>
      </c>
      <c r="B3753" s="10" t="s">
        <v>71</v>
      </c>
      <c r="C3753" s="10" t="s">
        <v>777</v>
      </c>
      <c r="D3753" s="10" t="s">
        <v>778</v>
      </c>
      <c r="E3753" s="11" t="str">
        <f t="array" ref="E3753">_xlfn.XLOOKUP(D3753,Insumos!B:B,Insumos!C:$C)</f>
        <v>M2</v>
      </c>
      <c r="F3753" s="14">
        <v>1.05</v>
      </c>
      <c r="G3753" s="92">
        <f t="array" ref="G3753">IF(B3753="insumo",_xlfn.XLOOKUP($D3753,Insumos!$B$1:$B$996,Insumos!$D$1:$D$996),"")</f>
        <v>102.9</v>
      </c>
      <c r="H3753" s="92">
        <v>108.045</v>
      </c>
      <c r="I3753" s="13">
        <v>0</v>
      </c>
      <c r="J3753" s="13">
        <v>0</v>
      </c>
      <c r="K3753" s="13"/>
      <c r="L3753"/>
      <c r="M3753"/>
      <c r="N3753"/>
      <c r="O3753"/>
      <c r="P3753"/>
      <c r="Q3753"/>
      <c r="R3753"/>
      <c r="S3753"/>
      <c r="T3753"/>
      <c r="U3753"/>
      <c r="V3753"/>
      <c r="W3753"/>
      <c r="X3753"/>
      <c r="Y3753"/>
      <c r="Z3753"/>
      <c r="AA3753"/>
      <c r="AB3753"/>
      <c r="AC3753"/>
      <c r="AD3753"/>
      <c r="AE3753"/>
      <c r="AF3753"/>
      <c r="AG3753"/>
      <c r="AH3753"/>
      <c r="AI3753"/>
      <c r="AJ3753"/>
      <c r="AK3753"/>
      <c r="AL3753"/>
    </row>
    <row r="3754" spans="1:38" ht="15.75" customHeight="1" outlineLevel="3" x14ac:dyDescent="0.2">
      <c r="A3754" s="10">
        <v>8</v>
      </c>
      <c r="B3754" s="10" t="s">
        <v>71</v>
      </c>
      <c r="C3754" s="10" t="s">
        <v>777</v>
      </c>
      <c r="D3754" s="10" t="s">
        <v>729</v>
      </c>
      <c r="E3754" s="11" t="str">
        <f t="array" ref="E3754">_xlfn.XLOOKUP(D3754,Insumos!B:B,Insumos!C:$C)</f>
        <v>M3</v>
      </c>
      <c r="F3754" s="14">
        <v>6.6E-3</v>
      </c>
      <c r="G3754" s="92">
        <f t="array" ref="G3754">IF(B3754="insumo",_xlfn.XLOOKUP($D3754,Insumos!$B$1:$B$996,Insumos!$D$1:$D$996),"")</f>
        <v>105.71</v>
      </c>
      <c r="H3754" s="92">
        <v>0.69768600000000003</v>
      </c>
      <c r="I3754" s="13">
        <v>0</v>
      </c>
      <c r="J3754" s="13">
        <v>0</v>
      </c>
      <c r="K3754" s="13"/>
      <c r="L3754"/>
      <c r="M3754"/>
      <c r="N3754"/>
      <c r="O3754"/>
      <c r="P3754"/>
      <c r="Q3754"/>
      <c r="R3754"/>
      <c r="S3754"/>
      <c r="T3754"/>
      <c r="U3754"/>
      <c r="V3754"/>
      <c r="W3754"/>
      <c r="X3754"/>
      <c r="Y3754"/>
      <c r="Z3754"/>
      <c r="AA3754"/>
      <c r="AB3754"/>
      <c r="AC3754"/>
      <c r="AD3754"/>
      <c r="AE3754"/>
      <c r="AF3754"/>
      <c r="AG3754"/>
      <c r="AH3754"/>
      <c r="AI3754"/>
      <c r="AJ3754"/>
      <c r="AK3754"/>
      <c r="AL3754"/>
    </row>
    <row r="3755" spans="1:38" ht="15.75" customHeight="1" outlineLevel="3" x14ac:dyDescent="0.2">
      <c r="A3755" s="10">
        <v>10</v>
      </c>
      <c r="B3755" s="10" t="s">
        <v>71</v>
      </c>
      <c r="C3755" s="10" t="s">
        <v>777</v>
      </c>
      <c r="D3755" s="10" t="s">
        <v>443</v>
      </c>
      <c r="E3755" s="11" t="str">
        <f t="array" ref="E3755">_xlfn.XLOOKUP(D3755,Insumos!B:B,Insumos!C:$C)</f>
        <v>M3</v>
      </c>
      <c r="F3755" s="14">
        <v>5.6800000000000003E-2</v>
      </c>
      <c r="G3755" s="92">
        <f t="array" ref="G3755">IF(B3755="insumo",_xlfn.XLOOKUP($D3755,Insumos!$B$1:$B$996,Insumos!$D$1:$D$996),"")</f>
        <v>145</v>
      </c>
      <c r="H3755" s="92">
        <v>8.2360000000000007</v>
      </c>
      <c r="I3755" s="13">
        <v>0</v>
      </c>
      <c r="J3755" s="13">
        <v>0</v>
      </c>
      <c r="K3755" s="13"/>
      <c r="L3755"/>
      <c r="M3755"/>
      <c r="N3755"/>
      <c r="O3755"/>
      <c r="P3755"/>
      <c r="Q3755"/>
      <c r="R3755"/>
      <c r="S3755"/>
      <c r="T3755"/>
      <c r="U3755"/>
      <c r="V3755"/>
      <c r="W3755"/>
      <c r="X3755"/>
      <c r="Y3755"/>
      <c r="Z3755"/>
      <c r="AA3755"/>
      <c r="AB3755"/>
      <c r="AC3755"/>
      <c r="AD3755"/>
      <c r="AE3755"/>
      <c r="AF3755"/>
      <c r="AG3755"/>
      <c r="AH3755"/>
      <c r="AI3755"/>
      <c r="AJ3755"/>
      <c r="AK3755"/>
      <c r="AL3755"/>
    </row>
    <row r="3756" spans="1:38" ht="15.75" customHeight="1" outlineLevel="1" x14ac:dyDescent="0.2">
      <c r="A3756" s="1090">
        <v>1</v>
      </c>
      <c r="B3756" s="1090" t="s">
        <v>1228</v>
      </c>
      <c r="C3756" s="1090" t="s">
        <v>777</v>
      </c>
      <c r="D3756" s="1090" t="s">
        <v>1468</v>
      </c>
      <c r="E3756" s="1091"/>
      <c r="F3756" s="1092"/>
      <c r="G3756" s="1091"/>
      <c r="H3756" s="1091">
        <v>0</v>
      </c>
      <c r="I3756" s="1092">
        <v>0</v>
      </c>
      <c r="J3756" s="1092">
        <v>0</v>
      </c>
      <c r="K3756" s="1092"/>
      <c r="L3756"/>
      <c r="M3756"/>
      <c r="N3756"/>
      <c r="O3756"/>
      <c r="P3756"/>
      <c r="Q3756"/>
      <c r="R3756"/>
      <c r="S3756"/>
      <c r="T3756"/>
      <c r="U3756"/>
      <c r="V3756"/>
      <c r="W3756"/>
      <c r="X3756"/>
      <c r="Y3756"/>
      <c r="Z3756"/>
      <c r="AA3756"/>
      <c r="AB3756"/>
      <c r="AC3756"/>
      <c r="AD3756"/>
      <c r="AE3756"/>
      <c r="AF3756"/>
      <c r="AG3756"/>
      <c r="AH3756"/>
      <c r="AI3756"/>
      <c r="AJ3756"/>
      <c r="AK3756"/>
      <c r="AL3756"/>
    </row>
    <row r="3757" spans="1:38" ht="15.75" customHeight="1" outlineLevel="2" x14ac:dyDescent="0.2">
      <c r="A3757" s="1067">
        <v>1</v>
      </c>
      <c r="B3757" s="1067" t="s">
        <v>68</v>
      </c>
      <c r="C3757" s="1067" t="s">
        <v>549</v>
      </c>
      <c r="D3757" s="1067" t="s">
        <v>549</v>
      </c>
      <c r="E3757" s="1068" t="s">
        <v>70</v>
      </c>
      <c r="F3757" s="1075"/>
      <c r="G3757" s="1069" t="str">
        <f t="array" ref="G3757">IF(B3757="insumo",_xlfn.XLOOKUP($D3757,Insumos!$B$1:$B$996,Insumos!$D$1:$D$996),"")</f>
        <v/>
      </c>
      <c r="H3757" s="1069">
        <v>60</v>
      </c>
      <c r="I3757" s="1070">
        <v>0</v>
      </c>
      <c r="J3757" s="1070">
        <v>0</v>
      </c>
      <c r="K3757" s="1070"/>
      <c r="L3757"/>
      <c r="M3757"/>
      <c r="N3757"/>
      <c r="O3757"/>
      <c r="P3757"/>
      <c r="Q3757"/>
      <c r="R3757"/>
      <c r="S3757"/>
      <c r="T3757"/>
      <c r="U3757"/>
      <c r="V3757"/>
      <c r="W3757"/>
      <c r="X3757"/>
      <c r="Y3757"/>
      <c r="Z3757"/>
      <c r="AA3757"/>
      <c r="AB3757"/>
      <c r="AC3757"/>
      <c r="AD3757"/>
      <c r="AE3757"/>
      <c r="AF3757"/>
      <c r="AG3757"/>
      <c r="AH3757"/>
      <c r="AI3757"/>
      <c r="AJ3757"/>
      <c r="AK3757"/>
      <c r="AL3757"/>
    </row>
    <row r="3758" spans="1:38" ht="15.75" customHeight="1" outlineLevel="3" x14ac:dyDescent="0.2">
      <c r="A3758" s="10">
        <v>1</v>
      </c>
      <c r="B3758" s="10" t="s">
        <v>71</v>
      </c>
      <c r="C3758" s="10" t="s">
        <v>549</v>
      </c>
      <c r="D3758" s="10" t="s">
        <v>549</v>
      </c>
      <c r="E3758" s="11" t="str">
        <f t="array" ref="E3758">_xlfn.XLOOKUP(D3758,Insumos!B:B,Insumos!C:$C)</f>
        <v>UN</v>
      </c>
      <c r="F3758" s="14">
        <v>1</v>
      </c>
      <c r="G3758" s="92">
        <f t="array" ref="G3758">IF(B3758="insumo",_xlfn.XLOOKUP($D3758,Insumos!$B$1:$B$996,Insumos!$D$1:$D$996),"")</f>
        <v>60</v>
      </c>
      <c r="H3758" s="92">
        <v>60</v>
      </c>
      <c r="I3758" s="13">
        <v>0</v>
      </c>
      <c r="J3758" s="13">
        <v>0</v>
      </c>
      <c r="K3758" s="13"/>
      <c r="L3758"/>
      <c r="M3758"/>
      <c r="N3758"/>
      <c r="O3758"/>
      <c r="P3758"/>
      <c r="Q3758"/>
      <c r="R3758"/>
      <c r="S3758"/>
      <c r="T3758"/>
      <c r="U3758"/>
      <c r="V3758"/>
      <c r="W3758"/>
      <c r="X3758"/>
      <c r="Y3758"/>
      <c r="Z3758"/>
      <c r="AA3758"/>
      <c r="AB3758"/>
      <c r="AC3758"/>
      <c r="AD3758"/>
      <c r="AE3758"/>
      <c r="AF3758"/>
      <c r="AG3758"/>
      <c r="AH3758"/>
      <c r="AI3758"/>
      <c r="AJ3758"/>
      <c r="AK3758"/>
      <c r="AL3758"/>
    </row>
    <row r="3759" spans="1:38" ht="15.75" customHeight="1" outlineLevel="2" x14ac:dyDescent="0.2">
      <c r="A3759" s="1067">
        <v>1</v>
      </c>
      <c r="B3759" s="1067" t="s">
        <v>68</v>
      </c>
      <c r="C3759" s="1067" t="s">
        <v>734</v>
      </c>
      <c r="D3759" s="1067" t="s">
        <v>734</v>
      </c>
      <c r="E3759" s="1068" t="s">
        <v>70</v>
      </c>
      <c r="F3759" s="1067"/>
      <c r="G3759" s="1069" t="str">
        <f t="array" ref="G3759">IF(B3759="insumo",_xlfn.XLOOKUP($D3759,Insumos!$B$1:$B$996,Insumos!$D$1:$D$996),"")</f>
        <v/>
      </c>
      <c r="H3759" s="1069">
        <v>40</v>
      </c>
      <c r="I3759" s="1070" t="e">
        <v>#REF!</v>
      </c>
      <c r="J3759" s="1070" t="e">
        <v>#REF!</v>
      </c>
      <c r="K3759" s="1070"/>
      <c r="L3759"/>
      <c r="M3759"/>
      <c r="N3759"/>
      <c r="O3759"/>
      <c r="P3759"/>
      <c r="Q3759"/>
      <c r="R3759"/>
      <c r="S3759"/>
      <c r="T3759"/>
      <c r="U3759"/>
      <c r="V3759"/>
      <c r="W3759"/>
      <c r="X3759"/>
      <c r="Y3759"/>
      <c r="Z3759"/>
      <c r="AA3759"/>
      <c r="AB3759"/>
      <c r="AC3759"/>
      <c r="AD3759"/>
      <c r="AE3759"/>
      <c r="AF3759"/>
      <c r="AG3759"/>
      <c r="AH3759"/>
      <c r="AI3759"/>
      <c r="AJ3759"/>
      <c r="AK3759"/>
      <c r="AL3759"/>
    </row>
    <row r="3760" spans="1:38" ht="15.75" customHeight="1" outlineLevel="3" x14ac:dyDescent="0.2">
      <c r="A3760" s="10">
        <v>1</v>
      </c>
      <c r="B3760" s="10" t="s">
        <v>71</v>
      </c>
      <c r="C3760" s="10" t="s">
        <v>734</v>
      </c>
      <c r="D3760" s="10" t="s">
        <v>734</v>
      </c>
      <c r="E3760" s="11" t="str">
        <f t="array" ref="E3760">_xlfn.XLOOKUP(D3760,Insumos!B:B,Insumos!C:$C)</f>
        <v>M2</v>
      </c>
      <c r="F3760" s="14">
        <v>1</v>
      </c>
      <c r="G3760" s="92">
        <f t="array" ref="G3760">IF(B3760="insumo",_xlfn.XLOOKUP($D3760,Insumos!$B$1:$B$996,Insumos!$D$1:$D$996),"")</f>
        <v>40</v>
      </c>
      <c r="H3760" s="92">
        <v>40</v>
      </c>
      <c r="I3760" s="13" t="e">
        <v>#REF!</v>
      </c>
      <c r="J3760" s="13" t="e">
        <v>#REF!</v>
      </c>
      <c r="K3760" s="13"/>
      <c r="L3760"/>
      <c r="M3760"/>
      <c r="N3760"/>
      <c r="O3760"/>
      <c r="P3760"/>
      <c r="Q3760"/>
      <c r="R3760"/>
      <c r="S3760"/>
      <c r="T3760"/>
      <c r="U3760"/>
      <c r="V3760"/>
      <c r="W3760"/>
      <c r="X3760"/>
      <c r="Y3760"/>
      <c r="Z3760"/>
      <c r="AA3760"/>
      <c r="AB3760"/>
      <c r="AC3760"/>
      <c r="AD3760"/>
      <c r="AE3760"/>
      <c r="AF3760"/>
      <c r="AG3760"/>
      <c r="AH3760"/>
      <c r="AI3760"/>
      <c r="AJ3760"/>
      <c r="AK3760"/>
      <c r="AL3760"/>
    </row>
    <row r="3761" spans="1:38" ht="15.75" customHeight="1" outlineLevel="2" x14ac:dyDescent="0.2">
      <c r="A3761" s="1067">
        <v>1</v>
      </c>
      <c r="B3761" s="1067" t="s">
        <v>68</v>
      </c>
      <c r="C3761" s="1067" t="s">
        <v>735</v>
      </c>
      <c r="D3761" s="1067" t="s">
        <v>735</v>
      </c>
      <c r="E3761" s="1068" t="s">
        <v>70</v>
      </c>
      <c r="F3761" s="1075"/>
      <c r="G3761" s="1069" t="str">
        <f t="array" ref="G3761">IF(B3761="insumo",_xlfn.XLOOKUP($D3761,Insumos!$B$1:$B$996,Insumos!$D$1:$D$996),"")</f>
        <v/>
      </c>
      <c r="H3761" s="1069">
        <v>40</v>
      </c>
      <c r="I3761" s="1070" t="e">
        <v>#REF!</v>
      </c>
      <c r="J3761" s="1070" t="e">
        <v>#REF!</v>
      </c>
      <c r="K3761" s="1070"/>
      <c r="L3761"/>
      <c r="M3761"/>
      <c r="N3761"/>
      <c r="O3761"/>
      <c r="P3761"/>
      <c r="Q3761"/>
      <c r="R3761"/>
      <c r="S3761"/>
      <c r="T3761"/>
      <c r="U3761"/>
      <c r="V3761"/>
      <c r="W3761"/>
      <c r="X3761"/>
      <c r="Y3761"/>
      <c r="Z3761"/>
      <c r="AA3761"/>
      <c r="AB3761"/>
      <c r="AC3761"/>
      <c r="AD3761"/>
      <c r="AE3761"/>
      <c r="AF3761"/>
      <c r="AG3761"/>
      <c r="AH3761"/>
      <c r="AI3761"/>
      <c r="AJ3761"/>
      <c r="AK3761"/>
      <c r="AL3761"/>
    </row>
    <row r="3762" spans="1:38" ht="15.75" customHeight="1" outlineLevel="3" x14ac:dyDescent="0.2">
      <c r="A3762" s="10">
        <v>1</v>
      </c>
      <c r="B3762" s="10" t="s">
        <v>71</v>
      </c>
      <c r="C3762" s="10" t="s">
        <v>735</v>
      </c>
      <c r="D3762" s="10" t="s">
        <v>735</v>
      </c>
      <c r="E3762" s="11" t="str">
        <f t="array" ref="E3762">_xlfn.XLOOKUP(D3762,Insumos!B:B,Insumos!C:$C)</f>
        <v>M2</v>
      </c>
      <c r="F3762" s="14">
        <v>1</v>
      </c>
      <c r="G3762" s="92">
        <f t="array" ref="G3762">IF(B3762="insumo",_xlfn.XLOOKUP($D3762,Insumos!$B$1:$B$996,Insumos!$D$1:$D$996),"")</f>
        <v>40</v>
      </c>
      <c r="H3762" s="92">
        <v>40</v>
      </c>
      <c r="I3762" s="13" t="e">
        <v>#REF!</v>
      </c>
      <c r="J3762" s="13" t="e">
        <v>#REF!</v>
      </c>
      <c r="K3762" s="13"/>
      <c r="L3762"/>
      <c r="M3762"/>
      <c r="N3762"/>
      <c r="O3762"/>
      <c r="P3762"/>
      <c r="Q3762"/>
      <c r="R3762"/>
      <c r="S3762"/>
      <c r="T3762"/>
      <c r="U3762"/>
      <c r="V3762"/>
      <c r="W3762"/>
      <c r="X3762"/>
      <c r="Y3762"/>
      <c r="Z3762"/>
      <c r="AA3762"/>
      <c r="AB3762"/>
      <c r="AC3762"/>
      <c r="AD3762"/>
      <c r="AE3762"/>
      <c r="AF3762"/>
      <c r="AG3762"/>
      <c r="AH3762"/>
      <c r="AI3762"/>
      <c r="AJ3762"/>
      <c r="AK3762"/>
      <c r="AL3762"/>
    </row>
    <row r="3763" spans="1:38" ht="15.75" customHeight="1" outlineLevel="2" x14ac:dyDescent="0.2">
      <c r="A3763" s="1067">
        <v>1</v>
      </c>
      <c r="B3763" s="1067" t="s">
        <v>68</v>
      </c>
      <c r="C3763" s="1067" t="s">
        <v>736</v>
      </c>
      <c r="D3763" s="1067" t="s">
        <v>736</v>
      </c>
      <c r="E3763" s="1068" t="s">
        <v>70</v>
      </c>
      <c r="F3763" s="1075"/>
      <c r="G3763" s="1069" t="str">
        <f t="array" ref="G3763">IF(B3763="insumo",_xlfn.XLOOKUP($D3763,Insumos!$B$1:$B$996,Insumos!$D$1:$D$996),"")</f>
        <v/>
      </c>
      <c r="H3763" s="1069">
        <v>40</v>
      </c>
      <c r="I3763" s="1070">
        <v>0</v>
      </c>
      <c r="J3763" s="1070">
        <v>0</v>
      </c>
      <c r="K3763" s="1070"/>
      <c r="L3763"/>
      <c r="M3763"/>
      <c r="N3763"/>
      <c r="O3763"/>
      <c r="P3763"/>
      <c r="Q3763"/>
      <c r="R3763"/>
      <c r="S3763"/>
      <c r="T3763"/>
      <c r="U3763"/>
      <c r="V3763"/>
      <c r="W3763"/>
      <c r="X3763"/>
      <c r="Y3763"/>
      <c r="Z3763"/>
      <c r="AA3763"/>
      <c r="AB3763"/>
      <c r="AC3763"/>
      <c r="AD3763"/>
      <c r="AE3763"/>
      <c r="AF3763"/>
      <c r="AG3763"/>
      <c r="AH3763"/>
      <c r="AI3763"/>
      <c r="AJ3763"/>
      <c r="AK3763"/>
      <c r="AL3763"/>
    </row>
    <row r="3764" spans="1:38" ht="15.75" customHeight="1" outlineLevel="3" x14ac:dyDescent="0.2">
      <c r="A3764" s="10">
        <v>1</v>
      </c>
      <c r="B3764" s="10" t="s">
        <v>71</v>
      </c>
      <c r="C3764" s="10" t="s">
        <v>736</v>
      </c>
      <c r="D3764" s="10" t="s">
        <v>736</v>
      </c>
      <c r="E3764" s="11" t="str">
        <f t="array" ref="E3764">_xlfn.XLOOKUP(D3764,Insumos!B:B,Insumos!C:$C)</f>
        <v>M2</v>
      </c>
      <c r="F3764" s="14">
        <v>1</v>
      </c>
      <c r="G3764" s="92">
        <f t="array" ref="G3764">IF(B3764="insumo",_xlfn.XLOOKUP($D3764,Insumos!$B$1:$B$996,Insumos!$D$1:$D$996),"")</f>
        <v>40</v>
      </c>
      <c r="H3764" s="92">
        <v>40</v>
      </c>
      <c r="I3764" s="13">
        <v>0</v>
      </c>
      <c r="J3764" s="13">
        <v>0</v>
      </c>
      <c r="K3764" s="13"/>
      <c r="L3764"/>
      <c r="M3764"/>
      <c r="N3764"/>
      <c r="O3764"/>
      <c r="P3764"/>
      <c r="Q3764"/>
      <c r="R3764"/>
      <c r="S3764"/>
      <c r="T3764"/>
      <c r="U3764"/>
      <c r="V3764"/>
      <c r="W3764"/>
      <c r="X3764"/>
      <c r="Y3764"/>
      <c r="Z3764"/>
      <c r="AA3764"/>
      <c r="AB3764"/>
      <c r="AC3764"/>
      <c r="AD3764"/>
      <c r="AE3764"/>
      <c r="AF3764"/>
      <c r="AG3764"/>
      <c r="AH3764"/>
      <c r="AI3764"/>
      <c r="AJ3764"/>
      <c r="AK3764"/>
      <c r="AL3764"/>
    </row>
    <row r="3765" spans="1:38" ht="15.75" customHeight="1" outlineLevel="2" x14ac:dyDescent="0.2">
      <c r="A3765" s="1067">
        <v>1</v>
      </c>
      <c r="B3765" s="1067" t="s">
        <v>68</v>
      </c>
      <c r="C3765" s="1067" t="s">
        <v>737</v>
      </c>
      <c r="D3765" s="1067" t="s">
        <v>737</v>
      </c>
      <c r="E3765" s="1068" t="s">
        <v>70</v>
      </c>
      <c r="F3765" s="1075"/>
      <c r="G3765" s="1069" t="str">
        <f t="array" ref="G3765">IF(B3765="insumo",_xlfn.XLOOKUP($D3765,Insumos!$B$1:$B$996,Insumos!$D$1:$D$996),"")</f>
        <v/>
      </c>
      <c r="H3765" s="1069">
        <v>40</v>
      </c>
      <c r="I3765" s="1070" t="e">
        <v>#REF!</v>
      </c>
      <c r="J3765" s="1070" t="e">
        <v>#REF!</v>
      </c>
      <c r="K3765" s="1070"/>
      <c r="L3765"/>
      <c r="M3765"/>
      <c r="N3765"/>
      <c r="O3765"/>
      <c r="P3765"/>
      <c r="Q3765"/>
      <c r="R3765"/>
      <c r="S3765"/>
      <c r="T3765"/>
      <c r="U3765"/>
      <c r="V3765"/>
      <c r="W3765"/>
      <c r="X3765"/>
      <c r="Y3765"/>
      <c r="Z3765"/>
      <c r="AA3765"/>
      <c r="AB3765"/>
      <c r="AC3765"/>
      <c r="AD3765"/>
      <c r="AE3765"/>
      <c r="AF3765"/>
      <c r="AG3765"/>
      <c r="AH3765"/>
      <c r="AI3765"/>
      <c r="AJ3765"/>
      <c r="AK3765"/>
      <c r="AL3765"/>
    </row>
    <row r="3766" spans="1:38" ht="15.75" customHeight="1" outlineLevel="3" x14ac:dyDescent="0.2">
      <c r="A3766" s="10">
        <v>1</v>
      </c>
      <c r="B3766" s="10" t="s">
        <v>71</v>
      </c>
      <c r="C3766" s="10" t="s">
        <v>737</v>
      </c>
      <c r="D3766" s="10" t="s">
        <v>737</v>
      </c>
      <c r="E3766" s="11" t="str">
        <f t="array" ref="E3766">_xlfn.XLOOKUP(D3766,Insumos!B:B,Insumos!C:$C)</f>
        <v>M2</v>
      </c>
      <c r="F3766" s="14">
        <v>1</v>
      </c>
      <c r="G3766" s="92">
        <f t="array" ref="G3766">IF(B3766="insumo",_xlfn.XLOOKUP($D3766,Insumos!$B$1:$B$996,Insumos!$D$1:$D$996),"")</f>
        <v>40</v>
      </c>
      <c r="H3766" s="92">
        <v>40</v>
      </c>
      <c r="I3766" s="13" t="e">
        <v>#REF!</v>
      </c>
      <c r="J3766" s="13" t="e">
        <v>#REF!</v>
      </c>
      <c r="K3766" s="13"/>
      <c r="L3766"/>
      <c r="M3766"/>
      <c r="N3766"/>
      <c r="O3766"/>
      <c r="P3766"/>
      <c r="Q3766"/>
      <c r="R3766"/>
      <c r="S3766"/>
      <c r="T3766"/>
      <c r="U3766"/>
      <c r="V3766"/>
      <c r="W3766"/>
      <c r="X3766"/>
      <c r="Y3766"/>
      <c r="Z3766"/>
      <c r="AA3766"/>
      <c r="AB3766"/>
      <c r="AC3766"/>
      <c r="AD3766"/>
      <c r="AE3766"/>
      <c r="AF3766"/>
      <c r="AG3766"/>
      <c r="AH3766"/>
      <c r="AI3766"/>
      <c r="AJ3766"/>
      <c r="AK3766"/>
      <c r="AL3766"/>
    </row>
    <row r="3767" spans="1:38" ht="15.75" customHeight="1" outlineLevel="1" x14ac:dyDescent="0.2">
      <c r="A3767" s="1090">
        <v>1</v>
      </c>
      <c r="B3767" s="1090" t="s">
        <v>1228</v>
      </c>
      <c r="C3767" s="1090" t="s">
        <v>737</v>
      </c>
      <c r="D3767" s="1090" t="s">
        <v>1469</v>
      </c>
      <c r="E3767" s="1091"/>
      <c r="F3767" s="1092"/>
      <c r="G3767" s="1091"/>
      <c r="H3767" s="1091">
        <v>0</v>
      </c>
      <c r="I3767" s="1092">
        <v>0</v>
      </c>
      <c r="J3767" s="1092">
        <v>0</v>
      </c>
      <c r="K3767" s="1092"/>
      <c r="L3767"/>
      <c r="M3767"/>
      <c r="N3767"/>
      <c r="O3767"/>
      <c r="P3767"/>
      <c r="Q3767"/>
      <c r="R3767"/>
      <c r="S3767"/>
      <c r="T3767"/>
      <c r="U3767"/>
      <c r="V3767"/>
      <c r="W3767"/>
      <c r="X3767"/>
      <c r="Y3767"/>
      <c r="Z3767"/>
      <c r="AA3767"/>
      <c r="AB3767"/>
      <c r="AC3767"/>
      <c r="AD3767"/>
      <c r="AE3767"/>
      <c r="AF3767"/>
      <c r="AG3767"/>
      <c r="AH3767"/>
      <c r="AI3767"/>
      <c r="AJ3767"/>
      <c r="AK3767"/>
      <c r="AL3767"/>
    </row>
    <row r="3768" spans="1:38" ht="15.75" customHeight="1" outlineLevel="2" x14ac:dyDescent="0.2">
      <c r="A3768" s="1067">
        <v>1</v>
      </c>
      <c r="B3768" s="1067" t="s">
        <v>68</v>
      </c>
      <c r="C3768" s="1067" t="s">
        <v>739</v>
      </c>
      <c r="D3768" s="1067" t="s">
        <v>739</v>
      </c>
      <c r="E3768" s="1068" t="s">
        <v>70</v>
      </c>
      <c r="F3768" s="1075"/>
      <c r="G3768" s="1069" t="str">
        <f t="array" ref="G3768">IF(B3768="insumo",_xlfn.XLOOKUP($D3768,Insumos!$B$1:$B$996,Insumos!$D$1:$D$996),"")</f>
        <v/>
      </c>
      <c r="H3768" s="1069">
        <v>25</v>
      </c>
      <c r="I3768" s="1070">
        <v>0</v>
      </c>
      <c r="J3768" s="1070">
        <v>0</v>
      </c>
      <c r="K3768" s="1070"/>
      <c r="L3768"/>
      <c r="M3768"/>
      <c r="N3768"/>
      <c r="O3768"/>
      <c r="P3768"/>
      <c r="Q3768"/>
      <c r="R3768"/>
      <c r="S3768"/>
      <c r="T3768"/>
      <c r="U3768"/>
      <c r="V3768"/>
      <c r="W3768"/>
      <c r="X3768"/>
      <c r="Y3768"/>
      <c r="Z3768"/>
      <c r="AA3768"/>
      <c r="AB3768"/>
      <c r="AC3768"/>
      <c r="AD3768"/>
      <c r="AE3768"/>
      <c r="AF3768"/>
      <c r="AG3768"/>
      <c r="AH3768"/>
      <c r="AI3768"/>
      <c r="AJ3768"/>
      <c r="AK3768"/>
      <c r="AL3768"/>
    </row>
    <row r="3769" spans="1:38" ht="15.75" customHeight="1" outlineLevel="3" x14ac:dyDescent="0.2">
      <c r="A3769" s="10">
        <v>1</v>
      </c>
      <c r="B3769" s="10" t="s">
        <v>71</v>
      </c>
      <c r="C3769" s="10" t="s">
        <v>739</v>
      </c>
      <c r="D3769" s="10" t="s">
        <v>739</v>
      </c>
      <c r="E3769" s="11" t="str">
        <f t="array" ref="E3769">_xlfn.XLOOKUP(D3769,Insumos!B:B,Insumos!C:$C)</f>
        <v>UN</v>
      </c>
      <c r="F3769" s="14">
        <v>1</v>
      </c>
      <c r="G3769" s="92">
        <f t="array" ref="G3769">IF(B3769="insumo",_xlfn.XLOOKUP($D3769,Insumos!$B$1:$B$996,Insumos!$D$1:$D$996),"")</f>
        <v>25</v>
      </c>
      <c r="H3769" s="92">
        <v>25</v>
      </c>
      <c r="I3769" s="13">
        <v>0</v>
      </c>
      <c r="J3769" s="13">
        <v>0</v>
      </c>
      <c r="K3769" s="13"/>
      <c r="L3769"/>
      <c r="M3769"/>
      <c r="N3769"/>
      <c r="O3769"/>
      <c r="P3769"/>
      <c r="Q3769"/>
      <c r="R3769"/>
      <c r="S3769"/>
      <c r="T3769"/>
      <c r="U3769"/>
      <c r="V3769"/>
      <c r="W3769"/>
      <c r="X3769"/>
      <c r="Y3769"/>
      <c r="Z3769"/>
      <c r="AA3769"/>
      <c r="AB3769"/>
      <c r="AC3769"/>
      <c r="AD3769"/>
      <c r="AE3769"/>
      <c r="AF3769"/>
      <c r="AG3769"/>
      <c r="AH3769"/>
      <c r="AI3769"/>
      <c r="AJ3769"/>
      <c r="AK3769"/>
      <c r="AL3769"/>
    </row>
    <row r="3770" spans="1:38" ht="15.75" customHeight="1" outlineLevel="2" x14ac:dyDescent="0.2">
      <c r="A3770" s="1067">
        <v>1</v>
      </c>
      <c r="B3770" s="1067" t="s">
        <v>68</v>
      </c>
      <c r="C3770" s="1067" t="s">
        <v>740</v>
      </c>
      <c r="D3770" s="1067" t="s">
        <v>740</v>
      </c>
      <c r="E3770" s="1068" t="s">
        <v>70</v>
      </c>
      <c r="F3770" s="1075"/>
      <c r="G3770" s="1069" t="str">
        <f t="array" ref="G3770">IF(B3770="insumo",_xlfn.XLOOKUP($D3770,Insumos!$B$1:$B$996,Insumos!$D$1:$D$996),"")</f>
        <v/>
      </c>
      <c r="H3770" s="1069">
        <v>25</v>
      </c>
      <c r="I3770" s="1070">
        <v>0</v>
      </c>
      <c r="J3770" s="1070">
        <v>0</v>
      </c>
      <c r="K3770" s="1070"/>
      <c r="L3770"/>
      <c r="M3770"/>
      <c r="N3770"/>
      <c r="O3770"/>
      <c r="P3770"/>
      <c r="Q3770"/>
      <c r="R3770"/>
      <c r="S3770"/>
      <c r="T3770"/>
      <c r="U3770"/>
      <c r="V3770"/>
      <c r="W3770"/>
      <c r="X3770"/>
      <c r="Y3770"/>
      <c r="Z3770"/>
      <c r="AA3770"/>
      <c r="AB3770"/>
      <c r="AC3770"/>
      <c r="AD3770"/>
      <c r="AE3770"/>
      <c r="AF3770"/>
      <c r="AG3770"/>
      <c r="AH3770"/>
      <c r="AI3770"/>
      <c r="AJ3770"/>
      <c r="AK3770"/>
      <c r="AL3770"/>
    </row>
    <row r="3771" spans="1:38" ht="15.75" customHeight="1" outlineLevel="3" x14ac:dyDescent="0.2">
      <c r="A3771" s="10">
        <v>1</v>
      </c>
      <c r="B3771" s="10" t="s">
        <v>71</v>
      </c>
      <c r="C3771" s="10" t="s">
        <v>740</v>
      </c>
      <c r="D3771" s="10" t="s">
        <v>740</v>
      </c>
      <c r="E3771" s="11" t="str">
        <f t="array" ref="E3771">_xlfn.XLOOKUP(D3771,Insumos!B:B,Insumos!C:$C)</f>
        <v>UN</v>
      </c>
      <c r="F3771" s="14">
        <v>1</v>
      </c>
      <c r="G3771" s="92">
        <f t="array" ref="G3771">IF(B3771="insumo",_xlfn.XLOOKUP($D3771,Insumos!$B$1:$B$996,Insumos!$D$1:$D$996),"")</f>
        <v>25</v>
      </c>
      <c r="H3771" s="92">
        <v>25</v>
      </c>
      <c r="I3771" s="13">
        <v>0</v>
      </c>
      <c r="J3771" s="13">
        <v>0</v>
      </c>
      <c r="K3771" s="13"/>
      <c r="L3771"/>
      <c r="M3771"/>
      <c r="N3771"/>
      <c r="O3771"/>
      <c r="P3771"/>
      <c r="Q3771"/>
      <c r="R3771"/>
      <c r="S3771"/>
      <c r="T3771"/>
      <c r="U3771"/>
      <c r="V3771"/>
      <c r="W3771"/>
      <c r="X3771"/>
      <c r="Y3771"/>
      <c r="Z3771"/>
      <c r="AA3771"/>
      <c r="AB3771"/>
      <c r="AC3771"/>
      <c r="AD3771"/>
      <c r="AE3771"/>
      <c r="AF3771"/>
      <c r="AG3771"/>
      <c r="AH3771"/>
      <c r="AI3771"/>
      <c r="AJ3771"/>
      <c r="AK3771"/>
      <c r="AL3771"/>
    </row>
    <row r="3772" spans="1:38" ht="15.75" customHeight="1" outlineLevel="2" x14ac:dyDescent="0.2">
      <c r="A3772" s="1067">
        <v>1</v>
      </c>
      <c r="B3772" s="1067" t="s">
        <v>68</v>
      </c>
      <c r="C3772" s="1067" t="s">
        <v>741</v>
      </c>
      <c r="D3772" s="1067" t="s">
        <v>741</v>
      </c>
      <c r="E3772" s="1068" t="s">
        <v>70</v>
      </c>
      <c r="F3772" s="1075"/>
      <c r="G3772" s="1069" t="str">
        <f t="array" ref="G3772">IF(B3772="insumo",_xlfn.XLOOKUP($D3772,Insumos!$B$1:$B$996,Insumos!$D$1:$D$996),"")</f>
        <v/>
      </c>
      <c r="H3772" s="1069">
        <v>25</v>
      </c>
      <c r="I3772" s="1070" t="e">
        <v>#REF!</v>
      </c>
      <c r="J3772" s="1070" t="e">
        <v>#REF!</v>
      </c>
      <c r="K3772" s="1070"/>
      <c r="L3772"/>
      <c r="M3772"/>
      <c r="N3772"/>
      <c r="O3772"/>
      <c r="P3772"/>
      <c r="Q3772"/>
      <c r="R3772"/>
      <c r="S3772"/>
      <c r="T3772"/>
      <c r="U3772"/>
      <c r="V3772"/>
      <c r="W3772"/>
      <c r="X3772"/>
      <c r="Y3772"/>
      <c r="Z3772"/>
      <c r="AA3772"/>
      <c r="AB3772"/>
      <c r="AC3772"/>
      <c r="AD3772"/>
      <c r="AE3772"/>
      <c r="AF3772"/>
      <c r="AG3772"/>
      <c r="AH3772"/>
      <c r="AI3772"/>
      <c r="AJ3772"/>
      <c r="AK3772"/>
      <c r="AL3772"/>
    </row>
    <row r="3773" spans="1:38" ht="15.75" customHeight="1" outlineLevel="3" x14ac:dyDescent="0.2">
      <c r="A3773" s="10">
        <v>1</v>
      </c>
      <c r="B3773" s="10" t="s">
        <v>71</v>
      </c>
      <c r="C3773" s="10" t="s">
        <v>741</v>
      </c>
      <c r="D3773" s="10" t="s">
        <v>741</v>
      </c>
      <c r="E3773" s="11" t="str">
        <f t="array" ref="E3773">_xlfn.XLOOKUP(D3773,Insumos!B:B,Insumos!C:$C)</f>
        <v>M2</v>
      </c>
      <c r="F3773" s="14">
        <v>1</v>
      </c>
      <c r="G3773" s="92">
        <f t="array" ref="G3773">IF(B3773="insumo",_xlfn.XLOOKUP($D3773,Insumos!$B$1:$B$996,Insumos!$D$1:$D$996),"")</f>
        <v>25</v>
      </c>
      <c r="H3773" s="92">
        <v>25</v>
      </c>
      <c r="I3773" s="13" t="e">
        <v>#REF!</v>
      </c>
      <c r="J3773" s="13" t="e">
        <v>#REF!</v>
      </c>
      <c r="K3773" s="13"/>
      <c r="L3773"/>
      <c r="M3773"/>
      <c r="N3773"/>
      <c r="O3773"/>
      <c r="P3773"/>
      <c r="Q3773"/>
      <c r="R3773"/>
      <c r="S3773"/>
      <c r="T3773"/>
      <c r="U3773"/>
      <c r="V3773"/>
      <c r="W3773"/>
      <c r="X3773"/>
      <c r="Y3773"/>
      <c r="Z3773"/>
      <c r="AA3773"/>
      <c r="AB3773"/>
      <c r="AC3773"/>
      <c r="AD3773"/>
      <c r="AE3773"/>
      <c r="AF3773"/>
      <c r="AG3773"/>
      <c r="AH3773"/>
      <c r="AI3773"/>
      <c r="AJ3773"/>
      <c r="AK3773"/>
      <c r="AL3773"/>
    </row>
    <row r="3774" spans="1:38" ht="15.75" customHeight="1" outlineLevel="1" x14ac:dyDescent="0.2">
      <c r="A3774" s="1090">
        <v>1</v>
      </c>
      <c r="B3774" s="1090" t="s">
        <v>1228</v>
      </c>
      <c r="C3774" s="1090" t="s">
        <v>741</v>
      </c>
      <c r="D3774" s="1090" t="s">
        <v>1404</v>
      </c>
      <c r="E3774" s="1091"/>
      <c r="F3774" s="1092"/>
      <c r="G3774" s="1091"/>
      <c r="H3774" s="1091">
        <v>0</v>
      </c>
      <c r="I3774" s="1092">
        <v>0</v>
      </c>
      <c r="J3774" s="1092">
        <v>0</v>
      </c>
      <c r="K3774" s="1092"/>
      <c r="L3774"/>
      <c r="M3774"/>
      <c r="N3774"/>
      <c r="O3774"/>
      <c r="P3774"/>
      <c r="Q3774"/>
      <c r="R3774"/>
      <c r="S3774"/>
      <c r="T3774"/>
      <c r="U3774"/>
      <c r="V3774"/>
      <c r="W3774"/>
      <c r="X3774"/>
      <c r="Y3774"/>
      <c r="Z3774"/>
      <c r="AA3774"/>
      <c r="AB3774"/>
      <c r="AC3774"/>
      <c r="AD3774"/>
      <c r="AE3774"/>
      <c r="AF3774"/>
      <c r="AG3774"/>
      <c r="AH3774"/>
      <c r="AI3774"/>
      <c r="AJ3774"/>
      <c r="AK3774"/>
      <c r="AL3774"/>
    </row>
    <row r="3775" spans="1:38" ht="15.75" customHeight="1" outlineLevel="2" x14ac:dyDescent="0.2">
      <c r="A3775" s="1067">
        <v>1</v>
      </c>
      <c r="B3775" s="1067" t="s">
        <v>68</v>
      </c>
      <c r="C3775" s="1067" t="s">
        <v>738</v>
      </c>
      <c r="D3775" s="1067" t="s">
        <v>738</v>
      </c>
      <c r="E3775" s="1068" t="s">
        <v>70</v>
      </c>
      <c r="F3775" s="1075"/>
      <c r="G3775" s="1069" t="str">
        <f t="array" ref="G3775">IF(B3775="insumo",_xlfn.XLOOKUP($D3775,Insumos!$B$1:$B$996,Insumos!$D$1:$D$996),"")</f>
        <v/>
      </c>
      <c r="H3775" s="1069">
        <v>75</v>
      </c>
      <c r="I3775" s="1070" t="e">
        <v>#REF!</v>
      </c>
      <c r="J3775" s="1070" t="e">
        <v>#REF!</v>
      </c>
      <c r="K3775" s="1070"/>
      <c r="L3775"/>
      <c r="M3775"/>
      <c r="N3775"/>
      <c r="O3775"/>
      <c r="P3775"/>
      <c r="Q3775"/>
      <c r="R3775"/>
      <c r="S3775"/>
      <c r="T3775"/>
      <c r="U3775"/>
      <c r="V3775"/>
      <c r="W3775"/>
      <c r="X3775"/>
      <c r="Y3775"/>
      <c r="Z3775"/>
      <c r="AA3775"/>
      <c r="AB3775"/>
      <c r="AC3775"/>
      <c r="AD3775"/>
      <c r="AE3775"/>
      <c r="AF3775"/>
      <c r="AG3775"/>
      <c r="AH3775"/>
      <c r="AI3775"/>
      <c r="AJ3775"/>
      <c r="AK3775"/>
      <c r="AL3775"/>
    </row>
    <row r="3776" spans="1:38" ht="15.75" customHeight="1" outlineLevel="3" x14ac:dyDescent="0.2">
      <c r="A3776" s="10">
        <v>1</v>
      </c>
      <c r="B3776" s="10" t="s">
        <v>71</v>
      </c>
      <c r="C3776" s="10" t="s">
        <v>738</v>
      </c>
      <c r="D3776" s="10" t="s">
        <v>738</v>
      </c>
      <c r="E3776" s="11" t="str">
        <f t="array" ref="E3776">_xlfn.XLOOKUP(D3776,Insumos!B:B,Insumos!C:$C)</f>
        <v>UN</v>
      </c>
      <c r="F3776" s="14">
        <v>1</v>
      </c>
      <c r="G3776" s="92">
        <f t="array" ref="G3776">IF(B3776="insumo",_xlfn.XLOOKUP($D3776,Insumos!$B$1:$B$996,Insumos!$D$1:$D$996),"")</f>
        <v>75</v>
      </c>
      <c r="H3776" s="92">
        <v>75</v>
      </c>
      <c r="I3776" s="13" t="e">
        <v>#REF!</v>
      </c>
      <c r="J3776" s="13" t="e">
        <v>#REF!</v>
      </c>
      <c r="K3776" s="13"/>
      <c r="L3776"/>
      <c r="M3776"/>
      <c r="N3776"/>
      <c r="O3776"/>
      <c r="P3776"/>
      <c r="Q3776"/>
      <c r="R3776"/>
      <c r="S3776"/>
      <c r="T3776"/>
      <c r="U3776"/>
      <c r="V3776"/>
      <c r="W3776"/>
      <c r="X3776"/>
      <c r="Y3776"/>
      <c r="Z3776"/>
      <c r="AA3776"/>
      <c r="AB3776"/>
      <c r="AC3776"/>
      <c r="AD3776"/>
      <c r="AE3776"/>
      <c r="AF3776"/>
      <c r="AG3776"/>
      <c r="AH3776"/>
      <c r="AI3776"/>
      <c r="AJ3776"/>
      <c r="AK3776"/>
      <c r="AL3776"/>
    </row>
    <row r="3777" spans="1:38" ht="15.75" customHeight="1" outlineLevel="2" x14ac:dyDescent="0.2">
      <c r="A3777" s="1067">
        <v>1</v>
      </c>
      <c r="B3777" s="1067" t="s">
        <v>68</v>
      </c>
      <c r="C3777" s="1067" t="s">
        <v>742</v>
      </c>
      <c r="D3777" s="1067" t="s">
        <v>742</v>
      </c>
      <c r="E3777" s="1068" t="s">
        <v>70</v>
      </c>
      <c r="F3777" s="1075"/>
      <c r="G3777" s="1069" t="str">
        <f t="array" ref="G3777">IF(B3777="insumo",_xlfn.XLOOKUP($D3777,Insumos!$B$1:$B$996,Insumos!$D$1:$D$996),"")</f>
        <v/>
      </c>
      <c r="H3777" s="1069">
        <v>22</v>
      </c>
      <c r="I3777" s="1070">
        <v>0</v>
      </c>
      <c r="J3777" s="1070">
        <v>0</v>
      </c>
      <c r="K3777" s="1070"/>
      <c r="L3777"/>
      <c r="M3777"/>
      <c r="N3777"/>
      <c r="O3777"/>
      <c r="P3777"/>
      <c r="Q3777"/>
      <c r="R3777"/>
      <c r="S3777"/>
      <c r="T3777"/>
      <c r="U3777"/>
      <c r="V3777"/>
      <c r="W3777"/>
      <c r="X3777"/>
      <c r="Y3777"/>
      <c r="Z3777"/>
      <c r="AA3777"/>
      <c r="AB3777"/>
      <c r="AC3777"/>
      <c r="AD3777"/>
      <c r="AE3777"/>
      <c r="AF3777"/>
      <c r="AG3777"/>
      <c r="AH3777"/>
      <c r="AI3777"/>
      <c r="AJ3777"/>
      <c r="AK3777"/>
      <c r="AL3777"/>
    </row>
    <row r="3778" spans="1:38" ht="15.75" customHeight="1" outlineLevel="3" x14ac:dyDescent="0.2">
      <c r="A3778" s="10">
        <v>1</v>
      </c>
      <c r="B3778" s="10" t="s">
        <v>71</v>
      </c>
      <c r="C3778" s="10" t="s">
        <v>742</v>
      </c>
      <c r="D3778" s="10" t="s">
        <v>742</v>
      </c>
      <c r="E3778" s="11" t="str">
        <f t="array" ref="E3778">_xlfn.XLOOKUP(D3778,Insumos!B:B,Insumos!C:$C)</f>
        <v>UN</v>
      </c>
      <c r="F3778" s="14">
        <v>1</v>
      </c>
      <c r="G3778" s="92">
        <f t="array" ref="G3778">IF(B3778="insumo",_xlfn.XLOOKUP($D3778,Insumos!$B$1:$B$996,Insumos!$D$1:$D$996),"")</f>
        <v>22</v>
      </c>
      <c r="H3778" s="92">
        <v>22</v>
      </c>
      <c r="I3778" s="13">
        <v>0</v>
      </c>
      <c r="J3778" s="13">
        <v>0</v>
      </c>
      <c r="K3778" s="13"/>
      <c r="L3778"/>
      <c r="M3778"/>
      <c r="N3778"/>
      <c r="O3778"/>
      <c r="P3778"/>
      <c r="Q3778"/>
      <c r="R3778"/>
      <c r="S3778"/>
      <c r="T3778"/>
      <c r="U3778"/>
      <c r="V3778"/>
      <c r="W3778"/>
      <c r="X3778"/>
      <c r="Y3778"/>
      <c r="Z3778"/>
      <c r="AA3778"/>
      <c r="AB3778"/>
      <c r="AC3778"/>
      <c r="AD3778"/>
      <c r="AE3778"/>
      <c r="AF3778"/>
      <c r="AG3778"/>
      <c r="AH3778"/>
      <c r="AI3778"/>
      <c r="AJ3778"/>
      <c r="AK3778"/>
      <c r="AL3778"/>
    </row>
    <row r="3779" spans="1:38" ht="15.75" customHeight="1" outlineLevel="2" x14ac:dyDescent="0.2">
      <c r="A3779" s="1067">
        <v>1</v>
      </c>
      <c r="B3779" s="1067" t="s">
        <v>68</v>
      </c>
      <c r="C3779" s="1067" t="s">
        <v>3059</v>
      </c>
      <c r="D3779" s="1067" t="s">
        <v>3059</v>
      </c>
      <c r="E3779" s="1068" t="s">
        <v>70</v>
      </c>
      <c r="F3779" s="1075"/>
      <c r="G3779" s="1069" t="str">
        <f t="array" ref="G3779">IF(B3779="insumo",_xlfn.XLOOKUP($D3779,Insumos!$B$1:$B$996,Insumos!$D$1:$D$996),"")</f>
        <v/>
      </c>
      <c r="H3779" s="1069">
        <v>85</v>
      </c>
      <c r="I3779" s="1070" t="e">
        <v>#REF!</v>
      </c>
      <c r="J3779" s="1070" t="e">
        <v>#REF!</v>
      </c>
      <c r="K3779" s="1070"/>
      <c r="L3779"/>
      <c r="M3779"/>
      <c r="N3779"/>
      <c r="O3779"/>
      <c r="P3779"/>
      <c r="Q3779"/>
      <c r="R3779"/>
      <c r="S3779"/>
      <c r="T3779"/>
      <c r="U3779"/>
      <c r="V3779"/>
      <c r="W3779"/>
      <c r="X3779"/>
      <c r="Y3779"/>
      <c r="Z3779"/>
      <c r="AA3779"/>
      <c r="AB3779"/>
      <c r="AC3779"/>
      <c r="AD3779"/>
      <c r="AE3779"/>
      <c r="AF3779"/>
      <c r="AG3779"/>
      <c r="AH3779"/>
      <c r="AI3779"/>
      <c r="AJ3779"/>
      <c r="AK3779"/>
      <c r="AL3779"/>
    </row>
    <row r="3780" spans="1:38" ht="15.75" customHeight="1" outlineLevel="3" x14ac:dyDescent="0.2">
      <c r="A3780" s="10">
        <v>1</v>
      </c>
      <c r="B3780" s="10" t="s">
        <v>71</v>
      </c>
      <c r="C3780" s="10" t="s">
        <v>3059</v>
      </c>
      <c r="D3780" s="10" t="s">
        <v>3059</v>
      </c>
      <c r="E3780" s="11" t="str">
        <f t="array" ref="E3780">_xlfn.XLOOKUP(D3780,Insumos!B:B,Insumos!C:$C)</f>
        <v>M2</v>
      </c>
      <c r="F3780" s="14">
        <v>1</v>
      </c>
      <c r="G3780" s="92">
        <f t="array" ref="G3780">IF(B3780="insumo",_xlfn.XLOOKUP($D3780,Insumos!$B$1:$B$996,Insumos!$D$1:$D$996),"")</f>
        <v>85</v>
      </c>
      <c r="H3780" s="92">
        <v>85</v>
      </c>
      <c r="I3780" s="13" t="e">
        <v>#REF!</v>
      </c>
      <c r="J3780" s="13" t="e">
        <v>#REF!</v>
      </c>
      <c r="K3780" s="13"/>
      <c r="L3780"/>
      <c r="M3780"/>
      <c r="N3780"/>
      <c r="O3780"/>
      <c r="P3780"/>
      <c r="Q3780"/>
      <c r="R3780"/>
      <c r="S3780"/>
      <c r="T3780"/>
      <c r="U3780"/>
      <c r="V3780"/>
      <c r="W3780"/>
      <c r="X3780"/>
      <c r="Y3780"/>
      <c r="Z3780"/>
      <c r="AA3780"/>
      <c r="AB3780"/>
      <c r="AC3780"/>
      <c r="AD3780"/>
      <c r="AE3780"/>
      <c r="AF3780"/>
      <c r="AG3780"/>
      <c r="AH3780"/>
      <c r="AI3780"/>
      <c r="AJ3780"/>
      <c r="AK3780"/>
      <c r="AL3780"/>
    </row>
    <row r="3781" spans="1:38" ht="15.75" customHeight="1" outlineLevel="2" x14ac:dyDescent="0.2">
      <c r="A3781" s="1067">
        <v>1</v>
      </c>
      <c r="B3781" s="1067" t="s">
        <v>68</v>
      </c>
      <c r="C3781" s="1067" t="s">
        <v>3060</v>
      </c>
      <c r="D3781" s="1067" t="s">
        <v>3060</v>
      </c>
      <c r="E3781" s="1068" t="s">
        <v>70</v>
      </c>
      <c r="F3781" s="1075"/>
      <c r="G3781" s="1069" t="str">
        <f t="array" ref="G3781">IF(B3781="insumo",_xlfn.XLOOKUP($D3781,Insumos!$B$1:$B$996,Insumos!$D$1:$D$996),"")</f>
        <v/>
      </c>
      <c r="H3781" s="1069">
        <v>85</v>
      </c>
      <c r="I3781" s="1070" t="e">
        <v>#REF!</v>
      </c>
      <c r="J3781" s="1070" t="e">
        <v>#REF!</v>
      </c>
      <c r="K3781" s="1070"/>
      <c r="L3781"/>
      <c r="M3781"/>
      <c r="N3781"/>
      <c r="O3781"/>
      <c r="P3781"/>
      <c r="Q3781"/>
      <c r="R3781"/>
      <c r="S3781"/>
      <c r="T3781"/>
      <c r="U3781"/>
      <c r="V3781"/>
      <c r="W3781"/>
      <c r="X3781"/>
      <c r="Y3781"/>
      <c r="Z3781"/>
      <c r="AA3781"/>
      <c r="AB3781"/>
      <c r="AC3781"/>
      <c r="AD3781"/>
      <c r="AE3781"/>
      <c r="AF3781"/>
      <c r="AG3781"/>
      <c r="AH3781"/>
      <c r="AI3781"/>
      <c r="AJ3781"/>
      <c r="AK3781"/>
      <c r="AL3781"/>
    </row>
    <row r="3782" spans="1:38" ht="15.75" customHeight="1" outlineLevel="3" x14ac:dyDescent="0.2">
      <c r="A3782" s="10">
        <v>1</v>
      </c>
      <c r="B3782" s="10" t="s">
        <v>71</v>
      </c>
      <c r="C3782" s="10" t="s">
        <v>3060</v>
      </c>
      <c r="D3782" s="10" t="s">
        <v>550</v>
      </c>
      <c r="E3782" s="11" t="str">
        <f t="array" ref="E3782">_xlfn.XLOOKUP(D3782,Insumos!B:B,Insumos!C:$C)</f>
        <v>M2</v>
      </c>
      <c r="F3782" s="14">
        <v>1</v>
      </c>
      <c r="G3782" s="92">
        <f t="array" ref="G3782">IF(B3782="insumo",_xlfn.XLOOKUP($D3782,Insumos!$B$1:$B$996,Insumos!$D$1:$D$996),"")</f>
        <v>85</v>
      </c>
      <c r="H3782" s="92">
        <v>85</v>
      </c>
      <c r="I3782" s="13" t="e">
        <v>#REF!</v>
      </c>
      <c r="J3782" s="13" t="e">
        <v>#REF!</v>
      </c>
      <c r="K3782" s="13"/>
      <c r="L3782"/>
      <c r="M3782"/>
      <c r="N3782"/>
      <c r="O3782"/>
      <c r="P3782"/>
      <c r="Q3782"/>
      <c r="R3782"/>
      <c r="S3782"/>
      <c r="T3782"/>
      <c r="U3782"/>
      <c r="V3782"/>
      <c r="W3782"/>
      <c r="X3782"/>
      <c r="Y3782"/>
      <c r="Z3782"/>
      <c r="AA3782"/>
      <c r="AB3782"/>
      <c r="AC3782"/>
      <c r="AD3782"/>
      <c r="AE3782"/>
      <c r="AF3782"/>
      <c r="AG3782"/>
      <c r="AH3782"/>
      <c r="AI3782"/>
      <c r="AJ3782"/>
      <c r="AK3782"/>
      <c r="AL3782"/>
    </row>
    <row r="3783" spans="1:38" ht="15.75" customHeight="1" outlineLevel="1" x14ac:dyDescent="0.2">
      <c r="A3783" s="1090">
        <v>1</v>
      </c>
      <c r="B3783" s="1090" t="s">
        <v>1228</v>
      </c>
      <c r="C3783" s="1090" t="s">
        <v>3060</v>
      </c>
      <c r="D3783" s="1090" t="s">
        <v>1470</v>
      </c>
      <c r="E3783" s="1091"/>
      <c r="F3783" s="1092"/>
      <c r="G3783" s="1091"/>
      <c r="H3783" s="1091">
        <v>0</v>
      </c>
      <c r="I3783" s="1092">
        <v>0</v>
      </c>
      <c r="J3783" s="1092">
        <v>0</v>
      </c>
      <c r="K3783" s="1092"/>
      <c r="L3783"/>
      <c r="M3783"/>
      <c r="N3783"/>
      <c r="O3783"/>
      <c r="P3783"/>
      <c r="Q3783"/>
      <c r="R3783"/>
      <c r="S3783"/>
      <c r="T3783"/>
      <c r="U3783"/>
      <c r="V3783"/>
      <c r="W3783"/>
      <c r="X3783"/>
      <c r="Y3783"/>
      <c r="Z3783"/>
      <c r="AA3783"/>
      <c r="AB3783"/>
      <c r="AC3783"/>
      <c r="AD3783"/>
      <c r="AE3783"/>
      <c r="AF3783"/>
      <c r="AG3783"/>
      <c r="AH3783"/>
      <c r="AI3783"/>
      <c r="AJ3783"/>
      <c r="AK3783"/>
      <c r="AL3783"/>
    </row>
    <row r="3784" spans="1:38" ht="15.75" customHeight="1" outlineLevel="2" x14ac:dyDescent="0.2">
      <c r="A3784" s="1067">
        <v>1</v>
      </c>
      <c r="B3784" s="1067" t="s">
        <v>68</v>
      </c>
      <c r="C3784" s="1067" t="s">
        <v>743</v>
      </c>
      <c r="D3784" s="1067" t="s">
        <v>743</v>
      </c>
      <c r="E3784" s="1068" t="s">
        <v>70</v>
      </c>
      <c r="F3784" s="1075"/>
      <c r="G3784" s="1069" t="str">
        <f t="array" ref="G3784">IF(B3784="insumo",_xlfn.XLOOKUP($D3784,Insumos!$B$1:$B$996,Insumos!$D$1:$D$996),"")</f>
        <v/>
      </c>
      <c r="H3784" s="1069">
        <v>28</v>
      </c>
      <c r="I3784" s="1070" t="e">
        <v>#REF!</v>
      </c>
      <c r="J3784" s="1070" t="e">
        <v>#REF!</v>
      </c>
      <c r="K3784" s="1070"/>
      <c r="L3784"/>
      <c r="M3784"/>
      <c r="N3784"/>
      <c r="O3784"/>
      <c r="P3784"/>
      <c r="Q3784"/>
      <c r="R3784"/>
      <c r="S3784"/>
      <c r="T3784"/>
      <c r="U3784"/>
      <c r="V3784"/>
      <c r="W3784"/>
      <c r="X3784"/>
      <c r="Y3784"/>
      <c r="Z3784"/>
      <c r="AA3784"/>
      <c r="AB3784"/>
      <c r="AC3784"/>
      <c r="AD3784"/>
      <c r="AE3784"/>
      <c r="AF3784"/>
      <c r="AG3784"/>
      <c r="AH3784"/>
      <c r="AI3784"/>
      <c r="AJ3784"/>
      <c r="AK3784"/>
      <c r="AL3784"/>
    </row>
    <row r="3785" spans="1:38" ht="15.75" customHeight="1" outlineLevel="3" x14ac:dyDescent="0.2">
      <c r="A3785" s="10">
        <v>1</v>
      </c>
      <c r="B3785" s="10" t="s">
        <v>71</v>
      </c>
      <c r="C3785" s="10" t="s">
        <v>743</v>
      </c>
      <c r="D3785" s="10" t="s">
        <v>743</v>
      </c>
      <c r="E3785" s="11" t="str">
        <f t="array" ref="E3785">_xlfn.XLOOKUP(D3785,Insumos!B:B,Insumos!C:$C)</f>
        <v>UN</v>
      </c>
      <c r="F3785" s="14">
        <v>1</v>
      </c>
      <c r="G3785" s="92">
        <f t="array" ref="G3785">IF(B3785="insumo",_xlfn.XLOOKUP($D3785,Insumos!$B$1:$B$996,Insumos!$D$1:$D$996),"")</f>
        <v>28</v>
      </c>
      <c r="H3785" s="92">
        <v>28</v>
      </c>
      <c r="I3785" s="13" t="e">
        <v>#REF!</v>
      </c>
      <c r="J3785" s="13" t="e">
        <v>#REF!</v>
      </c>
      <c r="K3785" s="13"/>
      <c r="L3785"/>
      <c r="M3785"/>
      <c r="N3785"/>
      <c r="O3785"/>
      <c r="P3785"/>
      <c r="Q3785"/>
      <c r="R3785"/>
      <c r="S3785"/>
      <c r="T3785"/>
      <c r="U3785"/>
      <c r="V3785"/>
      <c r="W3785"/>
      <c r="X3785"/>
      <c r="Y3785"/>
      <c r="Z3785"/>
      <c r="AA3785"/>
      <c r="AB3785"/>
      <c r="AC3785"/>
      <c r="AD3785"/>
      <c r="AE3785"/>
      <c r="AF3785"/>
      <c r="AG3785"/>
      <c r="AH3785"/>
      <c r="AI3785"/>
      <c r="AJ3785"/>
      <c r="AK3785"/>
      <c r="AL3785"/>
    </row>
    <row r="3786" spans="1:38" ht="15.75" customHeight="1" outlineLevel="2" x14ac:dyDescent="0.2">
      <c r="A3786" s="1067">
        <v>1</v>
      </c>
      <c r="B3786" s="1067" t="s">
        <v>68</v>
      </c>
      <c r="C3786" s="1067" t="s">
        <v>744</v>
      </c>
      <c r="D3786" s="1067" t="s">
        <v>744</v>
      </c>
      <c r="E3786" s="1068" t="s">
        <v>70</v>
      </c>
      <c r="F3786" s="1075"/>
      <c r="G3786" s="1069" t="str">
        <f t="array" ref="G3786">IF(B3786="insumo",_xlfn.XLOOKUP($D3786,Insumos!$B$1:$B$996,Insumos!$D$1:$D$996),"")</f>
        <v/>
      </c>
      <c r="H3786" s="1069">
        <v>24</v>
      </c>
      <c r="I3786" s="1070" t="e">
        <v>#REF!</v>
      </c>
      <c r="J3786" s="1070" t="e">
        <v>#REF!</v>
      </c>
      <c r="K3786" s="1070"/>
      <c r="L3786"/>
      <c r="M3786"/>
      <c r="N3786"/>
      <c r="O3786"/>
      <c r="P3786"/>
      <c r="Q3786"/>
      <c r="R3786"/>
      <c r="S3786"/>
      <c r="T3786"/>
      <c r="U3786"/>
      <c r="V3786"/>
      <c r="W3786"/>
      <c r="X3786"/>
      <c r="Y3786"/>
      <c r="Z3786"/>
      <c r="AA3786"/>
      <c r="AB3786"/>
      <c r="AC3786"/>
      <c r="AD3786"/>
      <c r="AE3786"/>
      <c r="AF3786"/>
      <c r="AG3786"/>
      <c r="AH3786"/>
      <c r="AI3786"/>
      <c r="AJ3786"/>
      <c r="AK3786"/>
      <c r="AL3786"/>
    </row>
    <row r="3787" spans="1:38" ht="15.75" customHeight="1" outlineLevel="3" x14ac:dyDescent="0.2">
      <c r="A3787" s="10">
        <v>1</v>
      </c>
      <c r="B3787" s="10" t="s">
        <v>71</v>
      </c>
      <c r="C3787" s="10" t="s">
        <v>744</v>
      </c>
      <c r="D3787" s="10" t="s">
        <v>744</v>
      </c>
      <c r="E3787" s="11" t="str">
        <f t="array" ref="E3787">_xlfn.XLOOKUP(D3787,Insumos!B:B,Insumos!C:$C)</f>
        <v>UN</v>
      </c>
      <c r="F3787" s="14">
        <v>1</v>
      </c>
      <c r="G3787" s="92">
        <f t="array" ref="G3787">IF(B3787="insumo",_xlfn.XLOOKUP($D3787,Insumos!$B$1:$B$996,Insumos!$D$1:$D$996),"")</f>
        <v>24</v>
      </c>
      <c r="H3787" s="92">
        <v>24</v>
      </c>
      <c r="I3787" s="13" t="e">
        <v>#REF!</v>
      </c>
      <c r="J3787" s="13" t="e">
        <v>#REF!</v>
      </c>
      <c r="K3787" s="13"/>
      <c r="L3787"/>
      <c r="M3787"/>
      <c r="N3787"/>
      <c r="O3787"/>
      <c r="P3787"/>
      <c r="Q3787"/>
      <c r="R3787"/>
      <c r="S3787"/>
      <c r="T3787"/>
      <c r="U3787"/>
      <c r="V3787"/>
      <c r="W3787"/>
      <c r="X3787"/>
      <c r="Y3787"/>
      <c r="Z3787"/>
      <c r="AA3787"/>
      <c r="AB3787"/>
      <c r="AC3787"/>
      <c r="AD3787"/>
      <c r="AE3787"/>
      <c r="AF3787"/>
      <c r="AG3787"/>
      <c r="AH3787"/>
      <c r="AI3787"/>
      <c r="AJ3787"/>
      <c r="AK3787"/>
      <c r="AL3787"/>
    </row>
    <row r="3788" spans="1:38" ht="15.75" customHeight="1" outlineLevel="2" x14ac:dyDescent="0.2">
      <c r="A3788" s="1067">
        <v>1</v>
      </c>
      <c r="B3788" s="1067" t="s">
        <v>68</v>
      </c>
      <c r="C3788" s="1067" t="s">
        <v>1523</v>
      </c>
      <c r="D3788" s="1067" t="s">
        <v>1523</v>
      </c>
      <c r="E3788" s="1068" t="s">
        <v>70</v>
      </c>
      <c r="F3788" s="1075"/>
      <c r="G3788" s="1069" t="str">
        <f t="array" ref="G3788">IF(B3788="insumo",_xlfn.XLOOKUP($D3788,Insumos!$B$1:$B$996,Insumos!$D$1:$D$996),"")</f>
        <v/>
      </c>
      <c r="H3788" s="1069">
        <v>24.5</v>
      </c>
      <c r="I3788" s="1070">
        <v>0</v>
      </c>
      <c r="J3788" s="1070">
        <v>0</v>
      </c>
      <c r="K3788" s="1070"/>
      <c r="L3788"/>
      <c r="M3788"/>
      <c r="N3788"/>
      <c r="O3788"/>
      <c r="P3788"/>
      <c r="Q3788"/>
      <c r="R3788"/>
      <c r="S3788"/>
      <c r="T3788"/>
      <c r="U3788"/>
      <c r="V3788"/>
      <c r="W3788"/>
      <c r="X3788"/>
      <c r="Y3788"/>
      <c r="Z3788"/>
      <c r="AA3788"/>
      <c r="AB3788"/>
      <c r="AC3788"/>
      <c r="AD3788"/>
      <c r="AE3788"/>
      <c r="AF3788"/>
      <c r="AG3788"/>
      <c r="AH3788"/>
      <c r="AI3788"/>
      <c r="AJ3788"/>
      <c r="AK3788"/>
      <c r="AL3788"/>
    </row>
    <row r="3789" spans="1:38" ht="15.75" customHeight="1" outlineLevel="3" x14ac:dyDescent="0.2">
      <c r="A3789" s="10">
        <v>1</v>
      </c>
      <c r="B3789" s="10" t="s">
        <v>71</v>
      </c>
      <c r="C3789" s="10" t="s">
        <v>1523</v>
      </c>
      <c r="D3789" s="10" t="s">
        <v>1523</v>
      </c>
      <c r="E3789" s="11" t="str">
        <f t="array" ref="E3789">_xlfn.XLOOKUP(D3789,Insumos!B:B,Insumos!C:$C)</f>
        <v>UN</v>
      </c>
      <c r="F3789" s="14">
        <v>1</v>
      </c>
      <c r="G3789" s="92">
        <f t="array" ref="G3789">IF(B3789="insumo",_xlfn.XLOOKUP($D3789,Insumos!$B$1:$B$996,Insumos!$D$1:$D$996),"")</f>
        <v>24.5</v>
      </c>
      <c r="H3789" s="92">
        <v>24.5</v>
      </c>
      <c r="I3789" s="13">
        <v>0</v>
      </c>
      <c r="J3789" s="13">
        <v>0</v>
      </c>
      <c r="K3789" s="13"/>
      <c r="L3789"/>
      <c r="M3789"/>
      <c r="N3789"/>
      <c r="O3789"/>
      <c r="P3789"/>
      <c r="Q3789"/>
      <c r="R3789"/>
      <c r="S3789"/>
      <c r="T3789"/>
      <c r="U3789"/>
      <c r="V3789"/>
      <c r="W3789"/>
      <c r="X3789"/>
      <c r="Y3789"/>
      <c r="Z3789"/>
      <c r="AA3789"/>
      <c r="AB3789"/>
      <c r="AC3789"/>
      <c r="AD3789"/>
      <c r="AE3789"/>
      <c r="AF3789"/>
      <c r="AG3789"/>
      <c r="AH3789"/>
      <c r="AI3789"/>
      <c r="AJ3789"/>
      <c r="AK3789"/>
      <c r="AL3789"/>
    </row>
    <row r="3790" spans="1:38" ht="15.75" customHeight="1" outlineLevel="2" x14ac:dyDescent="0.2">
      <c r="A3790" s="1067">
        <v>1</v>
      </c>
      <c r="B3790" s="1067" t="s">
        <v>68</v>
      </c>
      <c r="C3790" s="1067" t="s">
        <v>3054</v>
      </c>
      <c r="D3790" s="1067" t="s">
        <v>3054</v>
      </c>
      <c r="E3790" s="1068" t="s">
        <v>70</v>
      </c>
      <c r="F3790" s="1075"/>
      <c r="G3790" s="1069" t="str">
        <f t="array" ref="G3790">IF(B3790="insumo",_xlfn.XLOOKUP($D3790,Insumos!$B$1:$B$996,Insumos!$D$1:$D$996),"")</f>
        <v/>
      </c>
      <c r="H3790" s="1069">
        <v>24</v>
      </c>
      <c r="I3790" s="1070" t="e">
        <v>#REF!</v>
      </c>
      <c r="J3790" s="1070" t="e">
        <v>#REF!</v>
      </c>
      <c r="K3790" s="1070"/>
      <c r="L3790"/>
      <c r="M3790"/>
      <c r="N3790"/>
      <c r="O3790"/>
      <c r="P3790"/>
      <c r="Q3790"/>
      <c r="R3790"/>
      <c r="S3790"/>
      <c r="T3790"/>
      <c r="U3790"/>
      <c r="V3790"/>
      <c r="W3790"/>
      <c r="X3790"/>
      <c r="Y3790"/>
      <c r="Z3790"/>
      <c r="AA3790"/>
      <c r="AB3790"/>
      <c r="AC3790"/>
      <c r="AD3790"/>
      <c r="AE3790"/>
      <c r="AF3790"/>
      <c r="AG3790"/>
      <c r="AH3790"/>
      <c r="AI3790"/>
      <c r="AJ3790"/>
      <c r="AK3790"/>
      <c r="AL3790"/>
    </row>
    <row r="3791" spans="1:38" ht="15.75" customHeight="1" outlineLevel="3" x14ac:dyDescent="0.2">
      <c r="A3791" s="10">
        <v>1</v>
      </c>
      <c r="B3791" s="10" t="s">
        <v>71</v>
      </c>
      <c r="C3791" s="10" t="s">
        <v>3054</v>
      </c>
      <c r="D3791" s="10" t="s">
        <v>3054</v>
      </c>
      <c r="E3791" s="11" t="str">
        <f t="array" ref="E3791">_xlfn.XLOOKUP(D3791,Insumos!B:B,Insumos!C:$C)</f>
        <v>M</v>
      </c>
      <c r="F3791" s="14">
        <v>1</v>
      </c>
      <c r="G3791" s="92">
        <f t="array" ref="G3791">IF(B3791="insumo",_xlfn.XLOOKUP($D3791,Insumos!$B$1:$B$996,Insumos!$D$1:$D$996),"")</f>
        <v>24</v>
      </c>
      <c r="H3791" s="92">
        <v>24</v>
      </c>
      <c r="I3791" s="13" t="e">
        <v>#REF!</v>
      </c>
      <c r="J3791" s="13" t="e">
        <v>#REF!</v>
      </c>
      <c r="K3791" s="13"/>
      <c r="L3791"/>
      <c r="M3791"/>
      <c r="N3791"/>
      <c r="O3791"/>
      <c r="P3791"/>
      <c r="Q3791"/>
      <c r="R3791"/>
      <c r="S3791"/>
      <c r="T3791"/>
      <c r="U3791"/>
      <c r="V3791"/>
      <c r="W3791"/>
      <c r="X3791"/>
      <c r="Y3791"/>
      <c r="Z3791"/>
      <c r="AA3791"/>
      <c r="AB3791"/>
      <c r="AC3791"/>
      <c r="AD3791"/>
      <c r="AE3791"/>
      <c r="AF3791"/>
      <c r="AG3791"/>
      <c r="AH3791"/>
      <c r="AI3791"/>
      <c r="AJ3791"/>
      <c r="AK3791"/>
      <c r="AL3791"/>
    </row>
    <row r="3792" spans="1:38" ht="15.75" customHeight="1" outlineLevel="2" x14ac:dyDescent="0.2">
      <c r="A3792" s="1067">
        <v>1</v>
      </c>
      <c r="B3792" s="1067" t="s">
        <v>68</v>
      </c>
      <c r="C3792" s="1067" t="s">
        <v>1524</v>
      </c>
      <c r="D3792" s="1067" t="s">
        <v>1524</v>
      </c>
      <c r="E3792" s="1068" t="s">
        <v>70</v>
      </c>
      <c r="F3792" s="1075"/>
      <c r="G3792" s="1069" t="str">
        <f t="array" ref="G3792">IF(B3792="insumo",_xlfn.XLOOKUP($D3792,Insumos!$B$1:$B$996,Insumos!$D$1:$D$996),"")</f>
        <v/>
      </c>
      <c r="H3792" s="1069">
        <v>22</v>
      </c>
      <c r="I3792" s="1070">
        <v>0</v>
      </c>
      <c r="J3792" s="1070">
        <v>0</v>
      </c>
      <c r="K3792" s="1070"/>
      <c r="L3792"/>
      <c r="M3792"/>
      <c r="N3792"/>
      <c r="O3792"/>
      <c r="P3792"/>
      <c r="Q3792"/>
      <c r="R3792"/>
      <c r="S3792"/>
      <c r="T3792"/>
      <c r="U3792"/>
      <c r="V3792"/>
      <c r="W3792"/>
      <c r="X3792"/>
      <c r="Y3792"/>
      <c r="Z3792"/>
      <c r="AA3792"/>
      <c r="AB3792"/>
      <c r="AC3792"/>
      <c r="AD3792"/>
      <c r="AE3792"/>
      <c r="AF3792"/>
      <c r="AG3792"/>
      <c r="AH3792"/>
      <c r="AI3792"/>
      <c r="AJ3792"/>
      <c r="AK3792"/>
      <c r="AL3792"/>
    </row>
    <row r="3793" spans="1:38" ht="15.75" customHeight="1" outlineLevel="3" x14ac:dyDescent="0.2">
      <c r="A3793" s="10">
        <v>1</v>
      </c>
      <c r="B3793" s="10" t="s">
        <v>71</v>
      </c>
      <c r="C3793" s="10" t="s">
        <v>1524</v>
      </c>
      <c r="D3793" s="10" t="s">
        <v>1524</v>
      </c>
      <c r="E3793" s="11" t="str">
        <f t="array" ref="E3793">_xlfn.XLOOKUP(D3793,Insumos!B:B,Insumos!C:$C)</f>
        <v>UN</v>
      </c>
      <c r="F3793" s="14">
        <v>1</v>
      </c>
      <c r="G3793" s="92">
        <f t="array" ref="G3793">IF(B3793="insumo",_xlfn.XLOOKUP($D3793,Insumos!$B$1:$B$996,Insumos!$D$1:$D$996),"")</f>
        <v>22</v>
      </c>
      <c r="H3793" s="92">
        <v>22</v>
      </c>
      <c r="I3793" s="13">
        <v>0</v>
      </c>
      <c r="J3793" s="13">
        <v>0</v>
      </c>
      <c r="K3793" s="13"/>
      <c r="L3793"/>
      <c r="M3793"/>
      <c r="N3793"/>
      <c r="O3793"/>
      <c r="P3793"/>
      <c r="Q3793"/>
      <c r="R3793"/>
      <c r="S3793"/>
      <c r="T3793"/>
      <c r="U3793"/>
      <c r="V3793"/>
      <c r="W3793"/>
      <c r="X3793"/>
      <c r="Y3793"/>
      <c r="Z3793"/>
      <c r="AA3793"/>
      <c r="AB3793"/>
      <c r="AC3793"/>
      <c r="AD3793"/>
      <c r="AE3793"/>
      <c r="AF3793"/>
      <c r="AG3793"/>
      <c r="AH3793"/>
      <c r="AI3793"/>
      <c r="AJ3793"/>
      <c r="AK3793"/>
      <c r="AL3793"/>
    </row>
    <row r="3794" spans="1:38" ht="15.75" customHeight="1" outlineLevel="1" x14ac:dyDescent="0.2">
      <c r="A3794" s="1090">
        <v>1</v>
      </c>
      <c r="B3794" s="1090" t="s">
        <v>1228</v>
      </c>
      <c r="C3794" s="1090" t="s">
        <v>1524</v>
      </c>
      <c r="D3794" s="1090" t="s">
        <v>1471</v>
      </c>
      <c r="E3794" s="1091"/>
      <c r="F3794" s="1092"/>
      <c r="G3794" s="1091"/>
      <c r="H3794" s="1091">
        <v>0</v>
      </c>
      <c r="I3794" s="1092">
        <v>0</v>
      </c>
      <c r="J3794" s="1092">
        <v>0</v>
      </c>
      <c r="K3794" s="1092"/>
      <c r="L3794"/>
      <c r="M3794"/>
      <c r="N3794"/>
      <c r="O3794"/>
      <c r="P3794"/>
      <c r="Q3794"/>
      <c r="R3794"/>
      <c r="S3794"/>
      <c r="T3794"/>
      <c r="U3794"/>
      <c r="V3794"/>
      <c r="W3794"/>
      <c r="X3794"/>
      <c r="Y3794"/>
      <c r="Z3794"/>
      <c r="AA3794"/>
      <c r="AB3794"/>
      <c r="AC3794"/>
      <c r="AD3794"/>
      <c r="AE3794"/>
      <c r="AF3794"/>
      <c r="AG3794"/>
      <c r="AH3794"/>
      <c r="AI3794"/>
      <c r="AJ3794"/>
      <c r="AK3794"/>
      <c r="AL3794"/>
    </row>
    <row r="3795" spans="1:38" ht="15.75" customHeight="1" outlineLevel="2" x14ac:dyDescent="0.2">
      <c r="A3795" s="1067">
        <v>1</v>
      </c>
      <c r="B3795" s="1067" t="s">
        <v>68</v>
      </c>
      <c r="C3795" s="1067" t="s">
        <v>745</v>
      </c>
      <c r="D3795" s="1067" t="s">
        <v>745</v>
      </c>
      <c r="E3795" s="1068" t="s">
        <v>70</v>
      </c>
      <c r="F3795" s="1075"/>
      <c r="G3795" s="1069" t="str">
        <f t="array" ref="G3795">IF(B3795="insumo",_xlfn.XLOOKUP($D3795,Insumos!$B$1:$B$996,Insumos!$D$1:$D$996),"")</f>
        <v/>
      </c>
      <c r="H3795" s="1069">
        <v>50</v>
      </c>
      <c r="I3795" s="1070">
        <v>0</v>
      </c>
      <c r="J3795" s="1070">
        <v>0</v>
      </c>
      <c r="K3795" s="1070"/>
      <c r="L3795"/>
      <c r="M3795"/>
      <c r="N3795"/>
      <c r="O3795"/>
      <c r="P3795"/>
      <c r="Q3795"/>
      <c r="R3795"/>
      <c r="S3795"/>
      <c r="T3795"/>
      <c r="U3795"/>
      <c r="V3795"/>
      <c r="W3795"/>
      <c r="X3795"/>
      <c r="Y3795"/>
      <c r="Z3795"/>
      <c r="AA3795"/>
      <c r="AB3795"/>
      <c r="AC3795"/>
      <c r="AD3795"/>
      <c r="AE3795"/>
      <c r="AF3795"/>
      <c r="AG3795"/>
      <c r="AH3795"/>
      <c r="AI3795"/>
      <c r="AJ3795"/>
      <c r="AK3795"/>
      <c r="AL3795"/>
    </row>
    <row r="3796" spans="1:38" ht="15.75" customHeight="1" outlineLevel="3" x14ac:dyDescent="0.2">
      <c r="A3796" s="10">
        <v>1</v>
      </c>
      <c r="B3796" s="10" t="s">
        <v>71</v>
      </c>
      <c r="C3796" s="10" t="s">
        <v>745</v>
      </c>
      <c r="D3796" s="10" t="s">
        <v>745</v>
      </c>
      <c r="E3796" s="11" t="str">
        <f t="array" ref="E3796">_xlfn.XLOOKUP(D3796,Insumos!B:B,Insumos!C:$C)</f>
        <v>UN</v>
      </c>
      <c r="F3796" s="14">
        <v>1</v>
      </c>
      <c r="G3796" s="92">
        <f t="array" ref="G3796">IF(B3796="insumo",_xlfn.XLOOKUP($D3796,Insumos!$B$1:$B$996,Insumos!$D$1:$D$996),"")</f>
        <v>50</v>
      </c>
      <c r="H3796" s="92">
        <v>50</v>
      </c>
      <c r="I3796" s="13">
        <v>0</v>
      </c>
      <c r="J3796" s="13">
        <v>0</v>
      </c>
      <c r="K3796" s="13"/>
      <c r="L3796"/>
      <c r="M3796"/>
      <c r="N3796"/>
      <c r="O3796"/>
      <c r="P3796"/>
      <c r="Q3796"/>
      <c r="R3796"/>
      <c r="S3796"/>
      <c r="T3796"/>
      <c r="U3796"/>
      <c r="V3796"/>
      <c r="W3796"/>
      <c r="X3796"/>
      <c r="Y3796"/>
      <c r="Z3796"/>
      <c r="AA3796"/>
      <c r="AB3796"/>
      <c r="AC3796"/>
      <c r="AD3796"/>
      <c r="AE3796"/>
      <c r="AF3796"/>
      <c r="AG3796"/>
      <c r="AH3796"/>
      <c r="AI3796"/>
      <c r="AJ3796"/>
      <c r="AK3796"/>
      <c r="AL3796"/>
    </row>
    <row r="3797" spans="1:38" ht="15.75" customHeight="1" outlineLevel="2" x14ac:dyDescent="0.2">
      <c r="A3797" s="1067">
        <v>1</v>
      </c>
      <c r="B3797" s="1067" t="s">
        <v>68</v>
      </c>
      <c r="C3797" s="1067" t="s">
        <v>746</v>
      </c>
      <c r="D3797" s="1067" t="s">
        <v>746</v>
      </c>
      <c r="E3797" s="1068" t="s">
        <v>70</v>
      </c>
      <c r="F3797" s="1075"/>
      <c r="G3797" s="1069" t="str">
        <f t="array" ref="G3797">IF(B3797="insumo",_xlfn.XLOOKUP($D3797,Insumos!$B$1:$B$996,Insumos!$D$1:$D$996),"")</f>
        <v/>
      </c>
      <c r="H3797" s="1069">
        <v>22</v>
      </c>
      <c r="I3797" s="1070">
        <v>0</v>
      </c>
      <c r="J3797" s="1070">
        <v>0</v>
      </c>
      <c r="K3797" s="1070"/>
      <c r="L3797"/>
      <c r="M3797"/>
      <c r="N3797"/>
      <c r="O3797"/>
      <c r="P3797"/>
      <c r="Q3797"/>
      <c r="R3797"/>
      <c r="S3797"/>
      <c r="T3797"/>
      <c r="U3797"/>
      <c r="V3797"/>
      <c r="W3797"/>
      <c r="X3797"/>
      <c r="Y3797"/>
      <c r="Z3797"/>
      <c r="AA3797"/>
      <c r="AB3797"/>
      <c r="AC3797"/>
      <c r="AD3797"/>
      <c r="AE3797"/>
      <c r="AF3797"/>
      <c r="AG3797"/>
      <c r="AH3797"/>
      <c r="AI3797"/>
      <c r="AJ3797"/>
      <c r="AK3797"/>
      <c r="AL3797"/>
    </row>
    <row r="3798" spans="1:38" ht="15.75" customHeight="1" outlineLevel="3" x14ac:dyDescent="0.2">
      <c r="A3798" s="10">
        <v>1</v>
      </c>
      <c r="B3798" s="10" t="s">
        <v>71</v>
      </c>
      <c r="C3798" s="10" t="s">
        <v>746</v>
      </c>
      <c r="D3798" s="10" t="s">
        <v>746</v>
      </c>
      <c r="E3798" s="11" t="str">
        <f t="array" ref="E3798">_xlfn.XLOOKUP(D3798,Insumos!B:B,Insumos!C:$C)</f>
        <v>UN</v>
      </c>
      <c r="F3798" s="14">
        <v>1</v>
      </c>
      <c r="G3798" s="92">
        <f t="array" ref="G3798">IF(B3798="insumo",_xlfn.XLOOKUP($D3798,Insumos!$B$1:$B$996,Insumos!$D$1:$D$996),"")</f>
        <v>22</v>
      </c>
      <c r="H3798" s="92">
        <v>22</v>
      </c>
      <c r="I3798" s="13">
        <v>0</v>
      </c>
      <c r="J3798" s="13">
        <v>0</v>
      </c>
      <c r="K3798" s="13"/>
      <c r="L3798"/>
      <c r="M3798"/>
      <c r="N3798"/>
      <c r="O3798"/>
      <c r="P3798"/>
      <c r="Q3798"/>
      <c r="R3798"/>
      <c r="S3798"/>
      <c r="T3798"/>
      <c r="U3798"/>
      <c r="V3798"/>
      <c r="W3798"/>
      <c r="X3798"/>
      <c r="Y3798"/>
      <c r="Z3798"/>
      <c r="AA3798"/>
      <c r="AB3798"/>
      <c r="AC3798"/>
      <c r="AD3798"/>
      <c r="AE3798"/>
      <c r="AF3798"/>
      <c r="AG3798"/>
      <c r="AH3798"/>
      <c r="AI3798"/>
      <c r="AJ3798"/>
      <c r="AK3798"/>
      <c r="AL3798"/>
    </row>
    <row r="3799" spans="1:38" ht="15.75" customHeight="1" outlineLevel="2" x14ac:dyDescent="0.2">
      <c r="A3799" s="1067">
        <v>1</v>
      </c>
      <c r="B3799" s="1067" t="s">
        <v>68</v>
      </c>
      <c r="C3799" s="1067" t="s">
        <v>747</v>
      </c>
      <c r="D3799" s="1067" t="s">
        <v>747</v>
      </c>
      <c r="E3799" s="1068" t="s">
        <v>70</v>
      </c>
      <c r="F3799" s="1075"/>
      <c r="G3799" s="1069" t="str">
        <f t="array" ref="G3799">IF(B3799="insumo",_xlfn.XLOOKUP($D3799,Insumos!$B$1:$B$996,Insumos!$D$1:$D$996),"")</f>
        <v/>
      </c>
      <c r="H3799" s="1069">
        <v>22</v>
      </c>
      <c r="I3799" s="1070">
        <v>0</v>
      </c>
      <c r="J3799" s="1070">
        <v>0</v>
      </c>
      <c r="K3799" s="1070"/>
      <c r="L3799"/>
      <c r="M3799"/>
      <c r="N3799"/>
      <c r="O3799"/>
      <c r="P3799"/>
      <c r="Q3799"/>
      <c r="R3799"/>
      <c r="S3799"/>
      <c r="T3799"/>
      <c r="U3799"/>
      <c r="V3799"/>
      <c r="W3799"/>
      <c r="X3799"/>
      <c r="Y3799"/>
      <c r="Z3799"/>
      <c r="AA3799"/>
      <c r="AB3799"/>
      <c r="AC3799"/>
      <c r="AD3799"/>
      <c r="AE3799"/>
      <c r="AF3799"/>
      <c r="AG3799"/>
      <c r="AH3799"/>
      <c r="AI3799"/>
      <c r="AJ3799"/>
      <c r="AK3799"/>
      <c r="AL3799"/>
    </row>
    <row r="3800" spans="1:38" ht="15.75" customHeight="1" outlineLevel="3" x14ac:dyDescent="0.2">
      <c r="A3800" s="10">
        <v>1</v>
      </c>
      <c r="B3800" s="10" t="s">
        <v>71</v>
      </c>
      <c r="C3800" s="10" t="s">
        <v>747</v>
      </c>
      <c r="D3800" s="10" t="s">
        <v>747</v>
      </c>
      <c r="E3800" s="11" t="str">
        <f t="array" ref="E3800">_xlfn.XLOOKUP(D3800,Insumos!B:B,Insumos!C:$C)</f>
        <v>UN</v>
      </c>
      <c r="F3800" s="14">
        <v>1</v>
      </c>
      <c r="G3800" s="92">
        <f t="array" ref="G3800">IF(B3800="insumo",_xlfn.XLOOKUP($D3800,Insumos!$B$1:$B$996,Insumos!$D$1:$D$996),"")</f>
        <v>22</v>
      </c>
      <c r="H3800" s="92">
        <v>22</v>
      </c>
      <c r="I3800" s="13">
        <v>0</v>
      </c>
      <c r="J3800" s="13">
        <v>0</v>
      </c>
      <c r="K3800" s="13"/>
      <c r="L3800"/>
      <c r="M3800"/>
      <c r="N3800"/>
      <c r="O3800"/>
      <c r="P3800"/>
      <c r="Q3800"/>
      <c r="R3800"/>
      <c r="S3800"/>
      <c r="T3800"/>
      <c r="U3800"/>
      <c r="V3800"/>
      <c r="W3800"/>
      <c r="X3800"/>
      <c r="Y3800"/>
      <c r="Z3800"/>
      <c r="AA3800"/>
      <c r="AB3800"/>
      <c r="AC3800"/>
      <c r="AD3800"/>
      <c r="AE3800"/>
      <c r="AF3800"/>
      <c r="AG3800"/>
      <c r="AH3800"/>
      <c r="AI3800"/>
      <c r="AJ3800"/>
      <c r="AK3800"/>
      <c r="AL3800"/>
    </row>
    <row r="3801" spans="1:38" ht="15.75" customHeight="1" x14ac:dyDescent="0.2">
      <c r="A3801" s="7">
        <v>1</v>
      </c>
      <c r="B3801" s="7" t="s">
        <v>66</v>
      </c>
      <c r="C3801" s="7" t="s">
        <v>747</v>
      </c>
      <c r="D3801" s="7" t="s">
        <v>51</v>
      </c>
      <c r="E3801" s="8"/>
      <c r="F3801" s="9"/>
      <c r="G3801" s="91" t="str">
        <f t="array" ref="G3801">IF(B3801="insumo",_xlfn.XLOOKUP($D3801,Insumos!$B$1:$B$996,Insumos!$D$1:$D$996),"")</f>
        <v/>
      </c>
      <c r="H3801" s="91">
        <v>0</v>
      </c>
      <c r="I3801" s="9">
        <v>0</v>
      </c>
      <c r="J3801" s="9">
        <v>0</v>
      </c>
      <c r="K3801" s="9"/>
      <c r="L3801"/>
      <c r="M3801"/>
      <c r="N3801"/>
      <c r="O3801"/>
      <c r="P3801"/>
      <c r="Q3801"/>
      <c r="R3801"/>
      <c r="S3801"/>
      <c r="T3801"/>
      <c r="U3801"/>
      <c r="V3801"/>
      <c r="W3801"/>
      <c r="X3801"/>
      <c r="Y3801"/>
      <c r="Z3801"/>
      <c r="AA3801"/>
      <c r="AB3801"/>
      <c r="AC3801"/>
      <c r="AD3801"/>
      <c r="AE3801"/>
      <c r="AF3801"/>
      <c r="AG3801"/>
      <c r="AH3801"/>
      <c r="AI3801"/>
      <c r="AJ3801"/>
      <c r="AK3801"/>
      <c r="AL3801"/>
    </row>
    <row r="3802" spans="1:38" ht="15.75" customHeight="1" outlineLevel="1" x14ac:dyDescent="0.2">
      <c r="A3802" s="1090">
        <v>1</v>
      </c>
      <c r="B3802" s="1090" t="s">
        <v>1228</v>
      </c>
      <c r="C3802" s="1090" t="s">
        <v>747</v>
      </c>
      <c r="D3802" s="1090" t="s">
        <v>1555</v>
      </c>
      <c r="E3802" s="1091"/>
      <c r="F3802" s="1092"/>
      <c r="G3802" s="1091"/>
      <c r="H3802" s="1091">
        <v>0</v>
      </c>
      <c r="I3802" s="1092">
        <v>0</v>
      </c>
      <c r="J3802" s="1092">
        <v>0</v>
      </c>
      <c r="K3802" s="1092"/>
      <c r="L3802"/>
      <c r="M3802"/>
      <c r="N3802"/>
      <c r="O3802"/>
      <c r="P3802"/>
      <c r="Q3802"/>
      <c r="R3802"/>
      <c r="S3802"/>
      <c r="T3802"/>
      <c r="U3802"/>
      <c r="V3802"/>
      <c r="W3802"/>
      <c r="X3802"/>
      <c r="Y3802"/>
      <c r="Z3802"/>
      <c r="AA3802"/>
      <c r="AB3802"/>
      <c r="AC3802"/>
      <c r="AD3802"/>
      <c r="AE3802"/>
      <c r="AF3802"/>
      <c r="AG3802"/>
      <c r="AH3802"/>
      <c r="AI3802"/>
      <c r="AJ3802"/>
      <c r="AK3802"/>
      <c r="AL3802"/>
    </row>
    <row r="3803" spans="1:38" ht="15.75" customHeight="1" outlineLevel="2" x14ac:dyDescent="0.2">
      <c r="A3803" s="1067">
        <v>1</v>
      </c>
      <c r="B3803" s="1067" t="s">
        <v>68</v>
      </c>
      <c r="C3803" s="1067" t="s">
        <v>748</v>
      </c>
      <c r="D3803" s="1067" t="s">
        <v>748</v>
      </c>
      <c r="E3803" s="1068" t="s">
        <v>70</v>
      </c>
      <c r="F3803" s="1067"/>
      <c r="G3803" s="1069" t="str">
        <f t="array" ref="G3803">IF(B3803="insumo",_xlfn.XLOOKUP($D3803,Insumos!$B$1:$B$996,Insumos!$D$1:$D$996),"")</f>
        <v/>
      </c>
      <c r="H3803" s="1069">
        <v>70.567030666666696</v>
      </c>
      <c r="I3803" s="1070">
        <v>0</v>
      </c>
      <c r="J3803" s="1070">
        <v>0</v>
      </c>
      <c r="K3803" s="1070"/>
      <c r="L3803"/>
      <c r="M3803"/>
      <c r="N3803"/>
      <c r="O3803"/>
      <c r="P3803"/>
      <c r="Q3803"/>
      <c r="R3803"/>
      <c r="S3803"/>
      <c r="T3803"/>
      <c r="U3803"/>
      <c r="V3803"/>
      <c r="W3803"/>
      <c r="X3803"/>
      <c r="Y3803"/>
      <c r="Z3803"/>
      <c r="AA3803"/>
      <c r="AB3803"/>
      <c r="AC3803"/>
      <c r="AD3803"/>
      <c r="AE3803"/>
      <c r="AF3803"/>
      <c r="AG3803"/>
      <c r="AH3803"/>
      <c r="AI3803"/>
      <c r="AJ3803"/>
      <c r="AK3803"/>
      <c r="AL3803"/>
    </row>
    <row r="3804" spans="1:38" ht="15.75" customHeight="1" outlineLevel="3" x14ac:dyDescent="0.2">
      <c r="A3804" s="10">
        <v>9</v>
      </c>
      <c r="B3804" s="10" t="s">
        <v>71</v>
      </c>
      <c r="C3804" s="10" t="s">
        <v>748</v>
      </c>
      <c r="D3804" s="10" t="s">
        <v>749</v>
      </c>
      <c r="E3804" s="11" t="str">
        <f t="array" ref="E3804">_xlfn.XLOOKUP(D3804,Insumos!B:B,Insumos!C:$C)</f>
        <v>L</v>
      </c>
      <c r="F3804" s="14">
        <v>6.4000000000000001E-2</v>
      </c>
      <c r="G3804" s="92">
        <f t="array" ref="G3804">IF(B3804="insumo",_xlfn.XLOOKUP($D3804,Insumos!$B$1:$B$996,Insumos!$D$1:$D$996),"")</f>
        <v>50.12</v>
      </c>
      <c r="H3804" s="92">
        <v>3.2076799999999999</v>
      </c>
      <c r="I3804" s="13">
        <v>0</v>
      </c>
      <c r="J3804" s="13">
        <v>0</v>
      </c>
      <c r="K3804" s="13"/>
      <c r="L3804"/>
      <c r="M3804"/>
      <c r="N3804"/>
      <c r="O3804"/>
      <c r="P3804"/>
      <c r="Q3804"/>
      <c r="R3804"/>
      <c r="S3804"/>
      <c r="T3804"/>
      <c r="U3804"/>
      <c r="V3804"/>
      <c r="W3804"/>
      <c r="X3804"/>
      <c r="Y3804"/>
      <c r="Z3804"/>
      <c r="AA3804"/>
      <c r="AB3804"/>
      <c r="AC3804"/>
      <c r="AD3804"/>
      <c r="AE3804"/>
      <c r="AF3804"/>
      <c r="AG3804"/>
      <c r="AH3804"/>
      <c r="AI3804"/>
      <c r="AJ3804"/>
      <c r="AK3804"/>
      <c r="AL3804"/>
    </row>
    <row r="3805" spans="1:38" ht="15.75" customHeight="1" outlineLevel="3" x14ac:dyDescent="0.2">
      <c r="A3805" s="10">
        <v>25</v>
      </c>
      <c r="B3805" s="10" t="s">
        <v>71</v>
      </c>
      <c r="C3805" s="10" t="s">
        <v>748</v>
      </c>
      <c r="D3805" s="10" t="s">
        <v>750</v>
      </c>
      <c r="E3805" s="11" t="str">
        <f t="array" ref="E3805">_xlfn.XLOOKUP(D3805,Insumos!B:B,Insumos!C:$C)</f>
        <v>UN</v>
      </c>
      <c r="F3805" s="14">
        <v>0.01</v>
      </c>
      <c r="G3805" s="92">
        <f t="array" ref="G3805">IF(B3805="insumo",_xlfn.XLOOKUP($D3805,Insumos!$B$1:$B$996,Insumos!$D$1:$D$996),"")</f>
        <v>11.26</v>
      </c>
      <c r="H3805" s="92">
        <v>0.11260000000000001</v>
      </c>
      <c r="I3805" s="13">
        <v>0</v>
      </c>
      <c r="J3805" s="13">
        <v>0</v>
      </c>
      <c r="K3805" s="13"/>
      <c r="L3805"/>
      <c r="M3805"/>
      <c r="N3805"/>
      <c r="O3805"/>
      <c r="P3805"/>
      <c r="Q3805"/>
      <c r="R3805"/>
      <c r="S3805"/>
      <c r="T3805"/>
      <c r="U3805"/>
      <c r="V3805"/>
      <c r="W3805"/>
      <c r="X3805"/>
      <c r="Y3805"/>
      <c r="Z3805"/>
      <c r="AA3805"/>
      <c r="AB3805"/>
      <c r="AC3805"/>
      <c r="AD3805"/>
      <c r="AE3805"/>
      <c r="AF3805"/>
      <c r="AG3805"/>
      <c r="AH3805"/>
      <c r="AI3805"/>
      <c r="AJ3805"/>
      <c r="AK3805"/>
      <c r="AL3805"/>
    </row>
    <row r="3806" spans="1:38" ht="15.75" customHeight="1" outlineLevel="3" x14ac:dyDescent="0.2">
      <c r="A3806" s="10">
        <v>8</v>
      </c>
      <c r="B3806" s="10" t="s">
        <v>71</v>
      </c>
      <c r="C3806" s="10" t="s">
        <v>748</v>
      </c>
      <c r="D3806" s="10" t="s">
        <v>751</v>
      </c>
      <c r="E3806" s="11" t="str">
        <f t="array" ref="E3806">_xlfn.XLOOKUP(D3806,Insumos!B:B,Insumos!C:$C)</f>
        <v>L</v>
      </c>
      <c r="F3806" s="14">
        <v>0.2016</v>
      </c>
      <c r="G3806" s="92">
        <f t="array" ref="G3806">IF(B3806="insumo",_xlfn.XLOOKUP($D3806,Insumos!$B$1:$B$996,Insumos!$D$1:$D$996),"")</f>
        <v>137.24</v>
      </c>
      <c r="H3806" s="92">
        <v>27.667584000000002</v>
      </c>
      <c r="I3806" s="13">
        <v>0</v>
      </c>
      <c r="J3806" s="13">
        <v>0</v>
      </c>
      <c r="K3806" s="13"/>
      <c r="L3806"/>
      <c r="M3806"/>
      <c r="N3806"/>
      <c r="O3806"/>
      <c r="P3806"/>
      <c r="Q3806"/>
      <c r="R3806"/>
      <c r="S3806"/>
      <c r="T3806"/>
      <c r="U3806"/>
      <c r="V3806"/>
      <c r="W3806"/>
      <c r="X3806"/>
      <c r="Y3806"/>
      <c r="Z3806"/>
      <c r="AA3806"/>
      <c r="AB3806"/>
      <c r="AC3806"/>
      <c r="AD3806"/>
      <c r="AE3806"/>
      <c r="AF3806"/>
      <c r="AG3806"/>
      <c r="AH3806"/>
      <c r="AI3806"/>
      <c r="AJ3806"/>
      <c r="AK3806"/>
      <c r="AL3806"/>
    </row>
    <row r="3807" spans="1:38" ht="15.75" customHeight="1" outlineLevel="3" x14ac:dyDescent="0.2">
      <c r="A3807" s="10">
        <v>9</v>
      </c>
      <c r="B3807" s="10" t="s">
        <v>71</v>
      </c>
      <c r="C3807" s="10" t="s">
        <v>748</v>
      </c>
      <c r="D3807" s="10" t="s">
        <v>752</v>
      </c>
      <c r="E3807" s="11" t="str">
        <f t="array" ref="E3807">_xlfn.XLOOKUP(D3807,Insumos!B:B,Insumos!C:$C)</f>
        <v>L</v>
      </c>
      <c r="F3807" s="14">
        <v>0.48299999999999998</v>
      </c>
      <c r="G3807" s="92">
        <f t="array" ref="G3807">IF(B3807="insumo",_xlfn.XLOOKUP($D3807,Insumos!$B$1:$B$996,Insumos!$D$1:$D$996),"")</f>
        <v>81.944444444444443</v>
      </c>
      <c r="H3807" s="92">
        <v>39.579166666666701</v>
      </c>
      <c r="I3807" s="13">
        <v>0</v>
      </c>
      <c r="J3807" s="13">
        <v>0</v>
      </c>
      <c r="K3807" s="13"/>
      <c r="L3807"/>
      <c r="M3807"/>
      <c r="N3807"/>
      <c r="O3807"/>
      <c r="P3807"/>
      <c r="Q3807"/>
      <c r="R3807"/>
      <c r="S3807"/>
      <c r="T3807"/>
      <c r="U3807"/>
      <c r="V3807"/>
      <c r="W3807"/>
      <c r="X3807"/>
      <c r="Y3807"/>
      <c r="Z3807"/>
      <c r="AA3807"/>
      <c r="AB3807"/>
      <c r="AC3807"/>
      <c r="AD3807"/>
      <c r="AE3807"/>
      <c r="AF3807"/>
      <c r="AG3807"/>
      <c r="AH3807"/>
      <c r="AI3807"/>
      <c r="AJ3807"/>
      <c r="AK3807"/>
      <c r="AL3807"/>
    </row>
    <row r="3808" spans="1:38" ht="12.75" outlineLevel="2" x14ac:dyDescent="0.2">
      <c r="A3808" s="1071">
        <v>1</v>
      </c>
      <c r="B3808" s="1071" t="s">
        <v>68</v>
      </c>
      <c r="C3808" s="1071" t="s">
        <v>1897</v>
      </c>
      <c r="D3808" s="1071" t="s">
        <v>1897</v>
      </c>
      <c r="E3808" s="1072" t="s">
        <v>113</v>
      </c>
      <c r="F3808" s="1071"/>
      <c r="G3808" s="1073" t="str">
        <f t="array" ref="G3808">IF(B3808="insumo",_xlfn.XLOOKUP($D3808,Insumos!$B$1:$B$996,Insumos!$D$1:$D$996),"")</f>
        <v/>
      </c>
      <c r="H3808" s="1073">
        <v>0.97726000000000002</v>
      </c>
      <c r="I3808" s="1074">
        <v>0</v>
      </c>
      <c r="J3808" s="1074">
        <v>0</v>
      </c>
      <c r="K3808" s="1074"/>
      <c r="L3808"/>
      <c r="M3808"/>
      <c r="N3808"/>
      <c r="O3808"/>
      <c r="P3808"/>
      <c r="Q3808"/>
      <c r="R3808"/>
      <c r="S3808"/>
      <c r="T3808"/>
      <c r="U3808"/>
      <c r="V3808"/>
      <c r="W3808"/>
      <c r="X3808"/>
      <c r="Y3808"/>
      <c r="Z3808"/>
      <c r="AA3808"/>
      <c r="AB3808"/>
      <c r="AC3808"/>
      <c r="AD3808"/>
      <c r="AE3808"/>
      <c r="AF3808"/>
      <c r="AG3808"/>
      <c r="AH3808"/>
      <c r="AI3808"/>
      <c r="AJ3808"/>
      <c r="AK3808"/>
      <c r="AL3808"/>
    </row>
    <row r="3809" spans="1:38" ht="12.75" outlineLevel="3" x14ac:dyDescent="0.2">
      <c r="A3809" s="82">
        <v>25</v>
      </c>
      <c r="B3809" s="82" t="s">
        <v>71</v>
      </c>
      <c r="C3809" s="82" t="s">
        <v>1897</v>
      </c>
      <c r="D3809" s="82" t="s">
        <v>750</v>
      </c>
      <c r="E3809" s="11" t="str">
        <f t="array" ref="E3809">_xlfn.XLOOKUP(D3809,Insumos!B:B,Insumos!C:$C)</f>
        <v>UN</v>
      </c>
      <c r="F3809" s="86">
        <f>0.01*0.1</f>
        <v>1E-3</v>
      </c>
      <c r="G3809" s="92">
        <f t="array" ref="G3809">IF(B3809="insumo",_xlfn.XLOOKUP($D3809,Insumos!$B$1:$B$996,Insumos!$D$1:$D$996),"")</f>
        <v>11.26</v>
      </c>
      <c r="H3809" s="92">
        <v>1.1259999999999999E-2</v>
      </c>
      <c r="I3809" s="84">
        <v>0</v>
      </c>
      <c r="J3809" s="84">
        <v>0</v>
      </c>
      <c r="K3809" s="84"/>
      <c r="L3809"/>
      <c r="M3809"/>
      <c r="N3809"/>
      <c r="O3809"/>
      <c r="P3809"/>
      <c r="Q3809"/>
      <c r="R3809"/>
      <c r="S3809"/>
      <c r="T3809"/>
      <c r="U3809"/>
      <c r="V3809"/>
      <c r="W3809"/>
      <c r="X3809"/>
      <c r="Y3809"/>
      <c r="Z3809"/>
      <c r="AA3809"/>
      <c r="AB3809"/>
      <c r="AC3809"/>
      <c r="AD3809"/>
      <c r="AE3809"/>
      <c r="AF3809"/>
      <c r="AG3809"/>
      <c r="AH3809"/>
      <c r="AI3809"/>
      <c r="AJ3809"/>
      <c r="AK3809"/>
      <c r="AL3809"/>
    </row>
    <row r="3810" spans="1:38" ht="12.75" outlineLevel="3" x14ac:dyDescent="0.2">
      <c r="A3810" s="82">
        <v>2</v>
      </c>
      <c r="B3810" s="82" t="s">
        <v>71</v>
      </c>
      <c r="C3810" s="82" t="s">
        <v>1897</v>
      </c>
      <c r="D3810" s="82" t="s">
        <v>1898</v>
      </c>
      <c r="E3810" s="11" t="str">
        <f t="array" ref="E3810">_xlfn.XLOOKUP(D3810,Insumos!B:B,Insumos!C:$C)</f>
        <v>L</v>
      </c>
      <c r="F3810" s="86">
        <f>0.483*0.1</f>
        <v>4.8300000000000003E-2</v>
      </c>
      <c r="G3810" s="92">
        <f t="array" ref="G3810">IF(B3810="insumo",_xlfn.XLOOKUP($D3810,Insumos!$B$1:$B$996,Insumos!$D$1:$D$996),"")</f>
        <v>20</v>
      </c>
      <c r="H3810" s="92">
        <v>0.96599999999999997</v>
      </c>
      <c r="I3810" s="84">
        <v>0</v>
      </c>
      <c r="J3810" s="84">
        <v>0</v>
      </c>
      <c r="K3810" s="84"/>
      <c r="L3810"/>
      <c r="M3810"/>
      <c r="N3810"/>
      <c r="O3810"/>
      <c r="P3810"/>
      <c r="Q3810"/>
      <c r="R3810"/>
      <c r="S3810"/>
      <c r="T3810"/>
      <c r="U3810"/>
      <c r="V3810"/>
      <c r="W3810"/>
      <c r="X3810"/>
      <c r="Y3810"/>
      <c r="Z3810"/>
      <c r="AA3810"/>
      <c r="AB3810"/>
      <c r="AC3810"/>
      <c r="AD3810"/>
      <c r="AE3810"/>
      <c r="AF3810"/>
      <c r="AG3810"/>
      <c r="AH3810"/>
      <c r="AI3810"/>
      <c r="AJ3810"/>
      <c r="AK3810"/>
      <c r="AL3810"/>
    </row>
    <row r="3811" spans="1:38" ht="12.75" outlineLevel="2" x14ac:dyDescent="0.2">
      <c r="A3811" s="1071">
        <v>1</v>
      </c>
      <c r="B3811" s="1071" t="s">
        <v>68</v>
      </c>
      <c r="C3811" s="1071" t="s">
        <v>1899</v>
      </c>
      <c r="D3811" s="1071" t="s">
        <v>1899</v>
      </c>
      <c r="E3811" s="1072" t="s">
        <v>113</v>
      </c>
      <c r="F3811" s="1071"/>
      <c r="G3811" s="1073" t="str">
        <f t="array" ref="G3811">IF(B3811="insumo",_xlfn.XLOOKUP($D3811,Insumos!$B$1:$B$996,Insumos!$D$1:$D$996),"")</f>
        <v/>
      </c>
      <c r="H3811" s="1073">
        <v>7.0567030666666701</v>
      </c>
      <c r="I3811" s="1074">
        <v>0</v>
      </c>
      <c r="J3811" s="1074">
        <v>0</v>
      </c>
      <c r="K3811" s="1074"/>
      <c r="L3811"/>
      <c r="M3811"/>
      <c r="N3811"/>
      <c r="O3811"/>
      <c r="P3811"/>
      <c r="Q3811"/>
      <c r="R3811"/>
      <c r="S3811"/>
      <c r="T3811"/>
      <c r="U3811"/>
      <c r="V3811"/>
      <c r="W3811"/>
      <c r="X3811"/>
      <c r="Y3811"/>
      <c r="Z3811"/>
      <c r="AA3811"/>
      <c r="AB3811"/>
      <c r="AC3811"/>
      <c r="AD3811"/>
      <c r="AE3811"/>
      <c r="AF3811"/>
      <c r="AG3811"/>
      <c r="AH3811"/>
      <c r="AI3811"/>
      <c r="AJ3811"/>
      <c r="AK3811"/>
      <c r="AL3811"/>
    </row>
    <row r="3812" spans="1:38" ht="12.75" outlineLevel="3" x14ac:dyDescent="0.2">
      <c r="A3812" s="82">
        <v>9</v>
      </c>
      <c r="B3812" s="82" t="s">
        <v>71</v>
      </c>
      <c r="C3812" s="82" t="s">
        <v>1899</v>
      </c>
      <c r="D3812" s="82" t="s">
        <v>749</v>
      </c>
      <c r="E3812" s="11" t="str">
        <f t="array" ref="E3812">_xlfn.XLOOKUP(D3812,Insumos!B:B,Insumos!C:$C)</f>
        <v>L</v>
      </c>
      <c r="F3812" s="86">
        <f>0.064*0.1</f>
        <v>6.4000000000000003E-3</v>
      </c>
      <c r="G3812" s="92">
        <f t="array" ref="G3812">IF(B3812="insumo",_xlfn.XLOOKUP($D3812,Insumos!$B$1:$B$996,Insumos!$D$1:$D$996),"")</f>
        <v>50.12</v>
      </c>
      <c r="H3812" s="92">
        <v>0.320768</v>
      </c>
      <c r="I3812" s="84">
        <v>0</v>
      </c>
      <c r="J3812" s="84">
        <v>0</v>
      </c>
      <c r="K3812" s="84"/>
      <c r="L3812"/>
      <c r="M3812"/>
      <c r="N3812"/>
      <c r="O3812"/>
      <c r="P3812"/>
      <c r="Q3812"/>
      <c r="R3812"/>
      <c r="S3812"/>
      <c r="T3812"/>
      <c r="U3812"/>
      <c r="V3812"/>
      <c r="W3812"/>
      <c r="X3812"/>
      <c r="Y3812"/>
      <c r="Z3812"/>
      <c r="AA3812"/>
      <c r="AB3812"/>
      <c r="AC3812"/>
      <c r="AD3812"/>
      <c r="AE3812"/>
      <c r="AF3812"/>
      <c r="AG3812"/>
      <c r="AH3812"/>
      <c r="AI3812"/>
      <c r="AJ3812"/>
      <c r="AK3812"/>
      <c r="AL3812"/>
    </row>
    <row r="3813" spans="1:38" ht="12.75" outlineLevel="3" x14ac:dyDescent="0.2">
      <c r="A3813" s="82">
        <v>25</v>
      </c>
      <c r="B3813" s="82" t="s">
        <v>71</v>
      </c>
      <c r="C3813" s="82" t="s">
        <v>1899</v>
      </c>
      <c r="D3813" s="82" t="s">
        <v>750</v>
      </c>
      <c r="E3813" s="11" t="str">
        <f t="array" ref="E3813">_xlfn.XLOOKUP(D3813,Insumos!B:B,Insumos!C:$C)</f>
        <v>UN</v>
      </c>
      <c r="F3813" s="86">
        <f>0.01*0.1</f>
        <v>1E-3</v>
      </c>
      <c r="G3813" s="92">
        <f t="array" ref="G3813">IF(B3813="insumo",_xlfn.XLOOKUP($D3813,Insumos!$B$1:$B$996,Insumos!$D$1:$D$996),"")</f>
        <v>11.26</v>
      </c>
      <c r="H3813" s="92">
        <v>1.1259999999999999E-2</v>
      </c>
      <c r="I3813" s="84">
        <v>0</v>
      </c>
      <c r="J3813" s="84">
        <v>0</v>
      </c>
      <c r="K3813" s="84"/>
      <c r="L3813"/>
      <c r="M3813"/>
      <c r="N3813"/>
      <c r="O3813"/>
      <c r="P3813"/>
      <c r="Q3813"/>
      <c r="R3813"/>
      <c r="S3813"/>
      <c r="T3813"/>
      <c r="U3813"/>
      <c r="V3813"/>
      <c r="W3813"/>
      <c r="X3813"/>
      <c r="Y3813"/>
      <c r="Z3813"/>
      <c r="AA3813"/>
      <c r="AB3813"/>
      <c r="AC3813"/>
      <c r="AD3813"/>
      <c r="AE3813"/>
      <c r="AF3813"/>
      <c r="AG3813"/>
      <c r="AH3813"/>
      <c r="AI3813"/>
      <c r="AJ3813"/>
      <c r="AK3813"/>
      <c r="AL3813"/>
    </row>
    <row r="3814" spans="1:38" ht="12.75" outlineLevel="3" x14ac:dyDescent="0.2">
      <c r="A3814" s="82">
        <v>8</v>
      </c>
      <c r="B3814" s="82" t="s">
        <v>71</v>
      </c>
      <c r="C3814" s="82" t="s">
        <v>1899</v>
      </c>
      <c r="D3814" s="82" t="s">
        <v>751</v>
      </c>
      <c r="E3814" s="11" t="str">
        <f t="array" ref="E3814">_xlfn.XLOOKUP(D3814,Insumos!B:B,Insumos!C:$C)</f>
        <v>L</v>
      </c>
      <c r="F3814" s="86">
        <f>0.2016*0.1</f>
        <v>2.0160000000000001E-2</v>
      </c>
      <c r="G3814" s="92">
        <f t="array" ref="G3814">IF(B3814="insumo",_xlfn.XLOOKUP($D3814,Insumos!$B$1:$B$996,Insumos!$D$1:$D$996),"")</f>
        <v>137.24</v>
      </c>
      <c r="H3814" s="92">
        <v>2.7667584000000001</v>
      </c>
      <c r="I3814" s="84">
        <v>0</v>
      </c>
      <c r="J3814" s="84">
        <v>0</v>
      </c>
      <c r="K3814" s="84"/>
      <c r="L3814"/>
      <c r="M3814"/>
      <c r="N3814"/>
      <c r="O3814"/>
      <c r="P3814"/>
      <c r="Q3814"/>
      <c r="R3814"/>
      <c r="S3814"/>
      <c r="T3814"/>
      <c r="U3814"/>
      <c r="V3814"/>
      <c r="W3814"/>
      <c r="X3814"/>
      <c r="Y3814"/>
      <c r="Z3814"/>
      <c r="AA3814"/>
      <c r="AB3814"/>
      <c r="AC3814"/>
      <c r="AD3814"/>
      <c r="AE3814"/>
      <c r="AF3814"/>
      <c r="AG3814"/>
      <c r="AH3814"/>
      <c r="AI3814"/>
      <c r="AJ3814"/>
      <c r="AK3814"/>
      <c r="AL3814"/>
    </row>
    <row r="3815" spans="1:38" ht="12.75" outlineLevel="3" x14ac:dyDescent="0.2">
      <c r="A3815" s="82">
        <v>9</v>
      </c>
      <c r="B3815" s="82" t="s">
        <v>71</v>
      </c>
      <c r="C3815" s="82" t="s">
        <v>1899</v>
      </c>
      <c r="D3815" s="82" t="s">
        <v>752</v>
      </c>
      <c r="E3815" s="11" t="str">
        <f t="array" ref="E3815">_xlfn.XLOOKUP(D3815,Insumos!B:B,Insumos!C:$C)</f>
        <v>L</v>
      </c>
      <c r="F3815" s="86">
        <f>0.483*0.1</f>
        <v>4.8300000000000003E-2</v>
      </c>
      <c r="G3815" s="92">
        <f t="array" ref="G3815">IF(B3815="insumo",_xlfn.XLOOKUP($D3815,Insumos!$B$1:$B$996,Insumos!$D$1:$D$996),"")</f>
        <v>81.944444444444443</v>
      </c>
      <c r="H3815" s="92">
        <v>3.9579166666666699</v>
      </c>
      <c r="I3815" s="84">
        <v>0</v>
      </c>
      <c r="J3815" s="84">
        <v>0</v>
      </c>
      <c r="K3815" s="84"/>
      <c r="L3815"/>
      <c r="M3815"/>
      <c r="N3815"/>
      <c r="O3815"/>
      <c r="P3815"/>
      <c r="Q3815"/>
      <c r="R3815"/>
      <c r="S3815"/>
      <c r="T3815"/>
      <c r="U3815"/>
      <c r="V3815"/>
      <c r="W3815"/>
      <c r="X3815"/>
      <c r="Y3815"/>
      <c r="Z3815"/>
      <c r="AA3815"/>
      <c r="AB3815"/>
      <c r="AC3815"/>
      <c r="AD3815"/>
      <c r="AE3815"/>
      <c r="AF3815"/>
      <c r="AG3815"/>
      <c r="AH3815"/>
      <c r="AI3815"/>
      <c r="AJ3815"/>
      <c r="AK3815"/>
      <c r="AL3815"/>
    </row>
    <row r="3816" spans="1:38" ht="15.75" customHeight="1" outlineLevel="2" x14ac:dyDescent="0.2">
      <c r="A3816" s="1067">
        <v>1</v>
      </c>
      <c r="B3816" s="1067" t="s">
        <v>68</v>
      </c>
      <c r="C3816" s="1067" t="s">
        <v>753</v>
      </c>
      <c r="D3816" s="1067" t="s">
        <v>753</v>
      </c>
      <c r="E3816" s="1068" t="s">
        <v>70</v>
      </c>
      <c r="F3816" s="1067"/>
      <c r="G3816" s="1069" t="str">
        <f t="array" ref="G3816">IF(B3816="insumo",_xlfn.XLOOKUP($D3816,Insumos!$B$1:$B$996,Insumos!$D$1:$D$996),"")</f>
        <v/>
      </c>
      <c r="H3816" s="1069">
        <v>7.0567030666666701</v>
      </c>
      <c r="I3816" s="1070">
        <v>0</v>
      </c>
      <c r="J3816" s="1070">
        <v>0</v>
      </c>
      <c r="K3816" s="1070"/>
      <c r="L3816"/>
      <c r="M3816"/>
      <c r="N3816"/>
      <c r="O3816"/>
      <c r="P3816"/>
      <c r="Q3816"/>
      <c r="R3816"/>
      <c r="S3816"/>
      <c r="T3816"/>
      <c r="U3816"/>
      <c r="V3816"/>
      <c r="W3816"/>
      <c r="X3816"/>
      <c r="Y3816"/>
      <c r="Z3816"/>
      <c r="AA3816"/>
      <c r="AB3816"/>
      <c r="AC3816"/>
      <c r="AD3816"/>
      <c r="AE3816"/>
      <c r="AF3816"/>
      <c r="AG3816"/>
      <c r="AH3816"/>
      <c r="AI3816"/>
      <c r="AJ3816"/>
      <c r="AK3816"/>
      <c r="AL3816"/>
    </row>
    <row r="3817" spans="1:38" ht="15.75" customHeight="1" outlineLevel="3" x14ac:dyDescent="0.2">
      <c r="A3817" s="10">
        <v>9</v>
      </c>
      <c r="B3817" s="10" t="s">
        <v>71</v>
      </c>
      <c r="C3817" s="10" t="s">
        <v>753</v>
      </c>
      <c r="D3817" s="10" t="s">
        <v>749</v>
      </c>
      <c r="E3817" s="11" t="str">
        <f t="array" ref="E3817">_xlfn.XLOOKUP(D3817,Insumos!B:B,Insumos!C:$C)</f>
        <v>L</v>
      </c>
      <c r="F3817" s="14">
        <f>0.064*0.1</f>
        <v>6.4000000000000003E-3</v>
      </c>
      <c r="G3817" s="92">
        <f t="array" ref="G3817">IF(B3817="insumo",_xlfn.XLOOKUP($D3817,Insumos!$B$1:$B$996,Insumos!$D$1:$D$996),"")</f>
        <v>50.12</v>
      </c>
      <c r="H3817" s="92">
        <v>0.320768</v>
      </c>
      <c r="I3817" s="13">
        <v>0</v>
      </c>
      <c r="J3817" s="13">
        <v>0</v>
      </c>
      <c r="K3817" s="13"/>
      <c r="L3817"/>
      <c r="M3817"/>
      <c r="N3817"/>
      <c r="O3817"/>
      <c r="P3817"/>
      <c r="Q3817"/>
      <c r="R3817"/>
      <c r="S3817"/>
      <c r="T3817"/>
      <c r="U3817"/>
      <c r="V3817"/>
      <c r="W3817"/>
      <c r="X3817"/>
      <c r="Y3817"/>
      <c r="Z3817"/>
      <c r="AA3817"/>
      <c r="AB3817"/>
      <c r="AC3817"/>
      <c r="AD3817"/>
      <c r="AE3817"/>
      <c r="AF3817"/>
      <c r="AG3817"/>
      <c r="AH3817"/>
      <c r="AI3817"/>
      <c r="AJ3817"/>
      <c r="AK3817"/>
      <c r="AL3817"/>
    </row>
    <row r="3818" spans="1:38" ht="15.75" customHeight="1" outlineLevel="3" x14ac:dyDescent="0.2">
      <c r="A3818" s="10">
        <v>25</v>
      </c>
      <c r="B3818" s="10" t="s">
        <v>71</v>
      </c>
      <c r="C3818" s="10" t="s">
        <v>753</v>
      </c>
      <c r="D3818" s="10" t="s">
        <v>750</v>
      </c>
      <c r="E3818" s="11" t="str">
        <f t="array" ref="E3818">_xlfn.XLOOKUP(D3818,Insumos!B:B,Insumos!C:$C)</f>
        <v>UN</v>
      </c>
      <c r="F3818" s="14">
        <f>0.01*0.1</f>
        <v>1E-3</v>
      </c>
      <c r="G3818" s="92">
        <f t="array" ref="G3818">IF(B3818="insumo",_xlfn.XLOOKUP($D3818,Insumos!$B$1:$B$996,Insumos!$D$1:$D$996),"")</f>
        <v>11.26</v>
      </c>
      <c r="H3818" s="92">
        <v>1.1259999999999999E-2</v>
      </c>
      <c r="I3818" s="13">
        <v>0</v>
      </c>
      <c r="J3818" s="13">
        <v>0</v>
      </c>
      <c r="K3818" s="13"/>
      <c r="L3818"/>
      <c r="M3818"/>
      <c r="N3818"/>
      <c r="O3818"/>
      <c r="P3818"/>
      <c r="Q3818"/>
      <c r="R3818"/>
      <c r="S3818"/>
      <c r="T3818"/>
      <c r="U3818"/>
      <c r="V3818"/>
      <c r="W3818"/>
      <c r="X3818"/>
      <c r="Y3818"/>
      <c r="Z3818"/>
      <c r="AA3818"/>
      <c r="AB3818"/>
      <c r="AC3818"/>
      <c r="AD3818"/>
      <c r="AE3818"/>
      <c r="AF3818"/>
      <c r="AG3818"/>
      <c r="AH3818"/>
      <c r="AI3818"/>
      <c r="AJ3818"/>
      <c r="AK3818"/>
      <c r="AL3818"/>
    </row>
    <row r="3819" spans="1:38" ht="15.75" customHeight="1" outlineLevel="3" x14ac:dyDescent="0.2">
      <c r="A3819" s="10">
        <v>8</v>
      </c>
      <c r="B3819" s="10" t="s">
        <v>71</v>
      </c>
      <c r="C3819" s="10" t="s">
        <v>753</v>
      </c>
      <c r="D3819" s="10" t="s">
        <v>751</v>
      </c>
      <c r="E3819" s="11" t="str">
        <f t="array" ref="E3819">_xlfn.XLOOKUP(D3819,Insumos!B:B,Insumos!C:$C)</f>
        <v>L</v>
      </c>
      <c r="F3819" s="14">
        <f>0.2016*0.1</f>
        <v>2.0160000000000001E-2</v>
      </c>
      <c r="G3819" s="92">
        <f t="array" ref="G3819">IF(B3819="insumo",_xlfn.XLOOKUP($D3819,Insumos!$B$1:$B$996,Insumos!$D$1:$D$996),"")</f>
        <v>137.24</v>
      </c>
      <c r="H3819" s="92">
        <v>2.7667584000000001</v>
      </c>
      <c r="I3819" s="13">
        <v>0</v>
      </c>
      <c r="J3819" s="13">
        <v>0</v>
      </c>
      <c r="K3819" s="13"/>
      <c r="L3819"/>
      <c r="M3819"/>
      <c r="N3819"/>
      <c r="O3819"/>
      <c r="P3819"/>
      <c r="Q3819"/>
      <c r="R3819"/>
      <c r="S3819"/>
      <c r="T3819"/>
      <c r="U3819"/>
      <c r="V3819"/>
      <c r="W3819"/>
      <c r="X3819"/>
      <c r="Y3819"/>
      <c r="Z3819"/>
      <c r="AA3819"/>
      <c r="AB3819"/>
      <c r="AC3819"/>
      <c r="AD3819"/>
      <c r="AE3819"/>
      <c r="AF3819"/>
      <c r="AG3819"/>
      <c r="AH3819"/>
      <c r="AI3819"/>
      <c r="AJ3819"/>
      <c r="AK3819"/>
      <c r="AL3819"/>
    </row>
    <row r="3820" spans="1:38" ht="15.75" customHeight="1" outlineLevel="3" x14ac:dyDescent="0.2">
      <c r="A3820" s="10">
        <v>9</v>
      </c>
      <c r="B3820" s="10" t="s">
        <v>71</v>
      </c>
      <c r="C3820" s="10" t="s">
        <v>753</v>
      </c>
      <c r="D3820" s="10" t="s">
        <v>752</v>
      </c>
      <c r="E3820" s="11" t="str">
        <f t="array" ref="E3820">_xlfn.XLOOKUP(D3820,Insumos!B:B,Insumos!C:$C)</f>
        <v>L</v>
      </c>
      <c r="F3820" s="14">
        <f>0.483*0.1</f>
        <v>4.8300000000000003E-2</v>
      </c>
      <c r="G3820" s="92">
        <f t="array" ref="G3820">IF(B3820="insumo",_xlfn.XLOOKUP($D3820,Insumos!$B$1:$B$996,Insumos!$D$1:$D$996),"")</f>
        <v>81.944444444444443</v>
      </c>
      <c r="H3820" s="92">
        <v>3.9579166666666699</v>
      </c>
      <c r="I3820" s="13">
        <v>0</v>
      </c>
      <c r="J3820" s="13">
        <v>0</v>
      </c>
      <c r="K3820" s="13"/>
      <c r="L3820"/>
      <c r="M3820"/>
      <c r="N3820"/>
      <c r="O3820"/>
      <c r="P3820"/>
      <c r="Q3820"/>
      <c r="R3820"/>
      <c r="S3820"/>
      <c r="T3820"/>
      <c r="U3820"/>
      <c r="V3820"/>
      <c r="W3820"/>
      <c r="X3820"/>
      <c r="Y3820"/>
      <c r="Z3820"/>
      <c r="AA3820"/>
      <c r="AB3820"/>
      <c r="AC3820"/>
      <c r="AD3820"/>
      <c r="AE3820"/>
      <c r="AF3820"/>
      <c r="AG3820"/>
      <c r="AH3820"/>
      <c r="AI3820"/>
      <c r="AJ3820"/>
      <c r="AK3820"/>
      <c r="AL3820"/>
    </row>
    <row r="3821" spans="1:38" ht="15.75" customHeight="1" outlineLevel="2" x14ac:dyDescent="0.2">
      <c r="A3821" s="1067">
        <v>1</v>
      </c>
      <c r="B3821" s="1067" t="s">
        <v>68</v>
      </c>
      <c r="C3821" s="1067" t="s">
        <v>754</v>
      </c>
      <c r="D3821" s="1067" t="s">
        <v>754</v>
      </c>
      <c r="E3821" s="1068" t="s">
        <v>70</v>
      </c>
      <c r="F3821" s="1067"/>
      <c r="G3821" s="1069" t="str">
        <f t="array" ref="G3821">IF(B3821="insumo",_xlfn.XLOOKUP($D3821,Insumos!$B$1:$B$996,Insumos!$D$1:$D$996),"")</f>
        <v/>
      </c>
      <c r="H3821" s="1069">
        <v>70.567030666666696</v>
      </c>
      <c r="I3821" s="1070">
        <v>0</v>
      </c>
      <c r="J3821" s="1070">
        <v>0</v>
      </c>
      <c r="K3821" s="1070"/>
      <c r="L3821"/>
      <c r="M3821"/>
      <c r="N3821"/>
      <c r="O3821"/>
      <c r="P3821"/>
      <c r="Q3821"/>
      <c r="R3821"/>
      <c r="S3821"/>
      <c r="T3821"/>
      <c r="U3821"/>
      <c r="V3821"/>
      <c r="W3821"/>
      <c r="X3821"/>
      <c r="Y3821"/>
      <c r="Z3821"/>
      <c r="AA3821"/>
      <c r="AB3821"/>
      <c r="AC3821"/>
      <c r="AD3821"/>
      <c r="AE3821"/>
      <c r="AF3821"/>
      <c r="AG3821"/>
      <c r="AH3821"/>
      <c r="AI3821"/>
      <c r="AJ3821"/>
      <c r="AK3821"/>
      <c r="AL3821"/>
    </row>
    <row r="3822" spans="1:38" ht="15.75" customHeight="1" outlineLevel="3" x14ac:dyDescent="0.2">
      <c r="A3822" s="10">
        <v>9</v>
      </c>
      <c r="B3822" s="10" t="s">
        <v>71</v>
      </c>
      <c r="C3822" s="10" t="s">
        <v>754</v>
      </c>
      <c r="D3822" s="10" t="s">
        <v>749</v>
      </c>
      <c r="E3822" s="11" t="str">
        <f t="array" ref="E3822">_xlfn.XLOOKUP(D3822,Insumos!B:B,Insumos!C:$C)</f>
        <v>L</v>
      </c>
      <c r="F3822" s="14">
        <v>6.4000000000000001E-2</v>
      </c>
      <c r="G3822" s="92">
        <f t="array" ref="G3822">IF(B3822="insumo",_xlfn.XLOOKUP($D3822,Insumos!$B$1:$B$996,Insumos!$D$1:$D$996),"")</f>
        <v>50.12</v>
      </c>
      <c r="H3822" s="92">
        <v>3.2076799999999999</v>
      </c>
      <c r="I3822" s="13">
        <v>0</v>
      </c>
      <c r="J3822" s="13">
        <v>0</v>
      </c>
      <c r="K3822" s="13"/>
      <c r="L3822"/>
      <c r="M3822"/>
      <c r="N3822"/>
      <c r="O3822"/>
      <c r="P3822"/>
      <c r="Q3822"/>
      <c r="R3822"/>
      <c r="S3822"/>
      <c r="T3822"/>
      <c r="U3822"/>
      <c r="V3822"/>
      <c r="W3822"/>
      <c r="X3822"/>
      <c r="Y3822"/>
      <c r="Z3822"/>
      <c r="AA3822"/>
      <c r="AB3822"/>
      <c r="AC3822"/>
      <c r="AD3822"/>
      <c r="AE3822"/>
      <c r="AF3822"/>
      <c r="AG3822"/>
      <c r="AH3822"/>
      <c r="AI3822"/>
      <c r="AJ3822"/>
      <c r="AK3822"/>
      <c r="AL3822"/>
    </row>
    <row r="3823" spans="1:38" ht="15.75" customHeight="1" outlineLevel="3" x14ac:dyDescent="0.2">
      <c r="A3823" s="10">
        <v>25</v>
      </c>
      <c r="B3823" s="10" t="s">
        <v>71</v>
      </c>
      <c r="C3823" s="10" t="s">
        <v>754</v>
      </c>
      <c r="D3823" s="10" t="s">
        <v>750</v>
      </c>
      <c r="E3823" s="11" t="str">
        <f t="array" ref="E3823">_xlfn.XLOOKUP(D3823,Insumos!B:B,Insumos!C:$C)</f>
        <v>UN</v>
      </c>
      <c r="F3823" s="14">
        <v>0.01</v>
      </c>
      <c r="G3823" s="92">
        <f t="array" ref="G3823">IF(B3823="insumo",_xlfn.XLOOKUP($D3823,Insumos!$B$1:$B$996,Insumos!$D$1:$D$996),"")</f>
        <v>11.26</v>
      </c>
      <c r="H3823" s="92">
        <v>0.11260000000000001</v>
      </c>
      <c r="I3823" s="13">
        <v>0</v>
      </c>
      <c r="J3823" s="13">
        <v>0</v>
      </c>
      <c r="K3823" s="13"/>
      <c r="L3823"/>
      <c r="M3823"/>
      <c r="N3823"/>
      <c r="O3823"/>
      <c r="P3823"/>
      <c r="Q3823"/>
      <c r="R3823"/>
      <c r="S3823"/>
      <c r="T3823"/>
      <c r="U3823"/>
      <c r="V3823"/>
      <c r="W3823"/>
      <c r="X3823"/>
      <c r="Y3823"/>
      <c r="Z3823"/>
      <c r="AA3823"/>
      <c r="AB3823"/>
      <c r="AC3823"/>
      <c r="AD3823"/>
      <c r="AE3823"/>
      <c r="AF3823"/>
      <c r="AG3823"/>
      <c r="AH3823"/>
      <c r="AI3823"/>
      <c r="AJ3823"/>
      <c r="AK3823"/>
      <c r="AL3823"/>
    </row>
    <row r="3824" spans="1:38" ht="15.75" customHeight="1" outlineLevel="3" x14ac:dyDescent="0.2">
      <c r="A3824" s="10">
        <v>8</v>
      </c>
      <c r="B3824" s="10" t="s">
        <v>71</v>
      </c>
      <c r="C3824" s="10" t="s">
        <v>754</v>
      </c>
      <c r="D3824" s="10" t="s">
        <v>751</v>
      </c>
      <c r="E3824" s="11" t="str">
        <f t="array" ref="E3824">_xlfn.XLOOKUP(D3824,Insumos!B:B,Insumos!C:$C)</f>
        <v>L</v>
      </c>
      <c r="F3824" s="14">
        <v>0.2016</v>
      </c>
      <c r="G3824" s="92">
        <f t="array" ref="G3824">IF(B3824="insumo",_xlfn.XLOOKUP($D3824,Insumos!$B$1:$B$996,Insumos!$D$1:$D$996),"")</f>
        <v>137.24</v>
      </c>
      <c r="H3824" s="92">
        <v>27.667584000000002</v>
      </c>
      <c r="I3824" s="13">
        <v>0</v>
      </c>
      <c r="J3824" s="13">
        <v>0</v>
      </c>
      <c r="K3824" s="13"/>
      <c r="L3824"/>
      <c r="M3824"/>
      <c r="N3824"/>
      <c r="O3824"/>
      <c r="P3824"/>
      <c r="Q3824"/>
      <c r="R3824"/>
      <c r="S3824"/>
      <c r="T3824"/>
      <c r="U3824"/>
      <c r="V3824"/>
      <c r="W3824"/>
      <c r="X3824"/>
      <c r="Y3824"/>
      <c r="Z3824"/>
      <c r="AA3824"/>
      <c r="AB3824"/>
      <c r="AC3824"/>
      <c r="AD3824"/>
      <c r="AE3824"/>
      <c r="AF3824"/>
      <c r="AG3824"/>
      <c r="AH3824"/>
      <c r="AI3824"/>
      <c r="AJ3824"/>
      <c r="AK3824"/>
      <c r="AL3824"/>
    </row>
    <row r="3825" spans="1:38" ht="15.75" customHeight="1" outlineLevel="3" x14ac:dyDescent="0.2">
      <c r="A3825" s="10">
        <v>9</v>
      </c>
      <c r="B3825" s="10" t="s">
        <v>71</v>
      </c>
      <c r="C3825" s="10" t="s">
        <v>754</v>
      </c>
      <c r="D3825" s="10" t="s">
        <v>752</v>
      </c>
      <c r="E3825" s="11" t="str">
        <f t="array" ref="E3825">_xlfn.XLOOKUP(D3825,Insumos!B:B,Insumos!C:$C)</f>
        <v>L</v>
      </c>
      <c r="F3825" s="14">
        <v>0.48299999999999998</v>
      </c>
      <c r="G3825" s="92">
        <f t="array" ref="G3825">IF(B3825="insumo",_xlfn.XLOOKUP($D3825,Insumos!$B$1:$B$996,Insumos!$D$1:$D$996),"")</f>
        <v>81.944444444444443</v>
      </c>
      <c r="H3825" s="92">
        <v>39.579166666666701</v>
      </c>
      <c r="I3825" s="13">
        <v>0</v>
      </c>
      <c r="J3825" s="13">
        <v>0</v>
      </c>
      <c r="K3825" s="13"/>
      <c r="L3825"/>
      <c r="M3825"/>
      <c r="N3825"/>
      <c r="O3825"/>
      <c r="P3825"/>
      <c r="Q3825"/>
      <c r="R3825"/>
      <c r="S3825"/>
      <c r="T3825"/>
      <c r="U3825"/>
      <c r="V3825"/>
      <c r="W3825"/>
      <c r="X3825"/>
      <c r="Y3825"/>
      <c r="Z3825"/>
      <c r="AA3825"/>
      <c r="AB3825"/>
      <c r="AC3825"/>
      <c r="AD3825"/>
      <c r="AE3825"/>
      <c r="AF3825"/>
      <c r="AG3825"/>
      <c r="AH3825"/>
      <c r="AI3825"/>
      <c r="AJ3825"/>
      <c r="AK3825"/>
      <c r="AL3825"/>
    </row>
    <row r="3826" spans="1:38" ht="15.75" customHeight="1" outlineLevel="2" x14ac:dyDescent="0.2">
      <c r="A3826" s="1067">
        <v>1</v>
      </c>
      <c r="B3826" s="1067" t="s">
        <v>68</v>
      </c>
      <c r="C3826" s="1067" t="s">
        <v>755</v>
      </c>
      <c r="D3826" s="1067" t="s">
        <v>755</v>
      </c>
      <c r="E3826" s="1068" t="s">
        <v>70</v>
      </c>
      <c r="F3826" s="1067"/>
      <c r="G3826" s="1069" t="str">
        <f t="array" ref="G3826">IF(B3826="insumo",_xlfn.XLOOKUP($D3826,Insumos!$B$1:$B$996,Insumos!$D$1:$D$996),"")</f>
        <v/>
      </c>
      <c r="H3826" s="1069">
        <v>8.5043174074074095</v>
      </c>
      <c r="I3826" s="1070">
        <v>0</v>
      </c>
      <c r="J3826" s="1070">
        <v>0</v>
      </c>
      <c r="K3826" s="1070"/>
      <c r="L3826"/>
      <c r="M3826"/>
      <c r="N3826"/>
      <c r="O3826"/>
      <c r="P3826"/>
      <c r="Q3826"/>
      <c r="R3826"/>
      <c r="S3826"/>
      <c r="T3826"/>
      <c r="U3826"/>
      <c r="V3826"/>
      <c r="W3826"/>
      <c r="X3826"/>
      <c r="Y3826"/>
      <c r="Z3826"/>
      <c r="AA3826"/>
      <c r="AB3826"/>
      <c r="AC3826"/>
      <c r="AD3826"/>
      <c r="AE3826"/>
      <c r="AF3826"/>
      <c r="AG3826"/>
      <c r="AH3826"/>
      <c r="AI3826"/>
      <c r="AJ3826"/>
      <c r="AK3826"/>
      <c r="AL3826"/>
    </row>
    <row r="3827" spans="1:38" ht="15.75" customHeight="1" outlineLevel="3" x14ac:dyDescent="0.2">
      <c r="A3827" s="10">
        <v>6</v>
      </c>
      <c r="B3827" s="10" t="s">
        <v>71</v>
      </c>
      <c r="C3827" s="10" t="s">
        <v>755</v>
      </c>
      <c r="D3827" s="10" t="s">
        <v>756</v>
      </c>
      <c r="E3827" s="11" t="str">
        <f t="array" ref="E3827">_xlfn.XLOOKUP(D3827,Insumos!B:B,Insumos!C:$C)</f>
        <v>L</v>
      </c>
      <c r="F3827" s="14">
        <v>2.1000000000000001E-2</v>
      </c>
      <c r="G3827" s="92">
        <f t="array" ref="G3827">IF(B3827="insumo",_xlfn.XLOOKUP($D3827,Insumos!$B$1:$B$996,Insumos!$D$1:$D$996),"")</f>
        <v>21.99</v>
      </c>
      <c r="H3827" s="92">
        <v>0.46178999999999998</v>
      </c>
      <c r="I3827" s="13">
        <v>0</v>
      </c>
      <c r="J3827" s="13">
        <v>0</v>
      </c>
      <c r="K3827" s="13"/>
      <c r="L3827"/>
      <c r="M3827"/>
      <c r="N3827"/>
      <c r="O3827"/>
      <c r="P3827"/>
      <c r="Q3827"/>
      <c r="R3827"/>
      <c r="S3827"/>
      <c r="T3827"/>
      <c r="U3827"/>
      <c r="V3827"/>
      <c r="W3827"/>
      <c r="X3827"/>
      <c r="Y3827"/>
      <c r="Z3827"/>
      <c r="AA3827"/>
      <c r="AB3827"/>
      <c r="AC3827"/>
      <c r="AD3827"/>
      <c r="AE3827"/>
      <c r="AF3827"/>
      <c r="AG3827"/>
      <c r="AH3827"/>
      <c r="AI3827"/>
      <c r="AJ3827"/>
      <c r="AK3827"/>
      <c r="AL3827"/>
    </row>
    <row r="3828" spans="1:38" ht="22.5" customHeight="1" outlineLevel="3" x14ac:dyDescent="0.2">
      <c r="A3828" s="10">
        <v>25</v>
      </c>
      <c r="B3828" s="10" t="s">
        <v>71</v>
      </c>
      <c r="C3828" s="10" t="s">
        <v>755</v>
      </c>
      <c r="D3828" s="10" t="s">
        <v>750</v>
      </c>
      <c r="E3828" s="11" t="str">
        <f t="array" ref="E3828">_xlfn.XLOOKUP(D3828,Insumos!B:B,Insumos!C:$C)</f>
        <v>UN</v>
      </c>
      <c r="F3828" s="14">
        <v>1.2E-2</v>
      </c>
      <c r="G3828" s="92">
        <f t="array" ref="G3828">IF(B3828="insumo",_xlfn.XLOOKUP($D3828,Insumos!$B$1:$B$996,Insumos!$D$1:$D$996),"")</f>
        <v>11.26</v>
      </c>
      <c r="H3828" s="92">
        <v>0.13511999999999999</v>
      </c>
      <c r="I3828" s="13">
        <v>0</v>
      </c>
      <c r="J3828" s="13">
        <v>0</v>
      </c>
      <c r="K3828" s="13"/>
      <c r="L3828"/>
      <c r="M3828"/>
      <c r="N3828"/>
      <c r="O3828"/>
      <c r="P3828"/>
      <c r="Q3828"/>
      <c r="R3828"/>
      <c r="S3828"/>
      <c r="T3828"/>
      <c r="U3828"/>
      <c r="V3828"/>
      <c r="W3828"/>
      <c r="X3828"/>
      <c r="Y3828"/>
      <c r="Z3828"/>
      <c r="AA3828"/>
      <c r="AB3828"/>
      <c r="AC3828"/>
      <c r="AD3828"/>
      <c r="AE3828"/>
      <c r="AF3828"/>
      <c r="AG3828"/>
      <c r="AH3828"/>
      <c r="AI3828"/>
      <c r="AJ3828"/>
      <c r="AK3828"/>
      <c r="AL3828"/>
    </row>
    <row r="3829" spans="1:38" ht="15.75" customHeight="1" outlineLevel="3" x14ac:dyDescent="0.2">
      <c r="A3829" s="10">
        <v>3</v>
      </c>
      <c r="B3829" s="10" t="s">
        <v>71</v>
      </c>
      <c r="C3829" s="10" t="s">
        <v>755</v>
      </c>
      <c r="D3829" s="10" t="s">
        <v>111</v>
      </c>
      <c r="E3829" s="11" t="str">
        <f t="array" ref="E3829">_xlfn.XLOOKUP(D3829,Insumos!B:B,Insumos!C:$C)</f>
        <v>L</v>
      </c>
      <c r="F3829" s="14">
        <v>0.23722222222222222</v>
      </c>
      <c r="G3829" s="92">
        <f t="array" ref="G3829">IF(B3829="insumo",_xlfn.XLOOKUP($D3829,Insumos!$B$1:$B$996,Insumos!$D$1:$D$996),"")</f>
        <v>33.333333333333336</v>
      </c>
      <c r="H3829" s="92">
        <v>7.9074074074074101</v>
      </c>
      <c r="I3829" s="13">
        <v>0</v>
      </c>
      <c r="J3829" s="13">
        <v>0</v>
      </c>
      <c r="K3829" s="13"/>
      <c r="L3829"/>
      <c r="M3829"/>
      <c r="N3829"/>
      <c r="O3829"/>
      <c r="P3829"/>
      <c r="Q3829"/>
      <c r="R3829"/>
      <c r="S3829"/>
      <c r="T3829"/>
      <c r="U3829"/>
      <c r="V3829"/>
      <c r="W3829"/>
      <c r="X3829"/>
      <c r="Y3829"/>
      <c r="Z3829"/>
      <c r="AA3829"/>
      <c r="AB3829"/>
      <c r="AC3829"/>
      <c r="AD3829"/>
      <c r="AE3829"/>
      <c r="AF3829"/>
      <c r="AG3829"/>
      <c r="AH3829"/>
      <c r="AI3829"/>
      <c r="AJ3829"/>
      <c r="AK3829"/>
      <c r="AL3829"/>
    </row>
    <row r="3830" spans="1:38" ht="15.75" customHeight="1" outlineLevel="2" x14ac:dyDescent="0.2">
      <c r="A3830" s="1067">
        <v>1</v>
      </c>
      <c r="B3830" s="1067" t="s">
        <v>68</v>
      </c>
      <c r="C3830" s="1067" t="s">
        <v>757</v>
      </c>
      <c r="D3830" s="1067" t="s">
        <v>757</v>
      </c>
      <c r="E3830" s="1068" t="s">
        <v>70</v>
      </c>
      <c r="F3830" s="1067"/>
      <c r="G3830" s="1069" t="str">
        <f t="array" ref="G3830">IF(B3830="insumo",_xlfn.XLOOKUP($D3830,Insumos!$B$1:$B$996,Insumos!$D$1:$D$996),"")</f>
        <v/>
      </c>
      <c r="H3830" s="1069">
        <v>48.294267209876502</v>
      </c>
      <c r="I3830" s="1070" t="e">
        <v>#REF!</v>
      </c>
      <c r="J3830" s="1070" t="e">
        <v>#REF!</v>
      </c>
      <c r="K3830" s="1070"/>
      <c r="L3830"/>
      <c r="M3830"/>
      <c r="N3830"/>
      <c r="O3830"/>
      <c r="P3830"/>
      <c r="Q3830"/>
      <c r="R3830"/>
      <c r="S3830"/>
      <c r="T3830"/>
      <c r="U3830"/>
      <c r="V3830"/>
      <c r="W3830"/>
      <c r="X3830"/>
      <c r="Y3830"/>
      <c r="Z3830"/>
      <c r="AA3830"/>
      <c r="AB3830"/>
      <c r="AC3830"/>
      <c r="AD3830"/>
      <c r="AE3830"/>
      <c r="AF3830"/>
      <c r="AG3830"/>
      <c r="AH3830"/>
      <c r="AI3830"/>
      <c r="AJ3830"/>
      <c r="AK3830"/>
      <c r="AL3830"/>
    </row>
    <row r="3831" spans="1:38" ht="15.75" customHeight="1" outlineLevel="3" x14ac:dyDescent="0.2">
      <c r="A3831" s="10">
        <v>9</v>
      </c>
      <c r="B3831" s="10" t="s">
        <v>71</v>
      </c>
      <c r="C3831" s="10" t="s">
        <v>757</v>
      </c>
      <c r="D3831" s="10" t="s">
        <v>749</v>
      </c>
      <c r="E3831" s="11" t="str">
        <f t="array" ref="E3831">_xlfn.XLOOKUP(D3831,Insumos!B:B,Insumos!C:$C)</f>
        <v>L</v>
      </c>
      <c r="F3831" s="14">
        <v>2.1000000000000001E-2</v>
      </c>
      <c r="G3831" s="92">
        <f t="array" ref="G3831">IF(B3831="insumo",_xlfn.XLOOKUP($D3831,Insumos!$B$1:$B$996,Insumos!$D$1:$D$996),"")</f>
        <v>50.12</v>
      </c>
      <c r="H3831" s="92">
        <v>1.0525199999999999</v>
      </c>
      <c r="I3831" s="13" t="e">
        <v>#REF!</v>
      </c>
      <c r="J3831" s="13" t="e">
        <v>#REF!</v>
      </c>
      <c r="K3831" s="13"/>
      <c r="L3831"/>
      <c r="M3831"/>
      <c r="N3831"/>
      <c r="O3831"/>
      <c r="P3831"/>
      <c r="Q3831"/>
      <c r="R3831"/>
      <c r="S3831"/>
      <c r="T3831"/>
      <c r="U3831"/>
      <c r="V3831"/>
      <c r="W3831"/>
      <c r="X3831"/>
      <c r="Y3831"/>
      <c r="Z3831"/>
      <c r="AA3831"/>
      <c r="AB3831"/>
      <c r="AC3831"/>
      <c r="AD3831"/>
      <c r="AE3831"/>
      <c r="AF3831"/>
      <c r="AG3831"/>
      <c r="AH3831"/>
      <c r="AI3831"/>
      <c r="AJ3831"/>
      <c r="AK3831"/>
      <c r="AL3831"/>
    </row>
    <row r="3832" spans="1:38" ht="15.75" customHeight="1" outlineLevel="3" x14ac:dyDescent="0.2">
      <c r="A3832" s="10">
        <v>25</v>
      </c>
      <c r="B3832" s="10" t="s">
        <v>71</v>
      </c>
      <c r="C3832" s="10" t="s">
        <v>757</v>
      </c>
      <c r="D3832" s="10" t="s">
        <v>750</v>
      </c>
      <c r="E3832" s="11" t="str">
        <f t="array" ref="E3832">_xlfn.XLOOKUP(D3832,Insumos!B:B,Insumos!C:$C)</f>
        <v>UN</v>
      </c>
      <c r="F3832" s="14">
        <v>1.2E-2</v>
      </c>
      <c r="G3832" s="92">
        <f t="array" ref="G3832">IF(B3832="insumo",_xlfn.XLOOKUP($D3832,Insumos!$B$1:$B$996,Insumos!$D$1:$D$996),"")</f>
        <v>11.26</v>
      </c>
      <c r="H3832" s="92">
        <v>0.13511999999999999</v>
      </c>
      <c r="I3832" s="13" t="e">
        <v>#REF!</v>
      </c>
      <c r="J3832" s="13" t="e">
        <v>#REF!</v>
      </c>
      <c r="K3832" s="13"/>
      <c r="L3832"/>
      <c r="M3832"/>
      <c r="N3832"/>
      <c r="O3832"/>
      <c r="P3832"/>
      <c r="Q3832"/>
      <c r="R3832"/>
      <c r="S3832"/>
      <c r="T3832"/>
      <c r="U3832"/>
      <c r="V3832"/>
      <c r="W3832"/>
      <c r="X3832"/>
      <c r="Y3832"/>
      <c r="Z3832"/>
      <c r="AA3832"/>
      <c r="AB3832"/>
      <c r="AC3832"/>
      <c r="AD3832"/>
      <c r="AE3832"/>
      <c r="AF3832"/>
      <c r="AG3832"/>
      <c r="AH3832"/>
      <c r="AI3832"/>
      <c r="AJ3832"/>
      <c r="AK3832"/>
      <c r="AL3832"/>
    </row>
    <row r="3833" spans="1:38" ht="15.75" customHeight="1" outlineLevel="3" x14ac:dyDescent="0.2">
      <c r="A3833" s="10">
        <v>8</v>
      </c>
      <c r="B3833" s="10" t="s">
        <v>71</v>
      </c>
      <c r="C3833" s="10" t="s">
        <v>757</v>
      </c>
      <c r="D3833" s="10" t="s">
        <v>751</v>
      </c>
      <c r="E3833" s="11" t="str">
        <f t="array" ref="E3833">_xlfn.XLOOKUP(D3833,Insumos!B:B,Insumos!C:$C)</f>
        <v>L</v>
      </c>
      <c r="F3833" s="14">
        <v>0.2016</v>
      </c>
      <c r="G3833" s="92">
        <f t="array" ref="G3833">IF(B3833="insumo",_xlfn.XLOOKUP($D3833,Insumos!$B$1:$B$996,Insumos!$D$1:$D$996),"")</f>
        <v>137.24</v>
      </c>
      <c r="H3833" s="92">
        <v>27.667584000000002</v>
      </c>
      <c r="I3833" s="13" t="e">
        <v>#REF!</v>
      </c>
      <c r="J3833" s="13" t="e">
        <v>#REF!</v>
      </c>
      <c r="K3833" s="13"/>
      <c r="L3833"/>
      <c r="M3833"/>
      <c r="N3833"/>
      <c r="O3833"/>
      <c r="P3833"/>
      <c r="Q3833"/>
      <c r="R3833"/>
      <c r="S3833"/>
      <c r="T3833"/>
      <c r="U3833"/>
      <c r="V3833"/>
      <c r="W3833"/>
      <c r="X3833"/>
      <c r="Y3833"/>
      <c r="Z3833"/>
      <c r="AA3833"/>
      <c r="AB3833"/>
      <c r="AC3833"/>
      <c r="AD3833"/>
      <c r="AE3833"/>
      <c r="AF3833"/>
      <c r="AG3833"/>
      <c r="AH3833"/>
      <c r="AI3833"/>
      <c r="AJ3833"/>
      <c r="AK3833"/>
      <c r="AL3833"/>
    </row>
    <row r="3834" spans="1:38" ht="15.75" customHeight="1" outlineLevel="3" x14ac:dyDescent="0.2">
      <c r="A3834" s="10">
        <v>9</v>
      </c>
      <c r="B3834" s="10" t="s">
        <v>71</v>
      </c>
      <c r="C3834" s="10" t="s">
        <v>757</v>
      </c>
      <c r="D3834" s="10" t="s">
        <v>752</v>
      </c>
      <c r="E3834" s="11" t="str">
        <f t="array" ref="E3834">_xlfn.XLOOKUP(D3834,Insumos!B:B,Insumos!C:$C)</f>
        <v>L</v>
      </c>
      <c r="F3834" s="14">
        <v>0.23722222222222222</v>
      </c>
      <c r="G3834" s="92">
        <f t="array" ref="G3834">IF(B3834="insumo",_xlfn.XLOOKUP($D3834,Insumos!$B$1:$B$996,Insumos!$D$1:$D$996),"")</f>
        <v>81.944444444444443</v>
      </c>
      <c r="H3834" s="92">
        <v>19.439043209876498</v>
      </c>
      <c r="I3834" s="13" t="e">
        <v>#REF!</v>
      </c>
      <c r="J3834" s="13" t="e">
        <v>#REF!</v>
      </c>
      <c r="K3834" s="13"/>
      <c r="L3834"/>
      <c r="M3834"/>
      <c r="N3834"/>
      <c r="O3834"/>
      <c r="P3834"/>
      <c r="Q3834"/>
      <c r="R3834"/>
      <c r="S3834"/>
      <c r="T3834"/>
      <c r="U3834"/>
      <c r="V3834"/>
      <c r="W3834"/>
      <c r="X3834"/>
      <c r="Y3834"/>
      <c r="Z3834"/>
      <c r="AA3834"/>
      <c r="AB3834"/>
      <c r="AC3834"/>
      <c r="AD3834"/>
      <c r="AE3834"/>
      <c r="AF3834"/>
      <c r="AG3834"/>
      <c r="AH3834"/>
      <c r="AI3834"/>
      <c r="AJ3834"/>
      <c r="AK3834"/>
      <c r="AL3834"/>
    </row>
    <row r="3835" spans="1:38" ht="15.75" customHeight="1" outlineLevel="2" x14ac:dyDescent="0.2">
      <c r="A3835" s="1067">
        <v>1</v>
      </c>
      <c r="B3835" s="1067" t="s">
        <v>68</v>
      </c>
      <c r="C3835" s="1067" t="s">
        <v>758</v>
      </c>
      <c r="D3835" s="1067" t="s">
        <v>758</v>
      </c>
      <c r="E3835" s="1068" t="s">
        <v>70</v>
      </c>
      <c r="F3835" s="1067"/>
      <c r="G3835" s="1069" t="str">
        <f t="array" ref="G3835">IF(B3835="insumo",_xlfn.XLOOKUP($D3835,Insumos!$B$1:$B$996,Insumos!$D$1:$D$996),"")</f>
        <v/>
      </c>
      <c r="H3835" s="1069">
        <v>14.311766666666699</v>
      </c>
      <c r="I3835" s="1070">
        <v>0</v>
      </c>
      <c r="J3835" s="1070">
        <v>0</v>
      </c>
      <c r="K3835" s="1070"/>
      <c r="L3835"/>
      <c r="M3835"/>
      <c r="N3835"/>
      <c r="O3835"/>
      <c r="P3835"/>
      <c r="Q3835"/>
      <c r="R3835"/>
      <c r="S3835"/>
      <c r="T3835"/>
      <c r="U3835"/>
      <c r="V3835"/>
      <c r="W3835"/>
      <c r="X3835"/>
      <c r="Y3835"/>
      <c r="Z3835"/>
      <c r="AA3835"/>
      <c r="AB3835"/>
      <c r="AC3835"/>
      <c r="AD3835"/>
      <c r="AE3835"/>
      <c r="AF3835"/>
      <c r="AG3835"/>
      <c r="AH3835"/>
      <c r="AI3835"/>
      <c r="AJ3835"/>
      <c r="AK3835"/>
      <c r="AL3835"/>
    </row>
    <row r="3836" spans="1:38" ht="15.75" customHeight="1" outlineLevel="3" x14ac:dyDescent="0.2">
      <c r="A3836" s="10">
        <v>25</v>
      </c>
      <c r="B3836" s="10" t="s">
        <v>71</v>
      </c>
      <c r="C3836" s="10" t="s">
        <v>758</v>
      </c>
      <c r="D3836" s="10" t="s">
        <v>750</v>
      </c>
      <c r="E3836" s="11" t="str">
        <f t="array" ref="E3836">_xlfn.XLOOKUP(D3836,Insumos!B:B,Insumos!C:$C)</f>
        <v>UN</v>
      </c>
      <c r="F3836" s="14">
        <v>0.01</v>
      </c>
      <c r="G3836" s="92">
        <f t="array" ref="G3836">IF(B3836="insumo",_xlfn.XLOOKUP($D3836,Insumos!$B$1:$B$996,Insumos!$D$1:$D$996),"")</f>
        <v>11.26</v>
      </c>
      <c r="H3836" s="92">
        <v>0.11260000000000001</v>
      </c>
      <c r="I3836" s="13">
        <v>0</v>
      </c>
      <c r="J3836" s="13">
        <v>0</v>
      </c>
      <c r="K3836" s="13"/>
      <c r="L3836"/>
      <c r="M3836"/>
      <c r="N3836"/>
      <c r="O3836"/>
      <c r="P3836"/>
      <c r="Q3836"/>
      <c r="R3836"/>
      <c r="S3836"/>
      <c r="T3836"/>
      <c r="U3836"/>
      <c r="V3836"/>
      <c r="W3836"/>
      <c r="X3836"/>
      <c r="Y3836"/>
      <c r="Z3836"/>
      <c r="AA3836"/>
      <c r="AB3836"/>
      <c r="AC3836"/>
      <c r="AD3836"/>
      <c r="AE3836"/>
      <c r="AF3836"/>
      <c r="AG3836"/>
      <c r="AH3836"/>
      <c r="AI3836"/>
      <c r="AJ3836"/>
      <c r="AK3836"/>
      <c r="AL3836"/>
    </row>
    <row r="3837" spans="1:38" ht="15.75" customHeight="1" outlineLevel="3" x14ac:dyDescent="0.2">
      <c r="A3837" s="10">
        <v>1</v>
      </c>
      <c r="B3837" s="10" t="s">
        <v>71</v>
      </c>
      <c r="C3837" s="10" t="s">
        <v>758</v>
      </c>
      <c r="D3837" s="10" t="s">
        <v>759</v>
      </c>
      <c r="E3837" s="11" t="str">
        <f t="array" ref="E3837">_xlfn.XLOOKUP(D3837,Insumos!B:B,Insumos!C:$C)</f>
        <v>L</v>
      </c>
      <c r="F3837" s="14">
        <v>0.33</v>
      </c>
      <c r="G3837" s="92">
        <f t="array" ref="G3837">IF(B3837="insumo",_xlfn.XLOOKUP($D3837,Insumos!$B$1:$B$996,Insumos!$D$1:$D$996),"")</f>
        <v>43.027777777777779</v>
      </c>
      <c r="H3837" s="92">
        <v>14.1991666666667</v>
      </c>
      <c r="I3837" s="13">
        <v>0</v>
      </c>
      <c r="J3837" s="13">
        <v>0</v>
      </c>
      <c r="K3837" s="13"/>
      <c r="L3837"/>
      <c r="M3837"/>
      <c r="N3837"/>
      <c r="O3837"/>
      <c r="P3837"/>
      <c r="Q3837"/>
      <c r="R3837"/>
      <c r="S3837"/>
      <c r="T3837"/>
      <c r="U3837"/>
      <c r="V3837"/>
      <c r="W3837"/>
      <c r="X3837"/>
      <c r="Y3837"/>
      <c r="Z3837"/>
      <c r="AA3837"/>
      <c r="AB3837"/>
      <c r="AC3837"/>
      <c r="AD3837"/>
      <c r="AE3837"/>
      <c r="AF3837"/>
      <c r="AG3837"/>
      <c r="AH3837"/>
      <c r="AI3837"/>
      <c r="AJ3837"/>
      <c r="AK3837"/>
      <c r="AL3837"/>
    </row>
    <row r="3838" spans="1:38" ht="15.75" customHeight="1" outlineLevel="2" x14ac:dyDescent="0.2">
      <c r="A3838" s="1067">
        <v>1</v>
      </c>
      <c r="B3838" s="1067" t="s">
        <v>68</v>
      </c>
      <c r="C3838" s="1067" t="s">
        <v>760</v>
      </c>
      <c r="D3838" s="1067" t="s">
        <v>760</v>
      </c>
      <c r="E3838" s="1068" t="s">
        <v>70</v>
      </c>
      <c r="F3838" s="1067"/>
      <c r="G3838" s="1069" t="str">
        <f t="array" ref="G3838">IF(B3838="insumo",_xlfn.XLOOKUP($D3838,Insumos!$B$1:$B$996,Insumos!$D$1:$D$996),"")</f>
        <v/>
      </c>
      <c r="H3838" s="1069">
        <v>20.960709999999999</v>
      </c>
      <c r="I3838" s="1070">
        <v>0</v>
      </c>
      <c r="J3838" s="1070">
        <v>0</v>
      </c>
      <c r="K3838" s="1070"/>
      <c r="L3838"/>
      <c r="M3838"/>
      <c r="N3838"/>
      <c r="O3838"/>
      <c r="P3838"/>
      <c r="Q3838"/>
      <c r="R3838"/>
      <c r="S3838"/>
      <c r="T3838"/>
      <c r="U3838"/>
      <c r="V3838"/>
      <c r="W3838"/>
      <c r="X3838"/>
      <c r="Y3838"/>
      <c r="Z3838"/>
      <c r="AA3838"/>
      <c r="AB3838"/>
      <c r="AC3838"/>
      <c r="AD3838"/>
      <c r="AE3838"/>
      <c r="AF3838"/>
      <c r="AG3838"/>
      <c r="AH3838"/>
      <c r="AI3838"/>
      <c r="AJ3838"/>
      <c r="AK3838"/>
      <c r="AL3838"/>
    </row>
    <row r="3839" spans="1:38" ht="15.75" customHeight="1" outlineLevel="3" x14ac:dyDescent="0.2">
      <c r="A3839" s="10">
        <v>6</v>
      </c>
      <c r="B3839" s="10" t="s">
        <v>71</v>
      </c>
      <c r="C3839" s="10" t="s">
        <v>760</v>
      </c>
      <c r="D3839" s="10" t="s">
        <v>756</v>
      </c>
      <c r="E3839" s="11" t="str">
        <f t="array" ref="E3839">_xlfn.XLOOKUP(D3839,Insumos!B:B,Insumos!C:$C)</f>
        <v>L</v>
      </c>
      <c r="F3839" s="14">
        <v>6.4000000000000001E-2</v>
      </c>
      <c r="G3839" s="92">
        <f t="array" ref="G3839">IF(B3839="insumo",_xlfn.XLOOKUP($D3839,Insumos!$B$1:$B$996,Insumos!$D$1:$D$996),"")</f>
        <v>21.99</v>
      </c>
      <c r="H3839" s="92">
        <v>1.4073599999999999</v>
      </c>
      <c r="I3839" s="13">
        <v>0</v>
      </c>
      <c r="J3839" s="13">
        <v>0</v>
      </c>
      <c r="K3839" s="13"/>
      <c r="L3839"/>
      <c r="M3839"/>
      <c r="N3839"/>
      <c r="O3839"/>
      <c r="P3839"/>
      <c r="Q3839"/>
      <c r="R3839"/>
      <c r="S3839"/>
      <c r="T3839"/>
      <c r="U3839"/>
      <c r="V3839"/>
      <c r="W3839"/>
      <c r="X3839"/>
      <c r="Y3839"/>
      <c r="Z3839"/>
      <c r="AA3839"/>
      <c r="AB3839"/>
      <c r="AC3839"/>
      <c r="AD3839"/>
      <c r="AE3839"/>
      <c r="AF3839"/>
      <c r="AG3839"/>
      <c r="AH3839"/>
      <c r="AI3839"/>
      <c r="AJ3839"/>
      <c r="AK3839"/>
      <c r="AL3839"/>
    </row>
    <row r="3840" spans="1:38" ht="15.75" customHeight="1" outlineLevel="3" x14ac:dyDescent="0.2">
      <c r="A3840" s="10">
        <v>25</v>
      </c>
      <c r="B3840" s="10" t="s">
        <v>71</v>
      </c>
      <c r="C3840" s="10" t="s">
        <v>760</v>
      </c>
      <c r="D3840" s="10" t="s">
        <v>750</v>
      </c>
      <c r="E3840" s="11" t="str">
        <f t="array" ref="E3840">_xlfn.XLOOKUP(D3840,Insumos!B:B,Insumos!C:$C)</f>
        <v>UN</v>
      </c>
      <c r="F3840" s="14">
        <v>0.01</v>
      </c>
      <c r="G3840" s="92">
        <f t="array" ref="G3840">IF(B3840="insumo",_xlfn.XLOOKUP($D3840,Insumos!$B$1:$B$996,Insumos!$D$1:$D$996),"")</f>
        <v>11.26</v>
      </c>
      <c r="H3840" s="92">
        <v>0.11260000000000001</v>
      </c>
      <c r="I3840" s="13">
        <v>0</v>
      </c>
      <c r="J3840" s="13">
        <v>0</v>
      </c>
      <c r="K3840" s="13"/>
      <c r="L3840"/>
      <c r="M3840"/>
      <c r="N3840"/>
      <c r="O3840"/>
      <c r="P3840"/>
      <c r="Q3840"/>
      <c r="R3840"/>
      <c r="S3840"/>
      <c r="T3840"/>
      <c r="U3840"/>
      <c r="V3840"/>
      <c r="W3840"/>
      <c r="X3840"/>
      <c r="Y3840"/>
      <c r="Z3840"/>
      <c r="AA3840"/>
      <c r="AB3840"/>
      <c r="AC3840"/>
      <c r="AD3840"/>
      <c r="AE3840"/>
      <c r="AF3840"/>
      <c r="AG3840"/>
      <c r="AH3840"/>
      <c r="AI3840"/>
      <c r="AJ3840"/>
      <c r="AK3840"/>
      <c r="AL3840"/>
    </row>
    <row r="3841" spans="1:38" ht="15.75" customHeight="1" outlineLevel="3" x14ac:dyDescent="0.2">
      <c r="A3841" s="10">
        <v>1</v>
      </c>
      <c r="B3841" s="10" t="s">
        <v>71</v>
      </c>
      <c r="C3841" s="10" t="s">
        <v>760</v>
      </c>
      <c r="D3841" s="10" t="s">
        <v>761</v>
      </c>
      <c r="E3841" s="11" t="str">
        <f t="array" ref="E3841">_xlfn.XLOOKUP(D3841,Insumos!B:B,Insumos!C:$C)</f>
        <v>L</v>
      </c>
      <c r="F3841" s="14">
        <v>0.48299999999999998</v>
      </c>
      <c r="G3841" s="92">
        <f t="array" ref="G3841">IF(B3841="insumo",_xlfn.XLOOKUP($D3841,Insumos!$B$1:$B$996,Insumos!$D$1:$D$996),"")</f>
        <v>40.25</v>
      </c>
      <c r="H3841" s="92">
        <v>19.440750000000001</v>
      </c>
      <c r="I3841" s="13">
        <v>0</v>
      </c>
      <c r="J3841" s="13">
        <v>0</v>
      </c>
      <c r="K3841" s="13"/>
      <c r="L3841"/>
      <c r="M3841"/>
      <c r="N3841"/>
      <c r="O3841"/>
      <c r="P3841"/>
      <c r="Q3841"/>
      <c r="R3841"/>
      <c r="S3841"/>
      <c r="T3841"/>
      <c r="U3841"/>
      <c r="V3841"/>
      <c r="W3841"/>
      <c r="X3841"/>
      <c r="Y3841"/>
      <c r="Z3841"/>
      <c r="AA3841"/>
      <c r="AB3841"/>
      <c r="AC3841"/>
      <c r="AD3841"/>
      <c r="AE3841"/>
      <c r="AF3841"/>
      <c r="AG3841"/>
      <c r="AH3841"/>
      <c r="AI3841"/>
      <c r="AJ3841"/>
      <c r="AK3841"/>
      <c r="AL3841"/>
    </row>
    <row r="3842" spans="1:38" ht="15.75" customHeight="1" outlineLevel="2" x14ac:dyDescent="0.2">
      <c r="A3842" s="1067">
        <v>1</v>
      </c>
      <c r="B3842" s="1067" t="s">
        <v>68</v>
      </c>
      <c r="C3842" s="1067" t="s">
        <v>1571</v>
      </c>
      <c r="D3842" s="1067" t="s">
        <v>1571</v>
      </c>
      <c r="E3842" s="1068" t="s">
        <v>70</v>
      </c>
      <c r="F3842" s="1067"/>
      <c r="G3842" s="1069" t="str">
        <f t="array" ref="G3842">IF(B3842="insumo",_xlfn.XLOOKUP($D3842,Insumos!$B$1:$B$996,Insumos!$D$1:$D$996),"")</f>
        <v/>
      </c>
      <c r="H3842" s="1069">
        <v>16.930243333333301</v>
      </c>
      <c r="I3842" s="1070">
        <v>0</v>
      </c>
      <c r="J3842" s="1070">
        <v>0</v>
      </c>
      <c r="K3842" s="1070"/>
      <c r="L3842"/>
      <c r="M3842"/>
      <c r="N3842"/>
      <c r="O3842"/>
      <c r="P3842"/>
      <c r="Q3842"/>
      <c r="R3842"/>
      <c r="S3842"/>
      <c r="T3842"/>
      <c r="U3842"/>
      <c r="V3842"/>
      <c r="W3842"/>
      <c r="X3842"/>
      <c r="Y3842"/>
      <c r="Z3842"/>
      <c r="AA3842"/>
      <c r="AB3842"/>
      <c r="AC3842"/>
      <c r="AD3842"/>
      <c r="AE3842"/>
      <c r="AF3842"/>
      <c r="AG3842"/>
      <c r="AH3842"/>
      <c r="AI3842"/>
      <c r="AJ3842"/>
      <c r="AK3842"/>
      <c r="AL3842"/>
    </row>
    <row r="3843" spans="1:38" ht="15.75" customHeight="1" outlineLevel="3" x14ac:dyDescent="0.2">
      <c r="A3843" s="10">
        <v>6</v>
      </c>
      <c r="B3843" s="10" t="s">
        <v>71</v>
      </c>
      <c r="C3843" s="10" t="s">
        <v>1571</v>
      </c>
      <c r="D3843" s="10" t="s">
        <v>756</v>
      </c>
      <c r="E3843" s="11" t="str">
        <f t="array" ref="E3843">_xlfn.XLOOKUP(D3843,Insumos!B:B,Insumos!C:$C)</f>
        <v>L</v>
      </c>
      <c r="F3843" s="14">
        <v>2.1000000000000001E-2</v>
      </c>
      <c r="G3843" s="92">
        <f t="array" ref="G3843">IF(B3843="insumo",_xlfn.XLOOKUP($D3843,Insumos!$B$1:$B$996,Insumos!$D$1:$D$996),"")</f>
        <v>21.99</v>
      </c>
      <c r="H3843" s="92">
        <v>0.46178999999999998</v>
      </c>
      <c r="I3843" s="13">
        <v>0</v>
      </c>
      <c r="J3843" s="13">
        <v>0</v>
      </c>
      <c r="K3843" s="13"/>
      <c r="L3843"/>
      <c r="M3843"/>
      <c r="N3843"/>
      <c r="O3843"/>
      <c r="P3843"/>
      <c r="Q3843"/>
      <c r="R3843"/>
      <c r="S3843"/>
      <c r="T3843"/>
      <c r="U3843"/>
      <c r="V3843"/>
      <c r="W3843"/>
      <c r="X3843"/>
      <c r="Y3843"/>
      <c r="Z3843"/>
      <c r="AA3843"/>
      <c r="AB3843"/>
      <c r="AC3843"/>
      <c r="AD3843"/>
      <c r="AE3843"/>
      <c r="AF3843"/>
      <c r="AG3843"/>
      <c r="AH3843"/>
      <c r="AI3843"/>
      <c r="AJ3843"/>
      <c r="AK3843"/>
      <c r="AL3843"/>
    </row>
    <row r="3844" spans="1:38" ht="22.5" customHeight="1" outlineLevel="3" x14ac:dyDescent="0.2">
      <c r="A3844" s="10">
        <v>25</v>
      </c>
      <c r="B3844" s="10" t="s">
        <v>71</v>
      </c>
      <c r="C3844" s="10" t="s">
        <v>1571</v>
      </c>
      <c r="D3844" s="10" t="s">
        <v>750</v>
      </c>
      <c r="E3844" s="11" t="str">
        <f t="array" ref="E3844">_xlfn.XLOOKUP(D3844,Insumos!B:B,Insumos!C:$C)</f>
        <v>UN</v>
      </c>
      <c r="F3844" s="14">
        <v>1.2E-2</v>
      </c>
      <c r="G3844" s="92">
        <f t="array" ref="G3844">IF(B3844="insumo",_xlfn.XLOOKUP($D3844,Insumos!$B$1:$B$996,Insumos!$D$1:$D$996),"")</f>
        <v>11.26</v>
      </c>
      <c r="H3844" s="92">
        <v>0.13511999999999999</v>
      </c>
      <c r="I3844" s="13">
        <v>0</v>
      </c>
      <c r="J3844" s="13">
        <v>0</v>
      </c>
      <c r="K3844" s="13"/>
      <c r="L3844"/>
      <c r="M3844"/>
      <c r="N3844"/>
      <c r="O3844"/>
      <c r="P3844"/>
      <c r="Q3844"/>
      <c r="R3844"/>
      <c r="S3844"/>
      <c r="T3844"/>
      <c r="U3844"/>
      <c r="V3844"/>
      <c r="W3844"/>
      <c r="X3844"/>
      <c r="Y3844"/>
      <c r="Z3844"/>
      <c r="AA3844"/>
      <c r="AB3844"/>
      <c r="AC3844"/>
      <c r="AD3844"/>
      <c r="AE3844"/>
      <c r="AF3844"/>
      <c r="AG3844"/>
      <c r="AH3844"/>
      <c r="AI3844"/>
      <c r="AJ3844"/>
      <c r="AK3844"/>
      <c r="AL3844"/>
    </row>
    <row r="3845" spans="1:38" ht="15.75" customHeight="1" outlineLevel="3" x14ac:dyDescent="0.2">
      <c r="A3845" s="10">
        <v>3</v>
      </c>
      <c r="B3845" s="10" t="s">
        <v>71</v>
      </c>
      <c r="C3845" s="10" t="s">
        <v>1571</v>
      </c>
      <c r="D3845" s="10" t="s">
        <v>111</v>
      </c>
      <c r="E3845" s="11" t="str">
        <f t="array" ref="E3845">_xlfn.XLOOKUP(D3845,Insumos!B:B,Insumos!C:$C)</f>
        <v>L</v>
      </c>
      <c r="F3845" s="14">
        <v>0.49</v>
      </c>
      <c r="G3845" s="92">
        <f t="array" ref="G3845">IF(B3845="insumo",_xlfn.XLOOKUP($D3845,Insumos!$B$1:$B$996,Insumos!$D$1:$D$996),"")</f>
        <v>33.333333333333336</v>
      </c>
      <c r="H3845" s="92">
        <v>16.3333333333333</v>
      </c>
      <c r="I3845" s="13">
        <v>0</v>
      </c>
      <c r="J3845" s="13">
        <v>0</v>
      </c>
      <c r="K3845" s="13"/>
      <c r="L3845"/>
      <c r="M3845"/>
      <c r="N3845"/>
      <c r="O3845"/>
      <c r="P3845"/>
      <c r="Q3845"/>
      <c r="R3845"/>
      <c r="S3845"/>
      <c r="T3845"/>
      <c r="U3845"/>
      <c r="V3845"/>
      <c r="W3845"/>
      <c r="X3845"/>
      <c r="Y3845"/>
      <c r="Z3845"/>
      <c r="AA3845"/>
      <c r="AB3845"/>
      <c r="AC3845"/>
      <c r="AD3845"/>
      <c r="AE3845"/>
      <c r="AF3845"/>
      <c r="AG3845"/>
      <c r="AH3845"/>
      <c r="AI3845"/>
      <c r="AJ3845"/>
      <c r="AK3845"/>
      <c r="AL3845"/>
    </row>
    <row r="3846" spans="1:38" ht="15.75" customHeight="1" outlineLevel="2" x14ac:dyDescent="0.2">
      <c r="A3846" s="1067">
        <v>1</v>
      </c>
      <c r="B3846" s="1067" t="s">
        <v>68</v>
      </c>
      <c r="C3846" s="1067" t="s">
        <v>1570</v>
      </c>
      <c r="D3846" s="1067" t="s">
        <v>1570</v>
      </c>
      <c r="E3846" s="1068" t="s">
        <v>70</v>
      </c>
      <c r="F3846" s="1067"/>
      <c r="G3846" s="1069" t="str">
        <f t="array" ref="G3846">IF(B3846="insumo",_xlfn.XLOOKUP($D3846,Insumos!$B$1:$B$996,Insumos!$D$1:$D$996),"")</f>
        <v/>
      </c>
      <c r="H3846" s="1069">
        <v>14.714265636363599</v>
      </c>
      <c r="I3846" s="1070">
        <v>0</v>
      </c>
      <c r="J3846" s="1070">
        <v>0</v>
      </c>
      <c r="K3846" s="1070"/>
      <c r="L3846"/>
      <c r="M3846"/>
      <c r="N3846"/>
      <c r="O3846"/>
      <c r="P3846"/>
      <c r="Q3846"/>
      <c r="R3846"/>
      <c r="S3846"/>
      <c r="T3846"/>
      <c r="U3846"/>
      <c r="V3846"/>
      <c r="W3846"/>
      <c r="X3846"/>
      <c r="Y3846"/>
      <c r="Z3846"/>
      <c r="AA3846"/>
      <c r="AB3846"/>
      <c r="AC3846"/>
      <c r="AD3846"/>
      <c r="AE3846"/>
      <c r="AF3846"/>
      <c r="AG3846"/>
      <c r="AH3846"/>
      <c r="AI3846"/>
      <c r="AJ3846"/>
      <c r="AK3846"/>
      <c r="AL3846"/>
    </row>
    <row r="3847" spans="1:38" ht="15.75" customHeight="1" outlineLevel="3" x14ac:dyDescent="0.2">
      <c r="A3847" s="10">
        <v>31</v>
      </c>
      <c r="B3847" s="10" t="s">
        <v>71</v>
      </c>
      <c r="C3847" s="10" t="s">
        <v>1570</v>
      </c>
      <c r="D3847" s="10" t="s">
        <v>768</v>
      </c>
      <c r="E3847" s="11" t="str">
        <f t="array" ref="E3847">_xlfn.XLOOKUP(D3847,Insumos!B:B,Insumos!C:$C)</f>
        <v>L</v>
      </c>
      <c r="F3847" s="14">
        <v>0.1666</v>
      </c>
      <c r="G3847" s="92">
        <f t="array" ref="G3847">IF(B3847="insumo",_xlfn.XLOOKUP($D3847,Insumos!$B$1:$B$996,Insumos!$D$1:$D$996),"")</f>
        <v>6.47</v>
      </c>
      <c r="H3847" s="92">
        <v>1.0779019999999999</v>
      </c>
      <c r="I3847" s="13">
        <v>0</v>
      </c>
      <c r="J3847" s="13">
        <v>0</v>
      </c>
      <c r="K3847" s="13"/>
      <c r="L3847"/>
      <c r="M3847"/>
      <c r="N3847"/>
      <c r="O3847"/>
      <c r="P3847"/>
      <c r="Q3847"/>
      <c r="R3847"/>
      <c r="S3847"/>
      <c r="T3847"/>
      <c r="U3847"/>
      <c r="V3847"/>
      <c r="W3847"/>
      <c r="X3847"/>
      <c r="Y3847"/>
      <c r="Z3847"/>
      <c r="AA3847"/>
      <c r="AB3847"/>
      <c r="AC3847"/>
      <c r="AD3847"/>
      <c r="AE3847"/>
      <c r="AF3847"/>
      <c r="AG3847"/>
      <c r="AH3847"/>
      <c r="AI3847"/>
      <c r="AJ3847"/>
      <c r="AK3847"/>
      <c r="AL3847"/>
    </row>
    <row r="3848" spans="1:38" ht="15.75" customHeight="1" outlineLevel="3" x14ac:dyDescent="0.2">
      <c r="A3848" s="10">
        <v>5</v>
      </c>
      <c r="B3848" s="10" t="s">
        <v>71</v>
      </c>
      <c r="C3848" s="10" t="s">
        <v>1570</v>
      </c>
      <c r="D3848" s="10" t="s">
        <v>769</v>
      </c>
      <c r="E3848" s="11" t="str">
        <f t="array" ref="E3848">_xlfn.XLOOKUP(D3848,Insumos!B:B,Insumos!C:$C)</f>
        <v>KG</v>
      </c>
      <c r="F3848" s="14">
        <v>1.5</v>
      </c>
      <c r="G3848" s="92">
        <f t="array" ref="G3848">IF(B3848="insumo",_xlfn.XLOOKUP($D3848,Insumos!$B$1:$B$996,Insumos!$D$1:$D$996),"")</f>
        <v>9.0909090909090917</v>
      </c>
      <c r="H3848" s="92">
        <v>13.636363636363599</v>
      </c>
      <c r="I3848" s="13">
        <v>0</v>
      </c>
      <c r="J3848" s="13">
        <v>0</v>
      </c>
      <c r="K3848" s="13"/>
      <c r="L3848"/>
      <c r="M3848"/>
      <c r="N3848"/>
      <c r="O3848"/>
      <c r="P3848"/>
      <c r="Q3848"/>
      <c r="R3848"/>
      <c r="S3848"/>
      <c r="T3848"/>
      <c r="U3848"/>
      <c r="V3848"/>
      <c r="W3848"/>
      <c r="X3848"/>
      <c r="Y3848"/>
      <c r="Z3848"/>
      <c r="AA3848"/>
      <c r="AB3848"/>
      <c r="AC3848"/>
      <c r="AD3848"/>
      <c r="AE3848"/>
      <c r="AF3848"/>
      <c r="AG3848"/>
      <c r="AH3848"/>
      <c r="AI3848"/>
      <c r="AJ3848"/>
      <c r="AK3848"/>
      <c r="AL3848"/>
    </row>
    <row r="3849" spans="1:38" ht="15.75" customHeight="1" outlineLevel="2" x14ac:dyDescent="0.2">
      <c r="A3849" s="1067">
        <v>1</v>
      </c>
      <c r="B3849" s="1067" t="s">
        <v>68</v>
      </c>
      <c r="C3849" s="1067" t="s">
        <v>762</v>
      </c>
      <c r="D3849" s="1067" t="s">
        <v>762</v>
      </c>
      <c r="E3849" s="1068" t="s">
        <v>70</v>
      </c>
      <c r="F3849" s="1067"/>
      <c r="G3849" s="1069" t="str">
        <f t="array" ref="G3849">IF(B3849="insumo",_xlfn.XLOOKUP($D3849,Insumos!$B$1:$B$996,Insumos!$D$1:$D$996),"")</f>
        <v/>
      </c>
      <c r="H3849" s="1069">
        <v>5.5982500000000002</v>
      </c>
      <c r="I3849" s="1070">
        <v>0</v>
      </c>
      <c r="J3849" s="1070">
        <v>0</v>
      </c>
      <c r="K3849" s="1070"/>
      <c r="L3849"/>
      <c r="M3849"/>
      <c r="N3849"/>
      <c r="O3849"/>
      <c r="P3849"/>
      <c r="Q3849"/>
      <c r="R3849"/>
      <c r="S3849"/>
      <c r="T3849"/>
      <c r="U3849"/>
      <c r="V3849"/>
      <c r="W3849"/>
      <c r="X3849"/>
      <c r="Y3849"/>
      <c r="Z3849"/>
      <c r="AA3849"/>
      <c r="AB3849"/>
      <c r="AC3849"/>
      <c r="AD3849"/>
      <c r="AE3849"/>
      <c r="AF3849"/>
      <c r="AG3849"/>
      <c r="AH3849"/>
      <c r="AI3849"/>
      <c r="AJ3849"/>
      <c r="AK3849"/>
      <c r="AL3849"/>
    </row>
    <row r="3850" spans="1:38" ht="15.75" customHeight="1" outlineLevel="3" x14ac:dyDescent="0.2">
      <c r="A3850" s="10">
        <v>16</v>
      </c>
      <c r="B3850" s="10" t="s">
        <v>71</v>
      </c>
      <c r="C3850" s="10" t="s">
        <v>762</v>
      </c>
      <c r="D3850" s="10" t="s">
        <v>763</v>
      </c>
      <c r="E3850" s="11" t="str">
        <f t="array" ref="E3850">_xlfn.XLOOKUP(D3850,Insumos!B:B,Insumos!C:$C)</f>
        <v>L</v>
      </c>
      <c r="F3850" s="14">
        <v>0.22850000000000001</v>
      </c>
      <c r="G3850" s="92">
        <f t="array" ref="G3850">IF(B3850="insumo",_xlfn.XLOOKUP($D3850,Insumos!$B$1:$B$996,Insumos!$D$1:$D$996),"")</f>
        <v>24.5</v>
      </c>
      <c r="H3850" s="92">
        <v>5.5982500000000002</v>
      </c>
      <c r="I3850" s="13">
        <v>0</v>
      </c>
      <c r="J3850" s="13">
        <v>0</v>
      </c>
      <c r="K3850" s="13"/>
      <c r="L3850"/>
      <c r="M3850"/>
      <c r="N3850"/>
      <c r="O3850"/>
      <c r="P3850"/>
      <c r="Q3850"/>
      <c r="R3850"/>
      <c r="S3850"/>
      <c r="T3850"/>
      <c r="U3850"/>
      <c r="V3850"/>
      <c r="W3850"/>
      <c r="X3850"/>
      <c r="Y3850"/>
      <c r="Z3850"/>
      <c r="AA3850"/>
      <c r="AB3850"/>
      <c r="AC3850"/>
      <c r="AD3850"/>
      <c r="AE3850"/>
      <c r="AF3850"/>
      <c r="AG3850"/>
      <c r="AH3850"/>
      <c r="AI3850"/>
      <c r="AJ3850"/>
      <c r="AK3850"/>
      <c r="AL3850"/>
    </row>
    <row r="3851" spans="1:38" ht="12.75" outlineLevel="2" x14ac:dyDescent="0.2">
      <c r="A3851" s="1071">
        <v>1</v>
      </c>
      <c r="B3851" s="1071" t="s">
        <v>68</v>
      </c>
      <c r="C3851" s="1071" t="s">
        <v>1920</v>
      </c>
      <c r="D3851" s="1071" t="s">
        <v>1920</v>
      </c>
      <c r="E3851" s="1072" t="s">
        <v>70</v>
      </c>
      <c r="F3851" s="1071"/>
      <c r="G3851" s="1073" t="str">
        <f t="array" ref="G3851">IF(B3851="insumo",_xlfn.XLOOKUP($D3851,Insumos!$B$1:$B$996,Insumos!$D$1:$D$996),"")</f>
        <v/>
      </c>
      <c r="H3851" s="1073">
        <v>9.7726000000000006</v>
      </c>
      <c r="I3851" s="1074">
        <v>0</v>
      </c>
      <c r="J3851" s="1074">
        <v>0</v>
      </c>
      <c r="K3851" s="1074"/>
      <c r="L3851"/>
      <c r="M3851"/>
      <c r="N3851"/>
      <c r="O3851"/>
      <c r="P3851"/>
      <c r="Q3851"/>
      <c r="R3851"/>
      <c r="S3851"/>
      <c r="T3851"/>
      <c r="U3851"/>
      <c r="V3851"/>
      <c r="W3851"/>
      <c r="X3851"/>
      <c r="Y3851"/>
      <c r="Z3851"/>
      <c r="AA3851"/>
      <c r="AB3851"/>
      <c r="AC3851"/>
      <c r="AD3851"/>
      <c r="AE3851"/>
      <c r="AF3851"/>
      <c r="AG3851"/>
      <c r="AH3851"/>
      <c r="AI3851"/>
      <c r="AJ3851"/>
      <c r="AK3851"/>
      <c r="AL3851"/>
    </row>
    <row r="3852" spans="1:38" ht="12.75" outlineLevel="3" x14ac:dyDescent="0.2">
      <c r="A3852" s="82">
        <v>25</v>
      </c>
      <c r="B3852" s="82" t="s">
        <v>71</v>
      </c>
      <c r="C3852" s="82" t="s">
        <v>1920</v>
      </c>
      <c r="D3852" s="82" t="s">
        <v>750</v>
      </c>
      <c r="E3852" s="11" t="str">
        <f t="array" ref="E3852">_xlfn.XLOOKUP(D3852,Insumos!B:B,Insumos!C:$C)</f>
        <v>UN</v>
      </c>
      <c r="F3852" s="86">
        <v>0.01</v>
      </c>
      <c r="G3852" s="92">
        <f t="array" ref="G3852">IF(B3852="insumo",_xlfn.XLOOKUP($D3852,Insumos!$B$1:$B$996,Insumos!$D$1:$D$996),"")</f>
        <v>11.26</v>
      </c>
      <c r="H3852" s="92">
        <v>0.11260000000000001</v>
      </c>
      <c r="I3852" s="84">
        <v>0</v>
      </c>
      <c r="J3852" s="84">
        <v>0</v>
      </c>
      <c r="K3852" s="84"/>
      <c r="L3852"/>
      <c r="M3852"/>
      <c r="N3852"/>
      <c r="O3852"/>
      <c r="P3852"/>
      <c r="Q3852"/>
      <c r="R3852"/>
      <c r="S3852"/>
      <c r="T3852"/>
      <c r="U3852"/>
      <c r="V3852"/>
      <c r="W3852"/>
      <c r="X3852"/>
      <c r="Y3852"/>
      <c r="Z3852"/>
      <c r="AA3852"/>
      <c r="AB3852"/>
      <c r="AC3852"/>
      <c r="AD3852"/>
      <c r="AE3852"/>
      <c r="AF3852"/>
      <c r="AG3852"/>
      <c r="AH3852"/>
      <c r="AI3852"/>
      <c r="AJ3852"/>
      <c r="AK3852"/>
      <c r="AL3852"/>
    </row>
    <row r="3853" spans="1:38" ht="12.75" outlineLevel="3" x14ac:dyDescent="0.2">
      <c r="A3853" s="82">
        <v>2</v>
      </c>
      <c r="B3853" s="82" t="s">
        <v>71</v>
      </c>
      <c r="C3853" s="82" t="s">
        <v>1920</v>
      </c>
      <c r="D3853" s="82" t="s">
        <v>1898</v>
      </c>
      <c r="E3853" s="11" t="str">
        <f t="array" ref="E3853">_xlfn.XLOOKUP(D3853,Insumos!B:B,Insumos!C:$C)</f>
        <v>L</v>
      </c>
      <c r="F3853" s="86">
        <v>0.48299999999999998</v>
      </c>
      <c r="G3853" s="92">
        <f t="array" ref="G3853">IF(B3853="insumo",_xlfn.XLOOKUP($D3853,Insumos!$B$1:$B$996,Insumos!$D$1:$D$996),"")</f>
        <v>20</v>
      </c>
      <c r="H3853" s="92">
        <v>9.66</v>
      </c>
      <c r="I3853" s="84">
        <v>0</v>
      </c>
      <c r="J3853" s="84">
        <v>0</v>
      </c>
      <c r="K3853" s="84"/>
      <c r="L3853"/>
      <c r="M3853"/>
      <c r="N3853"/>
      <c r="O3853"/>
      <c r="P3853"/>
      <c r="Q3853"/>
      <c r="R3853"/>
      <c r="S3853"/>
      <c r="T3853"/>
      <c r="U3853"/>
      <c r="V3853"/>
      <c r="W3853"/>
      <c r="X3853"/>
      <c r="Y3853"/>
      <c r="Z3853"/>
      <c r="AA3853"/>
      <c r="AB3853"/>
      <c r="AC3853"/>
      <c r="AD3853"/>
      <c r="AE3853"/>
      <c r="AF3853"/>
      <c r="AG3853"/>
      <c r="AH3853"/>
      <c r="AI3853"/>
      <c r="AJ3853"/>
      <c r="AK3853"/>
      <c r="AL3853"/>
    </row>
    <row r="3854" spans="1:38" ht="12.75" outlineLevel="2" x14ac:dyDescent="0.2">
      <c r="A3854" s="1071">
        <v>1</v>
      </c>
      <c r="B3854" s="1071" t="s">
        <v>68</v>
      </c>
      <c r="C3854" s="1071" t="s">
        <v>1921</v>
      </c>
      <c r="D3854" s="1071" t="s">
        <v>1921</v>
      </c>
      <c r="E3854" s="1072" t="s">
        <v>70</v>
      </c>
      <c r="F3854" s="1071"/>
      <c r="G3854" s="1073" t="str">
        <f t="array" ref="G3854">IF(B3854="insumo",_xlfn.XLOOKUP($D3854,Insumos!$B$1:$B$996,Insumos!$D$1:$D$996),"")</f>
        <v/>
      </c>
      <c r="H3854" s="1073">
        <v>42.899446666666698</v>
      </c>
      <c r="I3854" s="1074">
        <v>0</v>
      </c>
      <c r="J3854" s="1074">
        <v>0</v>
      </c>
      <c r="K3854" s="1074"/>
      <c r="L3854"/>
      <c r="M3854"/>
      <c r="N3854"/>
      <c r="O3854"/>
      <c r="P3854"/>
      <c r="Q3854"/>
      <c r="R3854"/>
      <c r="S3854"/>
      <c r="T3854"/>
      <c r="U3854"/>
      <c r="V3854"/>
      <c r="W3854"/>
      <c r="X3854"/>
      <c r="Y3854"/>
      <c r="Z3854"/>
      <c r="AA3854"/>
      <c r="AB3854"/>
      <c r="AC3854"/>
      <c r="AD3854"/>
      <c r="AE3854"/>
      <c r="AF3854"/>
      <c r="AG3854"/>
      <c r="AH3854"/>
      <c r="AI3854"/>
      <c r="AJ3854"/>
      <c r="AK3854"/>
      <c r="AL3854"/>
    </row>
    <row r="3855" spans="1:38" ht="12.75" outlineLevel="3" x14ac:dyDescent="0.2">
      <c r="A3855" s="82">
        <v>9</v>
      </c>
      <c r="B3855" s="82" t="s">
        <v>71</v>
      </c>
      <c r="C3855" s="82" t="s">
        <v>1921</v>
      </c>
      <c r="D3855" s="82" t="s">
        <v>749</v>
      </c>
      <c r="E3855" s="11" t="str">
        <f t="array" ref="E3855">_xlfn.XLOOKUP(D3855,Insumos!B:B,Insumos!C:$C)</f>
        <v>L</v>
      </c>
      <c r="F3855" s="86">
        <v>6.4000000000000001E-2</v>
      </c>
      <c r="G3855" s="92">
        <f t="array" ref="G3855">IF(B3855="insumo",_xlfn.XLOOKUP($D3855,Insumos!$B$1:$B$996,Insumos!$D$1:$D$996),"")</f>
        <v>50.12</v>
      </c>
      <c r="H3855" s="92">
        <v>3.2076799999999999</v>
      </c>
      <c r="I3855" s="84">
        <v>0</v>
      </c>
      <c r="J3855" s="84">
        <v>0</v>
      </c>
      <c r="K3855" s="84"/>
      <c r="L3855"/>
      <c r="M3855"/>
      <c r="N3855"/>
      <c r="O3855"/>
      <c r="P3855"/>
      <c r="Q3855"/>
      <c r="R3855"/>
      <c r="S3855"/>
      <c r="T3855"/>
      <c r="U3855"/>
      <c r="V3855"/>
      <c r="W3855"/>
      <c r="X3855"/>
      <c r="Y3855"/>
      <c r="Z3855"/>
      <c r="AA3855"/>
      <c r="AB3855"/>
      <c r="AC3855"/>
      <c r="AD3855"/>
      <c r="AE3855"/>
      <c r="AF3855"/>
      <c r="AG3855"/>
      <c r="AH3855"/>
      <c r="AI3855"/>
      <c r="AJ3855"/>
      <c r="AK3855"/>
      <c r="AL3855"/>
    </row>
    <row r="3856" spans="1:38" ht="12.75" outlineLevel="3" x14ac:dyDescent="0.2">
      <c r="A3856" s="82">
        <v>25</v>
      </c>
      <c r="B3856" s="82" t="s">
        <v>71</v>
      </c>
      <c r="C3856" s="82" t="s">
        <v>1921</v>
      </c>
      <c r="D3856" s="82" t="s">
        <v>750</v>
      </c>
      <c r="E3856" s="11" t="str">
        <f t="array" ref="E3856">_xlfn.XLOOKUP(D3856,Insumos!B:B,Insumos!C:$C)</f>
        <v>UN</v>
      </c>
      <c r="F3856" s="86">
        <v>0.01</v>
      </c>
      <c r="G3856" s="92">
        <f t="array" ref="G3856">IF(B3856="insumo",_xlfn.XLOOKUP($D3856,Insumos!$B$1:$B$996,Insumos!$D$1:$D$996),"")</f>
        <v>11.26</v>
      </c>
      <c r="H3856" s="92">
        <v>0.11260000000000001</v>
      </c>
      <c r="I3856" s="84">
        <v>0</v>
      </c>
      <c r="J3856" s="84">
        <v>0</v>
      </c>
      <c r="K3856" s="84"/>
      <c r="L3856"/>
      <c r="M3856"/>
      <c r="N3856"/>
      <c r="O3856"/>
      <c r="P3856"/>
      <c r="Q3856"/>
      <c r="R3856"/>
      <c r="S3856"/>
      <c r="T3856"/>
      <c r="U3856"/>
      <c r="V3856"/>
      <c r="W3856"/>
      <c r="X3856"/>
      <c r="Y3856"/>
      <c r="Z3856"/>
      <c r="AA3856"/>
      <c r="AB3856"/>
      <c r="AC3856"/>
      <c r="AD3856"/>
      <c r="AE3856"/>
      <c r="AF3856"/>
      <c r="AG3856"/>
      <c r="AH3856"/>
      <c r="AI3856"/>
      <c r="AJ3856"/>
      <c r="AK3856"/>
      <c r="AL3856"/>
    </row>
    <row r="3857" spans="1:38" ht="12.75" outlineLevel="3" x14ac:dyDescent="0.2">
      <c r="A3857" s="82">
        <v>9</v>
      </c>
      <c r="B3857" s="82" t="s">
        <v>71</v>
      </c>
      <c r="C3857" s="82" t="s">
        <v>1921</v>
      </c>
      <c r="D3857" s="82" t="s">
        <v>752</v>
      </c>
      <c r="E3857" s="11" t="str">
        <f t="array" ref="E3857">_xlfn.XLOOKUP(D3857,Insumos!B:B,Insumos!C:$C)</f>
        <v>L</v>
      </c>
      <c r="F3857" s="86">
        <v>0.48299999999999998</v>
      </c>
      <c r="G3857" s="92">
        <f t="array" ref="G3857">IF(B3857="insumo",_xlfn.XLOOKUP($D3857,Insumos!$B$1:$B$996,Insumos!$D$1:$D$996),"")</f>
        <v>81.944444444444443</v>
      </c>
      <c r="H3857" s="92">
        <v>39.579166666666701</v>
      </c>
      <c r="I3857" s="84">
        <v>0</v>
      </c>
      <c r="J3857" s="84">
        <v>0</v>
      </c>
      <c r="K3857" s="84"/>
      <c r="L3857"/>
      <c r="M3857"/>
      <c r="N3857"/>
      <c r="O3857"/>
      <c r="P3857"/>
      <c r="Q3857"/>
      <c r="R3857"/>
      <c r="S3857"/>
      <c r="T3857"/>
      <c r="U3857"/>
      <c r="V3857"/>
      <c r="W3857"/>
      <c r="X3857"/>
      <c r="Y3857"/>
      <c r="Z3857"/>
      <c r="AA3857"/>
      <c r="AB3857"/>
      <c r="AC3857"/>
      <c r="AD3857"/>
      <c r="AE3857"/>
      <c r="AF3857"/>
      <c r="AG3857"/>
      <c r="AH3857"/>
      <c r="AI3857"/>
      <c r="AJ3857"/>
      <c r="AK3857"/>
      <c r="AL3857"/>
    </row>
    <row r="3858" spans="1:38" ht="15.75" customHeight="1" outlineLevel="1" x14ac:dyDescent="0.2">
      <c r="A3858" s="1090">
        <v>1</v>
      </c>
      <c r="B3858" s="1090" t="s">
        <v>1228</v>
      </c>
      <c r="C3858" s="1090" t="s">
        <v>1921</v>
      </c>
      <c r="D3858" s="1090" t="s">
        <v>1556</v>
      </c>
      <c r="E3858" s="1091"/>
      <c r="F3858" s="1092"/>
      <c r="G3858" s="1091"/>
      <c r="H3858" s="1091">
        <v>0</v>
      </c>
      <c r="I3858" s="1092">
        <v>0</v>
      </c>
      <c r="J3858" s="1092">
        <v>0</v>
      </c>
      <c r="K3858" s="1092"/>
      <c r="L3858"/>
      <c r="M3858"/>
      <c r="N3858"/>
      <c r="O3858"/>
      <c r="P3858"/>
      <c r="Q3858"/>
      <c r="R3858"/>
      <c r="S3858"/>
      <c r="T3858"/>
      <c r="U3858"/>
      <c r="V3858"/>
      <c r="W3858"/>
      <c r="X3858"/>
      <c r="Y3858"/>
      <c r="Z3858"/>
      <c r="AA3858"/>
      <c r="AB3858"/>
      <c r="AC3858"/>
      <c r="AD3858"/>
      <c r="AE3858"/>
      <c r="AF3858"/>
      <c r="AG3858"/>
      <c r="AH3858"/>
      <c r="AI3858"/>
      <c r="AJ3858"/>
      <c r="AK3858"/>
      <c r="AL3858"/>
    </row>
    <row r="3859" spans="1:38" ht="15.75" customHeight="1" outlineLevel="2" x14ac:dyDescent="0.2">
      <c r="A3859" s="1067">
        <v>1</v>
      </c>
      <c r="B3859" s="1067" t="s">
        <v>68</v>
      </c>
      <c r="C3859" s="1067" t="s">
        <v>1560</v>
      </c>
      <c r="D3859" s="1067" t="s">
        <v>1560</v>
      </c>
      <c r="E3859" s="1068" t="s">
        <v>70</v>
      </c>
      <c r="F3859" s="1067"/>
      <c r="G3859" s="1069" t="str">
        <f t="array" ref="G3859">IF(B3859="insumo",_xlfn.XLOOKUP($D3859,Insumos!$B$1:$B$996,Insumos!$D$1:$D$996),"")</f>
        <v/>
      </c>
      <c r="H3859" s="1069">
        <v>1.7585555555555601</v>
      </c>
      <c r="I3859" s="1070" t="e">
        <v>#REF!</v>
      </c>
      <c r="J3859" s="1070" t="e">
        <v>#REF!</v>
      </c>
      <c r="K3859" s="1070"/>
      <c r="L3859"/>
      <c r="M3859"/>
      <c r="N3859"/>
      <c r="O3859"/>
      <c r="P3859"/>
      <c r="Q3859"/>
      <c r="R3859"/>
      <c r="S3859"/>
      <c r="T3859"/>
      <c r="U3859"/>
      <c r="V3859"/>
      <c r="W3859"/>
      <c r="X3859"/>
      <c r="Y3859"/>
      <c r="Z3859"/>
      <c r="AA3859"/>
      <c r="AB3859"/>
      <c r="AC3859"/>
      <c r="AD3859"/>
      <c r="AE3859"/>
      <c r="AF3859"/>
      <c r="AG3859"/>
      <c r="AH3859"/>
      <c r="AI3859"/>
      <c r="AJ3859"/>
      <c r="AK3859"/>
      <c r="AL3859"/>
    </row>
    <row r="3860" spans="1:38" ht="15.75" customHeight="1" outlineLevel="3" x14ac:dyDescent="0.2">
      <c r="A3860" s="10">
        <v>19</v>
      </c>
      <c r="B3860" s="10" t="s">
        <v>71</v>
      </c>
      <c r="C3860" s="10" t="s">
        <v>1560</v>
      </c>
      <c r="D3860" s="10" t="s">
        <v>766</v>
      </c>
      <c r="E3860" s="11" t="str">
        <f t="array" ref="E3860">_xlfn.XLOOKUP(D3860,Insumos!B:B,Insumos!C:$C)</f>
        <v>L</v>
      </c>
      <c r="F3860" s="14">
        <v>0.1666</v>
      </c>
      <c r="G3860" s="92">
        <f t="array" ref="G3860">IF(B3860="insumo",_xlfn.XLOOKUP($D3860,Insumos!$B$1:$B$996,Insumos!$D$1:$D$996),"")</f>
        <v>10.555555555555555</v>
      </c>
      <c r="H3860" s="92">
        <v>1.7585555555555601</v>
      </c>
      <c r="I3860" s="13" t="e">
        <v>#REF!</v>
      </c>
      <c r="J3860" s="13" t="e">
        <v>#REF!</v>
      </c>
      <c r="K3860" s="13"/>
      <c r="L3860"/>
      <c r="M3860"/>
      <c r="N3860"/>
      <c r="O3860"/>
      <c r="P3860"/>
      <c r="Q3860"/>
      <c r="R3860"/>
      <c r="S3860"/>
      <c r="T3860"/>
      <c r="U3860"/>
      <c r="V3860"/>
      <c r="W3860"/>
      <c r="X3860"/>
      <c r="Y3860"/>
      <c r="Z3860"/>
      <c r="AA3860"/>
      <c r="AB3860"/>
      <c r="AC3860"/>
      <c r="AD3860"/>
      <c r="AE3860"/>
      <c r="AF3860"/>
      <c r="AG3860"/>
      <c r="AH3860"/>
      <c r="AI3860"/>
      <c r="AJ3860"/>
      <c r="AK3860"/>
      <c r="AL3860"/>
    </row>
    <row r="3861" spans="1:38" ht="15.75" customHeight="1" outlineLevel="2" x14ac:dyDescent="0.2">
      <c r="A3861" s="1067">
        <v>1</v>
      </c>
      <c r="B3861" s="1067" t="s">
        <v>68</v>
      </c>
      <c r="C3861" s="1067" t="s">
        <v>1561</v>
      </c>
      <c r="D3861" s="1067" t="s">
        <v>1561</v>
      </c>
      <c r="E3861" s="1068" t="s">
        <v>70</v>
      </c>
      <c r="F3861" s="1067"/>
      <c r="G3861" s="1069" t="str">
        <f t="array" ref="G3861">IF(B3861="insumo",_xlfn.XLOOKUP($D3861,Insumos!$B$1:$B$996,Insumos!$D$1:$D$996),"")</f>
        <v/>
      </c>
      <c r="H3861" s="1069">
        <v>4.3491600000000004</v>
      </c>
      <c r="I3861" s="1070" t="e">
        <v>#REF!</v>
      </c>
      <c r="J3861" s="1070" t="e">
        <v>#REF!</v>
      </c>
      <c r="K3861" s="1070"/>
      <c r="L3861"/>
      <c r="M3861"/>
      <c r="N3861"/>
      <c r="O3861"/>
      <c r="P3861"/>
      <c r="Q3861"/>
      <c r="R3861"/>
      <c r="S3861"/>
      <c r="T3861"/>
      <c r="U3861"/>
      <c r="V3861"/>
      <c r="W3861"/>
      <c r="X3861"/>
      <c r="Y3861"/>
      <c r="Z3861"/>
      <c r="AA3861"/>
      <c r="AB3861"/>
      <c r="AC3861"/>
      <c r="AD3861"/>
      <c r="AE3861"/>
      <c r="AF3861"/>
      <c r="AG3861"/>
      <c r="AH3861"/>
      <c r="AI3861"/>
      <c r="AJ3861"/>
      <c r="AK3861"/>
      <c r="AL3861"/>
    </row>
    <row r="3862" spans="1:38" ht="15.75" customHeight="1" outlineLevel="3" x14ac:dyDescent="0.2">
      <c r="A3862" s="10">
        <v>21</v>
      </c>
      <c r="B3862" s="10" t="s">
        <v>71</v>
      </c>
      <c r="C3862" s="10" t="s">
        <v>1561</v>
      </c>
      <c r="D3862" s="10" t="s">
        <v>765</v>
      </c>
      <c r="E3862" s="11" t="str">
        <f t="array" ref="E3862">_xlfn.XLOOKUP(D3862,Insumos!B:B,Insumos!C:$C)</f>
        <v>KG</v>
      </c>
      <c r="F3862" s="14">
        <v>0.86670000000000003</v>
      </c>
      <c r="G3862" s="92">
        <f t="array" ref="G3862">IF(B3862="insumo",_xlfn.XLOOKUP($D3862,Insumos!$B$1:$B$996,Insumos!$D$1:$D$996),"")</f>
        <v>4.8</v>
      </c>
      <c r="H3862" s="92">
        <v>4.1601600000000003</v>
      </c>
      <c r="I3862" s="13" t="e">
        <v>#REF!</v>
      </c>
      <c r="J3862" s="13" t="e">
        <v>#REF!</v>
      </c>
      <c r="K3862" s="13"/>
      <c r="L3862"/>
      <c r="M3862"/>
      <c r="N3862"/>
      <c r="O3862"/>
      <c r="P3862"/>
      <c r="Q3862"/>
      <c r="R3862"/>
      <c r="S3862"/>
      <c r="T3862"/>
      <c r="U3862"/>
      <c r="V3862"/>
      <c r="W3862"/>
      <c r="X3862"/>
      <c r="Y3862"/>
      <c r="Z3862"/>
      <c r="AA3862"/>
      <c r="AB3862"/>
      <c r="AC3862"/>
      <c r="AD3862"/>
      <c r="AE3862"/>
      <c r="AF3862"/>
      <c r="AG3862"/>
      <c r="AH3862"/>
      <c r="AI3862"/>
      <c r="AJ3862"/>
      <c r="AK3862"/>
      <c r="AL3862"/>
    </row>
    <row r="3863" spans="1:38" ht="15.75" customHeight="1" outlineLevel="3" x14ac:dyDescent="0.2">
      <c r="A3863" s="10">
        <v>36</v>
      </c>
      <c r="B3863" s="10" t="s">
        <v>71</v>
      </c>
      <c r="C3863" s="10" t="s">
        <v>1561</v>
      </c>
      <c r="D3863" s="10" t="s">
        <v>104</v>
      </c>
      <c r="E3863" s="11" t="str">
        <f t="array" ref="E3863">_xlfn.XLOOKUP(D3863,Insumos!B:B,Insumos!C:$C)</f>
        <v>UN</v>
      </c>
      <c r="F3863" s="14">
        <v>0.1</v>
      </c>
      <c r="G3863" s="92">
        <f t="array" ref="G3863">IF(B3863="insumo",_xlfn.XLOOKUP($D3863,Insumos!$B$1:$B$996,Insumos!$D$1:$D$996),"")</f>
        <v>1.89</v>
      </c>
      <c r="H3863" s="92">
        <v>0.189</v>
      </c>
      <c r="I3863" s="13" t="e">
        <v>#REF!</v>
      </c>
      <c r="J3863" s="13" t="e">
        <v>#REF!</v>
      </c>
      <c r="K3863" s="13"/>
      <c r="L3863"/>
      <c r="M3863"/>
      <c r="N3863"/>
      <c r="O3863"/>
      <c r="P3863"/>
      <c r="Q3863"/>
      <c r="R3863"/>
      <c r="S3863"/>
      <c r="T3863"/>
      <c r="U3863"/>
      <c r="V3863"/>
      <c r="W3863"/>
      <c r="X3863"/>
      <c r="Y3863"/>
      <c r="Z3863"/>
      <c r="AA3863"/>
      <c r="AB3863"/>
      <c r="AC3863"/>
      <c r="AD3863"/>
      <c r="AE3863"/>
      <c r="AF3863"/>
      <c r="AG3863"/>
      <c r="AH3863"/>
      <c r="AI3863"/>
      <c r="AJ3863"/>
      <c r="AK3863"/>
      <c r="AL3863"/>
    </row>
    <row r="3864" spans="1:38" ht="15.75" customHeight="1" outlineLevel="2" x14ac:dyDescent="0.2">
      <c r="A3864" s="1067">
        <v>1</v>
      </c>
      <c r="B3864" s="1067" t="s">
        <v>68</v>
      </c>
      <c r="C3864" s="1067" t="s">
        <v>1549</v>
      </c>
      <c r="D3864" s="1067" t="s">
        <v>1549</v>
      </c>
      <c r="E3864" s="1068" t="s">
        <v>70</v>
      </c>
      <c r="F3864" s="1067"/>
      <c r="G3864" s="1069" t="str">
        <f t="array" ref="G3864">IF(B3864="insumo",_xlfn.XLOOKUP($D3864,Insumos!$B$1:$B$996,Insumos!$D$1:$D$996),"")</f>
        <v/>
      </c>
      <c r="H3864" s="1069">
        <v>14.280716065</v>
      </c>
      <c r="I3864" s="1070">
        <v>0</v>
      </c>
      <c r="J3864" s="1070">
        <v>0</v>
      </c>
      <c r="K3864" s="1070"/>
      <c r="L3864"/>
      <c r="M3864"/>
      <c r="N3864"/>
      <c r="O3864"/>
      <c r="P3864"/>
      <c r="Q3864"/>
      <c r="R3864"/>
      <c r="S3864"/>
      <c r="T3864"/>
      <c r="U3864"/>
      <c r="V3864"/>
      <c r="W3864"/>
      <c r="X3864"/>
      <c r="Y3864"/>
      <c r="Z3864"/>
      <c r="AA3864"/>
      <c r="AB3864"/>
      <c r="AC3864"/>
      <c r="AD3864"/>
      <c r="AE3864"/>
      <c r="AF3864"/>
      <c r="AG3864"/>
      <c r="AH3864"/>
      <c r="AI3864"/>
      <c r="AJ3864"/>
      <c r="AK3864"/>
      <c r="AL3864"/>
    </row>
    <row r="3865" spans="1:38" ht="15.75" customHeight="1" outlineLevel="3" x14ac:dyDescent="0.2">
      <c r="A3865" s="10">
        <v>1</v>
      </c>
      <c r="B3865" s="10" t="s">
        <v>71</v>
      </c>
      <c r="C3865" s="10" t="s">
        <v>1549</v>
      </c>
      <c r="D3865" s="10" t="s">
        <v>1567</v>
      </c>
      <c r="E3865" s="11" t="str">
        <f t="array" ref="E3865">_xlfn.XLOOKUP(D3865,Insumos!B:B,Insumos!C:$C)</f>
        <v>L</v>
      </c>
      <c r="F3865" s="14">
        <v>0.495</v>
      </c>
      <c r="G3865" s="92">
        <f t="array" ref="G3865">IF(B3865="insumo",_xlfn.XLOOKUP($D3865,Insumos!$B$1:$B$996,Insumos!$D$1:$D$996),"")</f>
        <v>27.777777777777779</v>
      </c>
      <c r="H3865" s="92">
        <v>13.75</v>
      </c>
      <c r="I3865" s="13">
        <v>0</v>
      </c>
      <c r="J3865" s="13">
        <v>0</v>
      </c>
      <c r="K3865" s="13"/>
      <c r="L3865"/>
      <c r="M3865"/>
      <c r="N3865"/>
      <c r="O3865"/>
      <c r="P3865"/>
      <c r="Q3865"/>
      <c r="R3865"/>
      <c r="S3865"/>
      <c r="T3865"/>
      <c r="U3865"/>
      <c r="V3865"/>
      <c r="W3865"/>
      <c r="X3865"/>
      <c r="Y3865"/>
      <c r="Z3865"/>
      <c r="AA3865"/>
      <c r="AB3865"/>
      <c r="AC3865"/>
      <c r="AD3865"/>
      <c r="AE3865"/>
      <c r="AF3865"/>
      <c r="AG3865"/>
      <c r="AH3865"/>
      <c r="AI3865"/>
      <c r="AJ3865"/>
      <c r="AK3865"/>
      <c r="AL3865"/>
    </row>
    <row r="3866" spans="1:38" ht="15.75" customHeight="1" outlineLevel="3" x14ac:dyDescent="0.2">
      <c r="A3866" s="10">
        <v>7</v>
      </c>
      <c r="B3866" s="10" t="s">
        <v>71</v>
      </c>
      <c r="C3866" s="10" t="s">
        <v>1549</v>
      </c>
      <c r="D3866" s="10" t="s">
        <v>1675</v>
      </c>
      <c r="E3866" s="11" t="str">
        <f t="array" ref="E3866">_xlfn.XLOOKUP(D3866,Insumos!B:B,Insumos!C:$C)</f>
        <v>L</v>
      </c>
      <c r="F3866" s="14">
        <v>2.2499999999999998E-3</v>
      </c>
      <c r="G3866" s="92">
        <f t="array" ref="G3866">IF(B3866="insumo",_xlfn.XLOOKUP($D3866,Insumos!$B$1:$B$996,Insumos!$D$1:$D$996),"")</f>
        <v>13.5</v>
      </c>
      <c r="H3866" s="92">
        <v>3.0374999999999999E-2</v>
      </c>
      <c r="I3866" s="13">
        <v>0</v>
      </c>
      <c r="J3866" s="13">
        <v>0</v>
      </c>
      <c r="K3866" s="13"/>
      <c r="L3866"/>
      <c r="M3866"/>
      <c r="N3866"/>
      <c r="O3866"/>
      <c r="P3866"/>
      <c r="Q3866"/>
      <c r="R3866"/>
      <c r="S3866"/>
      <c r="T3866"/>
      <c r="U3866"/>
      <c r="V3866"/>
      <c r="W3866"/>
      <c r="X3866"/>
      <c r="Y3866"/>
      <c r="Z3866"/>
      <c r="AA3866"/>
      <c r="AB3866"/>
      <c r="AC3866"/>
      <c r="AD3866"/>
      <c r="AE3866"/>
      <c r="AF3866"/>
      <c r="AG3866"/>
      <c r="AH3866"/>
      <c r="AI3866"/>
      <c r="AJ3866"/>
      <c r="AK3866"/>
      <c r="AL3866"/>
    </row>
    <row r="3867" spans="1:38" ht="15.75" customHeight="1" outlineLevel="3" x14ac:dyDescent="0.2">
      <c r="A3867" s="10">
        <v>25</v>
      </c>
      <c r="B3867" s="10" t="s">
        <v>71</v>
      </c>
      <c r="C3867" s="10" t="s">
        <v>1549</v>
      </c>
      <c r="D3867" s="10" t="s">
        <v>750</v>
      </c>
      <c r="E3867" s="11" t="str">
        <f t="array" ref="E3867">_xlfn.XLOOKUP(D3867,Insumos!B:B,Insumos!C:$C)</f>
        <v>UN</v>
      </c>
      <c r="F3867" s="14">
        <v>2.1320000000000002E-3</v>
      </c>
      <c r="G3867" s="92">
        <f t="array" ref="G3867">IF(B3867="insumo",_xlfn.XLOOKUP($D3867,Insumos!$B$1:$B$996,Insumos!$D$1:$D$996),"")</f>
        <v>11.26</v>
      </c>
      <c r="H3867" s="92">
        <v>2.4006320000000001E-2</v>
      </c>
      <c r="I3867" s="13">
        <v>0</v>
      </c>
      <c r="J3867" s="13">
        <v>0</v>
      </c>
      <c r="K3867" s="13"/>
      <c r="L3867"/>
      <c r="M3867"/>
      <c r="N3867"/>
      <c r="O3867"/>
      <c r="P3867"/>
      <c r="Q3867"/>
      <c r="R3867"/>
      <c r="S3867"/>
      <c r="T3867"/>
      <c r="U3867"/>
      <c r="V3867"/>
      <c r="W3867"/>
      <c r="X3867"/>
      <c r="Y3867"/>
      <c r="Z3867"/>
      <c r="AA3867"/>
      <c r="AB3867"/>
      <c r="AC3867"/>
      <c r="AD3867"/>
      <c r="AE3867"/>
      <c r="AF3867"/>
      <c r="AG3867"/>
      <c r="AH3867"/>
      <c r="AI3867"/>
      <c r="AJ3867"/>
      <c r="AK3867"/>
      <c r="AL3867"/>
    </row>
    <row r="3868" spans="1:38" ht="15.75" customHeight="1" outlineLevel="3" x14ac:dyDescent="0.2">
      <c r="A3868" s="10">
        <v>7</v>
      </c>
      <c r="B3868" s="10" t="s">
        <v>71</v>
      </c>
      <c r="C3868" s="10" t="s">
        <v>1549</v>
      </c>
      <c r="D3868" s="10" t="s">
        <v>1676</v>
      </c>
      <c r="E3868" s="11" t="str">
        <f t="array" ref="E3868">_xlfn.XLOOKUP(D3868,Insumos!B:B,Insumos!C:$C)</f>
        <v>UN</v>
      </c>
      <c r="F3868" s="14">
        <v>0.01</v>
      </c>
      <c r="G3868" s="92">
        <f t="array" ref="G3868">IF(B3868="insumo",_xlfn.XLOOKUP($D3868,Insumos!$B$1:$B$996,Insumos!$D$1:$D$996),"")</f>
        <v>6.9</v>
      </c>
      <c r="H3868" s="92">
        <v>6.9000000000000006E-2</v>
      </c>
      <c r="I3868" s="13">
        <v>0</v>
      </c>
      <c r="J3868" s="13">
        <v>0</v>
      </c>
      <c r="K3868" s="13"/>
      <c r="L3868"/>
      <c r="M3868"/>
      <c r="N3868"/>
      <c r="O3868"/>
      <c r="P3868"/>
      <c r="Q3868"/>
      <c r="R3868"/>
      <c r="S3868"/>
      <c r="T3868"/>
      <c r="U3868"/>
      <c r="V3868"/>
      <c r="W3868"/>
      <c r="X3868"/>
      <c r="Y3868"/>
      <c r="Z3868"/>
      <c r="AA3868"/>
      <c r="AB3868"/>
      <c r="AC3868"/>
      <c r="AD3868"/>
      <c r="AE3868"/>
      <c r="AF3868"/>
      <c r="AG3868"/>
      <c r="AH3868"/>
      <c r="AI3868"/>
      <c r="AJ3868"/>
      <c r="AK3868"/>
      <c r="AL3868"/>
    </row>
    <row r="3869" spans="1:38" ht="15.75" customHeight="1" outlineLevel="3" x14ac:dyDescent="0.2">
      <c r="A3869" s="10">
        <v>7</v>
      </c>
      <c r="B3869" s="10" t="s">
        <v>71</v>
      </c>
      <c r="C3869" s="10" t="s">
        <v>1549</v>
      </c>
      <c r="D3869" s="10" t="s">
        <v>1677</v>
      </c>
      <c r="E3869" s="11" t="str">
        <f t="array" ref="E3869">_xlfn.XLOOKUP(D3869,Insumos!B:B,Insumos!C:$C)</f>
        <v>L</v>
      </c>
      <c r="F3869" s="14">
        <v>2.3579999999999999E-3</v>
      </c>
      <c r="G3869" s="92">
        <f t="array" ref="G3869">IF(B3869="insumo",_xlfn.XLOOKUP($D3869,Insumos!$B$1:$B$996,Insumos!$D$1:$D$996),"")</f>
        <v>6.4</v>
      </c>
      <c r="H3869" s="92">
        <v>1.5091200000000001E-2</v>
      </c>
      <c r="I3869" s="13">
        <v>0</v>
      </c>
      <c r="J3869" s="13">
        <v>0</v>
      </c>
      <c r="K3869" s="13"/>
      <c r="L3869"/>
      <c r="M3869"/>
      <c r="N3869"/>
      <c r="O3869"/>
      <c r="P3869"/>
      <c r="Q3869"/>
      <c r="R3869"/>
      <c r="S3869"/>
      <c r="T3869"/>
      <c r="U3869"/>
      <c r="V3869"/>
      <c r="W3869"/>
      <c r="X3869"/>
      <c r="Y3869"/>
      <c r="Z3869"/>
      <c r="AA3869"/>
      <c r="AB3869"/>
      <c r="AC3869"/>
      <c r="AD3869"/>
      <c r="AE3869"/>
      <c r="AF3869"/>
      <c r="AG3869"/>
      <c r="AH3869"/>
      <c r="AI3869"/>
      <c r="AJ3869"/>
      <c r="AK3869"/>
      <c r="AL3869"/>
    </row>
    <row r="3870" spans="1:38" ht="15.75" customHeight="1" outlineLevel="3" x14ac:dyDescent="0.2">
      <c r="A3870" s="10">
        <v>9</v>
      </c>
      <c r="B3870" s="10" t="s">
        <v>71</v>
      </c>
      <c r="C3870" s="10" t="s">
        <v>1549</v>
      </c>
      <c r="D3870" s="10" t="s">
        <v>311</v>
      </c>
      <c r="E3870" s="11" t="str">
        <f t="array" ref="E3870">_xlfn.XLOOKUP(D3870,Insumos!B:B,Insumos!C:$C)</f>
        <v>M2</v>
      </c>
      <c r="F3870" s="14">
        <v>2.2499999999999998E-3</v>
      </c>
      <c r="G3870" s="92">
        <f t="array" ref="G3870">IF(B3870="insumo",_xlfn.XLOOKUP($D3870,Insumos!$B$1:$B$996,Insumos!$D$1:$D$996),"")</f>
        <v>2.3025000000000002</v>
      </c>
      <c r="H3870" s="92">
        <v>5.1806250000000003E-3</v>
      </c>
      <c r="I3870" s="13">
        <v>0</v>
      </c>
      <c r="J3870" s="13">
        <v>0</v>
      </c>
      <c r="K3870" s="13"/>
      <c r="L3870"/>
      <c r="M3870"/>
      <c r="N3870"/>
      <c r="O3870"/>
      <c r="P3870"/>
      <c r="Q3870"/>
      <c r="R3870"/>
      <c r="S3870"/>
      <c r="T3870"/>
      <c r="U3870"/>
      <c r="V3870"/>
      <c r="W3870"/>
      <c r="X3870"/>
      <c r="Y3870"/>
      <c r="Z3870"/>
      <c r="AA3870"/>
      <c r="AB3870"/>
      <c r="AC3870"/>
      <c r="AD3870"/>
      <c r="AE3870"/>
      <c r="AF3870"/>
      <c r="AG3870"/>
      <c r="AH3870"/>
      <c r="AI3870"/>
      <c r="AJ3870"/>
      <c r="AK3870"/>
      <c r="AL3870"/>
    </row>
    <row r="3871" spans="1:38" ht="15.75" customHeight="1" outlineLevel="3" x14ac:dyDescent="0.2">
      <c r="A3871" s="10">
        <v>7</v>
      </c>
      <c r="B3871" s="10" t="s">
        <v>71</v>
      </c>
      <c r="C3871" s="10" t="s">
        <v>1549</v>
      </c>
      <c r="D3871" s="10" t="s">
        <v>1678</v>
      </c>
      <c r="E3871" s="11" t="str">
        <f t="array" ref="E3871">_xlfn.XLOOKUP(D3871,Insumos!B:B,Insumos!C:$C)</f>
        <v>UN</v>
      </c>
      <c r="F3871" s="14">
        <v>2.4879999999999999E-2</v>
      </c>
      <c r="G3871" s="92">
        <f t="array" ref="G3871">IF(B3871="insumo",_xlfn.XLOOKUP($D3871,Insumos!$B$1:$B$996,Insumos!$D$1:$D$996),"")</f>
        <v>5.9889999999999999</v>
      </c>
      <c r="H3871" s="92">
        <v>0.14900632</v>
      </c>
      <c r="I3871" s="13">
        <v>0</v>
      </c>
      <c r="J3871" s="13">
        <v>0</v>
      </c>
      <c r="K3871" s="13"/>
      <c r="L3871"/>
      <c r="M3871"/>
      <c r="N3871"/>
      <c r="O3871"/>
      <c r="P3871"/>
      <c r="Q3871"/>
      <c r="R3871"/>
      <c r="S3871"/>
      <c r="T3871"/>
      <c r="U3871"/>
      <c r="V3871"/>
      <c r="W3871"/>
      <c r="X3871"/>
      <c r="Y3871"/>
      <c r="Z3871"/>
      <c r="AA3871"/>
      <c r="AB3871"/>
      <c r="AC3871"/>
      <c r="AD3871"/>
      <c r="AE3871"/>
      <c r="AF3871"/>
      <c r="AG3871"/>
      <c r="AH3871"/>
      <c r="AI3871"/>
      <c r="AJ3871"/>
      <c r="AK3871"/>
      <c r="AL3871"/>
    </row>
    <row r="3872" spans="1:38" ht="15.75" customHeight="1" outlineLevel="3" x14ac:dyDescent="0.2">
      <c r="A3872" s="10">
        <v>7</v>
      </c>
      <c r="B3872" s="10" t="s">
        <v>71</v>
      </c>
      <c r="C3872" s="10" t="s">
        <v>1549</v>
      </c>
      <c r="D3872" s="10" t="s">
        <v>1679</v>
      </c>
      <c r="E3872" s="11" t="str">
        <f t="array" ref="E3872">_xlfn.XLOOKUP(D3872,Insumos!B:B,Insumos!C:$C)</f>
        <v>UN</v>
      </c>
      <c r="F3872" s="14">
        <v>2.4879999999999999E-2</v>
      </c>
      <c r="G3872" s="92">
        <f t="array" ref="G3872">IF(B3872="insumo",_xlfn.XLOOKUP($D3872,Insumos!$B$1:$B$996,Insumos!$D$1:$D$996),"")</f>
        <v>5.25</v>
      </c>
      <c r="H3872" s="92">
        <v>0.13062000000000001</v>
      </c>
      <c r="I3872" s="13">
        <v>0</v>
      </c>
      <c r="J3872" s="13">
        <v>0</v>
      </c>
      <c r="K3872" s="13"/>
      <c r="L3872"/>
      <c r="M3872"/>
      <c r="N3872"/>
      <c r="O3872"/>
      <c r="P3872"/>
      <c r="Q3872"/>
      <c r="R3872"/>
      <c r="S3872"/>
      <c r="T3872"/>
      <c r="U3872"/>
      <c r="V3872"/>
      <c r="W3872"/>
      <c r="X3872"/>
      <c r="Y3872"/>
      <c r="Z3872"/>
      <c r="AA3872"/>
      <c r="AB3872"/>
      <c r="AC3872"/>
      <c r="AD3872"/>
      <c r="AE3872"/>
      <c r="AF3872"/>
      <c r="AG3872"/>
      <c r="AH3872"/>
      <c r="AI3872"/>
      <c r="AJ3872"/>
      <c r="AK3872"/>
      <c r="AL3872"/>
    </row>
    <row r="3873" spans="1:38" ht="15.75" customHeight="1" outlineLevel="3" x14ac:dyDescent="0.2">
      <c r="A3873" s="10">
        <v>7</v>
      </c>
      <c r="B3873" s="10" t="s">
        <v>71</v>
      </c>
      <c r="C3873" s="10" t="s">
        <v>1549</v>
      </c>
      <c r="D3873" s="10" t="s">
        <v>1680</v>
      </c>
      <c r="E3873" s="11" t="str">
        <f t="array" ref="E3873">_xlfn.XLOOKUP(D3873,Insumos!B:B,Insumos!C:$C)</f>
        <v>UN</v>
      </c>
      <c r="F3873" s="14">
        <v>2.1320000000000002E-3</v>
      </c>
      <c r="G3873" s="92">
        <f t="array" ref="G3873">IF(B3873="insumo",_xlfn.XLOOKUP($D3873,Insumos!$B$1:$B$996,Insumos!$D$1:$D$996),"")</f>
        <v>36.9</v>
      </c>
      <c r="H3873" s="92">
        <v>7.8670799999999999E-2</v>
      </c>
      <c r="I3873" s="13">
        <v>0</v>
      </c>
      <c r="J3873" s="13">
        <v>0</v>
      </c>
      <c r="K3873" s="13"/>
      <c r="L3873"/>
      <c r="M3873"/>
      <c r="N3873"/>
      <c r="O3873"/>
      <c r="P3873"/>
      <c r="Q3873"/>
      <c r="R3873"/>
      <c r="S3873"/>
      <c r="T3873"/>
      <c r="U3873"/>
      <c r="V3873"/>
      <c r="W3873"/>
      <c r="X3873"/>
      <c r="Y3873"/>
      <c r="Z3873"/>
      <c r="AA3873"/>
      <c r="AB3873"/>
      <c r="AC3873"/>
      <c r="AD3873"/>
      <c r="AE3873"/>
      <c r="AF3873"/>
      <c r="AG3873"/>
      <c r="AH3873"/>
      <c r="AI3873"/>
      <c r="AJ3873"/>
      <c r="AK3873"/>
      <c r="AL3873"/>
    </row>
    <row r="3874" spans="1:38" ht="15.75" customHeight="1" outlineLevel="3" x14ac:dyDescent="0.2">
      <c r="A3874" s="10">
        <v>36</v>
      </c>
      <c r="B3874" s="10" t="s">
        <v>71</v>
      </c>
      <c r="C3874" s="10" t="s">
        <v>1549</v>
      </c>
      <c r="D3874" s="10" t="s">
        <v>104</v>
      </c>
      <c r="E3874" s="11" t="str">
        <f t="array" ref="E3874">_xlfn.XLOOKUP(D3874,Insumos!B:B,Insumos!C:$C)</f>
        <v>UN</v>
      </c>
      <c r="F3874" s="14">
        <v>1.5219999999999999E-2</v>
      </c>
      <c r="G3874" s="92">
        <f t="array" ref="G3874">IF(B3874="insumo",_xlfn.XLOOKUP($D3874,Insumos!$B$1:$B$996,Insumos!$D$1:$D$996),"")</f>
        <v>1.89</v>
      </c>
      <c r="H3874" s="92">
        <v>2.8765800000000001E-2</v>
      </c>
      <c r="I3874" s="13">
        <v>0</v>
      </c>
      <c r="J3874" s="13">
        <v>0</v>
      </c>
      <c r="K3874" s="13"/>
      <c r="L3874"/>
      <c r="M3874"/>
      <c r="N3874"/>
      <c r="O3874"/>
      <c r="P3874"/>
      <c r="Q3874"/>
      <c r="R3874"/>
      <c r="S3874"/>
      <c r="T3874"/>
      <c r="U3874"/>
      <c r="V3874"/>
      <c r="W3874"/>
      <c r="X3874"/>
      <c r="Y3874"/>
      <c r="Z3874"/>
      <c r="AA3874"/>
      <c r="AB3874"/>
      <c r="AC3874"/>
      <c r="AD3874"/>
      <c r="AE3874"/>
      <c r="AF3874"/>
      <c r="AG3874"/>
      <c r="AH3874"/>
      <c r="AI3874"/>
      <c r="AJ3874"/>
      <c r="AK3874"/>
      <c r="AL3874"/>
    </row>
    <row r="3875" spans="1:38" ht="15.75" customHeight="1" outlineLevel="2" x14ac:dyDescent="0.2">
      <c r="A3875" s="1067">
        <v>1</v>
      </c>
      <c r="B3875" s="1067" t="s">
        <v>68</v>
      </c>
      <c r="C3875" s="1067" t="s">
        <v>3528</v>
      </c>
      <c r="D3875" s="1067" t="s">
        <v>3528</v>
      </c>
      <c r="E3875" s="1068" t="s">
        <v>70</v>
      </c>
      <c r="F3875" s="1067"/>
      <c r="G3875" s="1069" t="str">
        <f t="array" ref="G3875">IF(B3875="insumo",_xlfn.XLOOKUP($D3875,Insumos!$B$1:$B$996,Insumos!$D$1:$D$996),"")</f>
        <v/>
      </c>
      <c r="H3875" s="1069">
        <v>76.674746222222197</v>
      </c>
      <c r="I3875" s="1070" t="e">
        <v>#REF!</v>
      </c>
      <c r="J3875" s="1070" t="e">
        <v>#REF!</v>
      </c>
      <c r="K3875" s="1070"/>
      <c r="L3875"/>
      <c r="M3875"/>
      <c r="N3875"/>
      <c r="O3875"/>
      <c r="P3875"/>
      <c r="Q3875"/>
      <c r="R3875"/>
      <c r="S3875"/>
      <c r="T3875"/>
      <c r="U3875"/>
      <c r="V3875"/>
      <c r="W3875"/>
      <c r="X3875"/>
      <c r="Y3875"/>
      <c r="Z3875"/>
      <c r="AA3875"/>
      <c r="AB3875"/>
      <c r="AC3875"/>
      <c r="AD3875"/>
      <c r="AE3875"/>
      <c r="AF3875"/>
      <c r="AG3875"/>
      <c r="AH3875"/>
      <c r="AI3875"/>
      <c r="AJ3875"/>
      <c r="AK3875"/>
      <c r="AL3875"/>
    </row>
    <row r="3876" spans="1:38" ht="15.75" customHeight="1" outlineLevel="3" x14ac:dyDescent="0.2">
      <c r="A3876" s="10">
        <v>9</v>
      </c>
      <c r="B3876" s="10" t="s">
        <v>71</v>
      </c>
      <c r="C3876" s="10" t="s">
        <v>3528</v>
      </c>
      <c r="D3876" s="10" t="s">
        <v>749</v>
      </c>
      <c r="E3876" s="11" t="str">
        <f t="array" ref="E3876">_xlfn.XLOOKUP(D3876,Insumos!B:B,Insumos!C:$C)</f>
        <v>L</v>
      </c>
      <c r="F3876" s="14">
        <v>6.4000000000000001E-2</v>
      </c>
      <c r="G3876" s="92">
        <f t="array" ref="G3876">IF(B3876="insumo",_xlfn.XLOOKUP($D3876,Insumos!$B$1:$B$996,Insumos!$D$1:$D$996),"")</f>
        <v>50.12</v>
      </c>
      <c r="H3876" s="92">
        <v>3.2076799999999999</v>
      </c>
      <c r="I3876" s="13" t="e">
        <v>#REF!</v>
      </c>
      <c r="J3876" s="13" t="e">
        <v>#REF!</v>
      </c>
      <c r="K3876" s="13"/>
      <c r="L3876"/>
      <c r="M3876"/>
      <c r="N3876"/>
      <c r="O3876"/>
      <c r="P3876"/>
      <c r="Q3876"/>
      <c r="R3876"/>
      <c r="S3876"/>
      <c r="T3876"/>
      <c r="U3876"/>
      <c r="V3876"/>
      <c r="W3876"/>
      <c r="X3876"/>
      <c r="Y3876"/>
      <c r="Z3876"/>
      <c r="AA3876"/>
      <c r="AB3876"/>
      <c r="AC3876"/>
      <c r="AD3876"/>
      <c r="AE3876"/>
      <c r="AF3876"/>
      <c r="AG3876"/>
      <c r="AH3876"/>
      <c r="AI3876"/>
      <c r="AJ3876"/>
      <c r="AK3876"/>
      <c r="AL3876"/>
    </row>
    <row r="3877" spans="1:38" ht="15.75" customHeight="1" outlineLevel="3" x14ac:dyDescent="0.2">
      <c r="A3877" s="10">
        <v>24</v>
      </c>
      <c r="B3877" s="10" t="s">
        <v>71</v>
      </c>
      <c r="C3877" s="10" t="s">
        <v>3528</v>
      </c>
      <c r="D3877" s="10" t="s">
        <v>750</v>
      </c>
      <c r="E3877" s="11" t="str">
        <f t="array" ref="E3877">_xlfn.XLOOKUP(D3877,Insumos!B:B,Insumos!C:$C)</f>
        <v>UN</v>
      </c>
      <c r="F3877" s="14">
        <v>0.01</v>
      </c>
      <c r="G3877" s="92">
        <f t="array" ref="G3877">IF(B3877="insumo",_xlfn.XLOOKUP($D3877,Insumos!$B$1:$B$996,Insumos!$D$1:$D$996),"")</f>
        <v>11.26</v>
      </c>
      <c r="H3877" s="92">
        <v>0.11260000000000001</v>
      </c>
      <c r="I3877" s="13" t="e">
        <v>#REF!</v>
      </c>
      <c r="J3877" s="13" t="e">
        <v>#REF!</v>
      </c>
      <c r="K3877" s="13"/>
      <c r="L3877"/>
      <c r="M3877"/>
      <c r="N3877"/>
      <c r="O3877"/>
      <c r="P3877"/>
      <c r="Q3877"/>
      <c r="R3877"/>
      <c r="S3877"/>
      <c r="T3877"/>
      <c r="U3877"/>
      <c r="V3877"/>
      <c r="W3877"/>
      <c r="X3877"/>
      <c r="Y3877"/>
      <c r="Z3877"/>
      <c r="AA3877"/>
      <c r="AB3877"/>
      <c r="AC3877"/>
      <c r="AD3877"/>
      <c r="AE3877"/>
      <c r="AF3877"/>
      <c r="AG3877"/>
      <c r="AH3877"/>
      <c r="AI3877"/>
      <c r="AJ3877"/>
      <c r="AK3877"/>
      <c r="AL3877"/>
    </row>
    <row r="3878" spans="1:38" ht="15.75" customHeight="1" outlineLevel="3" x14ac:dyDescent="0.2">
      <c r="A3878" s="10">
        <v>19</v>
      </c>
      <c r="B3878" s="10" t="s">
        <v>71</v>
      </c>
      <c r="C3878" s="10" t="s">
        <v>3528</v>
      </c>
      <c r="D3878" s="10" t="s">
        <v>766</v>
      </c>
      <c r="E3878" s="11" t="str">
        <f t="array" ref="E3878">_xlfn.XLOOKUP(D3878,Insumos!B:B,Insumos!C:$C)</f>
        <v>L</v>
      </c>
      <c r="F3878" s="14">
        <v>0.1666</v>
      </c>
      <c r="G3878" s="92">
        <f t="array" ref="G3878">IF(B3878="insumo",_xlfn.XLOOKUP($D3878,Insumos!$B$1:$B$996,Insumos!$D$1:$D$996),"")</f>
        <v>10.555555555555555</v>
      </c>
      <c r="H3878" s="92">
        <v>1.7585555555555601</v>
      </c>
      <c r="I3878" s="13" t="e">
        <v>#REF!</v>
      </c>
      <c r="J3878" s="13" t="e">
        <v>#REF!</v>
      </c>
      <c r="K3878" s="13"/>
      <c r="L3878"/>
      <c r="M3878"/>
      <c r="N3878"/>
      <c r="O3878"/>
      <c r="P3878"/>
      <c r="Q3878"/>
      <c r="R3878"/>
      <c r="S3878"/>
      <c r="T3878"/>
      <c r="U3878"/>
      <c r="V3878"/>
      <c r="W3878"/>
      <c r="X3878"/>
      <c r="Y3878"/>
      <c r="Z3878"/>
      <c r="AA3878"/>
      <c r="AB3878"/>
      <c r="AC3878"/>
      <c r="AD3878"/>
      <c r="AE3878"/>
      <c r="AF3878"/>
      <c r="AG3878"/>
      <c r="AH3878"/>
      <c r="AI3878"/>
      <c r="AJ3878"/>
      <c r="AK3878"/>
      <c r="AL3878"/>
    </row>
    <row r="3879" spans="1:38" ht="15.75" customHeight="1" outlineLevel="3" x14ac:dyDescent="0.2">
      <c r="A3879" s="10">
        <v>21</v>
      </c>
      <c r="B3879" s="10" t="s">
        <v>71</v>
      </c>
      <c r="C3879" s="10" t="s">
        <v>3528</v>
      </c>
      <c r="D3879" s="10" t="s">
        <v>765</v>
      </c>
      <c r="E3879" s="11" t="str">
        <f t="array" ref="E3879">_xlfn.XLOOKUP(D3879,Insumos!B:B,Insumos!C:$C)</f>
        <v>KG</v>
      </c>
      <c r="F3879" s="14">
        <v>0.86670000000000003</v>
      </c>
      <c r="G3879" s="92">
        <f t="array" ref="G3879">IF(B3879="insumo",_xlfn.XLOOKUP($D3879,Insumos!$B$1:$B$996,Insumos!$D$1:$D$996),"")</f>
        <v>4.8</v>
      </c>
      <c r="H3879" s="92">
        <v>4.1601600000000003</v>
      </c>
      <c r="I3879" s="13" t="e">
        <v>#REF!</v>
      </c>
      <c r="J3879" s="13" t="e">
        <v>#REF!</v>
      </c>
      <c r="K3879" s="13"/>
      <c r="L3879"/>
      <c r="M3879"/>
      <c r="N3879"/>
      <c r="O3879"/>
      <c r="P3879"/>
      <c r="Q3879"/>
      <c r="R3879"/>
      <c r="S3879"/>
      <c r="T3879"/>
      <c r="U3879"/>
      <c r="V3879"/>
      <c r="W3879"/>
      <c r="X3879"/>
      <c r="Y3879"/>
      <c r="Z3879"/>
      <c r="AA3879"/>
      <c r="AB3879"/>
      <c r="AC3879"/>
      <c r="AD3879"/>
      <c r="AE3879"/>
      <c r="AF3879"/>
      <c r="AG3879"/>
      <c r="AH3879"/>
      <c r="AI3879"/>
      <c r="AJ3879"/>
      <c r="AK3879"/>
      <c r="AL3879"/>
    </row>
    <row r="3880" spans="1:38" ht="15.75" customHeight="1" outlineLevel="3" x14ac:dyDescent="0.2">
      <c r="A3880" s="10">
        <v>36</v>
      </c>
      <c r="B3880" s="10" t="s">
        <v>71</v>
      </c>
      <c r="C3880" s="10" t="s">
        <v>3528</v>
      </c>
      <c r="D3880" s="10" t="s">
        <v>104</v>
      </c>
      <c r="E3880" s="11" t="str">
        <f t="array" ref="E3880">_xlfn.XLOOKUP(D3880,Insumos!B:B,Insumos!C:$C)</f>
        <v>UN</v>
      </c>
      <c r="F3880" s="14">
        <v>0.1</v>
      </c>
      <c r="G3880" s="92">
        <f t="array" ref="G3880">IF(B3880="insumo",_xlfn.XLOOKUP($D3880,Insumos!$B$1:$B$996,Insumos!$D$1:$D$996),"")</f>
        <v>1.89</v>
      </c>
      <c r="H3880" s="92">
        <v>0.189</v>
      </c>
      <c r="I3880" s="13" t="e">
        <v>#REF!</v>
      </c>
      <c r="J3880" s="13" t="e">
        <v>#REF!</v>
      </c>
      <c r="K3880" s="13"/>
      <c r="L3880"/>
      <c r="M3880"/>
      <c r="N3880"/>
      <c r="O3880"/>
      <c r="P3880"/>
      <c r="Q3880"/>
      <c r="R3880"/>
      <c r="S3880"/>
      <c r="T3880"/>
      <c r="U3880"/>
      <c r="V3880"/>
      <c r="W3880"/>
      <c r="X3880"/>
      <c r="Y3880"/>
      <c r="Z3880"/>
      <c r="AA3880"/>
      <c r="AB3880"/>
      <c r="AC3880"/>
      <c r="AD3880"/>
      <c r="AE3880"/>
      <c r="AF3880"/>
      <c r="AG3880"/>
      <c r="AH3880"/>
      <c r="AI3880"/>
      <c r="AJ3880"/>
      <c r="AK3880"/>
      <c r="AL3880"/>
    </row>
    <row r="3881" spans="1:38" ht="15.75" customHeight="1" outlineLevel="3" x14ac:dyDescent="0.2">
      <c r="A3881" s="10">
        <v>8</v>
      </c>
      <c r="B3881" s="10" t="s">
        <v>71</v>
      </c>
      <c r="C3881" s="10" t="s">
        <v>3528</v>
      </c>
      <c r="D3881" s="10" t="s">
        <v>751</v>
      </c>
      <c r="E3881" s="11" t="str">
        <f t="array" ref="E3881">_xlfn.XLOOKUP(D3881,Insumos!B:B,Insumos!C:$C)</f>
        <v>L</v>
      </c>
      <c r="F3881" s="14">
        <v>0.2016</v>
      </c>
      <c r="G3881" s="92">
        <f t="array" ref="G3881">IF(B3881="insumo",_xlfn.XLOOKUP($D3881,Insumos!$B$1:$B$996,Insumos!$D$1:$D$996),"")</f>
        <v>137.24</v>
      </c>
      <c r="H3881" s="92">
        <v>27.667584000000002</v>
      </c>
      <c r="I3881" s="13" t="e">
        <v>#REF!</v>
      </c>
      <c r="J3881" s="13" t="e">
        <v>#REF!</v>
      </c>
      <c r="K3881" s="13"/>
      <c r="L3881"/>
      <c r="M3881"/>
      <c r="N3881"/>
      <c r="O3881"/>
      <c r="P3881"/>
      <c r="Q3881"/>
      <c r="R3881"/>
      <c r="S3881"/>
      <c r="T3881"/>
      <c r="U3881"/>
      <c r="V3881"/>
      <c r="W3881"/>
      <c r="X3881"/>
      <c r="Y3881"/>
      <c r="Z3881"/>
      <c r="AA3881"/>
      <c r="AB3881"/>
      <c r="AC3881"/>
      <c r="AD3881"/>
      <c r="AE3881"/>
      <c r="AF3881"/>
      <c r="AG3881"/>
      <c r="AH3881"/>
      <c r="AI3881"/>
      <c r="AJ3881"/>
      <c r="AK3881"/>
      <c r="AL3881"/>
    </row>
    <row r="3882" spans="1:38" ht="15.75" customHeight="1" outlineLevel="3" x14ac:dyDescent="0.2">
      <c r="A3882" s="10">
        <v>9</v>
      </c>
      <c r="B3882" s="10" t="s">
        <v>71</v>
      </c>
      <c r="C3882" s="10" t="s">
        <v>3528</v>
      </c>
      <c r="D3882" s="10" t="s">
        <v>752</v>
      </c>
      <c r="E3882" s="11" t="str">
        <f t="array" ref="E3882">_xlfn.XLOOKUP(D3882,Insumos!B:B,Insumos!C:$C)</f>
        <v>L</v>
      </c>
      <c r="F3882" s="14">
        <v>0.48299999999999998</v>
      </c>
      <c r="G3882" s="92">
        <f t="array" ref="G3882">IF(B3882="insumo",_xlfn.XLOOKUP($D3882,Insumos!$B$1:$B$996,Insumos!$D$1:$D$996),"")</f>
        <v>81.944444444444443</v>
      </c>
      <c r="H3882" s="92">
        <v>39.579166666666701</v>
      </c>
      <c r="I3882" s="13" t="e">
        <v>#REF!</v>
      </c>
      <c r="J3882" s="13" t="e">
        <v>#REF!</v>
      </c>
      <c r="K3882" s="13"/>
      <c r="L3882"/>
      <c r="M3882"/>
      <c r="N3882"/>
      <c r="O3882"/>
      <c r="P3882"/>
      <c r="Q3882"/>
      <c r="R3882"/>
      <c r="S3882"/>
      <c r="T3882"/>
      <c r="U3882"/>
      <c r="V3882"/>
      <c r="W3882"/>
      <c r="X3882"/>
      <c r="Y3882"/>
      <c r="Z3882"/>
      <c r="AA3882"/>
      <c r="AB3882"/>
      <c r="AC3882"/>
      <c r="AD3882"/>
      <c r="AE3882"/>
      <c r="AF3882"/>
      <c r="AG3882"/>
      <c r="AH3882"/>
      <c r="AI3882"/>
      <c r="AJ3882"/>
      <c r="AK3882"/>
      <c r="AL3882"/>
    </row>
    <row r="3883" spans="1:38" ht="15.75" customHeight="1" outlineLevel="2" x14ac:dyDescent="0.2">
      <c r="A3883" s="1067">
        <v>1</v>
      </c>
      <c r="B3883" s="1067" t="s">
        <v>68</v>
      </c>
      <c r="C3883" s="1067" t="s">
        <v>1551</v>
      </c>
      <c r="D3883" s="1067" t="s">
        <v>1551</v>
      </c>
      <c r="E3883" s="1068" t="s">
        <v>70</v>
      </c>
      <c r="F3883" s="1067"/>
      <c r="G3883" s="1069" t="str">
        <f t="array" ref="G3883">IF(B3883="insumo",_xlfn.XLOOKUP($D3883,Insumos!$B$1:$B$996,Insumos!$D$1:$D$996),"")</f>
        <v/>
      </c>
      <c r="H3883" s="1069">
        <v>18.433216065</v>
      </c>
      <c r="I3883" s="1070">
        <v>0</v>
      </c>
      <c r="J3883" s="1070">
        <v>0</v>
      </c>
      <c r="K3883" s="1070"/>
      <c r="L3883"/>
      <c r="M3883"/>
      <c r="N3883"/>
      <c r="O3883"/>
      <c r="P3883"/>
      <c r="Q3883"/>
      <c r="R3883"/>
      <c r="S3883"/>
      <c r="T3883"/>
      <c r="U3883"/>
      <c r="V3883"/>
      <c r="W3883"/>
      <c r="X3883"/>
      <c r="Y3883"/>
      <c r="Z3883"/>
      <c r="AA3883"/>
      <c r="AB3883"/>
      <c r="AC3883"/>
      <c r="AD3883"/>
      <c r="AE3883"/>
      <c r="AF3883"/>
      <c r="AG3883"/>
      <c r="AH3883"/>
      <c r="AI3883"/>
      <c r="AJ3883"/>
      <c r="AK3883"/>
      <c r="AL3883"/>
    </row>
    <row r="3884" spans="1:38" ht="15.75" customHeight="1" outlineLevel="3" x14ac:dyDescent="0.2">
      <c r="A3884" s="10">
        <v>1</v>
      </c>
      <c r="B3884" s="10" t="s">
        <v>71</v>
      </c>
      <c r="C3884" s="10" t="s">
        <v>1551</v>
      </c>
      <c r="D3884" s="10" t="s">
        <v>1566</v>
      </c>
      <c r="E3884" s="11" t="str">
        <f t="array" ref="E3884">_xlfn.XLOOKUP(D3884,Insumos!B:B,Insumos!C:$C)</f>
        <v>L</v>
      </c>
      <c r="F3884" s="14">
        <v>0.495</v>
      </c>
      <c r="G3884" s="92">
        <f t="array" ref="G3884">IF(B3884="insumo",_xlfn.XLOOKUP($D3884,Insumos!$B$1:$B$996,Insumos!$D$1:$D$996),"")</f>
        <v>36.166666666666664</v>
      </c>
      <c r="H3884" s="92">
        <v>17.9025</v>
      </c>
      <c r="I3884" s="13">
        <v>0</v>
      </c>
      <c r="J3884" s="13">
        <v>0</v>
      </c>
      <c r="K3884" s="13"/>
      <c r="L3884"/>
      <c r="M3884"/>
      <c r="N3884"/>
      <c r="O3884"/>
      <c r="P3884"/>
      <c r="Q3884"/>
      <c r="R3884"/>
      <c r="S3884"/>
      <c r="T3884"/>
      <c r="U3884"/>
      <c r="V3884"/>
      <c r="W3884"/>
      <c r="X3884"/>
      <c r="Y3884"/>
      <c r="Z3884"/>
      <c r="AA3884"/>
      <c r="AB3884"/>
      <c r="AC3884"/>
      <c r="AD3884"/>
      <c r="AE3884"/>
      <c r="AF3884"/>
      <c r="AG3884"/>
      <c r="AH3884"/>
      <c r="AI3884"/>
      <c r="AJ3884"/>
      <c r="AK3884"/>
      <c r="AL3884"/>
    </row>
    <row r="3885" spans="1:38" ht="15.75" customHeight="1" outlineLevel="3" x14ac:dyDescent="0.2">
      <c r="A3885" s="10">
        <v>7</v>
      </c>
      <c r="B3885" s="10" t="s">
        <v>71</v>
      </c>
      <c r="C3885" s="10" t="s">
        <v>1551</v>
      </c>
      <c r="D3885" s="10" t="s">
        <v>1675</v>
      </c>
      <c r="E3885" s="11" t="str">
        <f t="array" ref="E3885">_xlfn.XLOOKUP(D3885,Insumos!B:B,Insumos!C:$C)</f>
        <v>L</v>
      </c>
      <c r="F3885" s="14">
        <v>2.2499999999999998E-3</v>
      </c>
      <c r="G3885" s="92">
        <f t="array" ref="G3885">IF(B3885="insumo",_xlfn.XLOOKUP($D3885,Insumos!$B$1:$B$996,Insumos!$D$1:$D$996),"")</f>
        <v>13.5</v>
      </c>
      <c r="H3885" s="92">
        <v>3.0374999999999999E-2</v>
      </c>
      <c r="I3885" s="13">
        <v>0</v>
      </c>
      <c r="J3885" s="13">
        <v>0</v>
      </c>
      <c r="K3885" s="13"/>
      <c r="L3885"/>
      <c r="M3885"/>
      <c r="N3885"/>
      <c r="O3885"/>
      <c r="P3885"/>
      <c r="Q3885"/>
      <c r="R3885"/>
      <c r="S3885"/>
      <c r="T3885"/>
      <c r="U3885"/>
      <c r="V3885"/>
      <c r="W3885"/>
      <c r="X3885"/>
      <c r="Y3885"/>
      <c r="Z3885"/>
      <c r="AA3885"/>
      <c r="AB3885"/>
      <c r="AC3885"/>
      <c r="AD3885"/>
      <c r="AE3885"/>
      <c r="AF3885"/>
      <c r="AG3885"/>
      <c r="AH3885"/>
      <c r="AI3885"/>
      <c r="AJ3885"/>
      <c r="AK3885"/>
      <c r="AL3885"/>
    </row>
    <row r="3886" spans="1:38" ht="15.75" customHeight="1" outlineLevel="3" x14ac:dyDescent="0.2">
      <c r="A3886" s="10">
        <v>25</v>
      </c>
      <c r="B3886" s="10" t="s">
        <v>71</v>
      </c>
      <c r="C3886" s="10" t="s">
        <v>1551</v>
      </c>
      <c r="D3886" s="10" t="s">
        <v>750</v>
      </c>
      <c r="E3886" s="11" t="str">
        <f t="array" ref="E3886">_xlfn.XLOOKUP(D3886,Insumos!B:B,Insumos!C:$C)</f>
        <v>UN</v>
      </c>
      <c r="F3886" s="14">
        <v>2.1320000000000002E-3</v>
      </c>
      <c r="G3886" s="92">
        <f t="array" ref="G3886">IF(B3886="insumo",_xlfn.XLOOKUP($D3886,Insumos!$B$1:$B$996,Insumos!$D$1:$D$996),"")</f>
        <v>11.26</v>
      </c>
      <c r="H3886" s="92">
        <v>2.4006320000000001E-2</v>
      </c>
      <c r="I3886" s="13">
        <v>0</v>
      </c>
      <c r="J3886" s="13">
        <v>0</v>
      </c>
      <c r="K3886" s="13"/>
      <c r="L3886"/>
      <c r="M3886"/>
      <c r="N3886"/>
      <c r="O3886"/>
      <c r="P3886"/>
      <c r="Q3886"/>
      <c r="R3886"/>
      <c r="S3886"/>
      <c r="T3886"/>
      <c r="U3886"/>
      <c r="V3886"/>
      <c r="W3886"/>
      <c r="X3886"/>
      <c r="Y3886"/>
      <c r="Z3886"/>
      <c r="AA3886"/>
      <c r="AB3886"/>
      <c r="AC3886"/>
      <c r="AD3886"/>
      <c r="AE3886"/>
      <c r="AF3886"/>
      <c r="AG3886"/>
      <c r="AH3886"/>
      <c r="AI3886"/>
      <c r="AJ3886"/>
      <c r="AK3886"/>
      <c r="AL3886"/>
    </row>
    <row r="3887" spans="1:38" ht="15.75" customHeight="1" outlineLevel="3" x14ac:dyDescent="0.2">
      <c r="A3887" s="10">
        <v>7</v>
      </c>
      <c r="B3887" s="10" t="s">
        <v>71</v>
      </c>
      <c r="C3887" s="10" t="s">
        <v>1551</v>
      </c>
      <c r="D3887" s="10" t="s">
        <v>1676</v>
      </c>
      <c r="E3887" s="11" t="str">
        <f t="array" ref="E3887">_xlfn.XLOOKUP(D3887,Insumos!B:B,Insumos!C:$C)</f>
        <v>UN</v>
      </c>
      <c r="F3887" s="14">
        <v>0.01</v>
      </c>
      <c r="G3887" s="92">
        <f t="array" ref="G3887">IF(B3887="insumo",_xlfn.XLOOKUP($D3887,Insumos!$B$1:$B$996,Insumos!$D$1:$D$996),"")</f>
        <v>6.9</v>
      </c>
      <c r="H3887" s="92">
        <v>6.9000000000000006E-2</v>
      </c>
      <c r="I3887" s="13">
        <v>0</v>
      </c>
      <c r="J3887" s="13">
        <v>0</v>
      </c>
      <c r="K3887" s="13"/>
      <c r="L3887"/>
      <c r="M3887"/>
      <c r="N3887"/>
      <c r="O3887"/>
      <c r="P3887"/>
      <c r="Q3887"/>
      <c r="R3887"/>
      <c r="S3887"/>
      <c r="T3887"/>
      <c r="U3887"/>
      <c r="V3887"/>
      <c r="W3887"/>
      <c r="X3887"/>
      <c r="Y3887"/>
      <c r="Z3887"/>
      <c r="AA3887"/>
      <c r="AB3887"/>
      <c r="AC3887"/>
      <c r="AD3887"/>
      <c r="AE3887"/>
      <c r="AF3887"/>
      <c r="AG3887"/>
      <c r="AH3887"/>
      <c r="AI3887"/>
      <c r="AJ3887"/>
      <c r="AK3887"/>
      <c r="AL3887"/>
    </row>
    <row r="3888" spans="1:38" ht="15.75" customHeight="1" outlineLevel="3" x14ac:dyDescent="0.2">
      <c r="A3888" s="10">
        <v>7</v>
      </c>
      <c r="B3888" s="10" t="s">
        <v>71</v>
      </c>
      <c r="C3888" s="10" t="s">
        <v>1551</v>
      </c>
      <c r="D3888" s="10" t="s">
        <v>1677</v>
      </c>
      <c r="E3888" s="11" t="str">
        <f t="array" ref="E3888">_xlfn.XLOOKUP(D3888,Insumos!B:B,Insumos!C:$C)</f>
        <v>L</v>
      </c>
      <c r="F3888" s="14">
        <v>2.3579999999999999E-3</v>
      </c>
      <c r="G3888" s="92">
        <f t="array" ref="G3888">IF(B3888="insumo",_xlfn.XLOOKUP($D3888,Insumos!$B$1:$B$996,Insumos!$D$1:$D$996),"")</f>
        <v>6.4</v>
      </c>
      <c r="H3888" s="92">
        <v>1.5091200000000001E-2</v>
      </c>
      <c r="I3888" s="13">
        <v>0</v>
      </c>
      <c r="J3888" s="13">
        <v>0</v>
      </c>
      <c r="K3888" s="13"/>
      <c r="L3888"/>
      <c r="M3888"/>
      <c r="N3888"/>
      <c r="O3888"/>
      <c r="P3888"/>
      <c r="Q3888"/>
      <c r="R3888"/>
      <c r="S3888"/>
      <c r="T3888"/>
      <c r="U3888"/>
      <c r="V3888"/>
      <c r="W3888"/>
      <c r="X3888"/>
      <c r="Y3888"/>
      <c r="Z3888"/>
      <c r="AA3888"/>
      <c r="AB3888"/>
      <c r="AC3888"/>
      <c r="AD3888"/>
      <c r="AE3888"/>
      <c r="AF3888"/>
      <c r="AG3888"/>
      <c r="AH3888"/>
      <c r="AI3888"/>
      <c r="AJ3888"/>
      <c r="AK3888"/>
      <c r="AL3888"/>
    </row>
    <row r="3889" spans="1:38" ht="15.75" customHeight="1" outlineLevel="3" x14ac:dyDescent="0.2">
      <c r="A3889" s="10">
        <v>9</v>
      </c>
      <c r="B3889" s="10" t="s">
        <v>71</v>
      </c>
      <c r="C3889" s="10" t="s">
        <v>1551</v>
      </c>
      <c r="D3889" s="10" t="s">
        <v>311</v>
      </c>
      <c r="E3889" s="11" t="str">
        <f t="array" ref="E3889">_xlfn.XLOOKUP(D3889,Insumos!B:B,Insumos!C:$C)</f>
        <v>M2</v>
      </c>
      <c r="F3889" s="14">
        <v>2.2499999999999998E-3</v>
      </c>
      <c r="G3889" s="92">
        <f t="array" ref="G3889">IF(B3889="insumo",_xlfn.XLOOKUP($D3889,Insumos!$B$1:$B$996,Insumos!$D$1:$D$996),"")</f>
        <v>2.3025000000000002</v>
      </c>
      <c r="H3889" s="92">
        <v>5.1806250000000003E-3</v>
      </c>
      <c r="I3889" s="13">
        <v>0</v>
      </c>
      <c r="J3889" s="13">
        <v>0</v>
      </c>
      <c r="K3889" s="13"/>
      <c r="L3889"/>
      <c r="M3889"/>
      <c r="N3889"/>
      <c r="O3889"/>
      <c r="P3889"/>
      <c r="Q3889"/>
      <c r="R3889"/>
      <c r="S3889"/>
      <c r="T3889"/>
      <c r="U3889"/>
      <c r="V3889"/>
      <c r="W3889"/>
      <c r="X3889"/>
      <c r="Y3889"/>
      <c r="Z3889"/>
      <c r="AA3889"/>
      <c r="AB3889"/>
      <c r="AC3889"/>
      <c r="AD3889"/>
      <c r="AE3889"/>
      <c r="AF3889"/>
      <c r="AG3889"/>
      <c r="AH3889"/>
      <c r="AI3889"/>
      <c r="AJ3889"/>
      <c r="AK3889"/>
      <c r="AL3889"/>
    </row>
    <row r="3890" spans="1:38" ht="15.75" customHeight="1" outlineLevel="3" x14ac:dyDescent="0.2">
      <c r="A3890" s="10">
        <v>7</v>
      </c>
      <c r="B3890" s="10" t="s">
        <v>71</v>
      </c>
      <c r="C3890" s="10" t="s">
        <v>1551</v>
      </c>
      <c r="D3890" s="10" t="s">
        <v>1678</v>
      </c>
      <c r="E3890" s="11" t="str">
        <f t="array" ref="E3890">_xlfn.XLOOKUP(D3890,Insumos!B:B,Insumos!C:$C)</f>
        <v>UN</v>
      </c>
      <c r="F3890" s="14">
        <v>2.4879999999999999E-2</v>
      </c>
      <c r="G3890" s="92">
        <f t="array" ref="G3890">IF(B3890="insumo",_xlfn.XLOOKUP($D3890,Insumos!$B$1:$B$996,Insumos!$D$1:$D$996),"")</f>
        <v>5.9889999999999999</v>
      </c>
      <c r="H3890" s="92">
        <v>0.14900632</v>
      </c>
      <c r="I3890" s="13">
        <v>0</v>
      </c>
      <c r="J3890" s="13">
        <v>0</v>
      </c>
      <c r="K3890" s="13"/>
      <c r="L3890"/>
      <c r="M3890"/>
      <c r="N3890"/>
      <c r="O3890"/>
      <c r="P3890"/>
      <c r="Q3890"/>
      <c r="R3890"/>
      <c r="S3890"/>
      <c r="T3890"/>
      <c r="U3890"/>
      <c r="V3890"/>
      <c r="W3890"/>
      <c r="X3890"/>
      <c r="Y3890"/>
      <c r="Z3890"/>
      <c r="AA3890"/>
      <c r="AB3890"/>
      <c r="AC3890"/>
      <c r="AD3890"/>
      <c r="AE3890"/>
      <c r="AF3890"/>
      <c r="AG3890"/>
      <c r="AH3890"/>
      <c r="AI3890"/>
      <c r="AJ3890"/>
      <c r="AK3890"/>
      <c r="AL3890"/>
    </row>
    <row r="3891" spans="1:38" ht="15.75" customHeight="1" outlineLevel="3" x14ac:dyDescent="0.2">
      <c r="A3891" s="10">
        <v>7</v>
      </c>
      <c r="B3891" s="10" t="s">
        <v>71</v>
      </c>
      <c r="C3891" s="10" t="s">
        <v>1551</v>
      </c>
      <c r="D3891" s="10" t="s">
        <v>1679</v>
      </c>
      <c r="E3891" s="11" t="str">
        <f t="array" ref="E3891">_xlfn.XLOOKUP(D3891,Insumos!B:B,Insumos!C:$C)</f>
        <v>UN</v>
      </c>
      <c r="F3891" s="14">
        <v>2.4879999999999999E-2</v>
      </c>
      <c r="G3891" s="92">
        <f t="array" ref="G3891">IF(B3891="insumo",_xlfn.XLOOKUP($D3891,Insumos!$B$1:$B$996,Insumos!$D$1:$D$996),"")</f>
        <v>5.25</v>
      </c>
      <c r="H3891" s="92">
        <v>0.13062000000000001</v>
      </c>
      <c r="I3891" s="13">
        <v>0</v>
      </c>
      <c r="J3891" s="13">
        <v>0</v>
      </c>
      <c r="K3891" s="13"/>
      <c r="L3891"/>
      <c r="M3891"/>
      <c r="N3891"/>
      <c r="O3891"/>
      <c r="P3891"/>
      <c r="Q3891"/>
      <c r="R3891"/>
      <c r="S3891"/>
      <c r="T3891"/>
      <c r="U3891"/>
      <c r="V3891"/>
      <c r="W3891"/>
      <c r="X3891"/>
      <c r="Y3891"/>
      <c r="Z3891"/>
      <c r="AA3891"/>
      <c r="AB3891"/>
      <c r="AC3891"/>
      <c r="AD3891"/>
      <c r="AE3891"/>
      <c r="AF3891"/>
      <c r="AG3891"/>
      <c r="AH3891"/>
      <c r="AI3891"/>
      <c r="AJ3891"/>
      <c r="AK3891"/>
      <c r="AL3891"/>
    </row>
    <row r="3892" spans="1:38" ht="15.75" customHeight="1" outlineLevel="3" x14ac:dyDescent="0.2">
      <c r="A3892" s="10">
        <v>7</v>
      </c>
      <c r="B3892" s="10" t="s">
        <v>71</v>
      </c>
      <c r="C3892" s="10" t="s">
        <v>1551</v>
      </c>
      <c r="D3892" s="10" t="s">
        <v>1680</v>
      </c>
      <c r="E3892" s="11" t="str">
        <f t="array" ref="E3892">_xlfn.XLOOKUP(D3892,Insumos!B:B,Insumos!C:$C)</f>
        <v>UN</v>
      </c>
      <c r="F3892" s="14">
        <v>2.1320000000000002E-3</v>
      </c>
      <c r="G3892" s="92">
        <f t="array" ref="G3892">IF(B3892="insumo",_xlfn.XLOOKUP($D3892,Insumos!$B$1:$B$996,Insumos!$D$1:$D$996),"")</f>
        <v>36.9</v>
      </c>
      <c r="H3892" s="92">
        <v>7.8670799999999999E-2</v>
      </c>
      <c r="I3892" s="13">
        <v>0</v>
      </c>
      <c r="J3892" s="13">
        <v>0</v>
      </c>
      <c r="K3892" s="13"/>
      <c r="L3892"/>
      <c r="M3892"/>
      <c r="N3892"/>
      <c r="O3892"/>
      <c r="P3892"/>
      <c r="Q3892"/>
      <c r="R3892"/>
      <c r="S3892"/>
      <c r="T3892"/>
      <c r="U3892"/>
      <c r="V3892"/>
      <c r="W3892"/>
      <c r="X3892"/>
      <c r="Y3892"/>
      <c r="Z3892"/>
      <c r="AA3892"/>
      <c r="AB3892"/>
      <c r="AC3892"/>
      <c r="AD3892"/>
      <c r="AE3892"/>
      <c r="AF3892"/>
      <c r="AG3892"/>
      <c r="AH3892"/>
      <c r="AI3892"/>
      <c r="AJ3892"/>
      <c r="AK3892"/>
      <c r="AL3892"/>
    </row>
    <row r="3893" spans="1:38" ht="15.75" customHeight="1" outlineLevel="3" x14ac:dyDescent="0.2">
      <c r="A3893" s="10">
        <v>36</v>
      </c>
      <c r="B3893" s="10" t="s">
        <v>71</v>
      </c>
      <c r="C3893" s="10" t="s">
        <v>1551</v>
      </c>
      <c r="D3893" s="10" t="s">
        <v>104</v>
      </c>
      <c r="E3893" s="11" t="str">
        <f t="array" ref="E3893">_xlfn.XLOOKUP(D3893,Insumos!B:B,Insumos!C:$C)</f>
        <v>UN</v>
      </c>
      <c r="F3893" s="14">
        <v>1.5219999999999999E-2</v>
      </c>
      <c r="G3893" s="92">
        <f t="array" ref="G3893">IF(B3893="insumo",_xlfn.XLOOKUP($D3893,Insumos!$B$1:$B$996,Insumos!$D$1:$D$996),"")</f>
        <v>1.89</v>
      </c>
      <c r="H3893" s="92">
        <v>2.8765800000000001E-2</v>
      </c>
      <c r="I3893" s="13">
        <v>0</v>
      </c>
      <c r="J3893" s="13">
        <v>0</v>
      </c>
      <c r="K3893" s="13"/>
      <c r="L3893"/>
      <c r="M3893"/>
      <c r="N3893"/>
      <c r="O3893"/>
      <c r="P3893"/>
      <c r="Q3893"/>
      <c r="R3893"/>
      <c r="S3893"/>
      <c r="T3893"/>
      <c r="U3893"/>
      <c r="V3893"/>
      <c r="W3893"/>
      <c r="X3893"/>
      <c r="Y3893"/>
      <c r="Z3893"/>
      <c r="AA3893"/>
      <c r="AB3893"/>
      <c r="AC3893"/>
      <c r="AD3893"/>
      <c r="AE3893"/>
      <c r="AF3893"/>
      <c r="AG3893"/>
      <c r="AH3893"/>
      <c r="AI3893"/>
      <c r="AJ3893"/>
      <c r="AK3893"/>
      <c r="AL3893"/>
    </row>
    <row r="3894" spans="1:38" ht="15.75" customHeight="1" outlineLevel="2" x14ac:dyDescent="0.2">
      <c r="A3894" s="1067">
        <v>1</v>
      </c>
      <c r="B3894" s="1067" t="s">
        <v>68</v>
      </c>
      <c r="C3894" s="1067" t="s">
        <v>1552</v>
      </c>
      <c r="D3894" s="1067" t="s">
        <v>1552</v>
      </c>
      <c r="E3894" s="1068" t="s">
        <v>70</v>
      </c>
      <c r="F3894" s="1067"/>
      <c r="G3894" s="1069" t="str">
        <f t="array" ref="G3894">IF(B3894="insumo",_xlfn.XLOOKUP($D3894,Insumos!$B$1:$B$996,Insumos!$D$1:$D$996),"")</f>
        <v/>
      </c>
      <c r="H3894" s="1069">
        <v>27.446341064999999</v>
      </c>
      <c r="I3894" s="1070">
        <v>0</v>
      </c>
      <c r="J3894" s="1070">
        <v>0</v>
      </c>
      <c r="K3894" s="1070"/>
      <c r="L3894"/>
      <c r="M3894"/>
      <c r="N3894"/>
      <c r="O3894"/>
      <c r="P3894"/>
      <c r="Q3894"/>
      <c r="R3894"/>
      <c r="S3894"/>
      <c r="T3894"/>
      <c r="U3894"/>
      <c r="V3894"/>
      <c r="W3894"/>
      <c r="X3894"/>
      <c r="Y3894"/>
      <c r="Z3894"/>
      <c r="AA3894"/>
      <c r="AB3894"/>
      <c r="AC3894"/>
      <c r="AD3894"/>
      <c r="AE3894"/>
      <c r="AF3894"/>
      <c r="AG3894"/>
      <c r="AH3894"/>
      <c r="AI3894"/>
      <c r="AJ3894"/>
      <c r="AK3894"/>
      <c r="AL3894"/>
    </row>
    <row r="3895" spans="1:38" ht="15.75" customHeight="1" outlineLevel="3" x14ac:dyDescent="0.2">
      <c r="A3895" s="10">
        <v>1</v>
      </c>
      <c r="B3895" s="10" t="s">
        <v>71</v>
      </c>
      <c r="C3895" s="10" t="s">
        <v>1552</v>
      </c>
      <c r="D3895" s="10" t="s">
        <v>1565</v>
      </c>
      <c r="E3895" s="11" t="str">
        <f t="array" ref="E3895">_xlfn.XLOOKUP(D3895,Insumos!B:B,Insumos!C:$C)</f>
        <v>L</v>
      </c>
      <c r="F3895" s="14">
        <v>0.495</v>
      </c>
      <c r="G3895" s="92">
        <f t="array" ref="G3895">IF(B3895="insumo",_xlfn.XLOOKUP($D3895,Insumos!$B$1:$B$996,Insumos!$D$1:$D$996),"")</f>
        <v>54.375</v>
      </c>
      <c r="H3895" s="92">
        <v>26.915624999999999</v>
      </c>
      <c r="I3895" s="13">
        <v>0</v>
      </c>
      <c r="J3895" s="13">
        <v>0</v>
      </c>
      <c r="K3895" s="13"/>
      <c r="L3895"/>
      <c r="M3895"/>
      <c r="N3895"/>
      <c r="O3895"/>
      <c r="P3895"/>
      <c r="Q3895"/>
      <c r="R3895"/>
      <c r="S3895"/>
      <c r="T3895"/>
      <c r="U3895"/>
      <c r="V3895"/>
      <c r="W3895"/>
      <c r="X3895"/>
      <c r="Y3895"/>
      <c r="Z3895"/>
      <c r="AA3895"/>
      <c r="AB3895"/>
      <c r="AC3895"/>
      <c r="AD3895"/>
      <c r="AE3895"/>
      <c r="AF3895"/>
      <c r="AG3895"/>
      <c r="AH3895"/>
      <c r="AI3895"/>
      <c r="AJ3895"/>
      <c r="AK3895"/>
      <c r="AL3895"/>
    </row>
    <row r="3896" spans="1:38" ht="15.75" customHeight="1" outlineLevel="3" x14ac:dyDescent="0.2">
      <c r="A3896" s="10">
        <v>7</v>
      </c>
      <c r="B3896" s="10" t="s">
        <v>71</v>
      </c>
      <c r="C3896" s="10" t="s">
        <v>1552</v>
      </c>
      <c r="D3896" s="10" t="s">
        <v>1675</v>
      </c>
      <c r="E3896" s="11" t="str">
        <f t="array" ref="E3896">_xlfn.XLOOKUP(D3896,Insumos!B:B,Insumos!C:$C)</f>
        <v>L</v>
      </c>
      <c r="F3896" s="14">
        <v>2.2499999999999998E-3</v>
      </c>
      <c r="G3896" s="92">
        <f t="array" ref="G3896">IF(B3896="insumo",_xlfn.XLOOKUP($D3896,Insumos!$B$1:$B$996,Insumos!$D$1:$D$996),"")</f>
        <v>13.5</v>
      </c>
      <c r="H3896" s="92">
        <v>3.0374999999999999E-2</v>
      </c>
      <c r="I3896" s="13">
        <v>0</v>
      </c>
      <c r="J3896" s="13">
        <v>0</v>
      </c>
      <c r="K3896" s="13"/>
      <c r="L3896"/>
      <c r="M3896"/>
      <c r="N3896"/>
      <c r="O3896"/>
      <c r="P3896"/>
      <c r="Q3896"/>
      <c r="R3896"/>
      <c r="S3896"/>
      <c r="T3896"/>
      <c r="U3896"/>
      <c r="V3896"/>
      <c r="W3896"/>
      <c r="X3896"/>
      <c r="Y3896"/>
      <c r="Z3896"/>
      <c r="AA3896"/>
      <c r="AB3896"/>
      <c r="AC3896"/>
      <c r="AD3896"/>
      <c r="AE3896"/>
      <c r="AF3896"/>
      <c r="AG3896"/>
      <c r="AH3896"/>
      <c r="AI3896"/>
      <c r="AJ3896"/>
      <c r="AK3896"/>
      <c r="AL3896"/>
    </row>
    <row r="3897" spans="1:38" ht="15.75" customHeight="1" outlineLevel="3" x14ac:dyDescent="0.2">
      <c r="A3897" s="10">
        <v>25</v>
      </c>
      <c r="B3897" s="10" t="s">
        <v>71</v>
      </c>
      <c r="C3897" s="10" t="s">
        <v>1552</v>
      </c>
      <c r="D3897" s="10" t="s">
        <v>750</v>
      </c>
      <c r="E3897" s="11" t="str">
        <f t="array" ref="E3897">_xlfn.XLOOKUP(D3897,Insumos!B:B,Insumos!C:$C)</f>
        <v>UN</v>
      </c>
      <c r="F3897" s="14">
        <v>2.1320000000000002E-3</v>
      </c>
      <c r="G3897" s="92">
        <f t="array" ref="G3897">IF(B3897="insumo",_xlfn.XLOOKUP($D3897,Insumos!$B$1:$B$996,Insumos!$D$1:$D$996),"")</f>
        <v>11.26</v>
      </c>
      <c r="H3897" s="92">
        <v>2.4006320000000001E-2</v>
      </c>
      <c r="I3897" s="13">
        <v>0</v>
      </c>
      <c r="J3897" s="13">
        <v>0</v>
      </c>
      <c r="K3897" s="13"/>
      <c r="L3897"/>
      <c r="M3897"/>
      <c r="N3897"/>
      <c r="O3897"/>
      <c r="P3897"/>
      <c r="Q3897"/>
      <c r="R3897"/>
      <c r="S3897"/>
      <c r="T3897"/>
      <c r="U3897"/>
      <c r="V3897"/>
      <c r="W3897"/>
      <c r="X3897"/>
      <c r="Y3897"/>
      <c r="Z3897"/>
      <c r="AA3897"/>
      <c r="AB3897"/>
      <c r="AC3897"/>
      <c r="AD3897"/>
      <c r="AE3897"/>
      <c r="AF3897"/>
      <c r="AG3897"/>
      <c r="AH3897"/>
      <c r="AI3897"/>
      <c r="AJ3897"/>
      <c r="AK3897"/>
      <c r="AL3897"/>
    </row>
    <row r="3898" spans="1:38" ht="15.75" customHeight="1" outlineLevel="3" x14ac:dyDescent="0.2">
      <c r="A3898" s="10">
        <v>7</v>
      </c>
      <c r="B3898" s="10" t="s">
        <v>71</v>
      </c>
      <c r="C3898" s="10" t="s">
        <v>1552</v>
      </c>
      <c r="D3898" s="10" t="s">
        <v>1676</v>
      </c>
      <c r="E3898" s="11" t="str">
        <f t="array" ref="E3898">_xlfn.XLOOKUP(D3898,Insumos!B:B,Insumos!C:$C)</f>
        <v>UN</v>
      </c>
      <c r="F3898" s="14">
        <v>0.01</v>
      </c>
      <c r="G3898" s="92">
        <f t="array" ref="G3898">IF(B3898="insumo",_xlfn.XLOOKUP($D3898,Insumos!$B$1:$B$996,Insumos!$D$1:$D$996),"")</f>
        <v>6.9</v>
      </c>
      <c r="H3898" s="92">
        <v>6.9000000000000006E-2</v>
      </c>
      <c r="I3898" s="13">
        <v>0</v>
      </c>
      <c r="J3898" s="13">
        <v>0</v>
      </c>
      <c r="K3898" s="13"/>
      <c r="L3898"/>
      <c r="M3898"/>
      <c r="N3898"/>
      <c r="O3898"/>
      <c r="P3898"/>
      <c r="Q3898"/>
      <c r="R3898"/>
      <c r="S3898"/>
      <c r="T3898"/>
      <c r="U3898"/>
      <c r="V3898"/>
      <c r="W3898"/>
      <c r="X3898"/>
      <c r="Y3898"/>
      <c r="Z3898"/>
      <c r="AA3898"/>
      <c r="AB3898"/>
      <c r="AC3898"/>
      <c r="AD3898"/>
      <c r="AE3898"/>
      <c r="AF3898"/>
      <c r="AG3898"/>
      <c r="AH3898"/>
      <c r="AI3898"/>
      <c r="AJ3898"/>
      <c r="AK3898"/>
      <c r="AL3898"/>
    </row>
    <row r="3899" spans="1:38" ht="15.75" customHeight="1" outlineLevel="3" x14ac:dyDescent="0.2">
      <c r="A3899" s="10">
        <v>7</v>
      </c>
      <c r="B3899" s="10" t="s">
        <v>71</v>
      </c>
      <c r="C3899" s="10" t="s">
        <v>1552</v>
      </c>
      <c r="D3899" s="10" t="s">
        <v>1677</v>
      </c>
      <c r="E3899" s="11" t="str">
        <f t="array" ref="E3899">_xlfn.XLOOKUP(D3899,Insumos!B:B,Insumos!C:$C)</f>
        <v>L</v>
      </c>
      <c r="F3899" s="14">
        <v>2.3579999999999999E-3</v>
      </c>
      <c r="G3899" s="92">
        <f t="array" ref="G3899">IF(B3899="insumo",_xlfn.XLOOKUP($D3899,Insumos!$B$1:$B$996,Insumos!$D$1:$D$996),"")</f>
        <v>6.4</v>
      </c>
      <c r="H3899" s="92">
        <v>1.5091200000000001E-2</v>
      </c>
      <c r="I3899" s="13">
        <v>0</v>
      </c>
      <c r="J3899" s="13">
        <v>0</v>
      </c>
      <c r="K3899" s="13"/>
      <c r="L3899"/>
      <c r="M3899"/>
      <c r="N3899"/>
      <c r="O3899"/>
      <c r="P3899"/>
      <c r="Q3899"/>
      <c r="R3899"/>
      <c r="S3899"/>
      <c r="T3899"/>
      <c r="U3899"/>
      <c r="V3899"/>
      <c r="W3899"/>
      <c r="X3899"/>
      <c r="Y3899"/>
      <c r="Z3899"/>
      <c r="AA3899"/>
      <c r="AB3899"/>
      <c r="AC3899"/>
      <c r="AD3899"/>
      <c r="AE3899"/>
      <c r="AF3899"/>
      <c r="AG3899"/>
      <c r="AH3899"/>
      <c r="AI3899"/>
      <c r="AJ3899"/>
      <c r="AK3899"/>
      <c r="AL3899"/>
    </row>
    <row r="3900" spans="1:38" ht="15.75" customHeight="1" outlineLevel="3" x14ac:dyDescent="0.2">
      <c r="A3900" s="10">
        <v>9</v>
      </c>
      <c r="B3900" s="10" t="s">
        <v>71</v>
      </c>
      <c r="C3900" s="10" t="s">
        <v>1552</v>
      </c>
      <c r="D3900" s="10" t="s">
        <v>311</v>
      </c>
      <c r="E3900" s="11" t="str">
        <f t="array" ref="E3900">_xlfn.XLOOKUP(D3900,Insumos!B:B,Insumos!C:$C)</f>
        <v>M2</v>
      </c>
      <c r="F3900" s="14">
        <v>2.2499999999999998E-3</v>
      </c>
      <c r="G3900" s="92">
        <f t="array" ref="G3900">IF(B3900="insumo",_xlfn.XLOOKUP($D3900,Insumos!$B$1:$B$996,Insumos!$D$1:$D$996),"")</f>
        <v>2.3025000000000002</v>
      </c>
      <c r="H3900" s="92">
        <v>5.1806250000000003E-3</v>
      </c>
      <c r="I3900" s="13">
        <v>0</v>
      </c>
      <c r="J3900" s="13">
        <v>0</v>
      </c>
      <c r="K3900" s="13"/>
      <c r="L3900"/>
      <c r="M3900"/>
      <c r="N3900"/>
      <c r="O3900"/>
      <c r="P3900"/>
      <c r="Q3900"/>
      <c r="R3900"/>
      <c r="S3900"/>
      <c r="T3900"/>
      <c r="U3900"/>
      <c r="V3900"/>
      <c r="W3900"/>
      <c r="X3900"/>
      <c r="Y3900"/>
      <c r="Z3900"/>
      <c r="AA3900"/>
      <c r="AB3900"/>
      <c r="AC3900"/>
      <c r="AD3900"/>
      <c r="AE3900"/>
      <c r="AF3900"/>
      <c r="AG3900"/>
      <c r="AH3900"/>
      <c r="AI3900"/>
      <c r="AJ3900"/>
      <c r="AK3900"/>
      <c r="AL3900"/>
    </row>
    <row r="3901" spans="1:38" ht="15.75" customHeight="1" outlineLevel="3" x14ac:dyDescent="0.2">
      <c r="A3901" s="10">
        <v>7</v>
      </c>
      <c r="B3901" s="10" t="s">
        <v>71</v>
      </c>
      <c r="C3901" s="10" t="s">
        <v>1552</v>
      </c>
      <c r="D3901" s="10" t="s">
        <v>1678</v>
      </c>
      <c r="E3901" s="11" t="str">
        <f t="array" ref="E3901">_xlfn.XLOOKUP(D3901,Insumos!B:B,Insumos!C:$C)</f>
        <v>UN</v>
      </c>
      <c r="F3901" s="14">
        <v>2.4879999999999999E-2</v>
      </c>
      <c r="G3901" s="92">
        <f t="array" ref="G3901">IF(B3901="insumo",_xlfn.XLOOKUP($D3901,Insumos!$B$1:$B$996,Insumos!$D$1:$D$996),"")</f>
        <v>5.9889999999999999</v>
      </c>
      <c r="H3901" s="92">
        <v>0.14900632</v>
      </c>
      <c r="I3901" s="13">
        <v>0</v>
      </c>
      <c r="J3901" s="13">
        <v>0</v>
      </c>
      <c r="K3901" s="13"/>
      <c r="L3901"/>
      <c r="M3901"/>
      <c r="N3901"/>
      <c r="O3901"/>
      <c r="P3901"/>
      <c r="Q3901"/>
      <c r="R3901"/>
      <c r="S3901"/>
      <c r="T3901"/>
      <c r="U3901"/>
      <c r="V3901"/>
      <c r="W3901"/>
      <c r="X3901"/>
      <c r="Y3901"/>
      <c r="Z3901"/>
      <c r="AA3901"/>
      <c r="AB3901"/>
      <c r="AC3901"/>
      <c r="AD3901"/>
      <c r="AE3901"/>
      <c r="AF3901"/>
      <c r="AG3901"/>
      <c r="AH3901"/>
      <c r="AI3901"/>
      <c r="AJ3901"/>
      <c r="AK3901"/>
      <c r="AL3901"/>
    </row>
    <row r="3902" spans="1:38" ht="15.75" customHeight="1" outlineLevel="3" x14ac:dyDescent="0.2">
      <c r="A3902" s="10">
        <v>7</v>
      </c>
      <c r="B3902" s="10" t="s">
        <v>71</v>
      </c>
      <c r="C3902" s="10" t="s">
        <v>1552</v>
      </c>
      <c r="D3902" s="10" t="s">
        <v>1679</v>
      </c>
      <c r="E3902" s="11" t="str">
        <f t="array" ref="E3902">_xlfn.XLOOKUP(D3902,Insumos!B:B,Insumos!C:$C)</f>
        <v>UN</v>
      </c>
      <c r="F3902" s="14">
        <v>2.4879999999999999E-2</v>
      </c>
      <c r="G3902" s="92">
        <f t="array" ref="G3902">IF(B3902="insumo",_xlfn.XLOOKUP($D3902,Insumos!$B$1:$B$996,Insumos!$D$1:$D$996),"")</f>
        <v>5.25</v>
      </c>
      <c r="H3902" s="92">
        <v>0.13062000000000001</v>
      </c>
      <c r="I3902" s="13">
        <v>0</v>
      </c>
      <c r="J3902" s="13">
        <v>0</v>
      </c>
      <c r="K3902" s="13"/>
      <c r="L3902"/>
      <c r="M3902"/>
      <c r="N3902"/>
      <c r="O3902"/>
      <c r="P3902"/>
      <c r="Q3902"/>
      <c r="R3902"/>
      <c r="S3902"/>
      <c r="T3902"/>
      <c r="U3902"/>
      <c r="V3902"/>
      <c r="W3902"/>
      <c r="X3902"/>
      <c r="Y3902"/>
      <c r="Z3902"/>
      <c r="AA3902"/>
      <c r="AB3902"/>
      <c r="AC3902"/>
      <c r="AD3902"/>
      <c r="AE3902"/>
      <c r="AF3902"/>
      <c r="AG3902"/>
      <c r="AH3902"/>
      <c r="AI3902"/>
      <c r="AJ3902"/>
      <c r="AK3902"/>
      <c r="AL3902"/>
    </row>
    <row r="3903" spans="1:38" ht="15.75" customHeight="1" outlineLevel="3" x14ac:dyDescent="0.2">
      <c r="A3903" s="10">
        <v>7</v>
      </c>
      <c r="B3903" s="10" t="s">
        <v>71</v>
      </c>
      <c r="C3903" s="10" t="s">
        <v>1552</v>
      </c>
      <c r="D3903" s="10" t="s">
        <v>1680</v>
      </c>
      <c r="E3903" s="11" t="str">
        <f t="array" ref="E3903">_xlfn.XLOOKUP(D3903,Insumos!B:B,Insumos!C:$C)</f>
        <v>UN</v>
      </c>
      <c r="F3903" s="14">
        <v>2.1320000000000002E-3</v>
      </c>
      <c r="G3903" s="92">
        <f t="array" ref="G3903">IF(B3903="insumo",_xlfn.XLOOKUP($D3903,Insumos!$B$1:$B$996,Insumos!$D$1:$D$996),"")</f>
        <v>36.9</v>
      </c>
      <c r="H3903" s="92">
        <v>7.8670799999999999E-2</v>
      </c>
      <c r="I3903" s="13">
        <v>0</v>
      </c>
      <c r="J3903" s="13">
        <v>0</v>
      </c>
      <c r="K3903" s="13"/>
      <c r="L3903"/>
      <c r="M3903"/>
      <c r="N3903"/>
      <c r="O3903"/>
      <c r="P3903"/>
      <c r="Q3903"/>
      <c r="R3903"/>
      <c r="S3903"/>
      <c r="T3903"/>
      <c r="U3903"/>
      <c r="V3903"/>
      <c r="W3903"/>
      <c r="X3903"/>
      <c r="Y3903"/>
      <c r="Z3903"/>
      <c r="AA3903"/>
      <c r="AB3903"/>
      <c r="AC3903"/>
      <c r="AD3903"/>
      <c r="AE3903"/>
      <c r="AF3903"/>
      <c r="AG3903"/>
      <c r="AH3903"/>
      <c r="AI3903"/>
      <c r="AJ3903"/>
      <c r="AK3903"/>
      <c r="AL3903"/>
    </row>
    <row r="3904" spans="1:38" ht="15.75" customHeight="1" outlineLevel="3" x14ac:dyDescent="0.2">
      <c r="A3904" s="10">
        <v>36</v>
      </c>
      <c r="B3904" s="10" t="s">
        <v>71</v>
      </c>
      <c r="C3904" s="10" t="s">
        <v>1552</v>
      </c>
      <c r="D3904" s="10" t="s">
        <v>104</v>
      </c>
      <c r="E3904" s="11" t="str">
        <f t="array" ref="E3904">_xlfn.XLOOKUP(D3904,Insumos!B:B,Insumos!C:$C)</f>
        <v>UN</v>
      </c>
      <c r="F3904" s="14">
        <v>1.5219999999999999E-2</v>
      </c>
      <c r="G3904" s="92">
        <f t="array" ref="G3904">IF(B3904="insumo",_xlfn.XLOOKUP($D3904,Insumos!$B$1:$B$996,Insumos!$D$1:$D$996),"")</f>
        <v>1.89</v>
      </c>
      <c r="H3904" s="92">
        <v>2.8765800000000001E-2</v>
      </c>
      <c r="I3904" s="13">
        <v>0</v>
      </c>
      <c r="J3904" s="13">
        <v>0</v>
      </c>
      <c r="K3904" s="13"/>
      <c r="L3904"/>
      <c r="M3904"/>
      <c r="N3904"/>
      <c r="O3904"/>
      <c r="P3904"/>
      <c r="Q3904"/>
      <c r="R3904"/>
      <c r="S3904"/>
      <c r="T3904"/>
      <c r="U3904"/>
      <c r="V3904"/>
      <c r="W3904"/>
      <c r="X3904"/>
      <c r="Y3904"/>
      <c r="Z3904"/>
      <c r="AA3904"/>
      <c r="AB3904"/>
      <c r="AC3904"/>
      <c r="AD3904"/>
      <c r="AE3904"/>
      <c r="AF3904"/>
      <c r="AG3904"/>
      <c r="AH3904"/>
      <c r="AI3904"/>
      <c r="AJ3904"/>
      <c r="AK3904"/>
      <c r="AL3904"/>
    </row>
    <row r="3905" spans="1:38" ht="15.75" customHeight="1" outlineLevel="2" x14ac:dyDescent="0.2">
      <c r="A3905" s="1067">
        <v>1</v>
      </c>
      <c r="B3905" s="1067" t="s">
        <v>68</v>
      </c>
      <c r="C3905" s="1067" t="s">
        <v>1553</v>
      </c>
      <c r="D3905" s="1067" t="s">
        <v>1553</v>
      </c>
      <c r="E3905" s="1068" t="s">
        <v>70</v>
      </c>
      <c r="F3905" s="1067"/>
      <c r="G3905" s="1069" t="str">
        <f t="array" ref="G3905">IF(B3905="insumo",_xlfn.XLOOKUP($D3905,Insumos!$B$1:$B$996,Insumos!$D$1:$D$996),"")</f>
        <v/>
      </c>
      <c r="H3905" s="1069">
        <v>18.405716065</v>
      </c>
      <c r="I3905" s="1070">
        <v>0</v>
      </c>
      <c r="J3905" s="1070">
        <v>0</v>
      </c>
      <c r="K3905" s="1070"/>
      <c r="L3905"/>
      <c r="M3905"/>
      <c r="N3905"/>
      <c r="O3905"/>
      <c r="P3905"/>
      <c r="Q3905"/>
      <c r="R3905"/>
      <c r="S3905"/>
      <c r="T3905"/>
      <c r="U3905"/>
      <c r="V3905"/>
      <c r="W3905"/>
      <c r="X3905"/>
      <c r="Y3905"/>
      <c r="Z3905"/>
      <c r="AA3905"/>
      <c r="AB3905"/>
      <c r="AC3905"/>
      <c r="AD3905"/>
      <c r="AE3905"/>
      <c r="AF3905"/>
      <c r="AG3905"/>
      <c r="AH3905"/>
      <c r="AI3905"/>
      <c r="AJ3905"/>
      <c r="AK3905"/>
      <c r="AL3905"/>
    </row>
    <row r="3906" spans="1:38" ht="15.75" customHeight="1" outlineLevel="3" x14ac:dyDescent="0.2">
      <c r="A3906" s="10">
        <v>1</v>
      </c>
      <c r="B3906" s="10" t="s">
        <v>71</v>
      </c>
      <c r="C3906" s="10" t="s">
        <v>1553</v>
      </c>
      <c r="D3906" s="10" t="s">
        <v>1564</v>
      </c>
      <c r="E3906" s="11" t="str">
        <f t="array" ref="E3906">_xlfn.XLOOKUP(D3906,Insumos!B:B,Insumos!C:$C)</f>
        <v>L</v>
      </c>
      <c r="F3906" s="14">
        <v>0.495</v>
      </c>
      <c r="G3906" s="92">
        <f t="array" ref="G3906">IF(B3906="insumo",_xlfn.XLOOKUP($D3906,Insumos!$B$1:$B$996,Insumos!$D$1:$D$996),"")</f>
        <v>36.111111111111114</v>
      </c>
      <c r="H3906" s="92">
        <v>17.875</v>
      </c>
      <c r="I3906" s="13">
        <v>0</v>
      </c>
      <c r="J3906" s="13">
        <v>0</v>
      </c>
      <c r="K3906" s="13"/>
      <c r="L3906"/>
      <c r="M3906"/>
      <c r="N3906"/>
      <c r="O3906"/>
      <c r="P3906"/>
      <c r="Q3906"/>
      <c r="R3906"/>
      <c r="S3906"/>
      <c r="T3906"/>
      <c r="U3906"/>
      <c r="V3906"/>
      <c r="W3906"/>
      <c r="X3906"/>
      <c r="Y3906"/>
      <c r="Z3906"/>
      <c r="AA3906"/>
      <c r="AB3906"/>
      <c r="AC3906"/>
      <c r="AD3906"/>
      <c r="AE3906"/>
      <c r="AF3906"/>
      <c r="AG3906"/>
      <c r="AH3906"/>
      <c r="AI3906"/>
      <c r="AJ3906"/>
      <c r="AK3906"/>
      <c r="AL3906"/>
    </row>
    <row r="3907" spans="1:38" ht="15.75" customHeight="1" outlineLevel="3" x14ac:dyDescent="0.2">
      <c r="A3907" s="10">
        <v>7</v>
      </c>
      <c r="B3907" s="10" t="s">
        <v>71</v>
      </c>
      <c r="C3907" s="10" t="s">
        <v>1553</v>
      </c>
      <c r="D3907" s="10" t="s">
        <v>1675</v>
      </c>
      <c r="E3907" s="11" t="str">
        <f t="array" ref="E3907">_xlfn.XLOOKUP(D3907,Insumos!B:B,Insumos!C:$C)</f>
        <v>L</v>
      </c>
      <c r="F3907" s="14">
        <v>2.2499999999999998E-3</v>
      </c>
      <c r="G3907" s="92">
        <f t="array" ref="G3907">IF(B3907="insumo",_xlfn.XLOOKUP($D3907,Insumos!$B$1:$B$996,Insumos!$D$1:$D$996),"")</f>
        <v>13.5</v>
      </c>
      <c r="H3907" s="92">
        <v>3.0374999999999999E-2</v>
      </c>
      <c r="I3907" s="13">
        <v>0</v>
      </c>
      <c r="J3907" s="13">
        <v>0</v>
      </c>
      <c r="K3907" s="13"/>
      <c r="L3907"/>
      <c r="M3907"/>
      <c r="N3907"/>
      <c r="O3907"/>
      <c r="P3907"/>
      <c r="Q3907"/>
      <c r="R3907"/>
      <c r="S3907"/>
      <c r="T3907"/>
      <c r="U3907"/>
      <c r="V3907"/>
      <c r="W3907"/>
      <c r="X3907"/>
      <c r="Y3907"/>
      <c r="Z3907"/>
      <c r="AA3907"/>
      <c r="AB3907"/>
      <c r="AC3907"/>
      <c r="AD3907"/>
      <c r="AE3907"/>
      <c r="AF3907"/>
      <c r="AG3907"/>
      <c r="AH3907"/>
      <c r="AI3907"/>
      <c r="AJ3907"/>
      <c r="AK3907"/>
      <c r="AL3907"/>
    </row>
    <row r="3908" spans="1:38" ht="15.75" customHeight="1" outlineLevel="3" x14ac:dyDescent="0.2">
      <c r="A3908" s="10">
        <v>25</v>
      </c>
      <c r="B3908" s="10" t="s">
        <v>71</v>
      </c>
      <c r="C3908" s="10" t="s">
        <v>1553</v>
      </c>
      <c r="D3908" s="10" t="s">
        <v>750</v>
      </c>
      <c r="E3908" s="11" t="str">
        <f t="array" ref="E3908">_xlfn.XLOOKUP(D3908,Insumos!B:B,Insumos!C:$C)</f>
        <v>UN</v>
      </c>
      <c r="F3908" s="14">
        <v>2.1320000000000002E-3</v>
      </c>
      <c r="G3908" s="92">
        <f t="array" ref="G3908">IF(B3908="insumo",_xlfn.XLOOKUP($D3908,Insumos!$B$1:$B$996,Insumos!$D$1:$D$996),"")</f>
        <v>11.26</v>
      </c>
      <c r="H3908" s="92">
        <v>2.4006320000000001E-2</v>
      </c>
      <c r="I3908" s="13">
        <v>0</v>
      </c>
      <c r="J3908" s="13">
        <v>0</v>
      </c>
      <c r="K3908" s="13"/>
      <c r="L3908"/>
      <c r="M3908"/>
      <c r="N3908"/>
      <c r="O3908"/>
      <c r="P3908"/>
      <c r="Q3908"/>
      <c r="R3908"/>
      <c r="S3908"/>
      <c r="T3908"/>
      <c r="U3908"/>
      <c r="V3908"/>
      <c r="W3908"/>
      <c r="X3908"/>
      <c r="Y3908"/>
      <c r="Z3908"/>
      <c r="AA3908"/>
      <c r="AB3908"/>
      <c r="AC3908"/>
      <c r="AD3908"/>
      <c r="AE3908"/>
      <c r="AF3908"/>
      <c r="AG3908"/>
      <c r="AH3908"/>
      <c r="AI3908"/>
      <c r="AJ3908"/>
      <c r="AK3908"/>
      <c r="AL3908"/>
    </row>
    <row r="3909" spans="1:38" ht="15.75" customHeight="1" outlineLevel="3" x14ac:dyDescent="0.2">
      <c r="A3909" s="10">
        <v>7</v>
      </c>
      <c r="B3909" s="10" t="s">
        <v>71</v>
      </c>
      <c r="C3909" s="10" t="s">
        <v>1553</v>
      </c>
      <c r="D3909" s="10" t="s">
        <v>1676</v>
      </c>
      <c r="E3909" s="11" t="str">
        <f t="array" ref="E3909">_xlfn.XLOOKUP(D3909,Insumos!B:B,Insumos!C:$C)</f>
        <v>UN</v>
      </c>
      <c r="F3909" s="14">
        <v>0.01</v>
      </c>
      <c r="G3909" s="92">
        <f t="array" ref="G3909">IF(B3909="insumo",_xlfn.XLOOKUP($D3909,Insumos!$B$1:$B$996,Insumos!$D$1:$D$996),"")</f>
        <v>6.9</v>
      </c>
      <c r="H3909" s="92">
        <v>6.9000000000000006E-2</v>
      </c>
      <c r="I3909" s="13">
        <v>0</v>
      </c>
      <c r="J3909" s="13">
        <v>0</v>
      </c>
      <c r="K3909" s="13"/>
      <c r="L3909"/>
      <c r="M3909"/>
      <c r="N3909"/>
      <c r="O3909"/>
      <c r="P3909"/>
      <c r="Q3909"/>
      <c r="R3909"/>
      <c r="S3909"/>
      <c r="T3909"/>
      <c r="U3909"/>
      <c r="V3909"/>
      <c r="W3909"/>
      <c r="X3909"/>
      <c r="Y3909"/>
      <c r="Z3909"/>
      <c r="AA3909"/>
      <c r="AB3909"/>
      <c r="AC3909"/>
      <c r="AD3909"/>
      <c r="AE3909"/>
      <c r="AF3909"/>
      <c r="AG3909"/>
      <c r="AH3909"/>
      <c r="AI3909"/>
      <c r="AJ3909"/>
      <c r="AK3909"/>
      <c r="AL3909"/>
    </row>
    <row r="3910" spans="1:38" ht="15.75" customHeight="1" outlineLevel="3" x14ac:dyDescent="0.2">
      <c r="A3910" s="10">
        <v>7</v>
      </c>
      <c r="B3910" s="10" t="s">
        <v>71</v>
      </c>
      <c r="C3910" s="10" t="s">
        <v>1553</v>
      </c>
      <c r="D3910" s="10" t="s">
        <v>1677</v>
      </c>
      <c r="E3910" s="11" t="str">
        <f t="array" ref="E3910">_xlfn.XLOOKUP(D3910,Insumos!B:B,Insumos!C:$C)</f>
        <v>L</v>
      </c>
      <c r="F3910" s="14">
        <v>2.3579999999999999E-3</v>
      </c>
      <c r="G3910" s="92">
        <f t="array" ref="G3910">IF(B3910="insumo",_xlfn.XLOOKUP($D3910,Insumos!$B$1:$B$996,Insumos!$D$1:$D$996),"")</f>
        <v>6.4</v>
      </c>
      <c r="H3910" s="92">
        <v>1.5091200000000001E-2</v>
      </c>
      <c r="I3910" s="13">
        <v>0</v>
      </c>
      <c r="J3910" s="13">
        <v>0</v>
      </c>
      <c r="K3910" s="13"/>
      <c r="L3910"/>
      <c r="M3910"/>
      <c r="N3910"/>
      <c r="O3910"/>
      <c r="P3910"/>
      <c r="Q3910"/>
      <c r="R3910"/>
      <c r="S3910"/>
      <c r="T3910"/>
      <c r="U3910"/>
      <c r="V3910"/>
      <c r="W3910"/>
      <c r="X3910"/>
      <c r="Y3910"/>
      <c r="Z3910"/>
      <c r="AA3910"/>
      <c r="AB3910"/>
      <c r="AC3910"/>
      <c r="AD3910"/>
      <c r="AE3910"/>
      <c r="AF3910"/>
      <c r="AG3910"/>
      <c r="AH3910"/>
      <c r="AI3910"/>
      <c r="AJ3910"/>
      <c r="AK3910"/>
      <c r="AL3910"/>
    </row>
    <row r="3911" spans="1:38" ht="15.75" customHeight="1" outlineLevel="3" x14ac:dyDescent="0.2">
      <c r="A3911" s="10">
        <v>9</v>
      </c>
      <c r="B3911" s="10" t="s">
        <v>71</v>
      </c>
      <c r="C3911" s="10" t="s">
        <v>1553</v>
      </c>
      <c r="D3911" s="10" t="s">
        <v>311</v>
      </c>
      <c r="E3911" s="11" t="str">
        <f t="array" ref="E3911">_xlfn.XLOOKUP(D3911,Insumos!B:B,Insumos!C:$C)</f>
        <v>M2</v>
      </c>
      <c r="F3911" s="14">
        <v>2.2499999999999998E-3</v>
      </c>
      <c r="G3911" s="92">
        <f t="array" ref="G3911">IF(B3911="insumo",_xlfn.XLOOKUP($D3911,Insumos!$B$1:$B$996,Insumos!$D$1:$D$996),"")</f>
        <v>2.3025000000000002</v>
      </c>
      <c r="H3911" s="92">
        <v>5.1806250000000003E-3</v>
      </c>
      <c r="I3911" s="13">
        <v>0</v>
      </c>
      <c r="J3911" s="13">
        <v>0</v>
      </c>
      <c r="K3911" s="13"/>
      <c r="L3911"/>
      <c r="M3911"/>
      <c r="N3911"/>
      <c r="O3911"/>
      <c r="P3911"/>
      <c r="Q3911"/>
      <c r="R3911"/>
      <c r="S3911"/>
      <c r="T3911"/>
      <c r="U3911"/>
      <c r="V3911"/>
      <c r="W3911"/>
      <c r="X3911"/>
      <c r="Y3911"/>
      <c r="Z3911"/>
      <c r="AA3911"/>
      <c r="AB3911"/>
      <c r="AC3911"/>
      <c r="AD3911"/>
      <c r="AE3911"/>
      <c r="AF3911"/>
      <c r="AG3911"/>
      <c r="AH3911"/>
      <c r="AI3911"/>
      <c r="AJ3911"/>
      <c r="AK3911"/>
      <c r="AL3911"/>
    </row>
    <row r="3912" spans="1:38" ht="15.75" customHeight="1" outlineLevel="3" x14ac:dyDescent="0.2">
      <c r="A3912" s="10">
        <v>7</v>
      </c>
      <c r="B3912" s="10" t="s">
        <v>71</v>
      </c>
      <c r="C3912" s="10" t="s">
        <v>1553</v>
      </c>
      <c r="D3912" s="10" t="s">
        <v>1678</v>
      </c>
      <c r="E3912" s="11" t="str">
        <f t="array" ref="E3912">_xlfn.XLOOKUP(D3912,Insumos!B:B,Insumos!C:$C)</f>
        <v>UN</v>
      </c>
      <c r="F3912" s="14">
        <v>2.4879999999999999E-2</v>
      </c>
      <c r="G3912" s="92">
        <f t="array" ref="G3912">IF(B3912="insumo",_xlfn.XLOOKUP($D3912,Insumos!$B$1:$B$996,Insumos!$D$1:$D$996),"")</f>
        <v>5.9889999999999999</v>
      </c>
      <c r="H3912" s="92">
        <v>0.14900632</v>
      </c>
      <c r="I3912" s="13">
        <v>0</v>
      </c>
      <c r="J3912" s="13">
        <v>0</v>
      </c>
      <c r="K3912" s="13"/>
      <c r="L3912"/>
      <c r="M3912"/>
      <c r="N3912"/>
      <c r="O3912"/>
      <c r="P3912"/>
      <c r="Q3912"/>
      <c r="R3912"/>
      <c r="S3912"/>
      <c r="T3912"/>
      <c r="U3912"/>
      <c r="V3912"/>
      <c r="W3912"/>
      <c r="X3912"/>
      <c r="Y3912"/>
      <c r="Z3912"/>
      <c r="AA3912"/>
      <c r="AB3912"/>
      <c r="AC3912"/>
      <c r="AD3912"/>
      <c r="AE3912"/>
      <c r="AF3912"/>
      <c r="AG3912"/>
      <c r="AH3912"/>
      <c r="AI3912"/>
      <c r="AJ3912"/>
      <c r="AK3912"/>
      <c r="AL3912"/>
    </row>
    <row r="3913" spans="1:38" ht="15.75" customHeight="1" outlineLevel="3" x14ac:dyDescent="0.2">
      <c r="A3913" s="10">
        <v>7</v>
      </c>
      <c r="B3913" s="10" t="s">
        <v>71</v>
      </c>
      <c r="C3913" s="10" t="s">
        <v>1553</v>
      </c>
      <c r="D3913" s="10" t="s">
        <v>1679</v>
      </c>
      <c r="E3913" s="11" t="str">
        <f t="array" ref="E3913">_xlfn.XLOOKUP(D3913,Insumos!B:B,Insumos!C:$C)</f>
        <v>UN</v>
      </c>
      <c r="F3913" s="14">
        <v>2.4879999999999999E-2</v>
      </c>
      <c r="G3913" s="92">
        <f t="array" ref="G3913">IF(B3913="insumo",_xlfn.XLOOKUP($D3913,Insumos!$B$1:$B$996,Insumos!$D$1:$D$996),"")</f>
        <v>5.25</v>
      </c>
      <c r="H3913" s="92">
        <v>0.13062000000000001</v>
      </c>
      <c r="I3913" s="13">
        <v>0</v>
      </c>
      <c r="J3913" s="13">
        <v>0</v>
      </c>
      <c r="K3913" s="13"/>
      <c r="L3913"/>
      <c r="M3913"/>
      <c r="N3913"/>
      <c r="O3913"/>
      <c r="P3913"/>
      <c r="Q3913"/>
      <c r="R3913"/>
      <c r="S3913"/>
      <c r="T3913"/>
      <c r="U3913"/>
      <c r="V3913"/>
      <c r="W3913"/>
      <c r="X3913"/>
      <c r="Y3913"/>
      <c r="Z3913"/>
      <c r="AA3913"/>
      <c r="AB3913"/>
      <c r="AC3913"/>
      <c r="AD3913"/>
      <c r="AE3913"/>
      <c r="AF3913"/>
      <c r="AG3913"/>
      <c r="AH3913"/>
      <c r="AI3913"/>
      <c r="AJ3913"/>
      <c r="AK3913"/>
      <c r="AL3913"/>
    </row>
    <row r="3914" spans="1:38" ht="15.75" customHeight="1" outlineLevel="3" x14ac:dyDescent="0.2">
      <c r="A3914" s="10">
        <v>7</v>
      </c>
      <c r="B3914" s="10" t="s">
        <v>71</v>
      </c>
      <c r="C3914" s="10" t="s">
        <v>1553</v>
      </c>
      <c r="D3914" s="10" t="s">
        <v>1680</v>
      </c>
      <c r="E3914" s="11" t="str">
        <f t="array" ref="E3914">_xlfn.XLOOKUP(D3914,Insumos!B:B,Insumos!C:$C)</f>
        <v>UN</v>
      </c>
      <c r="F3914" s="14">
        <v>2.1320000000000002E-3</v>
      </c>
      <c r="G3914" s="92">
        <f t="array" ref="G3914">IF(B3914="insumo",_xlfn.XLOOKUP($D3914,Insumos!$B$1:$B$996,Insumos!$D$1:$D$996),"")</f>
        <v>36.9</v>
      </c>
      <c r="H3914" s="92">
        <v>7.8670799999999999E-2</v>
      </c>
      <c r="I3914" s="13">
        <v>0</v>
      </c>
      <c r="J3914" s="13">
        <v>0</v>
      </c>
      <c r="K3914" s="13"/>
      <c r="L3914"/>
      <c r="M3914"/>
      <c r="N3914"/>
      <c r="O3914"/>
      <c r="P3914"/>
      <c r="Q3914"/>
      <c r="R3914"/>
      <c r="S3914"/>
      <c r="T3914"/>
      <c r="U3914"/>
      <c r="V3914"/>
      <c r="W3914"/>
      <c r="X3914"/>
      <c r="Y3914"/>
      <c r="Z3914"/>
      <c r="AA3914"/>
      <c r="AB3914"/>
      <c r="AC3914"/>
      <c r="AD3914"/>
      <c r="AE3914"/>
      <c r="AF3914"/>
      <c r="AG3914"/>
      <c r="AH3914"/>
      <c r="AI3914"/>
      <c r="AJ3914"/>
      <c r="AK3914"/>
      <c r="AL3914"/>
    </row>
    <row r="3915" spans="1:38" ht="15.75" customHeight="1" outlineLevel="3" x14ac:dyDescent="0.2">
      <c r="A3915" s="10">
        <v>36</v>
      </c>
      <c r="B3915" s="10" t="s">
        <v>71</v>
      </c>
      <c r="C3915" s="10" t="s">
        <v>1553</v>
      </c>
      <c r="D3915" s="10" t="s">
        <v>104</v>
      </c>
      <c r="E3915" s="11" t="str">
        <f t="array" ref="E3915">_xlfn.XLOOKUP(D3915,Insumos!B:B,Insumos!C:$C)</f>
        <v>UN</v>
      </c>
      <c r="F3915" s="14">
        <v>1.5219999999999999E-2</v>
      </c>
      <c r="G3915" s="92">
        <f t="array" ref="G3915">IF(B3915="insumo",_xlfn.XLOOKUP($D3915,Insumos!$B$1:$B$996,Insumos!$D$1:$D$996),"")</f>
        <v>1.89</v>
      </c>
      <c r="H3915" s="92">
        <v>2.8765800000000001E-2</v>
      </c>
      <c r="I3915" s="13">
        <v>0</v>
      </c>
      <c r="J3915" s="13">
        <v>0</v>
      </c>
      <c r="K3915" s="13"/>
      <c r="L3915"/>
      <c r="M3915"/>
      <c r="N3915"/>
      <c r="O3915"/>
      <c r="P3915"/>
      <c r="Q3915"/>
      <c r="R3915"/>
      <c r="S3915"/>
      <c r="T3915"/>
      <c r="U3915"/>
      <c r="V3915"/>
      <c r="W3915"/>
      <c r="X3915"/>
      <c r="Y3915"/>
      <c r="Z3915"/>
      <c r="AA3915"/>
      <c r="AB3915"/>
      <c r="AC3915"/>
      <c r="AD3915"/>
      <c r="AE3915"/>
      <c r="AF3915"/>
      <c r="AG3915"/>
      <c r="AH3915"/>
      <c r="AI3915"/>
      <c r="AJ3915"/>
      <c r="AK3915"/>
      <c r="AL3915"/>
    </row>
    <row r="3916" spans="1:38" ht="15.75" customHeight="1" outlineLevel="2" x14ac:dyDescent="0.2">
      <c r="A3916" s="1067">
        <v>1</v>
      </c>
      <c r="B3916" s="1067" t="s">
        <v>68</v>
      </c>
      <c r="C3916" s="1067" t="s">
        <v>1554</v>
      </c>
      <c r="D3916" s="1067" t="s">
        <v>1554</v>
      </c>
      <c r="E3916" s="1068" t="s">
        <v>70</v>
      </c>
      <c r="F3916" s="1067"/>
      <c r="G3916" s="1069" t="str">
        <f t="array" ref="G3916">IF(B3916="insumo",_xlfn.XLOOKUP($D3916,Insumos!$B$1:$B$996,Insumos!$D$1:$D$996),"")</f>
        <v/>
      </c>
      <c r="H3916" s="1069">
        <v>19.278841065000002</v>
      </c>
      <c r="I3916" s="1070">
        <v>0</v>
      </c>
      <c r="J3916" s="1070">
        <v>0</v>
      </c>
      <c r="K3916" s="1070"/>
      <c r="L3916"/>
      <c r="M3916"/>
      <c r="N3916"/>
      <c r="O3916"/>
      <c r="P3916"/>
      <c r="Q3916"/>
      <c r="R3916"/>
      <c r="S3916"/>
      <c r="T3916"/>
      <c r="U3916"/>
      <c r="V3916"/>
      <c r="W3916"/>
      <c r="X3916"/>
      <c r="Y3916"/>
      <c r="Z3916"/>
      <c r="AA3916"/>
      <c r="AB3916"/>
      <c r="AC3916"/>
      <c r="AD3916"/>
      <c r="AE3916"/>
      <c r="AF3916"/>
      <c r="AG3916"/>
      <c r="AH3916"/>
      <c r="AI3916"/>
      <c r="AJ3916"/>
      <c r="AK3916"/>
      <c r="AL3916"/>
    </row>
    <row r="3917" spans="1:38" ht="15.75" customHeight="1" outlineLevel="3" x14ac:dyDescent="0.2">
      <c r="A3917" s="10">
        <v>1</v>
      </c>
      <c r="B3917" s="10" t="s">
        <v>71</v>
      </c>
      <c r="C3917" s="10" t="s">
        <v>1554</v>
      </c>
      <c r="D3917" s="10" t="s">
        <v>1563</v>
      </c>
      <c r="E3917" s="11" t="str">
        <f t="array" ref="E3917">_xlfn.XLOOKUP(D3917,Insumos!B:B,Insumos!C:$C)</f>
        <v>L</v>
      </c>
      <c r="F3917" s="14">
        <v>0.495</v>
      </c>
      <c r="G3917" s="92">
        <f t="array" ref="G3917">IF(B3917="insumo",_xlfn.XLOOKUP($D3917,Insumos!$B$1:$B$996,Insumos!$D$1:$D$996),"")</f>
        <v>37.875</v>
      </c>
      <c r="H3917" s="92">
        <v>18.748125000000002</v>
      </c>
      <c r="I3917" s="13">
        <v>0</v>
      </c>
      <c r="J3917" s="13">
        <v>0</v>
      </c>
      <c r="K3917" s="13"/>
      <c r="L3917"/>
      <c r="M3917"/>
      <c r="N3917"/>
      <c r="O3917"/>
      <c r="P3917"/>
      <c r="Q3917"/>
      <c r="R3917"/>
      <c r="S3917"/>
      <c r="T3917"/>
      <c r="U3917"/>
      <c r="V3917"/>
      <c r="W3917"/>
      <c r="X3917"/>
      <c r="Y3917"/>
      <c r="Z3917"/>
      <c r="AA3917"/>
      <c r="AB3917"/>
      <c r="AC3917"/>
      <c r="AD3917"/>
      <c r="AE3917"/>
      <c r="AF3917"/>
      <c r="AG3917"/>
      <c r="AH3917"/>
      <c r="AI3917"/>
      <c r="AJ3917"/>
      <c r="AK3917"/>
      <c r="AL3917"/>
    </row>
    <row r="3918" spans="1:38" ht="15.75" customHeight="1" outlineLevel="3" x14ac:dyDescent="0.2">
      <c r="A3918" s="10">
        <v>7</v>
      </c>
      <c r="B3918" s="10" t="s">
        <v>71</v>
      </c>
      <c r="C3918" s="10" t="s">
        <v>1554</v>
      </c>
      <c r="D3918" s="10" t="s">
        <v>1675</v>
      </c>
      <c r="E3918" s="11" t="str">
        <f t="array" ref="E3918">_xlfn.XLOOKUP(D3918,Insumos!B:B,Insumos!C:$C)</f>
        <v>L</v>
      </c>
      <c r="F3918" s="14">
        <v>2.2499999999999998E-3</v>
      </c>
      <c r="G3918" s="92">
        <f t="array" ref="G3918">IF(B3918="insumo",_xlfn.XLOOKUP($D3918,Insumos!$B$1:$B$996,Insumos!$D$1:$D$996),"")</f>
        <v>13.5</v>
      </c>
      <c r="H3918" s="92">
        <v>3.0374999999999999E-2</v>
      </c>
      <c r="I3918" s="13">
        <v>0</v>
      </c>
      <c r="J3918" s="13">
        <v>0</v>
      </c>
      <c r="K3918" s="13"/>
      <c r="L3918"/>
      <c r="M3918"/>
      <c r="N3918"/>
      <c r="O3918"/>
      <c r="P3918"/>
      <c r="Q3918"/>
      <c r="R3918"/>
      <c r="S3918"/>
      <c r="T3918"/>
      <c r="U3918"/>
      <c r="V3918"/>
      <c r="W3918"/>
      <c r="X3918"/>
      <c r="Y3918"/>
      <c r="Z3918"/>
      <c r="AA3918"/>
      <c r="AB3918"/>
      <c r="AC3918"/>
      <c r="AD3918"/>
      <c r="AE3918"/>
      <c r="AF3918"/>
      <c r="AG3918"/>
      <c r="AH3918"/>
      <c r="AI3918"/>
      <c r="AJ3918"/>
      <c r="AK3918"/>
      <c r="AL3918"/>
    </row>
    <row r="3919" spans="1:38" ht="15.75" customHeight="1" outlineLevel="3" x14ac:dyDescent="0.2">
      <c r="A3919" s="10">
        <v>25</v>
      </c>
      <c r="B3919" s="10" t="s">
        <v>71</v>
      </c>
      <c r="C3919" s="10" t="s">
        <v>1554</v>
      </c>
      <c r="D3919" s="10" t="s">
        <v>750</v>
      </c>
      <c r="E3919" s="11" t="str">
        <f t="array" ref="E3919">_xlfn.XLOOKUP(D3919,Insumos!B:B,Insumos!C:$C)</f>
        <v>UN</v>
      </c>
      <c r="F3919" s="14">
        <v>2.1320000000000002E-3</v>
      </c>
      <c r="G3919" s="92">
        <f t="array" ref="G3919">IF(B3919="insumo",_xlfn.XLOOKUP($D3919,Insumos!$B$1:$B$996,Insumos!$D$1:$D$996),"")</f>
        <v>11.26</v>
      </c>
      <c r="H3919" s="92">
        <v>2.4006320000000001E-2</v>
      </c>
      <c r="I3919" s="13">
        <v>0</v>
      </c>
      <c r="J3919" s="13">
        <v>0</v>
      </c>
      <c r="K3919" s="13"/>
      <c r="L3919"/>
      <c r="M3919"/>
      <c r="N3919"/>
      <c r="O3919"/>
      <c r="P3919"/>
      <c r="Q3919"/>
      <c r="R3919"/>
      <c r="S3919"/>
      <c r="T3919"/>
      <c r="U3919"/>
      <c r="V3919"/>
      <c r="W3919"/>
      <c r="X3919"/>
      <c r="Y3919"/>
      <c r="Z3919"/>
      <c r="AA3919"/>
      <c r="AB3919"/>
      <c r="AC3919"/>
      <c r="AD3919"/>
      <c r="AE3919"/>
      <c r="AF3919"/>
      <c r="AG3919"/>
      <c r="AH3919"/>
      <c r="AI3919"/>
      <c r="AJ3919"/>
      <c r="AK3919"/>
      <c r="AL3919"/>
    </row>
    <row r="3920" spans="1:38" ht="15.75" customHeight="1" outlineLevel="3" x14ac:dyDescent="0.2">
      <c r="A3920" s="10">
        <v>7</v>
      </c>
      <c r="B3920" s="10" t="s">
        <v>71</v>
      </c>
      <c r="C3920" s="10" t="s">
        <v>1554</v>
      </c>
      <c r="D3920" s="10" t="s">
        <v>1676</v>
      </c>
      <c r="E3920" s="11" t="str">
        <f t="array" ref="E3920">_xlfn.XLOOKUP(D3920,Insumos!B:B,Insumos!C:$C)</f>
        <v>UN</v>
      </c>
      <c r="F3920" s="14">
        <v>0.01</v>
      </c>
      <c r="G3920" s="92">
        <f t="array" ref="G3920">IF(B3920="insumo",_xlfn.XLOOKUP($D3920,Insumos!$B$1:$B$996,Insumos!$D$1:$D$996),"")</f>
        <v>6.9</v>
      </c>
      <c r="H3920" s="92">
        <v>6.9000000000000006E-2</v>
      </c>
      <c r="I3920" s="13">
        <v>0</v>
      </c>
      <c r="J3920" s="13">
        <v>0</v>
      </c>
      <c r="K3920" s="13"/>
      <c r="L3920"/>
      <c r="M3920"/>
      <c r="N3920"/>
      <c r="O3920"/>
      <c r="P3920"/>
      <c r="Q3920"/>
      <c r="R3920"/>
      <c r="S3920"/>
      <c r="T3920"/>
      <c r="U3920"/>
      <c r="V3920"/>
      <c r="W3920"/>
      <c r="X3920"/>
      <c r="Y3920"/>
      <c r="Z3920"/>
      <c r="AA3920"/>
      <c r="AB3920"/>
      <c r="AC3920"/>
      <c r="AD3920"/>
      <c r="AE3920"/>
      <c r="AF3920"/>
      <c r="AG3920"/>
      <c r="AH3920"/>
      <c r="AI3920"/>
      <c r="AJ3920"/>
      <c r="AK3920"/>
      <c r="AL3920"/>
    </row>
    <row r="3921" spans="1:38" ht="15.75" customHeight="1" outlineLevel="3" x14ac:dyDescent="0.2">
      <c r="A3921" s="10">
        <v>7</v>
      </c>
      <c r="B3921" s="10" t="s">
        <v>71</v>
      </c>
      <c r="C3921" s="10" t="s">
        <v>1554</v>
      </c>
      <c r="D3921" s="10" t="s">
        <v>1677</v>
      </c>
      <c r="E3921" s="11" t="str">
        <f t="array" ref="E3921">_xlfn.XLOOKUP(D3921,Insumos!B:B,Insumos!C:$C)</f>
        <v>L</v>
      </c>
      <c r="F3921" s="14">
        <v>2.3579999999999999E-3</v>
      </c>
      <c r="G3921" s="92">
        <f t="array" ref="G3921">IF(B3921="insumo",_xlfn.XLOOKUP($D3921,Insumos!$B$1:$B$996,Insumos!$D$1:$D$996),"")</f>
        <v>6.4</v>
      </c>
      <c r="H3921" s="92">
        <v>1.5091200000000001E-2</v>
      </c>
      <c r="I3921" s="13">
        <v>0</v>
      </c>
      <c r="J3921" s="13">
        <v>0</v>
      </c>
      <c r="K3921" s="13"/>
      <c r="L3921"/>
      <c r="M3921"/>
      <c r="N3921"/>
      <c r="O3921"/>
      <c r="P3921"/>
      <c r="Q3921"/>
      <c r="R3921"/>
      <c r="S3921"/>
      <c r="T3921"/>
      <c r="U3921"/>
      <c r="V3921"/>
      <c r="W3921"/>
      <c r="X3921"/>
      <c r="Y3921"/>
      <c r="Z3921"/>
      <c r="AA3921"/>
      <c r="AB3921"/>
      <c r="AC3921"/>
      <c r="AD3921"/>
      <c r="AE3921"/>
      <c r="AF3921"/>
      <c r="AG3921"/>
      <c r="AH3921"/>
      <c r="AI3921"/>
      <c r="AJ3921"/>
      <c r="AK3921"/>
      <c r="AL3921"/>
    </row>
    <row r="3922" spans="1:38" ht="15.75" customHeight="1" outlineLevel="3" x14ac:dyDescent="0.2">
      <c r="A3922" s="10">
        <v>9</v>
      </c>
      <c r="B3922" s="10" t="s">
        <v>71</v>
      </c>
      <c r="C3922" s="10" t="s">
        <v>1554</v>
      </c>
      <c r="D3922" s="10" t="s">
        <v>311</v>
      </c>
      <c r="E3922" s="11" t="str">
        <f t="array" ref="E3922">_xlfn.XLOOKUP(D3922,Insumos!B:B,Insumos!C:$C)</f>
        <v>M2</v>
      </c>
      <c r="F3922" s="14">
        <v>2.2499999999999998E-3</v>
      </c>
      <c r="G3922" s="92">
        <f t="array" ref="G3922">IF(B3922="insumo",_xlfn.XLOOKUP($D3922,Insumos!$B$1:$B$996,Insumos!$D$1:$D$996),"")</f>
        <v>2.3025000000000002</v>
      </c>
      <c r="H3922" s="92">
        <v>5.1806250000000003E-3</v>
      </c>
      <c r="I3922" s="13">
        <v>0</v>
      </c>
      <c r="J3922" s="13">
        <v>0</v>
      </c>
      <c r="K3922" s="13"/>
      <c r="L3922"/>
      <c r="M3922"/>
      <c r="N3922"/>
      <c r="O3922"/>
      <c r="P3922"/>
      <c r="Q3922"/>
      <c r="R3922"/>
      <c r="S3922"/>
      <c r="T3922"/>
      <c r="U3922"/>
      <c r="V3922"/>
      <c r="W3922"/>
      <c r="X3922"/>
      <c r="Y3922"/>
      <c r="Z3922"/>
      <c r="AA3922"/>
      <c r="AB3922"/>
      <c r="AC3922"/>
      <c r="AD3922"/>
      <c r="AE3922"/>
      <c r="AF3922"/>
      <c r="AG3922"/>
      <c r="AH3922"/>
      <c r="AI3922"/>
      <c r="AJ3922"/>
      <c r="AK3922"/>
      <c r="AL3922"/>
    </row>
    <row r="3923" spans="1:38" ht="15.75" customHeight="1" outlineLevel="3" x14ac:dyDescent="0.2">
      <c r="A3923" s="10">
        <v>7</v>
      </c>
      <c r="B3923" s="10" t="s">
        <v>71</v>
      </c>
      <c r="C3923" s="10" t="s">
        <v>1554</v>
      </c>
      <c r="D3923" s="10" t="s">
        <v>1678</v>
      </c>
      <c r="E3923" s="11" t="str">
        <f t="array" ref="E3923">_xlfn.XLOOKUP(D3923,Insumos!B:B,Insumos!C:$C)</f>
        <v>UN</v>
      </c>
      <c r="F3923" s="14">
        <v>2.4879999999999999E-2</v>
      </c>
      <c r="G3923" s="92">
        <f t="array" ref="G3923">IF(B3923="insumo",_xlfn.XLOOKUP($D3923,Insumos!$B$1:$B$996,Insumos!$D$1:$D$996),"")</f>
        <v>5.9889999999999999</v>
      </c>
      <c r="H3923" s="92">
        <v>0.14900632</v>
      </c>
      <c r="I3923" s="13">
        <v>0</v>
      </c>
      <c r="J3923" s="13">
        <v>0</v>
      </c>
      <c r="K3923" s="13"/>
      <c r="L3923"/>
      <c r="M3923"/>
      <c r="N3923"/>
      <c r="O3923"/>
      <c r="P3923"/>
      <c r="Q3923"/>
      <c r="R3923"/>
      <c r="S3923"/>
      <c r="T3923"/>
      <c r="U3923"/>
      <c r="V3923"/>
      <c r="W3923"/>
      <c r="X3923"/>
      <c r="Y3923"/>
      <c r="Z3923"/>
      <c r="AA3923"/>
      <c r="AB3923"/>
      <c r="AC3923"/>
      <c r="AD3923"/>
      <c r="AE3923"/>
      <c r="AF3923"/>
      <c r="AG3923"/>
      <c r="AH3923"/>
      <c r="AI3923"/>
      <c r="AJ3923"/>
      <c r="AK3923"/>
      <c r="AL3923"/>
    </row>
    <row r="3924" spans="1:38" ht="15.75" customHeight="1" outlineLevel="3" x14ac:dyDescent="0.2">
      <c r="A3924" s="10">
        <v>7</v>
      </c>
      <c r="B3924" s="10" t="s">
        <v>71</v>
      </c>
      <c r="C3924" s="10" t="s">
        <v>1554</v>
      </c>
      <c r="D3924" s="10" t="s">
        <v>1679</v>
      </c>
      <c r="E3924" s="11" t="str">
        <f t="array" ref="E3924">_xlfn.XLOOKUP(D3924,Insumos!B:B,Insumos!C:$C)</f>
        <v>UN</v>
      </c>
      <c r="F3924" s="14">
        <v>2.4879999999999999E-2</v>
      </c>
      <c r="G3924" s="92">
        <f t="array" ref="G3924">IF(B3924="insumo",_xlfn.XLOOKUP($D3924,Insumos!$B$1:$B$996,Insumos!$D$1:$D$996),"")</f>
        <v>5.25</v>
      </c>
      <c r="H3924" s="92">
        <v>0.13062000000000001</v>
      </c>
      <c r="I3924" s="13">
        <v>0</v>
      </c>
      <c r="J3924" s="13">
        <v>0</v>
      </c>
      <c r="K3924" s="13"/>
      <c r="L3924"/>
      <c r="M3924"/>
      <c r="N3924"/>
      <c r="O3924"/>
      <c r="P3924"/>
      <c r="Q3924"/>
      <c r="R3924"/>
      <c r="S3924"/>
      <c r="T3924"/>
      <c r="U3924"/>
      <c r="V3924"/>
      <c r="W3924"/>
      <c r="X3924"/>
      <c r="Y3924"/>
      <c r="Z3924"/>
      <c r="AA3924"/>
      <c r="AB3924"/>
      <c r="AC3924"/>
      <c r="AD3924"/>
      <c r="AE3924"/>
      <c r="AF3924"/>
      <c r="AG3924"/>
      <c r="AH3924"/>
      <c r="AI3924"/>
      <c r="AJ3924"/>
      <c r="AK3924"/>
      <c r="AL3924"/>
    </row>
    <row r="3925" spans="1:38" ht="15.75" customHeight="1" outlineLevel="3" x14ac:dyDescent="0.2">
      <c r="A3925" s="10">
        <v>7</v>
      </c>
      <c r="B3925" s="10" t="s">
        <v>71</v>
      </c>
      <c r="C3925" s="10" t="s">
        <v>1554</v>
      </c>
      <c r="D3925" s="10" t="s">
        <v>1680</v>
      </c>
      <c r="E3925" s="11" t="str">
        <f t="array" ref="E3925">_xlfn.XLOOKUP(D3925,Insumos!B:B,Insumos!C:$C)</f>
        <v>UN</v>
      </c>
      <c r="F3925" s="14">
        <v>2.1320000000000002E-3</v>
      </c>
      <c r="G3925" s="92">
        <f t="array" ref="G3925">IF(B3925="insumo",_xlfn.XLOOKUP($D3925,Insumos!$B$1:$B$996,Insumos!$D$1:$D$996),"")</f>
        <v>36.9</v>
      </c>
      <c r="H3925" s="92">
        <v>7.8670799999999999E-2</v>
      </c>
      <c r="I3925" s="13">
        <v>0</v>
      </c>
      <c r="J3925" s="13">
        <v>0</v>
      </c>
      <c r="K3925" s="13"/>
      <c r="L3925"/>
      <c r="M3925"/>
      <c r="N3925"/>
      <c r="O3925"/>
      <c r="P3925"/>
      <c r="Q3925"/>
      <c r="R3925"/>
      <c r="S3925"/>
      <c r="T3925"/>
      <c r="U3925"/>
      <c r="V3925"/>
      <c r="W3925"/>
      <c r="X3925"/>
      <c r="Y3925"/>
      <c r="Z3925"/>
      <c r="AA3925"/>
      <c r="AB3925"/>
      <c r="AC3925"/>
      <c r="AD3925"/>
      <c r="AE3925"/>
      <c r="AF3925"/>
      <c r="AG3925"/>
      <c r="AH3925"/>
      <c r="AI3925"/>
      <c r="AJ3925"/>
      <c r="AK3925"/>
      <c r="AL3925"/>
    </row>
    <row r="3926" spans="1:38" ht="15.75" customHeight="1" outlineLevel="3" x14ac:dyDescent="0.2">
      <c r="A3926" s="10">
        <v>36</v>
      </c>
      <c r="B3926" s="10" t="s">
        <v>71</v>
      </c>
      <c r="C3926" s="10" t="s">
        <v>1554</v>
      </c>
      <c r="D3926" s="10" t="s">
        <v>104</v>
      </c>
      <c r="E3926" s="11" t="str">
        <f t="array" ref="E3926">_xlfn.XLOOKUP(D3926,Insumos!B:B,Insumos!C:$C)</f>
        <v>UN</v>
      </c>
      <c r="F3926" s="14">
        <v>1.5219999999999999E-2</v>
      </c>
      <c r="G3926" s="92">
        <f t="array" ref="G3926">IF(B3926="insumo",_xlfn.XLOOKUP($D3926,Insumos!$B$1:$B$996,Insumos!$D$1:$D$996),"")</f>
        <v>1.89</v>
      </c>
      <c r="H3926" s="92">
        <v>2.8765800000000001E-2</v>
      </c>
      <c r="I3926" s="13">
        <v>0</v>
      </c>
      <c r="J3926" s="13">
        <v>0</v>
      </c>
      <c r="K3926" s="13"/>
      <c r="L3926"/>
      <c r="M3926"/>
      <c r="N3926"/>
      <c r="O3926"/>
      <c r="P3926"/>
      <c r="Q3926"/>
      <c r="R3926"/>
      <c r="S3926"/>
      <c r="T3926"/>
      <c r="U3926"/>
      <c r="V3926"/>
      <c r="W3926"/>
      <c r="X3926"/>
      <c r="Y3926"/>
      <c r="Z3926"/>
      <c r="AA3926"/>
      <c r="AB3926"/>
      <c r="AC3926"/>
      <c r="AD3926"/>
      <c r="AE3926"/>
      <c r="AF3926"/>
      <c r="AG3926"/>
      <c r="AH3926"/>
      <c r="AI3926"/>
      <c r="AJ3926"/>
      <c r="AK3926"/>
      <c r="AL3926"/>
    </row>
    <row r="3927" spans="1:38" ht="15.75" customHeight="1" outlineLevel="2" x14ac:dyDescent="0.2">
      <c r="A3927" s="1067">
        <v>1</v>
      </c>
      <c r="B3927" s="1067" t="s">
        <v>68</v>
      </c>
      <c r="C3927" s="1067" t="s">
        <v>1550</v>
      </c>
      <c r="D3927" s="1067" t="s">
        <v>1550</v>
      </c>
      <c r="E3927" s="1068" t="s">
        <v>70</v>
      </c>
      <c r="F3927" s="1067"/>
      <c r="G3927" s="1069" t="str">
        <f t="array" ref="G3927">IF(B3927="insumo",_xlfn.XLOOKUP($D3927,Insumos!$B$1:$B$996,Insumos!$D$1:$D$996),"")</f>
        <v/>
      </c>
      <c r="H3927" s="1069">
        <v>12.658216065</v>
      </c>
      <c r="I3927" s="1070">
        <v>0</v>
      </c>
      <c r="J3927" s="1070">
        <v>0</v>
      </c>
      <c r="K3927" s="1070"/>
      <c r="L3927"/>
      <c r="M3927"/>
      <c r="N3927"/>
      <c r="O3927"/>
      <c r="P3927"/>
      <c r="Q3927"/>
      <c r="R3927"/>
      <c r="S3927"/>
      <c r="T3927"/>
      <c r="U3927"/>
      <c r="V3927"/>
      <c r="W3927"/>
      <c r="X3927"/>
      <c r="Y3927"/>
      <c r="Z3927"/>
      <c r="AA3927"/>
      <c r="AB3927"/>
      <c r="AC3927"/>
      <c r="AD3927"/>
      <c r="AE3927"/>
      <c r="AF3927"/>
      <c r="AG3927"/>
      <c r="AH3927"/>
      <c r="AI3927"/>
      <c r="AJ3927"/>
      <c r="AK3927"/>
      <c r="AL3927"/>
    </row>
    <row r="3928" spans="1:38" ht="15.75" customHeight="1" outlineLevel="3" x14ac:dyDescent="0.2">
      <c r="A3928" s="10">
        <v>16</v>
      </c>
      <c r="B3928" s="10" t="s">
        <v>71</v>
      </c>
      <c r="C3928" s="10" t="s">
        <v>1550</v>
      </c>
      <c r="D3928" s="10" t="s">
        <v>763</v>
      </c>
      <c r="E3928" s="11" t="str">
        <f t="array" ref="E3928">_xlfn.XLOOKUP(D3928,Insumos!B:B,Insumos!C:$C)</f>
        <v>L</v>
      </c>
      <c r="F3928" s="14">
        <v>0.495</v>
      </c>
      <c r="G3928" s="92">
        <f t="array" ref="G3928">IF(B3928="insumo",_xlfn.XLOOKUP($D3928,Insumos!$B$1:$B$996,Insumos!$D$1:$D$996),"")</f>
        <v>24.5</v>
      </c>
      <c r="H3928" s="92">
        <v>12.1275</v>
      </c>
      <c r="I3928" s="13">
        <v>0</v>
      </c>
      <c r="J3928" s="13">
        <v>0</v>
      </c>
      <c r="K3928" s="13"/>
      <c r="L3928"/>
      <c r="M3928"/>
      <c r="N3928"/>
      <c r="O3928"/>
      <c r="P3928"/>
      <c r="Q3928"/>
      <c r="R3928"/>
      <c r="S3928"/>
      <c r="T3928"/>
      <c r="U3928"/>
      <c r="V3928"/>
      <c r="W3928"/>
      <c r="X3928"/>
      <c r="Y3928"/>
      <c r="Z3928"/>
      <c r="AA3928"/>
      <c r="AB3928"/>
      <c r="AC3928"/>
      <c r="AD3928"/>
      <c r="AE3928"/>
      <c r="AF3928"/>
      <c r="AG3928"/>
      <c r="AH3928"/>
      <c r="AI3928"/>
      <c r="AJ3928"/>
      <c r="AK3928"/>
      <c r="AL3928"/>
    </row>
    <row r="3929" spans="1:38" ht="15.75" customHeight="1" outlineLevel="3" x14ac:dyDescent="0.2">
      <c r="A3929" s="10">
        <v>7</v>
      </c>
      <c r="B3929" s="10" t="s">
        <v>71</v>
      </c>
      <c r="C3929" s="10" t="s">
        <v>1550</v>
      </c>
      <c r="D3929" s="10" t="s">
        <v>1675</v>
      </c>
      <c r="E3929" s="11" t="str">
        <f t="array" ref="E3929">_xlfn.XLOOKUP(D3929,Insumos!B:B,Insumos!C:$C)</f>
        <v>L</v>
      </c>
      <c r="F3929" s="14">
        <v>2.2499999999999998E-3</v>
      </c>
      <c r="G3929" s="92">
        <f t="array" ref="G3929">IF(B3929="insumo",_xlfn.XLOOKUP($D3929,Insumos!$B$1:$B$996,Insumos!$D$1:$D$996),"")</f>
        <v>13.5</v>
      </c>
      <c r="H3929" s="92">
        <v>3.0374999999999999E-2</v>
      </c>
      <c r="I3929" s="13">
        <v>0</v>
      </c>
      <c r="J3929" s="13">
        <v>0</v>
      </c>
      <c r="K3929" s="13"/>
      <c r="L3929"/>
      <c r="M3929"/>
      <c r="N3929"/>
      <c r="O3929"/>
      <c r="P3929"/>
      <c r="Q3929"/>
      <c r="R3929"/>
      <c r="S3929"/>
      <c r="T3929"/>
      <c r="U3929"/>
      <c r="V3929"/>
      <c r="W3929"/>
      <c r="X3929"/>
      <c r="Y3929"/>
      <c r="Z3929"/>
      <c r="AA3929"/>
      <c r="AB3929"/>
      <c r="AC3929"/>
      <c r="AD3929"/>
      <c r="AE3929"/>
      <c r="AF3929"/>
      <c r="AG3929"/>
      <c r="AH3929"/>
      <c r="AI3929"/>
      <c r="AJ3929"/>
      <c r="AK3929"/>
      <c r="AL3929"/>
    </row>
    <row r="3930" spans="1:38" ht="15.75" customHeight="1" outlineLevel="3" x14ac:dyDescent="0.2">
      <c r="A3930" s="10">
        <v>25</v>
      </c>
      <c r="B3930" s="10" t="s">
        <v>71</v>
      </c>
      <c r="C3930" s="10" t="s">
        <v>1550</v>
      </c>
      <c r="D3930" s="10" t="s">
        <v>750</v>
      </c>
      <c r="E3930" s="11" t="str">
        <f t="array" ref="E3930">_xlfn.XLOOKUP(D3930,Insumos!B:B,Insumos!C:$C)</f>
        <v>UN</v>
      </c>
      <c r="F3930" s="14">
        <v>2.1320000000000002E-3</v>
      </c>
      <c r="G3930" s="92">
        <f t="array" ref="G3930">IF(B3930="insumo",_xlfn.XLOOKUP($D3930,Insumos!$B$1:$B$996,Insumos!$D$1:$D$996),"")</f>
        <v>11.26</v>
      </c>
      <c r="H3930" s="92">
        <v>2.4006320000000001E-2</v>
      </c>
      <c r="I3930" s="13">
        <v>0</v>
      </c>
      <c r="J3930" s="13">
        <v>0</v>
      </c>
      <c r="K3930" s="13"/>
      <c r="L3930"/>
      <c r="M3930"/>
      <c r="N3930"/>
      <c r="O3930"/>
      <c r="P3930"/>
      <c r="Q3930"/>
      <c r="R3930"/>
      <c r="S3930"/>
      <c r="T3930"/>
      <c r="U3930"/>
      <c r="V3930"/>
      <c r="W3930"/>
      <c r="X3930"/>
      <c r="Y3930"/>
      <c r="Z3930"/>
      <c r="AA3930"/>
      <c r="AB3930"/>
      <c r="AC3930"/>
      <c r="AD3930"/>
      <c r="AE3930"/>
      <c r="AF3930"/>
      <c r="AG3930"/>
      <c r="AH3930"/>
      <c r="AI3930"/>
      <c r="AJ3930"/>
      <c r="AK3930"/>
      <c r="AL3930"/>
    </row>
    <row r="3931" spans="1:38" ht="15.75" customHeight="1" outlineLevel="3" x14ac:dyDescent="0.2">
      <c r="A3931" s="10">
        <v>7</v>
      </c>
      <c r="B3931" s="10" t="s">
        <v>71</v>
      </c>
      <c r="C3931" s="10" t="s">
        <v>1550</v>
      </c>
      <c r="D3931" s="10" t="s">
        <v>1676</v>
      </c>
      <c r="E3931" s="11" t="str">
        <f t="array" ref="E3931">_xlfn.XLOOKUP(D3931,Insumos!B:B,Insumos!C:$C)</f>
        <v>UN</v>
      </c>
      <c r="F3931" s="14">
        <v>0.01</v>
      </c>
      <c r="G3931" s="92">
        <f t="array" ref="G3931">IF(B3931="insumo",_xlfn.XLOOKUP($D3931,Insumos!$B$1:$B$996,Insumos!$D$1:$D$996),"")</f>
        <v>6.9</v>
      </c>
      <c r="H3931" s="92">
        <v>6.9000000000000006E-2</v>
      </c>
      <c r="I3931" s="13">
        <v>0</v>
      </c>
      <c r="J3931" s="13">
        <v>0</v>
      </c>
      <c r="K3931" s="13"/>
      <c r="L3931"/>
      <c r="M3931"/>
      <c r="N3931"/>
      <c r="O3931"/>
      <c r="P3931"/>
      <c r="Q3931"/>
      <c r="R3931"/>
      <c r="S3931"/>
      <c r="T3931"/>
      <c r="U3931"/>
      <c r="V3931"/>
      <c r="W3931"/>
      <c r="X3931"/>
      <c r="Y3931"/>
      <c r="Z3931"/>
      <c r="AA3931"/>
      <c r="AB3931"/>
      <c r="AC3931"/>
      <c r="AD3931"/>
      <c r="AE3931"/>
      <c r="AF3931"/>
      <c r="AG3931"/>
      <c r="AH3931"/>
      <c r="AI3931"/>
      <c r="AJ3931"/>
      <c r="AK3931"/>
      <c r="AL3931"/>
    </row>
    <row r="3932" spans="1:38" ht="15.75" customHeight="1" outlineLevel="3" x14ac:dyDescent="0.2">
      <c r="A3932" s="10">
        <v>7</v>
      </c>
      <c r="B3932" s="10" t="s">
        <v>71</v>
      </c>
      <c r="C3932" s="10" t="s">
        <v>1550</v>
      </c>
      <c r="D3932" s="10" t="s">
        <v>1677</v>
      </c>
      <c r="E3932" s="11" t="str">
        <f t="array" ref="E3932">_xlfn.XLOOKUP(D3932,Insumos!B:B,Insumos!C:$C)</f>
        <v>L</v>
      </c>
      <c r="F3932" s="14">
        <v>2.3579999999999999E-3</v>
      </c>
      <c r="G3932" s="92">
        <f t="array" ref="G3932">IF(B3932="insumo",_xlfn.XLOOKUP($D3932,Insumos!$B$1:$B$996,Insumos!$D$1:$D$996),"")</f>
        <v>6.4</v>
      </c>
      <c r="H3932" s="92">
        <v>1.5091200000000001E-2</v>
      </c>
      <c r="I3932" s="13">
        <v>0</v>
      </c>
      <c r="J3932" s="13">
        <v>0</v>
      </c>
      <c r="K3932" s="13"/>
      <c r="L3932"/>
      <c r="M3932"/>
      <c r="N3932"/>
      <c r="O3932"/>
      <c r="P3932"/>
      <c r="Q3932"/>
      <c r="R3932"/>
      <c r="S3932"/>
      <c r="T3932"/>
      <c r="U3932"/>
      <c r="V3932"/>
      <c r="W3932"/>
      <c r="X3932"/>
      <c r="Y3932"/>
      <c r="Z3932"/>
      <c r="AA3932"/>
      <c r="AB3932"/>
      <c r="AC3932"/>
      <c r="AD3932"/>
      <c r="AE3932"/>
      <c r="AF3932"/>
      <c r="AG3932"/>
      <c r="AH3932"/>
      <c r="AI3932"/>
      <c r="AJ3932"/>
      <c r="AK3932"/>
      <c r="AL3932"/>
    </row>
    <row r="3933" spans="1:38" ht="27" customHeight="1" outlineLevel="3" x14ac:dyDescent="0.2">
      <c r="A3933" s="10">
        <v>9</v>
      </c>
      <c r="B3933" s="10" t="s">
        <v>71</v>
      </c>
      <c r="C3933" s="10" t="s">
        <v>1550</v>
      </c>
      <c r="D3933" s="10" t="s">
        <v>311</v>
      </c>
      <c r="E3933" s="11" t="str">
        <f t="array" ref="E3933">_xlfn.XLOOKUP(D3933,Insumos!B:B,Insumos!C:$C)</f>
        <v>M2</v>
      </c>
      <c r="F3933" s="14">
        <v>2.2499999999999998E-3</v>
      </c>
      <c r="G3933" s="92">
        <f t="array" ref="G3933">IF(B3933="insumo",_xlfn.XLOOKUP($D3933,Insumos!$B$1:$B$996,Insumos!$D$1:$D$996),"")</f>
        <v>2.3025000000000002</v>
      </c>
      <c r="H3933" s="92">
        <v>5.1806250000000003E-3</v>
      </c>
      <c r="I3933" s="13">
        <v>0</v>
      </c>
      <c r="J3933" s="13">
        <v>0</v>
      </c>
      <c r="K3933" s="13"/>
      <c r="L3933"/>
      <c r="M3933"/>
      <c r="N3933"/>
      <c r="O3933"/>
      <c r="P3933"/>
      <c r="Q3933"/>
      <c r="R3933"/>
      <c r="S3933"/>
      <c r="T3933"/>
      <c r="U3933"/>
      <c r="V3933"/>
      <c r="W3933"/>
      <c r="X3933"/>
      <c r="Y3933"/>
      <c r="Z3933"/>
      <c r="AA3933"/>
      <c r="AB3933"/>
      <c r="AC3933"/>
      <c r="AD3933"/>
      <c r="AE3933"/>
      <c r="AF3933"/>
      <c r="AG3933"/>
      <c r="AH3933"/>
      <c r="AI3933"/>
      <c r="AJ3933"/>
      <c r="AK3933"/>
      <c r="AL3933"/>
    </row>
    <row r="3934" spans="1:38" ht="15.75" customHeight="1" outlineLevel="3" x14ac:dyDescent="0.2">
      <c r="A3934" s="10">
        <v>7</v>
      </c>
      <c r="B3934" s="10" t="s">
        <v>71</v>
      </c>
      <c r="C3934" s="10" t="s">
        <v>1550</v>
      </c>
      <c r="D3934" s="10" t="s">
        <v>1678</v>
      </c>
      <c r="E3934" s="11" t="str">
        <f t="array" ref="E3934">_xlfn.XLOOKUP(D3934,Insumos!B:B,Insumos!C:$C)</f>
        <v>UN</v>
      </c>
      <c r="F3934" s="14">
        <v>2.4879999999999999E-2</v>
      </c>
      <c r="G3934" s="92">
        <f t="array" ref="G3934">IF(B3934="insumo",_xlfn.XLOOKUP($D3934,Insumos!$B$1:$B$996,Insumos!$D$1:$D$996),"")</f>
        <v>5.9889999999999999</v>
      </c>
      <c r="H3934" s="92">
        <v>0.14900632</v>
      </c>
      <c r="I3934" s="13">
        <v>0</v>
      </c>
      <c r="J3934" s="13">
        <v>0</v>
      </c>
      <c r="K3934" s="13"/>
      <c r="L3934"/>
      <c r="M3934"/>
      <c r="N3934"/>
      <c r="O3934"/>
      <c r="P3934"/>
      <c r="Q3934"/>
      <c r="R3934"/>
      <c r="S3934"/>
      <c r="T3934"/>
      <c r="U3934"/>
      <c r="V3934"/>
      <c r="W3934"/>
      <c r="X3934"/>
      <c r="Y3934"/>
      <c r="Z3934"/>
      <c r="AA3934"/>
      <c r="AB3934"/>
      <c r="AC3934"/>
      <c r="AD3934"/>
      <c r="AE3934"/>
      <c r="AF3934"/>
      <c r="AG3934"/>
      <c r="AH3934"/>
      <c r="AI3934"/>
      <c r="AJ3934"/>
      <c r="AK3934"/>
      <c r="AL3934"/>
    </row>
    <row r="3935" spans="1:38" ht="15.75" customHeight="1" outlineLevel="3" x14ac:dyDescent="0.2">
      <c r="A3935" s="10">
        <v>7</v>
      </c>
      <c r="B3935" s="10" t="s">
        <v>71</v>
      </c>
      <c r="C3935" s="10" t="s">
        <v>1550</v>
      </c>
      <c r="D3935" s="10" t="s">
        <v>1679</v>
      </c>
      <c r="E3935" s="11" t="str">
        <f t="array" ref="E3935">_xlfn.XLOOKUP(D3935,Insumos!B:B,Insumos!C:$C)</f>
        <v>UN</v>
      </c>
      <c r="F3935" s="14">
        <v>2.4879999999999999E-2</v>
      </c>
      <c r="G3935" s="92">
        <f t="array" ref="G3935">IF(B3935="insumo",_xlfn.XLOOKUP($D3935,Insumos!$B$1:$B$996,Insumos!$D$1:$D$996),"")</f>
        <v>5.25</v>
      </c>
      <c r="H3935" s="92">
        <v>0.13062000000000001</v>
      </c>
      <c r="I3935" s="13">
        <v>0</v>
      </c>
      <c r="J3935" s="13">
        <v>0</v>
      </c>
      <c r="K3935" s="13"/>
      <c r="L3935"/>
      <c r="M3935"/>
      <c r="N3935"/>
      <c r="O3935"/>
      <c r="P3935"/>
      <c r="Q3935"/>
      <c r="R3935"/>
      <c r="S3935"/>
      <c r="T3935"/>
      <c r="U3935"/>
      <c r="V3935"/>
      <c r="W3935"/>
      <c r="X3935"/>
      <c r="Y3935"/>
      <c r="Z3935"/>
      <c r="AA3935"/>
      <c r="AB3935"/>
      <c r="AC3935"/>
      <c r="AD3935"/>
      <c r="AE3935"/>
      <c r="AF3935"/>
      <c r="AG3935"/>
      <c r="AH3935"/>
      <c r="AI3935"/>
      <c r="AJ3935"/>
      <c r="AK3935"/>
      <c r="AL3935"/>
    </row>
    <row r="3936" spans="1:38" ht="15.75" customHeight="1" outlineLevel="3" x14ac:dyDescent="0.2">
      <c r="A3936" s="10">
        <v>7</v>
      </c>
      <c r="B3936" s="10" t="s">
        <v>71</v>
      </c>
      <c r="C3936" s="10" t="s">
        <v>1550</v>
      </c>
      <c r="D3936" s="10" t="s">
        <v>1680</v>
      </c>
      <c r="E3936" s="11" t="str">
        <f t="array" ref="E3936">_xlfn.XLOOKUP(D3936,Insumos!B:B,Insumos!C:$C)</f>
        <v>UN</v>
      </c>
      <c r="F3936" s="14">
        <v>2.1320000000000002E-3</v>
      </c>
      <c r="G3936" s="92">
        <f t="array" ref="G3936">IF(B3936="insumo",_xlfn.XLOOKUP($D3936,Insumos!$B$1:$B$996,Insumos!$D$1:$D$996),"")</f>
        <v>36.9</v>
      </c>
      <c r="H3936" s="92">
        <v>7.8670799999999999E-2</v>
      </c>
      <c r="I3936" s="13">
        <v>0</v>
      </c>
      <c r="J3936" s="13">
        <v>0</v>
      </c>
      <c r="K3936" s="13"/>
      <c r="L3936"/>
      <c r="M3936"/>
      <c r="N3936"/>
      <c r="O3936"/>
      <c r="P3936"/>
      <c r="Q3936"/>
      <c r="R3936"/>
      <c r="S3936"/>
      <c r="T3936"/>
      <c r="U3936"/>
      <c r="V3936"/>
      <c r="W3936"/>
      <c r="X3936"/>
      <c r="Y3936"/>
      <c r="Z3936"/>
      <c r="AA3936"/>
      <c r="AB3936"/>
      <c r="AC3936"/>
      <c r="AD3936"/>
      <c r="AE3936"/>
      <c r="AF3936"/>
      <c r="AG3936"/>
      <c r="AH3936"/>
      <c r="AI3936"/>
      <c r="AJ3936"/>
      <c r="AK3936"/>
      <c r="AL3936"/>
    </row>
    <row r="3937" spans="1:38" ht="15.75" customHeight="1" outlineLevel="3" x14ac:dyDescent="0.2">
      <c r="A3937" s="10">
        <v>36</v>
      </c>
      <c r="B3937" s="10" t="s">
        <v>71</v>
      </c>
      <c r="C3937" s="10" t="s">
        <v>1550</v>
      </c>
      <c r="D3937" s="10" t="s">
        <v>104</v>
      </c>
      <c r="E3937" s="11" t="str">
        <f t="array" ref="E3937">_xlfn.XLOOKUP(D3937,Insumos!B:B,Insumos!C:$C)</f>
        <v>UN</v>
      </c>
      <c r="F3937" s="14">
        <v>1.5219999999999999E-2</v>
      </c>
      <c r="G3937" s="92">
        <f t="array" ref="G3937">IF(B3937="insumo",_xlfn.XLOOKUP($D3937,Insumos!$B$1:$B$996,Insumos!$D$1:$D$996),"")</f>
        <v>1.89</v>
      </c>
      <c r="H3937" s="92">
        <v>2.8765800000000001E-2</v>
      </c>
      <c r="I3937" s="13">
        <v>0</v>
      </c>
      <c r="J3937" s="13">
        <v>0</v>
      </c>
      <c r="K3937" s="13"/>
      <c r="L3937"/>
      <c r="M3937"/>
      <c r="N3937"/>
      <c r="O3937"/>
      <c r="P3937"/>
      <c r="Q3937"/>
      <c r="R3937"/>
      <c r="S3937"/>
      <c r="T3937"/>
      <c r="U3937"/>
      <c r="V3937"/>
      <c r="W3937"/>
      <c r="X3937"/>
      <c r="Y3937"/>
      <c r="Z3937"/>
      <c r="AA3937"/>
      <c r="AB3937"/>
      <c r="AC3937"/>
      <c r="AD3937"/>
      <c r="AE3937"/>
      <c r="AF3937"/>
      <c r="AG3937"/>
      <c r="AH3937"/>
      <c r="AI3937"/>
      <c r="AJ3937"/>
      <c r="AK3937"/>
      <c r="AL3937"/>
    </row>
    <row r="3938" spans="1:38" ht="15.75" customHeight="1" outlineLevel="2" x14ac:dyDescent="0.2">
      <c r="A3938" s="1067">
        <v>1</v>
      </c>
      <c r="B3938" s="1067" t="s">
        <v>68</v>
      </c>
      <c r="C3938" s="1067" t="s">
        <v>764</v>
      </c>
      <c r="D3938" s="1067" t="s">
        <v>764</v>
      </c>
      <c r="E3938" s="1068" t="s">
        <v>70</v>
      </c>
      <c r="F3938" s="1067"/>
      <c r="G3938" s="1069" t="str">
        <f t="array" ref="G3938">IF(B3938="insumo",_xlfn.XLOOKUP($D3938,Insumos!$B$1:$B$996,Insumos!$D$1:$D$996),"")</f>
        <v/>
      </c>
      <c r="H3938" s="1069">
        <v>18.235215555555602</v>
      </c>
      <c r="I3938" s="1070">
        <v>0</v>
      </c>
      <c r="J3938" s="1070">
        <v>0</v>
      </c>
      <c r="K3938" s="1070"/>
      <c r="L3938"/>
      <c r="M3938"/>
      <c r="N3938"/>
      <c r="O3938"/>
      <c r="P3938"/>
      <c r="Q3938"/>
      <c r="R3938"/>
      <c r="S3938"/>
      <c r="T3938"/>
      <c r="U3938"/>
      <c r="V3938"/>
      <c r="W3938"/>
      <c r="X3938"/>
      <c r="Y3938"/>
      <c r="Z3938"/>
      <c r="AA3938"/>
      <c r="AB3938"/>
      <c r="AC3938"/>
      <c r="AD3938"/>
      <c r="AE3938"/>
      <c r="AF3938"/>
      <c r="AG3938"/>
      <c r="AH3938"/>
      <c r="AI3938"/>
      <c r="AJ3938"/>
      <c r="AK3938"/>
      <c r="AL3938"/>
    </row>
    <row r="3939" spans="1:38" ht="15.75" customHeight="1" outlineLevel="3" x14ac:dyDescent="0.2">
      <c r="A3939" s="10">
        <v>36</v>
      </c>
      <c r="B3939" s="10" t="s">
        <v>71</v>
      </c>
      <c r="C3939" s="10" t="s">
        <v>764</v>
      </c>
      <c r="D3939" s="10" t="s">
        <v>104</v>
      </c>
      <c r="E3939" s="11" t="str">
        <f t="array" ref="E3939">_xlfn.XLOOKUP(D3939,Insumos!B:B,Insumos!C:$C)</f>
        <v>UN</v>
      </c>
      <c r="F3939" s="14">
        <v>0.1</v>
      </c>
      <c r="G3939" s="92">
        <f t="array" ref="G3939">IF(B3939="insumo",_xlfn.XLOOKUP($D3939,Insumos!$B$1:$B$996,Insumos!$D$1:$D$996),"")</f>
        <v>1.89</v>
      </c>
      <c r="H3939" s="92">
        <v>0.189</v>
      </c>
      <c r="I3939" s="13">
        <v>0</v>
      </c>
      <c r="J3939" s="13">
        <v>0</v>
      </c>
      <c r="K3939" s="13"/>
      <c r="L3939"/>
      <c r="M3939"/>
      <c r="N3939"/>
      <c r="O3939"/>
      <c r="P3939"/>
      <c r="Q3939"/>
      <c r="R3939"/>
      <c r="S3939"/>
      <c r="T3939"/>
      <c r="U3939"/>
      <c r="V3939"/>
      <c r="W3939"/>
      <c r="X3939"/>
      <c r="Y3939"/>
      <c r="Z3939"/>
      <c r="AA3939"/>
      <c r="AB3939"/>
      <c r="AC3939"/>
      <c r="AD3939"/>
      <c r="AE3939"/>
      <c r="AF3939"/>
      <c r="AG3939"/>
      <c r="AH3939"/>
      <c r="AI3939"/>
      <c r="AJ3939"/>
      <c r="AK3939"/>
      <c r="AL3939"/>
    </row>
    <row r="3940" spans="1:38" ht="15.75" customHeight="1" outlineLevel="3" x14ac:dyDescent="0.2">
      <c r="A3940" s="10">
        <v>21</v>
      </c>
      <c r="B3940" s="10" t="s">
        <v>71</v>
      </c>
      <c r="C3940" s="10" t="s">
        <v>764</v>
      </c>
      <c r="D3940" s="10" t="s">
        <v>765</v>
      </c>
      <c r="E3940" s="11" t="str">
        <f t="array" ref="E3940">_xlfn.XLOOKUP(D3940,Insumos!B:B,Insumos!C:$C)</f>
        <v>KG</v>
      </c>
      <c r="F3940" s="14">
        <v>0.86670000000000003</v>
      </c>
      <c r="G3940" s="92">
        <f t="array" ref="G3940">IF(B3940="insumo",_xlfn.XLOOKUP($D3940,Insumos!$B$1:$B$996,Insumos!$D$1:$D$996),"")</f>
        <v>4.8</v>
      </c>
      <c r="H3940" s="92">
        <v>4.1601600000000003</v>
      </c>
      <c r="I3940" s="13">
        <v>0</v>
      </c>
      <c r="J3940" s="13">
        <v>0</v>
      </c>
      <c r="K3940" s="13"/>
      <c r="L3940"/>
      <c r="M3940"/>
      <c r="N3940"/>
      <c r="O3940"/>
      <c r="P3940"/>
      <c r="Q3940"/>
      <c r="R3940"/>
      <c r="S3940"/>
      <c r="T3940"/>
      <c r="U3940"/>
      <c r="V3940"/>
      <c r="W3940"/>
      <c r="X3940"/>
      <c r="Y3940"/>
      <c r="Z3940"/>
      <c r="AA3940"/>
      <c r="AB3940"/>
      <c r="AC3940"/>
      <c r="AD3940"/>
      <c r="AE3940"/>
      <c r="AF3940"/>
      <c r="AG3940"/>
      <c r="AH3940"/>
      <c r="AI3940"/>
      <c r="AJ3940"/>
      <c r="AK3940"/>
      <c r="AL3940"/>
    </row>
    <row r="3941" spans="1:38" ht="15.75" customHeight="1" outlineLevel="3" x14ac:dyDescent="0.2">
      <c r="A3941" s="10">
        <v>19</v>
      </c>
      <c r="B3941" s="10" t="s">
        <v>71</v>
      </c>
      <c r="C3941" s="10" t="s">
        <v>764</v>
      </c>
      <c r="D3941" s="10" t="s">
        <v>766</v>
      </c>
      <c r="E3941" s="11" t="str">
        <f t="array" ref="E3941">_xlfn.XLOOKUP(D3941,Insumos!B:B,Insumos!C:$C)</f>
        <v>L</v>
      </c>
      <c r="F3941" s="14">
        <v>0.1666</v>
      </c>
      <c r="G3941" s="92">
        <f t="array" ref="G3941">IF(B3941="insumo",_xlfn.XLOOKUP($D3941,Insumos!$B$1:$B$996,Insumos!$D$1:$D$996),"")</f>
        <v>10.555555555555555</v>
      </c>
      <c r="H3941" s="92">
        <v>1.7585555555555601</v>
      </c>
      <c r="I3941" s="13">
        <v>0</v>
      </c>
      <c r="J3941" s="13">
        <v>0</v>
      </c>
      <c r="K3941" s="13"/>
      <c r="L3941"/>
      <c r="M3941"/>
      <c r="N3941"/>
      <c r="O3941"/>
      <c r="P3941"/>
      <c r="Q3941"/>
      <c r="R3941"/>
      <c r="S3941"/>
      <c r="T3941"/>
      <c r="U3941"/>
      <c r="V3941"/>
      <c r="W3941"/>
      <c r="X3941"/>
      <c r="Y3941"/>
      <c r="Z3941"/>
      <c r="AA3941"/>
      <c r="AB3941"/>
      <c r="AC3941"/>
      <c r="AD3941"/>
      <c r="AE3941"/>
      <c r="AF3941"/>
      <c r="AG3941"/>
      <c r="AH3941"/>
      <c r="AI3941"/>
      <c r="AJ3941"/>
      <c r="AK3941"/>
      <c r="AL3941"/>
    </row>
    <row r="3942" spans="1:38" ht="15.75" customHeight="1" outlineLevel="3" x14ac:dyDescent="0.2">
      <c r="A3942" s="10">
        <v>16</v>
      </c>
      <c r="B3942" s="10" t="s">
        <v>71</v>
      </c>
      <c r="C3942" s="10" t="s">
        <v>764</v>
      </c>
      <c r="D3942" s="10" t="s">
        <v>763</v>
      </c>
      <c r="E3942" s="11" t="str">
        <f t="array" ref="E3942">_xlfn.XLOOKUP(D3942,Insumos!B:B,Insumos!C:$C)</f>
        <v>L</v>
      </c>
      <c r="F3942" s="14">
        <v>0.495</v>
      </c>
      <c r="G3942" s="92">
        <f t="array" ref="G3942">IF(B3942="insumo",_xlfn.XLOOKUP($D3942,Insumos!$B$1:$B$996,Insumos!$D$1:$D$996),"")</f>
        <v>24.5</v>
      </c>
      <c r="H3942" s="92">
        <v>12.1275</v>
      </c>
      <c r="I3942" s="13">
        <v>0</v>
      </c>
      <c r="J3942" s="13">
        <v>0</v>
      </c>
      <c r="K3942" s="13"/>
      <c r="L3942"/>
      <c r="M3942"/>
      <c r="N3942"/>
      <c r="O3942"/>
      <c r="P3942"/>
      <c r="Q3942"/>
      <c r="R3942"/>
      <c r="S3942"/>
      <c r="T3942"/>
      <c r="U3942"/>
      <c r="V3942"/>
      <c r="W3942"/>
      <c r="X3942"/>
      <c r="Y3942"/>
      <c r="Z3942"/>
      <c r="AA3942"/>
      <c r="AB3942"/>
      <c r="AC3942"/>
      <c r="AD3942"/>
      <c r="AE3942"/>
      <c r="AF3942"/>
      <c r="AG3942"/>
      <c r="AH3942"/>
      <c r="AI3942"/>
      <c r="AJ3942"/>
      <c r="AK3942"/>
      <c r="AL3942"/>
    </row>
    <row r="3943" spans="1:38" ht="15.75" customHeight="1" outlineLevel="2" x14ac:dyDescent="0.2">
      <c r="A3943" s="1067">
        <v>1</v>
      </c>
      <c r="B3943" s="1067" t="s">
        <v>68</v>
      </c>
      <c r="C3943" s="1067" t="s">
        <v>767</v>
      </c>
      <c r="D3943" s="1067" t="s">
        <v>767</v>
      </c>
      <c r="E3943" s="1068" t="s">
        <v>70</v>
      </c>
      <c r="F3943" s="1067"/>
      <c r="G3943" s="1069" t="str">
        <f t="array" ref="G3943">IF(B3943="insumo",_xlfn.XLOOKUP($D3943,Insumos!$B$1:$B$996,Insumos!$D$1:$D$996),"")</f>
        <v/>
      </c>
      <c r="H3943" s="1069">
        <v>13.636363636363599</v>
      </c>
      <c r="I3943" s="1070">
        <v>0</v>
      </c>
      <c r="J3943" s="1070">
        <v>0</v>
      </c>
      <c r="K3943" s="1070"/>
      <c r="L3943"/>
      <c r="M3943"/>
      <c r="N3943"/>
      <c r="O3943"/>
      <c r="P3943"/>
      <c r="Q3943"/>
      <c r="R3943"/>
      <c r="S3943"/>
      <c r="T3943"/>
      <c r="U3943"/>
      <c r="V3943"/>
      <c r="W3943"/>
      <c r="X3943"/>
      <c r="Y3943"/>
      <c r="Z3943"/>
      <c r="AA3943"/>
      <c r="AB3943"/>
      <c r="AC3943"/>
      <c r="AD3943"/>
      <c r="AE3943"/>
      <c r="AF3943"/>
      <c r="AG3943"/>
      <c r="AH3943"/>
      <c r="AI3943"/>
      <c r="AJ3943"/>
      <c r="AK3943"/>
      <c r="AL3943"/>
    </row>
    <row r="3944" spans="1:38" ht="15.75" customHeight="1" outlineLevel="3" x14ac:dyDescent="0.2">
      <c r="A3944" s="10">
        <v>5</v>
      </c>
      <c r="B3944" s="10" t="s">
        <v>71</v>
      </c>
      <c r="C3944" s="10" t="s">
        <v>767</v>
      </c>
      <c r="D3944" s="10" t="s">
        <v>769</v>
      </c>
      <c r="E3944" s="11" t="str">
        <f t="array" ref="E3944">_xlfn.XLOOKUP(D3944,Insumos!B:B,Insumos!C:$C)</f>
        <v>KG</v>
      </c>
      <c r="F3944" s="14">
        <v>1.5</v>
      </c>
      <c r="G3944" s="92">
        <f t="array" ref="G3944">IF(B3944="insumo",_xlfn.XLOOKUP($D3944,Insumos!$B$1:$B$996,Insumos!$D$1:$D$996),"")</f>
        <v>9.0909090909090917</v>
      </c>
      <c r="H3944" s="92">
        <v>13.636363636363599</v>
      </c>
      <c r="I3944" s="13">
        <v>0</v>
      </c>
      <c r="J3944" s="13">
        <v>0</v>
      </c>
      <c r="K3944" s="13"/>
      <c r="L3944"/>
      <c r="M3944"/>
      <c r="N3944"/>
      <c r="O3944"/>
      <c r="P3944"/>
      <c r="Q3944"/>
      <c r="R3944"/>
      <c r="S3944"/>
      <c r="T3944"/>
      <c r="U3944"/>
      <c r="V3944"/>
      <c r="W3944"/>
      <c r="X3944"/>
      <c r="Y3944"/>
      <c r="Z3944"/>
      <c r="AA3944"/>
      <c r="AB3944"/>
      <c r="AC3944"/>
      <c r="AD3944"/>
      <c r="AE3944"/>
      <c r="AF3944"/>
      <c r="AG3944"/>
      <c r="AH3944"/>
      <c r="AI3944"/>
      <c r="AJ3944"/>
      <c r="AK3944"/>
      <c r="AL3944"/>
    </row>
    <row r="3945" spans="1:38" ht="15.75" customHeight="1" outlineLevel="2" x14ac:dyDescent="0.2">
      <c r="A3945" s="1067">
        <v>1</v>
      </c>
      <c r="B3945" s="1067" t="s">
        <v>68</v>
      </c>
      <c r="C3945" s="1067" t="s">
        <v>770</v>
      </c>
      <c r="D3945" s="1067" t="s">
        <v>770</v>
      </c>
      <c r="E3945" s="1068" t="s">
        <v>70</v>
      </c>
      <c r="F3945" s="1067"/>
      <c r="G3945" s="1069" t="str">
        <f t="array" ref="G3945">IF(B3945="insumo",_xlfn.XLOOKUP($D3945,Insumos!$B$1:$B$996,Insumos!$D$1:$D$996),"")</f>
        <v/>
      </c>
      <c r="H3945" s="1069">
        <v>8.7283160649999996</v>
      </c>
      <c r="I3945" s="1070" t="e">
        <v>#REF!</v>
      </c>
      <c r="J3945" s="1070" t="e">
        <v>#REF!</v>
      </c>
      <c r="K3945" s="1070"/>
      <c r="L3945"/>
      <c r="M3945"/>
      <c r="N3945"/>
      <c r="O3945"/>
      <c r="P3945"/>
      <c r="Q3945"/>
      <c r="R3945"/>
      <c r="S3945"/>
      <c r="T3945"/>
      <c r="U3945"/>
      <c r="V3945"/>
      <c r="W3945"/>
      <c r="X3945"/>
      <c r="Y3945"/>
      <c r="Z3945"/>
      <c r="AA3945"/>
      <c r="AB3945"/>
      <c r="AC3945"/>
      <c r="AD3945"/>
      <c r="AE3945"/>
      <c r="AF3945"/>
      <c r="AG3945"/>
      <c r="AH3945"/>
      <c r="AI3945"/>
      <c r="AJ3945"/>
      <c r="AK3945"/>
      <c r="AL3945"/>
    </row>
    <row r="3946" spans="1:38" ht="15.75" customHeight="1" outlineLevel="3" x14ac:dyDescent="0.2">
      <c r="A3946" s="10">
        <v>25</v>
      </c>
      <c r="B3946" s="10" t="s">
        <v>71</v>
      </c>
      <c r="C3946" s="10" t="s">
        <v>770</v>
      </c>
      <c r="D3946" s="10" t="s">
        <v>750</v>
      </c>
      <c r="E3946" s="11" t="str">
        <f t="array" ref="E3946">_xlfn.XLOOKUP(D3946,Insumos!B:B,Insumos!C:$C)</f>
        <v>UN</v>
      </c>
      <c r="F3946" s="14">
        <v>0.01</v>
      </c>
      <c r="G3946" s="92">
        <f t="array" ref="G3946">IF(B3946="insumo",_xlfn.XLOOKUP($D3946,Insumos!$B$1:$B$996,Insumos!$D$1:$D$996),"")</f>
        <v>11.26</v>
      </c>
      <c r="H3946" s="92">
        <v>0.11260000000000001</v>
      </c>
      <c r="I3946" s="13" t="e">
        <v>#REF!</v>
      </c>
      <c r="J3946" s="13" t="e">
        <v>#REF!</v>
      </c>
      <c r="K3946" s="13"/>
      <c r="L3946"/>
      <c r="M3946"/>
      <c r="N3946"/>
      <c r="O3946"/>
      <c r="P3946"/>
      <c r="Q3946"/>
      <c r="R3946"/>
      <c r="S3946"/>
      <c r="T3946"/>
      <c r="U3946"/>
      <c r="V3946"/>
      <c r="W3946"/>
      <c r="X3946"/>
      <c r="Y3946"/>
      <c r="Z3946"/>
      <c r="AA3946"/>
      <c r="AB3946"/>
      <c r="AC3946"/>
      <c r="AD3946"/>
      <c r="AE3946"/>
      <c r="AF3946"/>
      <c r="AG3946"/>
      <c r="AH3946"/>
      <c r="AI3946"/>
      <c r="AJ3946"/>
      <c r="AK3946"/>
      <c r="AL3946"/>
    </row>
    <row r="3947" spans="1:38" ht="15.75" customHeight="1" outlineLevel="3" x14ac:dyDescent="0.2">
      <c r="A3947" s="10">
        <v>16</v>
      </c>
      <c r="B3947" s="10" t="s">
        <v>71</v>
      </c>
      <c r="C3947" s="10" t="s">
        <v>770</v>
      </c>
      <c r="D3947" s="10" t="s">
        <v>763</v>
      </c>
      <c r="E3947" s="11" t="str">
        <f t="array" ref="E3947">_xlfn.XLOOKUP(D3947,Insumos!B:B,Insumos!C:$C)</f>
        <v>L</v>
      </c>
      <c r="F3947" s="14">
        <v>0.33</v>
      </c>
      <c r="G3947" s="92">
        <f t="array" ref="G3947">IF(B3947="insumo",_xlfn.XLOOKUP($D3947,Insumos!$B$1:$B$996,Insumos!$D$1:$D$996),"")</f>
        <v>24.5</v>
      </c>
      <c r="H3947" s="92">
        <v>8.0850000000000009</v>
      </c>
      <c r="I3947" s="13" t="e">
        <v>#REF!</v>
      </c>
      <c r="J3947" s="13" t="e">
        <v>#REF!</v>
      </c>
      <c r="K3947" s="13"/>
      <c r="L3947"/>
      <c r="M3947"/>
      <c r="N3947"/>
      <c r="O3947"/>
      <c r="P3947"/>
      <c r="Q3947"/>
      <c r="R3947"/>
      <c r="S3947"/>
      <c r="T3947"/>
      <c r="U3947"/>
      <c r="V3947"/>
      <c r="W3947"/>
      <c r="X3947"/>
      <c r="Y3947"/>
      <c r="Z3947"/>
      <c r="AA3947"/>
      <c r="AB3947"/>
      <c r="AC3947"/>
      <c r="AD3947"/>
      <c r="AE3947"/>
      <c r="AF3947"/>
      <c r="AG3947"/>
      <c r="AH3947"/>
      <c r="AI3947"/>
      <c r="AJ3947"/>
      <c r="AK3947"/>
      <c r="AL3947"/>
    </row>
    <row r="3948" spans="1:38" ht="15.75" customHeight="1" outlineLevel="3" x14ac:dyDescent="0.2">
      <c r="A3948" s="10">
        <v>7</v>
      </c>
      <c r="B3948" s="10" t="s">
        <v>71</v>
      </c>
      <c r="C3948" s="10" t="s">
        <v>770</v>
      </c>
      <c r="D3948" s="10" t="s">
        <v>1675</v>
      </c>
      <c r="E3948" s="11" t="str">
        <f t="array" ref="E3948">_xlfn.XLOOKUP(D3948,Insumos!B:B,Insumos!C:$C)</f>
        <v>L</v>
      </c>
      <c r="F3948" s="14">
        <v>2.2499999999999998E-3</v>
      </c>
      <c r="G3948" s="92">
        <f t="array" ref="G3948">IF(B3948="insumo",_xlfn.XLOOKUP($D3948,Insumos!$B$1:$B$996,Insumos!$D$1:$D$996),"")</f>
        <v>13.5</v>
      </c>
      <c r="H3948" s="92">
        <v>3.0374999999999999E-2</v>
      </c>
      <c r="I3948" s="13" t="e">
        <v>#REF!</v>
      </c>
      <c r="J3948" s="13" t="e">
        <v>#REF!</v>
      </c>
      <c r="K3948" s="13"/>
      <c r="L3948"/>
      <c r="M3948"/>
      <c r="N3948"/>
      <c r="O3948"/>
      <c r="P3948"/>
      <c r="Q3948"/>
      <c r="R3948"/>
      <c r="S3948"/>
      <c r="T3948"/>
      <c r="U3948"/>
      <c r="V3948"/>
      <c r="W3948"/>
      <c r="X3948"/>
      <c r="Y3948"/>
      <c r="Z3948"/>
      <c r="AA3948"/>
      <c r="AB3948"/>
      <c r="AC3948"/>
      <c r="AD3948"/>
      <c r="AE3948"/>
      <c r="AF3948"/>
      <c r="AG3948"/>
      <c r="AH3948"/>
      <c r="AI3948"/>
      <c r="AJ3948"/>
      <c r="AK3948"/>
      <c r="AL3948"/>
    </row>
    <row r="3949" spans="1:38" ht="15.75" customHeight="1" outlineLevel="3" x14ac:dyDescent="0.2">
      <c r="A3949" s="10">
        <v>25</v>
      </c>
      <c r="B3949" s="10" t="s">
        <v>71</v>
      </c>
      <c r="C3949" s="10" t="s">
        <v>770</v>
      </c>
      <c r="D3949" s="10" t="s">
        <v>750</v>
      </c>
      <c r="E3949" s="11" t="str">
        <f t="array" ref="E3949">_xlfn.XLOOKUP(D3949,Insumos!B:B,Insumos!C:$C)</f>
        <v>UN</v>
      </c>
      <c r="F3949" s="14">
        <v>2.1320000000000002E-3</v>
      </c>
      <c r="G3949" s="92">
        <f t="array" ref="G3949">IF(B3949="insumo",_xlfn.XLOOKUP($D3949,Insumos!$B$1:$B$996,Insumos!$D$1:$D$996),"")</f>
        <v>11.26</v>
      </c>
      <c r="H3949" s="92">
        <v>2.4006320000000001E-2</v>
      </c>
      <c r="I3949" s="13" t="e">
        <v>#REF!</v>
      </c>
      <c r="J3949" s="13" t="e">
        <v>#REF!</v>
      </c>
      <c r="K3949" s="13"/>
      <c r="L3949"/>
      <c r="M3949"/>
      <c r="N3949"/>
      <c r="O3949"/>
      <c r="P3949"/>
      <c r="Q3949"/>
      <c r="R3949"/>
      <c r="S3949"/>
      <c r="T3949"/>
      <c r="U3949"/>
      <c r="V3949"/>
      <c r="W3949"/>
      <c r="X3949"/>
      <c r="Y3949"/>
      <c r="Z3949"/>
      <c r="AA3949"/>
      <c r="AB3949"/>
      <c r="AC3949"/>
      <c r="AD3949"/>
      <c r="AE3949"/>
      <c r="AF3949"/>
      <c r="AG3949"/>
      <c r="AH3949"/>
      <c r="AI3949"/>
      <c r="AJ3949"/>
      <c r="AK3949"/>
      <c r="AL3949"/>
    </row>
    <row r="3950" spans="1:38" ht="15.75" customHeight="1" outlineLevel="3" x14ac:dyDescent="0.2">
      <c r="A3950" s="10">
        <v>7</v>
      </c>
      <c r="B3950" s="10" t="s">
        <v>71</v>
      </c>
      <c r="C3950" s="10" t="s">
        <v>770</v>
      </c>
      <c r="D3950" s="10" t="s">
        <v>1676</v>
      </c>
      <c r="E3950" s="11" t="str">
        <f t="array" ref="E3950">_xlfn.XLOOKUP(D3950,Insumos!B:B,Insumos!C:$C)</f>
        <v>UN</v>
      </c>
      <c r="F3950" s="14">
        <v>0.01</v>
      </c>
      <c r="G3950" s="92">
        <f t="array" ref="G3950">IF(B3950="insumo",_xlfn.XLOOKUP($D3950,Insumos!$B$1:$B$996,Insumos!$D$1:$D$996),"")</f>
        <v>6.9</v>
      </c>
      <c r="H3950" s="92">
        <v>6.9000000000000006E-2</v>
      </c>
      <c r="I3950" s="13" t="e">
        <v>#REF!</v>
      </c>
      <c r="J3950" s="13" t="e">
        <v>#REF!</v>
      </c>
      <c r="K3950" s="13"/>
      <c r="L3950"/>
      <c r="M3950"/>
      <c r="N3950"/>
      <c r="O3950"/>
      <c r="P3950"/>
      <c r="Q3950"/>
      <c r="R3950"/>
      <c r="S3950"/>
      <c r="T3950"/>
      <c r="U3950"/>
      <c r="V3950"/>
      <c r="W3950"/>
      <c r="X3950"/>
      <c r="Y3950"/>
      <c r="Z3950"/>
      <c r="AA3950"/>
      <c r="AB3950"/>
      <c r="AC3950"/>
      <c r="AD3950"/>
      <c r="AE3950"/>
      <c r="AF3950"/>
      <c r="AG3950"/>
      <c r="AH3950"/>
      <c r="AI3950"/>
      <c r="AJ3950"/>
      <c r="AK3950"/>
      <c r="AL3950"/>
    </row>
    <row r="3951" spans="1:38" ht="15.75" customHeight="1" outlineLevel="3" x14ac:dyDescent="0.2">
      <c r="A3951" s="10">
        <v>7</v>
      </c>
      <c r="B3951" s="10" t="s">
        <v>71</v>
      </c>
      <c r="C3951" s="10" t="s">
        <v>770</v>
      </c>
      <c r="D3951" s="10" t="s">
        <v>1677</v>
      </c>
      <c r="E3951" s="11" t="str">
        <f t="array" ref="E3951">_xlfn.XLOOKUP(D3951,Insumos!B:B,Insumos!C:$C)</f>
        <v>L</v>
      </c>
      <c r="F3951" s="14">
        <v>2.3579999999999999E-3</v>
      </c>
      <c r="G3951" s="92">
        <f t="array" ref="G3951">IF(B3951="insumo",_xlfn.XLOOKUP($D3951,Insumos!$B$1:$B$996,Insumos!$D$1:$D$996),"")</f>
        <v>6.4</v>
      </c>
      <c r="H3951" s="92">
        <v>1.5091200000000001E-2</v>
      </c>
      <c r="I3951" s="13" t="e">
        <v>#REF!</v>
      </c>
      <c r="J3951" s="13" t="e">
        <v>#REF!</v>
      </c>
      <c r="K3951" s="13"/>
      <c r="L3951"/>
      <c r="M3951"/>
      <c r="N3951"/>
      <c r="O3951"/>
      <c r="P3951"/>
      <c r="Q3951"/>
      <c r="R3951"/>
      <c r="S3951"/>
      <c r="T3951"/>
      <c r="U3951"/>
      <c r="V3951"/>
      <c r="W3951"/>
      <c r="X3951"/>
      <c r="Y3951"/>
      <c r="Z3951"/>
      <c r="AA3951"/>
      <c r="AB3951"/>
      <c r="AC3951"/>
      <c r="AD3951"/>
      <c r="AE3951"/>
      <c r="AF3951"/>
      <c r="AG3951"/>
      <c r="AH3951"/>
      <c r="AI3951"/>
      <c r="AJ3951"/>
      <c r="AK3951"/>
      <c r="AL3951"/>
    </row>
    <row r="3952" spans="1:38" ht="15.75" customHeight="1" outlineLevel="3" x14ac:dyDescent="0.2">
      <c r="A3952" s="10">
        <v>9</v>
      </c>
      <c r="B3952" s="10" t="s">
        <v>71</v>
      </c>
      <c r="C3952" s="10" t="s">
        <v>770</v>
      </c>
      <c r="D3952" s="10" t="s">
        <v>311</v>
      </c>
      <c r="E3952" s="11" t="str">
        <f t="array" ref="E3952">_xlfn.XLOOKUP(D3952,Insumos!B:B,Insumos!C:$C)</f>
        <v>M2</v>
      </c>
      <c r="F3952" s="14">
        <v>2.2499999999999998E-3</v>
      </c>
      <c r="G3952" s="92">
        <f t="array" ref="G3952">IF(B3952="insumo",_xlfn.XLOOKUP($D3952,Insumos!$B$1:$B$996,Insumos!$D$1:$D$996),"")</f>
        <v>2.3025000000000002</v>
      </c>
      <c r="H3952" s="92">
        <v>5.1806250000000003E-3</v>
      </c>
      <c r="I3952" s="13" t="e">
        <v>#REF!</v>
      </c>
      <c r="J3952" s="13" t="e">
        <v>#REF!</v>
      </c>
      <c r="K3952" s="13"/>
      <c r="L3952"/>
      <c r="M3952"/>
      <c r="N3952"/>
      <c r="O3952"/>
      <c r="P3952"/>
      <c r="Q3952"/>
      <c r="R3952"/>
      <c r="S3952"/>
      <c r="T3952"/>
      <c r="U3952"/>
      <c r="V3952"/>
      <c r="W3952"/>
      <c r="X3952"/>
      <c r="Y3952"/>
      <c r="Z3952"/>
      <c r="AA3952"/>
      <c r="AB3952"/>
      <c r="AC3952"/>
      <c r="AD3952"/>
      <c r="AE3952"/>
      <c r="AF3952"/>
      <c r="AG3952"/>
      <c r="AH3952"/>
      <c r="AI3952"/>
      <c r="AJ3952"/>
      <c r="AK3952"/>
      <c r="AL3952"/>
    </row>
    <row r="3953" spans="1:38" ht="15.75" customHeight="1" outlineLevel="3" x14ac:dyDescent="0.2">
      <c r="A3953" s="10">
        <v>7</v>
      </c>
      <c r="B3953" s="10" t="s">
        <v>71</v>
      </c>
      <c r="C3953" s="10" t="s">
        <v>770</v>
      </c>
      <c r="D3953" s="10" t="s">
        <v>1678</v>
      </c>
      <c r="E3953" s="11" t="str">
        <f t="array" ref="E3953">_xlfn.XLOOKUP(D3953,Insumos!B:B,Insumos!C:$C)</f>
        <v>UN</v>
      </c>
      <c r="F3953" s="14">
        <v>2.4879999999999999E-2</v>
      </c>
      <c r="G3953" s="92">
        <f t="array" ref="G3953">IF(B3953="insumo",_xlfn.XLOOKUP($D3953,Insumos!$B$1:$B$996,Insumos!$D$1:$D$996),"")</f>
        <v>5.9889999999999999</v>
      </c>
      <c r="H3953" s="92">
        <v>0.14900632</v>
      </c>
      <c r="I3953" s="13" t="e">
        <v>#REF!</v>
      </c>
      <c r="J3953" s="13" t="e">
        <v>#REF!</v>
      </c>
      <c r="K3953" s="13"/>
      <c r="L3953"/>
      <c r="M3953"/>
      <c r="N3953"/>
      <c r="O3953"/>
      <c r="P3953"/>
      <c r="Q3953"/>
      <c r="R3953"/>
      <c r="S3953"/>
      <c r="T3953"/>
      <c r="U3953"/>
      <c r="V3953"/>
      <c r="W3953"/>
      <c r="X3953"/>
      <c r="Y3953"/>
      <c r="Z3953"/>
      <c r="AA3953"/>
      <c r="AB3953"/>
      <c r="AC3953"/>
      <c r="AD3953"/>
      <c r="AE3953"/>
      <c r="AF3953"/>
      <c r="AG3953"/>
      <c r="AH3953"/>
      <c r="AI3953"/>
      <c r="AJ3953"/>
      <c r="AK3953"/>
      <c r="AL3953"/>
    </row>
    <row r="3954" spans="1:38" ht="15.75" customHeight="1" outlineLevel="3" x14ac:dyDescent="0.2">
      <c r="A3954" s="10">
        <v>7</v>
      </c>
      <c r="B3954" s="10" t="s">
        <v>71</v>
      </c>
      <c r="C3954" s="10" t="s">
        <v>770</v>
      </c>
      <c r="D3954" s="10" t="s">
        <v>1679</v>
      </c>
      <c r="E3954" s="11" t="str">
        <f t="array" ref="E3954">_xlfn.XLOOKUP(D3954,Insumos!B:B,Insumos!C:$C)</f>
        <v>UN</v>
      </c>
      <c r="F3954" s="14">
        <v>2.4879999999999999E-2</v>
      </c>
      <c r="G3954" s="92">
        <f t="array" ref="G3954">IF(B3954="insumo",_xlfn.XLOOKUP($D3954,Insumos!$B$1:$B$996,Insumos!$D$1:$D$996),"")</f>
        <v>5.25</v>
      </c>
      <c r="H3954" s="92">
        <v>0.13062000000000001</v>
      </c>
      <c r="I3954" s="13" t="e">
        <v>#REF!</v>
      </c>
      <c r="J3954" s="13" t="e">
        <v>#REF!</v>
      </c>
      <c r="K3954" s="13"/>
      <c r="L3954"/>
      <c r="M3954"/>
      <c r="N3954"/>
      <c r="O3954"/>
      <c r="P3954"/>
      <c r="Q3954"/>
      <c r="R3954"/>
      <c r="S3954"/>
      <c r="T3954"/>
      <c r="U3954"/>
      <c r="V3954"/>
      <c r="W3954"/>
      <c r="X3954"/>
      <c r="Y3954"/>
      <c r="Z3954"/>
      <c r="AA3954"/>
      <c r="AB3954"/>
      <c r="AC3954"/>
      <c r="AD3954"/>
      <c r="AE3954"/>
      <c r="AF3954"/>
      <c r="AG3954"/>
      <c r="AH3954"/>
      <c r="AI3954"/>
      <c r="AJ3954"/>
      <c r="AK3954"/>
      <c r="AL3954"/>
    </row>
    <row r="3955" spans="1:38" ht="15.75" customHeight="1" outlineLevel="3" x14ac:dyDescent="0.2">
      <c r="A3955" s="10">
        <v>7</v>
      </c>
      <c r="B3955" s="10" t="s">
        <v>71</v>
      </c>
      <c r="C3955" s="10" t="s">
        <v>770</v>
      </c>
      <c r="D3955" s="10" t="s">
        <v>1680</v>
      </c>
      <c r="E3955" s="11" t="str">
        <f t="array" ref="E3955">_xlfn.XLOOKUP(D3955,Insumos!B:B,Insumos!C:$C)</f>
        <v>UN</v>
      </c>
      <c r="F3955" s="14">
        <v>2.1320000000000002E-3</v>
      </c>
      <c r="G3955" s="92">
        <f t="array" ref="G3955">IF(B3955="insumo",_xlfn.XLOOKUP($D3955,Insumos!$B$1:$B$996,Insumos!$D$1:$D$996),"")</f>
        <v>36.9</v>
      </c>
      <c r="H3955" s="92">
        <v>7.8670799999999999E-2</v>
      </c>
      <c r="I3955" s="13" t="e">
        <v>#REF!</v>
      </c>
      <c r="J3955" s="13" t="e">
        <v>#REF!</v>
      </c>
      <c r="K3955" s="13"/>
      <c r="L3955"/>
      <c r="M3955"/>
      <c r="N3955"/>
      <c r="O3955"/>
      <c r="P3955"/>
      <c r="Q3955"/>
      <c r="R3955"/>
      <c r="S3955"/>
      <c r="T3955"/>
      <c r="U3955"/>
      <c r="V3955"/>
      <c r="W3955"/>
      <c r="X3955"/>
      <c r="Y3955"/>
      <c r="Z3955"/>
      <c r="AA3955"/>
      <c r="AB3955"/>
      <c r="AC3955"/>
      <c r="AD3955"/>
      <c r="AE3955"/>
      <c r="AF3955"/>
      <c r="AG3955"/>
      <c r="AH3955"/>
      <c r="AI3955"/>
      <c r="AJ3955"/>
      <c r="AK3955"/>
      <c r="AL3955"/>
    </row>
    <row r="3956" spans="1:38" ht="15.75" customHeight="1" outlineLevel="3" x14ac:dyDescent="0.2">
      <c r="A3956" s="10">
        <v>36</v>
      </c>
      <c r="B3956" s="10" t="s">
        <v>71</v>
      </c>
      <c r="C3956" s="10" t="s">
        <v>770</v>
      </c>
      <c r="D3956" s="10" t="s">
        <v>104</v>
      </c>
      <c r="E3956" s="11" t="str">
        <f t="array" ref="E3956">_xlfn.XLOOKUP(D3956,Insumos!B:B,Insumos!C:$C)</f>
        <v>UN</v>
      </c>
      <c r="F3956" s="14">
        <v>1.5219999999999999E-2</v>
      </c>
      <c r="G3956" s="92">
        <f t="array" ref="G3956">IF(B3956="insumo",_xlfn.XLOOKUP($D3956,Insumos!$B$1:$B$996,Insumos!$D$1:$D$996),"")</f>
        <v>1.89</v>
      </c>
      <c r="H3956" s="92">
        <v>2.8765800000000001E-2</v>
      </c>
      <c r="I3956" s="13" t="e">
        <v>#REF!</v>
      </c>
      <c r="J3956" s="13" t="e">
        <v>#REF!</v>
      </c>
      <c r="K3956" s="13"/>
      <c r="L3956"/>
      <c r="M3956"/>
      <c r="N3956"/>
      <c r="O3956"/>
      <c r="P3956"/>
      <c r="Q3956"/>
      <c r="R3956"/>
      <c r="S3956"/>
      <c r="T3956"/>
      <c r="U3956"/>
      <c r="V3956"/>
      <c r="W3956"/>
      <c r="X3956"/>
      <c r="Y3956"/>
      <c r="Z3956"/>
      <c r="AA3956"/>
      <c r="AB3956"/>
      <c r="AC3956"/>
      <c r="AD3956"/>
      <c r="AE3956"/>
      <c r="AF3956"/>
      <c r="AG3956"/>
      <c r="AH3956"/>
      <c r="AI3956"/>
      <c r="AJ3956"/>
      <c r="AK3956"/>
      <c r="AL3956"/>
    </row>
    <row r="3957" spans="1:38" ht="15.75" customHeight="1" outlineLevel="2" x14ac:dyDescent="0.2">
      <c r="A3957" s="1067">
        <v>1</v>
      </c>
      <c r="B3957" s="1067" t="s">
        <v>68</v>
      </c>
      <c r="C3957" s="1067" t="s">
        <v>773</v>
      </c>
      <c r="D3957" s="1067" t="s">
        <v>773</v>
      </c>
      <c r="E3957" s="1068" t="s">
        <v>70</v>
      </c>
      <c r="F3957" s="1067"/>
      <c r="G3957" s="1069" t="str">
        <f t="array" ref="G3957">IF(B3957="insumo",_xlfn.XLOOKUP($D3957,Insumos!$B$1:$B$996,Insumos!$D$1:$D$996),"")</f>
        <v/>
      </c>
      <c r="H3957" s="1069">
        <v>13.205401999999999</v>
      </c>
      <c r="I3957" s="1070">
        <v>0</v>
      </c>
      <c r="J3957" s="1070">
        <v>0</v>
      </c>
      <c r="K3957" s="1070"/>
      <c r="L3957"/>
      <c r="M3957"/>
      <c r="N3957"/>
      <c r="O3957"/>
      <c r="P3957"/>
      <c r="Q3957"/>
      <c r="R3957"/>
      <c r="S3957"/>
      <c r="T3957"/>
      <c r="U3957"/>
      <c r="V3957"/>
      <c r="W3957"/>
      <c r="X3957"/>
      <c r="Y3957"/>
      <c r="Z3957"/>
      <c r="AA3957"/>
      <c r="AB3957"/>
      <c r="AC3957"/>
      <c r="AD3957"/>
      <c r="AE3957"/>
      <c r="AF3957"/>
      <c r="AG3957"/>
      <c r="AH3957"/>
      <c r="AI3957"/>
      <c r="AJ3957"/>
      <c r="AK3957"/>
      <c r="AL3957"/>
    </row>
    <row r="3958" spans="1:38" ht="15.75" customHeight="1" outlineLevel="3" x14ac:dyDescent="0.2">
      <c r="A3958" s="10">
        <v>16</v>
      </c>
      <c r="B3958" s="10" t="s">
        <v>71</v>
      </c>
      <c r="C3958" s="10" t="s">
        <v>773</v>
      </c>
      <c r="D3958" s="10" t="s">
        <v>763</v>
      </c>
      <c r="E3958" s="11" t="str">
        <f t="array" ref="E3958">_xlfn.XLOOKUP(D3958,Insumos!B:B,Insumos!C:$C)</f>
        <v>L</v>
      </c>
      <c r="F3958" s="14">
        <v>0.495</v>
      </c>
      <c r="G3958" s="92">
        <f t="array" ref="G3958">IF(B3958="insumo",_xlfn.XLOOKUP($D3958,Insumos!$B$1:$B$996,Insumos!$D$1:$D$996),"")</f>
        <v>24.5</v>
      </c>
      <c r="H3958" s="92">
        <v>12.1275</v>
      </c>
      <c r="I3958" s="13">
        <v>0</v>
      </c>
      <c r="J3958" s="13">
        <v>0</v>
      </c>
      <c r="K3958" s="13"/>
      <c r="L3958"/>
      <c r="M3958"/>
      <c r="N3958"/>
      <c r="O3958"/>
      <c r="P3958"/>
      <c r="Q3958"/>
      <c r="R3958"/>
      <c r="S3958"/>
      <c r="T3958"/>
      <c r="U3958"/>
      <c r="V3958"/>
      <c r="W3958"/>
      <c r="X3958"/>
      <c r="Y3958"/>
      <c r="Z3958"/>
      <c r="AA3958"/>
      <c r="AB3958"/>
      <c r="AC3958"/>
      <c r="AD3958"/>
      <c r="AE3958"/>
      <c r="AF3958"/>
      <c r="AG3958"/>
      <c r="AH3958"/>
      <c r="AI3958"/>
      <c r="AJ3958"/>
      <c r="AK3958"/>
      <c r="AL3958"/>
    </row>
    <row r="3959" spans="1:38" ht="15.75" customHeight="1" outlineLevel="3" x14ac:dyDescent="0.2">
      <c r="A3959" s="10">
        <v>31</v>
      </c>
      <c r="B3959" s="10" t="s">
        <v>71</v>
      </c>
      <c r="C3959" s="10" t="s">
        <v>773</v>
      </c>
      <c r="D3959" s="10" t="s">
        <v>768</v>
      </c>
      <c r="E3959" s="11" t="str">
        <f t="array" ref="E3959">_xlfn.XLOOKUP(D3959,Insumos!B:B,Insumos!C:$C)</f>
        <v>L</v>
      </c>
      <c r="F3959" s="14">
        <v>0.1666</v>
      </c>
      <c r="G3959" s="92">
        <f t="array" ref="G3959">IF(B3959="insumo",_xlfn.XLOOKUP($D3959,Insumos!$B$1:$B$996,Insumos!$D$1:$D$996),"")</f>
        <v>6.47</v>
      </c>
      <c r="H3959" s="92">
        <v>1.0779019999999999</v>
      </c>
      <c r="I3959" s="13">
        <v>0</v>
      </c>
      <c r="J3959" s="13">
        <v>0</v>
      </c>
      <c r="K3959" s="13"/>
      <c r="L3959"/>
      <c r="M3959"/>
      <c r="N3959"/>
      <c r="O3959"/>
      <c r="P3959"/>
      <c r="Q3959"/>
      <c r="R3959"/>
      <c r="S3959"/>
      <c r="T3959"/>
      <c r="U3959"/>
      <c r="V3959"/>
      <c r="W3959"/>
      <c r="X3959"/>
      <c r="Y3959"/>
      <c r="Z3959"/>
      <c r="AA3959"/>
      <c r="AB3959"/>
      <c r="AC3959"/>
      <c r="AD3959"/>
      <c r="AE3959"/>
      <c r="AF3959"/>
      <c r="AG3959"/>
      <c r="AH3959"/>
      <c r="AI3959"/>
      <c r="AJ3959"/>
      <c r="AK3959"/>
      <c r="AL3959"/>
    </row>
    <row r="3960" spans="1:38" ht="15.75" customHeight="1" outlineLevel="2" x14ac:dyDescent="0.2">
      <c r="A3960" s="1067">
        <v>1</v>
      </c>
      <c r="B3960" s="1067" t="s">
        <v>68</v>
      </c>
      <c r="C3960" s="1067" t="s">
        <v>3095</v>
      </c>
      <c r="D3960" s="1067" t="s">
        <v>3095</v>
      </c>
      <c r="E3960" s="1068" t="s">
        <v>70</v>
      </c>
      <c r="F3960" s="1067"/>
      <c r="G3960" s="1069" t="str">
        <f t="array" ref="G3960">IF(B3960="insumo",_xlfn.XLOOKUP($D3960,Insumos!$B$1:$B$996,Insumos!$D$1:$D$996),"")</f>
        <v/>
      </c>
      <c r="H3960" s="1069">
        <v>39.6</v>
      </c>
      <c r="I3960" s="1070" t="e">
        <v>#REF!</v>
      </c>
      <c r="J3960" s="1070" t="e">
        <v>#REF!</v>
      </c>
      <c r="K3960" s="1070"/>
      <c r="L3960"/>
      <c r="M3960"/>
      <c r="N3960"/>
      <c r="O3960"/>
      <c r="P3960"/>
      <c r="Q3960"/>
      <c r="R3960"/>
      <c r="S3960"/>
      <c r="T3960"/>
      <c r="U3960"/>
      <c r="V3960"/>
      <c r="W3960"/>
      <c r="X3960"/>
      <c r="Y3960"/>
      <c r="Z3960"/>
      <c r="AA3960"/>
      <c r="AB3960"/>
      <c r="AC3960"/>
      <c r="AD3960"/>
      <c r="AE3960"/>
      <c r="AF3960"/>
      <c r="AG3960"/>
      <c r="AH3960"/>
      <c r="AI3960"/>
      <c r="AJ3960"/>
      <c r="AK3960"/>
      <c r="AL3960"/>
    </row>
    <row r="3961" spans="1:38" ht="15.75" customHeight="1" outlineLevel="3" x14ac:dyDescent="0.2">
      <c r="A3961" s="10">
        <v>2</v>
      </c>
      <c r="B3961" s="10" t="s">
        <v>71</v>
      </c>
      <c r="C3961" s="10" t="s">
        <v>3095</v>
      </c>
      <c r="D3961" s="10" t="s">
        <v>3096</v>
      </c>
      <c r="E3961" s="11" t="str">
        <f t="array" ref="E3961">_xlfn.XLOOKUP(D3961,Insumos!B:B,Insumos!C:$C)</f>
        <v>KG</v>
      </c>
      <c r="F3961" s="14">
        <v>1.5</v>
      </c>
      <c r="G3961" s="92">
        <f t="array" ref="G3961">IF(B3961="insumo",_xlfn.XLOOKUP($D3961,Insumos!$B$1:$B$996,Insumos!$D$1:$D$996),"")</f>
        <v>26.4</v>
      </c>
      <c r="H3961" s="92">
        <v>39.6</v>
      </c>
      <c r="I3961" s="13" t="e">
        <v>#REF!</v>
      </c>
      <c r="J3961" s="13" t="e">
        <v>#REF!</v>
      </c>
      <c r="K3961" s="13"/>
      <c r="L3961"/>
      <c r="M3961"/>
      <c r="N3961"/>
      <c r="O3961"/>
      <c r="P3961"/>
      <c r="Q3961"/>
      <c r="R3961"/>
      <c r="S3961"/>
      <c r="T3961"/>
      <c r="U3961"/>
      <c r="V3961"/>
      <c r="W3961"/>
      <c r="X3961"/>
      <c r="Y3961"/>
      <c r="Z3961"/>
      <c r="AA3961"/>
      <c r="AB3961"/>
      <c r="AC3961"/>
      <c r="AD3961"/>
      <c r="AE3961"/>
      <c r="AF3961"/>
      <c r="AG3961"/>
      <c r="AH3961"/>
      <c r="AI3961"/>
      <c r="AJ3961"/>
      <c r="AK3961"/>
      <c r="AL3961"/>
    </row>
    <row r="3962" spans="1:38" ht="15.75" customHeight="1" outlineLevel="2" x14ac:dyDescent="0.2">
      <c r="A3962" s="1067">
        <v>1</v>
      </c>
      <c r="B3962" s="1067" t="s">
        <v>68</v>
      </c>
      <c r="C3962" s="1067" t="s">
        <v>3091</v>
      </c>
      <c r="D3962" s="1067" t="s">
        <v>3091</v>
      </c>
      <c r="E3962" s="1068" t="s">
        <v>70</v>
      </c>
      <c r="F3962" s="1067"/>
      <c r="G3962" s="1069" t="str">
        <f t="array" ref="G3962">IF(B3962="insumo",_xlfn.XLOOKUP($D3962,Insumos!$B$1:$B$996,Insumos!$D$1:$D$996),"")</f>
        <v/>
      </c>
      <c r="H3962" s="1069">
        <v>22.507959374999999</v>
      </c>
      <c r="I3962" s="1070" t="e">
        <v>#REF!</v>
      </c>
      <c r="J3962" s="1070" t="e">
        <v>#REF!</v>
      </c>
      <c r="K3962" s="1070"/>
      <c r="L3962"/>
      <c r="M3962"/>
      <c r="N3962"/>
      <c r="O3962"/>
      <c r="P3962"/>
      <c r="Q3962"/>
      <c r="R3962"/>
      <c r="S3962"/>
      <c r="T3962"/>
      <c r="U3962"/>
      <c r="V3962"/>
      <c r="W3962"/>
      <c r="X3962"/>
      <c r="Y3962"/>
      <c r="Z3962"/>
      <c r="AA3962"/>
      <c r="AB3962"/>
      <c r="AC3962"/>
      <c r="AD3962"/>
      <c r="AE3962"/>
      <c r="AF3962"/>
      <c r="AG3962"/>
      <c r="AH3962"/>
      <c r="AI3962"/>
      <c r="AJ3962"/>
      <c r="AK3962"/>
      <c r="AL3962"/>
    </row>
    <row r="3963" spans="1:38" ht="15.75" customHeight="1" outlineLevel="3" x14ac:dyDescent="0.2">
      <c r="A3963" s="10">
        <v>2</v>
      </c>
      <c r="B3963" s="10" t="s">
        <v>71</v>
      </c>
      <c r="C3963" s="10" t="s">
        <v>3091</v>
      </c>
      <c r="D3963" s="10" t="s">
        <v>3092</v>
      </c>
      <c r="E3963" s="11" t="str">
        <f t="array" ref="E3963">_xlfn.XLOOKUP(D3963,Insumos!B:B,Insumos!C:$C)</f>
        <v>L</v>
      </c>
      <c r="F3963" s="14">
        <v>0.495</v>
      </c>
      <c r="G3963" s="92">
        <f t="array" ref="G3963">IF(B3963="insumo",_xlfn.XLOOKUP($D3963,Insumos!$B$1:$B$996,Insumos!$D$1:$D$996),"")</f>
        <v>45.470624999999998</v>
      </c>
      <c r="H3963" s="92">
        <v>22.507959374999999</v>
      </c>
      <c r="I3963" s="13" t="e">
        <v>#REF!</v>
      </c>
      <c r="J3963" s="13" t="e">
        <v>#REF!</v>
      </c>
      <c r="K3963" s="13"/>
      <c r="L3963"/>
      <c r="M3963"/>
      <c r="N3963"/>
      <c r="O3963"/>
      <c r="P3963"/>
      <c r="Q3963"/>
      <c r="R3963"/>
      <c r="S3963"/>
      <c r="T3963"/>
      <c r="U3963"/>
      <c r="V3963"/>
      <c r="W3963"/>
      <c r="X3963"/>
      <c r="Y3963"/>
      <c r="Z3963"/>
      <c r="AA3963"/>
      <c r="AB3963"/>
      <c r="AC3963"/>
      <c r="AD3963"/>
      <c r="AE3963"/>
      <c r="AF3963"/>
      <c r="AG3963"/>
      <c r="AH3963"/>
      <c r="AI3963"/>
      <c r="AJ3963"/>
      <c r="AK3963"/>
      <c r="AL3963"/>
    </row>
    <row r="3964" spans="1:38" ht="15.75" customHeight="1" outlineLevel="2" x14ac:dyDescent="0.2">
      <c r="A3964" s="1067">
        <v>1</v>
      </c>
      <c r="B3964" s="1067" t="s">
        <v>68</v>
      </c>
      <c r="C3964" s="1067" t="s">
        <v>3094</v>
      </c>
      <c r="D3964" s="1067" t="s">
        <v>3094</v>
      </c>
      <c r="E3964" s="1068" t="s">
        <v>70</v>
      </c>
      <c r="F3964" s="1067"/>
      <c r="G3964" s="1069" t="str">
        <f t="array" ref="G3964">IF(B3964="insumo",_xlfn.XLOOKUP($D3964,Insumos!$B$1:$B$996,Insumos!$D$1:$D$996),"")</f>
        <v/>
      </c>
      <c r="H3964" s="1069">
        <v>20.468868749999999</v>
      </c>
      <c r="I3964" s="1070" t="e">
        <v>#REF!</v>
      </c>
      <c r="J3964" s="1070" t="e">
        <v>#REF!</v>
      </c>
      <c r="K3964" s="1070"/>
      <c r="L3964"/>
      <c r="M3964"/>
      <c r="N3964"/>
      <c r="O3964"/>
      <c r="P3964"/>
      <c r="Q3964"/>
      <c r="R3964"/>
      <c r="S3964"/>
      <c r="T3964"/>
      <c r="U3964"/>
      <c r="V3964"/>
      <c r="W3964"/>
      <c r="X3964"/>
      <c r="Y3964"/>
      <c r="Z3964"/>
      <c r="AA3964"/>
      <c r="AB3964"/>
      <c r="AC3964"/>
      <c r="AD3964"/>
      <c r="AE3964"/>
      <c r="AF3964"/>
      <c r="AG3964"/>
      <c r="AH3964"/>
      <c r="AI3964"/>
      <c r="AJ3964"/>
      <c r="AK3964"/>
      <c r="AL3964"/>
    </row>
    <row r="3965" spans="1:38" ht="15.75" customHeight="1" outlineLevel="3" x14ac:dyDescent="0.2">
      <c r="A3965" s="10">
        <v>2</v>
      </c>
      <c r="B3965" s="10" t="s">
        <v>71</v>
      </c>
      <c r="C3965" s="10" t="s">
        <v>3094</v>
      </c>
      <c r="D3965" s="10" t="s">
        <v>3093</v>
      </c>
      <c r="E3965" s="11" t="str">
        <f t="array" ref="E3965">_xlfn.XLOOKUP(D3965,Insumos!B:B,Insumos!C:$C)</f>
        <v>L</v>
      </c>
      <c r="F3965" s="14">
        <v>0.495</v>
      </c>
      <c r="G3965" s="92">
        <f t="array" ref="G3965">IF(B3965="insumo",_xlfn.XLOOKUP($D3965,Insumos!$B$1:$B$996,Insumos!$D$1:$D$996),"")</f>
        <v>41.35125</v>
      </c>
      <c r="H3965" s="92">
        <v>20.468868749999999</v>
      </c>
      <c r="I3965" s="13" t="e">
        <v>#REF!</v>
      </c>
      <c r="J3965" s="13" t="e">
        <v>#REF!</v>
      </c>
      <c r="K3965" s="13"/>
      <c r="L3965"/>
      <c r="M3965"/>
      <c r="N3965"/>
      <c r="O3965"/>
      <c r="P3965"/>
      <c r="Q3965"/>
      <c r="R3965"/>
      <c r="S3965"/>
      <c r="T3965"/>
      <c r="U3965"/>
      <c r="V3965"/>
      <c r="W3965"/>
      <c r="X3965"/>
      <c r="Y3965"/>
      <c r="Z3965"/>
      <c r="AA3965"/>
      <c r="AB3965"/>
      <c r="AC3965"/>
      <c r="AD3965"/>
      <c r="AE3965"/>
      <c r="AF3965"/>
      <c r="AG3965"/>
      <c r="AH3965"/>
      <c r="AI3965"/>
      <c r="AJ3965"/>
      <c r="AK3965"/>
      <c r="AL3965"/>
    </row>
    <row r="3966" spans="1:38" ht="15.75" customHeight="1" outlineLevel="2" x14ac:dyDescent="0.2">
      <c r="A3966" s="1067">
        <v>1</v>
      </c>
      <c r="B3966" s="1067" t="s">
        <v>68</v>
      </c>
      <c r="C3966" s="1067" t="s">
        <v>3097</v>
      </c>
      <c r="D3966" s="1067" t="s">
        <v>3097</v>
      </c>
      <c r="E3966" s="1068" t="s">
        <v>70</v>
      </c>
      <c r="F3966" s="1067"/>
      <c r="G3966" s="1069" t="str">
        <f t="array" ref="G3966">IF(B3966="insumo",_xlfn.XLOOKUP($D3966,Insumos!$B$1:$B$996,Insumos!$D$1:$D$996),"")</f>
        <v/>
      </c>
      <c r="H3966" s="1069">
        <v>66.75</v>
      </c>
      <c r="I3966" s="1070" t="e">
        <v>#REF!</v>
      </c>
      <c r="J3966" s="1070" t="e">
        <v>#REF!</v>
      </c>
      <c r="K3966" s="1070"/>
      <c r="L3966"/>
      <c r="M3966"/>
      <c r="N3966"/>
      <c r="O3966"/>
      <c r="P3966"/>
      <c r="Q3966"/>
      <c r="R3966"/>
      <c r="S3966"/>
      <c r="T3966"/>
      <c r="U3966"/>
      <c r="V3966"/>
      <c r="W3966"/>
      <c r="X3966"/>
      <c r="Y3966"/>
      <c r="Z3966"/>
      <c r="AA3966"/>
      <c r="AB3966"/>
      <c r="AC3966"/>
      <c r="AD3966"/>
      <c r="AE3966"/>
      <c r="AF3966"/>
      <c r="AG3966"/>
      <c r="AH3966"/>
      <c r="AI3966"/>
      <c r="AJ3966"/>
      <c r="AK3966"/>
      <c r="AL3966"/>
    </row>
    <row r="3967" spans="1:38" ht="15.75" customHeight="1" outlineLevel="3" x14ac:dyDescent="0.2">
      <c r="A3967" s="10">
        <v>3</v>
      </c>
      <c r="B3967" s="10" t="s">
        <v>71</v>
      </c>
      <c r="C3967" s="10" t="s">
        <v>3097</v>
      </c>
      <c r="D3967" s="10" t="s">
        <v>3098</v>
      </c>
      <c r="E3967" s="11" t="str">
        <f t="array" ref="E3967">_xlfn.XLOOKUP(D3967,Insumos!B:B,Insumos!C:$C)</f>
        <v>KG</v>
      </c>
      <c r="F3967" s="14">
        <v>1.5</v>
      </c>
      <c r="G3967" s="92">
        <f t="array" ref="G3967">IF(B3967="insumo",_xlfn.XLOOKUP($D3967,Insumos!$B$1:$B$996,Insumos!$D$1:$D$996),"")</f>
        <v>44.5</v>
      </c>
      <c r="H3967" s="92">
        <v>66.75</v>
      </c>
      <c r="I3967" s="13" t="e">
        <v>#REF!</v>
      </c>
      <c r="J3967" s="13" t="e">
        <v>#REF!</v>
      </c>
      <c r="K3967" s="13"/>
      <c r="L3967"/>
      <c r="M3967"/>
      <c r="N3967"/>
      <c r="O3967"/>
      <c r="P3967"/>
      <c r="Q3967"/>
      <c r="R3967"/>
      <c r="S3967"/>
      <c r="T3967"/>
      <c r="U3967"/>
      <c r="V3967"/>
      <c r="W3967"/>
      <c r="X3967"/>
      <c r="Y3967"/>
      <c r="Z3967"/>
      <c r="AA3967"/>
      <c r="AB3967"/>
      <c r="AC3967"/>
      <c r="AD3967"/>
      <c r="AE3967"/>
      <c r="AF3967"/>
      <c r="AG3967"/>
      <c r="AH3967"/>
      <c r="AI3967"/>
      <c r="AJ3967"/>
      <c r="AK3967"/>
      <c r="AL3967"/>
    </row>
    <row r="3968" spans="1:38" ht="15.75" customHeight="1" outlineLevel="2" x14ac:dyDescent="0.2">
      <c r="A3968" s="1067">
        <v>1</v>
      </c>
      <c r="B3968" s="1067" t="s">
        <v>68</v>
      </c>
      <c r="C3968" s="1067" t="s">
        <v>774</v>
      </c>
      <c r="D3968" s="1067" t="s">
        <v>774</v>
      </c>
      <c r="E3968" s="1068" t="s">
        <v>70</v>
      </c>
      <c r="F3968" s="1067"/>
      <c r="G3968" s="1069" t="str">
        <f t="array" ref="G3968">IF(B3968="insumo",_xlfn.XLOOKUP($D3968,Insumos!$B$1:$B$996,Insumos!$D$1:$D$996),"")</f>
        <v/>
      </c>
      <c r="H3968" s="1069">
        <v>12.1275</v>
      </c>
      <c r="I3968" s="1070" t="e">
        <v>#REF!</v>
      </c>
      <c r="J3968" s="1070" t="e">
        <v>#REF!</v>
      </c>
      <c r="K3968" s="1070"/>
      <c r="L3968"/>
      <c r="M3968"/>
      <c r="N3968"/>
      <c r="O3968"/>
      <c r="P3968"/>
      <c r="Q3968"/>
      <c r="R3968"/>
      <c r="S3968"/>
      <c r="T3968"/>
      <c r="U3968"/>
      <c r="V3968"/>
      <c r="W3968"/>
      <c r="X3968"/>
      <c r="Y3968"/>
      <c r="Z3968"/>
      <c r="AA3968"/>
      <c r="AB3968"/>
      <c r="AC3968"/>
      <c r="AD3968"/>
      <c r="AE3968"/>
      <c r="AF3968"/>
      <c r="AG3968"/>
      <c r="AH3968"/>
      <c r="AI3968"/>
      <c r="AJ3968"/>
      <c r="AK3968"/>
      <c r="AL3968"/>
    </row>
    <row r="3969" spans="1:38" ht="15.75" customHeight="1" outlineLevel="3" x14ac:dyDescent="0.2">
      <c r="A3969" s="10">
        <v>16</v>
      </c>
      <c r="B3969" s="10" t="s">
        <v>71</v>
      </c>
      <c r="C3969" s="10" t="s">
        <v>774</v>
      </c>
      <c r="D3969" s="10" t="s">
        <v>763</v>
      </c>
      <c r="E3969" s="11" t="str">
        <f t="array" ref="E3969">_xlfn.XLOOKUP(D3969,Insumos!B:B,Insumos!C:$C)</f>
        <v>L</v>
      </c>
      <c r="F3969" s="14">
        <v>0.495</v>
      </c>
      <c r="G3969" s="92">
        <f t="array" ref="G3969">IF(B3969="insumo",_xlfn.XLOOKUP($D3969,Insumos!$B$1:$B$996,Insumos!$D$1:$D$996),"")</f>
        <v>24.5</v>
      </c>
      <c r="H3969" s="92">
        <v>12.1275</v>
      </c>
      <c r="I3969" s="13" t="e">
        <v>#REF!</v>
      </c>
      <c r="J3969" s="13" t="e">
        <v>#REF!</v>
      </c>
      <c r="K3969" s="13"/>
      <c r="L3969"/>
      <c r="M3969"/>
      <c r="N3969"/>
      <c r="O3969"/>
      <c r="P3969"/>
      <c r="Q3969"/>
      <c r="R3969"/>
      <c r="S3969"/>
      <c r="T3969"/>
      <c r="U3969"/>
      <c r="V3969"/>
      <c r="W3969"/>
      <c r="X3969"/>
      <c r="Y3969"/>
      <c r="Z3969"/>
      <c r="AA3969"/>
      <c r="AB3969"/>
      <c r="AC3969"/>
      <c r="AD3969"/>
      <c r="AE3969"/>
      <c r="AF3969"/>
      <c r="AG3969"/>
      <c r="AH3969"/>
      <c r="AI3969"/>
      <c r="AJ3969"/>
      <c r="AK3969"/>
      <c r="AL3969"/>
    </row>
    <row r="3970" spans="1:38" ht="15.75" customHeight="1" outlineLevel="2" x14ac:dyDescent="0.2">
      <c r="A3970" s="1067">
        <v>1</v>
      </c>
      <c r="B3970" s="1067" t="s">
        <v>68</v>
      </c>
      <c r="C3970" s="1067" t="s">
        <v>775</v>
      </c>
      <c r="D3970" s="1067" t="s">
        <v>775</v>
      </c>
      <c r="E3970" s="1068" t="s">
        <v>70</v>
      </c>
      <c r="F3970" s="1067"/>
      <c r="G3970" s="1069" t="str">
        <f t="array" ref="G3970">IF(B3970="insumo",_xlfn.XLOOKUP($D3970,Insumos!$B$1:$B$996,Insumos!$D$1:$D$996),"")</f>
        <v/>
      </c>
      <c r="H3970" s="1069">
        <v>17.554562000000001</v>
      </c>
      <c r="I3970" s="1070">
        <v>0</v>
      </c>
      <c r="J3970" s="1070">
        <v>0</v>
      </c>
      <c r="K3970" s="1070"/>
      <c r="L3970"/>
      <c r="M3970"/>
      <c r="N3970"/>
      <c r="O3970"/>
      <c r="P3970"/>
      <c r="Q3970"/>
      <c r="R3970"/>
      <c r="S3970"/>
      <c r="T3970"/>
      <c r="U3970"/>
      <c r="V3970"/>
      <c r="W3970"/>
      <c r="X3970"/>
      <c r="Y3970"/>
      <c r="Z3970"/>
      <c r="AA3970"/>
      <c r="AB3970"/>
      <c r="AC3970"/>
      <c r="AD3970"/>
      <c r="AE3970"/>
      <c r="AF3970"/>
      <c r="AG3970"/>
      <c r="AH3970"/>
      <c r="AI3970"/>
      <c r="AJ3970"/>
      <c r="AK3970"/>
      <c r="AL3970"/>
    </row>
    <row r="3971" spans="1:38" ht="15.75" customHeight="1" outlineLevel="3" x14ac:dyDescent="0.2">
      <c r="A3971" s="10">
        <v>36</v>
      </c>
      <c r="B3971" s="10" t="s">
        <v>71</v>
      </c>
      <c r="C3971" s="10" t="s">
        <v>775</v>
      </c>
      <c r="D3971" s="10" t="s">
        <v>104</v>
      </c>
      <c r="E3971" s="11" t="str">
        <f t="array" ref="E3971">_xlfn.XLOOKUP(D3971,Insumos!B:B,Insumos!C:$C)</f>
        <v>UN</v>
      </c>
      <c r="F3971" s="14">
        <v>0.1</v>
      </c>
      <c r="G3971" s="92">
        <f t="array" ref="G3971">IF(B3971="insumo",_xlfn.XLOOKUP($D3971,Insumos!$B$1:$B$996,Insumos!$D$1:$D$996),"")</f>
        <v>1.89</v>
      </c>
      <c r="H3971" s="92">
        <v>0.189</v>
      </c>
      <c r="I3971" s="13">
        <v>0</v>
      </c>
      <c r="J3971" s="13">
        <v>0</v>
      </c>
      <c r="K3971" s="13"/>
      <c r="L3971"/>
      <c r="M3971"/>
      <c r="N3971"/>
      <c r="O3971"/>
      <c r="P3971"/>
      <c r="Q3971"/>
      <c r="R3971"/>
      <c r="S3971"/>
      <c r="T3971"/>
      <c r="U3971"/>
      <c r="V3971"/>
      <c r="W3971"/>
      <c r="X3971"/>
      <c r="Y3971"/>
      <c r="Z3971"/>
      <c r="AA3971"/>
      <c r="AB3971"/>
      <c r="AC3971"/>
      <c r="AD3971"/>
      <c r="AE3971"/>
      <c r="AF3971"/>
      <c r="AG3971"/>
      <c r="AH3971"/>
      <c r="AI3971"/>
      <c r="AJ3971"/>
      <c r="AK3971"/>
      <c r="AL3971"/>
    </row>
    <row r="3972" spans="1:38" ht="15.75" customHeight="1" outlineLevel="3" x14ac:dyDescent="0.2">
      <c r="A3972" s="10">
        <v>21</v>
      </c>
      <c r="B3972" s="10" t="s">
        <v>71</v>
      </c>
      <c r="C3972" s="10" t="s">
        <v>775</v>
      </c>
      <c r="D3972" s="10" t="s">
        <v>765</v>
      </c>
      <c r="E3972" s="11" t="str">
        <f t="array" ref="E3972">_xlfn.XLOOKUP(D3972,Insumos!B:B,Insumos!C:$C)</f>
        <v>KG</v>
      </c>
      <c r="F3972" s="14">
        <v>0.86670000000000003</v>
      </c>
      <c r="G3972" s="92">
        <f t="array" ref="G3972">IF(B3972="insumo",_xlfn.XLOOKUP($D3972,Insumos!$B$1:$B$996,Insumos!$D$1:$D$996),"")</f>
        <v>4.8</v>
      </c>
      <c r="H3972" s="92">
        <v>4.1601600000000003</v>
      </c>
      <c r="I3972" s="13">
        <v>0</v>
      </c>
      <c r="J3972" s="13">
        <v>0</v>
      </c>
      <c r="K3972" s="13"/>
      <c r="L3972"/>
      <c r="M3972"/>
      <c r="N3972"/>
      <c r="O3972"/>
      <c r="P3972"/>
      <c r="Q3972"/>
      <c r="R3972"/>
      <c r="S3972"/>
      <c r="T3972"/>
      <c r="U3972"/>
      <c r="V3972"/>
      <c r="W3972"/>
      <c r="X3972"/>
      <c r="Y3972"/>
      <c r="Z3972"/>
      <c r="AA3972"/>
      <c r="AB3972"/>
      <c r="AC3972"/>
      <c r="AD3972"/>
      <c r="AE3972"/>
      <c r="AF3972"/>
      <c r="AG3972"/>
      <c r="AH3972"/>
      <c r="AI3972"/>
      <c r="AJ3972"/>
      <c r="AK3972"/>
      <c r="AL3972"/>
    </row>
    <row r="3973" spans="1:38" ht="15.75" customHeight="1" outlineLevel="3" x14ac:dyDescent="0.2">
      <c r="A3973" s="10">
        <v>31</v>
      </c>
      <c r="B3973" s="10" t="s">
        <v>71</v>
      </c>
      <c r="C3973" s="10" t="s">
        <v>775</v>
      </c>
      <c r="D3973" s="10" t="s">
        <v>768</v>
      </c>
      <c r="E3973" s="11" t="str">
        <f t="array" ref="E3973">_xlfn.XLOOKUP(D3973,Insumos!B:B,Insumos!C:$C)</f>
        <v>L</v>
      </c>
      <c r="F3973" s="14">
        <v>0.1666</v>
      </c>
      <c r="G3973" s="92">
        <f t="array" ref="G3973">IF(B3973="insumo",_xlfn.XLOOKUP($D3973,Insumos!$B$1:$B$996,Insumos!$D$1:$D$996),"")</f>
        <v>6.47</v>
      </c>
      <c r="H3973" s="92">
        <v>1.0779019999999999</v>
      </c>
      <c r="I3973" s="13">
        <v>0</v>
      </c>
      <c r="J3973" s="13">
        <v>0</v>
      </c>
      <c r="K3973" s="13"/>
      <c r="L3973"/>
      <c r="M3973"/>
      <c r="N3973"/>
      <c r="O3973"/>
      <c r="P3973"/>
      <c r="Q3973"/>
      <c r="R3973"/>
      <c r="S3973"/>
      <c r="T3973"/>
      <c r="U3973"/>
      <c r="V3973"/>
      <c r="W3973"/>
      <c r="X3973"/>
      <c r="Y3973"/>
      <c r="Z3973"/>
      <c r="AA3973"/>
      <c r="AB3973"/>
      <c r="AC3973"/>
      <c r="AD3973"/>
      <c r="AE3973"/>
      <c r="AF3973"/>
      <c r="AG3973"/>
      <c r="AH3973"/>
      <c r="AI3973"/>
      <c r="AJ3973"/>
      <c r="AK3973"/>
      <c r="AL3973"/>
    </row>
    <row r="3974" spans="1:38" ht="15.75" customHeight="1" outlineLevel="3" x14ac:dyDescent="0.2">
      <c r="A3974" s="10">
        <v>16</v>
      </c>
      <c r="B3974" s="10" t="s">
        <v>71</v>
      </c>
      <c r="C3974" s="10" t="s">
        <v>775</v>
      </c>
      <c r="D3974" s="10" t="s">
        <v>763</v>
      </c>
      <c r="E3974" s="11" t="str">
        <f t="array" ref="E3974">_xlfn.XLOOKUP(D3974,Insumos!B:B,Insumos!C:$C)</f>
        <v>L</v>
      </c>
      <c r="F3974" s="14">
        <v>0.495</v>
      </c>
      <c r="G3974" s="92">
        <f t="array" ref="G3974">IF(B3974="insumo",_xlfn.XLOOKUP($D3974,Insumos!$B$1:$B$996,Insumos!$D$1:$D$996),"")</f>
        <v>24.5</v>
      </c>
      <c r="H3974" s="92">
        <v>12.1275</v>
      </c>
      <c r="I3974" s="13">
        <v>0</v>
      </c>
      <c r="J3974" s="13">
        <v>0</v>
      </c>
      <c r="K3974" s="13"/>
      <c r="L3974"/>
      <c r="M3974"/>
      <c r="N3974"/>
      <c r="O3974"/>
      <c r="P3974"/>
      <c r="Q3974"/>
      <c r="R3974"/>
      <c r="S3974"/>
      <c r="T3974"/>
      <c r="U3974"/>
      <c r="V3974"/>
      <c r="W3974"/>
      <c r="X3974"/>
      <c r="Y3974"/>
      <c r="Z3974"/>
      <c r="AA3974"/>
      <c r="AB3974"/>
      <c r="AC3974"/>
      <c r="AD3974"/>
      <c r="AE3974"/>
      <c r="AF3974"/>
      <c r="AG3974"/>
      <c r="AH3974"/>
      <c r="AI3974"/>
      <c r="AJ3974"/>
      <c r="AK3974"/>
      <c r="AL3974"/>
    </row>
    <row r="3975" spans="1:38" ht="15.75" customHeight="1" outlineLevel="2" x14ac:dyDescent="0.2">
      <c r="A3975" s="1067">
        <v>1</v>
      </c>
      <c r="B3975" s="1067" t="s">
        <v>68</v>
      </c>
      <c r="C3975" s="1067" t="s">
        <v>1562</v>
      </c>
      <c r="D3975" s="1067" t="s">
        <v>1562</v>
      </c>
      <c r="E3975" s="1068" t="s">
        <v>113</v>
      </c>
      <c r="F3975" s="1067"/>
      <c r="G3975" s="1069" t="str">
        <f t="array" ref="G3975">IF(B3975="insumo",_xlfn.XLOOKUP($D3975,Insumos!$B$1:$B$996,Insumos!$D$1:$D$996),"")</f>
        <v/>
      </c>
      <c r="H3975" s="1069">
        <v>21.170109199999999</v>
      </c>
      <c r="I3975" s="1070">
        <v>0</v>
      </c>
      <c r="J3975" s="1070">
        <v>0</v>
      </c>
      <c r="K3975" s="1070"/>
      <c r="L3975"/>
      <c r="M3975"/>
      <c r="N3975"/>
      <c r="O3975"/>
      <c r="P3975"/>
      <c r="Q3975"/>
      <c r="R3975"/>
      <c r="S3975"/>
      <c r="T3975"/>
      <c r="U3975"/>
      <c r="V3975"/>
      <c r="W3975"/>
      <c r="X3975"/>
      <c r="Y3975"/>
      <c r="Z3975"/>
      <c r="AA3975"/>
      <c r="AB3975"/>
      <c r="AC3975"/>
      <c r="AD3975"/>
      <c r="AE3975"/>
      <c r="AF3975"/>
      <c r="AG3975"/>
      <c r="AH3975"/>
      <c r="AI3975"/>
      <c r="AJ3975"/>
      <c r="AK3975"/>
      <c r="AL3975"/>
    </row>
    <row r="3976" spans="1:38" ht="15.75" customHeight="1" outlineLevel="3" x14ac:dyDescent="0.2">
      <c r="A3976" s="10">
        <v>9</v>
      </c>
      <c r="B3976" s="10" t="s">
        <v>71</v>
      </c>
      <c r="C3976" s="10" t="s">
        <v>1562</v>
      </c>
      <c r="D3976" s="10" t="s">
        <v>749</v>
      </c>
      <c r="E3976" s="11" t="str">
        <f t="array" ref="E3976">_xlfn.XLOOKUP(D3976,Insumos!B:B,Insumos!C:$C)</f>
        <v>L</v>
      </c>
      <c r="F3976" s="14">
        <f>0.064*0.3</f>
        <v>1.9199999999999998E-2</v>
      </c>
      <c r="G3976" s="92">
        <f t="array" ref="G3976">IF(B3976="insumo",_xlfn.XLOOKUP($D3976,Insumos!$B$1:$B$996,Insumos!$D$1:$D$996),"")</f>
        <v>50.12</v>
      </c>
      <c r="H3976" s="92">
        <v>0.96230400000000005</v>
      </c>
      <c r="I3976" s="13">
        <v>0</v>
      </c>
      <c r="J3976" s="13">
        <v>0</v>
      </c>
      <c r="K3976" s="13"/>
      <c r="L3976"/>
      <c r="M3976"/>
      <c r="N3976"/>
      <c r="O3976"/>
      <c r="P3976"/>
      <c r="Q3976"/>
      <c r="R3976"/>
      <c r="S3976"/>
      <c r="T3976"/>
      <c r="U3976"/>
      <c r="V3976"/>
      <c r="W3976"/>
      <c r="X3976"/>
      <c r="Y3976"/>
      <c r="Z3976"/>
      <c r="AA3976"/>
      <c r="AB3976"/>
      <c r="AC3976"/>
      <c r="AD3976"/>
      <c r="AE3976"/>
      <c r="AF3976"/>
      <c r="AG3976"/>
      <c r="AH3976"/>
      <c r="AI3976"/>
      <c r="AJ3976"/>
      <c r="AK3976"/>
      <c r="AL3976"/>
    </row>
    <row r="3977" spans="1:38" ht="15.75" customHeight="1" outlineLevel="3" x14ac:dyDescent="0.2">
      <c r="A3977" s="10">
        <v>25</v>
      </c>
      <c r="B3977" s="10" t="s">
        <v>71</v>
      </c>
      <c r="C3977" s="10" t="s">
        <v>1562</v>
      </c>
      <c r="D3977" s="10" t="s">
        <v>750</v>
      </c>
      <c r="E3977" s="11" t="str">
        <f t="array" ref="E3977">_xlfn.XLOOKUP(D3977,Insumos!B:B,Insumos!C:$C)</f>
        <v>UN</v>
      </c>
      <c r="F3977" s="14">
        <f>0.01*0.3</f>
        <v>3.0000000000000001E-3</v>
      </c>
      <c r="G3977" s="92">
        <f t="array" ref="G3977">IF(B3977="insumo",_xlfn.XLOOKUP($D3977,Insumos!$B$1:$B$996,Insumos!$D$1:$D$996),"")</f>
        <v>11.26</v>
      </c>
      <c r="H3977" s="92">
        <v>3.3779999999999998E-2</v>
      </c>
      <c r="I3977" s="13">
        <v>0</v>
      </c>
      <c r="J3977" s="13">
        <v>0</v>
      </c>
      <c r="K3977" s="13"/>
      <c r="L3977"/>
      <c r="M3977"/>
      <c r="N3977"/>
      <c r="O3977"/>
      <c r="P3977"/>
      <c r="Q3977"/>
      <c r="R3977"/>
      <c r="S3977"/>
      <c r="T3977"/>
      <c r="U3977"/>
      <c r="V3977"/>
      <c r="W3977"/>
      <c r="X3977"/>
      <c r="Y3977"/>
      <c r="Z3977"/>
      <c r="AA3977"/>
      <c r="AB3977"/>
      <c r="AC3977"/>
      <c r="AD3977"/>
      <c r="AE3977"/>
      <c r="AF3977"/>
      <c r="AG3977"/>
      <c r="AH3977"/>
      <c r="AI3977"/>
      <c r="AJ3977"/>
      <c r="AK3977"/>
      <c r="AL3977"/>
    </row>
    <row r="3978" spans="1:38" ht="15.75" customHeight="1" outlineLevel="3" x14ac:dyDescent="0.2">
      <c r="A3978" s="10">
        <v>8</v>
      </c>
      <c r="B3978" s="10" t="s">
        <v>71</v>
      </c>
      <c r="C3978" s="10" t="s">
        <v>1562</v>
      </c>
      <c r="D3978" s="10" t="s">
        <v>751</v>
      </c>
      <c r="E3978" s="11" t="str">
        <f t="array" ref="E3978">_xlfn.XLOOKUP(D3978,Insumos!B:B,Insumos!C:$C)</f>
        <v>L</v>
      </c>
      <c r="F3978" s="14">
        <f>0.2016*0.3</f>
        <v>6.0479999999999999E-2</v>
      </c>
      <c r="G3978" s="92">
        <f t="array" ref="G3978">IF(B3978="insumo",_xlfn.XLOOKUP($D3978,Insumos!$B$1:$B$996,Insumos!$D$1:$D$996),"")</f>
        <v>137.24</v>
      </c>
      <c r="H3978" s="92">
        <v>8.3002751999999997</v>
      </c>
      <c r="I3978" s="13">
        <v>0</v>
      </c>
      <c r="J3978" s="13">
        <v>0</v>
      </c>
      <c r="K3978" s="13"/>
      <c r="L3978"/>
      <c r="M3978"/>
      <c r="N3978"/>
      <c r="O3978"/>
      <c r="P3978"/>
      <c r="Q3978"/>
      <c r="R3978"/>
      <c r="S3978"/>
      <c r="T3978"/>
      <c r="U3978"/>
      <c r="V3978"/>
      <c r="W3978"/>
      <c r="X3978"/>
      <c r="Y3978"/>
      <c r="Z3978"/>
      <c r="AA3978"/>
      <c r="AB3978"/>
      <c r="AC3978"/>
      <c r="AD3978"/>
      <c r="AE3978"/>
      <c r="AF3978"/>
      <c r="AG3978"/>
      <c r="AH3978"/>
      <c r="AI3978"/>
      <c r="AJ3978"/>
      <c r="AK3978"/>
      <c r="AL3978"/>
    </row>
    <row r="3979" spans="1:38" ht="15.75" customHeight="1" outlineLevel="3" x14ac:dyDescent="0.2">
      <c r="A3979" s="10">
        <v>9</v>
      </c>
      <c r="B3979" s="10" t="s">
        <v>71</v>
      </c>
      <c r="C3979" s="10" t="s">
        <v>1562</v>
      </c>
      <c r="D3979" s="10" t="s">
        <v>752</v>
      </c>
      <c r="E3979" s="11" t="str">
        <f t="array" ref="E3979">_xlfn.XLOOKUP(D3979,Insumos!B:B,Insumos!C:$C)</f>
        <v>L</v>
      </c>
      <c r="F3979" s="14">
        <f>0.483*0.3</f>
        <v>0.1449</v>
      </c>
      <c r="G3979" s="92">
        <f t="array" ref="G3979">IF(B3979="insumo",_xlfn.XLOOKUP($D3979,Insumos!$B$1:$B$996,Insumos!$D$1:$D$996),"")</f>
        <v>81.944444444444443</v>
      </c>
      <c r="H3979" s="92">
        <v>11.873749999999999</v>
      </c>
      <c r="I3979" s="13">
        <v>0</v>
      </c>
      <c r="J3979" s="13">
        <v>0</v>
      </c>
      <c r="K3979" s="13"/>
      <c r="L3979"/>
      <c r="M3979"/>
      <c r="N3979"/>
      <c r="O3979"/>
      <c r="P3979"/>
      <c r="Q3979"/>
      <c r="R3979"/>
      <c r="S3979"/>
      <c r="T3979"/>
      <c r="U3979"/>
      <c r="V3979"/>
      <c r="W3979"/>
      <c r="X3979"/>
      <c r="Y3979"/>
      <c r="Z3979"/>
      <c r="AA3979"/>
      <c r="AB3979"/>
      <c r="AC3979"/>
      <c r="AD3979"/>
      <c r="AE3979"/>
      <c r="AF3979"/>
      <c r="AG3979"/>
      <c r="AH3979"/>
      <c r="AI3979"/>
      <c r="AJ3979"/>
      <c r="AK3979"/>
      <c r="AL3979"/>
    </row>
    <row r="3980" spans="1:38" ht="12.75" outlineLevel="2" x14ac:dyDescent="0.2">
      <c r="A3980" s="1071">
        <v>1</v>
      </c>
      <c r="B3980" s="1071" t="s">
        <v>68</v>
      </c>
      <c r="C3980" s="1071" t="s">
        <v>1922</v>
      </c>
      <c r="D3980" s="1071" t="s">
        <v>1922</v>
      </c>
      <c r="E3980" s="1072" t="s">
        <v>70</v>
      </c>
      <c r="F3980" s="1071"/>
      <c r="G3980" s="1073" t="str">
        <f t="array" ref="G3980">IF(B3980="insumo",_xlfn.XLOOKUP($D3980,Insumos!$B$1:$B$996,Insumos!$D$1:$D$996),"")</f>
        <v/>
      </c>
      <c r="H3980" s="1073">
        <v>13.636363636363599</v>
      </c>
      <c r="I3980" s="1074">
        <v>0</v>
      </c>
      <c r="J3980" s="1074">
        <v>0</v>
      </c>
      <c r="K3980" s="1074"/>
      <c r="L3980"/>
      <c r="M3980"/>
      <c r="N3980"/>
      <c r="O3980"/>
      <c r="P3980"/>
      <c r="Q3980"/>
      <c r="R3980"/>
      <c r="S3980"/>
      <c r="T3980"/>
      <c r="U3980"/>
      <c r="V3980"/>
      <c r="W3980"/>
      <c r="X3980"/>
      <c r="Y3980"/>
      <c r="Z3980"/>
      <c r="AA3980"/>
      <c r="AB3980"/>
      <c r="AC3980"/>
      <c r="AD3980"/>
      <c r="AE3980"/>
      <c r="AF3980"/>
      <c r="AG3980"/>
      <c r="AH3980"/>
      <c r="AI3980"/>
      <c r="AJ3980"/>
      <c r="AK3980"/>
      <c r="AL3980"/>
    </row>
    <row r="3981" spans="1:38" ht="12.75" outlineLevel="3" x14ac:dyDescent="0.2">
      <c r="A3981" s="82">
        <v>5</v>
      </c>
      <c r="B3981" s="82" t="s">
        <v>71</v>
      </c>
      <c r="C3981" s="82" t="s">
        <v>1922</v>
      </c>
      <c r="D3981" s="82" t="s">
        <v>769</v>
      </c>
      <c r="E3981" s="11" t="str">
        <f t="array" ref="E3981">_xlfn.XLOOKUP(D3981,Insumos!B:B,Insumos!C:$C)</f>
        <v>KG</v>
      </c>
      <c r="F3981" s="86">
        <v>1.5</v>
      </c>
      <c r="G3981" s="92">
        <f t="array" ref="G3981">IF(B3981="insumo",_xlfn.XLOOKUP($D3981,Insumos!$B$1:$B$996,Insumos!$D$1:$D$996),"")</f>
        <v>9.0909090909090917</v>
      </c>
      <c r="H3981" s="92">
        <v>13.636363636363599</v>
      </c>
      <c r="I3981" s="84">
        <v>0</v>
      </c>
      <c r="J3981" s="84">
        <v>0</v>
      </c>
      <c r="K3981" s="84"/>
      <c r="L3981"/>
      <c r="M3981"/>
      <c r="N3981"/>
      <c r="O3981"/>
      <c r="P3981"/>
      <c r="Q3981"/>
      <c r="R3981"/>
      <c r="S3981"/>
      <c r="T3981"/>
      <c r="U3981"/>
      <c r="V3981"/>
      <c r="W3981"/>
      <c r="X3981"/>
      <c r="Y3981"/>
      <c r="Z3981"/>
      <c r="AA3981"/>
      <c r="AB3981"/>
      <c r="AC3981"/>
      <c r="AD3981"/>
      <c r="AE3981"/>
      <c r="AF3981"/>
      <c r="AG3981"/>
      <c r="AH3981"/>
      <c r="AI3981"/>
      <c r="AJ3981"/>
      <c r="AK3981"/>
      <c r="AL3981"/>
    </row>
    <row r="3982" spans="1:38" ht="12.75" outlineLevel="2" x14ac:dyDescent="0.2">
      <c r="A3982" s="1071">
        <v>1</v>
      </c>
      <c r="B3982" s="1071" t="s">
        <v>68</v>
      </c>
      <c r="C3982" s="1071" t="s">
        <v>1923</v>
      </c>
      <c r="D3982" s="1071" t="s">
        <v>1923</v>
      </c>
      <c r="E3982" s="1072" t="s">
        <v>70</v>
      </c>
      <c r="F3982" s="1071"/>
      <c r="G3982" s="1073" t="str">
        <f t="array" ref="G3982">IF(B3982="insumo",_xlfn.XLOOKUP($D3982,Insumos!$B$1:$B$996,Insumos!$D$1:$D$996),"")</f>
        <v/>
      </c>
      <c r="H3982" s="1073">
        <v>16.186626666666701</v>
      </c>
      <c r="I3982" s="1074">
        <v>0</v>
      </c>
      <c r="J3982" s="1074">
        <v>0</v>
      </c>
      <c r="K3982" s="1074"/>
      <c r="L3982"/>
      <c r="M3982"/>
      <c r="N3982"/>
      <c r="O3982"/>
      <c r="P3982"/>
      <c r="Q3982"/>
      <c r="R3982"/>
      <c r="S3982"/>
      <c r="T3982"/>
      <c r="U3982"/>
      <c r="V3982"/>
      <c r="W3982"/>
      <c r="X3982"/>
      <c r="Y3982"/>
      <c r="Z3982"/>
      <c r="AA3982"/>
      <c r="AB3982"/>
      <c r="AC3982"/>
      <c r="AD3982"/>
      <c r="AE3982"/>
      <c r="AF3982"/>
      <c r="AG3982"/>
      <c r="AH3982"/>
      <c r="AI3982"/>
      <c r="AJ3982"/>
      <c r="AK3982"/>
      <c r="AL3982"/>
    </row>
    <row r="3983" spans="1:38" ht="12.75" outlineLevel="3" x14ac:dyDescent="0.2">
      <c r="A3983" s="82">
        <v>25</v>
      </c>
      <c r="B3983" s="82" t="s">
        <v>71</v>
      </c>
      <c r="C3983" s="82" t="s">
        <v>1923</v>
      </c>
      <c r="D3983" s="82" t="s">
        <v>750</v>
      </c>
      <c r="E3983" s="11" t="str">
        <f t="array" ref="E3983">_xlfn.XLOOKUP(D3983,Insumos!B:B,Insumos!C:$C)</f>
        <v>UN</v>
      </c>
      <c r="F3983" s="86">
        <v>0.01</v>
      </c>
      <c r="G3983" s="92">
        <f t="array" ref="G3983">IF(B3983="insumo",_xlfn.XLOOKUP($D3983,Insumos!$B$1:$B$996,Insumos!$D$1:$D$996),"")</f>
        <v>11.26</v>
      </c>
      <c r="H3983" s="92">
        <v>0.11260000000000001</v>
      </c>
      <c r="I3983" s="84">
        <v>0</v>
      </c>
      <c r="J3983" s="84">
        <v>0</v>
      </c>
      <c r="K3983" s="84"/>
      <c r="L3983"/>
      <c r="M3983"/>
      <c r="N3983"/>
      <c r="O3983"/>
      <c r="P3983"/>
      <c r="Q3983"/>
      <c r="R3983"/>
      <c r="S3983"/>
      <c r="T3983"/>
      <c r="U3983"/>
      <c r="V3983"/>
      <c r="W3983"/>
      <c r="X3983"/>
      <c r="Y3983"/>
      <c r="Z3983"/>
      <c r="AA3983"/>
      <c r="AB3983"/>
      <c r="AC3983"/>
      <c r="AD3983"/>
      <c r="AE3983"/>
      <c r="AF3983"/>
      <c r="AG3983"/>
      <c r="AH3983"/>
      <c r="AI3983"/>
      <c r="AJ3983"/>
      <c r="AK3983"/>
      <c r="AL3983"/>
    </row>
    <row r="3984" spans="1:38" ht="12.75" outlineLevel="3" x14ac:dyDescent="0.2">
      <c r="A3984" s="82">
        <v>6</v>
      </c>
      <c r="B3984" s="82" t="s">
        <v>71</v>
      </c>
      <c r="C3984" s="82" t="s">
        <v>1923</v>
      </c>
      <c r="D3984" s="82" t="s">
        <v>756</v>
      </c>
      <c r="E3984" s="11" t="str">
        <f t="array" ref="E3984">_xlfn.XLOOKUP(D3984,Insumos!B:B,Insumos!C:$C)</f>
        <v>L</v>
      </c>
      <c r="F3984" s="86">
        <v>6.4000000000000001E-2</v>
      </c>
      <c r="G3984" s="92">
        <f t="array" ref="G3984">IF(B3984="insumo",_xlfn.XLOOKUP($D3984,Insumos!$B$1:$B$996,Insumos!$D$1:$D$996),"")</f>
        <v>21.99</v>
      </c>
      <c r="H3984" s="92">
        <v>1.4073599999999999</v>
      </c>
      <c r="I3984" s="84">
        <v>0</v>
      </c>
      <c r="J3984" s="84">
        <v>0</v>
      </c>
      <c r="K3984" s="84"/>
      <c r="L3984"/>
      <c r="M3984"/>
      <c r="N3984"/>
      <c r="O3984"/>
      <c r="P3984"/>
      <c r="Q3984"/>
      <c r="R3984"/>
      <c r="S3984"/>
      <c r="T3984"/>
      <c r="U3984"/>
      <c r="V3984"/>
      <c r="W3984"/>
      <c r="X3984"/>
      <c r="Y3984"/>
      <c r="Z3984"/>
      <c r="AA3984"/>
      <c r="AB3984"/>
      <c r="AC3984"/>
      <c r="AD3984"/>
      <c r="AE3984"/>
      <c r="AF3984"/>
      <c r="AG3984"/>
      <c r="AH3984"/>
      <c r="AI3984"/>
      <c r="AJ3984"/>
      <c r="AK3984"/>
      <c r="AL3984"/>
    </row>
    <row r="3985" spans="1:38" ht="12.75" outlineLevel="3" x14ac:dyDescent="0.2">
      <c r="A3985" s="82">
        <v>4</v>
      </c>
      <c r="B3985" s="82" t="s">
        <v>71</v>
      </c>
      <c r="C3985" s="82" t="s">
        <v>1923</v>
      </c>
      <c r="D3985" s="82" t="s">
        <v>865</v>
      </c>
      <c r="E3985" s="11" t="str">
        <f t="array" ref="E3985">_xlfn.XLOOKUP(D3985,Insumos!B:B,Insumos!C:$C)</f>
        <v>L</v>
      </c>
      <c r="F3985" s="86">
        <f>0.33/2</f>
        <v>0.16500000000000001</v>
      </c>
      <c r="G3985" s="92">
        <f t="array" ref="G3985">IF(B3985="insumo",_xlfn.XLOOKUP($D3985,Insumos!$B$1:$B$996,Insumos!$D$1:$D$996),"")</f>
        <v>69.444444444444443</v>
      </c>
      <c r="H3985" s="92">
        <v>11.4583333333333</v>
      </c>
      <c r="I3985" s="84">
        <v>0</v>
      </c>
      <c r="J3985" s="84">
        <v>0</v>
      </c>
      <c r="K3985" s="84"/>
      <c r="L3985"/>
      <c r="M3985"/>
      <c r="N3985"/>
      <c r="O3985"/>
      <c r="P3985"/>
      <c r="Q3985"/>
      <c r="R3985"/>
      <c r="S3985"/>
      <c r="T3985"/>
      <c r="U3985"/>
      <c r="V3985"/>
      <c r="W3985"/>
      <c r="X3985"/>
      <c r="Y3985"/>
      <c r="Z3985"/>
      <c r="AA3985"/>
      <c r="AB3985"/>
      <c r="AC3985"/>
      <c r="AD3985"/>
      <c r="AE3985"/>
      <c r="AF3985"/>
      <c r="AG3985"/>
      <c r="AH3985"/>
      <c r="AI3985"/>
      <c r="AJ3985"/>
      <c r="AK3985"/>
      <c r="AL3985"/>
    </row>
    <row r="3986" spans="1:38" ht="12.75" outlineLevel="3" x14ac:dyDescent="0.2">
      <c r="A3986" s="82">
        <v>1</v>
      </c>
      <c r="B3986" s="82" t="s">
        <v>71</v>
      </c>
      <c r="C3986" s="82" t="s">
        <v>1923</v>
      </c>
      <c r="D3986" s="82" t="s">
        <v>1900</v>
      </c>
      <c r="E3986" s="11" t="str">
        <f t="array" ref="E3986">_xlfn.XLOOKUP(D3986,Insumos!B:B,Insumos!C:$C)</f>
        <v>L</v>
      </c>
      <c r="F3986" s="86">
        <f>0.33/2</f>
        <v>0.16500000000000001</v>
      </c>
      <c r="G3986" s="92">
        <f t="array" ref="G3986">IF(B3986="insumo",_xlfn.XLOOKUP($D3986,Insumos!$B$1:$B$996,Insumos!$D$1:$D$996),"")</f>
        <v>19.444444444444443</v>
      </c>
      <c r="H3986" s="92">
        <v>3.2083333333333299</v>
      </c>
      <c r="I3986" s="84">
        <v>0</v>
      </c>
      <c r="J3986" s="84">
        <v>0</v>
      </c>
      <c r="K3986" s="84"/>
      <c r="L3986"/>
      <c r="M3986"/>
      <c r="N3986"/>
      <c r="O3986"/>
      <c r="P3986"/>
      <c r="Q3986"/>
      <c r="R3986"/>
      <c r="S3986"/>
      <c r="T3986"/>
      <c r="U3986"/>
      <c r="V3986"/>
      <c r="W3986"/>
      <c r="X3986"/>
      <c r="Y3986"/>
      <c r="Z3986"/>
      <c r="AA3986"/>
      <c r="AB3986"/>
      <c r="AC3986"/>
      <c r="AD3986"/>
      <c r="AE3986"/>
      <c r="AF3986"/>
      <c r="AG3986"/>
      <c r="AH3986"/>
      <c r="AI3986"/>
      <c r="AJ3986"/>
      <c r="AK3986"/>
      <c r="AL3986"/>
    </row>
    <row r="3987" spans="1:38" ht="12.75" outlineLevel="2" x14ac:dyDescent="0.2">
      <c r="A3987" s="1071">
        <v>1</v>
      </c>
      <c r="B3987" s="1071" t="s">
        <v>68</v>
      </c>
      <c r="C3987" s="1071" t="s">
        <v>1924</v>
      </c>
      <c r="D3987" s="1071" t="s">
        <v>1924</v>
      </c>
      <c r="E3987" s="1072" t="s">
        <v>70</v>
      </c>
      <c r="F3987" s="1071"/>
      <c r="G3987" s="1073" t="str">
        <f t="array" ref="G3987">IF(B3987="insumo",_xlfn.XLOOKUP($D3987,Insumos!$B$1:$B$996,Insumos!$D$1:$D$996),"")</f>
        <v/>
      </c>
      <c r="H3987" s="1073">
        <v>0.91500000000000004</v>
      </c>
      <c r="I3987" s="1074">
        <v>0</v>
      </c>
      <c r="J3987" s="1074">
        <v>0</v>
      </c>
      <c r="K3987" s="1074"/>
      <c r="L3987"/>
      <c r="M3987"/>
      <c r="N3987"/>
      <c r="O3987"/>
      <c r="P3987"/>
      <c r="Q3987"/>
      <c r="R3987"/>
      <c r="S3987"/>
      <c r="T3987"/>
      <c r="U3987"/>
      <c r="V3987"/>
      <c r="W3987"/>
      <c r="X3987"/>
      <c r="Y3987"/>
      <c r="Z3987"/>
      <c r="AA3987"/>
      <c r="AB3987"/>
      <c r="AC3987"/>
      <c r="AD3987"/>
      <c r="AE3987"/>
      <c r="AF3987"/>
      <c r="AG3987"/>
      <c r="AH3987"/>
      <c r="AI3987"/>
      <c r="AJ3987"/>
      <c r="AK3987"/>
      <c r="AL3987"/>
    </row>
    <row r="3988" spans="1:38" ht="12.75" outlineLevel="3" x14ac:dyDescent="0.2">
      <c r="A3988" s="82">
        <v>1</v>
      </c>
      <c r="B3988" s="82" t="s">
        <v>71</v>
      </c>
      <c r="C3988" s="82" t="s">
        <v>1924</v>
      </c>
      <c r="D3988" s="82" t="s">
        <v>1913</v>
      </c>
      <c r="E3988" s="11" t="str">
        <f t="array" ref="E3988">_xlfn.XLOOKUP(D3988,Insumos!B:B,Insumos!C:$C)</f>
        <v>KG</v>
      </c>
      <c r="F3988" s="86">
        <v>0.3</v>
      </c>
      <c r="G3988" s="92">
        <f t="array" ref="G3988">IF(B3988="insumo",_xlfn.XLOOKUP($D3988,Insumos!$B$1:$B$996,Insumos!$D$1:$D$996),"")</f>
        <v>0.45</v>
      </c>
      <c r="H3988" s="92">
        <v>0.13500000000000001</v>
      </c>
      <c r="I3988" s="84">
        <v>0</v>
      </c>
      <c r="J3988" s="84">
        <v>0</v>
      </c>
      <c r="K3988" s="84"/>
      <c r="L3988"/>
      <c r="M3988"/>
      <c r="N3988"/>
      <c r="O3988"/>
      <c r="P3988"/>
      <c r="Q3988"/>
      <c r="R3988"/>
      <c r="S3988"/>
      <c r="T3988"/>
      <c r="U3988"/>
      <c r="V3988"/>
      <c r="W3988"/>
      <c r="X3988"/>
      <c r="Y3988"/>
      <c r="Z3988"/>
      <c r="AA3988"/>
      <c r="AB3988"/>
      <c r="AC3988"/>
      <c r="AD3988"/>
      <c r="AE3988"/>
      <c r="AF3988"/>
      <c r="AG3988"/>
      <c r="AH3988"/>
      <c r="AI3988"/>
      <c r="AJ3988"/>
      <c r="AK3988"/>
      <c r="AL3988"/>
    </row>
    <row r="3989" spans="1:38" ht="12.75" outlineLevel="3" x14ac:dyDescent="0.2">
      <c r="A3989" s="82">
        <v>1</v>
      </c>
      <c r="B3989" s="82" t="s">
        <v>71</v>
      </c>
      <c r="C3989" s="82" t="s">
        <v>1924</v>
      </c>
      <c r="D3989" s="82" t="s">
        <v>1915</v>
      </c>
      <c r="E3989" s="11" t="str">
        <f t="array" ref="E3989">_xlfn.XLOOKUP(D3989,Insumos!B:B,Insumos!C:$C)</f>
        <v>KG</v>
      </c>
      <c r="F3989" s="86">
        <v>0.01</v>
      </c>
      <c r="G3989" s="92">
        <f t="array" ref="G3989">IF(B3989="insumo",_xlfn.XLOOKUP($D3989,Insumos!$B$1:$B$996,Insumos!$D$1:$D$996),"")</f>
        <v>18</v>
      </c>
      <c r="H3989" s="92">
        <v>0.18</v>
      </c>
      <c r="I3989" s="84">
        <v>0</v>
      </c>
      <c r="J3989" s="84">
        <v>0</v>
      </c>
      <c r="K3989" s="84"/>
      <c r="L3989"/>
      <c r="M3989"/>
      <c r="N3989"/>
      <c r="O3989"/>
      <c r="P3989"/>
      <c r="Q3989"/>
      <c r="R3989"/>
      <c r="S3989"/>
      <c r="T3989"/>
      <c r="U3989"/>
      <c r="V3989"/>
      <c r="W3989"/>
      <c r="X3989"/>
      <c r="Y3989"/>
      <c r="Z3989"/>
      <c r="AA3989"/>
      <c r="AB3989"/>
      <c r="AC3989"/>
      <c r="AD3989"/>
      <c r="AE3989"/>
      <c r="AF3989"/>
      <c r="AG3989"/>
      <c r="AH3989"/>
      <c r="AI3989"/>
      <c r="AJ3989"/>
      <c r="AK3989"/>
      <c r="AL3989"/>
    </row>
    <row r="3990" spans="1:38" ht="12.75" outlineLevel="3" x14ac:dyDescent="0.2">
      <c r="A3990" s="82">
        <v>1</v>
      </c>
      <c r="B3990" s="82" t="s">
        <v>71</v>
      </c>
      <c r="C3990" s="82" t="s">
        <v>1924</v>
      </c>
      <c r="D3990" s="82" t="s">
        <v>1916</v>
      </c>
      <c r="E3990" s="11" t="str">
        <f t="array" ref="E3990">_xlfn.XLOOKUP(D3990,Insumos!B:B,Insumos!C:$C)</f>
        <v>L</v>
      </c>
      <c r="F3990" s="86">
        <v>0.05</v>
      </c>
      <c r="G3990" s="92">
        <f t="array" ref="G3990">IF(B3990="insumo",_xlfn.XLOOKUP($D3990,Insumos!$B$1:$B$996,Insumos!$D$1:$D$996),"")</f>
        <v>12</v>
      </c>
      <c r="H3990" s="92">
        <v>0.6</v>
      </c>
      <c r="I3990" s="84">
        <v>0</v>
      </c>
      <c r="J3990" s="84">
        <v>0</v>
      </c>
      <c r="K3990" s="84"/>
      <c r="L3990"/>
      <c r="M3990"/>
      <c r="N3990"/>
      <c r="O3990"/>
      <c r="P3990"/>
      <c r="Q3990"/>
      <c r="R3990"/>
      <c r="S3990"/>
      <c r="T3990"/>
      <c r="U3990"/>
      <c r="V3990"/>
      <c r="W3990"/>
      <c r="X3990"/>
      <c r="Y3990"/>
      <c r="Z3990"/>
      <c r="AA3990"/>
      <c r="AB3990"/>
      <c r="AC3990"/>
      <c r="AD3990"/>
      <c r="AE3990"/>
      <c r="AF3990"/>
      <c r="AG3990"/>
      <c r="AH3990"/>
      <c r="AI3990"/>
      <c r="AJ3990"/>
      <c r="AK3990"/>
      <c r="AL3990"/>
    </row>
    <row r="3991" spans="1:38" ht="26.25" customHeight="1" outlineLevel="2" x14ac:dyDescent="0.2">
      <c r="A3991" s="1071">
        <v>1</v>
      </c>
      <c r="B3991" s="1071" t="s">
        <v>68</v>
      </c>
      <c r="C3991" s="1071" t="s">
        <v>1925</v>
      </c>
      <c r="D3991" s="1071" t="s">
        <v>1925</v>
      </c>
      <c r="E3991" s="1072" t="s">
        <v>70</v>
      </c>
      <c r="F3991" s="1071"/>
      <c r="G3991" s="1073" t="str">
        <f t="array" ref="G3991">IF(B3991="insumo",_xlfn.XLOOKUP($D3991,Insumos!$B$1:$B$996,Insumos!$D$1:$D$996),"")</f>
        <v/>
      </c>
      <c r="H3991" s="1073">
        <v>18.235215555555602</v>
      </c>
      <c r="I3991" s="1074">
        <v>0</v>
      </c>
      <c r="J3991" s="1074">
        <v>0</v>
      </c>
      <c r="K3991" s="1074"/>
      <c r="L3991"/>
      <c r="M3991"/>
      <c r="N3991"/>
      <c r="O3991"/>
      <c r="P3991"/>
      <c r="Q3991"/>
      <c r="R3991"/>
      <c r="S3991"/>
      <c r="T3991"/>
      <c r="U3991"/>
      <c r="V3991"/>
      <c r="W3991"/>
      <c r="X3991"/>
      <c r="Y3991"/>
      <c r="Z3991"/>
      <c r="AA3991"/>
      <c r="AB3991"/>
      <c r="AC3991"/>
      <c r="AD3991"/>
      <c r="AE3991"/>
      <c r="AF3991"/>
      <c r="AG3991"/>
      <c r="AH3991"/>
      <c r="AI3991"/>
      <c r="AJ3991"/>
      <c r="AK3991"/>
      <c r="AL3991"/>
    </row>
    <row r="3992" spans="1:38" ht="12.75" outlineLevel="3" x14ac:dyDescent="0.2">
      <c r="A3992" s="82">
        <v>36</v>
      </c>
      <c r="B3992" s="82" t="s">
        <v>71</v>
      </c>
      <c r="C3992" s="82" t="s">
        <v>1925</v>
      </c>
      <c r="D3992" s="82" t="s">
        <v>104</v>
      </c>
      <c r="E3992" s="11" t="str">
        <f t="array" ref="E3992">_xlfn.XLOOKUP(D3992,Insumos!B:B,Insumos!C:$C)</f>
        <v>UN</v>
      </c>
      <c r="F3992" s="86">
        <v>0.1</v>
      </c>
      <c r="G3992" s="92">
        <f t="array" ref="G3992">IF(B3992="insumo",_xlfn.XLOOKUP($D3992,Insumos!$B$1:$B$996,Insumos!$D$1:$D$996),"")</f>
        <v>1.89</v>
      </c>
      <c r="H3992" s="92">
        <v>0.189</v>
      </c>
      <c r="I3992" s="84">
        <v>0</v>
      </c>
      <c r="J3992" s="84">
        <v>0</v>
      </c>
      <c r="K3992" s="84"/>
      <c r="L3992"/>
      <c r="M3992"/>
      <c r="N3992"/>
      <c r="O3992"/>
      <c r="P3992"/>
      <c r="Q3992"/>
      <c r="R3992"/>
      <c r="S3992"/>
      <c r="T3992"/>
      <c r="U3992"/>
      <c r="V3992"/>
      <c r="W3992"/>
      <c r="X3992"/>
      <c r="Y3992"/>
      <c r="Z3992"/>
      <c r="AA3992"/>
      <c r="AB3992"/>
      <c r="AC3992"/>
      <c r="AD3992"/>
      <c r="AE3992"/>
      <c r="AF3992"/>
      <c r="AG3992"/>
      <c r="AH3992"/>
      <c r="AI3992"/>
      <c r="AJ3992"/>
      <c r="AK3992"/>
      <c r="AL3992"/>
    </row>
    <row r="3993" spans="1:38" ht="12.75" outlineLevel="3" x14ac:dyDescent="0.2">
      <c r="A3993" s="82">
        <v>21</v>
      </c>
      <c r="B3993" s="82" t="s">
        <v>71</v>
      </c>
      <c r="C3993" s="82" t="s">
        <v>1925</v>
      </c>
      <c r="D3993" s="82" t="s">
        <v>765</v>
      </c>
      <c r="E3993" s="11" t="str">
        <f t="array" ref="E3993">_xlfn.XLOOKUP(D3993,Insumos!B:B,Insumos!C:$C)</f>
        <v>KG</v>
      </c>
      <c r="F3993" s="86">
        <v>0.86670000000000003</v>
      </c>
      <c r="G3993" s="92">
        <f t="array" ref="G3993">IF(B3993="insumo",_xlfn.XLOOKUP($D3993,Insumos!$B$1:$B$996,Insumos!$D$1:$D$996),"")</f>
        <v>4.8</v>
      </c>
      <c r="H3993" s="92">
        <v>4.1601600000000003</v>
      </c>
      <c r="I3993" s="84">
        <v>0</v>
      </c>
      <c r="J3993" s="84">
        <v>0</v>
      </c>
      <c r="K3993" s="84"/>
      <c r="L3993"/>
      <c r="M3993"/>
      <c r="N3993"/>
      <c r="O3993"/>
      <c r="P3993"/>
      <c r="Q3993"/>
      <c r="R3993"/>
      <c r="S3993"/>
      <c r="T3993"/>
      <c r="U3993"/>
      <c r="V3993"/>
      <c r="W3993"/>
      <c r="X3993"/>
      <c r="Y3993"/>
      <c r="Z3993"/>
      <c r="AA3993"/>
      <c r="AB3993"/>
      <c r="AC3993"/>
      <c r="AD3993"/>
      <c r="AE3993"/>
      <c r="AF3993"/>
      <c r="AG3993"/>
      <c r="AH3993"/>
      <c r="AI3993"/>
      <c r="AJ3993"/>
      <c r="AK3993"/>
      <c r="AL3993"/>
    </row>
    <row r="3994" spans="1:38" ht="12.75" outlineLevel="3" x14ac:dyDescent="0.2">
      <c r="A3994" s="82">
        <v>19</v>
      </c>
      <c r="B3994" s="82" t="s">
        <v>71</v>
      </c>
      <c r="C3994" s="82" t="s">
        <v>1925</v>
      </c>
      <c r="D3994" s="82" t="s">
        <v>766</v>
      </c>
      <c r="E3994" s="11" t="str">
        <f t="array" ref="E3994">_xlfn.XLOOKUP(D3994,Insumos!B:B,Insumos!C:$C)</f>
        <v>L</v>
      </c>
      <c r="F3994" s="86">
        <v>0.1666</v>
      </c>
      <c r="G3994" s="92">
        <f t="array" ref="G3994">IF(B3994="insumo",_xlfn.XLOOKUP($D3994,Insumos!$B$1:$B$996,Insumos!$D$1:$D$996),"")</f>
        <v>10.555555555555555</v>
      </c>
      <c r="H3994" s="92">
        <v>1.7585555555555601</v>
      </c>
      <c r="I3994" s="84">
        <v>0</v>
      </c>
      <c r="J3994" s="84">
        <v>0</v>
      </c>
      <c r="K3994" s="84"/>
      <c r="L3994"/>
      <c r="M3994"/>
      <c r="N3994"/>
      <c r="O3994"/>
      <c r="P3994"/>
      <c r="Q3994"/>
      <c r="R3994"/>
      <c r="S3994"/>
      <c r="T3994"/>
      <c r="U3994"/>
      <c r="V3994"/>
      <c r="W3994"/>
      <c r="X3994"/>
      <c r="Y3994"/>
      <c r="Z3994"/>
      <c r="AA3994"/>
      <c r="AB3994"/>
      <c r="AC3994"/>
      <c r="AD3994"/>
      <c r="AE3994"/>
      <c r="AF3994"/>
      <c r="AG3994"/>
      <c r="AH3994"/>
      <c r="AI3994"/>
      <c r="AJ3994"/>
      <c r="AK3994"/>
      <c r="AL3994"/>
    </row>
    <row r="3995" spans="1:38" ht="12.75" outlineLevel="3" x14ac:dyDescent="0.2">
      <c r="A3995" s="82">
        <v>16</v>
      </c>
      <c r="B3995" s="82" t="s">
        <v>71</v>
      </c>
      <c r="C3995" s="82" t="s">
        <v>1925</v>
      </c>
      <c r="D3995" s="82" t="s">
        <v>763</v>
      </c>
      <c r="E3995" s="11" t="str">
        <f t="array" ref="E3995">_xlfn.XLOOKUP(D3995,Insumos!B:B,Insumos!C:$C)</f>
        <v>L</v>
      </c>
      <c r="F3995" s="86">
        <v>0.495</v>
      </c>
      <c r="G3995" s="92">
        <f t="array" ref="G3995">IF(B3995="insumo",_xlfn.XLOOKUP($D3995,Insumos!$B$1:$B$996,Insumos!$D$1:$D$996),"")</f>
        <v>24.5</v>
      </c>
      <c r="H3995" s="92">
        <v>12.1275</v>
      </c>
      <c r="I3995" s="84">
        <v>0</v>
      </c>
      <c r="J3995" s="84">
        <v>0</v>
      </c>
      <c r="K3995" s="84"/>
      <c r="L3995"/>
      <c r="M3995"/>
      <c r="N3995"/>
      <c r="O3995"/>
      <c r="P3995"/>
      <c r="Q3995"/>
      <c r="R3995"/>
      <c r="S3995"/>
      <c r="T3995"/>
      <c r="U3995"/>
      <c r="V3995"/>
      <c r="W3995"/>
      <c r="X3995"/>
      <c r="Y3995"/>
      <c r="Z3995"/>
      <c r="AA3995"/>
      <c r="AB3995"/>
      <c r="AC3995"/>
      <c r="AD3995"/>
      <c r="AE3995"/>
      <c r="AF3995"/>
      <c r="AG3995"/>
      <c r="AH3995"/>
      <c r="AI3995"/>
      <c r="AJ3995"/>
      <c r="AK3995"/>
      <c r="AL3995"/>
    </row>
    <row r="3996" spans="1:38" ht="12.75" outlineLevel="2" x14ac:dyDescent="0.2">
      <c r="A3996" s="1071">
        <v>1</v>
      </c>
      <c r="B3996" s="1071" t="s">
        <v>68</v>
      </c>
      <c r="C3996" s="1071" t="s">
        <v>1926</v>
      </c>
      <c r="D3996" s="1071" t="s">
        <v>1926</v>
      </c>
      <c r="E3996" s="1072" t="s">
        <v>70</v>
      </c>
      <c r="F3996" s="1071"/>
      <c r="G3996" s="1073" t="str">
        <f t="array" ref="G3996">IF(B3996="insumo",_xlfn.XLOOKUP($D3996,Insumos!$B$1:$B$996,Insumos!$D$1:$D$996),"")</f>
        <v/>
      </c>
      <c r="H3996" s="1073">
        <v>13.671901999999999</v>
      </c>
      <c r="I3996" s="1074">
        <v>0</v>
      </c>
      <c r="J3996" s="1074">
        <v>0</v>
      </c>
      <c r="K3996" s="1074"/>
      <c r="L3996"/>
      <c r="M3996"/>
      <c r="N3996"/>
      <c r="O3996"/>
      <c r="P3996"/>
      <c r="Q3996"/>
      <c r="R3996"/>
      <c r="S3996"/>
      <c r="T3996"/>
      <c r="U3996"/>
      <c r="V3996"/>
      <c r="W3996"/>
      <c r="X3996"/>
      <c r="Y3996"/>
      <c r="Z3996"/>
      <c r="AA3996"/>
      <c r="AB3996"/>
      <c r="AC3996"/>
      <c r="AD3996"/>
      <c r="AE3996"/>
      <c r="AF3996"/>
      <c r="AG3996"/>
      <c r="AH3996"/>
      <c r="AI3996"/>
      <c r="AJ3996"/>
      <c r="AK3996"/>
      <c r="AL3996"/>
    </row>
    <row r="3997" spans="1:38" ht="12.75" outlineLevel="3" x14ac:dyDescent="0.2">
      <c r="A3997" s="82">
        <v>31</v>
      </c>
      <c r="B3997" s="82" t="s">
        <v>71</v>
      </c>
      <c r="C3997" s="82" t="s">
        <v>1926</v>
      </c>
      <c r="D3997" s="82" t="s">
        <v>768</v>
      </c>
      <c r="E3997" s="11" t="str">
        <f t="array" ref="E3997">_xlfn.XLOOKUP(D3997,Insumos!B:B,Insumos!C:$C)</f>
        <v>L</v>
      </c>
      <c r="F3997" s="90">
        <v>0.1666</v>
      </c>
      <c r="G3997" s="92">
        <f t="array" ref="G3997">IF(B3997="insumo",_xlfn.XLOOKUP($D3997,Insumos!$B$1:$B$996,Insumos!$D$1:$D$996),"")</f>
        <v>6.47</v>
      </c>
      <c r="H3997" s="92">
        <v>1.0779019999999999</v>
      </c>
      <c r="I3997" s="84">
        <v>0</v>
      </c>
      <c r="J3997" s="84">
        <v>0</v>
      </c>
      <c r="K3997" s="84"/>
      <c r="L3997"/>
      <c r="M3997"/>
      <c r="N3997"/>
      <c r="O3997"/>
      <c r="P3997"/>
      <c r="Q3997"/>
      <c r="R3997"/>
      <c r="S3997"/>
      <c r="T3997"/>
      <c r="U3997"/>
      <c r="V3997"/>
      <c r="W3997"/>
      <c r="X3997"/>
      <c r="Y3997"/>
      <c r="Z3997"/>
      <c r="AA3997"/>
      <c r="AB3997"/>
      <c r="AC3997"/>
      <c r="AD3997"/>
      <c r="AE3997"/>
      <c r="AF3997"/>
      <c r="AG3997"/>
      <c r="AH3997"/>
      <c r="AI3997"/>
      <c r="AJ3997"/>
      <c r="AK3997"/>
      <c r="AL3997"/>
    </row>
    <row r="3998" spans="1:38" ht="12.75" outlineLevel="3" x14ac:dyDescent="0.2">
      <c r="A3998" s="82">
        <v>5</v>
      </c>
      <c r="B3998" s="82" t="s">
        <v>71</v>
      </c>
      <c r="C3998" s="82" t="s">
        <v>1926</v>
      </c>
      <c r="D3998" s="82" t="s">
        <v>905</v>
      </c>
      <c r="E3998" s="11" t="str">
        <f t="array" ref="E3998">_xlfn.XLOOKUP(D3998,Insumos!B:B,Insumos!C:$C)</f>
        <v>KG</v>
      </c>
      <c r="F3998" s="90">
        <v>1.5</v>
      </c>
      <c r="G3998" s="92">
        <f t="array" ref="G3998">IF(B3998="insumo",_xlfn.XLOOKUP($D3998,Insumos!$B$1:$B$996,Insumos!$D$1:$D$996),"")</f>
        <v>8.3960000000000008</v>
      </c>
      <c r="H3998" s="92">
        <v>12.593999999999999</v>
      </c>
      <c r="I3998" s="84">
        <v>0</v>
      </c>
      <c r="J3998" s="84">
        <v>0</v>
      </c>
      <c r="K3998" s="84"/>
      <c r="L3998"/>
      <c r="M3998"/>
      <c r="N3998"/>
      <c r="O3998"/>
      <c r="P3998"/>
      <c r="Q3998"/>
      <c r="R3998"/>
      <c r="S3998"/>
      <c r="T3998"/>
      <c r="U3998"/>
      <c r="V3998"/>
      <c r="W3998"/>
      <c r="X3998"/>
      <c r="Y3998"/>
      <c r="Z3998"/>
      <c r="AA3998"/>
      <c r="AB3998"/>
      <c r="AC3998"/>
      <c r="AD3998"/>
      <c r="AE3998"/>
      <c r="AF3998"/>
      <c r="AG3998"/>
      <c r="AH3998"/>
      <c r="AI3998"/>
      <c r="AJ3998"/>
      <c r="AK3998"/>
      <c r="AL3998"/>
    </row>
    <row r="3999" spans="1:38" ht="12.75" outlineLevel="2" x14ac:dyDescent="0.2">
      <c r="A3999" s="1071">
        <v>1</v>
      </c>
      <c r="B3999" s="1071" t="s">
        <v>68</v>
      </c>
      <c r="C3999" s="1071" t="s">
        <v>1927</v>
      </c>
      <c r="D3999" s="1071" t="s">
        <v>1927</v>
      </c>
      <c r="E3999" s="1072" t="s">
        <v>70</v>
      </c>
      <c r="F3999" s="1071"/>
      <c r="G3999" s="1073" t="str">
        <f t="array" ref="G3999">IF(B3999="insumo",_xlfn.XLOOKUP($D3999,Insumos!$B$1:$B$996,Insumos!$D$1:$D$996),"")</f>
        <v/>
      </c>
      <c r="H3999" s="1073">
        <v>24.477902</v>
      </c>
      <c r="I3999" s="1074">
        <v>0</v>
      </c>
      <c r="J3999" s="1074">
        <v>0</v>
      </c>
      <c r="K3999" s="1074"/>
      <c r="L3999"/>
      <c r="M3999"/>
      <c r="N3999"/>
      <c r="O3999"/>
      <c r="P3999"/>
      <c r="Q3999"/>
      <c r="R3999"/>
      <c r="S3999"/>
      <c r="T3999"/>
      <c r="U3999"/>
      <c r="V3999"/>
      <c r="W3999"/>
      <c r="X3999"/>
      <c r="Y3999"/>
      <c r="Z3999"/>
      <c r="AA3999"/>
      <c r="AB3999"/>
      <c r="AC3999"/>
      <c r="AD3999"/>
      <c r="AE3999"/>
      <c r="AF3999"/>
      <c r="AG3999"/>
      <c r="AH3999"/>
      <c r="AI3999"/>
      <c r="AJ3999"/>
      <c r="AK3999"/>
      <c r="AL3999"/>
    </row>
    <row r="4000" spans="1:38" ht="12.75" outlineLevel="3" x14ac:dyDescent="0.2">
      <c r="A4000" s="82">
        <v>31</v>
      </c>
      <c r="B4000" s="82" t="s">
        <v>71</v>
      </c>
      <c r="C4000" s="82" t="s">
        <v>1927</v>
      </c>
      <c r="D4000" s="82" t="s">
        <v>768</v>
      </c>
      <c r="E4000" s="11" t="str">
        <f t="array" ref="E4000">_xlfn.XLOOKUP(D4000,Insumos!B:B,Insumos!C:$C)</f>
        <v>L</v>
      </c>
      <c r="F4000" s="90">
        <v>0.1666</v>
      </c>
      <c r="G4000" s="92">
        <f t="array" ref="G4000">IF(B4000="insumo",_xlfn.XLOOKUP($D4000,Insumos!$B$1:$B$996,Insumos!$D$1:$D$996),"")</f>
        <v>6.47</v>
      </c>
      <c r="H4000" s="92">
        <v>1.0779019999999999</v>
      </c>
      <c r="I4000" s="84">
        <v>0</v>
      </c>
      <c r="J4000" s="84">
        <v>0</v>
      </c>
      <c r="K4000" s="84"/>
      <c r="L4000"/>
      <c r="M4000"/>
      <c r="N4000"/>
      <c r="O4000"/>
      <c r="P4000"/>
      <c r="Q4000"/>
      <c r="R4000"/>
      <c r="S4000"/>
      <c r="T4000"/>
      <c r="U4000"/>
      <c r="V4000"/>
      <c r="W4000"/>
      <c r="X4000"/>
      <c r="Y4000"/>
      <c r="Z4000"/>
      <c r="AA4000"/>
      <c r="AB4000"/>
      <c r="AC4000"/>
      <c r="AD4000"/>
      <c r="AE4000"/>
      <c r="AF4000"/>
      <c r="AG4000"/>
      <c r="AH4000"/>
      <c r="AI4000"/>
      <c r="AJ4000"/>
      <c r="AK4000"/>
      <c r="AL4000"/>
    </row>
    <row r="4001" spans="1:38" ht="12.75" outlineLevel="3" x14ac:dyDescent="0.2">
      <c r="A4001" s="82">
        <v>1</v>
      </c>
      <c r="B4001" s="82" t="s">
        <v>71</v>
      </c>
      <c r="C4001" s="82" t="s">
        <v>1927</v>
      </c>
      <c r="D4001" s="82" t="s">
        <v>1914</v>
      </c>
      <c r="E4001" s="11" t="str">
        <f t="array" ref="E4001">_xlfn.XLOOKUP(D4001,Insumos!B:B,Insumos!C:$C)</f>
        <v>KG</v>
      </c>
      <c r="F4001" s="90">
        <v>1.8</v>
      </c>
      <c r="G4001" s="92">
        <f t="array" ref="G4001">IF(B4001="insumo",_xlfn.XLOOKUP($D4001,Insumos!$B$1:$B$996,Insumos!$D$1:$D$996),"")</f>
        <v>13</v>
      </c>
      <c r="H4001" s="92">
        <v>23.4</v>
      </c>
      <c r="I4001" s="84">
        <v>0</v>
      </c>
      <c r="J4001" s="84">
        <v>0</v>
      </c>
      <c r="K4001" s="84"/>
      <c r="L4001"/>
      <c r="M4001"/>
      <c r="N4001"/>
      <c r="O4001"/>
      <c r="P4001"/>
      <c r="Q4001"/>
      <c r="R4001"/>
      <c r="S4001"/>
      <c r="T4001"/>
      <c r="U4001"/>
      <c r="V4001"/>
      <c r="W4001"/>
      <c r="X4001"/>
      <c r="Y4001"/>
      <c r="Z4001"/>
      <c r="AA4001"/>
      <c r="AB4001"/>
      <c r="AC4001"/>
      <c r="AD4001"/>
      <c r="AE4001"/>
      <c r="AF4001"/>
      <c r="AG4001"/>
      <c r="AH4001"/>
      <c r="AI4001"/>
      <c r="AJ4001"/>
      <c r="AK4001"/>
      <c r="AL4001"/>
    </row>
    <row r="4002" spans="1:38" ht="12.75" outlineLevel="2" x14ac:dyDescent="0.2">
      <c r="A4002" s="1071">
        <v>1</v>
      </c>
      <c r="B4002" s="1071" t="s">
        <v>68</v>
      </c>
      <c r="C4002" s="1071" t="s">
        <v>1928</v>
      </c>
      <c r="D4002" s="1071" t="s">
        <v>1928</v>
      </c>
      <c r="E4002" s="1072" t="s">
        <v>70</v>
      </c>
      <c r="F4002" s="1071"/>
      <c r="G4002" s="1073" t="str">
        <f t="array" ref="G4002">IF(B4002="insumo",_xlfn.XLOOKUP($D4002,Insumos!$B$1:$B$996,Insumos!$D$1:$D$996),"")</f>
        <v/>
      </c>
      <c r="H4002" s="1073">
        <v>1.0779019999999999</v>
      </c>
      <c r="I4002" s="1074">
        <v>0</v>
      </c>
      <c r="J4002" s="1074">
        <v>0</v>
      </c>
      <c r="K4002" s="1074"/>
      <c r="L4002"/>
      <c r="M4002"/>
      <c r="N4002"/>
      <c r="O4002"/>
      <c r="P4002"/>
      <c r="Q4002"/>
      <c r="R4002"/>
      <c r="S4002"/>
      <c r="T4002"/>
      <c r="U4002"/>
      <c r="V4002"/>
      <c r="W4002"/>
      <c r="X4002"/>
      <c r="Y4002"/>
      <c r="Z4002"/>
      <c r="AA4002"/>
      <c r="AB4002"/>
      <c r="AC4002"/>
      <c r="AD4002"/>
      <c r="AE4002"/>
      <c r="AF4002"/>
      <c r="AG4002"/>
      <c r="AH4002"/>
      <c r="AI4002"/>
      <c r="AJ4002"/>
      <c r="AK4002"/>
      <c r="AL4002"/>
    </row>
    <row r="4003" spans="1:38" ht="12.75" outlineLevel="3" x14ac:dyDescent="0.2">
      <c r="A4003" s="82">
        <v>31</v>
      </c>
      <c r="B4003" s="82" t="s">
        <v>71</v>
      </c>
      <c r="C4003" s="82" t="s">
        <v>1928</v>
      </c>
      <c r="D4003" s="82" t="s">
        <v>768</v>
      </c>
      <c r="E4003" s="11" t="str">
        <f t="array" ref="E4003">_xlfn.XLOOKUP(D4003,Insumos!B:B,Insumos!C:$C)</f>
        <v>L</v>
      </c>
      <c r="F4003" s="90">
        <v>0.1666</v>
      </c>
      <c r="G4003" s="92">
        <f t="array" ref="G4003">IF(B4003="insumo",_xlfn.XLOOKUP($D4003,Insumos!$B$1:$B$996,Insumos!$D$1:$D$996),"")</f>
        <v>6.47</v>
      </c>
      <c r="H4003" s="92">
        <v>1.0779019999999999</v>
      </c>
      <c r="I4003" s="84">
        <v>0</v>
      </c>
      <c r="J4003" s="84">
        <v>0</v>
      </c>
      <c r="K4003" s="84"/>
      <c r="L4003"/>
      <c r="M4003"/>
      <c r="N4003"/>
      <c r="O4003"/>
      <c r="P4003"/>
      <c r="Q4003"/>
      <c r="R4003"/>
      <c r="S4003"/>
      <c r="T4003"/>
      <c r="U4003"/>
      <c r="V4003"/>
      <c r="W4003"/>
      <c r="X4003"/>
      <c r="Y4003"/>
      <c r="Z4003"/>
      <c r="AA4003"/>
      <c r="AB4003"/>
      <c r="AC4003"/>
      <c r="AD4003"/>
      <c r="AE4003"/>
      <c r="AF4003"/>
      <c r="AG4003"/>
      <c r="AH4003"/>
      <c r="AI4003"/>
      <c r="AJ4003"/>
      <c r="AK4003"/>
      <c r="AL4003"/>
    </row>
    <row r="4004" spans="1:38" ht="12.75" outlineLevel="2" x14ac:dyDescent="0.2">
      <c r="A4004" s="1071">
        <v>1</v>
      </c>
      <c r="B4004" s="1071" t="s">
        <v>68</v>
      </c>
      <c r="C4004" s="1071" t="s">
        <v>1929</v>
      </c>
      <c r="D4004" s="1071" t="s">
        <v>1929</v>
      </c>
      <c r="E4004" s="1072" t="s">
        <v>70</v>
      </c>
      <c r="F4004" s="1071"/>
      <c r="G4004" s="1073" t="str">
        <f t="array" ref="G4004">IF(B4004="insumo",_xlfn.XLOOKUP($D4004,Insumos!$B$1:$B$996,Insumos!$D$1:$D$996),"")</f>
        <v/>
      </c>
      <c r="H4004" s="1073">
        <v>36.759667624999999</v>
      </c>
      <c r="I4004" s="1074">
        <v>0</v>
      </c>
      <c r="J4004" s="1074">
        <v>0</v>
      </c>
      <c r="K4004" s="1074"/>
      <c r="L4004"/>
      <c r="M4004"/>
      <c r="N4004"/>
      <c r="O4004"/>
      <c r="P4004"/>
      <c r="Q4004"/>
      <c r="R4004"/>
      <c r="S4004"/>
      <c r="T4004"/>
      <c r="U4004"/>
      <c r="V4004"/>
      <c r="W4004"/>
      <c r="X4004"/>
      <c r="Y4004"/>
      <c r="Z4004"/>
      <c r="AA4004"/>
      <c r="AB4004"/>
      <c r="AC4004"/>
      <c r="AD4004"/>
      <c r="AE4004"/>
      <c r="AF4004"/>
      <c r="AG4004"/>
      <c r="AH4004"/>
      <c r="AI4004"/>
      <c r="AJ4004"/>
      <c r="AK4004"/>
      <c r="AL4004"/>
    </row>
    <row r="4005" spans="1:38" ht="12.75" outlineLevel="3" x14ac:dyDescent="0.2">
      <c r="A4005" s="82">
        <v>1</v>
      </c>
      <c r="B4005" s="82" t="s">
        <v>71</v>
      </c>
      <c r="C4005" s="82" t="s">
        <v>1929</v>
      </c>
      <c r="D4005" s="82" t="s">
        <v>1212</v>
      </c>
      <c r="E4005" s="11" t="str">
        <f t="array" ref="E4005">_xlfn.XLOOKUP(D4005,Insumos!B:B,Insumos!C:$C)</f>
        <v>L</v>
      </c>
      <c r="F4005" s="90">
        <v>0.495</v>
      </c>
      <c r="G4005" s="92">
        <f t="array" ref="G4005">IF(B4005="insumo",_xlfn.XLOOKUP($D4005,Insumos!$B$1:$B$996,Insumos!$D$1:$D$996),"")</f>
        <v>72.084374999999994</v>
      </c>
      <c r="H4005" s="92">
        <v>35.681765624999997</v>
      </c>
      <c r="I4005" s="84">
        <v>0</v>
      </c>
      <c r="J4005" s="84">
        <v>0</v>
      </c>
      <c r="K4005" s="84"/>
      <c r="L4005"/>
      <c r="M4005"/>
      <c r="N4005"/>
      <c r="O4005"/>
      <c r="P4005"/>
      <c r="Q4005"/>
      <c r="R4005"/>
      <c r="S4005"/>
      <c r="T4005"/>
      <c r="U4005"/>
      <c r="V4005"/>
      <c r="W4005"/>
      <c r="X4005"/>
      <c r="Y4005"/>
      <c r="Z4005"/>
      <c r="AA4005"/>
      <c r="AB4005"/>
      <c r="AC4005"/>
      <c r="AD4005"/>
      <c r="AE4005"/>
      <c r="AF4005"/>
      <c r="AG4005"/>
      <c r="AH4005"/>
      <c r="AI4005"/>
      <c r="AJ4005"/>
      <c r="AK4005"/>
      <c r="AL4005"/>
    </row>
    <row r="4006" spans="1:38" ht="12.75" outlineLevel="3" x14ac:dyDescent="0.2">
      <c r="A4006" s="82">
        <v>31</v>
      </c>
      <c r="B4006" s="82" t="s">
        <v>71</v>
      </c>
      <c r="C4006" s="82" t="s">
        <v>1929</v>
      </c>
      <c r="D4006" s="82" t="s">
        <v>768</v>
      </c>
      <c r="E4006" s="11" t="str">
        <f t="array" ref="E4006">_xlfn.XLOOKUP(D4006,Insumos!B:B,Insumos!C:$C)</f>
        <v>L</v>
      </c>
      <c r="F4006" s="90">
        <v>0.1666</v>
      </c>
      <c r="G4006" s="92">
        <f t="array" ref="G4006">IF(B4006="insumo",_xlfn.XLOOKUP($D4006,Insumos!$B$1:$B$996,Insumos!$D$1:$D$996),"")</f>
        <v>6.47</v>
      </c>
      <c r="H4006" s="92">
        <v>1.0779019999999999</v>
      </c>
      <c r="I4006" s="84">
        <v>0</v>
      </c>
      <c r="J4006" s="84">
        <v>0</v>
      </c>
      <c r="K4006" s="84"/>
      <c r="L4006"/>
      <c r="M4006"/>
      <c r="N4006"/>
      <c r="O4006"/>
      <c r="P4006"/>
      <c r="Q4006"/>
      <c r="R4006"/>
      <c r="S4006"/>
      <c r="T4006"/>
      <c r="U4006"/>
      <c r="V4006"/>
      <c r="W4006"/>
      <c r="X4006"/>
      <c r="Y4006"/>
      <c r="Z4006"/>
      <c r="AA4006"/>
      <c r="AB4006"/>
      <c r="AC4006"/>
      <c r="AD4006"/>
      <c r="AE4006"/>
      <c r="AF4006"/>
      <c r="AG4006"/>
      <c r="AH4006"/>
      <c r="AI4006"/>
      <c r="AJ4006"/>
      <c r="AK4006"/>
      <c r="AL4006"/>
    </row>
    <row r="4007" spans="1:38" ht="12.75" outlineLevel="2" x14ac:dyDescent="0.2">
      <c r="A4007" s="1071">
        <v>1</v>
      </c>
      <c r="B4007" s="1071" t="s">
        <v>68</v>
      </c>
      <c r="C4007" s="1071" t="s">
        <v>1930</v>
      </c>
      <c r="D4007" s="1071" t="s">
        <v>1930</v>
      </c>
      <c r="E4007" s="1072" t="s">
        <v>70</v>
      </c>
      <c r="F4007" s="1071"/>
      <c r="G4007" s="1073" t="str">
        <f t="array" ref="G4007">IF(B4007="insumo",_xlfn.XLOOKUP($D4007,Insumos!$B$1:$B$996,Insumos!$D$1:$D$996),"")</f>
        <v/>
      </c>
      <c r="H4007" s="1073">
        <v>13.865402</v>
      </c>
      <c r="I4007" s="1074">
        <v>0</v>
      </c>
      <c r="J4007" s="1074">
        <v>0</v>
      </c>
      <c r="K4007" s="1074"/>
      <c r="L4007"/>
      <c r="M4007"/>
      <c r="N4007"/>
      <c r="O4007"/>
      <c r="P4007"/>
      <c r="Q4007"/>
      <c r="R4007"/>
      <c r="S4007"/>
      <c r="T4007"/>
      <c r="U4007"/>
      <c r="V4007"/>
      <c r="W4007"/>
      <c r="X4007"/>
      <c r="Y4007"/>
      <c r="Z4007"/>
      <c r="AA4007"/>
      <c r="AB4007"/>
      <c r="AC4007"/>
      <c r="AD4007"/>
      <c r="AE4007"/>
      <c r="AF4007"/>
      <c r="AG4007"/>
      <c r="AH4007"/>
      <c r="AI4007"/>
      <c r="AJ4007"/>
      <c r="AK4007"/>
      <c r="AL4007"/>
    </row>
    <row r="4008" spans="1:38" ht="12.75" outlineLevel="3" x14ac:dyDescent="0.2">
      <c r="A4008" s="82">
        <v>1</v>
      </c>
      <c r="B4008" s="82" t="s">
        <v>71</v>
      </c>
      <c r="C4008" s="82" t="s">
        <v>1930</v>
      </c>
      <c r="D4008" s="82" t="s">
        <v>1213</v>
      </c>
      <c r="E4008" s="11" t="str">
        <f t="array" ref="E4008">_xlfn.XLOOKUP(D4008,Insumos!B:B,Insumos!C:$C)</f>
        <v>L</v>
      </c>
      <c r="F4008" s="90">
        <v>0.495</v>
      </c>
      <c r="G4008" s="92">
        <f t="array" ref="G4008">IF(B4008="insumo",_xlfn.XLOOKUP($D4008,Insumos!$B$1:$B$996,Insumos!$D$1:$D$996),"")</f>
        <v>25.833333333333332</v>
      </c>
      <c r="H4008" s="92">
        <v>12.7875</v>
      </c>
      <c r="I4008" s="84">
        <v>0</v>
      </c>
      <c r="J4008" s="84">
        <v>0</v>
      </c>
      <c r="K4008" s="84"/>
      <c r="L4008"/>
      <c r="M4008"/>
      <c r="N4008"/>
      <c r="O4008"/>
      <c r="P4008"/>
      <c r="Q4008"/>
      <c r="R4008"/>
      <c r="S4008"/>
      <c r="T4008"/>
      <c r="U4008"/>
      <c r="V4008"/>
      <c r="W4008"/>
      <c r="X4008"/>
      <c r="Y4008"/>
      <c r="Z4008"/>
      <c r="AA4008"/>
      <c r="AB4008"/>
      <c r="AC4008"/>
      <c r="AD4008"/>
      <c r="AE4008"/>
      <c r="AF4008"/>
      <c r="AG4008"/>
      <c r="AH4008"/>
      <c r="AI4008"/>
      <c r="AJ4008"/>
      <c r="AK4008"/>
      <c r="AL4008"/>
    </row>
    <row r="4009" spans="1:38" ht="12.75" outlineLevel="3" x14ac:dyDescent="0.2">
      <c r="A4009" s="82">
        <v>31</v>
      </c>
      <c r="B4009" s="82" t="s">
        <v>71</v>
      </c>
      <c r="C4009" s="82" t="s">
        <v>1930</v>
      </c>
      <c r="D4009" s="82" t="s">
        <v>768</v>
      </c>
      <c r="E4009" s="11" t="str">
        <f t="array" ref="E4009">_xlfn.XLOOKUP(D4009,Insumos!B:B,Insumos!C:$C)</f>
        <v>L</v>
      </c>
      <c r="F4009" s="90">
        <v>0.1666</v>
      </c>
      <c r="G4009" s="92">
        <f t="array" ref="G4009">IF(B4009="insumo",_xlfn.XLOOKUP($D4009,Insumos!$B$1:$B$996,Insumos!$D$1:$D$996),"")</f>
        <v>6.47</v>
      </c>
      <c r="H4009" s="92">
        <v>1.0779019999999999</v>
      </c>
      <c r="I4009" s="84">
        <v>0</v>
      </c>
      <c r="J4009" s="84">
        <v>0</v>
      </c>
      <c r="K4009" s="84"/>
      <c r="L4009"/>
      <c r="M4009"/>
      <c r="N4009"/>
      <c r="O4009"/>
      <c r="P4009"/>
      <c r="Q4009"/>
      <c r="R4009"/>
      <c r="S4009"/>
      <c r="T4009"/>
      <c r="U4009"/>
      <c r="V4009"/>
      <c r="W4009"/>
      <c r="X4009"/>
      <c r="Y4009"/>
      <c r="Z4009"/>
      <c r="AA4009"/>
      <c r="AB4009"/>
      <c r="AC4009"/>
      <c r="AD4009"/>
      <c r="AE4009"/>
      <c r="AF4009"/>
      <c r="AG4009"/>
      <c r="AH4009"/>
      <c r="AI4009"/>
      <c r="AJ4009"/>
      <c r="AK4009"/>
      <c r="AL4009"/>
    </row>
    <row r="4010" spans="1:38" ht="12.75" outlineLevel="2" x14ac:dyDescent="0.2">
      <c r="A4010" s="1071">
        <v>1</v>
      </c>
      <c r="B4010" s="1071" t="s">
        <v>68</v>
      </c>
      <c r="C4010" s="1071" t="s">
        <v>1931</v>
      </c>
      <c r="D4010" s="1071" t="s">
        <v>1931</v>
      </c>
      <c r="E4010" s="1072" t="s">
        <v>70</v>
      </c>
      <c r="F4010" s="1071"/>
      <c r="G4010" s="1073" t="str">
        <f t="array" ref="G4010">IF(B4010="insumo",_xlfn.XLOOKUP($D4010,Insumos!$B$1:$B$996,Insumos!$D$1:$D$996),"")</f>
        <v/>
      </c>
      <c r="H4010" s="1073">
        <v>44.767839500000001</v>
      </c>
      <c r="I4010" s="1074">
        <v>0</v>
      </c>
      <c r="J4010" s="1074">
        <v>0</v>
      </c>
      <c r="K4010" s="1074"/>
      <c r="L4010"/>
      <c r="M4010"/>
      <c r="N4010"/>
      <c r="O4010"/>
      <c r="P4010"/>
      <c r="Q4010"/>
      <c r="R4010"/>
      <c r="S4010"/>
      <c r="T4010"/>
      <c r="U4010"/>
      <c r="V4010"/>
      <c r="W4010"/>
      <c r="X4010"/>
      <c r="Y4010"/>
      <c r="Z4010"/>
      <c r="AA4010"/>
      <c r="AB4010"/>
      <c r="AC4010"/>
      <c r="AD4010"/>
      <c r="AE4010"/>
      <c r="AF4010"/>
      <c r="AG4010"/>
      <c r="AH4010"/>
      <c r="AI4010"/>
      <c r="AJ4010"/>
      <c r="AK4010"/>
      <c r="AL4010"/>
    </row>
    <row r="4011" spans="1:38" ht="12.75" outlineLevel="3" x14ac:dyDescent="0.2">
      <c r="A4011" s="82">
        <v>1</v>
      </c>
      <c r="B4011" s="82" t="s">
        <v>71</v>
      </c>
      <c r="C4011" s="82" t="s">
        <v>1931</v>
      </c>
      <c r="D4011" s="82" t="s">
        <v>1214</v>
      </c>
      <c r="E4011" s="11" t="str">
        <f t="array" ref="E4011">_xlfn.XLOOKUP(D4011,Insumos!B:B,Insumos!C:$C)</f>
        <v>L</v>
      </c>
      <c r="F4011" s="90">
        <v>0.495</v>
      </c>
      <c r="G4011" s="92">
        <f t="array" ref="G4011">IF(B4011="insumo",_xlfn.XLOOKUP($D4011,Insumos!$B$1:$B$996,Insumos!$D$1:$D$996),"")</f>
        <v>88.262499999999989</v>
      </c>
      <c r="H4011" s="92">
        <v>43.689937499999999</v>
      </c>
      <c r="I4011" s="84">
        <v>0</v>
      </c>
      <c r="J4011" s="84">
        <v>0</v>
      </c>
      <c r="K4011" s="84"/>
      <c r="L4011"/>
      <c r="M4011"/>
      <c r="N4011"/>
      <c r="O4011"/>
      <c r="P4011"/>
      <c r="Q4011"/>
      <c r="R4011"/>
      <c r="S4011"/>
      <c r="T4011"/>
      <c r="U4011"/>
      <c r="V4011"/>
      <c r="W4011"/>
      <c r="X4011"/>
      <c r="Y4011"/>
      <c r="Z4011"/>
      <c r="AA4011"/>
      <c r="AB4011"/>
      <c r="AC4011"/>
      <c r="AD4011"/>
      <c r="AE4011"/>
      <c r="AF4011"/>
      <c r="AG4011"/>
      <c r="AH4011"/>
      <c r="AI4011"/>
      <c r="AJ4011"/>
      <c r="AK4011"/>
      <c r="AL4011"/>
    </row>
    <row r="4012" spans="1:38" ht="12.75" outlineLevel="3" x14ac:dyDescent="0.2">
      <c r="A4012" s="82">
        <v>31</v>
      </c>
      <c r="B4012" s="82" t="s">
        <v>71</v>
      </c>
      <c r="C4012" s="82" t="s">
        <v>1931</v>
      </c>
      <c r="D4012" s="82" t="s">
        <v>768</v>
      </c>
      <c r="E4012" s="11" t="str">
        <f t="array" ref="E4012">_xlfn.XLOOKUP(D4012,Insumos!B:B,Insumos!C:$C)</f>
        <v>L</v>
      </c>
      <c r="F4012" s="90">
        <v>0.1666</v>
      </c>
      <c r="G4012" s="92">
        <f t="array" ref="G4012">IF(B4012="insumo",_xlfn.XLOOKUP($D4012,Insumos!$B$1:$B$996,Insumos!$D$1:$D$996),"")</f>
        <v>6.47</v>
      </c>
      <c r="H4012" s="92">
        <v>1.0779019999999999</v>
      </c>
      <c r="I4012" s="84">
        <v>0</v>
      </c>
      <c r="J4012" s="84">
        <v>0</v>
      </c>
      <c r="K4012" s="84"/>
      <c r="L4012"/>
      <c r="M4012"/>
      <c r="N4012"/>
      <c r="O4012"/>
      <c r="P4012"/>
      <c r="Q4012"/>
      <c r="R4012"/>
      <c r="S4012"/>
      <c r="T4012"/>
      <c r="U4012"/>
      <c r="V4012"/>
      <c r="W4012"/>
      <c r="X4012"/>
      <c r="Y4012"/>
      <c r="Z4012"/>
      <c r="AA4012"/>
      <c r="AB4012"/>
      <c r="AC4012"/>
      <c r="AD4012"/>
      <c r="AE4012"/>
      <c r="AF4012"/>
      <c r="AG4012"/>
      <c r="AH4012"/>
      <c r="AI4012"/>
      <c r="AJ4012"/>
      <c r="AK4012"/>
      <c r="AL4012"/>
    </row>
    <row r="4013" spans="1:38" ht="12.75" outlineLevel="2" x14ac:dyDescent="0.2">
      <c r="A4013" s="1071">
        <v>1</v>
      </c>
      <c r="B4013" s="1071" t="s">
        <v>68</v>
      </c>
      <c r="C4013" s="1071" t="s">
        <v>1932</v>
      </c>
      <c r="D4013" s="1071" t="s">
        <v>1932</v>
      </c>
      <c r="E4013" s="1072" t="s">
        <v>70</v>
      </c>
      <c r="F4013" s="1071"/>
      <c r="G4013" s="1073" t="str">
        <f t="array" ref="G4013">IF(B4013="insumo",_xlfn.XLOOKUP($D4013,Insumos!$B$1:$B$996,Insumos!$D$1:$D$996),"")</f>
        <v/>
      </c>
      <c r="H4013" s="1073">
        <v>20.025402</v>
      </c>
      <c r="I4013" s="1074">
        <v>0</v>
      </c>
      <c r="J4013" s="1074">
        <v>0</v>
      </c>
      <c r="K4013" s="1074"/>
      <c r="L4013"/>
      <c r="M4013"/>
      <c r="N4013"/>
      <c r="O4013"/>
      <c r="P4013"/>
      <c r="Q4013"/>
      <c r="R4013"/>
      <c r="S4013"/>
      <c r="T4013"/>
      <c r="U4013"/>
      <c r="V4013"/>
      <c r="W4013"/>
      <c r="X4013"/>
      <c r="Y4013"/>
      <c r="Z4013"/>
      <c r="AA4013"/>
      <c r="AB4013"/>
      <c r="AC4013"/>
      <c r="AD4013"/>
      <c r="AE4013"/>
      <c r="AF4013"/>
      <c r="AG4013"/>
      <c r="AH4013"/>
      <c r="AI4013"/>
      <c r="AJ4013"/>
      <c r="AK4013"/>
      <c r="AL4013"/>
    </row>
    <row r="4014" spans="1:38" ht="12.75" outlineLevel="3" x14ac:dyDescent="0.2">
      <c r="A4014" s="82">
        <v>2</v>
      </c>
      <c r="B4014" s="82" t="s">
        <v>71</v>
      </c>
      <c r="C4014" s="82" t="s">
        <v>1932</v>
      </c>
      <c r="D4014" s="82" t="s">
        <v>923</v>
      </c>
      <c r="E4014" s="11" t="str">
        <f t="array" ref="E4014">_xlfn.XLOOKUP(D4014,Insumos!B:B,Insumos!C:$C)</f>
        <v>L</v>
      </c>
      <c r="F4014" s="90">
        <v>0.495</v>
      </c>
      <c r="G4014" s="92">
        <f t="array" ref="G4014">IF(B4014="insumo",_xlfn.XLOOKUP($D4014,Insumos!$B$1:$B$996,Insumos!$D$1:$D$996),"")</f>
        <v>38.277777777777779</v>
      </c>
      <c r="H4014" s="92">
        <v>18.947500000000002</v>
      </c>
      <c r="I4014" s="84">
        <v>0</v>
      </c>
      <c r="J4014" s="84">
        <v>0</v>
      </c>
      <c r="K4014" s="84"/>
      <c r="L4014"/>
      <c r="M4014"/>
      <c r="N4014"/>
      <c r="O4014"/>
      <c r="P4014"/>
      <c r="Q4014"/>
      <c r="R4014"/>
      <c r="S4014"/>
      <c r="T4014"/>
      <c r="U4014"/>
      <c r="V4014"/>
      <c r="W4014"/>
      <c r="X4014"/>
      <c r="Y4014"/>
      <c r="Z4014"/>
      <c r="AA4014"/>
      <c r="AB4014"/>
      <c r="AC4014"/>
      <c r="AD4014"/>
      <c r="AE4014"/>
      <c r="AF4014"/>
      <c r="AG4014"/>
      <c r="AH4014"/>
      <c r="AI4014"/>
      <c r="AJ4014"/>
      <c r="AK4014"/>
      <c r="AL4014"/>
    </row>
    <row r="4015" spans="1:38" ht="12.75" outlineLevel="3" x14ac:dyDescent="0.2">
      <c r="A4015" s="82">
        <v>31</v>
      </c>
      <c r="B4015" s="82" t="s">
        <v>71</v>
      </c>
      <c r="C4015" s="82" t="s">
        <v>1932</v>
      </c>
      <c r="D4015" s="82" t="s">
        <v>768</v>
      </c>
      <c r="E4015" s="11" t="str">
        <f t="array" ref="E4015">_xlfn.XLOOKUP(D4015,Insumos!B:B,Insumos!C:$C)</f>
        <v>L</v>
      </c>
      <c r="F4015" s="90">
        <v>0.1666</v>
      </c>
      <c r="G4015" s="92">
        <f t="array" ref="G4015">IF(B4015="insumo",_xlfn.XLOOKUP($D4015,Insumos!$B$1:$B$996,Insumos!$D$1:$D$996),"")</f>
        <v>6.47</v>
      </c>
      <c r="H4015" s="92">
        <v>1.0779019999999999</v>
      </c>
      <c r="I4015" s="84">
        <v>0</v>
      </c>
      <c r="J4015" s="84">
        <v>0</v>
      </c>
      <c r="K4015" s="84"/>
      <c r="L4015"/>
      <c r="M4015"/>
      <c r="N4015"/>
      <c r="O4015"/>
      <c r="P4015"/>
      <c r="Q4015"/>
      <c r="R4015"/>
      <c r="S4015"/>
      <c r="T4015"/>
      <c r="U4015"/>
      <c r="V4015"/>
      <c r="W4015"/>
      <c r="X4015"/>
      <c r="Y4015"/>
      <c r="Z4015"/>
      <c r="AA4015"/>
      <c r="AB4015"/>
      <c r="AC4015"/>
      <c r="AD4015"/>
      <c r="AE4015"/>
      <c r="AF4015"/>
      <c r="AG4015"/>
      <c r="AH4015"/>
      <c r="AI4015"/>
      <c r="AJ4015"/>
      <c r="AK4015"/>
      <c r="AL4015"/>
    </row>
    <row r="4016" spans="1:38" ht="12.75" outlineLevel="2" x14ac:dyDescent="0.2">
      <c r="A4016" s="1071">
        <v>1</v>
      </c>
      <c r="B4016" s="1071" t="s">
        <v>68</v>
      </c>
      <c r="C4016" s="1071" t="s">
        <v>1933</v>
      </c>
      <c r="D4016" s="1071" t="s">
        <v>1933</v>
      </c>
      <c r="E4016" s="1072" t="s">
        <v>70</v>
      </c>
      <c r="F4016" s="1071"/>
      <c r="G4016" s="1073" t="str">
        <f t="array" ref="G4016">IF(B4016="insumo",_xlfn.XLOOKUP($D4016,Insumos!$B$1:$B$996,Insumos!$D$1:$D$996),"")</f>
        <v/>
      </c>
      <c r="H4016" s="1073">
        <v>30.232783250000001</v>
      </c>
      <c r="I4016" s="1074">
        <v>0</v>
      </c>
      <c r="J4016" s="1074">
        <v>0</v>
      </c>
      <c r="K4016" s="1074"/>
      <c r="L4016"/>
      <c r="M4016"/>
      <c r="N4016"/>
      <c r="O4016"/>
      <c r="P4016"/>
      <c r="Q4016"/>
      <c r="R4016"/>
      <c r="S4016"/>
      <c r="T4016"/>
      <c r="U4016"/>
      <c r="V4016"/>
      <c r="W4016"/>
      <c r="X4016"/>
      <c r="Y4016"/>
      <c r="Z4016"/>
      <c r="AA4016"/>
      <c r="AB4016"/>
      <c r="AC4016"/>
      <c r="AD4016"/>
      <c r="AE4016"/>
      <c r="AF4016"/>
      <c r="AG4016"/>
      <c r="AH4016"/>
      <c r="AI4016"/>
      <c r="AJ4016"/>
      <c r="AK4016"/>
      <c r="AL4016"/>
    </row>
    <row r="4017" spans="1:38" ht="12.75" outlineLevel="3" x14ac:dyDescent="0.2">
      <c r="A4017" s="82">
        <v>1</v>
      </c>
      <c r="B4017" s="82" t="s">
        <v>71</v>
      </c>
      <c r="C4017" s="82" t="s">
        <v>1933</v>
      </c>
      <c r="D4017" s="82" t="s">
        <v>1210</v>
      </c>
      <c r="E4017" s="11" t="str">
        <f t="array" ref="E4017">_xlfn.XLOOKUP(D4017,Insumos!B:B,Insumos!C:$C)</f>
        <v>L</v>
      </c>
      <c r="F4017" s="90">
        <v>0.495</v>
      </c>
      <c r="G4017" s="92">
        <f t="array" ref="G4017">IF(B4017="insumo",_xlfn.XLOOKUP($D4017,Insumos!$B$1:$B$996,Insumos!$D$1:$D$996),"")</f>
        <v>58.89875</v>
      </c>
      <c r="H4017" s="92">
        <v>29.154881249999999</v>
      </c>
      <c r="I4017" s="84">
        <v>0</v>
      </c>
      <c r="J4017" s="84">
        <v>0</v>
      </c>
      <c r="K4017" s="84"/>
      <c r="L4017"/>
      <c r="M4017"/>
      <c r="N4017"/>
      <c r="O4017"/>
      <c r="P4017"/>
      <c r="Q4017"/>
      <c r="R4017"/>
      <c r="S4017"/>
      <c r="T4017"/>
      <c r="U4017"/>
      <c r="V4017"/>
      <c r="W4017"/>
      <c r="X4017"/>
      <c r="Y4017"/>
      <c r="Z4017"/>
      <c r="AA4017"/>
      <c r="AB4017"/>
      <c r="AC4017"/>
      <c r="AD4017"/>
      <c r="AE4017"/>
      <c r="AF4017"/>
      <c r="AG4017"/>
      <c r="AH4017"/>
      <c r="AI4017"/>
      <c r="AJ4017"/>
      <c r="AK4017"/>
      <c r="AL4017"/>
    </row>
    <row r="4018" spans="1:38" ht="12.75" outlineLevel="3" x14ac:dyDescent="0.2">
      <c r="A4018" s="82">
        <v>31</v>
      </c>
      <c r="B4018" s="82" t="s">
        <v>71</v>
      </c>
      <c r="C4018" s="82" t="s">
        <v>1933</v>
      </c>
      <c r="D4018" s="82" t="s">
        <v>768</v>
      </c>
      <c r="E4018" s="11" t="str">
        <f t="array" ref="E4018">_xlfn.XLOOKUP(D4018,Insumos!B:B,Insumos!C:$C)</f>
        <v>L</v>
      </c>
      <c r="F4018" s="90">
        <v>0.1666</v>
      </c>
      <c r="G4018" s="92">
        <f t="array" ref="G4018">IF(B4018="insumo",_xlfn.XLOOKUP($D4018,Insumos!$B$1:$B$996,Insumos!$D$1:$D$996),"")</f>
        <v>6.47</v>
      </c>
      <c r="H4018" s="92">
        <v>1.0779019999999999</v>
      </c>
      <c r="I4018" s="84">
        <v>0</v>
      </c>
      <c r="J4018" s="84">
        <v>0</v>
      </c>
      <c r="K4018" s="84"/>
      <c r="L4018"/>
      <c r="M4018"/>
      <c r="N4018"/>
      <c r="O4018"/>
      <c r="P4018"/>
      <c r="Q4018"/>
      <c r="R4018"/>
      <c r="S4018"/>
      <c r="T4018"/>
      <c r="U4018"/>
      <c r="V4018"/>
      <c r="W4018"/>
      <c r="X4018"/>
      <c r="Y4018"/>
      <c r="Z4018"/>
      <c r="AA4018"/>
      <c r="AB4018"/>
      <c r="AC4018"/>
      <c r="AD4018"/>
      <c r="AE4018"/>
      <c r="AF4018"/>
      <c r="AG4018"/>
      <c r="AH4018"/>
      <c r="AI4018"/>
      <c r="AJ4018"/>
      <c r="AK4018"/>
      <c r="AL4018"/>
    </row>
    <row r="4019" spans="1:38" ht="12.75" outlineLevel="2" x14ac:dyDescent="0.2">
      <c r="A4019" s="1071">
        <v>1</v>
      </c>
      <c r="B4019" s="1071" t="s">
        <v>68</v>
      </c>
      <c r="C4019" s="1071" t="s">
        <v>1934</v>
      </c>
      <c r="D4019" s="1071" t="s">
        <v>1934</v>
      </c>
      <c r="E4019" s="1072" t="s">
        <v>70</v>
      </c>
      <c r="F4019" s="1071"/>
      <c r="G4019" s="1073" t="str">
        <f t="array" ref="G4019">IF(B4019="insumo",_xlfn.XLOOKUP($D4019,Insumos!$B$1:$B$996,Insumos!$D$1:$D$996),"")</f>
        <v/>
      </c>
      <c r="H4019" s="1073">
        <v>18.093527000000002</v>
      </c>
      <c r="I4019" s="1074">
        <v>0</v>
      </c>
      <c r="J4019" s="1074">
        <v>0</v>
      </c>
      <c r="K4019" s="1074"/>
      <c r="L4019"/>
      <c r="M4019"/>
      <c r="N4019"/>
      <c r="O4019"/>
      <c r="P4019"/>
      <c r="Q4019"/>
      <c r="R4019"/>
      <c r="S4019"/>
      <c r="T4019"/>
      <c r="U4019"/>
      <c r="V4019"/>
      <c r="W4019"/>
      <c r="X4019"/>
      <c r="Y4019"/>
      <c r="Z4019"/>
      <c r="AA4019"/>
      <c r="AB4019"/>
      <c r="AC4019"/>
      <c r="AD4019"/>
      <c r="AE4019"/>
      <c r="AF4019"/>
      <c r="AG4019"/>
      <c r="AH4019"/>
      <c r="AI4019"/>
      <c r="AJ4019"/>
      <c r="AK4019"/>
      <c r="AL4019"/>
    </row>
    <row r="4020" spans="1:38" ht="12.75" outlineLevel="3" x14ac:dyDescent="0.2">
      <c r="A4020" s="82">
        <v>1</v>
      </c>
      <c r="B4020" s="82" t="s">
        <v>71</v>
      </c>
      <c r="C4020" s="82" t="s">
        <v>1934</v>
      </c>
      <c r="D4020" s="82" t="s">
        <v>1901</v>
      </c>
      <c r="E4020" s="11" t="str">
        <f t="array" ref="E4020">_xlfn.XLOOKUP(D4020,Insumos!B:B,Insumos!C:$C)</f>
        <v>L</v>
      </c>
      <c r="F4020" s="90">
        <v>0.495</v>
      </c>
      <c r="G4020" s="92">
        <f t="array" ref="G4020">IF(B4020="insumo",_xlfn.XLOOKUP($D4020,Insumos!$B$1:$B$996,Insumos!$D$1:$D$996),"")</f>
        <v>34.375</v>
      </c>
      <c r="H4020" s="92">
        <v>17.015625</v>
      </c>
      <c r="I4020" s="84">
        <v>0</v>
      </c>
      <c r="J4020" s="84">
        <v>0</v>
      </c>
      <c r="K4020" s="84"/>
      <c r="L4020"/>
      <c r="M4020"/>
      <c r="N4020"/>
      <c r="O4020"/>
      <c r="P4020"/>
      <c r="Q4020"/>
      <c r="R4020"/>
      <c r="S4020"/>
      <c r="T4020"/>
      <c r="U4020"/>
      <c r="V4020"/>
      <c r="W4020"/>
      <c r="X4020"/>
      <c r="Y4020"/>
      <c r="Z4020"/>
      <c r="AA4020"/>
      <c r="AB4020"/>
      <c r="AC4020"/>
      <c r="AD4020"/>
      <c r="AE4020"/>
      <c r="AF4020"/>
      <c r="AG4020"/>
      <c r="AH4020"/>
      <c r="AI4020"/>
      <c r="AJ4020"/>
      <c r="AK4020"/>
      <c r="AL4020"/>
    </row>
    <row r="4021" spans="1:38" ht="12.75" outlineLevel="3" x14ac:dyDescent="0.2">
      <c r="A4021" s="82">
        <v>31</v>
      </c>
      <c r="B4021" s="82" t="s">
        <v>71</v>
      </c>
      <c r="C4021" s="82" t="s">
        <v>1934</v>
      </c>
      <c r="D4021" s="82" t="s">
        <v>768</v>
      </c>
      <c r="E4021" s="11" t="str">
        <f t="array" ref="E4021">_xlfn.XLOOKUP(D4021,Insumos!B:B,Insumos!C:$C)</f>
        <v>L</v>
      </c>
      <c r="F4021" s="90">
        <v>0.1666</v>
      </c>
      <c r="G4021" s="92">
        <f t="array" ref="G4021">IF(B4021="insumo",_xlfn.XLOOKUP($D4021,Insumos!$B$1:$B$996,Insumos!$D$1:$D$996),"")</f>
        <v>6.47</v>
      </c>
      <c r="H4021" s="92">
        <v>1.0779019999999999</v>
      </c>
      <c r="I4021" s="84">
        <v>0</v>
      </c>
      <c r="J4021" s="84">
        <v>0</v>
      </c>
      <c r="K4021" s="84"/>
      <c r="L4021"/>
      <c r="M4021"/>
      <c r="N4021"/>
      <c r="O4021"/>
      <c r="P4021"/>
      <c r="Q4021"/>
      <c r="R4021"/>
      <c r="S4021"/>
      <c r="T4021"/>
      <c r="U4021"/>
      <c r="V4021"/>
      <c r="W4021"/>
      <c r="X4021"/>
      <c r="Y4021"/>
      <c r="Z4021"/>
      <c r="AA4021"/>
      <c r="AB4021"/>
      <c r="AC4021"/>
      <c r="AD4021"/>
      <c r="AE4021"/>
      <c r="AF4021"/>
      <c r="AG4021"/>
      <c r="AH4021"/>
      <c r="AI4021"/>
      <c r="AJ4021"/>
      <c r="AK4021"/>
      <c r="AL4021"/>
    </row>
    <row r="4022" spans="1:38" ht="15.75" customHeight="1" outlineLevel="1" x14ac:dyDescent="0.2">
      <c r="A4022" s="1090">
        <v>1</v>
      </c>
      <c r="B4022" s="1090" t="s">
        <v>1228</v>
      </c>
      <c r="C4022" s="1090" t="s">
        <v>1934</v>
      </c>
      <c r="D4022" s="1090" t="s">
        <v>1265</v>
      </c>
      <c r="E4022" s="1091"/>
      <c r="F4022" s="1092"/>
      <c r="G4022" s="1091"/>
      <c r="H4022" s="1091">
        <v>0</v>
      </c>
      <c r="I4022" s="1092">
        <v>0</v>
      </c>
      <c r="J4022" s="1092">
        <v>0</v>
      </c>
      <c r="K4022" s="1092"/>
      <c r="L4022"/>
      <c r="M4022"/>
      <c r="N4022"/>
      <c r="O4022"/>
      <c r="P4022"/>
      <c r="Q4022"/>
      <c r="R4022"/>
      <c r="S4022"/>
      <c r="T4022"/>
      <c r="U4022"/>
      <c r="V4022"/>
      <c r="W4022"/>
      <c r="X4022"/>
      <c r="Y4022"/>
      <c r="Z4022"/>
      <c r="AA4022"/>
      <c r="AB4022"/>
      <c r="AC4022"/>
      <c r="AD4022"/>
      <c r="AE4022"/>
      <c r="AF4022"/>
      <c r="AG4022"/>
      <c r="AH4022"/>
      <c r="AI4022"/>
      <c r="AJ4022"/>
      <c r="AK4022"/>
      <c r="AL4022"/>
    </row>
    <row r="4023" spans="1:38" ht="15.75" customHeight="1" outlineLevel="2" x14ac:dyDescent="0.2">
      <c r="A4023" s="1067">
        <v>1</v>
      </c>
      <c r="B4023" s="1067" t="s">
        <v>68</v>
      </c>
      <c r="C4023" s="1067" t="s">
        <v>771</v>
      </c>
      <c r="D4023" s="1067" t="s">
        <v>771</v>
      </c>
      <c r="E4023" s="1068" t="s">
        <v>70</v>
      </c>
      <c r="F4023" s="1067"/>
      <c r="G4023" s="1069" t="str">
        <f t="array" ref="G4023">IF(B4023="insumo",_xlfn.XLOOKUP($D4023,Insumos!$B$1:$B$996,Insumos!$D$1:$D$996),"")</f>
        <v/>
      </c>
      <c r="H4023" s="1069">
        <v>13.636363636363599</v>
      </c>
      <c r="I4023" s="1070" t="e">
        <v>#REF!</v>
      </c>
      <c r="J4023" s="1070" t="e">
        <v>#REF!</v>
      </c>
      <c r="K4023" s="1070"/>
      <c r="L4023"/>
      <c r="M4023"/>
      <c r="N4023"/>
      <c r="O4023"/>
      <c r="P4023"/>
      <c r="Q4023"/>
      <c r="R4023"/>
      <c r="S4023"/>
      <c r="T4023"/>
      <c r="U4023"/>
      <c r="V4023"/>
      <c r="W4023"/>
      <c r="X4023"/>
      <c r="Y4023"/>
      <c r="Z4023"/>
      <c r="AA4023"/>
      <c r="AB4023"/>
      <c r="AC4023"/>
      <c r="AD4023"/>
      <c r="AE4023"/>
      <c r="AF4023"/>
      <c r="AG4023"/>
      <c r="AH4023"/>
      <c r="AI4023"/>
      <c r="AJ4023"/>
      <c r="AK4023"/>
      <c r="AL4023"/>
    </row>
    <row r="4024" spans="1:38" ht="15.75" customHeight="1" outlineLevel="3" x14ac:dyDescent="0.2">
      <c r="A4024" s="10">
        <v>5</v>
      </c>
      <c r="B4024" s="10" t="s">
        <v>71</v>
      </c>
      <c r="C4024" s="10" t="s">
        <v>771</v>
      </c>
      <c r="D4024" s="10" t="s">
        <v>769</v>
      </c>
      <c r="E4024" s="11" t="str">
        <f t="array" ref="E4024">_xlfn.XLOOKUP(D4024,Insumos!B:B,Insumos!C:$C)</f>
        <v>KG</v>
      </c>
      <c r="F4024" s="14">
        <v>1.5</v>
      </c>
      <c r="G4024" s="92">
        <f t="array" ref="G4024">IF(B4024="insumo",_xlfn.XLOOKUP($D4024,Insumos!$B$1:$B$996,Insumos!$D$1:$D$996),"")</f>
        <v>9.0909090909090917</v>
      </c>
      <c r="H4024" s="92">
        <v>13.636363636363599</v>
      </c>
      <c r="I4024" s="13" t="e">
        <v>#REF!</v>
      </c>
      <c r="J4024" s="13" t="e">
        <v>#REF!</v>
      </c>
      <c r="K4024" s="13"/>
      <c r="L4024"/>
      <c r="M4024"/>
      <c r="N4024"/>
      <c r="O4024"/>
      <c r="P4024"/>
      <c r="Q4024"/>
      <c r="R4024"/>
      <c r="S4024"/>
      <c r="T4024"/>
      <c r="U4024"/>
      <c r="V4024"/>
      <c r="W4024"/>
      <c r="X4024"/>
      <c r="Y4024"/>
      <c r="Z4024"/>
      <c r="AA4024"/>
      <c r="AB4024"/>
      <c r="AC4024"/>
      <c r="AD4024"/>
      <c r="AE4024"/>
      <c r="AF4024"/>
      <c r="AG4024"/>
      <c r="AH4024"/>
      <c r="AI4024"/>
      <c r="AJ4024"/>
      <c r="AK4024"/>
      <c r="AL4024"/>
    </row>
    <row r="4025" spans="1:38" ht="15.75" customHeight="1" outlineLevel="2" x14ac:dyDescent="0.2">
      <c r="A4025" s="1067">
        <v>1</v>
      </c>
      <c r="B4025" s="1067" t="s">
        <v>68</v>
      </c>
      <c r="C4025" s="1067" t="s">
        <v>772</v>
      </c>
      <c r="D4025" s="1067" t="s">
        <v>772</v>
      </c>
      <c r="E4025" s="1068" t="s">
        <v>70</v>
      </c>
      <c r="F4025" s="1067"/>
      <c r="G4025" s="1069" t="str">
        <f t="array" ref="G4025">IF(B4025="insumo",_xlfn.XLOOKUP($D4025,Insumos!$B$1:$B$996,Insumos!$D$1:$D$996),"")</f>
        <v/>
      </c>
      <c r="H4025" s="1069">
        <v>14.075055555555601</v>
      </c>
      <c r="I4025" s="1070">
        <v>0</v>
      </c>
      <c r="J4025" s="1070">
        <v>0</v>
      </c>
      <c r="K4025" s="1070"/>
      <c r="L4025"/>
      <c r="M4025"/>
      <c r="N4025"/>
      <c r="O4025"/>
      <c r="P4025"/>
      <c r="Q4025"/>
      <c r="R4025"/>
      <c r="S4025"/>
      <c r="T4025"/>
      <c r="U4025"/>
      <c r="V4025"/>
      <c r="W4025"/>
      <c r="X4025"/>
      <c r="Y4025"/>
      <c r="Z4025"/>
      <c r="AA4025"/>
      <c r="AB4025"/>
      <c r="AC4025"/>
      <c r="AD4025"/>
      <c r="AE4025"/>
      <c r="AF4025"/>
      <c r="AG4025"/>
      <c r="AH4025"/>
      <c r="AI4025"/>
      <c r="AJ4025"/>
      <c r="AK4025"/>
      <c r="AL4025"/>
    </row>
    <row r="4026" spans="1:38" ht="15.75" customHeight="1" outlineLevel="3" x14ac:dyDescent="0.2">
      <c r="A4026" s="10">
        <v>36</v>
      </c>
      <c r="B4026" s="10" t="s">
        <v>71</v>
      </c>
      <c r="C4026" s="10" t="s">
        <v>772</v>
      </c>
      <c r="D4026" s="10" t="s">
        <v>104</v>
      </c>
      <c r="E4026" s="11" t="str">
        <f t="array" ref="E4026">_xlfn.XLOOKUP(D4026,Insumos!B:B,Insumos!C:$C)</f>
        <v>UN</v>
      </c>
      <c r="F4026" s="14">
        <v>0.1</v>
      </c>
      <c r="G4026" s="92">
        <f t="array" ref="G4026">IF(B4026="insumo",_xlfn.XLOOKUP($D4026,Insumos!$B$1:$B$996,Insumos!$D$1:$D$996),"")</f>
        <v>1.89</v>
      </c>
      <c r="H4026" s="92">
        <v>0.189</v>
      </c>
      <c r="I4026" s="13">
        <v>0</v>
      </c>
      <c r="J4026" s="13">
        <v>0</v>
      </c>
      <c r="K4026" s="13"/>
      <c r="L4026"/>
      <c r="M4026"/>
      <c r="N4026"/>
      <c r="O4026"/>
      <c r="P4026"/>
      <c r="Q4026"/>
      <c r="R4026"/>
      <c r="S4026"/>
      <c r="T4026"/>
      <c r="U4026"/>
      <c r="V4026"/>
      <c r="W4026"/>
      <c r="X4026"/>
      <c r="Y4026"/>
      <c r="Z4026"/>
      <c r="AA4026"/>
      <c r="AB4026"/>
      <c r="AC4026"/>
      <c r="AD4026"/>
      <c r="AE4026"/>
      <c r="AF4026"/>
      <c r="AG4026"/>
      <c r="AH4026"/>
      <c r="AI4026"/>
      <c r="AJ4026"/>
      <c r="AK4026"/>
      <c r="AL4026"/>
    </row>
    <row r="4027" spans="1:38" ht="15.75" customHeight="1" outlineLevel="3" x14ac:dyDescent="0.2">
      <c r="A4027" s="10">
        <v>19</v>
      </c>
      <c r="B4027" s="10" t="s">
        <v>71</v>
      </c>
      <c r="C4027" s="10" t="s">
        <v>772</v>
      </c>
      <c r="D4027" s="10" t="s">
        <v>766</v>
      </c>
      <c r="E4027" s="11" t="str">
        <f t="array" ref="E4027">_xlfn.XLOOKUP(D4027,Insumos!B:B,Insumos!C:$C)</f>
        <v>L</v>
      </c>
      <c r="F4027" s="14">
        <v>0.1666</v>
      </c>
      <c r="G4027" s="92">
        <f t="array" ref="G4027">IF(B4027="insumo",_xlfn.XLOOKUP($D4027,Insumos!$B$1:$B$996,Insumos!$D$1:$D$996),"")</f>
        <v>10.555555555555555</v>
      </c>
      <c r="H4027" s="92">
        <v>1.7585555555555601</v>
      </c>
      <c r="I4027" s="13">
        <v>0</v>
      </c>
      <c r="J4027" s="13">
        <v>0</v>
      </c>
      <c r="K4027" s="13"/>
      <c r="L4027"/>
      <c r="M4027"/>
      <c r="N4027"/>
      <c r="O4027"/>
      <c r="P4027"/>
      <c r="Q4027"/>
      <c r="R4027"/>
      <c r="S4027"/>
      <c r="T4027"/>
      <c r="U4027"/>
      <c r="V4027"/>
      <c r="W4027"/>
      <c r="X4027"/>
      <c r="Y4027"/>
      <c r="Z4027"/>
      <c r="AA4027"/>
      <c r="AB4027"/>
      <c r="AC4027"/>
      <c r="AD4027"/>
      <c r="AE4027"/>
      <c r="AF4027"/>
      <c r="AG4027"/>
      <c r="AH4027"/>
      <c r="AI4027"/>
      <c r="AJ4027"/>
      <c r="AK4027"/>
      <c r="AL4027"/>
    </row>
    <row r="4028" spans="1:38" ht="15.75" customHeight="1" outlineLevel="3" x14ac:dyDescent="0.2">
      <c r="A4028" s="10">
        <v>16</v>
      </c>
      <c r="B4028" s="10" t="s">
        <v>71</v>
      </c>
      <c r="C4028" s="10" t="s">
        <v>772</v>
      </c>
      <c r="D4028" s="10" t="s">
        <v>763</v>
      </c>
      <c r="E4028" s="11" t="str">
        <f t="array" ref="E4028">_xlfn.XLOOKUP(D4028,Insumos!B:B,Insumos!C:$C)</f>
        <v>L</v>
      </c>
      <c r="F4028" s="14">
        <v>0.495</v>
      </c>
      <c r="G4028" s="92">
        <f t="array" ref="G4028">IF(B4028="insumo",_xlfn.XLOOKUP($D4028,Insumos!$B$1:$B$996,Insumos!$D$1:$D$996),"")</f>
        <v>24.5</v>
      </c>
      <c r="H4028" s="92">
        <v>12.1275</v>
      </c>
      <c r="I4028" s="13">
        <v>0</v>
      </c>
      <c r="J4028" s="13">
        <v>0</v>
      </c>
      <c r="K4028" s="13"/>
      <c r="L4028"/>
      <c r="M4028"/>
      <c r="N4028"/>
      <c r="O4028"/>
      <c r="P4028"/>
      <c r="Q4028"/>
      <c r="R4028"/>
      <c r="S4028"/>
      <c r="T4028"/>
      <c r="U4028"/>
      <c r="V4028"/>
      <c r="W4028"/>
      <c r="X4028"/>
      <c r="Y4028"/>
      <c r="Z4028"/>
      <c r="AA4028"/>
      <c r="AB4028"/>
      <c r="AC4028"/>
      <c r="AD4028"/>
      <c r="AE4028"/>
      <c r="AF4028"/>
      <c r="AG4028"/>
      <c r="AH4028"/>
      <c r="AI4028"/>
      <c r="AJ4028"/>
      <c r="AK4028"/>
      <c r="AL4028"/>
    </row>
    <row r="4029" spans="1:38" ht="15.75" customHeight="1" outlineLevel="2" x14ac:dyDescent="0.2">
      <c r="A4029" s="1067">
        <v>1</v>
      </c>
      <c r="B4029" s="1067" t="s">
        <v>68</v>
      </c>
      <c r="C4029" s="1067" t="s">
        <v>3099</v>
      </c>
      <c r="D4029" s="1067" t="s">
        <v>3099</v>
      </c>
      <c r="E4029" s="1068" t="s">
        <v>70</v>
      </c>
      <c r="F4029" s="1067"/>
      <c r="G4029" s="1069" t="str">
        <f t="array" ref="G4029">IF(B4029="insumo",_xlfn.XLOOKUP($D4029,Insumos!$B$1:$B$996,Insumos!$D$1:$D$996),"")</f>
        <v/>
      </c>
      <c r="H4029" s="1069">
        <v>39.6</v>
      </c>
      <c r="I4029" s="1070" t="e">
        <v>#REF!</v>
      </c>
      <c r="J4029" s="1070" t="e">
        <v>#REF!</v>
      </c>
      <c r="K4029" s="1070"/>
      <c r="L4029"/>
      <c r="M4029"/>
      <c r="N4029"/>
      <c r="O4029"/>
      <c r="P4029"/>
      <c r="Q4029"/>
      <c r="R4029"/>
      <c r="S4029"/>
      <c r="T4029"/>
      <c r="U4029"/>
      <c r="V4029"/>
      <c r="W4029"/>
      <c r="X4029"/>
      <c r="Y4029"/>
      <c r="Z4029"/>
      <c r="AA4029"/>
      <c r="AB4029"/>
      <c r="AC4029"/>
      <c r="AD4029"/>
      <c r="AE4029"/>
      <c r="AF4029"/>
      <c r="AG4029"/>
      <c r="AH4029"/>
      <c r="AI4029"/>
      <c r="AJ4029"/>
      <c r="AK4029"/>
      <c r="AL4029"/>
    </row>
    <row r="4030" spans="1:38" ht="15.75" customHeight="1" outlineLevel="3" x14ac:dyDescent="0.2">
      <c r="A4030" s="10">
        <v>2</v>
      </c>
      <c r="B4030" s="10" t="s">
        <v>71</v>
      </c>
      <c r="C4030" s="10" t="s">
        <v>3099</v>
      </c>
      <c r="D4030" s="10" t="s">
        <v>3096</v>
      </c>
      <c r="E4030" s="11" t="str">
        <f t="array" ref="E4030">_xlfn.XLOOKUP(D4030,Insumos!B:B,Insumos!C:$C)</f>
        <v>KG</v>
      </c>
      <c r="F4030" s="14">
        <v>1.5</v>
      </c>
      <c r="G4030" s="92">
        <f t="array" ref="G4030">IF(B4030="insumo",_xlfn.XLOOKUP($D4030,Insumos!$B$1:$B$996,Insumos!$D$1:$D$996),"")</f>
        <v>26.4</v>
      </c>
      <c r="H4030" s="92">
        <v>39.6</v>
      </c>
      <c r="I4030" s="13" t="e">
        <v>#REF!</v>
      </c>
      <c r="J4030" s="13" t="e">
        <v>#REF!</v>
      </c>
      <c r="K4030" s="13"/>
      <c r="L4030"/>
      <c r="M4030"/>
      <c r="N4030"/>
      <c r="O4030"/>
      <c r="P4030"/>
      <c r="Q4030"/>
      <c r="R4030"/>
      <c r="S4030"/>
      <c r="T4030"/>
      <c r="U4030"/>
      <c r="V4030"/>
      <c r="W4030"/>
      <c r="X4030"/>
      <c r="Y4030"/>
      <c r="Z4030"/>
      <c r="AA4030"/>
      <c r="AB4030"/>
      <c r="AC4030"/>
      <c r="AD4030"/>
      <c r="AE4030"/>
      <c r="AF4030"/>
      <c r="AG4030"/>
      <c r="AH4030"/>
      <c r="AI4030"/>
      <c r="AJ4030"/>
      <c r="AK4030"/>
      <c r="AL4030"/>
    </row>
    <row r="4031" spans="1:38" ht="15.75" customHeight="1" outlineLevel="2" x14ac:dyDescent="0.2">
      <c r="A4031" s="1067">
        <v>1</v>
      </c>
      <c r="B4031" s="1067" t="s">
        <v>68</v>
      </c>
      <c r="C4031" s="1067" t="s">
        <v>3100</v>
      </c>
      <c r="D4031" s="1067" t="s">
        <v>3100</v>
      </c>
      <c r="E4031" s="1068" t="s">
        <v>70</v>
      </c>
      <c r="F4031" s="1067"/>
      <c r="G4031" s="1069" t="str">
        <f t="array" ref="G4031">IF(B4031="insumo",_xlfn.XLOOKUP($D4031,Insumos!$B$1:$B$996,Insumos!$D$1:$D$996),"")</f>
        <v/>
      </c>
      <c r="H4031" s="1069">
        <v>22.507959374999999</v>
      </c>
      <c r="I4031" s="1070" t="e">
        <v>#REF!</v>
      </c>
      <c r="J4031" s="1070" t="e">
        <v>#REF!</v>
      </c>
      <c r="K4031" s="1070"/>
      <c r="L4031"/>
      <c r="M4031"/>
      <c r="N4031"/>
      <c r="O4031"/>
      <c r="P4031"/>
      <c r="Q4031"/>
      <c r="R4031"/>
      <c r="S4031"/>
      <c r="T4031"/>
      <c r="U4031"/>
      <c r="V4031"/>
      <c r="W4031"/>
      <c r="X4031"/>
      <c r="Y4031"/>
      <c r="Z4031"/>
      <c r="AA4031"/>
      <c r="AB4031"/>
      <c r="AC4031"/>
      <c r="AD4031"/>
      <c r="AE4031"/>
      <c r="AF4031"/>
      <c r="AG4031"/>
      <c r="AH4031"/>
      <c r="AI4031"/>
      <c r="AJ4031"/>
      <c r="AK4031"/>
      <c r="AL4031"/>
    </row>
    <row r="4032" spans="1:38" ht="15.75" customHeight="1" outlineLevel="3" x14ac:dyDescent="0.2">
      <c r="A4032" s="10">
        <v>2</v>
      </c>
      <c r="B4032" s="10" t="s">
        <v>71</v>
      </c>
      <c r="C4032" s="10" t="s">
        <v>3100</v>
      </c>
      <c r="D4032" s="10" t="s">
        <v>3092</v>
      </c>
      <c r="E4032" s="11" t="str">
        <f t="array" ref="E4032">_xlfn.XLOOKUP(D4032,Insumos!B:B,Insumos!C:$C)</f>
        <v>L</v>
      </c>
      <c r="F4032" s="14">
        <v>0.495</v>
      </c>
      <c r="G4032" s="92">
        <f t="array" ref="G4032">IF(B4032="insumo",_xlfn.XLOOKUP($D4032,Insumos!$B$1:$B$996,Insumos!$D$1:$D$996),"")</f>
        <v>45.470624999999998</v>
      </c>
      <c r="H4032" s="92">
        <v>22.507959374999999</v>
      </c>
      <c r="I4032" s="13" t="e">
        <v>#REF!</v>
      </c>
      <c r="J4032" s="13" t="e">
        <v>#REF!</v>
      </c>
      <c r="K4032" s="13"/>
      <c r="L4032"/>
      <c r="M4032"/>
      <c r="N4032"/>
      <c r="O4032"/>
      <c r="P4032"/>
      <c r="Q4032"/>
      <c r="R4032"/>
      <c r="S4032"/>
      <c r="T4032"/>
      <c r="U4032"/>
      <c r="V4032"/>
      <c r="W4032"/>
      <c r="X4032"/>
      <c r="Y4032"/>
      <c r="Z4032"/>
      <c r="AA4032"/>
      <c r="AB4032"/>
      <c r="AC4032"/>
      <c r="AD4032"/>
      <c r="AE4032"/>
      <c r="AF4032"/>
      <c r="AG4032"/>
      <c r="AH4032"/>
      <c r="AI4032"/>
      <c r="AJ4032"/>
      <c r="AK4032"/>
      <c r="AL4032"/>
    </row>
    <row r="4033" spans="1:38" ht="15.75" customHeight="1" outlineLevel="2" x14ac:dyDescent="0.2">
      <c r="A4033" s="1067">
        <v>1</v>
      </c>
      <c r="B4033" s="1067" t="s">
        <v>68</v>
      </c>
      <c r="C4033" s="1067" t="s">
        <v>3101</v>
      </c>
      <c r="D4033" s="1067" t="s">
        <v>3101</v>
      </c>
      <c r="E4033" s="1068" t="s">
        <v>70</v>
      </c>
      <c r="F4033" s="1067"/>
      <c r="G4033" s="1069" t="str">
        <f t="array" ref="G4033">IF(B4033="insumo",_xlfn.XLOOKUP($D4033,Insumos!$B$1:$B$996,Insumos!$D$1:$D$996),"")</f>
        <v/>
      </c>
      <c r="H4033" s="1069">
        <v>20.468868749999999</v>
      </c>
      <c r="I4033" s="1070" t="e">
        <v>#REF!</v>
      </c>
      <c r="J4033" s="1070" t="e">
        <v>#REF!</v>
      </c>
      <c r="K4033" s="1070"/>
      <c r="L4033"/>
      <c r="M4033"/>
      <c r="N4033"/>
      <c r="O4033"/>
      <c r="P4033"/>
      <c r="Q4033"/>
      <c r="R4033"/>
      <c r="S4033"/>
      <c r="T4033"/>
      <c r="U4033"/>
      <c r="V4033"/>
      <c r="W4033"/>
      <c r="X4033"/>
      <c r="Y4033"/>
      <c r="Z4033"/>
      <c r="AA4033"/>
      <c r="AB4033"/>
      <c r="AC4033"/>
      <c r="AD4033"/>
      <c r="AE4033"/>
      <c r="AF4033"/>
      <c r="AG4033"/>
      <c r="AH4033"/>
      <c r="AI4033"/>
      <c r="AJ4033"/>
      <c r="AK4033"/>
      <c r="AL4033"/>
    </row>
    <row r="4034" spans="1:38" ht="15.75" customHeight="1" outlineLevel="3" x14ac:dyDescent="0.2">
      <c r="A4034" s="10">
        <v>2</v>
      </c>
      <c r="B4034" s="10" t="s">
        <v>71</v>
      </c>
      <c r="C4034" s="10" t="s">
        <v>3101</v>
      </c>
      <c r="D4034" s="10" t="s">
        <v>3093</v>
      </c>
      <c r="E4034" s="11" t="str">
        <f t="array" ref="E4034">_xlfn.XLOOKUP(D4034,Insumos!B:B,Insumos!C:$C)</f>
        <v>L</v>
      </c>
      <c r="F4034" s="14">
        <v>0.495</v>
      </c>
      <c r="G4034" s="92">
        <f t="array" ref="G4034">IF(B4034="insumo",_xlfn.XLOOKUP($D4034,Insumos!$B$1:$B$996,Insumos!$D$1:$D$996),"")</f>
        <v>41.35125</v>
      </c>
      <c r="H4034" s="92">
        <v>20.468868749999999</v>
      </c>
      <c r="I4034" s="13" t="e">
        <v>#REF!</v>
      </c>
      <c r="J4034" s="13" t="e">
        <v>#REF!</v>
      </c>
      <c r="K4034" s="13"/>
      <c r="L4034"/>
      <c r="M4034"/>
      <c r="N4034"/>
      <c r="O4034"/>
      <c r="P4034"/>
      <c r="Q4034"/>
      <c r="R4034"/>
      <c r="S4034"/>
      <c r="T4034"/>
      <c r="U4034"/>
      <c r="V4034"/>
      <c r="W4034"/>
      <c r="X4034"/>
      <c r="Y4034"/>
      <c r="Z4034"/>
      <c r="AA4034"/>
      <c r="AB4034"/>
      <c r="AC4034"/>
      <c r="AD4034"/>
      <c r="AE4034"/>
      <c r="AF4034"/>
      <c r="AG4034"/>
      <c r="AH4034"/>
      <c r="AI4034"/>
      <c r="AJ4034"/>
      <c r="AK4034"/>
      <c r="AL4034"/>
    </row>
    <row r="4035" spans="1:38" ht="15.75" customHeight="1" outlineLevel="2" x14ac:dyDescent="0.2">
      <c r="A4035" s="1067">
        <v>1</v>
      </c>
      <c r="B4035" s="1067" t="s">
        <v>68</v>
      </c>
      <c r="C4035" s="1067" t="s">
        <v>3102</v>
      </c>
      <c r="D4035" s="1067" t="s">
        <v>3102</v>
      </c>
      <c r="E4035" s="1068" t="s">
        <v>70</v>
      </c>
      <c r="F4035" s="1067"/>
      <c r="G4035" s="1069" t="str">
        <f t="array" ref="G4035">IF(B4035="insumo",_xlfn.XLOOKUP($D4035,Insumos!$B$1:$B$996,Insumos!$D$1:$D$996),"")</f>
        <v/>
      </c>
      <c r="H4035" s="1069">
        <v>66.75</v>
      </c>
      <c r="I4035" s="1070">
        <v>0</v>
      </c>
      <c r="J4035" s="1070">
        <v>0</v>
      </c>
      <c r="K4035" s="1070"/>
      <c r="L4035"/>
      <c r="M4035"/>
      <c r="N4035"/>
      <c r="O4035"/>
      <c r="P4035"/>
      <c r="Q4035"/>
      <c r="R4035"/>
      <c r="S4035"/>
      <c r="T4035"/>
      <c r="U4035"/>
      <c r="V4035"/>
      <c r="W4035"/>
      <c r="X4035"/>
      <c r="Y4035"/>
      <c r="Z4035"/>
      <c r="AA4035"/>
      <c r="AB4035"/>
      <c r="AC4035"/>
      <c r="AD4035"/>
      <c r="AE4035"/>
      <c r="AF4035"/>
      <c r="AG4035"/>
      <c r="AH4035"/>
      <c r="AI4035"/>
      <c r="AJ4035"/>
      <c r="AK4035"/>
      <c r="AL4035"/>
    </row>
    <row r="4036" spans="1:38" ht="15.75" customHeight="1" outlineLevel="3" x14ac:dyDescent="0.2">
      <c r="A4036" s="10">
        <v>3</v>
      </c>
      <c r="B4036" s="10" t="s">
        <v>71</v>
      </c>
      <c r="C4036" s="10" t="s">
        <v>3102</v>
      </c>
      <c r="D4036" s="10" t="s">
        <v>3098</v>
      </c>
      <c r="E4036" s="11" t="str">
        <f t="array" ref="E4036">_xlfn.XLOOKUP(D4036,Insumos!B:B,Insumos!C:$C)</f>
        <v>KG</v>
      </c>
      <c r="F4036" s="14">
        <v>1.5</v>
      </c>
      <c r="G4036" s="92">
        <f t="array" ref="G4036">IF(B4036="insumo",_xlfn.XLOOKUP($D4036,Insumos!$B$1:$B$996,Insumos!$D$1:$D$996),"")</f>
        <v>44.5</v>
      </c>
      <c r="H4036" s="92">
        <v>66.75</v>
      </c>
      <c r="I4036" s="13">
        <v>0</v>
      </c>
      <c r="J4036" s="13">
        <v>0</v>
      </c>
      <c r="K4036" s="13"/>
      <c r="L4036"/>
      <c r="M4036"/>
      <c r="N4036"/>
      <c r="O4036"/>
      <c r="P4036"/>
      <c r="Q4036"/>
      <c r="R4036"/>
      <c r="S4036"/>
      <c r="T4036"/>
      <c r="U4036"/>
      <c r="V4036"/>
      <c r="W4036"/>
      <c r="X4036"/>
      <c r="Y4036"/>
      <c r="Z4036"/>
      <c r="AA4036"/>
      <c r="AB4036"/>
      <c r="AC4036"/>
      <c r="AD4036"/>
      <c r="AE4036"/>
      <c r="AF4036"/>
      <c r="AG4036"/>
      <c r="AH4036"/>
      <c r="AI4036"/>
      <c r="AJ4036"/>
      <c r="AK4036"/>
      <c r="AL4036"/>
    </row>
    <row r="4037" spans="1:38" ht="15.75" customHeight="1" outlineLevel="2" x14ac:dyDescent="0.2">
      <c r="A4037" s="1067">
        <v>1</v>
      </c>
      <c r="B4037" s="1067" t="s">
        <v>68</v>
      </c>
      <c r="C4037" s="1067" t="s">
        <v>3103</v>
      </c>
      <c r="D4037" s="1067" t="s">
        <v>3103</v>
      </c>
      <c r="E4037" s="1068" t="s">
        <v>70</v>
      </c>
      <c r="F4037" s="1067"/>
      <c r="G4037" s="1069" t="str">
        <f t="array" ref="G4037">IF(B4037="insumo",_xlfn.XLOOKUP($D4037,Insumos!$B$1:$B$996,Insumos!$D$1:$D$996),"")</f>
        <v/>
      </c>
      <c r="H4037" s="1069">
        <v>12.1275</v>
      </c>
      <c r="I4037" s="1070" t="e">
        <v>#REF!</v>
      </c>
      <c r="J4037" s="1070" t="e">
        <v>#REF!</v>
      </c>
      <c r="K4037" s="1070"/>
      <c r="L4037"/>
      <c r="M4037"/>
      <c r="N4037"/>
      <c r="O4037"/>
      <c r="P4037"/>
      <c r="Q4037"/>
      <c r="R4037"/>
      <c r="S4037"/>
      <c r="T4037"/>
      <c r="U4037"/>
      <c r="V4037"/>
      <c r="W4037"/>
      <c r="X4037"/>
      <c r="Y4037"/>
      <c r="Z4037"/>
      <c r="AA4037"/>
      <c r="AB4037"/>
      <c r="AC4037"/>
      <c r="AD4037"/>
      <c r="AE4037"/>
      <c r="AF4037"/>
      <c r="AG4037"/>
      <c r="AH4037"/>
      <c r="AI4037"/>
      <c r="AJ4037"/>
      <c r="AK4037"/>
      <c r="AL4037"/>
    </row>
    <row r="4038" spans="1:38" ht="15.75" customHeight="1" outlineLevel="3" x14ac:dyDescent="0.2">
      <c r="A4038" s="10">
        <v>16</v>
      </c>
      <c r="B4038" s="10" t="s">
        <v>71</v>
      </c>
      <c r="C4038" s="10" t="s">
        <v>3103</v>
      </c>
      <c r="D4038" s="10" t="s">
        <v>763</v>
      </c>
      <c r="E4038" s="11" t="str">
        <f t="array" ref="E4038">_xlfn.XLOOKUP(D4038,Insumos!B:B,Insumos!C:$C)</f>
        <v>L</v>
      </c>
      <c r="F4038" s="14">
        <v>0.495</v>
      </c>
      <c r="G4038" s="92">
        <f t="array" ref="G4038">IF(B4038="insumo",_xlfn.XLOOKUP($D4038,Insumos!$B$1:$B$996,Insumos!$D$1:$D$996),"")</f>
        <v>24.5</v>
      </c>
      <c r="H4038" s="92">
        <v>12.1275</v>
      </c>
      <c r="I4038" s="13" t="e">
        <v>#REF!</v>
      </c>
      <c r="J4038" s="13" t="e">
        <v>#REF!</v>
      </c>
      <c r="K4038" s="13"/>
      <c r="L4038"/>
      <c r="M4038"/>
      <c r="N4038"/>
      <c r="O4038"/>
      <c r="P4038"/>
      <c r="Q4038"/>
      <c r="R4038"/>
      <c r="S4038"/>
      <c r="T4038"/>
      <c r="U4038"/>
      <c r="V4038"/>
      <c r="W4038"/>
      <c r="X4038"/>
      <c r="Y4038"/>
      <c r="Z4038"/>
      <c r="AA4038"/>
      <c r="AB4038"/>
      <c r="AC4038"/>
      <c r="AD4038"/>
      <c r="AE4038"/>
      <c r="AF4038"/>
      <c r="AG4038"/>
      <c r="AH4038"/>
      <c r="AI4038"/>
      <c r="AJ4038"/>
      <c r="AK4038"/>
      <c r="AL4038"/>
    </row>
    <row r="4039" spans="1:38" ht="15.75" customHeight="1" outlineLevel="2" x14ac:dyDescent="0.2">
      <c r="A4039" s="1067">
        <v>1</v>
      </c>
      <c r="B4039" s="1067" t="s">
        <v>68</v>
      </c>
      <c r="C4039" s="1067" t="s">
        <v>3106</v>
      </c>
      <c r="D4039" s="1067" t="s">
        <v>3106</v>
      </c>
      <c r="E4039" s="1068" t="s">
        <v>70</v>
      </c>
      <c r="F4039" s="1067"/>
      <c r="G4039" s="1069" t="str">
        <f t="array" ref="G4039">IF(B4039="insumo",_xlfn.XLOOKUP($D4039,Insumos!$B$1:$B$996,Insumos!$D$1:$D$996),"")</f>
        <v/>
      </c>
      <c r="H4039" s="1069">
        <v>80</v>
      </c>
      <c r="I4039" s="1070" t="e">
        <v>#REF!</v>
      </c>
      <c r="J4039" s="1070" t="e">
        <v>#REF!</v>
      </c>
      <c r="K4039" s="1070"/>
      <c r="L4039"/>
      <c r="M4039"/>
      <c r="N4039"/>
      <c r="O4039"/>
      <c r="P4039"/>
      <c r="Q4039"/>
      <c r="R4039"/>
      <c r="S4039"/>
      <c r="T4039"/>
      <c r="U4039"/>
      <c r="V4039"/>
      <c r="W4039"/>
      <c r="X4039"/>
      <c r="Y4039"/>
      <c r="Z4039"/>
      <c r="AA4039"/>
      <c r="AB4039"/>
      <c r="AC4039"/>
      <c r="AD4039"/>
      <c r="AE4039"/>
      <c r="AF4039"/>
      <c r="AG4039"/>
      <c r="AH4039"/>
      <c r="AI4039"/>
      <c r="AJ4039"/>
      <c r="AK4039"/>
      <c r="AL4039"/>
    </row>
    <row r="4040" spans="1:38" ht="15.75" customHeight="1" outlineLevel="3" x14ac:dyDescent="0.2">
      <c r="A4040" s="10">
        <v>1</v>
      </c>
      <c r="B4040" s="10" t="s">
        <v>71</v>
      </c>
      <c r="C4040" s="10" t="s">
        <v>3106</v>
      </c>
      <c r="D4040" s="10" t="s">
        <v>3106</v>
      </c>
      <c r="E4040" s="11" t="str">
        <f t="array" ref="E4040">_xlfn.XLOOKUP(D4040,Insumos!B:B,Insumos!C:$C)</f>
        <v>M2</v>
      </c>
      <c r="F4040" s="14">
        <v>1</v>
      </c>
      <c r="G4040" s="92">
        <f t="array" ref="G4040">IF(B4040="insumo",_xlfn.XLOOKUP($D4040,Insumos!$B$1:$B$996,Insumos!$D$1:$D$996),"")</f>
        <v>80</v>
      </c>
      <c r="H4040" s="92">
        <v>80</v>
      </c>
      <c r="I4040" s="13" t="e">
        <v>#REF!</v>
      </c>
      <c r="J4040" s="13" t="e">
        <v>#REF!</v>
      </c>
      <c r="K4040" s="13"/>
      <c r="L4040"/>
      <c r="M4040"/>
      <c r="N4040"/>
      <c r="O4040"/>
      <c r="P4040"/>
      <c r="Q4040"/>
      <c r="R4040"/>
      <c r="S4040"/>
      <c r="T4040"/>
      <c r="U4040"/>
      <c r="V4040"/>
      <c r="W4040"/>
      <c r="X4040"/>
      <c r="Y4040"/>
      <c r="Z4040"/>
      <c r="AA4040"/>
      <c r="AB4040"/>
      <c r="AC4040"/>
      <c r="AD4040"/>
      <c r="AE4040"/>
      <c r="AF4040"/>
      <c r="AG4040"/>
      <c r="AH4040"/>
      <c r="AI4040"/>
      <c r="AJ4040"/>
      <c r="AK4040"/>
      <c r="AL4040"/>
    </row>
    <row r="4041" spans="1:38" ht="12.75" outlineLevel="2" x14ac:dyDescent="0.2">
      <c r="A4041" s="1071">
        <v>1</v>
      </c>
      <c r="B4041" s="1071" t="s">
        <v>68</v>
      </c>
      <c r="C4041" s="1071" t="s">
        <v>1935</v>
      </c>
      <c r="D4041" s="1071" t="s">
        <v>1935</v>
      </c>
      <c r="E4041" s="1072" t="s">
        <v>70</v>
      </c>
      <c r="F4041" s="1071"/>
      <c r="G4041" s="1073" t="str">
        <f t="array" ref="G4041">IF(B4041="insumo",_xlfn.XLOOKUP($D4041,Insumos!$B$1:$B$996,Insumos!$D$1:$D$996),"")</f>
        <v/>
      </c>
      <c r="H4041" s="1073">
        <v>13.205401999999999</v>
      </c>
      <c r="I4041" s="1074">
        <v>0</v>
      </c>
      <c r="J4041" s="1074">
        <v>0</v>
      </c>
      <c r="K4041" s="1074"/>
      <c r="L4041"/>
      <c r="M4041"/>
      <c r="N4041"/>
      <c r="O4041"/>
      <c r="P4041"/>
      <c r="Q4041"/>
      <c r="R4041"/>
      <c r="S4041"/>
      <c r="T4041"/>
      <c r="U4041"/>
      <c r="V4041"/>
      <c r="W4041"/>
      <c r="X4041"/>
      <c r="Y4041"/>
      <c r="Z4041"/>
      <c r="AA4041"/>
      <c r="AB4041"/>
      <c r="AC4041"/>
      <c r="AD4041"/>
      <c r="AE4041"/>
      <c r="AF4041"/>
      <c r="AG4041"/>
      <c r="AH4041"/>
      <c r="AI4041"/>
      <c r="AJ4041"/>
      <c r="AK4041"/>
      <c r="AL4041"/>
    </row>
    <row r="4042" spans="1:38" ht="12.75" outlineLevel="3" x14ac:dyDescent="0.2">
      <c r="A4042" s="82">
        <v>16</v>
      </c>
      <c r="B4042" s="82" t="s">
        <v>71</v>
      </c>
      <c r="C4042" s="82" t="s">
        <v>1935</v>
      </c>
      <c r="D4042" s="82" t="s">
        <v>763</v>
      </c>
      <c r="E4042" s="11" t="str">
        <f t="array" ref="E4042">_xlfn.XLOOKUP(D4042,Insumos!B:B,Insumos!C:$C)</f>
        <v>L</v>
      </c>
      <c r="F4042" s="90">
        <v>0.495</v>
      </c>
      <c r="G4042" s="92">
        <f t="array" ref="G4042">IF(B4042="insumo",_xlfn.XLOOKUP($D4042,Insumos!$B$1:$B$996,Insumos!$D$1:$D$996),"")</f>
        <v>24.5</v>
      </c>
      <c r="H4042" s="92">
        <v>12.1275</v>
      </c>
      <c r="I4042" s="84">
        <v>0</v>
      </c>
      <c r="J4042" s="84">
        <v>0</v>
      </c>
      <c r="K4042" s="84"/>
      <c r="L4042"/>
      <c r="M4042"/>
      <c r="N4042"/>
      <c r="O4042"/>
      <c r="P4042"/>
      <c r="Q4042"/>
      <c r="R4042"/>
      <c r="S4042"/>
      <c r="T4042"/>
      <c r="U4042"/>
      <c r="V4042"/>
      <c r="W4042"/>
      <c r="X4042"/>
      <c r="Y4042"/>
      <c r="Z4042"/>
      <c r="AA4042"/>
      <c r="AB4042"/>
      <c r="AC4042"/>
      <c r="AD4042"/>
      <c r="AE4042"/>
      <c r="AF4042"/>
      <c r="AG4042"/>
      <c r="AH4042"/>
      <c r="AI4042"/>
      <c r="AJ4042"/>
      <c r="AK4042"/>
      <c r="AL4042"/>
    </row>
    <row r="4043" spans="1:38" ht="12.75" outlineLevel="3" x14ac:dyDescent="0.2">
      <c r="A4043" s="82">
        <v>31</v>
      </c>
      <c r="B4043" s="82" t="s">
        <v>71</v>
      </c>
      <c r="C4043" s="82" t="s">
        <v>1935</v>
      </c>
      <c r="D4043" s="82" t="s">
        <v>768</v>
      </c>
      <c r="E4043" s="11" t="str">
        <f t="array" ref="E4043">_xlfn.XLOOKUP(D4043,Insumos!B:B,Insumos!C:$C)</f>
        <v>L</v>
      </c>
      <c r="F4043" s="90">
        <v>0.1666</v>
      </c>
      <c r="G4043" s="92">
        <f t="array" ref="G4043">IF(B4043="insumo",_xlfn.XLOOKUP($D4043,Insumos!$B$1:$B$996,Insumos!$D$1:$D$996),"")</f>
        <v>6.47</v>
      </c>
      <c r="H4043" s="92">
        <v>1.0779019999999999</v>
      </c>
      <c r="I4043" s="84">
        <v>0</v>
      </c>
      <c r="J4043" s="84">
        <v>0</v>
      </c>
      <c r="K4043" s="84"/>
      <c r="L4043"/>
      <c r="M4043"/>
      <c r="N4043"/>
      <c r="O4043"/>
      <c r="P4043"/>
      <c r="Q4043"/>
      <c r="R4043"/>
      <c r="S4043"/>
      <c r="T4043"/>
      <c r="U4043"/>
      <c r="V4043"/>
      <c r="W4043"/>
      <c r="X4043"/>
      <c r="Y4043"/>
      <c r="Z4043"/>
      <c r="AA4043"/>
      <c r="AB4043"/>
      <c r="AC4043"/>
      <c r="AD4043"/>
      <c r="AE4043"/>
      <c r="AF4043"/>
      <c r="AG4043"/>
      <c r="AH4043"/>
      <c r="AI4043"/>
      <c r="AJ4043"/>
      <c r="AK4043"/>
      <c r="AL4043"/>
    </row>
    <row r="4044" spans="1:38" ht="15.75" customHeight="1" outlineLevel="2" x14ac:dyDescent="0.2">
      <c r="A4044" s="1067">
        <v>1</v>
      </c>
      <c r="B4044" s="1067" t="s">
        <v>68</v>
      </c>
      <c r="C4044" s="1067" t="s">
        <v>3105</v>
      </c>
      <c r="D4044" s="1067" t="s">
        <v>3105</v>
      </c>
      <c r="E4044" s="1068" t="s">
        <v>70</v>
      </c>
      <c r="F4044" s="1067"/>
      <c r="G4044" s="1069" t="str">
        <f t="array" ref="G4044">IF(B4044="insumo",_xlfn.XLOOKUP($D4044,Insumos!$B$1:$B$996,Insumos!$D$1:$D$996),"")</f>
        <v/>
      </c>
      <c r="H4044" s="1069">
        <v>70.567030666666696</v>
      </c>
      <c r="I4044" s="1070" t="e">
        <v>#REF!</v>
      </c>
      <c r="J4044" s="1070" t="e">
        <v>#REF!</v>
      </c>
      <c r="K4044" s="1070"/>
      <c r="L4044"/>
      <c r="M4044"/>
      <c r="N4044"/>
      <c r="O4044"/>
      <c r="P4044"/>
      <c r="Q4044"/>
      <c r="R4044"/>
      <c r="S4044"/>
      <c r="T4044"/>
      <c r="U4044"/>
      <c r="V4044"/>
      <c r="W4044"/>
      <c r="X4044"/>
      <c r="Y4044"/>
      <c r="Z4044"/>
      <c r="AA4044"/>
      <c r="AB4044"/>
      <c r="AC4044"/>
      <c r="AD4044"/>
      <c r="AE4044"/>
      <c r="AF4044"/>
      <c r="AG4044"/>
      <c r="AH4044"/>
      <c r="AI4044"/>
      <c r="AJ4044"/>
      <c r="AK4044"/>
      <c r="AL4044"/>
    </row>
    <row r="4045" spans="1:38" ht="15.75" customHeight="1" outlineLevel="3" x14ac:dyDescent="0.2">
      <c r="A4045" s="10">
        <v>9</v>
      </c>
      <c r="B4045" s="10" t="s">
        <v>71</v>
      </c>
      <c r="C4045" s="10" t="s">
        <v>3105</v>
      </c>
      <c r="D4045" s="10" t="s">
        <v>749</v>
      </c>
      <c r="E4045" s="11" t="str">
        <f t="array" ref="E4045">_xlfn.XLOOKUP(D4045,Insumos!B:B,Insumos!C:$C)</f>
        <v>L</v>
      </c>
      <c r="F4045" s="14">
        <v>6.4000000000000001E-2</v>
      </c>
      <c r="G4045" s="92">
        <f t="array" ref="G4045">IF(B4045="insumo",_xlfn.XLOOKUP($D4045,Insumos!$B$1:$B$996,Insumos!$D$1:$D$996),"")</f>
        <v>50.12</v>
      </c>
      <c r="H4045" s="92">
        <v>3.2076799999999999</v>
      </c>
      <c r="I4045" s="13" t="e">
        <v>#REF!</v>
      </c>
      <c r="J4045" s="13" t="e">
        <v>#REF!</v>
      </c>
      <c r="K4045" s="13"/>
      <c r="L4045"/>
      <c r="M4045"/>
      <c r="N4045"/>
      <c r="O4045"/>
      <c r="P4045"/>
      <c r="Q4045"/>
      <c r="R4045"/>
      <c r="S4045"/>
      <c r="T4045"/>
      <c r="U4045"/>
      <c r="V4045"/>
      <c r="W4045"/>
      <c r="X4045"/>
      <c r="Y4045"/>
      <c r="Z4045"/>
      <c r="AA4045"/>
      <c r="AB4045"/>
      <c r="AC4045"/>
      <c r="AD4045"/>
      <c r="AE4045"/>
      <c r="AF4045"/>
      <c r="AG4045"/>
      <c r="AH4045"/>
      <c r="AI4045"/>
      <c r="AJ4045"/>
      <c r="AK4045"/>
      <c r="AL4045"/>
    </row>
    <row r="4046" spans="1:38" ht="15.75" customHeight="1" outlineLevel="3" x14ac:dyDescent="0.2">
      <c r="A4046" s="10">
        <v>25</v>
      </c>
      <c r="B4046" s="10" t="s">
        <v>71</v>
      </c>
      <c r="C4046" s="10" t="s">
        <v>3105</v>
      </c>
      <c r="D4046" s="10" t="s">
        <v>750</v>
      </c>
      <c r="E4046" s="11" t="str">
        <f t="array" ref="E4046">_xlfn.XLOOKUP(D4046,Insumos!B:B,Insumos!C:$C)</f>
        <v>UN</v>
      </c>
      <c r="F4046" s="14">
        <v>0.01</v>
      </c>
      <c r="G4046" s="92">
        <f t="array" ref="G4046">IF(B4046="insumo",_xlfn.XLOOKUP($D4046,Insumos!$B$1:$B$996,Insumos!$D$1:$D$996),"")</f>
        <v>11.26</v>
      </c>
      <c r="H4046" s="92">
        <v>0.11260000000000001</v>
      </c>
      <c r="I4046" s="13" t="e">
        <v>#REF!</v>
      </c>
      <c r="J4046" s="13" t="e">
        <v>#REF!</v>
      </c>
      <c r="K4046" s="13"/>
      <c r="L4046"/>
      <c r="M4046"/>
      <c r="N4046"/>
      <c r="O4046"/>
      <c r="P4046"/>
      <c r="Q4046"/>
      <c r="R4046"/>
      <c r="S4046"/>
      <c r="T4046"/>
      <c r="U4046"/>
      <c r="V4046"/>
      <c r="W4046"/>
      <c r="X4046"/>
      <c r="Y4046"/>
      <c r="Z4046"/>
      <c r="AA4046"/>
      <c r="AB4046"/>
      <c r="AC4046"/>
      <c r="AD4046"/>
      <c r="AE4046"/>
      <c r="AF4046"/>
      <c r="AG4046"/>
      <c r="AH4046"/>
      <c r="AI4046"/>
      <c r="AJ4046"/>
      <c r="AK4046"/>
      <c r="AL4046"/>
    </row>
    <row r="4047" spans="1:38" ht="15.75" customHeight="1" outlineLevel="3" x14ac:dyDescent="0.2">
      <c r="A4047" s="10">
        <v>8</v>
      </c>
      <c r="B4047" s="10" t="s">
        <v>71</v>
      </c>
      <c r="C4047" s="10" t="s">
        <v>3105</v>
      </c>
      <c r="D4047" s="10" t="s">
        <v>751</v>
      </c>
      <c r="E4047" s="11" t="str">
        <f t="array" ref="E4047">_xlfn.XLOOKUP(D4047,Insumos!B:B,Insumos!C:$C)</f>
        <v>L</v>
      </c>
      <c r="F4047" s="14">
        <v>0.2016</v>
      </c>
      <c r="G4047" s="92">
        <f t="array" ref="G4047">IF(B4047="insumo",_xlfn.XLOOKUP($D4047,Insumos!$B$1:$B$996,Insumos!$D$1:$D$996),"")</f>
        <v>137.24</v>
      </c>
      <c r="H4047" s="92">
        <v>27.667584000000002</v>
      </c>
      <c r="I4047" s="13" t="e">
        <v>#REF!</v>
      </c>
      <c r="J4047" s="13" t="e">
        <v>#REF!</v>
      </c>
      <c r="K4047" s="13"/>
      <c r="L4047"/>
      <c r="M4047"/>
      <c r="N4047"/>
      <c r="O4047"/>
      <c r="P4047"/>
      <c r="Q4047"/>
      <c r="R4047"/>
      <c r="S4047"/>
      <c r="T4047"/>
      <c r="U4047"/>
      <c r="V4047"/>
      <c r="W4047"/>
      <c r="X4047"/>
      <c r="Y4047"/>
      <c r="Z4047"/>
      <c r="AA4047"/>
      <c r="AB4047"/>
      <c r="AC4047"/>
      <c r="AD4047"/>
      <c r="AE4047"/>
      <c r="AF4047"/>
      <c r="AG4047"/>
      <c r="AH4047"/>
      <c r="AI4047"/>
      <c r="AJ4047"/>
      <c r="AK4047"/>
      <c r="AL4047"/>
    </row>
    <row r="4048" spans="1:38" ht="15.75" customHeight="1" outlineLevel="3" x14ac:dyDescent="0.2">
      <c r="A4048" s="10">
        <v>9</v>
      </c>
      <c r="B4048" s="10" t="s">
        <v>71</v>
      </c>
      <c r="C4048" s="10" t="s">
        <v>3105</v>
      </c>
      <c r="D4048" s="10" t="s">
        <v>752</v>
      </c>
      <c r="E4048" s="11" t="str">
        <f t="array" ref="E4048">_xlfn.XLOOKUP(D4048,Insumos!B:B,Insumos!C:$C)</f>
        <v>L</v>
      </c>
      <c r="F4048" s="14">
        <v>0.48299999999999998</v>
      </c>
      <c r="G4048" s="92">
        <f t="array" ref="G4048">IF(B4048="insumo",_xlfn.XLOOKUP($D4048,Insumos!$B$1:$B$996,Insumos!$D$1:$D$996),"")</f>
        <v>81.944444444444443</v>
      </c>
      <c r="H4048" s="92">
        <v>39.579166666666701</v>
      </c>
      <c r="I4048" s="13" t="e">
        <v>#REF!</v>
      </c>
      <c r="J4048" s="13" t="e">
        <v>#REF!</v>
      </c>
      <c r="K4048" s="13"/>
      <c r="L4048"/>
      <c r="M4048"/>
      <c r="N4048"/>
      <c r="O4048"/>
      <c r="P4048"/>
      <c r="Q4048"/>
      <c r="R4048"/>
      <c r="S4048"/>
      <c r="T4048"/>
      <c r="U4048"/>
      <c r="V4048"/>
      <c r="W4048"/>
      <c r="X4048"/>
      <c r="Y4048"/>
      <c r="Z4048"/>
      <c r="AA4048"/>
      <c r="AB4048"/>
      <c r="AC4048"/>
      <c r="AD4048"/>
      <c r="AE4048"/>
      <c r="AF4048"/>
      <c r="AG4048"/>
      <c r="AH4048"/>
      <c r="AI4048"/>
      <c r="AJ4048"/>
      <c r="AK4048"/>
      <c r="AL4048"/>
    </row>
    <row r="4049" spans="1:38" ht="15.75" customHeight="1" outlineLevel="2" x14ac:dyDescent="0.2">
      <c r="A4049" s="1067">
        <v>1</v>
      </c>
      <c r="B4049" s="1067" t="s">
        <v>68</v>
      </c>
      <c r="C4049" s="1067" t="s">
        <v>3104</v>
      </c>
      <c r="D4049" s="1067" t="s">
        <v>3104</v>
      </c>
      <c r="E4049" s="1068" t="s">
        <v>70</v>
      </c>
      <c r="F4049" s="1067"/>
      <c r="G4049" s="1069" t="str">
        <f t="array" ref="G4049">IF(B4049="insumo",_xlfn.XLOOKUP($D4049,Insumos!$B$1:$B$996,Insumos!$D$1:$D$996),"")</f>
        <v/>
      </c>
      <c r="H4049" s="1069">
        <v>1.7585555555555601</v>
      </c>
      <c r="I4049" s="1070" t="e">
        <v>#REF!</v>
      </c>
      <c r="J4049" s="1070" t="e">
        <v>#REF!</v>
      </c>
      <c r="K4049" s="1070"/>
      <c r="L4049"/>
      <c r="M4049"/>
      <c r="N4049"/>
      <c r="O4049"/>
      <c r="P4049"/>
      <c r="Q4049"/>
      <c r="R4049"/>
      <c r="S4049"/>
      <c r="T4049"/>
      <c r="U4049"/>
      <c r="V4049"/>
      <c r="W4049"/>
      <c r="X4049"/>
      <c r="Y4049"/>
      <c r="Z4049"/>
      <c r="AA4049"/>
      <c r="AB4049"/>
      <c r="AC4049"/>
      <c r="AD4049"/>
      <c r="AE4049"/>
      <c r="AF4049"/>
      <c r="AG4049"/>
      <c r="AH4049"/>
      <c r="AI4049"/>
      <c r="AJ4049"/>
      <c r="AK4049"/>
      <c r="AL4049"/>
    </row>
    <row r="4050" spans="1:38" ht="15.75" customHeight="1" outlineLevel="3" x14ac:dyDescent="0.2">
      <c r="A4050" s="10">
        <v>19</v>
      </c>
      <c r="B4050" s="10" t="s">
        <v>71</v>
      </c>
      <c r="C4050" s="10" t="s">
        <v>3104</v>
      </c>
      <c r="D4050" s="10" t="s">
        <v>766</v>
      </c>
      <c r="E4050" s="11" t="str">
        <f t="array" ref="E4050">_xlfn.XLOOKUP(D4050,Insumos!B:B,Insumos!C:$C)</f>
        <v>L</v>
      </c>
      <c r="F4050" s="14">
        <v>0.1666</v>
      </c>
      <c r="G4050" s="92">
        <f t="array" ref="G4050">IF(B4050="insumo",_xlfn.XLOOKUP($D4050,Insumos!$B$1:$B$996,Insumos!$D$1:$D$996),"")</f>
        <v>10.555555555555555</v>
      </c>
      <c r="H4050" s="92">
        <v>1.7585555555555601</v>
      </c>
      <c r="I4050" s="13" t="e">
        <v>#REF!</v>
      </c>
      <c r="J4050" s="13" t="e">
        <v>#REF!</v>
      </c>
      <c r="K4050" s="13"/>
      <c r="L4050"/>
      <c r="M4050"/>
      <c r="N4050"/>
      <c r="O4050"/>
      <c r="P4050"/>
      <c r="Q4050"/>
      <c r="R4050"/>
      <c r="S4050"/>
      <c r="T4050"/>
      <c r="U4050"/>
      <c r="V4050"/>
      <c r="W4050"/>
      <c r="X4050"/>
      <c r="Y4050"/>
      <c r="Z4050"/>
      <c r="AA4050"/>
      <c r="AB4050"/>
      <c r="AC4050"/>
      <c r="AD4050"/>
      <c r="AE4050"/>
      <c r="AF4050"/>
      <c r="AG4050"/>
      <c r="AH4050"/>
      <c r="AI4050"/>
      <c r="AJ4050"/>
      <c r="AK4050"/>
      <c r="AL4050"/>
    </row>
    <row r="4051" spans="1:38" ht="12.75" outlineLevel="2" x14ac:dyDescent="0.2">
      <c r="A4051" s="1071">
        <v>1</v>
      </c>
      <c r="B4051" s="1071" t="s">
        <v>68</v>
      </c>
      <c r="C4051" s="1071" t="s">
        <v>1936</v>
      </c>
      <c r="D4051" s="1071" t="s">
        <v>1936</v>
      </c>
      <c r="E4051" s="1072" t="s">
        <v>70</v>
      </c>
      <c r="F4051" s="1071"/>
      <c r="G4051" s="1073" t="str">
        <f t="array" ref="G4051">IF(B4051="insumo",_xlfn.XLOOKUP($D4051,Insumos!$B$1:$B$996,Insumos!$D$1:$D$996),"")</f>
        <v/>
      </c>
      <c r="H4051" s="1073">
        <v>4.3491600000000004</v>
      </c>
      <c r="I4051" s="1074" t="e">
        <v>#REF!</v>
      </c>
      <c r="J4051" s="1074" t="e">
        <v>#REF!</v>
      </c>
      <c r="K4051" s="1074"/>
      <c r="L4051"/>
      <c r="M4051"/>
      <c r="N4051"/>
      <c r="O4051"/>
      <c r="P4051"/>
      <c r="Q4051"/>
      <c r="R4051"/>
      <c r="S4051"/>
      <c r="T4051"/>
      <c r="U4051"/>
      <c r="V4051"/>
      <c r="W4051"/>
      <c r="X4051"/>
      <c r="Y4051"/>
      <c r="Z4051"/>
      <c r="AA4051"/>
      <c r="AB4051"/>
      <c r="AC4051"/>
      <c r="AD4051"/>
      <c r="AE4051"/>
      <c r="AF4051"/>
      <c r="AG4051"/>
      <c r="AH4051"/>
      <c r="AI4051"/>
      <c r="AJ4051"/>
      <c r="AK4051"/>
      <c r="AL4051"/>
    </row>
    <row r="4052" spans="1:38" ht="12.75" outlineLevel="3" x14ac:dyDescent="0.2">
      <c r="A4052" s="82">
        <v>36</v>
      </c>
      <c r="B4052" s="82" t="s">
        <v>71</v>
      </c>
      <c r="C4052" s="82" t="s">
        <v>1936</v>
      </c>
      <c r="D4052" s="82" t="s">
        <v>104</v>
      </c>
      <c r="E4052" s="11" t="str">
        <f t="array" ref="E4052">_xlfn.XLOOKUP(D4052,Insumos!B:B,Insumos!C:$C)</f>
        <v>UN</v>
      </c>
      <c r="F4052" s="86">
        <v>0.1</v>
      </c>
      <c r="G4052" s="92">
        <f t="array" ref="G4052">IF(B4052="insumo",_xlfn.XLOOKUP($D4052,Insumos!$B$1:$B$996,Insumos!$D$1:$D$996),"")</f>
        <v>1.89</v>
      </c>
      <c r="H4052" s="92">
        <v>0.189</v>
      </c>
      <c r="I4052" s="84" t="e">
        <v>#REF!</v>
      </c>
      <c r="J4052" s="84" t="e">
        <v>#REF!</v>
      </c>
      <c r="K4052" s="84"/>
      <c r="L4052"/>
      <c r="M4052"/>
      <c r="N4052"/>
      <c r="O4052"/>
      <c r="P4052"/>
      <c r="Q4052"/>
      <c r="R4052"/>
      <c r="S4052"/>
      <c r="T4052"/>
      <c r="U4052"/>
      <c r="V4052"/>
      <c r="W4052"/>
      <c r="X4052"/>
      <c r="Y4052"/>
      <c r="Z4052"/>
      <c r="AA4052"/>
      <c r="AB4052"/>
      <c r="AC4052"/>
      <c r="AD4052"/>
      <c r="AE4052"/>
      <c r="AF4052"/>
      <c r="AG4052"/>
      <c r="AH4052"/>
      <c r="AI4052"/>
      <c r="AJ4052"/>
      <c r="AK4052"/>
      <c r="AL4052"/>
    </row>
    <row r="4053" spans="1:38" ht="12.75" outlineLevel="3" x14ac:dyDescent="0.2">
      <c r="A4053" s="82">
        <v>21</v>
      </c>
      <c r="B4053" s="82" t="s">
        <v>71</v>
      </c>
      <c r="C4053" s="82" t="s">
        <v>1936</v>
      </c>
      <c r="D4053" s="82" t="s">
        <v>765</v>
      </c>
      <c r="E4053" s="11" t="str">
        <f t="array" ref="E4053">_xlfn.XLOOKUP(D4053,Insumos!B:B,Insumos!C:$C)</f>
        <v>KG</v>
      </c>
      <c r="F4053" s="86">
        <v>0.86670000000000003</v>
      </c>
      <c r="G4053" s="92">
        <f t="array" ref="G4053">IF(B4053="insumo",_xlfn.XLOOKUP($D4053,Insumos!$B$1:$B$996,Insumos!$D$1:$D$996),"")</f>
        <v>4.8</v>
      </c>
      <c r="H4053" s="92">
        <v>4.1601600000000003</v>
      </c>
      <c r="I4053" s="84" t="e">
        <v>#REF!</v>
      </c>
      <c r="J4053" s="84" t="e">
        <v>#REF!</v>
      </c>
      <c r="K4053" s="84"/>
      <c r="L4053"/>
      <c r="M4053"/>
      <c r="N4053"/>
      <c r="O4053"/>
      <c r="P4053"/>
      <c r="Q4053"/>
      <c r="R4053"/>
      <c r="S4053"/>
      <c r="T4053"/>
      <c r="U4053"/>
      <c r="V4053"/>
      <c r="W4053"/>
      <c r="X4053"/>
      <c r="Y4053"/>
      <c r="Z4053"/>
      <c r="AA4053"/>
      <c r="AB4053"/>
      <c r="AC4053"/>
      <c r="AD4053"/>
      <c r="AE4053"/>
      <c r="AF4053"/>
      <c r="AG4053"/>
      <c r="AH4053"/>
      <c r="AI4053"/>
      <c r="AJ4053"/>
      <c r="AK4053"/>
      <c r="AL4053"/>
    </row>
    <row r="4054" spans="1:38" ht="12.75" outlineLevel="2" x14ac:dyDescent="0.2">
      <c r="A4054" s="1071">
        <v>1</v>
      </c>
      <c r="B4054" s="1071" t="s">
        <v>68</v>
      </c>
      <c r="C4054" s="1071" t="s">
        <v>1937</v>
      </c>
      <c r="D4054" s="1071" t="s">
        <v>1937</v>
      </c>
      <c r="E4054" s="1072" t="s">
        <v>70</v>
      </c>
      <c r="F4054" s="1071"/>
      <c r="G4054" s="1073" t="str">
        <f t="array" ref="G4054">IF(B4054="insumo",_xlfn.XLOOKUP($D4054,Insumos!$B$1:$B$996,Insumos!$D$1:$D$996),"")</f>
        <v/>
      </c>
      <c r="H4054" s="1073">
        <v>13.671901999999999</v>
      </c>
      <c r="I4054" s="1074">
        <v>0</v>
      </c>
      <c r="J4054" s="1074">
        <v>0</v>
      </c>
      <c r="K4054" s="1074"/>
      <c r="L4054"/>
      <c r="M4054"/>
      <c r="N4054"/>
      <c r="O4054"/>
      <c r="P4054"/>
      <c r="Q4054"/>
      <c r="R4054"/>
      <c r="S4054"/>
      <c r="T4054"/>
      <c r="U4054"/>
      <c r="V4054"/>
      <c r="W4054"/>
      <c r="X4054"/>
      <c r="Y4054"/>
      <c r="Z4054"/>
      <c r="AA4054"/>
      <c r="AB4054"/>
      <c r="AC4054"/>
      <c r="AD4054"/>
      <c r="AE4054"/>
      <c r="AF4054"/>
      <c r="AG4054"/>
      <c r="AH4054"/>
      <c r="AI4054"/>
      <c r="AJ4054"/>
      <c r="AK4054"/>
      <c r="AL4054"/>
    </row>
    <row r="4055" spans="1:38" ht="12.75" outlineLevel="3" x14ac:dyDescent="0.2">
      <c r="A4055" s="82">
        <v>31</v>
      </c>
      <c r="B4055" s="82" t="s">
        <v>71</v>
      </c>
      <c r="C4055" s="82" t="s">
        <v>1937</v>
      </c>
      <c r="D4055" s="82" t="s">
        <v>768</v>
      </c>
      <c r="E4055" s="11" t="str">
        <f t="array" ref="E4055">_xlfn.XLOOKUP(D4055,Insumos!B:B,Insumos!C:$C)</f>
        <v>L</v>
      </c>
      <c r="F4055" s="90">
        <v>0.1666</v>
      </c>
      <c r="G4055" s="92">
        <f t="array" ref="G4055">IF(B4055="insumo",_xlfn.XLOOKUP($D4055,Insumos!$B$1:$B$996,Insumos!$D$1:$D$996),"")</f>
        <v>6.47</v>
      </c>
      <c r="H4055" s="92">
        <v>1.0779019999999999</v>
      </c>
      <c r="I4055" s="84">
        <v>0</v>
      </c>
      <c r="J4055" s="84">
        <v>0</v>
      </c>
      <c r="K4055" s="84"/>
      <c r="L4055"/>
      <c r="M4055"/>
      <c r="N4055"/>
      <c r="O4055"/>
      <c r="P4055"/>
      <c r="Q4055"/>
      <c r="R4055"/>
      <c r="S4055"/>
      <c r="T4055"/>
      <c r="U4055"/>
      <c r="V4055"/>
      <c r="W4055"/>
      <c r="X4055"/>
      <c r="Y4055"/>
      <c r="Z4055"/>
      <c r="AA4055"/>
      <c r="AB4055"/>
      <c r="AC4055"/>
      <c r="AD4055"/>
      <c r="AE4055"/>
      <c r="AF4055"/>
      <c r="AG4055"/>
      <c r="AH4055"/>
      <c r="AI4055"/>
      <c r="AJ4055"/>
      <c r="AK4055"/>
      <c r="AL4055"/>
    </row>
    <row r="4056" spans="1:38" ht="12.75" outlineLevel="3" x14ac:dyDescent="0.2">
      <c r="A4056" s="82">
        <v>5</v>
      </c>
      <c r="B4056" s="82" t="s">
        <v>71</v>
      </c>
      <c r="C4056" s="82" t="s">
        <v>1937</v>
      </c>
      <c r="D4056" s="82" t="s">
        <v>905</v>
      </c>
      <c r="E4056" s="11" t="str">
        <f t="array" ref="E4056">_xlfn.XLOOKUP(D4056,Insumos!B:B,Insumos!C:$C)</f>
        <v>KG</v>
      </c>
      <c r="F4056" s="90">
        <v>1.5</v>
      </c>
      <c r="G4056" s="92">
        <f t="array" ref="G4056">IF(B4056="insumo",_xlfn.XLOOKUP($D4056,Insumos!$B$1:$B$996,Insumos!$D$1:$D$996),"")</f>
        <v>8.3960000000000008</v>
      </c>
      <c r="H4056" s="92">
        <v>12.593999999999999</v>
      </c>
      <c r="I4056" s="84">
        <v>0</v>
      </c>
      <c r="J4056" s="84">
        <v>0</v>
      </c>
      <c r="K4056" s="84"/>
      <c r="L4056"/>
      <c r="M4056"/>
      <c r="N4056"/>
      <c r="O4056"/>
      <c r="P4056"/>
      <c r="Q4056"/>
      <c r="R4056"/>
      <c r="S4056"/>
      <c r="T4056"/>
      <c r="U4056"/>
      <c r="V4056"/>
      <c r="W4056"/>
      <c r="X4056"/>
      <c r="Y4056"/>
      <c r="Z4056"/>
      <c r="AA4056"/>
      <c r="AB4056"/>
      <c r="AC4056"/>
      <c r="AD4056"/>
      <c r="AE4056"/>
      <c r="AF4056"/>
      <c r="AG4056"/>
      <c r="AH4056"/>
      <c r="AI4056"/>
      <c r="AJ4056"/>
      <c r="AK4056"/>
      <c r="AL4056"/>
    </row>
    <row r="4057" spans="1:38" ht="15.75" customHeight="1" outlineLevel="1" x14ac:dyDescent="0.2">
      <c r="A4057" s="1090">
        <v>1</v>
      </c>
      <c r="B4057" s="1090" t="s">
        <v>1228</v>
      </c>
      <c r="C4057" s="1090" t="s">
        <v>1937</v>
      </c>
      <c r="D4057" s="1090" t="s">
        <v>1559</v>
      </c>
      <c r="E4057" s="1091"/>
      <c r="F4057" s="1092"/>
      <c r="G4057" s="1091"/>
      <c r="H4057" s="1091">
        <v>0</v>
      </c>
      <c r="I4057" s="1092">
        <v>0</v>
      </c>
      <c r="J4057" s="1092">
        <v>0</v>
      </c>
      <c r="K4057" s="1092"/>
      <c r="L4057"/>
      <c r="M4057"/>
      <c r="N4057"/>
      <c r="O4057"/>
      <c r="P4057"/>
      <c r="Q4057"/>
      <c r="R4057"/>
      <c r="S4057"/>
      <c r="T4057"/>
      <c r="U4057"/>
      <c r="V4057"/>
      <c r="W4057"/>
      <c r="X4057"/>
      <c r="Y4057"/>
      <c r="Z4057"/>
      <c r="AA4057"/>
      <c r="AB4057"/>
      <c r="AC4057"/>
      <c r="AD4057"/>
      <c r="AE4057"/>
      <c r="AF4057"/>
      <c r="AG4057"/>
      <c r="AH4057"/>
      <c r="AI4057"/>
      <c r="AJ4057"/>
      <c r="AK4057"/>
      <c r="AL4057"/>
    </row>
    <row r="4058" spans="1:38" ht="15.75" customHeight="1" outlineLevel="2" x14ac:dyDescent="0.2">
      <c r="A4058" s="1067">
        <v>1</v>
      </c>
      <c r="B4058" s="1067" t="s">
        <v>68</v>
      </c>
      <c r="C4058" s="1067" t="s">
        <v>779</v>
      </c>
      <c r="D4058" s="1067" t="s">
        <v>779</v>
      </c>
      <c r="E4058" s="1068" t="s">
        <v>70</v>
      </c>
      <c r="F4058" s="1075"/>
      <c r="G4058" s="1069" t="str">
        <f t="array" ref="G4058">IF(B4058="insumo",_xlfn.XLOOKUP($D4058,Insumos!$B$1:$B$996,Insumos!$D$1:$D$996),"")</f>
        <v/>
      </c>
      <c r="H4058" s="1069">
        <v>41</v>
      </c>
      <c r="I4058" s="1070">
        <v>0</v>
      </c>
      <c r="J4058" s="1070">
        <v>0</v>
      </c>
      <c r="K4058" s="1070"/>
      <c r="L4058"/>
      <c r="M4058"/>
      <c r="N4058"/>
      <c r="O4058"/>
      <c r="P4058"/>
      <c r="Q4058"/>
      <c r="R4058"/>
      <c r="S4058"/>
      <c r="T4058"/>
      <c r="U4058"/>
      <c r="V4058"/>
      <c r="W4058"/>
      <c r="X4058"/>
      <c r="Y4058"/>
      <c r="Z4058"/>
      <c r="AA4058"/>
      <c r="AB4058"/>
      <c r="AC4058"/>
      <c r="AD4058"/>
      <c r="AE4058"/>
      <c r="AF4058"/>
      <c r="AG4058"/>
      <c r="AH4058"/>
      <c r="AI4058"/>
      <c r="AJ4058"/>
      <c r="AK4058"/>
      <c r="AL4058"/>
    </row>
    <row r="4059" spans="1:38" ht="15.75" customHeight="1" outlineLevel="3" x14ac:dyDescent="0.2">
      <c r="A4059" s="10">
        <v>1</v>
      </c>
      <c r="B4059" s="10" t="s">
        <v>71</v>
      </c>
      <c r="C4059" s="10" t="s">
        <v>779</v>
      </c>
      <c r="D4059" s="10" t="s">
        <v>779</v>
      </c>
      <c r="E4059" s="11" t="str">
        <f t="array" ref="E4059">_xlfn.XLOOKUP(D4059,Insumos!B:B,Insumos!C:$C)</f>
        <v>M2</v>
      </c>
      <c r="F4059" s="14">
        <v>1</v>
      </c>
      <c r="G4059" s="92">
        <f t="array" ref="G4059">IF(B4059="insumo",_xlfn.XLOOKUP($D4059,Insumos!$B$1:$B$996,Insumos!$D$1:$D$996),"")</f>
        <v>41</v>
      </c>
      <c r="H4059" s="92">
        <v>41</v>
      </c>
      <c r="I4059" s="13">
        <v>0</v>
      </c>
      <c r="J4059" s="13">
        <v>0</v>
      </c>
      <c r="K4059" s="13"/>
      <c r="L4059"/>
      <c r="M4059"/>
      <c r="N4059"/>
      <c r="O4059"/>
      <c r="P4059"/>
      <c r="Q4059"/>
      <c r="R4059"/>
      <c r="S4059"/>
      <c r="T4059"/>
      <c r="U4059"/>
      <c r="V4059"/>
      <c r="W4059"/>
      <c r="X4059"/>
      <c r="Y4059"/>
      <c r="Z4059"/>
      <c r="AA4059"/>
      <c r="AB4059"/>
      <c r="AC4059"/>
      <c r="AD4059"/>
      <c r="AE4059"/>
      <c r="AF4059"/>
      <c r="AG4059"/>
      <c r="AH4059"/>
      <c r="AI4059"/>
      <c r="AJ4059"/>
      <c r="AK4059"/>
      <c r="AL4059"/>
    </row>
    <row r="4060" spans="1:38" ht="15.75" customHeight="1" outlineLevel="2" x14ac:dyDescent="0.2">
      <c r="A4060" s="1067">
        <v>1</v>
      </c>
      <c r="B4060" s="1067" t="s">
        <v>68</v>
      </c>
      <c r="C4060" s="1067" t="s">
        <v>780</v>
      </c>
      <c r="D4060" s="1067" t="s">
        <v>780</v>
      </c>
      <c r="E4060" s="1068" t="s">
        <v>70</v>
      </c>
      <c r="F4060" s="1075"/>
      <c r="G4060" s="1069" t="str">
        <f t="array" ref="G4060">IF(B4060="insumo",_xlfn.XLOOKUP($D4060,Insumos!$B$1:$B$996,Insumos!$D$1:$D$996),"")</f>
        <v/>
      </c>
      <c r="H4060" s="1069">
        <v>55</v>
      </c>
      <c r="I4060" s="1070">
        <v>0</v>
      </c>
      <c r="J4060" s="1070">
        <v>0</v>
      </c>
      <c r="K4060" s="1070"/>
      <c r="L4060"/>
      <c r="M4060"/>
      <c r="N4060"/>
      <c r="O4060"/>
      <c r="P4060"/>
      <c r="Q4060"/>
      <c r="R4060"/>
      <c r="S4060"/>
      <c r="T4060"/>
      <c r="U4060"/>
      <c r="V4060"/>
      <c r="W4060"/>
      <c r="X4060"/>
      <c r="Y4060"/>
      <c r="Z4060"/>
      <c r="AA4060"/>
      <c r="AB4060"/>
      <c r="AC4060"/>
      <c r="AD4060"/>
      <c r="AE4060"/>
      <c r="AF4060"/>
      <c r="AG4060"/>
      <c r="AH4060"/>
      <c r="AI4060"/>
      <c r="AJ4060"/>
      <c r="AK4060"/>
      <c r="AL4060"/>
    </row>
    <row r="4061" spans="1:38" ht="15.75" customHeight="1" outlineLevel="3" x14ac:dyDescent="0.2">
      <c r="A4061" s="10">
        <v>1</v>
      </c>
      <c r="B4061" s="10" t="s">
        <v>71</v>
      </c>
      <c r="C4061" s="10" t="s">
        <v>780</v>
      </c>
      <c r="D4061" s="10" t="s">
        <v>780</v>
      </c>
      <c r="E4061" s="11" t="str">
        <f t="array" ref="E4061">_xlfn.XLOOKUP(D4061,Insumos!B:B,Insumos!C:$C)</f>
        <v>M2</v>
      </c>
      <c r="F4061" s="14">
        <v>1</v>
      </c>
      <c r="G4061" s="92">
        <f t="array" ref="G4061">IF(B4061="insumo",_xlfn.XLOOKUP($D4061,Insumos!$B$1:$B$996,Insumos!$D$1:$D$996),"")</f>
        <v>55</v>
      </c>
      <c r="H4061" s="92">
        <v>55</v>
      </c>
      <c r="I4061" s="13">
        <v>0</v>
      </c>
      <c r="J4061" s="13">
        <v>0</v>
      </c>
      <c r="K4061" s="13"/>
      <c r="L4061"/>
      <c r="M4061"/>
      <c r="N4061"/>
      <c r="O4061"/>
      <c r="P4061"/>
      <c r="Q4061"/>
      <c r="R4061"/>
      <c r="S4061"/>
      <c r="T4061"/>
      <c r="U4061"/>
      <c r="V4061"/>
      <c r="W4061"/>
      <c r="X4061"/>
      <c r="Y4061"/>
      <c r="Z4061"/>
      <c r="AA4061"/>
      <c r="AB4061"/>
      <c r="AC4061"/>
      <c r="AD4061"/>
      <c r="AE4061"/>
      <c r="AF4061"/>
      <c r="AG4061"/>
      <c r="AH4061"/>
      <c r="AI4061"/>
      <c r="AJ4061"/>
      <c r="AK4061"/>
      <c r="AL4061"/>
    </row>
    <row r="4062" spans="1:38" ht="15.75" customHeight="1" outlineLevel="2" x14ac:dyDescent="0.2">
      <c r="A4062" s="1067">
        <v>1</v>
      </c>
      <c r="B4062" s="1067" t="s">
        <v>68</v>
      </c>
      <c r="C4062" s="1067" t="s">
        <v>3108</v>
      </c>
      <c r="D4062" s="1067" t="s">
        <v>3108</v>
      </c>
      <c r="E4062" s="1068" t="s">
        <v>70</v>
      </c>
      <c r="F4062" s="1075"/>
      <c r="G4062" s="1069" t="str">
        <f t="array" ref="G4062">IF(B4062="insumo",_xlfn.XLOOKUP($D4062,Insumos!$B$1:$B$996,Insumos!$D$1:$D$996),"")</f>
        <v/>
      </c>
      <c r="H4062" s="1069">
        <v>40</v>
      </c>
      <c r="I4062" s="1070" t="e">
        <v>#REF!</v>
      </c>
      <c r="J4062" s="1070" t="e">
        <v>#REF!</v>
      </c>
      <c r="K4062" s="1070"/>
      <c r="L4062"/>
      <c r="M4062"/>
      <c r="N4062"/>
      <c r="O4062"/>
      <c r="P4062"/>
      <c r="Q4062"/>
      <c r="R4062"/>
      <c r="S4062"/>
      <c r="T4062"/>
      <c r="U4062"/>
      <c r="V4062"/>
      <c r="W4062"/>
      <c r="X4062"/>
      <c r="Y4062"/>
      <c r="Z4062"/>
      <c r="AA4062"/>
      <c r="AB4062"/>
      <c r="AC4062"/>
      <c r="AD4062"/>
      <c r="AE4062"/>
      <c r="AF4062"/>
      <c r="AG4062"/>
      <c r="AH4062"/>
      <c r="AI4062"/>
      <c r="AJ4062"/>
      <c r="AK4062"/>
      <c r="AL4062"/>
    </row>
    <row r="4063" spans="1:38" ht="15.75" customHeight="1" outlineLevel="3" x14ac:dyDescent="0.2">
      <c r="A4063" s="10">
        <v>2</v>
      </c>
      <c r="B4063" s="10" t="s">
        <v>71</v>
      </c>
      <c r="C4063" s="10" t="s">
        <v>3108</v>
      </c>
      <c r="D4063" s="10" t="s">
        <v>3108</v>
      </c>
      <c r="E4063" s="11" t="str">
        <f t="array" ref="E4063">_xlfn.XLOOKUP(D4063,Insumos!B:B,Insumos!C:$C)</f>
        <v>M2</v>
      </c>
      <c r="F4063" s="14">
        <v>1</v>
      </c>
      <c r="G4063" s="92">
        <f t="array" ref="G4063">IF(B4063="insumo",_xlfn.XLOOKUP($D4063,Insumos!$B$1:$B$996,Insumos!$D$1:$D$996),"")</f>
        <v>40</v>
      </c>
      <c r="H4063" s="92">
        <v>40</v>
      </c>
      <c r="I4063" s="13" t="e">
        <v>#REF!</v>
      </c>
      <c r="J4063" s="13" t="e">
        <v>#REF!</v>
      </c>
      <c r="K4063" s="13"/>
      <c r="L4063"/>
      <c r="M4063"/>
      <c r="N4063"/>
      <c r="O4063"/>
      <c r="P4063"/>
      <c r="Q4063"/>
      <c r="R4063"/>
      <c r="S4063"/>
      <c r="T4063"/>
      <c r="U4063"/>
      <c r="V4063"/>
      <c r="W4063"/>
      <c r="X4063"/>
      <c r="Y4063"/>
      <c r="Z4063"/>
      <c r="AA4063"/>
      <c r="AB4063"/>
      <c r="AC4063"/>
      <c r="AD4063"/>
      <c r="AE4063"/>
      <c r="AF4063"/>
      <c r="AG4063"/>
      <c r="AH4063"/>
      <c r="AI4063"/>
      <c r="AJ4063"/>
      <c r="AK4063"/>
      <c r="AL4063"/>
    </row>
    <row r="4064" spans="1:38" ht="15.75" customHeight="1" outlineLevel="2" x14ac:dyDescent="0.2">
      <c r="A4064" s="1067">
        <v>1</v>
      </c>
      <c r="B4064" s="1067" t="s">
        <v>68</v>
      </c>
      <c r="C4064" s="1067" t="s">
        <v>781</v>
      </c>
      <c r="D4064" s="1067" t="s">
        <v>781</v>
      </c>
      <c r="E4064" s="1068" t="s">
        <v>70</v>
      </c>
      <c r="F4064" s="1075"/>
      <c r="G4064" s="1069" t="str">
        <f t="array" ref="G4064">IF(B4064="insumo",_xlfn.XLOOKUP($D4064,Insumos!$B$1:$B$996,Insumos!$D$1:$D$996),"")</f>
        <v/>
      </c>
      <c r="H4064" s="1069">
        <v>20</v>
      </c>
      <c r="I4064" s="1070">
        <v>0</v>
      </c>
      <c r="J4064" s="1070">
        <v>0</v>
      </c>
      <c r="K4064" s="1070"/>
      <c r="L4064"/>
      <c r="M4064"/>
      <c r="N4064"/>
      <c r="O4064"/>
      <c r="P4064"/>
      <c r="Q4064"/>
      <c r="R4064"/>
      <c r="S4064"/>
      <c r="T4064"/>
      <c r="U4064"/>
      <c r="V4064"/>
      <c r="W4064"/>
      <c r="X4064"/>
      <c r="Y4064"/>
      <c r="Z4064"/>
      <c r="AA4064"/>
      <c r="AB4064"/>
      <c r="AC4064"/>
      <c r="AD4064"/>
      <c r="AE4064"/>
      <c r="AF4064"/>
      <c r="AG4064"/>
      <c r="AH4064"/>
      <c r="AI4064"/>
      <c r="AJ4064"/>
      <c r="AK4064"/>
      <c r="AL4064"/>
    </row>
    <row r="4065" spans="1:38" ht="15.75" customHeight="1" outlineLevel="3" x14ac:dyDescent="0.2">
      <c r="A4065" s="10">
        <v>2</v>
      </c>
      <c r="B4065" s="10" t="s">
        <v>71</v>
      </c>
      <c r="C4065" s="10" t="s">
        <v>781</v>
      </c>
      <c r="D4065" s="10" t="s">
        <v>782</v>
      </c>
      <c r="E4065" s="11" t="str">
        <f t="array" ref="E4065">_xlfn.XLOOKUP(D4065,Insumos!B:B,Insumos!C:$C)</f>
        <v>M2</v>
      </c>
      <c r="F4065" s="14">
        <v>1</v>
      </c>
      <c r="G4065" s="92">
        <f t="array" ref="G4065">IF(B4065="insumo",_xlfn.XLOOKUP($D4065,Insumos!$B$1:$B$996,Insumos!$D$1:$D$996),"")</f>
        <v>20</v>
      </c>
      <c r="H4065" s="92">
        <v>20</v>
      </c>
      <c r="I4065" s="13">
        <v>0</v>
      </c>
      <c r="J4065" s="13">
        <v>0</v>
      </c>
      <c r="K4065" s="13"/>
      <c r="L4065"/>
      <c r="M4065"/>
      <c r="N4065"/>
      <c r="O4065"/>
      <c r="P4065"/>
      <c r="Q4065"/>
      <c r="R4065"/>
      <c r="S4065"/>
      <c r="T4065"/>
      <c r="U4065"/>
      <c r="V4065"/>
      <c r="W4065"/>
      <c r="X4065"/>
      <c r="Y4065"/>
      <c r="Z4065"/>
      <c r="AA4065"/>
      <c r="AB4065"/>
      <c r="AC4065"/>
      <c r="AD4065"/>
      <c r="AE4065"/>
      <c r="AF4065"/>
      <c r="AG4065"/>
      <c r="AH4065"/>
      <c r="AI4065"/>
      <c r="AJ4065"/>
      <c r="AK4065"/>
      <c r="AL4065"/>
    </row>
    <row r="4066" spans="1:38" ht="15.75" customHeight="1" outlineLevel="2" x14ac:dyDescent="0.2">
      <c r="A4066" s="1067">
        <v>1</v>
      </c>
      <c r="B4066" s="1067" t="s">
        <v>68</v>
      </c>
      <c r="C4066" s="1067" t="s">
        <v>782</v>
      </c>
      <c r="D4066" s="1067" t="s">
        <v>782</v>
      </c>
      <c r="E4066" s="1068" t="s">
        <v>70</v>
      </c>
      <c r="F4066" s="1075"/>
      <c r="G4066" s="1069" t="str">
        <f t="array" ref="G4066">IF(B4066="insumo",_xlfn.XLOOKUP($D4066,Insumos!$B$1:$B$996,Insumos!$D$1:$D$996),"")</f>
        <v/>
      </c>
      <c r="H4066" s="1069">
        <v>20</v>
      </c>
      <c r="I4066" s="1070">
        <v>0</v>
      </c>
      <c r="J4066" s="1070">
        <v>0</v>
      </c>
      <c r="K4066" s="1070"/>
      <c r="L4066"/>
      <c r="M4066"/>
      <c r="N4066"/>
      <c r="O4066"/>
      <c r="P4066"/>
      <c r="Q4066"/>
      <c r="R4066"/>
      <c r="S4066"/>
      <c r="T4066"/>
      <c r="U4066"/>
      <c r="V4066"/>
      <c r="W4066"/>
      <c r="X4066"/>
      <c r="Y4066"/>
      <c r="Z4066"/>
      <c r="AA4066"/>
      <c r="AB4066"/>
      <c r="AC4066"/>
      <c r="AD4066"/>
      <c r="AE4066"/>
      <c r="AF4066"/>
      <c r="AG4066"/>
      <c r="AH4066"/>
      <c r="AI4066"/>
      <c r="AJ4066"/>
      <c r="AK4066"/>
      <c r="AL4066"/>
    </row>
    <row r="4067" spans="1:38" ht="15.75" customHeight="1" outlineLevel="3" x14ac:dyDescent="0.2">
      <c r="A4067" s="10">
        <v>2</v>
      </c>
      <c r="B4067" s="10" t="s">
        <v>71</v>
      </c>
      <c r="C4067" s="10" t="s">
        <v>782</v>
      </c>
      <c r="D4067" s="10" t="s">
        <v>782</v>
      </c>
      <c r="E4067" s="11" t="str">
        <f t="array" ref="E4067">_xlfn.XLOOKUP(D4067,Insumos!B:B,Insumos!C:$C)</f>
        <v>M2</v>
      </c>
      <c r="F4067" s="14">
        <v>1</v>
      </c>
      <c r="G4067" s="92">
        <f t="array" ref="G4067">IF(B4067="insumo",_xlfn.XLOOKUP($D4067,Insumos!$B$1:$B$996,Insumos!$D$1:$D$996),"")</f>
        <v>20</v>
      </c>
      <c r="H4067" s="92">
        <v>20</v>
      </c>
      <c r="I4067" s="13">
        <v>0</v>
      </c>
      <c r="J4067" s="13">
        <v>0</v>
      </c>
      <c r="K4067" s="13"/>
      <c r="L4067"/>
      <c r="M4067"/>
      <c r="N4067"/>
      <c r="O4067"/>
      <c r="P4067"/>
      <c r="Q4067"/>
      <c r="R4067"/>
      <c r="S4067"/>
      <c r="T4067"/>
      <c r="U4067"/>
      <c r="V4067"/>
      <c r="W4067"/>
      <c r="X4067"/>
      <c r="Y4067"/>
      <c r="Z4067"/>
      <c r="AA4067"/>
      <c r="AB4067"/>
      <c r="AC4067"/>
      <c r="AD4067"/>
      <c r="AE4067"/>
      <c r="AF4067"/>
      <c r="AG4067"/>
      <c r="AH4067"/>
      <c r="AI4067"/>
      <c r="AJ4067"/>
      <c r="AK4067"/>
      <c r="AL4067"/>
    </row>
    <row r="4068" spans="1:38" ht="15.75" customHeight="1" outlineLevel="1" x14ac:dyDescent="0.2">
      <c r="A4068" s="1090">
        <v>1</v>
      </c>
      <c r="B4068" s="1090" t="s">
        <v>1228</v>
      </c>
      <c r="C4068" s="1090" t="s">
        <v>782</v>
      </c>
      <c r="D4068" s="1090" t="s">
        <v>1557</v>
      </c>
      <c r="E4068" s="1091"/>
      <c r="F4068" s="1092"/>
      <c r="G4068" s="1091"/>
      <c r="H4068" s="1091">
        <v>0</v>
      </c>
      <c r="I4068" s="1092">
        <v>0</v>
      </c>
      <c r="J4068" s="1092">
        <v>0</v>
      </c>
      <c r="K4068" s="1092"/>
      <c r="L4068"/>
      <c r="M4068"/>
      <c r="N4068"/>
      <c r="O4068"/>
      <c r="P4068"/>
      <c r="Q4068"/>
      <c r="R4068"/>
      <c r="S4068"/>
      <c r="T4068"/>
      <c r="U4068"/>
      <c r="V4068"/>
      <c r="W4068"/>
      <c r="X4068"/>
      <c r="Y4068"/>
      <c r="Z4068"/>
      <c r="AA4068"/>
      <c r="AB4068"/>
      <c r="AC4068"/>
      <c r="AD4068"/>
      <c r="AE4068"/>
      <c r="AF4068"/>
      <c r="AG4068"/>
      <c r="AH4068"/>
      <c r="AI4068"/>
      <c r="AJ4068"/>
      <c r="AK4068"/>
      <c r="AL4068"/>
    </row>
    <row r="4069" spans="1:38" ht="15.75" customHeight="1" outlineLevel="2" x14ac:dyDescent="0.2">
      <c r="A4069" s="1067">
        <v>1</v>
      </c>
      <c r="B4069" s="1067" t="s">
        <v>68</v>
      </c>
      <c r="C4069" s="1067" t="s">
        <v>783</v>
      </c>
      <c r="D4069" s="1067" t="s">
        <v>783</v>
      </c>
      <c r="E4069" s="1068" t="s">
        <v>70</v>
      </c>
      <c r="F4069" s="1075"/>
      <c r="G4069" s="1069" t="str">
        <f t="array" ref="G4069">IF(B4069="insumo",_xlfn.XLOOKUP($D4069,Insumos!$B$1:$B$996,Insumos!$D$1:$D$996),"")</f>
        <v/>
      </c>
      <c r="H4069" s="1069">
        <v>40</v>
      </c>
      <c r="I4069" s="1070" t="e">
        <v>#REF!</v>
      </c>
      <c r="J4069" s="1070" t="e">
        <v>#REF!</v>
      </c>
      <c r="K4069" s="1070"/>
      <c r="L4069"/>
      <c r="M4069"/>
      <c r="N4069"/>
      <c r="O4069"/>
      <c r="P4069"/>
      <c r="Q4069"/>
      <c r="R4069"/>
      <c r="S4069"/>
      <c r="T4069"/>
      <c r="U4069"/>
      <c r="V4069"/>
      <c r="W4069"/>
      <c r="X4069"/>
      <c r="Y4069"/>
      <c r="Z4069"/>
      <c r="AA4069"/>
      <c r="AB4069"/>
      <c r="AC4069"/>
      <c r="AD4069"/>
      <c r="AE4069"/>
      <c r="AF4069"/>
      <c r="AG4069"/>
      <c r="AH4069"/>
      <c r="AI4069"/>
      <c r="AJ4069"/>
      <c r="AK4069"/>
      <c r="AL4069"/>
    </row>
    <row r="4070" spans="1:38" ht="15.75" customHeight="1" outlineLevel="3" x14ac:dyDescent="0.2">
      <c r="A4070" s="10">
        <v>1</v>
      </c>
      <c r="B4070" s="10" t="s">
        <v>71</v>
      </c>
      <c r="C4070" s="10" t="s">
        <v>783</v>
      </c>
      <c r="D4070" s="10" t="s">
        <v>783</v>
      </c>
      <c r="E4070" s="11" t="str">
        <f t="array" ref="E4070">_xlfn.XLOOKUP(D4070,Insumos!B:B,Insumos!C:$C)</f>
        <v>M2</v>
      </c>
      <c r="F4070" s="14">
        <v>1</v>
      </c>
      <c r="G4070" s="92">
        <f t="array" ref="G4070">IF(B4070="insumo",_xlfn.XLOOKUP($D4070,Insumos!$B$1:$B$996,Insumos!$D$1:$D$996),"")</f>
        <v>40</v>
      </c>
      <c r="H4070" s="92">
        <v>40</v>
      </c>
      <c r="I4070" s="13" t="e">
        <v>#REF!</v>
      </c>
      <c r="J4070" s="13" t="e">
        <v>#REF!</v>
      </c>
      <c r="K4070" s="13"/>
      <c r="L4070"/>
      <c r="M4070"/>
      <c r="N4070"/>
      <c r="O4070"/>
      <c r="P4070"/>
      <c r="Q4070"/>
      <c r="R4070"/>
      <c r="S4070"/>
      <c r="T4070"/>
      <c r="U4070"/>
      <c r="V4070"/>
      <c r="W4070"/>
      <c r="X4070"/>
      <c r="Y4070"/>
      <c r="Z4070"/>
      <c r="AA4070"/>
      <c r="AB4070"/>
      <c r="AC4070"/>
      <c r="AD4070"/>
      <c r="AE4070"/>
      <c r="AF4070"/>
      <c r="AG4070"/>
      <c r="AH4070"/>
      <c r="AI4070"/>
      <c r="AJ4070"/>
      <c r="AK4070"/>
      <c r="AL4070"/>
    </row>
    <row r="4071" spans="1:38" ht="15.75" customHeight="1" outlineLevel="2" x14ac:dyDescent="0.2">
      <c r="A4071" s="1067">
        <v>1</v>
      </c>
      <c r="B4071" s="1067" t="s">
        <v>68</v>
      </c>
      <c r="C4071" s="1067" t="s">
        <v>3529</v>
      </c>
      <c r="D4071" s="1067" t="s">
        <v>3529</v>
      </c>
      <c r="E4071" s="1068" t="s">
        <v>70</v>
      </c>
      <c r="F4071" s="1075"/>
      <c r="G4071" s="1069" t="str">
        <f t="array" ref="G4071">IF(B4071="insumo",_xlfn.XLOOKUP($D4071,Insumos!$B$1:$B$996,Insumos!$D$1:$D$996),"")</f>
        <v/>
      </c>
      <c r="H4071" s="1069">
        <v>42</v>
      </c>
      <c r="I4071" s="1070" t="e">
        <v>#REF!</v>
      </c>
      <c r="J4071" s="1070" t="e">
        <v>#REF!</v>
      </c>
      <c r="K4071" s="1070"/>
      <c r="L4071"/>
      <c r="M4071"/>
      <c r="N4071"/>
      <c r="O4071"/>
      <c r="P4071"/>
      <c r="Q4071"/>
      <c r="R4071"/>
      <c r="S4071"/>
      <c r="T4071"/>
      <c r="U4071"/>
      <c r="V4071"/>
      <c r="W4071"/>
      <c r="X4071"/>
      <c r="Y4071"/>
      <c r="Z4071"/>
      <c r="AA4071"/>
      <c r="AB4071"/>
      <c r="AC4071"/>
      <c r="AD4071"/>
      <c r="AE4071"/>
      <c r="AF4071"/>
      <c r="AG4071"/>
      <c r="AH4071"/>
      <c r="AI4071"/>
      <c r="AJ4071"/>
      <c r="AK4071"/>
      <c r="AL4071"/>
    </row>
    <row r="4072" spans="1:38" ht="15.75" customHeight="1" outlineLevel="3" x14ac:dyDescent="0.2">
      <c r="A4072" s="10">
        <v>1</v>
      </c>
      <c r="B4072" s="10" t="s">
        <v>71</v>
      </c>
      <c r="C4072" s="10" t="s">
        <v>3529</v>
      </c>
      <c r="D4072" s="10" t="s">
        <v>3529</v>
      </c>
      <c r="E4072" s="11" t="str">
        <f t="array" ref="E4072">_xlfn.XLOOKUP(D4072,Insumos!B:B,Insumos!C:$C)</f>
        <v>M2</v>
      </c>
      <c r="F4072" s="14">
        <v>1</v>
      </c>
      <c r="G4072" s="92">
        <f t="array" ref="G4072">IF(B4072="insumo",_xlfn.XLOOKUP($D4072,Insumos!$B$1:$B$996,Insumos!$D$1:$D$996),"")</f>
        <v>42</v>
      </c>
      <c r="H4072" s="92">
        <v>42</v>
      </c>
      <c r="I4072" s="13" t="e">
        <v>#REF!</v>
      </c>
      <c r="J4072" s="13" t="e">
        <v>#REF!</v>
      </c>
      <c r="K4072" s="13"/>
      <c r="L4072"/>
      <c r="M4072"/>
      <c r="N4072"/>
      <c r="O4072"/>
      <c r="P4072"/>
      <c r="Q4072"/>
      <c r="R4072"/>
      <c r="S4072"/>
      <c r="T4072"/>
      <c r="U4072"/>
      <c r="V4072"/>
      <c r="W4072"/>
      <c r="X4072"/>
      <c r="Y4072"/>
      <c r="Z4072"/>
      <c r="AA4072"/>
      <c r="AB4072"/>
      <c r="AC4072"/>
      <c r="AD4072"/>
      <c r="AE4072"/>
      <c r="AF4072"/>
      <c r="AG4072"/>
      <c r="AH4072"/>
      <c r="AI4072"/>
      <c r="AJ4072"/>
      <c r="AK4072"/>
      <c r="AL4072"/>
    </row>
    <row r="4073" spans="1:38" ht="15.75" customHeight="1" outlineLevel="2" x14ac:dyDescent="0.2">
      <c r="A4073" s="1067">
        <v>1</v>
      </c>
      <c r="B4073" s="1067" t="s">
        <v>68</v>
      </c>
      <c r="C4073" s="1067" t="s">
        <v>784</v>
      </c>
      <c r="D4073" s="1067" t="s">
        <v>784</v>
      </c>
      <c r="E4073" s="1068" t="s">
        <v>70</v>
      </c>
      <c r="F4073" s="1075"/>
      <c r="G4073" s="1069" t="str">
        <f t="array" ref="G4073">IF(B4073="insumo",_xlfn.XLOOKUP($D4073,Insumos!$B$1:$B$996,Insumos!$D$1:$D$996),"")</f>
        <v/>
      </c>
      <c r="H4073" s="1069">
        <v>40</v>
      </c>
      <c r="I4073" s="1070" t="e">
        <v>#REF!</v>
      </c>
      <c r="J4073" s="1070" t="e">
        <v>#REF!</v>
      </c>
      <c r="K4073" s="1070"/>
      <c r="L4073"/>
      <c r="M4073"/>
      <c r="N4073"/>
      <c r="O4073"/>
      <c r="P4073"/>
      <c r="Q4073"/>
      <c r="R4073"/>
      <c r="S4073"/>
      <c r="T4073"/>
      <c r="U4073"/>
      <c r="V4073"/>
      <c r="W4073"/>
      <c r="X4073"/>
      <c r="Y4073"/>
      <c r="Z4073"/>
      <c r="AA4073"/>
      <c r="AB4073"/>
      <c r="AC4073"/>
      <c r="AD4073"/>
      <c r="AE4073"/>
      <c r="AF4073"/>
      <c r="AG4073"/>
      <c r="AH4073"/>
      <c r="AI4073"/>
      <c r="AJ4073"/>
      <c r="AK4073"/>
      <c r="AL4073"/>
    </row>
    <row r="4074" spans="1:38" ht="15.75" customHeight="1" outlineLevel="3" x14ac:dyDescent="0.2">
      <c r="A4074" s="10">
        <v>1</v>
      </c>
      <c r="B4074" s="10" t="s">
        <v>71</v>
      </c>
      <c r="C4074" s="10" t="s">
        <v>784</v>
      </c>
      <c r="D4074" s="10" t="s">
        <v>784</v>
      </c>
      <c r="E4074" s="11" t="str">
        <f t="array" ref="E4074">_xlfn.XLOOKUP(D4074,Insumos!B:B,Insumos!C:$C)</f>
        <v>UN</v>
      </c>
      <c r="F4074" s="14">
        <v>1</v>
      </c>
      <c r="G4074" s="92">
        <f t="array" ref="G4074">IF(B4074="insumo",_xlfn.XLOOKUP($D4074,Insumos!$B$1:$B$996,Insumos!$D$1:$D$996),"")</f>
        <v>40</v>
      </c>
      <c r="H4074" s="92">
        <v>40</v>
      </c>
      <c r="I4074" s="13" t="e">
        <v>#REF!</v>
      </c>
      <c r="J4074" s="13" t="e">
        <v>#REF!</v>
      </c>
      <c r="K4074" s="13"/>
      <c r="L4074"/>
      <c r="M4074"/>
      <c r="N4074"/>
      <c r="O4074"/>
      <c r="P4074"/>
      <c r="Q4074"/>
      <c r="R4074"/>
      <c r="S4074"/>
      <c r="T4074"/>
      <c r="U4074"/>
      <c r="V4074"/>
      <c r="W4074"/>
      <c r="X4074"/>
      <c r="Y4074"/>
      <c r="Z4074"/>
      <c r="AA4074"/>
      <c r="AB4074"/>
      <c r="AC4074"/>
      <c r="AD4074"/>
      <c r="AE4074"/>
      <c r="AF4074"/>
      <c r="AG4074"/>
      <c r="AH4074"/>
      <c r="AI4074"/>
      <c r="AJ4074"/>
      <c r="AK4074"/>
      <c r="AL4074"/>
    </row>
    <row r="4075" spans="1:38" ht="15.75" customHeight="1" outlineLevel="2" x14ac:dyDescent="0.2">
      <c r="A4075" s="1067">
        <v>1</v>
      </c>
      <c r="B4075" s="1067" t="s">
        <v>68</v>
      </c>
      <c r="C4075" s="1067" t="s">
        <v>1568</v>
      </c>
      <c r="D4075" s="1067" t="s">
        <v>1568</v>
      </c>
      <c r="E4075" s="1068" t="s">
        <v>70</v>
      </c>
      <c r="F4075" s="1075"/>
      <c r="G4075" s="1069" t="str">
        <f t="array" ref="G4075">IF(B4075="insumo",_xlfn.XLOOKUP($D4075,Insumos!$B$1:$B$996,Insumos!$D$1:$D$996),"")</f>
        <v/>
      </c>
      <c r="H4075" s="1069">
        <v>20</v>
      </c>
      <c r="I4075" s="1070" t="e">
        <v>#REF!</v>
      </c>
      <c r="J4075" s="1070" t="e">
        <v>#REF!</v>
      </c>
      <c r="K4075" s="1070"/>
      <c r="L4075"/>
      <c r="M4075"/>
      <c r="N4075"/>
      <c r="O4075"/>
      <c r="P4075"/>
      <c r="Q4075"/>
      <c r="R4075"/>
      <c r="S4075"/>
      <c r="T4075"/>
      <c r="U4075"/>
      <c r="V4075"/>
      <c r="W4075"/>
      <c r="X4075"/>
      <c r="Y4075"/>
      <c r="Z4075"/>
      <c r="AA4075"/>
      <c r="AB4075"/>
      <c r="AC4075"/>
      <c r="AD4075"/>
      <c r="AE4075"/>
      <c r="AF4075"/>
      <c r="AG4075"/>
      <c r="AH4075"/>
      <c r="AI4075"/>
      <c r="AJ4075"/>
      <c r="AK4075"/>
      <c r="AL4075"/>
    </row>
    <row r="4076" spans="1:38" ht="15.75" customHeight="1" outlineLevel="3" x14ac:dyDescent="0.2">
      <c r="A4076" s="10">
        <v>1</v>
      </c>
      <c r="B4076" s="10" t="s">
        <v>71</v>
      </c>
      <c r="C4076" s="10" t="s">
        <v>1568</v>
      </c>
      <c r="D4076" s="10" t="s">
        <v>1568</v>
      </c>
      <c r="E4076" s="11" t="str">
        <f t="array" ref="E4076">_xlfn.XLOOKUP(D4076,Insumos!B:B,Insumos!C:$C)</f>
        <v>UN</v>
      </c>
      <c r="F4076" s="14">
        <v>1</v>
      </c>
      <c r="G4076" s="92">
        <f t="array" ref="G4076">IF(B4076="insumo",_xlfn.XLOOKUP($D4076,Insumos!$B$1:$B$996,Insumos!$D$1:$D$996),"")</f>
        <v>20</v>
      </c>
      <c r="H4076" s="92">
        <v>20</v>
      </c>
      <c r="I4076" s="13" t="e">
        <v>#REF!</v>
      </c>
      <c r="J4076" s="13" t="e">
        <v>#REF!</v>
      </c>
      <c r="K4076" s="13"/>
      <c r="L4076"/>
      <c r="M4076"/>
      <c r="N4076"/>
      <c r="O4076"/>
      <c r="P4076"/>
      <c r="Q4076"/>
      <c r="R4076"/>
      <c r="S4076"/>
      <c r="T4076"/>
      <c r="U4076"/>
      <c r="V4076"/>
      <c r="W4076"/>
      <c r="X4076"/>
      <c r="Y4076"/>
      <c r="Z4076"/>
      <c r="AA4076"/>
      <c r="AB4076"/>
      <c r="AC4076"/>
      <c r="AD4076"/>
      <c r="AE4076"/>
      <c r="AF4076"/>
      <c r="AG4076"/>
      <c r="AH4076"/>
      <c r="AI4076"/>
      <c r="AJ4076"/>
      <c r="AK4076"/>
      <c r="AL4076"/>
    </row>
    <row r="4077" spans="1:38" ht="15.75" customHeight="1" outlineLevel="1" x14ac:dyDescent="0.2">
      <c r="A4077" s="1090">
        <v>1</v>
      </c>
      <c r="B4077" s="1090" t="s">
        <v>1228</v>
      </c>
      <c r="C4077" s="1090" t="s">
        <v>1568</v>
      </c>
      <c r="D4077" s="1090" t="s">
        <v>1558</v>
      </c>
      <c r="E4077" s="1091"/>
      <c r="F4077" s="1092"/>
      <c r="G4077" s="1091"/>
      <c r="H4077" s="1091">
        <v>0</v>
      </c>
      <c r="I4077" s="1092">
        <v>0</v>
      </c>
      <c r="J4077" s="1092">
        <v>0</v>
      </c>
      <c r="K4077" s="1092"/>
      <c r="L4077"/>
      <c r="M4077"/>
      <c r="N4077"/>
      <c r="O4077"/>
      <c r="P4077"/>
      <c r="Q4077"/>
      <c r="R4077"/>
      <c r="S4077"/>
      <c r="T4077"/>
      <c r="U4077"/>
      <c r="V4077"/>
      <c r="W4077"/>
      <c r="X4077"/>
      <c r="Y4077"/>
      <c r="Z4077"/>
      <c r="AA4077"/>
      <c r="AB4077"/>
      <c r="AC4077"/>
      <c r="AD4077"/>
      <c r="AE4077"/>
      <c r="AF4077"/>
      <c r="AG4077"/>
      <c r="AH4077"/>
      <c r="AI4077"/>
      <c r="AJ4077"/>
      <c r="AK4077"/>
      <c r="AL4077"/>
    </row>
    <row r="4078" spans="1:38" ht="15.75" customHeight="1" outlineLevel="2" x14ac:dyDescent="0.2">
      <c r="A4078" s="1067">
        <v>1</v>
      </c>
      <c r="B4078" s="1067" t="s">
        <v>68</v>
      </c>
      <c r="C4078" s="1067" t="s">
        <v>785</v>
      </c>
      <c r="D4078" s="1067" t="s">
        <v>785</v>
      </c>
      <c r="E4078" s="1068" t="s">
        <v>70</v>
      </c>
      <c r="F4078" s="1075"/>
      <c r="G4078" s="1069" t="str">
        <f t="array" ref="G4078">IF(B4078="insumo",_xlfn.XLOOKUP($D4078,Insumos!$B$1:$B$996,Insumos!$D$1:$D$996),"")</f>
        <v/>
      </c>
      <c r="H4078" s="1069">
        <v>40</v>
      </c>
      <c r="I4078" s="1070" t="e">
        <v>#REF!</v>
      </c>
      <c r="J4078" s="1070" t="e">
        <v>#REF!</v>
      </c>
      <c r="K4078" s="1070"/>
      <c r="L4078"/>
      <c r="M4078"/>
      <c r="N4078"/>
      <c r="O4078"/>
      <c r="P4078"/>
      <c r="Q4078"/>
      <c r="R4078"/>
      <c r="S4078"/>
      <c r="T4078"/>
      <c r="U4078"/>
      <c r="V4078"/>
      <c r="W4078"/>
      <c r="X4078"/>
      <c r="Y4078"/>
      <c r="Z4078"/>
      <c r="AA4078"/>
      <c r="AB4078"/>
      <c r="AC4078"/>
      <c r="AD4078"/>
      <c r="AE4078"/>
      <c r="AF4078"/>
      <c r="AG4078"/>
      <c r="AH4078"/>
      <c r="AI4078"/>
      <c r="AJ4078"/>
      <c r="AK4078"/>
      <c r="AL4078"/>
    </row>
    <row r="4079" spans="1:38" ht="15.75" customHeight="1" outlineLevel="3" x14ac:dyDescent="0.2">
      <c r="A4079" s="10">
        <v>1</v>
      </c>
      <c r="B4079" s="10" t="s">
        <v>71</v>
      </c>
      <c r="C4079" s="10" t="s">
        <v>785</v>
      </c>
      <c r="D4079" s="10" t="s">
        <v>785</v>
      </c>
      <c r="E4079" s="11" t="str">
        <f t="array" ref="E4079">_xlfn.XLOOKUP(D4079,Insumos!B:B,Insumos!C:$C)</f>
        <v>UN</v>
      </c>
      <c r="F4079" s="14">
        <v>1</v>
      </c>
      <c r="G4079" s="92">
        <f t="array" ref="G4079">IF(B4079="insumo",_xlfn.XLOOKUP($D4079,Insumos!$B$1:$B$996,Insumos!$D$1:$D$996),"")</f>
        <v>40</v>
      </c>
      <c r="H4079" s="92">
        <v>40</v>
      </c>
      <c r="I4079" s="13" t="e">
        <v>#REF!</v>
      </c>
      <c r="J4079" s="13" t="e">
        <v>#REF!</v>
      </c>
      <c r="K4079" s="13"/>
      <c r="L4079"/>
      <c r="M4079"/>
      <c r="N4079"/>
      <c r="O4079"/>
      <c r="P4079"/>
      <c r="Q4079"/>
      <c r="R4079"/>
      <c r="S4079"/>
      <c r="T4079"/>
      <c r="U4079"/>
      <c r="V4079"/>
      <c r="W4079"/>
      <c r="X4079"/>
      <c r="Y4079"/>
      <c r="Z4079"/>
      <c r="AA4079"/>
      <c r="AB4079"/>
      <c r="AC4079"/>
      <c r="AD4079"/>
      <c r="AE4079"/>
      <c r="AF4079"/>
      <c r="AG4079"/>
      <c r="AH4079"/>
      <c r="AI4079"/>
      <c r="AJ4079"/>
      <c r="AK4079"/>
      <c r="AL4079"/>
    </row>
    <row r="4080" spans="1:38" ht="15.75" customHeight="1" outlineLevel="2" x14ac:dyDescent="0.2">
      <c r="A4080" s="1067">
        <v>1</v>
      </c>
      <c r="B4080" s="1067" t="s">
        <v>68</v>
      </c>
      <c r="C4080" s="1067" t="s">
        <v>3107</v>
      </c>
      <c r="D4080" s="1067" t="s">
        <v>3107</v>
      </c>
      <c r="E4080" s="1068" t="s">
        <v>70</v>
      </c>
      <c r="F4080" s="1075"/>
      <c r="G4080" s="1069" t="str">
        <f t="array" ref="G4080">IF(B4080="insumo",_xlfn.XLOOKUP($D4080,Insumos!$B$1:$B$996,Insumos!$D$1:$D$996),"")</f>
        <v/>
      </c>
      <c r="H4080" s="1069">
        <v>400</v>
      </c>
      <c r="I4080" s="1070" t="e">
        <v>#REF!</v>
      </c>
      <c r="J4080" s="1070" t="e">
        <v>#REF!</v>
      </c>
      <c r="K4080" s="1070"/>
      <c r="L4080"/>
      <c r="M4080"/>
      <c r="N4080"/>
      <c r="O4080"/>
      <c r="P4080"/>
      <c r="Q4080"/>
      <c r="R4080"/>
      <c r="S4080"/>
      <c r="T4080"/>
      <c r="U4080"/>
      <c r="V4080"/>
      <c r="W4080"/>
      <c r="X4080"/>
      <c r="Y4080"/>
      <c r="Z4080"/>
      <c r="AA4080"/>
      <c r="AB4080"/>
      <c r="AC4080"/>
      <c r="AD4080"/>
      <c r="AE4080"/>
      <c r="AF4080"/>
      <c r="AG4080"/>
      <c r="AH4080"/>
      <c r="AI4080"/>
      <c r="AJ4080"/>
      <c r="AK4080"/>
      <c r="AL4080"/>
    </row>
    <row r="4081" spans="1:38" ht="15.75" customHeight="1" outlineLevel="3" x14ac:dyDescent="0.2">
      <c r="A4081" s="10">
        <v>1</v>
      </c>
      <c r="B4081" s="10" t="s">
        <v>71</v>
      </c>
      <c r="C4081" s="10" t="s">
        <v>3107</v>
      </c>
      <c r="D4081" s="10" t="s">
        <v>3107</v>
      </c>
      <c r="E4081" s="11" t="str">
        <f t="array" ref="E4081">_xlfn.XLOOKUP(D4081,Insumos!B:B,Insumos!C:$C)</f>
        <v>M2</v>
      </c>
      <c r="F4081" s="14">
        <v>1</v>
      </c>
      <c r="G4081" s="92">
        <f t="array" ref="G4081">IF(B4081="insumo",_xlfn.XLOOKUP($D4081,Insumos!$B$1:$B$996,Insumos!$D$1:$D$996),"")</f>
        <v>400</v>
      </c>
      <c r="H4081" s="92">
        <v>400</v>
      </c>
      <c r="I4081" s="13" t="e">
        <v>#REF!</v>
      </c>
      <c r="J4081" s="13" t="e">
        <v>#REF!</v>
      </c>
      <c r="K4081" s="13"/>
      <c r="L4081"/>
      <c r="M4081"/>
      <c r="N4081"/>
      <c r="O4081"/>
      <c r="P4081"/>
      <c r="Q4081"/>
      <c r="R4081"/>
      <c r="S4081"/>
      <c r="T4081"/>
      <c r="U4081"/>
      <c r="V4081"/>
      <c r="W4081"/>
      <c r="X4081"/>
      <c r="Y4081"/>
      <c r="Z4081"/>
      <c r="AA4081"/>
      <c r="AB4081"/>
      <c r="AC4081"/>
      <c r="AD4081"/>
      <c r="AE4081"/>
      <c r="AF4081"/>
      <c r="AG4081"/>
      <c r="AH4081"/>
      <c r="AI4081"/>
      <c r="AJ4081"/>
      <c r="AK4081"/>
      <c r="AL4081"/>
    </row>
    <row r="4082" spans="1:38" ht="15.75" customHeight="1" outlineLevel="2" x14ac:dyDescent="0.2">
      <c r="A4082" s="1067">
        <v>1</v>
      </c>
      <c r="B4082" s="1067" t="s">
        <v>68</v>
      </c>
      <c r="C4082" s="1067" t="s">
        <v>3109</v>
      </c>
      <c r="D4082" s="1067" t="s">
        <v>3109</v>
      </c>
      <c r="E4082" s="1068" t="s">
        <v>70</v>
      </c>
      <c r="F4082" s="1075"/>
      <c r="G4082" s="1069" t="str">
        <f t="array" ref="G4082">IF(B4082="insumo",_xlfn.XLOOKUP($D4082,Insumos!$B$1:$B$996,Insumos!$D$1:$D$996),"")</f>
        <v/>
      </c>
      <c r="H4082" s="1069">
        <v>40</v>
      </c>
      <c r="I4082" s="1070" t="e">
        <v>#REF!</v>
      </c>
      <c r="J4082" s="1070" t="e">
        <v>#REF!</v>
      </c>
      <c r="K4082" s="1070"/>
      <c r="L4082"/>
      <c r="M4082"/>
      <c r="N4082"/>
      <c r="O4082"/>
      <c r="P4082"/>
      <c r="Q4082"/>
      <c r="R4082"/>
      <c r="S4082"/>
      <c r="T4082"/>
      <c r="U4082"/>
      <c r="V4082"/>
      <c r="W4082"/>
      <c r="X4082"/>
      <c r="Y4082"/>
      <c r="Z4082"/>
      <c r="AA4082"/>
      <c r="AB4082"/>
      <c r="AC4082"/>
      <c r="AD4082"/>
      <c r="AE4082"/>
      <c r="AF4082"/>
      <c r="AG4082"/>
      <c r="AH4082"/>
      <c r="AI4082"/>
      <c r="AJ4082"/>
      <c r="AK4082"/>
      <c r="AL4082"/>
    </row>
    <row r="4083" spans="1:38" ht="15.75" customHeight="1" outlineLevel="3" x14ac:dyDescent="0.2">
      <c r="A4083" s="10">
        <v>2</v>
      </c>
      <c r="B4083" s="10" t="s">
        <v>71</v>
      </c>
      <c r="C4083" s="10" t="s">
        <v>3109</v>
      </c>
      <c r="D4083" s="10" t="s">
        <v>3108</v>
      </c>
      <c r="E4083" s="11" t="str">
        <f t="array" ref="E4083">_xlfn.XLOOKUP(D4083,Insumos!B:B,Insumos!C:$C)</f>
        <v>M2</v>
      </c>
      <c r="F4083" s="14">
        <v>1</v>
      </c>
      <c r="G4083" s="92">
        <f t="array" ref="G4083">IF(B4083="insumo",_xlfn.XLOOKUP($D4083,Insumos!$B$1:$B$996,Insumos!$D$1:$D$996),"")</f>
        <v>40</v>
      </c>
      <c r="H4083" s="92">
        <v>40</v>
      </c>
      <c r="I4083" s="13" t="e">
        <v>#REF!</v>
      </c>
      <c r="J4083" s="13" t="e">
        <v>#REF!</v>
      </c>
      <c r="K4083" s="13"/>
      <c r="L4083"/>
      <c r="M4083"/>
      <c r="N4083"/>
      <c r="O4083"/>
      <c r="P4083"/>
      <c r="Q4083"/>
      <c r="R4083"/>
      <c r="S4083"/>
      <c r="T4083"/>
      <c r="U4083"/>
      <c r="V4083"/>
      <c r="W4083"/>
      <c r="X4083"/>
      <c r="Y4083"/>
      <c r="Z4083"/>
      <c r="AA4083"/>
      <c r="AB4083"/>
      <c r="AC4083"/>
      <c r="AD4083"/>
      <c r="AE4083"/>
      <c r="AF4083"/>
      <c r="AG4083"/>
      <c r="AH4083"/>
      <c r="AI4083"/>
      <c r="AJ4083"/>
      <c r="AK4083"/>
      <c r="AL4083"/>
    </row>
    <row r="4084" spans="1:38" ht="15.75" customHeight="1" outlineLevel="2" x14ac:dyDescent="0.2">
      <c r="A4084" s="1067">
        <v>1</v>
      </c>
      <c r="B4084" s="1067" t="s">
        <v>68</v>
      </c>
      <c r="C4084" s="1067" t="s">
        <v>786</v>
      </c>
      <c r="D4084" s="1067" t="s">
        <v>786</v>
      </c>
      <c r="E4084" s="1068" t="s">
        <v>70</v>
      </c>
      <c r="F4084" s="1075"/>
      <c r="G4084" s="1069" t="str">
        <f t="array" ref="G4084">IF(B4084="insumo",_xlfn.XLOOKUP($D4084,Insumos!$B$1:$B$996,Insumos!$D$1:$D$996),"")</f>
        <v/>
      </c>
      <c r="H4084" s="1069">
        <v>40</v>
      </c>
      <c r="I4084" s="1070" t="e">
        <v>#REF!</v>
      </c>
      <c r="J4084" s="1070" t="e">
        <v>#REF!</v>
      </c>
      <c r="K4084" s="1070"/>
      <c r="L4084"/>
      <c r="M4084"/>
      <c r="N4084"/>
      <c r="O4084"/>
      <c r="P4084"/>
      <c r="Q4084"/>
      <c r="R4084"/>
      <c r="S4084"/>
      <c r="T4084"/>
      <c r="U4084"/>
      <c r="V4084"/>
      <c r="W4084"/>
      <c r="X4084"/>
      <c r="Y4084"/>
      <c r="Z4084"/>
      <c r="AA4084"/>
      <c r="AB4084"/>
      <c r="AC4084"/>
      <c r="AD4084"/>
      <c r="AE4084"/>
      <c r="AF4084"/>
      <c r="AG4084"/>
      <c r="AH4084"/>
      <c r="AI4084"/>
      <c r="AJ4084"/>
      <c r="AK4084"/>
      <c r="AL4084"/>
    </row>
    <row r="4085" spans="1:38" ht="15.75" customHeight="1" outlineLevel="3" x14ac:dyDescent="0.2">
      <c r="A4085" s="10">
        <v>1</v>
      </c>
      <c r="B4085" s="10" t="s">
        <v>71</v>
      </c>
      <c r="C4085" s="10" t="s">
        <v>786</v>
      </c>
      <c r="D4085" s="10" t="s">
        <v>786</v>
      </c>
      <c r="E4085" s="11" t="str">
        <f t="array" ref="E4085">_xlfn.XLOOKUP(D4085,Insumos!B:B,Insumos!C:$C)</f>
        <v>M2</v>
      </c>
      <c r="F4085" s="14">
        <v>1</v>
      </c>
      <c r="G4085" s="92">
        <f t="array" ref="G4085">IF(B4085="insumo",_xlfn.XLOOKUP($D4085,Insumos!$B$1:$B$996,Insumos!$D$1:$D$996),"")</f>
        <v>40</v>
      </c>
      <c r="H4085" s="92">
        <v>40</v>
      </c>
      <c r="I4085" s="13" t="e">
        <v>#REF!</v>
      </c>
      <c r="J4085" s="13" t="e">
        <v>#REF!</v>
      </c>
      <c r="K4085" s="13"/>
      <c r="L4085"/>
      <c r="M4085"/>
      <c r="N4085"/>
      <c r="O4085"/>
      <c r="P4085"/>
      <c r="Q4085"/>
      <c r="R4085"/>
      <c r="S4085"/>
      <c r="T4085"/>
      <c r="U4085"/>
      <c r="V4085"/>
      <c r="W4085"/>
      <c r="X4085"/>
      <c r="Y4085"/>
      <c r="Z4085"/>
      <c r="AA4085"/>
      <c r="AB4085"/>
      <c r="AC4085"/>
      <c r="AD4085"/>
      <c r="AE4085"/>
      <c r="AF4085"/>
      <c r="AG4085"/>
      <c r="AH4085"/>
      <c r="AI4085"/>
      <c r="AJ4085"/>
      <c r="AK4085"/>
      <c r="AL4085"/>
    </row>
    <row r="4086" spans="1:38" ht="15.75" customHeight="1" x14ac:dyDescent="0.2">
      <c r="A4086" s="7">
        <v>1</v>
      </c>
      <c r="B4086" s="7" t="s">
        <v>66</v>
      </c>
      <c r="C4086" s="7" t="s">
        <v>786</v>
      </c>
      <c r="D4086" s="7" t="s">
        <v>27</v>
      </c>
      <c r="E4086" s="8"/>
      <c r="F4086" s="9"/>
      <c r="G4086" s="91" t="str">
        <f t="array" ref="G4086">IF(B4086="insumo",_xlfn.XLOOKUP($D4086,Insumos!$B$1:$B$996,Insumos!$D$1:$D$996),"")</f>
        <v/>
      </c>
      <c r="H4086" s="91">
        <v>0</v>
      </c>
      <c r="I4086" s="9">
        <v>0</v>
      </c>
      <c r="J4086" s="9">
        <v>0</v>
      </c>
      <c r="K4086" s="9"/>
      <c r="L4086"/>
      <c r="M4086"/>
      <c r="N4086"/>
      <c r="O4086"/>
      <c r="P4086"/>
      <c r="Q4086"/>
      <c r="R4086"/>
      <c r="S4086"/>
      <c r="T4086"/>
      <c r="U4086"/>
      <c r="V4086"/>
      <c r="W4086"/>
      <c r="X4086"/>
      <c r="Y4086"/>
      <c r="Z4086"/>
      <c r="AA4086"/>
      <c r="AB4086"/>
      <c r="AC4086"/>
      <c r="AD4086"/>
      <c r="AE4086"/>
      <c r="AF4086"/>
      <c r="AG4086"/>
      <c r="AH4086"/>
      <c r="AI4086"/>
      <c r="AJ4086"/>
      <c r="AK4086"/>
      <c r="AL4086"/>
    </row>
    <row r="4087" spans="1:38" ht="15.75" customHeight="1" outlineLevel="1" x14ac:dyDescent="0.2">
      <c r="A4087" s="1090">
        <v>1</v>
      </c>
      <c r="B4087" s="1090" t="s">
        <v>1228</v>
      </c>
      <c r="C4087" s="1090" t="s">
        <v>786</v>
      </c>
      <c r="D4087" s="1090" t="s">
        <v>1532</v>
      </c>
      <c r="E4087" s="1091"/>
      <c r="F4087" s="1092"/>
      <c r="G4087" s="1091"/>
      <c r="H4087" s="1091">
        <v>0</v>
      </c>
      <c r="I4087" s="1092">
        <v>0</v>
      </c>
      <c r="J4087" s="1092">
        <v>0</v>
      </c>
      <c r="K4087" s="1092"/>
      <c r="L4087"/>
      <c r="M4087"/>
      <c r="N4087"/>
      <c r="O4087"/>
      <c r="P4087"/>
      <c r="Q4087"/>
      <c r="R4087"/>
      <c r="S4087"/>
      <c r="T4087"/>
      <c r="U4087"/>
      <c r="V4087"/>
      <c r="W4087"/>
      <c r="X4087"/>
      <c r="Y4087"/>
      <c r="Z4087"/>
      <c r="AA4087"/>
      <c r="AB4087"/>
      <c r="AC4087"/>
      <c r="AD4087"/>
      <c r="AE4087"/>
      <c r="AF4087"/>
      <c r="AG4087"/>
      <c r="AH4087"/>
      <c r="AI4087"/>
      <c r="AJ4087"/>
      <c r="AK4087"/>
      <c r="AL4087"/>
    </row>
    <row r="4088" spans="1:38" ht="15.75" customHeight="1" outlineLevel="2" x14ac:dyDescent="0.2">
      <c r="A4088" s="1067">
        <v>1</v>
      </c>
      <c r="B4088" s="1067" t="s">
        <v>68</v>
      </c>
      <c r="C4088" s="1067" t="s">
        <v>787</v>
      </c>
      <c r="D4088" s="1067" t="s">
        <v>787</v>
      </c>
      <c r="E4088" s="1068" t="s">
        <v>70</v>
      </c>
      <c r="F4088" s="1067"/>
      <c r="G4088" s="1069" t="str">
        <f t="array" ref="G4088">IF(B4088="insumo",_xlfn.XLOOKUP($D4088,Insumos!$B$1:$B$996,Insumos!$D$1:$D$996),"")</f>
        <v/>
      </c>
      <c r="H4088" s="1069">
        <v>2140</v>
      </c>
      <c r="I4088" s="1070">
        <v>0</v>
      </c>
      <c r="J4088" s="1070">
        <v>0</v>
      </c>
      <c r="K4088" s="1070"/>
      <c r="L4088"/>
      <c r="M4088"/>
      <c r="N4088"/>
      <c r="O4088"/>
      <c r="P4088"/>
      <c r="Q4088"/>
      <c r="R4088"/>
      <c r="S4088"/>
      <c r="T4088"/>
      <c r="U4088"/>
      <c r="V4088"/>
      <c r="W4088"/>
      <c r="X4088"/>
      <c r="Y4088"/>
      <c r="Z4088"/>
      <c r="AA4088"/>
      <c r="AB4088"/>
      <c r="AC4088"/>
      <c r="AD4088"/>
      <c r="AE4088"/>
      <c r="AF4088"/>
      <c r="AG4088"/>
      <c r="AH4088"/>
      <c r="AI4088"/>
      <c r="AJ4088"/>
      <c r="AK4088"/>
      <c r="AL4088"/>
    </row>
    <row r="4089" spans="1:38" ht="15.75" customHeight="1" outlineLevel="3" x14ac:dyDescent="0.2">
      <c r="A4089" s="10">
        <v>1</v>
      </c>
      <c r="B4089" s="10" t="s">
        <v>71</v>
      </c>
      <c r="C4089" s="10" t="s">
        <v>787</v>
      </c>
      <c r="D4089" s="10" t="s">
        <v>787</v>
      </c>
      <c r="E4089" s="11" t="str">
        <f t="array" ref="E4089">_xlfn.XLOOKUP(D4089,Insumos!B:B,Insumos!C:$C)</f>
        <v>M2</v>
      </c>
      <c r="F4089" s="14">
        <v>1</v>
      </c>
      <c r="G4089" s="92">
        <f t="array" ref="G4089">IF(B4089="insumo",_xlfn.XLOOKUP($D4089,Insumos!$B$1:$B$996,Insumos!$D$1:$D$996),"")</f>
        <v>2140</v>
      </c>
      <c r="H4089" s="92">
        <v>2140</v>
      </c>
      <c r="I4089" s="13">
        <v>0</v>
      </c>
      <c r="J4089" s="13">
        <v>0</v>
      </c>
      <c r="K4089" s="13"/>
      <c r="L4089"/>
      <c r="M4089"/>
      <c r="N4089"/>
      <c r="O4089"/>
      <c r="P4089"/>
      <c r="Q4089"/>
      <c r="R4089"/>
      <c r="S4089"/>
      <c r="T4089"/>
      <c r="U4089"/>
      <c r="V4089"/>
      <c r="W4089"/>
      <c r="X4089"/>
      <c r="Y4089"/>
      <c r="Z4089"/>
      <c r="AA4089"/>
      <c r="AB4089"/>
      <c r="AC4089"/>
      <c r="AD4089"/>
      <c r="AE4089"/>
      <c r="AF4089"/>
      <c r="AG4089"/>
      <c r="AH4089"/>
      <c r="AI4089"/>
      <c r="AJ4089"/>
      <c r="AK4089"/>
      <c r="AL4089"/>
    </row>
    <row r="4090" spans="1:38" ht="15.75" customHeight="1" outlineLevel="2" x14ac:dyDescent="0.2">
      <c r="A4090" s="1067">
        <v>1</v>
      </c>
      <c r="B4090" s="1067" t="s">
        <v>68</v>
      </c>
      <c r="C4090" s="1067" t="s">
        <v>3530</v>
      </c>
      <c r="D4090" s="1067" t="s">
        <v>3530</v>
      </c>
      <c r="E4090" s="1068" t="s">
        <v>788</v>
      </c>
      <c r="F4090" s="1067"/>
      <c r="G4090" s="1069" t="str">
        <f t="array" ref="G4090">IF(B4090="insumo",_xlfn.XLOOKUP($D4090,Insumos!$B$1:$B$996,Insumos!$D$1:$D$996),"")</f>
        <v/>
      </c>
      <c r="H4090" s="1069">
        <v>66.849999999999994</v>
      </c>
      <c r="I4090" s="1070">
        <v>462.5</v>
      </c>
      <c r="J4090" s="1070">
        <v>30918.125</v>
      </c>
      <c r="K4090" s="1070"/>
      <c r="L4090"/>
      <c r="M4090"/>
      <c r="N4090"/>
      <c r="O4090"/>
      <c r="P4090"/>
      <c r="Q4090"/>
      <c r="R4090"/>
      <c r="S4090"/>
      <c r="T4090"/>
      <c r="U4090"/>
      <c r="V4090"/>
      <c r="W4090"/>
      <c r="X4090"/>
      <c r="Y4090"/>
      <c r="Z4090"/>
      <c r="AA4090"/>
      <c r="AB4090"/>
      <c r="AC4090"/>
      <c r="AD4090"/>
      <c r="AE4090"/>
      <c r="AF4090"/>
      <c r="AG4090"/>
      <c r="AH4090"/>
      <c r="AI4090"/>
      <c r="AJ4090"/>
      <c r="AK4090"/>
      <c r="AL4090"/>
    </row>
    <row r="4091" spans="1:38" ht="15.75" customHeight="1" outlineLevel="3" x14ac:dyDescent="0.2">
      <c r="A4091" s="10">
        <v>1</v>
      </c>
      <c r="B4091" s="10" t="s">
        <v>71</v>
      </c>
      <c r="C4091" s="10" t="s">
        <v>3530</v>
      </c>
      <c r="D4091" s="10" t="s">
        <v>789</v>
      </c>
      <c r="E4091" s="11" t="str">
        <f t="array" ref="E4091">_xlfn.XLOOKUP(D4091,Insumos!B:B,Insumos!C:$C)</f>
        <v>M2</v>
      </c>
      <c r="F4091" s="14">
        <v>1</v>
      </c>
      <c r="G4091" s="92">
        <f t="array" ref="G4091">IF(B4091="insumo",_xlfn.XLOOKUP($D4091,Insumos!$B$1:$B$996,Insumos!$D$1:$D$996),"")</f>
        <v>30</v>
      </c>
      <c r="H4091" s="92">
        <v>30</v>
      </c>
      <c r="I4091" s="13">
        <v>462.5</v>
      </c>
      <c r="J4091" s="13">
        <v>13875</v>
      </c>
      <c r="K4091" s="13"/>
      <c r="L4091"/>
      <c r="M4091"/>
      <c r="N4091"/>
      <c r="O4091"/>
      <c r="P4091"/>
      <c r="Q4091"/>
      <c r="R4091"/>
      <c r="S4091"/>
      <c r="T4091"/>
      <c r="U4091"/>
      <c r="V4091"/>
      <c r="W4091"/>
      <c r="X4091"/>
      <c r="Y4091"/>
      <c r="Z4091"/>
      <c r="AA4091"/>
      <c r="AB4091"/>
      <c r="AC4091"/>
      <c r="AD4091"/>
      <c r="AE4091"/>
      <c r="AF4091"/>
      <c r="AG4091"/>
      <c r="AH4091"/>
      <c r="AI4091"/>
      <c r="AJ4091"/>
      <c r="AK4091"/>
      <c r="AL4091"/>
    </row>
    <row r="4092" spans="1:38" ht="15.75" customHeight="1" outlineLevel="3" x14ac:dyDescent="0.2">
      <c r="A4092" s="10">
        <v>1</v>
      </c>
      <c r="B4092" s="10" t="s">
        <v>71</v>
      </c>
      <c r="C4092" s="10" t="s">
        <v>3530</v>
      </c>
      <c r="D4092" s="10" t="s">
        <v>790</v>
      </c>
      <c r="E4092" s="11" t="str">
        <f t="array" ref="E4092">_xlfn.XLOOKUP(D4092,Insumos!B:B,Insumos!C:$C)</f>
        <v>M</v>
      </c>
      <c r="F4092" s="14">
        <v>1</v>
      </c>
      <c r="G4092" s="92">
        <f t="array" ref="G4092">IF(B4092="insumo",_xlfn.XLOOKUP($D4092,Insumos!$B$1:$B$996,Insumos!$D$1:$D$996),"")</f>
        <v>36</v>
      </c>
      <c r="H4092" s="92">
        <v>36</v>
      </c>
      <c r="I4092" s="13">
        <v>462.5</v>
      </c>
      <c r="J4092" s="13">
        <v>16650</v>
      </c>
      <c r="K4092" s="13"/>
      <c r="L4092"/>
      <c r="M4092"/>
      <c r="N4092"/>
      <c r="O4092"/>
      <c r="P4092"/>
      <c r="Q4092"/>
      <c r="R4092"/>
      <c r="S4092"/>
      <c r="T4092"/>
      <c r="U4092"/>
      <c r="V4092"/>
      <c r="W4092"/>
      <c r="X4092"/>
      <c r="Y4092"/>
      <c r="Z4092"/>
      <c r="AA4092"/>
      <c r="AB4092"/>
      <c r="AC4092"/>
      <c r="AD4092"/>
      <c r="AE4092"/>
      <c r="AF4092"/>
      <c r="AG4092"/>
      <c r="AH4092"/>
      <c r="AI4092"/>
      <c r="AJ4092"/>
      <c r="AK4092"/>
      <c r="AL4092"/>
    </row>
    <row r="4093" spans="1:38" ht="15.75" customHeight="1" outlineLevel="3" x14ac:dyDescent="0.2">
      <c r="A4093" s="10">
        <v>17</v>
      </c>
      <c r="B4093" s="10" t="s">
        <v>71</v>
      </c>
      <c r="C4093" s="10" t="s">
        <v>3530</v>
      </c>
      <c r="D4093" s="10" t="s">
        <v>356</v>
      </c>
      <c r="E4093" s="11" t="str">
        <f t="array" ref="E4093">_xlfn.XLOOKUP(D4093,Insumos!B:B,Insumos!C:$C)</f>
        <v>M3</v>
      </c>
      <c r="F4093" s="14">
        <v>2E-3</v>
      </c>
      <c r="G4093" s="92">
        <f t="array" ref="G4093">IF(B4093="insumo",_xlfn.XLOOKUP($D4093,Insumos!$B$1:$B$996,Insumos!$D$1:$D$996),"")</f>
        <v>425</v>
      </c>
      <c r="H4093" s="92">
        <v>0.85</v>
      </c>
      <c r="I4093" s="13">
        <v>462.5</v>
      </c>
      <c r="J4093" s="13">
        <v>393.125</v>
      </c>
      <c r="K4093" s="13"/>
      <c r="L4093"/>
      <c r="M4093"/>
      <c r="N4093"/>
      <c r="O4093"/>
      <c r="P4093"/>
      <c r="Q4093"/>
      <c r="R4093"/>
      <c r="S4093"/>
      <c r="T4093"/>
      <c r="U4093"/>
      <c r="V4093"/>
      <c r="W4093"/>
      <c r="X4093"/>
      <c r="Y4093"/>
      <c r="Z4093"/>
      <c r="AA4093"/>
      <c r="AB4093"/>
      <c r="AC4093"/>
      <c r="AD4093"/>
      <c r="AE4093"/>
      <c r="AF4093"/>
      <c r="AG4093"/>
      <c r="AH4093"/>
      <c r="AI4093"/>
      <c r="AJ4093"/>
      <c r="AK4093"/>
      <c r="AL4093"/>
    </row>
    <row r="4094" spans="1:38" ht="15.75" customHeight="1" outlineLevel="2" x14ac:dyDescent="0.2">
      <c r="A4094" s="1067">
        <v>1</v>
      </c>
      <c r="B4094" s="1067" t="s">
        <v>68</v>
      </c>
      <c r="C4094" s="1067" t="s">
        <v>791</v>
      </c>
      <c r="D4094" s="1067" t="s">
        <v>791</v>
      </c>
      <c r="E4094" s="1068" t="s">
        <v>788</v>
      </c>
      <c r="F4094" s="1067"/>
      <c r="G4094" s="1069" t="str">
        <f t="array" ref="G4094">IF(B4094="insumo",_xlfn.XLOOKUP($D4094,Insumos!$B$1:$B$996,Insumos!$D$1:$D$996),"")</f>
        <v/>
      </c>
      <c r="H4094" s="1069">
        <v>23.24</v>
      </c>
      <c r="I4094" s="1070">
        <v>5018.1000000000004</v>
      </c>
      <c r="J4094" s="1070">
        <v>116620.644</v>
      </c>
      <c r="K4094" s="1070"/>
      <c r="L4094"/>
      <c r="M4094"/>
      <c r="N4094"/>
      <c r="O4094"/>
      <c r="P4094"/>
      <c r="Q4094"/>
      <c r="R4094"/>
      <c r="S4094"/>
      <c r="T4094"/>
      <c r="U4094"/>
      <c r="V4094"/>
      <c r="W4094"/>
      <c r="X4094"/>
      <c r="Y4094"/>
      <c r="Z4094"/>
      <c r="AA4094"/>
      <c r="AB4094"/>
      <c r="AC4094"/>
      <c r="AD4094"/>
      <c r="AE4094"/>
      <c r="AF4094"/>
      <c r="AG4094"/>
      <c r="AH4094"/>
      <c r="AI4094"/>
      <c r="AJ4094"/>
      <c r="AK4094"/>
      <c r="AL4094"/>
    </row>
    <row r="4095" spans="1:38" ht="15.75" customHeight="1" outlineLevel="3" x14ac:dyDescent="0.2">
      <c r="A4095" s="10">
        <v>1</v>
      </c>
      <c r="B4095" s="10" t="s">
        <v>71</v>
      </c>
      <c r="C4095" s="10" t="s">
        <v>791</v>
      </c>
      <c r="D4095" s="10" t="s">
        <v>792</v>
      </c>
      <c r="E4095" s="11" t="str">
        <f t="array" ref="E4095">_xlfn.XLOOKUP(D4095,Insumos!B:B,Insumos!C:$C)</f>
        <v>M2</v>
      </c>
      <c r="F4095" s="14">
        <v>1</v>
      </c>
      <c r="G4095" s="92">
        <f t="array" ref="G4095">IF(B4095="insumo",_xlfn.XLOOKUP($D4095,Insumos!$B$1:$B$996,Insumos!$D$1:$D$996),"")</f>
        <v>15</v>
      </c>
      <c r="H4095" s="92">
        <v>15</v>
      </c>
      <c r="I4095" s="13">
        <v>5018.1000000000004</v>
      </c>
      <c r="J4095" s="13">
        <v>75271.5</v>
      </c>
      <c r="K4095" s="13"/>
      <c r="L4095"/>
      <c r="M4095"/>
      <c r="N4095"/>
      <c r="O4095"/>
      <c r="P4095"/>
      <c r="Q4095"/>
      <c r="R4095"/>
      <c r="S4095"/>
      <c r="T4095"/>
      <c r="U4095"/>
      <c r="V4095"/>
      <c r="W4095"/>
      <c r="X4095"/>
      <c r="Y4095"/>
      <c r="Z4095"/>
      <c r="AA4095"/>
      <c r="AB4095"/>
      <c r="AC4095"/>
      <c r="AD4095"/>
      <c r="AE4095"/>
      <c r="AF4095"/>
      <c r="AG4095"/>
      <c r="AH4095"/>
      <c r="AI4095"/>
      <c r="AJ4095"/>
      <c r="AK4095"/>
      <c r="AL4095"/>
    </row>
    <row r="4096" spans="1:38" ht="15.75" customHeight="1" outlineLevel="3" x14ac:dyDescent="0.2">
      <c r="A4096" s="10">
        <v>1</v>
      </c>
      <c r="B4096" s="10" t="s">
        <v>71</v>
      </c>
      <c r="C4096" s="10" t="s">
        <v>791</v>
      </c>
      <c r="D4096" s="10" t="s">
        <v>793</v>
      </c>
      <c r="E4096" s="11" t="str">
        <f t="array" ref="E4096">_xlfn.XLOOKUP(D4096,Insumos!B:B,Insumos!C:$C)</f>
        <v>M</v>
      </c>
      <c r="F4096" s="14">
        <v>1</v>
      </c>
      <c r="G4096" s="92">
        <f t="array" ref="G4096">IF(B4096="insumo",_xlfn.XLOOKUP($D4096,Insumos!$B$1:$B$996,Insumos!$D$1:$D$996),"")</f>
        <v>7.39</v>
      </c>
      <c r="H4096" s="92">
        <v>7.39</v>
      </c>
      <c r="I4096" s="13">
        <v>5018.1000000000004</v>
      </c>
      <c r="J4096" s="13">
        <v>37083.758999999998</v>
      </c>
      <c r="K4096" s="13"/>
      <c r="L4096"/>
      <c r="M4096"/>
      <c r="N4096"/>
      <c r="O4096"/>
      <c r="P4096"/>
      <c r="Q4096"/>
      <c r="R4096"/>
      <c r="S4096"/>
      <c r="T4096"/>
      <c r="U4096"/>
      <c r="V4096"/>
      <c r="W4096"/>
      <c r="X4096"/>
      <c r="Y4096"/>
      <c r="Z4096"/>
      <c r="AA4096"/>
      <c r="AB4096"/>
      <c r="AC4096"/>
      <c r="AD4096"/>
      <c r="AE4096"/>
      <c r="AF4096"/>
      <c r="AG4096"/>
      <c r="AH4096"/>
      <c r="AI4096"/>
      <c r="AJ4096"/>
      <c r="AK4096"/>
      <c r="AL4096"/>
    </row>
    <row r="4097" spans="1:38" ht="15.75" customHeight="1" outlineLevel="3" x14ac:dyDescent="0.2">
      <c r="A4097" s="10">
        <v>17</v>
      </c>
      <c r="B4097" s="10" t="s">
        <v>71</v>
      </c>
      <c r="C4097" s="10" t="s">
        <v>791</v>
      </c>
      <c r="D4097" s="10" t="s">
        <v>356</v>
      </c>
      <c r="E4097" s="11" t="str">
        <f t="array" ref="E4097">_xlfn.XLOOKUP(D4097,Insumos!B:B,Insumos!C:$C)</f>
        <v>M3</v>
      </c>
      <c r="F4097" s="14">
        <v>2E-3</v>
      </c>
      <c r="G4097" s="92">
        <f t="array" ref="G4097">IF(B4097="insumo",_xlfn.XLOOKUP($D4097,Insumos!$B$1:$B$996,Insumos!$D$1:$D$996),"")</f>
        <v>425</v>
      </c>
      <c r="H4097" s="92">
        <v>0.85</v>
      </c>
      <c r="I4097" s="13">
        <v>5018.1000000000004</v>
      </c>
      <c r="J4097" s="13">
        <v>4265.3850000000002</v>
      </c>
      <c r="K4097" s="13"/>
      <c r="L4097"/>
      <c r="M4097"/>
      <c r="N4097"/>
      <c r="O4097"/>
      <c r="P4097"/>
      <c r="Q4097"/>
      <c r="R4097"/>
      <c r="S4097"/>
      <c r="T4097"/>
      <c r="U4097"/>
      <c r="V4097"/>
      <c r="W4097"/>
      <c r="X4097"/>
      <c r="Y4097"/>
      <c r="Z4097"/>
      <c r="AA4097"/>
      <c r="AB4097"/>
      <c r="AC4097"/>
      <c r="AD4097"/>
      <c r="AE4097"/>
      <c r="AF4097"/>
      <c r="AG4097"/>
      <c r="AH4097"/>
      <c r="AI4097"/>
      <c r="AJ4097"/>
      <c r="AK4097"/>
      <c r="AL4097"/>
    </row>
    <row r="4098" spans="1:38" ht="12.75" outlineLevel="2" x14ac:dyDescent="0.2">
      <c r="A4098" s="1067">
        <v>1</v>
      </c>
      <c r="B4098" s="1071" t="s">
        <v>68</v>
      </c>
      <c r="C4098" s="1071" t="s">
        <v>1938</v>
      </c>
      <c r="D4098" s="1071" t="s">
        <v>1938</v>
      </c>
      <c r="E4098" s="1072" t="s">
        <v>70</v>
      </c>
      <c r="F4098" s="1071"/>
      <c r="G4098" s="1073" t="str">
        <f t="array" ref="G4098">IF(B4098="insumo",_xlfn.XLOOKUP($D4098,Insumos!$B$1:$B$996,Insumos!$D$1:$D$996),"")</f>
        <v/>
      </c>
      <c r="H4098" s="1073">
        <v>1350</v>
      </c>
      <c r="I4098" s="1074">
        <v>0</v>
      </c>
      <c r="J4098" s="1074">
        <v>0</v>
      </c>
      <c r="K4098" s="1074"/>
      <c r="L4098"/>
      <c r="M4098"/>
      <c r="N4098"/>
      <c r="O4098"/>
      <c r="P4098"/>
      <c r="Q4098"/>
      <c r="R4098"/>
      <c r="S4098"/>
      <c r="T4098"/>
      <c r="U4098"/>
      <c r="V4098"/>
      <c r="W4098"/>
      <c r="X4098"/>
      <c r="Y4098"/>
      <c r="Z4098"/>
      <c r="AA4098"/>
      <c r="AB4098"/>
      <c r="AC4098"/>
      <c r="AD4098"/>
      <c r="AE4098"/>
      <c r="AF4098"/>
      <c r="AG4098"/>
      <c r="AH4098"/>
      <c r="AI4098"/>
      <c r="AJ4098"/>
      <c r="AK4098"/>
      <c r="AL4098"/>
    </row>
    <row r="4099" spans="1:38" ht="12.75" outlineLevel="3" x14ac:dyDescent="0.2">
      <c r="A4099" s="82">
        <v>1</v>
      </c>
      <c r="B4099" s="82" t="s">
        <v>71</v>
      </c>
      <c r="C4099" s="82" t="s">
        <v>1938</v>
      </c>
      <c r="D4099" s="82" t="s">
        <v>1938</v>
      </c>
      <c r="E4099" s="11" t="str">
        <f t="array" ref="E4099">_xlfn.XLOOKUP(D4099,Insumos!B:B,Insumos!C:$C)</f>
        <v>M2</v>
      </c>
      <c r="F4099" s="86">
        <v>1</v>
      </c>
      <c r="G4099" s="92">
        <f t="array" ref="G4099">IF(B4099="insumo",_xlfn.XLOOKUP($D4099,Insumos!$B$1:$B$996,Insumos!$D$1:$D$996),"")</f>
        <v>1350</v>
      </c>
      <c r="H4099" s="92">
        <v>1350</v>
      </c>
      <c r="I4099" s="84">
        <v>0</v>
      </c>
      <c r="J4099" s="84">
        <v>0</v>
      </c>
      <c r="K4099" s="84"/>
      <c r="L4099"/>
      <c r="M4099"/>
      <c r="N4099"/>
      <c r="O4099"/>
      <c r="P4099"/>
      <c r="Q4099"/>
      <c r="R4099"/>
      <c r="S4099"/>
      <c r="T4099"/>
      <c r="U4099"/>
      <c r="V4099"/>
      <c r="W4099"/>
      <c r="X4099"/>
      <c r="Y4099"/>
      <c r="Z4099"/>
      <c r="AA4099"/>
      <c r="AB4099"/>
      <c r="AC4099"/>
      <c r="AD4099"/>
      <c r="AE4099"/>
      <c r="AF4099"/>
      <c r="AG4099"/>
      <c r="AH4099"/>
      <c r="AI4099"/>
      <c r="AJ4099"/>
      <c r="AK4099"/>
      <c r="AL4099"/>
    </row>
    <row r="4100" spans="1:38" ht="12.75" outlineLevel="2" x14ac:dyDescent="0.2">
      <c r="A4100" s="1071">
        <v>1</v>
      </c>
      <c r="B4100" s="1071" t="s">
        <v>68</v>
      </c>
      <c r="C4100" s="1071" t="s">
        <v>1939</v>
      </c>
      <c r="D4100" s="1071" t="s">
        <v>1939</v>
      </c>
      <c r="E4100" s="1072" t="s">
        <v>70</v>
      </c>
      <c r="F4100" s="1071"/>
      <c r="G4100" s="1073" t="str">
        <f t="array" ref="G4100">IF(B4100="insumo",_xlfn.XLOOKUP($D4100,Insumos!$B$1:$B$996,Insumos!$D$1:$D$996),"")</f>
        <v/>
      </c>
      <c r="H4100" s="1073">
        <v>980</v>
      </c>
      <c r="I4100" s="1074">
        <v>0</v>
      </c>
      <c r="J4100" s="1074">
        <v>0</v>
      </c>
      <c r="K4100" s="1074"/>
      <c r="L4100"/>
      <c r="M4100"/>
      <c r="N4100"/>
      <c r="O4100"/>
      <c r="P4100"/>
      <c r="Q4100"/>
      <c r="R4100"/>
      <c r="S4100"/>
      <c r="T4100"/>
      <c r="U4100"/>
      <c r="V4100"/>
      <c r="W4100"/>
      <c r="X4100"/>
      <c r="Y4100"/>
      <c r="Z4100"/>
      <c r="AA4100"/>
      <c r="AB4100"/>
      <c r="AC4100"/>
      <c r="AD4100"/>
      <c r="AE4100"/>
      <c r="AF4100"/>
      <c r="AG4100"/>
      <c r="AH4100"/>
      <c r="AI4100"/>
      <c r="AJ4100"/>
      <c r="AK4100"/>
      <c r="AL4100"/>
    </row>
    <row r="4101" spans="1:38" ht="12.75" outlineLevel="3" x14ac:dyDescent="0.2">
      <c r="A4101" s="82">
        <v>1</v>
      </c>
      <c r="B4101" s="82" t="s">
        <v>71</v>
      </c>
      <c r="C4101" s="82" t="s">
        <v>1939</v>
      </c>
      <c r="D4101" s="82" t="s">
        <v>1939</v>
      </c>
      <c r="E4101" s="11" t="str">
        <f t="array" ref="E4101">_xlfn.XLOOKUP(D4101,Insumos!B:B,Insumos!C:$C)</f>
        <v>M2</v>
      </c>
      <c r="F4101" s="86">
        <v>1</v>
      </c>
      <c r="G4101" s="92">
        <f t="array" ref="G4101">IF(B4101="insumo",_xlfn.XLOOKUP($D4101,Insumos!$B$1:$B$996,Insumos!$D$1:$D$996),"")</f>
        <v>980</v>
      </c>
      <c r="H4101" s="92">
        <v>980</v>
      </c>
      <c r="I4101" s="84">
        <v>0</v>
      </c>
      <c r="J4101" s="84">
        <v>0</v>
      </c>
      <c r="K4101" s="84"/>
      <c r="L4101"/>
      <c r="M4101"/>
      <c r="N4101"/>
      <c r="O4101"/>
      <c r="P4101"/>
      <c r="Q4101"/>
      <c r="R4101"/>
      <c r="S4101"/>
      <c r="T4101"/>
      <c r="U4101"/>
      <c r="V4101"/>
      <c r="W4101"/>
      <c r="X4101"/>
      <c r="Y4101"/>
      <c r="Z4101"/>
      <c r="AA4101"/>
      <c r="AB4101"/>
      <c r="AC4101"/>
      <c r="AD4101"/>
      <c r="AE4101"/>
      <c r="AF4101"/>
      <c r="AG4101"/>
      <c r="AH4101"/>
      <c r="AI4101"/>
      <c r="AJ4101"/>
      <c r="AK4101"/>
      <c r="AL4101"/>
    </row>
    <row r="4102" spans="1:38" ht="12.75" outlineLevel="2" x14ac:dyDescent="0.2">
      <c r="A4102" s="1071">
        <v>1</v>
      </c>
      <c r="B4102" s="1071" t="s">
        <v>68</v>
      </c>
      <c r="C4102" s="1071" t="s">
        <v>1940</v>
      </c>
      <c r="D4102" s="1071" t="s">
        <v>1940</v>
      </c>
      <c r="E4102" s="1072" t="s">
        <v>70</v>
      </c>
      <c r="F4102" s="1071"/>
      <c r="G4102" s="1073" t="str">
        <f t="array" ref="G4102">IF(B4102="insumo",_xlfn.XLOOKUP($D4102,Insumos!$B$1:$B$996,Insumos!$D$1:$D$996),"")</f>
        <v/>
      </c>
      <c r="H4102" s="1073">
        <v>1350</v>
      </c>
      <c r="I4102" s="1074">
        <v>0</v>
      </c>
      <c r="J4102" s="1074">
        <v>0</v>
      </c>
      <c r="K4102" s="1074"/>
      <c r="L4102"/>
      <c r="M4102"/>
      <c r="N4102"/>
      <c r="O4102"/>
      <c r="P4102"/>
      <c r="Q4102"/>
      <c r="R4102"/>
      <c r="S4102"/>
      <c r="T4102"/>
      <c r="U4102"/>
      <c r="V4102"/>
      <c r="W4102"/>
      <c r="X4102"/>
      <c r="Y4102"/>
      <c r="Z4102"/>
      <c r="AA4102"/>
      <c r="AB4102"/>
      <c r="AC4102"/>
      <c r="AD4102"/>
      <c r="AE4102"/>
      <c r="AF4102"/>
      <c r="AG4102"/>
      <c r="AH4102"/>
      <c r="AI4102"/>
      <c r="AJ4102"/>
      <c r="AK4102"/>
      <c r="AL4102"/>
    </row>
    <row r="4103" spans="1:38" ht="12.75" outlineLevel="3" x14ac:dyDescent="0.2">
      <c r="A4103" s="82">
        <v>1</v>
      </c>
      <c r="B4103" s="82" t="s">
        <v>71</v>
      </c>
      <c r="C4103" s="82" t="s">
        <v>1940</v>
      </c>
      <c r="D4103" s="82" t="s">
        <v>1940</v>
      </c>
      <c r="E4103" s="11" t="str">
        <f t="array" ref="E4103">_xlfn.XLOOKUP(D4103,Insumos!B:B,Insumos!C:$C)</f>
        <v>M2</v>
      </c>
      <c r="F4103" s="86">
        <v>1</v>
      </c>
      <c r="G4103" s="92">
        <f t="array" ref="G4103">IF(B4103="insumo",_xlfn.XLOOKUP($D4103,Insumos!$B$1:$B$996,Insumos!$D$1:$D$996),"")</f>
        <v>1350</v>
      </c>
      <c r="H4103" s="92">
        <v>1350</v>
      </c>
      <c r="I4103" s="84">
        <v>0</v>
      </c>
      <c r="J4103" s="84">
        <v>0</v>
      </c>
      <c r="K4103" s="84"/>
      <c r="L4103"/>
      <c r="M4103"/>
      <c r="N4103"/>
      <c r="O4103"/>
      <c r="P4103"/>
      <c r="Q4103"/>
      <c r="R4103"/>
      <c r="S4103"/>
      <c r="T4103"/>
      <c r="U4103"/>
      <c r="V4103"/>
      <c r="W4103"/>
      <c r="X4103"/>
      <c r="Y4103"/>
      <c r="Z4103"/>
      <c r="AA4103"/>
      <c r="AB4103"/>
      <c r="AC4103"/>
      <c r="AD4103"/>
      <c r="AE4103"/>
      <c r="AF4103"/>
      <c r="AG4103"/>
      <c r="AH4103"/>
      <c r="AI4103"/>
      <c r="AJ4103"/>
      <c r="AK4103"/>
      <c r="AL4103"/>
    </row>
    <row r="4104" spans="1:38" ht="12.75" outlineLevel="2" x14ac:dyDescent="0.2">
      <c r="A4104" s="1071">
        <v>1</v>
      </c>
      <c r="B4104" s="1071" t="s">
        <v>68</v>
      </c>
      <c r="C4104" s="1071" t="s">
        <v>1941</v>
      </c>
      <c r="D4104" s="1071" t="s">
        <v>1941</v>
      </c>
      <c r="E4104" s="1072" t="s">
        <v>197</v>
      </c>
      <c r="F4104" s="1071"/>
      <c r="G4104" s="1073" t="str">
        <f t="array" ref="G4104">IF(B4104="insumo",_xlfn.XLOOKUP($D4104,Insumos!$B$1:$B$996,Insumos!$D$1:$D$996),"")</f>
        <v/>
      </c>
      <c r="H4104" s="1073">
        <v>67.040000000000006</v>
      </c>
      <c r="I4104" s="1074">
        <v>0</v>
      </c>
      <c r="J4104" s="1074">
        <v>0</v>
      </c>
      <c r="K4104" s="1074"/>
      <c r="L4104"/>
      <c r="M4104"/>
      <c r="N4104"/>
      <c r="O4104"/>
      <c r="P4104"/>
      <c r="Q4104"/>
      <c r="R4104"/>
      <c r="S4104"/>
      <c r="T4104"/>
      <c r="U4104"/>
      <c r="V4104"/>
      <c r="W4104"/>
      <c r="X4104"/>
      <c r="Y4104"/>
      <c r="Z4104"/>
      <c r="AA4104"/>
      <c r="AB4104"/>
      <c r="AC4104"/>
      <c r="AD4104"/>
      <c r="AE4104"/>
      <c r="AF4104"/>
      <c r="AG4104"/>
      <c r="AH4104"/>
      <c r="AI4104"/>
      <c r="AJ4104"/>
      <c r="AK4104"/>
      <c r="AL4104"/>
    </row>
    <row r="4105" spans="1:38" ht="12.75" outlineLevel="3" x14ac:dyDescent="0.2">
      <c r="A4105" s="82">
        <v>1</v>
      </c>
      <c r="B4105" s="82" t="s">
        <v>71</v>
      </c>
      <c r="C4105" s="82" t="s">
        <v>1941</v>
      </c>
      <c r="D4105" s="82" t="s">
        <v>1942</v>
      </c>
      <c r="E4105" s="11" t="str">
        <f t="array" ref="E4105">_xlfn.XLOOKUP(D4105,Insumos!B:B,Insumos!C:$C)</f>
        <v>Un</v>
      </c>
      <c r="F4105" s="86">
        <v>1</v>
      </c>
      <c r="G4105" s="92">
        <f t="array" ref="G4105">IF(B4105="insumo",_xlfn.XLOOKUP($D4105,Insumos!$B$1:$B$996,Insumos!$D$1:$D$996),"")</f>
        <v>65</v>
      </c>
      <c r="H4105" s="92">
        <v>65</v>
      </c>
      <c r="I4105" s="84">
        <v>0</v>
      </c>
      <c r="J4105" s="84">
        <v>0</v>
      </c>
      <c r="K4105" s="84"/>
      <c r="L4105"/>
      <c r="M4105"/>
      <c r="N4105"/>
      <c r="O4105"/>
      <c r="P4105"/>
      <c r="Q4105"/>
      <c r="R4105"/>
      <c r="S4105"/>
      <c r="T4105"/>
      <c r="U4105"/>
      <c r="V4105"/>
      <c r="W4105"/>
      <c r="X4105"/>
      <c r="Y4105"/>
      <c r="Z4105"/>
      <c r="AA4105"/>
      <c r="AB4105"/>
      <c r="AC4105"/>
      <c r="AD4105"/>
      <c r="AE4105"/>
      <c r="AF4105"/>
      <c r="AG4105"/>
      <c r="AH4105"/>
      <c r="AI4105"/>
      <c r="AJ4105"/>
      <c r="AK4105"/>
      <c r="AL4105"/>
    </row>
    <row r="4106" spans="1:38" ht="12.75" outlineLevel="3" x14ac:dyDescent="0.2">
      <c r="A4106" s="82">
        <v>17</v>
      </c>
      <c r="B4106" s="82" t="s">
        <v>71</v>
      </c>
      <c r="C4106" s="82" t="s">
        <v>1941</v>
      </c>
      <c r="D4106" s="82" t="s">
        <v>356</v>
      </c>
      <c r="E4106" s="11" t="str">
        <f t="array" ref="E4106">_xlfn.XLOOKUP(D4106,Insumos!B:B,Insumos!C:$C)</f>
        <v>M3</v>
      </c>
      <c r="F4106" s="86">
        <f>0.002*2.4</f>
        <v>4.7999999999999996E-3</v>
      </c>
      <c r="G4106" s="92">
        <f t="array" ref="G4106">IF(B4106="insumo",_xlfn.XLOOKUP($D4106,Insumos!$B$1:$B$996,Insumos!$D$1:$D$996),"")</f>
        <v>425</v>
      </c>
      <c r="H4106" s="92">
        <v>2.04</v>
      </c>
      <c r="I4106" s="84">
        <v>0</v>
      </c>
      <c r="J4106" s="84">
        <v>0</v>
      </c>
      <c r="K4106" s="84"/>
      <c r="L4106"/>
      <c r="M4106"/>
      <c r="N4106"/>
      <c r="O4106"/>
      <c r="P4106"/>
      <c r="Q4106"/>
      <c r="R4106"/>
      <c r="S4106"/>
      <c r="T4106"/>
      <c r="U4106"/>
      <c r="V4106"/>
      <c r="W4106"/>
      <c r="X4106"/>
      <c r="Y4106"/>
      <c r="Z4106"/>
      <c r="AA4106"/>
      <c r="AB4106"/>
      <c r="AC4106"/>
      <c r="AD4106"/>
      <c r="AE4106"/>
      <c r="AF4106"/>
      <c r="AG4106"/>
      <c r="AH4106"/>
      <c r="AI4106"/>
      <c r="AJ4106"/>
      <c r="AK4106"/>
      <c r="AL4106"/>
    </row>
    <row r="4107" spans="1:38" ht="22.5" customHeight="1" outlineLevel="2" x14ac:dyDescent="0.2">
      <c r="A4107" s="1071">
        <v>1</v>
      </c>
      <c r="B4107" s="1071" t="s">
        <v>68</v>
      </c>
      <c r="C4107" s="1071" t="s">
        <v>1943</v>
      </c>
      <c r="D4107" s="1071" t="s">
        <v>1943</v>
      </c>
      <c r="E4107" s="1072" t="s">
        <v>197</v>
      </c>
      <c r="F4107" s="1071"/>
      <c r="G4107" s="1073" t="str">
        <f t="array" ref="G4107">IF(B4107="insumo",_xlfn.XLOOKUP($D4107,Insumos!$B$1:$B$996,Insumos!$D$1:$D$996),"")</f>
        <v/>
      </c>
      <c r="H4107" s="1073">
        <v>157.04</v>
      </c>
      <c r="I4107" s="1074">
        <v>0</v>
      </c>
      <c r="J4107" s="1074">
        <v>0</v>
      </c>
      <c r="K4107" s="1074"/>
      <c r="L4107"/>
      <c r="M4107"/>
      <c r="N4107"/>
      <c r="O4107"/>
      <c r="P4107"/>
      <c r="Q4107"/>
      <c r="R4107"/>
      <c r="S4107"/>
      <c r="T4107"/>
      <c r="U4107"/>
      <c r="V4107"/>
      <c r="W4107"/>
      <c r="X4107"/>
      <c r="Y4107"/>
      <c r="Z4107"/>
      <c r="AA4107"/>
      <c r="AB4107"/>
      <c r="AC4107"/>
      <c r="AD4107"/>
      <c r="AE4107"/>
      <c r="AF4107"/>
      <c r="AG4107"/>
      <c r="AH4107"/>
      <c r="AI4107"/>
      <c r="AJ4107"/>
      <c r="AK4107"/>
      <c r="AL4107"/>
    </row>
    <row r="4108" spans="1:38" ht="12.75" outlineLevel="3" x14ac:dyDescent="0.2">
      <c r="A4108" s="82">
        <v>1</v>
      </c>
      <c r="B4108" s="82" t="s">
        <v>71</v>
      </c>
      <c r="C4108" s="82" t="s">
        <v>1943</v>
      </c>
      <c r="D4108" s="82" t="s">
        <v>1944</v>
      </c>
      <c r="E4108" s="11" t="str">
        <f t="array" ref="E4108">_xlfn.XLOOKUP(D4108,Insumos!B:B,Insumos!C:$C)</f>
        <v>Un</v>
      </c>
      <c r="F4108" s="86">
        <v>1</v>
      </c>
      <c r="G4108" s="92">
        <f t="array" ref="G4108">IF(B4108="insumo",_xlfn.XLOOKUP($D4108,Insumos!$B$1:$B$996,Insumos!$D$1:$D$996),"")</f>
        <v>155</v>
      </c>
      <c r="H4108" s="92">
        <v>155</v>
      </c>
      <c r="I4108" s="84">
        <v>0</v>
      </c>
      <c r="J4108" s="84">
        <v>0</v>
      </c>
      <c r="K4108" s="84"/>
      <c r="L4108"/>
      <c r="M4108"/>
      <c r="N4108"/>
      <c r="O4108"/>
      <c r="P4108"/>
      <c r="Q4108"/>
      <c r="R4108"/>
      <c r="S4108"/>
      <c r="T4108"/>
      <c r="U4108"/>
      <c r="V4108"/>
      <c r="W4108"/>
      <c r="X4108"/>
      <c r="Y4108"/>
      <c r="Z4108"/>
      <c r="AA4108"/>
      <c r="AB4108"/>
      <c r="AC4108"/>
      <c r="AD4108"/>
      <c r="AE4108"/>
      <c r="AF4108"/>
      <c r="AG4108"/>
      <c r="AH4108"/>
      <c r="AI4108"/>
      <c r="AJ4108"/>
      <c r="AK4108"/>
      <c r="AL4108"/>
    </row>
    <row r="4109" spans="1:38" ht="12.75" outlineLevel="3" x14ac:dyDescent="0.2">
      <c r="A4109" s="82">
        <v>17</v>
      </c>
      <c r="B4109" s="82" t="s">
        <v>71</v>
      </c>
      <c r="C4109" s="82" t="s">
        <v>1943</v>
      </c>
      <c r="D4109" s="82" t="s">
        <v>356</v>
      </c>
      <c r="E4109" s="11" t="str">
        <f t="array" ref="E4109">_xlfn.XLOOKUP(D4109,Insumos!B:B,Insumos!C:$C)</f>
        <v>M3</v>
      </c>
      <c r="F4109" s="86">
        <f>0.002*2.4</f>
        <v>4.7999999999999996E-3</v>
      </c>
      <c r="G4109" s="92">
        <f t="array" ref="G4109">IF(B4109="insumo",_xlfn.XLOOKUP($D4109,Insumos!$B$1:$B$996,Insumos!$D$1:$D$996),"")</f>
        <v>425</v>
      </c>
      <c r="H4109" s="92">
        <v>2.04</v>
      </c>
      <c r="I4109" s="84">
        <v>0</v>
      </c>
      <c r="J4109" s="84">
        <v>0</v>
      </c>
      <c r="K4109" s="84"/>
      <c r="L4109"/>
      <c r="M4109"/>
      <c r="N4109"/>
      <c r="O4109"/>
      <c r="P4109"/>
      <c r="Q4109"/>
      <c r="R4109"/>
      <c r="S4109"/>
      <c r="T4109"/>
      <c r="U4109"/>
      <c r="V4109"/>
      <c r="W4109"/>
      <c r="X4109"/>
      <c r="Y4109"/>
      <c r="Z4109"/>
      <c r="AA4109"/>
      <c r="AB4109"/>
      <c r="AC4109"/>
      <c r="AD4109"/>
      <c r="AE4109"/>
      <c r="AF4109"/>
      <c r="AG4109"/>
      <c r="AH4109"/>
      <c r="AI4109"/>
      <c r="AJ4109"/>
      <c r="AK4109"/>
      <c r="AL4109"/>
    </row>
    <row r="4110" spans="1:38" ht="15.75" customHeight="1" outlineLevel="2" x14ac:dyDescent="0.2">
      <c r="A4110" s="1067">
        <v>1</v>
      </c>
      <c r="B4110" s="1067" t="s">
        <v>68</v>
      </c>
      <c r="C4110" s="1067" t="s">
        <v>794</v>
      </c>
      <c r="D4110" s="1067" t="s">
        <v>794</v>
      </c>
      <c r="E4110" s="1068" t="s">
        <v>70</v>
      </c>
      <c r="F4110" s="1067"/>
      <c r="G4110" s="1069" t="str">
        <f t="array" ref="G4110">IF(B4110="insumo",_xlfn.XLOOKUP($D4110,Insumos!$B$1:$B$996,Insumos!$D$1:$D$996),"")</f>
        <v/>
      </c>
      <c r="H4110" s="1069">
        <v>2122.5413895571</v>
      </c>
      <c r="I4110" s="1070" t="e">
        <v>#REF!</v>
      </c>
      <c r="J4110" s="1070" t="e">
        <v>#REF!</v>
      </c>
      <c r="K4110" s="1070"/>
      <c r="L4110"/>
      <c r="M4110"/>
      <c r="N4110"/>
      <c r="O4110"/>
      <c r="P4110"/>
      <c r="Q4110"/>
      <c r="R4110"/>
      <c r="S4110"/>
      <c r="T4110"/>
      <c r="U4110"/>
      <c r="V4110"/>
      <c r="W4110"/>
      <c r="X4110"/>
      <c r="Y4110"/>
      <c r="Z4110"/>
      <c r="AA4110"/>
      <c r="AB4110"/>
      <c r="AC4110"/>
      <c r="AD4110"/>
      <c r="AE4110"/>
      <c r="AF4110"/>
      <c r="AG4110"/>
      <c r="AH4110"/>
      <c r="AI4110"/>
      <c r="AJ4110"/>
      <c r="AK4110"/>
      <c r="AL4110"/>
    </row>
    <row r="4111" spans="1:38" ht="15.75" customHeight="1" outlineLevel="3" x14ac:dyDescent="0.2">
      <c r="A4111" s="10">
        <v>2</v>
      </c>
      <c r="B4111" s="10" t="s">
        <v>71</v>
      </c>
      <c r="C4111" s="10" t="s">
        <v>794</v>
      </c>
      <c r="D4111" s="10" t="s">
        <v>795</v>
      </c>
      <c r="E4111" s="11" t="str">
        <f t="array" ref="E4111">_xlfn.XLOOKUP(D4111,Insumos!B:B,Insumos!C:$C)</f>
        <v>M2</v>
      </c>
      <c r="F4111" s="14">
        <v>1.5</v>
      </c>
      <c r="G4111" s="92">
        <f t="array" ref="G4111">IF(B4111="insumo",_xlfn.XLOOKUP($D4111,Insumos!$B$1:$B$996,Insumos!$D$1:$D$996),"")</f>
        <v>1415.0275930380642</v>
      </c>
      <c r="H4111" s="92">
        <v>2122.5413895571</v>
      </c>
      <c r="I4111" s="13" t="e">
        <v>#REF!</v>
      </c>
      <c r="J4111" s="13" t="e">
        <v>#REF!</v>
      </c>
      <c r="K4111" s="13"/>
      <c r="L4111"/>
      <c r="M4111"/>
      <c r="N4111"/>
      <c r="O4111"/>
      <c r="P4111"/>
      <c r="Q4111"/>
      <c r="R4111"/>
      <c r="S4111"/>
      <c r="T4111"/>
      <c r="U4111"/>
      <c r="V4111"/>
      <c r="W4111"/>
      <c r="X4111"/>
      <c r="Y4111"/>
      <c r="Z4111"/>
      <c r="AA4111"/>
      <c r="AB4111"/>
      <c r="AC4111"/>
      <c r="AD4111"/>
      <c r="AE4111"/>
      <c r="AF4111"/>
      <c r="AG4111"/>
      <c r="AH4111"/>
      <c r="AI4111"/>
      <c r="AJ4111"/>
      <c r="AK4111"/>
      <c r="AL4111"/>
    </row>
    <row r="4112" spans="1:38" ht="15.75" customHeight="1" outlineLevel="2" x14ac:dyDescent="0.2">
      <c r="A4112" s="1067">
        <v>1</v>
      </c>
      <c r="B4112" s="1067" t="s">
        <v>68</v>
      </c>
      <c r="C4112" s="1067" t="s">
        <v>796</v>
      </c>
      <c r="D4112" s="1067" t="s">
        <v>796</v>
      </c>
      <c r="E4112" s="1068" t="s">
        <v>70</v>
      </c>
      <c r="F4112" s="1067"/>
      <c r="G4112" s="1069" t="str">
        <f t="array" ref="G4112">IF(B4112="insumo",_xlfn.XLOOKUP($D4112,Insumos!$B$1:$B$996,Insumos!$D$1:$D$996),"")</f>
        <v/>
      </c>
      <c r="H4112" s="1069">
        <v>1031.74603174603</v>
      </c>
      <c r="I4112" s="1070">
        <v>0</v>
      </c>
      <c r="J4112" s="1070">
        <v>0</v>
      </c>
      <c r="K4112" s="1070"/>
      <c r="L4112"/>
      <c r="M4112"/>
      <c r="N4112"/>
      <c r="O4112"/>
      <c r="P4112"/>
      <c r="Q4112"/>
      <c r="R4112"/>
      <c r="S4112"/>
      <c r="T4112"/>
      <c r="U4112"/>
      <c r="V4112"/>
      <c r="W4112"/>
      <c r="X4112"/>
      <c r="Y4112"/>
      <c r="Z4112"/>
      <c r="AA4112"/>
      <c r="AB4112"/>
      <c r="AC4112"/>
      <c r="AD4112"/>
      <c r="AE4112"/>
      <c r="AF4112"/>
      <c r="AG4112"/>
      <c r="AH4112"/>
      <c r="AI4112"/>
      <c r="AJ4112"/>
      <c r="AK4112"/>
      <c r="AL4112"/>
    </row>
    <row r="4113" spans="1:38" ht="15.75" customHeight="1" outlineLevel="3" x14ac:dyDescent="0.2">
      <c r="A4113" s="10">
        <v>1</v>
      </c>
      <c r="B4113" s="10" t="s">
        <v>71</v>
      </c>
      <c r="C4113" s="10" t="s">
        <v>796</v>
      </c>
      <c r="D4113" s="10" t="s">
        <v>796</v>
      </c>
      <c r="E4113" s="11" t="str">
        <f t="array" ref="E4113">_xlfn.XLOOKUP(D4113,Insumos!B:B,Insumos!C:$C)</f>
        <v>un</v>
      </c>
      <c r="F4113" s="14">
        <v>1</v>
      </c>
      <c r="G4113" s="92">
        <f t="array" ref="G4113">IF(B4113="insumo",_xlfn.XLOOKUP($D4113,Insumos!$B$1:$B$996,Insumos!$D$1:$D$996),"")</f>
        <v>1031.7460317460318</v>
      </c>
      <c r="H4113" s="92">
        <v>1031.74603174603</v>
      </c>
      <c r="I4113" s="13">
        <v>0</v>
      </c>
      <c r="J4113" s="13">
        <v>0</v>
      </c>
      <c r="K4113" s="13"/>
      <c r="L4113"/>
      <c r="M4113"/>
      <c r="N4113"/>
      <c r="O4113"/>
      <c r="P4113"/>
      <c r="Q4113"/>
      <c r="R4113"/>
      <c r="S4113"/>
      <c r="T4113"/>
      <c r="U4113"/>
      <c r="V4113"/>
      <c r="W4113"/>
      <c r="X4113"/>
      <c r="Y4113"/>
      <c r="Z4113"/>
      <c r="AA4113"/>
      <c r="AB4113"/>
      <c r="AC4113"/>
      <c r="AD4113"/>
      <c r="AE4113"/>
      <c r="AF4113"/>
      <c r="AG4113"/>
      <c r="AH4113"/>
      <c r="AI4113"/>
      <c r="AJ4113"/>
      <c r="AK4113"/>
      <c r="AL4113"/>
    </row>
    <row r="4114" spans="1:38" ht="12.75" outlineLevel="2" x14ac:dyDescent="0.2">
      <c r="A4114" s="1071">
        <v>1</v>
      </c>
      <c r="B4114" s="1071" t="s">
        <v>68</v>
      </c>
      <c r="C4114" s="1071" t="s">
        <v>1946</v>
      </c>
      <c r="D4114" s="1071" t="s">
        <v>1946</v>
      </c>
      <c r="E4114" s="1072" t="s">
        <v>70</v>
      </c>
      <c r="F4114" s="1071"/>
      <c r="G4114" s="1073" t="str">
        <f t="array" ref="G4114">IF(B4114="insumo",_xlfn.XLOOKUP($D4114,Insumos!$B$1:$B$996,Insumos!$D$1:$D$996),"")</f>
        <v/>
      </c>
      <c r="H4114" s="1073">
        <v>850</v>
      </c>
      <c r="I4114" s="1074">
        <v>0</v>
      </c>
      <c r="J4114" s="1074">
        <v>0</v>
      </c>
      <c r="K4114" s="1074"/>
      <c r="L4114"/>
      <c r="M4114"/>
      <c r="N4114"/>
      <c r="O4114"/>
      <c r="P4114"/>
      <c r="Q4114"/>
      <c r="R4114"/>
      <c r="S4114"/>
      <c r="T4114"/>
      <c r="U4114"/>
      <c r="V4114"/>
      <c r="W4114"/>
      <c r="X4114"/>
      <c r="Y4114"/>
      <c r="Z4114"/>
      <c r="AA4114"/>
      <c r="AB4114"/>
      <c r="AC4114"/>
      <c r="AD4114"/>
      <c r="AE4114"/>
      <c r="AF4114"/>
      <c r="AG4114"/>
      <c r="AH4114"/>
      <c r="AI4114"/>
      <c r="AJ4114"/>
      <c r="AK4114"/>
      <c r="AL4114"/>
    </row>
    <row r="4115" spans="1:38" ht="12.75" outlineLevel="3" x14ac:dyDescent="0.2">
      <c r="A4115" s="82">
        <v>1</v>
      </c>
      <c r="B4115" s="82" t="s">
        <v>71</v>
      </c>
      <c r="C4115" s="82" t="s">
        <v>1946</v>
      </c>
      <c r="D4115" s="82" t="s">
        <v>1946</v>
      </c>
      <c r="E4115" s="11" t="str">
        <f t="array" ref="E4115">_xlfn.XLOOKUP(D4115,Insumos!B:B,Insumos!C:$C)</f>
        <v>M2</v>
      </c>
      <c r="F4115" s="86">
        <v>1</v>
      </c>
      <c r="G4115" s="92">
        <f t="array" ref="G4115">IF(B4115="insumo",_xlfn.XLOOKUP($D4115,Insumos!$B$1:$B$996,Insumos!$D$1:$D$996),"")</f>
        <v>850</v>
      </c>
      <c r="H4115" s="92">
        <v>850</v>
      </c>
      <c r="I4115" s="84">
        <v>0</v>
      </c>
      <c r="J4115" s="84">
        <v>0</v>
      </c>
      <c r="K4115" s="84"/>
      <c r="L4115"/>
      <c r="M4115"/>
      <c r="N4115"/>
      <c r="O4115"/>
      <c r="P4115"/>
      <c r="Q4115"/>
      <c r="R4115"/>
      <c r="S4115"/>
      <c r="T4115"/>
      <c r="U4115"/>
      <c r="V4115"/>
      <c r="W4115"/>
      <c r="X4115"/>
      <c r="Y4115"/>
      <c r="Z4115"/>
      <c r="AA4115"/>
      <c r="AB4115"/>
      <c r="AC4115"/>
      <c r="AD4115"/>
      <c r="AE4115"/>
      <c r="AF4115"/>
      <c r="AG4115"/>
      <c r="AH4115"/>
      <c r="AI4115"/>
      <c r="AJ4115"/>
      <c r="AK4115"/>
      <c r="AL4115"/>
    </row>
    <row r="4116" spans="1:38" ht="12.75" outlineLevel="2" x14ac:dyDescent="0.2">
      <c r="A4116" s="1071">
        <v>1</v>
      </c>
      <c r="B4116" s="1071" t="s">
        <v>68</v>
      </c>
      <c r="C4116" s="1071" t="s">
        <v>797</v>
      </c>
      <c r="D4116" s="1071" t="s">
        <v>797</v>
      </c>
      <c r="E4116" s="1072" t="s">
        <v>70</v>
      </c>
      <c r="F4116" s="1071"/>
      <c r="G4116" s="1073" t="str">
        <f t="array" ref="G4116">IF(B4116="insumo",_xlfn.XLOOKUP($D4116,Insumos!$B$1:$B$996,Insumos!$D$1:$D$996),"")</f>
        <v/>
      </c>
      <c r="H4116" s="1073">
        <v>1403.9849999999999</v>
      </c>
      <c r="I4116" s="1074" t="e">
        <v>#REF!</v>
      </c>
      <c r="J4116" s="1074" t="e">
        <v>#REF!</v>
      </c>
      <c r="K4116" s="1074"/>
      <c r="L4116"/>
      <c r="M4116"/>
      <c r="N4116"/>
      <c r="O4116"/>
      <c r="P4116"/>
      <c r="Q4116"/>
      <c r="R4116"/>
      <c r="S4116"/>
      <c r="T4116"/>
      <c r="U4116"/>
      <c r="V4116"/>
      <c r="W4116"/>
      <c r="X4116"/>
      <c r="Y4116"/>
      <c r="Z4116"/>
      <c r="AA4116"/>
      <c r="AB4116"/>
      <c r="AC4116"/>
      <c r="AD4116"/>
      <c r="AE4116"/>
      <c r="AF4116"/>
      <c r="AG4116"/>
      <c r="AH4116"/>
      <c r="AI4116"/>
      <c r="AJ4116"/>
      <c r="AK4116"/>
      <c r="AL4116"/>
    </row>
    <row r="4117" spans="1:38" ht="12.75" outlineLevel="3" x14ac:dyDescent="0.2">
      <c r="A4117" s="82">
        <v>1</v>
      </c>
      <c r="B4117" s="82" t="s">
        <v>71</v>
      </c>
      <c r="C4117" s="82" t="s">
        <v>797</v>
      </c>
      <c r="D4117" s="82" t="s">
        <v>797</v>
      </c>
      <c r="E4117" s="11" t="str">
        <f t="array" ref="E4117">_xlfn.XLOOKUP(D4117,Insumos!B:B,Insumos!C:$C)</f>
        <v>M2</v>
      </c>
      <c r="F4117" s="86">
        <v>1.5</v>
      </c>
      <c r="G4117" s="92">
        <f t="array" ref="G4117">IF(B4117="insumo",_xlfn.XLOOKUP($D4117,Insumos!$B$1:$B$996,Insumos!$D$1:$D$996),"")</f>
        <v>935.99</v>
      </c>
      <c r="H4117" s="92">
        <v>1403.9849999999999</v>
      </c>
      <c r="I4117" s="84" t="e">
        <v>#REF!</v>
      </c>
      <c r="J4117" s="84" t="e">
        <v>#REF!</v>
      </c>
      <c r="K4117" s="84"/>
      <c r="L4117"/>
      <c r="M4117"/>
      <c r="N4117"/>
      <c r="O4117"/>
      <c r="P4117"/>
      <c r="Q4117"/>
      <c r="R4117"/>
      <c r="S4117"/>
      <c r="T4117"/>
      <c r="U4117"/>
      <c r="V4117"/>
      <c r="W4117"/>
      <c r="X4117"/>
      <c r="Y4117"/>
      <c r="Z4117"/>
      <c r="AA4117"/>
      <c r="AB4117"/>
      <c r="AC4117"/>
      <c r="AD4117"/>
      <c r="AE4117"/>
      <c r="AF4117"/>
      <c r="AG4117"/>
      <c r="AH4117"/>
      <c r="AI4117"/>
      <c r="AJ4117"/>
      <c r="AK4117"/>
      <c r="AL4117"/>
    </row>
    <row r="4118" spans="1:38" ht="12.75" outlineLevel="2" x14ac:dyDescent="0.2">
      <c r="A4118" s="1071">
        <v>1</v>
      </c>
      <c r="B4118" s="1071" t="s">
        <v>68</v>
      </c>
      <c r="C4118" s="1071" t="s">
        <v>798</v>
      </c>
      <c r="D4118" s="1071" t="s">
        <v>798</v>
      </c>
      <c r="E4118" s="1072" t="s">
        <v>70</v>
      </c>
      <c r="F4118" s="1071"/>
      <c r="G4118" s="1073" t="str">
        <f t="array" ref="G4118">IF(B4118="insumo",_xlfn.XLOOKUP($D4118,Insumos!$B$1:$B$996,Insumos!$D$1:$D$996),"")</f>
        <v/>
      </c>
      <c r="H4118" s="1073">
        <v>768.5</v>
      </c>
      <c r="I4118" s="1074">
        <v>0</v>
      </c>
      <c r="J4118" s="1074">
        <v>0</v>
      </c>
      <c r="K4118" s="1074"/>
      <c r="L4118"/>
      <c r="M4118"/>
      <c r="N4118"/>
      <c r="O4118"/>
      <c r="P4118"/>
      <c r="Q4118"/>
      <c r="R4118"/>
      <c r="S4118"/>
      <c r="T4118"/>
      <c r="U4118"/>
      <c r="V4118"/>
      <c r="W4118"/>
      <c r="X4118"/>
      <c r="Y4118"/>
      <c r="Z4118"/>
      <c r="AA4118"/>
      <c r="AB4118"/>
      <c r="AC4118"/>
      <c r="AD4118"/>
      <c r="AE4118"/>
      <c r="AF4118"/>
      <c r="AG4118"/>
      <c r="AH4118"/>
      <c r="AI4118"/>
      <c r="AJ4118"/>
      <c r="AK4118"/>
      <c r="AL4118"/>
    </row>
    <row r="4119" spans="1:38" ht="12.75" outlineLevel="3" x14ac:dyDescent="0.2">
      <c r="A4119" s="82">
        <v>2</v>
      </c>
      <c r="B4119" s="82" t="s">
        <v>71</v>
      </c>
      <c r="C4119" s="82" t="s">
        <v>798</v>
      </c>
      <c r="D4119" s="82" t="s">
        <v>798</v>
      </c>
      <c r="E4119" s="11" t="str">
        <f t="array" ref="E4119">_xlfn.XLOOKUP(D4119,Insumos!B:B,Insumos!C:$C)</f>
        <v>M2</v>
      </c>
      <c r="F4119" s="86">
        <v>1</v>
      </c>
      <c r="G4119" s="92">
        <f t="array" ref="G4119">IF(B4119="insumo",_xlfn.XLOOKUP($D4119,Insumos!$B$1:$B$996,Insumos!$D$1:$D$996),"")</f>
        <v>768.5</v>
      </c>
      <c r="H4119" s="92">
        <v>768.5</v>
      </c>
      <c r="I4119" s="84">
        <v>0</v>
      </c>
      <c r="J4119" s="84">
        <v>0</v>
      </c>
      <c r="K4119" s="84"/>
      <c r="L4119"/>
      <c r="M4119"/>
      <c r="N4119"/>
      <c r="O4119"/>
      <c r="P4119"/>
      <c r="Q4119"/>
      <c r="R4119"/>
      <c r="S4119"/>
      <c r="T4119"/>
      <c r="U4119"/>
      <c r="V4119"/>
      <c r="W4119"/>
      <c r="X4119"/>
      <c r="Y4119"/>
      <c r="Z4119"/>
      <c r="AA4119"/>
      <c r="AB4119"/>
      <c r="AC4119"/>
      <c r="AD4119"/>
      <c r="AE4119"/>
      <c r="AF4119"/>
      <c r="AG4119"/>
      <c r="AH4119"/>
      <c r="AI4119"/>
      <c r="AJ4119"/>
      <c r="AK4119"/>
      <c r="AL4119"/>
    </row>
    <row r="4120" spans="1:38" ht="12.75" outlineLevel="2" x14ac:dyDescent="0.2">
      <c r="A4120" s="1071">
        <v>1</v>
      </c>
      <c r="B4120" s="1071" t="s">
        <v>68</v>
      </c>
      <c r="C4120" s="1071" t="s">
        <v>1947</v>
      </c>
      <c r="D4120" s="1071" t="s">
        <v>1947</v>
      </c>
      <c r="E4120" s="1072" t="s">
        <v>70</v>
      </c>
      <c r="F4120" s="1071"/>
      <c r="G4120" s="1073" t="str">
        <f t="array" ref="G4120">IF(B4120="insumo",_xlfn.XLOOKUP($D4120,Insumos!$B$1:$B$996,Insumos!$D$1:$D$996),"")</f>
        <v/>
      </c>
      <c r="H4120" s="1073">
        <v>768.5</v>
      </c>
      <c r="I4120" s="1074">
        <v>0</v>
      </c>
      <c r="J4120" s="1074">
        <v>0</v>
      </c>
      <c r="K4120" s="1074"/>
      <c r="L4120"/>
      <c r="M4120"/>
      <c r="N4120"/>
      <c r="O4120"/>
      <c r="P4120"/>
      <c r="Q4120"/>
      <c r="R4120"/>
      <c r="S4120"/>
      <c r="T4120"/>
      <c r="U4120"/>
      <c r="V4120"/>
      <c r="W4120"/>
      <c r="X4120"/>
      <c r="Y4120"/>
      <c r="Z4120"/>
      <c r="AA4120"/>
      <c r="AB4120"/>
      <c r="AC4120"/>
      <c r="AD4120"/>
      <c r="AE4120"/>
      <c r="AF4120"/>
      <c r="AG4120"/>
      <c r="AH4120"/>
      <c r="AI4120"/>
      <c r="AJ4120"/>
      <c r="AK4120"/>
      <c r="AL4120"/>
    </row>
    <row r="4121" spans="1:38" ht="12.75" outlineLevel="3" x14ac:dyDescent="0.2">
      <c r="A4121" s="82">
        <v>2</v>
      </c>
      <c r="B4121" s="82" t="s">
        <v>71</v>
      </c>
      <c r="C4121" s="82" t="s">
        <v>1947</v>
      </c>
      <c r="D4121" s="82" t="s">
        <v>798</v>
      </c>
      <c r="E4121" s="11" t="str">
        <f t="array" ref="E4121">_xlfn.XLOOKUP(D4121,Insumos!B:B,Insumos!C:$C)</f>
        <v>M2</v>
      </c>
      <c r="F4121" s="86">
        <v>1</v>
      </c>
      <c r="G4121" s="92">
        <f t="array" ref="G4121">IF(B4121="insumo",_xlfn.XLOOKUP($D4121,Insumos!$B$1:$B$996,Insumos!$D$1:$D$996),"")</f>
        <v>768.5</v>
      </c>
      <c r="H4121" s="92">
        <v>768.5</v>
      </c>
      <c r="I4121" s="84">
        <v>0</v>
      </c>
      <c r="J4121" s="84">
        <v>0</v>
      </c>
      <c r="K4121" s="84"/>
      <c r="L4121"/>
      <c r="M4121"/>
      <c r="N4121"/>
      <c r="O4121"/>
      <c r="P4121"/>
      <c r="Q4121"/>
      <c r="R4121"/>
      <c r="S4121"/>
      <c r="T4121"/>
      <c r="U4121"/>
      <c r="V4121"/>
      <c r="W4121"/>
      <c r="X4121"/>
      <c r="Y4121"/>
      <c r="Z4121"/>
      <c r="AA4121"/>
      <c r="AB4121"/>
      <c r="AC4121"/>
      <c r="AD4121"/>
      <c r="AE4121"/>
      <c r="AF4121"/>
      <c r="AG4121"/>
      <c r="AH4121"/>
      <c r="AI4121"/>
      <c r="AJ4121"/>
      <c r="AK4121"/>
      <c r="AL4121"/>
    </row>
    <row r="4122" spans="1:38" ht="12.75" outlineLevel="2" x14ac:dyDescent="0.2">
      <c r="A4122" s="1071">
        <v>1</v>
      </c>
      <c r="B4122" s="1071" t="s">
        <v>68</v>
      </c>
      <c r="C4122" s="1071" t="s">
        <v>803</v>
      </c>
      <c r="D4122" s="1071" t="s">
        <v>803</v>
      </c>
      <c r="E4122" s="1072" t="s">
        <v>152</v>
      </c>
      <c r="F4122" s="1071"/>
      <c r="G4122" s="1073" t="str">
        <f t="array" ref="G4122">IF(B4122="insumo",_xlfn.XLOOKUP($D4122,Insumos!$B$1:$B$996,Insumos!$D$1:$D$996),"")</f>
        <v/>
      </c>
      <c r="H4122" s="1073">
        <v>1478.75</v>
      </c>
      <c r="I4122" s="1074">
        <v>0</v>
      </c>
      <c r="J4122" s="1074">
        <v>0</v>
      </c>
      <c r="K4122" s="1074"/>
      <c r="L4122"/>
      <c r="M4122"/>
      <c r="N4122"/>
      <c r="O4122"/>
      <c r="P4122"/>
      <c r="Q4122"/>
      <c r="R4122"/>
      <c r="S4122"/>
      <c r="T4122"/>
      <c r="U4122"/>
      <c r="V4122"/>
      <c r="W4122"/>
      <c r="X4122"/>
      <c r="Y4122"/>
      <c r="Z4122"/>
      <c r="AA4122"/>
      <c r="AB4122"/>
      <c r="AC4122"/>
      <c r="AD4122"/>
      <c r="AE4122"/>
      <c r="AF4122"/>
      <c r="AG4122"/>
      <c r="AH4122"/>
      <c r="AI4122"/>
      <c r="AJ4122"/>
      <c r="AK4122"/>
      <c r="AL4122"/>
    </row>
    <row r="4123" spans="1:38" ht="12.75" outlineLevel="3" x14ac:dyDescent="0.2">
      <c r="A4123" s="82">
        <v>27</v>
      </c>
      <c r="B4123" s="82" t="s">
        <v>71</v>
      </c>
      <c r="C4123" s="82" t="s">
        <v>803</v>
      </c>
      <c r="D4123" s="82" t="s">
        <v>342</v>
      </c>
      <c r="E4123" s="11" t="str">
        <f t="array" ref="E4123">_xlfn.XLOOKUP(D4123,Insumos!B:B,Insumos!C:$C)</f>
        <v>M3</v>
      </c>
      <c r="F4123" s="86">
        <v>0.35</v>
      </c>
      <c r="G4123" s="92">
        <f t="array" ref="G4123">IF(B4123="insumo",_xlfn.XLOOKUP($D4123,Insumos!$B$1:$B$996,Insumos!$D$1:$D$996),"")</f>
        <v>425</v>
      </c>
      <c r="H4123" s="92">
        <v>148.75</v>
      </c>
      <c r="I4123" s="84">
        <v>0</v>
      </c>
      <c r="J4123" s="84">
        <v>0</v>
      </c>
      <c r="K4123" s="84"/>
      <c r="L4123"/>
      <c r="M4123"/>
      <c r="N4123"/>
      <c r="O4123"/>
      <c r="P4123"/>
      <c r="Q4123"/>
      <c r="R4123"/>
      <c r="S4123"/>
      <c r="T4123"/>
      <c r="U4123"/>
      <c r="V4123"/>
      <c r="W4123"/>
      <c r="X4123"/>
      <c r="Y4123"/>
      <c r="Z4123"/>
      <c r="AA4123"/>
      <c r="AB4123"/>
      <c r="AC4123"/>
      <c r="AD4123"/>
      <c r="AE4123"/>
      <c r="AF4123"/>
      <c r="AG4123"/>
      <c r="AH4123"/>
      <c r="AI4123"/>
      <c r="AJ4123"/>
      <c r="AK4123"/>
      <c r="AL4123"/>
    </row>
    <row r="4124" spans="1:38" ht="12.75" outlineLevel="3" x14ac:dyDescent="0.2">
      <c r="A4124" s="82">
        <v>3</v>
      </c>
      <c r="B4124" s="82" t="s">
        <v>71</v>
      </c>
      <c r="C4124" s="82" t="s">
        <v>803</v>
      </c>
      <c r="D4124" s="82" t="s">
        <v>390</v>
      </c>
      <c r="E4124" s="11" t="str">
        <f t="array" ref="E4124">_xlfn.XLOOKUP(D4124,Insumos!B:B,Insumos!C:$C)</f>
        <v>KG</v>
      </c>
      <c r="F4124" s="86">
        <v>7.0000000000000009</v>
      </c>
      <c r="G4124" s="92">
        <f t="array" ref="G4124">IF(B4124="insumo",_xlfn.XLOOKUP($D4124,Insumos!$B$1:$B$996,Insumos!$D$1:$D$996),"")</f>
        <v>190</v>
      </c>
      <c r="H4124" s="92">
        <v>1330</v>
      </c>
      <c r="I4124" s="84">
        <v>0</v>
      </c>
      <c r="J4124" s="84">
        <v>0</v>
      </c>
      <c r="K4124" s="84"/>
      <c r="L4124"/>
      <c r="M4124"/>
      <c r="N4124"/>
      <c r="O4124"/>
      <c r="P4124"/>
      <c r="Q4124"/>
      <c r="R4124"/>
      <c r="S4124"/>
      <c r="T4124"/>
      <c r="U4124"/>
      <c r="V4124"/>
      <c r="W4124"/>
      <c r="X4124"/>
      <c r="Y4124"/>
      <c r="Z4124"/>
      <c r="AA4124"/>
      <c r="AB4124"/>
      <c r="AC4124"/>
      <c r="AD4124"/>
      <c r="AE4124"/>
      <c r="AF4124"/>
      <c r="AG4124"/>
      <c r="AH4124"/>
      <c r="AI4124"/>
      <c r="AJ4124"/>
      <c r="AK4124"/>
      <c r="AL4124"/>
    </row>
    <row r="4125" spans="1:38" ht="15.75" customHeight="1" outlineLevel="2" x14ac:dyDescent="0.2">
      <c r="A4125" s="1067">
        <v>1</v>
      </c>
      <c r="B4125" s="1067" t="s">
        <v>68</v>
      </c>
      <c r="C4125" s="1067" t="s">
        <v>799</v>
      </c>
      <c r="D4125" s="1067" t="s">
        <v>799</v>
      </c>
      <c r="E4125" s="1068" t="s">
        <v>70</v>
      </c>
      <c r="F4125" s="1067"/>
      <c r="G4125" s="1069" t="str">
        <f t="array" ref="G4125">IF(B4125="insumo",_xlfn.XLOOKUP($D4125,Insumos!$B$1:$B$996,Insumos!$D$1:$D$996),"")</f>
        <v/>
      </c>
      <c r="H4125" s="1069">
        <v>1533.99</v>
      </c>
      <c r="I4125" s="1070" t="e">
        <v>#REF!</v>
      </c>
      <c r="J4125" s="1070" t="e">
        <v>#REF!</v>
      </c>
      <c r="K4125" s="1070"/>
      <c r="L4125"/>
      <c r="M4125"/>
      <c r="N4125"/>
      <c r="O4125"/>
      <c r="P4125"/>
      <c r="Q4125"/>
      <c r="R4125"/>
      <c r="S4125"/>
      <c r="T4125"/>
      <c r="U4125"/>
      <c r="V4125"/>
      <c r="W4125"/>
      <c r="X4125"/>
      <c r="Y4125"/>
      <c r="Z4125"/>
      <c r="AA4125"/>
      <c r="AB4125"/>
      <c r="AC4125"/>
      <c r="AD4125"/>
      <c r="AE4125"/>
      <c r="AF4125"/>
      <c r="AG4125"/>
      <c r="AH4125"/>
      <c r="AI4125"/>
      <c r="AJ4125"/>
      <c r="AK4125"/>
      <c r="AL4125"/>
    </row>
    <row r="4126" spans="1:38" ht="15.75" customHeight="1" outlineLevel="3" x14ac:dyDescent="0.2">
      <c r="A4126" s="10">
        <v>1</v>
      </c>
      <c r="B4126" s="10" t="s">
        <v>71</v>
      </c>
      <c r="C4126" s="10" t="s">
        <v>799</v>
      </c>
      <c r="D4126" s="10" t="s">
        <v>799</v>
      </c>
      <c r="E4126" s="11" t="str">
        <f t="array" ref="E4126">_xlfn.XLOOKUP(D4126,Insumos!B:B,Insumos!C:$C)</f>
        <v>M2</v>
      </c>
      <c r="F4126" s="14">
        <v>1</v>
      </c>
      <c r="G4126" s="92">
        <f t="array" ref="G4126">IF(B4126="insumo",_xlfn.XLOOKUP($D4126,Insumos!$B$1:$B$996,Insumos!$D$1:$D$996),"")</f>
        <v>1533.99</v>
      </c>
      <c r="H4126" s="92">
        <v>1533.99</v>
      </c>
      <c r="I4126" s="13" t="e">
        <v>#REF!</v>
      </c>
      <c r="J4126" s="13" t="e">
        <v>#REF!</v>
      </c>
      <c r="K4126" s="13"/>
      <c r="L4126"/>
      <c r="M4126"/>
      <c r="N4126"/>
      <c r="O4126"/>
      <c r="P4126"/>
      <c r="Q4126"/>
      <c r="R4126"/>
      <c r="S4126"/>
      <c r="T4126"/>
      <c r="U4126"/>
      <c r="V4126"/>
      <c r="W4126"/>
      <c r="X4126"/>
      <c r="Y4126"/>
      <c r="Z4126"/>
      <c r="AA4126"/>
      <c r="AB4126"/>
      <c r="AC4126"/>
      <c r="AD4126"/>
      <c r="AE4126"/>
      <c r="AF4126"/>
      <c r="AG4126"/>
      <c r="AH4126"/>
      <c r="AI4126"/>
      <c r="AJ4126"/>
      <c r="AK4126"/>
      <c r="AL4126"/>
    </row>
    <row r="4127" spans="1:38" ht="15.75" customHeight="1" outlineLevel="2" x14ac:dyDescent="0.2">
      <c r="A4127" s="1067">
        <v>1</v>
      </c>
      <c r="B4127" s="1067" t="s">
        <v>68</v>
      </c>
      <c r="C4127" s="1067" t="s">
        <v>800</v>
      </c>
      <c r="D4127" s="1067" t="s">
        <v>800</v>
      </c>
      <c r="E4127" s="1068" t="s">
        <v>70</v>
      </c>
      <c r="F4127" s="1067"/>
      <c r="G4127" s="1069" t="str">
        <f t="array" ref="G4127">IF(B4127="insumo",_xlfn.XLOOKUP($D4127,Insumos!$B$1:$B$996,Insumos!$D$1:$D$996),"")</f>
        <v/>
      </c>
      <c r="H4127" s="1069">
        <v>1014</v>
      </c>
      <c r="I4127" s="1070">
        <v>0</v>
      </c>
      <c r="J4127" s="1070">
        <v>0</v>
      </c>
      <c r="K4127" s="1070"/>
      <c r="L4127"/>
      <c r="M4127"/>
      <c r="N4127"/>
      <c r="O4127"/>
      <c r="P4127"/>
      <c r="Q4127"/>
      <c r="R4127"/>
      <c r="S4127"/>
      <c r="T4127"/>
      <c r="U4127"/>
      <c r="V4127"/>
      <c r="W4127"/>
      <c r="X4127"/>
      <c r="Y4127"/>
      <c r="Z4127"/>
      <c r="AA4127"/>
      <c r="AB4127"/>
      <c r="AC4127"/>
      <c r="AD4127"/>
      <c r="AE4127"/>
      <c r="AF4127"/>
      <c r="AG4127"/>
      <c r="AH4127"/>
      <c r="AI4127"/>
      <c r="AJ4127"/>
      <c r="AK4127"/>
      <c r="AL4127"/>
    </row>
    <row r="4128" spans="1:38" ht="15.75" customHeight="1" outlineLevel="3" x14ac:dyDescent="0.2">
      <c r="A4128" s="10">
        <v>1</v>
      </c>
      <c r="B4128" s="10" t="s">
        <v>71</v>
      </c>
      <c r="C4128" s="10" t="s">
        <v>800</v>
      </c>
      <c r="D4128" s="10" t="s">
        <v>800</v>
      </c>
      <c r="E4128" s="11" t="str">
        <f t="array" ref="E4128">_xlfn.XLOOKUP(D4128,Insumos!B:B,Insumos!C:$C)</f>
        <v>un</v>
      </c>
      <c r="F4128" s="14">
        <v>1</v>
      </c>
      <c r="G4128" s="92">
        <f t="array" ref="G4128">IF(B4128="insumo",_xlfn.XLOOKUP($D4128,Insumos!$B$1:$B$996,Insumos!$D$1:$D$996),"")</f>
        <v>1014</v>
      </c>
      <c r="H4128" s="92">
        <v>1014</v>
      </c>
      <c r="I4128" s="13">
        <v>0</v>
      </c>
      <c r="J4128" s="13">
        <v>0</v>
      </c>
      <c r="K4128" s="13"/>
      <c r="L4128"/>
      <c r="M4128"/>
      <c r="N4128"/>
      <c r="O4128"/>
      <c r="P4128"/>
      <c r="Q4128"/>
      <c r="R4128"/>
      <c r="S4128"/>
      <c r="T4128"/>
      <c r="U4128"/>
      <c r="V4128"/>
      <c r="W4128"/>
      <c r="X4128"/>
      <c r="Y4128"/>
      <c r="Z4128"/>
      <c r="AA4128"/>
      <c r="AB4128"/>
      <c r="AC4128"/>
      <c r="AD4128"/>
      <c r="AE4128"/>
      <c r="AF4128"/>
      <c r="AG4128"/>
      <c r="AH4128"/>
      <c r="AI4128"/>
      <c r="AJ4128"/>
      <c r="AK4128"/>
      <c r="AL4128"/>
    </row>
    <row r="4129" spans="1:38" ht="15.75" customHeight="1" outlineLevel="2" x14ac:dyDescent="0.2">
      <c r="A4129" s="1067">
        <v>1</v>
      </c>
      <c r="B4129" s="1067" t="s">
        <v>68</v>
      </c>
      <c r="C4129" s="1067" t="s">
        <v>801</v>
      </c>
      <c r="D4129" s="1067" t="s">
        <v>801</v>
      </c>
      <c r="E4129" s="1068" t="s">
        <v>70</v>
      </c>
      <c r="F4129" s="1067"/>
      <c r="G4129" s="1069" t="str">
        <f t="array" ref="G4129">IF(B4129="insumo",_xlfn.XLOOKUP($D4129,Insumos!$B$1:$B$996,Insumos!$D$1:$D$996),"")</f>
        <v/>
      </c>
      <c r="H4129" s="1069">
        <v>3893.2833333333301</v>
      </c>
      <c r="I4129" s="1070">
        <v>0</v>
      </c>
      <c r="J4129" s="1070">
        <v>0</v>
      </c>
      <c r="K4129" s="1070"/>
      <c r="L4129"/>
      <c r="M4129"/>
      <c r="N4129"/>
      <c r="O4129"/>
      <c r="P4129"/>
      <c r="Q4129"/>
      <c r="R4129"/>
      <c r="S4129"/>
      <c r="T4129"/>
      <c r="U4129"/>
      <c r="V4129"/>
      <c r="W4129"/>
      <c r="X4129"/>
      <c r="Y4129"/>
      <c r="Z4129"/>
      <c r="AA4129"/>
      <c r="AB4129"/>
      <c r="AC4129"/>
      <c r="AD4129"/>
      <c r="AE4129"/>
      <c r="AF4129"/>
      <c r="AG4129"/>
      <c r="AH4129"/>
      <c r="AI4129"/>
      <c r="AJ4129"/>
      <c r="AK4129"/>
      <c r="AL4129"/>
    </row>
    <row r="4130" spans="1:38" ht="15.75" customHeight="1" outlineLevel="3" x14ac:dyDescent="0.2">
      <c r="A4130" s="10">
        <v>1</v>
      </c>
      <c r="B4130" s="10" t="s">
        <v>71</v>
      </c>
      <c r="C4130" s="10" t="s">
        <v>801</v>
      </c>
      <c r="D4130" s="10" t="s">
        <v>801</v>
      </c>
      <c r="E4130" s="11" t="str">
        <f t="array" ref="E4130">_xlfn.XLOOKUP(D4130,Insumos!B:B,Insumos!C:$C)</f>
        <v>M2</v>
      </c>
      <c r="F4130" s="14">
        <v>1</v>
      </c>
      <c r="G4130" s="92">
        <f t="array" ref="G4130">IF(B4130="insumo",_xlfn.XLOOKUP($D4130,Insumos!$B$1:$B$996,Insumos!$D$1:$D$996),"")</f>
        <v>3893.2833333333333</v>
      </c>
      <c r="H4130" s="92">
        <v>3893.2833333333301</v>
      </c>
      <c r="I4130" s="13">
        <v>0</v>
      </c>
      <c r="J4130" s="13">
        <v>0</v>
      </c>
      <c r="K4130" s="13"/>
      <c r="L4130"/>
      <c r="M4130"/>
      <c r="N4130"/>
      <c r="O4130"/>
      <c r="P4130"/>
      <c r="Q4130"/>
      <c r="R4130"/>
      <c r="S4130"/>
      <c r="T4130"/>
      <c r="U4130"/>
      <c r="V4130"/>
      <c r="W4130"/>
      <c r="X4130"/>
      <c r="Y4130"/>
      <c r="Z4130"/>
      <c r="AA4130"/>
      <c r="AB4130"/>
      <c r="AC4130"/>
      <c r="AD4130"/>
      <c r="AE4130"/>
      <c r="AF4130"/>
      <c r="AG4130"/>
      <c r="AH4130"/>
      <c r="AI4130"/>
      <c r="AJ4130"/>
      <c r="AK4130"/>
      <c r="AL4130"/>
    </row>
    <row r="4131" spans="1:38" ht="15.75" customHeight="1" outlineLevel="2" x14ac:dyDescent="0.2">
      <c r="A4131" s="1067">
        <v>1</v>
      </c>
      <c r="B4131" s="1067" t="s">
        <v>68</v>
      </c>
      <c r="C4131" s="1067" t="s">
        <v>1534</v>
      </c>
      <c r="D4131" s="1067" t="s">
        <v>1534</v>
      </c>
      <c r="E4131" s="1068" t="s">
        <v>113</v>
      </c>
      <c r="F4131" s="1067"/>
      <c r="G4131" s="1069" t="str">
        <f t="array" ref="G4131">IF(B4131="insumo",_xlfn.XLOOKUP($D4131,Insumos!$B$1:$B$996,Insumos!$D$1:$D$996),"")</f>
        <v/>
      </c>
      <c r="H4131" s="1069">
        <v>5040</v>
      </c>
      <c r="I4131" s="1070">
        <v>0</v>
      </c>
      <c r="J4131" s="1070">
        <v>0</v>
      </c>
      <c r="K4131" s="1070"/>
      <c r="L4131"/>
      <c r="M4131"/>
      <c r="N4131"/>
      <c r="O4131"/>
      <c r="P4131"/>
      <c r="Q4131"/>
      <c r="R4131"/>
      <c r="S4131"/>
      <c r="T4131"/>
      <c r="U4131"/>
      <c r="V4131"/>
      <c r="W4131"/>
      <c r="X4131"/>
      <c r="Y4131"/>
      <c r="Z4131"/>
      <c r="AA4131"/>
      <c r="AB4131"/>
      <c r="AC4131"/>
      <c r="AD4131"/>
      <c r="AE4131"/>
      <c r="AF4131"/>
      <c r="AG4131"/>
      <c r="AH4131"/>
      <c r="AI4131"/>
      <c r="AJ4131"/>
      <c r="AK4131"/>
      <c r="AL4131"/>
    </row>
    <row r="4132" spans="1:38" ht="15.75" customHeight="1" outlineLevel="3" x14ac:dyDescent="0.2">
      <c r="A4132" s="10">
        <v>1</v>
      </c>
      <c r="B4132" s="10" t="s">
        <v>71</v>
      </c>
      <c r="C4132" s="10" t="s">
        <v>1534</v>
      </c>
      <c r="D4132" s="10" t="s">
        <v>1534</v>
      </c>
      <c r="E4132" s="11" t="str">
        <f t="array" ref="E4132">_xlfn.XLOOKUP(D4132,Insumos!B:B,Insumos!C:$C)</f>
        <v>un</v>
      </c>
      <c r="F4132" s="14">
        <v>1</v>
      </c>
      <c r="G4132" s="92">
        <f t="array" ref="G4132">IF(B4132="insumo",_xlfn.XLOOKUP($D4132,Insumos!$B$1:$B$996,Insumos!$D$1:$D$996),"")</f>
        <v>5040</v>
      </c>
      <c r="H4132" s="92">
        <v>5040</v>
      </c>
      <c r="I4132" s="13">
        <v>0</v>
      </c>
      <c r="J4132" s="13">
        <v>0</v>
      </c>
      <c r="K4132" s="13"/>
      <c r="L4132"/>
      <c r="M4132"/>
      <c r="N4132"/>
      <c r="O4132"/>
      <c r="P4132"/>
      <c r="Q4132"/>
      <c r="R4132"/>
      <c r="S4132"/>
      <c r="T4132"/>
      <c r="U4132"/>
      <c r="V4132"/>
      <c r="W4132"/>
      <c r="X4132"/>
      <c r="Y4132"/>
      <c r="Z4132"/>
      <c r="AA4132"/>
      <c r="AB4132"/>
      <c r="AC4132"/>
      <c r="AD4132"/>
      <c r="AE4132"/>
      <c r="AF4132"/>
      <c r="AG4132"/>
      <c r="AH4132"/>
      <c r="AI4132"/>
      <c r="AJ4132"/>
      <c r="AK4132"/>
      <c r="AL4132"/>
    </row>
    <row r="4133" spans="1:38" ht="15.75" customHeight="1" outlineLevel="2" x14ac:dyDescent="0.2">
      <c r="A4133" s="1067">
        <v>1</v>
      </c>
      <c r="B4133" s="1067" t="s">
        <v>68</v>
      </c>
      <c r="C4133" s="1067" t="s">
        <v>802</v>
      </c>
      <c r="D4133" s="1067" t="s">
        <v>802</v>
      </c>
      <c r="E4133" s="1068" t="s">
        <v>113</v>
      </c>
      <c r="F4133" s="1067"/>
      <c r="G4133" s="1069" t="str">
        <f t="array" ref="G4133">IF(B4133="insumo",_xlfn.XLOOKUP($D4133,Insumos!$B$1:$B$996,Insumos!$D$1:$D$996),"")</f>
        <v/>
      </c>
      <c r="H4133" s="1069">
        <v>530</v>
      </c>
      <c r="I4133" s="1070">
        <v>0</v>
      </c>
      <c r="J4133" s="1070">
        <v>0</v>
      </c>
      <c r="K4133" s="1070"/>
      <c r="L4133"/>
      <c r="M4133"/>
      <c r="N4133"/>
      <c r="O4133"/>
      <c r="P4133"/>
      <c r="Q4133"/>
      <c r="R4133"/>
      <c r="S4133"/>
      <c r="T4133"/>
      <c r="U4133"/>
      <c r="V4133"/>
      <c r="W4133"/>
      <c r="X4133"/>
      <c r="Y4133"/>
      <c r="Z4133"/>
      <c r="AA4133"/>
      <c r="AB4133"/>
      <c r="AC4133"/>
      <c r="AD4133"/>
      <c r="AE4133"/>
      <c r="AF4133"/>
      <c r="AG4133"/>
      <c r="AH4133"/>
      <c r="AI4133"/>
      <c r="AJ4133"/>
      <c r="AK4133"/>
      <c r="AL4133"/>
    </row>
    <row r="4134" spans="1:38" ht="15.75" customHeight="1" outlineLevel="3" x14ac:dyDescent="0.2">
      <c r="A4134" s="10">
        <v>1</v>
      </c>
      <c r="B4134" s="10" t="s">
        <v>71</v>
      </c>
      <c r="C4134" s="10" t="s">
        <v>802</v>
      </c>
      <c r="D4134" s="10" t="s">
        <v>802</v>
      </c>
      <c r="E4134" s="11" t="str">
        <f t="array" ref="E4134">_xlfn.XLOOKUP(D4134,Insumos!B:B,Insumos!C:$C)</f>
        <v>M</v>
      </c>
      <c r="F4134" s="14">
        <v>1</v>
      </c>
      <c r="G4134" s="92">
        <f t="array" ref="G4134">IF(B4134="insumo",_xlfn.XLOOKUP($D4134,Insumos!$B$1:$B$996,Insumos!$D$1:$D$996),"")</f>
        <v>530</v>
      </c>
      <c r="H4134" s="92">
        <v>530</v>
      </c>
      <c r="I4134" s="13">
        <v>0</v>
      </c>
      <c r="J4134" s="13">
        <v>0</v>
      </c>
      <c r="K4134" s="13"/>
      <c r="L4134"/>
      <c r="M4134"/>
      <c r="N4134"/>
      <c r="O4134"/>
      <c r="P4134"/>
      <c r="Q4134"/>
      <c r="R4134"/>
      <c r="S4134"/>
      <c r="T4134"/>
      <c r="U4134"/>
      <c r="V4134"/>
      <c r="W4134"/>
      <c r="X4134"/>
      <c r="Y4134"/>
      <c r="Z4134"/>
      <c r="AA4134"/>
      <c r="AB4134"/>
      <c r="AC4134"/>
      <c r="AD4134"/>
      <c r="AE4134"/>
      <c r="AF4134"/>
      <c r="AG4134"/>
      <c r="AH4134"/>
      <c r="AI4134"/>
      <c r="AJ4134"/>
      <c r="AK4134"/>
      <c r="AL4134"/>
    </row>
    <row r="4135" spans="1:38" ht="15.75" customHeight="1" outlineLevel="2" x14ac:dyDescent="0.2">
      <c r="A4135" s="1067">
        <v>1</v>
      </c>
      <c r="B4135" s="1067" t="s">
        <v>68</v>
      </c>
      <c r="C4135" s="1067" t="s">
        <v>1535</v>
      </c>
      <c r="D4135" s="1067" t="s">
        <v>1535</v>
      </c>
      <c r="E4135" s="1068" t="s">
        <v>70</v>
      </c>
      <c r="F4135" s="1067"/>
      <c r="G4135" s="1069" t="str">
        <f t="array" ref="G4135">IF(B4135="insumo",_xlfn.XLOOKUP($D4135,Insumos!$B$1:$B$996,Insumos!$D$1:$D$996),"")</f>
        <v/>
      </c>
      <c r="H4135" s="1069">
        <v>28645.08</v>
      </c>
      <c r="I4135" s="1070">
        <v>0</v>
      </c>
      <c r="J4135" s="1070">
        <v>0</v>
      </c>
      <c r="K4135" s="1070"/>
      <c r="L4135"/>
      <c r="M4135"/>
      <c r="N4135"/>
      <c r="O4135"/>
      <c r="P4135"/>
      <c r="Q4135"/>
      <c r="R4135"/>
      <c r="S4135"/>
      <c r="T4135"/>
      <c r="U4135"/>
      <c r="V4135"/>
      <c r="W4135"/>
      <c r="X4135"/>
      <c r="Y4135"/>
      <c r="Z4135"/>
      <c r="AA4135"/>
      <c r="AB4135"/>
      <c r="AC4135"/>
      <c r="AD4135"/>
      <c r="AE4135"/>
      <c r="AF4135"/>
      <c r="AG4135"/>
      <c r="AH4135"/>
      <c r="AI4135"/>
      <c r="AJ4135"/>
      <c r="AK4135"/>
      <c r="AL4135"/>
    </row>
    <row r="4136" spans="1:38" ht="15.75" customHeight="1" outlineLevel="3" x14ac:dyDescent="0.2">
      <c r="A4136" s="10">
        <v>1</v>
      </c>
      <c r="B4136" s="10" t="s">
        <v>71</v>
      </c>
      <c r="C4136" s="10" t="s">
        <v>1535</v>
      </c>
      <c r="D4136" s="10" t="s">
        <v>1535</v>
      </c>
      <c r="E4136" s="11" t="str">
        <f t="array" ref="E4136">_xlfn.XLOOKUP(D4136,Insumos!B:B,Insumos!C:$C)</f>
        <v>un</v>
      </c>
      <c r="F4136" s="14">
        <v>1</v>
      </c>
      <c r="G4136" s="92">
        <f t="array" ref="G4136">IF(B4136="insumo",_xlfn.XLOOKUP($D4136,Insumos!$B$1:$B$996,Insumos!$D$1:$D$996),"")</f>
        <v>28645.08</v>
      </c>
      <c r="H4136" s="92">
        <v>28645.08</v>
      </c>
      <c r="I4136" s="13">
        <v>0</v>
      </c>
      <c r="J4136" s="13">
        <v>0</v>
      </c>
      <c r="K4136" s="13"/>
      <c r="L4136"/>
      <c r="M4136"/>
      <c r="N4136"/>
      <c r="O4136"/>
      <c r="P4136"/>
      <c r="Q4136"/>
      <c r="R4136"/>
      <c r="S4136"/>
      <c r="T4136"/>
      <c r="U4136"/>
      <c r="V4136"/>
      <c r="W4136"/>
      <c r="X4136"/>
      <c r="Y4136"/>
      <c r="Z4136"/>
      <c r="AA4136"/>
      <c r="AB4136"/>
      <c r="AC4136"/>
      <c r="AD4136"/>
      <c r="AE4136"/>
      <c r="AF4136"/>
      <c r="AG4136"/>
      <c r="AH4136"/>
      <c r="AI4136"/>
      <c r="AJ4136"/>
      <c r="AK4136"/>
      <c r="AL4136"/>
    </row>
    <row r="4137" spans="1:38" ht="15.75" customHeight="1" outlineLevel="2" x14ac:dyDescent="0.2">
      <c r="A4137" s="1067">
        <v>1</v>
      </c>
      <c r="B4137" s="1067" t="s">
        <v>68</v>
      </c>
      <c r="C4137" s="1067" t="s">
        <v>839</v>
      </c>
      <c r="D4137" s="1067" t="s">
        <v>839</v>
      </c>
      <c r="E4137" s="1068" t="s">
        <v>70</v>
      </c>
      <c r="F4137" s="1067"/>
      <c r="G4137" s="1069" t="str">
        <f t="array" ref="G4137">IF(B4137="insumo",_xlfn.XLOOKUP($D4137,Insumos!$B$1:$B$996,Insumos!$D$1:$D$996),"")</f>
        <v/>
      </c>
      <c r="H4137" s="1069">
        <v>9302</v>
      </c>
      <c r="I4137" s="1070">
        <v>0</v>
      </c>
      <c r="J4137" s="1070">
        <v>0</v>
      </c>
      <c r="K4137" s="1070"/>
      <c r="L4137"/>
      <c r="M4137"/>
      <c r="N4137"/>
      <c r="O4137"/>
      <c r="P4137"/>
      <c r="Q4137"/>
      <c r="R4137"/>
      <c r="S4137"/>
      <c r="T4137"/>
      <c r="U4137"/>
      <c r="V4137"/>
      <c r="W4137"/>
      <c r="X4137"/>
      <c r="Y4137"/>
      <c r="Z4137"/>
      <c r="AA4137"/>
      <c r="AB4137"/>
      <c r="AC4137"/>
      <c r="AD4137"/>
      <c r="AE4137"/>
      <c r="AF4137"/>
      <c r="AG4137"/>
      <c r="AH4137"/>
      <c r="AI4137"/>
      <c r="AJ4137"/>
      <c r="AK4137"/>
      <c r="AL4137"/>
    </row>
    <row r="4138" spans="1:38" ht="15.75" customHeight="1" outlineLevel="3" x14ac:dyDescent="0.2">
      <c r="A4138" s="10">
        <v>1</v>
      </c>
      <c r="B4138" s="10" t="s">
        <v>71</v>
      </c>
      <c r="C4138" s="10" t="s">
        <v>839</v>
      </c>
      <c r="D4138" s="10" t="s">
        <v>839</v>
      </c>
      <c r="E4138" s="11" t="str">
        <f t="array" ref="E4138">_xlfn.XLOOKUP(D4138,Insumos!B:B,Insumos!C:$C)</f>
        <v>un</v>
      </c>
      <c r="F4138" s="14">
        <v>1</v>
      </c>
      <c r="G4138" s="92">
        <f t="array" ref="G4138">IF(B4138="insumo",_xlfn.XLOOKUP($D4138,Insumos!$B$1:$B$996,Insumos!$D$1:$D$996),"")</f>
        <v>9302</v>
      </c>
      <c r="H4138" s="92">
        <v>9302</v>
      </c>
      <c r="I4138" s="13">
        <v>0</v>
      </c>
      <c r="J4138" s="13">
        <v>0</v>
      </c>
      <c r="K4138" s="13"/>
      <c r="L4138"/>
      <c r="M4138"/>
      <c r="N4138"/>
      <c r="O4138"/>
      <c r="P4138"/>
      <c r="Q4138"/>
      <c r="R4138"/>
      <c r="S4138"/>
      <c r="T4138"/>
      <c r="U4138"/>
      <c r="V4138"/>
      <c r="W4138"/>
      <c r="X4138"/>
      <c r="Y4138"/>
      <c r="Z4138"/>
      <c r="AA4138"/>
      <c r="AB4138"/>
      <c r="AC4138"/>
      <c r="AD4138"/>
      <c r="AE4138"/>
      <c r="AF4138"/>
      <c r="AG4138"/>
      <c r="AH4138"/>
      <c r="AI4138"/>
      <c r="AJ4138"/>
      <c r="AK4138"/>
      <c r="AL4138"/>
    </row>
    <row r="4139" spans="1:38" ht="12.75" outlineLevel="2" x14ac:dyDescent="0.2">
      <c r="A4139" s="1071">
        <v>1</v>
      </c>
      <c r="B4139" s="1071" t="s">
        <v>68</v>
      </c>
      <c r="C4139" s="1071" t="s">
        <v>838</v>
      </c>
      <c r="D4139" s="1071" t="s">
        <v>838</v>
      </c>
      <c r="E4139" s="1072" t="s">
        <v>70</v>
      </c>
      <c r="F4139" s="1071"/>
      <c r="G4139" s="1073" t="str">
        <f t="array" ref="G4139">IF(B4139="insumo",_xlfn.XLOOKUP($D4139,Insumos!$B$1:$B$996,Insumos!$D$1:$D$996),"")</f>
        <v/>
      </c>
      <c r="H4139" s="1073">
        <v>13011.7261904762</v>
      </c>
      <c r="I4139" s="1074">
        <v>0</v>
      </c>
      <c r="J4139" s="1074">
        <v>0</v>
      </c>
      <c r="K4139" s="1074"/>
      <c r="L4139"/>
      <c r="M4139"/>
      <c r="N4139"/>
      <c r="O4139"/>
      <c r="P4139"/>
      <c r="Q4139"/>
      <c r="R4139"/>
      <c r="S4139"/>
      <c r="T4139"/>
      <c r="U4139"/>
      <c r="V4139"/>
      <c r="W4139"/>
      <c r="X4139"/>
      <c r="Y4139"/>
      <c r="Z4139"/>
      <c r="AA4139"/>
      <c r="AB4139"/>
      <c r="AC4139"/>
      <c r="AD4139"/>
      <c r="AE4139"/>
      <c r="AF4139"/>
      <c r="AG4139"/>
      <c r="AH4139"/>
      <c r="AI4139"/>
      <c r="AJ4139"/>
      <c r="AK4139"/>
      <c r="AL4139"/>
    </row>
    <row r="4140" spans="1:38" ht="12.75" outlineLevel="3" x14ac:dyDescent="0.2">
      <c r="A4140" s="82">
        <v>1</v>
      </c>
      <c r="B4140" s="82" t="s">
        <v>71</v>
      </c>
      <c r="C4140" s="82" t="s">
        <v>838</v>
      </c>
      <c r="D4140" s="82" t="s">
        <v>838</v>
      </c>
      <c r="E4140" s="11" t="str">
        <f t="array" ref="E4140">_xlfn.XLOOKUP(D4140,Insumos!B:B,Insumos!C:$C)</f>
        <v>un</v>
      </c>
      <c r="F4140" s="86">
        <v>1</v>
      </c>
      <c r="G4140" s="92">
        <f t="array" ref="G4140">IF(B4140="insumo",_xlfn.XLOOKUP($D4140,Insumos!$B$1:$B$996,Insumos!$D$1:$D$996),"")</f>
        <v>13011.726190476189</v>
      </c>
      <c r="H4140" s="92">
        <v>13011.7261904762</v>
      </c>
      <c r="I4140" s="84">
        <v>0</v>
      </c>
      <c r="J4140" s="84">
        <v>0</v>
      </c>
      <c r="K4140" s="84"/>
      <c r="L4140"/>
      <c r="M4140"/>
      <c r="N4140"/>
      <c r="O4140"/>
      <c r="P4140"/>
      <c r="Q4140"/>
      <c r="R4140"/>
      <c r="S4140"/>
      <c r="T4140"/>
      <c r="U4140"/>
      <c r="V4140"/>
      <c r="W4140"/>
      <c r="X4140"/>
      <c r="Y4140"/>
      <c r="Z4140"/>
      <c r="AA4140"/>
      <c r="AB4140"/>
      <c r="AC4140"/>
      <c r="AD4140"/>
      <c r="AE4140"/>
      <c r="AF4140"/>
      <c r="AG4140"/>
      <c r="AH4140"/>
      <c r="AI4140"/>
      <c r="AJ4140"/>
      <c r="AK4140"/>
      <c r="AL4140"/>
    </row>
    <row r="4141" spans="1:38" ht="12.75" outlineLevel="2" x14ac:dyDescent="0.2">
      <c r="A4141" s="1071">
        <v>1</v>
      </c>
      <c r="B4141" s="1071" t="s">
        <v>68</v>
      </c>
      <c r="C4141" s="1071" t="s">
        <v>1962</v>
      </c>
      <c r="D4141" s="1071" t="s">
        <v>1962</v>
      </c>
      <c r="E4141" s="1072" t="s">
        <v>70</v>
      </c>
      <c r="F4141" s="1071"/>
      <c r="G4141" s="1073" t="str">
        <f t="array" ref="G4141">IF(B4141="insumo",_xlfn.XLOOKUP($D4141,Insumos!$B$1:$B$996,Insumos!$D$1:$D$996),"")</f>
        <v/>
      </c>
      <c r="H4141" s="1073">
        <v>8681.8666666666704</v>
      </c>
      <c r="I4141" s="1074">
        <v>0</v>
      </c>
      <c r="J4141" s="1074">
        <v>0</v>
      </c>
      <c r="K4141" s="1074"/>
      <c r="L4141"/>
      <c r="M4141"/>
      <c r="N4141"/>
      <c r="O4141"/>
      <c r="P4141"/>
      <c r="Q4141"/>
      <c r="R4141"/>
      <c r="S4141"/>
      <c r="T4141"/>
      <c r="U4141"/>
      <c r="V4141"/>
      <c r="W4141"/>
      <c r="X4141"/>
      <c r="Y4141"/>
      <c r="Z4141"/>
      <c r="AA4141"/>
      <c r="AB4141"/>
      <c r="AC4141"/>
      <c r="AD4141"/>
      <c r="AE4141"/>
      <c r="AF4141"/>
      <c r="AG4141"/>
      <c r="AH4141"/>
      <c r="AI4141"/>
      <c r="AJ4141"/>
      <c r="AK4141"/>
      <c r="AL4141"/>
    </row>
    <row r="4142" spans="1:38" ht="12.75" outlineLevel="3" x14ac:dyDescent="0.2">
      <c r="A4142" s="82">
        <v>1</v>
      </c>
      <c r="B4142" s="82" t="s">
        <v>71</v>
      </c>
      <c r="C4142" s="82" t="s">
        <v>1962</v>
      </c>
      <c r="D4142" s="82" t="s">
        <v>1962</v>
      </c>
      <c r="E4142" s="11" t="str">
        <f t="array" ref="E4142">_xlfn.XLOOKUP(D4142,Insumos!B:B,Insumos!C:$C)</f>
        <v>un</v>
      </c>
      <c r="F4142" s="86">
        <v>1</v>
      </c>
      <c r="G4142" s="92">
        <f t="array" ref="G4142">IF(B4142="insumo",_xlfn.XLOOKUP($D4142,Insumos!$B$1:$B$996,Insumos!$D$1:$D$996),"")</f>
        <v>8681.8666666666668</v>
      </c>
      <c r="H4142" s="92">
        <v>8681.8666666666704</v>
      </c>
      <c r="I4142" s="84">
        <v>0</v>
      </c>
      <c r="J4142" s="84">
        <v>0</v>
      </c>
      <c r="K4142" s="84"/>
      <c r="L4142"/>
      <c r="M4142"/>
      <c r="N4142"/>
      <c r="O4142"/>
      <c r="P4142"/>
      <c r="Q4142"/>
      <c r="R4142"/>
      <c r="S4142"/>
      <c r="T4142"/>
      <c r="U4142"/>
      <c r="V4142"/>
      <c r="W4142"/>
      <c r="X4142"/>
      <c r="Y4142"/>
      <c r="Z4142"/>
      <c r="AA4142"/>
      <c r="AB4142"/>
      <c r="AC4142"/>
      <c r="AD4142"/>
      <c r="AE4142"/>
      <c r="AF4142"/>
      <c r="AG4142"/>
      <c r="AH4142"/>
      <c r="AI4142"/>
      <c r="AJ4142"/>
      <c r="AK4142"/>
      <c r="AL4142"/>
    </row>
    <row r="4143" spans="1:38" ht="12.75" outlineLevel="2" x14ac:dyDescent="0.2">
      <c r="A4143" s="1071">
        <v>1</v>
      </c>
      <c r="B4143" s="1071" t="s">
        <v>68</v>
      </c>
      <c r="C4143" s="1071" t="s">
        <v>1963</v>
      </c>
      <c r="D4143" s="1071" t="s">
        <v>1963</v>
      </c>
      <c r="E4143" s="1072" t="s">
        <v>70</v>
      </c>
      <c r="F4143" s="1071"/>
      <c r="G4143" s="1073" t="str">
        <f t="array" ref="G4143">IF(B4143="insumo",_xlfn.XLOOKUP($D4143,Insumos!$B$1:$B$996,Insumos!$D$1:$D$996),"")</f>
        <v/>
      </c>
      <c r="H4143" s="1073">
        <v>7795.9619047619099</v>
      </c>
      <c r="I4143" s="1074">
        <v>0</v>
      </c>
      <c r="J4143" s="1074">
        <v>0</v>
      </c>
      <c r="K4143" s="1074"/>
      <c r="L4143"/>
      <c r="M4143"/>
      <c r="N4143"/>
      <c r="O4143"/>
      <c r="P4143"/>
      <c r="Q4143"/>
      <c r="R4143"/>
      <c r="S4143"/>
      <c r="T4143"/>
      <c r="U4143"/>
      <c r="V4143"/>
      <c r="W4143"/>
      <c r="X4143"/>
      <c r="Y4143"/>
      <c r="Z4143"/>
      <c r="AA4143"/>
      <c r="AB4143"/>
      <c r="AC4143"/>
      <c r="AD4143"/>
      <c r="AE4143"/>
      <c r="AF4143"/>
      <c r="AG4143"/>
      <c r="AH4143"/>
      <c r="AI4143"/>
      <c r="AJ4143"/>
      <c r="AK4143"/>
      <c r="AL4143"/>
    </row>
    <row r="4144" spans="1:38" ht="12.75" outlineLevel="3" x14ac:dyDescent="0.2">
      <c r="A4144" s="82">
        <v>1</v>
      </c>
      <c r="B4144" s="82" t="s">
        <v>71</v>
      </c>
      <c r="C4144" s="82" t="s">
        <v>1963</v>
      </c>
      <c r="D4144" s="82" t="s">
        <v>1963</v>
      </c>
      <c r="E4144" s="11" t="str">
        <f t="array" ref="E4144">_xlfn.XLOOKUP(D4144,Insumos!B:B,Insumos!C:$C)</f>
        <v>un</v>
      </c>
      <c r="F4144" s="86">
        <v>1</v>
      </c>
      <c r="G4144" s="92">
        <f t="array" ref="G4144">IF(B4144="insumo",_xlfn.XLOOKUP($D4144,Insumos!$B$1:$B$996,Insumos!$D$1:$D$996),"")</f>
        <v>7795.9619047619053</v>
      </c>
      <c r="H4144" s="92">
        <v>7795.9619047619099</v>
      </c>
      <c r="I4144" s="84">
        <v>0</v>
      </c>
      <c r="J4144" s="84">
        <v>0</v>
      </c>
      <c r="K4144" s="84"/>
      <c r="L4144"/>
      <c r="M4144"/>
      <c r="N4144"/>
      <c r="O4144"/>
      <c r="P4144"/>
      <c r="Q4144"/>
      <c r="R4144"/>
      <c r="S4144"/>
      <c r="T4144"/>
      <c r="U4144"/>
      <c r="V4144"/>
      <c r="W4144"/>
      <c r="X4144"/>
      <c r="Y4144"/>
      <c r="Z4144"/>
      <c r="AA4144"/>
      <c r="AB4144"/>
      <c r="AC4144"/>
      <c r="AD4144"/>
      <c r="AE4144"/>
      <c r="AF4144"/>
      <c r="AG4144"/>
      <c r="AH4144"/>
      <c r="AI4144"/>
      <c r="AJ4144"/>
      <c r="AK4144"/>
      <c r="AL4144"/>
    </row>
    <row r="4145" spans="1:38" ht="12.75" outlineLevel="2" x14ac:dyDescent="0.2">
      <c r="A4145" s="1071">
        <v>1</v>
      </c>
      <c r="B4145" s="1071" t="s">
        <v>68</v>
      </c>
      <c r="C4145" s="1071" t="s">
        <v>1964</v>
      </c>
      <c r="D4145" s="1071" t="s">
        <v>1964</v>
      </c>
      <c r="E4145" s="1072" t="s">
        <v>70</v>
      </c>
      <c r="F4145" s="1071"/>
      <c r="G4145" s="1073" t="str">
        <f t="array" ref="G4145">IF(B4145="insumo",_xlfn.XLOOKUP($D4145,Insumos!$B$1:$B$996,Insumos!$D$1:$D$996),"")</f>
        <v/>
      </c>
      <c r="H4145" s="1073">
        <v>2192.61428571429</v>
      </c>
      <c r="I4145" s="1074">
        <v>0</v>
      </c>
      <c r="J4145" s="1074">
        <v>0</v>
      </c>
      <c r="K4145" s="1074"/>
      <c r="L4145"/>
      <c r="M4145"/>
      <c r="N4145"/>
      <c r="O4145"/>
      <c r="P4145"/>
      <c r="Q4145"/>
      <c r="R4145"/>
      <c r="S4145"/>
      <c r="T4145"/>
      <c r="U4145"/>
      <c r="V4145"/>
      <c r="W4145"/>
      <c r="X4145"/>
      <c r="Y4145"/>
      <c r="Z4145"/>
      <c r="AA4145"/>
      <c r="AB4145"/>
      <c r="AC4145"/>
      <c r="AD4145"/>
      <c r="AE4145"/>
      <c r="AF4145"/>
      <c r="AG4145"/>
      <c r="AH4145"/>
      <c r="AI4145"/>
      <c r="AJ4145"/>
      <c r="AK4145"/>
      <c r="AL4145"/>
    </row>
    <row r="4146" spans="1:38" ht="12.75" outlineLevel="3" x14ac:dyDescent="0.2">
      <c r="A4146" s="82">
        <v>1</v>
      </c>
      <c r="B4146" s="82" t="s">
        <v>71</v>
      </c>
      <c r="C4146" s="82" t="s">
        <v>1964</v>
      </c>
      <c r="D4146" s="82" t="s">
        <v>1964</v>
      </c>
      <c r="E4146" s="11" t="str">
        <f t="array" ref="E4146">_xlfn.XLOOKUP(D4146,Insumos!B:B,Insumos!C:$C)</f>
        <v>un</v>
      </c>
      <c r="F4146" s="86">
        <v>1</v>
      </c>
      <c r="G4146" s="92">
        <f t="array" ref="G4146">IF(B4146="insumo",_xlfn.XLOOKUP($D4146,Insumos!$B$1:$B$996,Insumos!$D$1:$D$996),"")</f>
        <v>2192.6142857142859</v>
      </c>
      <c r="H4146" s="92">
        <v>2192.61428571429</v>
      </c>
      <c r="I4146" s="84">
        <v>0</v>
      </c>
      <c r="J4146" s="84">
        <v>0</v>
      </c>
      <c r="K4146" s="84"/>
      <c r="L4146"/>
      <c r="M4146"/>
      <c r="N4146"/>
      <c r="O4146"/>
      <c r="P4146"/>
      <c r="Q4146"/>
      <c r="R4146"/>
      <c r="S4146"/>
      <c r="T4146"/>
      <c r="U4146"/>
      <c r="V4146"/>
      <c r="W4146"/>
      <c r="X4146"/>
      <c r="Y4146"/>
      <c r="Z4146"/>
      <c r="AA4146"/>
      <c r="AB4146"/>
      <c r="AC4146"/>
      <c r="AD4146"/>
      <c r="AE4146"/>
      <c r="AF4146"/>
      <c r="AG4146"/>
      <c r="AH4146"/>
      <c r="AI4146"/>
      <c r="AJ4146"/>
      <c r="AK4146"/>
      <c r="AL4146"/>
    </row>
    <row r="4147" spans="1:38" ht="12.75" outlineLevel="2" x14ac:dyDescent="0.2">
      <c r="A4147" s="1071">
        <v>1</v>
      </c>
      <c r="B4147" s="1071" t="s">
        <v>68</v>
      </c>
      <c r="C4147" s="1071" t="s">
        <v>1965</v>
      </c>
      <c r="D4147" s="1071" t="s">
        <v>1965</v>
      </c>
      <c r="E4147" s="1072" t="s">
        <v>70</v>
      </c>
      <c r="F4147" s="1071"/>
      <c r="G4147" s="1073" t="str">
        <f t="array" ref="G4147">IF(B4147="insumo",_xlfn.XLOOKUP($D4147,Insumos!$B$1:$B$996,Insumos!$D$1:$D$996),"")</f>
        <v/>
      </c>
      <c r="H4147" s="1073">
        <v>1860.4</v>
      </c>
      <c r="I4147" s="1074">
        <v>0</v>
      </c>
      <c r="J4147" s="1074">
        <v>0</v>
      </c>
      <c r="K4147" s="1074"/>
      <c r="L4147"/>
      <c r="M4147"/>
      <c r="N4147"/>
      <c r="O4147"/>
      <c r="P4147"/>
      <c r="Q4147"/>
      <c r="R4147"/>
      <c r="S4147"/>
      <c r="T4147"/>
      <c r="U4147"/>
      <c r="V4147"/>
      <c r="W4147"/>
      <c r="X4147"/>
      <c r="Y4147"/>
      <c r="Z4147"/>
      <c r="AA4147"/>
      <c r="AB4147"/>
      <c r="AC4147"/>
      <c r="AD4147"/>
      <c r="AE4147"/>
      <c r="AF4147"/>
      <c r="AG4147"/>
      <c r="AH4147"/>
      <c r="AI4147"/>
      <c r="AJ4147"/>
      <c r="AK4147"/>
      <c r="AL4147"/>
    </row>
    <row r="4148" spans="1:38" ht="12.75" outlineLevel="3" x14ac:dyDescent="0.2">
      <c r="A4148" s="82">
        <v>1</v>
      </c>
      <c r="B4148" s="82" t="s">
        <v>71</v>
      </c>
      <c r="C4148" s="82" t="s">
        <v>1965</v>
      </c>
      <c r="D4148" s="82" t="s">
        <v>1965</v>
      </c>
      <c r="E4148" s="11" t="str">
        <f t="array" ref="E4148">_xlfn.XLOOKUP(D4148,Insumos!B:B,Insumos!C:$C)</f>
        <v>un</v>
      </c>
      <c r="F4148" s="86">
        <v>1</v>
      </c>
      <c r="G4148" s="92">
        <f t="array" ref="G4148">IF(B4148="insumo",_xlfn.XLOOKUP($D4148,Insumos!$B$1:$B$996,Insumos!$D$1:$D$996),"")</f>
        <v>1860.4</v>
      </c>
      <c r="H4148" s="92">
        <v>1860.4</v>
      </c>
      <c r="I4148" s="84">
        <v>0</v>
      </c>
      <c r="J4148" s="84">
        <v>0</v>
      </c>
      <c r="K4148" s="84"/>
      <c r="L4148"/>
      <c r="M4148"/>
      <c r="N4148"/>
      <c r="O4148"/>
      <c r="P4148"/>
      <c r="Q4148"/>
      <c r="R4148"/>
      <c r="S4148"/>
      <c r="T4148"/>
      <c r="U4148"/>
      <c r="V4148"/>
      <c r="W4148"/>
      <c r="X4148"/>
      <c r="Y4148"/>
      <c r="Z4148"/>
      <c r="AA4148"/>
      <c r="AB4148"/>
      <c r="AC4148"/>
      <c r="AD4148"/>
      <c r="AE4148"/>
      <c r="AF4148"/>
      <c r="AG4148"/>
      <c r="AH4148"/>
      <c r="AI4148"/>
      <c r="AJ4148"/>
      <c r="AK4148"/>
      <c r="AL4148"/>
    </row>
    <row r="4149" spans="1:38" ht="12.75" outlineLevel="2" x14ac:dyDescent="0.2">
      <c r="A4149" s="1071">
        <v>1</v>
      </c>
      <c r="B4149" s="1071" t="s">
        <v>68</v>
      </c>
      <c r="C4149" s="1071" t="s">
        <v>1966</v>
      </c>
      <c r="D4149" s="1071" t="s">
        <v>1966</v>
      </c>
      <c r="E4149" s="1072" t="s">
        <v>70</v>
      </c>
      <c r="F4149" s="1071"/>
      <c r="G4149" s="1073" t="str">
        <f t="array" ref="G4149">IF(B4149="insumo",_xlfn.XLOOKUP($D4149,Insumos!$B$1:$B$996,Insumos!$D$1:$D$996),"")</f>
        <v/>
      </c>
      <c r="H4149" s="1073">
        <v>10453.676190476201</v>
      </c>
      <c r="I4149" s="1074">
        <v>0</v>
      </c>
      <c r="J4149" s="1074">
        <v>0</v>
      </c>
      <c r="K4149" s="1074"/>
      <c r="L4149"/>
      <c r="M4149"/>
      <c r="N4149"/>
      <c r="O4149"/>
      <c r="P4149"/>
      <c r="Q4149"/>
      <c r="R4149"/>
      <c r="S4149"/>
      <c r="T4149"/>
      <c r="U4149"/>
      <c r="V4149"/>
      <c r="W4149"/>
      <c r="X4149"/>
      <c r="Y4149"/>
      <c r="Z4149"/>
      <c r="AA4149"/>
      <c r="AB4149"/>
      <c r="AC4149"/>
      <c r="AD4149"/>
      <c r="AE4149"/>
      <c r="AF4149"/>
      <c r="AG4149"/>
      <c r="AH4149"/>
      <c r="AI4149"/>
      <c r="AJ4149"/>
      <c r="AK4149"/>
      <c r="AL4149"/>
    </row>
    <row r="4150" spans="1:38" ht="12.75" outlineLevel="3" x14ac:dyDescent="0.2">
      <c r="A4150" s="82">
        <v>1</v>
      </c>
      <c r="B4150" s="82" t="s">
        <v>71</v>
      </c>
      <c r="C4150" s="82" t="s">
        <v>1966</v>
      </c>
      <c r="D4150" s="82" t="s">
        <v>1966</v>
      </c>
      <c r="E4150" s="11" t="str">
        <f t="array" ref="E4150">_xlfn.XLOOKUP(D4150,Insumos!B:B,Insumos!C:$C)</f>
        <v>un</v>
      </c>
      <c r="F4150" s="86">
        <v>1</v>
      </c>
      <c r="G4150" s="92">
        <f t="array" ref="G4150">IF(B4150="insumo",_xlfn.XLOOKUP($D4150,Insumos!$B$1:$B$996,Insumos!$D$1:$D$996),"")</f>
        <v>10453.67619047619</v>
      </c>
      <c r="H4150" s="92">
        <v>10453.676190476201</v>
      </c>
      <c r="I4150" s="84">
        <v>0</v>
      </c>
      <c r="J4150" s="84">
        <v>0</v>
      </c>
      <c r="K4150" s="84"/>
      <c r="L4150"/>
      <c r="M4150"/>
      <c r="N4150"/>
      <c r="O4150"/>
      <c r="P4150"/>
      <c r="Q4150"/>
      <c r="R4150"/>
      <c r="S4150"/>
      <c r="T4150"/>
      <c r="U4150"/>
      <c r="V4150"/>
      <c r="W4150"/>
      <c r="X4150"/>
      <c r="Y4150"/>
      <c r="Z4150"/>
      <c r="AA4150"/>
      <c r="AB4150"/>
      <c r="AC4150"/>
      <c r="AD4150"/>
      <c r="AE4150"/>
      <c r="AF4150"/>
      <c r="AG4150"/>
      <c r="AH4150"/>
      <c r="AI4150"/>
      <c r="AJ4150"/>
      <c r="AK4150"/>
      <c r="AL4150"/>
    </row>
    <row r="4151" spans="1:38" ht="15.75" customHeight="1" outlineLevel="1" x14ac:dyDescent="0.2">
      <c r="A4151" s="1090">
        <v>1</v>
      </c>
      <c r="B4151" s="1090" t="s">
        <v>1228</v>
      </c>
      <c r="C4151" s="1090" t="s">
        <v>1966</v>
      </c>
      <c r="D4151" s="1090" t="s">
        <v>1533</v>
      </c>
      <c r="E4151" s="1091"/>
      <c r="F4151" s="1092"/>
      <c r="G4151" s="1091"/>
      <c r="H4151" s="1091">
        <v>0</v>
      </c>
      <c r="I4151" s="1092">
        <v>0</v>
      </c>
      <c r="J4151" s="1092">
        <v>0</v>
      </c>
      <c r="K4151" s="1092"/>
      <c r="L4151"/>
      <c r="M4151"/>
      <c r="N4151"/>
      <c r="O4151"/>
      <c r="P4151"/>
      <c r="Q4151"/>
      <c r="R4151"/>
      <c r="S4151"/>
      <c r="T4151"/>
      <c r="U4151"/>
      <c r="V4151"/>
      <c r="W4151"/>
      <c r="X4151"/>
      <c r="Y4151"/>
      <c r="Z4151"/>
      <c r="AA4151"/>
      <c r="AB4151"/>
      <c r="AC4151"/>
      <c r="AD4151"/>
      <c r="AE4151"/>
      <c r="AF4151"/>
      <c r="AG4151"/>
      <c r="AH4151"/>
      <c r="AI4151"/>
      <c r="AJ4151"/>
      <c r="AK4151"/>
      <c r="AL4151"/>
    </row>
    <row r="4152" spans="1:38" ht="15.75" customHeight="1" outlineLevel="2" x14ac:dyDescent="0.2">
      <c r="A4152" s="1067">
        <v>1</v>
      </c>
      <c r="B4152" s="1067" t="s">
        <v>68</v>
      </c>
      <c r="C4152" s="1067" t="s">
        <v>804</v>
      </c>
      <c r="D4152" s="1067" t="s">
        <v>804</v>
      </c>
      <c r="E4152" s="1068" t="s">
        <v>113</v>
      </c>
      <c r="F4152" s="1067"/>
      <c r="G4152" s="1069" t="str">
        <f t="array" ref="G4152">IF(B4152="insumo",_xlfn.XLOOKUP($D4152,Insumos!$B$1:$B$996,Insumos!$D$1:$D$996),"")</f>
        <v/>
      </c>
      <c r="H4152" s="1069">
        <v>80</v>
      </c>
      <c r="I4152" s="1070">
        <v>0</v>
      </c>
      <c r="J4152" s="1070">
        <v>0</v>
      </c>
      <c r="K4152" s="1070"/>
      <c r="L4152"/>
      <c r="M4152"/>
      <c r="N4152"/>
      <c r="O4152"/>
      <c r="P4152"/>
      <c r="Q4152"/>
      <c r="R4152"/>
      <c r="S4152"/>
      <c r="T4152"/>
      <c r="U4152"/>
      <c r="V4152"/>
      <c r="W4152"/>
      <c r="X4152"/>
      <c r="Y4152"/>
      <c r="Z4152"/>
      <c r="AA4152"/>
      <c r="AB4152"/>
      <c r="AC4152"/>
      <c r="AD4152"/>
      <c r="AE4152"/>
      <c r="AF4152"/>
      <c r="AG4152"/>
      <c r="AH4152"/>
      <c r="AI4152"/>
      <c r="AJ4152"/>
      <c r="AK4152"/>
      <c r="AL4152"/>
    </row>
    <row r="4153" spans="1:38" ht="15.75" customHeight="1" outlineLevel="3" x14ac:dyDescent="0.2">
      <c r="A4153" s="10">
        <v>1</v>
      </c>
      <c r="B4153" s="10" t="s">
        <v>71</v>
      </c>
      <c r="C4153" s="10" t="s">
        <v>804</v>
      </c>
      <c r="D4153" s="10" t="s">
        <v>804</v>
      </c>
      <c r="E4153" s="11" t="str">
        <f t="array" ref="E4153">_xlfn.XLOOKUP(D4153,Insumos!B:B,Insumos!C:$C)</f>
        <v>M</v>
      </c>
      <c r="F4153" s="14">
        <v>1</v>
      </c>
      <c r="G4153" s="92">
        <f t="array" ref="G4153">IF(B4153="insumo",_xlfn.XLOOKUP($D4153,Insumos!$B$1:$B$996,Insumos!$D$1:$D$996),"")</f>
        <v>80</v>
      </c>
      <c r="H4153" s="92">
        <v>80</v>
      </c>
      <c r="I4153" s="13">
        <v>0</v>
      </c>
      <c r="J4153" s="13">
        <v>0</v>
      </c>
      <c r="K4153" s="13"/>
      <c r="L4153"/>
      <c r="M4153"/>
      <c r="N4153"/>
      <c r="O4153"/>
      <c r="P4153"/>
      <c r="Q4153"/>
      <c r="R4153"/>
      <c r="S4153"/>
      <c r="T4153"/>
      <c r="U4153"/>
      <c r="V4153"/>
      <c r="W4153"/>
      <c r="X4153"/>
      <c r="Y4153"/>
      <c r="Z4153"/>
      <c r="AA4153"/>
      <c r="AB4153"/>
      <c r="AC4153"/>
      <c r="AD4153"/>
      <c r="AE4153"/>
      <c r="AF4153"/>
      <c r="AG4153"/>
      <c r="AH4153"/>
      <c r="AI4153"/>
      <c r="AJ4153"/>
      <c r="AK4153"/>
      <c r="AL4153"/>
    </row>
    <row r="4154" spans="1:38" ht="15.75" customHeight="1" outlineLevel="2" x14ac:dyDescent="0.2">
      <c r="A4154" s="1067">
        <v>1</v>
      </c>
      <c r="B4154" s="1067" t="s">
        <v>68</v>
      </c>
      <c r="C4154" s="1067" t="s">
        <v>805</v>
      </c>
      <c r="D4154" s="1067" t="s">
        <v>805</v>
      </c>
      <c r="E4154" s="1068" t="s">
        <v>113</v>
      </c>
      <c r="F4154" s="1067"/>
      <c r="G4154" s="1069" t="str">
        <f t="array" ref="G4154">IF(B4154="insumo",_xlfn.XLOOKUP($D4154,Insumos!$B$1:$B$996,Insumos!$D$1:$D$996),"")</f>
        <v/>
      </c>
      <c r="H4154" s="1069">
        <v>650</v>
      </c>
      <c r="I4154" s="1070">
        <v>0</v>
      </c>
      <c r="J4154" s="1070">
        <v>0</v>
      </c>
      <c r="K4154" s="1070"/>
      <c r="L4154"/>
      <c r="M4154"/>
      <c r="N4154"/>
      <c r="O4154"/>
      <c r="P4154"/>
      <c r="Q4154"/>
      <c r="R4154"/>
      <c r="S4154"/>
      <c r="T4154"/>
      <c r="U4154"/>
      <c r="V4154"/>
      <c r="W4154"/>
      <c r="X4154"/>
      <c r="Y4154"/>
      <c r="Z4154"/>
      <c r="AA4154"/>
      <c r="AB4154"/>
      <c r="AC4154"/>
      <c r="AD4154"/>
      <c r="AE4154"/>
      <c r="AF4154"/>
      <c r="AG4154"/>
      <c r="AH4154"/>
      <c r="AI4154"/>
      <c r="AJ4154"/>
      <c r="AK4154"/>
      <c r="AL4154"/>
    </row>
    <row r="4155" spans="1:38" ht="15.75" customHeight="1" outlineLevel="3" x14ac:dyDescent="0.2">
      <c r="A4155" s="10">
        <v>1</v>
      </c>
      <c r="B4155" s="10" t="s">
        <v>71</v>
      </c>
      <c r="C4155" s="10" t="s">
        <v>805</v>
      </c>
      <c r="D4155" s="10" t="s">
        <v>805</v>
      </c>
      <c r="E4155" s="11" t="str">
        <f t="array" ref="E4155">_xlfn.XLOOKUP(D4155,Insumos!B:B,Insumos!C:$C)</f>
        <v>M</v>
      </c>
      <c r="F4155" s="14">
        <v>1</v>
      </c>
      <c r="G4155" s="92">
        <f t="array" ref="G4155">IF(B4155="insumo",_xlfn.XLOOKUP($D4155,Insumos!$B$1:$B$996,Insumos!$D$1:$D$996),"")</f>
        <v>650</v>
      </c>
      <c r="H4155" s="92">
        <v>650</v>
      </c>
      <c r="I4155" s="13">
        <v>0</v>
      </c>
      <c r="J4155" s="13">
        <v>0</v>
      </c>
      <c r="K4155" s="13"/>
      <c r="L4155"/>
      <c r="M4155"/>
      <c r="N4155"/>
      <c r="O4155"/>
      <c r="P4155"/>
      <c r="Q4155"/>
      <c r="R4155"/>
      <c r="S4155"/>
      <c r="T4155"/>
      <c r="U4155"/>
      <c r="V4155"/>
      <c r="W4155"/>
      <c r="X4155"/>
      <c r="Y4155"/>
      <c r="Z4155"/>
      <c r="AA4155"/>
      <c r="AB4155"/>
      <c r="AC4155"/>
      <c r="AD4155"/>
      <c r="AE4155"/>
      <c r="AF4155"/>
      <c r="AG4155"/>
      <c r="AH4155"/>
      <c r="AI4155"/>
      <c r="AJ4155"/>
      <c r="AK4155"/>
      <c r="AL4155"/>
    </row>
    <row r="4156" spans="1:38" ht="12.75" outlineLevel="2" x14ac:dyDescent="0.2">
      <c r="A4156" s="1071">
        <v>1</v>
      </c>
      <c r="B4156" s="1071" t="s">
        <v>68</v>
      </c>
      <c r="C4156" s="1071" t="s">
        <v>1952</v>
      </c>
      <c r="D4156" s="1071" t="s">
        <v>1952</v>
      </c>
      <c r="E4156" s="1072" t="s">
        <v>113</v>
      </c>
      <c r="F4156" s="1071"/>
      <c r="G4156" s="1073" t="str">
        <f t="array" ref="G4156">IF(B4156="insumo",_xlfn.XLOOKUP($D4156,Insumos!$B$1:$B$996,Insumos!$D$1:$D$996),"")</f>
        <v/>
      </c>
      <c r="H4156" s="1073">
        <v>98.79</v>
      </c>
      <c r="I4156" s="1074">
        <v>0</v>
      </c>
      <c r="J4156" s="1074">
        <v>0</v>
      </c>
      <c r="K4156" s="1074"/>
      <c r="L4156"/>
      <c r="M4156"/>
      <c r="N4156"/>
      <c r="O4156"/>
      <c r="P4156"/>
      <c r="Q4156"/>
      <c r="R4156"/>
      <c r="S4156"/>
      <c r="T4156"/>
      <c r="U4156"/>
      <c r="V4156"/>
      <c r="W4156"/>
      <c r="X4156"/>
      <c r="Y4156"/>
      <c r="Z4156"/>
      <c r="AA4156"/>
      <c r="AB4156"/>
      <c r="AC4156"/>
      <c r="AD4156"/>
      <c r="AE4156"/>
      <c r="AF4156"/>
      <c r="AG4156"/>
      <c r="AH4156"/>
      <c r="AI4156"/>
      <c r="AJ4156"/>
      <c r="AK4156"/>
      <c r="AL4156"/>
    </row>
    <row r="4157" spans="1:38" ht="12.75" outlineLevel="3" x14ac:dyDescent="0.2">
      <c r="A4157" s="82">
        <v>1</v>
      </c>
      <c r="B4157" s="82" t="s">
        <v>71</v>
      </c>
      <c r="C4157" s="82" t="s">
        <v>1952</v>
      </c>
      <c r="D4157" s="82" t="s">
        <v>1952</v>
      </c>
      <c r="E4157" s="11" t="str">
        <f t="array" ref="E4157">_xlfn.XLOOKUP(D4157,Insumos!B:B,Insumos!C:$C)</f>
        <v>M</v>
      </c>
      <c r="F4157" s="86">
        <v>1</v>
      </c>
      <c r="G4157" s="92">
        <f t="array" ref="G4157">IF(B4157="insumo",_xlfn.XLOOKUP($D4157,Insumos!$B$1:$B$996,Insumos!$D$1:$D$996),"")</f>
        <v>98.79</v>
      </c>
      <c r="H4157" s="92">
        <v>98.79</v>
      </c>
      <c r="I4157" s="84">
        <v>0</v>
      </c>
      <c r="J4157" s="84">
        <v>0</v>
      </c>
      <c r="K4157" s="84"/>
      <c r="L4157"/>
      <c r="M4157"/>
      <c r="N4157"/>
      <c r="O4157"/>
      <c r="P4157"/>
      <c r="Q4157"/>
      <c r="R4157"/>
      <c r="S4157"/>
      <c r="T4157"/>
      <c r="U4157"/>
      <c r="V4157"/>
      <c r="W4157"/>
      <c r="X4157"/>
      <c r="Y4157"/>
      <c r="Z4157"/>
      <c r="AA4157"/>
      <c r="AB4157"/>
      <c r="AC4157"/>
      <c r="AD4157"/>
      <c r="AE4157"/>
      <c r="AF4157"/>
      <c r="AG4157"/>
      <c r="AH4157"/>
      <c r="AI4157"/>
      <c r="AJ4157"/>
      <c r="AK4157"/>
      <c r="AL4157"/>
    </row>
    <row r="4158" spans="1:38" ht="12.75" outlineLevel="2" x14ac:dyDescent="0.2">
      <c r="A4158" s="1071">
        <v>1</v>
      </c>
      <c r="B4158" s="1071" t="s">
        <v>68</v>
      </c>
      <c r="C4158" s="1071" t="s">
        <v>3254</v>
      </c>
      <c r="D4158" s="1071" t="s">
        <v>3254</v>
      </c>
      <c r="E4158" s="1072" t="s">
        <v>113</v>
      </c>
      <c r="F4158" s="1071"/>
      <c r="G4158" s="1073" t="str">
        <f t="array" ref="G4158">IF(B4158="insumo",_xlfn.XLOOKUP($D4158,Insumos!$B$1:$B$996,Insumos!$D$1:$D$996),"")</f>
        <v/>
      </c>
      <c r="H4158" s="1073">
        <v>820</v>
      </c>
      <c r="I4158" s="1074" t="e">
        <v>#REF!</v>
      </c>
      <c r="J4158" s="1074" t="e">
        <v>#REF!</v>
      </c>
      <c r="K4158" s="1074"/>
      <c r="L4158"/>
      <c r="M4158"/>
      <c r="N4158"/>
      <c r="O4158"/>
      <c r="P4158"/>
      <c r="Q4158"/>
      <c r="R4158"/>
      <c r="S4158"/>
      <c r="T4158"/>
      <c r="U4158"/>
      <c r="V4158"/>
      <c r="W4158"/>
      <c r="X4158"/>
      <c r="Y4158"/>
      <c r="Z4158"/>
      <c r="AA4158"/>
      <c r="AB4158"/>
      <c r="AC4158"/>
      <c r="AD4158"/>
      <c r="AE4158"/>
      <c r="AF4158"/>
      <c r="AG4158"/>
      <c r="AH4158"/>
      <c r="AI4158"/>
      <c r="AJ4158"/>
      <c r="AK4158"/>
      <c r="AL4158"/>
    </row>
    <row r="4159" spans="1:38" ht="12.75" outlineLevel="3" x14ac:dyDescent="0.2">
      <c r="A4159" s="82">
        <v>1</v>
      </c>
      <c r="B4159" s="82" t="s">
        <v>71</v>
      </c>
      <c r="C4159" s="82" t="s">
        <v>3254</v>
      </c>
      <c r="D4159" s="82" t="s">
        <v>3254</v>
      </c>
      <c r="E4159" s="11" t="str">
        <f t="array" ref="E4159">_xlfn.XLOOKUP(D4159,Insumos!B:B,Insumos!C:$C)</f>
        <v>M</v>
      </c>
      <c r="F4159" s="86">
        <v>1</v>
      </c>
      <c r="G4159" s="92">
        <f t="array" ref="G4159">IF(B4159="insumo",_xlfn.XLOOKUP($D4159,Insumos!$B$1:$B$996,Insumos!$D$1:$D$996),"")</f>
        <v>820</v>
      </c>
      <c r="H4159" s="92">
        <v>820</v>
      </c>
      <c r="I4159" s="84" t="e">
        <v>#REF!</v>
      </c>
      <c r="J4159" s="84" t="e">
        <v>#REF!</v>
      </c>
      <c r="K4159" s="84"/>
      <c r="L4159"/>
      <c r="M4159"/>
      <c r="N4159"/>
      <c r="O4159"/>
      <c r="P4159"/>
      <c r="Q4159"/>
      <c r="R4159"/>
      <c r="S4159"/>
      <c r="T4159"/>
      <c r="U4159"/>
      <c r="V4159"/>
      <c r="W4159"/>
      <c r="X4159"/>
      <c r="Y4159"/>
      <c r="Z4159"/>
      <c r="AA4159"/>
      <c r="AB4159"/>
      <c r="AC4159"/>
      <c r="AD4159"/>
      <c r="AE4159"/>
      <c r="AF4159"/>
      <c r="AG4159"/>
      <c r="AH4159"/>
      <c r="AI4159"/>
      <c r="AJ4159"/>
      <c r="AK4159"/>
      <c r="AL4159"/>
    </row>
    <row r="4160" spans="1:38" ht="12.75" outlineLevel="2" x14ac:dyDescent="0.2">
      <c r="A4160" s="1071">
        <v>1</v>
      </c>
      <c r="B4160" s="1071" t="s">
        <v>68</v>
      </c>
      <c r="C4160" s="1071" t="s">
        <v>3255</v>
      </c>
      <c r="D4160" s="1071" t="s">
        <v>3255</v>
      </c>
      <c r="E4160" s="1072" t="s">
        <v>113</v>
      </c>
      <c r="F4160" s="1071"/>
      <c r="G4160" s="1073" t="str">
        <f t="array" ref="G4160">IF(B4160="insumo",_xlfn.XLOOKUP($D4160,Insumos!$B$1:$B$996,Insumos!$D$1:$D$996),"")</f>
        <v/>
      </c>
      <c r="H4160" s="1073">
        <v>520</v>
      </c>
      <c r="I4160" s="1074" t="e">
        <v>#REF!</v>
      </c>
      <c r="J4160" s="1074" t="e">
        <v>#REF!</v>
      </c>
      <c r="K4160" s="1074"/>
      <c r="L4160"/>
      <c r="M4160"/>
      <c r="N4160"/>
      <c r="O4160"/>
      <c r="P4160"/>
      <c r="Q4160"/>
      <c r="R4160"/>
      <c r="S4160"/>
      <c r="T4160"/>
      <c r="U4160"/>
      <c r="V4160"/>
      <c r="W4160"/>
      <c r="X4160"/>
      <c r="Y4160"/>
      <c r="Z4160"/>
      <c r="AA4160"/>
      <c r="AB4160"/>
      <c r="AC4160"/>
      <c r="AD4160"/>
      <c r="AE4160"/>
      <c r="AF4160"/>
      <c r="AG4160"/>
      <c r="AH4160"/>
      <c r="AI4160"/>
      <c r="AJ4160"/>
      <c r="AK4160"/>
      <c r="AL4160"/>
    </row>
    <row r="4161" spans="1:38" ht="12.75" outlineLevel="3" x14ac:dyDescent="0.2">
      <c r="A4161" s="82">
        <v>1</v>
      </c>
      <c r="B4161" s="82" t="s">
        <v>71</v>
      </c>
      <c r="C4161" s="82" t="s">
        <v>3255</v>
      </c>
      <c r="D4161" s="82" t="s">
        <v>3255</v>
      </c>
      <c r="E4161" s="11" t="str">
        <f t="array" ref="E4161">_xlfn.XLOOKUP(D4161,Insumos!B:B,Insumos!C:$C)</f>
        <v>M</v>
      </c>
      <c r="F4161" s="86">
        <v>1</v>
      </c>
      <c r="G4161" s="92">
        <f t="array" ref="G4161">IF(B4161="insumo",_xlfn.XLOOKUP($D4161,Insumos!$B$1:$B$996,Insumos!$D$1:$D$996),"")</f>
        <v>520</v>
      </c>
      <c r="H4161" s="92">
        <v>520</v>
      </c>
      <c r="I4161" s="84" t="e">
        <v>#REF!</v>
      </c>
      <c r="J4161" s="84" t="e">
        <v>#REF!</v>
      </c>
      <c r="K4161" s="84"/>
      <c r="L4161"/>
      <c r="M4161"/>
      <c r="N4161"/>
      <c r="O4161"/>
      <c r="P4161"/>
      <c r="Q4161"/>
      <c r="R4161"/>
      <c r="S4161"/>
      <c r="T4161"/>
      <c r="U4161"/>
      <c r="V4161"/>
      <c r="W4161"/>
      <c r="X4161"/>
      <c r="Y4161"/>
      <c r="Z4161"/>
      <c r="AA4161"/>
      <c r="AB4161"/>
      <c r="AC4161"/>
      <c r="AD4161"/>
      <c r="AE4161"/>
      <c r="AF4161"/>
      <c r="AG4161"/>
      <c r="AH4161"/>
      <c r="AI4161"/>
      <c r="AJ4161"/>
      <c r="AK4161"/>
      <c r="AL4161"/>
    </row>
    <row r="4162" spans="1:38" ht="15.75" customHeight="1" outlineLevel="1" x14ac:dyDescent="0.2">
      <c r="A4162" s="1090">
        <v>1</v>
      </c>
      <c r="B4162" s="1090" t="s">
        <v>1228</v>
      </c>
      <c r="C4162" s="1090" t="s">
        <v>3255</v>
      </c>
      <c r="D4162" s="1090" t="s">
        <v>1528</v>
      </c>
      <c r="E4162" s="1091"/>
      <c r="F4162" s="1092"/>
      <c r="G4162" s="1091"/>
      <c r="H4162" s="1091">
        <v>0</v>
      </c>
      <c r="I4162" s="1092">
        <v>0</v>
      </c>
      <c r="J4162" s="1092">
        <v>0</v>
      </c>
      <c r="K4162" s="1092"/>
      <c r="L4162"/>
      <c r="M4162"/>
      <c r="N4162"/>
      <c r="O4162"/>
      <c r="P4162"/>
      <c r="Q4162"/>
      <c r="R4162"/>
      <c r="S4162"/>
      <c r="T4162"/>
      <c r="U4162"/>
      <c r="V4162"/>
      <c r="W4162"/>
      <c r="X4162"/>
      <c r="Y4162"/>
      <c r="Z4162"/>
      <c r="AA4162"/>
      <c r="AB4162"/>
      <c r="AC4162"/>
      <c r="AD4162"/>
      <c r="AE4162"/>
      <c r="AF4162"/>
      <c r="AG4162"/>
      <c r="AH4162"/>
      <c r="AI4162"/>
      <c r="AJ4162"/>
      <c r="AK4162"/>
      <c r="AL4162"/>
    </row>
    <row r="4163" spans="1:38" ht="12.75" outlineLevel="2" x14ac:dyDescent="0.2">
      <c r="A4163" s="1071">
        <v>1</v>
      </c>
      <c r="B4163" s="1071" t="s">
        <v>68</v>
      </c>
      <c r="C4163" s="1071" t="s">
        <v>1967</v>
      </c>
      <c r="D4163" s="1071" t="s">
        <v>1967</v>
      </c>
      <c r="E4163" s="1072" t="s">
        <v>70</v>
      </c>
      <c r="F4163" s="1071"/>
      <c r="G4163" s="1073" t="str">
        <f t="array" ref="G4163">IF(B4163="insumo",_xlfn.XLOOKUP($D4163,Insumos!$B$1:$B$996,Insumos!$D$1:$D$996),"")</f>
        <v/>
      </c>
      <c r="H4163" s="1073">
        <v>1055</v>
      </c>
      <c r="I4163" s="1074">
        <v>0</v>
      </c>
      <c r="J4163" s="1074">
        <v>0</v>
      </c>
      <c r="K4163" s="1074"/>
      <c r="L4163"/>
      <c r="M4163"/>
      <c r="N4163"/>
      <c r="O4163"/>
      <c r="P4163"/>
      <c r="Q4163"/>
      <c r="R4163"/>
      <c r="S4163"/>
      <c r="T4163"/>
      <c r="U4163"/>
      <c r="V4163"/>
      <c r="W4163"/>
      <c r="X4163"/>
      <c r="Y4163"/>
      <c r="Z4163"/>
      <c r="AA4163"/>
      <c r="AB4163"/>
      <c r="AC4163"/>
      <c r="AD4163"/>
      <c r="AE4163"/>
      <c r="AF4163"/>
      <c r="AG4163"/>
      <c r="AH4163"/>
      <c r="AI4163"/>
      <c r="AJ4163"/>
      <c r="AK4163"/>
      <c r="AL4163"/>
    </row>
    <row r="4164" spans="1:38" ht="12.75" outlineLevel="3" x14ac:dyDescent="0.2">
      <c r="A4164" s="82">
        <v>1</v>
      </c>
      <c r="B4164" s="82" t="s">
        <v>71</v>
      </c>
      <c r="C4164" s="82" t="s">
        <v>1967</v>
      </c>
      <c r="D4164" s="82" t="s">
        <v>1954</v>
      </c>
      <c r="E4164" s="11" t="str">
        <f t="array" ref="E4164">_xlfn.XLOOKUP(D4164,Insumos!B:B,Insumos!C:$C)</f>
        <v>M2</v>
      </c>
      <c r="F4164" s="86">
        <v>1</v>
      </c>
      <c r="G4164" s="92">
        <f t="array" ref="G4164">IF(B4164="insumo",_xlfn.XLOOKUP($D4164,Insumos!$B$1:$B$996,Insumos!$D$1:$D$996),"")</f>
        <v>1000</v>
      </c>
      <c r="H4164" s="92">
        <v>1000</v>
      </c>
      <c r="I4164" s="84">
        <v>0</v>
      </c>
      <c r="J4164" s="84">
        <v>0</v>
      </c>
      <c r="K4164" s="84"/>
      <c r="L4164"/>
      <c r="M4164"/>
      <c r="N4164"/>
      <c r="O4164"/>
      <c r="P4164"/>
      <c r="Q4164"/>
      <c r="R4164"/>
      <c r="S4164"/>
      <c r="T4164"/>
      <c r="U4164"/>
      <c r="V4164"/>
      <c r="W4164"/>
      <c r="X4164"/>
      <c r="Y4164"/>
      <c r="Z4164"/>
      <c r="AA4164"/>
      <c r="AB4164"/>
      <c r="AC4164"/>
      <c r="AD4164"/>
      <c r="AE4164"/>
      <c r="AF4164"/>
      <c r="AG4164"/>
      <c r="AH4164"/>
      <c r="AI4164"/>
      <c r="AJ4164"/>
      <c r="AK4164"/>
      <c r="AL4164"/>
    </row>
    <row r="4165" spans="1:38" ht="12.75" outlineLevel="3" x14ac:dyDescent="0.2">
      <c r="A4165" s="82">
        <v>24</v>
      </c>
      <c r="B4165" s="82" t="s">
        <v>71</v>
      </c>
      <c r="C4165" s="82" t="s">
        <v>1967</v>
      </c>
      <c r="D4165" s="82" t="s">
        <v>808</v>
      </c>
      <c r="E4165" s="11" t="str">
        <f t="array" ref="E4165">_xlfn.XLOOKUP(D4165,Insumos!B:B,Insumos!C:$C)</f>
        <v>un</v>
      </c>
      <c r="F4165" s="86">
        <v>1</v>
      </c>
      <c r="G4165" s="92">
        <f t="array" ref="G4165">IF(B4165="insumo",_xlfn.XLOOKUP($D4165,Insumos!$B$1:$B$996,Insumos!$D$1:$D$996),"")</f>
        <v>55</v>
      </c>
      <c r="H4165" s="92">
        <v>55</v>
      </c>
      <c r="I4165" s="84">
        <v>0</v>
      </c>
      <c r="J4165" s="84">
        <v>0</v>
      </c>
      <c r="K4165" s="84"/>
      <c r="L4165"/>
      <c r="M4165"/>
      <c r="N4165"/>
      <c r="O4165"/>
      <c r="P4165"/>
      <c r="Q4165"/>
      <c r="R4165"/>
      <c r="S4165"/>
      <c r="T4165"/>
      <c r="U4165"/>
      <c r="V4165"/>
      <c r="W4165"/>
      <c r="X4165"/>
      <c r="Y4165"/>
      <c r="Z4165"/>
      <c r="AA4165"/>
      <c r="AB4165"/>
      <c r="AC4165"/>
      <c r="AD4165"/>
      <c r="AE4165"/>
      <c r="AF4165"/>
      <c r="AG4165"/>
      <c r="AH4165"/>
      <c r="AI4165"/>
      <c r="AJ4165"/>
      <c r="AK4165"/>
      <c r="AL4165"/>
    </row>
    <row r="4166" spans="1:38" ht="15.75" customHeight="1" outlineLevel="2" x14ac:dyDescent="0.2">
      <c r="A4166" s="1067">
        <v>1</v>
      </c>
      <c r="B4166" s="1067" t="s">
        <v>68</v>
      </c>
      <c r="C4166" s="1067" t="s">
        <v>806</v>
      </c>
      <c r="D4166" s="1067" t="s">
        <v>806</v>
      </c>
      <c r="E4166" s="1068" t="s">
        <v>70</v>
      </c>
      <c r="F4166" s="1067"/>
      <c r="G4166" s="1069" t="str">
        <f t="array" ref="G4166">IF(B4166="insumo",_xlfn.XLOOKUP($D4166,Insumos!$B$1:$B$996,Insumos!$D$1:$D$996),"")</f>
        <v/>
      </c>
      <c r="H4166" s="1069">
        <v>2264.52304854369</v>
      </c>
      <c r="I4166" s="1070">
        <v>0</v>
      </c>
      <c r="J4166" s="1070">
        <v>0</v>
      </c>
      <c r="K4166" s="1070"/>
      <c r="L4166"/>
      <c r="M4166"/>
      <c r="N4166"/>
      <c r="O4166"/>
      <c r="P4166"/>
      <c r="Q4166"/>
      <c r="R4166"/>
      <c r="S4166"/>
      <c r="T4166"/>
      <c r="U4166"/>
      <c r="V4166"/>
      <c r="W4166"/>
      <c r="X4166"/>
      <c r="Y4166"/>
      <c r="Z4166"/>
      <c r="AA4166"/>
      <c r="AB4166"/>
      <c r="AC4166"/>
      <c r="AD4166"/>
      <c r="AE4166"/>
      <c r="AF4166"/>
      <c r="AG4166"/>
      <c r="AH4166"/>
      <c r="AI4166"/>
      <c r="AJ4166"/>
      <c r="AK4166"/>
      <c r="AL4166"/>
    </row>
    <row r="4167" spans="1:38" ht="15.75" customHeight="1" outlineLevel="3" x14ac:dyDescent="0.2">
      <c r="A4167" s="10">
        <v>1</v>
      </c>
      <c r="B4167" s="10" t="s">
        <v>71</v>
      </c>
      <c r="C4167" s="10" t="s">
        <v>806</v>
      </c>
      <c r="D4167" s="10" t="s">
        <v>807</v>
      </c>
      <c r="E4167" s="11" t="str">
        <f t="array" ref="E4167">_xlfn.XLOOKUP(D4167,Insumos!B:B,Insumos!C:$C)</f>
        <v>un</v>
      </c>
      <c r="F4167" s="14">
        <v>1</v>
      </c>
      <c r="G4167" s="92">
        <f t="array" ref="G4167">IF(B4167="insumo",_xlfn.XLOOKUP($D4167,Insumos!$B$1:$B$996,Insumos!$D$1:$D$996),"")</f>
        <v>2209.5230485436896</v>
      </c>
      <c r="H4167" s="92">
        <v>2209.52304854369</v>
      </c>
      <c r="I4167" s="13">
        <v>0</v>
      </c>
      <c r="J4167" s="13">
        <v>0</v>
      </c>
      <c r="K4167" s="13"/>
      <c r="L4167"/>
      <c r="M4167"/>
      <c r="N4167"/>
      <c r="O4167"/>
      <c r="P4167"/>
      <c r="Q4167"/>
      <c r="R4167"/>
      <c r="S4167"/>
      <c r="T4167"/>
      <c r="U4167"/>
      <c r="V4167"/>
      <c r="W4167"/>
      <c r="X4167"/>
      <c r="Y4167"/>
      <c r="Z4167"/>
      <c r="AA4167"/>
      <c r="AB4167"/>
      <c r="AC4167"/>
      <c r="AD4167"/>
      <c r="AE4167"/>
      <c r="AF4167"/>
      <c r="AG4167"/>
      <c r="AH4167"/>
      <c r="AI4167"/>
      <c r="AJ4167"/>
      <c r="AK4167"/>
      <c r="AL4167"/>
    </row>
    <row r="4168" spans="1:38" ht="15.75" customHeight="1" outlineLevel="3" x14ac:dyDescent="0.2">
      <c r="A4168" s="10">
        <v>24</v>
      </c>
      <c r="B4168" s="10" t="s">
        <v>71</v>
      </c>
      <c r="C4168" s="10" t="s">
        <v>806</v>
      </c>
      <c r="D4168" s="10" t="s">
        <v>808</v>
      </c>
      <c r="E4168" s="11" t="str">
        <f t="array" ref="E4168">_xlfn.XLOOKUP(D4168,Insumos!B:B,Insumos!C:$C)</f>
        <v>un</v>
      </c>
      <c r="F4168" s="14">
        <v>1</v>
      </c>
      <c r="G4168" s="92">
        <f t="array" ref="G4168">IF(B4168="insumo",_xlfn.XLOOKUP($D4168,Insumos!$B$1:$B$996,Insumos!$D$1:$D$996),"")</f>
        <v>55</v>
      </c>
      <c r="H4168" s="92">
        <v>55</v>
      </c>
      <c r="I4168" s="13">
        <v>0</v>
      </c>
      <c r="J4168" s="13">
        <v>0</v>
      </c>
      <c r="K4168" s="13"/>
      <c r="L4168"/>
      <c r="M4168"/>
      <c r="N4168"/>
      <c r="O4168"/>
      <c r="P4168"/>
      <c r="Q4168"/>
      <c r="R4168"/>
      <c r="S4168"/>
      <c r="T4168"/>
      <c r="U4168"/>
      <c r="V4168"/>
      <c r="W4168"/>
      <c r="X4168"/>
      <c r="Y4168"/>
      <c r="Z4168"/>
      <c r="AA4168"/>
      <c r="AB4168"/>
      <c r="AC4168"/>
      <c r="AD4168"/>
      <c r="AE4168"/>
      <c r="AF4168"/>
      <c r="AG4168"/>
      <c r="AH4168"/>
      <c r="AI4168"/>
      <c r="AJ4168"/>
      <c r="AK4168"/>
      <c r="AL4168"/>
    </row>
    <row r="4169" spans="1:38" ht="15.75" customHeight="1" outlineLevel="2" x14ac:dyDescent="0.2">
      <c r="A4169" s="1067">
        <v>1</v>
      </c>
      <c r="B4169" s="1067" t="s">
        <v>68</v>
      </c>
      <c r="C4169" s="1067" t="s">
        <v>1537</v>
      </c>
      <c r="D4169" s="1067" t="s">
        <v>1537</v>
      </c>
      <c r="E4169" s="1068" t="s">
        <v>70</v>
      </c>
      <c r="F4169" s="1067"/>
      <c r="G4169" s="1069" t="str">
        <f t="array" ref="G4169">IF(B4169="insumo",_xlfn.XLOOKUP($D4169,Insumos!$B$1:$B$996,Insumos!$D$1:$D$996),"")</f>
        <v/>
      </c>
      <c r="H4169" s="1069">
        <v>2413.5676190476202</v>
      </c>
      <c r="I4169" s="1070">
        <v>0</v>
      </c>
      <c r="J4169" s="1070">
        <v>0</v>
      </c>
      <c r="K4169" s="1070"/>
      <c r="L4169"/>
      <c r="M4169"/>
      <c r="N4169"/>
      <c r="O4169"/>
      <c r="P4169"/>
      <c r="Q4169"/>
      <c r="R4169"/>
      <c r="S4169"/>
      <c r="T4169"/>
      <c r="U4169"/>
      <c r="V4169"/>
      <c r="W4169"/>
      <c r="X4169"/>
      <c r="Y4169"/>
      <c r="Z4169"/>
      <c r="AA4169"/>
      <c r="AB4169"/>
      <c r="AC4169"/>
      <c r="AD4169"/>
      <c r="AE4169"/>
      <c r="AF4169"/>
      <c r="AG4169"/>
      <c r="AH4169"/>
      <c r="AI4169"/>
      <c r="AJ4169"/>
      <c r="AK4169"/>
      <c r="AL4169"/>
    </row>
    <row r="4170" spans="1:38" ht="15.75" customHeight="1" outlineLevel="3" x14ac:dyDescent="0.2">
      <c r="A4170" s="10">
        <v>1</v>
      </c>
      <c r="B4170" s="10" t="s">
        <v>71</v>
      </c>
      <c r="C4170" s="10" t="s">
        <v>1537</v>
      </c>
      <c r="D4170" s="10" t="s">
        <v>1541</v>
      </c>
      <c r="E4170" s="11" t="str">
        <f t="array" ref="E4170">_xlfn.XLOOKUP(D4170,Insumos!B:B,Insumos!C:$C)</f>
        <v>un</v>
      </c>
      <c r="F4170" s="14">
        <v>1</v>
      </c>
      <c r="G4170" s="92">
        <f t="array" ref="G4170">IF(B4170="insumo",_xlfn.XLOOKUP($D4170,Insumos!$B$1:$B$996,Insumos!$D$1:$D$996),"")</f>
        <v>2358.5676190476192</v>
      </c>
      <c r="H4170" s="92">
        <v>2358.5676190476202</v>
      </c>
      <c r="I4170" s="13">
        <v>0</v>
      </c>
      <c r="J4170" s="13">
        <v>0</v>
      </c>
      <c r="K4170" s="13"/>
      <c r="L4170"/>
      <c r="M4170"/>
      <c r="N4170"/>
      <c r="O4170"/>
      <c r="P4170"/>
      <c r="Q4170"/>
      <c r="R4170"/>
      <c r="S4170"/>
      <c r="T4170"/>
      <c r="U4170"/>
      <c r="V4170"/>
      <c r="W4170"/>
      <c r="X4170"/>
      <c r="Y4170"/>
      <c r="Z4170"/>
      <c r="AA4170"/>
      <c r="AB4170"/>
      <c r="AC4170"/>
      <c r="AD4170"/>
      <c r="AE4170"/>
      <c r="AF4170"/>
      <c r="AG4170"/>
      <c r="AH4170"/>
      <c r="AI4170"/>
      <c r="AJ4170"/>
      <c r="AK4170"/>
      <c r="AL4170"/>
    </row>
    <row r="4171" spans="1:38" ht="15.75" customHeight="1" outlineLevel="3" x14ac:dyDescent="0.2">
      <c r="A4171" s="10">
        <v>24</v>
      </c>
      <c r="B4171" s="10" t="s">
        <v>71</v>
      </c>
      <c r="C4171" s="10" t="s">
        <v>1537</v>
      </c>
      <c r="D4171" s="10" t="s">
        <v>808</v>
      </c>
      <c r="E4171" s="11" t="str">
        <f t="array" ref="E4171">_xlfn.XLOOKUP(D4171,Insumos!B:B,Insumos!C:$C)</f>
        <v>un</v>
      </c>
      <c r="F4171" s="14">
        <v>1</v>
      </c>
      <c r="G4171" s="92">
        <f t="array" ref="G4171">IF(B4171="insumo",_xlfn.XLOOKUP($D4171,Insumos!$B$1:$B$996,Insumos!$D$1:$D$996),"")</f>
        <v>55</v>
      </c>
      <c r="H4171" s="92">
        <v>55</v>
      </c>
      <c r="I4171" s="13">
        <v>0</v>
      </c>
      <c r="J4171" s="13">
        <v>0</v>
      </c>
      <c r="K4171" s="13"/>
      <c r="L4171"/>
      <c r="M4171"/>
      <c r="N4171"/>
      <c r="O4171"/>
      <c r="P4171"/>
      <c r="Q4171"/>
      <c r="R4171"/>
      <c r="S4171"/>
      <c r="T4171"/>
      <c r="U4171"/>
      <c r="V4171"/>
      <c r="W4171"/>
      <c r="X4171"/>
      <c r="Y4171"/>
      <c r="Z4171"/>
      <c r="AA4171"/>
      <c r="AB4171"/>
      <c r="AC4171"/>
      <c r="AD4171"/>
      <c r="AE4171"/>
      <c r="AF4171"/>
      <c r="AG4171"/>
      <c r="AH4171"/>
      <c r="AI4171"/>
      <c r="AJ4171"/>
      <c r="AK4171"/>
      <c r="AL4171"/>
    </row>
    <row r="4172" spans="1:38" ht="15.75" customHeight="1" outlineLevel="2" x14ac:dyDescent="0.2">
      <c r="A4172" s="1067">
        <v>1</v>
      </c>
      <c r="B4172" s="1067" t="s">
        <v>68</v>
      </c>
      <c r="C4172" s="1067" t="s">
        <v>809</v>
      </c>
      <c r="D4172" s="1067" t="s">
        <v>809</v>
      </c>
      <c r="E4172" s="1068" t="s">
        <v>70</v>
      </c>
      <c r="F4172" s="1067"/>
      <c r="G4172" s="1069" t="str">
        <f t="array" ref="G4172">IF(B4172="insumo",_xlfn.XLOOKUP($D4172,Insumos!$B$1:$B$996,Insumos!$D$1:$D$996),"")</f>
        <v/>
      </c>
      <c r="H4172" s="1069">
        <v>2306.36</v>
      </c>
      <c r="I4172" s="1070">
        <v>204</v>
      </c>
      <c r="J4172" s="1070">
        <v>470497.44</v>
      </c>
      <c r="K4172" s="1070"/>
      <c r="L4172"/>
      <c r="M4172"/>
      <c r="N4172"/>
      <c r="O4172"/>
      <c r="P4172"/>
      <c r="Q4172"/>
      <c r="R4172"/>
      <c r="S4172"/>
      <c r="T4172"/>
      <c r="U4172"/>
      <c r="V4172"/>
      <c r="W4172"/>
      <c r="X4172"/>
      <c r="Y4172"/>
      <c r="Z4172"/>
      <c r="AA4172"/>
      <c r="AB4172"/>
      <c r="AC4172"/>
      <c r="AD4172"/>
      <c r="AE4172"/>
      <c r="AF4172"/>
      <c r="AG4172"/>
      <c r="AH4172"/>
      <c r="AI4172"/>
      <c r="AJ4172"/>
      <c r="AK4172"/>
      <c r="AL4172"/>
    </row>
    <row r="4173" spans="1:38" ht="15.75" customHeight="1" outlineLevel="3" x14ac:dyDescent="0.2">
      <c r="A4173" s="10">
        <v>1</v>
      </c>
      <c r="B4173" s="10" t="s">
        <v>71</v>
      </c>
      <c r="C4173" s="10" t="s">
        <v>809</v>
      </c>
      <c r="D4173" s="10" t="s">
        <v>810</v>
      </c>
      <c r="E4173" s="11" t="str">
        <f t="array" ref="E4173">_xlfn.XLOOKUP(D4173,Insumos!B:B,Insumos!C:$C)</f>
        <v>un</v>
      </c>
      <c r="F4173" s="14">
        <v>1</v>
      </c>
      <c r="G4173" s="92">
        <f t="array" ref="G4173">IF(B4173="insumo",_xlfn.XLOOKUP($D4173,Insumos!$B$1:$B$996,Insumos!$D$1:$D$996),"")</f>
        <v>2251.36</v>
      </c>
      <c r="H4173" s="92">
        <v>2251.36</v>
      </c>
      <c r="I4173" s="13">
        <v>204</v>
      </c>
      <c r="J4173" s="13">
        <v>459277.44</v>
      </c>
      <c r="K4173" s="13"/>
      <c r="L4173"/>
      <c r="M4173"/>
      <c r="N4173"/>
      <c r="O4173"/>
      <c r="P4173"/>
      <c r="Q4173"/>
      <c r="R4173"/>
      <c r="S4173"/>
      <c r="T4173"/>
      <c r="U4173"/>
      <c r="V4173"/>
      <c r="W4173"/>
      <c r="X4173"/>
      <c r="Y4173"/>
      <c r="Z4173"/>
      <c r="AA4173"/>
      <c r="AB4173"/>
      <c r="AC4173"/>
      <c r="AD4173"/>
      <c r="AE4173"/>
      <c r="AF4173"/>
      <c r="AG4173"/>
      <c r="AH4173"/>
      <c r="AI4173"/>
      <c r="AJ4173"/>
      <c r="AK4173"/>
      <c r="AL4173"/>
    </row>
    <row r="4174" spans="1:38" ht="15.75" customHeight="1" outlineLevel="3" x14ac:dyDescent="0.2">
      <c r="A4174" s="10">
        <v>24</v>
      </c>
      <c r="B4174" s="10" t="s">
        <v>71</v>
      </c>
      <c r="C4174" s="10" t="s">
        <v>809</v>
      </c>
      <c r="D4174" s="10" t="s">
        <v>808</v>
      </c>
      <c r="E4174" s="11" t="str">
        <f t="array" ref="E4174">_xlfn.XLOOKUP(D4174,Insumos!B:B,Insumos!C:$C)</f>
        <v>un</v>
      </c>
      <c r="F4174" s="14">
        <v>1</v>
      </c>
      <c r="G4174" s="92">
        <f t="array" ref="G4174">IF(B4174="insumo",_xlfn.XLOOKUP($D4174,Insumos!$B$1:$B$996,Insumos!$D$1:$D$996),"")</f>
        <v>55</v>
      </c>
      <c r="H4174" s="92">
        <v>55</v>
      </c>
      <c r="I4174" s="13">
        <v>204</v>
      </c>
      <c r="J4174" s="13">
        <v>11220</v>
      </c>
      <c r="K4174" s="13"/>
      <c r="L4174"/>
      <c r="M4174"/>
      <c r="N4174"/>
      <c r="O4174"/>
      <c r="P4174"/>
      <c r="Q4174"/>
      <c r="R4174"/>
      <c r="S4174"/>
      <c r="T4174"/>
      <c r="U4174"/>
      <c r="V4174"/>
      <c r="W4174"/>
      <c r="X4174"/>
      <c r="Y4174"/>
      <c r="Z4174"/>
      <c r="AA4174"/>
      <c r="AB4174"/>
      <c r="AC4174"/>
      <c r="AD4174"/>
      <c r="AE4174"/>
      <c r="AF4174"/>
      <c r="AG4174"/>
      <c r="AH4174"/>
      <c r="AI4174"/>
      <c r="AJ4174"/>
      <c r="AK4174"/>
      <c r="AL4174"/>
    </row>
    <row r="4175" spans="1:38" ht="15.75" customHeight="1" outlineLevel="2" x14ac:dyDescent="0.2">
      <c r="A4175" s="1067">
        <v>1</v>
      </c>
      <c r="B4175" s="1067" t="s">
        <v>68</v>
      </c>
      <c r="C4175" s="1067" t="s">
        <v>811</v>
      </c>
      <c r="D4175" s="1067" t="s">
        <v>811</v>
      </c>
      <c r="E4175" s="1068" t="s">
        <v>70</v>
      </c>
      <c r="F4175" s="1067"/>
      <c r="G4175" s="1069" t="str">
        <f t="array" ref="G4175">IF(B4175="insumo",_xlfn.XLOOKUP($D4175,Insumos!$B$1:$B$996,Insumos!$D$1:$D$996),"")</f>
        <v/>
      </c>
      <c r="H4175" s="1069">
        <v>2264.52304854369</v>
      </c>
      <c r="I4175" s="1070">
        <v>0</v>
      </c>
      <c r="J4175" s="1070">
        <v>0</v>
      </c>
      <c r="K4175" s="1070"/>
      <c r="L4175"/>
      <c r="M4175"/>
      <c r="N4175"/>
      <c r="O4175"/>
      <c r="P4175"/>
      <c r="Q4175"/>
      <c r="R4175"/>
      <c r="S4175"/>
      <c r="T4175"/>
      <c r="U4175"/>
      <c r="V4175"/>
      <c r="W4175"/>
      <c r="X4175"/>
      <c r="Y4175"/>
      <c r="Z4175"/>
      <c r="AA4175"/>
      <c r="AB4175"/>
      <c r="AC4175"/>
      <c r="AD4175"/>
      <c r="AE4175"/>
      <c r="AF4175"/>
      <c r="AG4175"/>
      <c r="AH4175"/>
      <c r="AI4175"/>
      <c r="AJ4175"/>
      <c r="AK4175"/>
      <c r="AL4175"/>
    </row>
    <row r="4176" spans="1:38" ht="15.75" customHeight="1" outlineLevel="3" x14ac:dyDescent="0.2">
      <c r="A4176" s="10">
        <v>1</v>
      </c>
      <c r="B4176" s="10" t="s">
        <v>71</v>
      </c>
      <c r="C4176" s="10" t="s">
        <v>811</v>
      </c>
      <c r="D4176" s="10" t="s">
        <v>812</v>
      </c>
      <c r="E4176" s="11" t="str">
        <f t="array" ref="E4176">_xlfn.XLOOKUP(D4176,Insumos!B:B,Insumos!C:$C)</f>
        <v>un</v>
      </c>
      <c r="F4176" s="14">
        <v>1</v>
      </c>
      <c r="G4176" s="92">
        <f t="array" ref="G4176">IF(B4176="insumo",_xlfn.XLOOKUP($D4176,Insumos!$B$1:$B$996,Insumos!$D$1:$D$996),"")</f>
        <v>2209.5230485436896</v>
      </c>
      <c r="H4176" s="92">
        <v>2209.52304854369</v>
      </c>
      <c r="I4176" s="13">
        <v>0</v>
      </c>
      <c r="J4176" s="13">
        <v>0</v>
      </c>
      <c r="K4176" s="13"/>
      <c r="L4176"/>
      <c r="M4176"/>
      <c r="N4176"/>
      <c r="O4176"/>
      <c r="P4176"/>
      <c r="Q4176"/>
      <c r="R4176"/>
      <c r="S4176"/>
      <c r="T4176"/>
      <c r="U4176"/>
      <c r="V4176"/>
      <c r="W4176"/>
      <c r="X4176"/>
      <c r="Y4176"/>
      <c r="Z4176"/>
      <c r="AA4176"/>
      <c r="AB4176"/>
      <c r="AC4176"/>
      <c r="AD4176"/>
      <c r="AE4176"/>
      <c r="AF4176"/>
      <c r="AG4176"/>
      <c r="AH4176"/>
      <c r="AI4176"/>
      <c r="AJ4176"/>
      <c r="AK4176"/>
      <c r="AL4176"/>
    </row>
    <row r="4177" spans="1:38" ht="15.75" customHeight="1" outlineLevel="3" x14ac:dyDescent="0.2">
      <c r="A4177" s="10">
        <v>24</v>
      </c>
      <c r="B4177" s="10" t="s">
        <v>71</v>
      </c>
      <c r="C4177" s="10" t="s">
        <v>811</v>
      </c>
      <c r="D4177" s="10" t="s">
        <v>808</v>
      </c>
      <c r="E4177" s="11" t="str">
        <f t="array" ref="E4177">_xlfn.XLOOKUP(D4177,Insumos!B:B,Insumos!C:$C)</f>
        <v>un</v>
      </c>
      <c r="F4177" s="14">
        <v>1</v>
      </c>
      <c r="G4177" s="92">
        <f t="array" ref="G4177">IF(B4177="insumo",_xlfn.XLOOKUP($D4177,Insumos!$B$1:$B$996,Insumos!$D$1:$D$996),"")</f>
        <v>55</v>
      </c>
      <c r="H4177" s="92">
        <v>55</v>
      </c>
      <c r="I4177" s="13">
        <v>0</v>
      </c>
      <c r="J4177" s="13">
        <v>0</v>
      </c>
      <c r="K4177" s="13"/>
      <c r="L4177"/>
      <c r="M4177"/>
      <c r="N4177"/>
      <c r="O4177"/>
      <c r="P4177"/>
      <c r="Q4177"/>
      <c r="R4177"/>
      <c r="S4177"/>
      <c r="T4177"/>
      <c r="U4177"/>
      <c r="V4177"/>
      <c r="W4177"/>
      <c r="X4177"/>
      <c r="Y4177"/>
      <c r="Z4177"/>
      <c r="AA4177"/>
      <c r="AB4177"/>
      <c r="AC4177"/>
      <c r="AD4177"/>
      <c r="AE4177"/>
      <c r="AF4177"/>
      <c r="AG4177"/>
      <c r="AH4177"/>
      <c r="AI4177"/>
      <c r="AJ4177"/>
      <c r="AK4177"/>
      <c r="AL4177"/>
    </row>
    <row r="4178" spans="1:38" ht="15.75" customHeight="1" outlineLevel="2" x14ac:dyDescent="0.2">
      <c r="A4178" s="1067">
        <v>1</v>
      </c>
      <c r="B4178" s="1067" t="s">
        <v>68</v>
      </c>
      <c r="C4178" s="1067" t="s">
        <v>813</v>
      </c>
      <c r="D4178" s="1067" t="s">
        <v>813</v>
      </c>
      <c r="E4178" s="1068" t="s">
        <v>70</v>
      </c>
      <c r="F4178" s="1067"/>
      <c r="G4178" s="1069" t="str">
        <f t="array" ref="G4178">IF(B4178="insumo",_xlfn.XLOOKUP($D4178,Insumos!$B$1:$B$996,Insumos!$D$1:$D$996),"")</f>
        <v/>
      </c>
      <c r="H4178" s="1069">
        <v>2264.52304854369</v>
      </c>
      <c r="I4178" s="1070">
        <v>0</v>
      </c>
      <c r="J4178" s="1070">
        <v>0</v>
      </c>
      <c r="K4178" s="1070"/>
      <c r="L4178"/>
      <c r="M4178"/>
      <c r="N4178"/>
      <c r="O4178"/>
      <c r="P4178"/>
      <c r="Q4178"/>
      <c r="R4178"/>
      <c r="S4178"/>
      <c r="T4178"/>
      <c r="U4178"/>
      <c r="V4178"/>
      <c r="W4178"/>
      <c r="X4178"/>
      <c r="Y4178"/>
      <c r="Z4178"/>
      <c r="AA4178"/>
      <c r="AB4178"/>
      <c r="AC4178"/>
      <c r="AD4178"/>
      <c r="AE4178"/>
      <c r="AF4178"/>
      <c r="AG4178"/>
      <c r="AH4178"/>
      <c r="AI4178"/>
      <c r="AJ4178"/>
      <c r="AK4178"/>
      <c r="AL4178"/>
    </row>
    <row r="4179" spans="1:38" ht="15.75" customHeight="1" outlineLevel="3" x14ac:dyDescent="0.2">
      <c r="A4179" s="10">
        <v>1</v>
      </c>
      <c r="B4179" s="10" t="s">
        <v>71</v>
      </c>
      <c r="C4179" s="10" t="s">
        <v>813</v>
      </c>
      <c r="D4179" s="10" t="s">
        <v>814</v>
      </c>
      <c r="E4179" s="11" t="str">
        <f t="array" ref="E4179">_xlfn.XLOOKUP(D4179,Insumos!B:B,Insumos!C:$C)</f>
        <v>un</v>
      </c>
      <c r="F4179" s="14">
        <v>1</v>
      </c>
      <c r="G4179" s="92">
        <f t="array" ref="G4179">IF(B4179="insumo",_xlfn.XLOOKUP($D4179,Insumos!$B$1:$B$996,Insumos!$D$1:$D$996),"")</f>
        <v>2209.5230485436896</v>
      </c>
      <c r="H4179" s="92">
        <v>2209.52304854369</v>
      </c>
      <c r="I4179" s="13">
        <v>0</v>
      </c>
      <c r="J4179" s="13">
        <v>0</v>
      </c>
      <c r="K4179" s="13"/>
      <c r="L4179"/>
      <c r="M4179"/>
      <c r="N4179"/>
      <c r="O4179"/>
      <c r="P4179"/>
      <c r="Q4179"/>
      <c r="R4179"/>
      <c r="S4179"/>
      <c r="T4179"/>
      <c r="U4179"/>
      <c r="V4179"/>
      <c r="W4179"/>
      <c r="X4179"/>
      <c r="Y4179"/>
      <c r="Z4179"/>
      <c r="AA4179"/>
      <c r="AB4179"/>
      <c r="AC4179"/>
      <c r="AD4179"/>
      <c r="AE4179"/>
      <c r="AF4179"/>
      <c r="AG4179"/>
      <c r="AH4179"/>
      <c r="AI4179"/>
      <c r="AJ4179"/>
      <c r="AK4179"/>
      <c r="AL4179"/>
    </row>
    <row r="4180" spans="1:38" ht="15.75" customHeight="1" outlineLevel="3" x14ac:dyDescent="0.2">
      <c r="A4180" s="10">
        <v>24</v>
      </c>
      <c r="B4180" s="10" t="s">
        <v>71</v>
      </c>
      <c r="C4180" s="10" t="s">
        <v>813</v>
      </c>
      <c r="D4180" s="10" t="s">
        <v>808</v>
      </c>
      <c r="E4180" s="11" t="str">
        <f t="array" ref="E4180">_xlfn.XLOOKUP(D4180,Insumos!B:B,Insumos!C:$C)</f>
        <v>un</v>
      </c>
      <c r="F4180" s="14">
        <v>1</v>
      </c>
      <c r="G4180" s="92">
        <f t="array" ref="G4180">IF(B4180="insumo",_xlfn.XLOOKUP($D4180,Insumos!$B$1:$B$996,Insumos!$D$1:$D$996),"")</f>
        <v>55</v>
      </c>
      <c r="H4180" s="92">
        <v>55</v>
      </c>
      <c r="I4180" s="13">
        <v>0</v>
      </c>
      <c r="J4180" s="13">
        <v>0</v>
      </c>
      <c r="K4180" s="13"/>
      <c r="L4180"/>
      <c r="M4180"/>
      <c r="N4180"/>
      <c r="O4180"/>
      <c r="P4180"/>
      <c r="Q4180"/>
      <c r="R4180"/>
      <c r="S4180"/>
      <c r="T4180"/>
      <c r="U4180"/>
      <c r="V4180"/>
      <c r="W4180"/>
      <c r="X4180"/>
      <c r="Y4180"/>
      <c r="Z4180"/>
      <c r="AA4180"/>
      <c r="AB4180"/>
      <c r="AC4180"/>
      <c r="AD4180"/>
      <c r="AE4180"/>
      <c r="AF4180"/>
      <c r="AG4180"/>
      <c r="AH4180"/>
      <c r="AI4180"/>
      <c r="AJ4180"/>
      <c r="AK4180"/>
      <c r="AL4180"/>
    </row>
    <row r="4181" spans="1:38" ht="15.75" customHeight="1" outlineLevel="2" x14ac:dyDescent="0.2">
      <c r="A4181" s="1067">
        <v>1</v>
      </c>
      <c r="B4181" s="1067" t="s">
        <v>68</v>
      </c>
      <c r="C4181" s="1067" t="s">
        <v>815</v>
      </c>
      <c r="D4181" s="1067" t="s">
        <v>815</v>
      </c>
      <c r="E4181" s="1068" t="s">
        <v>70</v>
      </c>
      <c r="F4181" s="1067"/>
      <c r="G4181" s="1069" t="str">
        <f t="array" ref="G4181">IF(B4181="insumo",_xlfn.XLOOKUP($D4181,Insumos!$B$1:$B$996,Insumos!$D$1:$D$996),"")</f>
        <v/>
      </c>
      <c r="H4181" s="1069">
        <v>2306.36</v>
      </c>
      <c r="I4181" s="1070">
        <v>0</v>
      </c>
      <c r="J4181" s="1070">
        <v>0</v>
      </c>
      <c r="K4181" s="1070"/>
      <c r="L4181"/>
      <c r="M4181"/>
      <c r="N4181"/>
      <c r="O4181"/>
      <c r="P4181"/>
      <c r="Q4181"/>
      <c r="R4181"/>
      <c r="S4181"/>
      <c r="T4181"/>
      <c r="U4181"/>
      <c r="V4181"/>
      <c r="W4181"/>
      <c r="X4181"/>
      <c r="Y4181"/>
      <c r="Z4181"/>
      <c r="AA4181"/>
      <c r="AB4181"/>
      <c r="AC4181"/>
      <c r="AD4181"/>
      <c r="AE4181"/>
      <c r="AF4181"/>
      <c r="AG4181"/>
      <c r="AH4181"/>
      <c r="AI4181"/>
      <c r="AJ4181"/>
      <c r="AK4181"/>
      <c r="AL4181"/>
    </row>
    <row r="4182" spans="1:38" ht="15.75" customHeight="1" outlineLevel="3" x14ac:dyDescent="0.2">
      <c r="A4182" s="10">
        <v>1</v>
      </c>
      <c r="B4182" s="10" t="s">
        <v>71</v>
      </c>
      <c r="C4182" s="10" t="s">
        <v>815</v>
      </c>
      <c r="D4182" s="10" t="s">
        <v>816</v>
      </c>
      <c r="E4182" s="11" t="str">
        <f t="array" ref="E4182">_xlfn.XLOOKUP(D4182,Insumos!B:B,Insumos!C:$C)</f>
        <v>un</v>
      </c>
      <c r="F4182" s="14">
        <v>1</v>
      </c>
      <c r="G4182" s="92">
        <f t="array" ref="G4182">IF(B4182="insumo",_xlfn.XLOOKUP($D4182,Insumos!$B$1:$B$996,Insumos!$D$1:$D$996),"")</f>
        <v>2251.36</v>
      </c>
      <c r="H4182" s="92">
        <v>2251.36</v>
      </c>
      <c r="I4182" s="13">
        <v>0</v>
      </c>
      <c r="J4182" s="13">
        <v>0</v>
      </c>
      <c r="K4182" s="13"/>
      <c r="L4182"/>
      <c r="M4182"/>
      <c r="N4182"/>
      <c r="O4182"/>
      <c r="P4182"/>
      <c r="Q4182"/>
      <c r="R4182"/>
      <c r="S4182"/>
      <c r="T4182"/>
      <c r="U4182"/>
      <c r="V4182"/>
      <c r="W4182"/>
      <c r="X4182"/>
      <c r="Y4182"/>
      <c r="Z4182"/>
      <c r="AA4182"/>
      <c r="AB4182"/>
      <c r="AC4182"/>
      <c r="AD4182"/>
      <c r="AE4182"/>
      <c r="AF4182"/>
      <c r="AG4182"/>
      <c r="AH4182"/>
      <c r="AI4182"/>
      <c r="AJ4182"/>
      <c r="AK4182"/>
      <c r="AL4182"/>
    </row>
    <row r="4183" spans="1:38" ht="15.75" customHeight="1" outlineLevel="3" x14ac:dyDescent="0.2">
      <c r="A4183" s="10">
        <v>24</v>
      </c>
      <c r="B4183" s="10" t="s">
        <v>71</v>
      </c>
      <c r="C4183" s="10" t="s">
        <v>815</v>
      </c>
      <c r="D4183" s="10" t="s">
        <v>808</v>
      </c>
      <c r="E4183" s="11" t="str">
        <f t="array" ref="E4183">_xlfn.XLOOKUP(D4183,Insumos!B:B,Insumos!C:$C)</f>
        <v>un</v>
      </c>
      <c r="F4183" s="14">
        <v>1</v>
      </c>
      <c r="G4183" s="92">
        <f t="array" ref="G4183">IF(B4183="insumo",_xlfn.XLOOKUP($D4183,Insumos!$B$1:$B$996,Insumos!$D$1:$D$996),"")</f>
        <v>55</v>
      </c>
      <c r="H4183" s="92">
        <v>55</v>
      </c>
      <c r="I4183" s="13">
        <v>0</v>
      </c>
      <c r="J4183" s="13">
        <v>0</v>
      </c>
      <c r="K4183" s="13"/>
      <c r="L4183"/>
      <c r="M4183"/>
      <c r="N4183"/>
      <c r="O4183"/>
      <c r="P4183"/>
      <c r="Q4183"/>
      <c r="R4183"/>
      <c r="S4183"/>
      <c r="T4183"/>
      <c r="U4183"/>
      <c r="V4183"/>
      <c r="W4183"/>
      <c r="X4183"/>
      <c r="Y4183"/>
      <c r="Z4183"/>
      <c r="AA4183"/>
      <c r="AB4183"/>
      <c r="AC4183"/>
      <c r="AD4183"/>
      <c r="AE4183"/>
      <c r="AF4183"/>
      <c r="AG4183"/>
      <c r="AH4183"/>
      <c r="AI4183"/>
      <c r="AJ4183"/>
      <c r="AK4183"/>
      <c r="AL4183"/>
    </row>
    <row r="4184" spans="1:38" ht="15.75" customHeight="1" outlineLevel="2" x14ac:dyDescent="0.2">
      <c r="A4184" s="1067">
        <v>1</v>
      </c>
      <c r="B4184" s="1067" t="s">
        <v>68</v>
      </c>
      <c r="C4184" s="1067" t="s">
        <v>817</v>
      </c>
      <c r="D4184" s="1067" t="s">
        <v>817</v>
      </c>
      <c r="E4184" s="1068" t="s">
        <v>70</v>
      </c>
      <c r="F4184" s="1067"/>
      <c r="G4184" s="1069" t="str">
        <f t="array" ref="G4184">IF(B4184="insumo",_xlfn.XLOOKUP($D4184,Insumos!$B$1:$B$996,Insumos!$D$1:$D$996),"")</f>
        <v/>
      </c>
      <c r="H4184" s="1069">
        <v>2306.36</v>
      </c>
      <c r="I4184" s="1070">
        <v>170</v>
      </c>
      <c r="J4184" s="1070">
        <v>392081.2</v>
      </c>
      <c r="K4184" s="1070"/>
      <c r="L4184"/>
      <c r="M4184"/>
      <c r="N4184"/>
      <c r="O4184"/>
      <c r="P4184"/>
      <c r="Q4184"/>
      <c r="R4184"/>
      <c r="S4184"/>
      <c r="T4184"/>
      <c r="U4184"/>
      <c r="V4184"/>
      <c r="W4184"/>
      <c r="X4184"/>
      <c r="Y4184"/>
      <c r="Z4184"/>
      <c r="AA4184"/>
      <c r="AB4184"/>
      <c r="AC4184"/>
      <c r="AD4184"/>
      <c r="AE4184"/>
      <c r="AF4184"/>
      <c r="AG4184"/>
      <c r="AH4184"/>
      <c r="AI4184"/>
      <c r="AJ4184"/>
      <c r="AK4184"/>
      <c r="AL4184"/>
    </row>
    <row r="4185" spans="1:38" ht="15.75" customHeight="1" outlineLevel="3" x14ac:dyDescent="0.2">
      <c r="A4185" s="10">
        <v>1</v>
      </c>
      <c r="B4185" s="10" t="s">
        <v>71</v>
      </c>
      <c r="C4185" s="10" t="s">
        <v>817</v>
      </c>
      <c r="D4185" s="10" t="s">
        <v>818</v>
      </c>
      <c r="E4185" s="11" t="str">
        <f t="array" ref="E4185">_xlfn.XLOOKUP(D4185,Insumos!B:B,Insumos!C:$C)</f>
        <v>un</v>
      </c>
      <c r="F4185" s="14">
        <v>1</v>
      </c>
      <c r="G4185" s="92">
        <f t="array" ref="G4185">IF(B4185="insumo",_xlfn.XLOOKUP($D4185,Insumos!$B$1:$B$996,Insumos!$D$1:$D$996),"")</f>
        <v>2251.36</v>
      </c>
      <c r="H4185" s="92">
        <v>2251.36</v>
      </c>
      <c r="I4185" s="13">
        <v>170</v>
      </c>
      <c r="J4185" s="13">
        <v>382731.2</v>
      </c>
      <c r="K4185" s="13"/>
      <c r="L4185"/>
      <c r="M4185"/>
      <c r="N4185"/>
      <c r="O4185"/>
      <c r="P4185"/>
      <c r="Q4185"/>
      <c r="R4185"/>
      <c r="S4185"/>
      <c r="T4185"/>
      <c r="U4185"/>
      <c r="V4185"/>
      <c r="W4185"/>
      <c r="X4185"/>
      <c r="Y4185"/>
      <c r="Z4185"/>
      <c r="AA4185"/>
      <c r="AB4185"/>
      <c r="AC4185"/>
      <c r="AD4185"/>
      <c r="AE4185"/>
      <c r="AF4185"/>
      <c r="AG4185"/>
      <c r="AH4185"/>
      <c r="AI4185"/>
      <c r="AJ4185"/>
      <c r="AK4185"/>
      <c r="AL4185"/>
    </row>
    <row r="4186" spans="1:38" ht="15.75" customHeight="1" outlineLevel="3" x14ac:dyDescent="0.2">
      <c r="A4186" s="10">
        <v>24</v>
      </c>
      <c r="B4186" s="10" t="s">
        <v>71</v>
      </c>
      <c r="C4186" s="10" t="s">
        <v>817</v>
      </c>
      <c r="D4186" s="10" t="s">
        <v>808</v>
      </c>
      <c r="E4186" s="11" t="str">
        <f t="array" ref="E4186">_xlfn.XLOOKUP(D4186,Insumos!B:B,Insumos!C:$C)</f>
        <v>un</v>
      </c>
      <c r="F4186" s="14">
        <v>1</v>
      </c>
      <c r="G4186" s="92">
        <f t="array" ref="G4186">IF(B4186="insumo",_xlfn.XLOOKUP($D4186,Insumos!$B$1:$B$996,Insumos!$D$1:$D$996),"")</f>
        <v>55</v>
      </c>
      <c r="H4186" s="92">
        <v>55</v>
      </c>
      <c r="I4186" s="13">
        <v>170</v>
      </c>
      <c r="J4186" s="13">
        <v>9350</v>
      </c>
      <c r="K4186" s="13"/>
      <c r="L4186"/>
      <c r="M4186"/>
      <c r="N4186"/>
      <c r="O4186"/>
      <c r="P4186"/>
      <c r="Q4186"/>
      <c r="R4186"/>
      <c r="S4186"/>
      <c r="T4186"/>
      <c r="U4186"/>
      <c r="V4186"/>
      <c r="W4186"/>
      <c r="X4186"/>
      <c r="Y4186"/>
      <c r="Z4186"/>
      <c r="AA4186"/>
      <c r="AB4186"/>
      <c r="AC4186"/>
      <c r="AD4186"/>
      <c r="AE4186"/>
      <c r="AF4186"/>
      <c r="AG4186"/>
      <c r="AH4186"/>
      <c r="AI4186"/>
      <c r="AJ4186"/>
      <c r="AK4186"/>
      <c r="AL4186"/>
    </row>
    <row r="4187" spans="1:38" ht="15.75" customHeight="1" outlineLevel="2" x14ac:dyDescent="0.2">
      <c r="A4187" s="1067">
        <v>1</v>
      </c>
      <c r="B4187" s="1067" t="s">
        <v>68</v>
      </c>
      <c r="C4187" s="1067" t="s">
        <v>1538</v>
      </c>
      <c r="D4187" s="1067" t="s">
        <v>1538</v>
      </c>
      <c r="E4187" s="1068" t="s">
        <v>70</v>
      </c>
      <c r="F4187" s="1067"/>
      <c r="G4187" s="1069" t="str">
        <f t="array" ref="G4187">IF(B4187="insumo",_xlfn.XLOOKUP($D4187,Insumos!$B$1:$B$996,Insumos!$D$1:$D$996),"")</f>
        <v/>
      </c>
      <c r="H4187" s="1069">
        <v>2264.52304854369</v>
      </c>
      <c r="I4187" s="1070">
        <v>0</v>
      </c>
      <c r="J4187" s="1070">
        <v>0</v>
      </c>
      <c r="K4187" s="1070"/>
      <c r="L4187"/>
      <c r="M4187"/>
      <c r="N4187"/>
      <c r="O4187"/>
      <c r="P4187"/>
      <c r="Q4187"/>
      <c r="R4187"/>
      <c r="S4187"/>
      <c r="T4187"/>
      <c r="U4187"/>
      <c r="V4187"/>
      <c r="W4187"/>
      <c r="X4187"/>
      <c r="Y4187"/>
      <c r="Z4187"/>
      <c r="AA4187"/>
      <c r="AB4187"/>
      <c r="AC4187"/>
      <c r="AD4187"/>
      <c r="AE4187"/>
      <c r="AF4187"/>
      <c r="AG4187"/>
      <c r="AH4187"/>
      <c r="AI4187"/>
      <c r="AJ4187"/>
      <c r="AK4187"/>
      <c r="AL4187"/>
    </row>
    <row r="4188" spans="1:38" ht="15.75" customHeight="1" outlineLevel="3" x14ac:dyDescent="0.2">
      <c r="A4188" s="10">
        <v>1</v>
      </c>
      <c r="B4188" s="10" t="s">
        <v>71</v>
      </c>
      <c r="C4188" s="10" t="s">
        <v>1538</v>
      </c>
      <c r="D4188" s="10" t="s">
        <v>1540</v>
      </c>
      <c r="E4188" s="11" t="str">
        <f t="array" ref="E4188">_xlfn.XLOOKUP(D4188,Insumos!B:B,Insumos!C:$C)</f>
        <v>un</v>
      </c>
      <c r="F4188" s="14">
        <v>1</v>
      </c>
      <c r="G4188" s="92">
        <f t="array" ref="G4188">IF(B4188="insumo",_xlfn.XLOOKUP($D4188,Insumos!$B$1:$B$996,Insumos!$D$1:$D$996),"")</f>
        <v>2209.5230485436896</v>
      </c>
      <c r="H4188" s="92">
        <v>2209.52304854369</v>
      </c>
      <c r="I4188" s="13">
        <v>0</v>
      </c>
      <c r="J4188" s="13">
        <v>0</v>
      </c>
      <c r="K4188" s="13"/>
      <c r="L4188"/>
      <c r="M4188"/>
      <c r="N4188"/>
      <c r="O4188"/>
      <c r="P4188"/>
      <c r="Q4188"/>
      <c r="R4188"/>
      <c r="S4188"/>
      <c r="T4188"/>
      <c r="U4188"/>
      <c r="V4188"/>
      <c r="W4188"/>
      <c r="X4188"/>
      <c r="Y4188"/>
      <c r="Z4188"/>
      <c r="AA4188"/>
      <c r="AB4188"/>
      <c r="AC4188"/>
      <c r="AD4188"/>
      <c r="AE4188"/>
      <c r="AF4188"/>
      <c r="AG4188"/>
      <c r="AH4188"/>
      <c r="AI4188"/>
      <c r="AJ4188"/>
      <c r="AK4188"/>
      <c r="AL4188"/>
    </row>
    <row r="4189" spans="1:38" ht="15.75" customHeight="1" outlineLevel="3" x14ac:dyDescent="0.2">
      <c r="A4189" s="10">
        <v>24</v>
      </c>
      <c r="B4189" s="10" t="s">
        <v>71</v>
      </c>
      <c r="C4189" s="10" t="s">
        <v>1538</v>
      </c>
      <c r="D4189" s="10" t="s">
        <v>808</v>
      </c>
      <c r="E4189" s="11" t="str">
        <f t="array" ref="E4189">_xlfn.XLOOKUP(D4189,Insumos!B:B,Insumos!C:$C)</f>
        <v>un</v>
      </c>
      <c r="F4189" s="14">
        <v>1</v>
      </c>
      <c r="G4189" s="92">
        <f t="array" ref="G4189">IF(B4189="insumo",_xlfn.XLOOKUP($D4189,Insumos!$B$1:$B$996,Insumos!$D$1:$D$996),"")</f>
        <v>55</v>
      </c>
      <c r="H4189" s="92">
        <v>55</v>
      </c>
      <c r="I4189" s="13">
        <v>0</v>
      </c>
      <c r="J4189" s="13">
        <v>0</v>
      </c>
      <c r="K4189" s="13"/>
      <c r="L4189"/>
      <c r="M4189"/>
      <c r="N4189"/>
      <c r="O4189"/>
      <c r="P4189"/>
      <c r="Q4189"/>
      <c r="R4189"/>
      <c r="S4189"/>
      <c r="T4189"/>
      <c r="U4189"/>
      <c r="V4189"/>
      <c r="W4189"/>
      <c r="X4189"/>
      <c r="Y4189"/>
      <c r="Z4189"/>
      <c r="AA4189"/>
      <c r="AB4189"/>
      <c r="AC4189"/>
      <c r="AD4189"/>
      <c r="AE4189"/>
      <c r="AF4189"/>
      <c r="AG4189"/>
      <c r="AH4189"/>
      <c r="AI4189"/>
      <c r="AJ4189"/>
      <c r="AK4189"/>
      <c r="AL4189"/>
    </row>
    <row r="4190" spans="1:38" ht="15.75" customHeight="1" outlineLevel="2" x14ac:dyDescent="0.2">
      <c r="A4190" s="1067">
        <v>1</v>
      </c>
      <c r="B4190" s="1067" t="s">
        <v>68</v>
      </c>
      <c r="C4190" s="1067" t="s">
        <v>819</v>
      </c>
      <c r="D4190" s="1067" t="s">
        <v>819</v>
      </c>
      <c r="E4190" s="1068" t="s">
        <v>70</v>
      </c>
      <c r="F4190" s="1067"/>
      <c r="G4190" s="1069" t="str">
        <f t="array" ref="G4190">IF(B4190="insumo",_xlfn.XLOOKUP($D4190,Insumos!$B$1:$B$996,Insumos!$D$1:$D$996),"")</f>
        <v/>
      </c>
      <c r="H4190" s="1069">
        <v>2653.86</v>
      </c>
      <c r="I4190" s="1070">
        <v>58</v>
      </c>
      <c r="J4190" s="1070">
        <v>153923.88</v>
      </c>
      <c r="K4190" s="1070"/>
      <c r="L4190"/>
      <c r="M4190"/>
      <c r="N4190"/>
      <c r="O4190"/>
      <c r="P4190"/>
      <c r="Q4190"/>
      <c r="R4190"/>
      <c r="S4190"/>
      <c r="T4190"/>
      <c r="U4190"/>
      <c r="V4190"/>
      <c r="W4190"/>
      <c r="X4190"/>
      <c r="Y4190"/>
      <c r="Z4190"/>
      <c r="AA4190"/>
      <c r="AB4190"/>
      <c r="AC4190"/>
      <c r="AD4190"/>
      <c r="AE4190"/>
      <c r="AF4190"/>
      <c r="AG4190"/>
      <c r="AH4190"/>
      <c r="AI4190"/>
      <c r="AJ4190"/>
      <c r="AK4190"/>
      <c r="AL4190"/>
    </row>
    <row r="4191" spans="1:38" ht="15.75" customHeight="1" outlineLevel="3" x14ac:dyDescent="0.2">
      <c r="A4191" s="10">
        <v>1</v>
      </c>
      <c r="B4191" s="10" t="s">
        <v>71</v>
      </c>
      <c r="C4191" s="10" t="s">
        <v>819</v>
      </c>
      <c r="D4191" s="10" t="s">
        <v>820</v>
      </c>
      <c r="E4191" s="11" t="str">
        <f t="array" ref="E4191">_xlfn.XLOOKUP(D4191,Insumos!B:B,Insumos!C:$C)</f>
        <v>un</v>
      </c>
      <c r="F4191" s="14">
        <v>1</v>
      </c>
      <c r="G4191" s="92">
        <f t="array" ref="G4191">IF(B4191="insumo",_xlfn.XLOOKUP($D4191,Insumos!$B$1:$B$996,Insumos!$D$1:$D$996),"")</f>
        <v>2598.86</v>
      </c>
      <c r="H4191" s="92">
        <v>2598.86</v>
      </c>
      <c r="I4191" s="13">
        <v>58</v>
      </c>
      <c r="J4191" s="13">
        <v>150733.88</v>
      </c>
      <c r="K4191" s="13"/>
      <c r="L4191"/>
      <c r="M4191"/>
      <c r="N4191"/>
      <c r="O4191"/>
      <c r="P4191"/>
      <c r="Q4191"/>
      <c r="R4191"/>
      <c r="S4191"/>
      <c r="T4191"/>
      <c r="U4191"/>
      <c r="V4191"/>
      <c r="W4191"/>
      <c r="X4191"/>
      <c r="Y4191"/>
      <c r="Z4191"/>
      <c r="AA4191"/>
      <c r="AB4191"/>
      <c r="AC4191"/>
      <c r="AD4191"/>
      <c r="AE4191"/>
      <c r="AF4191"/>
      <c r="AG4191"/>
      <c r="AH4191"/>
      <c r="AI4191"/>
      <c r="AJ4191"/>
      <c r="AK4191"/>
      <c r="AL4191"/>
    </row>
    <row r="4192" spans="1:38" ht="15.75" customHeight="1" outlineLevel="3" x14ac:dyDescent="0.2">
      <c r="A4192" s="10">
        <v>24</v>
      </c>
      <c r="B4192" s="10" t="s">
        <v>71</v>
      </c>
      <c r="C4192" s="10" t="s">
        <v>819</v>
      </c>
      <c r="D4192" s="10" t="s">
        <v>808</v>
      </c>
      <c r="E4192" s="11" t="str">
        <f t="array" ref="E4192">_xlfn.XLOOKUP(D4192,Insumos!B:B,Insumos!C:$C)</f>
        <v>un</v>
      </c>
      <c r="F4192" s="14">
        <v>1</v>
      </c>
      <c r="G4192" s="92">
        <f t="array" ref="G4192">IF(B4192="insumo",_xlfn.XLOOKUP($D4192,Insumos!$B$1:$B$996,Insumos!$D$1:$D$996),"")</f>
        <v>55</v>
      </c>
      <c r="H4192" s="92">
        <v>55</v>
      </c>
      <c r="I4192" s="13">
        <v>58</v>
      </c>
      <c r="J4192" s="13">
        <v>3190</v>
      </c>
      <c r="K4192" s="13"/>
      <c r="L4192"/>
      <c r="M4192"/>
      <c r="N4192"/>
      <c r="O4192"/>
      <c r="P4192"/>
      <c r="Q4192"/>
      <c r="R4192"/>
      <c r="S4192"/>
      <c r="T4192"/>
      <c r="U4192"/>
      <c r="V4192"/>
      <c r="W4192"/>
      <c r="X4192"/>
      <c r="Y4192"/>
      <c r="Z4192"/>
      <c r="AA4192"/>
      <c r="AB4192"/>
      <c r="AC4192"/>
      <c r="AD4192"/>
      <c r="AE4192"/>
      <c r="AF4192"/>
      <c r="AG4192"/>
      <c r="AH4192"/>
      <c r="AI4192"/>
      <c r="AJ4192"/>
      <c r="AK4192"/>
      <c r="AL4192"/>
    </row>
    <row r="4193" spans="1:38" ht="15.75" customHeight="1" outlineLevel="2" x14ac:dyDescent="0.2">
      <c r="A4193" s="1067">
        <v>1</v>
      </c>
      <c r="B4193" s="1067" t="s">
        <v>68</v>
      </c>
      <c r="C4193" s="1067" t="s">
        <v>821</v>
      </c>
      <c r="D4193" s="1067" t="s">
        <v>821</v>
      </c>
      <c r="E4193" s="1068" t="s">
        <v>70</v>
      </c>
      <c r="F4193" s="1067"/>
      <c r="G4193" s="1069" t="str">
        <f t="array" ref="G4193">IF(B4193="insumo",_xlfn.XLOOKUP($D4193,Insumos!$B$1:$B$996,Insumos!$D$1:$D$996),"")</f>
        <v/>
      </c>
      <c r="H4193" s="1069">
        <v>2715.7376190476198</v>
      </c>
      <c r="I4193" s="1070">
        <v>0</v>
      </c>
      <c r="J4193" s="1070">
        <v>0</v>
      </c>
      <c r="K4193" s="1070"/>
      <c r="L4193"/>
      <c r="M4193"/>
      <c r="N4193"/>
      <c r="O4193"/>
      <c r="P4193"/>
      <c r="Q4193"/>
      <c r="R4193"/>
      <c r="S4193"/>
      <c r="T4193"/>
      <c r="U4193"/>
      <c r="V4193"/>
      <c r="W4193"/>
      <c r="X4193"/>
      <c r="Y4193"/>
      <c r="Z4193"/>
      <c r="AA4193"/>
      <c r="AB4193"/>
      <c r="AC4193"/>
      <c r="AD4193"/>
      <c r="AE4193"/>
      <c r="AF4193"/>
      <c r="AG4193"/>
      <c r="AH4193"/>
      <c r="AI4193"/>
      <c r="AJ4193"/>
      <c r="AK4193"/>
      <c r="AL4193"/>
    </row>
    <row r="4194" spans="1:38" ht="15.75" customHeight="1" outlineLevel="3" x14ac:dyDescent="0.2">
      <c r="A4194" s="10">
        <v>1</v>
      </c>
      <c r="B4194" s="10" t="s">
        <v>71</v>
      </c>
      <c r="C4194" s="10" t="s">
        <v>821</v>
      </c>
      <c r="D4194" s="10" t="s">
        <v>822</v>
      </c>
      <c r="E4194" s="11" t="str">
        <f t="array" ref="E4194">_xlfn.XLOOKUP(D4194,Insumos!B:B,Insumos!C:$C)</f>
        <v>un</v>
      </c>
      <c r="F4194" s="14">
        <v>1</v>
      </c>
      <c r="G4194" s="92">
        <f t="array" ref="G4194">IF(B4194="insumo",_xlfn.XLOOKUP($D4194,Insumos!$B$1:$B$996,Insumos!$D$1:$D$996),"")</f>
        <v>2660.7376190476193</v>
      </c>
      <c r="H4194" s="92">
        <v>2660.7376190476198</v>
      </c>
      <c r="I4194" s="13">
        <v>0</v>
      </c>
      <c r="J4194" s="13">
        <v>0</v>
      </c>
      <c r="K4194" s="13"/>
      <c r="L4194"/>
      <c r="M4194"/>
      <c r="N4194"/>
      <c r="O4194"/>
      <c r="P4194"/>
      <c r="Q4194"/>
      <c r="R4194"/>
      <c r="S4194"/>
      <c r="T4194"/>
      <c r="U4194"/>
      <c r="V4194"/>
      <c r="W4194"/>
      <c r="X4194"/>
      <c r="Y4194"/>
      <c r="Z4194"/>
      <c r="AA4194"/>
      <c r="AB4194"/>
      <c r="AC4194"/>
      <c r="AD4194"/>
      <c r="AE4194"/>
      <c r="AF4194"/>
      <c r="AG4194"/>
      <c r="AH4194"/>
      <c r="AI4194"/>
      <c r="AJ4194"/>
      <c r="AK4194"/>
      <c r="AL4194"/>
    </row>
    <row r="4195" spans="1:38" ht="15.75" customHeight="1" outlineLevel="3" x14ac:dyDescent="0.2">
      <c r="A4195" s="10">
        <v>24</v>
      </c>
      <c r="B4195" s="10" t="s">
        <v>71</v>
      </c>
      <c r="C4195" s="10" t="s">
        <v>821</v>
      </c>
      <c r="D4195" s="10" t="s">
        <v>808</v>
      </c>
      <c r="E4195" s="11" t="str">
        <f t="array" ref="E4195">_xlfn.XLOOKUP(D4195,Insumos!B:B,Insumos!C:$C)</f>
        <v>un</v>
      </c>
      <c r="F4195" s="14">
        <v>1</v>
      </c>
      <c r="G4195" s="92">
        <f t="array" ref="G4195">IF(B4195="insumo",_xlfn.XLOOKUP($D4195,Insumos!$B$1:$B$996,Insumos!$D$1:$D$996),"")</f>
        <v>55</v>
      </c>
      <c r="H4195" s="92">
        <v>55</v>
      </c>
      <c r="I4195" s="13">
        <v>0</v>
      </c>
      <c r="J4195" s="13">
        <v>0</v>
      </c>
      <c r="K4195" s="13"/>
      <c r="L4195"/>
      <c r="M4195"/>
      <c r="N4195"/>
      <c r="O4195"/>
      <c r="P4195"/>
      <c r="Q4195"/>
      <c r="R4195"/>
      <c r="S4195"/>
      <c r="T4195"/>
      <c r="U4195"/>
      <c r="V4195"/>
      <c r="W4195"/>
      <c r="X4195"/>
      <c r="Y4195"/>
      <c r="Z4195"/>
      <c r="AA4195"/>
      <c r="AB4195"/>
      <c r="AC4195"/>
      <c r="AD4195"/>
      <c r="AE4195"/>
      <c r="AF4195"/>
      <c r="AG4195"/>
      <c r="AH4195"/>
      <c r="AI4195"/>
      <c r="AJ4195"/>
      <c r="AK4195"/>
      <c r="AL4195"/>
    </row>
    <row r="4196" spans="1:38" ht="15.75" customHeight="1" outlineLevel="2" x14ac:dyDescent="0.2">
      <c r="A4196" s="1067">
        <v>1</v>
      </c>
      <c r="B4196" s="1067" t="s">
        <v>68</v>
      </c>
      <c r="C4196" s="1067" t="s">
        <v>823</v>
      </c>
      <c r="D4196" s="1067" t="s">
        <v>823</v>
      </c>
      <c r="E4196" s="1068" t="s">
        <v>70</v>
      </c>
      <c r="F4196" s="1067"/>
      <c r="G4196" s="1069" t="str">
        <f t="array" ref="G4196">IF(B4196="insumo",_xlfn.XLOOKUP($D4196,Insumos!$B$1:$B$996,Insumos!$D$1:$D$996),"")</f>
        <v/>
      </c>
      <c r="H4196" s="1069">
        <v>2942.62222222222</v>
      </c>
      <c r="I4196" s="1070">
        <v>0</v>
      </c>
      <c r="J4196" s="1070">
        <v>0</v>
      </c>
      <c r="K4196" s="1070"/>
      <c r="L4196"/>
      <c r="M4196"/>
      <c r="N4196"/>
      <c r="O4196"/>
      <c r="P4196"/>
      <c r="Q4196"/>
      <c r="R4196"/>
      <c r="S4196"/>
      <c r="T4196"/>
      <c r="U4196"/>
      <c r="V4196"/>
      <c r="W4196"/>
      <c r="X4196"/>
      <c r="Y4196"/>
      <c r="Z4196"/>
      <c r="AA4196"/>
      <c r="AB4196"/>
      <c r="AC4196"/>
      <c r="AD4196"/>
      <c r="AE4196"/>
      <c r="AF4196"/>
      <c r="AG4196"/>
      <c r="AH4196"/>
      <c r="AI4196"/>
      <c r="AJ4196"/>
      <c r="AK4196"/>
      <c r="AL4196"/>
    </row>
    <row r="4197" spans="1:38" ht="15.75" customHeight="1" outlineLevel="3" x14ac:dyDescent="0.2">
      <c r="A4197" s="10">
        <v>1</v>
      </c>
      <c r="B4197" s="10" t="s">
        <v>71</v>
      </c>
      <c r="C4197" s="10" t="s">
        <v>823</v>
      </c>
      <c r="D4197" s="10" t="s">
        <v>824</v>
      </c>
      <c r="E4197" s="11" t="str">
        <f t="array" ref="E4197">_xlfn.XLOOKUP(D4197,Insumos!B:B,Insumos!C:$C)</f>
        <v>un</v>
      </c>
      <c r="F4197" s="14">
        <v>1</v>
      </c>
      <c r="G4197" s="92">
        <f t="array" ref="G4197">IF(B4197="insumo",_xlfn.XLOOKUP($D4197,Insumos!$B$1:$B$996,Insumos!$D$1:$D$996),"")</f>
        <v>2887.6222222222223</v>
      </c>
      <c r="H4197" s="92">
        <v>2887.62222222222</v>
      </c>
      <c r="I4197" s="13">
        <v>0</v>
      </c>
      <c r="J4197" s="13">
        <v>0</v>
      </c>
      <c r="K4197" s="13"/>
      <c r="L4197"/>
      <c r="M4197"/>
      <c r="N4197"/>
      <c r="O4197"/>
      <c r="P4197"/>
      <c r="Q4197"/>
      <c r="R4197"/>
      <c r="S4197"/>
      <c r="T4197"/>
      <c r="U4197"/>
      <c r="V4197"/>
      <c r="W4197"/>
      <c r="X4197"/>
      <c r="Y4197"/>
      <c r="Z4197"/>
      <c r="AA4197"/>
      <c r="AB4197"/>
      <c r="AC4197"/>
      <c r="AD4197"/>
      <c r="AE4197"/>
      <c r="AF4197"/>
      <c r="AG4197"/>
      <c r="AH4197"/>
      <c r="AI4197"/>
      <c r="AJ4197"/>
      <c r="AK4197"/>
      <c r="AL4197"/>
    </row>
    <row r="4198" spans="1:38" ht="15.75" customHeight="1" outlineLevel="3" x14ac:dyDescent="0.2">
      <c r="A4198" s="10">
        <v>24</v>
      </c>
      <c r="B4198" s="10" t="s">
        <v>71</v>
      </c>
      <c r="C4198" s="10" t="s">
        <v>823</v>
      </c>
      <c r="D4198" s="10" t="s">
        <v>808</v>
      </c>
      <c r="E4198" s="11" t="str">
        <f t="array" ref="E4198">_xlfn.XLOOKUP(D4198,Insumos!B:B,Insumos!C:$C)</f>
        <v>un</v>
      </c>
      <c r="F4198" s="14">
        <v>1</v>
      </c>
      <c r="G4198" s="92">
        <f t="array" ref="G4198">IF(B4198="insumo",_xlfn.XLOOKUP($D4198,Insumos!$B$1:$B$996,Insumos!$D$1:$D$996),"")</f>
        <v>55</v>
      </c>
      <c r="H4198" s="92">
        <v>55</v>
      </c>
      <c r="I4198" s="13">
        <v>0</v>
      </c>
      <c r="J4198" s="13">
        <v>0</v>
      </c>
      <c r="K4198" s="13"/>
      <c r="L4198"/>
      <c r="M4198"/>
      <c r="N4198"/>
      <c r="O4198"/>
      <c r="P4198"/>
      <c r="Q4198"/>
      <c r="R4198"/>
      <c r="S4198"/>
      <c r="T4198"/>
      <c r="U4198"/>
      <c r="V4198"/>
      <c r="W4198"/>
      <c r="X4198"/>
      <c r="Y4198"/>
      <c r="Z4198"/>
      <c r="AA4198"/>
      <c r="AB4198"/>
      <c r="AC4198"/>
      <c r="AD4198"/>
      <c r="AE4198"/>
      <c r="AF4198"/>
      <c r="AG4198"/>
      <c r="AH4198"/>
      <c r="AI4198"/>
      <c r="AJ4198"/>
      <c r="AK4198"/>
      <c r="AL4198"/>
    </row>
    <row r="4199" spans="1:38" ht="15.75" customHeight="1" outlineLevel="2" x14ac:dyDescent="0.2">
      <c r="A4199" s="1067">
        <v>1</v>
      </c>
      <c r="B4199" s="1067" t="s">
        <v>68</v>
      </c>
      <c r="C4199" s="1067" t="s">
        <v>825</v>
      </c>
      <c r="D4199" s="1067" t="s">
        <v>825</v>
      </c>
      <c r="E4199" s="1068" t="s">
        <v>70</v>
      </c>
      <c r="F4199" s="1067"/>
      <c r="G4199" s="1069" t="str">
        <f t="array" ref="G4199">IF(B4199="insumo",_xlfn.XLOOKUP($D4199,Insumos!$B$1:$B$996,Insumos!$D$1:$D$996),"")</f>
        <v/>
      </c>
      <c r="H4199" s="1069">
        <v>3087.0033333333299</v>
      </c>
      <c r="I4199" s="1070">
        <v>0</v>
      </c>
      <c r="J4199" s="1070">
        <v>0</v>
      </c>
      <c r="K4199" s="1070"/>
      <c r="L4199"/>
      <c r="M4199"/>
      <c r="N4199"/>
      <c r="O4199"/>
      <c r="P4199"/>
      <c r="Q4199"/>
      <c r="R4199"/>
      <c r="S4199"/>
      <c r="T4199"/>
      <c r="U4199"/>
      <c r="V4199"/>
      <c r="W4199"/>
      <c r="X4199"/>
      <c r="Y4199"/>
      <c r="Z4199"/>
      <c r="AA4199"/>
      <c r="AB4199"/>
      <c r="AC4199"/>
      <c r="AD4199"/>
      <c r="AE4199"/>
      <c r="AF4199"/>
      <c r="AG4199"/>
      <c r="AH4199"/>
      <c r="AI4199"/>
      <c r="AJ4199"/>
      <c r="AK4199"/>
      <c r="AL4199"/>
    </row>
    <row r="4200" spans="1:38" ht="15.75" customHeight="1" outlineLevel="3" x14ac:dyDescent="0.2">
      <c r="A4200" s="10">
        <v>2</v>
      </c>
      <c r="B4200" s="10" t="s">
        <v>71</v>
      </c>
      <c r="C4200" s="10" t="s">
        <v>825</v>
      </c>
      <c r="D4200" s="10" t="s">
        <v>826</v>
      </c>
      <c r="E4200" s="11" t="str">
        <f t="array" ref="E4200">_xlfn.XLOOKUP(D4200,Insumos!B:B,Insumos!C:$C)</f>
        <v>un</v>
      </c>
      <c r="F4200" s="14">
        <v>1</v>
      </c>
      <c r="G4200" s="92">
        <f t="array" ref="G4200">IF(B4200="insumo",_xlfn.XLOOKUP($D4200,Insumos!$B$1:$B$996,Insumos!$D$1:$D$996),"")</f>
        <v>3032.0033333333336</v>
      </c>
      <c r="H4200" s="92">
        <v>3032.0033333333299</v>
      </c>
      <c r="I4200" s="13">
        <v>0</v>
      </c>
      <c r="J4200" s="13">
        <v>0</v>
      </c>
      <c r="K4200" s="13"/>
      <c r="L4200"/>
      <c r="M4200"/>
      <c r="N4200"/>
      <c r="O4200"/>
      <c r="P4200"/>
      <c r="Q4200"/>
      <c r="R4200"/>
      <c r="S4200"/>
      <c r="T4200"/>
      <c r="U4200"/>
      <c r="V4200"/>
      <c r="W4200"/>
      <c r="X4200"/>
      <c r="Y4200"/>
      <c r="Z4200"/>
      <c r="AA4200"/>
      <c r="AB4200"/>
      <c r="AC4200"/>
      <c r="AD4200"/>
      <c r="AE4200"/>
      <c r="AF4200"/>
      <c r="AG4200"/>
      <c r="AH4200"/>
      <c r="AI4200"/>
      <c r="AJ4200"/>
      <c r="AK4200"/>
      <c r="AL4200"/>
    </row>
    <row r="4201" spans="1:38" ht="15.75" customHeight="1" outlineLevel="3" x14ac:dyDescent="0.2">
      <c r="A4201" s="10">
        <v>24</v>
      </c>
      <c r="B4201" s="10" t="s">
        <v>71</v>
      </c>
      <c r="C4201" s="10" t="s">
        <v>825</v>
      </c>
      <c r="D4201" s="10" t="s">
        <v>808</v>
      </c>
      <c r="E4201" s="11" t="str">
        <f t="array" ref="E4201">_xlfn.XLOOKUP(D4201,Insumos!B:B,Insumos!C:$C)</f>
        <v>un</v>
      </c>
      <c r="F4201" s="14">
        <v>1</v>
      </c>
      <c r="G4201" s="92">
        <f t="array" ref="G4201">IF(B4201="insumo",_xlfn.XLOOKUP($D4201,Insumos!$B$1:$B$996,Insumos!$D$1:$D$996),"")</f>
        <v>55</v>
      </c>
      <c r="H4201" s="92">
        <v>55</v>
      </c>
      <c r="I4201" s="13">
        <v>0</v>
      </c>
      <c r="J4201" s="13">
        <v>0</v>
      </c>
      <c r="K4201" s="13"/>
      <c r="L4201"/>
      <c r="M4201"/>
      <c r="N4201"/>
      <c r="O4201"/>
      <c r="P4201"/>
      <c r="Q4201"/>
      <c r="R4201"/>
      <c r="S4201"/>
      <c r="T4201"/>
      <c r="U4201"/>
      <c r="V4201"/>
      <c r="W4201"/>
      <c r="X4201"/>
      <c r="Y4201"/>
      <c r="Z4201"/>
      <c r="AA4201"/>
      <c r="AB4201"/>
      <c r="AC4201"/>
      <c r="AD4201"/>
      <c r="AE4201"/>
      <c r="AF4201"/>
      <c r="AG4201"/>
      <c r="AH4201"/>
      <c r="AI4201"/>
      <c r="AJ4201"/>
      <c r="AK4201"/>
      <c r="AL4201"/>
    </row>
    <row r="4202" spans="1:38" ht="15.75" customHeight="1" outlineLevel="2" x14ac:dyDescent="0.2">
      <c r="A4202" s="1067">
        <v>1</v>
      </c>
      <c r="B4202" s="1067" t="s">
        <v>68</v>
      </c>
      <c r="C4202" s="1067" t="s">
        <v>1536</v>
      </c>
      <c r="D4202" s="1067" t="s">
        <v>1536</v>
      </c>
      <c r="E4202" s="1068" t="s">
        <v>70</v>
      </c>
      <c r="F4202" s="1067"/>
      <c r="G4202" s="1069" t="str">
        <f t="array" ref="G4202">IF(B4202="insumo",_xlfn.XLOOKUP($D4202,Insumos!$B$1:$B$996,Insumos!$D$1:$D$996),"")</f>
        <v/>
      </c>
      <c r="H4202" s="1069">
        <v>3231.3844444444499</v>
      </c>
      <c r="I4202" s="1070">
        <v>0</v>
      </c>
      <c r="J4202" s="1070">
        <v>0</v>
      </c>
      <c r="K4202" s="1070"/>
      <c r="L4202"/>
      <c r="M4202"/>
      <c r="N4202"/>
      <c r="O4202"/>
      <c r="P4202"/>
      <c r="Q4202"/>
      <c r="R4202"/>
      <c r="S4202"/>
      <c r="T4202"/>
      <c r="U4202"/>
      <c r="V4202"/>
      <c r="W4202"/>
      <c r="X4202"/>
      <c r="Y4202"/>
      <c r="Z4202"/>
      <c r="AA4202"/>
      <c r="AB4202"/>
      <c r="AC4202"/>
      <c r="AD4202"/>
      <c r="AE4202"/>
      <c r="AF4202"/>
      <c r="AG4202"/>
      <c r="AH4202"/>
      <c r="AI4202"/>
      <c r="AJ4202"/>
      <c r="AK4202"/>
      <c r="AL4202"/>
    </row>
    <row r="4203" spans="1:38" ht="15.75" customHeight="1" outlineLevel="3" x14ac:dyDescent="0.2">
      <c r="A4203" s="10">
        <v>1</v>
      </c>
      <c r="B4203" s="10" t="s">
        <v>71</v>
      </c>
      <c r="C4203" s="10" t="s">
        <v>1536</v>
      </c>
      <c r="D4203" s="10" t="s">
        <v>1539</v>
      </c>
      <c r="E4203" s="11" t="str">
        <f t="array" ref="E4203">_xlfn.XLOOKUP(D4203,Insumos!B:B,Insumos!C:$C)</f>
        <v>un</v>
      </c>
      <c r="F4203" s="14">
        <v>1</v>
      </c>
      <c r="G4203" s="92">
        <f t="array" ref="G4203">IF(B4203="insumo",_xlfn.XLOOKUP($D4203,Insumos!$B$1:$B$996,Insumos!$D$1:$D$996),"")</f>
        <v>3176.3844444444453</v>
      </c>
      <c r="H4203" s="92">
        <v>3176.3844444444499</v>
      </c>
      <c r="I4203" s="13">
        <v>0</v>
      </c>
      <c r="J4203" s="13">
        <v>0</v>
      </c>
      <c r="K4203" s="13"/>
      <c r="L4203"/>
      <c r="M4203"/>
      <c r="N4203"/>
      <c r="O4203"/>
      <c r="P4203"/>
      <c r="Q4203"/>
      <c r="R4203"/>
      <c r="S4203"/>
      <c r="T4203"/>
      <c r="U4203"/>
      <c r="V4203"/>
      <c r="W4203"/>
      <c r="X4203"/>
      <c r="Y4203"/>
      <c r="Z4203"/>
      <c r="AA4203"/>
      <c r="AB4203"/>
      <c r="AC4203"/>
      <c r="AD4203"/>
      <c r="AE4203"/>
      <c r="AF4203"/>
      <c r="AG4203"/>
      <c r="AH4203"/>
      <c r="AI4203"/>
      <c r="AJ4203"/>
      <c r="AK4203"/>
      <c r="AL4203"/>
    </row>
    <row r="4204" spans="1:38" ht="15.75" customHeight="1" outlineLevel="3" x14ac:dyDescent="0.2">
      <c r="A4204" s="10">
        <v>24</v>
      </c>
      <c r="B4204" s="10" t="s">
        <v>71</v>
      </c>
      <c r="C4204" s="10" t="s">
        <v>1536</v>
      </c>
      <c r="D4204" s="10" t="s">
        <v>808</v>
      </c>
      <c r="E4204" s="11" t="str">
        <f t="array" ref="E4204">_xlfn.XLOOKUP(D4204,Insumos!B:B,Insumos!C:$C)</f>
        <v>un</v>
      </c>
      <c r="F4204" s="14">
        <v>1</v>
      </c>
      <c r="G4204" s="92">
        <f t="array" ref="G4204">IF(B4204="insumo",_xlfn.XLOOKUP($D4204,Insumos!$B$1:$B$996,Insumos!$D$1:$D$996),"")</f>
        <v>55</v>
      </c>
      <c r="H4204" s="92">
        <v>55</v>
      </c>
      <c r="I4204" s="13">
        <v>0</v>
      </c>
      <c r="J4204" s="13">
        <v>0</v>
      </c>
      <c r="K4204" s="13"/>
      <c r="L4204"/>
      <c r="M4204"/>
      <c r="N4204"/>
      <c r="O4204"/>
      <c r="P4204"/>
      <c r="Q4204"/>
      <c r="R4204"/>
      <c r="S4204"/>
      <c r="T4204"/>
      <c r="U4204"/>
      <c r="V4204"/>
      <c r="W4204"/>
      <c r="X4204"/>
      <c r="Y4204"/>
      <c r="Z4204"/>
      <c r="AA4204"/>
      <c r="AB4204"/>
      <c r="AC4204"/>
      <c r="AD4204"/>
      <c r="AE4204"/>
      <c r="AF4204"/>
      <c r="AG4204"/>
      <c r="AH4204"/>
      <c r="AI4204"/>
      <c r="AJ4204"/>
      <c r="AK4204"/>
      <c r="AL4204"/>
    </row>
    <row r="4205" spans="1:38" ht="15.75" customHeight="1" outlineLevel="2" x14ac:dyDescent="0.2">
      <c r="A4205" s="1067">
        <v>1</v>
      </c>
      <c r="B4205" s="1067" t="s">
        <v>68</v>
      </c>
      <c r="C4205" s="1067" t="s">
        <v>827</v>
      </c>
      <c r="D4205" s="1067" t="s">
        <v>827</v>
      </c>
      <c r="E4205" s="1068" t="s">
        <v>70</v>
      </c>
      <c r="F4205" s="1067"/>
      <c r="G4205" s="1069" t="str">
        <f t="array" ref="G4205">IF(B4205="insumo",_xlfn.XLOOKUP($D4205,Insumos!$B$1:$B$996,Insumos!$D$1:$D$996),"")</f>
        <v/>
      </c>
      <c r="H4205" s="1069">
        <v>4097.6711111111099</v>
      </c>
      <c r="I4205" s="1070">
        <v>0</v>
      </c>
      <c r="J4205" s="1070">
        <v>0</v>
      </c>
      <c r="K4205" s="1070"/>
      <c r="L4205"/>
      <c r="M4205"/>
      <c r="N4205"/>
      <c r="O4205"/>
      <c r="P4205"/>
      <c r="Q4205"/>
      <c r="R4205"/>
      <c r="S4205"/>
      <c r="T4205"/>
      <c r="U4205"/>
      <c r="V4205"/>
      <c r="W4205"/>
      <c r="X4205"/>
      <c r="Y4205"/>
      <c r="Z4205"/>
      <c r="AA4205"/>
      <c r="AB4205"/>
      <c r="AC4205"/>
      <c r="AD4205"/>
      <c r="AE4205"/>
      <c r="AF4205"/>
      <c r="AG4205"/>
      <c r="AH4205"/>
      <c r="AI4205"/>
      <c r="AJ4205"/>
      <c r="AK4205"/>
      <c r="AL4205"/>
    </row>
    <row r="4206" spans="1:38" ht="15.75" customHeight="1" outlineLevel="3" x14ac:dyDescent="0.2">
      <c r="A4206" s="10">
        <v>1</v>
      </c>
      <c r="B4206" s="10" t="s">
        <v>71</v>
      </c>
      <c r="C4206" s="10" t="s">
        <v>827</v>
      </c>
      <c r="D4206" s="10" t="s">
        <v>828</v>
      </c>
      <c r="E4206" s="11" t="str">
        <f t="array" ref="E4206">_xlfn.XLOOKUP(D4206,Insumos!B:B,Insumos!C:$C)</f>
        <v>un</v>
      </c>
      <c r="F4206" s="14">
        <v>1</v>
      </c>
      <c r="G4206" s="92">
        <f t="array" ref="G4206">IF(B4206="insumo",_xlfn.XLOOKUP($D4206,Insumos!$B$1:$B$996,Insumos!$D$1:$D$996),"")</f>
        <v>4042.6711111111113</v>
      </c>
      <c r="H4206" s="92">
        <v>4042.6711111111099</v>
      </c>
      <c r="I4206" s="13">
        <v>0</v>
      </c>
      <c r="J4206" s="13">
        <v>0</v>
      </c>
      <c r="K4206" s="13"/>
      <c r="L4206"/>
      <c r="M4206"/>
      <c r="N4206"/>
      <c r="O4206"/>
      <c r="P4206"/>
      <c r="Q4206"/>
      <c r="R4206"/>
      <c r="S4206"/>
      <c r="T4206"/>
      <c r="U4206"/>
      <c r="V4206"/>
      <c r="W4206"/>
      <c r="X4206"/>
      <c r="Y4206"/>
      <c r="Z4206"/>
      <c r="AA4206"/>
      <c r="AB4206"/>
      <c r="AC4206"/>
      <c r="AD4206"/>
      <c r="AE4206"/>
      <c r="AF4206"/>
      <c r="AG4206"/>
      <c r="AH4206"/>
      <c r="AI4206"/>
      <c r="AJ4206"/>
      <c r="AK4206"/>
      <c r="AL4206"/>
    </row>
    <row r="4207" spans="1:38" ht="15.75" customHeight="1" outlineLevel="3" x14ac:dyDescent="0.2">
      <c r="A4207" s="10">
        <v>24</v>
      </c>
      <c r="B4207" s="10" t="s">
        <v>71</v>
      </c>
      <c r="C4207" s="10" t="s">
        <v>827</v>
      </c>
      <c r="D4207" s="10" t="s">
        <v>808</v>
      </c>
      <c r="E4207" s="11" t="str">
        <f t="array" ref="E4207">_xlfn.XLOOKUP(D4207,Insumos!B:B,Insumos!C:$C)</f>
        <v>un</v>
      </c>
      <c r="F4207" s="14">
        <v>1</v>
      </c>
      <c r="G4207" s="92">
        <f t="array" ref="G4207">IF(B4207="insumo",_xlfn.XLOOKUP($D4207,Insumos!$B$1:$B$996,Insumos!$D$1:$D$996),"")</f>
        <v>55</v>
      </c>
      <c r="H4207" s="92">
        <v>55</v>
      </c>
      <c r="I4207" s="13">
        <v>0</v>
      </c>
      <c r="J4207" s="13">
        <v>0</v>
      </c>
      <c r="K4207" s="13"/>
      <c r="L4207"/>
      <c r="M4207"/>
      <c r="N4207"/>
      <c r="O4207"/>
      <c r="P4207"/>
      <c r="Q4207"/>
      <c r="R4207"/>
      <c r="S4207"/>
      <c r="T4207"/>
      <c r="U4207"/>
      <c r="V4207"/>
      <c r="W4207"/>
      <c r="X4207"/>
      <c r="Y4207"/>
      <c r="Z4207"/>
      <c r="AA4207"/>
      <c r="AB4207"/>
      <c r="AC4207"/>
      <c r="AD4207"/>
      <c r="AE4207"/>
      <c r="AF4207"/>
      <c r="AG4207"/>
      <c r="AH4207"/>
      <c r="AI4207"/>
      <c r="AJ4207"/>
      <c r="AK4207"/>
      <c r="AL4207"/>
    </row>
    <row r="4208" spans="1:38" ht="12.75" outlineLevel="2" x14ac:dyDescent="0.2">
      <c r="A4208" s="1071">
        <v>1</v>
      </c>
      <c r="B4208" s="1071" t="s">
        <v>68</v>
      </c>
      <c r="C4208" s="1071" t="s">
        <v>1968</v>
      </c>
      <c r="D4208" s="1071" t="s">
        <v>1968</v>
      </c>
      <c r="E4208" s="1072" t="s">
        <v>70</v>
      </c>
      <c r="F4208" s="1071"/>
      <c r="G4208" s="1073" t="str">
        <f t="array" ref="G4208">IF(B4208="insumo",_xlfn.XLOOKUP($D4208,Insumos!$B$1:$B$996,Insumos!$D$1:$D$996),"")</f>
        <v/>
      </c>
      <c r="H4208" s="1073">
        <v>3087.0033333333299</v>
      </c>
      <c r="I4208" s="1074">
        <v>0</v>
      </c>
      <c r="J4208" s="1074">
        <v>0</v>
      </c>
      <c r="K4208" s="1074"/>
      <c r="L4208"/>
      <c r="M4208"/>
      <c r="N4208"/>
      <c r="O4208"/>
      <c r="P4208"/>
      <c r="Q4208"/>
      <c r="R4208"/>
      <c r="S4208"/>
      <c r="T4208"/>
      <c r="U4208"/>
      <c r="V4208"/>
      <c r="W4208"/>
      <c r="X4208"/>
      <c r="Y4208"/>
      <c r="Z4208"/>
      <c r="AA4208"/>
      <c r="AB4208"/>
      <c r="AC4208"/>
      <c r="AD4208"/>
      <c r="AE4208"/>
      <c r="AF4208"/>
      <c r="AG4208"/>
      <c r="AH4208"/>
      <c r="AI4208"/>
      <c r="AJ4208"/>
      <c r="AK4208"/>
      <c r="AL4208"/>
    </row>
    <row r="4209" spans="1:38" ht="12.75" outlineLevel="3" x14ac:dyDescent="0.2">
      <c r="A4209" s="82">
        <v>2</v>
      </c>
      <c r="B4209" s="82" t="s">
        <v>71</v>
      </c>
      <c r="C4209" s="82" t="s">
        <v>1968</v>
      </c>
      <c r="D4209" s="82" t="s">
        <v>826</v>
      </c>
      <c r="E4209" s="11" t="str">
        <f t="array" ref="E4209">_xlfn.XLOOKUP(D4209,Insumos!B:B,Insumos!C:$C)</f>
        <v>un</v>
      </c>
      <c r="F4209" s="86">
        <v>1</v>
      </c>
      <c r="G4209" s="92">
        <f t="array" ref="G4209">IF(B4209="insumo",_xlfn.XLOOKUP($D4209,Insumos!$B$1:$B$996,Insumos!$D$1:$D$996),"")</f>
        <v>3032.0033333333336</v>
      </c>
      <c r="H4209" s="92">
        <v>3032.0033333333299</v>
      </c>
      <c r="I4209" s="84">
        <v>0</v>
      </c>
      <c r="J4209" s="84">
        <v>0</v>
      </c>
      <c r="K4209" s="84"/>
      <c r="L4209"/>
      <c r="M4209"/>
      <c r="N4209"/>
      <c r="O4209"/>
      <c r="P4209"/>
      <c r="Q4209"/>
      <c r="R4209"/>
      <c r="S4209"/>
      <c r="T4209"/>
      <c r="U4209"/>
      <c r="V4209"/>
      <c r="W4209"/>
      <c r="X4209"/>
      <c r="Y4209"/>
      <c r="Z4209"/>
      <c r="AA4209"/>
      <c r="AB4209"/>
      <c r="AC4209"/>
      <c r="AD4209"/>
      <c r="AE4209"/>
      <c r="AF4209"/>
      <c r="AG4209"/>
      <c r="AH4209"/>
      <c r="AI4209"/>
      <c r="AJ4209"/>
      <c r="AK4209"/>
      <c r="AL4209"/>
    </row>
    <row r="4210" spans="1:38" ht="12.75" outlineLevel="3" x14ac:dyDescent="0.2">
      <c r="A4210" s="82">
        <v>24</v>
      </c>
      <c r="B4210" s="82" t="s">
        <v>71</v>
      </c>
      <c r="C4210" s="82" t="s">
        <v>1968</v>
      </c>
      <c r="D4210" s="82" t="s">
        <v>808</v>
      </c>
      <c r="E4210" s="11" t="str">
        <f t="array" ref="E4210">_xlfn.XLOOKUP(D4210,Insumos!B:B,Insumos!C:$C)</f>
        <v>un</v>
      </c>
      <c r="F4210" s="86">
        <v>1</v>
      </c>
      <c r="G4210" s="92">
        <f t="array" ref="G4210">IF(B4210="insumo",_xlfn.XLOOKUP($D4210,Insumos!$B$1:$B$996,Insumos!$D$1:$D$996),"")</f>
        <v>55</v>
      </c>
      <c r="H4210" s="92">
        <v>55</v>
      </c>
      <c r="I4210" s="84">
        <v>0</v>
      </c>
      <c r="J4210" s="84">
        <v>0</v>
      </c>
      <c r="K4210" s="84"/>
      <c r="L4210"/>
      <c r="M4210"/>
      <c r="N4210"/>
      <c r="O4210"/>
      <c r="P4210"/>
      <c r="Q4210"/>
      <c r="R4210"/>
      <c r="S4210"/>
      <c r="T4210"/>
      <c r="U4210"/>
      <c r="V4210"/>
      <c r="W4210"/>
      <c r="X4210"/>
      <c r="Y4210"/>
      <c r="Z4210"/>
      <c r="AA4210"/>
      <c r="AB4210"/>
      <c r="AC4210"/>
      <c r="AD4210"/>
      <c r="AE4210"/>
      <c r="AF4210"/>
      <c r="AG4210"/>
      <c r="AH4210"/>
      <c r="AI4210"/>
      <c r="AJ4210"/>
      <c r="AK4210"/>
      <c r="AL4210"/>
    </row>
    <row r="4211" spans="1:38" ht="15.75" customHeight="1" outlineLevel="2" x14ac:dyDescent="0.2">
      <c r="A4211" s="1067">
        <v>1</v>
      </c>
      <c r="B4211" s="1067" t="s">
        <v>68</v>
      </c>
      <c r="C4211" s="1067" t="s">
        <v>829</v>
      </c>
      <c r="D4211" s="1067" t="s">
        <v>829</v>
      </c>
      <c r="E4211" s="1068" t="s">
        <v>70</v>
      </c>
      <c r="F4211" s="1067"/>
      <c r="G4211" s="1069" t="str">
        <f t="array" ref="G4211">IF(B4211="insumo",_xlfn.XLOOKUP($D4211,Insumos!$B$1:$B$996,Insumos!$D$1:$D$996),"")</f>
        <v/>
      </c>
      <c r="H4211" s="1069">
        <v>2264.52304854369</v>
      </c>
      <c r="I4211" s="1070">
        <v>0</v>
      </c>
      <c r="J4211" s="1070">
        <v>0</v>
      </c>
      <c r="K4211" s="1070"/>
      <c r="L4211"/>
      <c r="M4211"/>
      <c r="N4211"/>
      <c r="O4211"/>
      <c r="P4211"/>
      <c r="Q4211"/>
      <c r="R4211"/>
      <c r="S4211"/>
      <c r="T4211"/>
      <c r="U4211"/>
      <c r="V4211"/>
      <c r="W4211"/>
      <c r="X4211"/>
      <c r="Y4211"/>
      <c r="Z4211"/>
      <c r="AA4211"/>
      <c r="AB4211"/>
      <c r="AC4211"/>
      <c r="AD4211"/>
      <c r="AE4211"/>
      <c r="AF4211"/>
      <c r="AG4211"/>
      <c r="AH4211"/>
      <c r="AI4211"/>
      <c r="AJ4211"/>
      <c r="AK4211"/>
      <c r="AL4211"/>
    </row>
    <row r="4212" spans="1:38" ht="15.75" customHeight="1" outlineLevel="3" x14ac:dyDescent="0.2">
      <c r="A4212" s="10">
        <v>1</v>
      </c>
      <c r="B4212" s="10" t="s">
        <v>71</v>
      </c>
      <c r="C4212" s="10" t="s">
        <v>829</v>
      </c>
      <c r="D4212" s="10" t="s">
        <v>830</v>
      </c>
      <c r="E4212" s="11" t="str">
        <f t="array" ref="E4212">_xlfn.XLOOKUP(D4212,Insumos!B:B,Insumos!C:$C)</f>
        <v>un</v>
      </c>
      <c r="F4212" s="14">
        <v>1</v>
      </c>
      <c r="G4212" s="92">
        <f t="array" ref="G4212">IF(B4212="insumo",_xlfn.XLOOKUP($D4212,Insumos!$B$1:$B$996,Insumos!$D$1:$D$996),"")</f>
        <v>2209.5230485436896</v>
      </c>
      <c r="H4212" s="92">
        <v>2209.52304854369</v>
      </c>
      <c r="I4212" s="13">
        <v>0</v>
      </c>
      <c r="J4212" s="13">
        <v>0</v>
      </c>
      <c r="K4212" s="13"/>
      <c r="L4212"/>
      <c r="M4212"/>
      <c r="N4212"/>
      <c r="O4212"/>
      <c r="P4212"/>
      <c r="Q4212"/>
      <c r="R4212"/>
      <c r="S4212"/>
      <c r="T4212"/>
      <c r="U4212"/>
      <c r="V4212"/>
      <c r="W4212"/>
      <c r="X4212"/>
      <c r="Y4212"/>
      <c r="Z4212"/>
      <c r="AA4212"/>
      <c r="AB4212"/>
      <c r="AC4212"/>
      <c r="AD4212"/>
      <c r="AE4212"/>
      <c r="AF4212"/>
      <c r="AG4212"/>
      <c r="AH4212"/>
      <c r="AI4212"/>
      <c r="AJ4212"/>
      <c r="AK4212"/>
      <c r="AL4212"/>
    </row>
    <row r="4213" spans="1:38" ht="15.75" customHeight="1" outlineLevel="3" x14ac:dyDescent="0.2">
      <c r="A4213" s="10">
        <v>24</v>
      </c>
      <c r="B4213" s="10" t="s">
        <v>71</v>
      </c>
      <c r="C4213" s="10" t="s">
        <v>829</v>
      </c>
      <c r="D4213" s="10" t="s">
        <v>808</v>
      </c>
      <c r="E4213" s="11" t="str">
        <f t="array" ref="E4213">_xlfn.XLOOKUP(D4213,Insumos!B:B,Insumos!C:$C)</f>
        <v>un</v>
      </c>
      <c r="F4213" s="14">
        <v>1</v>
      </c>
      <c r="G4213" s="92">
        <f t="array" ref="G4213">IF(B4213="insumo",_xlfn.XLOOKUP($D4213,Insumos!$B$1:$B$996,Insumos!$D$1:$D$996),"")</f>
        <v>55</v>
      </c>
      <c r="H4213" s="92">
        <v>55</v>
      </c>
      <c r="I4213" s="13">
        <v>0</v>
      </c>
      <c r="J4213" s="13">
        <v>0</v>
      </c>
      <c r="K4213" s="13"/>
      <c r="L4213"/>
      <c r="M4213"/>
      <c r="N4213"/>
      <c r="O4213"/>
      <c r="P4213"/>
      <c r="Q4213"/>
      <c r="R4213"/>
      <c r="S4213"/>
      <c r="T4213"/>
      <c r="U4213"/>
      <c r="V4213"/>
      <c r="W4213"/>
      <c r="X4213"/>
      <c r="Y4213"/>
      <c r="Z4213"/>
      <c r="AA4213"/>
      <c r="AB4213"/>
      <c r="AC4213"/>
      <c r="AD4213"/>
      <c r="AE4213"/>
      <c r="AF4213"/>
      <c r="AG4213"/>
      <c r="AH4213"/>
      <c r="AI4213"/>
      <c r="AJ4213"/>
      <c r="AK4213"/>
      <c r="AL4213"/>
    </row>
    <row r="4214" spans="1:38" ht="15.75" customHeight="1" outlineLevel="2" x14ac:dyDescent="0.2">
      <c r="A4214" s="1067">
        <v>1</v>
      </c>
      <c r="B4214" s="1067" t="s">
        <v>68</v>
      </c>
      <c r="C4214" s="1067" t="s">
        <v>831</v>
      </c>
      <c r="D4214" s="1067" t="s">
        <v>831</v>
      </c>
      <c r="E4214" s="1068" t="s">
        <v>70</v>
      </c>
      <c r="F4214" s="1067"/>
      <c r="G4214" s="1069" t="str">
        <f t="array" ref="G4214">IF(B4214="insumo",_xlfn.XLOOKUP($D4214,Insumos!$B$1:$B$996,Insumos!$D$1:$D$996),"")</f>
        <v/>
      </c>
      <c r="H4214" s="1069">
        <v>2306.36</v>
      </c>
      <c r="I4214" s="1070">
        <v>0</v>
      </c>
      <c r="J4214" s="1070">
        <v>0</v>
      </c>
      <c r="K4214" s="1070"/>
      <c r="L4214"/>
      <c r="M4214"/>
      <c r="N4214"/>
      <c r="O4214"/>
      <c r="P4214"/>
      <c r="Q4214"/>
      <c r="R4214"/>
      <c r="S4214"/>
      <c r="T4214"/>
      <c r="U4214"/>
      <c r="V4214"/>
      <c r="W4214"/>
      <c r="X4214"/>
      <c r="Y4214"/>
      <c r="Z4214"/>
      <c r="AA4214"/>
      <c r="AB4214"/>
      <c r="AC4214"/>
      <c r="AD4214"/>
      <c r="AE4214"/>
      <c r="AF4214"/>
      <c r="AG4214"/>
      <c r="AH4214"/>
      <c r="AI4214"/>
      <c r="AJ4214"/>
      <c r="AK4214"/>
      <c r="AL4214"/>
    </row>
    <row r="4215" spans="1:38" ht="15.75" customHeight="1" outlineLevel="3" x14ac:dyDescent="0.2">
      <c r="A4215" s="10">
        <v>2</v>
      </c>
      <c r="B4215" s="10" t="s">
        <v>71</v>
      </c>
      <c r="C4215" s="10" t="s">
        <v>831</v>
      </c>
      <c r="D4215" s="10" t="s">
        <v>832</v>
      </c>
      <c r="E4215" s="11" t="str">
        <f t="array" ref="E4215">_xlfn.XLOOKUP(D4215,Insumos!B:B,Insumos!C:$C)</f>
        <v>un</v>
      </c>
      <c r="F4215" s="14">
        <v>1</v>
      </c>
      <c r="G4215" s="92">
        <f t="array" ref="G4215">IF(B4215="insumo",_xlfn.XLOOKUP($D4215,Insumos!$B$1:$B$996,Insumos!$D$1:$D$996),"")</f>
        <v>2251.36</v>
      </c>
      <c r="H4215" s="92">
        <v>2251.36</v>
      </c>
      <c r="I4215" s="13">
        <v>0</v>
      </c>
      <c r="J4215" s="13">
        <v>0</v>
      </c>
      <c r="K4215" s="13"/>
      <c r="L4215"/>
      <c r="M4215"/>
      <c r="N4215"/>
      <c r="O4215"/>
      <c r="P4215"/>
      <c r="Q4215"/>
      <c r="R4215"/>
      <c r="S4215"/>
      <c r="T4215"/>
      <c r="U4215"/>
      <c r="V4215"/>
      <c r="W4215"/>
      <c r="X4215"/>
      <c r="Y4215"/>
      <c r="Z4215"/>
      <c r="AA4215"/>
      <c r="AB4215"/>
      <c r="AC4215"/>
      <c r="AD4215"/>
      <c r="AE4215"/>
      <c r="AF4215"/>
      <c r="AG4215"/>
      <c r="AH4215"/>
      <c r="AI4215"/>
      <c r="AJ4215"/>
      <c r="AK4215"/>
      <c r="AL4215"/>
    </row>
    <row r="4216" spans="1:38" ht="15.75" customHeight="1" outlineLevel="3" x14ac:dyDescent="0.2">
      <c r="A4216" s="10">
        <v>24</v>
      </c>
      <c r="B4216" s="10" t="s">
        <v>71</v>
      </c>
      <c r="C4216" s="10" t="s">
        <v>831</v>
      </c>
      <c r="D4216" s="10" t="s">
        <v>808</v>
      </c>
      <c r="E4216" s="11" t="str">
        <f t="array" ref="E4216">_xlfn.XLOOKUP(D4216,Insumos!B:B,Insumos!C:$C)</f>
        <v>un</v>
      </c>
      <c r="F4216" s="14">
        <v>1</v>
      </c>
      <c r="G4216" s="92">
        <f t="array" ref="G4216">IF(B4216="insumo",_xlfn.XLOOKUP($D4216,Insumos!$B$1:$B$996,Insumos!$D$1:$D$996),"")</f>
        <v>55</v>
      </c>
      <c r="H4216" s="92">
        <v>55</v>
      </c>
      <c r="I4216" s="13">
        <v>0</v>
      </c>
      <c r="J4216" s="13">
        <v>0</v>
      </c>
      <c r="K4216" s="13"/>
      <c r="L4216"/>
      <c r="M4216"/>
      <c r="N4216"/>
      <c r="O4216"/>
      <c r="P4216"/>
      <c r="Q4216"/>
      <c r="R4216"/>
      <c r="S4216"/>
      <c r="T4216"/>
      <c r="U4216"/>
      <c r="V4216"/>
      <c r="W4216"/>
      <c r="X4216"/>
      <c r="Y4216"/>
      <c r="Z4216"/>
      <c r="AA4216"/>
      <c r="AB4216"/>
      <c r="AC4216"/>
      <c r="AD4216"/>
      <c r="AE4216"/>
      <c r="AF4216"/>
      <c r="AG4216"/>
      <c r="AH4216"/>
      <c r="AI4216"/>
      <c r="AJ4216"/>
      <c r="AK4216"/>
      <c r="AL4216"/>
    </row>
    <row r="4217" spans="1:38" ht="12.75" outlineLevel="2" x14ac:dyDescent="0.2">
      <c r="A4217" s="1071">
        <v>1</v>
      </c>
      <c r="B4217" s="1071" t="s">
        <v>68</v>
      </c>
      <c r="C4217" s="1071" t="s">
        <v>1969</v>
      </c>
      <c r="D4217" s="1071" t="s">
        <v>1969</v>
      </c>
      <c r="E4217" s="1072" t="s">
        <v>70</v>
      </c>
      <c r="F4217" s="1071"/>
      <c r="G4217" s="1073" t="str">
        <f t="array" ref="G4217">IF(B4217="insumo",_xlfn.XLOOKUP($D4217,Insumos!$B$1:$B$996,Insumos!$D$1:$D$996),"")</f>
        <v/>
      </c>
      <c r="H4217" s="1073">
        <v>1413.5</v>
      </c>
      <c r="I4217" s="1074">
        <v>0</v>
      </c>
      <c r="J4217" s="1074">
        <v>0</v>
      </c>
      <c r="K4217" s="1074"/>
      <c r="L4217"/>
      <c r="M4217"/>
      <c r="N4217"/>
      <c r="O4217"/>
      <c r="P4217"/>
      <c r="Q4217"/>
      <c r="R4217"/>
      <c r="S4217"/>
      <c r="T4217"/>
      <c r="U4217"/>
      <c r="V4217"/>
      <c r="W4217"/>
      <c r="X4217"/>
      <c r="Y4217"/>
      <c r="Z4217"/>
      <c r="AA4217"/>
      <c r="AB4217"/>
      <c r="AC4217"/>
      <c r="AD4217"/>
      <c r="AE4217"/>
      <c r="AF4217"/>
      <c r="AG4217"/>
      <c r="AH4217"/>
      <c r="AI4217"/>
      <c r="AJ4217"/>
      <c r="AK4217"/>
      <c r="AL4217"/>
    </row>
    <row r="4218" spans="1:38" ht="12.75" outlineLevel="3" x14ac:dyDescent="0.2">
      <c r="A4218" s="82">
        <v>1</v>
      </c>
      <c r="B4218" s="82" t="s">
        <v>71</v>
      </c>
      <c r="C4218" s="82" t="s">
        <v>1969</v>
      </c>
      <c r="D4218" s="82" t="s">
        <v>1955</v>
      </c>
      <c r="E4218" s="11" t="str">
        <f t="array" ref="E4218">_xlfn.XLOOKUP(D4218,Insumos!B:B,Insumos!C:$C)</f>
        <v>M2</v>
      </c>
      <c r="F4218" s="86">
        <v>1</v>
      </c>
      <c r="G4218" s="92">
        <f t="array" ref="G4218">IF(B4218="insumo",_xlfn.XLOOKUP($D4218,Insumos!$B$1:$B$996,Insumos!$D$1:$D$996),"")</f>
        <v>1358.5</v>
      </c>
      <c r="H4218" s="92">
        <v>1358.5</v>
      </c>
      <c r="I4218" s="84">
        <v>0</v>
      </c>
      <c r="J4218" s="84">
        <v>0</v>
      </c>
      <c r="K4218" s="84"/>
      <c r="L4218"/>
      <c r="M4218"/>
      <c r="N4218"/>
      <c r="O4218"/>
      <c r="P4218"/>
      <c r="Q4218"/>
      <c r="R4218"/>
      <c r="S4218"/>
      <c r="T4218"/>
      <c r="U4218"/>
      <c r="V4218"/>
      <c r="W4218"/>
      <c r="X4218"/>
      <c r="Y4218"/>
      <c r="Z4218"/>
      <c r="AA4218"/>
      <c r="AB4218"/>
      <c r="AC4218"/>
      <c r="AD4218"/>
      <c r="AE4218"/>
      <c r="AF4218"/>
      <c r="AG4218"/>
      <c r="AH4218"/>
      <c r="AI4218"/>
      <c r="AJ4218"/>
      <c r="AK4218"/>
      <c r="AL4218"/>
    </row>
    <row r="4219" spans="1:38" ht="12.75" outlineLevel="3" x14ac:dyDescent="0.2">
      <c r="A4219" s="82">
        <v>24</v>
      </c>
      <c r="B4219" s="82" t="s">
        <v>71</v>
      </c>
      <c r="C4219" s="82" t="s">
        <v>1969</v>
      </c>
      <c r="D4219" s="82" t="s">
        <v>808</v>
      </c>
      <c r="E4219" s="11" t="str">
        <f t="array" ref="E4219">_xlfn.XLOOKUP(D4219,Insumos!B:B,Insumos!C:$C)</f>
        <v>un</v>
      </c>
      <c r="F4219" s="86">
        <v>1</v>
      </c>
      <c r="G4219" s="92">
        <f t="array" ref="G4219">IF(B4219="insumo",_xlfn.XLOOKUP($D4219,Insumos!$B$1:$B$996,Insumos!$D$1:$D$996),"")</f>
        <v>55</v>
      </c>
      <c r="H4219" s="92">
        <v>55</v>
      </c>
      <c r="I4219" s="84">
        <v>0</v>
      </c>
      <c r="J4219" s="84">
        <v>0</v>
      </c>
      <c r="K4219" s="84"/>
      <c r="L4219"/>
      <c r="M4219"/>
      <c r="N4219"/>
      <c r="O4219"/>
      <c r="P4219"/>
      <c r="Q4219"/>
      <c r="R4219"/>
      <c r="S4219"/>
      <c r="T4219"/>
      <c r="U4219"/>
      <c r="V4219"/>
      <c r="W4219"/>
      <c r="X4219"/>
      <c r="Y4219"/>
      <c r="Z4219"/>
      <c r="AA4219"/>
      <c r="AB4219"/>
      <c r="AC4219"/>
      <c r="AD4219"/>
      <c r="AE4219"/>
      <c r="AF4219"/>
      <c r="AG4219"/>
      <c r="AH4219"/>
      <c r="AI4219"/>
      <c r="AJ4219"/>
      <c r="AK4219"/>
      <c r="AL4219"/>
    </row>
    <row r="4220" spans="1:38" ht="12.75" outlineLevel="2" x14ac:dyDescent="0.2">
      <c r="A4220" s="1071">
        <v>1</v>
      </c>
      <c r="B4220" s="1071" t="s">
        <v>68</v>
      </c>
      <c r="C4220" s="1071" t="s">
        <v>1970</v>
      </c>
      <c r="D4220" s="1071" t="s">
        <v>1970</v>
      </c>
      <c r="E4220" s="1072" t="s">
        <v>70</v>
      </c>
      <c r="F4220" s="1071"/>
      <c r="G4220" s="1073" t="str">
        <f t="array" ref="G4220">IF(B4220="insumo",_xlfn.XLOOKUP($D4220,Insumos!$B$1:$B$996,Insumos!$D$1:$D$996),"")</f>
        <v/>
      </c>
      <c r="H4220" s="1073">
        <v>2306.36</v>
      </c>
      <c r="I4220" s="1074">
        <v>0</v>
      </c>
      <c r="J4220" s="1074">
        <v>0</v>
      </c>
      <c r="K4220" s="1074"/>
      <c r="L4220"/>
      <c r="M4220"/>
      <c r="N4220"/>
      <c r="O4220"/>
      <c r="P4220"/>
      <c r="Q4220"/>
      <c r="R4220"/>
      <c r="S4220"/>
      <c r="T4220"/>
      <c r="U4220"/>
      <c r="V4220"/>
      <c r="W4220"/>
      <c r="X4220"/>
      <c r="Y4220"/>
      <c r="Z4220"/>
      <c r="AA4220"/>
      <c r="AB4220"/>
      <c r="AC4220"/>
      <c r="AD4220"/>
      <c r="AE4220"/>
      <c r="AF4220"/>
      <c r="AG4220"/>
      <c r="AH4220"/>
      <c r="AI4220"/>
      <c r="AJ4220"/>
      <c r="AK4220"/>
      <c r="AL4220"/>
    </row>
    <row r="4221" spans="1:38" ht="12.75" outlineLevel="3" x14ac:dyDescent="0.2">
      <c r="A4221" s="82">
        <v>2</v>
      </c>
      <c r="B4221" s="82" t="s">
        <v>71</v>
      </c>
      <c r="C4221" s="82" t="s">
        <v>1970</v>
      </c>
      <c r="D4221" s="82" t="s">
        <v>832</v>
      </c>
      <c r="E4221" s="11" t="str">
        <f t="array" ref="E4221">_xlfn.XLOOKUP(D4221,Insumos!B:B,Insumos!C:$C)</f>
        <v>un</v>
      </c>
      <c r="F4221" s="86">
        <v>1</v>
      </c>
      <c r="G4221" s="92">
        <f t="array" ref="G4221">IF(B4221="insumo",_xlfn.XLOOKUP($D4221,Insumos!$B$1:$B$996,Insumos!$D$1:$D$996),"")</f>
        <v>2251.36</v>
      </c>
      <c r="H4221" s="92">
        <v>2251.36</v>
      </c>
      <c r="I4221" s="84">
        <v>0</v>
      </c>
      <c r="J4221" s="84">
        <v>0</v>
      </c>
      <c r="K4221" s="84"/>
      <c r="L4221"/>
      <c r="M4221"/>
      <c r="N4221"/>
      <c r="O4221"/>
      <c r="P4221"/>
      <c r="Q4221"/>
      <c r="R4221"/>
      <c r="S4221"/>
      <c r="T4221"/>
      <c r="U4221"/>
      <c r="V4221"/>
      <c r="W4221"/>
      <c r="X4221"/>
      <c r="Y4221"/>
      <c r="Z4221"/>
      <c r="AA4221"/>
      <c r="AB4221"/>
      <c r="AC4221"/>
      <c r="AD4221"/>
      <c r="AE4221"/>
      <c r="AF4221"/>
      <c r="AG4221"/>
      <c r="AH4221"/>
      <c r="AI4221"/>
      <c r="AJ4221"/>
      <c r="AK4221"/>
      <c r="AL4221"/>
    </row>
    <row r="4222" spans="1:38" ht="12.75" outlineLevel="3" x14ac:dyDescent="0.2">
      <c r="A4222" s="82">
        <v>24</v>
      </c>
      <c r="B4222" s="82" t="s">
        <v>71</v>
      </c>
      <c r="C4222" s="82" t="s">
        <v>1970</v>
      </c>
      <c r="D4222" s="82" t="s">
        <v>808</v>
      </c>
      <c r="E4222" s="11" t="str">
        <f t="array" ref="E4222">_xlfn.XLOOKUP(D4222,Insumos!B:B,Insumos!C:$C)</f>
        <v>un</v>
      </c>
      <c r="F4222" s="86">
        <v>1</v>
      </c>
      <c r="G4222" s="92">
        <f t="array" ref="G4222">IF(B4222="insumo",_xlfn.XLOOKUP($D4222,Insumos!$B$1:$B$996,Insumos!$D$1:$D$996),"")</f>
        <v>55</v>
      </c>
      <c r="H4222" s="92">
        <v>55</v>
      </c>
      <c r="I4222" s="84">
        <v>0</v>
      </c>
      <c r="J4222" s="84">
        <v>0</v>
      </c>
      <c r="K4222" s="84"/>
      <c r="L4222"/>
      <c r="M4222"/>
      <c r="N4222"/>
      <c r="O4222"/>
      <c r="P4222"/>
      <c r="Q4222"/>
      <c r="R4222"/>
      <c r="S4222"/>
      <c r="T4222"/>
      <c r="U4222"/>
      <c r="V4222"/>
      <c r="W4222"/>
      <c r="X4222"/>
      <c r="Y4222"/>
      <c r="Z4222"/>
      <c r="AA4222"/>
      <c r="AB4222"/>
      <c r="AC4222"/>
      <c r="AD4222"/>
      <c r="AE4222"/>
      <c r="AF4222"/>
      <c r="AG4222"/>
      <c r="AH4222"/>
      <c r="AI4222"/>
      <c r="AJ4222"/>
      <c r="AK4222"/>
      <c r="AL4222"/>
    </row>
    <row r="4223" spans="1:38" ht="12.75" outlineLevel="2" x14ac:dyDescent="0.2">
      <c r="A4223" s="1071">
        <v>1</v>
      </c>
      <c r="B4223" s="1071" t="s">
        <v>68</v>
      </c>
      <c r="C4223" s="1071" t="s">
        <v>1971</v>
      </c>
      <c r="D4223" s="1071" t="s">
        <v>1971</v>
      </c>
      <c r="E4223" s="1072" t="s">
        <v>70</v>
      </c>
      <c r="F4223" s="1071"/>
      <c r="G4223" s="1073" t="str">
        <f t="array" ref="G4223">IF(B4223="insumo",_xlfn.XLOOKUP($D4223,Insumos!$B$1:$B$996,Insumos!$D$1:$D$996),"")</f>
        <v/>
      </c>
      <c r="H4223" s="1073">
        <v>1549.35</v>
      </c>
      <c r="I4223" s="1074">
        <v>0</v>
      </c>
      <c r="J4223" s="1074">
        <v>0</v>
      </c>
      <c r="K4223" s="1074"/>
      <c r="L4223"/>
      <c r="M4223"/>
      <c r="N4223"/>
      <c r="O4223"/>
      <c r="P4223"/>
      <c r="Q4223"/>
      <c r="R4223"/>
      <c r="S4223"/>
      <c r="T4223"/>
      <c r="U4223"/>
      <c r="V4223"/>
      <c r="W4223"/>
      <c r="X4223"/>
      <c r="Y4223"/>
      <c r="Z4223"/>
      <c r="AA4223"/>
      <c r="AB4223"/>
      <c r="AC4223"/>
      <c r="AD4223"/>
      <c r="AE4223"/>
      <c r="AF4223"/>
      <c r="AG4223"/>
      <c r="AH4223"/>
      <c r="AI4223"/>
      <c r="AJ4223"/>
      <c r="AK4223"/>
      <c r="AL4223"/>
    </row>
    <row r="4224" spans="1:38" ht="12.75" outlineLevel="3" x14ac:dyDescent="0.2">
      <c r="A4224" s="82">
        <v>1</v>
      </c>
      <c r="B4224" s="82" t="s">
        <v>71</v>
      </c>
      <c r="C4224" s="82" t="s">
        <v>1971</v>
      </c>
      <c r="D4224" s="82" t="s">
        <v>1956</v>
      </c>
      <c r="E4224" s="11" t="str">
        <f t="array" ref="E4224">_xlfn.XLOOKUP(D4224,Insumos!B:B,Insumos!C:$C)</f>
        <v>M2</v>
      </c>
      <c r="F4224" s="86">
        <v>1</v>
      </c>
      <c r="G4224" s="92">
        <f t="array" ref="G4224">IF(B4224="insumo",_xlfn.XLOOKUP($D4224,Insumos!$B$1:$B$996,Insumos!$D$1:$D$996),"")</f>
        <v>1494.3500000000001</v>
      </c>
      <c r="H4224" s="92">
        <v>1494.35</v>
      </c>
      <c r="I4224" s="84">
        <v>0</v>
      </c>
      <c r="J4224" s="84">
        <v>0</v>
      </c>
      <c r="K4224" s="84"/>
      <c r="L4224"/>
      <c r="M4224"/>
      <c r="N4224"/>
      <c r="O4224"/>
      <c r="P4224"/>
      <c r="Q4224"/>
      <c r="R4224"/>
      <c r="S4224"/>
      <c r="T4224"/>
      <c r="U4224"/>
      <c r="V4224"/>
      <c r="W4224"/>
      <c r="X4224"/>
      <c r="Y4224"/>
      <c r="Z4224"/>
      <c r="AA4224"/>
      <c r="AB4224"/>
      <c r="AC4224"/>
      <c r="AD4224"/>
      <c r="AE4224"/>
      <c r="AF4224"/>
      <c r="AG4224"/>
      <c r="AH4224"/>
      <c r="AI4224"/>
      <c r="AJ4224"/>
      <c r="AK4224"/>
      <c r="AL4224"/>
    </row>
    <row r="4225" spans="1:38" ht="12.75" outlineLevel="3" x14ac:dyDescent="0.2">
      <c r="A4225" s="82">
        <v>24</v>
      </c>
      <c r="B4225" s="82" t="s">
        <v>71</v>
      </c>
      <c r="C4225" s="82" t="s">
        <v>1971</v>
      </c>
      <c r="D4225" s="82" t="s">
        <v>808</v>
      </c>
      <c r="E4225" s="11" t="str">
        <f t="array" ref="E4225">_xlfn.XLOOKUP(D4225,Insumos!B:B,Insumos!C:$C)</f>
        <v>un</v>
      </c>
      <c r="F4225" s="86">
        <v>1</v>
      </c>
      <c r="G4225" s="92">
        <f t="array" ref="G4225">IF(B4225="insumo",_xlfn.XLOOKUP($D4225,Insumos!$B$1:$B$996,Insumos!$D$1:$D$996),"")</f>
        <v>55</v>
      </c>
      <c r="H4225" s="92">
        <v>55</v>
      </c>
      <c r="I4225" s="84">
        <v>0</v>
      </c>
      <c r="J4225" s="84">
        <v>0</v>
      </c>
      <c r="K4225" s="84"/>
      <c r="L4225"/>
      <c r="M4225"/>
      <c r="N4225"/>
      <c r="O4225"/>
      <c r="P4225"/>
      <c r="Q4225"/>
      <c r="R4225"/>
      <c r="S4225"/>
      <c r="T4225"/>
      <c r="U4225"/>
      <c r="V4225"/>
      <c r="W4225"/>
      <c r="X4225"/>
      <c r="Y4225"/>
      <c r="Z4225"/>
      <c r="AA4225"/>
      <c r="AB4225"/>
      <c r="AC4225"/>
      <c r="AD4225"/>
      <c r="AE4225"/>
      <c r="AF4225"/>
      <c r="AG4225"/>
      <c r="AH4225"/>
      <c r="AI4225"/>
      <c r="AJ4225"/>
      <c r="AK4225"/>
      <c r="AL4225"/>
    </row>
    <row r="4226" spans="1:38" ht="12.75" outlineLevel="2" x14ac:dyDescent="0.2">
      <c r="A4226" s="1071">
        <v>1</v>
      </c>
      <c r="B4226" s="1071" t="s">
        <v>68</v>
      </c>
      <c r="C4226" s="1071" t="s">
        <v>1972</v>
      </c>
      <c r="D4226" s="1071" t="s">
        <v>1972</v>
      </c>
      <c r="E4226" s="1072" t="s">
        <v>70</v>
      </c>
      <c r="F4226" s="1071"/>
      <c r="G4226" s="1073" t="str">
        <f t="array" ref="G4226">IF(B4226="insumo",_xlfn.XLOOKUP($D4226,Insumos!$B$1:$B$996,Insumos!$D$1:$D$996),"")</f>
        <v/>
      </c>
      <c r="H4226" s="1073">
        <v>1549.35</v>
      </c>
      <c r="I4226" s="1074">
        <v>0</v>
      </c>
      <c r="J4226" s="1074">
        <v>0</v>
      </c>
      <c r="K4226" s="1074"/>
      <c r="L4226"/>
      <c r="M4226"/>
      <c r="N4226"/>
      <c r="O4226"/>
      <c r="P4226"/>
      <c r="Q4226"/>
      <c r="R4226"/>
      <c r="S4226"/>
      <c r="T4226"/>
      <c r="U4226"/>
      <c r="V4226"/>
      <c r="W4226"/>
      <c r="X4226"/>
      <c r="Y4226"/>
      <c r="Z4226"/>
      <c r="AA4226"/>
      <c r="AB4226"/>
      <c r="AC4226"/>
      <c r="AD4226"/>
      <c r="AE4226"/>
      <c r="AF4226"/>
      <c r="AG4226"/>
      <c r="AH4226"/>
      <c r="AI4226"/>
      <c r="AJ4226"/>
      <c r="AK4226"/>
      <c r="AL4226"/>
    </row>
    <row r="4227" spans="1:38" ht="12.75" outlineLevel="3" x14ac:dyDescent="0.2">
      <c r="A4227" s="82">
        <v>1</v>
      </c>
      <c r="B4227" s="82" t="s">
        <v>71</v>
      </c>
      <c r="C4227" s="82" t="s">
        <v>1972</v>
      </c>
      <c r="D4227" s="82" t="s">
        <v>1957</v>
      </c>
      <c r="E4227" s="11" t="str">
        <f t="array" ref="E4227">_xlfn.XLOOKUP(D4227,Insumos!B:B,Insumos!C:$C)</f>
        <v>M2</v>
      </c>
      <c r="F4227" s="86">
        <v>1</v>
      </c>
      <c r="G4227" s="92">
        <f t="array" ref="G4227">IF(B4227="insumo",_xlfn.XLOOKUP($D4227,Insumos!$B$1:$B$996,Insumos!$D$1:$D$996),"")</f>
        <v>1494.3500000000001</v>
      </c>
      <c r="H4227" s="92">
        <v>1494.35</v>
      </c>
      <c r="I4227" s="84">
        <v>0</v>
      </c>
      <c r="J4227" s="84">
        <v>0</v>
      </c>
      <c r="K4227" s="84"/>
      <c r="L4227"/>
      <c r="M4227"/>
      <c r="N4227"/>
      <c r="O4227"/>
      <c r="P4227"/>
      <c r="Q4227"/>
      <c r="R4227"/>
      <c r="S4227"/>
      <c r="T4227"/>
      <c r="U4227"/>
      <c r="V4227"/>
      <c r="W4227"/>
      <c r="X4227"/>
      <c r="Y4227"/>
      <c r="Z4227"/>
      <c r="AA4227"/>
      <c r="AB4227"/>
      <c r="AC4227"/>
      <c r="AD4227"/>
      <c r="AE4227"/>
      <c r="AF4227"/>
      <c r="AG4227"/>
      <c r="AH4227"/>
      <c r="AI4227"/>
      <c r="AJ4227"/>
      <c r="AK4227"/>
      <c r="AL4227"/>
    </row>
    <row r="4228" spans="1:38" ht="12.75" outlineLevel="3" x14ac:dyDescent="0.2">
      <c r="A4228" s="82">
        <v>24</v>
      </c>
      <c r="B4228" s="82" t="s">
        <v>71</v>
      </c>
      <c r="C4228" s="82" t="s">
        <v>1972</v>
      </c>
      <c r="D4228" s="82" t="s">
        <v>808</v>
      </c>
      <c r="E4228" s="11" t="str">
        <f t="array" ref="E4228">_xlfn.XLOOKUP(D4228,Insumos!B:B,Insumos!C:$C)</f>
        <v>un</v>
      </c>
      <c r="F4228" s="86">
        <v>1</v>
      </c>
      <c r="G4228" s="92">
        <f t="array" ref="G4228">IF(B4228="insumo",_xlfn.XLOOKUP($D4228,Insumos!$B$1:$B$996,Insumos!$D$1:$D$996),"")</f>
        <v>55</v>
      </c>
      <c r="H4228" s="92">
        <v>55</v>
      </c>
      <c r="I4228" s="84">
        <v>0</v>
      </c>
      <c r="J4228" s="84">
        <v>0</v>
      </c>
      <c r="K4228" s="84"/>
      <c r="L4228"/>
      <c r="M4228"/>
      <c r="N4228"/>
      <c r="O4228"/>
      <c r="P4228"/>
      <c r="Q4228"/>
      <c r="R4228"/>
      <c r="S4228"/>
      <c r="T4228"/>
      <c r="U4228"/>
      <c r="V4228"/>
      <c r="W4228"/>
      <c r="X4228"/>
      <c r="Y4228"/>
      <c r="Z4228"/>
      <c r="AA4228"/>
      <c r="AB4228"/>
      <c r="AC4228"/>
      <c r="AD4228"/>
      <c r="AE4228"/>
      <c r="AF4228"/>
      <c r="AG4228"/>
      <c r="AH4228"/>
      <c r="AI4228"/>
      <c r="AJ4228"/>
      <c r="AK4228"/>
      <c r="AL4228"/>
    </row>
    <row r="4229" spans="1:38" ht="12.75" outlineLevel="2" x14ac:dyDescent="0.2">
      <c r="A4229" s="1071">
        <v>1</v>
      </c>
      <c r="B4229" s="1071" t="s">
        <v>68</v>
      </c>
      <c r="C4229" s="1071" t="s">
        <v>1973</v>
      </c>
      <c r="D4229" s="1071" t="s">
        <v>1973</v>
      </c>
      <c r="E4229" s="1072" t="s">
        <v>70</v>
      </c>
      <c r="F4229" s="1071"/>
      <c r="G4229" s="1073" t="str">
        <f t="array" ref="G4229">IF(B4229="insumo",_xlfn.XLOOKUP($D4229,Insumos!$B$1:$B$996,Insumos!$D$1:$D$996),"")</f>
        <v/>
      </c>
      <c r="H4229" s="1073">
        <v>1888.9749999999999</v>
      </c>
      <c r="I4229" s="1074">
        <v>0</v>
      </c>
      <c r="J4229" s="1074">
        <v>0</v>
      </c>
      <c r="K4229" s="1074"/>
      <c r="L4229"/>
      <c r="M4229"/>
      <c r="N4229"/>
      <c r="O4229"/>
      <c r="P4229"/>
      <c r="Q4229"/>
      <c r="R4229"/>
      <c r="S4229"/>
      <c r="T4229"/>
      <c r="U4229"/>
      <c r="V4229"/>
      <c r="W4229"/>
      <c r="X4229"/>
      <c r="Y4229"/>
      <c r="Z4229"/>
      <c r="AA4229"/>
      <c r="AB4229"/>
      <c r="AC4229"/>
      <c r="AD4229"/>
      <c r="AE4229"/>
      <c r="AF4229"/>
      <c r="AG4229"/>
      <c r="AH4229"/>
      <c r="AI4229"/>
      <c r="AJ4229"/>
      <c r="AK4229"/>
      <c r="AL4229"/>
    </row>
    <row r="4230" spans="1:38" ht="12.75" outlineLevel="3" x14ac:dyDescent="0.2">
      <c r="A4230" s="82">
        <v>1</v>
      </c>
      <c r="B4230" s="82" t="s">
        <v>71</v>
      </c>
      <c r="C4230" s="82" t="s">
        <v>1973</v>
      </c>
      <c r="D4230" s="82" t="s">
        <v>1958</v>
      </c>
      <c r="E4230" s="11" t="str">
        <f t="array" ref="E4230">_xlfn.XLOOKUP(D4230,Insumos!B:B,Insumos!C:$C)</f>
        <v>M2</v>
      </c>
      <c r="F4230" s="86">
        <v>1</v>
      </c>
      <c r="G4230" s="92">
        <f t="array" ref="G4230">IF(B4230="insumo",_xlfn.XLOOKUP($D4230,Insumos!$B$1:$B$996,Insumos!$D$1:$D$996),"")</f>
        <v>1833.9750000000001</v>
      </c>
      <c r="H4230" s="92">
        <v>1833.9749999999999</v>
      </c>
      <c r="I4230" s="84">
        <v>0</v>
      </c>
      <c r="J4230" s="84">
        <v>0</v>
      </c>
      <c r="K4230" s="84"/>
      <c r="L4230"/>
      <c r="M4230"/>
      <c r="N4230"/>
      <c r="O4230"/>
      <c r="P4230"/>
      <c r="Q4230"/>
      <c r="R4230"/>
      <c r="S4230"/>
      <c r="T4230"/>
      <c r="U4230"/>
      <c r="V4230"/>
      <c r="W4230"/>
      <c r="X4230"/>
      <c r="Y4230"/>
      <c r="Z4230"/>
      <c r="AA4230"/>
      <c r="AB4230"/>
      <c r="AC4230"/>
      <c r="AD4230"/>
      <c r="AE4230"/>
      <c r="AF4230"/>
      <c r="AG4230"/>
      <c r="AH4230"/>
      <c r="AI4230"/>
      <c r="AJ4230"/>
      <c r="AK4230"/>
      <c r="AL4230"/>
    </row>
    <row r="4231" spans="1:38" ht="12.75" outlineLevel="3" x14ac:dyDescent="0.2">
      <c r="A4231" s="82">
        <v>24</v>
      </c>
      <c r="B4231" s="82" t="s">
        <v>71</v>
      </c>
      <c r="C4231" s="82" t="s">
        <v>1973</v>
      </c>
      <c r="D4231" s="82" t="s">
        <v>808</v>
      </c>
      <c r="E4231" s="11" t="str">
        <f t="array" ref="E4231">_xlfn.XLOOKUP(D4231,Insumos!B:B,Insumos!C:$C)</f>
        <v>un</v>
      </c>
      <c r="F4231" s="86">
        <v>1</v>
      </c>
      <c r="G4231" s="92">
        <f t="array" ref="G4231">IF(B4231="insumo",_xlfn.XLOOKUP($D4231,Insumos!$B$1:$B$996,Insumos!$D$1:$D$996),"")</f>
        <v>55</v>
      </c>
      <c r="H4231" s="92">
        <v>55</v>
      </c>
      <c r="I4231" s="84">
        <v>0</v>
      </c>
      <c r="J4231" s="84">
        <v>0</v>
      </c>
      <c r="K4231" s="84"/>
      <c r="L4231"/>
      <c r="M4231"/>
      <c r="N4231"/>
      <c r="O4231"/>
      <c r="P4231"/>
      <c r="Q4231"/>
      <c r="R4231"/>
      <c r="S4231"/>
      <c r="T4231"/>
      <c r="U4231"/>
      <c r="V4231"/>
      <c r="W4231"/>
      <c r="X4231"/>
      <c r="Y4231"/>
      <c r="Z4231"/>
      <c r="AA4231"/>
      <c r="AB4231"/>
      <c r="AC4231"/>
      <c r="AD4231"/>
      <c r="AE4231"/>
      <c r="AF4231"/>
      <c r="AG4231"/>
      <c r="AH4231"/>
      <c r="AI4231"/>
      <c r="AJ4231"/>
      <c r="AK4231"/>
      <c r="AL4231"/>
    </row>
    <row r="4232" spans="1:38" ht="12.75" outlineLevel="2" x14ac:dyDescent="0.2">
      <c r="A4232" s="1071">
        <v>1</v>
      </c>
      <c r="B4232" s="1071" t="s">
        <v>68</v>
      </c>
      <c r="C4232" s="1071" t="s">
        <v>1974</v>
      </c>
      <c r="D4232" s="1071" t="s">
        <v>1974</v>
      </c>
      <c r="E4232" s="1072" t="s">
        <v>70</v>
      </c>
      <c r="F4232" s="1071"/>
      <c r="G4232" s="1073" t="str">
        <f t="array" ref="G4232">IF(B4232="insumo",_xlfn.XLOOKUP($D4232,Insumos!$B$1:$B$996,Insumos!$D$1:$D$996),"")</f>
        <v/>
      </c>
      <c r="H4232" s="1073">
        <v>2092.75</v>
      </c>
      <c r="I4232" s="1074">
        <v>0</v>
      </c>
      <c r="J4232" s="1074">
        <v>0</v>
      </c>
      <c r="K4232" s="1074"/>
      <c r="L4232"/>
      <c r="M4232"/>
      <c r="N4232"/>
      <c r="O4232"/>
      <c r="P4232"/>
      <c r="Q4232"/>
      <c r="R4232"/>
      <c r="S4232"/>
      <c r="T4232"/>
      <c r="U4232"/>
      <c r="V4232"/>
      <c r="W4232"/>
      <c r="X4232"/>
      <c r="Y4232"/>
      <c r="Z4232"/>
      <c r="AA4232"/>
      <c r="AB4232"/>
      <c r="AC4232"/>
      <c r="AD4232"/>
      <c r="AE4232"/>
      <c r="AF4232"/>
      <c r="AG4232"/>
      <c r="AH4232"/>
      <c r="AI4232"/>
      <c r="AJ4232"/>
      <c r="AK4232"/>
      <c r="AL4232"/>
    </row>
    <row r="4233" spans="1:38" ht="12.75" outlineLevel="3" x14ac:dyDescent="0.2">
      <c r="A4233" s="82">
        <v>1</v>
      </c>
      <c r="B4233" s="82" t="s">
        <v>71</v>
      </c>
      <c r="C4233" s="82" t="s">
        <v>1974</v>
      </c>
      <c r="D4233" s="82" t="s">
        <v>1959</v>
      </c>
      <c r="E4233" s="11" t="str">
        <f t="array" ref="E4233">_xlfn.XLOOKUP(D4233,Insumos!B:B,Insumos!C:$C)</f>
        <v>M2</v>
      </c>
      <c r="F4233" s="86">
        <v>1</v>
      </c>
      <c r="G4233" s="92">
        <f t="array" ref="G4233">IF(B4233="insumo",_xlfn.XLOOKUP($D4233,Insumos!$B$1:$B$996,Insumos!$D$1:$D$996),"")</f>
        <v>2037.75</v>
      </c>
      <c r="H4233" s="92">
        <v>2037.75</v>
      </c>
      <c r="I4233" s="84">
        <v>0</v>
      </c>
      <c r="J4233" s="84">
        <v>0</v>
      </c>
      <c r="K4233" s="84"/>
      <c r="L4233"/>
      <c r="M4233"/>
      <c r="N4233"/>
      <c r="O4233"/>
      <c r="P4233"/>
      <c r="Q4233"/>
      <c r="R4233"/>
      <c r="S4233"/>
      <c r="T4233"/>
      <c r="U4233"/>
      <c r="V4233"/>
      <c r="W4233"/>
      <c r="X4233"/>
      <c r="Y4233"/>
      <c r="Z4233"/>
      <c r="AA4233"/>
      <c r="AB4233"/>
      <c r="AC4233"/>
      <c r="AD4233"/>
      <c r="AE4233"/>
      <c r="AF4233"/>
      <c r="AG4233"/>
      <c r="AH4233"/>
      <c r="AI4233"/>
      <c r="AJ4233"/>
      <c r="AK4233"/>
      <c r="AL4233"/>
    </row>
    <row r="4234" spans="1:38" ht="12.75" outlineLevel="3" x14ac:dyDescent="0.2">
      <c r="A4234" s="82">
        <v>24</v>
      </c>
      <c r="B4234" s="82" t="s">
        <v>71</v>
      </c>
      <c r="C4234" s="82" t="s">
        <v>1974</v>
      </c>
      <c r="D4234" s="82" t="s">
        <v>808</v>
      </c>
      <c r="E4234" s="11" t="str">
        <f t="array" ref="E4234">_xlfn.XLOOKUP(D4234,Insumos!B:B,Insumos!C:$C)</f>
        <v>un</v>
      </c>
      <c r="F4234" s="86">
        <v>1</v>
      </c>
      <c r="G4234" s="92">
        <f t="array" ref="G4234">IF(B4234="insumo",_xlfn.XLOOKUP($D4234,Insumos!$B$1:$B$996,Insumos!$D$1:$D$996),"")</f>
        <v>55</v>
      </c>
      <c r="H4234" s="92">
        <v>55</v>
      </c>
      <c r="I4234" s="84">
        <v>0</v>
      </c>
      <c r="J4234" s="84">
        <v>0</v>
      </c>
      <c r="K4234" s="84"/>
      <c r="L4234"/>
      <c r="M4234"/>
      <c r="N4234"/>
      <c r="O4234"/>
      <c r="P4234"/>
      <c r="Q4234"/>
      <c r="R4234"/>
      <c r="S4234"/>
      <c r="T4234"/>
      <c r="U4234"/>
      <c r="V4234"/>
      <c r="W4234"/>
      <c r="X4234"/>
      <c r="Y4234"/>
      <c r="Z4234"/>
      <c r="AA4234"/>
      <c r="AB4234"/>
      <c r="AC4234"/>
      <c r="AD4234"/>
      <c r="AE4234"/>
      <c r="AF4234"/>
      <c r="AG4234"/>
      <c r="AH4234"/>
      <c r="AI4234"/>
      <c r="AJ4234"/>
      <c r="AK4234"/>
      <c r="AL4234"/>
    </row>
    <row r="4235" spans="1:38" ht="15.75" customHeight="1" outlineLevel="1" x14ac:dyDescent="0.2">
      <c r="A4235" s="1090">
        <v>1</v>
      </c>
      <c r="B4235" s="1090" t="s">
        <v>1228</v>
      </c>
      <c r="C4235" s="1090" t="s">
        <v>1974</v>
      </c>
      <c r="D4235" s="1090" t="s">
        <v>1529</v>
      </c>
      <c r="E4235" s="1091"/>
      <c r="F4235" s="1092"/>
      <c r="G4235" s="1091"/>
      <c r="H4235" s="1091">
        <v>0</v>
      </c>
      <c r="I4235" s="1092">
        <v>0</v>
      </c>
      <c r="J4235" s="1092">
        <v>0</v>
      </c>
      <c r="K4235" s="1092"/>
      <c r="L4235"/>
      <c r="M4235"/>
      <c r="N4235"/>
      <c r="O4235"/>
      <c r="P4235"/>
      <c r="Q4235"/>
      <c r="R4235"/>
      <c r="S4235"/>
      <c r="T4235"/>
      <c r="U4235"/>
      <c r="V4235"/>
      <c r="W4235"/>
      <c r="X4235"/>
      <c r="Y4235"/>
      <c r="Z4235"/>
      <c r="AA4235"/>
      <c r="AB4235"/>
      <c r="AC4235"/>
      <c r="AD4235"/>
      <c r="AE4235"/>
      <c r="AF4235"/>
      <c r="AG4235"/>
      <c r="AH4235"/>
      <c r="AI4235"/>
      <c r="AJ4235"/>
      <c r="AK4235"/>
      <c r="AL4235"/>
    </row>
    <row r="4236" spans="1:38" ht="15.75" customHeight="1" outlineLevel="2" x14ac:dyDescent="0.2">
      <c r="A4236" s="1067">
        <v>1</v>
      </c>
      <c r="B4236" s="1067" t="s">
        <v>68</v>
      </c>
      <c r="C4236" s="1067" t="s">
        <v>833</v>
      </c>
      <c r="D4236" s="1067" t="s">
        <v>833</v>
      </c>
      <c r="E4236" s="1068" t="s">
        <v>70</v>
      </c>
      <c r="F4236" s="1067"/>
      <c r="G4236" s="1069" t="str">
        <f t="array" ref="G4236">IF(B4236="insumo",_xlfn.XLOOKUP($D4236,Insumos!$B$1:$B$996,Insumos!$D$1:$D$996),"")</f>
        <v/>
      </c>
      <c r="H4236" s="1069">
        <v>1291.6400000000001</v>
      </c>
      <c r="I4236" s="1070">
        <v>41</v>
      </c>
      <c r="J4236" s="1070">
        <v>52957.24</v>
      </c>
      <c r="K4236" s="1070"/>
      <c r="L4236"/>
      <c r="M4236"/>
      <c r="N4236"/>
      <c r="O4236"/>
      <c r="P4236"/>
      <c r="Q4236"/>
      <c r="R4236"/>
      <c r="S4236"/>
      <c r="T4236"/>
      <c r="U4236"/>
      <c r="V4236"/>
      <c r="W4236"/>
      <c r="X4236"/>
      <c r="Y4236"/>
      <c r="Z4236"/>
      <c r="AA4236"/>
      <c r="AB4236"/>
      <c r="AC4236"/>
      <c r="AD4236"/>
      <c r="AE4236"/>
      <c r="AF4236"/>
      <c r="AG4236"/>
      <c r="AH4236"/>
      <c r="AI4236"/>
      <c r="AJ4236"/>
      <c r="AK4236"/>
      <c r="AL4236"/>
    </row>
    <row r="4237" spans="1:38" ht="15.75" customHeight="1" outlineLevel="3" x14ac:dyDescent="0.2">
      <c r="A4237" s="10">
        <v>1</v>
      </c>
      <c r="B4237" s="10" t="s">
        <v>71</v>
      </c>
      <c r="C4237" s="10" t="s">
        <v>833</v>
      </c>
      <c r="D4237" s="10" t="s">
        <v>834</v>
      </c>
      <c r="E4237" s="11" t="str">
        <f t="array" ref="E4237">_xlfn.XLOOKUP(D4237,Insumos!B:B,Insumos!C:$C)</f>
        <v>un</v>
      </c>
      <c r="F4237" s="14">
        <v>1</v>
      </c>
      <c r="G4237" s="92">
        <f t="array" ref="G4237">IF(B4237="insumo",_xlfn.XLOOKUP($D4237,Insumos!$B$1:$B$996,Insumos!$D$1:$D$996),"")</f>
        <v>1291.6400000000001</v>
      </c>
      <c r="H4237" s="92">
        <v>1291.6400000000001</v>
      </c>
      <c r="I4237" s="13">
        <v>41</v>
      </c>
      <c r="J4237" s="13">
        <v>52957.24</v>
      </c>
      <c r="K4237" s="13"/>
      <c r="L4237"/>
      <c r="M4237"/>
      <c r="N4237"/>
      <c r="O4237"/>
      <c r="P4237"/>
      <c r="Q4237"/>
      <c r="R4237"/>
      <c r="S4237"/>
      <c r="T4237"/>
      <c r="U4237"/>
      <c r="V4237"/>
      <c r="W4237"/>
      <c r="X4237"/>
      <c r="Y4237"/>
      <c r="Z4237"/>
      <c r="AA4237"/>
      <c r="AB4237"/>
      <c r="AC4237"/>
      <c r="AD4237"/>
      <c r="AE4237"/>
      <c r="AF4237"/>
      <c r="AG4237"/>
      <c r="AH4237"/>
      <c r="AI4237"/>
      <c r="AJ4237"/>
      <c r="AK4237"/>
      <c r="AL4237"/>
    </row>
    <row r="4238" spans="1:38" ht="15.75" customHeight="1" outlineLevel="2" x14ac:dyDescent="0.2">
      <c r="A4238" s="1067">
        <v>1</v>
      </c>
      <c r="B4238" s="1067" t="s">
        <v>68</v>
      </c>
      <c r="C4238" s="1067" t="s">
        <v>835</v>
      </c>
      <c r="D4238" s="1067" t="s">
        <v>835</v>
      </c>
      <c r="E4238" s="1068" t="s">
        <v>70</v>
      </c>
      <c r="F4238" s="1067"/>
      <c r="G4238" s="1069" t="str">
        <f t="array" ref="G4238">IF(B4238="insumo",_xlfn.XLOOKUP($D4238,Insumos!$B$1:$B$996,Insumos!$D$1:$D$996),"")</f>
        <v/>
      </c>
      <c r="H4238" s="1069">
        <v>232.46</v>
      </c>
      <c r="I4238" s="1070">
        <v>0</v>
      </c>
      <c r="J4238" s="1070">
        <v>0</v>
      </c>
      <c r="K4238" s="1070"/>
      <c r="L4238"/>
      <c r="M4238"/>
      <c r="N4238"/>
      <c r="O4238"/>
      <c r="P4238"/>
      <c r="Q4238"/>
      <c r="R4238"/>
      <c r="S4238"/>
      <c r="T4238"/>
      <c r="U4238"/>
      <c r="V4238"/>
      <c r="W4238"/>
      <c r="X4238"/>
      <c r="Y4238"/>
      <c r="Z4238"/>
      <c r="AA4238"/>
      <c r="AB4238"/>
      <c r="AC4238"/>
      <c r="AD4238"/>
      <c r="AE4238"/>
      <c r="AF4238"/>
      <c r="AG4238"/>
      <c r="AH4238"/>
      <c r="AI4238"/>
      <c r="AJ4238"/>
      <c r="AK4238"/>
      <c r="AL4238"/>
    </row>
    <row r="4239" spans="1:38" ht="15.75" customHeight="1" outlineLevel="3" x14ac:dyDescent="0.2">
      <c r="A4239" s="10">
        <v>1</v>
      </c>
      <c r="B4239" s="10" t="s">
        <v>71</v>
      </c>
      <c r="C4239" s="10" t="s">
        <v>835</v>
      </c>
      <c r="D4239" s="10" t="s">
        <v>836</v>
      </c>
      <c r="E4239" s="11" t="str">
        <f t="array" ref="E4239">_xlfn.XLOOKUP(D4239,Insumos!B:B,Insumos!C:$C)</f>
        <v>un</v>
      </c>
      <c r="F4239" s="14">
        <v>1</v>
      </c>
      <c r="G4239" s="92">
        <f t="array" ref="G4239">IF(B4239="insumo",_xlfn.XLOOKUP($D4239,Insumos!$B$1:$B$996,Insumos!$D$1:$D$996),"")</f>
        <v>232.46</v>
      </c>
      <c r="H4239" s="92">
        <v>232.46</v>
      </c>
      <c r="I4239" s="13">
        <v>0</v>
      </c>
      <c r="J4239" s="13">
        <v>0</v>
      </c>
      <c r="K4239" s="13"/>
      <c r="L4239"/>
      <c r="M4239"/>
      <c r="N4239"/>
      <c r="O4239"/>
      <c r="P4239"/>
      <c r="Q4239"/>
      <c r="R4239"/>
      <c r="S4239"/>
      <c r="T4239"/>
      <c r="U4239"/>
      <c r="V4239"/>
      <c r="W4239"/>
      <c r="X4239"/>
      <c r="Y4239"/>
      <c r="Z4239"/>
      <c r="AA4239"/>
      <c r="AB4239"/>
      <c r="AC4239"/>
      <c r="AD4239"/>
      <c r="AE4239"/>
      <c r="AF4239"/>
      <c r="AG4239"/>
      <c r="AH4239"/>
      <c r="AI4239"/>
      <c r="AJ4239"/>
      <c r="AK4239"/>
      <c r="AL4239"/>
    </row>
    <row r="4240" spans="1:38" ht="15.75" customHeight="1" outlineLevel="2" x14ac:dyDescent="0.2">
      <c r="A4240" s="1067">
        <v>1</v>
      </c>
      <c r="B4240" s="1067" t="s">
        <v>68</v>
      </c>
      <c r="C4240" s="1067" t="s">
        <v>1596</v>
      </c>
      <c r="D4240" s="1067" t="s">
        <v>1596</v>
      </c>
      <c r="E4240" s="1068" t="s">
        <v>70</v>
      </c>
      <c r="F4240" s="1067"/>
      <c r="G4240" s="1069" t="str">
        <f t="array" ref="G4240">IF(B4240="insumo",_xlfn.XLOOKUP($D4240,Insumos!$B$1:$B$996,Insumos!$D$1:$D$996),"")</f>
        <v/>
      </c>
      <c r="H4240" s="1069">
        <v>912.26415533980605</v>
      </c>
      <c r="I4240" s="1070">
        <v>0</v>
      </c>
      <c r="J4240" s="1070">
        <v>0</v>
      </c>
      <c r="K4240" s="1070"/>
      <c r="L4240"/>
      <c r="M4240"/>
      <c r="N4240"/>
      <c r="O4240"/>
      <c r="P4240"/>
      <c r="Q4240"/>
      <c r="R4240"/>
      <c r="S4240"/>
      <c r="T4240"/>
      <c r="U4240"/>
      <c r="V4240"/>
      <c r="W4240"/>
      <c r="X4240"/>
      <c r="Y4240"/>
      <c r="Z4240"/>
      <c r="AA4240"/>
      <c r="AB4240"/>
      <c r="AC4240"/>
      <c r="AD4240"/>
      <c r="AE4240"/>
      <c r="AF4240"/>
      <c r="AG4240"/>
      <c r="AH4240"/>
      <c r="AI4240"/>
      <c r="AJ4240"/>
      <c r="AK4240"/>
      <c r="AL4240"/>
    </row>
    <row r="4241" spans="1:38" ht="15.75" customHeight="1" outlineLevel="3" x14ac:dyDescent="0.2">
      <c r="A4241" s="10">
        <v>1</v>
      </c>
      <c r="B4241" s="10" t="s">
        <v>71</v>
      </c>
      <c r="C4241" s="10" t="s">
        <v>1596</v>
      </c>
      <c r="D4241" s="10" t="s">
        <v>1596</v>
      </c>
      <c r="E4241" s="11" t="str">
        <f t="array" ref="E4241">_xlfn.XLOOKUP(D4241,Insumos!B:B,Insumos!C:$C)</f>
        <v>un</v>
      </c>
      <c r="F4241" s="14">
        <v>1</v>
      </c>
      <c r="G4241" s="92">
        <f t="array" ref="G4241">IF(B4241="insumo",_xlfn.XLOOKUP($D4241,Insumos!$B$1:$B$996,Insumos!$D$1:$D$996),"")</f>
        <v>912.26415533980582</v>
      </c>
      <c r="H4241" s="92">
        <v>912.26415533980605</v>
      </c>
      <c r="I4241" s="13">
        <v>0</v>
      </c>
      <c r="J4241" s="13">
        <v>0</v>
      </c>
      <c r="K4241" s="13"/>
      <c r="L4241"/>
      <c r="M4241"/>
      <c r="N4241"/>
      <c r="O4241"/>
      <c r="P4241"/>
      <c r="Q4241"/>
      <c r="R4241"/>
      <c r="S4241"/>
      <c r="T4241"/>
      <c r="U4241"/>
      <c r="V4241"/>
      <c r="W4241"/>
      <c r="X4241"/>
      <c r="Y4241"/>
      <c r="Z4241"/>
      <c r="AA4241"/>
      <c r="AB4241"/>
      <c r="AC4241"/>
      <c r="AD4241"/>
      <c r="AE4241"/>
      <c r="AF4241"/>
      <c r="AG4241"/>
      <c r="AH4241"/>
      <c r="AI4241"/>
      <c r="AJ4241"/>
      <c r="AK4241"/>
      <c r="AL4241"/>
    </row>
    <row r="4242" spans="1:38" ht="15.75" customHeight="1" outlineLevel="1" x14ac:dyDescent="0.2">
      <c r="A4242" s="1090">
        <v>1</v>
      </c>
      <c r="B4242" s="1090" t="s">
        <v>1228</v>
      </c>
      <c r="C4242" s="1090" t="s">
        <v>1596</v>
      </c>
      <c r="D4242" s="1090" t="s">
        <v>1530</v>
      </c>
      <c r="E4242" s="1091"/>
      <c r="F4242" s="1092"/>
      <c r="G4242" s="1091"/>
      <c r="H4242" s="1091">
        <v>0</v>
      </c>
      <c r="I4242" s="1092">
        <v>0</v>
      </c>
      <c r="J4242" s="1092">
        <v>0</v>
      </c>
      <c r="K4242" s="1092"/>
      <c r="L4242"/>
      <c r="M4242"/>
      <c r="N4242"/>
      <c r="O4242"/>
      <c r="P4242"/>
      <c r="Q4242"/>
      <c r="R4242"/>
      <c r="S4242"/>
      <c r="T4242"/>
      <c r="U4242"/>
      <c r="V4242"/>
      <c r="W4242"/>
      <c r="X4242"/>
      <c r="Y4242"/>
      <c r="Z4242"/>
      <c r="AA4242"/>
      <c r="AB4242"/>
      <c r="AC4242"/>
      <c r="AD4242"/>
      <c r="AE4242"/>
      <c r="AF4242"/>
      <c r="AG4242"/>
      <c r="AH4242"/>
      <c r="AI4242"/>
      <c r="AJ4242"/>
      <c r="AK4242"/>
      <c r="AL4242"/>
    </row>
    <row r="4243" spans="1:38" ht="15.75" customHeight="1" outlineLevel="2" x14ac:dyDescent="0.2">
      <c r="A4243" s="1067">
        <v>1</v>
      </c>
      <c r="B4243" s="1067" t="s">
        <v>68</v>
      </c>
      <c r="C4243" s="1067" t="s">
        <v>837</v>
      </c>
      <c r="D4243" s="1067" t="s">
        <v>837</v>
      </c>
      <c r="E4243" s="1068" t="s">
        <v>70</v>
      </c>
      <c r="F4243" s="1067"/>
      <c r="G4243" s="1069" t="str">
        <f t="array" ref="G4243">IF(B4243="insumo",_xlfn.XLOOKUP($D4243,Insumos!$B$1:$B$996,Insumos!$D$1:$D$996),"")</f>
        <v/>
      </c>
      <c r="H4243" s="1069">
        <v>1100</v>
      </c>
      <c r="I4243" s="1070">
        <v>67</v>
      </c>
      <c r="J4243" s="1070">
        <v>73700</v>
      </c>
      <c r="K4243" s="1070"/>
      <c r="L4243"/>
      <c r="M4243"/>
      <c r="N4243"/>
      <c r="O4243"/>
      <c r="P4243"/>
      <c r="Q4243"/>
      <c r="R4243"/>
      <c r="S4243"/>
      <c r="T4243"/>
      <c r="U4243"/>
      <c r="V4243"/>
      <c r="W4243"/>
      <c r="X4243"/>
      <c r="Y4243"/>
      <c r="Z4243"/>
      <c r="AA4243"/>
      <c r="AB4243"/>
      <c r="AC4243"/>
      <c r="AD4243"/>
      <c r="AE4243"/>
      <c r="AF4243"/>
      <c r="AG4243"/>
      <c r="AH4243"/>
      <c r="AI4243"/>
      <c r="AJ4243"/>
      <c r="AK4243"/>
      <c r="AL4243"/>
    </row>
    <row r="4244" spans="1:38" ht="15.75" customHeight="1" outlineLevel="3" x14ac:dyDescent="0.2">
      <c r="A4244" s="10">
        <v>1</v>
      </c>
      <c r="B4244" s="10" t="s">
        <v>71</v>
      </c>
      <c r="C4244" s="10" t="s">
        <v>837</v>
      </c>
      <c r="D4244" s="10" t="s">
        <v>837</v>
      </c>
      <c r="E4244" s="11" t="str">
        <f t="array" ref="E4244">_xlfn.XLOOKUP(D4244,Insumos!B:B,Insumos!C:$C)</f>
        <v>un</v>
      </c>
      <c r="F4244" s="14">
        <v>1</v>
      </c>
      <c r="G4244" s="92">
        <f t="array" ref="G4244">IF(B4244="insumo",_xlfn.XLOOKUP($D4244,Insumos!$B$1:$B$996,Insumos!$D$1:$D$996),"")</f>
        <v>1100</v>
      </c>
      <c r="H4244" s="92">
        <v>1100</v>
      </c>
      <c r="I4244" s="13">
        <v>67</v>
      </c>
      <c r="J4244" s="13">
        <v>73700</v>
      </c>
      <c r="K4244" s="13"/>
      <c r="L4244"/>
      <c r="M4244"/>
      <c r="N4244"/>
      <c r="O4244"/>
      <c r="P4244"/>
      <c r="Q4244"/>
      <c r="R4244"/>
      <c r="S4244"/>
      <c r="T4244"/>
      <c r="U4244"/>
      <c r="V4244"/>
      <c r="W4244"/>
      <c r="X4244"/>
      <c r="Y4244"/>
      <c r="Z4244"/>
      <c r="AA4244"/>
      <c r="AB4244"/>
      <c r="AC4244"/>
      <c r="AD4244"/>
      <c r="AE4244"/>
      <c r="AF4244"/>
      <c r="AG4244"/>
      <c r="AH4244"/>
      <c r="AI4244"/>
      <c r="AJ4244"/>
      <c r="AK4244"/>
      <c r="AL4244"/>
    </row>
    <row r="4245" spans="1:38" ht="12.75" outlineLevel="2" x14ac:dyDescent="0.2">
      <c r="A4245" s="1071">
        <v>1</v>
      </c>
      <c r="B4245" s="1071" t="s">
        <v>68</v>
      </c>
      <c r="C4245" s="1071" t="s">
        <v>1960</v>
      </c>
      <c r="D4245" s="1071" t="s">
        <v>1960</v>
      </c>
      <c r="E4245" s="1072" t="s">
        <v>70</v>
      </c>
      <c r="F4245" s="1071"/>
      <c r="G4245" s="1073" t="str">
        <f t="array" ref="G4245">IF(B4245="insumo",_xlfn.XLOOKUP($D4245,Insumos!$B$1:$B$996,Insumos!$D$1:$D$996),"")</f>
        <v/>
      </c>
      <c r="H4245" s="1073">
        <v>1237.5</v>
      </c>
      <c r="I4245" s="1074">
        <v>25</v>
      </c>
      <c r="J4245" s="1074">
        <v>30937.5</v>
      </c>
      <c r="K4245" s="1074"/>
      <c r="L4245"/>
      <c r="M4245"/>
      <c r="N4245"/>
      <c r="O4245"/>
      <c r="P4245"/>
      <c r="Q4245"/>
      <c r="R4245"/>
      <c r="S4245"/>
      <c r="T4245"/>
      <c r="U4245"/>
      <c r="V4245"/>
      <c r="W4245"/>
      <c r="X4245"/>
      <c r="Y4245"/>
      <c r="Z4245"/>
      <c r="AA4245"/>
      <c r="AB4245"/>
      <c r="AC4245"/>
      <c r="AD4245"/>
      <c r="AE4245"/>
      <c r="AF4245"/>
      <c r="AG4245"/>
      <c r="AH4245"/>
      <c r="AI4245"/>
      <c r="AJ4245"/>
      <c r="AK4245"/>
      <c r="AL4245"/>
    </row>
    <row r="4246" spans="1:38" ht="12.75" outlineLevel="3" x14ac:dyDescent="0.2">
      <c r="A4246" s="82">
        <v>1</v>
      </c>
      <c r="B4246" s="82" t="s">
        <v>71</v>
      </c>
      <c r="C4246" s="82" t="s">
        <v>1960</v>
      </c>
      <c r="D4246" s="82" t="s">
        <v>1960</v>
      </c>
      <c r="E4246" s="11" t="str">
        <f t="array" ref="E4246">_xlfn.XLOOKUP(D4246,Insumos!B:B,Insumos!C:$C)</f>
        <v>un</v>
      </c>
      <c r="F4246" s="86">
        <v>1</v>
      </c>
      <c r="G4246" s="92">
        <f t="array" ref="G4246">IF(B4246="insumo",_xlfn.XLOOKUP($D4246,Insumos!$B$1:$B$996,Insumos!$D$1:$D$996),"")</f>
        <v>1237.5</v>
      </c>
      <c r="H4246" s="92">
        <v>1237.5</v>
      </c>
      <c r="I4246" s="84">
        <v>25</v>
      </c>
      <c r="J4246" s="84">
        <v>30937.5</v>
      </c>
      <c r="K4246" s="84"/>
      <c r="L4246"/>
      <c r="M4246"/>
      <c r="N4246"/>
      <c r="O4246"/>
      <c r="P4246"/>
      <c r="Q4246"/>
      <c r="R4246"/>
      <c r="S4246"/>
      <c r="T4246"/>
      <c r="U4246"/>
      <c r="V4246"/>
      <c r="W4246"/>
      <c r="X4246"/>
      <c r="Y4246"/>
      <c r="Z4246"/>
      <c r="AA4246"/>
      <c r="AB4246"/>
      <c r="AC4246"/>
      <c r="AD4246"/>
      <c r="AE4246"/>
      <c r="AF4246"/>
      <c r="AG4246"/>
      <c r="AH4246"/>
      <c r="AI4246"/>
      <c r="AJ4246"/>
      <c r="AK4246"/>
      <c r="AL4246"/>
    </row>
    <row r="4247" spans="1:38" ht="12.75" outlineLevel="2" x14ac:dyDescent="0.2">
      <c r="A4247" s="1071">
        <v>1</v>
      </c>
      <c r="B4247" s="1071" t="s">
        <v>68</v>
      </c>
      <c r="C4247" s="1071" t="s">
        <v>1961</v>
      </c>
      <c r="D4247" s="1071" t="s">
        <v>1961</v>
      </c>
      <c r="E4247" s="1072" t="s">
        <v>70</v>
      </c>
      <c r="F4247" s="1071"/>
      <c r="G4247" s="1073" t="str">
        <f t="array" ref="G4247">IF(B4247="insumo",_xlfn.XLOOKUP($D4247,Insumos!$B$1:$B$996,Insumos!$D$1:$D$996),"")</f>
        <v/>
      </c>
      <c r="H4247" s="1073">
        <v>2530</v>
      </c>
      <c r="I4247" s="1074">
        <v>0</v>
      </c>
      <c r="J4247" s="1074">
        <v>0</v>
      </c>
      <c r="K4247" s="1074"/>
      <c r="L4247"/>
      <c r="M4247"/>
      <c r="N4247"/>
      <c r="O4247"/>
      <c r="P4247"/>
      <c r="Q4247"/>
      <c r="R4247"/>
      <c r="S4247"/>
      <c r="T4247"/>
      <c r="U4247"/>
      <c r="V4247"/>
      <c r="W4247"/>
      <c r="X4247"/>
      <c r="Y4247"/>
      <c r="Z4247"/>
      <c r="AA4247"/>
      <c r="AB4247"/>
      <c r="AC4247"/>
      <c r="AD4247"/>
      <c r="AE4247"/>
      <c r="AF4247"/>
      <c r="AG4247"/>
      <c r="AH4247"/>
      <c r="AI4247"/>
      <c r="AJ4247"/>
      <c r="AK4247"/>
      <c r="AL4247"/>
    </row>
    <row r="4248" spans="1:38" ht="12.75" outlineLevel="3" x14ac:dyDescent="0.2">
      <c r="A4248" s="82">
        <v>1</v>
      </c>
      <c r="B4248" s="82" t="s">
        <v>71</v>
      </c>
      <c r="C4248" s="82" t="s">
        <v>1961</v>
      </c>
      <c r="D4248" s="82" t="s">
        <v>1961</v>
      </c>
      <c r="E4248" s="11" t="str">
        <f t="array" ref="E4248">_xlfn.XLOOKUP(D4248,Insumos!B:B,Insumos!C:$C)</f>
        <v>un</v>
      </c>
      <c r="F4248" s="86">
        <v>1</v>
      </c>
      <c r="G4248" s="92">
        <f t="array" ref="G4248">IF(B4248="insumo",_xlfn.XLOOKUP($D4248,Insumos!$B$1:$B$996,Insumos!$D$1:$D$996),"")</f>
        <v>2530</v>
      </c>
      <c r="H4248" s="92">
        <v>2530</v>
      </c>
      <c r="I4248" s="84">
        <v>0</v>
      </c>
      <c r="J4248" s="84">
        <v>0</v>
      </c>
      <c r="K4248" s="84"/>
      <c r="L4248"/>
      <c r="M4248"/>
      <c r="N4248"/>
      <c r="O4248"/>
      <c r="P4248"/>
      <c r="Q4248"/>
      <c r="R4248"/>
      <c r="S4248"/>
      <c r="T4248"/>
      <c r="U4248"/>
      <c r="V4248"/>
      <c r="W4248"/>
      <c r="X4248"/>
      <c r="Y4248"/>
      <c r="Z4248"/>
      <c r="AA4248"/>
      <c r="AB4248"/>
      <c r="AC4248"/>
      <c r="AD4248"/>
      <c r="AE4248"/>
      <c r="AF4248"/>
      <c r="AG4248"/>
      <c r="AH4248"/>
      <c r="AI4248"/>
      <c r="AJ4248"/>
      <c r="AK4248"/>
      <c r="AL4248"/>
    </row>
    <row r="4249" spans="1:38" ht="15.75" customHeight="1" outlineLevel="2" x14ac:dyDescent="0.2">
      <c r="A4249" s="1067">
        <v>1</v>
      </c>
      <c r="B4249" s="1067" t="s">
        <v>68</v>
      </c>
      <c r="C4249" s="1067" t="s">
        <v>842</v>
      </c>
      <c r="D4249" s="1067" t="s">
        <v>842</v>
      </c>
      <c r="E4249" s="1068" t="s">
        <v>70</v>
      </c>
      <c r="F4249" s="1067"/>
      <c r="G4249" s="1069" t="str">
        <f t="array" ref="G4249">IF(B4249="insumo",_xlfn.XLOOKUP($D4249,Insumos!$B$1:$B$996,Insumos!$D$1:$D$996),"")</f>
        <v/>
      </c>
      <c r="H4249" s="1069">
        <v>1089.6084620689701</v>
      </c>
      <c r="I4249" s="1070">
        <v>0</v>
      </c>
      <c r="J4249" s="1070">
        <v>0</v>
      </c>
      <c r="K4249" s="1070"/>
      <c r="L4249"/>
      <c r="M4249"/>
      <c r="N4249"/>
      <c r="O4249"/>
      <c r="P4249"/>
      <c r="Q4249"/>
      <c r="R4249"/>
      <c r="S4249"/>
      <c r="T4249"/>
      <c r="U4249"/>
      <c r="V4249"/>
      <c r="W4249"/>
      <c r="X4249"/>
      <c r="Y4249"/>
      <c r="Z4249"/>
      <c r="AA4249"/>
      <c r="AB4249"/>
      <c r="AC4249"/>
      <c r="AD4249"/>
      <c r="AE4249"/>
      <c r="AF4249"/>
      <c r="AG4249"/>
      <c r="AH4249"/>
      <c r="AI4249"/>
      <c r="AJ4249"/>
      <c r="AK4249"/>
      <c r="AL4249"/>
    </row>
    <row r="4250" spans="1:38" ht="15.75" customHeight="1" outlineLevel="3" x14ac:dyDescent="0.2">
      <c r="A4250" s="10">
        <v>1</v>
      </c>
      <c r="B4250" s="10" t="s">
        <v>71</v>
      </c>
      <c r="C4250" s="10" t="s">
        <v>842</v>
      </c>
      <c r="D4250" s="10" t="s">
        <v>842</v>
      </c>
      <c r="E4250" s="11" t="str">
        <f t="array" ref="E4250">_xlfn.XLOOKUP(D4250,Insumos!B:B,Insumos!C:$C)</f>
        <v>un</v>
      </c>
      <c r="F4250" s="14">
        <v>1</v>
      </c>
      <c r="G4250" s="92">
        <f t="array" ref="G4250">IF(B4250="insumo",_xlfn.XLOOKUP($D4250,Insumos!$B$1:$B$996,Insumos!$D$1:$D$996),"")</f>
        <v>1089.6084620689658</v>
      </c>
      <c r="H4250" s="92">
        <v>1089.6084620689701</v>
      </c>
      <c r="I4250" s="13">
        <v>0</v>
      </c>
      <c r="J4250" s="13">
        <v>0</v>
      </c>
      <c r="K4250" s="13"/>
      <c r="L4250"/>
      <c r="M4250"/>
      <c r="N4250"/>
      <c r="O4250"/>
      <c r="P4250"/>
      <c r="Q4250"/>
      <c r="R4250"/>
      <c r="S4250"/>
      <c r="T4250"/>
      <c r="U4250"/>
      <c r="V4250"/>
      <c r="W4250"/>
      <c r="X4250"/>
      <c r="Y4250"/>
      <c r="Z4250"/>
      <c r="AA4250"/>
      <c r="AB4250"/>
      <c r="AC4250"/>
      <c r="AD4250"/>
      <c r="AE4250"/>
      <c r="AF4250"/>
      <c r="AG4250"/>
      <c r="AH4250"/>
      <c r="AI4250"/>
      <c r="AJ4250"/>
      <c r="AK4250"/>
      <c r="AL4250"/>
    </row>
    <row r="4251" spans="1:38" ht="15.75" customHeight="1" outlineLevel="2" x14ac:dyDescent="0.2">
      <c r="A4251" s="1067">
        <v>1</v>
      </c>
      <c r="B4251" s="1067" t="s">
        <v>68</v>
      </c>
      <c r="C4251" s="1067" t="s">
        <v>1542</v>
      </c>
      <c r="D4251" s="1067" t="s">
        <v>1542</v>
      </c>
      <c r="E4251" s="1068" t="s">
        <v>70</v>
      </c>
      <c r="F4251" s="1067"/>
      <c r="G4251" s="1069" t="str">
        <f t="array" ref="G4251">IF(B4251="insumo",_xlfn.XLOOKUP($D4251,Insumos!$B$1:$B$996,Insumos!$D$1:$D$996),"")</f>
        <v/>
      </c>
      <c r="H4251" s="1069">
        <v>3729.34</v>
      </c>
      <c r="I4251" s="1070">
        <v>0</v>
      </c>
      <c r="J4251" s="1070">
        <v>0</v>
      </c>
      <c r="K4251" s="1070"/>
      <c r="L4251"/>
      <c r="M4251"/>
      <c r="N4251"/>
      <c r="O4251"/>
      <c r="P4251"/>
      <c r="Q4251"/>
      <c r="R4251"/>
      <c r="S4251"/>
      <c r="T4251"/>
      <c r="U4251"/>
      <c r="V4251"/>
      <c r="W4251"/>
      <c r="X4251"/>
      <c r="Y4251"/>
      <c r="Z4251"/>
      <c r="AA4251"/>
      <c r="AB4251"/>
      <c r="AC4251"/>
      <c r="AD4251"/>
      <c r="AE4251"/>
      <c r="AF4251"/>
      <c r="AG4251"/>
      <c r="AH4251"/>
      <c r="AI4251"/>
      <c r="AJ4251"/>
      <c r="AK4251"/>
      <c r="AL4251"/>
    </row>
    <row r="4252" spans="1:38" ht="15.75" customHeight="1" outlineLevel="3" x14ac:dyDescent="0.2">
      <c r="A4252" s="10">
        <v>1</v>
      </c>
      <c r="B4252" s="10" t="s">
        <v>71</v>
      </c>
      <c r="C4252" s="10" t="s">
        <v>1542</v>
      </c>
      <c r="D4252" s="10" t="s">
        <v>1542</v>
      </c>
      <c r="E4252" s="11" t="str">
        <f t="array" ref="E4252">_xlfn.XLOOKUP(D4252,Insumos!B:B,Insumos!C:$C)</f>
        <v>un</v>
      </c>
      <c r="F4252" s="14">
        <v>1</v>
      </c>
      <c r="G4252" s="92">
        <f t="array" ref="G4252">IF(B4252="insumo",_xlfn.XLOOKUP($D4252,Insumos!$B$1:$B$996,Insumos!$D$1:$D$996),"")</f>
        <v>3729.34</v>
      </c>
      <c r="H4252" s="92">
        <v>3729.34</v>
      </c>
      <c r="I4252" s="13">
        <v>0</v>
      </c>
      <c r="J4252" s="13">
        <v>0</v>
      </c>
      <c r="K4252" s="13"/>
      <c r="L4252"/>
      <c r="M4252"/>
      <c r="N4252"/>
      <c r="O4252"/>
      <c r="P4252"/>
      <c r="Q4252"/>
      <c r="R4252"/>
      <c r="S4252"/>
      <c r="T4252"/>
      <c r="U4252"/>
      <c r="V4252"/>
      <c r="W4252"/>
      <c r="X4252"/>
      <c r="Y4252"/>
      <c r="Z4252"/>
      <c r="AA4252"/>
      <c r="AB4252"/>
      <c r="AC4252"/>
      <c r="AD4252"/>
      <c r="AE4252"/>
      <c r="AF4252"/>
      <c r="AG4252"/>
      <c r="AH4252"/>
      <c r="AI4252"/>
      <c r="AJ4252"/>
      <c r="AK4252"/>
      <c r="AL4252"/>
    </row>
    <row r="4253" spans="1:38" ht="15.75" customHeight="1" outlineLevel="2" x14ac:dyDescent="0.2">
      <c r="A4253" s="1067">
        <v>1</v>
      </c>
      <c r="B4253" s="1067" t="s">
        <v>68</v>
      </c>
      <c r="C4253" s="1067" t="s">
        <v>1543</v>
      </c>
      <c r="D4253" s="1067" t="s">
        <v>1543</v>
      </c>
      <c r="E4253" s="1068" t="s">
        <v>70</v>
      </c>
      <c r="F4253" s="1067"/>
      <c r="G4253" s="1069" t="str">
        <f t="array" ref="G4253">IF(B4253="insumo",_xlfn.XLOOKUP($D4253,Insumos!$B$1:$B$996,Insumos!$D$1:$D$996),"")</f>
        <v/>
      </c>
      <c r="H4253" s="1069">
        <v>3523.56</v>
      </c>
      <c r="I4253" s="1070">
        <v>0</v>
      </c>
      <c r="J4253" s="1070">
        <v>0</v>
      </c>
      <c r="K4253" s="1070"/>
      <c r="L4253"/>
      <c r="M4253"/>
      <c r="N4253"/>
      <c r="O4253"/>
      <c r="P4253"/>
      <c r="Q4253"/>
      <c r="R4253"/>
      <c r="S4253"/>
      <c r="T4253"/>
      <c r="U4253"/>
      <c r="V4253"/>
      <c r="W4253"/>
      <c r="X4253"/>
      <c r="Y4253"/>
      <c r="Z4253"/>
      <c r="AA4253"/>
      <c r="AB4253"/>
      <c r="AC4253"/>
      <c r="AD4253"/>
      <c r="AE4253"/>
      <c r="AF4253"/>
      <c r="AG4253"/>
      <c r="AH4253"/>
      <c r="AI4253"/>
      <c r="AJ4253"/>
      <c r="AK4253"/>
      <c r="AL4253"/>
    </row>
    <row r="4254" spans="1:38" ht="15.75" customHeight="1" outlineLevel="3" x14ac:dyDescent="0.2">
      <c r="A4254" s="10">
        <v>1</v>
      </c>
      <c r="B4254" s="10" t="s">
        <v>71</v>
      </c>
      <c r="C4254" s="10" t="s">
        <v>1543</v>
      </c>
      <c r="D4254" s="10" t="s">
        <v>1543</v>
      </c>
      <c r="E4254" s="11" t="str">
        <f t="array" ref="E4254">_xlfn.XLOOKUP(D4254,Insumos!B:B,Insumos!C:$C)</f>
        <v>un</v>
      </c>
      <c r="F4254" s="14">
        <v>1</v>
      </c>
      <c r="G4254" s="92">
        <f t="array" ref="G4254">IF(B4254="insumo",_xlfn.XLOOKUP($D4254,Insumos!$B$1:$B$996,Insumos!$D$1:$D$996),"")</f>
        <v>3523.56</v>
      </c>
      <c r="H4254" s="92">
        <v>3523.56</v>
      </c>
      <c r="I4254" s="13">
        <v>0</v>
      </c>
      <c r="J4254" s="13">
        <v>0</v>
      </c>
      <c r="K4254" s="13"/>
      <c r="L4254"/>
      <c r="M4254"/>
      <c r="N4254"/>
      <c r="O4254"/>
      <c r="P4254"/>
      <c r="Q4254"/>
      <c r="R4254"/>
      <c r="S4254"/>
      <c r="T4254"/>
      <c r="U4254"/>
      <c r="V4254"/>
      <c r="W4254"/>
      <c r="X4254"/>
      <c r="Y4254"/>
      <c r="Z4254"/>
      <c r="AA4254"/>
      <c r="AB4254"/>
      <c r="AC4254"/>
      <c r="AD4254"/>
      <c r="AE4254"/>
      <c r="AF4254"/>
      <c r="AG4254"/>
      <c r="AH4254"/>
      <c r="AI4254"/>
      <c r="AJ4254"/>
      <c r="AK4254"/>
      <c r="AL4254"/>
    </row>
    <row r="4255" spans="1:38" ht="15.75" customHeight="1" outlineLevel="2" x14ac:dyDescent="0.2">
      <c r="A4255" s="1067">
        <v>1</v>
      </c>
      <c r="B4255" s="1067" t="s">
        <v>68</v>
      </c>
      <c r="C4255" s="1067" t="s">
        <v>1544</v>
      </c>
      <c r="D4255" s="1067" t="s">
        <v>1544</v>
      </c>
      <c r="E4255" s="1068" t="s">
        <v>70</v>
      </c>
      <c r="F4255" s="1067"/>
      <c r="G4255" s="1069" t="str">
        <f t="array" ref="G4255">IF(B4255="insumo",_xlfn.XLOOKUP($D4255,Insumos!$B$1:$B$996,Insumos!$D$1:$D$996),"")</f>
        <v/>
      </c>
      <c r="H4255" s="1069">
        <v>1754.88</v>
      </c>
      <c r="I4255" s="1070">
        <v>0</v>
      </c>
      <c r="J4255" s="1070">
        <v>0</v>
      </c>
      <c r="K4255" s="1070"/>
      <c r="L4255"/>
      <c r="M4255"/>
      <c r="N4255"/>
      <c r="O4255"/>
      <c r="P4255"/>
      <c r="Q4255"/>
      <c r="R4255"/>
      <c r="S4255"/>
      <c r="T4255"/>
      <c r="U4255"/>
      <c r="V4255"/>
      <c r="W4255"/>
      <c r="X4255"/>
      <c r="Y4255"/>
      <c r="Z4255"/>
      <c r="AA4255"/>
      <c r="AB4255"/>
      <c r="AC4255"/>
      <c r="AD4255"/>
      <c r="AE4255"/>
      <c r="AF4255"/>
      <c r="AG4255"/>
      <c r="AH4255"/>
      <c r="AI4255"/>
      <c r="AJ4255"/>
      <c r="AK4255"/>
      <c r="AL4255"/>
    </row>
    <row r="4256" spans="1:38" ht="15.75" customHeight="1" outlineLevel="3" x14ac:dyDescent="0.2">
      <c r="A4256" s="10">
        <v>1</v>
      </c>
      <c r="B4256" s="10" t="s">
        <v>71</v>
      </c>
      <c r="C4256" s="10" t="s">
        <v>1544</v>
      </c>
      <c r="D4256" s="10" t="s">
        <v>1544</v>
      </c>
      <c r="E4256" s="11" t="str">
        <f t="array" ref="E4256">_xlfn.XLOOKUP(D4256,Insumos!B:B,Insumos!C:$C)</f>
        <v>un</v>
      </c>
      <c r="F4256" s="14">
        <v>1</v>
      </c>
      <c r="G4256" s="92">
        <f t="array" ref="G4256">IF(B4256="insumo",_xlfn.XLOOKUP($D4256,Insumos!$B$1:$B$996,Insumos!$D$1:$D$996),"")</f>
        <v>1754.88</v>
      </c>
      <c r="H4256" s="92">
        <v>1754.88</v>
      </c>
      <c r="I4256" s="13">
        <v>0</v>
      </c>
      <c r="J4256" s="13">
        <v>0</v>
      </c>
      <c r="K4256" s="13"/>
      <c r="L4256"/>
      <c r="M4256"/>
      <c r="N4256"/>
      <c r="O4256"/>
      <c r="P4256"/>
      <c r="Q4256"/>
      <c r="R4256"/>
      <c r="S4256"/>
      <c r="T4256"/>
      <c r="U4256"/>
      <c r="V4256"/>
      <c r="W4256"/>
      <c r="X4256"/>
      <c r="Y4256"/>
      <c r="Z4256"/>
      <c r="AA4256"/>
      <c r="AB4256"/>
      <c r="AC4256"/>
      <c r="AD4256"/>
      <c r="AE4256"/>
      <c r="AF4256"/>
      <c r="AG4256"/>
      <c r="AH4256"/>
      <c r="AI4256"/>
      <c r="AJ4256"/>
      <c r="AK4256"/>
      <c r="AL4256"/>
    </row>
    <row r="4257" spans="1:38" ht="15.75" customHeight="1" outlineLevel="2" x14ac:dyDescent="0.2">
      <c r="A4257" s="1067">
        <v>1</v>
      </c>
      <c r="B4257" s="1067" t="s">
        <v>68</v>
      </c>
      <c r="C4257" s="1067" t="s">
        <v>1545</v>
      </c>
      <c r="D4257" s="1067" t="s">
        <v>1545</v>
      </c>
      <c r="E4257" s="1068" t="s">
        <v>70</v>
      </c>
      <c r="F4257" s="1067"/>
      <c r="G4257" s="1069" t="str">
        <f t="array" ref="G4257">IF(B4257="insumo",_xlfn.XLOOKUP($D4257,Insumos!$B$1:$B$996,Insumos!$D$1:$D$996),"")</f>
        <v/>
      </c>
      <c r="H4257" s="1069">
        <v>1754.88</v>
      </c>
      <c r="I4257" s="1070">
        <v>0</v>
      </c>
      <c r="J4257" s="1070">
        <v>0</v>
      </c>
      <c r="K4257" s="1070"/>
      <c r="L4257"/>
      <c r="M4257"/>
      <c r="N4257"/>
      <c r="O4257"/>
      <c r="P4257"/>
      <c r="Q4257"/>
      <c r="R4257"/>
      <c r="S4257"/>
      <c r="T4257"/>
      <c r="U4257"/>
      <c r="V4257"/>
      <c r="W4257"/>
      <c r="X4257"/>
      <c r="Y4257"/>
      <c r="Z4257"/>
      <c r="AA4257"/>
      <c r="AB4257"/>
      <c r="AC4257"/>
      <c r="AD4257"/>
      <c r="AE4257"/>
      <c r="AF4257"/>
      <c r="AG4257"/>
      <c r="AH4257"/>
      <c r="AI4257"/>
      <c r="AJ4257"/>
      <c r="AK4257"/>
      <c r="AL4257"/>
    </row>
    <row r="4258" spans="1:38" ht="15.75" customHeight="1" outlineLevel="3" x14ac:dyDescent="0.2">
      <c r="A4258" s="10">
        <v>1</v>
      </c>
      <c r="B4258" s="10" t="s">
        <v>71</v>
      </c>
      <c r="C4258" s="10" t="s">
        <v>1545</v>
      </c>
      <c r="D4258" s="10" t="s">
        <v>1545</v>
      </c>
      <c r="E4258" s="11" t="str">
        <f t="array" ref="E4258">_xlfn.XLOOKUP(D4258,Insumos!B:B,Insumos!C:$C)</f>
        <v>un</v>
      </c>
      <c r="F4258" s="14">
        <v>1</v>
      </c>
      <c r="G4258" s="92">
        <f t="array" ref="G4258">IF(B4258="insumo",_xlfn.XLOOKUP($D4258,Insumos!$B$1:$B$996,Insumos!$D$1:$D$996),"")</f>
        <v>1754.88</v>
      </c>
      <c r="H4258" s="92">
        <v>1754.88</v>
      </c>
      <c r="I4258" s="13">
        <v>0</v>
      </c>
      <c r="J4258" s="13">
        <v>0</v>
      </c>
      <c r="K4258" s="13"/>
      <c r="L4258"/>
      <c r="M4258"/>
      <c r="N4258"/>
      <c r="O4258"/>
      <c r="P4258"/>
      <c r="Q4258"/>
      <c r="R4258"/>
      <c r="S4258"/>
      <c r="T4258"/>
      <c r="U4258"/>
      <c r="V4258"/>
      <c r="W4258"/>
      <c r="X4258"/>
      <c r="Y4258"/>
      <c r="Z4258"/>
      <c r="AA4258"/>
      <c r="AB4258"/>
      <c r="AC4258"/>
      <c r="AD4258"/>
      <c r="AE4258"/>
      <c r="AF4258"/>
      <c r="AG4258"/>
      <c r="AH4258"/>
      <c r="AI4258"/>
      <c r="AJ4258"/>
      <c r="AK4258"/>
      <c r="AL4258"/>
    </row>
    <row r="4259" spans="1:38" ht="15.75" customHeight="1" outlineLevel="2" x14ac:dyDescent="0.2">
      <c r="A4259" s="1067">
        <v>1</v>
      </c>
      <c r="B4259" s="1067" t="s">
        <v>68</v>
      </c>
      <c r="C4259" s="1067" t="s">
        <v>841</v>
      </c>
      <c r="D4259" s="1067" t="s">
        <v>841</v>
      </c>
      <c r="E4259" s="1068" t="s">
        <v>70</v>
      </c>
      <c r="F4259" s="1067"/>
      <c r="G4259" s="1069" t="str">
        <f t="array" ref="G4259">IF(B4259="insumo",_xlfn.XLOOKUP($D4259,Insumos!$B$1:$B$996,Insumos!$D$1:$D$996),"")</f>
        <v/>
      </c>
      <c r="H4259" s="1069">
        <v>2968</v>
      </c>
      <c r="I4259" s="1070">
        <v>0</v>
      </c>
      <c r="J4259" s="1070">
        <v>0</v>
      </c>
      <c r="K4259" s="1070"/>
      <c r="L4259"/>
      <c r="M4259"/>
      <c r="N4259"/>
      <c r="O4259"/>
      <c r="P4259"/>
      <c r="Q4259"/>
      <c r="R4259"/>
      <c r="S4259"/>
      <c r="T4259"/>
      <c r="U4259"/>
      <c r="V4259"/>
      <c r="W4259"/>
      <c r="X4259"/>
      <c r="Y4259"/>
      <c r="Z4259"/>
      <c r="AA4259"/>
      <c r="AB4259"/>
      <c r="AC4259"/>
      <c r="AD4259"/>
      <c r="AE4259"/>
      <c r="AF4259"/>
      <c r="AG4259"/>
      <c r="AH4259"/>
      <c r="AI4259"/>
      <c r="AJ4259"/>
      <c r="AK4259"/>
      <c r="AL4259"/>
    </row>
    <row r="4260" spans="1:38" ht="15.75" customHeight="1" outlineLevel="3" x14ac:dyDescent="0.2">
      <c r="A4260" s="10">
        <v>1</v>
      </c>
      <c r="B4260" s="10" t="s">
        <v>71</v>
      </c>
      <c r="C4260" s="10" t="s">
        <v>841</v>
      </c>
      <c r="D4260" s="10" t="s">
        <v>841</v>
      </c>
      <c r="E4260" s="11" t="str">
        <f t="array" ref="E4260">_xlfn.XLOOKUP(D4260,Insumos!B:B,Insumos!C:$C)</f>
        <v>un</v>
      </c>
      <c r="F4260" s="14">
        <v>1</v>
      </c>
      <c r="G4260" s="92">
        <f t="array" ref="G4260">IF(B4260="insumo",_xlfn.XLOOKUP($D4260,Insumos!$B$1:$B$996,Insumos!$D$1:$D$996),"")</f>
        <v>2968</v>
      </c>
      <c r="H4260" s="92">
        <v>2968</v>
      </c>
      <c r="I4260" s="13">
        <v>0</v>
      </c>
      <c r="J4260" s="13">
        <v>0</v>
      </c>
      <c r="K4260" s="13"/>
      <c r="L4260"/>
      <c r="M4260"/>
      <c r="N4260"/>
      <c r="O4260"/>
      <c r="P4260"/>
      <c r="Q4260"/>
      <c r="R4260"/>
      <c r="S4260"/>
      <c r="T4260"/>
      <c r="U4260"/>
      <c r="V4260"/>
      <c r="W4260"/>
      <c r="X4260"/>
      <c r="Y4260"/>
      <c r="Z4260"/>
      <c r="AA4260"/>
      <c r="AB4260"/>
      <c r="AC4260"/>
      <c r="AD4260"/>
      <c r="AE4260"/>
      <c r="AF4260"/>
      <c r="AG4260"/>
      <c r="AH4260"/>
      <c r="AI4260"/>
      <c r="AJ4260"/>
      <c r="AK4260"/>
      <c r="AL4260"/>
    </row>
    <row r="4261" spans="1:38" ht="15.75" customHeight="1" outlineLevel="1" x14ac:dyDescent="0.2">
      <c r="A4261" s="1090">
        <v>1</v>
      </c>
      <c r="B4261" s="1090" t="s">
        <v>1228</v>
      </c>
      <c r="C4261" s="1090" t="s">
        <v>841</v>
      </c>
      <c r="D4261" s="1090" t="s">
        <v>1531</v>
      </c>
      <c r="E4261" s="1091"/>
      <c r="F4261" s="1092"/>
      <c r="G4261" s="1091"/>
      <c r="H4261" s="1091">
        <v>0</v>
      </c>
      <c r="I4261" s="1092">
        <v>0</v>
      </c>
      <c r="J4261" s="1092">
        <v>0</v>
      </c>
      <c r="K4261" s="1092"/>
      <c r="L4261"/>
      <c r="M4261"/>
      <c r="N4261"/>
      <c r="O4261"/>
      <c r="P4261"/>
      <c r="Q4261"/>
      <c r="R4261"/>
      <c r="S4261"/>
      <c r="T4261"/>
      <c r="U4261"/>
      <c r="V4261"/>
      <c r="W4261"/>
      <c r="X4261"/>
      <c r="Y4261"/>
      <c r="Z4261"/>
      <c r="AA4261"/>
      <c r="AB4261"/>
      <c r="AC4261"/>
      <c r="AD4261"/>
      <c r="AE4261"/>
      <c r="AF4261"/>
      <c r="AG4261"/>
      <c r="AH4261"/>
      <c r="AI4261"/>
      <c r="AJ4261"/>
      <c r="AK4261"/>
      <c r="AL4261"/>
    </row>
    <row r="4262" spans="1:38" ht="15.75" customHeight="1" outlineLevel="2" x14ac:dyDescent="0.2">
      <c r="A4262" s="1067">
        <v>1</v>
      </c>
      <c r="B4262" s="1067" t="s">
        <v>68</v>
      </c>
      <c r="C4262" s="1067" t="s">
        <v>843</v>
      </c>
      <c r="D4262" s="1067" t="s">
        <v>843</v>
      </c>
      <c r="E4262" s="1068" t="s">
        <v>70</v>
      </c>
      <c r="F4262" s="1067"/>
      <c r="G4262" s="1069" t="str">
        <f t="array" ref="G4262">IF(B4262="insumo",_xlfn.XLOOKUP($D4262,Insumos!$B$1:$B$996,Insumos!$D$1:$D$996),"")</f>
        <v/>
      </c>
      <c r="H4262" s="1069">
        <v>2405</v>
      </c>
      <c r="I4262" s="1070">
        <v>1</v>
      </c>
      <c r="J4262" s="1070">
        <v>2405</v>
      </c>
      <c r="K4262" s="1070"/>
      <c r="L4262"/>
      <c r="M4262"/>
      <c r="N4262"/>
      <c r="O4262"/>
      <c r="P4262"/>
      <c r="Q4262"/>
      <c r="R4262"/>
      <c r="S4262"/>
      <c r="T4262"/>
      <c r="U4262"/>
      <c r="V4262"/>
      <c r="W4262"/>
      <c r="X4262"/>
      <c r="Y4262"/>
      <c r="Z4262"/>
      <c r="AA4262"/>
      <c r="AB4262"/>
      <c r="AC4262"/>
      <c r="AD4262"/>
      <c r="AE4262"/>
      <c r="AF4262"/>
      <c r="AG4262"/>
      <c r="AH4262"/>
      <c r="AI4262"/>
      <c r="AJ4262"/>
      <c r="AK4262"/>
      <c r="AL4262"/>
    </row>
    <row r="4263" spans="1:38" ht="15.75" customHeight="1" outlineLevel="3" x14ac:dyDescent="0.2">
      <c r="A4263" s="10">
        <v>1</v>
      </c>
      <c r="B4263" s="10" t="s">
        <v>71</v>
      </c>
      <c r="C4263" s="10" t="s">
        <v>843</v>
      </c>
      <c r="D4263" s="10" t="s">
        <v>843</v>
      </c>
      <c r="E4263" s="11" t="str">
        <f t="array" ref="E4263">_xlfn.XLOOKUP(D4263,Insumos!B:B,Insumos!C:$C)</f>
        <v>un</v>
      </c>
      <c r="F4263" s="14">
        <v>1</v>
      </c>
      <c r="G4263" s="92">
        <f t="array" ref="G4263">IF(B4263="insumo",_xlfn.XLOOKUP($D4263,Insumos!$B$1:$B$996,Insumos!$D$1:$D$996),"")</f>
        <v>2405</v>
      </c>
      <c r="H4263" s="92">
        <v>2405</v>
      </c>
      <c r="I4263" s="13">
        <v>1</v>
      </c>
      <c r="J4263" s="13">
        <v>2405</v>
      </c>
      <c r="K4263" s="13"/>
      <c r="L4263"/>
      <c r="M4263"/>
      <c r="N4263"/>
      <c r="O4263"/>
      <c r="P4263"/>
      <c r="Q4263"/>
      <c r="R4263"/>
      <c r="S4263"/>
      <c r="T4263"/>
      <c r="U4263"/>
      <c r="V4263"/>
      <c r="W4263"/>
      <c r="X4263"/>
      <c r="Y4263"/>
      <c r="Z4263"/>
      <c r="AA4263"/>
      <c r="AB4263"/>
      <c r="AC4263"/>
      <c r="AD4263"/>
      <c r="AE4263"/>
      <c r="AF4263"/>
      <c r="AG4263"/>
      <c r="AH4263"/>
      <c r="AI4263"/>
      <c r="AJ4263"/>
      <c r="AK4263"/>
      <c r="AL4263"/>
    </row>
    <row r="4264" spans="1:38" ht="12.75" outlineLevel="2" x14ac:dyDescent="0.2">
      <c r="A4264" s="1071">
        <v>1</v>
      </c>
      <c r="B4264" s="1071" t="s">
        <v>68</v>
      </c>
      <c r="C4264" s="1071" t="s">
        <v>1948</v>
      </c>
      <c r="D4264" s="1071" t="s">
        <v>1948</v>
      </c>
      <c r="E4264" s="1072" t="s">
        <v>70</v>
      </c>
      <c r="F4264" s="1071"/>
      <c r="G4264" s="1073" t="str">
        <f t="array" ref="G4264">IF(B4264="insumo",_xlfn.XLOOKUP($D4264,Insumos!$B$1:$B$996,Insumos!$D$1:$D$996),"")</f>
        <v/>
      </c>
      <c r="H4264" s="1073">
        <v>600</v>
      </c>
      <c r="I4264" s="1074">
        <v>0</v>
      </c>
      <c r="J4264" s="1074">
        <v>0</v>
      </c>
      <c r="K4264" s="1074"/>
      <c r="L4264"/>
      <c r="M4264"/>
      <c r="N4264"/>
      <c r="O4264"/>
      <c r="P4264"/>
      <c r="Q4264"/>
      <c r="R4264"/>
      <c r="S4264"/>
      <c r="T4264"/>
      <c r="U4264"/>
      <c r="V4264"/>
      <c r="W4264"/>
      <c r="X4264"/>
      <c r="Y4264"/>
      <c r="Z4264"/>
      <c r="AA4264"/>
      <c r="AB4264"/>
      <c r="AC4264"/>
      <c r="AD4264"/>
      <c r="AE4264"/>
      <c r="AF4264"/>
      <c r="AG4264"/>
      <c r="AH4264"/>
      <c r="AI4264"/>
      <c r="AJ4264"/>
      <c r="AK4264"/>
      <c r="AL4264"/>
    </row>
    <row r="4265" spans="1:38" ht="12.75" outlineLevel="3" x14ac:dyDescent="0.2">
      <c r="A4265" s="82">
        <v>1</v>
      </c>
      <c r="B4265" s="82" t="s">
        <v>71</v>
      </c>
      <c r="C4265" s="82" t="s">
        <v>1948</v>
      </c>
      <c r="D4265" s="82" t="s">
        <v>1948</v>
      </c>
      <c r="E4265" s="11" t="str">
        <f t="array" ref="E4265">_xlfn.XLOOKUP(D4265,Insumos!B:B,Insumos!C:$C)</f>
        <v>M2</v>
      </c>
      <c r="F4265" s="86">
        <v>1</v>
      </c>
      <c r="G4265" s="92">
        <f t="array" ref="G4265">IF(B4265="insumo",_xlfn.XLOOKUP($D4265,Insumos!$B$1:$B$996,Insumos!$D$1:$D$996),"")</f>
        <v>600</v>
      </c>
      <c r="H4265" s="92">
        <v>600</v>
      </c>
      <c r="I4265" s="84">
        <v>0</v>
      </c>
      <c r="J4265" s="84">
        <v>0</v>
      </c>
      <c r="K4265" s="84"/>
      <c r="L4265"/>
      <c r="M4265"/>
      <c r="N4265"/>
      <c r="O4265"/>
      <c r="P4265"/>
      <c r="Q4265"/>
      <c r="R4265"/>
      <c r="S4265"/>
      <c r="T4265"/>
      <c r="U4265"/>
      <c r="V4265"/>
      <c r="W4265"/>
      <c r="X4265"/>
      <c r="Y4265"/>
      <c r="Z4265"/>
      <c r="AA4265"/>
      <c r="AB4265"/>
      <c r="AC4265"/>
      <c r="AD4265"/>
      <c r="AE4265"/>
      <c r="AF4265"/>
      <c r="AG4265"/>
      <c r="AH4265"/>
      <c r="AI4265"/>
      <c r="AJ4265"/>
      <c r="AK4265"/>
      <c r="AL4265"/>
    </row>
    <row r="4266" spans="1:38" ht="12.75" outlineLevel="2" x14ac:dyDescent="0.2">
      <c r="A4266" s="1071">
        <v>1</v>
      </c>
      <c r="B4266" s="1071" t="s">
        <v>68</v>
      </c>
      <c r="C4266" s="1071" t="s">
        <v>3256</v>
      </c>
      <c r="D4266" s="1071" t="s">
        <v>3256</v>
      </c>
      <c r="E4266" s="1072" t="s">
        <v>70</v>
      </c>
      <c r="F4266" s="1071"/>
      <c r="G4266" s="1073" t="str">
        <f t="array" ref="G4266">IF(B4266="insumo",_xlfn.XLOOKUP($D4266,Insumos!$B$1:$B$996,Insumos!$D$1:$D$996),"")</f>
        <v/>
      </c>
      <c r="H4266" s="1073">
        <v>1240</v>
      </c>
      <c r="I4266" s="1074" t="e">
        <v>#REF!</v>
      </c>
      <c r="J4266" s="1074" t="e">
        <v>#REF!</v>
      </c>
      <c r="K4266" s="1074"/>
      <c r="L4266"/>
      <c r="M4266"/>
      <c r="N4266"/>
      <c r="O4266"/>
      <c r="P4266"/>
      <c r="Q4266"/>
      <c r="R4266"/>
      <c r="S4266"/>
      <c r="T4266"/>
      <c r="U4266"/>
      <c r="V4266"/>
      <c r="W4266"/>
      <c r="X4266"/>
      <c r="Y4266"/>
      <c r="Z4266"/>
      <c r="AA4266"/>
      <c r="AB4266"/>
      <c r="AC4266"/>
      <c r="AD4266"/>
      <c r="AE4266"/>
      <c r="AF4266"/>
      <c r="AG4266"/>
      <c r="AH4266"/>
      <c r="AI4266"/>
      <c r="AJ4266"/>
      <c r="AK4266"/>
      <c r="AL4266"/>
    </row>
    <row r="4267" spans="1:38" ht="12.75" outlineLevel="3" x14ac:dyDescent="0.2">
      <c r="A4267" s="82">
        <v>1</v>
      </c>
      <c r="B4267" s="82" t="s">
        <v>71</v>
      </c>
      <c r="C4267" s="82" t="s">
        <v>3256</v>
      </c>
      <c r="D4267" s="82" t="s">
        <v>3256</v>
      </c>
      <c r="E4267" s="11" t="str">
        <f t="array" ref="E4267">_xlfn.XLOOKUP(D4267,Insumos!B:B,Insumos!C:$C)</f>
        <v>M2</v>
      </c>
      <c r="F4267" s="86">
        <v>1</v>
      </c>
      <c r="G4267" s="92">
        <f t="array" ref="G4267">IF(B4267="insumo",_xlfn.XLOOKUP($D4267,Insumos!$B$1:$B$996,Insumos!$D$1:$D$996),"")</f>
        <v>1240</v>
      </c>
      <c r="H4267" s="92">
        <v>1240</v>
      </c>
      <c r="I4267" s="84" t="e">
        <v>#REF!</v>
      </c>
      <c r="J4267" s="84" t="e">
        <v>#REF!</v>
      </c>
      <c r="K4267" s="84"/>
      <c r="L4267"/>
      <c r="M4267"/>
      <c r="N4267"/>
      <c r="O4267"/>
      <c r="P4267"/>
      <c r="Q4267"/>
      <c r="R4267"/>
      <c r="S4267"/>
      <c r="T4267"/>
      <c r="U4267"/>
      <c r="V4267"/>
      <c r="W4267"/>
      <c r="X4267"/>
      <c r="Y4267"/>
      <c r="Z4267"/>
      <c r="AA4267"/>
      <c r="AB4267"/>
      <c r="AC4267"/>
      <c r="AD4267"/>
      <c r="AE4267"/>
      <c r="AF4267"/>
      <c r="AG4267"/>
      <c r="AH4267"/>
      <c r="AI4267"/>
      <c r="AJ4267"/>
      <c r="AK4267"/>
      <c r="AL4267"/>
    </row>
    <row r="4268" spans="1:38" ht="15.75" customHeight="1" outlineLevel="2" x14ac:dyDescent="0.2">
      <c r="A4268" s="1067">
        <v>1</v>
      </c>
      <c r="B4268" s="1067" t="s">
        <v>68</v>
      </c>
      <c r="C4268" s="1067" t="s">
        <v>844</v>
      </c>
      <c r="D4268" s="1067" t="s">
        <v>844</v>
      </c>
      <c r="E4268" s="1068" t="s">
        <v>70</v>
      </c>
      <c r="F4268" s="1067"/>
      <c r="G4268" s="1069" t="str">
        <f t="array" ref="G4268">IF(B4268="insumo",_xlfn.XLOOKUP($D4268,Insumos!$B$1:$B$996,Insumos!$D$1:$D$996),"")</f>
        <v/>
      </c>
      <c r="H4268" s="1069">
        <v>6500</v>
      </c>
      <c r="I4268" s="1070">
        <v>0</v>
      </c>
      <c r="J4268" s="1070">
        <v>0</v>
      </c>
      <c r="K4268" s="1070"/>
      <c r="L4268"/>
      <c r="M4268"/>
      <c r="N4268"/>
      <c r="O4268"/>
      <c r="P4268"/>
      <c r="Q4268"/>
      <c r="R4268"/>
      <c r="S4268"/>
      <c r="T4268"/>
      <c r="U4268"/>
      <c r="V4268"/>
      <c r="W4268"/>
      <c r="X4268"/>
      <c r="Y4268"/>
      <c r="Z4268"/>
      <c r="AA4268"/>
      <c r="AB4268"/>
      <c r="AC4268"/>
      <c r="AD4268"/>
      <c r="AE4268"/>
      <c r="AF4268"/>
      <c r="AG4268"/>
      <c r="AH4268"/>
      <c r="AI4268"/>
      <c r="AJ4268"/>
      <c r="AK4268"/>
      <c r="AL4268"/>
    </row>
    <row r="4269" spans="1:38" ht="15.75" customHeight="1" outlineLevel="3" x14ac:dyDescent="0.2">
      <c r="A4269" s="10">
        <v>1</v>
      </c>
      <c r="B4269" s="10" t="s">
        <v>71</v>
      </c>
      <c r="C4269" s="10" t="s">
        <v>844</v>
      </c>
      <c r="D4269" s="10" t="s">
        <v>844</v>
      </c>
      <c r="E4269" s="11" t="str">
        <f t="array" ref="E4269">_xlfn.XLOOKUP(D4269,Insumos!B:B,Insumos!C:$C)</f>
        <v>un</v>
      </c>
      <c r="F4269" s="14">
        <v>1</v>
      </c>
      <c r="G4269" s="92">
        <f t="array" ref="G4269">IF(B4269="insumo",_xlfn.XLOOKUP($D4269,Insumos!$B$1:$B$996,Insumos!$D$1:$D$996),"")</f>
        <v>6500</v>
      </c>
      <c r="H4269" s="92">
        <v>6500</v>
      </c>
      <c r="I4269" s="13">
        <v>0</v>
      </c>
      <c r="J4269" s="13">
        <v>0</v>
      </c>
      <c r="K4269" s="13"/>
      <c r="L4269"/>
      <c r="M4269"/>
      <c r="N4269"/>
      <c r="O4269"/>
      <c r="P4269"/>
      <c r="Q4269"/>
      <c r="R4269"/>
      <c r="S4269"/>
      <c r="T4269"/>
      <c r="U4269"/>
      <c r="V4269"/>
      <c r="W4269"/>
      <c r="X4269"/>
      <c r="Y4269"/>
      <c r="Z4269"/>
      <c r="AA4269"/>
      <c r="AB4269"/>
      <c r="AC4269"/>
      <c r="AD4269"/>
      <c r="AE4269"/>
      <c r="AF4269"/>
      <c r="AG4269"/>
      <c r="AH4269"/>
      <c r="AI4269"/>
      <c r="AJ4269"/>
      <c r="AK4269"/>
      <c r="AL4269"/>
    </row>
    <row r="4270" spans="1:38" ht="15.75" customHeight="1" outlineLevel="2" x14ac:dyDescent="0.2">
      <c r="A4270" s="1067">
        <v>1</v>
      </c>
      <c r="B4270" s="1067" t="s">
        <v>68</v>
      </c>
      <c r="C4270" s="1067" t="s">
        <v>1546</v>
      </c>
      <c r="D4270" s="1067" t="s">
        <v>1546</v>
      </c>
      <c r="E4270" s="1068" t="s">
        <v>70</v>
      </c>
      <c r="F4270" s="1067"/>
      <c r="G4270" s="1069" t="str">
        <f t="array" ref="G4270">IF(B4270="insumo",_xlfn.XLOOKUP($D4270,Insumos!$B$1:$B$996,Insumos!$D$1:$D$996),"")</f>
        <v/>
      </c>
      <c r="H4270" s="1069">
        <v>568.92672413793105</v>
      </c>
      <c r="I4270" s="1070">
        <v>0</v>
      </c>
      <c r="J4270" s="1070">
        <v>0</v>
      </c>
      <c r="K4270" s="1070"/>
      <c r="L4270"/>
      <c r="M4270"/>
      <c r="N4270"/>
      <c r="O4270"/>
      <c r="P4270"/>
      <c r="Q4270"/>
      <c r="R4270"/>
      <c r="S4270"/>
      <c r="T4270"/>
      <c r="U4270"/>
      <c r="V4270"/>
      <c r="W4270"/>
      <c r="X4270"/>
      <c r="Y4270"/>
      <c r="Z4270"/>
      <c r="AA4270"/>
      <c r="AB4270"/>
      <c r="AC4270"/>
      <c r="AD4270"/>
      <c r="AE4270"/>
      <c r="AF4270"/>
      <c r="AG4270"/>
      <c r="AH4270"/>
      <c r="AI4270"/>
      <c r="AJ4270"/>
      <c r="AK4270"/>
      <c r="AL4270"/>
    </row>
    <row r="4271" spans="1:38" ht="15.75" customHeight="1" outlineLevel="3" x14ac:dyDescent="0.2">
      <c r="A4271" s="10">
        <v>2</v>
      </c>
      <c r="B4271" s="10" t="s">
        <v>71</v>
      </c>
      <c r="C4271" s="10" t="s">
        <v>1546</v>
      </c>
      <c r="D4271" s="10" t="s">
        <v>637</v>
      </c>
      <c r="E4271" s="11" t="str">
        <f t="array" ref="E4271">_xlfn.XLOOKUP(D4271,Insumos!B:B,Insumos!C:$C)</f>
        <v>M2</v>
      </c>
      <c r="F4271" s="14">
        <v>1</v>
      </c>
      <c r="G4271" s="92">
        <f t="array" ref="G4271">IF(B4271="insumo",_xlfn.XLOOKUP($D4271,Insumos!$B$1:$B$996,Insumos!$D$1:$D$996),"")</f>
        <v>568.92672413793116</v>
      </c>
      <c r="H4271" s="92">
        <v>568.92672413793105</v>
      </c>
      <c r="I4271" s="13">
        <v>0</v>
      </c>
      <c r="J4271" s="13">
        <v>0</v>
      </c>
      <c r="K4271" s="13"/>
      <c r="L4271"/>
      <c r="M4271"/>
      <c r="N4271"/>
      <c r="O4271"/>
      <c r="P4271"/>
      <c r="Q4271"/>
      <c r="R4271"/>
      <c r="S4271"/>
      <c r="T4271"/>
      <c r="U4271"/>
      <c r="V4271"/>
      <c r="W4271"/>
      <c r="X4271"/>
      <c r="Y4271"/>
      <c r="Z4271"/>
      <c r="AA4271"/>
      <c r="AB4271"/>
      <c r="AC4271"/>
      <c r="AD4271"/>
      <c r="AE4271"/>
      <c r="AF4271"/>
      <c r="AG4271"/>
      <c r="AH4271"/>
      <c r="AI4271"/>
      <c r="AJ4271"/>
      <c r="AK4271"/>
      <c r="AL4271"/>
    </row>
    <row r="4272" spans="1:38" ht="15.75" customHeight="1" outlineLevel="1" x14ac:dyDescent="0.2">
      <c r="A4272" s="1090">
        <v>6</v>
      </c>
      <c r="B4272" s="1090" t="s">
        <v>1228</v>
      </c>
      <c r="C4272" s="1090" t="s">
        <v>1546</v>
      </c>
      <c r="D4272" s="1090" t="s">
        <v>1441</v>
      </c>
      <c r="E4272" s="1091"/>
      <c r="F4272" s="1092"/>
      <c r="G4272" s="1091"/>
      <c r="H4272" s="1091">
        <v>0</v>
      </c>
      <c r="I4272" s="1092">
        <v>0</v>
      </c>
      <c r="J4272" s="1092">
        <v>0</v>
      </c>
      <c r="K4272" s="1092"/>
      <c r="L4272"/>
      <c r="M4272"/>
      <c r="N4272"/>
      <c r="O4272"/>
      <c r="P4272"/>
      <c r="Q4272"/>
      <c r="R4272"/>
      <c r="S4272"/>
      <c r="T4272"/>
      <c r="U4272"/>
      <c r="V4272"/>
      <c r="W4272"/>
      <c r="X4272"/>
      <c r="Y4272"/>
      <c r="Z4272"/>
      <c r="AA4272"/>
      <c r="AB4272"/>
      <c r="AC4272"/>
      <c r="AD4272"/>
      <c r="AE4272"/>
      <c r="AF4272"/>
      <c r="AG4272"/>
      <c r="AH4272"/>
      <c r="AI4272"/>
      <c r="AJ4272"/>
      <c r="AK4272"/>
      <c r="AL4272"/>
    </row>
    <row r="4273" spans="1:38" ht="15.75" customHeight="1" outlineLevel="2" x14ac:dyDescent="0.2">
      <c r="A4273" s="1067">
        <v>1</v>
      </c>
      <c r="B4273" s="1067" t="s">
        <v>68</v>
      </c>
      <c r="C4273" s="1067" t="s">
        <v>845</v>
      </c>
      <c r="D4273" s="1067" t="s">
        <v>845</v>
      </c>
      <c r="E4273" s="1068" t="s">
        <v>70</v>
      </c>
      <c r="F4273" s="1067"/>
      <c r="G4273" s="1069" t="str">
        <f t="array" ref="G4273">IF(B4273="insumo",_xlfn.XLOOKUP($D4273,Insumos!$B$1:$B$996,Insumos!$D$1:$D$996),"")</f>
        <v/>
      </c>
      <c r="H4273" s="1069">
        <v>300</v>
      </c>
      <c r="I4273" s="1070">
        <v>92</v>
      </c>
      <c r="J4273" s="1070">
        <v>27600</v>
      </c>
      <c r="K4273" s="1070"/>
      <c r="L4273"/>
      <c r="M4273"/>
      <c r="N4273"/>
      <c r="O4273"/>
      <c r="P4273"/>
      <c r="Q4273"/>
      <c r="R4273"/>
      <c r="S4273"/>
      <c r="T4273"/>
      <c r="U4273"/>
      <c r="V4273"/>
      <c r="W4273"/>
      <c r="X4273"/>
      <c r="Y4273"/>
      <c r="Z4273"/>
      <c r="AA4273"/>
      <c r="AB4273"/>
      <c r="AC4273"/>
      <c r="AD4273"/>
      <c r="AE4273"/>
      <c r="AF4273"/>
      <c r="AG4273"/>
      <c r="AH4273"/>
      <c r="AI4273"/>
      <c r="AJ4273"/>
      <c r="AK4273"/>
      <c r="AL4273"/>
    </row>
    <row r="4274" spans="1:38" ht="15.75" customHeight="1" outlineLevel="3" x14ac:dyDescent="0.2">
      <c r="A4274" s="10">
        <v>1</v>
      </c>
      <c r="B4274" s="10" t="s">
        <v>71</v>
      </c>
      <c r="C4274" s="10" t="s">
        <v>845</v>
      </c>
      <c r="D4274" s="10" t="s">
        <v>845</v>
      </c>
      <c r="E4274" s="11" t="str">
        <f t="array" ref="E4274">_xlfn.XLOOKUP(D4274,Insumos!B:B,Insumos!C:$C)</f>
        <v>un</v>
      </c>
      <c r="F4274" s="14">
        <v>1</v>
      </c>
      <c r="G4274" s="92">
        <f t="array" ref="G4274">IF(B4274="insumo",_xlfn.XLOOKUP($D4274,Insumos!$B$1:$B$996,Insumos!$D$1:$D$996),"")</f>
        <v>300</v>
      </c>
      <c r="H4274" s="92">
        <v>300</v>
      </c>
      <c r="I4274" s="13">
        <v>92</v>
      </c>
      <c r="J4274" s="13">
        <v>27600</v>
      </c>
      <c r="K4274" s="13"/>
      <c r="L4274"/>
      <c r="M4274"/>
      <c r="N4274"/>
      <c r="O4274"/>
      <c r="P4274"/>
      <c r="Q4274"/>
      <c r="R4274"/>
      <c r="S4274"/>
      <c r="T4274"/>
      <c r="U4274"/>
      <c r="V4274"/>
      <c r="W4274"/>
      <c r="X4274"/>
      <c r="Y4274"/>
      <c r="Z4274"/>
      <c r="AA4274"/>
      <c r="AB4274"/>
      <c r="AC4274"/>
      <c r="AD4274"/>
      <c r="AE4274"/>
      <c r="AF4274"/>
      <c r="AG4274"/>
      <c r="AH4274"/>
      <c r="AI4274"/>
      <c r="AJ4274"/>
      <c r="AK4274"/>
      <c r="AL4274"/>
    </row>
    <row r="4275" spans="1:38" ht="15.75" customHeight="1" outlineLevel="2" x14ac:dyDescent="0.2">
      <c r="A4275" s="1067">
        <v>1</v>
      </c>
      <c r="B4275" s="1067" t="s">
        <v>68</v>
      </c>
      <c r="C4275" s="1067" t="s">
        <v>846</v>
      </c>
      <c r="D4275" s="1067" t="s">
        <v>846</v>
      </c>
      <c r="E4275" s="1068" t="s">
        <v>70</v>
      </c>
      <c r="F4275" s="1075"/>
      <c r="G4275" s="1069" t="str">
        <f t="array" ref="G4275">IF(B4275="insumo",_xlfn.XLOOKUP($D4275,Insumos!$B$1:$B$996,Insumos!$D$1:$D$996),"")</f>
        <v/>
      </c>
      <c r="H4275" s="1069">
        <v>300</v>
      </c>
      <c r="I4275" s="1070">
        <v>432</v>
      </c>
      <c r="J4275" s="1070">
        <v>129600</v>
      </c>
      <c r="K4275" s="1070"/>
      <c r="L4275"/>
      <c r="M4275"/>
      <c r="N4275"/>
      <c r="O4275"/>
      <c r="P4275"/>
      <c r="Q4275"/>
      <c r="R4275"/>
      <c r="S4275"/>
      <c r="T4275"/>
      <c r="U4275"/>
      <c r="V4275"/>
      <c r="W4275"/>
      <c r="X4275"/>
      <c r="Y4275"/>
      <c r="Z4275"/>
      <c r="AA4275"/>
      <c r="AB4275"/>
      <c r="AC4275"/>
      <c r="AD4275"/>
      <c r="AE4275"/>
      <c r="AF4275"/>
      <c r="AG4275"/>
      <c r="AH4275"/>
      <c r="AI4275"/>
      <c r="AJ4275"/>
      <c r="AK4275"/>
      <c r="AL4275"/>
    </row>
    <row r="4276" spans="1:38" ht="15.75" customHeight="1" outlineLevel="3" x14ac:dyDescent="0.2">
      <c r="A4276" s="10">
        <v>1</v>
      </c>
      <c r="B4276" s="10" t="s">
        <v>71</v>
      </c>
      <c r="C4276" s="10" t="s">
        <v>846</v>
      </c>
      <c r="D4276" s="10" t="s">
        <v>846</v>
      </c>
      <c r="E4276" s="11" t="str">
        <f t="array" ref="E4276">_xlfn.XLOOKUP(D4276,Insumos!B:B,Insumos!C:$C)</f>
        <v>UN</v>
      </c>
      <c r="F4276" s="14">
        <v>1</v>
      </c>
      <c r="G4276" s="92">
        <f t="array" ref="G4276">IF(B4276="insumo",_xlfn.XLOOKUP($D4276,Insumos!$B$1:$B$996,Insumos!$D$1:$D$996),"")</f>
        <v>300</v>
      </c>
      <c r="H4276" s="92">
        <v>300</v>
      </c>
      <c r="I4276" s="13">
        <v>432</v>
      </c>
      <c r="J4276" s="13">
        <v>129600</v>
      </c>
      <c r="K4276" s="13"/>
      <c r="L4276"/>
      <c r="M4276"/>
      <c r="N4276"/>
      <c r="O4276"/>
      <c r="P4276"/>
      <c r="Q4276"/>
      <c r="R4276"/>
      <c r="S4276"/>
      <c r="T4276"/>
      <c r="U4276"/>
      <c r="V4276"/>
      <c r="W4276"/>
      <c r="X4276"/>
      <c r="Y4276"/>
      <c r="Z4276"/>
      <c r="AA4276"/>
      <c r="AB4276"/>
      <c r="AC4276"/>
      <c r="AD4276"/>
      <c r="AE4276"/>
      <c r="AF4276"/>
      <c r="AG4276"/>
      <c r="AH4276"/>
      <c r="AI4276"/>
      <c r="AJ4276"/>
      <c r="AK4276"/>
      <c r="AL4276"/>
    </row>
    <row r="4277" spans="1:38" ht="15.75" customHeight="1" x14ac:dyDescent="0.2">
      <c r="A4277" s="7">
        <v>1</v>
      </c>
      <c r="B4277" s="7" t="s">
        <v>66</v>
      </c>
      <c r="C4277" s="7" t="s">
        <v>846</v>
      </c>
      <c r="D4277" s="7" t="s">
        <v>847</v>
      </c>
      <c r="E4277" s="8"/>
      <c r="F4277" s="9"/>
      <c r="G4277" s="91" t="str">
        <f t="array" ref="G4277">IF(B4277="insumo",_xlfn.XLOOKUP($D4277,Insumos!$B$1:$B$996,Insumos!$D$1:$D$996),"")</f>
        <v/>
      </c>
      <c r="H4277" s="91">
        <v>0</v>
      </c>
      <c r="I4277" s="9">
        <v>0</v>
      </c>
      <c r="J4277" s="9">
        <v>0</v>
      </c>
      <c r="K4277" s="9"/>
      <c r="L4277"/>
      <c r="M4277"/>
      <c r="N4277"/>
      <c r="O4277"/>
      <c r="P4277"/>
      <c r="Q4277"/>
      <c r="R4277"/>
      <c r="S4277"/>
      <c r="T4277"/>
      <c r="U4277"/>
      <c r="V4277"/>
      <c r="W4277"/>
      <c r="X4277"/>
      <c r="Y4277"/>
      <c r="Z4277"/>
      <c r="AA4277"/>
      <c r="AB4277"/>
      <c r="AC4277"/>
      <c r="AD4277"/>
      <c r="AE4277"/>
      <c r="AF4277"/>
      <c r="AG4277"/>
      <c r="AH4277"/>
      <c r="AI4277"/>
      <c r="AJ4277"/>
      <c r="AK4277"/>
      <c r="AL4277"/>
    </row>
    <row r="4278" spans="1:38" ht="15.75" customHeight="1" outlineLevel="1" x14ac:dyDescent="0.2">
      <c r="A4278" s="1090">
        <v>1</v>
      </c>
      <c r="B4278" s="1090" t="s">
        <v>1228</v>
      </c>
      <c r="C4278" s="1090" t="s">
        <v>846</v>
      </c>
      <c r="D4278" s="1090" t="s">
        <v>1572</v>
      </c>
      <c r="E4278" s="1091"/>
      <c r="F4278" s="1092"/>
      <c r="G4278" s="1091"/>
      <c r="H4278" s="1091">
        <v>0</v>
      </c>
      <c r="I4278" s="1092">
        <v>0</v>
      </c>
      <c r="J4278" s="1092">
        <v>0</v>
      </c>
      <c r="K4278" s="1092"/>
      <c r="L4278"/>
      <c r="M4278"/>
      <c r="N4278"/>
      <c r="O4278"/>
      <c r="P4278"/>
      <c r="Q4278"/>
      <c r="R4278"/>
      <c r="S4278"/>
      <c r="T4278"/>
      <c r="U4278"/>
      <c r="V4278"/>
      <c r="W4278"/>
      <c r="X4278"/>
      <c r="Y4278"/>
      <c r="Z4278"/>
      <c r="AA4278"/>
      <c r="AB4278"/>
      <c r="AC4278"/>
      <c r="AD4278"/>
      <c r="AE4278"/>
      <c r="AF4278"/>
      <c r="AG4278"/>
      <c r="AH4278"/>
      <c r="AI4278"/>
      <c r="AJ4278"/>
      <c r="AK4278"/>
      <c r="AL4278"/>
    </row>
    <row r="4279" spans="1:38" ht="15.75" customHeight="1" outlineLevel="2" x14ac:dyDescent="0.2">
      <c r="A4279" s="1067">
        <v>1</v>
      </c>
      <c r="B4279" s="1067" t="s">
        <v>68</v>
      </c>
      <c r="C4279" s="1067" t="s">
        <v>1644</v>
      </c>
      <c r="D4279" s="1067" t="s">
        <v>1644</v>
      </c>
      <c r="E4279" s="1068" t="s">
        <v>70</v>
      </c>
      <c r="F4279" s="1067"/>
      <c r="G4279" s="1069" t="str">
        <f t="array" ref="G4279">IF(B4279="insumo",_xlfn.XLOOKUP($D4279,Insumos!$B$1:$B$996,Insumos!$D$1:$D$996),"")</f>
        <v/>
      </c>
      <c r="H4279" s="1069">
        <v>3.1560233333333301</v>
      </c>
      <c r="I4279" s="1070">
        <v>0</v>
      </c>
      <c r="J4279" s="1070">
        <v>0</v>
      </c>
      <c r="K4279" s="1070"/>
      <c r="L4279"/>
      <c r="M4279"/>
      <c r="N4279"/>
      <c r="O4279"/>
      <c r="P4279"/>
      <c r="Q4279"/>
      <c r="R4279"/>
      <c r="S4279"/>
      <c r="T4279"/>
      <c r="U4279"/>
      <c r="V4279"/>
      <c r="W4279"/>
      <c r="X4279"/>
      <c r="Y4279"/>
      <c r="Z4279"/>
      <c r="AA4279"/>
      <c r="AB4279"/>
      <c r="AC4279"/>
      <c r="AD4279"/>
      <c r="AE4279"/>
      <c r="AF4279"/>
      <c r="AG4279"/>
      <c r="AH4279"/>
      <c r="AI4279"/>
      <c r="AJ4279"/>
      <c r="AK4279"/>
      <c r="AL4279"/>
    </row>
    <row r="4280" spans="1:38" ht="15.75" customHeight="1" outlineLevel="3" x14ac:dyDescent="0.2">
      <c r="A4280" s="10">
        <v>32</v>
      </c>
      <c r="B4280" s="10" t="s">
        <v>71</v>
      </c>
      <c r="C4280" s="10" t="s">
        <v>1644</v>
      </c>
      <c r="D4280" s="10" t="s">
        <v>445</v>
      </c>
      <c r="E4280" s="11" t="str">
        <f t="array" ref="E4280">_xlfn.XLOOKUP(D4280,Insumos!B:B,Insumos!C:$C)</f>
        <v>M3</v>
      </c>
      <c r="F4280" s="14">
        <v>5.5000000000000005E-3</v>
      </c>
      <c r="G4280" s="92">
        <f t="array" ref="G4280">IF(B4280="insumo",_xlfn.XLOOKUP($D4280,Insumos!$B$1:$B$996,Insumos!$D$1:$D$996),"")</f>
        <v>550</v>
      </c>
      <c r="H4280" s="92">
        <v>3.0249999999999999</v>
      </c>
      <c r="I4280" s="13">
        <v>0</v>
      </c>
      <c r="J4280" s="13">
        <v>0</v>
      </c>
      <c r="K4280" s="13"/>
      <c r="L4280"/>
      <c r="M4280"/>
      <c r="N4280"/>
      <c r="O4280"/>
      <c r="P4280"/>
      <c r="Q4280"/>
      <c r="R4280"/>
      <c r="S4280"/>
      <c r="T4280"/>
      <c r="U4280"/>
      <c r="V4280"/>
      <c r="W4280"/>
      <c r="X4280"/>
      <c r="Y4280"/>
      <c r="Z4280"/>
      <c r="AA4280"/>
      <c r="AB4280"/>
      <c r="AC4280"/>
      <c r="AD4280"/>
      <c r="AE4280"/>
      <c r="AF4280"/>
      <c r="AG4280"/>
      <c r="AH4280"/>
      <c r="AI4280"/>
      <c r="AJ4280"/>
      <c r="AK4280"/>
      <c r="AL4280"/>
    </row>
    <row r="4281" spans="1:38" ht="15.75" customHeight="1" outlineLevel="3" x14ac:dyDescent="0.2">
      <c r="A4281" s="10">
        <v>41</v>
      </c>
      <c r="B4281" s="10" t="s">
        <v>71</v>
      </c>
      <c r="C4281" s="10" t="s">
        <v>1644</v>
      </c>
      <c r="D4281" s="10" t="s">
        <v>503</v>
      </c>
      <c r="E4281" s="11" t="str">
        <f t="array" ref="E4281">_xlfn.XLOOKUP(D4281,Insumos!B:B,Insumos!C:$C)</f>
        <v>L</v>
      </c>
      <c r="F4281" s="14">
        <v>3.5000000000000005E-3</v>
      </c>
      <c r="G4281" s="92">
        <f t="array" ref="G4281">IF(B4281="insumo",_xlfn.XLOOKUP($D4281,Insumos!$B$1:$B$996,Insumos!$D$1:$D$996),"")</f>
        <v>19.34</v>
      </c>
      <c r="H4281" s="92">
        <v>6.769E-2</v>
      </c>
      <c r="I4281" s="13">
        <v>0</v>
      </c>
      <c r="J4281" s="13">
        <v>0</v>
      </c>
      <c r="K4281" s="13"/>
      <c r="L4281"/>
      <c r="M4281"/>
      <c r="N4281"/>
      <c r="O4281"/>
      <c r="P4281"/>
      <c r="Q4281"/>
      <c r="R4281"/>
      <c r="S4281"/>
      <c r="T4281"/>
      <c r="U4281"/>
      <c r="V4281"/>
      <c r="W4281"/>
      <c r="X4281"/>
      <c r="Y4281"/>
      <c r="Z4281"/>
      <c r="AA4281"/>
      <c r="AB4281"/>
      <c r="AC4281"/>
      <c r="AD4281"/>
      <c r="AE4281"/>
      <c r="AF4281"/>
      <c r="AG4281"/>
      <c r="AH4281"/>
      <c r="AI4281"/>
      <c r="AJ4281"/>
      <c r="AK4281"/>
      <c r="AL4281"/>
    </row>
    <row r="4282" spans="1:38" ht="15.75" customHeight="1" outlineLevel="3" x14ac:dyDescent="0.2">
      <c r="A4282" s="10">
        <v>62</v>
      </c>
      <c r="B4282" s="10" t="s">
        <v>71</v>
      </c>
      <c r="C4282" s="10" t="s">
        <v>1644</v>
      </c>
      <c r="D4282" s="10" t="s">
        <v>160</v>
      </c>
      <c r="E4282" s="11" t="str">
        <f t="array" ref="E4282">_xlfn.XLOOKUP(D4282,Insumos!B:B,Insumos!C:$C)</f>
        <v>KG</v>
      </c>
      <c r="F4282" s="14">
        <v>8.3333333333333343E-2</v>
      </c>
      <c r="G4282" s="92">
        <f t="array" ref="G4282">IF(B4282="insumo",_xlfn.XLOOKUP($D4282,Insumos!$B$1:$B$996,Insumos!$D$1:$D$996),"")</f>
        <v>0.76</v>
      </c>
      <c r="H4282" s="92">
        <v>6.3333333333333297E-2</v>
      </c>
      <c r="I4282" s="13">
        <v>0</v>
      </c>
      <c r="J4282" s="13">
        <v>0</v>
      </c>
      <c r="K4282" s="13"/>
      <c r="L4282"/>
      <c r="M4282"/>
      <c r="N4282"/>
      <c r="O4282"/>
      <c r="P4282"/>
      <c r="Q4282"/>
      <c r="R4282"/>
      <c r="S4282"/>
      <c r="T4282"/>
      <c r="U4282"/>
      <c r="V4282"/>
      <c r="W4282"/>
      <c r="X4282"/>
      <c r="Y4282"/>
      <c r="Z4282"/>
      <c r="AA4282"/>
      <c r="AB4282"/>
      <c r="AC4282"/>
      <c r="AD4282"/>
      <c r="AE4282"/>
      <c r="AF4282"/>
      <c r="AG4282"/>
      <c r="AH4282"/>
      <c r="AI4282"/>
      <c r="AJ4282"/>
      <c r="AK4282"/>
      <c r="AL4282"/>
    </row>
    <row r="4283" spans="1:38" ht="15.75" customHeight="1" outlineLevel="2" x14ac:dyDescent="0.2">
      <c r="A4283" s="1067">
        <v>1</v>
      </c>
      <c r="B4283" s="1067" t="s">
        <v>68</v>
      </c>
      <c r="C4283" s="1067" t="s">
        <v>894</v>
      </c>
      <c r="D4283" s="1067" t="s">
        <v>894</v>
      </c>
      <c r="E4283" s="1068" t="s">
        <v>70</v>
      </c>
      <c r="F4283" s="1067"/>
      <c r="G4283" s="1069" t="str">
        <f t="array" ref="G4283">IF(B4283="insumo",_xlfn.XLOOKUP($D4283,Insumos!$B$1:$B$996,Insumos!$D$1:$D$996),"")</f>
        <v/>
      </c>
      <c r="H4283" s="1069">
        <v>10.11778</v>
      </c>
      <c r="I4283" s="1070" t="e">
        <v>#REF!</v>
      </c>
      <c r="J4283" s="1070" t="e">
        <v>#REF!</v>
      </c>
      <c r="K4283" s="1070"/>
      <c r="L4283"/>
      <c r="M4283"/>
      <c r="N4283"/>
      <c r="O4283"/>
      <c r="P4283"/>
      <c r="Q4283"/>
      <c r="R4283"/>
      <c r="S4283"/>
      <c r="T4283"/>
      <c r="U4283"/>
      <c r="V4283"/>
      <c r="W4283"/>
      <c r="X4283"/>
      <c r="Y4283"/>
      <c r="Z4283"/>
      <c r="AA4283"/>
      <c r="AB4283"/>
      <c r="AC4283"/>
      <c r="AD4283"/>
      <c r="AE4283"/>
      <c r="AF4283"/>
      <c r="AG4283"/>
      <c r="AH4283"/>
      <c r="AI4283"/>
      <c r="AJ4283"/>
      <c r="AK4283"/>
      <c r="AL4283"/>
    </row>
    <row r="4284" spans="1:38" ht="15.75" customHeight="1" outlineLevel="3" x14ac:dyDescent="0.2">
      <c r="A4284" s="10">
        <v>191</v>
      </c>
      <c r="B4284" s="10" t="s">
        <v>71</v>
      </c>
      <c r="C4284" s="10" t="s">
        <v>894</v>
      </c>
      <c r="D4284" s="10" t="s">
        <v>481</v>
      </c>
      <c r="E4284" s="11" t="str">
        <f t="array" ref="E4284">_xlfn.XLOOKUP(D4284,Insumos!B:B,Insumos!C:$C)</f>
        <v>KG</v>
      </c>
      <c r="F4284" s="14">
        <v>6.34</v>
      </c>
      <c r="G4284" s="92">
        <f t="array" ref="G4284">IF(B4284="insumo",_xlfn.XLOOKUP($D4284,Insumos!$B$1:$B$996,Insumos!$D$1:$D$996),"")</f>
        <v>1.0645</v>
      </c>
      <c r="H4284" s="92">
        <v>6.7489299999999997</v>
      </c>
      <c r="I4284" s="13" t="e">
        <v>#REF!</v>
      </c>
      <c r="J4284" s="13" t="e">
        <v>#REF!</v>
      </c>
      <c r="K4284" s="13"/>
      <c r="L4284"/>
      <c r="M4284"/>
      <c r="N4284"/>
      <c r="O4284"/>
      <c r="P4284"/>
      <c r="Q4284"/>
      <c r="R4284"/>
      <c r="S4284"/>
      <c r="T4284"/>
      <c r="U4284"/>
      <c r="V4284"/>
      <c r="W4284"/>
      <c r="X4284"/>
      <c r="Y4284"/>
      <c r="Z4284"/>
      <c r="AA4284"/>
      <c r="AB4284"/>
      <c r="AC4284"/>
      <c r="AD4284"/>
      <c r="AE4284"/>
      <c r="AF4284"/>
      <c r="AG4284"/>
      <c r="AH4284"/>
      <c r="AI4284"/>
      <c r="AJ4284"/>
      <c r="AK4284"/>
      <c r="AL4284"/>
    </row>
    <row r="4285" spans="1:38" ht="15.75" customHeight="1" outlineLevel="3" x14ac:dyDescent="0.2">
      <c r="A4285" s="10">
        <v>4</v>
      </c>
      <c r="B4285" s="10" t="s">
        <v>71</v>
      </c>
      <c r="C4285" s="10" t="s">
        <v>894</v>
      </c>
      <c r="D4285" s="10" t="s">
        <v>483</v>
      </c>
      <c r="E4285" s="11" t="str">
        <f t="array" ref="E4285">_xlfn.XLOOKUP(D4285,Insumos!B:B,Insumos!C:$C)</f>
        <v>KG</v>
      </c>
      <c r="F4285" s="14">
        <v>0.3</v>
      </c>
      <c r="G4285" s="92">
        <f t="array" ref="G4285">IF(B4285="insumo",_xlfn.XLOOKUP($D4285,Insumos!$B$1:$B$996,Insumos!$D$1:$D$996),"")</f>
        <v>11.2295</v>
      </c>
      <c r="H4285" s="92">
        <v>3.3688500000000001</v>
      </c>
      <c r="I4285" s="13" t="e">
        <v>#REF!</v>
      </c>
      <c r="J4285" s="13" t="e">
        <v>#REF!</v>
      </c>
      <c r="K4285" s="13"/>
      <c r="L4285"/>
      <c r="M4285"/>
      <c r="N4285"/>
      <c r="O4285"/>
      <c r="P4285"/>
      <c r="Q4285"/>
      <c r="R4285"/>
      <c r="S4285"/>
      <c r="T4285"/>
      <c r="U4285"/>
      <c r="V4285"/>
      <c r="W4285"/>
      <c r="X4285"/>
      <c r="Y4285"/>
      <c r="Z4285"/>
      <c r="AA4285"/>
      <c r="AB4285"/>
      <c r="AC4285"/>
      <c r="AD4285"/>
      <c r="AE4285"/>
      <c r="AF4285"/>
      <c r="AG4285"/>
      <c r="AH4285"/>
      <c r="AI4285"/>
      <c r="AJ4285"/>
      <c r="AK4285"/>
      <c r="AL4285"/>
    </row>
    <row r="4286" spans="1:38" ht="15.75" customHeight="1" outlineLevel="2" x14ac:dyDescent="0.2">
      <c r="A4286" s="1067">
        <v>1</v>
      </c>
      <c r="B4286" s="1067" t="s">
        <v>68</v>
      </c>
      <c r="C4286" s="1067" t="s">
        <v>855</v>
      </c>
      <c r="D4286" s="1067" t="s">
        <v>855</v>
      </c>
      <c r="E4286" s="1068" t="s">
        <v>70</v>
      </c>
      <c r="F4286" s="1067"/>
      <c r="G4286" s="1069" t="str">
        <f t="array" ref="G4286">IF(B4286="insumo",_xlfn.XLOOKUP($D4286,Insumos!$B$1:$B$996,Insumos!$D$1:$D$996),"")</f>
        <v/>
      </c>
      <c r="H4286" s="1069">
        <v>5.3224999999999998</v>
      </c>
      <c r="I4286" s="1070">
        <v>0</v>
      </c>
      <c r="J4286" s="1070">
        <v>0</v>
      </c>
      <c r="K4286" s="1070"/>
      <c r="L4286"/>
      <c r="M4286"/>
      <c r="N4286"/>
      <c r="O4286"/>
      <c r="P4286"/>
      <c r="Q4286"/>
      <c r="R4286"/>
      <c r="S4286"/>
      <c r="T4286"/>
      <c r="U4286"/>
      <c r="V4286"/>
      <c r="W4286"/>
      <c r="X4286"/>
      <c r="Y4286"/>
      <c r="Z4286"/>
      <c r="AA4286"/>
      <c r="AB4286"/>
      <c r="AC4286"/>
      <c r="AD4286"/>
      <c r="AE4286"/>
      <c r="AF4286"/>
      <c r="AG4286"/>
      <c r="AH4286"/>
      <c r="AI4286"/>
      <c r="AJ4286"/>
      <c r="AK4286"/>
      <c r="AL4286"/>
    </row>
    <row r="4287" spans="1:38" ht="15.75" customHeight="1" outlineLevel="3" x14ac:dyDescent="0.2">
      <c r="A4287" s="10">
        <v>191</v>
      </c>
      <c r="B4287" s="10" t="s">
        <v>71</v>
      </c>
      <c r="C4287" s="10" t="s">
        <v>855</v>
      </c>
      <c r="D4287" s="10" t="s">
        <v>481</v>
      </c>
      <c r="E4287" s="11" t="str">
        <f t="array" ref="E4287">_xlfn.XLOOKUP(D4287,Insumos!B:B,Insumos!C:$C)</f>
        <v>KG</v>
      </c>
      <c r="F4287" s="14">
        <v>5</v>
      </c>
      <c r="G4287" s="92">
        <f t="array" ref="G4287">IF(B4287="insumo",_xlfn.XLOOKUP($D4287,Insumos!$B$1:$B$996,Insumos!$D$1:$D$996),"")</f>
        <v>1.0645</v>
      </c>
      <c r="H4287" s="92">
        <v>5.3224999999999998</v>
      </c>
      <c r="I4287" s="13">
        <v>0</v>
      </c>
      <c r="J4287" s="13">
        <v>0</v>
      </c>
      <c r="K4287" s="13"/>
      <c r="L4287"/>
      <c r="M4287"/>
      <c r="N4287"/>
      <c r="O4287"/>
      <c r="P4287"/>
      <c r="Q4287"/>
      <c r="R4287"/>
      <c r="S4287"/>
      <c r="T4287"/>
      <c r="U4287"/>
      <c r="V4287"/>
      <c r="W4287"/>
      <c r="X4287"/>
      <c r="Y4287"/>
      <c r="Z4287"/>
      <c r="AA4287"/>
      <c r="AB4287"/>
      <c r="AC4287"/>
      <c r="AD4287"/>
      <c r="AE4287"/>
      <c r="AF4287"/>
      <c r="AG4287"/>
      <c r="AH4287"/>
      <c r="AI4287"/>
      <c r="AJ4287"/>
      <c r="AK4287"/>
      <c r="AL4287"/>
    </row>
    <row r="4288" spans="1:38" ht="15.75" customHeight="1" outlineLevel="2" x14ac:dyDescent="0.2">
      <c r="A4288" s="1067">
        <v>1</v>
      </c>
      <c r="B4288" s="1067" t="s">
        <v>68</v>
      </c>
      <c r="C4288" s="1067" t="s">
        <v>854</v>
      </c>
      <c r="D4288" s="1067" t="s">
        <v>854</v>
      </c>
      <c r="E4288" s="1068" t="s">
        <v>70</v>
      </c>
      <c r="F4288" s="1067"/>
      <c r="G4288" s="1069" t="str">
        <f t="array" ref="G4288">IF(B4288="insumo",_xlfn.XLOOKUP($D4288,Insumos!$B$1:$B$996,Insumos!$D$1:$D$996),"")</f>
        <v/>
      </c>
      <c r="H4288" s="1069">
        <v>3.28945</v>
      </c>
      <c r="I4288" s="1070" t="e">
        <v>#REF!</v>
      </c>
      <c r="J4288" s="1070" t="e">
        <v>#REF!</v>
      </c>
      <c r="K4288" s="1070"/>
      <c r="L4288"/>
      <c r="M4288"/>
      <c r="N4288"/>
      <c r="O4288"/>
      <c r="P4288"/>
      <c r="Q4288"/>
      <c r="R4288"/>
      <c r="S4288"/>
      <c r="T4288"/>
      <c r="U4288"/>
      <c r="V4288"/>
      <c r="W4288"/>
      <c r="X4288"/>
      <c r="Y4288"/>
      <c r="Z4288"/>
      <c r="AA4288"/>
      <c r="AB4288"/>
      <c r="AC4288"/>
      <c r="AD4288"/>
      <c r="AE4288"/>
      <c r="AF4288"/>
      <c r="AG4288"/>
      <c r="AH4288"/>
      <c r="AI4288"/>
      <c r="AJ4288"/>
      <c r="AK4288"/>
      <c r="AL4288"/>
    </row>
    <row r="4289" spans="1:38" ht="15.75" customHeight="1" outlineLevel="3" x14ac:dyDescent="0.2">
      <c r="A4289" s="10">
        <v>2</v>
      </c>
      <c r="B4289" s="10" t="s">
        <v>71</v>
      </c>
      <c r="C4289" s="15" t="s">
        <v>854</v>
      </c>
      <c r="D4289" s="15" t="s">
        <v>492</v>
      </c>
      <c r="E4289" s="11" t="str">
        <f t="array" ref="E4289">_xlfn.XLOOKUP(D4289,Insumos!B:B,Insumos!C:$C)</f>
        <v>M3</v>
      </c>
      <c r="F4289" s="14">
        <v>5.0000000000000001E-3</v>
      </c>
      <c r="G4289" s="92">
        <f t="array" ref="G4289">IF(B4289="insumo",_xlfn.XLOOKUP($D4289,Insumos!$B$1:$B$996,Insumos!$D$1:$D$996),"")</f>
        <v>657.89</v>
      </c>
      <c r="H4289" s="92">
        <v>3.28945</v>
      </c>
      <c r="I4289" s="13" t="e">
        <v>#REF!</v>
      </c>
      <c r="J4289" s="13" t="e">
        <v>#REF!</v>
      </c>
      <c r="K4289" s="13"/>
      <c r="L4289"/>
      <c r="M4289"/>
      <c r="N4289"/>
      <c r="O4289"/>
      <c r="P4289"/>
      <c r="Q4289"/>
      <c r="R4289"/>
      <c r="S4289"/>
      <c r="T4289"/>
      <c r="U4289"/>
      <c r="V4289"/>
      <c r="W4289"/>
      <c r="X4289"/>
      <c r="Y4289"/>
      <c r="Z4289"/>
      <c r="AA4289"/>
      <c r="AB4289"/>
      <c r="AC4289"/>
      <c r="AD4289"/>
      <c r="AE4289"/>
      <c r="AF4289"/>
      <c r="AG4289"/>
      <c r="AH4289"/>
      <c r="AI4289"/>
      <c r="AJ4289"/>
      <c r="AK4289"/>
      <c r="AL4289"/>
    </row>
    <row r="4290" spans="1:38" ht="15.75" customHeight="1" outlineLevel="2" x14ac:dyDescent="0.2">
      <c r="A4290" s="1067">
        <v>1</v>
      </c>
      <c r="B4290" s="1067" t="s">
        <v>68</v>
      </c>
      <c r="C4290" s="1067" t="s">
        <v>888</v>
      </c>
      <c r="D4290" s="1067" t="s">
        <v>888</v>
      </c>
      <c r="E4290" s="1068" t="s">
        <v>70</v>
      </c>
      <c r="F4290" s="1067"/>
      <c r="G4290" s="1069" t="str">
        <f t="array" ref="G4290">IF(B4290="insumo",_xlfn.XLOOKUP($D4290,Insumos!$B$1:$B$996,Insumos!$D$1:$D$996),"")</f>
        <v/>
      </c>
      <c r="H4290" s="1069">
        <v>2.6597339999999998</v>
      </c>
      <c r="I4290" s="1070">
        <v>0</v>
      </c>
      <c r="J4290" s="1070">
        <v>0</v>
      </c>
      <c r="K4290" s="1070"/>
      <c r="L4290"/>
      <c r="M4290"/>
      <c r="N4290"/>
      <c r="O4290"/>
      <c r="P4290"/>
      <c r="Q4290"/>
      <c r="R4290"/>
      <c r="S4290"/>
      <c r="T4290"/>
      <c r="U4290"/>
      <c r="V4290"/>
      <c r="W4290"/>
      <c r="X4290"/>
      <c r="Y4290"/>
      <c r="Z4290"/>
      <c r="AA4290"/>
      <c r="AB4290"/>
      <c r="AC4290"/>
      <c r="AD4290"/>
      <c r="AE4290"/>
      <c r="AF4290"/>
      <c r="AG4290"/>
      <c r="AH4290"/>
      <c r="AI4290"/>
      <c r="AJ4290"/>
      <c r="AK4290"/>
      <c r="AL4290"/>
    </row>
    <row r="4291" spans="1:38" ht="15.75" customHeight="1" outlineLevel="3" x14ac:dyDescent="0.2">
      <c r="A4291" s="10">
        <v>2</v>
      </c>
      <c r="B4291" s="10" t="s">
        <v>71</v>
      </c>
      <c r="C4291" s="10" t="s">
        <v>888</v>
      </c>
      <c r="D4291" s="10" t="s">
        <v>485</v>
      </c>
      <c r="E4291" s="11" t="str">
        <f t="array" ref="E4291">_xlfn.XLOOKUP(D4291,Insumos!B:B,Insumos!C:$C)</f>
        <v>M3</v>
      </c>
      <c r="F4291" s="14">
        <v>4.1999999999999997E-3</v>
      </c>
      <c r="G4291" s="92">
        <f t="array" ref="G4291">IF(B4291="insumo",_xlfn.XLOOKUP($D4291,Insumos!$B$1:$B$996,Insumos!$D$1:$D$996),"")</f>
        <v>633.27</v>
      </c>
      <c r="H4291" s="92">
        <v>2.6597339999999998</v>
      </c>
      <c r="I4291" s="13">
        <v>0</v>
      </c>
      <c r="J4291" s="13">
        <v>0</v>
      </c>
      <c r="K4291" s="13"/>
      <c r="L4291"/>
      <c r="M4291"/>
      <c r="N4291"/>
      <c r="O4291"/>
      <c r="P4291"/>
      <c r="Q4291"/>
      <c r="R4291"/>
      <c r="S4291"/>
      <c r="T4291"/>
      <c r="U4291"/>
      <c r="V4291"/>
      <c r="W4291"/>
      <c r="X4291"/>
      <c r="Y4291"/>
      <c r="Z4291"/>
      <c r="AA4291"/>
      <c r="AB4291"/>
      <c r="AC4291"/>
      <c r="AD4291"/>
      <c r="AE4291"/>
      <c r="AF4291"/>
      <c r="AG4291"/>
      <c r="AH4291"/>
      <c r="AI4291"/>
      <c r="AJ4291"/>
      <c r="AK4291"/>
      <c r="AL4291"/>
    </row>
    <row r="4292" spans="1:38" ht="15.75" customHeight="1" outlineLevel="2" x14ac:dyDescent="0.2">
      <c r="A4292" s="1067">
        <v>1</v>
      </c>
      <c r="B4292" s="1067" t="s">
        <v>68</v>
      </c>
      <c r="C4292" s="1067" t="s">
        <v>1577</v>
      </c>
      <c r="D4292" s="1067" t="s">
        <v>1577</v>
      </c>
      <c r="E4292" s="1068" t="s">
        <v>70</v>
      </c>
      <c r="F4292" s="1067"/>
      <c r="G4292" s="1069" t="str">
        <f t="array" ref="G4292">IF(B4292="insumo",_xlfn.XLOOKUP($D4292,Insumos!$B$1:$B$996,Insumos!$D$1:$D$996),"")</f>
        <v/>
      </c>
      <c r="H4292" s="1069">
        <v>4</v>
      </c>
      <c r="I4292" s="1070">
        <v>0</v>
      </c>
      <c r="J4292" s="1070">
        <v>0</v>
      </c>
      <c r="K4292" s="1070"/>
      <c r="L4292"/>
      <c r="M4292"/>
      <c r="N4292"/>
      <c r="O4292"/>
      <c r="P4292"/>
      <c r="Q4292"/>
      <c r="R4292"/>
      <c r="S4292"/>
      <c r="T4292"/>
      <c r="U4292"/>
      <c r="V4292"/>
      <c r="W4292"/>
      <c r="X4292"/>
      <c r="Y4292"/>
      <c r="Z4292"/>
      <c r="AA4292"/>
      <c r="AB4292"/>
      <c r="AC4292"/>
      <c r="AD4292"/>
      <c r="AE4292"/>
      <c r="AF4292"/>
      <c r="AG4292"/>
      <c r="AH4292"/>
      <c r="AI4292"/>
      <c r="AJ4292"/>
      <c r="AK4292"/>
      <c r="AL4292"/>
    </row>
    <row r="4293" spans="1:38" ht="15.75" customHeight="1" outlineLevel="3" x14ac:dyDescent="0.2">
      <c r="A4293" s="10">
        <v>6</v>
      </c>
      <c r="B4293" s="10" t="s">
        <v>71</v>
      </c>
      <c r="C4293" s="10" t="s">
        <v>1577</v>
      </c>
      <c r="D4293" s="10" t="s">
        <v>487</v>
      </c>
      <c r="E4293" s="11" t="str">
        <f t="array" ref="E4293">_xlfn.XLOOKUP(D4293,Insumos!B:B,Insumos!C:$C)</f>
        <v>KG</v>
      </c>
      <c r="F4293" s="14">
        <v>5</v>
      </c>
      <c r="G4293" s="92">
        <f t="array" ref="G4293">IF(B4293="insumo",_xlfn.XLOOKUP($D4293,Insumos!$B$1:$B$996,Insumos!$D$1:$D$996),"")</f>
        <v>0.8</v>
      </c>
      <c r="H4293" s="92">
        <v>4</v>
      </c>
      <c r="I4293" s="13">
        <v>0</v>
      </c>
      <c r="J4293" s="13">
        <v>0</v>
      </c>
      <c r="K4293" s="13"/>
      <c r="L4293"/>
      <c r="M4293"/>
      <c r="N4293"/>
      <c r="O4293"/>
      <c r="P4293"/>
      <c r="Q4293"/>
      <c r="R4293"/>
      <c r="S4293"/>
      <c r="T4293"/>
      <c r="U4293"/>
      <c r="V4293"/>
      <c r="W4293"/>
      <c r="X4293"/>
      <c r="Y4293"/>
      <c r="Z4293"/>
      <c r="AA4293"/>
      <c r="AB4293"/>
      <c r="AC4293"/>
      <c r="AD4293"/>
      <c r="AE4293"/>
      <c r="AF4293"/>
      <c r="AG4293"/>
      <c r="AH4293"/>
      <c r="AI4293"/>
      <c r="AJ4293"/>
      <c r="AK4293"/>
      <c r="AL4293"/>
    </row>
    <row r="4294" spans="1:38" ht="15.75" customHeight="1" outlineLevel="2" x14ac:dyDescent="0.2">
      <c r="A4294" s="1067">
        <v>1</v>
      </c>
      <c r="B4294" s="1067" t="s">
        <v>68</v>
      </c>
      <c r="C4294" s="1067" t="s">
        <v>1578</v>
      </c>
      <c r="D4294" s="1067" t="s">
        <v>1578</v>
      </c>
      <c r="E4294" s="1068" t="s">
        <v>70</v>
      </c>
      <c r="F4294" s="1067"/>
      <c r="G4294" s="1069" t="str">
        <f t="array" ref="G4294">IF(B4294="insumo",_xlfn.XLOOKUP($D4294,Insumos!$B$1:$B$996,Insumos!$D$1:$D$996),"")</f>
        <v/>
      </c>
      <c r="H4294" s="1069">
        <v>4</v>
      </c>
      <c r="I4294" s="1070">
        <v>0</v>
      </c>
      <c r="J4294" s="1070">
        <v>0</v>
      </c>
      <c r="K4294" s="1070"/>
      <c r="L4294"/>
      <c r="M4294"/>
      <c r="N4294"/>
      <c r="O4294"/>
      <c r="P4294"/>
      <c r="Q4294"/>
      <c r="R4294"/>
      <c r="S4294"/>
      <c r="T4294"/>
      <c r="U4294"/>
      <c r="V4294"/>
      <c r="W4294"/>
      <c r="X4294"/>
      <c r="Y4294"/>
      <c r="Z4294"/>
      <c r="AA4294"/>
      <c r="AB4294"/>
      <c r="AC4294"/>
      <c r="AD4294"/>
      <c r="AE4294"/>
      <c r="AF4294"/>
      <c r="AG4294"/>
      <c r="AH4294"/>
      <c r="AI4294"/>
      <c r="AJ4294"/>
      <c r="AK4294"/>
      <c r="AL4294"/>
    </row>
    <row r="4295" spans="1:38" ht="15.75" customHeight="1" outlineLevel="3" x14ac:dyDescent="0.2">
      <c r="A4295" s="10">
        <v>6</v>
      </c>
      <c r="B4295" s="10" t="s">
        <v>71</v>
      </c>
      <c r="C4295" s="10" t="s">
        <v>1578</v>
      </c>
      <c r="D4295" s="10" t="s">
        <v>487</v>
      </c>
      <c r="E4295" s="11" t="str">
        <f t="array" ref="E4295">_xlfn.XLOOKUP(D4295,Insumos!B:B,Insumos!C:$C)</f>
        <v>KG</v>
      </c>
      <c r="F4295" s="14">
        <v>5</v>
      </c>
      <c r="G4295" s="92">
        <f t="array" ref="G4295">IF(B4295="insumo",_xlfn.XLOOKUP($D4295,Insumos!$B$1:$B$996,Insumos!$D$1:$D$996),"")</f>
        <v>0.8</v>
      </c>
      <c r="H4295" s="92">
        <v>4</v>
      </c>
      <c r="I4295" s="13">
        <v>0</v>
      </c>
      <c r="J4295" s="13">
        <v>0</v>
      </c>
      <c r="K4295" s="13"/>
      <c r="L4295"/>
      <c r="M4295"/>
      <c r="N4295"/>
      <c r="O4295"/>
      <c r="P4295"/>
      <c r="Q4295"/>
      <c r="R4295"/>
      <c r="S4295"/>
      <c r="T4295"/>
      <c r="U4295"/>
      <c r="V4295"/>
      <c r="W4295"/>
      <c r="X4295"/>
      <c r="Y4295"/>
      <c r="Z4295"/>
      <c r="AA4295"/>
      <c r="AB4295"/>
      <c r="AC4295"/>
      <c r="AD4295"/>
      <c r="AE4295"/>
      <c r="AF4295"/>
      <c r="AG4295"/>
      <c r="AH4295"/>
      <c r="AI4295"/>
      <c r="AJ4295"/>
      <c r="AK4295"/>
      <c r="AL4295"/>
    </row>
    <row r="4296" spans="1:38" ht="15.75" customHeight="1" outlineLevel="2" x14ac:dyDescent="0.2">
      <c r="A4296" s="1067">
        <v>1</v>
      </c>
      <c r="B4296" s="1067" t="s">
        <v>68</v>
      </c>
      <c r="C4296" s="1067" t="s">
        <v>1579</v>
      </c>
      <c r="D4296" s="1067" t="s">
        <v>1579</v>
      </c>
      <c r="E4296" s="1068" t="s">
        <v>70</v>
      </c>
      <c r="F4296" s="1067"/>
      <c r="G4296" s="1069" t="str">
        <f t="array" ref="G4296">IF(B4296="insumo",_xlfn.XLOOKUP($D4296,Insumos!$B$1:$B$996,Insumos!$D$1:$D$996),"")</f>
        <v/>
      </c>
      <c r="H4296" s="1069">
        <v>19</v>
      </c>
      <c r="I4296" s="1070">
        <v>0</v>
      </c>
      <c r="J4296" s="1070">
        <v>0</v>
      </c>
      <c r="K4296" s="1070"/>
      <c r="L4296"/>
      <c r="M4296"/>
      <c r="N4296"/>
      <c r="O4296"/>
      <c r="P4296"/>
      <c r="Q4296"/>
      <c r="R4296"/>
      <c r="S4296"/>
      <c r="T4296"/>
      <c r="U4296"/>
      <c r="V4296"/>
      <c r="W4296"/>
      <c r="X4296"/>
      <c r="Y4296"/>
      <c r="Z4296"/>
      <c r="AA4296"/>
      <c r="AB4296"/>
      <c r="AC4296"/>
      <c r="AD4296"/>
      <c r="AE4296"/>
      <c r="AF4296"/>
      <c r="AG4296"/>
      <c r="AH4296"/>
      <c r="AI4296"/>
      <c r="AJ4296"/>
      <c r="AK4296"/>
      <c r="AL4296"/>
    </row>
    <row r="4297" spans="1:38" ht="15.75" customHeight="1" outlineLevel="3" x14ac:dyDescent="0.2">
      <c r="A4297" s="10">
        <v>3</v>
      </c>
      <c r="B4297" s="10" t="s">
        <v>71</v>
      </c>
      <c r="C4297" s="10" t="s">
        <v>1579</v>
      </c>
      <c r="D4297" s="10" t="s">
        <v>1409</v>
      </c>
      <c r="E4297" s="11" t="str">
        <f t="array" ref="E4297">_xlfn.XLOOKUP(D4297,Insumos!B:B,Insumos!C:$C)</f>
        <v>KG</v>
      </c>
      <c r="F4297" s="14">
        <v>20</v>
      </c>
      <c r="G4297" s="92">
        <f t="array" ref="G4297">IF(B4297="insumo",_xlfn.XLOOKUP($D4297,Insumos!$B$1:$B$996,Insumos!$D$1:$D$996),"")</f>
        <v>0.95</v>
      </c>
      <c r="H4297" s="92">
        <v>19</v>
      </c>
      <c r="I4297" s="13">
        <v>0</v>
      </c>
      <c r="J4297" s="13">
        <v>0</v>
      </c>
      <c r="K4297" s="13"/>
      <c r="L4297"/>
      <c r="M4297"/>
      <c r="N4297"/>
      <c r="O4297"/>
      <c r="P4297"/>
      <c r="Q4297"/>
      <c r="R4297"/>
      <c r="S4297"/>
      <c r="T4297"/>
      <c r="U4297"/>
      <c r="V4297"/>
      <c r="W4297"/>
      <c r="X4297"/>
      <c r="Y4297"/>
      <c r="Z4297"/>
      <c r="AA4297"/>
      <c r="AB4297"/>
      <c r="AC4297"/>
      <c r="AD4297"/>
      <c r="AE4297"/>
      <c r="AF4297"/>
      <c r="AG4297"/>
      <c r="AH4297"/>
      <c r="AI4297"/>
      <c r="AJ4297"/>
      <c r="AK4297"/>
      <c r="AL4297"/>
    </row>
    <row r="4298" spans="1:38" ht="15.75" customHeight="1" outlineLevel="2" x14ac:dyDescent="0.2">
      <c r="A4298" s="1067">
        <v>1</v>
      </c>
      <c r="B4298" s="1067" t="s">
        <v>68</v>
      </c>
      <c r="C4298" s="1067" t="s">
        <v>895</v>
      </c>
      <c r="D4298" s="1067" t="s">
        <v>895</v>
      </c>
      <c r="E4298" s="1068" t="s">
        <v>70</v>
      </c>
      <c r="F4298" s="1067"/>
      <c r="G4298" s="1069" t="str">
        <f t="array" ref="G4298">IF(B4298="insumo",_xlfn.XLOOKUP($D4298,Insumos!$B$1:$B$996,Insumos!$D$1:$D$996),"")</f>
        <v/>
      </c>
      <c r="H4298" s="1069">
        <v>14.525</v>
      </c>
      <c r="I4298" s="1070">
        <v>0</v>
      </c>
      <c r="J4298" s="1070">
        <v>0</v>
      </c>
      <c r="K4298" s="1070"/>
      <c r="L4298"/>
      <c r="M4298"/>
      <c r="N4298"/>
      <c r="O4298"/>
      <c r="P4298"/>
      <c r="Q4298"/>
      <c r="R4298"/>
      <c r="S4298"/>
      <c r="T4298"/>
      <c r="U4298"/>
      <c r="V4298"/>
      <c r="W4298"/>
      <c r="X4298"/>
      <c r="Y4298"/>
      <c r="Z4298"/>
      <c r="AA4298"/>
      <c r="AB4298"/>
      <c r="AC4298"/>
      <c r="AD4298"/>
      <c r="AE4298"/>
      <c r="AF4298"/>
      <c r="AG4298"/>
      <c r="AH4298"/>
      <c r="AI4298"/>
      <c r="AJ4298"/>
      <c r="AK4298"/>
      <c r="AL4298"/>
    </row>
    <row r="4299" spans="1:38" ht="15.75" customHeight="1" outlineLevel="3" x14ac:dyDescent="0.2">
      <c r="A4299" s="10">
        <v>7</v>
      </c>
      <c r="B4299" s="10" t="s">
        <v>71</v>
      </c>
      <c r="C4299" s="10" t="s">
        <v>895</v>
      </c>
      <c r="D4299" s="10" t="s">
        <v>496</v>
      </c>
      <c r="E4299" s="11" t="str">
        <f t="array" ref="E4299">_xlfn.XLOOKUP(D4299,Insumos!B:B,Insumos!C:$C)</f>
        <v>M3</v>
      </c>
      <c r="F4299" s="14">
        <f>0.035</f>
        <v>3.5000000000000003E-2</v>
      </c>
      <c r="G4299" s="92">
        <f t="array" ref="G4299">IF(B4299="insumo",_xlfn.XLOOKUP($D4299,Insumos!$B$1:$B$996,Insumos!$D$1:$D$996),"")</f>
        <v>415</v>
      </c>
      <c r="H4299" s="92">
        <v>14.525</v>
      </c>
      <c r="I4299" s="13">
        <v>0</v>
      </c>
      <c r="J4299" s="13">
        <v>0</v>
      </c>
      <c r="K4299" s="13"/>
      <c r="L4299"/>
      <c r="M4299"/>
      <c r="N4299"/>
      <c r="O4299"/>
      <c r="P4299"/>
      <c r="Q4299"/>
      <c r="R4299"/>
      <c r="S4299"/>
      <c r="T4299"/>
      <c r="U4299"/>
      <c r="V4299"/>
      <c r="W4299"/>
      <c r="X4299"/>
      <c r="Y4299"/>
      <c r="Z4299"/>
      <c r="AA4299"/>
      <c r="AB4299"/>
      <c r="AC4299"/>
      <c r="AD4299"/>
      <c r="AE4299"/>
      <c r="AF4299"/>
      <c r="AG4299"/>
      <c r="AH4299"/>
      <c r="AI4299"/>
      <c r="AJ4299"/>
      <c r="AK4299"/>
      <c r="AL4299"/>
    </row>
    <row r="4300" spans="1:38" ht="15.75" customHeight="1" outlineLevel="2" x14ac:dyDescent="0.2">
      <c r="A4300" s="1067">
        <v>1</v>
      </c>
      <c r="B4300" s="1067" t="s">
        <v>68</v>
      </c>
      <c r="C4300" s="1067" t="s">
        <v>853</v>
      </c>
      <c r="D4300" s="1067" t="s">
        <v>853</v>
      </c>
      <c r="E4300" s="1068" t="s">
        <v>70</v>
      </c>
      <c r="F4300" s="1067"/>
      <c r="G4300" s="1069" t="str">
        <f t="array" ref="G4300">IF(B4300="insumo",_xlfn.XLOOKUP($D4300,Insumos!$B$1:$B$996,Insumos!$D$1:$D$996),"")</f>
        <v/>
      </c>
      <c r="H4300" s="1069">
        <v>10.893750000000001</v>
      </c>
      <c r="I4300" s="1070" t="e">
        <v>#REF!</v>
      </c>
      <c r="J4300" s="1070" t="e">
        <v>#REF!</v>
      </c>
      <c r="K4300" s="1070"/>
      <c r="L4300"/>
      <c r="M4300"/>
      <c r="N4300"/>
      <c r="O4300"/>
      <c r="P4300"/>
      <c r="Q4300"/>
      <c r="R4300"/>
      <c r="S4300"/>
      <c r="T4300"/>
      <c r="U4300"/>
      <c r="V4300"/>
      <c r="W4300"/>
      <c r="X4300"/>
      <c r="Y4300"/>
      <c r="Z4300"/>
      <c r="AA4300"/>
      <c r="AB4300"/>
      <c r="AC4300"/>
      <c r="AD4300"/>
      <c r="AE4300"/>
      <c r="AF4300"/>
      <c r="AG4300"/>
      <c r="AH4300"/>
      <c r="AI4300"/>
      <c r="AJ4300"/>
      <c r="AK4300"/>
      <c r="AL4300"/>
    </row>
    <row r="4301" spans="1:38" ht="15.75" customHeight="1" outlineLevel="3" x14ac:dyDescent="0.2">
      <c r="A4301" s="10">
        <v>7</v>
      </c>
      <c r="B4301" s="10" t="s">
        <v>71</v>
      </c>
      <c r="C4301" s="10" t="s">
        <v>853</v>
      </c>
      <c r="D4301" s="10" t="s">
        <v>496</v>
      </c>
      <c r="E4301" s="11" t="str">
        <f t="array" ref="E4301">_xlfn.XLOOKUP(D4301,Insumos!B:B,Insumos!C:$C)</f>
        <v>M3</v>
      </c>
      <c r="F4301" s="14">
        <v>2.6250000000000002E-2</v>
      </c>
      <c r="G4301" s="92">
        <f t="array" ref="G4301">IF(B4301="insumo",_xlfn.XLOOKUP($D4301,Insumos!$B$1:$B$996,Insumos!$D$1:$D$996),"")</f>
        <v>415</v>
      </c>
      <c r="H4301" s="92">
        <v>10.893750000000001</v>
      </c>
      <c r="I4301" s="13" t="e">
        <v>#REF!</v>
      </c>
      <c r="J4301" s="13" t="e">
        <v>#REF!</v>
      </c>
      <c r="K4301" s="13"/>
      <c r="L4301"/>
      <c r="M4301"/>
      <c r="N4301"/>
      <c r="O4301"/>
      <c r="P4301"/>
      <c r="Q4301"/>
      <c r="R4301"/>
      <c r="S4301"/>
      <c r="T4301"/>
      <c r="U4301"/>
      <c r="V4301"/>
      <c r="W4301"/>
      <c r="X4301"/>
      <c r="Y4301"/>
      <c r="Z4301"/>
      <c r="AA4301"/>
      <c r="AB4301"/>
      <c r="AC4301"/>
      <c r="AD4301"/>
      <c r="AE4301"/>
      <c r="AF4301"/>
      <c r="AG4301"/>
      <c r="AH4301"/>
      <c r="AI4301"/>
      <c r="AJ4301"/>
      <c r="AK4301"/>
      <c r="AL4301"/>
    </row>
    <row r="4302" spans="1:38" ht="12.75" outlineLevel="2" x14ac:dyDescent="0.2">
      <c r="A4302" s="1071">
        <v>1</v>
      </c>
      <c r="B4302" s="1071" t="s">
        <v>68</v>
      </c>
      <c r="C4302" s="1071" t="s">
        <v>3124</v>
      </c>
      <c r="D4302" s="1071" t="s">
        <v>3124</v>
      </c>
      <c r="E4302" s="1072" t="s">
        <v>70</v>
      </c>
      <c r="F4302" s="1071"/>
      <c r="G4302" s="1073" t="str">
        <f t="array" ref="G4302">IF(B4302="insumo",_xlfn.XLOOKUP($D4302,Insumos!$B$1:$B$996,Insumos!$D$1:$D$996),"")</f>
        <v/>
      </c>
      <c r="H4302" s="1073">
        <v>7.6832054999999997</v>
      </c>
      <c r="I4302" s="1074">
        <v>0</v>
      </c>
      <c r="J4302" s="1074">
        <v>0</v>
      </c>
      <c r="K4302" s="1074"/>
      <c r="L4302"/>
      <c r="M4302"/>
      <c r="N4302"/>
      <c r="O4302"/>
      <c r="P4302"/>
      <c r="Q4302"/>
      <c r="R4302"/>
      <c r="S4302"/>
      <c r="T4302"/>
      <c r="U4302"/>
      <c r="V4302"/>
      <c r="W4302"/>
      <c r="X4302"/>
      <c r="Y4302"/>
      <c r="Z4302"/>
      <c r="AA4302"/>
      <c r="AB4302"/>
      <c r="AC4302"/>
      <c r="AD4302"/>
      <c r="AE4302"/>
      <c r="AF4302"/>
      <c r="AG4302"/>
      <c r="AH4302"/>
      <c r="AI4302"/>
      <c r="AJ4302"/>
      <c r="AK4302"/>
      <c r="AL4302"/>
    </row>
    <row r="4303" spans="1:38" ht="12.75" outlineLevel="3" x14ac:dyDescent="0.2">
      <c r="A4303" s="82">
        <v>4</v>
      </c>
      <c r="B4303" s="82" t="s">
        <v>71</v>
      </c>
      <c r="C4303" s="82" t="s">
        <v>3124</v>
      </c>
      <c r="D4303" s="82" t="s">
        <v>490</v>
      </c>
      <c r="E4303" s="11" t="str">
        <f t="array" ref="E4303">_xlfn.XLOOKUP(D4303,Insumos!B:B,Insumos!C:$C)</f>
        <v>KG</v>
      </c>
      <c r="F4303" s="86">
        <f>17.07379</f>
        <v>17.073789999999999</v>
      </c>
      <c r="G4303" s="92">
        <f t="array" ref="G4303">IF(B4303="insumo",_xlfn.XLOOKUP($D4303,Insumos!$B$1:$B$996,Insumos!$D$1:$D$996),"")</f>
        <v>0.45</v>
      </c>
      <c r="H4303" s="92">
        <v>7.6832054999999997</v>
      </c>
      <c r="I4303" s="84">
        <v>0</v>
      </c>
      <c r="J4303" s="84">
        <v>0</v>
      </c>
      <c r="K4303" s="84"/>
      <c r="L4303"/>
      <c r="M4303"/>
      <c r="N4303"/>
      <c r="O4303"/>
      <c r="P4303"/>
      <c r="Q4303"/>
      <c r="R4303"/>
      <c r="S4303"/>
      <c r="T4303"/>
      <c r="U4303"/>
      <c r="V4303"/>
      <c r="W4303"/>
      <c r="X4303"/>
      <c r="Y4303"/>
      <c r="Z4303"/>
      <c r="AA4303"/>
      <c r="AB4303"/>
      <c r="AC4303"/>
      <c r="AD4303"/>
      <c r="AE4303"/>
      <c r="AF4303"/>
      <c r="AG4303"/>
      <c r="AH4303"/>
      <c r="AI4303"/>
      <c r="AJ4303"/>
      <c r="AK4303"/>
      <c r="AL4303"/>
    </row>
    <row r="4304" spans="1:38" ht="15.75" customHeight="1" outlineLevel="2" x14ac:dyDescent="0.2">
      <c r="A4304" s="1067">
        <v>1</v>
      </c>
      <c r="B4304" s="1067" t="s">
        <v>68</v>
      </c>
      <c r="C4304" s="1067" t="s">
        <v>914</v>
      </c>
      <c r="D4304" s="1067" t="s">
        <v>914</v>
      </c>
      <c r="E4304" s="1068" t="s">
        <v>197</v>
      </c>
      <c r="F4304" s="1067"/>
      <c r="G4304" s="1069" t="str">
        <f t="array" ref="G4304">IF(B4304="insumo",_xlfn.XLOOKUP($D4304,Insumos!$B$1:$B$996,Insumos!$D$1:$D$996),"")</f>
        <v/>
      </c>
      <c r="H4304" s="1069">
        <v>4.1071999999999997</v>
      </c>
      <c r="I4304" s="1070">
        <v>0</v>
      </c>
      <c r="J4304" s="1070">
        <v>0</v>
      </c>
      <c r="K4304" s="1070"/>
      <c r="L4304"/>
      <c r="M4304"/>
      <c r="N4304"/>
      <c r="O4304"/>
      <c r="P4304"/>
      <c r="Q4304"/>
      <c r="R4304"/>
      <c r="S4304"/>
      <c r="T4304"/>
      <c r="U4304"/>
      <c r="V4304"/>
      <c r="W4304"/>
      <c r="X4304"/>
      <c r="Y4304"/>
      <c r="Z4304"/>
      <c r="AA4304"/>
      <c r="AB4304"/>
      <c r="AC4304"/>
      <c r="AD4304"/>
      <c r="AE4304"/>
      <c r="AF4304"/>
      <c r="AG4304"/>
      <c r="AH4304"/>
      <c r="AI4304"/>
      <c r="AJ4304"/>
      <c r="AK4304"/>
      <c r="AL4304"/>
    </row>
    <row r="4305" spans="1:38" ht="15.75" customHeight="1" outlineLevel="3" x14ac:dyDescent="0.2">
      <c r="A4305" s="10">
        <v>2</v>
      </c>
      <c r="B4305" s="10" t="s">
        <v>71</v>
      </c>
      <c r="C4305" s="10" t="s">
        <v>914</v>
      </c>
      <c r="D4305" s="10" t="s">
        <v>394</v>
      </c>
      <c r="E4305" s="11" t="str">
        <f t="array" ref="E4305">_xlfn.XLOOKUP(D4305,Insumos!B:B,Insumos!C:$C)</f>
        <v>UN</v>
      </c>
      <c r="F4305" s="14">
        <v>2</v>
      </c>
      <c r="G4305" s="92">
        <f t="array" ref="G4305">IF(B4305="insumo",_xlfn.XLOOKUP($D4305,Insumos!$B$1:$B$996,Insumos!$D$1:$D$996),"")</f>
        <v>0.43359999999999999</v>
      </c>
      <c r="H4305" s="92">
        <v>0.86719999999999997</v>
      </c>
      <c r="I4305" s="13">
        <v>0</v>
      </c>
      <c r="J4305" s="13">
        <v>0</v>
      </c>
      <c r="K4305" s="13"/>
      <c r="L4305"/>
      <c r="M4305"/>
      <c r="N4305"/>
      <c r="O4305"/>
      <c r="P4305"/>
      <c r="Q4305"/>
      <c r="R4305"/>
      <c r="S4305"/>
      <c r="T4305"/>
      <c r="U4305"/>
      <c r="V4305"/>
      <c r="W4305"/>
      <c r="X4305"/>
      <c r="Y4305"/>
      <c r="Z4305"/>
      <c r="AA4305"/>
      <c r="AB4305"/>
      <c r="AC4305"/>
      <c r="AD4305"/>
      <c r="AE4305"/>
      <c r="AF4305"/>
      <c r="AG4305"/>
      <c r="AH4305"/>
      <c r="AI4305"/>
      <c r="AJ4305"/>
      <c r="AK4305"/>
      <c r="AL4305"/>
    </row>
    <row r="4306" spans="1:38" ht="15.75" customHeight="1" outlineLevel="3" x14ac:dyDescent="0.2">
      <c r="A4306" s="10">
        <v>2</v>
      </c>
      <c r="B4306" s="10" t="s">
        <v>71</v>
      </c>
      <c r="C4306" s="10" t="s">
        <v>914</v>
      </c>
      <c r="D4306" s="10" t="s">
        <v>395</v>
      </c>
      <c r="E4306" s="11" t="str">
        <f t="array" ref="E4306">_xlfn.XLOOKUP(D4306,Insumos!B:B,Insumos!C:$C)</f>
        <v>UN</v>
      </c>
      <c r="F4306" s="14">
        <v>1</v>
      </c>
      <c r="G4306" s="92">
        <f t="array" ref="G4306">IF(B4306="insumo",_xlfn.XLOOKUP($D4306,Insumos!$B$1:$B$996,Insumos!$D$1:$D$996),"")</f>
        <v>2.5</v>
      </c>
      <c r="H4306" s="92">
        <v>2.5</v>
      </c>
      <c r="I4306" s="13">
        <v>0</v>
      </c>
      <c r="J4306" s="13">
        <v>0</v>
      </c>
      <c r="K4306" s="13"/>
      <c r="L4306"/>
      <c r="M4306"/>
      <c r="N4306"/>
      <c r="O4306"/>
      <c r="P4306"/>
      <c r="Q4306"/>
      <c r="R4306"/>
      <c r="S4306"/>
      <c r="T4306"/>
      <c r="U4306"/>
      <c r="V4306"/>
      <c r="W4306"/>
      <c r="X4306"/>
      <c r="Y4306"/>
      <c r="Z4306"/>
      <c r="AA4306"/>
      <c r="AB4306"/>
      <c r="AC4306"/>
      <c r="AD4306"/>
      <c r="AE4306"/>
      <c r="AF4306"/>
      <c r="AG4306"/>
      <c r="AH4306"/>
      <c r="AI4306"/>
      <c r="AJ4306"/>
      <c r="AK4306"/>
      <c r="AL4306"/>
    </row>
    <row r="4307" spans="1:38" ht="15.75" customHeight="1" outlineLevel="3" x14ac:dyDescent="0.2">
      <c r="A4307" s="10">
        <v>2</v>
      </c>
      <c r="B4307" s="10" t="s">
        <v>71</v>
      </c>
      <c r="C4307" s="10" t="s">
        <v>914</v>
      </c>
      <c r="D4307" s="10" t="s">
        <v>396</v>
      </c>
      <c r="E4307" s="11" t="str">
        <f t="array" ref="E4307">_xlfn.XLOOKUP(D4307,Insumos!B:B,Insumos!C:$C)</f>
        <v>UN</v>
      </c>
      <c r="F4307" s="14">
        <v>2</v>
      </c>
      <c r="G4307" s="92">
        <f t="array" ref="G4307">IF(B4307="insumo",_xlfn.XLOOKUP($D4307,Insumos!$B$1:$B$996,Insumos!$D$1:$D$996),"")</f>
        <v>0.37</v>
      </c>
      <c r="H4307" s="92">
        <v>0.74</v>
      </c>
      <c r="I4307" s="13">
        <v>0</v>
      </c>
      <c r="J4307" s="13">
        <v>0</v>
      </c>
      <c r="K4307" s="13"/>
      <c r="L4307"/>
      <c r="M4307"/>
      <c r="N4307"/>
      <c r="O4307"/>
      <c r="P4307"/>
      <c r="Q4307"/>
      <c r="R4307"/>
      <c r="S4307"/>
      <c r="T4307"/>
      <c r="U4307"/>
      <c r="V4307"/>
      <c r="W4307"/>
      <c r="X4307"/>
      <c r="Y4307"/>
      <c r="Z4307"/>
      <c r="AA4307"/>
      <c r="AB4307"/>
      <c r="AC4307"/>
      <c r="AD4307"/>
      <c r="AE4307"/>
      <c r="AF4307"/>
      <c r="AG4307"/>
      <c r="AH4307"/>
      <c r="AI4307"/>
      <c r="AJ4307"/>
      <c r="AK4307"/>
      <c r="AL4307"/>
    </row>
    <row r="4308" spans="1:38" ht="15.75" customHeight="1" outlineLevel="2" x14ac:dyDescent="0.2">
      <c r="A4308" s="1067">
        <v>1</v>
      </c>
      <c r="B4308" s="1067" t="s">
        <v>68</v>
      </c>
      <c r="C4308" s="1067" t="s">
        <v>850</v>
      </c>
      <c r="D4308" s="1067" t="s">
        <v>850</v>
      </c>
      <c r="E4308" s="1068" t="s">
        <v>70</v>
      </c>
      <c r="F4308" s="1067"/>
      <c r="G4308" s="1069" t="str">
        <f t="array" ref="G4308">IF(B4308="insumo",_xlfn.XLOOKUP($D4308,Insumos!$B$1:$B$996,Insumos!$D$1:$D$996),"")</f>
        <v/>
      </c>
      <c r="H4308" s="1069">
        <v>3.79</v>
      </c>
      <c r="I4308" s="1070">
        <v>0</v>
      </c>
      <c r="J4308" s="1070">
        <v>0</v>
      </c>
      <c r="K4308" s="1070"/>
      <c r="L4308"/>
      <c r="M4308"/>
      <c r="N4308"/>
      <c r="O4308"/>
      <c r="P4308"/>
      <c r="Q4308"/>
      <c r="R4308"/>
      <c r="S4308"/>
      <c r="T4308"/>
      <c r="U4308"/>
      <c r="V4308"/>
      <c r="W4308"/>
      <c r="X4308"/>
      <c r="Y4308"/>
      <c r="Z4308"/>
      <c r="AA4308"/>
      <c r="AB4308"/>
      <c r="AC4308"/>
      <c r="AD4308"/>
      <c r="AE4308"/>
      <c r="AF4308"/>
      <c r="AG4308"/>
      <c r="AH4308"/>
      <c r="AI4308"/>
      <c r="AJ4308"/>
      <c r="AK4308"/>
      <c r="AL4308"/>
    </row>
    <row r="4309" spans="1:38" ht="15.75" customHeight="1" outlineLevel="3" x14ac:dyDescent="0.2">
      <c r="A4309" s="10">
        <v>1</v>
      </c>
      <c r="B4309" s="10" t="s">
        <v>71</v>
      </c>
      <c r="C4309" s="10" t="s">
        <v>850</v>
      </c>
      <c r="D4309" s="10" t="s">
        <v>851</v>
      </c>
      <c r="E4309" s="11" t="str">
        <f t="array" ref="E4309">_xlfn.XLOOKUP(D4309,Insumos!B:B,Insumos!C:$C)</f>
        <v>m</v>
      </c>
      <c r="F4309" s="14">
        <v>1</v>
      </c>
      <c r="G4309" s="92">
        <f t="array" ref="G4309">IF(B4309="insumo",_xlfn.XLOOKUP($D4309,Insumos!$B$1:$B$996,Insumos!$D$1:$D$996),"")</f>
        <v>1.72</v>
      </c>
      <c r="H4309" s="92">
        <v>1.72</v>
      </c>
      <c r="I4309" s="13">
        <v>0</v>
      </c>
      <c r="J4309" s="13">
        <v>0</v>
      </c>
      <c r="K4309" s="13"/>
      <c r="L4309"/>
      <c r="M4309"/>
      <c r="N4309"/>
      <c r="O4309"/>
      <c r="P4309"/>
      <c r="Q4309"/>
      <c r="R4309"/>
      <c r="S4309"/>
      <c r="T4309"/>
      <c r="U4309"/>
      <c r="V4309"/>
      <c r="W4309"/>
      <c r="X4309"/>
      <c r="Y4309"/>
      <c r="Z4309"/>
      <c r="AA4309"/>
      <c r="AB4309"/>
      <c r="AC4309"/>
      <c r="AD4309"/>
      <c r="AE4309"/>
      <c r="AF4309"/>
      <c r="AG4309"/>
      <c r="AH4309"/>
      <c r="AI4309"/>
      <c r="AJ4309"/>
      <c r="AK4309"/>
      <c r="AL4309"/>
    </row>
    <row r="4310" spans="1:38" ht="15.75" customHeight="1" outlineLevel="3" x14ac:dyDescent="0.2">
      <c r="A4310" s="10">
        <v>10</v>
      </c>
      <c r="B4310" s="10" t="s">
        <v>71</v>
      </c>
      <c r="C4310" s="10" t="s">
        <v>850</v>
      </c>
      <c r="D4310" s="10" t="s">
        <v>852</v>
      </c>
      <c r="E4310" s="11" t="str">
        <f t="array" ref="E4310">_xlfn.XLOOKUP(D4310,Insumos!B:B,Insumos!C:$C)</f>
        <v>UN</v>
      </c>
      <c r="F4310" s="14">
        <v>0.1</v>
      </c>
      <c r="G4310" s="92">
        <f t="array" ref="G4310">IF(B4310="insumo",_xlfn.XLOOKUP($D4310,Insumos!$B$1:$B$996,Insumos!$D$1:$D$996),"")</f>
        <v>20.7</v>
      </c>
      <c r="H4310" s="92">
        <v>2.0699999999999998</v>
      </c>
      <c r="I4310" s="13">
        <v>0</v>
      </c>
      <c r="J4310" s="13">
        <v>0</v>
      </c>
      <c r="K4310" s="13"/>
      <c r="L4310"/>
      <c r="M4310"/>
      <c r="N4310"/>
      <c r="O4310"/>
      <c r="P4310"/>
      <c r="Q4310"/>
      <c r="R4310"/>
      <c r="S4310"/>
      <c r="T4310"/>
      <c r="U4310"/>
      <c r="V4310"/>
      <c r="W4310"/>
      <c r="X4310"/>
      <c r="Y4310"/>
      <c r="Z4310"/>
      <c r="AA4310"/>
      <c r="AB4310"/>
      <c r="AC4310"/>
      <c r="AD4310"/>
      <c r="AE4310"/>
      <c r="AF4310"/>
      <c r="AG4310"/>
      <c r="AH4310"/>
      <c r="AI4310"/>
      <c r="AJ4310"/>
      <c r="AK4310"/>
      <c r="AL4310"/>
    </row>
    <row r="4311" spans="1:38" ht="15.75" customHeight="1" outlineLevel="2" x14ac:dyDescent="0.2">
      <c r="A4311" s="1067">
        <v>1</v>
      </c>
      <c r="B4311" s="1067" t="s">
        <v>68</v>
      </c>
      <c r="C4311" s="1067" t="s">
        <v>3126</v>
      </c>
      <c r="D4311" s="1067" t="s">
        <v>3126</v>
      </c>
      <c r="E4311" s="1068" t="s">
        <v>152</v>
      </c>
      <c r="F4311" s="1067"/>
      <c r="G4311" s="1069" t="str">
        <f t="array" ref="G4311">IF(B4311="insumo",_xlfn.XLOOKUP($D4311,Insumos!$B$1:$B$996,Insumos!$D$1:$D$996),"")</f>
        <v/>
      </c>
      <c r="H4311" s="1069">
        <v>1586.77201515152</v>
      </c>
      <c r="I4311" s="1070">
        <v>0</v>
      </c>
      <c r="J4311" s="1070">
        <v>0</v>
      </c>
      <c r="K4311" s="1070"/>
      <c r="L4311"/>
      <c r="M4311"/>
      <c r="N4311"/>
      <c r="O4311"/>
      <c r="P4311"/>
      <c r="Q4311"/>
      <c r="R4311"/>
      <c r="S4311"/>
      <c r="T4311"/>
      <c r="U4311"/>
      <c r="V4311"/>
      <c r="W4311"/>
      <c r="X4311"/>
      <c r="Y4311"/>
      <c r="Z4311"/>
      <c r="AA4311"/>
      <c r="AB4311"/>
      <c r="AC4311"/>
      <c r="AD4311"/>
      <c r="AE4311"/>
      <c r="AF4311"/>
      <c r="AG4311"/>
      <c r="AH4311"/>
      <c r="AI4311"/>
      <c r="AJ4311"/>
      <c r="AK4311"/>
      <c r="AL4311"/>
    </row>
    <row r="4312" spans="1:38" ht="15.75" customHeight="1" outlineLevel="3" x14ac:dyDescent="0.2">
      <c r="A4312" s="10">
        <v>5</v>
      </c>
      <c r="B4312" s="10" t="s">
        <v>71</v>
      </c>
      <c r="C4312" s="10" t="s">
        <v>3126</v>
      </c>
      <c r="D4312" s="10" t="s">
        <v>3127</v>
      </c>
      <c r="E4312" s="11" t="str">
        <f t="array" ref="E4312">_xlfn.XLOOKUP(D4312,Insumos!B:B,Insumos!C:$C)</f>
        <v>M3</v>
      </c>
      <c r="F4312" s="14">
        <v>1.1000000000000001</v>
      </c>
      <c r="G4312" s="92">
        <f t="array" ref="G4312">IF(B4312="insumo",_xlfn.XLOOKUP($D4312,Insumos!$B$1:$B$996,Insumos!$D$1:$D$996),"")</f>
        <v>1377.4104683195592</v>
      </c>
      <c r="H4312" s="92">
        <v>1515.15151515152</v>
      </c>
      <c r="I4312" s="13">
        <v>0</v>
      </c>
      <c r="J4312" s="13">
        <v>0</v>
      </c>
      <c r="K4312" s="13"/>
      <c r="L4312"/>
      <c r="M4312"/>
      <c r="N4312"/>
      <c r="O4312"/>
      <c r="P4312"/>
      <c r="Q4312"/>
      <c r="R4312"/>
      <c r="S4312"/>
      <c r="T4312"/>
      <c r="U4312"/>
      <c r="V4312"/>
      <c r="W4312"/>
      <c r="X4312"/>
      <c r="Y4312"/>
      <c r="Z4312"/>
      <c r="AA4312"/>
      <c r="AB4312"/>
      <c r="AC4312"/>
      <c r="AD4312"/>
      <c r="AE4312"/>
      <c r="AF4312"/>
      <c r="AG4312"/>
      <c r="AH4312"/>
      <c r="AI4312"/>
      <c r="AJ4312"/>
      <c r="AK4312"/>
      <c r="AL4312"/>
    </row>
    <row r="4313" spans="1:38" ht="15.75" customHeight="1" outlineLevel="3" x14ac:dyDescent="0.2">
      <c r="A4313" s="10">
        <v>191</v>
      </c>
      <c r="B4313" s="10" t="s">
        <v>71</v>
      </c>
      <c r="C4313" s="10" t="s">
        <v>3126</v>
      </c>
      <c r="D4313" s="10" t="s">
        <v>481</v>
      </c>
      <c r="E4313" s="11" t="str">
        <f t="array" ref="E4313">_xlfn.XLOOKUP(D4313,Insumos!B:B,Insumos!C:$C)</f>
        <v>KG</v>
      </c>
      <c r="F4313" s="14">
        <v>9</v>
      </c>
      <c r="G4313" s="92">
        <f t="array" ref="G4313">IF(B4313="insumo",_xlfn.XLOOKUP($D4313,Insumos!$B$1:$B$996,Insumos!$D$1:$D$996),"")</f>
        <v>1.0645</v>
      </c>
      <c r="H4313" s="92">
        <v>9.5805000000000007</v>
      </c>
      <c r="I4313" s="13">
        <v>0</v>
      </c>
      <c r="J4313" s="13">
        <v>0</v>
      </c>
      <c r="K4313" s="13"/>
      <c r="L4313"/>
      <c r="M4313"/>
      <c r="N4313"/>
      <c r="O4313"/>
      <c r="P4313"/>
      <c r="Q4313"/>
      <c r="R4313"/>
      <c r="S4313"/>
      <c r="T4313"/>
      <c r="U4313"/>
      <c r="V4313"/>
      <c r="W4313"/>
      <c r="X4313"/>
      <c r="Y4313"/>
      <c r="Z4313"/>
      <c r="AA4313"/>
      <c r="AB4313"/>
      <c r="AC4313"/>
      <c r="AD4313"/>
      <c r="AE4313"/>
      <c r="AF4313"/>
      <c r="AG4313"/>
      <c r="AH4313"/>
      <c r="AI4313"/>
      <c r="AJ4313"/>
      <c r="AK4313"/>
      <c r="AL4313"/>
    </row>
    <row r="4314" spans="1:38" ht="15.75" customHeight="1" outlineLevel="3" x14ac:dyDescent="0.2">
      <c r="A4314" s="10">
        <v>1</v>
      </c>
      <c r="B4314" s="10" t="s">
        <v>71</v>
      </c>
      <c r="C4314" s="10" t="s">
        <v>3126</v>
      </c>
      <c r="D4314" s="10" t="s">
        <v>856</v>
      </c>
      <c r="E4314" s="11" t="str">
        <f t="array" ref="E4314">_xlfn.XLOOKUP(D4314,Insumos!B:B,Insumos!C:$C)</f>
        <v>UN</v>
      </c>
      <c r="F4314" s="14">
        <v>12</v>
      </c>
      <c r="G4314" s="92">
        <f t="array" ref="G4314">IF(B4314="insumo",_xlfn.XLOOKUP($D4314,Insumos!$B$1:$B$996,Insumos!$D$1:$D$996),"")</f>
        <v>5.17</v>
      </c>
      <c r="H4314" s="92">
        <v>62.04</v>
      </c>
      <c r="I4314" s="13">
        <v>0</v>
      </c>
      <c r="J4314" s="13">
        <v>0</v>
      </c>
      <c r="K4314" s="13"/>
      <c r="L4314"/>
      <c r="M4314"/>
      <c r="N4314"/>
      <c r="O4314"/>
      <c r="P4314"/>
      <c r="Q4314"/>
      <c r="R4314"/>
      <c r="S4314"/>
      <c r="T4314"/>
      <c r="U4314"/>
      <c r="V4314"/>
      <c r="W4314"/>
      <c r="X4314"/>
      <c r="Y4314"/>
      <c r="Z4314"/>
      <c r="AA4314"/>
      <c r="AB4314"/>
      <c r="AC4314"/>
      <c r="AD4314"/>
      <c r="AE4314"/>
      <c r="AF4314"/>
      <c r="AG4314"/>
      <c r="AH4314"/>
      <c r="AI4314"/>
      <c r="AJ4314"/>
      <c r="AK4314"/>
      <c r="AL4314"/>
    </row>
    <row r="4315" spans="1:38" ht="15.75" customHeight="1" outlineLevel="2" x14ac:dyDescent="0.2">
      <c r="A4315" s="1067">
        <v>1</v>
      </c>
      <c r="B4315" s="1067" t="s">
        <v>68</v>
      </c>
      <c r="C4315" s="1067" t="s">
        <v>3129</v>
      </c>
      <c r="D4315" s="1067" t="s">
        <v>3129</v>
      </c>
      <c r="E4315" s="1068" t="s">
        <v>70</v>
      </c>
      <c r="F4315" s="1067"/>
      <c r="G4315" s="1069" t="str">
        <f t="array" ref="G4315">IF(B4315="insumo",_xlfn.XLOOKUP($D4315,Insumos!$B$1:$B$996,Insumos!$D$1:$D$996),"")</f>
        <v/>
      </c>
      <c r="H4315" s="1069">
        <v>412.93298484848498</v>
      </c>
      <c r="I4315" s="1070" t="e">
        <v>#REF!</v>
      </c>
      <c r="J4315" s="1070" t="e">
        <v>#REF!</v>
      </c>
      <c r="K4315" s="1070"/>
      <c r="L4315"/>
      <c r="M4315"/>
      <c r="N4315"/>
      <c r="O4315"/>
      <c r="P4315"/>
      <c r="Q4315"/>
      <c r="R4315"/>
      <c r="S4315"/>
      <c r="T4315"/>
      <c r="U4315"/>
      <c r="V4315"/>
      <c r="W4315"/>
      <c r="X4315"/>
      <c r="Y4315"/>
      <c r="Z4315"/>
      <c r="AA4315"/>
      <c r="AB4315"/>
      <c r="AC4315"/>
      <c r="AD4315"/>
      <c r="AE4315"/>
      <c r="AF4315"/>
      <c r="AG4315"/>
      <c r="AH4315"/>
      <c r="AI4315"/>
      <c r="AJ4315"/>
      <c r="AK4315"/>
      <c r="AL4315"/>
    </row>
    <row r="4316" spans="1:38" ht="15.75" customHeight="1" outlineLevel="3" x14ac:dyDescent="0.2">
      <c r="A4316" s="10">
        <v>5</v>
      </c>
      <c r="B4316" s="10" t="s">
        <v>71</v>
      </c>
      <c r="C4316" s="10" t="s">
        <v>3129</v>
      </c>
      <c r="D4316" s="10" t="s">
        <v>3127</v>
      </c>
      <c r="E4316" s="11" t="str">
        <f t="array" ref="E4316">_xlfn.XLOOKUP(D4316,Insumos!B:B,Insumos!C:$C)</f>
        <v>M3</v>
      </c>
      <c r="F4316" s="14">
        <f>1.1/10</f>
        <v>0.11000000000000001</v>
      </c>
      <c r="G4316" s="92">
        <f t="array" ref="G4316">IF(B4316="insumo",_xlfn.XLOOKUP($D4316,Insumos!$B$1:$B$996,Insumos!$D$1:$D$996),"")</f>
        <v>1377.4104683195592</v>
      </c>
      <c r="H4316" s="92">
        <v>151.51515151515201</v>
      </c>
      <c r="I4316" s="13" t="e">
        <v>#REF!</v>
      </c>
      <c r="J4316" s="13" t="e">
        <v>#REF!</v>
      </c>
      <c r="K4316" s="13"/>
      <c r="L4316"/>
      <c r="M4316"/>
      <c r="N4316"/>
      <c r="O4316"/>
      <c r="P4316"/>
      <c r="Q4316"/>
      <c r="R4316"/>
      <c r="S4316"/>
      <c r="T4316"/>
      <c r="U4316"/>
      <c r="V4316"/>
      <c r="W4316"/>
      <c r="X4316"/>
      <c r="Y4316"/>
      <c r="Z4316"/>
      <c r="AA4316"/>
      <c r="AB4316"/>
      <c r="AC4316"/>
      <c r="AD4316"/>
      <c r="AE4316"/>
      <c r="AF4316"/>
      <c r="AG4316"/>
      <c r="AH4316"/>
      <c r="AI4316"/>
      <c r="AJ4316"/>
      <c r="AK4316"/>
      <c r="AL4316"/>
    </row>
    <row r="4317" spans="1:38" ht="15.75" customHeight="1" outlineLevel="3" x14ac:dyDescent="0.2">
      <c r="A4317" s="10">
        <v>191</v>
      </c>
      <c r="B4317" s="10" t="s">
        <v>71</v>
      </c>
      <c r="C4317" s="10" t="s">
        <v>3129</v>
      </c>
      <c r="D4317" s="10" t="s">
        <v>481</v>
      </c>
      <c r="E4317" s="11" t="str">
        <f t="array" ref="E4317">_xlfn.XLOOKUP(D4317,Insumos!B:B,Insumos!C:$C)</f>
        <v>KG</v>
      </c>
      <c r="F4317" s="14">
        <v>9</v>
      </c>
      <c r="G4317" s="92">
        <f t="array" ref="G4317">IF(B4317="insumo",_xlfn.XLOOKUP($D4317,Insumos!$B$1:$B$996,Insumos!$D$1:$D$996),"")</f>
        <v>1.0645</v>
      </c>
      <c r="H4317" s="92">
        <v>9.5805000000000007</v>
      </c>
      <c r="I4317" s="13" t="e">
        <v>#REF!</v>
      </c>
      <c r="J4317" s="13" t="e">
        <v>#REF!</v>
      </c>
      <c r="K4317" s="13"/>
      <c r="L4317"/>
      <c r="M4317"/>
      <c r="N4317"/>
      <c r="O4317"/>
      <c r="P4317"/>
      <c r="Q4317"/>
      <c r="R4317"/>
      <c r="S4317"/>
      <c r="T4317"/>
      <c r="U4317"/>
      <c r="V4317"/>
      <c r="W4317"/>
      <c r="X4317"/>
      <c r="Y4317"/>
      <c r="Z4317"/>
      <c r="AA4317"/>
      <c r="AB4317"/>
      <c r="AC4317"/>
      <c r="AD4317"/>
      <c r="AE4317"/>
      <c r="AF4317"/>
      <c r="AG4317"/>
      <c r="AH4317"/>
      <c r="AI4317"/>
      <c r="AJ4317"/>
      <c r="AK4317"/>
      <c r="AL4317"/>
    </row>
    <row r="4318" spans="1:38" ht="15.75" customHeight="1" outlineLevel="3" x14ac:dyDescent="0.2">
      <c r="A4318" s="10">
        <v>4</v>
      </c>
      <c r="B4318" s="10" t="s">
        <v>71</v>
      </c>
      <c r="C4318" s="10" t="s">
        <v>3129</v>
      </c>
      <c r="D4318" s="10" t="s">
        <v>3128</v>
      </c>
      <c r="E4318" s="11" t="str">
        <f t="array" ref="E4318">_xlfn.XLOOKUP(D4318,Insumos!B:B,Insumos!C:$C)</f>
        <v>KG</v>
      </c>
      <c r="F4318" s="14">
        <v>5</v>
      </c>
      <c r="G4318" s="92">
        <f t="array" ref="G4318">IF(B4318="insumo",_xlfn.XLOOKUP($D4318,Insumos!$B$1:$B$996,Insumos!$D$1:$D$996),"")</f>
        <v>18.326666666666664</v>
      </c>
      <c r="H4318" s="92">
        <v>91.633333333333297</v>
      </c>
      <c r="I4318" s="13" t="e">
        <v>#REF!</v>
      </c>
      <c r="J4318" s="13" t="e">
        <v>#REF!</v>
      </c>
      <c r="K4318" s="13"/>
      <c r="L4318"/>
      <c r="M4318"/>
      <c r="N4318"/>
      <c r="O4318"/>
      <c r="P4318"/>
      <c r="Q4318"/>
      <c r="R4318"/>
      <c r="S4318"/>
      <c r="T4318"/>
      <c r="U4318"/>
      <c r="V4318"/>
      <c r="W4318"/>
      <c r="X4318"/>
      <c r="Y4318"/>
      <c r="Z4318"/>
      <c r="AA4318"/>
      <c r="AB4318"/>
      <c r="AC4318"/>
      <c r="AD4318"/>
      <c r="AE4318"/>
      <c r="AF4318"/>
      <c r="AG4318"/>
      <c r="AH4318"/>
      <c r="AI4318"/>
      <c r="AJ4318"/>
      <c r="AK4318"/>
      <c r="AL4318"/>
    </row>
    <row r="4319" spans="1:38" ht="15.75" customHeight="1" outlineLevel="3" x14ac:dyDescent="0.2">
      <c r="A4319" s="10">
        <v>5</v>
      </c>
      <c r="B4319" s="10" t="s">
        <v>71</v>
      </c>
      <c r="C4319" s="10" t="s">
        <v>3129</v>
      </c>
      <c r="D4319" s="10" t="s">
        <v>1585</v>
      </c>
      <c r="E4319" s="11" t="str">
        <f t="array" ref="E4319">_xlfn.XLOOKUP(D4319,Insumos!B:B,Insumos!C:$C)</f>
        <v>m2</v>
      </c>
      <c r="F4319" s="14">
        <v>1.1000000000000001</v>
      </c>
      <c r="G4319" s="92">
        <f t="array" ref="G4319">IF(B4319="insumo",_xlfn.XLOOKUP($D4319,Insumos!$B$1:$B$996,Insumos!$D$1:$D$996),"")</f>
        <v>8.1</v>
      </c>
      <c r="H4319" s="92">
        <v>8.91</v>
      </c>
      <c r="I4319" s="13" t="e">
        <v>#REF!</v>
      </c>
      <c r="J4319" s="13" t="e">
        <v>#REF!</v>
      </c>
      <c r="K4319" s="13"/>
      <c r="L4319"/>
      <c r="M4319"/>
      <c r="N4319"/>
      <c r="O4319"/>
      <c r="P4319"/>
      <c r="Q4319"/>
      <c r="R4319"/>
      <c r="S4319"/>
      <c r="T4319"/>
      <c r="U4319"/>
      <c r="V4319"/>
      <c r="W4319"/>
      <c r="X4319"/>
      <c r="Y4319"/>
      <c r="Z4319"/>
      <c r="AA4319"/>
      <c r="AB4319"/>
      <c r="AC4319"/>
      <c r="AD4319"/>
      <c r="AE4319"/>
      <c r="AF4319"/>
      <c r="AG4319"/>
      <c r="AH4319"/>
      <c r="AI4319"/>
      <c r="AJ4319"/>
      <c r="AK4319"/>
      <c r="AL4319"/>
    </row>
    <row r="4320" spans="1:38" ht="15.75" customHeight="1" outlineLevel="3" x14ac:dyDescent="0.2">
      <c r="A4320" s="10">
        <v>31</v>
      </c>
      <c r="B4320" s="10" t="s">
        <v>71</v>
      </c>
      <c r="C4320" s="10" t="s">
        <v>3129</v>
      </c>
      <c r="D4320" s="10" t="s">
        <v>768</v>
      </c>
      <c r="E4320" s="11" t="str">
        <f t="array" ref="E4320">_xlfn.XLOOKUP(D4320,Insumos!B:B,Insumos!C:$C)</f>
        <v>L</v>
      </c>
      <c r="F4320" s="14">
        <v>0.2</v>
      </c>
      <c r="G4320" s="92">
        <f t="array" ref="G4320">IF(B4320="insumo",_xlfn.XLOOKUP($D4320,Insumos!$B$1:$B$996,Insumos!$D$1:$D$996),"")</f>
        <v>6.47</v>
      </c>
      <c r="H4320" s="92">
        <v>1.294</v>
      </c>
      <c r="I4320" s="13" t="e">
        <v>#REF!</v>
      </c>
      <c r="J4320" s="13" t="e">
        <v>#REF!</v>
      </c>
      <c r="K4320" s="13"/>
      <c r="L4320"/>
      <c r="M4320"/>
      <c r="N4320"/>
      <c r="O4320"/>
      <c r="P4320"/>
      <c r="Q4320"/>
      <c r="R4320"/>
      <c r="S4320"/>
      <c r="T4320"/>
      <c r="U4320"/>
      <c r="V4320"/>
      <c r="W4320"/>
      <c r="X4320"/>
      <c r="Y4320"/>
      <c r="Z4320"/>
      <c r="AA4320"/>
      <c r="AB4320"/>
      <c r="AC4320"/>
      <c r="AD4320"/>
      <c r="AE4320"/>
      <c r="AF4320"/>
      <c r="AG4320"/>
      <c r="AH4320"/>
      <c r="AI4320"/>
      <c r="AJ4320"/>
      <c r="AK4320"/>
      <c r="AL4320"/>
    </row>
    <row r="4321" spans="1:38" ht="15.75" customHeight="1" outlineLevel="3" x14ac:dyDescent="0.2">
      <c r="A4321" s="10">
        <v>1</v>
      </c>
      <c r="B4321" s="10" t="s">
        <v>71</v>
      </c>
      <c r="C4321" s="10" t="s">
        <v>3129</v>
      </c>
      <c r="D4321" s="10" t="s">
        <v>3130</v>
      </c>
      <c r="E4321" s="11" t="str">
        <f t="array" ref="E4321">_xlfn.XLOOKUP(D4321,Insumos!B:B,Insumos!C:$C)</f>
        <v>m2</v>
      </c>
      <c r="F4321" s="14">
        <v>1</v>
      </c>
      <c r="G4321" s="92">
        <f t="array" ref="G4321">IF(B4321="insumo",_xlfn.XLOOKUP($D4321,Insumos!$B$1:$B$996,Insumos!$D$1:$D$996),"")</f>
        <v>150</v>
      </c>
      <c r="H4321" s="92">
        <v>150</v>
      </c>
      <c r="I4321" s="13" t="e">
        <v>#REF!</v>
      </c>
      <c r="J4321" s="13" t="e">
        <v>#REF!</v>
      </c>
      <c r="K4321" s="13"/>
      <c r="L4321"/>
      <c r="M4321"/>
      <c r="N4321"/>
      <c r="O4321"/>
      <c r="P4321"/>
      <c r="Q4321"/>
      <c r="R4321"/>
      <c r="S4321"/>
      <c r="T4321"/>
      <c r="U4321"/>
      <c r="V4321"/>
      <c r="W4321"/>
      <c r="X4321"/>
      <c r="Y4321"/>
      <c r="Z4321"/>
      <c r="AA4321"/>
      <c r="AB4321"/>
      <c r="AC4321"/>
      <c r="AD4321"/>
      <c r="AE4321"/>
      <c r="AF4321"/>
      <c r="AG4321"/>
      <c r="AH4321"/>
      <c r="AI4321"/>
      <c r="AJ4321"/>
      <c r="AK4321"/>
      <c r="AL4321"/>
    </row>
    <row r="4322" spans="1:38" ht="15.75" customHeight="1" outlineLevel="1" x14ac:dyDescent="0.2">
      <c r="A4322" s="1090">
        <v>1</v>
      </c>
      <c r="B4322" s="1090" t="s">
        <v>1228</v>
      </c>
      <c r="C4322" s="1090" t="s">
        <v>3129</v>
      </c>
      <c r="D4322" s="1090" t="s">
        <v>1573</v>
      </c>
      <c r="E4322" s="1091"/>
      <c r="F4322" s="1092"/>
      <c r="G4322" s="1091"/>
      <c r="H4322" s="1091">
        <v>0</v>
      </c>
      <c r="I4322" s="1092">
        <v>0</v>
      </c>
      <c r="J4322" s="1092">
        <v>0</v>
      </c>
      <c r="K4322" s="1092"/>
      <c r="L4322"/>
      <c r="M4322"/>
      <c r="N4322"/>
      <c r="O4322"/>
      <c r="P4322"/>
      <c r="Q4322"/>
      <c r="R4322"/>
      <c r="S4322"/>
      <c r="T4322"/>
      <c r="U4322"/>
      <c r="V4322"/>
      <c r="W4322"/>
      <c r="X4322"/>
      <c r="Y4322"/>
      <c r="Z4322"/>
      <c r="AA4322"/>
      <c r="AB4322"/>
      <c r="AC4322"/>
      <c r="AD4322"/>
      <c r="AE4322"/>
      <c r="AF4322"/>
      <c r="AG4322"/>
      <c r="AH4322"/>
      <c r="AI4322"/>
      <c r="AJ4322"/>
      <c r="AK4322"/>
      <c r="AL4322"/>
    </row>
    <row r="4323" spans="1:38" ht="15.75" customHeight="1" outlineLevel="2" x14ac:dyDescent="0.2">
      <c r="A4323" s="1067">
        <v>1</v>
      </c>
      <c r="B4323" s="1067" t="s">
        <v>68</v>
      </c>
      <c r="C4323" s="1067" t="s">
        <v>880</v>
      </c>
      <c r="D4323" s="1067" t="s">
        <v>880</v>
      </c>
      <c r="E4323" s="1068" t="s">
        <v>70</v>
      </c>
      <c r="F4323" s="1067"/>
      <c r="G4323" s="1069" t="str">
        <f t="array" ref="G4323">IF(B4323="insumo",_xlfn.XLOOKUP($D4323,Insumos!$B$1:$B$996,Insumos!$D$1:$D$996),"")</f>
        <v/>
      </c>
      <c r="H4323" s="1069">
        <v>28.450600000000001</v>
      </c>
      <c r="I4323" s="1070">
        <v>0</v>
      </c>
      <c r="J4323" s="1070">
        <v>0</v>
      </c>
      <c r="K4323" s="1070"/>
      <c r="L4323"/>
      <c r="M4323"/>
      <c r="N4323"/>
      <c r="O4323"/>
      <c r="P4323"/>
      <c r="Q4323"/>
      <c r="R4323"/>
      <c r="S4323"/>
      <c r="T4323"/>
      <c r="U4323"/>
      <c r="V4323"/>
      <c r="W4323"/>
      <c r="X4323"/>
      <c r="Y4323"/>
      <c r="Z4323"/>
      <c r="AA4323"/>
      <c r="AB4323"/>
      <c r="AC4323"/>
      <c r="AD4323"/>
      <c r="AE4323"/>
      <c r="AF4323"/>
      <c r="AG4323"/>
      <c r="AH4323"/>
      <c r="AI4323"/>
      <c r="AJ4323"/>
      <c r="AK4323"/>
      <c r="AL4323"/>
    </row>
    <row r="4324" spans="1:38" ht="15.75" customHeight="1" outlineLevel="3" x14ac:dyDescent="0.2">
      <c r="A4324" s="10">
        <v>1</v>
      </c>
      <c r="B4324" s="10" t="s">
        <v>71</v>
      </c>
      <c r="C4324" s="10" t="s">
        <v>880</v>
      </c>
      <c r="D4324" s="10" t="s">
        <v>881</v>
      </c>
      <c r="E4324" s="11" t="str">
        <f t="array" ref="E4324">_xlfn.XLOOKUP(D4324,Insumos!B:B,Insumos!C:$C)</f>
        <v>M2</v>
      </c>
      <c r="F4324" s="14">
        <v>1.1000000000000001</v>
      </c>
      <c r="G4324" s="92">
        <f t="array" ref="G4324">IF(B4324="insumo",_xlfn.XLOOKUP($D4324,Insumos!$B$1:$B$996,Insumos!$D$1:$D$996),"")</f>
        <v>17</v>
      </c>
      <c r="H4324" s="92">
        <v>18.7</v>
      </c>
      <c r="I4324" s="13">
        <v>0</v>
      </c>
      <c r="J4324" s="13">
        <v>0</v>
      </c>
      <c r="K4324" s="13"/>
      <c r="L4324"/>
      <c r="M4324"/>
      <c r="N4324"/>
      <c r="O4324"/>
      <c r="P4324"/>
      <c r="Q4324"/>
      <c r="R4324"/>
      <c r="S4324"/>
      <c r="T4324"/>
      <c r="U4324"/>
      <c r="V4324"/>
      <c r="W4324"/>
      <c r="X4324"/>
      <c r="Y4324"/>
      <c r="Z4324"/>
      <c r="AA4324"/>
      <c r="AB4324"/>
      <c r="AC4324"/>
      <c r="AD4324"/>
      <c r="AE4324"/>
      <c r="AF4324"/>
      <c r="AG4324"/>
      <c r="AH4324"/>
      <c r="AI4324"/>
      <c r="AJ4324"/>
      <c r="AK4324"/>
      <c r="AL4324"/>
    </row>
    <row r="4325" spans="1:38" ht="15.75" customHeight="1" outlineLevel="3" x14ac:dyDescent="0.2">
      <c r="A4325" s="10">
        <v>191</v>
      </c>
      <c r="B4325" s="10" t="s">
        <v>71</v>
      </c>
      <c r="C4325" s="10" t="s">
        <v>880</v>
      </c>
      <c r="D4325" s="10" t="s">
        <v>481</v>
      </c>
      <c r="E4325" s="11" t="str">
        <f t="array" ref="E4325">_xlfn.XLOOKUP(D4325,Insumos!B:B,Insumos!C:$C)</f>
        <v>KG</v>
      </c>
      <c r="F4325" s="14">
        <v>8.8000000000000007</v>
      </c>
      <c r="G4325" s="92">
        <f t="array" ref="G4325">IF(B4325="insumo",_xlfn.XLOOKUP($D4325,Insumos!$B$1:$B$996,Insumos!$D$1:$D$996),"")</f>
        <v>1.0645</v>
      </c>
      <c r="H4325" s="92">
        <v>9.3675999999999995</v>
      </c>
      <c r="I4325" s="13">
        <v>0</v>
      </c>
      <c r="J4325" s="13">
        <v>0</v>
      </c>
      <c r="K4325" s="13"/>
      <c r="L4325"/>
      <c r="M4325"/>
      <c r="N4325"/>
      <c r="O4325"/>
      <c r="P4325"/>
      <c r="Q4325"/>
      <c r="R4325"/>
      <c r="S4325"/>
      <c r="T4325"/>
      <c r="U4325"/>
      <c r="V4325"/>
      <c r="W4325"/>
      <c r="X4325"/>
      <c r="Y4325"/>
      <c r="Z4325"/>
      <c r="AA4325"/>
      <c r="AB4325"/>
      <c r="AC4325"/>
      <c r="AD4325"/>
      <c r="AE4325"/>
      <c r="AF4325"/>
      <c r="AG4325"/>
      <c r="AH4325"/>
      <c r="AI4325"/>
      <c r="AJ4325"/>
      <c r="AK4325"/>
      <c r="AL4325"/>
    </row>
    <row r="4326" spans="1:38" ht="15.75" customHeight="1" outlineLevel="3" x14ac:dyDescent="0.2">
      <c r="A4326" s="10">
        <v>142</v>
      </c>
      <c r="B4326" s="10" t="s">
        <v>71</v>
      </c>
      <c r="C4326" s="10" t="s">
        <v>880</v>
      </c>
      <c r="D4326" s="10" t="s">
        <v>506</v>
      </c>
      <c r="E4326" s="11" t="str">
        <f t="array" ref="E4326">_xlfn.XLOOKUP(D4326,Insumos!B:B,Insumos!C:$C)</f>
        <v>UN</v>
      </c>
      <c r="F4326" s="14">
        <v>2</v>
      </c>
      <c r="G4326" s="92">
        <f t="array" ref="G4326">IF(B4326="insumo",_xlfn.XLOOKUP($D4326,Insumos!$B$1:$B$996,Insumos!$D$1:$D$996),"")</f>
        <v>0.08</v>
      </c>
      <c r="H4326" s="92">
        <v>0.16</v>
      </c>
      <c r="I4326" s="13">
        <v>0</v>
      </c>
      <c r="J4326" s="13">
        <v>0</v>
      </c>
      <c r="K4326" s="13"/>
      <c r="L4326"/>
      <c r="M4326"/>
      <c r="N4326"/>
      <c r="O4326"/>
      <c r="P4326"/>
      <c r="Q4326"/>
      <c r="R4326"/>
      <c r="S4326"/>
      <c r="T4326"/>
      <c r="U4326"/>
      <c r="V4326"/>
      <c r="W4326"/>
      <c r="X4326"/>
      <c r="Y4326"/>
      <c r="Z4326"/>
      <c r="AA4326"/>
      <c r="AB4326"/>
      <c r="AC4326"/>
      <c r="AD4326"/>
      <c r="AE4326"/>
      <c r="AF4326"/>
      <c r="AG4326"/>
      <c r="AH4326"/>
      <c r="AI4326"/>
      <c r="AJ4326"/>
      <c r="AK4326"/>
      <c r="AL4326"/>
    </row>
    <row r="4327" spans="1:38" ht="15.75" customHeight="1" outlineLevel="3" x14ac:dyDescent="0.2">
      <c r="A4327" s="10">
        <v>101</v>
      </c>
      <c r="B4327" s="10" t="s">
        <v>71</v>
      </c>
      <c r="C4327" s="10" t="s">
        <v>880</v>
      </c>
      <c r="D4327" s="10" t="s">
        <v>507</v>
      </c>
      <c r="E4327" s="11" t="str">
        <f t="array" ref="E4327">_xlfn.XLOOKUP(D4327,Insumos!B:B,Insumos!C:$C)</f>
        <v>KG</v>
      </c>
      <c r="F4327" s="14">
        <v>0.02</v>
      </c>
      <c r="G4327" s="92">
        <f t="array" ref="G4327">IF(B4327="insumo",_xlfn.XLOOKUP($D4327,Insumos!$B$1:$B$996,Insumos!$D$1:$D$996),"")</f>
        <v>11.15</v>
      </c>
      <c r="H4327" s="92">
        <v>0.223</v>
      </c>
      <c r="I4327" s="13">
        <v>0</v>
      </c>
      <c r="J4327" s="13">
        <v>0</v>
      </c>
      <c r="K4327" s="13"/>
      <c r="L4327"/>
      <c r="M4327"/>
      <c r="N4327"/>
      <c r="O4327"/>
      <c r="P4327"/>
      <c r="Q4327"/>
      <c r="R4327"/>
      <c r="S4327"/>
      <c r="T4327"/>
      <c r="U4327"/>
      <c r="V4327"/>
      <c r="W4327"/>
      <c r="X4327"/>
      <c r="Y4327"/>
      <c r="Z4327"/>
      <c r="AA4327"/>
      <c r="AB4327"/>
      <c r="AC4327"/>
      <c r="AD4327"/>
      <c r="AE4327"/>
      <c r="AF4327"/>
      <c r="AG4327"/>
      <c r="AH4327"/>
      <c r="AI4327"/>
      <c r="AJ4327"/>
      <c r="AK4327"/>
      <c r="AL4327"/>
    </row>
    <row r="4328" spans="1:38" ht="15.75" customHeight="1" outlineLevel="2" x14ac:dyDescent="0.2">
      <c r="A4328" s="1067">
        <v>1</v>
      </c>
      <c r="B4328" s="1067" t="s">
        <v>68</v>
      </c>
      <c r="C4328" s="1067" t="s">
        <v>848</v>
      </c>
      <c r="D4328" s="1067" t="s">
        <v>848</v>
      </c>
      <c r="E4328" s="1068" t="s">
        <v>70</v>
      </c>
      <c r="F4328" s="1067"/>
      <c r="G4328" s="1069" t="str">
        <f t="array" ref="G4328">IF(B4328="insumo",_xlfn.XLOOKUP($D4328,Insumos!$B$1:$B$996,Insumos!$D$1:$D$996),"")</f>
        <v/>
      </c>
      <c r="H4328" s="1069">
        <v>156.16550000000001</v>
      </c>
      <c r="I4328" s="1070">
        <v>0</v>
      </c>
      <c r="J4328" s="1070">
        <v>0</v>
      </c>
      <c r="K4328" s="1070"/>
      <c r="L4328"/>
      <c r="M4328"/>
      <c r="N4328"/>
      <c r="O4328"/>
      <c r="P4328"/>
      <c r="Q4328"/>
      <c r="R4328"/>
      <c r="S4328"/>
      <c r="T4328"/>
      <c r="U4328"/>
      <c r="V4328"/>
      <c r="W4328"/>
      <c r="X4328"/>
      <c r="Y4328"/>
      <c r="Z4328"/>
      <c r="AA4328"/>
      <c r="AB4328"/>
      <c r="AC4328"/>
      <c r="AD4328"/>
      <c r="AE4328"/>
      <c r="AF4328"/>
      <c r="AG4328"/>
      <c r="AH4328"/>
      <c r="AI4328"/>
      <c r="AJ4328"/>
      <c r="AK4328"/>
      <c r="AL4328"/>
    </row>
    <row r="4329" spans="1:38" ht="15.75" customHeight="1" outlineLevel="3" x14ac:dyDescent="0.2">
      <c r="A4329" s="10">
        <v>3</v>
      </c>
      <c r="B4329" s="10" t="s">
        <v>71</v>
      </c>
      <c r="C4329" s="10" t="s">
        <v>848</v>
      </c>
      <c r="D4329" s="10" t="s">
        <v>525</v>
      </c>
      <c r="E4329" s="11" t="str">
        <f t="array" ref="E4329">_xlfn.XLOOKUP(D4329,Insumos!B:B,Insumos!C:$C)</f>
        <v>M2</v>
      </c>
      <c r="F4329" s="14">
        <v>1.1000000000000001</v>
      </c>
      <c r="G4329" s="92">
        <f t="array" ref="G4329">IF(B4329="insumo",_xlfn.XLOOKUP($D4329,Insumos!$B$1:$B$996,Insumos!$D$1:$D$996),"")</f>
        <v>127.9</v>
      </c>
      <c r="H4329" s="92">
        <v>140.69</v>
      </c>
      <c r="I4329" s="13">
        <v>0</v>
      </c>
      <c r="J4329" s="13">
        <v>0</v>
      </c>
      <c r="K4329" s="13"/>
      <c r="L4329"/>
      <c r="M4329"/>
      <c r="N4329"/>
      <c r="O4329"/>
      <c r="P4329"/>
      <c r="Q4329"/>
      <c r="R4329"/>
      <c r="S4329"/>
      <c r="T4329"/>
      <c r="U4329"/>
      <c r="V4329"/>
      <c r="W4329"/>
      <c r="X4329"/>
      <c r="Y4329"/>
      <c r="Z4329"/>
      <c r="AA4329"/>
      <c r="AB4329"/>
      <c r="AC4329"/>
      <c r="AD4329"/>
      <c r="AE4329"/>
      <c r="AF4329"/>
      <c r="AG4329"/>
      <c r="AH4329"/>
      <c r="AI4329"/>
      <c r="AJ4329"/>
      <c r="AK4329"/>
      <c r="AL4329"/>
    </row>
    <row r="4330" spans="1:38" ht="15.75" customHeight="1" outlineLevel="3" x14ac:dyDescent="0.2">
      <c r="A4330" s="10">
        <v>191</v>
      </c>
      <c r="B4330" s="10" t="s">
        <v>71</v>
      </c>
      <c r="C4330" s="10" t="s">
        <v>848</v>
      </c>
      <c r="D4330" s="10" t="s">
        <v>481</v>
      </c>
      <c r="E4330" s="11" t="str">
        <f t="array" ref="E4330">_xlfn.XLOOKUP(D4330,Insumos!B:B,Insumos!C:$C)</f>
        <v>KG</v>
      </c>
      <c r="F4330" s="14">
        <v>9</v>
      </c>
      <c r="G4330" s="92">
        <f t="array" ref="G4330">IF(B4330="insumo",_xlfn.XLOOKUP($D4330,Insumos!$B$1:$B$996,Insumos!$D$1:$D$996),"")</f>
        <v>1.0645</v>
      </c>
      <c r="H4330" s="92">
        <v>9.5805000000000007</v>
      </c>
      <c r="I4330" s="13">
        <v>0</v>
      </c>
      <c r="J4330" s="13">
        <v>0</v>
      </c>
      <c r="K4330" s="13"/>
      <c r="L4330"/>
      <c r="M4330"/>
      <c r="N4330"/>
      <c r="O4330"/>
      <c r="P4330"/>
      <c r="Q4330"/>
      <c r="R4330"/>
      <c r="S4330"/>
      <c r="T4330"/>
      <c r="U4330"/>
      <c r="V4330"/>
      <c r="W4330"/>
      <c r="X4330"/>
      <c r="Y4330"/>
      <c r="Z4330"/>
      <c r="AA4330"/>
      <c r="AB4330"/>
      <c r="AC4330"/>
      <c r="AD4330"/>
      <c r="AE4330"/>
      <c r="AF4330"/>
      <c r="AG4330"/>
      <c r="AH4330"/>
      <c r="AI4330"/>
      <c r="AJ4330"/>
      <c r="AK4330"/>
      <c r="AL4330"/>
    </row>
    <row r="4331" spans="1:38" ht="15.75" customHeight="1" outlineLevel="3" x14ac:dyDescent="0.2">
      <c r="A4331" s="10">
        <v>142</v>
      </c>
      <c r="B4331" s="10" t="s">
        <v>71</v>
      </c>
      <c r="C4331" s="10" t="s">
        <v>848</v>
      </c>
      <c r="D4331" s="10" t="s">
        <v>506</v>
      </c>
      <c r="E4331" s="11" t="str">
        <f t="array" ref="E4331">_xlfn.XLOOKUP(D4331,Insumos!B:B,Insumos!C:$C)</f>
        <v>UN</v>
      </c>
      <c r="F4331" s="14">
        <v>4</v>
      </c>
      <c r="G4331" s="92">
        <f t="array" ref="G4331">IF(B4331="insumo",_xlfn.XLOOKUP($D4331,Insumos!$B$1:$B$996,Insumos!$D$1:$D$996),"")</f>
        <v>0.08</v>
      </c>
      <c r="H4331" s="92">
        <v>0.32</v>
      </c>
      <c r="I4331" s="13">
        <v>0</v>
      </c>
      <c r="J4331" s="13">
        <v>0</v>
      </c>
      <c r="K4331" s="13"/>
      <c r="L4331"/>
      <c r="M4331"/>
      <c r="N4331"/>
      <c r="O4331"/>
      <c r="P4331"/>
      <c r="Q4331"/>
      <c r="R4331"/>
      <c r="S4331"/>
      <c r="T4331"/>
      <c r="U4331"/>
      <c r="V4331"/>
      <c r="W4331"/>
      <c r="X4331"/>
      <c r="Y4331"/>
      <c r="Z4331"/>
      <c r="AA4331"/>
      <c r="AB4331"/>
      <c r="AC4331"/>
      <c r="AD4331"/>
      <c r="AE4331"/>
      <c r="AF4331"/>
      <c r="AG4331"/>
      <c r="AH4331"/>
      <c r="AI4331"/>
      <c r="AJ4331"/>
      <c r="AK4331"/>
      <c r="AL4331"/>
    </row>
    <row r="4332" spans="1:38" ht="15.75" customHeight="1" outlineLevel="3" x14ac:dyDescent="0.2">
      <c r="A4332" s="10">
        <v>101</v>
      </c>
      <c r="B4332" s="10" t="s">
        <v>71</v>
      </c>
      <c r="C4332" s="10" t="s">
        <v>848</v>
      </c>
      <c r="D4332" s="10" t="s">
        <v>507</v>
      </c>
      <c r="E4332" s="11" t="str">
        <f t="array" ref="E4332">_xlfn.XLOOKUP(D4332,Insumos!B:B,Insumos!C:$C)</f>
        <v>KG</v>
      </c>
      <c r="F4332" s="14">
        <v>0.5</v>
      </c>
      <c r="G4332" s="92">
        <f t="array" ref="G4332">IF(B4332="insumo",_xlfn.XLOOKUP($D4332,Insumos!$B$1:$B$996,Insumos!$D$1:$D$996),"")</f>
        <v>11.15</v>
      </c>
      <c r="H4332" s="92">
        <v>5.5750000000000002</v>
      </c>
      <c r="I4332" s="13">
        <v>0</v>
      </c>
      <c r="J4332" s="13">
        <v>0</v>
      </c>
      <c r="K4332" s="13"/>
      <c r="L4332"/>
      <c r="M4332"/>
      <c r="N4332"/>
      <c r="O4332"/>
      <c r="P4332"/>
      <c r="Q4332"/>
      <c r="R4332"/>
      <c r="S4332"/>
      <c r="T4332"/>
      <c r="U4332"/>
      <c r="V4332"/>
      <c r="W4332"/>
      <c r="X4332"/>
      <c r="Y4332"/>
      <c r="Z4332"/>
      <c r="AA4332"/>
      <c r="AB4332"/>
      <c r="AC4332"/>
      <c r="AD4332"/>
      <c r="AE4332"/>
      <c r="AF4332"/>
      <c r="AG4332"/>
      <c r="AH4332"/>
      <c r="AI4332"/>
      <c r="AJ4332"/>
      <c r="AK4332"/>
      <c r="AL4332"/>
    </row>
    <row r="4333" spans="1:38" ht="15.75" customHeight="1" outlineLevel="2" x14ac:dyDescent="0.2">
      <c r="A4333" s="1067">
        <v>1</v>
      </c>
      <c r="B4333" s="1067" t="s">
        <v>68</v>
      </c>
      <c r="C4333" s="1067" t="s">
        <v>849</v>
      </c>
      <c r="D4333" s="1067" t="s">
        <v>849</v>
      </c>
      <c r="E4333" s="1068" t="s">
        <v>70</v>
      </c>
      <c r="F4333" s="1067"/>
      <c r="G4333" s="1069" t="str">
        <f t="array" ref="G4333">IF(B4333="insumo",_xlfn.XLOOKUP($D4333,Insumos!$B$1:$B$996,Insumos!$D$1:$D$996),"")</f>
        <v/>
      </c>
      <c r="H4333" s="1069">
        <v>136.3545</v>
      </c>
      <c r="I4333" s="1070">
        <v>0</v>
      </c>
      <c r="J4333" s="1070">
        <v>0</v>
      </c>
      <c r="K4333" s="1070"/>
      <c r="L4333"/>
      <c r="M4333"/>
      <c r="N4333"/>
      <c r="O4333"/>
      <c r="P4333"/>
      <c r="Q4333"/>
      <c r="R4333"/>
      <c r="S4333"/>
      <c r="T4333"/>
      <c r="U4333"/>
      <c r="V4333"/>
      <c r="W4333"/>
      <c r="X4333"/>
      <c r="Y4333"/>
      <c r="Z4333"/>
      <c r="AA4333"/>
      <c r="AB4333"/>
      <c r="AC4333"/>
      <c r="AD4333"/>
      <c r="AE4333"/>
      <c r="AF4333"/>
      <c r="AG4333"/>
      <c r="AH4333"/>
      <c r="AI4333"/>
      <c r="AJ4333"/>
      <c r="AK4333"/>
      <c r="AL4333"/>
    </row>
    <row r="4334" spans="1:38" ht="15.75" customHeight="1" outlineLevel="3" x14ac:dyDescent="0.2">
      <c r="A4334" s="10">
        <v>2</v>
      </c>
      <c r="B4334" s="10" t="s">
        <v>71</v>
      </c>
      <c r="C4334" s="10" t="s">
        <v>849</v>
      </c>
      <c r="D4334" s="10" t="s">
        <v>647</v>
      </c>
      <c r="E4334" s="11" t="str">
        <f t="array" ref="E4334">_xlfn.XLOOKUP(D4334,Insumos!B:B,Insumos!C:$C)</f>
        <v>M2</v>
      </c>
      <c r="F4334" s="14">
        <v>1.1000000000000001</v>
      </c>
      <c r="G4334" s="92">
        <f t="array" ref="G4334">IF(B4334="insumo",_xlfn.XLOOKUP($D4334,Insumos!$B$1:$B$996,Insumos!$D$1:$D$996),"")</f>
        <v>109.89</v>
      </c>
      <c r="H4334" s="92">
        <v>120.879</v>
      </c>
      <c r="I4334" s="13">
        <v>0</v>
      </c>
      <c r="J4334" s="13">
        <v>0</v>
      </c>
      <c r="K4334" s="13"/>
      <c r="L4334"/>
      <c r="M4334"/>
      <c r="N4334"/>
      <c r="O4334"/>
      <c r="P4334"/>
      <c r="Q4334"/>
      <c r="R4334"/>
      <c r="S4334"/>
      <c r="T4334"/>
      <c r="U4334"/>
      <c r="V4334"/>
      <c r="W4334"/>
      <c r="X4334"/>
      <c r="Y4334"/>
      <c r="Z4334"/>
      <c r="AA4334"/>
      <c r="AB4334"/>
      <c r="AC4334"/>
      <c r="AD4334"/>
      <c r="AE4334"/>
      <c r="AF4334"/>
      <c r="AG4334"/>
      <c r="AH4334"/>
      <c r="AI4334"/>
      <c r="AJ4334"/>
      <c r="AK4334"/>
      <c r="AL4334"/>
    </row>
    <row r="4335" spans="1:38" ht="15.75" customHeight="1" outlineLevel="3" x14ac:dyDescent="0.2">
      <c r="A4335" s="10">
        <v>191</v>
      </c>
      <c r="B4335" s="10" t="s">
        <v>71</v>
      </c>
      <c r="C4335" s="10" t="s">
        <v>849</v>
      </c>
      <c r="D4335" s="10" t="s">
        <v>481</v>
      </c>
      <c r="E4335" s="11" t="str">
        <f t="array" ref="E4335">_xlfn.XLOOKUP(D4335,Insumos!B:B,Insumos!C:$C)</f>
        <v>KG</v>
      </c>
      <c r="F4335" s="14">
        <v>9</v>
      </c>
      <c r="G4335" s="92">
        <f t="array" ref="G4335">IF(B4335="insumo",_xlfn.XLOOKUP($D4335,Insumos!$B$1:$B$996,Insumos!$D$1:$D$996),"")</f>
        <v>1.0645</v>
      </c>
      <c r="H4335" s="92">
        <v>9.5805000000000007</v>
      </c>
      <c r="I4335" s="13">
        <v>0</v>
      </c>
      <c r="J4335" s="13">
        <v>0</v>
      </c>
      <c r="K4335" s="13"/>
      <c r="L4335"/>
      <c r="M4335"/>
      <c r="N4335"/>
      <c r="O4335"/>
      <c r="P4335"/>
      <c r="Q4335"/>
      <c r="R4335"/>
      <c r="S4335"/>
      <c r="T4335"/>
      <c r="U4335"/>
      <c r="V4335"/>
      <c r="W4335"/>
      <c r="X4335"/>
      <c r="Y4335"/>
      <c r="Z4335"/>
      <c r="AA4335"/>
      <c r="AB4335"/>
      <c r="AC4335"/>
      <c r="AD4335"/>
      <c r="AE4335"/>
      <c r="AF4335"/>
      <c r="AG4335"/>
      <c r="AH4335"/>
      <c r="AI4335"/>
      <c r="AJ4335"/>
      <c r="AK4335"/>
      <c r="AL4335"/>
    </row>
    <row r="4336" spans="1:38" ht="15.75" customHeight="1" outlineLevel="3" x14ac:dyDescent="0.2">
      <c r="A4336" s="10">
        <v>142</v>
      </c>
      <c r="B4336" s="10" t="s">
        <v>71</v>
      </c>
      <c r="C4336" s="10" t="s">
        <v>849</v>
      </c>
      <c r="D4336" s="10" t="s">
        <v>506</v>
      </c>
      <c r="E4336" s="11" t="str">
        <f t="array" ref="E4336">_xlfn.XLOOKUP(D4336,Insumos!B:B,Insumos!C:$C)</f>
        <v>UN</v>
      </c>
      <c r="F4336" s="14">
        <v>4</v>
      </c>
      <c r="G4336" s="92">
        <f t="array" ref="G4336">IF(B4336="insumo",_xlfn.XLOOKUP($D4336,Insumos!$B$1:$B$996,Insumos!$D$1:$D$996),"")</f>
        <v>0.08</v>
      </c>
      <c r="H4336" s="92">
        <v>0.32</v>
      </c>
      <c r="I4336" s="13">
        <v>0</v>
      </c>
      <c r="J4336" s="13">
        <v>0</v>
      </c>
      <c r="K4336" s="13"/>
      <c r="L4336"/>
      <c r="M4336"/>
      <c r="N4336"/>
      <c r="O4336"/>
      <c r="P4336"/>
      <c r="Q4336"/>
      <c r="R4336"/>
      <c r="S4336"/>
      <c r="T4336"/>
      <c r="U4336"/>
      <c r="V4336"/>
      <c r="W4336"/>
      <c r="X4336"/>
      <c r="Y4336"/>
      <c r="Z4336"/>
      <c r="AA4336"/>
      <c r="AB4336"/>
      <c r="AC4336"/>
      <c r="AD4336"/>
      <c r="AE4336"/>
      <c r="AF4336"/>
      <c r="AG4336"/>
      <c r="AH4336"/>
      <c r="AI4336"/>
      <c r="AJ4336"/>
      <c r="AK4336"/>
      <c r="AL4336"/>
    </row>
    <row r="4337" spans="1:38" ht="15.75" customHeight="1" outlineLevel="3" x14ac:dyDescent="0.2">
      <c r="A4337" s="10">
        <v>101</v>
      </c>
      <c r="B4337" s="10" t="s">
        <v>71</v>
      </c>
      <c r="C4337" s="10" t="s">
        <v>849</v>
      </c>
      <c r="D4337" s="10" t="s">
        <v>507</v>
      </c>
      <c r="E4337" s="11" t="str">
        <f t="array" ref="E4337">_xlfn.XLOOKUP(D4337,Insumos!B:B,Insumos!C:$C)</f>
        <v>KG</v>
      </c>
      <c r="F4337" s="14">
        <v>0.5</v>
      </c>
      <c r="G4337" s="92">
        <f t="array" ref="G4337">IF(B4337="insumo",_xlfn.XLOOKUP($D4337,Insumos!$B$1:$B$996,Insumos!$D$1:$D$996),"")</f>
        <v>11.15</v>
      </c>
      <c r="H4337" s="92">
        <v>5.5750000000000002</v>
      </c>
      <c r="I4337" s="13">
        <v>0</v>
      </c>
      <c r="J4337" s="13">
        <v>0</v>
      </c>
      <c r="K4337" s="13"/>
      <c r="L4337"/>
      <c r="M4337"/>
      <c r="N4337"/>
      <c r="O4337"/>
      <c r="P4337"/>
      <c r="Q4337"/>
      <c r="R4337"/>
      <c r="S4337"/>
      <c r="T4337"/>
      <c r="U4337"/>
      <c r="V4337"/>
      <c r="W4337"/>
      <c r="X4337"/>
      <c r="Y4337"/>
      <c r="Z4337"/>
      <c r="AA4337"/>
      <c r="AB4337"/>
      <c r="AC4337"/>
      <c r="AD4337"/>
      <c r="AE4337"/>
      <c r="AF4337"/>
      <c r="AG4337"/>
      <c r="AH4337"/>
      <c r="AI4337"/>
      <c r="AJ4337"/>
      <c r="AK4337"/>
      <c r="AL4337"/>
    </row>
    <row r="4338" spans="1:38" ht="15.75" customHeight="1" outlineLevel="2" x14ac:dyDescent="0.2">
      <c r="A4338" s="1067">
        <v>1</v>
      </c>
      <c r="B4338" s="1067" t="s">
        <v>68</v>
      </c>
      <c r="C4338" s="1067" t="s">
        <v>872</v>
      </c>
      <c r="D4338" s="1067" t="s">
        <v>872</v>
      </c>
      <c r="E4338" s="1068" t="s">
        <v>70</v>
      </c>
      <c r="F4338" s="1067"/>
      <c r="G4338" s="1069" t="str">
        <f t="array" ref="G4338">IF(B4338="insumo",_xlfn.XLOOKUP($D4338,Insumos!$B$1:$B$996,Insumos!$D$1:$D$996),"")</f>
        <v/>
      </c>
      <c r="H4338" s="1069">
        <v>420.07560000000001</v>
      </c>
      <c r="I4338" s="1070">
        <v>0</v>
      </c>
      <c r="J4338" s="1070">
        <v>0</v>
      </c>
      <c r="K4338" s="1070"/>
      <c r="L4338"/>
      <c r="M4338"/>
      <c r="N4338"/>
      <c r="O4338"/>
      <c r="P4338"/>
      <c r="Q4338"/>
      <c r="R4338"/>
      <c r="S4338"/>
      <c r="T4338"/>
      <c r="U4338"/>
      <c r="V4338"/>
      <c r="W4338"/>
      <c r="X4338"/>
      <c r="Y4338"/>
      <c r="Z4338"/>
      <c r="AA4338"/>
      <c r="AB4338"/>
      <c r="AC4338"/>
      <c r="AD4338"/>
      <c r="AE4338"/>
      <c r="AF4338"/>
      <c r="AG4338"/>
      <c r="AH4338"/>
      <c r="AI4338"/>
      <c r="AJ4338"/>
      <c r="AK4338"/>
      <c r="AL4338"/>
    </row>
    <row r="4339" spans="1:38" ht="15.75" customHeight="1" outlineLevel="3" x14ac:dyDescent="0.2">
      <c r="A4339" s="10">
        <v>1</v>
      </c>
      <c r="B4339" s="10" t="s">
        <v>71</v>
      </c>
      <c r="C4339" s="10" t="s">
        <v>872</v>
      </c>
      <c r="D4339" s="10" t="s">
        <v>873</v>
      </c>
      <c r="E4339" s="11" t="str">
        <f t="array" ref="E4339">_xlfn.XLOOKUP(D4339,Insumos!B:B,Insumos!C:$C)</f>
        <v>M2</v>
      </c>
      <c r="F4339" s="14">
        <v>1.1000000000000001</v>
      </c>
      <c r="G4339" s="92">
        <f t="array" ref="G4339">IF(B4339="insumo",_xlfn.XLOOKUP($D4339,Insumos!$B$1:$B$996,Insumos!$D$1:$D$996),"")</f>
        <v>372.9</v>
      </c>
      <c r="H4339" s="92">
        <v>410.19</v>
      </c>
      <c r="I4339" s="13">
        <v>0</v>
      </c>
      <c r="J4339" s="13">
        <v>0</v>
      </c>
      <c r="K4339" s="13"/>
      <c r="L4339"/>
      <c r="M4339"/>
      <c r="N4339"/>
      <c r="O4339"/>
      <c r="P4339"/>
      <c r="Q4339"/>
      <c r="R4339"/>
      <c r="S4339"/>
      <c r="T4339"/>
      <c r="U4339"/>
      <c r="V4339"/>
      <c r="W4339"/>
      <c r="X4339"/>
      <c r="Y4339"/>
      <c r="Z4339"/>
      <c r="AA4339"/>
      <c r="AB4339"/>
      <c r="AC4339"/>
      <c r="AD4339"/>
      <c r="AE4339"/>
      <c r="AF4339"/>
      <c r="AG4339"/>
      <c r="AH4339"/>
      <c r="AI4339"/>
      <c r="AJ4339"/>
      <c r="AK4339"/>
      <c r="AL4339"/>
    </row>
    <row r="4340" spans="1:38" ht="15.75" customHeight="1" outlineLevel="3" x14ac:dyDescent="0.2">
      <c r="A4340" s="10">
        <v>191</v>
      </c>
      <c r="B4340" s="10" t="s">
        <v>71</v>
      </c>
      <c r="C4340" s="10" t="s">
        <v>872</v>
      </c>
      <c r="D4340" s="10" t="s">
        <v>481</v>
      </c>
      <c r="E4340" s="11" t="str">
        <f t="array" ref="E4340">_xlfn.XLOOKUP(D4340,Insumos!B:B,Insumos!C:$C)</f>
        <v>KG</v>
      </c>
      <c r="F4340" s="14">
        <v>8.8000000000000007</v>
      </c>
      <c r="G4340" s="92">
        <f t="array" ref="G4340">IF(B4340="insumo",_xlfn.XLOOKUP($D4340,Insumos!$B$1:$B$996,Insumos!$D$1:$D$996),"")</f>
        <v>1.0645</v>
      </c>
      <c r="H4340" s="92">
        <v>9.3675999999999995</v>
      </c>
      <c r="I4340" s="13">
        <v>0</v>
      </c>
      <c r="J4340" s="13">
        <v>0</v>
      </c>
      <c r="K4340" s="13"/>
      <c r="L4340"/>
      <c r="M4340"/>
      <c r="N4340"/>
      <c r="O4340"/>
      <c r="P4340"/>
      <c r="Q4340"/>
      <c r="R4340"/>
      <c r="S4340"/>
      <c r="T4340"/>
      <c r="U4340"/>
      <c r="V4340"/>
      <c r="W4340"/>
      <c r="X4340"/>
      <c r="Y4340"/>
      <c r="Z4340"/>
      <c r="AA4340"/>
      <c r="AB4340"/>
      <c r="AC4340"/>
      <c r="AD4340"/>
      <c r="AE4340"/>
      <c r="AF4340"/>
      <c r="AG4340"/>
      <c r="AH4340"/>
      <c r="AI4340"/>
      <c r="AJ4340"/>
      <c r="AK4340"/>
      <c r="AL4340"/>
    </row>
    <row r="4341" spans="1:38" ht="15.75" customHeight="1" outlineLevel="3" x14ac:dyDescent="0.2">
      <c r="A4341" s="10">
        <v>142</v>
      </c>
      <c r="B4341" s="10" t="s">
        <v>71</v>
      </c>
      <c r="C4341" s="10" t="s">
        <v>872</v>
      </c>
      <c r="D4341" s="10" t="s">
        <v>506</v>
      </c>
      <c r="E4341" s="11" t="str">
        <f t="array" ref="E4341">_xlfn.XLOOKUP(D4341,Insumos!B:B,Insumos!C:$C)</f>
        <v>UN</v>
      </c>
      <c r="F4341" s="14">
        <v>1</v>
      </c>
      <c r="G4341" s="92">
        <f t="array" ref="G4341">IF(B4341="insumo",_xlfn.XLOOKUP($D4341,Insumos!$B$1:$B$996,Insumos!$D$1:$D$996),"")</f>
        <v>0.08</v>
      </c>
      <c r="H4341" s="92">
        <v>0.08</v>
      </c>
      <c r="I4341" s="13">
        <v>0</v>
      </c>
      <c r="J4341" s="13">
        <v>0</v>
      </c>
      <c r="K4341" s="13"/>
      <c r="L4341"/>
      <c r="M4341"/>
      <c r="N4341"/>
      <c r="O4341"/>
      <c r="P4341"/>
      <c r="Q4341"/>
      <c r="R4341"/>
      <c r="S4341"/>
      <c r="T4341"/>
      <c r="U4341"/>
      <c r="V4341"/>
      <c r="W4341"/>
      <c r="X4341"/>
      <c r="Y4341"/>
      <c r="Z4341"/>
      <c r="AA4341"/>
      <c r="AB4341"/>
      <c r="AC4341"/>
      <c r="AD4341"/>
      <c r="AE4341"/>
      <c r="AF4341"/>
      <c r="AG4341"/>
      <c r="AH4341"/>
      <c r="AI4341"/>
      <c r="AJ4341"/>
      <c r="AK4341"/>
      <c r="AL4341"/>
    </row>
    <row r="4342" spans="1:38" ht="15.75" customHeight="1" outlineLevel="3" x14ac:dyDescent="0.2">
      <c r="A4342" s="10">
        <v>22</v>
      </c>
      <c r="B4342" s="10" t="s">
        <v>71</v>
      </c>
      <c r="C4342" s="10" t="s">
        <v>872</v>
      </c>
      <c r="D4342" s="10" t="s">
        <v>661</v>
      </c>
      <c r="E4342" s="11" t="str">
        <f t="array" ref="E4342">_xlfn.XLOOKUP(D4342,Insumos!B:B,Insumos!C:$C)</f>
        <v>KG</v>
      </c>
      <c r="F4342" s="14">
        <v>0.01</v>
      </c>
      <c r="G4342" s="92">
        <f t="array" ref="G4342">IF(B4342="insumo",_xlfn.XLOOKUP($D4342,Insumos!$B$1:$B$996,Insumos!$D$1:$D$996),"")</f>
        <v>43.8</v>
      </c>
      <c r="H4342" s="92">
        <v>0.438</v>
      </c>
      <c r="I4342" s="13">
        <v>0</v>
      </c>
      <c r="J4342" s="13">
        <v>0</v>
      </c>
      <c r="K4342" s="13"/>
      <c r="L4342"/>
      <c r="M4342"/>
      <c r="N4342"/>
      <c r="O4342"/>
      <c r="P4342"/>
      <c r="Q4342"/>
      <c r="R4342"/>
      <c r="S4342"/>
      <c r="T4342"/>
      <c r="U4342"/>
      <c r="V4342"/>
      <c r="W4342"/>
      <c r="X4342"/>
      <c r="Y4342"/>
      <c r="Z4342"/>
      <c r="AA4342"/>
      <c r="AB4342"/>
      <c r="AC4342"/>
      <c r="AD4342"/>
      <c r="AE4342"/>
      <c r="AF4342"/>
      <c r="AG4342"/>
      <c r="AH4342"/>
      <c r="AI4342"/>
      <c r="AJ4342"/>
      <c r="AK4342"/>
      <c r="AL4342"/>
    </row>
    <row r="4343" spans="1:38" ht="15.75" customHeight="1" outlineLevel="2" x14ac:dyDescent="0.2">
      <c r="A4343" s="1067">
        <v>1</v>
      </c>
      <c r="B4343" s="1067" t="s">
        <v>68</v>
      </c>
      <c r="C4343" s="1067" t="s">
        <v>874</v>
      </c>
      <c r="D4343" s="1067" t="s">
        <v>874</v>
      </c>
      <c r="E4343" s="1068" t="s">
        <v>70</v>
      </c>
      <c r="F4343" s="1067"/>
      <c r="G4343" s="1069" t="str">
        <f t="array" ref="G4343">IF(B4343="insumo",_xlfn.XLOOKUP($D4343,Insumos!$B$1:$B$996,Insumos!$D$1:$D$996),"")</f>
        <v/>
      </c>
      <c r="H4343" s="1069">
        <v>191.25059999999999</v>
      </c>
      <c r="I4343" s="1070">
        <v>0</v>
      </c>
      <c r="J4343" s="1070">
        <v>0</v>
      </c>
      <c r="K4343" s="1070"/>
      <c r="L4343"/>
      <c r="M4343"/>
      <c r="N4343"/>
      <c r="O4343"/>
      <c r="P4343"/>
      <c r="Q4343"/>
      <c r="R4343"/>
      <c r="S4343"/>
      <c r="T4343"/>
      <c r="U4343"/>
      <c r="V4343"/>
      <c r="W4343"/>
      <c r="X4343"/>
      <c r="Y4343"/>
      <c r="Z4343"/>
      <c r="AA4343"/>
      <c r="AB4343"/>
      <c r="AC4343"/>
      <c r="AD4343"/>
      <c r="AE4343"/>
      <c r="AF4343"/>
      <c r="AG4343"/>
      <c r="AH4343"/>
      <c r="AI4343"/>
      <c r="AJ4343"/>
      <c r="AK4343"/>
      <c r="AL4343"/>
    </row>
    <row r="4344" spans="1:38" ht="15.75" customHeight="1" outlineLevel="3" x14ac:dyDescent="0.2">
      <c r="A4344" s="10">
        <v>1</v>
      </c>
      <c r="B4344" s="10" t="s">
        <v>71</v>
      </c>
      <c r="C4344" s="10" t="s">
        <v>874</v>
      </c>
      <c r="D4344" s="10" t="s">
        <v>875</v>
      </c>
      <c r="E4344" s="11" t="str">
        <f t="array" ref="E4344">_xlfn.XLOOKUP(D4344,Insumos!B:B,Insumos!C:$C)</f>
        <v>M2</v>
      </c>
      <c r="F4344" s="14">
        <v>1.1000000000000001</v>
      </c>
      <c r="G4344" s="92">
        <f t="array" ref="G4344">IF(B4344="insumo",_xlfn.XLOOKUP($D4344,Insumos!$B$1:$B$996,Insumos!$D$1:$D$996),"")</f>
        <v>165</v>
      </c>
      <c r="H4344" s="92">
        <v>181.5</v>
      </c>
      <c r="I4344" s="13">
        <v>0</v>
      </c>
      <c r="J4344" s="13">
        <v>0</v>
      </c>
      <c r="K4344" s="13"/>
      <c r="L4344"/>
      <c r="M4344"/>
      <c r="N4344"/>
      <c r="O4344"/>
      <c r="P4344"/>
      <c r="Q4344"/>
      <c r="R4344"/>
      <c r="S4344"/>
      <c r="T4344"/>
      <c r="U4344"/>
      <c r="V4344"/>
      <c r="W4344"/>
      <c r="X4344"/>
      <c r="Y4344"/>
      <c r="Z4344"/>
      <c r="AA4344"/>
      <c r="AB4344"/>
      <c r="AC4344"/>
      <c r="AD4344"/>
      <c r="AE4344"/>
      <c r="AF4344"/>
      <c r="AG4344"/>
      <c r="AH4344"/>
      <c r="AI4344"/>
      <c r="AJ4344"/>
      <c r="AK4344"/>
      <c r="AL4344"/>
    </row>
    <row r="4345" spans="1:38" ht="15.75" customHeight="1" outlineLevel="3" x14ac:dyDescent="0.2">
      <c r="A4345" s="10">
        <v>191</v>
      </c>
      <c r="B4345" s="10" t="s">
        <v>71</v>
      </c>
      <c r="C4345" s="10" t="s">
        <v>874</v>
      </c>
      <c r="D4345" s="10" t="s">
        <v>481</v>
      </c>
      <c r="E4345" s="11" t="str">
        <f t="array" ref="E4345">_xlfn.XLOOKUP(D4345,Insumos!B:B,Insumos!C:$C)</f>
        <v>KG</v>
      </c>
      <c r="F4345" s="14">
        <v>8.8000000000000007</v>
      </c>
      <c r="G4345" s="92">
        <f t="array" ref="G4345">IF(B4345="insumo",_xlfn.XLOOKUP($D4345,Insumos!$B$1:$B$996,Insumos!$D$1:$D$996),"")</f>
        <v>1.0645</v>
      </c>
      <c r="H4345" s="92">
        <v>9.3675999999999995</v>
      </c>
      <c r="I4345" s="13">
        <v>0</v>
      </c>
      <c r="J4345" s="13">
        <v>0</v>
      </c>
      <c r="K4345" s="13"/>
      <c r="L4345"/>
      <c r="M4345"/>
      <c r="N4345"/>
      <c r="O4345"/>
      <c r="P4345"/>
      <c r="Q4345"/>
      <c r="R4345"/>
      <c r="S4345"/>
      <c r="T4345"/>
      <c r="U4345"/>
      <c r="V4345"/>
      <c r="W4345"/>
      <c r="X4345"/>
      <c r="Y4345"/>
      <c r="Z4345"/>
      <c r="AA4345"/>
      <c r="AB4345"/>
      <c r="AC4345"/>
      <c r="AD4345"/>
      <c r="AE4345"/>
      <c r="AF4345"/>
      <c r="AG4345"/>
      <c r="AH4345"/>
      <c r="AI4345"/>
      <c r="AJ4345"/>
      <c r="AK4345"/>
      <c r="AL4345"/>
    </row>
    <row r="4346" spans="1:38" ht="15.75" customHeight="1" outlineLevel="3" x14ac:dyDescent="0.2">
      <c r="A4346" s="10">
        <v>142</v>
      </c>
      <c r="B4346" s="10" t="s">
        <v>71</v>
      </c>
      <c r="C4346" s="10" t="s">
        <v>874</v>
      </c>
      <c r="D4346" s="10" t="s">
        <v>506</v>
      </c>
      <c r="E4346" s="11" t="str">
        <f t="array" ref="E4346">_xlfn.XLOOKUP(D4346,Insumos!B:B,Insumos!C:$C)</f>
        <v>UN</v>
      </c>
      <c r="F4346" s="14">
        <v>2</v>
      </c>
      <c r="G4346" s="92">
        <f t="array" ref="G4346">IF(B4346="insumo",_xlfn.XLOOKUP($D4346,Insumos!$B$1:$B$996,Insumos!$D$1:$D$996),"")</f>
        <v>0.08</v>
      </c>
      <c r="H4346" s="92">
        <v>0.16</v>
      </c>
      <c r="I4346" s="13">
        <v>0</v>
      </c>
      <c r="J4346" s="13">
        <v>0</v>
      </c>
      <c r="K4346" s="13"/>
      <c r="L4346"/>
      <c r="M4346"/>
      <c r="N4346"/>
      <c r="O4346"/>
      <c r="P4346"/>
      <c r="Q4346"/>
      <c r="R4346"/>
      <c r="S4346"/>
      <c r="T4346"/>
      <c r="U4346"/>
      <c r="V4346"/>
      <c r="W4346"/>
      <c r="X4346"/>
      <c r="Y4346"/>
      <c r="Z4346"/>
      <c r="AA4346"/>
      <c r="AB4346"/>
      <c r="AC4346"/>
      <c r="AD4346"/>
      <c r="AE4346"/>
      <c r="AF4346"/>
      <c r="AG4346"/>
      <c r="AH4346"/>
      <c r="AI4346"/>
      <c r="AJ4346"/>
      <c r="AK4346"/>
      <c r="AL4346"/>
    </row>
    <row r="4347" spans="1:38" ht="15.75" customHeight="1" outlineLevel="3" x14ac:dyDescent="0.2">
      <c r="A4347" s="10">
        <v>101</v>
      </c>
      <c r="B4347" s="10" t="s">
        <v>71</v>
      </c>
      <c r="C4347" s="10" t="s">
        <v>874</v>
      </c>
      <c r="D4347" s="10" t="s">
        <v>507</v>
      </c>
      <c r="E4347" s="11" t="str">
        <f t="array" ref="E4347">_xlfn.XLOOKUP(D4347,Insumos!B:B,Insumos!C:$C)</f>
        <v>KG</v>
      </c>
      <c r="F4347" s="14">
        <v>0.02</v>
      </c>
      <c r="G4347" s="92">
        <f t="array" ref="G4347">IF(B4347="insumo",_xlfn.XLOOKUP($D4347,Insumos!$B$1:$B$996,Insumos!$D$1:$D$996),"")</f>
        <v>11.15</v>
      </c>
      <c r="H4347" s="92">
        <v>0.223</v>
      </c>
      <c r="I4347" s="13">
        <v>0</v>
      </c>
      <c r="J4347" s="13">
        <v>0</v>
      </c>
      <c r="K4347" s="13"/>
      <c r="L4347"/>
      <c r="M4347"/>
      <c r="N4347"/>
      <c r="O4347"/>
      <c r="P4347"/>
      <c r="Q4347"/>
      <c r="R4347"/>
      <c r="S4347"/>
      <c r="T4347"/>
      <c r="U4347"/>
      <c r="V4347"/>
      <c r="W4347"/>
      <c r="X4347"/>
      <c r="Y4347"/>
      <c r="Z4347"/>
      <c r="AA4347"/>
      <c r="AB4347"/>
      <c r="AC4347"/>
      <c r="AD4347"/>
      <c r="AE4347"/>
      <c r="AF4347"/>
      <c r="AG4347"/>
      <c r="AH4347"/>
      <c r="AI4347"/>
      <c r="AJ4347"/>
      <c r="AK4347"/>
      <c r="AL4347"/>
    </row>
    <row r="4348" spans="1:38" ht="15.75" customHeight="1" outlineLevel="2" x14ac:dyDescent="0.2">
      <c r="A4348" s="1067">
        <v>1</v>
      </c>
      <c r="B4348" s="1067" t="s">
        <v>68</v>
      </c>
      <c r="C4348" s="1067" t="s">
        <v>876</v>
      </c>
      <c r="D4348" s="1067" t="s">
        <v>876</v>
      </c>
      <c r="E4348" s="1068" t="s">
        <v>70</v>
      </c>
      <c r="F4348" s="1067"/>
      <c r="G4348" s="1069" t="str">
        <f t="array" ref="G4348">IF(B4348="insumo",_xlfn.XLOOKUP($D4348,Insumos!$B$1:$B$996,Insumos!$D$1:$D$996),"")</f>
        <v/>
      </c>
      <c r="H4348" s="1069">
        <v>93.130600000000001</v>
      </c>
      <c r="I4348" s="1070">
        <v>0</v>
      </c>
      <c r="J4348" s="1070">
        <v>0</v>
      </c>
      <c r="K4348" s="1070"/>
      <c r="L4348"/>
      <c r="M4348"/>
      <c r="N4348"/>
      <c r="O4348"/>
      <c r="P4348"/>
      <c r="Q4348"/>
      <c r="R4348"/>
      <c r="S4348"/>
      <c r="T4348"/>
      <c r="U4348"/>
      <c r="V4348"/>
      <c r="W4348"/>
      <c r="X4348"/>
      <c r="Y4348"/>
      <c r="Z4348"/>
      <c r="AA4348"/>
      <c r="AB4348"/>
      <c r="AC4348"/>
      <c r="AD4348"/>
      <c r="AE4348"/>
      <c r="AF4348"/>
      <c r="AG4348"/>
      <c r="AH4348"/>
      <c r="AI4348"/>
      <c r="AJ4348"/>
      <c r="AK4348"/>
      <c r="AL4348"/>
    </row>
    <row r="4349" spans="1:38" ht="15.75" customHeight="1" outlineLevel="3" x14ac:dyDescent="0.2">
      <c r="A4349" s="10">
        <v>1</v>
      </c>
      <c r="B4349" s="10" t="s">
        <v>71</v>
      </c>
      <c r="C4349" s="10" t="s">
        <v>876</v>
      </c>
      <c r="D4349" s="10" t="s">
        <v>877</v>
      </c>
      <c r="E4349" s="11" t="str">
        <f t="array" ref="E4349">_xlfn.XLOOKUP(D4349,Insumos!B:B,Insumos!C:$C)</f>
        <v>M2</v>
      </c>
      <c r="F4349" s="14">
        <v>1.1000000000000001</v>
      </c>
      <c r="G4349" s="92">
        <f t="array" ref="G4349">IF(B4349="insumo",_xlfn.XLOOKUP($D4349,Insumos!$B$1:$B$996,Insumos!$D$1:$D$996),"")</f>
        <v>75.8</v>
      </c>
      <c r="H4349" s="92">
        <v>83.38</v>
      </c>
      <c r="I4349" s="13">
        <v>0</v>
      </c>
      <c r="J4349" s="13">
        <v>0</v>
      </c>
      <c r="K4349" s="13"/>
      <c r="L4349"/>
      <c r="M4349"/>
      <c r="N4349"/>
      <c r="O4349"/>
      <c r="P4349"/>
      <c r="Q4349"/>
      <c r="R4349"/>
      <c r="S4349"/>
      <c r="T4349"/>
      <c r="U4349"/>
      <c r="V4349"/>
      <c r="W4349"/>
      <c r="X4349"/>
      <c r="Y4349"/>
      <c r="Z4349"/>
      <c r="AA4349"/>
      <c r="AB4349"/>
      <c r="AC4349"/>
      <c r="AD4349"/>
      <c r="AE4349"/>
      <c r="AF4349"/>
      <c r="AG4349"/>
      <c r="AH4349"/>
      <c r="AI4349"/>
      <c r="AJ4349"/>
      <c r="AK4349"/>
      <c r="AL4349"/>
    </row>
    <row r="4350" spans="1:38" ht="15.75" customHeight="1" outlineLevel="3" x14ac:dyDescent="0.2">
      <c r="A4350" s="10">
        <v>191</v>
      </c>
      <c r="B4350" s="10" t="s">
        <v>71</v>
      </c>
      <c r="C4350" s="10" t="s">
        <v>876</v>
      </c>
      <c r="D4350" s="10" t="s">
        <v>481</v>
      </c>
      <c r="E4350" s="11" t="str">
        <f t="array" ref="E4350">_xlfn.XLOOKUP(D4350,Insumos!B:B,Insumos!C:$C)</f>
        <v>KG</v>
      </c>
      <c r="F4350" s="14">
        <v>8.8000000000000007</v>
      </c>
      <c r="G4350" s="92">
        <f t="array" ref="G4350">IF(B4350="insumo",_xlfn.XLOOKUP($D4350,Insumos!$B$1:$B$996,Insumos!$D$1:$D$996),"")</f>
        <v>1.0645</v>
      </c>
      <c r="H4350" s="92">
        <v>9.3675999999999995</v>
      </c>
      <c r="I4350" s="13">
        <v>0</v>
      </c>
      <c r="J4350" s="13">
        <v>0</v>
      </c>
      <c r="K4350" s="13"/>
      <c r="L4350"/>
      <c r="M4350"/>
      <c r="N4350"/>
      <c r="O4350"/>
      <c r="P4350"/>
      <c r="Q4350"/>
      <c r="R4350"/>
      <c r="S4350"/>
      <c r="T4350"/>
      <c r="U4350"/>
      <c r="V4350"/>
      <c r="W4350"/>
      <c r="X4350"/>
      <c r="Y4350"/>
      <c r="Z4350"/>
      <c r="AA4350"/>
      <c r="AB4350"/>
      <c r="AC4350"/>
      <c r="AD4350"/>
      <c r="AE4350"/>
      <c r="AF4350"/>
      <c r="AG4350"/>
      <c r="AH4350"/>
      <c r="AI4350"/>
      <c r="AJ4350"/>
      <c r="AK4350"/>
      <c r="AL4350"/>
    </row>
    <row r="4351" spans="1:38" ht="15.75" customHeight="1" outlineLevel="3" x14ac:dyDescent="0.2">
      <c r="A4351" s="10">
        <v>142</v>
      </c>
      <c r="B4351" s="10" t="s">
        <v>71</v>
      </c>
      <c r="C4351" s="10" t="s">
        <v>876</v>
      </c>
      <c r="D4351" s="10" t="s">
        <v>506</v>
      </c>
      <c r="E4351" s="11" t="str">
        <f t="array" ref="E4351">_xlfn.XLOOKUP(D4351,Insumos!B:B,Insumos!C:$C)</f>
        <v>UN</v>
      </c>
      <c r="F4351" s="14">
        <v>2</v>
      </c>
      <c r="G4351" s="92">
        <f t="array" ref="G4351">IF(B4351="insumo",_xlfn.XLOOKUP($D4351,Insumos!$B$1:$B$996,Insumos!$D$1:$D$996),"")</f>
        <v>0.08</v>
      </c>
      <c r="H4351" s="92">
        <v>0.16</v>
      </c>
      <c r="I4351" s="13">
        <v>0</v>
      </c>
      <c r="J4351" s="13">
        <v>0</v>
      </c>
      <c r="K4351" s="13"/>
      <c r="L4351"/>
      <c r="M4351"/>
      <c r="N4351"/>
      <c r="O4351"/>
      <c r="P4351"/>
      <c r="Q4351"/>
      <c r="R4351"/>
      <c r="S4351"/>
      <c r="T4351"/>
      <c r="U4351"/>
      <c r="V4351"/>
      <c r="W4351"/>
      <c r="X4351"/>
      <c r="Y4351"/>
      <c r="Z4351"/>
      <c r="AA4351"/>
      <c r="AB4351"/>
      <c r="AC4351"/>
      <c r="AD4351"/>
      <c r="AE4351"/>
      <c r="AF4351"/>
      <c r="AG4351"/>
      <c r="AH4351"/>
      <c r="AI4351"/>
      <c r="AJ4351"/>
      <c r="AK4351"/>
      <c r="AL4351"/>
    </row>
    <row r="4352" spans="1:38" ht="15.75" customHeight="1" outlineLevel="3" x14ac:dyDescent="0.2">
      <c r="A4352" s="10">
        <v>101</v>
      </c>
      <c r="B4352" s="10" t="s">
        <v>71</v>
      </c>
      <c r="C4352" s="10" t="s">
        <v>876</v>
      </c>
      <c r="D4352" s="10" t="s">
        <v>507</v>
      </c>
      <c r="E4352" s="11" t="str">
        <f t="array" ref="E4352">_xlfn.XLOOKUP(D4352,Insumos!B:B,Insumos!C:$C)</f>
        <v>KG</v>
      </c>
      <c r="F4352" s="14">
        <v>0.02</v>
      </c>
      <c r="G4352" s="92">
        <f t="array" ref="G4352">IF(B4352="insumo",_xlfn.XLOOKUP($D4352,Insumos!$B$1:$B$996,Insumos!$D$1:$D$996),"")</f>
        <v>11.15</v>
      </c>
      <c r="H4352" s="92">
        <v>0.223</v>
      </c>
      <c r="I4352" s="13">
        <v>0</v>
      </c>
      <c r="J4352" s="13">
        <v>0</v>
      </c>
      <c r="K4352" s="13"/>
      <c r="L4352"/>
      <c r="M4352"/>
      <c r="N4352"/>
      <c r="O4352"/>
      <c r="P4352"/>
      <c r="Q4352"/>
      <c r="R4352"/>
      <c r="S4352"/>
      <c r="T4352"/>
      <c r="U4352"/>
      <c r="V4352"/>
      <c r="W4352"/>
      <c r="X4352"/>
      <c r="Y4352"/>
      <c r="Z4352"/>
      <c r="AA4352"/>
      <c r="AB4352"/>
      <c r="AC4352"/>
      <c r="AD4352"/>
      <c r="AE4352"/>
      <c r="AF4352"/>
      <c r="AG4352"/>
      <c r="AH4352"/>
      <c r="AI4352"/>
      <c r="AJ4352"/>
      <c r="AK4352"/>
      <c r="AL4352"/>
    </row>
    <row r="4353" spans="1:38" ht="15.75" customHeight="1" outlineLevel="2" x14ac:dyDescent="0.2">
      <c r="A4353" s="1067">
        <v>1</v>
      </c>
      <c r="B4353" s="1067" t="s">
        <v>68</v>
      </c>
      <c r="C4353" s="1067" t="s">
        <v>878</v>
      </c>
      <c r="D4353" s="1067" t="s">
        <v>878</v>
      </c>
      <c r="E4353" s="1068" t="s">
        <v>70</v>
      </c>
      <c r="F4353" s="1067"/>
      <c r="G4353" s="1069" t="str">
        <f t="array" ref="G4353">IF(B4353="insumo",_xlfn.XLOOKUP($D4353,Insumos!$B$1:$B$996,Insumos!$D$1:$D$996),"")</f>
        <v/>
      </c>
      <c r="H4353" s="1069">
        <v>99.950599999999994</v>
      </c>
      <c r="I4353" s="1070">
        <v>0</v>
      </c>
      <c r="J4353" s="1070">
        <v>0</v>
      </c>
      <c r="K4353" s="1070"/>
      <c r="L4353"/>
      <c r="M4353"/>
      <c r="N4353"/>
      <c r="O4353"/>
      <c r="P4353"/>
      <c r="Q4353"/>
      <c r="R4353"/>
      <c r="S4353"/>
      <c r="T4353"/>
      <c r="U4353"/>
      <c r="V4353"/>
      <c r="W4353"/>
      <c r="X4353"/>
      <c r="Y4353"/>
      <c r="Z4353"/>
      <c r="AA4353"/>
      <c r="AB4353"/>
      <c r="AC4353"/>
      <c r="AD4353"/>
      <c r="AE4353"/>
      <c r="AF4353"/>
      <c r="AG4353"/>
      <c r="AH4353"/>
      <c r="AI4353"/>
      <c r="AJ4353"/>
      <c r="AK4353"/>
      <c r="AL4353"/>
    </row>
    <row r="4354" spans="1:38" ht="15.75" customHeight="1" outlineLevel="3" x14ac:dyDescent="0.2">
      <c r="A4354" s="10">
        <v>5</v>
      </c>
      <c r="B4354" s="10" t="s">
        <v>71</v>
      </c>
      <c r="C4354" s="10" t="s">
        <v>878</v>
      </c>
      <c r="D4354" s="10" t="s">
        <v>663</v>
      </c>
      <c r="E4354" s="11" t="str">
        <f t="array" ref="E4354">_xlfn.XLOOKUP(D4354,Insumos!B:B,Insumos!C:$C)</f>
        <v>M2</v>
      </c>
      <c r="F4354" s="14">
        <v>1.1000000000000001</v>
      </c>
      <c r="G4354" s="92">
        <f t="array" ref="G4354">IF(B4354="insumo",_xlfn.XLOOKUP($D4354,Insumos!$B$1:$B$996,Insumos!$D$1:$D$996),"")</f>
        <v>82</v>
      </c>
      <c r="H4354" s="92">
        <v>90.2</v>
      </c>
      <c r="I4354" s="13">
        <v>0</v>
      </c>
      <c r="J4354" s="13">
        <v>0</v>
      </c>
      <c r="K4354" s="13"/>
      <c r="L4354"/>
      <c r="M4354"/>
      <c r="N4354"/>
      <c r="O4354"/>
      <c r="P4354"/>
      <c r="Q4354"/>
      <c r="R4354"/>
      <c r="S4354"/>
      <c r="T4354"/>
      <c r="U4354"/>
      <c r="V4354"/>
      <c r="W4354"/>
      <c r="X4354"/>
      <c r="Y4354"/>
      <c r="Z4354"/>
      <c r="AA4354"/>
      <c r="AB4354"/>
      <c r="AC4354"/>
      <c r="AD4354"/>
      <c r="AE4354"/>
      <c r="AF4354"/>
      <c r="AG4354"/>
      <c r="AH4354"/>
      <c r="AI4354"/>
      <c r="AJ4354"/>
      <c r="AK4354"/>
      <c r="AL4354"/>
    </row>
    <row r="4355" spans="1:38" ht="15.75" customHeight="1" outlineLevel="3" x14ac:dyDescent="0.2">
      <c r="A4355" s="10">
        <v>191</v>
      </c>
      <c r="B4355" s="10" t="s">
        <v>71</v>
      </c>
      <c r="C4355" s="10" t="s">
        <v>878</v>
      </c>
      <c r="D4355" s="10" t="s">
        <v>481</v>
      </c>
      <c r="E4355" s="11" t="str">
        <f t="array" ref="E4355">_xlfn.XLOOKUP(D4355,Insumos!B:B,Insumos!C:$C)</f>
        <v>KG</v>
      </c>
      <c r="F4355" s="14">
        <v>8.8000000000000007</v>
      </c>
      <c r="G4355" s="92">
        <f t="array" ref="G4355">IF(B4355="insumo",_xlfn.XLOOKUP($D4355,Insumos!$B$1:$B$996,Insumos!$D$1:$D$996),"")</f>
        <v>1.0645</v>
      </c>
      <c r="H4355" s="92">
        <v>9.3675999999999995</v>
      </c>
      <c r="I4355" s="13">
        <v>0</v>
      </c>
      <c r="J4355" s="13">
        <v>0</v>
      </c>
      <c r="K4355" s="13"/>
      <c r="L4355"/>
      <c r="M4355"/>
      <c r="N4355"/>
      <c r="O4355"/>
      <c r="P4355"/>
      <c r="Q4355"/>
      <c r="R4355"/>
      <c r="S4355"/>
      <c r="T4355"/>
      <c r="U4355"/>
      <c r="V4355"/>
      <c r="W4355"/>
      <c r="X4355"/>
      <c r="Y4355"/>
      <c r="Z4355"/>
      <c r="AA4355"/>
      <c r="AB4355"/>
      <c r="AC4355"/>
      <c r="AD4355"/>
      <c r="AE4355"/>
      <c r="AF4355"/>
      <c r="AG4355"/>
      <c r="AH4355"/>
      <c r="AI4355"/>
      <c r="AJ4355"/>
      <c r="AK4355"/>
      <c r="AL4355"/>
    </row>
    <row r="4356" spans="1:38" ht="15.75" customHeight="1" outlineLevel="3" x14ac:dyDescent="0.2">
      <c r="A4356" s="10">
        <v>142</v>
      </c>
      <c r="B4356" s="10" t="s">
        <v>71</v>
      </c>
      <c r="C4356" s="10" t="s">
        <v>878</v>
      </c>
      <c r="D4356" s="10" t="s">
        <v>506</v>
      </c>
      <c r="E4356" s="11" t="str">
        <f t="array" ref="E4356">_xlfn.XLOOKUP(D4356,Insumos!B:B,Insumos!C:$C)</f>
        <v>UN</v>
      </c>
      <c r="F4356" s="14">
        <v>2</v>
      </c>
      <c r="G4356" s="92">
        <f t="array" ref="G4356">IF(B4356="insumo",_xlfn.XLOOKUP($D4356,Insumos!$B$1:$B$996,Insumos!$D$1:$D$996),"")</f>
        <v>0.08</v>
      </c>
      <c r="H4356" s="92">
        <v>0.16</v>
      </c>
      <c r="I4356" s="13">
        <v>0</v>
      </c>
      <c r="J4356" s="13">
        <v>0</v>
      </c>
      <c r="K4356" s="13"/>
      <c r="L4356"/>
      <c r="M4356"/>
      <c r="N4356"/>
      <c r="O4356"/>
      <c r="P4356"/>
      <c r="Q4356"/>
      <c r="R4356"/>
      <c r="S4356"/>
      <c r="T4356"/>
      <c r="U4356"/>
      <c r="V4356"/>
      <c r="W4356"/>
      <c r="X4356"/>
      <c r="Y4356"/>
      <c r="Z4356"/>
      <c r="AA4356"/>
      <c r="AB4356"/>
      <c r="AC4356"/>
      <c r="AD4356"/>
      <c r="AE4356"/>
      <c r="AF4356"/>
      <c r="AG4356"/>
      <c r="AH4356"/>
      <c r="AI4356"/>
      <c r="AJ4356"/>
      <c r="AK4356"/>
      <c r="AL4356"/>
    </row>
    <row r="4357" spans="1:38" ht="15.75" customHeight="1" outlineLevel="3" x14ac:dyDescent="0.2">
      <c r="A4357" s="10">
        <v>101</v>
      </c>
      <c r="B4357" s="10" t="s">
        <v>71</v>
      </c>
      <c r="C4357" s="10" t="s">
        <v>878</v>
      </c>
      <c r="D4357" s="10" t="s">
        <v>507</v>
      </c>
      <c r="E4357" s="11" t="str">
        <f t="array" ref="E4357">_xlfn.XLOOKUP(D4357,Insumos!B:B,Insumos!C:$C)</f>
        <v>KG</v>
      </c>
      <c r="F4357" s="14">
        <v>0.02</v>
      </c>
      <c r="G4357" s="92">
        <f t="array" ref="G4357">IF(B4357="insumo",_xlfn.XLOOKUP($D4357,Insumos!$B$1:$B$996,Insumos!$D$1:$D$996),"")</f>
        <v>11.15</v>
      </c>
      <c r="H4357" s="92">
        <v>0.223</v>
      </c>
      <c r="I4357" s="13">
        <v>0</v>
      </c>
      <c r="J4357" s="13">
        <v>0</v>
      </c>
      <c r="K4357" s="13"/>
      <c r="L4357"/>
      <c r="M4357"/>
      <c r="N4357"/>
      <c r="O4357"/>
      <c r="P4357"/>
      <c r="Q4357"/>
      <c r="R4357"/>
      <c r="S4357"/>
      <c r="T4357"/>
      <c r="U4357"/>
      <c r="V4357"/>
      <c r="W4357"/>
      <c r="X4357"/>
      <c r="Y4357"/>
      <c r="Z4357"/>
      <c r="AA4357"/>
      <c r="AB4357"/>
      <c r="AC4357"/>
      <c r="AD4357"/>
      <c r="AE4357"/>
      <c r="AF4357"/>
      <c r="AG4357"/>
      <c r="AH4357"/>
      <c r="AI4357"/>
      <c r="AJ4357"/>
      <c r="AK4357"/>
      <c r="AL4357"/>
    </row>
    <row r="4358" spans="1:38" ht="15.75" customHeight="1" outlineLevel="2" x14ac:dyDescent="0.2">
      <c r="A4358" s="1067">
        <v>1</v>
      </c>
      <c r="B4358" s="1067" t="s">
        <v>68</v>
      </c>
      <c r="C4358" s="1067" t="s">
        <v>891</v>
      </c>
      <c r="D4358" s="1067" t="s">
        <v>891</v>
      </c>
      <c r="E4358" s="1068" t="s">
        <v>70</v>
      </c>
      <c r="F4358" s="1067"/>
      <c r="G4358" s="1069" t="str">
        <f t="array" ref="G4358">IF(B4358="insumo",_xlfn.XLOOKUP($D4358,Insumos!$B$1:$B$996,Insumos!$D$1:$D$996),"")</f>
        <v/>
      </c>
      <c r="H4358" s="1069">
        <v>332.39</v>
      </c>
      <c r="I4358" s="1070">
        <v>0</v>
      </c>
      <c r="J4358" s="1070">
        <v>0</v>
      </c>
      <c r="K4358" s="1070"/>
      <c r="L4358"/>
      <c r="M4358"/>
      <c r="N4358"/>
      <c r="O4358"/>
      <c r="P4358"/>
      <c r="Q4358"/>
      <c r="R4358"/>
      <c r="S4358"/>
      <c r="T4358"/>
      <c r="U4358"/>
      <c r="V4358"/>
      <c r="W4358"/>
      <c r="X4358"/>
      <c r="Y4358"/>
      <c r="Z4358"/>
      <c r="AA4358"/>
      <c r="AB4358"/>
      <c r="AC4358"/>
      <c r="AD4358"/>
      <c r="AE4358"/>
      <c r="AF4358"/>
      <c r="AG4358"/>
      <c r="AH4358"/>
      <c r="AI4358"/>
      <c r="AJ4358"/>
      <c r="AK4358"/>
      <c r="AL4358"/>
    </row>
    <row r="4359" spans="1:38" ht="15.75" customHeight="1" outlineLevel="3" x14ac:dyDescent="0.2">
      <c r="A4359" s="10">
        <v>1</v>
      </c>
      <c r="B4359" s="10" t="s">
        <v>71</v>
      </c>
      <c r="C4359" s="10" t="s">
        <v>891</v>
      </c>
      <c r="D4359" s="10" t="s">
        <v>892</v>
      </c>
      <c r="E4359" s="11" t="str">
        <f t="array" ref="E4359">_xlfn.XLOOKUP(D4359,Insumos!B:B,Insumos!C:$C)</f>
        <v>M2</v>
      </c>
      <c r="F4359" s="14">
        <v>1</v>
      </c>
      <c r="G4359" s="92">
        <f t="array" ref="G4359">IF(B4359="insumo",_xlfn.XLOOKUP($D4359,Insumos!$B$1:$B$996,Insumos!$D$1:$D$996),"")</f>
        <v>246.84</v>
      </c>
      <c r="H4359" s="92">
        <v>246.84</v>
      </c>
      <c r="I4359" s="13">
        <v>0</v>
      </c>
      <c r="J4359" s="13">
        <v>0</v>
      </c>
      <c r="K4359" s="13"/>
      <c r="L4359"/>
      <c r="M4359"/>
      <c r="N4359"/>
      <c r="O4359"/>
      <c r="P4359"/>
      <c r="Q4359"/>
      <c r="R4359"/>
      <c r="S4359"/>
      <c r="T4359"/>
      <c r="U4359"/>
      <c r="V4359"/>
      <c r="W4359"/>
      <c r="X4359"/>
      <c r="Y4359"/>
      <c r="Z4359"/>
      <c r="AA4359"/>
      <c r="AB4359"/>
      <c r="AC4359"/>
      <c r="AD4359"/>
      <c r="AE4359"/>
      <c r="AF4359"/>
      <c r="AG4359"/>
      <c r="AH4359"/>
      <c r="AI4359"/>
      <c r="AJ4359"/>
      <c r="AK4359"/>
      <c r="AL4359"/>
    </row>
    <row r="4360" spans="1:38" ht="15.75" customHeight="1" outlineLevel="3" x14ac:dyDescent="0.2">
      <c r="A4360" s="10">
        <v>1</v>
      </c>
      <c r="B4360" s="10" t="s">
        <v>71</v>
      </c>
      <c r="C4360" s="15" t="s">
        <v>891</v>
      </c>
      <c r="D4360" s="15" t="s">
        <v>893</v>
      </c>
      <c r="E4360" s="11" t="str">
        <f t="array" ref="E4360">_xlfn.XLOOKUP(D4360,Insumos!B:B,Insumos!C:$C)</f>
        <v>m2</v>
      </c>
      <c r="F4360" s="14">
        <v>1</v>
      </c>
      <c r="G4360" s="92">
        <f t="array" ref="G4360">IF(B4360="insumo",_xlfn.XLOOKUP($D4360,Insumos!$B$1:$B$996,Insumos!$D$1:$D$996),"")</f>
        <v>85.55</v>
      </c>
      <c r="H4360" s="92">
        <v>85.55</v>
      </c>
      <c r="I4360" s="13">
        <v>0</v>
      </c>
      <c r="J4360" s="13">
        <v>0</v>
      </c>
      <c r="K4360" s="13"/>
      <c r="L4360"/>
      <c r="M4360"/>
      <c r="N4360"/>
      <c r="O4360"/>
      <c r="P4360"/>
      <c r="Q4360"/>
      <c r="R4360"/>
      <c r="S4360"/>
      <c r="T4360"/>
      <c r="U4360"/>
      <c r="V4360"/>
      <c r="W4360"/>
      <c r="X4360"/>
      <c r="Y4360"/>
      <c r="Z4360"/>
      <c r="AA4360"/>
      <c r="AB4360"/>
      <c r="AC4360"/>
      <c r="AD4360"/>
      <c r="AE4360"/>
      <c r="AF4360"/>
      <c r="AG4360"/>
      <c r="AH4360"/>
      <c r="AI4360"/>
      <c r="AJ4360"/>
      <c r="AK4360"/>
      <c r="AL4360"/>
    </row>
    <row r="4361" spans="1:38" ht="15.75" customHeight="1" outlineLevel="2" x14ac:dyDescent="0.2">
      <c r="A4361" s="1067">
        <v>1</v>
      </c>
      <c r="B4361" s="1067" t="s">
        <v>68</v>
      </c>
      <c r="C4361" s="1067" t="s">
        <v>884</v>
      </c>
      <c r="D4361" s="1067" t="s">
        <v>884</v>
      </c>
      <c r="E4361" s="1068" t="s">
        <v>70</v>
      </c>
      <c r="F4361" s="1067"/>
      <c r="G4361" s="1069" t="str">
        <f t="array" ref="G4361">IF(B4361="insumo",_xlfn.XLOOKUP($D4361,Insumos!$B$1:$B$996,Insumos!$D$1:$D$996),"")</f>
        <v/>
      </c>
      <c r="H4361" s="1069">
        <v>139.45650000000001</v>
      </c>
      <c r="I4361" s="1070">
        <v>0</v>
      </c>
      <c r="J4361" s="1070">
        <v>0</v>
      </c>
      <c r="K4361" s="1070"/>
      <c r="L4361"/>
      <c r="M4361"/>
      <c r="N4361"/>
      <c r="O4361"/>
      <c r="P4361"/>
      <c r="Q4361"/>
      <c r="R4361"/>
      <c r="S4361"/>
      <c r="T4361"/>
      <c r="U4361"/>
      <c r="V4361"/>
      <c r="W4361"/>
      <c r="X4361"/>
      <c r="Y4361"/>
      <c r="Z4361"/>
      <c r="AA4361"/>
      <c r="AB4361"/>
      <c r="AC4361"/>
      <c r="AD4361"/>
      <c r="AE4361"/>
      <c r="AF4361"/>
      <c r="AG4361"/>
      <c r="AH4361"/>
      <c r="AI4361"/>
      <c r="AJ4361"/>
      <c r="AK4361"/>
      <c r="AL4361"/>
    </row>
    <row r="4362" spans="1:38" ht="15.75" customHeight="1" outlineLevel="3" x14ac:dyDescent="0.2">
      <c r="A4362" s="10">
        <v>1</v>
      </c>
      <c r="B4362" s="10" t="s">
        <v>71</v>
      </c>
      <c r="C4362" s="10" t="s">
        <v>884</v>
      </c>
      <c r="D4362" s="10" t="s">
        <v>885</v>
      </c>
      <c r="E4362" s="11" t="str">
        <f t="array" ref="E4362">_xlfn.XLOOKUP(D4362,Insumos!B:B,Insumos!C:$C)</f>
        <v>M2</v>
      </c>
      <c r="F4362" s="14">
        <v>1.1000000000000001</v>
      </c>
      <c r="G4362" s="92">
        <f t="array" ref="G4362">IF(B4362="insumo",_xlfn.XLOOKUP($D4362,Insumos!$B$1:$B$996,Insumos!$D$1:$D$996),"")</f>
        <v>112.71</v>
      </c>
      <c r="H4362" s="92">
        <v>123.98099999999999</v>
      </c>
      <c r="I4362" s="13">
        <v>0</v>
      </c>
      <c r="J4362" s="13">
        <v>0</v>
      </c>
      <c r="K4362" s="13"/>
      <c r="L4362"/>
      <c r="M4362"/>
      <c r="N4362"/>
      <c r="O4362"/>
      <c r="P4362"/>
      <c r="Q4362"/>
      <c r="R4362"/>
      <c r="S4362"/>
      <c r="T4362"/>
      <c r="U4362"/>
      <c r="V4362"/>
      <c r="W4362"/>
      <c r="X4362"/>
      <c r="Y4362"/>
      <c r="Z4362"/>
      <c r="AA4362"/>
      <c r="AB4362"/>
      <c r="AC4362"/>
      <c r="AD4362"/>
      <c r="AE4362"/>
      <c r="AF4362"/>
      <c r="AG4362"/>
      <c r="AH4362"/>
      <c r="AI4362"/>
      <c r="AJ4362"/>
      <c r="AK4362"/>
      <c r="AL4362"/>
    </row>
    <row r="4363" spans="1:38" ht="15.75" customHeight="1" outlineLevel="3" x14ac:dyDescent="0.2">
      <c r="A4363" s="10">
        <v>191</v>
      </c>
      <c r="B4363" s="10" t="s">
        <v>71</v>
      </c>
      <c r="C4363" s="10" t="s">
        <v>884</v>
      </c>
      <c r="D4363" s="10" t="s">
        <v>481</v>
      </c>
      <c r="E4363" s="11" t="str">
        <f t="array" ref="E4363">_xlfn.XLOOKUP(D4363,Insumos!B:B,Insumos!C:$C)</f>
        <v>KG</v>
      </c>
      <c r="F4363" s="14">
        <v>9</v>
      </c>
      <c r="G4363" s="92">
        <f t="array" ref="G4363">IF(B4363="insumo",_xlfn.XLOOKUP($D4363,Insumos!$B$1:$B$996,Insumos!$D$1:$D$996),"")</f>
        <v>1.0645</v>
      </c>
      <c r="H4363" s="92">
        <v>9.5805000000000007</v>
      </c>
      <c r="I4363" s="13">
        <v>0</v>
      </c>
      <c r="J4363" s="13">
        <v>0</v>
      </c>
      <c r="K4363" s="13"/>
      <c r="L4363"/>
      <c r="M4363"/>
      <c r="N4363"/>
      <c r="O4363"/>
      <c r="P4363"/>
      <c r="Q4363"/>
      <c r="R4363"/>
      <c r="S4363"/>
      <c r="T4363"/>
      <c r="U4363"/>
      <c r="V4363"/>
      <c r="W4363"/>
      <c r="X4363"/>
      <c r="Y4363"/>
      <c r="Z4363"/>
      <c r="AA4363"/>
      <c r="AB4363"/>
      <c r="AC4363"/>
      <c r="AD4363"/>
      <c r="AE4363"/>
      <c r="AF4363"/>
      <c r="AG4363"/>
      <c r="AH4363"/>
      <c r="AI4363"/>
      <c r="AJ4363"/>
      <c r="AK4363"/>
      <c r="AL4363"/>
    </row>
    <row r="4364" spans="1:38" ht="15.75" customHeight="1" outlineLevel="3" x14ac:dyDescent="0.2">
      <c r="A4364" s="10">
        <v>142</v>
      </c>
      <c r="B4364" s="10" t="s">
        <v>71</v>
      </c>
      <c r="C4364" s="10" t="s">
        <v>884</v>
      </c>
      <c r="D4364" s="10" t="s">
        <v>506</v>
      </c>
      <c r="E4364" s="11" t="str">
        <f t="array" ref="E4364">_xlfn.XLOOKUP(D4364,Insumos!B:B,Insumos!C:$C)</f>
        <v>UN</v>
      </c>
      <c r="F4364" s="14">
        <v>4</v>
      </c>
      <c r="G4364" s="92">
        <f t="array" ref="G4364">IF(B4364="insumo",_xlfn.XLOOKUP($D4364,Insumos!$B$1:$B$996,Insumos!$D$1:$D$996),"")</f>
        <v>0.08</v>
      </c>
      <c r="H4364" s="92">
        <v>0.32</v>
      </c>
      <c r="I4364" s="13">
        <v>0</v>
      </c>
      <c r="J4364" s="13">
        <v>0</v>
      </c>
      <c r="K4364" s="13"/>
      <c r="L4364"/>
      <c r="M4364"/>
      <c r="N4364"/>
      <c r="O4364"/>
      <c r="P4364"/>
      <c r="Q4364"/>
      <c r="R4364"/>
      <c r="S4364"/>
      <c r="T4364"/>
      <c r="U4364"/>
      <c r="V4364"/>
      <c r="W4364"/>
      <c r="X4364"/>
      <c r="Y4364"/>
      <c r="Z4364"/>
      <c r="AA4364"/>
      <c r="AB4364"/>
      <c r="AC4364"/>
      <c r="AD4364"/>
      <c r="AE4364"/>
      <c r="AF4364"/>
      <c r="AG4364"/>
      <c r="AH4364"/>
      <c r="AI4364"/>
      <c r="AJ4364"/>
      <c r="AK4364"/>
      <c r="AL4364"/>
    </row>
    <row r="4365" spans="1:38" ht="15.75" customHeight="1" outlineLevel="3" x14ac:dyDescent="0.2">
      <c r="A4365" s="10">
        <v>101</v>
      </c>
      <c r="B4365" s="10" t="s">
        <v>71</v>
      </c>
      <c r="C4365" s="10" t="s">
        <v>884</v>
      </c>
      <c r="D4365" s="10" t="s">
        <v>507</v>
      </c>
      <c r="E4365" s="11" t="str">
        <f t="array" ref="E4365">_xlfn.XLOOKUP(D4365,Insumos!B:B,Insumos!C:$C)</f>
        <v>KG</v>
      </c>
      <c r="F4365" s="14">
        <v>0.5</v>
      </c>
      <c r="G4365" s="92">
        <f t="array" ref="G4365">IF(B4365="insumo",_xlfn.XLOOKUP($D4365,Insumos!$B$1:$B$996,Insumos!$D$1:$D$996),"")</f>
        <v>11.15</v>
      </c>
      <c r="H4365" s="92">
        <v>5.5750000000000002</v>
      </c>
      <c r="I4365" s="13">
        <v>0</v>
      </c>
      <c r="J4365" s="13">
        <v>0</v>
      </c>
      <c r="K4365" s="13"/>
      <c r="L4365"/>
      <c r="M4365"/>
      <c r="N4365"/>
      <c r="O4365"/>
      <c r="P4365"/>
      <c r="Q4365"/>
      <c r="R4365"/>
      <c r="S4365"/>
      <c r="T4365"/>
      <c r="U4365"/>
      <c r="V4365"/>
      <c r="W4365"/>
      <c r="X4365"/>
      <c r="Y4365"/>
      <c r="Z4365"/>
      <c r="AA4365"/>
      <c r="AB4365"/>
      <c r="AC4365"/>
      <c r="AD4365"/>
      <c r="AE4365"/>
      <c r="AF4365"/>
      <c r="AG4365"/>
      <c r="AH4365"/>
      <c r="AI4365"/>
      <c r="AJ4365"/>
      <c r="AK4365"/>
      <c r="AL4365"/>
    </row>
    <row r="4366" spans="1:38" ht="15.75" customHeight="1" outlineLevel="2" x14ac:dyDescent="0.2">
      <c r="A4366" s="1067">
        <v>1</v>
      </c>
      <c r="B4366" s="1067" t="s">
        <v>68</v>
      </c>
      <c r="C4366" s="1067" t="s">
        <v>1581</v>
      </c>
      <c r="D4366" s="1067" t="s">
        <v>1581</v>
      </c>
      <c r="E4366" s="1068" t="s">
        <v>70</v>
      </c>
      <c r="F4366" s="1067"/>
      <c r="G4366" s="1069" t="str">
        <f t="array" ref="G4366">IF(B4366="insumo",_xlfn.XLOOKUP($D4366,Insumos!$B$1:$B$996,Insumos!$D$1:$D$996),"")</f>
        <v/>
      </c>
      <c r="H4366" s="1069">
        <v>136.57259999999999</v>
      </c>
      <c r="I4366" s="1070">
        <v>0</v>
      </c>
      <c r="J4366" s="1070">
        <v>0</v>
      </c>
      <c r="K4366" s="1070"/>
      <c r="L4366"/>
      <c r="M4366"/>
      <c r="N4366"/>
      <c r="O4366"/>
      <c r="P4366"/>
      <c r="Q4366"/>
      <c r="R4366"/>
      <c r="S4366"/>
      <c r="T4366"/>
      <c r="U4366"/>
      <c r="V4366"/>
      <c r="W4366"/>
      <c r="X4366"/>
      <c r="Y4366"/>
      <c r="Z4366"/>
      <c r="AA4366"/>
      <c r="AB4366"/>
      <c r="AC4366"/>
      <c r="AD4366"/>
      <c r="AE4366"/>
      <c r="AF4366"/>
      <c r="AG4366"/>
      <c r="AH4366"/>
      <c r="AI4366"/>
      <c r="AJ4366"/>
      <c r="AK4366"/>
      <c r="AL4366"/>
    </row>
    <row r="4367" spans="1:38" ht="15.75" customHeight="1" outlineLevel="3" x14ac:dyDescent="0.2">
      <c r="A4367" s="10">
        <v>3</v>
      </c>
      <c r="B4367" s="10" t="s">
        <v>71</v>
      </c>
      <c r="C4367" s="10" t="s">
        <v>1581</v>
      </c>
      <c r="D4367" s="10" t="s">
        <v>1425</v>
      </c>
      <c r="E4367" s="11" t="str">
        <f t="array" ref="E4367">_xlfn.XLOOKUP(D4367,Insumos!B:B,Insumos!C:$C)</f>
        <v>M2</v>
      </c>
      <c r="F4367" s="14">
        <v>1.1000000000000001</v>
      </c>
      <c r="G4367" s="92">
        <f t="array" ref="G4367">IF(B4367="insumo",_xlfn.XLOOKUP($D4367,Insumos!$B$1:$B$996,Insumos!$D$1:$D$996),"")</f>
        <v>110.5</v>
      </c>
      <c r="H4367" s="92">
        <v>121.55</v>
      </c>
      <c r="I4367" s="13">
        <v>0</v>
      </c>
      <c r="J4367" s="13">
        <v>0</v>
      </c>
      <c r="K4367" s="13"/>
      <c r="L4367"/>
      <c r="M4367"/>
      <c r="N4367"/>
      <c r="O4367"/>
      <c r="P4367"/>
      <c r="Q4367"/>
      <c r="R4367"/>
      <c r="S4367"/>
      <c r="T4367"/>
      <c r="U4367"/>
      <c r="V4367"/>
      <c r="W4367"/>
      <c r="X4367"/>
      <c r="Y4367"/>
      <c r="Z4367"/>
      <c r="AA4367"/>
      <c r="AB4367"/>
      <c r="AC4367"/>
      <c r="AD4367"/>
      <c r="AE4367"/>
      <c r="AF4367"/>
      <c r="AG4367"/>
      <c r="AH4367"/>
      <c r="AI4367"/>
      <c r="AJ4367"/>
      <c r="AK4367"/>
      <c r="AL4367"/>
    </row>
    <row r="4368" spans="1:38" ht="15.75" customHeight="1" outlineLevel="3" x14ac:dyDescent="0.2">
      <c r="A4368" s="10">
        <v>191</v>
      </c>
      <c r="B4368" s="10" t="s">
        <v>71</v>
      </c>
      <c r="C4368" s="10" t="s">
        <v>1581</v>
      </c>
      <c r="D4368" s="10" t="s">
        <v>481</v>
      </c>
      <c r="E4368" s="11" t="str">
        <f t="array" ref="E4368">_xlfn.XLOOKUP(D4368,Insumos!B:B,Insumos!C:$C)</f>
        <v>KG</v>
      </c>
      <c r="F4368" s="14">
        <v>8.8000000000000007</v>
      </c>
      <c r="G4368" s="92">
        <f t="array" ref="G4368">IF(B4368="insumo",_xlfn.XLOOKUP($D4368,Insumos!$B$1:$B$996,Insumos!$D$1:$D$996),"")</f>
        <v>1.0645</v>
      </c>
      <c r="H4368" s="92">
        <v>9.3675999999999995</v>
      </c>
      <c r="I4368" s="13">
        <v>0</v>
      </c>
      <c r="J4368" s="13">
        <v>0</v>
      </c>
      <c r="K4368" s="13"/>
      <c r="L4368"/>
      <c r="M4368"/>
      <c r="N4368"/>
      <c r="O4368"/>
      <c r="P4368"/>
      <c r="Q4368"/>
      <c r="R4368"/>
      <c r="S4368"/>
      <c r="T4368"/>
      <c r="U4368"/>
      <c r="V4368"/>
      <c r="W4368"/>
      <c r="X4368"/>
      <c r="Y4368"/>
      <c r="Z4368"/>
      <c r="AA4368"/>
      <c r="AB4368"/>
      <c r="AC4368"/>
      <c r="AD4368"/>
      <c r="AE4368"/>
      <c r="AF4368"/>
      <c r="AG4368"/>
      <c r="AH4368"/>
      <c r="AI4368"/>
      <c r="AJ4368"/>
      <c r="AK4368"/>
      <c r="AL4368"/>
    </row>
    <row r="4369" spans="1:38" ht="15.75" customHeight="1" outlineLevel="3" x14ac:dyDescent="0.2">
      <c r="A4369" s="10">
        <v>142</v>
      </c>
      <c r="B4369" s="10" t="s">
        <v>71</v>
      </c>
      <c r="C4369" s="10" t="s">
        <v>1581</v>
      </c>
      <c r="D4369" s="10" t="s">
        <v>506</v>
      </c>
      <c r="E4369" s="11" t="str">
        <f t="array" ref="E4369">_xlfn.XLOOKUP(D4369,Insumos!B:B,Insumos!C:$C)</f>
        <v>UN</v>
      </c>
      <c r="F4369" s="14">
        <v>1</v>
      </c>
      <c r="G4369" s="92">
        <f t="array" ref="G4369">IF(B4369="insumo",_xlfn.XLOOKUP($D4369,Insumos!$B$1:$B$996,Insumos!$D$1:$D$996),"")</f>
        <v>0.08</v>
      </c>
      <c r="H4369" s="92">
        <v>0.08</v>
      </c>
      <c r="I4369" s="13">
        <v>0</v>
      </c>
      <c r="J4369" s="13">
        <v>0</v>
      </c>
      <c r="K4369" s="13"/>
      <c r="L4369"/>
      <c r="M4369"/>
      <c r="N4369"/>
      <c r="O4369"/>
      <c r="P4369"/>
      <c r="Q4369"/>
      <c r="R4369"/>
      <c r="S4369"/>
      <c r="T4369"/>
      <c r="U4369"/>
      <c r="V4369"/>
      <c r="W4369"/>
      <c r="X4369"/>
      <c r="Y4369"/>
      <c r="Z4369"/>
      <c r="AA4369"/>
      <c r="AB4369"/>
      <c r="AC4369"/>
      <c r="AD4369"/>
      <c r="AE4369"/>
      <c r="AF4369"/>
      <c r="AG4369"/>
      <c r="AH4369"/>
      <c r="AI4369"/>
      <c r="AJ4369"/>
      <c r="AK4369"/>
      <c r="AL4369"/>
    </row>
    <row r="4370" spans="1:38" ht="15.75" customHeight="1" outlineLevel="3" x14ac:dyDescent="0.2">
      <c r="A4370" s="10">
        <v>101</v>
      </c>
      <c r="B4370" s="10" t="s">
        <v>71</v>
      </c>
      <c r="C4370" s="10" t="s">
        <v>1581</v>
      </c>
      <c r="D4370" s="10" t="s">
        <v>507</v>
      </c>
      <c r="E4370" s="11" t="str">
        <f t="array" ref="E4370">_xlfn.XLOOKUP(D4370,Insumos!B:B,Insumos!C:$C)</f>
        <v>KG</v>
      </c>
      <c r="F4370" s="14">
        <v>0.5</v>
      </c>
      <c r="G4370" s="92">
        <f t="array" ref="G4370">IF(B4370="insumo",_xlfn.XLOOKUP($D4370,Insumos!$B$1:$B$996,Insumos!$D$1:$D$996),"")</f>
        <v>11.15</v>
      </c>
      <c r="H4370" s="92">
        <v>5.5750000000000002</v>
      </c>
      <c r="I4370" s="13">
        <v>0</v>
      </c>
      <c r="J4370" s="13">
        <v>0</v>
      </c>
      <c r="K4370" s="13"/>
      <c r="L4370"/>
      <c r="M4370"/>
      <c r="N4370"/>
      <c r="O4370"/>
      <c r="P4370"/>
      <c r="Q4370"/>
      <c r="R4370"/>
      <c r="S4370"/>
      <c r="T4370"/>
      <c r="U4370"/>
      <c r="V4370"/>
      <c r="W4370"/>
      <c r="X4370"/>
      <c r="Y4370"/>
      <c r="Z4370"/>
      <c r="AA4370"/>
      <c r="AB4370"/>
      <c r="AC4370"/>
      <c r="AD4370"/>
      <c r="AE4370"/>
      <c r="AF4370"/>
      <c r="AG4370"/>
      <c r="AH4370"/>
      <c r="AI4370"/>
      <c r="AJ4370"/>
      <c r="AK4370"/>
      <c r="AL4370"/>
    </row>
    <row r="4371" spans="1:38" ht="15.75" customHeight="1" outlineLevel="2" x14ac:dyDescent="0.2">
      <c r="A4371" s="1067">
        <v>1</v>
      </c>
      <c r="B4371" s="1067" t="s">
        <v>68</v>
      </c>
      <c r="C4371" s="1067" t="s">
        <v>1582</v>
      </c>
      <c r="D4371" s="1067" t="s">
        <v>1582</v>
      </c>
      <c r="E4371" s="1068" t="s">
        <v>70</v>
      </c>
      <c r="F4371" s="1067"/>
      <c r="G4371" s="1069" t="str">
        <f t="array" ref="G4371">IF(B4371="insumo",_xlfn.XLOOKUP($D4371,Insumos!$B$1:$B$996,Insumos!$D$1:$D$996),"")</f>
        <v/>
      </c>
      <c r="H4371" s="1069">
        <v>121.55</v>
      </c>
      <c r="I4371" s="1070">
        <v>0</v>
      </c>
      <c r="J4371" s="1070">
        <v>0</v>
      </c>
      <c r="K4371" s="1070"/>
      <c r="L4371"/>
      <c r="M4371"/>
      <c r="N4371"/>
      <c r="O4371"/>
      <c r="P4371"/>
      <c r="Q4371"/>
      <c r="R4371"/>
      <c r="S4371"/>
      <c r="T4371"/>
      <c r="U4371"/>
      <c r="V4371"/>
      <c r="W4371"/>
      <c r="X4371"/>
      <c r="Y4371"/>
      <c r="Z4371"/>
      <c r="AA4371"/>
      <c r="AB4371"/>
      <c r="AC4371"/>
      <c r="AD4371"/>
      <c r="AE4371"/>
      <c r="AF4371"/>
      <c r="AG4371"/>
      <c r="AH4371"/>
      <c r="AI4371"/>
      <c r="AJ4371"/>
      <c r="AK4371"/>
      <c r="AL4371"/>
    </row>
    <row r="4372" spans="1:38" ht="15.75" customHeight="1" outlineLevel="3" x14ac:dyDescent="0.2">
      <c r="A4372" s="10">
        <v>3</v>
      </c>
      <c r="B4372" s="10" t="s">
        <v>71</v>
      </c>
      <c r="C4372" s="10" t="s">
        <v>1582</v>
      </c>
      <c r="D4372" s="10" t="s">
        <v>1425</v>
      </c>
      <c r="E4372" s="11" t="str">
        <f t="array" ref="E4372">_xlfn.XLOOKUP(D4372,Insumos!B:B,Insumos!C:$C)</f>
        <v>M2</v>
      </c>
      <c r="F4372" s="14">
        <v>1.1000000000000001</v>
      </c>
      <c r="G4372" s="92">
        <f t="array" ref="G4372">IF(B4372="insumo",_xlfn.XLOOKUP($D4372,Insumos!$B$1:$B$996,Insumos!$D$1:$D$996),"")</f>
        <v>110.5</v>
      </c>
      <c r="H4372" s="92">
        <v>121.55</v>
      </c>
      <c r="I4372" s="13">
        <v>0</v>
      </c>
      <c r="J4372" s="13">
        <v>0</v>
      </c>
      <c r="K4372" s="13"/>
      <c r="L4372"/>
      <c r="M4372"/>
      <c r="N4372"/>
      <c r="O4372"/>
      <c r="P4372"/>
      <c r="Q4372"/>
      <c r="R4372"/>
      <c r="S4372"/>
      <c r="T4372"/>
      <c r="U4372"/>
      <c r="V4372"/>
      <c r="W4372"/>
      <c r="X4372"/>
      <c r="Y4372"/>
      <c r="Z4372"/>
      <c r="AA4372"/>
      <c r="AB4372"/>
      <c r="AC4372"/>
      <c r="AD4372"/>
      <c r="AE4372"/>
      <c r="AF4372"/>
      <c r="AG4372"/>
      <c r="AH4372"/>
      <c r="AI4372"/>
      <c r="AJ4372"/>
      <c r="AK4372"/>
      <c r="AL4372"/>
    </row>
    <row r="4373" spans="1:38" ht="12.75" outlineLevel="2" x14ac:dyDescent="0.2">
      <c r="A4373" s="1071">
        <v>1</v>
      </c>
      <c r="B4373" s="1071" t="s">
        <v>68</v>
      </c>
      <c r="C4373" s="1071" t="s">
        <v>1975</v>
      </c>
      <c r="D4373" s="1071" t="s">
        <v>1975</v>
      </c>
      <c r="E4373" s="1072" t="s">
        <v>70</v>
      </c>
      <c r="F4373" s="1071"/>
      <c r="G4373" s="1073" t="str">
        <f t="array" ref="G4373">IF(B4373="insumo",_xlfn.XLOOKUP($D4373,Insumos!$B$1:$B$996,Insumos!$D$1:$D$996),"")</f>
        <v/>
      </c>
      <c r="H4373" s="1073">
        <v>202.38560000000001</v>
      </c>
      <c r="I4373" s="1074">
        <v>0</v>
      </c>
      <c r="J4373" s="1074">
        <v>0</v>
      </c>
      <c r="K4373" s="1074"/>
      <c r="L4373"/>
      <c r="M4373"/>
      <c r="N4373"/>
      <c r="O4373"/>
      <c r="P4373"/>
      <c r="Q4373"/>
      <c r="R4373"/>
      <c r="S4373"/>
      <c r="T4373"/>
      <c r="U4373"/>
      <c r="V4373"/>
      <c r="W4373"/>
      <c r="X4373"/>
      <c r="Y4373"/>
      <c r="Z4373"/>
      <c r="AA4373"/>
      <c r="AB4373"/>
      <c r="AC4373"/>
      <c r="AD4373"/>
      <c r="AE4373"/>
      <c r="AF4373"/>
      <c r="AG4373"/>
      <c r="AH4373"/>
      <c r="AI4373"/>
      <c r="AJ4373"/>
      <c r="AK4373"/>
      <c r="AL4373"/>
    </row>
    <row r="4374" spans="1:38" ht="12.75" outlineLevel="3" x14ac:dyDescent="0.2">
      <c r="A4374" s="82">
        <v>1</v>
      </c>
      <c r="B4374" s="82" t="s">
        <v>71</v>
      </c>
      <c r="C4374" s="82" t="s">
        <v>1975</v>
      </c>
      <c r="D4374" s="82" t="s">
        <v>1815</v>
      </c>
      <c r="E4374" s="11" t="str">
        <f t="array" ref="E4374">_xlfn.XLOOKUP(D4374,Insumos!B:B,Insumos!C:$C)</f>
        <v>M2</v>
      </c>
      <c r="F4374" s="86">
        <v>1.1000000000000001</v>
      </c>
      <c r="G4374" s="92">
        <f t="array" ref="G4374">IF(B4374="insumo",_xlfn.XLOOKUP($D4374,Insumos!$B$1:$B$996,Insumos!$D$1:$D$996),"")</f>
        <v>175</v>
      </c>
      <c r="H4374" s="92">
        <v>192.5</v>
      </c>
      <c r="I4374" s="84">
        <v>0</v>
      </c>
      <c r="J4374" s="84">
        <v>0</v>
      </c>
      <c r="K4374" s="84"/>
      <c r="L4374"/>
      <c r="M4374"/>
      <c r="N4374"/>
      <c r="O4374"/>
      <c r="P4374"/>
      <c r="Q4374"/>
      <c r="R4374"/>
      <c r="S4374"/>
      <c r="T4374"/>
      <c r="U4374"/>
      <c r="V4374"/>
      <c r="W4374"/>
      <c r="X4374"/>
      <c r="Y4374"/>
      <c r="Z4374"/>
      <c r="AA4374"/>
      <c r="AB4374"/>
      <c r="AC4374"/>
      <c r="AD4374"/>
      <c r="AE4374"/>
      <c r="AF4374"/>
      <c r="AG4374"/>
      <c r="AH4374"/>
      <c r="AI4374"/>
      <c r="AJ4374"/>
      <c r="AK4374"/>
      <c r="AL4374"/>
    </row>
    <row r="4375" spans="1:38" ht="12.75" outlineLevel="3" x14ac:dyDescent="0.2">
      <c r="A4375" s="82">
        <v>191</v>
      </c>
      <c r="B4375" s="82" t="s">
        <v>71</v>
      </c>
      <c r="C4375" s="82" t="s">
        <v>1975</v>
      </c>
      <c r="D4375" s="82" t="s">
        <v>481</v>
      </c>
      <c r="E4375" s="11" t="str">
        <f t="array" ref="E4375">_xlfn.XLOOKUP(D4375,Insumos!B:B,Insumos!C:$C)</f>
        <v>KG</v>
      </c>
      <c r="F4375" s="86">
        <v>8.8000000000000007</v>
      </c>
      <c r="G4375" s="92">
        <f t="array" ref="G4375">IF(B4375="insumo",_xlfn.XLOOKUP($D4375,Insumos!$B$1:$B$996,Insumos!$D$1:$D$996),"")</f>
        <v>1.0645</v>
      </c>
      <c r="H4375" s="92">
        <v>9.3675999999999995</v>
      </c>
      <c r="I4375" s="84">
        <v>0</v>
      </c>
      <c r="J4375" s="84">
        <v>0</v>
      </c>
      <c r="K4375" s="84"/>
      <c r="L4375"/>
      <c r="M4375"/>
      <c r="N4375"/>
      <c r="O4375"/>
      <c r="P4375"/>
      <c r="Q4375"/>
      <c r="R4375"/>
      <c r="S4375"/>
      <c r="T4375"/>
      <c r="U4375"/>
      <c r="V4375"/>
      <c r="W4375"/>
      <c r="X4375"/>
      <c r="Y4375"/>
      <c r="Z4375"/>
      <c r="AA4375"/>
      <c r="AB4375"/>
      <c r="AC4375"/>
      <c r="AD4375"/>
      <c r="AE4375"/>
      <c r="AF4375"/>
      <c r="AG4375"/>
      <c r="AH4375"/>
      <c r="AI4375"/>
      <c r="AJ4375"/>
      <c r="AK4375"/>
      <c r="AL4375"/>
    </row>
    <row r="4376" spans="1:38" ht="12.75" outlineLevel="3" x14ac:dyDescent="0.2">
      <c r="A4376" s="82">
        <v>142</v>
      </c>
      <c r="B4376" s="82" t="s">
        <v>71</v>
      </c>
      <c r="C4376" s="82" t="s">
        <v>1975</v>
      </c>
      <c r="D4376" s="82" t="s">
        <v>506</v>
      </c>
      <c r="E4376" s="11" t="str">
        <f t="array" ref="E4376">_xlfn.XLOOKUP(D4376,Insumos!B:B,Insumos!C:$C)</f>
        <v>UN</v>
      </c>
      <c r="F4376" s="86">
        <v>1</v>
      </c>
      <c r="G4376" s="92">
        <f t="array" ref="G4376">IF(B4376="insumo",_xlfn.XLOOKUP($D4376,Insumos!$B$1:$B$996,Insumos!$D$1:$D$996),"")</f>
        <v>0.08</v>
      </c>
      <c r="H4376" s="92">
        <v>0.08</v>
      </c>
      <c r="I4376" s="84">
        <v>0</v>
      </c>
      <c r="J4376" s="84">
        <v>0</v>
      </c>
      <c r="K4376" s="84"/>
      <c r="L4376"/>
      <c r="M4376"/>
      <c r="N4376"/>
      <c r="O4376"/>
      <c r="P4376"/>
      <c r="Q4376"/>
      <c r="R4376"/>
      <c r="S4376"/>
      <c r="T4376"/>
      <c r="U4376"/>
      <c r="V4376"/>
      <c r="W4376"/>
      <c r="X4376"/>
      <c r="Y4376"/>
      <c r="Z4376"/>
      <c r="AA4376"/>
      <c r="AB4376"/>
      <c r="AC4376"/>
      <c r="AD4376"/>
      <c r="AE4376"/>
      <c r="AF4376"/>
      <c r="AG4376"/>
      <c r="AH4376"/>
      <c r="AI4376"/>
      <c r="AJ4376"/>
      <c r="AK4376"/>
      <c r="AL4376"/>
    </row>
    <row r="4377" spans="1:38" ht="12.75" outlineLevel="3" x14ac:dyDescent="0.2">
      <c r="A4377" s="82">
        <v>22</v>
      </c>
      <c r="B4377" s="82" t="s">
        <v>71</v>
      </c>
      <c r="C4377" s="82" t="s">
        <v>1975</v>
      </c>
      <c r="D4377" s="82" t="s">
        <v>1833</v>
      </c>
      <c r="E4377" s="11" t="str">
        <f t="array" ref="E4377">_xlfn.XLOOKUP(D4377,Insumos!B:B,Insumos!C:$C)</f>
        <v>KG</v>
      </c>
      <c r="F4377" s="86">
        <v>0.01</v>
      </c>
      <c r="G4377" s="92">
        <f t="array" ref="G4377">IF(B4377="insumo",_xlfn.XLOOKUP($D4377,Insumos!$B$1:$B$996,Insumos!$D$1:$D$996),"")</f>
        <v>43.8</v>
      </c>
      <c r="H4377" s="92">
        <v>0.438</v>
      </c>
      <c r="I4377" s="84">
        <v>0</v>
      </c>
      <c r="J4377" s="84">
        <v>0</v>
      </c>
      <c r="K4377" s="84"/>
      <c r="L4377"/>
      <c r="M4377"/>
      <c r="N4377"/>
      <c r="O4377"/>
      <c r="P4377"/>
      <c r="Q4377"/>
      <c r="R4377"/>
      <c r="S4377"/>
      <c r="T4377"/>
      <c r="U4377"/>
      <c r="V4377"/>
      <c r="W4377"/>
      <c r="X4377"/>
      <c r="Y4377"/>
      <c r="Z4377"/>
      <c r="AA4377"/>
      <c r="AB4377"/>
      <c r="AC4377"/>
      <c r="AD4377"/>
      <c r="AE4377"/>
      <c r="AF4377"/>
      <c r="AG4377"/>
      <c r="AH4377"/>
      <c r="AI4377"/>
      <c r="AJ4377"/>
      <c r="AK4377"/>
      <c r="AL4377"/>
    </row>
    <row r="4378" spans="1:38" ht="12.75" outlineLevel="2" x14ac:dyDescent="0.2">
      <c r="A4378" s="1071">
        <v>1</v>
      </c>
      <c r="B4378" s="1071" t="s">
        <v>68</v>
      </c>
      <c r="C4378" s="1071" t="s">
        <v>5339</v>
      </c>
      <c r="D4378" s="1071" t="s">
        <v>5339</v>
      </c>
      <c r="E4378" s="1072" t="s">
        <v>70</v>
      </c>
      <c r="F4378" s="1071"/>
      <c r="G4378" s="1073" t="str">
        <f t="array" ref="G4378">IF(B4378="insumo",_xlfn.XLOOKUP($D4378,Insumos!$B$1:$B$996,Insumos!$D$1:$D$996),"")</f>
        <v/>
      </c>
      <c r="H4378" s="1073">
        <v>172.0256</v>
      </c>
      <c r="I4378" s="1074" t="e">
        <v>#REF!</v>
      </c>
      <c r="J4378" s="1074" t="e">
        <v>#REF!</v>
      </c>
      <c r="K4378" s="1074"/>
      <c r="L4378"/>
      <c r="M4378"/>
      <c r="N4378"/>
      <c r="O4378"/>
      <c r="P4378"/>
      <c r="Q4378"/>
      <c r="R4378"/>
      <c r="S4378"/>
      <c r="T4378"/>
      <c r="U4378"/>
      <c r="V4378"/>
      <c r="W4378"/>
      <c r="X4378"/>
      <c r="Y4378"/>
      <c r="Z4378"/>
      <c r="AA4378"/>
      <c r="AB4378"/>
      <c r="AC4378"/>
      <c r="AD4378"/>
      <c r="AE4378"/>
      <c r="AF4378"/>
      <c r="AG4378"/>
      <c r="AH4378"/>
      <c r="AI4378"/>
      <c r="AJ4378"/>
      <c r="AK4378"/>
      <c r="AL4378"/>
    </row>
    <row r="4379" spans="1:38" ht="12.75" outlineLevel="3" x14ac:dyDescent="0.2">
      <c r="A4379" s="82">
        <v>3</v>
      </c>
      <c r="B4379" s="82" t="s">
        <v>71</v>
      </c>
      <c r="C4379" s="82" t="s">
        <v>5339</v>
      </c>
      <c r="D4379" s="10" t="s">
        <v>5337</v>
      </c>
      <c r="E4379" s="11" t="str">
        <f t="array" ref="E4379">_xlfn.XLOOKUP(D4379,Insumos!B:B,Insumos!C:$C)</f>
        <v>M2</v>
      </c>
      <c r="F4379" s="86">
        <v>1.1000000000000001</v>
      </c>
      <c r="G4379" s="92">
        <f t="array" ref="G4379">IF(B4379="insumo",_xlfn.XLOOKUP($D4379,Insumos!$B$1:$B$996,Insumos!$D$1:$D$996),"")</f>
        <v>147.4</v>
      </c>
      <c r="H4379" s="92">
        <v>162.13999999999999</v>
      </c>
      <c r="I4379" s="84" t="e">
        <v>#REF!</v>
      </c>
      <c r="J4379" s="84" t="e">
        <v>#REF!</v>
      </c>
      <c r="K4379" s="84"/>
      <c r="L4379"/>
      <c r="M4379"/>
      <c r="N4379"/>
      <c r="O4379"/>
      <c r="P4379"/>
      <c r="Q4379"/>
      <c r="R4379"/>
      <c r="S4379"/>
      <c r="T4379"/>
      <c r="U4379"/>
      <c r="V4379"/>
      <c r="W4379"/>
      <c r="X4379"/>
      <c r="Y4379"/>
      <c r="Z4379"/>
      <c r="AA4379"/>
      <c r="AB4379"/>
      <c r="AC4379"/>
      <c r="AD4379"/>
      <c r="AE4379"/>
      <c r="AF4379"/>
      <c r="AG4379"/>
      <c r="AH4379"/>
      <c r="AI4379"/>
      <c r="AJ4379"/>
      <c r="AK4379"/>
      <c r="AL4379"/>
    </row>
    <row r="4380" spans="1:38" ht="12.75" outlineLevel="3" x14ac:dyDescent="0.2">
      <c r="A4380" s="82">
        <v>191</v>
      </c>
      <c r="B4380" s="82" t="s">
        <v>71</v>
      </c>
      <c r="C4380" s="82" t="s">
        <v>5339</v>
      </c>
      <c r="D4380" s="82" t="s">
        <v>481</v>
      </c>
      <c r="E4380" s="11" t="str">
        <f t="array" ref="E4380">_xlfn.XLOOKUP(D4380,Insumos!B:B,Insumos!C:$C)</f>
        <v>KG</v>
      </c>
      <c r="F4380" s="86">
        <v>8.8000000000000007</v>
      </c>
      <c r="G4380" s="92">
        <f t="array" ref="G4380">IF(B4380="insumo",_xlfn.XLOOKUP($D4380,Insumos!$B$1:$B$996,Insumos!$D$1:$D$996),"")</f>
        <v>1.0645</v>
      </c>
      <c r="H4380" s="92">
        <v>9.3675999999999995</v>
      </c>
      <c r="I4380" s="84" t="e">
        <v>#REF!</v>
      </c>
      <c r="J4380" s="84" t="e">
        <v>#REF!</v>
      </c>
      <c r="K4380" s="84"/>
      <c r="L4380"/>
      <c r="M4380"/>
      <c r="N4380"/>
      <c r="O4380"/>
      <c r="P4380"/>
      <c r="Q4380"/>
      <c r="R4380"/>
      <c r="S4380"/>
      <c r="T4380"/>
      <c r="U4380"/>
      <c r="V4380"/>
      <c r="W4380"/>
      <c r="X4380"/>
      <c r="Y4380"/>
      <c r="Z4380"/>
      <c r="AA4380"/>
      <c r="AB4380"/>
      <c r="AC4380"/>
      <c r="AD4380"/>
      <c r="AE4380"/>
      <c r="AF4380"/>
      <c r="AG4380"/>
      <c r="AH4380"/>
      <c r="AI4380"/>
      <c r="AJ4380"/>
      <c r="AK4380"/>
      <c r="AL4380"/>
    </row>
    <row r="4381" spans="1:38" ht="12.75" outlineLevel="3" x14ac:dyDescent="0.2">
      <c r="A4381" s="82">
        <v>142</v>
      </c>
      <c r="B4381" s="82" t="s">
        <v>71</v>
      </c>
      <c r="C4381" s="82" t="s">
        <v>5339</v>
      </c>
      <c r="D4381" s="82" t="s">
        <v>506</v>
      </c>
      <c r="E4381" s="11" t="str">
        <f t="array" ref="E4381">_xlfn.XLOOKUP(D4381,Insumos!B:B,Insumos!C:$C)</f>
        <v>UN</v>
      </c>
      <c r="F4381" s="86">
        <v>1</v>
      </c>
      <c r="G4381" s="92">
        <f t="array" ref="G4381">IF(B4381="insumo",_xlfn.XLOOKUP($D4381,Insumos!$B$1:$B$996,Insumos!$D$1:$D$996),"")</f>
        <v>0.08</v>
      </c>
      <c r="H4381" s="92">
        <v>0.08</v>
      </c>
      <c r="I4381" s="84" t="e">
        <v>#REF!</v>
      </c>
      <c r="J4381" s="84" t="e">
        <v>#REF!</v>
      </c>
      <c r="K4381" s="84"/>
      <c r="L4381"/>
      <c r="M4381"/>
      <c r="N4381"/>
      <c r="O4381"/>
      <c r="P4381"/>
      <c r="Q4381"/>
      <c r="R4381"/>
      <c r="S4381"/>
      <c r="T4381"/>
      <c r="U4381"/>
      <c r="V4381"/>
      <c r="W4381"/>
      <c r="X4381"/>
      <c r="Y4381"/>
      <c r="Z4381"/>
      <c r="AA4381"/>
      <c r="AB4381"/>
      <c r="AC4381"/>
      <c r="AD4381"/>
      <c r="AE4381"/>
      <c r="AF4381"/>
      <c r="AG4381"/>
      <c r="AH4381"/>
      <c r="AI4381"/>
      <c r="AJ4381"/>
      <c r="AK4381"/>
      <c r="AL4381"/>
    </row>
    <row r="4382" spans="1:38" ht="12.75" outlineLevel="3" x14ac:dyDescent="0.2">
      <c r="A4382" s="82">
        <v>22</v>
      </c>
      <c r="B4382" s="82" t="s">
        <v>71</v>
      </c>
      <c r="C4382" s="82" t="s">
        <v>5339</v>
      </c>
      <c r="D4382" s="82" t="s">
        <v>1833</v>
      </c>
      <c r="E4382" s="11" t="str">
        <f t="array" ref="E4382">_xlfn.XLOOKUP(D4382,Insumos!B:B,Insumos!C:$C)</f>
        <v>KG</v>
      </c>
      <c r="F4382" s="86">
        <v>0.01</v>
      </c>
      <c r="G4382" s="92">
        <f t="array" ref="G4382">IF(B4382="insumo",_xlfn.XLOOKUP($D4382,Insumos!$B$1:$B$996,Insumos!$D$1:$D$996),"")</f>
        <v>43.8</v>
      </c>
      <c r="H4382" s="92">
        <v>0.438</v>
      </c>
      <c r="I4382" s="84" t="e">
        <v>#REF!</v>
      </c>
      <c r="J4382" s="84" t="e">
        <v>#REF!</v>
      </c>
      <c r="K4382" s="84"/>
      <c r="L4382"/>
      <c r="M4382"/>
      <c r="N4382"/>
      <c r="O4382"/>
      <c r="P4382"/>
      <c r="Q4382"/>
      <c r="R4382"/>
      <c r="S4382"/>
      <c r="T4382"/>
      <c r="U4382"/>
      <c r="V4382"/>
      <c r="W4382"/>
      <c r="X4382"/>
      <c r="Y4382"/>
      <c r="Z4382"/>
      <c r="AA4382"/>
      <c r="AB4382"/>
      <c r="AC4382"/>
      <c r="AD4382"/>
      <c r="AE4382"/>
      <c r="AF4382"/>
      <c r="AG4382"/>
      <c r="AH4382"/>
      <c r="AI4382"/>
      <c r="AJ4382"/>
      <c r="AK4382"/>
      <c r="AL4382"/>
    </row>
    <row r="4383" spans="1:38" ht="12.75" outlineLevel="2" x14ac:dyDescent="0.2">
      <c r="A4383" s="1071">
        <v>1</v>
      </c>
      <c r="B4383" s="1071" t="s">
        <v>68</v>
      </c>
      <c r="C4383" s="1071" t="s">
        <v>5347</v>
      </c>
      <c r="D4383" s="1071" t="s">
        <v>5347</v>
      </c>
      <c r="E4383" s="1072" t="s">
        <v>70</v>
      </c>
      <c r="F4383" s="1071"/>
      <c r="G4383" s="1073" t="str">
        <f t="array" ref="G4383">IF(B4383="insumo",_xlfn.XLOOKUP($D4383,Insumos!$B$1:$B$996,Insumos!$D$1:$D$996),"")</f>
        <v/>
      </c>
      <c r="H4383" s="1073">
        <v>443.28559999999999</v>
      </c>
      <c r="I4383" s="1074" t="e">
        <v>#REF!</v>
      </c>
      <c r="J4383" s="1074" t="e">
        <v>#REF!</v>
      </c>
      <c r="K4383" s="1074"/>
      <c r="L4383"/>
      <c r="M4383"/>
      <c r="N4383"/>
      <c r="O4383"/>
      <c r="P4383"/>
      <c r="Q4383"/>
      <c r="R4383"/>
      <c r="S4383"/>
      <c r="T4383"/>
      <c r="U4383"/>
      <c r="V4383"/>
      <c r="W4383"/>
      <c r="X4383"/>
      <c r="Y4383"/>
      <c r="Z4383"/>
      <c r="AA4383"/>
      <c r="AB4383"/>
      <c r="AC4383"/>
      <c r="AD4383"/>
      <c r="AE4383"/>
      <c r="AF4383"/>
      <c r="AG4383"/>
      <c r="AH4383"/>
      <c r="AI4383"/>
      <c r="AJ4383"/>
      <c r="AK4383"/>
      <c r="AL4383"/>
    </row>
    <row r="4384" spans="1:38" ht="12.75" outlineLevel="3" x14ac:dyDescent="0.2">
      <c r="A4384" s="82">
        <v>3</v>
      </c>
      <c r="B4384" s="82" t="s">
        <v>71</v>
      </c>
      <c r="C4384" s="82" t="s">
        <v>5347</v>
      </c>
      <c r="D4384" s="10" t="s">
        <v>5342</v>
      </c>
      <c r="E4384" s="11" t="str">
        <f t="array" ref="E4384">_xlfn.XLOOKUP(D4384,Insumos!B:B,Insumos!C:$C)</f>
        <v>M2</v>
      </c>
      <c r="F4384" s="86">
        <v>1.1000000000000001</v>
      </c>
      <c r="G4384" s="92">
        <f t="array" ref="G4384">IF(B4384="insumo",_xlfn.XLOOKUP($D4384,Insumos!$B$1:$B$996,Insumos!$D$1:$D$996),"")</f>
        <v>394</v>
      </c>
      <c r="H4384" s="92">
        <v>433.4</v>
      </c>
      <c r="I4384" s="84" t="e">
        <v>#REF!</v>
      </c>
      <c r="J4384" s="84" t="e">
        <v>#REF!</v>
      </c>
      <c r="K4384" s="84"/>
      <c r="L4384"/>
      <c r="M4384"/>
      <c r="N4384"/>
      <c r="O4384"/>
      <c r="P4384"/>
      <c r="Q4384"/>
      <c r="R4384"/>
      <c r="S4384"/>
      <c r="T4384"/>
      <c r="U4384"/>
      <c r="V4384"/>
      <c r="W4384"/>
      <c r="X4384"/>
      <c r="Y4384"/>
      <c r="Z4384"/>
      <c r="AA4384"/>
      <c r="AB4384"/>
      <c r="AC4384"/>
      <c r="AD4384"/>
      <c r="AE4384"/>
      <c r="AF4384"/>
      <c r="AG4384"/>
      <c r="AH4384"/>
      <c r="AI4384"/>
      <c r="AJ4384"/>
      <c r="AK4384"/>
      <c r="AL4384"/>
    </row>
    <row r="4385" spans="1:38" ht="12.75" outlineLevel="3" x14ac:dyDescent="0.2">
      <c r="A4385" s="82">
        <v>191</v>
      </c>
      <c r="B4385" s="82" t="s">
        <v>71</v>
      </c>
      <c r="C4385" s="82" t="s">
        <v>5347</v>
      </c>
      <c r="D4385" s="82" t="s">
        <v>481</v>
      </c>
      <c r="E4385" s="11" t="str">
        <f t="array" ref="E4385">_xlfn.XLOOKUP(D4385,Insumos!B:B,Insumos!C:$C)</f>
        <v>KG</v>
      </c>
      <c r="F4385" s="86">
        <v>8.8000000000000007</v>
      </c>
      <c r="G4385" s="92">
        <f t="array" ref="G4385">IF(B4385="insumo",_xlfn.XLOOKUP($D4385,Insumos!$B$1:$B$996,Insumos!$D$1:$D$996),"")</f>
        <v>1.0645</v>
      </c>
      <c r="H4385" s="92">
        <v>9.3675999999999995</v>
      </c>
      <c r="I4385" s="84" t="e">
        <v>#REF!</v>
      </c>
      <c r="J4385" s="84" t="e">
        <v>#REF!</v>
      </c>
      <c r="K4385" s="84"/>
      <c r="L4385"/>
      <c r="M4385"/>
      <c r="N4385"/>
      <c r="O4385"/>
      <c r="P4385"/>
      <c r="Q4385"/>
      <c r="R4385"/>
      <c r="S4385"/>
      <c r="T4385"/>
      <c r="U4385"/>
      <c r="V4385"/>
      <c r="W4385"/>
      <c r="X4385"/>
      <c r="Y4385"/>
      <c r="Z4385"/>
      <c r="AA4385"/>
      <c r="AB4385"/>
      <c r="AC4385"/>
      <c r="AD4385"/>
      <c r="AE4385"/>
      <c r="AF4385"/>
      <c r="AG4385"/>
      <c r="AH4385"/>
      <c r="AI4385"/>
      <c r="AJ4385"/>
      <c r="AK4385"/>
      <c r="AL4385"/>
    </row>
    <row r="4386" spans="1:38" ht="12.75" outlineLevel="3" x14ac:dyDescent="0.2">
      <c r="A4386" s="82">
        <v>142</v>
      </c>
      <c r="B4386" s="82" t="s">
        <v>71</v>
      </c>
      <c r="C4386" s="82" t="s">
        <v>5347</v>
      </c>
      <c r="D4386" s="82" t="s">
        <v>506</v>
      </c>
      <c r="E4386" s="11" t="str">
        <f t="array" ref="E4386">_xlfn.XLOOKUP(D4386,Insumos!B:B,Insumos!C:$C)</f>
        <v>UN</v>
      </c>
      <c r="F4386" s="86">
        <v>1</v>
      </c>
      <c r="G4386" s="92">
        <f t="array" ref="G4386">IF(B4386="insumo",_xlfn.XLOOKUP($D4386,Insumos!$B$1:$B$996,Insumos!$D$1:$D$996),"")</f>
        <v>0.08</v>
      </c>
      <c r="H4386" s="92">
        <v>0.08</v>
      </c>
      <c r="I4386" s="84" t="e">
        <v>#REF!</v>
      </c>
      <c r="J4386" s="84" t="e">
        <v>#REF!</v>
      </c>
      <c r="K4386" s="84"/>
      <c r="L4386"/>
      <c r="M4386"/>
      <c r="N4386"/>
      <c r="O4386"/>
      <c r="P4386"/>
      <c r="Q4386"/>
      <c r="R4386"/>
      <c r="S4386"/>
      <c r="T4386"/>
      <c r="U4386"/>
      <c r="V4386"/>
      <c r="W4386"/>
      <c r="X4386"/>
      <c r="Y4386"/>
      <c r="Z4386"/>
      <c r="AA4386"/>
      <c r="AB4386"/>
      <c r="AC4386"/>
      <c r="AD4386"/>
      <c r="AE4386"/>
      <c r="AF4386"/>
      <c r="AG4386"/>
      <c r="AH4386"/>
      <c r="AI4386"/>
      <c r="AJ4386"/>
      <c r="AK4386"/>
      <c r="AL4386"/>
    </row>
    <row r="4387" spans="1:38" ht="12.75" outlineLevel="3" x14ac:dyDescent="0.2">
      <c r="A4387" s="82">
        <v>22</v>
      </c>
      <c r="B4387" s="82" t="s">
        <v>71</v>
      </c>
      <c r="C4387" s="82" t="s">
        <v>5347</v>
      </c>
      <c r="D4387" s="82" t="s">
        <v>1833</v>
      </c>
      <c r="E4387" s="11" t="str">
        <f t="array" ref="E4387">_xlfn.XLOOKUP(D4387,Insumos!B:B,Insumos!C:$C)</f>
        <v>KG</v>
      </c>
      <c r="F4387" s="86">
        <v>0.01</v>
      </c>
      <c r="G4387" s="92">
        <f t="array" ref="G4387">IF(B4387="insumo",_xlfn.XLOOKUP($D4387,Insumos!$B$1:$B$996,Insumos!$D$1:$D$996),"")</f>
        <v>43.8</v>
      </c>
      <c r="H4387" s="92">
        <v>0.438</v>
      </c>
      <c r="I4387" s="84" t="e">
        <v>#REF!</v>
      </c>
      <c r="J4387" s="84" t="e">
        <v>#REF!</v>
      </c>
      <c r="K4387" s="84"/>
      <c r="L4387"/>
      <c r="M4387"/>
      <c r="N4387"/>
      <c r="O4387"/>
      <c r="P4387"/>
      <c r="Q4387"/>
      <c r="R4387"/>
      <c r="S4387"/>
      <c r="T4387"/>
      <c r="U4387"/>
      <c r="V4387"/>
      <c r="W4387"/>
      <c r="X4387"/>
      <c r="Y4387"/>
      <c r="Z4387"/>
      <c r="AA4387"/>
      <c r="AB4387"/>
      <c r="AC4387"/>
      <c r="AD4387"/>
      <c r="AE4387"/>
      <c r="AF4387"/>
      <c r="AG4387"/>
      <c r="AH4387"/>
      <c r="AI4387"/>
      <c r="AJ4387"/>
      <c r="AK4387"/>
      <c r="AL4387"/>
    </row>
    <row r="4388" spans="1:38" ht="12.75" outlineLevel="2" x14ac:dyDescent="0.2">
      <c r="A4388" s="1071">
        <v>1</v>
      </c>
      <c r="B4388" s="1071" t="s">
        <v>68</v>
      </c>
      <c r="C4388" s="1071" t="s">
        <v>1976</v>
      </c>
      <c r="D4388" s="1071" t="s">
        <v>1976</v>
      </c>
      <c r="E4388" s="1072" t="s">
        <v>70</v>
      </c>
      <c r="F4388" s="1071"/>
      <c r="G4388" s="1073" t="str">
        <f t="array" ref="G4388">IF(B4388="insumo",_xlfn.XLOOKUP($D4388,Insumos!$B$1:$B$996,Insumos!$D$1:$D$996),"")</f>
        <v/>
      </c>
      <c r="H4388" s="1073">
        <v>79.075599999999994</v>
      </c>
      <c r="I4388" s="1074">
        <v>0</v>
      </c>
      <c r="J4388" s="1074">
        <v>0</v>
      </c>
      <c r="K4388" s="1074"/>
      <c r="L4388"/>
      <c r="M4388"/>
      <c r="N4388"/>
      <c r="O4388"/>
      <c r="P4388"/>
      <c r="Q4388"/>
      <c r="R4388"/>
      <c r="S4388"/>
      <c r="T4388"/>
      <c r="U4388"/>
      <c r="V4388"/>
      <c r="W4388"/>
      <c r="X4388"/>
      <c r="Y4388"/>
      <c r="Z4388"/>
      <c r="AA4388"/>
      <c r="AB4388"/>
      <c r="AC4388"/>
      <c r="AD4388"/>
      <c r="AE4388"/>
      <c r="AF4388"/>
      <c r="AG4388"/>
      <c r="AH4388"/>
      <c r="AI4388"/>
      <c r="AJ4388"/>
      <c r="AK4388"/>
      <c r="AL4388"/>
    </row>
    <row r="4389" spans="1:38" ht="12.75" outlineLevel="3" x14ac:dyDescent="0.2">
      <c r="A4389" s="82">
        <v>1</v>
      </c>
      <c r="B4389" s="82" t="s">
        <v>71</v>
      </c>
      <c r="C4389" s="82" t="s">
        <v>1976</v>
      </c>
      <c r="D4389" s="82" t="s">
        <v>1802</v>
      </c>
      <c r="E4389" s="11" t="str">
        <f t="array" ref="E4389">_xlfn.XLOOKUP(D4389,Insumos!B:B,Insumos!C:$C)</f>
        <v>M2</v>
      </c>
      <c r="F4389" s="86">
        <v>1.1000000000000001</v>
      </c>
      <c r="G4389" s="92">
        <f t="array" ref="G4389">IF(B4389="insumo",_xlfn.XLOOKUP($D4389,Insumos!$B$1:$B$996,Insumos!$D$1:$D$996),"")</f>
        <v>62.9</v>
      </c>
      <c r="H4389" s="92">
        <v>69.19</v>
      </c>
      <c r="I4389" s="84">
        <v>0</v>
      </c>
      <c r="J4389" s="84">
        <v>0</v>
      </c>
      <c r="K4389" s="84"/>
      <c r="L4389"/>
      <c r="M4389"/>
      <c r="N4389"/>
      <c r="O4389"/>
      <c r="P4389"/>
      <c r="Q4389"/>
      <c r="R4389"/>
      <c r="S4389"/>
      <c r="T4389"/>
      <c r="U4389"/>
      <c r="V4389"/>
      <c r="W4389"/>
      <c r="X4389"/>
      <c r="Y4389"/>
      <c r="Z4389"/>
      <c r="AA4389"/>
      <c r="AB4389"/>
      <c r="AC4389"/>
      <c r="AD4389"/>
      <c r="AE4389"/>
      <c r="AF4389"/>
      <c r="AG4389"/>
      <c r="AH4389"/>
      <c r="AI4389"/>
      <c r="AJ4389"/>
      <c r="AK4389"/>
      <c r="AL4389"/>
    </row>
    <row r="4390" spans="1:38" ht="12.75" outlineLevel="3" x14ac:dyDescent="0.2">
      <c r="A4390" s="82">
        <v>191</v>
      </c>
      <c r="B4390" s="82" t="s">
        <v>71</v>
      </c>
      <c r="C4390" s="82" t="s">
        <v>1976</v>
      </c>
      <c r="D4390" s="82" t="s">
        <v>481</v>
      </c>
      <c r="E4390" s="11" t="str">
        <f t="array" ref="E4390">_xlfn.XLOOKUP(D4390,Insumos!B:B,Insumos!C:$C)</f>
        <v>KG</v>
      </c>
      <c r="F4390" s="86">
        <v>8.8000000000000007</v>
      </c>
      <c r="G4390" s="92">
        <f t="array" ref="G4390">IF(B4390="insumo",_xlfn.XLOOKUP($D4390,Insumos!$B$1:$B$996,Insumos!$D$1:$D$996),"")</f>
        <v>1.0645</v>
      </c>
      <c r="H4390" s="92">
        <v>9.3675999999999995</v>
      </c>
      <c r="I4390" s="84">
        <v>0</v>
      </c>
      <c r="J4390" s="84">
        <v>0</v>
      </c>
      <c r="K4390" s="84"/>
      <c r="L4390"/>
      <c r="M4390"/>
      <c r="N4390"/>
      <c r="O4390"/>
      <c r="P4390"/>
      <c r="Q4390"/>
      <c r="R4390"/>
      <c r="S4390"/>
      <c r="T4390"/>
      <c r="U4390"/>
      <c r="V4390"/>
      <c r="W4390"/>
      <c r="X4390"/>
      <c r="Y4390"/>
      <c r="Z4390"/>
      <c r="AA4390"/>
      <c r="AB4390"/>
      <c r="AC4390"/>
      <c r="AD4390"/>
      <c r="AE4390"/>
      <c r="AF4390"/>
      <c r="AG4390"/>
      <c r="AH4390"/>
      <c r="AI4390"/>
      <c r="AJ4390"/>
      <c r="AK4390"/>
      <c r="AL4390"/>
    </row>
    <row r="4391" spans="1:38" ht="12.75" outlineLevel="3" x14ac:dyDescent="0.2">
      <c r="A4391" s="82">
        <v>142</v>
      </c>
      <c r="B4391" s="82" t="s">
        <v>71</v>
      </c>
      <c r="C4391" s="82" t="s">
        <v>1976</v>
      </c>
      <c r="D4391" s="82" t="s">
        <v>506</v>
      </c>
      <c r="E4391" s="11" t="str">
        <f t="array" ref="E4391">_xlfn.XLOOKUP(D4391,Insumos!B:B,Insumos!C:$C)</f>
        <v>UN</v>
      </c>
      <c r="F4391" s="86">
        <v>1</v>
      </c>
      <c r="G4391" s="92">
        <f t="array" ref="G4391">IF(B4391="insumo",_xlfn.XLOOKUP($D4391,Insumos!$B$1:$B$996,Insumos!$D$1:$D$996),"")</f>
        <v>0.08</v>
      </c>
      <c r="H4391" s="92">
        <v>0.08</v>
      </c>
      <c r="I4391" s="84">
        <v>0</v>
      </c>
      <c r="J4391" s="84">
        <v>0</v>
      </c>
      <c r="K4391" s="84"/>
      <c r="L4391"/>
      <c r="M4391"/>
      <c r="N4391"/>
      <c r="O4391"/>
      <c r="P4391"/>
      <c r="Q4391"/>
      <c r="R4391"/>
      <c r="S4391"/>
      <c r="T4391"/>
      <c r="U4391"/>
      <c r="V4391"/>
      <c r="W4391"/>
      <c r="X4391"/>
      <c r="Y4391"/>
      <c r="Z4391"/>
      <c r="AA4391"/>
      <c r="AB4391"/>
      <c r="AC4391"/>
      <c r="AD4391"/>
      <c r="AE4391"/>
      <c r="AF4391"/>
      <c r="AG4391"/>
      <c r="AH4391"/>
      <c r="AI4391"/>
      <c r="AJ4391"/>
      <c r="AK4391"/>
      <c r="AL4391"/>
    </row>
    <row r="4392" spans="1:38" ht="12.75" outlineLevel="3" x14ac:dyDescent="0.2">
      <c r="A4392" s="82">
        <v>22</v>
      </c>
      <c r="B4392" s="82" t="s">
        <v>71</v>
      </c>
      <c r="C4392" s="82" t="s">
        <v>1976</v>
      </c>
      <c r="D4392" s="82" t="s">
        <v>1833</v>
      </c>
      <c r="E4392" s="11" t="str">
        <f t="array" ref="E4392">_xlfn.XLOOKUP(D4392,Insumos!B:B,Insumos!C:$C)</f>
        <v>KG</v>
      </c>
      <c r="F4392" s="86">
        <v>0.01</v>
      </c>
      <c r="G4392" s="92">
        <f t="array" ref="G4392">IF(B4392="insumo",_xlfn.XLOOKUP($D4392,Insumos!$B$1:$B$996,Insumos!$D$1:$D$996),"")</f>
        <v>43.8</v>
      </c>
      <c r="H4392" s="92">
        <v>0.438</v>
      </c>
      <c r="I4392" s="84">
        <v>0</v>
      </c>
      <c r="J4392" s="84">
        <v>0</v>
      </c>
      <c r="K4392" s="84"/>
      <c r="L4392"/>
      <c r="M4392"/>
      <c r="N4392"/>
      <c r="O4392"/>
      <c r="P4392"/>
      <c r="Q4392"/>
      <c r="R4392"/>
      <c r="S4392"/>
      <c r="T4392"/>
      <c r="U4392"/>
      <c r="V4392"/>
      <c r="W4392"/>
      <c r="X4392"/>
      <c r="Y4392"/>
      <c r="Z4392"/>
      <c r="AA4392"/>
      <c r="AB4392"/>
      <c r="AC4392"/>
      <c r="AD4392"/>
      <c r="AE4392"/>
      <c r="AF4392"/>
      <c r="AG4392"/>
      <c r="AH4392"/>
      <c r="AI4392"/>
      <c r="AJ4392"/>
      <c r="AK4392"/>
      <c r="AL4392"/>
    </row>
    <row r="4393" spans="1:38" ht="12.75" outlineLevel="2" x14ac:dyDescent="0.2">
      <c r="A4393" s="1071">
        <v>1</v>
      </c>
      <c r="B4393" s="1071" t="s">
        <v>68</v>
      </c>
      <c r="C4393" s="1071" t="s">
        <v>1977</v>
      </c>
      <c r="D4393" s="1071" t="s">
        <v>1977</v>
      </c>
      <c r="E4393" s="1072" t="s">
        <v>70</v>
      </c>
      <c r="F4393" s="1071"/>
      <c r="G4393" s="1073" t="str">
        <f t="array" ref="G4393">IF(B4393="insumo",_xlfn.XLOOKUP($D4393,Insumos!$B$1:$B$996,Insumos!$D$1:$D$996),"")</f>
        <v/>
      </c>
      <c r="H4393" s="1073">
        <v>92.385599999999997</v>
      </c>
      <c r="I4393" s="1074">
        <v>0</v>
      </c>
      <c r="J4393" s="1074">
        <v>0</v>
      </c>
      <c r="K4393" s="1074"/>
      <c r="L4393"/>
      <c r="M4393"/>
      <c r="N4393"/>
      <c r="O4393"/>
      <c r="P4393"/>
      <c r="Q4393"/>
      <c r="R4393"/>
      <c r="S4393"/>
      <c r="T4393"/>
      <c r="U4393"/>
      <c r="V4393"/>
      <c r="W4393"/>
      <c r="X4393"/>
      <c r="Y4393"/>
      <c r="Z4393"/>
      <c r="AA4393"/>
      <c r="AB4393"/>
      <c r="AC4393"/>
      <c r="AD4393"/>
      <c r="AE4393"/>
      <c r="AF4393"/>
      <c r="AG4393"/>
      <c r="AH4393"/>
      <c r="AI4393"/>
      <c r="AJ4393"/>
      <c r="AK4393"/>
      <c r="AL4393"/>
    </row>
    <row r="4394" spans="1:38" ht="12.75" outlineLevel="3" x14ac:dyDescent="0.2">
      <c r="A4394" s="82">
        <v>1</v>
      </c>
      <c r="B4394" s="82" t="s">
        <v>71</v>
      </c>
      <c r="C4394" s="82" t="s">
        <v>1977</v>
      </c>
      <c r="D4394" s="82" t="s">
        <v>1801</v>
      </c>
      <c r="E4394" s="11" t="str">
        <f t="array" ref="E4394">_xlfn.XLOOKUP(D4394,Insumos!B:B,Insumos!C:$C)</f>
        <v>M2</v>
      </c>
      <c r="F4394" s="86">
        <v>1.1000000000000001</v>
      </c>
      <c r="G4394" s="92">
        <f t="array" ref="G4394">IF(B4394="insumo",_xlfn.XLOOKUP($D4394,Insumos!$B$1:$B$996,Insumos!$D$1:$D$996),"")</f>
        <v>75</v>
      </c>
      <c r="H4394" s="92">
        <v>82.5</v>
      </c>
      <c r="I4394" s="84">
        <v>0</v>
      </c>
      <c r="J4394" s="84">
        <v>0</v>
      </c>
      <c r="K4394" s="84"/>
      <c r="L4394"/>
      <c r="M4394"/>
      <c r="N4394"/>
      <c r="O4394"/>
      <c r="P4394"/>
      <c r="Q4394"/>
      <c r="R4394"/>
      <c r="S4394"/>
      <c r="T4394"/>
      <c r="U4394"/>
      <c r="V4394"/>
      <c r="W4394"/>
      <c r="X4394"/>
      <c r="Y4394"/>
      <c r="Z4394"/>
      <c r="AA4394"/>
      <c r="AB4394"/>
      <c r="AC4394"/>
      <c r="AD4394"/>
      <c r="AE4394"/>
      <c r="AF4394"/>
      <c r="AG4394"/>
      <c r="AH4394"/>
      <c r="AI4394"/>
      <c r="AJ4394"/>
      <c r="AK4394"/>
      <c r="AL4394"/>
    </row>
    <row r="4395" spans="1:38" ht="12.75" outlineLevel="3" x14ac:dyDescent="0.2">
      <c r="A4395" s="82">
        <v>191</v>
      </c>
      <c r="B4395" s="82" t="s">
        <v>71</v>
      </c>
      <c r="C4395" s="82" t="s">
        <v>1977</v>
      </c>
      <c r="D4395" s="82" t="s">
        <v>481</v>
      </c>
      <c r="E4395" s="11" t="str">
        <f t="array" ref="E4395">_xlfn.XLOOKUP(D4395,Insumos!B:B,Insumos!C:$C)</f>
        <v>KG</v>
      </c>
      <c r="F4395" s="86">
        <v>8.8000000000000007</v>
      </c>
      <c r="G4395" s="92">
        <f t="array" ref="G4395">IF(B4395="insumo",_xlfn.XLOOKUP($D4395,Insumos!$B$1:$B$996,Insumos!$D$1:$D$996),"")</f>
        <v>1.0645</v>
      </c>
      <c r="H4395" s="92">
        <v>9.3675999999999995</v>
      </c>
      <c r="I4395" s="84">
        <v>0</v>
      </c>
      <c r="J4395" s="84">
        <v>0</v>
      </c>
      <c r="K4395" s="84"/>
      <c r="L4395"/>
      <c r="M4395"/>
      <c r="N4395"/>
      <c r="O4395"/>
      <c r="P4395"/>
      <c r="Q4395"/>
      <c r="R4395"/>
      <c r="S4395"/>
      <c r="T4395"/>
      <c r="U4395"/>
      <c r="V4395"/>
      <c r="W4395"/>
      <c r="X4395"/>
      <c r="Y4395"/>
      <c r="Z4395"/>
      <c r="AA4395"/>
      <c r="AB4395"/>
      <c r="AC4395"/>
      <c r="AD4395"/>
      <c r="AE4395"/>
      <c r="AF4395"/>
      <c r="AG4395"/>
      <c r="AH4395"/>
      <c r="AI4395"/>
      <c r="AJ4395"/>
      <c r="AK4395"/>
      <c r="AL4395"/>
    </row>
    <row r="4396" spans="1:38" ht="12.75" outlineLevel="3" x14ac:dyDescent="0.2">
      <c r="A4396" s="82">
        <v>142</v>
      </c>
      <c r="B4396" s="82" t="s">
        <v>71</v>
      </c>
      <c r="C4396" s="82" t="s">
        <v>1977</v>
      </c>
      <c r="D4396" s="82" t="s">
        <v>506</v>
      </c>
      <c r="E4396" s="11" t="str">
        <f t="array" ref="E4396">_xlfn.XLOOKUP(D4396,Insumos!B:B,Insumos!C:$C)</f>
        <v>UN</v>
      </c>
      <c r="F4396" s="86">
        <v>1</v>
      </c>
      <c r="G4396" s="92">
        <f t="array" ref="G4396">IF(B4396="insumo",_xlfn.XLOOKUP($D4396,Insumos!$B$1:$B$996,Insumos!$D$1:$D$996),"")</f>
        <v>0.08</v>
      </c>
      <c r="H4396" s="92">
        <v>0.08</v>
      </c>
      <c r="I4396" s="84">
        <v>0</v>
      </c>
      <c r="J4396" s="84">
        <v>0</v>
      </c>
      <c r="K4396" s="84"/>
      <c r="L4396"/>
      <c r="M4396"/>
      <c r="N4396"/>
      <c r="O4396"/>
      <c r="P4396"/>
      <c r="Q4396"/>
      <c r="R4396"/>
      <c r="S4396"/>
      <c r="T4396"/>
      <c r="U4396"/>
      <c r="V4396"/>
      <c r="W4396"/>
      <c r="X4396"/>
      <c r="Y4396"/>
      <c r="Z4396"/>
      <c r="AA4396"/>
      <c r="AB4396"/>
      <c r="AC4396"/>
      <c r="AD4396"/>
      <c r="AE4396"/>
      <c r="AF4396"/>
      <c r="AG4396"/>
      <c r="AH4396"/>
      <c r="AI4396"/>
      <c r="AJ4396"/>
      <c r="AK4396"/>
      <c r="AL4396"/>
    </row>
    <row r="4397" spans="1:38" ht="12.75" outlineLevel="3" x14ac:dyDescent="0.2">
      <c r="A4397" s="82">
        <v>22</v>
      </c>
      <c r="B4397" s="82" t="s">
        <v>71</v>
      </c>
      <c r="C4397" s="82" t="s">
        <v>1977</v>
      </c>
      <c r="D4397" s="82" t="s">
        <v>1833</v>
      </c>
      <c r="E4397" s="11" t="str">
        <f t="array" ref="E4397">_xlfn.XLOOKUP(D4397,Insumos!B:B,Insumos!C:$C)</f>
        <v>KG</v>
      </c>
      <c r="F4397" s="86">
        <v>0.01</v>
      </c>
      <c r="G4397" s="92">
        <f t="array" ref="G4397">IF(B4397="insumo",_xlfn.XLOOKUP($D4397,Insumos!$B$1:$B$996,Insumos!$D$1:$D$996),"")</f>
        <v>43.8</v>
      </c>
      <c r="H4397" s="92">
        <v>0.438</v>
      </c>
      <c r="I4397" s="84">
        <v>0</v>
      </c>
      <c r="J4397" s="84">
        <v>0</v>
      </c>
      <c r="K4397" s="84"/>
      <c r="L4397"/>
      <c r="M4397"/>
      <c r="N4397"/>
      <c r="O4397"/>
      <c r="P4397"/>
      <c r="Q4397"/>
      <c r="R4397"/>
      <c r="S4397"/>
      <c r="T4397"/>
      <c r="U4397"/>
      <c r="V4397"/>
      <c r="W4397"/>
      <c r="X4397"/>
      <c r="Y4397"/>
      <c r="Z4397"/>
      <c r="AA4397"/>
      <c r="AB4397"/>
      <c r="AC4397"/>
      <c r="AD4397"/>
      <c r="AE4397"/>
      <c r="AF4397"/>
      <c r="AG4397"/>
      <c r="AH4397"/>
      <c r="AI4397"/>
      <c r="AJ4397"/>
      <c r="AK4397"/>
      <c r="AL4397"/>
    </row>
    <row r="4398" spans="1:38" ht="12.75" outlineLevel="2" x14ac:dyDescent="0.2">
      <c r="A4398" s="1071">
        <v>1</v>
      </c>
      <c r="B4398" s="1071" t="s">
        <v>68</v>
      </c>
      <c r="C4398" s="1071" t="s">
        <v>1978</v>
      </c>
      <c r="D4398" s="1071" t="s">
        <v>1978</v>
      </c>
      <c r="E4398" s="1072" t="s">
        <v>70</v>
      </c>
      <c r="F4398" s="1071"/>
      <c r="G4398" s="1073" t="str">
        <f t="array" ref="G4398">IF(B4398="insumo",_xlfn.XLOOKUP($D4398,Insumos!$B$1:$B$996,Insumos!$D$1:$D$996),"")</f>
        <v/>
      </c>
      <c r="H4398" s="1073">
        <v>86.824488888888894</v>
      </c>
      <c r="I4398" s="1074">
        <v>0</v>
      </c>
      <c r="J4398" s="1074">
        <v>0</v>
      </c>
      <c r="K4398" s="1074"/>
      <c r="L4398"/>
      <c r="M4398"/>
      <c r="N4398"/>
      <c r="O4398"/>
      <c r="P4398"/>
      <c r="Q4398"/>
      <c r="R4398"/>
      <c r="S4398"/>
      <c r="T4398"/>
      <c r="U4398"/>
      <c r="V4398"/>
      <c r="W4398"/>
      <c r="X4398"/>
      <c r="Y4398"/>
      <c r="Z4398"/>
      <c r="AA4398"/>
      <c r="AB4398"/>
      <c r="AC4398"/>
      <c r="AD4398"/>
      <c r="AE4398"/>
      <c r="AF4398"/>
      <c r="AG4398"/>
      <c r="AH4398"/>
      <c r="AI4398"/>
      <c r="AJ4398"/>
      <c r="AK4398"/>
      <c r="AL4398"/>
    </row>
    <row r="4399" spans="1:38" ht="12.75" outlineLevel="3" x14ac:dyDescent="0.2">
      <c r="A4399" s="82">
        <v>1</v>
      </c>
      <c r="B4399" s="82" t="s">
        <v>71</v>
      </c>
      <c r="C4399" s="82" t="s">
        <v>1978</v>
      </c>
      <c r="D4399" s="82" t="s">
        <v>1800</v>
      </c>
      <c r="E4399" s="11" t="str">
        <f t="array" ref="E4399">_xlfn.XLOOKUP(D4399,Insumos!B:B,Insumos!C:$C)</f>
        <v>M2</v>
      </c>
      <c r="F4399" s="86">
        <v>1.1000000000000001</v>
      </c>
      <c r="G4399" s="92">
        <f t="array" ref="G4399">IF(B4399="insumo",_xlfn.XLOOKUP($D4399,Insumos!$B$1:$B$996,Insumos!$D$1:$D$996),"")</f>
        <v>69.944444444444443</v>
      </c>
      <c r="H4399" s="92">
        <v>76.938888888888897</v>
      </c>
      <c r="I4399" s="84">
        <v>0</v>
      </c>
      <c r="J4399" s="84">
        <v>0</v>
      </c>
      <c r="K4399" s="84"/>
      <c r="L4399"/>
      <c r="M4399"/>
      <c r="N4399"/>
      <c r="O4399"/>
      <c r="P4399"/>
      <c r="Q4399"/>
      <c r="R4399"/>
      <c r="S4399"/>
      <c r="T4399"/>
      <c r="U4399"/>
      <c r="V4399"/>
      <c r="W4399"/>
      <c r="X4399"/>
      <c r="Y4399"/>
      <c r="Z4399"/>
      <c r="AA4399"/>
      <c r="AB4399"/>
      <c r="AC4399"/>
      <c r="AD4399"/>
      <c r="AE4399"/>
      <c r="AF4399"/>
      <c r="AG4399"/>
      <c r="AH4399"/>
      <c r="AI4399"/>
      <c r="AJ4399"/>
      <c r="AK4399"/>
      <c r="AL4399"/>
    </row>
    <row r="4400" spans="1:38" ht="12.75" outlineLevel="3" x14ac:dyDescent="0.2">
      <c r="A4400" s="82">
        <v>191</v>
      </c>
      <c r="B4400" s="82" t="s">
        <v>71</v>
      </c>
      <c r="C4400" s="82" t="s">
        <v>1978</v>
      </c>
      <c r="D4400" s="82" t="s">
        <v>481</v>
      </c>
      <c r="E4400" s="11" t="str">
        <f t="array" ref="E4400">_xlfn.XLOOKUP(D4400,Insumos!B:B,Insumos!C:$C)</f>
        <v>KG</v>
      </c>
      <c r="F4400" s="86">
        <v>8.8000000000000007</v>
      </c>
      <c r="G4400" s="92">
        <f t="array" ref="G4400">IF(B4400="insumo",_xlfn.XLOOKUP($D4400,Insumos!$B$1:$B$996,Insumos!$D$1:$D$996),"")</f>
        <v>1.0645</v>
      </c>
      <c r="H4400" s="92">
        <v>9.3675999999999995</v>
      </c>
      <c r="I4400" s="84">
        <v>0</v>
      </c>
      <c r="J4400" s="84">
        <v>0</v>
      </c>
      <c r="K4400" s="84"/>
      <c r="L4400"/>
      <c r="M4400"/>
      <c r="N4400"/>
      <c r="O4400"/>
      <c r="P4400"/>
      <c r="Q4400"/>
      <c r="R4400"/>
      <c r="S4400"/>
      <c r="T4400"/>
      <c r="U4400"/>
      <c r="V4400"/>
      <c r="W4400"/>
      <c r="X4400"/>
      <c r="Y4400"/>
      <c r="Z4400"/>
      <c r="AA4400"/>
      <c r="AB4400"/>
      <c r="AC4400"/>
      <c r="AD4400"/>
      <c r="AE4400"/>
      <c r="AF4400"/>
      <c r="AG4400"/>
      <c r="AH4400"/>
      <c r="AI4400"/>
      <c r="AJ4400"/>
      <c r="AK4400"/>
      <c r="AL4400"/>
    </row>
    <row r="4401" spans="1:38" ht="12.75" outlineLevel="3" x14ac:dyDescent="0.2">
      <c r="A4401" s="82">
        <v>142</v>
      </c>
      <c r="B4401" s="82" t="s">
        <v>71</v>
      </c>
      <c r="C4401" s="82" t="s">
        <v>1978</v>
      </c>
      <c r="D4401" s="82" t="s">
        <v>506</v>
      </c>
      <c r="E4401" s="11" t="str">
        <f t="array" ref="E4401">_xlfn.XLOOKUP(D4401,Insumos!B:B,Insumos!C:$C)</f>
        <v>UN</v>
      </c>
      <c r="F4401" s="86">
        <v>1</v>
      </c>
      <c r="G4401" s="92">
        <f t="array" ref="G4401">IF(B4401="insumo",_xlfn.XLOOKUP($D4401,Insumos!$B$1:$B$996,Insumos!$D$1:$D$996),"")</f>
        <v>0.08</v>
      </c>
      <c r="H4401" s="92">
        <v>0.08</v>
      </c>
      <c r="I4401" s="84">
        <v>0</v>
      </c>
      <c r="J4401" s="84">
        <v>0</v>
      </c>
      <c r="K4401" s="84"/>
      <c r="L4401"/>
      <c r="M4401"/>
      <c r="N4401"/>
      <c r="O4401"/>
      <c r="P4401"/>
      <c r="Q4401"/>
      <c r="R4401"/>
      <c r="S4401"/>
      <c r="T4401"/>
      <c r="U4401"/>
      <c r="V4401"/>
      <c r="W4401"/>
      <c r="X4401"/>
      <c r="Y4401"/>
      <c r="Z4401"/>
      <c r="AA4401"/>
      <c r="AB4401"/>
      <c r="AC4401"/>
      <c r="AD4401"/>
      <c r="AE4401"/>
      <c r="AF4401"/>
      <c r="AG4401"/>
      <c r="AH4401"/>
      <c r="AI4401"/>
      <c r="AJ4401"/>
      <c r="AK4401"/>
      <c r="AL4401"/>
    </row>
    <row r="4402" spans="1:38" ht="12.75" outlineLevel="3" x14ac:dyDescent="0.2">
      <c r="A4402" s="82">
        <v>22</v>
      </c>
      <c r="B4402" s="82" t="s">
        <v>71</v>
      </c>
      <c r="C4402" s="82" t="s">
        <v>1978</v>
      </c>
      <c r="D4402" s="82" t="s">
        <v>1833</v>
      </c>
      <c r="E4402" s="11" t="str">
        <f t="array" ref="E4402">_xlfn.XLOOKUP(D4402,Insumos!B:B,Insumos!C:$C)</f>
        <v>KG</v>
      </c>
      <c r="F4402" s="86">
        <v>0.01</v>
      </c>
      <c r="G4402" s="92">
        <f t="array" ref="G4402">IF(B4402="insumo",_xlfn.XLOOKUP($D4402,Insumos!$B$1:$B$996,Insumos!$D$1:$D$996),"")</f>
        <v>43.8</v>
      </c>
      <c r="H4402" s="92">
        <v>0.438</v>
      </c>
      <c r="I4402" s="84">
        <v>0</v>
      </c>
      <c r="J4402" s="84">
        <v>0</v>
      </c>
      <c r="K4402" s="84"/>
      <c r="L4402"/>
      <c r="M4402"/>
      <c r="N4402"/>
      <c r="O4402"/>
      <c r="P4402"/>
      <c r="Q4402"/>
      <c r="R4402"/>
      <c r="S4402"/>
      <c r="T4402"/>
      <c r="U4402"/>
      <c r="V4402"/>
      <c r="W4402"/>
      <c r="X4402"/>
      <c r="Y4402"/>
      <c r="Z4402"/>
      <c r="AA4402"/>
      <c r="AB4402"/>
      <c r="AC4402"/>
      <c r="AD4402"/>
      <c r="AE4402"/>
      <c r="AF4402"/>
      <c r="AG4402"/>
      <c r="AH4402"/>
      <c r="AI4402"/>
      <c r="AJ4402"/>
      <c r="AK4402"/>
      <c r="AL4402"/>
    </row>
    <row r="4403" spans="1:38" ht="15.75" customHeight="1" outlineLevel="1" x14ac:dyDescent="0.2">
      <c r="A4403" s="1090">
        <v>1</v>
      </c>
      <c r="B4403" s="1090" t="s">
        <v>1228</v>
      </c>
      <c r="C4403" s="1090" t="s">
        <v>1978</v>
      </c>
      <c r="D4403" s="1090" t="s">
        <v>1574</v>
      </c>
      <c r="E4403" s="1091"/>
      <c r="F4403" s="1092"/>
      <c r="G4403" s="1091"/>
      <c r="H4403" s="1091">
        <v>0</v>
      </c>
      <c r="I4403" s="1092">
        <v>0</v>
      </c>
      <c r="J4403" s="1092">
        <v>0</v>
      </c>
      <c r="K4403" s="1092"/>
      <c r="L4403"/>
      <c r="M4403"/>
      <c r="N4403"/>
      <c r="O4403"/>
      <c r="P4403"/>
      <c r="Q4403"/>
      <c r="R4403"/>
      <c r="S4403"/>
      <c r="T4403"/>
      <c r="U4403"/>
      <c r="V4403"/>
      <c r="W4403"/>
      <c r="X4403"/>
      <c r="Y4403"/>
      <c r="Z4403"/>
      <c r="AA4403"/>
      <c r="AB4403"/>
      <c r="AC4403"/>
      <c r="AD4403"/>
      <c r="AE4403"/>
      <c r="AF4403"/>
      <c r="AG4403"/>
      <c r="AH4403"/>
      <c r="AI4403"/>
      <c r="AJ4403"/>
      <c r="AK4403"/>
      <c r="AL4403"/>
    </row>
    <row r="4404" spans="1:38" ht="15.75" customHeight="1" outlineLevel="2" x14ac:dyDescent="0.2">
      <c r="A4404" s="1067">
        <v>1</v>
      </c>
      <c r="B4404" s="1067" t="s">
        <v>68</v>
      </c>
      <c r="C4404" s="1067" t="s">
        <v>857</v>
      </c>
      <c r="D4404" s="1067" t="s">
        <v>857</v>
      </c>
      <c r="E4404" s="1068" t="s">
        <v>70</v>
      </c>
      <c r="F4404" s="1067"/>
      <c r="G4404" s="1069" t="str">
        <f t="array" ref="G4404">IF(B4404="insumo",_xlfn.XLOOKUP($D4404,Insumos!$B$1:$B$996,Insumos!$D$1:$D$996),"")</f>
        <v/>
      </c>
      <c r="H4404" s="1069">
        <v>898.24549999999999</v>
      </c>
      <c r="I4404" s="1070">
        <v>0</v>
      </c>
      <c r="J4404" s="1070">
        <v>0</v>
      </c>
      <c r="K4404" s="1070"/>
      <c r="L4404"/>
      <c r="M4404"/>
      <c r="N4404"/>
      <c r="O4404"/>
      <c r="P4404"/>
      <c r="Q4404"/>
      <c r="R4404"/>
      <c r="S4404"/>
      <c r="T4404"/>
      <c r="U4404"/>
      <c r="V4404"/>
      <c r="W4404"/>
      <c r="X4404"/>
      <c r="Y4404"/>
      <c r="Z4404"/>
      <c r="AA4404"/>
      <c r="AB4404"/>
      <c r="AC4404"/>
      <c r="AD4404"/>
      <c r="AE4404"/>
      <c r="AF4404"/>
      <c r="AG4404"/>
      <c r="AH4404"/>
      <c r="AI4404"/>
      <c r="AJ4404"/>
      <c r="AK4404"/>
      <c r="AL4404"/>
    </row>
    <row r="4405" spans="1:38" ht="15.75" customHeight="1" outlineLevel="3" x14ac:dyDescent="0.2">
      <c r="A4405" s="10">
        <v>10</v>
      </c>
      <c r="B4405" s="10" t="s">
        <v>71</v>
      </c>
      <c r="C4405" s="10" t="s">
        <v>857</v>
      </c>
      <c r="D4405" s="10" t="s">
        <v>531</v>
      </c>
      <c r="E4405" s="11" t="str">
        <f t="array" ref="E4405">_xlfn.XLOOKUP(D4405,Insumos!B:B,Insumos!C:$C)</f>
        <v>M2</v>
      </c>
      <c r="F4405" s="14">
        <v>1.1000000000000001</v>
      </c>
      <c r="G4405" s="92">
        <f t="array" ref="G4405">IF(B4405="insumo",_xlfn.XLOOKUP($D4405,Insumos!$B$1:$B$996,Insumos!$D$1:$D$996),"")</f>
        <v>800</v>
      </c>
      <c r="H4405" s="92">
        <v>880</v>
      </c>
      <c r="I4405" s="13">
        <v>0</v>
      </c>
      <c r="J4405" s="13">
        <v>0</v>
      </c>
      <c r="K4405" s="13"/>
      <c r="L4405"/>
      <c r="M4405"/>
      <c r="N4405"/>
      <c r="O4405"/>
      <c r="P4405"/>
      <c r="Q4405"/>
      <c r="R4405"/>
      <c r="S4405"/>
      <c r="T4405"/>
      <c r="U4405"/>
      <c r="V4405"/>
      <c r="W4405"/>
      <c r="X4405"/>
      <c r="Y4405"/>
      <c r="Z4405"/>
      <c r="AA4405"/>
      <c r="AB4405"/>
      <c r="AC4405"/>
      <c r="AD4405"/>
      <c r="AE4405"/>
      <c r="AF4405"/>
      <c r="AG4405"/>
      <c r="AH4405"/>
      <c r="AI4405"/>
      <c r="AJ4405"/>
      <c r="AK4405"/>
      <c r="AL4405"/>
    </row>
    <row r="4406" spans="1:38" ht="15.75" customHeight="1" outlineLevel="3" x14ac:dyDescent="0.2">
      <c r="A4406" s="10">
        <v>191</v>
      </c>
      <c r="B4406" s="10" t="s">
        <v>71</v>
      </c>
      <c r="C4406" s="10" t="s">
        <v>857</v>
      </c>
      <c r="D4406" s="10" t="s">
        <v>481</v>
      </c>
      <c r="E4406" s="11" t="str">
        <f t="array" ref="E4406">_xlfn.XLOOKUP(D4406,Insumos!B:B,Insumos!C:$C)</f>
        <v>KG</v>
      </c>
      <c r="F4406" s="14">
        <v>9</v>
      </c>
      <c r="G4406" s="92">
        <f t="array" ref="G4406">IF(B4406="insumo",_xlfn.XLOOKUP($D4406,Insumos!$B$1:$B$996,Insumos!$D$1:$D$996),"")</f>
        <v>1.0645</v>
      </c>
      <c r="H4406" s="92">
        <v>9.5805000000000007</v>
      </c>
      <c r="I4406" s="13">
        <v>0</v>
      </c>
      <c r="J4406" s="13">
        <v>0</v>
      </c>
      <c r="K4406" s="13"/>
      <c r="L4406"/>
      <c r="M4406"/>
      <c r="N4406"/>
      <c r="O4406"/>
      <c r="P4406"/>
      <c r="Q4406"/>
      <c r="R4406"/>
      <c r="S4406"/>
      <c r="T4406"/>
      <c r="U4406"/>
      <c r="V4406"/>
      <c r="W4406"/>
      <c r="X4406"/>
      <c r="Y4406"/>
      <c r="Z4406"/>
      <c r="AA4406"/>
      <c r="AB4406"/>
      <c r="AC4406"/>
      <c r="AD4406"/>
      <c r="AE4406"/>
      <c r="AF4406"/>
      <c r="AG4406"/>
      <c r="AH4406"/>
      <c r="AI4406"/>
      <c r="AJ4406"/>
      <c r="AK4406"/>
      <c r="AL4406"/>
    </row>
    <row r="4407" spans="1:38" ht="15.75" customHeight="1" outlineLevel="3" x14ac:dyDescent="0.2">
      <c r="A4407" s="10">
        <v>34</v>
      </c>
      <c r="B4407" s="10" t="s">
        <v>71</v>
      </c>
      <c r="C4407" s="10" t="s">
        <v>857</v>
      </c>
      <c r="D4407" s="10" t="s">
        <v>538</v>
      </c>
      <c r="E4407" s="11" t="str">
        <f t="array" ref="E4407">_xlfn.XLOOKUP(D4407,Insumos!B:B,Insumos!C:$C)</f>
        <v>UN</v>
      </c>
      <c r="F4407" s="14">
        <v>0.5</v>
      </c>
      <c r="G4407" s="92">
        <f t="array" ref="G4407">IF(B4407="insumo",_xlfn.XLOOKUP($D4407,Insumos!$B$1:$B$996,Insumos!$D$1:$D$996),"")</f>
        <v>17.329999999999998</v>
      </c>
      <c r="H4407" s="92">
        <v>8.6649999999999991</v>
      </c>
      <c r="I4407" s="13">
        <v>0</v>
      </c>
      <c r="J4407" s="13">
        <v>0</v>
      </c>
      <c r="K4407" s="13"/>
      <c r="L4407"/>
      <c r="M4407"/>
      <c r="N4407"/>
      <c r="O4407"/>
      <c r="P4407"/>
      <c r="Q4407"/>
      <c r="R4407"/>
      <c r="S4407"/>
      <c r="T4407"/>
      <c r="U4407"/>
      <c r="V4407"/>
      <c r="W4407"/>
      <c r="X4407"/>
      <c r="Y4407"/>
      <c r="Z4407"/>
      <c r="AA4407"/>
      <c r="AB4407"/>
      <c r="AC4407"/>
      <c r="AD4407"/>
      <c r="AE4407"/>
      <c r="AF4407"/>
      <c r="AG4407"/>
      <c r="AH4407"/>
      <c r="AI4407"/>
      <c r="AJ4407"/>
      <c r="AK4407"/>
      <c r="AL4407"/>
    </row>
    <row r="4408" spans="1:38" ht="15.75" customHeight="1" outlineLevel="2" x14ac:dyDescent="0.2">
      <c r="A4408" s="1067">
        <v>1</v>
      </c>
      <c r="B4408" s="1067" t="s">
        <v>68</v>
      </c>
      <c r="C4408" s="1067" t="s">
        <v>858</v>
      </c>
      <c r="D4408" s="1067" t="s">
        <v>858</v>
      </c>
      <c r="E4408" s="1068" t="s">
        <v>70</v>
      </c>
      <c r="F4408" s="1067"/>
      <c r="G4408" s="1069" t="str">
        <f t="array" ref="G4408">IF(B4408="insumo",_xlfn.XLOOKUP($D4408,Insumos!$B$1:$B$996,Insumos!$D$1:$D$996),"")</f>
        <v/>
      </c>
      <c r="H4408" s="1069">
        <v>733.24549999999999</v>
      </c>
      <c r="I4408" s="1070">
        <v>0</v>
      </c>
      <c r="J4408" s="1070">
        <v>0</v>
      </c>
      <c r="K4408" s="1070"/>
      <c r="L4408"/>
      <c r="M4408"/>
      <c r="N4408"/>
      <c r="O4408"/>
      <c r="P4408"/>
      <c r="Q4408"/>
      <c r="R4408"/>
      <c r="S4408"/>
      <c r="T4408"/>
      <c r="U4408"/>
      <c r="V4408"/>
      <c r="W4408"/>
      <c r="X4408"/>
      <c r="Y4408"/>
      <c r="Z4408"/>
      <c r="AA4408"/>
      <c r="AB4408"/>
      <c r="AC4408"/>
      <c r="AD4408"/>
      <c r="AE4408"/>
      <c r="AF4408"/>
      <c r="AG4408"/>
      <c r="AH4408"/>
      <c r="AI4408"/>
      <c r="AJ4408"/>
      <c r="AK4408"/>
      <c r="AL4408"/>
    </row>
    <row r="4409" spans="1:38" ht="15.75" customHeight="1" outlineLevel="3" x14ac:dyDescent="0.2">
      <c r="A4409" s="10">
        <v>1</v>
      </c>
      <c r="B4409" s="10" t="s">
        <v>71</v>
      </c>
      <c r="C4409" s="10" t="s">
        <v>858</v>
      </c>
      <c r="D4409" s="10" t="s">
        <v>859</v>
      </c>
      <c r="E4409" s="11" t="str">
        <f t="array" ref="E4409">_xlfn.XLOOKUP(D4409,Insumos!B:B,Insumos!C:$C)</f>
        <v>M2</v>
      </c>
      <c r="F4409" s="14">
        <v>1.1000000000000001</v>
      </c>
      <c r="G4409" s="92">
        <f t="array" ref="G4409">IF(B4409="insumo",_xlfn.XLOOKUP($D4409,Insumos!$B$1:$B$996,Insumos!$D$1:$D$996),"")</f>
        <v>650</v>
      </c>
      <c r="H4409" s="92">
        <v>715</v>
      </c>
      <c r="I4409" s="13">
        <v>0</v>
      </c>
      <c r="J4409" s="13">
        <v>0</v>
      </c>
      <c r="K4409" s="13"/>
      <c r="L4409"/>
      <c r="M4409"/>
      <c r="N4409"/>
      <c r="O4409"/>
      <c r="P4409"/>
      <c r="Q4409"/>
      <c r="R4409"/>
      <c r="S4409"/>
      <c r="T4409"/>
      <c r="U4409"/>
      <c r="V4409"/>
      <c r="W4409"/>
      <c r="X4409"/>
      <c r="Y4409"/>
      <c r="Z4409"/>
      <c r="AA4409"/>
      <c r="AB4409"/>
      <c r="AC4409"/>
      <c r="AD4409"/>
      <c r="AE4409"/>
      <c r="AF4409"/>
      <c r="AG4409"/>
      <c r="AH4409"/>
      <c r="AI4409"/>
      <c r="AJ4409"/>
      <c r="AK4409"/>
      <c r="AL4409"/>
    </row>
    <row r="4410" spans="1:38" ht="15.75" customHeight="1" outlineLevel="3" x14ac:dyDescent="0.2">
      <c r="A4410" s="10">
        <v>191</v>
      </c>
      <c r="B4410" s="10" t="s">
        <v>71</v>
      </c>
      <c r="C4410" s="10" t="s">
        <v>858</v>
      </c>
      <c r="D4410" s="10" t="s">
        <v>481</v>
      </c>
      <c r="E4410" s="11" t="str">
        <f t="array" ref="E4410">_xlfn.XLOOKUP(D4410,Insumos!B:B,Insumos!C:$C)</f>
        <v>KG</v>
      </c>
      <c r="F4410" s="14">
        <v>9</v>
      </c>
      <c r="G4410" s="92">
        <f t="array" ref="G4410">IF(B4410="insumo",_xlfn.XLOOKUP($D4410,Insumos!$B$1:$B$996,Insumos!$D$1:$D$996),"")</f>
        <v>1.0645</v>
      </c>
      <c r="H4410" s="92">
        <v>9.5805000000000007</v>
      </c>
      <c r="I4410" s="13">
        <v>0</v>
      </c>
      <c r="J4410" s="13">
        <v>0</v>
      </c>
      <c r="K4410" s="13"/>
      <c r="L4410"/>
      <c r="M4410"/>
      <c r="N4410"/>
      <c r="O4410"/>
      <c r="P4410"/>
      <c r="Q4410"/>
      <c r="R4410"/>
      <c r="S4410"/>
      <c r="T4410"/>
      <c r="U4410"/>
      <c r="V4410"/>
      <c r="W4410"/>
      <c r="X4410"/>
      <c r="Y4410"/>
      <c r="Z4410"/>
      <c r="AA4410"/>
      <c r="AB4410"/>
      <c r="AC4410"/>
      <c r="AD4410"/>
      <c r="AE4410"/>
      <c r="AF4410"/>
      <c r="AG4410"/>
      <c r="AH4410"/>
      <c r="AI4410"/>
      <c r="AJ4410"/>
      <c r="AK4410"/>
      <c r="AL4410"/>
    </row>
    <row r="4411" spans="1:38" ht="15.75" customHeight="1" outlineLevel="3" x14ac:dyDescent="0.2">
      <c r="A4411" s="10">
        <v>34</v>
      </c>
      <c r="B4411" s="10" t="s">
        <v>71</v>
      </c>
      <c r="C4411" s="10" t="s">
        <v>858</v>
      </c>
      <c r="D4411" s="10" t="s">
        <v>538</v>
      </c>
      <c r="E4411" s="11" t="str">
        <f t="array" ref="E4411">_xlfn.XLOOKUP(D4411,Insumos!B:B,Insumos!C:$C)</f>
        <v>UN</v>
      </c>
      <c r="F4411" s="14">
        <v>0.5</v>
      </c>
      <c r="G4411" s="92">
        <f t="array" ref="G4411">IF(B4411="insumo",_xlfn.XLOOKUP($D4411,Insumos!$B$1:$B$996,Insumos!$D$1:$D$996),"")</f>
        <v>17.329999999999998</v>
      </c>
      <c r="H4411" s="92">
        <v>8.6649999999999991</v>
      </c>
      <c r="I4411" s="13">
        <v>0</v>
      </c>
      <c r="J4411" s="13">
        <v>0</v>
      </c>
      <c r="K4411" s="13"/>
      <c r="L4411"/>
      <c r="M4411"/>
      <c r="N4411"/>
      <c r="O4411"/>
      <c r="P4411"/>
      <c r="Q4411"/>
      <c r="R4411"/>
      <c r="S4411"/>
      <c r="T4411"/>
      <c r="U4411"/>
      <c r="V4411"/>
      <c r="W4411"/>
      <c r="X4411"/>
      <c r="Y4411"/>
      <c r="Z4411"/>
      <c r="AA4411"/>
      <c r="AB4411"/>
      <c r="AC4411"/>
      <c r="AD4411"/>
      <c r="AE4411"/>
      <c r="AF4411"/>
      <c r="AG4411"/>
      <c r="AH4411"/>
      <c r="AI4411"/>
      <c r="AJ4411"/>
      <c r="AK4411"/>
      <c r="AL4411"/>
    </row>
    <row r="4412" spans="1:38" ht="15.75" customHeight="1" outlineLevel="2" x14ac:dyDescent="0.2">
      <c r="A4412" s="1067">
        <v>1</v>
      </c>
      <c r="B4412" s="1067" t="s">
        <v>68</v>
      </c>
      <c r="C4412" s="1067" t="s">
        <v>867</v>
      </c>
      <c r="D4412" s="1067" t="s">
        <v>867</v>
      </c>
      <c r="E4412" s="1068" t="s">
        <v>70</v>
      </c>
      <c r="F4412" s="1067"/>
      <c r="G4412" s="1069" t="str">
        <f t="array" ref="G4412">IF(B4412="insumo",_xlfn.XLOOKUP($D4412,Insumos!$B$1:$B$996,Insumos!$D$1:$D$996),"")</f>
        <v/>
      </c>
      <c r="H4412" s="1069">
        <v>568.77549999999997</v>
      </c>
      <c r="I4412" s="1070">
        <v>0</v>
      </c>
      <c r="J4412" s="1070">
        <v>0</v>
      </c>
      <c r="K4412" s="1070"/>
      <c r="L4412"/>
      <c r="M4412"/>
      <c r="N4412"/>
      <c r="O4412"/>
      <c r="P4412"/>
      <c r="Q4412"/>
      <c r="R4412"/>
      <c r="S4412"/>
      <c r="T4412"/>
      <c r="U4412"/>
      <c r="V4412"/>
      <c r="W4412"/>
      <c r="X4412"/>
      <c r="Y4412"/>
      <c r="Z4412"/>
      <c r="AA4412"/>
      <c r="AB4412"/>
      <c r="AC4412"/>
      <c r="AD4412"/>
      <c r="AE4412"/>
      <c r="AF4412"/>
      <c r="AG4412"/>
      <c r="AH4412"/>
      <c r="AI4412"/>
      <c r="AJ4412"/>
      <c r="AK4412"/>
      <c r="AL4412"/>
    </row>
    <row r="4413" spans="1:38" ht="15.75" customHeight="1" outlineLevel="3" x14ac:dyDescent="0.2">
      <c r="A4413" s="10">
        <v>1</v>
      </c>
      <c r="B4413" s="10" t="s">
        <v>71</v>
      </c>
      <c r="C4413" s="10" t="s">
        <v>867</v>
      </c>
      <c r="D4413" s="10" t="s">
        <v>868</v>
      </c>
      <c r="E4413" s="11" t="str">
        <f t="array" ref="E4413">_xlfn.XLOOKUP(D4413,Insumos!B:B,Insumos!C:$C)</f>
        <v>M2</v>
      </c>
      <c r="F4413" s="14">
        <v>1.1000000000000001</v>
      </c>
      <c r="G4413" s="92">
        <f t="array" ref="G4413">IF(B4413="insumo",_xlfn.XLOOKUP($D4413,Insumos!$B$1:$B$996,Insumos!$D$1:$D$996),"")</f>
        <v>503</v>
      </c>
      <c r="H4413" s="92">
        <v>553.29999999999995</v>
      </c>
      <c r="I4413" s="13">
        <v>0</v>
      </c>
      <c r="J4413" s="13">
        <v>0</v>
      </c>
      <c r="K4413" s="13"/>
      <c r="L4413"/>
      <c r="M4413"/>
      <c r="N4413"/>
      <c r="O4413"/>
      <c r="P4413"/>
      <c r="Q4413"/>
      <c r="R4413"/>
      <c r="S4413"/>
      <c r="T4413"/>
      <c r="U4413"/>
      <c r="V4413"/>
      <c r="W4413"/>
      <c r="X4413"/>
      <c r="Y4413"/>
      <c r="Z4413"/>
      <c r="AA4413"/>
      <c r="AB4413"/>
      <c r="AC4413"/>
      <c r="AD4413"/>
      <c r="AE4413"/>
      <c r="AF4413"/>
      <c r="AG4413"/>
      <c r="AH4413"/>
      <c r="AI4413"/>
      <c r="AJ4413"/>
      <c r="AK4413"/>
      <c r="AL4413"/>
    </row>
    <row r="4414" spans="1:38" ht="15.75" customHeight="1" outlineLevel="3" x14ac:dyDescent="0.2">
      <c r="A4414" s="10">
        <v>191</v>
      </c>
      <c r="B4414" s="10" t="s">
        <v>71</v>
      </c>
      <c r="C4414" s="10" t="s">
        <v>867</v>
      </c>
      <c r="D4414" s="10" t="s">
        <v>481</v>
      </c>
      <c r="E4414" s="11" t="str">
        <f t="array" ref="E4414">_xlfn.XLOOKUP(D4414,Insumos!B:B,Insumos!C:$C)</f>
        <v>KG</v>
      </c>
      <c r="F4414" s="14">
        <v>9</v>
      </c>
      <c r="G4414" s="92">
        <f t="array" ref="G4414">IF(B4414="insumo",_xlfn.XLOOKUP($D4414,Insumos!$B$1:$B$996,Insumos!$D$1:$D$996),"")</f>
        <v>1.0645</v>
      </c>
      <c r="H4414" s="92">
        <v>9.5805000000000007</v>
      </c>
      <c r="I4414" s="13">
        <v>0</v>
      </c>
      <c r="J4414" s="13">
        <v>0</v>
      </c>
      <c r="K4414" s="13"/>
      <c r="L4414"/>
      <c r="M4414"/>
      <c r="N4414"/>
      <c r="O4414"/>
      <c r="P4414"/>
      <c r="Q4414"/>
      <c r="R4414"/>
      <c r="S4414"/>
      <c r="T4414"/>
      <c r="U4414"/>
      <c r="V4414"/>
      <c r="W4414"/>
      <c r="X4414"/>
      <c r="Y4414"/>
      <c r="Z4414"/>
      <c r="AA4414"/>
      <c r="AB4414"/>
      <c r="AC4414"/>
      <c r="AD4414"/>
      <c r="AE4414"/>
      <c r="AF4414"/>
      <c r="AG4414"/>
      <c r="AH4414"/>
      <c r="AI4414"/>
      <c r="AJ4414"/>
      <c r="AK4414"/>
      <c r="AL4414"/>
    </row>
    <row r="4415" spans="1:38" ht="15.75" customHeight="1" outlineLevel="3" x14ac:dyDescent="0.2">
      <c r="A4415" s="10">
        <v>142</v>
      </c>
      <c r="B4415" s="10" t="s">
        <v>71</v>
      </c>
      <c r="C4415" s="10" t="s">
        <v>867</v>
      </c>
      <c r="D4415" s="10" t="s">
        <v>506</v>
      </c>
      <c r="E4415" s="11" t="str">
        <f t="array" ref="E4415">_xlfn.XLOOKUP(D4415,Insumos!B:B,Insumos!C:$C)</f>
        <v>UN</v>
      </c>
      <c r="F4415" s="14">
        <v>4</v>
      </c>
      <c r="G4415" s="92">
        <f t="array" ref="G4415">IF(B4415="insumo",_xlfn.XLOOKUP($D4415,Insumos!$B$1:$B$996,Insumos!$D$1:$D$996),"")</f>
        <v>0.08</v>
      </c>
      <c r="H4415" s="92">
        <v>0.32</v>
      </c>
      <c r="I4415" s="13">
        <v>0</v>
      </c>
      <c r="J4415" s="13">
        <v>0</v>
      </c>
      <c r="K4415" s="13"/>
      <c r="L4415"/>
      <c r="M4415"/>
      <c r="N4415"/>
      <c r="O4415"/>
      <c r="P4415"/>
      <c r="Q4415"/>
      <c r="R4415"/>
      <c r="S4415"/>
      <c r="T4415"/>
      <c r="U4415"/>
      <c r="V4415"/>
      <c r="W4415"/>
      <c r="X4415"/>
      <c r="Y4415"/>
      <c r="Z4415"/>
      <c r="AA4415"/>
      <c r="AB4415"/>
      <c r="AC4415"/>
      <c r="AD4415"/>
      <c r="AE4415"/>
      <c r="AF4415"/>
      <c r="AG4415"/>
      <c r="AH4415"/>
      <c r="AI4415"/>
      <c r="AJ4415"/>
      <c r="AK4415"/>
      <c r="AL4415"/>
    </row>
    <row r="4416" spans="1:38" ht="15.75" customHeight="1" outlineLevel="3" x14ac:dyDescent="0.2">
      <c r="A4416" s="10">
        <v>101</v>
      </c>
      <c r="B4416" s="10" t="s">
        <v>71</v>
      </c>
      <c r="C4416" s="10" t="s">
        <v>867</v>
      </c>
      <c r="D4416" s="10" t="s">
        <v>507</v>
      </c>
      <c r="E4416" s="11" t="str">
        <f t="array" ref="E4416">_xlfn.XLOOKUP(D4416,Insumos!B:B,Insumos!C:$C)</f>
        <v>KG</v>
      </c>
      <c r="F4416" s="14">
        <v>0.5</v>
      </c>
      <c r="G4416" s="92">
        <f t="array" ref="G4416">IF(B4416="insumo",_xlfn.XLOOKUP($D4416,Insumos!$B$1:$B$996,Insumos!$D$1:$D$996),"")</f>
        <v>11.15</v>
      </c>
      <c r="H4416" s="92">
        <v>5.5750000000000002</v>
      </c>
      <c r="I4416" s="13">
        <v>0</v>
      </c>
      <c r="J4416" s="13">
        <v>0</v>
      </c>
      <c r="K4416" s="13"/>
      <c r="L4416"/>
      <c r="M4416"/>
      <c r="N4416"/>
      <c r="O4416"/>
      <c r="P4416"/>
      <c r="Q4416"/>
      <c r="R4416"/>
      <c r="S4416"/>
      <c r="T4416"/>
      <c r="U4416"/>
      <c r="V4416"/>
      <c r="W4416"/>
      <c r="X4416"/>
      <c r="Y4416"/>
      <c r="Z4416"/>
      <c r="AA4416"/>
      <c r="AB4416"/>
      <c r="AC4416"/>
      <c r="AD4416"/>
      <c r="AE4416"/>
      <c r="AF4416"/>
      <c r="AG4416"/>
      <c r="AH4416"/>
      <c r="AI4416"/>
      <c r="AJ4416"/>
      <c r="AK4416"/>
      <c r="AL4416"/>
    </row>
    <row r="4417" spans="1:38" ht="15.75" customHeight="1" outlineLevel="2" x14ac:dyDescent="0.2">
      <c r="A4417" s="1067">
        <v>1</v>
      </c>
      <c r="B4417" s="1067" t="s">
        <v>68</v>
      </c>
      <c r="C4417" s="1067" t="s">
        <v>869</v>
      </c>
      <c r="D4417" s="1067" t="s">
        <v>869</v>
      </c>
      <c r="E4417" s="1068" t="s">
        <v>70</v>
      </c>
      <c r="F4417" s="1067"/>
      <c r="G4417" s="1069" t="str">
        <f t="array" ref="G4417">IF(B4417="insumo",_xlfn.XLOOKUP($D4417,Insumos!$B$1:$B$996,Insumos!$D$1:$D$996),"")</f>
        <v/>
      </c>
      <c r="H4417" s="1069">
        <v>730.47550000000001</v>
      </c>
      <c r="I4417" s="1070">
        <v>0</v>
      </c>
      <c r="J4417" s="1070">
        <v>0</v>
      </c>
      <c r="K4417" s="1070"/>
      <c r="L4417"/>
      <c r="M4417"/>
      <c r="N4417"/>
      <c r="O4417"/>
      <c r="P4417"/>
      <c r="Q4417"/>
      <c r="R4417"/>
      <c r="S4417"/>
      <c r="T4417"/>
      <c r="U4417"/>
      <c r="V4417"/>
      <c r="W4417"/>
      <c r="X4417"/>
      <c r="Y4417"/>
      <c r="Z4417"/>
      <c r="AA4417"/>
      <c r="AB4417"/>
      <c r="AC4417"/>
      <c r="AD4417"/>
      <c r="AE4417"/>
      <c r="AF4417"/>
      <c r="AG4417"/>
      <c r="AH4417"/>
      <c r="AI4417"/>
      <c r="AJ4417"/>
      <c r="AK4417"/>
      <c r="AL4417"/>
    </row>
    <row r="4418" spans="1:38" ht="15.75" customHeight="1" outlineLevel="3" x14ac:dyDescent="0.2">
      <c r="A4418" s="10">
        <v>3</v>
      </c>
      <c r="B4418" s="10" t="s">
        <v>71</v>
      </c>
      <c r="C4418" s="10" t="s">
        <v>869</v>
      </c>
      <c r="D4418" s="10" t="s">
        <v>649</v>
      </c>
      <c r="E4418" s="11" t="str">
        <f t="array" ref="E4418">_xlfn.XLOOKUP(D4418,Insumos!B:B,Insumos!C:$C)</f>
        <v>M2</v>
      </c>
      <c r="F4418" s="14">
        <v>1.1000000000000001</v>
      </c>
      <c r="G4418" s="92">
        <f t="array" ref="G4418">IF(B4418="insumo",_xlfn.XLOOKUP($D4418,Insumos!$B$1:$B$996,Insumos!$D$1:$D$996),"")</f>
        <v>650</v>
      </c>
      <c r="H4418" s="92">
        <v>715</v>
      </c>
      <c r="I4418" s="13">
        <v>0</v>
      </c>
      <c r="J4418" s="13">
        <v>0</v>
      </c>
      <c r="K4418" s="13"/>
      <c r="L4418"/>
      <c r="M4418"/>
      <c r="N4418"/>
      <c r="O4418"/>
      <c r="P4418"/>
      <c r="Q4418"/>
      <c r="R4418"/>
      <c r="S4418"/>
      <c r="T4418"/>
      <c r="U4418"/>
      <c r="V4418"/>
      <c r="W4418"/>
      <c r="X4418"/>
      <c r="Y4418"/>
      <c r="Z4418"/>
      <c r="AA4418"/>
      <c r="AB4418"/>
      <c r="AC4418"/>
      <c r="AD4418"/>
      <c r="AE4418"/>
      <c r="AF4418"/>
      <c r="AG4418"/>
      <c r="AH4418"/>
      <c r="AI4418"/>
      <c r="AJ4418"/>
      <c r="AK4418"/>
      <c r="AL4418"/>
    </row>
    <row r="4419" spans="1:38" ht="15.75" customHeight="1" outlineLevel="3" x14ac:dyDescent="0.2">
      <c r="A4419" s="10">
        <v>191</v>
      </c>
      <c r="B4419" s="10" t="s">
        <v>71</v>
      </c>
      <c r="C4419" s="10" t="s">
        <v>869</v>
      </c>
      <c r="D4419" s="10" t="s">
        <v>481</v>
      </c>
      <c r="E4419" s="11" t="str">
        <f t="array" ref="E4419">_xlfn.XLOOKUP(D4419,Insumos!B:B,Insumos!C:$C)</f>
        <v>KG</v>
      </c>
      <c r="F4419" s="14">
        <v>9</v>
      </c>
      <c r="G4419" s="92">
        <f t="array" ref="G4419">IF(B4419="insumo",_xlfn.XLOOKUP($D4419,Insumos!$B$1:$B$996,Insumos!$D$1:$D$996),"")</f>
        <v>1.0645</v>
      </c>
      <c r="H4419" s="92">
        <v>9.5805000000000007</v>
      </c>
      <c r="I4419" s="13">
        <v>0</v>
      </c>
      <c r="J4419" s="13">
        <v>0</v>
      </c>
      <c r="K4419" s="13"/>
      <c r="L4419"/>
      <c r="M4419"/>
      <c r="N4419"/>
      <c r="O4419"/>
      <c r="P4419"/>
      <c r="Q4419"/>
      <c r="R4419"/>
      <c r="S4419"/>
      <c r="T4419"/>
      <c r="U4419"/>
      <c r="V4419"/>
      <c r="W4419"/>
      <c r="X4419"/>
      <c r="Y4419"/>
      <c r="Z4419"/>
      <c r="AA4419"/>
      <c r="AB4419"/>
      <c r="AC4419"/>
      <c r="AD4419"/>
      <c r="AE4419"/>
      <c r="AF4419"/>
      <c r="AG4419"/>
      <c r="AH4419"/>
      <c r="AI4419"/>
      <c r="AJ4419"/>
      <c r="AK4419"/>
      <c r="AL4419"/>
    </row>
    <row r="4420" spans="1:38" ht="15.75" customHeight="1" outlineLevel="3" x14ac:dyDescent="0.2">
      <c r="A4420" s="10">
        <v>142</v>
      </c>
      <c r="B4420" s="10" t="s">
        <v>71</v>
      </c>
      <c r="C4420" s="10" t="s">
        <v>869</v>
      </c>
      <c r="D4420" s="10" t="s">
        <v>506</v>
      </c>
      <c r="E4420" s="11" t="str">
        <f t="array" ref="E4420">_xlfn.XLOOKUP(D4420,Insumos!B:B,Insumos!C:$C)</f>
        <v>UN</v>
      </c>
      <c r="F4420" s="14">
        <v>4</v>
      </c>
      <c r="G4420" s="92">
        <f t="array" ref="G4420">IF(B4420="insumo",_xlfn.XLOOKUP($D4420,Insumos!$B$1:$B$996,Insumos!$D$1:$D$996),"")</f>
        <v>0.08</v>
      </c>
      <c r="H4420" s="92">
        <v>0.32</v>
      </c>
      <c r="I4420" s="13">
        <v>0</v>
      </c>
      <c r="J4420" s="13">
        <v>0</v>
      </c>
      <c r="K4420" s="13"/>
      <c r="L4420"/>
      <c r="M4420"/>
      <c r="N4420"/>
      <c r="O4420"/>
      <c r="P4420"/>
      <c r="Q4420"/>
      <c r="R4420"/>
      <c r="S4420"/>
      <c r="T4420"/>
      <c r="U4420"/>
      <c r="V4420"/>
      <c r="W4420"/>
      <c r="X4420"/>
      <c r="Y4420"/>
      <c r="Z4420"/>
      <c r="AA4420"/>
      <c r="AB4420"/>
      <c r="AC4420"/>
      <c r="AD4420"/>
      <c r="AE4420"/>
      <c r="AF4420"/>
      <c r="AG4420"/>
      <c r="AH4420"/>
      <c r="AI4420"/>
      <c r="AJ4420"/>
      <c r="AK4420"/>
      <c r="AL4420"/>
    </row>
    <row r="4421" spans="1:38" ht="15.75" customHeight="1" outlineLevel="3" x14ac:dyDescent="0.2">
      <c r="A4421" s="10">
        <v>101</v>
      </c>
      <c r="B4421" s="10" t="s">
        <v>71</v>
      </c>
      <c r="C4421" s="10" t="s">
        <v>869</v>
      </c>
      <c r="D4421" s="10" t="s">
        <v>507</v>
      </c>
      <c r="E4421" s="11" t="str">
        <f t="array" ref="E4421">_xlfn.XLOOKUP(D4421,Insumos!B:B,Insumos!C:$C)</f>
        <v>KG</v>
      </c>
      <c r="F4421" s="14">
        <v>0.5</v>
      </c>
      <c r="G4421" s="92">
        <f t="array" ref="G4421">IF(B4421="insumo",_xlfn.XLOOKUP($D4421,Insumos!$B$1:$B$996,Insumos!$D$1:$D$996),"")</f>
        <v>11.15</v>
      </c>
      <c r="H4421" s="92">
        <v>5.5750000000000002</v>
      </c>
      <c r="I4421" s="13">
        <v>0</v>
      </c>
      <c r="J4421" s="13">
        <v>0</v>
      </c>
      <c r="K4421" s="13"/>
      <c r="L4421"/>
      <c r="M4421"/>
      <c r="N4421"/>
      <c r="O4421"/>
      <c r="P4421"/>
      <c r="Q4421"/>
      <c r="R4421"/>
      <c r="S4421"/>
      <c r="T4421"/>
      <c r="U4421"/>
      <c r="V4421"/>
      <c r="W4421"/>
      <c r="X4421"/>
      <c r="Y4421"/>
      <c r="Z4421"/>
      <c r="AA4421"/>
      <c r="AB4421"/>
      <c r="AC4421"/>
      <c r="AD4421"/>
      <c r="AE4421"/>
      <c r="AF4421"/>
      <c r="AG4421"/>
      <c r="AH4421"/>
      <c r="AI4421"/>
      <c r="AJ4421"/>
      <c r="AK4421"/>
      <c r="AL4421"/>
    </row>
    <row r="4422" spans="1:38" ht="15.75" customHeight="1" outlineLevel="2" x14ac:dyDescent="0.2">
      <c r="A4422" s="1067">
        <v>1</v>
      </c>
      <c r="B4422" s="1067" t="s">
        <v>68</v>
      </c>
      <c r="C4422" s="1067" t="s">
        <v>870</v>
      </c>
      <c r="D4422" s="1067" t="s">
        <v>870</v>
      </c>
      <c r="E4422" s="1068" t="s">
        <v>70</v>
      </c>
      <c r="F4422" s="1067"/>
      <c r="G4422" s="1069" t="str">
        <f t="array" ref="G4422">IF(B4422="insumo",_xlfn.XLOOKUP($D4422,Insumos!$B$1:$B$996,Insumos!$D$1:$D$996),"")</f>
        <v/>
      </c>
      <c r="H4422" s="1069">
        <v>895.47550000000001</v>
      </c>
      <c r="I4422" s="1070">
        <v>0</v>
      </c>
      <c r="J4422" s="1070">
        <v>0</v>
      </c>
      <c r="K4422" s="1070"/>
      <c r="L4422"/>
      <c r="M4422"/>
      <c r="N4422"/>
      <c r="O4422"/>
      <c r="P4422"/>
      <c r="Q4422"/>
      <c r="R4422"/>
      <c r="S4422"/>
      <c r="T4422"/>
      <c r="U4422"/>
      <c r="V4422"/>
      <c r="W4422"/>
      <c r="X4422"/>
      <c r="Y4422"/>
      <c r="Z4422"/>
      <c r="AA4422"/>
      <c r="AB4422"/>
      <c r="AC4422"/>
      <c r="AD4422"/>
      <c r="AE4422"/>
      <c r="AF4422"/>
      <c r="AG4422"/>
      <c r="AH4422"/>
      <c r="AI4422"/>
      <c r="AJ4422"/>
      <c r="AK4422"/>
      <c r="AL4422"/>
    </row>
    <row r="4423" spans="1:38" ht="15.75" customHeight="1" outlineLevel="3" x14ac:dyDescent="0.2">
      <c r="A4423" s="10">
        <v>1</v>
      </c>
      <c r="B4423" s="10" t="s">
        <v>71</v>
      </c>
      <c r="C4423" s="10" t="s">
        <v>870</v>
      </c>
      <c r="D4423" s="10" t="s">
        <v>871</v>
      </c>
      <c r="E4423" s="11" t="str">
        <f t="array" ref="E4423">_xlfn.XLOOKUP(D4423,Insumos!B:B,Insumos!C:$C)</f>
        <v>M2</v>
      </c>
      <c r="F4423" s="14">
        <v>1.1000000000000001</v>
      </c>
      <c r="G4423" s="92">
        <f t="array" ref="G4423">IF(B4423="insumo",_xlfn.XLOOKUP($D4423,Insumos!$B$1:$B$996,Insumos!$D$1:$D$996),"")</f>
        <v>800</v>
      </c>
      <c r="H4423" s="92">
        <v>880</v>
      </c>
      <c r="I4423" s="13">
        <v>0</v>
      </c>
      <c r="J4423" s="13">
        <v>0</v>
      </c>
      <c r="K4423" s="13"/>
      <c r="L4423"/>
      <c r="M4423"/>
      <c r="N4423"/>
      <c r="O4423"/>
      <c r="P4423"/>
      <c r="Q4423"/>
      <c r="R4423"/>
      <c r="S4423"/>
      <c r="T4423"/>
      <c r="U4423"/>
      <c r="V4423"/>
      <c r="W4423"/>
      <c r="X4423"/>
      <c r="Y4423"/>
      <c r="Z4423"/>
      <c r="AA4423"/>
      <c r="AB4423"/>
      <c r="AC4423"/>
      <c r="AD4423"/>
      <c r="AE4423"/>
      <c r="AF4423"/>
      <c r="AG4423"/>
      <c r="AH4423"/>
      <c r="AI4423"/>
      <c r="AJ4423"/>
      <c r="AK4423"/>
      <c r="AL4423"/>
    </row>
    <row r="4424" spans="1:38" ht="15.75" customHeight="1" outlineLevel="3" x14ac:dyDescent="0.2">
      <c r="A4424" s="10">
        <v>191</v>
      </c>
      <c r="B4424" s="10" t="s">
        <v>71</v>
      </c>
      <c r="C4424" s="10" t="s">
        <v>870</v>
      </c>
      <c r="D4424" s="10" t="s">
        <v>481</v>
      </c>
      <c r="E4424" s="11" t="str">
        <f t="array" ref="E4424">_xlfn.XLOOKUP(D4424,Insumos!B:B,Insumos!C:$C)</f>
        <v>KG</v>
      </c>
      <c r="F4424" s="14">
        <v>9</v>
      </c>
      <c r="G4424" s="92">
        <f t="array" ref="G4424">IF(B4424="insumo",_xlfn.XLOOKUP($D4424,Insumos!$B$1:$B$996,Insumos!$D$1:$D$996),"")</f>
        <v>1.0645</v>
      </c>
      <c r="H4424" s="92">
        <v>9.5805000000000007</v>
      </c>
      <c r="I4424" s="13">
        <v>0</v>
      </c>
      <c r="J4424" s="13">
        <v>0</v>
      </c>
      <c r="K4424" s="13"/>
      <c r="L4424"/>
      <c r="M4424"/>
      <c r="N4424"/>
      <c r="O4424"/>
      <c r="P4424"/>
      <c r="Q4424"/>
      <c r="R4424"/>
      <c r="S4424"/>
      <c r="T4424"/>
      <c r="U4424"/>
      <c r="V4424"/>
      <c r="W4424"/>
      <c r="X4424"/>
      <c r="Y4424"/>
      <c r="Z4424"/>
      <c r="AA4424"/>
      <c r="AB4424"/>
      <c r="AC4424"/>
      <c r="AD4424"/>
      <c r="AE4424"/>
      <c r="AF4424"/>
      <c r="AG4424"/>
      <c r="AH4424"/>
      <c r="AI4424"/>
      <c r="AJ4424"/>
      <c r="AK4424"/>
      <c r="AL4424"/>
    </row>
    <row r="4425" spans="1:38" ht="15.75" customHeight="1" outlineLevel="3" x14ac:dyDescent="0.2">
      <c r="A4425" s="10">
        <v>142</v>
      </c>
      <c r="B4425" s="10" t="s">
        <v>71</v>
      </c>
      <c r="C4425" s="10" t="s">
        <v>870</v>
      </c>
      <c r="D4425" s="10" t="s">
        <v>506</v>
      </c>
      <c r="E4425" s="11" t="str">
        <f t="array" ref="E4425">_xlfn.XLOOKUP(D4425,Insumos!B:B,Insumos!C:$C)</f>
        <v>UN</v>
      </c>
      <c r="F4425" s="14">
        <v>4</v>
      </c>
      <c r="G4425" s="92">
        <f t="array" ref="G4425">IF(B4425="insumo",_xlfn.XLOOKUP($D4425,Insumos!$B$1:$B$996,Insumos!$D$1:$D$996),"")</f>
        <v>0.08</v>
      </c>
      <c r="H4425" s="92">
        <v>0.32</v>
      </c>
      <c r="I4425" s="13">
        <v>0</v>
      </c>
      <c r="J4425" s="13">
        <v>0</v>
      </c>
      <c r="K4425" s="13"/>
      <c r="L4425"/>
      <c r="M4425"/>
      <c r="N4425"/>
      <c r="O4425"/>
      <c r="P4425"/>
      <c r="Q4425"/>
      <c r="R4425"/>
      <c r="S4425"/>
      <c r="T4425"/>
      <c r="U4425"/>
      <c r="V4425"/>
      <c r="W4425"/>
      <c r="X4425"/>
      <c r="Y4425"/>
      <c r="Z4425"/>
      <c r="AA4425"/>
      <c r="AB4425"/>
      <c r="AC4425"/>
      <c r="AD4425"/>
      <c r="AE4425"/>
      <c r="AF4425"/>
      <c r="AG4425"/>
      <c r="AH4425"/>
      <c r="AI4425"/>
      <c r="AJ4425"/>
      <c r="AK4425"/>
      <c r="AL4425"/>
    </row>
    <row r="4426" spans="1:38" ht="15.75" customHeight="1" outlineLevel="3" x14ac:dyDescent="0.2">
      <c r="A4426" s="10">
        <v>101</v>
      </c>
      <c r="B4426" s="10" t="s">
        <v>71</v>
      </c>
      <c r="C4426" s="10" t="s">
        <v>870</v>
      </c>
      <c r="D4426" s="10" t="s">
        <v>507</v>
      </c>
      <c r="E4426" s="11" t="str">
        <f t="array" ref="E4426">_xlfn.XLOOKUP(D4426,Insumos!B:B,Insumos!C:$C)</f>
        <v>KG</v>
      </c>
      <c r="F4426" s="14">
        <v>0.5</v>
      </c>
      <c r="G4426" s="92">
        <f t="array" ref="G4426">IF(B4426="insumo",_xlfn.XLOOKUP($D4426,Insumos!$B$1:$B$996,Insumos!$D$1:$D$996),"")</f>
        <v>11.15</v>
      </c>
      <c r="H4426" s="92">
        <v>5.5750000000000002</v>
      </c>
      <c r="I4426" s="13">
        <v>0</v>
      </c>
      <c r="J4426" s="13">
        <v>0</v>
      </c>
      <c r="K4426" s="13"/>
      <c r="L4426"/>
      <c r="M4426"/>
      <c r="N4426"/>
      <c r="O4426"/>
      <c r="P4426"/>
      <c r="Q4426"/>
      <c r="R4426"/>
      <c r="S4426"/>
      <c r="T4426"/>
      <c r="U4426"/>
      <c r="V4426"/>
      <c r="W4426"/>
      <c r="X4426"/>
      <c r="Y4426"/>
      <c r="Z4426"/>
      <c r="AA4426"/>
      <c r="AB4426"/>
      <c r="AC4426"/>
      <c r="AD4426"/>
      <c r="AE4426"/>
      <c r="AF4426"/>
      <c r="AG4426"/>
      <c r="AH4426"/>
      <c r="AI4426"/>
      <c r="AJ4426"/>
      <c r="AK4426"/>
      <c r="AL4426"/>
    </row>
    <row r="4427" spans="1:38" ht="15.75" customHeight="1" outlineLevel="1" x14ac:dyDescent="0.2">
      <c r="A4427" s="1090">
        <v>1</v>
      </c>
      <c r="B4427" s="1090" t="s">
        <v>1228</v>
      </c>
      <c r="C4427" s="1090" t="s">
        <v>870</v>
      </c>
      <c r="D4427" s="1090" t="s">
        <v>1575</v>
      </c>
      <c r="E4427" s="1091"/>
      <c r="F4427" s="1092"/>
      <c r="G4427" s="1091"/>
      <c r="H4427" s="1091">
        <v>0</v>
      </c>
      <c r="I4427" s="1092">
        <v>0</v>
      </c>
      <c r="J4427" s="1092">
        <v>0</v>
      </c>
      <c r="K4427" s="1092"/>
      <c r="L4427"/>
      <c r="M4427"/>
      <c r="N4427"/>
      <c r="O4427"/>
      <c r="P4427"/>
      <c r="Q4427"/>
      <c r="R4427"/>
      <c r="S4427"/>
      <c r="T4427"/>
      <c r="U4427"/>
      <c r="V4427"/>
      <c r="W4427"/>
      <c r="X4427"/>
      <c r="Y4427"/>
      <c r="Z4427"/>
      <c r="AA4427"/>
      <c r="AB4427"/>
      <c r="AC4427"/>
      <c r="AD4427"/>
      <c r="AE4427"/>
      <c r="AF4427"/>
      <c r="AG4427"/>
      <c r="AH4427"/>
      <c r="AI4427"/>
      <c r="AJ4427"/>
      <c r="AK4427"/>
      <c r="AL4427"/>
    </row>
    <row r="4428" spans="1:38" ht="15.75" customHeight="1" outlineLevel="2" x14ac:dyDescent="0.2">
      <c r="A4428" s="1067">
        <v>1</v>
      </c>
      <c r="B4428" s="1067" t="s">
        <v>68</v>
      </c>
      <c r="C4428" s="1067" t="s">
        <v>860</v>
      </c>
      <c r="D4428" s="1067" t="s">
        <v>860</v>
      </c>
      <c r="E4428" s="1068" t="s">
        <v>70</v>
      </c>
      <c r="F4428" s="1067"/>
      <c r="G4428" s="1069" t="str">
        <f t="array" ref="G4428">IF(B4428="insumo",_xlfn.XLOOKUP($D4428,Insumos!$B$1:$B$996,Insumos!$D$1:$D$996),"")</f>
        <v/>
      </c>
      <c r="H4428" s="1069">
        <v>18.235215555555602</v>
      </c>
      <c r="I4428" s="1070">
        <v>0</v>
      </c>
      <c r="J4428" s="1070">
        <v>0</v>
      </c>
      <c r="K4428" s="1070"/>
      <c r="L4428"/>
      <c r="M4428"/>
      <c r="N4428"/>
      <c r="O4428"/>
      <c r="P4428"/>
      <c r="Q4428"/>
      <c r="R4428"/>
      <c r="S4428"/>
      <c r="T4428"/>
      <c r="U4428"/>
      <c r="V4428"/>
      <c r="W4428"/>
      <c r="X4428"/>
      <c r="Y4428"/>
      <c r="Z4428"/>
      <c r="AA4428"/>
      <c r="AB4428"/>
      <c r="AC4428"/>
      <c r="AD4428"/>
      <c r="AE4428"/>
      <c r="AF4428"/>
      <c r="AG4428"/>
      <c r="AH4428"/>
      <c r="AI4428"/>
      <c r="AJ4428"/>
      <c r="AK4428"/>
      <c r="AL4428"/>
    </row>
    <row r="4429" spans="1:38" ht="15.75" customHeight="1" outlineLevel="3" x14ac:dyDescent="0.2">
      <c r="A4429" s="10">
        <v>36</v>
      </c>
      <c r="B4429" s="10" t="s">
        <v>71</v>
      </c>
      <c r="C4429" s="10" t="s">
        <v>860</v>
      </c>
      <c r="D4429" s="10" t="s">
        <v>104</v>
      </c>
      <c r="E4429" s="11" t="str">
        <f t="array" ref="E4429">_xlfn.XLOOKUP(D4429,Insumos!B:B,Insumos!C:$C)</f>
        <v>UN</v>
      </c>
      <c r="F4429" s="14">
        <v>0.1</v>
      </c>
      <c r="G4429" s="92">
        <f t="array" ref="G4429">IF(B4429="insumo",_xlfn.XLOOKUP($D4429,Insumos!$B$1:$B$996,Insumos!$D$1:$D$996),"")</f>
        <v>1.89</v>
      </c>
      <c r="H4429" s="92">
        <v>0.189</v>
      </c>
      <c r="I4429" s="13">
        <v>0</v>
      </c>
      <c r="J4429" s="13">
        <v>0</v>
      </c>
      <c r="K4429" s="13"/>
      <c r="L4429"/>
      <c r="M4429"/>
      <c r="N4429"/>
      <c r="O4429"/>
      <c r="P4429"/>
      <c r="Q4429"/>
      <c r="R4429"/>
      <c r="S4429"/>
      <c r="T4429"/>
      <c r="U4429"/>
      <c r="V4429"/>
      <c r="W4429"/>
      <c r="X4429"/>
      <c r="Y4429"/>
      <c r="Z4429"/>
      <c r="AA4429"/>
      <c r="AB4429"/>
      <c r="AC4429"/>
      <c r="AD4429"/>
      <c r="AE4429"/>
      <c r="AF4429"/>
      <c r="AG4429"/>
      <c r="AH4429"/>
      <c r="AI4429"/>
      <c r="AJ4429"/>
      <c r="AK4429"/>
      <c r="AL4429"/>
    </row>
    <row r="4430" spans="1:38" ht="15.75" customHeight="1" outlineLevel="3" x14ac:dyDescent="0.2">
      <c r="A4430" s="10">
        <v>21</v>
      </c>
      <c r="B4430" s="10" t="s">
        <v>71</v>
      </c>
      <c r="C4430" s="10" t="s">
        <v>860</v>
      </c>
      <c r="D4430" s="10" t="s">
        <v>765</v>
      </c>
      <c r="E4430" s="11" t="str">
        <f t="array" ref="E4430">_xlfn.XLOOKUP(D4430,Insumos!B:B,Insumos!C:$C)</f>
        <v>KG</v>
      </c>
      <c r="F4430" s="14">
        <v>0.86670000000000003</v>
      </c>
      <c r="G4430" s="92">
        <f t="array" ref="G4430">IF(B4430="insumo",_xlfn.XLOOKUP($D4430,Insumos!$B$1:$B$996,Insumos!$D$1:$D$996),"")</f>
        <v>4.8</v>
      </c>
      <c r="H4430" s="92">
        <v>4.1601600000000003</v>
      </c>
      <c r="I4430" s="13">
        <v>0</v>
      </c>
      <c r="J4430" s="13">
        <v>0</v>
      </c>
      <c r="K4430" s="13"/>
      <c r="L4430"/>
      <c r="M4430"/>
      <c r="N4430"/>
      <c r="O4430"/>
      <c r="P4430"/>
      <c r="Q4430"/>
      <c r="R4430"/>
      <c r="S4430"/>
      <c r="T4430"/>
      <c r="U4430"/>
      <c r="V4430"/>
      <c r="W4430"/>
      <c r="X4430"/>
      <c r="Y4430"/>
      <c r="Z4430"/>
      <c r="AA4430"/>
      <c r="AB4430"/>
      <c r="AC4430"/>
      <c r="AD4430"/>
      <c r="AE4430"/>
      <c r="AF4430"/>
      <c r="AG4430"/>
      <c r="AH4430"/>
      <c r="AI4430"/>
      <c r="AJ4430"/>
      <c r="AK4430"/>
      <c r="AL4430"/>
    </row>
    <row r="4431" spans="1:38" ht="15.75" customHeight="1" outlineLevel="3" x14ac:dyDescent="0.2">
      <c r="A4431" s="10">
        <v>19</v>
      </c>
      <c r="B4431" s="10" t="s">
        <v>71</v>
      </c>
      <c r="C4431" s="10" t="s">
        <v>860</v>
      </c>
      <c r="D4431" s="10" t="s">
        <v>766</v>
      </c>
      <c r="E4431" s="11" t="str">
        <f t="array" ref="E4431">_xlfn.XLOOKUP(D4431,Insumos!B:B,Insumos!C:$C)</f>
        <v>L</v>
      </c>
      <c r="F4431" s="14">
        <v>0.1666</v>
      </c>
      <c r="G4431" s="92">
        <f t="array" ref="G4431">IF(B4431="insumo",_xlfn.XLOOKUP($D4431,Insumos!$B$1:$B$996,Insumos!$D$1:$D$996),"")</f>
        <v>10.555555555555555</v>
      </c>
      <c r="H4431" s="92">
        <v>1.7585555555555601</v>
      </c>
      <c r="I4431" s="13">
        <v>0</v>
      </c>
      <c r="J4431" s="13">
        <v>0</v>
      </c>
      <c r="K4431" s="13"/>
      <c r="L4431"/>
      <c r="M4431"/>
      <c r="N4431"/>
      <c r="O4431"/>
      <c r="P4431"/>
      <c r="Q4431"/>
      <c r="R4431"/>
      <c r="S4431"/>
      <c r="T4431"/>
      <c r="U4431"/>
      <c r="V4431"/>
      <c r="W4431"/>
      <c r="X4431"/>
      <c r="Y4431"/>
      <c r="Z4431"/>
      <c r="AA4431"/>
      <c r="AB4431"/>
      <c r="AC4431"/>
      <c r="AD4431"/>
      <c r="AE4431"/>
      <c r="AF4431"/>
      <c r="AG4431"/>
      <c r="AH4431"/>
      <c r="AI4431"/>
      <c r="AJ4431"/>
      <c r="AK4431"/>
      <c r="AL4431"/>
    </row>
    <row r="4432" spans="1:38" ht="15.75" customHeight="1" outlineLevel="3" x14ac:dyDescent="0.2">
      <c r="A4432" s="10">
        <v>16</v>
      </c>
      <c r="B4432" s="10" t="s">
        <v>71</v>
      </c>
      <c r="C4432" s="10" t="s">
        <v>860</v>
      </c>
      <c r="D4432" s="10" t="s">
        <v>763</v>
      </c>
      <c r="E4432" s="11" t="str">
        <f t="array" ref="E4432">_xlfn.XLOOKUP(D4432,Insumos!B:B,Insumos!C:$C)</f>
        <v>L</v>
      </c>
      <c r="F4432" s="14">
        <v>0.495</v>
      </c>
      <c r="G4432" s="92">
        <f t="array" ref="G4432">IF(B4432="insumo",_xlfn.XLOOKUP($D4432,Insumos!$B$1:$B$996,Insumos!$D$1:$D$996),"")</f>
        <v>24.5</v>
      </c>
      <c r="H4432" s="92">
        <v>12.1275</v>
      </c>
      <c r="I4432" s="13">
        <v>0</v>
      </c>
      <c r="J4432" s="13">
        <v>0</v>
      </c>
      <c r="K4432" s="13"/>
      <c r="L4432"/>
      <c r="M4432"/>
      <c r="N4432"/>
      <c r="O4432"/>
      <c r="P4432"/>
      <c r="Q4432"/>
      <c r="R4432"/>
      <c r="S4432"/>
      <c r="T4432"/>
      <c r="U4432"/>
      <c r="V4432"/>
      <c r="W4432"/>
      <c r="X4432"/>
      <c r="Y4432"/>
      <c r="Z4432"/>
      <c r="AA4432"/>
      <c r="AB4432"/>
      <c r="AC4432"/>
      <c r="AD4432"/>
      <c r="AE4432"/>
      <c r="AF4432"/>
      <c r="AG4432"/>
      <c r="AH4432"/>
      <c r="AI4432"/>
      <c r="AJ4432"/>
      <c r="AK4432"/>
      <c r="AL4432"/>
    </row>
    <row r="4433" spans="1:38" ht="15.75" customHeight="1" outlineLevel="2" x14ac:dyDescent="0.2">
      <c r="A4433" s="1067">
        <v>1</v>
      </c>
      <c r="B4433" s="1067" t="s">
        <v>68</v>
      </c>
      <c r="C4433" s="1067" t="s">
        <v>861</v>
      </c>
      <c r="D4433" s="1067" t="s">
        <v>861</v>
      </c>
      <c r="E4433" s="1068" t="s">
        <v>70</v>
      </c>
      <c r="F4433" s="1067"/>
      <c r="G4433" s="1069" t="str">
        <f t="array" ref="G4433">IF(B4433="insumo",_xlfn.XLOOKUP($D4433,Insumos!$B$1:$B$996,Insumos!$D$1:$D$996),"")</f>
        <v/>
      </c>
      <c r="H4433" s="1069">
        <v>18.235215555555602</v>
      </c>
      <c r="I4433" s="1070">
        <v>0</v>
      </c>
      <c r="J4433" s="1070">
        <v>0</v>
      </c>
      <c r="K4433" s="1070"/>
      <c r="L4433"/>
      <c r="M4433"/>
      <c r="N4433"/>
      <c r="O4433"/>
      <c r="P4433"/>
      <c r="Q4433"/>
      <c r="R4433"/>
      <c r="S4433"/>
      <c r="T4433"/>
      <c r="U4433"/>
      <c r="V4433"/>
      <c r="W4433"/>
      <c r="X4433"/>
      <c r="Y4433"/>
      <c r="Z4433"/>
      <c r="AA4433"/>
      <c r="AB4433"/>
      <c r="AC4433"/>
      <c r="AD4433"/>
      <c r="AE4433"/>
      <c r="AF4433"/>
      <c r="AG4433"/>
      <c r="AH4433"/>
      <c r="AI4433"/>
      <c r="AJ4433"/>
      <c r="AK4433"/>
      <c r="AL4433"/>
    </row>
    <row r="4434" spans="1:38" ht="15.75" customHeight="1" outlineLevel="3" x14ac:dyDescent="0.2">
      <c r="A4434" s="10">
        <v>36</v>
      </c>
      <c r="B4434" s="10" t="s">
        <v>71</v>
      </c>
      <c r="C4434" s="10" t="s">
        <v>861</v>
      </c>
      <c r="D4434" s="10" t="s">
        <v>104</v>
      </c>
      <c r="E4434" s="11" t="str">
        <f t="array" ref="E4434">_xlfn.XLOOKUP(D4434,Insumos!B:B,Insumos!C:$C)</f>
        <v>UN</v>
      </c>
      <c r="F4434" s="14">
        <v>0.1</v>
      </c>
      <c r="G4434" s="92">
        <f t="array" ref="G4434">IF(B4434="insumo",_xlfn.XLOOKUP($D4434,Insumos!$B$1:$B$996,Insumos!$D$1:$D$996),"")</f>
        <v>1.89</v>
      </c>
      <c r="H4434" s="92">
        <v>0.189</v>
      </c>
      <c r="I4434" s="13">
        <v>0</v>
      </c>
      <c r="J4434" s="13">
        <v>0</v>
      </c>
      <c r="K4434" s="13"/>
      <c r="L4434"/>
      <c r="M4434"/>
      <c r="N4434"/>
      <c r="O4434"/>
      <c r="P4434"/>
      <c r="Q4434"/>
      <c r="R4434"/>
      <c r="S4434"/>
      <c r="T4434"/>
      <c r="U4434"/>
      <c r="V4434"/>
      <c r="W4434"/>
      <c r="X4434"/>
      <c r="Y4434"/>
      <c r="Z4434"/>
      <c r="AA4434"/>
      <c r="AB4434"/>
      <c r="AC4434"/>
      <c r="AD4434"/>
      <c r="AE4434"/>
      <c r="AF4434"/>
      <c r="AG4434"/>
      <c r="AH4434"/>
      <c r="AI4434"/>
      <c r="AJ4434"/>
      <c r="AK4434"/>
      <c r="AL4434"/>
    </row>
    <row r="4435" spans="1:38" ht="15.75" customHeight="1" outlineLevel="3" x14ac:dyDescent="0.2">
      <c r="A4435" s="10">
        <v>21</v>
      </c>
      <c r="B4435" s="10" t="s">
        <v>71</v>
      </c>
      <c r="C4435" s="10" t="s">
        <v>861</v>
      </c>
      <c r="D4435" s="10" t="s">
        <v>765</v>
      </c>
      <c r="E4435" s="11" t="str">
        <f t="array" ref="E4435">_xlfn.XLOOKUP(D4435,Insumos!B:B,Insumos!C:$C)</f>
        <v>KG</v>
      </c>
      <c r="F4435" s="14">
        <v>0.86670000000000003</v>
      </c>
      <c r="G4435" s="92">
        <f t="array" ref="G4435">IF(B4435="insumo",_xlfn.XLOOKUP($D4435,Insumos!$B$1:$B$996,Insumos!$D$1:$D$996),"")</f>
        <v>4.8</v>
      </c>
      <c r="H4435" s="92">
        <v>4.1601600000000003</v>
      </c>
      <c r="I4435" s="13">
        <v>0</v>
      </c>
      <c r="J4435" s="13">
        <v>0</v>
      </c>
      <c r="K4435" s="13"/>
      <c r="L4435"/>
      <c r="M4435"/>
      <c r="N4435"/>
      <c r="O4435"/>
      <c r="P4435"/>
      <c r="Q4435"/>
      <c r="R4435"/>
      <c r="S4435"/>
      <c r="T4435"/>
      <c r="U4435"/>
      <c r="V4435"/>
      <c r="W4435"/>
      <c r="X4435"/>
      <c r="Y4435"/>
      <c r="Z4435"/>
      <c r="AA4435"/>
      <c r="AB4435"/>
      <c r="AC4435"/>
      <c r="AD4435"/>
      <c r="AE4435"/>
      <c r="AF4435"/>
      <c r="AG4435"/>
      <c r="AH4435"/>
      <c r="AI4435"/>
      <c r="AJ4435"/>
      <c r="AK4435"/>
      <c r="AL4435"/>
    </row>
    <row r="4436" spans="1:38" ht="15.75" customHeight="1" outlineLevel="3" x14ac:dyDescent="0.2">
      <c r="A4436" s="10">
        <v>19</v>
      </c>
      <c r="B4436" s="10" t="s">
        <v>71</v>
      </c>
      <c r="C4436" s="10" t="s">
        <v>861</v>
      </c>
      <c r="D4436" s="10" t="s">
        <v>766</v>
      </c>
      <c r="E4436" s="11" t="str">
        <f t="array" ref="E4436">_xlfn.XLOOKUP(D4436,Insumos!B:B,Insumos!C:$C)</f>
        <v>L</v>
      </c>
      <c r="F4436" s="14">
        <v>0.1666</v>
      </c>
      <c r="G4436" s="92">
        <f t="array" ref="G4436">IF(B4436="insumo",_xlfn.XLOOKUP($D4436,Insumos!$B$1:$B$996,Insumos!$D$1:$D$996),"")</f>
        <v>10.555555555555555</v>
      </c>
      <c r="H4436" s="92">
        <v>1.7585555555555601</v>
      </c>
      <c r="I4436" s="13">
        <v>0</v>
      </c>
      <c r="J4436" s="13">
        <v>0</v>
      </c>
      <c r="K4436" s="13"/>
      <c r="L4436"/>
      <c r="M4436"/>
      <c r="N4436"/>
      <c r="O4436"/>
      <c r="P4436"/>
      <c r="Q4436"/>
      <c r="R4436"/>
      <c r="S4436"/>
      <c r="T4436"/>
      <c r="U4436"/>
      <c r="V4436"/>
      <c r="W4436"/>
      <c r="X4436"/>
      <c r="Y4436"/>
      <c r="Z4436"/>
      <c r="AA4436"/>
      <c r="AB4436"/>
      <c r="AC4436"/>
      <c r="AD4436"/>
      <c r="AE4436"/>
      <c r="AF4436"/>
      <c r="AG4436"/>
      <c r="AH4436"/>
      <c r="AI4436"/>
      <c r="AJ4436"/>
      <c r="AK4436"/>
      <c r="AL4436"/>
    </row>
    <row r="4437" spans="1:38" ht="15.75" customHeight="1" outlineLevel="3" x14ac:dyDescent="0.2">
      <c r="A4437" s="10">
        <v>16</v>
      </c>
      <c r="B4437" s="10" t="s">
        <v>71</v>
      </c>
      <c r="C4437" s="10" t="s">
        <v>861</v>
      </c>
      <c r="D4437" s="10" t="s">
        <v>763</v>
      </c>
      <c r="E4437" s="11" t="str">
        <f t="array" ref="E4437">_xlfn.XLOOKUP(D4437,Insumos!B:B,Insumos!C:$C)</f>
        <v>L</v>
      </c>
      <c r="F4437" s="14">
        <v>0.495</v>
      </c>
      <c r="G4437" s="92">
        <f t="array" ref="G4437">IF(B4437="insumo",_xlfn.XLOOKUP($D4437,Insumos!$B$1:$B$996,Insumos!$D$1:$D$996),"")</f>
        <v>24.5</v>
      </c>
      <c r="H4437" s="92">
        <v>12.1275</v>
      </c>
      <c r="I4437" s="13">
        <v>0</v>
      </c>
      <c r="J4437" s="13">
        <v>0</v>
      </c>
      <c r="K4437" s="13"/>
      <c r="L4437"/>
      <c r="M4437"/>
      <c r="N4437"/>
      <c r="O4437"/>
      <c r="P4437"/>
      <c r="Q4437"/>
      <c r="R4437"/>
      <c r="S4437"/>
      <c r="T4437"/>
      <c r="U4437"/>
      <c r="V4437"/>
      <c r="W4437"/>
      <c r="X4437"/>
      <c r="Y4437"/>
      <c r="Z4437"/>
      <c r="AA4437"/>
      <c r="AB4437"/>
      <c r="AC4437"/>
      <c r="AD4437"/>
      <c r="AE4437"/>
      <c r="AF4437"/>
      <c r="AG4437"/>
      <c r="AH4437"/>
      <c r="AI4437"/>
      <c r="AJ4437"/>
      <c r="AK4437"/>
      <c r="AL4437"/>
    </row>
    <row r="4438" spans="1:38" ht="15.75" customHeight="1" outlineLevel="2" x14ac:dyDescent="0.2">
      <c r="A4438" s="1067">
        <v>1</v>
      </c>
      <c r="B4438" s="1067" t="s">
        <v>68</v>
      </c>
      <c r="C4438" s="1067" t="s">
        <v>862</v>
      </c>
      <c r="D4438" s="1067" t="s">
        <v>862</v>
      </c>
      <c r="E4438" s="1068" t="s">
        <v>70</v>
      </c>
      <c r="F4438" s="1067"/>
      <c r="G4438" s="1069" t="str">
        <f t="array" ref="G4438">IF(B4438="insumo",_xlfn.XLOOKUP($D4438,Insumos!$B$1:$B$996,Insumos!$D$1:$D$996),"")</f>
        <v/>
      </c>
      <c r="H4438" s="1069">
        <v>12.1275</v>
      </c>
      <c r="I4438" s="1070">
        <v>0</v>
      </c>
      <c r="J4438" s="1070">
        <v>0</v>
      </c>
      <c r="K4438" s="1070"/>
      <c r="L4438"/>
      <c r="M4438"/>
      <c r="N4438"/>
      <c r="O4438"/>
      <c r="P4438"/>
      <c r="Q4438"/>
      <c r="R4438"/>
      <c r="S4438"/>
      <c r="T4438"/>
      <c r="U4438"/>
      <c r="V4438"/>
      <c r="W4438"/>
      <c r="X4438"/>
      <c r="Y4438"/>
      <c r="Z4438"/>
      <c r="AA4438"/>
      <c r="AB4438"/>
      <c r="AC4438"/>
      <c r="AD4438"/>
      <c r="AE4438"/>
      <c r="AF4438"/>
      <c r="AG4438"/>
      <c r="AH4438"/>
      <c r="AI4438"/>
      <c r="AJ4438"/>
      <c r="AK4438"/>
      <c r="AL4438"/>
    </row>
    <row r="4439" spans="1:38" ht="15.75" customHeight="1" outlineLevel="3" x14ac:dyDescent="0.2">
      <c r="A4439" s="10">
        <v>16</v>
      </c>
      <c r="B4439" s="10" t="s">
        <v>71</v>
      </c>
      <c r="C4439" s="10" t="s">
        <v>862</v>
      </c>
      <c r="D4439" s="10" t="s">
        <v>763</v>
      </c>
      <c r="E4439" s="11" t="str">
        <f t="array" ref="E4439">_xlfn.XLOOKUP(D4439,Insumos!B:B,Insumos!C:$C)</f>
        <v>L</v>
      </c>
      <c r="F4439" s="14">
        <v>0.495</v>
      </c>
      <c r="G4439" s="92">
        <f t="array" ref="G4439">IF(B4439="insumo",_xlfn.XLOOKUP($D4439,Insumos!$B$1:$B$996,Insumos!$D$1:$D$996),"")</f>
        <v>24.5</v>
      </c>
      <c r="H4439" s="92">
        <v>12.1275</v>
      </c>
      <c r="I4439" s="13">
        <v>0</v>
      </c>
      <c r="J4439" s="13">
        <v>0</v>
      </c>
      <c r="K4439" s="13"/>
      <c r="L4439"/>
      <c r="M4439"/>
      <c r="N4439"/>
      <c r="O4439"/>
      <c r="P4439"/>
      <c r="Q4439"/>
      <c r="R4439"/>
      <c r="S4439"/>
      <c r="T4439"/>
      <c r="U4439"/>
      <c r="V4439"/>
      <c r="W4439"/>
      <c r="X4439"/>
      <c r="Y4439"/>
      <c r="Z4439"/>
      <c r="AA4439"/>
      <c r="AB4439"/>
      <c r="AC4439"/>
      <c r="AD4439"/>
      <c r="AE4439"/>
      <c r="AF4439"/>
      <c r="AG4439"/>
      <c r="AH4439"/>
      <c r="AI4439"/>
      <c r="AJ4439"/>
      <c r="AK4439"/>
      <c r="AL4439"/>
    </row>
    <row r="4440" spans="1:38" ht="15.75" customHeight="1" outlineLevel="2" x14ac:dyDescent="0.2">
      <c r="A4440" s="1067">
        <v>1</v>
      </c>
      <c r="B4440" s="1067" t="s">
        <v>68</v>
      </c>
      <c r="C4440" s="1067" t="s">
        <v>863</v>
      </c>
      <c r="D4440" s="1067" t="s">
        <v>863</v>
      </c>
      <c r="E4440" s="1068" t="s">
        <v>70</v>
      </c>
      <c r="F4440" s="1067"/>
      <c r="G4440" s="1069" t="str">
        <f t="array" ref="G4440">IF(B4440="insumo",_xlfn.XLOOKUP($D4440,Insumos!$B$1:$B$996,Insumos!$D$1:$D$996),"")</f>
        <v/>
      </c>
      <c r="H4440" s="1069">
        <v>13.205401999999999</v>
      </c>
      <c r="I4440" s="1070">
        <v>0</v>
      </c>
      <c r="J4440" s="1070">
        <v>0</v>
      </c>
      <c r="K4440" s="1070"/>
      <c r="L4440"/>
      <c r="M4440"/>
      <c r="N4440"/>
      <c r="O4440"/>
      <c r="P4440"/>
      <c r="Q4440"/>
      <c r="R4440"/>
      <c r="S4440"/>
      <c r="T4440"/>
      <c r="U4440"/>
      <c r="V4440"/>
      <c r="W4440"/>
      <c r="X4440"/>
      <c r="Y4440"/>
      <c r="Z4440"/>
      <c r="AA4440"/>
      <c r="AB4440"/>
      <c r="AC4440"/>
      <c r="AD4440"/>
      <c r="AE4440"/>
      <c r="AF4440"/>
      <c r="AG4440"/>
      <c r="AH4440"/>
      <c r="AI4440"/>
      <c r="AJ4440"/>
      <c r="AK4440"/>
      <c r="AL4440"/>
    </row>
    <row r="4441" spans="1:38" ht="15.75" customHeight="1" outlineLevel="3" x14ac:dyDescent="0.2">
      <c r="A4441" s="10">
        <v>16</v>
      </c>
      <c r="B4441" s="10" t="s">
        <v>71</v>
      </c>
      <c r="C4441" s="10" t="s">
        <v>863</v>
      </c>
      <c r="D4441" s="10" t="s">
        <v>763</v>
      </c>
      <c r="E4441" s="11" t="str">
        <f t="array" ref="E4441">_xlfn.XLOOKUP(D4441,Insumos!B:B,Insumos!C:$C)</f>
        <v>L</v>
      </c>
      <c r="F4441" s="14">
        <v>0.495</v>
      </c>
      <c r="G4441" s="92">
        <f t="array" ref="G4441">IF(B4441="insumo",_xlfn.XLOOKUP($D4441,Insumos!$B$1:$B$996,Insumos!$D$1:$D$996),"")</f>
        <v>24.5</v>
      </c>
      <c r="H4441" s="92">
        <v>12.1275</v>
      </c>
      <c r="I4441" s="13">
        <v>0</v>
      </c>
      <c r="J4441" s="13">
        <v>0</v>
      </c>
      <c r="K4441" s="13"/>
      <c r="L4441"/>
      <c r="M4441"/>
      <c r="N4441"/>
      <c r="O4441"/>
      <c r="P4441"/>
      <c r="Q4441"/>
      <c r="R4441"/>
      <c r="S4441"/>
      <c r="T4441"/>
      <c r="U4441"/>
      <c r="V4441"/>
      <c r="W4441"/>
      <c r="X4441"/>
      <c r="Y4441"/>
      <c r="Z4441"/>
      <c r="AA4441"/>
      <c r="AB4441"/>
      <c r="AC4441"/>
      <c r="AD4441"/>
      <c r="AE4441"/>
      <c r="AF4441"/>
      <c r="AG4441"/>
      <c r="AH4441"/>
      <c r="AI4441"/>
      <c r="AJ4441"/>
      <c r="AK4441"/>
      <c r="AL4441"/>
    </row>
    <row r="4442" spans="1:38" ht="15.75" customHeight="1" outlineLevel="3" x14ac:dyDescent="0.2">
      <c r="A4442" s="10">
        <v>31</v>
      </c>
      <c r="B4442" s="10" t="s">
        <v>71</v>
      </c>
      <c r="C4442" s="10" t="s">
        <v>863</v>
      </c>
      <c r="D4442" s="10" t="s">
        <v>768</v>
      </c>
      <c r="E4442" s="11" t="str">
        <f t="array" ref="E4442">_xlfn.XLOOKUP(D4442,Insumos!B:B,Insumos!C:$C)</f>
        <v>L</v>
      </c>
      <c r="F4442" s="14">
        <v>0.1666</v>
      </c>
      <c r="G4442" s="92">
        <f t="array" ref="G4442">IF(B4442="insumo",_xlfn.XLOOKUP($D4442,Insumos!$B$1:$B$996,Insumos!$D$1:$D$996),"")</f>
        <v>6.47</v>
      </c>
      <c r="H4442" s="92">
        <v>1.0779019999999999</v>
      </c>
      <c r="I4442" s="13">
        <v>0</v>
      </c>
      <c r="J4442" s="13">
        <v>0</v>
      </c>
      <c r="K4442" s="13"/>
      <c r="L4442"/>
      <c r="M4442"/>
      <c r="N4442"/>
      <c r="O4442"/>
      <c r="P4442"/>
      <c r="Q4442"/>
      <c r="R4442"/>
      <c r="S4442"/>
      <c r="T4442"/>
      <c r="U4442"/>
      <c r="V4442"/>
      <c r="W4442"/>
      <c r="X4442"/>
      <c r="Y4442"/>
      <c r="Z4442"/>
      <c r="AA4442"/>
      <c r="AB4442"/>
      <c r="AC4442"/>
      <c r="AD4442"/>
      <c r="AE4442"/>
      <c r="AF4442"/>
      <c r="AG4442"/>
      <c r="AH4442"/>
      <c r="AI4442"/>
      <c r="AJ4442"/>
      <c r="AK4442"/>
      <c r="AL4442"/>
    </row>
    <row r="4443" spans="1:38" ht="15.75" customHeight="1" outlineLevel="2" x14ac:dyDescent="0.2">
      <c r="A4443" s="1067">
        <v>1</v>
      </c>
      <c r="B4443" s="1067" t="s">
        <v>68</v>
      </c>
      <c r="C4443" s="1067" t="s">
        <v>864</v>
      </c>
      <c r="D4443" s="1067" t="s">
        <v>864</v>
      </c>
      <c r="E4443" s="1068" t="s">
        <v>70</v>
      </c>
      <c r="F4443" s="1067"/>
      <c r="G4443" s="1069" t="str">
        <f t="array" ref="G4443">IF(B4443="insumo",_xlfn.XLOOKUP($D4443,Insumos!$B$1:$B$996,Insumos!$D$1:$D$996),"")</f>
        <v/>
      </c>
      <c r="H4443" s="1069">
        <v>35.641902000000002</v>
      </c>
      <c r="I4443" s="1070">
        <v>0</v>
      </c>
      <c r="J4443" s="1070">
        <v>0</v>
      </c>
      <c r="K4443" s="1070"/>
      <c r="L4443"/>
      <c r="M4443"/>
      <c r="N4443"/>
      <c r="O4443"/>
      <c r="P4443"/>
      <c r="Q4443"/>
      <c r="R4443"/>
      <c r="S4443"/>
      <c r="T4443"/>
      <c r="U4443"/>
      <c r="V4443"/>
      <c r="W4443"/>
      <c r="X4443"/>
      <c r="Y4443"/>
      <c r="Z4443"/>
      <c r="AA4443"/>
      <c r="AB4443"/>
      <c r="AC4443"/>
      <c r="AD4443"/>
      <c r="AE4443"/>
      <c r="AF4443"/>
      <c r="AG4443"/>
      <c r="AH4443"/>
      <c r="AI4443"/>
      <c r="AJ4443"/>
      <c r="AK4443"/>
      <c r="AL4443"/>
    </row>
    <row r="4444" spans="1:38" ht="15.75" customHeight="1" outlineLevel="3" x14ac:dyDescent="0.2">
      <c r="A4444" s="10">
        <v>36</v>
      </c>
      <c r="B4444" s="10" t="s">
        <v>71</v>
      </c>
      <c r="C4444" s="10" t="s">
        <v>864</v>
      </c>
      <c r="D4444" s="10" t="s">
        <v>104</v>
      </c>
      <c r="E4444" s="11" t="str">
        <f t="array" ref="E4444">_xlfn.XLOOKUP(D4444,Insumos!B:B,Insumos!C:$C)</f>
        <v>UN</v>
      </c>
      <c r="F4444" s="14">
        <v>0.1</v>
      </c>
      <c r="G4444" s="92">
        <f t="array" ref="G4444">IF(B4444="insumo",_xlfn.XLOOKUP($D4444,Insumos!$B$1:$B$996,Insumos!$D$1:$D$996),"")</f>
        <v>1.89</v>
      </c>
      <c r="H4444" s="92">
        <v>0.189</v>
      </c>
      <c r="I4444" s="13">
        <v>0</v>
      </c>
      <c r="J4444" s="13">
        <v>0</v>
      </c>
      <c r="K4444" s="13"/>
      <c r="L4444"/>
      <c r="M4444"/>
      <c r="N4444"/>
      <c r="O4444"/>
      <c r="P4444"/>
      <c r="Q4444"/>
      <c r="R4444"/>
      <c r="S4444"/>
      <c r="T4444"/>
      <c r="U4444"/>
      <c r="V4444"/>
      <c r="W4444"/>
      <c r="X4444"/>
      <c r="Y4444"/>
      <c r="Z4444"/>
      <c r="AA4444"/>
      <c r="AB4444"/>
      <c r="AC4444"/>
      <c r="AD4444"/>
      <c r="AE4444"/>
      <c r="AF4444"/>
      <c r="AG4444"/>
      <c r="AH4444"/>
      <c r="AI4444"/>
      <c r="AJ4444"/>
      <c r="AK4444"/>
      <c r="AL4444"/>
    </row>
    <row r="4445" spans="1:38" ht="15.75" customHeight="1" outlineLevel="3" x14ac:dyDescent="0.2">
      <c r="A4445" s="10">
        <v>31</v>
      </c>
      <c r="B4445" s="10" t="s">
        <v>71</v>
      </c>
      <c r="C4445" s="10" t="s">
        <v>864</v>
      </c>
      <c r="D4445" s="10" t="s">
        <v>768</v>
      </c>
      <c r="E4445" s="11" t="str">
        <f t="array" ref="E4445">_xlfn.XLOOKUP(D4445,Insumos!B:B,Insumos!C:$C)</f>
        <v>L</v>
      </c>
      <c r="F4445" s="14">
        <v>0.1666</v>
      </c>
      <c r="G4445" s="92">
        <f t="array" ref="G4445">IF(B4445="insumo",_xlfn.XLOOKUP($D4445,Insumos!$B$1:$B$996,Insumos!$D$1:$D$996),"")</f>
        <v>6.47</v>
      </c>
      <c r="H4445" s="92">
        <v>1.0779019999999999</v>
      </c>
      <c r="I4445" s="13">
        <v>0</v>
      </c>
      <c r="J4445" s="13">
        <v>0</v>
      </c>
      <c r="K4445" s="13"/>
      <c r="L4445"/>
      <c r="M4445"/>
      <c r="N4445"/>
      <c r="O4445"/>
      <c r="P4445"/>
      <c r="Q4445"/>
      <c r="R4445"/>
      <c r="S4445"/>
      <c r="T4445"/>
      <c r="U4445"/>
      <c r="V4445"/>
      <c r="W4445"/>
      <c r="X4445"/>
      <c r="Y4445"/>
      <c r="Z4445"/>
      <c r="AA4445"/>
      <c r="AB4445"/>
      <c r="AC4445"/>
      <c r="AD4445"/>
      <c r="AE4445"/>
      <c r="AF4445"/>
      <c r="AG4445"/>
      <c r="AH4445"/>
      <c r="AI4445"/>
      <c r="AJ4445"/>
      <c r="AK4445"/>
      <c r="AL4445"/>
    </row>
    <row r="4446" spans="1:38" ht="15.75" customHeight="1" outlineLevel="3" x14ac:dyDescent="0.2">
      <c r="A4446" s="10">
        <v>4</v>
      </c>
      <c r="B4446" s="10" t="s">
        <v>71</v>
      </c>
      <c r="C4446" s="10" t="s">
        <v>864</v>
      </c>
      <c r="D4446" s="10" t="s">
        <v>865</v>
      </c>
      <c r="E4446" s="11" t="str">
        <f t="array" ref="E4446">_xlfn.XLOOKUP(D4446,Insumos!B:B,Insumos!C:$C)</f>
        <v>L</v>
      </c>
      <c r="F4446" s="14">
        <v>0.495</v>
      </c>
      <c r="G4446" s="92">
        <f t="array" ref="G4446">IF(B4446="insumo",_xlfn.XLOOKUP($D4446,Insumos!$B$1:$B$996,Insumos!$D$1:$D$996),"")</f>
        <v>69.444444444444443</v>
      </c>
      <c r="H4446" s="92">
        <v>34.375</v>
      </c>
      <c r="I4446" s="13">
        <v>0</v>
      </c>
      <c r="J4446" s="13">
        <v>0</v>
      </c>
      <c r="K4446" s="13"/>
      <c r="L4446"/>
      <c r="M4446"/>
      <c r="N4446"/>
      <c r="O4446"/>
      <c r="P4446"/>
      <c r="Q4446"/>
      <c r="R4446"/>
      <c r="S4446"/>
      <c r="T4446"/>
      <c r="U4446"/>
      <c r="V4446"/>
      <c r="W4446"/>
      <c r="X4446"/>
      <c r="Y4446"/>
      <c r="Z4446"/>
      <c r="AA4446"/>
      <c r="AB4446"/>
      <c r="AC4446"/>
      <c r="AD4446"/>
      <c r="AE4446"/>
      <c r="AF4446"/>
      <c r="AG4446"/>
      <c r="AH4446"/>
      <c r="AI4446"/>
      <c r="AJ4446"/>
      <c r="AK4446"/>
      <c r="AL4446"/>
    </row>
    <row r="4447" spans="1:38" ht="15.75" customHeight="1" outlineLevel="2" x14ac:dyDescent="0.2">
      <c r="A4447" s="1067">
        <v>1</v>
      </c>
      <c r="B4447" s="1067" t="s">
        <v>68</v>
      </c>
      <c r="C4447" s="1067" t="s">
        <v>866</v>
      </c>
      <c r="D4447" s="1067" t="s">
        <v>866</v>
      </c>
      <c r="E4447" s="1068" t="s">
        <v>70</v>
      </c>
      <c r="F4447" s="1067"/>
      <c r="G4447" s="1069" t="str">
        <f t="array" ref="G4447">IF(B4447="insumo",_xlfn.XLOOKUP($D4447,Insumos!$B$1:$B$996,Insumos!$D$1:$D$996),"")</f>
        <v/>
      </c>
      <c r="H4447" s="1069">
        <v>17.554562000000001</v>
      </c>
      <c r="I4447" s="1070">
        <v>0</v>
      </c>
      <c r="J4447" s="1070">
        <v>0</v>
      </c>
      <c r="K4447" s="1070"/>
      <c r="L4447"/>
      <c r="M4447"/>
      <c r="N4447"/>
      <c r="O4447"/>
      <c r="P4447"/>
      <c r="Q4447"/>
      <c r="R4447"/>
      <c r="S4447"/>
      <c r="T4447"/>
      <c r="U4447"/>
      <c r="V4447"/>
      <c r="W4447"/>
      <c r="X4447"/>
      <c r="Y4447"/>
      <c r="Z4447"/>
      <c r="AA4447"/>
      <c r="AB4447"/>
      <c r="AC4447"/>
      <c r="AD4447"/>
      <c r="AE4447"/>
      <c r="AF4447"/>
      <c r="AG4447"/>
      <c r="AH4447"/>
      <c r="AI4447"/>
      <c r="AJ4447"/>
      <c r="AK4447"/>
      <c r="AL4447"/>
    </row>
    <row r="4448" spans="1:38" ht="15.75" customHeight="1" outlineLevel="3" x14ac:dyDescent="0.2">
      <c r="A4448" s="10">
        <v>36</v>
      </c>
      <c r="B4448" s="10" t="s">
        <v>71</v>
      </c>
      <c r="C4448" s="10" t="s">
        <v>866</v>
      </c>
      <c r="D4448" s="10" t="s">
        <v>104</v>
      </c>
      <c r="E4448" s="11" t="str">
        <f t="array" ref="E4448">_xlfn.XLOOKUP(D4448,Insumos!B:B,Insumos!C:$C)</f>
        <v>UN</v>
      </c>
      <c r="F4448" s="14">
        <v>0.1</v>
      </c>
      <c r="G4448" s="92">
        <f t="array" ref="G4448">IF(B4448="insumo",_xlfn.XLOOKUP($D4448,Insumos!$B$1:$B$996,Insumos!$D$1:$D$996),"")</f>
        <v>1.89</v>
      </c>
      <c r="H4448" s="92">
        <v>0.189</v>
      </c>
      <c r="I4448" s="13">
        <v>0</v>
      </c>
      <c r="J4448" s="13">
        <v>0</v>
      </c>
      <c r="K4448" s="13"/>
      <c r="L4448"/>
      <c r="M4448"/>
      <c r="N4448"/>
      <c r="O4448"/>
      <c r="P4448"/>
      <c r="Q4448"/>
      <c r="R4448"/>
      <c r="S4448"/>
      <c r="T4448"/>
      <c r="U4448"/>
      <c r="V4448"/>
      <c r="W4448"/>
      <c r="X4448"/>
      <c r="Y4448"/>
      <c r="Z4448"/>
      <c r="AA4448"/>
      <c r="AB4448"/>
      <c r="AC4448"/>
      <c r="AD4448"/>
      <c r="AE4448"/>
      <c r="AF4448"/>
      <c r="AG4448"/>
      <c r="AH4448"/>
      <c r="AI4448"/>
      <c r="AJ4448"/>
      <c r="AK4448"/>
      <c r="AL4448"/>
    </row>
    <row r="4449" spans="1:38" ht="15.75" customHeight="1" outlineLevel="3" x14ac:dyDescent="0.2">
      <c r="A4449" s="10">
        <v>21</v>
      </c>
      <c r="B4449" s="10" t="s">
        <v>71</v>
      </c>
      <c r="C4449" s="10" t="s">
        <v>866</v>
      </c>
      <c r="D4449" s="10" t="s">
        <v>765</v>
      </c>
      <c r="E4449" s="11" t="str">
        <f t="array" ref="E4449">_xlfn.XLOOKUP(D4449,Insumos!B:B,Insumos!C:$C)</f>
        <v>KG</v>
      </c>
      <c r="F4449" s="14">
        <v>0.86670000000000003</v>
      </c>
      <c r="G4449" s="92">
        <f t="array" ref="G4449">IF(B4449="insumo",_xlfn.XLOOKUP($D4449,Insumos!$B$1:$B$996,Insumos!$D$1:$D$996),"")</f>
        <v>4.8</v>
      </c>
      <c r="H4449" s="92">
        <v>4.1601600000000003</v>
      </c>
      <c r="I4449" s="13">
        <v>0</v>
      </c>
      <c r="J4449" s="13">
        <v>0</v>
      </c>
      <c r="K4449" s="13"/>
      <c r="L4449"/>
      <c r="M4449"/>
      <c r="N4449"/>
      <c r="O4449"/>
      <c r="P4449"/>
      <c r="Q4449"/>
      <c r="R4449"/>
      <c r="S4449"/>
      <c r="T4449"/>
      <c r="U4449"/>
      <c r="V4449"/>
      <c r="W4449"/>
      <c r="X4449"/>
      <c r="Y4449"/>
      <c r="Z4449"/>
      <c r="AA4449"/>
      <c r="AB4449"/>
      <c r="AC4449"/>
      <c r="AD4449"/>
      <c r="AE4449"/>
      <c r="AF4449"/>
      <c r="AG4449"/>
      <c r="AH4449"/>
      <c r="AI4449"/>
      <c r="AJ4449"/>
      <c r="AK4449"/>
      <c r="AL4449"/>
    </row>
    <row r="4450" spans="1:38" ht="15.75" customHeight="1" outlineLevel="3" x14ac:dyDescent="0.2">
      <c r="A4450" s="10">
        <v>31</v>
      </c>
      <c r="B4450" s="10" t="s">
        <v>71</v>
      </c>
      <c r="C4450" s="10" t="s">
        <v>866</v>
      </c>
      <c r="D4450" s="10" t="s">
        <v>768</v>
      </c>
      <c r="E4450" s="11" t="str">
        <f t="array" ref="E4450">_xlfn.XLOOKUP(D4450,Insumos!B:B,Insumos!C:$C)</f>
        <v>L</v>
      </c>
      <c r="F4450" s="14">
        <v>0.1666</v>
      </c>
      <c r="G4450" s="92">
        <f t="array" ref="G4450">IF(B4450="insumo",_xlfn.XLOOKUP($D4450,Insumos!$B$1:$B$996,Insumos!$D$1:$D$996),"")</f>
        <v>6.47</v>
      </c>
      <c r="H4450" s="92">
        <v>1.0779019999999999</v>
      </c>
      <c r="I4450" s="13">
        <v>0</v>
      </c>
      <c r="J4450" s="13">
        <v>0</v>
      </c>
      <c r="K4450" s="13"/>
      <c r="L4450"/>
      <c r="M4450"/>
      <c r="N4450"/>
      <c r="O4450"/>
      <c r="P4450"/>
      <c r="Q4450"/>
      <c r="R4450"/>
      <c r="S4450"/>
      <c r="T4450"/>
      <c r="U4450"/>
      <c r="V4450"/>
      <c r="W4450"/>
      <c r="X4450"/>
      <c r="Y4450"/>
      <c r="Z4450"/>
      <c r="AA4450"/>
      <c r="AB4450"/>
      <c r="AC4450"/>
      <c r="AD4450"/>
      <c r="AE4450"/>
      <c r="AF4450"/>
      <c r="AG4450"/>
      <c r="AH4450"/>
      <c r="AI4450"/>
      <c r="AJ4450"/>
      <c r="AK4450"/>
      <c r="AL4450"/>
    </row>
    <row r="4451" spans="1:38" ht="15.75" customHeight="1" outlineLevel="3" x14ac:dyDescent="0.2">
      <c r="A4451" s="10">
        <v>16</v>
      </c>
      <c r="B4451" s="10" t="s">
        <v>71</v>
      </c>
      <c r="C4451" s="10" t="s">
        <v>866</v>
      </c>
      <c r="D4451" s="10" t="s">
        <v>763</v>
      </c>
      <c r="E4451" s="11" t="str">
        <f t="array" ref="E4451">_xlfn.XLOOKUP(D4451,Insumos!B:B,Insumos!C:$C)</f>
        <v>L</v>
      </c>
      <c r="F4451" s="14">
        <v>0.495</v>
      </c>
      <c r="G4451" s="92">
        <f t="array" ref="G4451">IF(B4451="insumo",_xlfn.XLOOKUP($D4451,Insumos!$B$1:$B$996,Insumos!$D$1:$D$996),"")</f>
        <v>24.5</v>
      </c>
      <c r="H4451" s="92">
        <v>12.1275</v>
      </c>
      <c r="I4451" s="13">
        <v>0</v>
      </c>
      <c r="J4451" s="13">
        <v>0</v>
      </c>
      <c r="K4451" s="13"/>
      <c r="L4451"/>
      <c r="M4451"/>
      <c r="N4451"/>
      <c r="O4451"/>
      <c r="P4451"/>
      <c r="Q4451"/>
      <c r="R4451"/>
      <c r="S4451"/>
      <c r="T4451"/>
      <c r="U4451"/>
      <c r="V4451"/>
      <c r="W4451"/>
      <c r="X4451"/>
      <c r="Y4451"/>
      <c r="Z4451"/>
      <c r="AA4451"/>
      <c r="AB4451"/>
      <c r="AC4451"/>
      <c r="AD4451"/>
      <c r="AE4451"/>
      <c r="AF4451"/>
      <c r="AG4451"/>
      <c r="AH4451"/>
      <c r="AI4451"/>
      <c r="AJ4451"/>
      <c r="AK4451"/>
      <c r="AL4451"/>
    </row>
    <row r="4452" spans="1:38" ht="15.75" customHeight="1" outlineLevel="2" x14ac:dyDescent="0.2">
      <c r="A4452" s="1067">
        <v>1</v>
      </c>
      <c r="B4452" s="1067" t="s">
        <v>68</v>
      </c>
      <c r="C4452" s="1067" t="s">
        <v>5336</v>
      </c>
      <c r="D4452" s="1067" t="s">
        <v>5336</v>
      </c>
      <c r="E4452" s="1068" t="s">
        <v>70</v>
      </c>
      <c r="F4452" s="1067"/>
      <c r="G4452" s="1069" t="str">
        <f t="array" ref="G4452">IF(B4452="insumo",_xlfn.XLOOKUP($D4452,Insumos!$B$1:$B$996,Insumos!$D$1:$D$996),"")</f>
        <v/>
      </c>
      <c r="H4452" s="1069">
        <v>68.508555555555603</v>
      </c>
      <c r="I4452" s="1070" t="e">
        <v>#REF!</v>
      </c>
      <c r="J4452" s="1070" t="e">
        <v>#REF!</v>
      </c>
      <c r="K4452" s="1070"/>
      <c r="L4452"/>
      <c r="M4452"/>
      <c r="N4452"/>
      <c r="O4452"/>
      <c r="P4452"/>
      <c r="Q4452"/>
      <c r="R4452"/>
      <c r="S4452"/>
      <c r="T4452"/>
      <c r="U4452"/>
      <c r="V4452"/>
      <c r="W4452"/>
      <c r="X4452"/>
      <c r="Y4452"/>
      <c r="Z4452"/>
      <c r="AA4452"/>
      <c r="AB4452"/>
      <c r="AC4452"/>
      <c r="AD4452"/>
      <c r="AE4452"/>
      <c r="AF4452"/>
      <c r="AG4452"/>
      <c r="AH4452"/>
      <c r="AI4452"/>
      <c r="AJ4452"/>
      <c r="AK4452"/>
      <c r="AL4452"/>
    </row>
    <row r="4453" spans="1:38" ht="15.75" customHeight="1" outlineLevel="3" x14ac:dyDescent="0.2">
      <c r="A4453" s="10">
        <v>3</v>
      </c>
      <c r="B4453" s="10" t="s">
        <v>71</v>
      </c>
      <c r="C4453" s="10" t="s">
        <v>5336</v>
      </c>
      <c r="D4453" s="10" t="s">
        <v>3098</v>
      </c>
      <c r="E4453" s="11" t="str">
        <f t="array" ref="E4453">_xlfn.XLOOKUP(D4453,Insumos!B:B,Insumos!C:$C)</f>
        <v>KG</v>
      </c>
      <c r="F4453" s="14">
        <v>1.5</v>
      </c>
      <c r="G4453" s="92">
        <f t="array" ref="G4453">IF(B4453="insumo",_xlfn.XLOOKUP($D4453,Insumos!$B$1:$B$996,Insumos!$D$1:$D$996),"")</f>
        <v>44.5</v>
      </c>
      <c r="H4453" s="92">
        <v>66.75</v>
      </c>
      <c r="I4453" s="13" t="e">
        <v>#REF!</v>
      </c>
      <c r="J4453" s="13" t="e">
        <v>#REF!</v>
      </c>
      <c r="K4453" s="13"/>
      <c r="L4453"/>
      <c r="M4453"/>
      <c r="N4453"/>
      <c r="O4453"/>
      <c r="P4453"/>
      <c r="Q4453"/>
      <c r="R4453"/>
      <c r="S4453"/>
      <c r="T4453"/>
      <c r="U4453"/>
      <c r="V4453"/>
      <c r="W4453"/>
      <c r="X4453"/>
      <c r="Y4453"/>
      <c r="Z4453"/>
      <c r="AA4453"/>
      <c r="AB4453"/>
      <c r="AC4453"/>
      <c r="AD4453"/>
      <c r="AE4453"/>
      <c r="AF4453"/>
      <c r="AG4453"/>
      <c r="AH4453"/>
      <c r="AI4453"/>
      <c r="AJ4453"/>
      <c r="AK4453"/>
      <c r="AL4453"/>
    </row>
    <row r="4454" spans="1:38" ht="15.75" customHeight="1" outlineLevel="3" x14ac:dyDescent="0.2">
      <c r="A4454" s="10">
        <v>19</v>
      </c>
      <c r="B4454" s="10" t="s">
        <v>71</v>
      </c>
      <c r="C4454" s="10" t="s">
        <v>5336</v>
      </c>
      <c r="D4454" s="10" t="s">
        <v>766</v>
      </c>
      <c r="E4454" s="11" t="str">
        <f t="array" ref="E4454">_xlfn.XLOOKUP(D4454,Insumos!B:B,Insumos!C:$C)</f>
        <v>L</v>
      </c>
      <c r="F4454" s="14">
        <v>0.1666</v>
      </c>
      <c r="G4454" s="92">
        <f t="array" ref="G4454">IF(B4454="insumo",_xlfn.XLOOKUP($D4454,Insumos!$B$1:$B$996,Insumos!$D$1:$D$996),"")</f>
        <v>10.555555555555555</v>
      </c>
      <c r="H4454" s="92">
        <v>1.7585555555555601</v>
      </c>
      <c r="I4454" s="13" t="e">
        <v>#REF!</v>
      </c>
      <c r="J4454" s="13" t="e">
        <v>#REF!</v>
      </c>
      <c r="K4454" s="13"/>
      <c r="L4454"/>
      <c r="M4454"/>
      <c r="N4454"/>
      <c r="O4454"/>
      <c r="P4454"/>
      <c r="Q4454"/>
      <c r="R4454"/>
      <c r="S4454"/>
      <c r="T4454"/>
      <c r="U4454"/>
      <c r="V4454"/>
      <c r="W4454"/>
      <c r="X4454"/>
      <c r="Y4454"/>
      <c r="Z4454"/>
      <c r="AA4454"/>
      <c r="AB4454"/>
      <c r="AC4454"/>
      <c r="AD4454"/>
      <c r="AE4454"/>
      <c r="AF4454"/>
      <c r="AG4454"/>
      <c r="AH4454"/>
      <c r="AI4454"/>
      <c r="AJ4454"/>
      <c r="AK4454"/>
      <c r="AL4454"/>
    </row>
    <row r="4455" spans="1:38" ht="15.75" customHeight="1" outlineLevel="2" x14ac:dyDescent="0.2">
      <c r="A4455" s="1067">
        <v>1</v>
      </c>
      <c r="B4455" s="1067" t="s">
        <v>68</v>
      </c>
      <c r="C4455" s="1067" t="s">
        <v>896</v>
      </c>
      <c r="D4455" s="1067" t="s">
        <v>896</v>
      </c>
      <c r="E4455" s="1068" t="s">
        <v>70</v>
      </c>
      <c r="F4455" s="1067"/>
      <c r="G4455" s="1069" t="str">
        <f t="array" ref="G4455">IF(B4455="insumo",_xlfn.XLOOKUP($D4455,Insumos!$B$1:$B$996,Insumos!$D$1:$D$996),"")</f>
        <v/>
      </c>
      <c r="H4455" s="1069">
        <v>211.758555555556</v>
      </c>
      <c r="I4455" s="1070">
        <v>0</v>
      </c>
      <c r="J4455" s="1070">
        <v>0</v>
      </c>
      <c r="K4455" s="1070"/>
      <c r="L4455"/>
      <c r="M4455"/>
      <c r="N4455"/>
      <c r="O4455"/>
      <c r="P4455"/>
      <c r="Q4455"/>
      <c r="R4455"/>
      <c r="S4455"/>
      <c r="T4455"/>
      <c r="U4455"/>
      <c r="V4455"/>
      <c r="W4455"/>
      <c r="X4455"/>
      <c r="Y4455"/>
      <c r="Z4455"/>
      <c r="AA4455"/>
      <c r="AB4455"/>
      <c r="AC4455"/>
      <c r="AD4455"/>
      <c r="AE4455"/>
      <c r="AF4455"/>
      <c r="AG4455"/>
      <c r="AH4455"/>
      <c r="AI4455"/>
      <c r="AJ4455"/>
      <c r="AK4455"/>
      <c r="AL4455"/>
    </row>
    <row r="4456" spans="1:38" ht="15.75" customHeight="1" outlineLevel="3" x14ac:dyDescent="0.2">
      <c r="A4456" s="10">
        <v>2</v>
      </c>
      <c r="B4456" s="10" t="s">
        <v>71</v>
      </c>
      <c r="C4456" s="10" t="s">
        <v>896</v>
      </c>
      <c r="D4456" s="10" t="s">
        <v>897</v>
      </c>
      <c r="E4456" s="11" t="str">
        <f t="array" ref="E4456">_xlfn.XLOOKUP(D4456,Insumos!B:B,Insumos!C:$C)</f>
        <v>KG</v>
      </c>
      <c r="F4456" s="14">
        <v>1.5</v>
      </c>
      <c r="G4456" s="92">
        <f t="array" ref="G4456">IF(B4456="insumo",_xlfn.XLOOKUP($D4456,Insumos!$B$1:$B$996,Insumos!$D$1:$D$996),"")</f>
        <v>140</v>
      </c>
      <c r="H4456" s="92">
        <v>210</v>
      </c>
      <c r="I4456" s="13">
        <v>0</v>
      </c>
      <c r="J4456" s="13">
        <v>0</v>
      </c>
      <c r="K4456" s="13"/>
      <c r="L4456"/>
      <c r="M4456"/>
      <c r="N4456"/>
      <c r="O4456"/>
      <c r="P4456"/>
      <c r="Q4456"/>
      <c r="R4456"/>
      <c r="S4456"/>
      <c r="T4456"/>
      <c r="U4456"/>
      <c r="V4456"/>
      <c r="W4456"/>
      <c r="X4456"/>
      <c r="Y4456"/>
      <c r="Z4456"/>
      <c r="AA4456"/>
      <c r="AB4456"/>
      <c r="AC4456"/>
      <c r="AD4456"/>
      <c r="AE4456"/>
      <c r="AF4456"/>
      <c r="AG4456"/>
      <c r="AH4456"/>
      <c r="AI4456"/>
      <c r="AJ4456"/>
      <c r="AK4456"/>
      <c r="AL4456"/>
    </row>
    <row r="4457" spans="1:38" ht="15.75" customHeight="1" outlineLevel="3" x14ac:dyDescent="0.2">
      <c r="A4457" s="10">
        <v>19</v>
      </c>
      <c r="B4457" s="10" t="s">
        <v>71</v>
      </c>
      <c r="C4457" s="10" t="s">
        <v>896</v>
      </c>
      <c r="D4457" s="10" t="s">
        <v>766</v>
      </c>
      <c r="E4457" s="11" t="str">
        <f t="array" ref="E4457">_xlfn.XLOOKUP(D4457,Insumos!B:B,Insumos!C:$C)</f>
        <v>L</v>
      </c>
      <c r="F4457" s="14">
        <v>0.1666</v>
      </c>
      <c r="G4457" s="92">
        <f t="array" ref="G4457">IF(B4457="insumo",_xlfn.XLOOKUP($D4457,Insumos!$B$1:$B$996,Insumos!$D$1:$D$996),"")</f>
        <v>10.555555555555555</v>
      </c>
      <c r="H4457" s="92">
        <v>1.7585555555555601</v>
      </c>
      <c r="I4457" s="13">
        <v>0</v>
      </c>
      <c r="J4457" s="13">
        <v>0</v>
      </c>
      <c r="K4457" s="13"/>
      <c r="L4457"/>
      <c r="M4457"/>
      <c r="N4457"/>
      <c r="O4457"/>
      <c r="P4457"/>
      <c r="Q4457"/>
      <c r="R4457"/>
      <c r="S4457"/>
      <c r="T4457"/>
      <c r="U4457"/>
      <c r="V4457"/>
      <c r="W4457"/>
      <c r="X4457"/>
      <c r="Y4457"/>
      <c r="Z4457"/>
      <c r="AA4457"/>
      <c r="AB4457"/>
      <c r="AC4457"/>
      <c r="AD4457"/>
      <c r="AE4457"/>
      <c r="AF4457"/>
      <c r="AG4457"/>
      <c r="AH4457"/>
      <c r="AI4457"/>
      <c r="AJ4457"/>
      <c r="AK4457"/>
      <c r="AL4457"/>
    </row>
    <row r="4458" spans="1:38" ht="15.75" customHeight="1" outlineLevel="2" x14ac:dyDescent="0.2">
      <c r="A4458" s="1067">
        <v>1</v>
      </c>
      <c r="B4458" s="1067" t="s">
        <v>68</v>
      </c>
      <c r="C4458" s="1067" t="s">
        <v>898</v>
      </c>
      <c r="D4458" s="1067" t="s">
        <v>898</v>
      </c>
      <c r="E4458" s="1068" t="s">
        <v>70</v>
      </c>
      <c r="F4458" s="1067"/>
      <c r="G4458" s="1069" t="str">
        <f t="array" ref="G4458">IF(B4458="insumo",_xlfn.XLOOKUP($D4458,Insumos!$B$1:$B$996,Insumos!$D$1:$D$996),"")</f>
        <v/>
      </c>
      <c r="H4458" s="1069">
        <v>51.258555555555603</v>
      </c>
      <c r="I4458" s="1070">
        <v>0</v>
      </c>
      <c r="J4458" s="1070">
        <v>0</v>
      </c>
      <c r="K4458" s="1070"/>
      <c r="L4458"/>
      <c r="M4458"/>
      <c r="N4458"/>
      <c r="O4458"/>
      <c r="P4458"/>
      <c r="Q4458"/>
      <c r="R4458"/>
      <c r="S4458"/>
      <c r="T4458"/>
      <c r="U4458"/>
      <c r="V4458"/>
      <c r="W4458"/>
      <c r="X4458"/>
      <c r="Y4458"/>
      <c r="Z4458"/>
      <c r="AA4458"/>
      <c r="AB4458"/>
      <c r="AC4458"/>
      <c r="AD4458"/>
      <c r="AE4458"/>
      <c r="AF4458"/>
      <c r="AG4458"/>
      <c r="AH4458"/>
      <c r="AI4458"/>
      <c r="AJ4458"/>
      <c r="AK4458"/>
      <c r="AL4458"/>
    </row>
    <row r="4459" spans="1:38" ht="15.75" customHeight="1" outlineLevel="3" x14ac:dyDescent="0.2">
      <c r="A4459" s="10">
        <v>1</v>
      </c>
      <c r="B4459" s="10" t="s">
        <v>71</v>
      </c>
      <c r="C4459" s="10" t="s">
        <v>898</v>
      </c>
      <c r="D4459" s="10" t="s">
        <v>899</v>
      </c>
      <c r="E4459" s="11" t="str">
        <f t="array" ref="E4459">_xlfn.XLOOKUP(D4459,Insumos!B:B,Insumos!C:$C)</f>
        <v>KG</v>
      </c>
      <c r="F4459" s="14">
        <v>1.5</v>
      </c>
      <c r="G4459" s="92">
        <f t="array" ref="G4459">IF(B4459="insumo",_xlfn.XLOOKUP($D4459,Insumos!$B$1:$B$996,Insumos!$D$1:$D$996),"")</f>
        <v>33</v>
      </c>
      <c r="H4459" s="92">
        <v>49.5</v>
      </c>
      <c r="I4459" s="13">
        <v>0</v>
      </c>
      <c r="J4459" s="13">
        <v>0</v>
      </c>
      <c r="K4459" s="13"/>
      <c r="L4459"/>
      <c r="M4459"/>
      <c r="N4459"/>
      <c r="O4459"/>
      <c r="P4459"/>
      <c r="Q4459"/>
      <c r="R4459"/>
      <c r="S4459"/>
      <c r="T4459"/>
      <c r="U4459"/>
      <c r="V4459"/>
      <c r="W4459"/>
      <c r="X4459"/>
      <c r="Y4459"/>
      <c r="Z4459"/>
      <c r="AA4459"/>
      <c r="AB4459"/>
      <c r="AC4459"/>
      <c r="AD4459"/>
      <c r="AE4459"/>
      <c r="AF4459"/>
      <c r="AG4459"/>
      <c r="AH4459"/>
      <c r="AI4459"/>
      <c r="AJ4459"/>
      <c r="AK4459"/>
      <c r="AL4459"/>
    </row>
    <row r="4460" spans="1:38" ht="15.75" customHeight="1" outlineLevel="3" x14ac:dyDescent="0.2">
      <c r="A4460" s="10">
        <v>19</v>
      </c>
      <c r="B4460" s="10" t="s">
        <v>71</v>
      </c>
      <c r="C4460" s="10" t="s">
        <v>898</v>
      </c>
      <c r="D4460" s="10" t="s">
        <v>766</v>
      </c>
      <c r="E4460" s="11" t="str">
        <f t="array" ref="E4460">_xlfn.XLOOKUP(D4460,Insumos!B:B,Insumos!C:$C)</f>
        <v>L</v>
      </c>
      <c r="F4460" s="14">
        <v>0.1666</v>
      </c>
      <c r="G4460" s="92">
        <f t="array" ref="G4460">IF(B4460="insumo",_xlfn.XLOOKUP($D4460,Insumos!$B$1:$B$996,Insumos!$D$1:$D$996),"")</f>
        <v>10.555555555555555</v>
      </c>
      <c r="H4460" s="92">
        <v>1.7585555555555601</v>
      </c>
      <c r="I4460" s="13">
        <v>0</v>
      </c>
      <c r="J4460" s="13">
        <v>0</v>
      </c>
      <c r="K4460" s="13"/>
      <c r="L4460"/>
      <c r="M4460"/>
      <c r="N4460"/>
      <c r="O4460"/>
      <c r="P4460"/>
      <c r="Q4460"/>
      <c r="R4460"/>
      <c r="S4460"/>
      <c r="T4460"/>
      <c r="U4460"/>
      <c r="V4460"/>
      <c r="W4460"/>
      <c r="X4460"/>
      <c r="Y4460"/>
      <c r="Z4460"/>
      <c r="AA4460"/>
      <c r="AB4460"/>
      <c r="AC4460"/>
      <c r="AD4460"/>
      <c r="AE4460"/>
      <c r="AF4460"/>
      <c r="AG4460"/>
      <c r="AH4460"/>
      <c r="AI4460"/>
      <c r="AJ4460"/>
      <c r="AK4460"/>
      <c r="AL4460"/>
    </row>
    <row r="4461" spans="1:38" ht="15.75" customHeight="1" outlineLevel="2" x14ac:dyDescent="0.2">
      <c r="A4461" s="1067">
        <v>1</v>
      </c>
      <c r="B4461" s="1067" t="s">
        <v>68</v>
      </c>
      <c r="C4461" s="1067" t="s">
        <v>900</v>
      </c>
      <c r="D4461" s="1067" t="s">
        <v>900</v>
      </c>
      <c r="E4461" s="1068" t="s">
        <v>70</v>
      </c>
      <c r="F4461" s="1067"/>
      <c r="G4461" s="1069" t="str">
        <f t="array" ref="G4461">IF(B4461="insumo",_xlfn.XLOOKUP($D4461,Insumos!$B$1:$B$996,Insumos!$D$1:$D$996),"")</f>
        <v/>
      </c>
      <c r="H4461" s="1069">
        <v>43.758555555555603</v>
      </c>
      <c r="I4461" s="1070">
        <v>0</v>
      </c>
      <c r="J4461" s="1070">
        <v>0</v>
      </c>
      <c r="K4461" s="1070"/>
      <c r="L4461"/>
      <c r="M4461"/>
      <c r="N4461"/>
      <c r="O4461"/>
      <c r="P4461"/>
      <c r="Q4461"/>
      <c r="R4461"/>
      <c r="S4461"/>
      <c r="T4461"/>
      <c r="U4461"/>
      <c r="V4461"/>
      <c r="W4461"/>
      <c r="X4461"/>
      <c r="Y4461"/>
      <c r="Z4461"/>
      <c r="AA4461"/>
      <c r="AB4461"/>
      <c r="AC4461"/>
      <c r="AD4461"/>
      <c r="AE4461"/>
      <c r="AF4461"/>
      <c r="AG4461"/>
      <c r="AH4461"/>
      <c r="AI4461"/>
      <c r="AJ4461"/>
      <c r="AK4461"/>
      <c r="AL4461"/>
    </row>
    <row r="4462" spans="1:38" ht="15.75" customHeight="1" outlineLevel="3" x14ac:dyDescent="0.2">
      <c r="A4462" s="10">
        <v>1</v>
      </c>
      <c r="B4462" s="10" t="s">
        <v>71</v>
      </c>
      <c r="C4462" s="10" t="s">
        <v>900</v>
      </c>
      <c r="D4462" s="10" t="s">
        <v>901</v>
      </c>
      <c r="E4462" s="11" t="str">
        <f t="array" ref="E4462">_xlfn.XLOOKUP(D4462,Insumos!B:B,Insumos!C:$C)</f>
        <v>KG</v>
      </c>
      <c r="F4462" s="14">
        <v>1.5</v>
      </c>
      <c r="G4462" s="92">
        <f t="array" ref="G4462">IF(B4462="insumo",_xlfn.XLOOKUP($D4462,Insumos!$B$1:$B$996,Insumos!$D$1:$D$996),"")</f>
        <v>28</v>
      </c>
      <c r="H4462" s="92">
        <v>42</v>
      </c>
      <c r="I4462" s="13">
        <v>0</v>
      </c>
      <c r="J4462" s="13">
        <v>0</v>
      </c>
      <c r="K4462" s="13"/>
      <c r="L4462"/>
      <c r="M4462"/>
      <c r="N4462"/>
      <c r="O4462"/>
      <c r="P4462"/>
      <c r="Q4462"/>
      <c r="R4462"/>
      <c r="S4462"/>
      <c r="T4462"/>
      <c r="U4462"/>
      <c r="V4462"/>
      <c r="W4462"/>
      <c r="X4462"/>
      <c r="Y4462"/>
      <c r="Z4462"/>
      <c r="AA4462"/>
      <c r="AB4462"/>
      <c r="AC4462"/>
      <c r="AD4462"/>
      <c r="AE4462"/>
      <c r="AF4462"/>
      <c r="AG4462"/>
      <c r="AH4462"/>
      <c r="AI4462"/>
      <c r="AJ4462"/>
      <c r="AK4462"/>
      <c r="AL4462"/>
    </row>
    <row r="4463" spans="1:38" ht="15.75" customHeight="1" outlineLevel="3" x14ac:dyDescent="0.2">
      <c r="A4463" s="10">
        <v>19</v>
      </c>
      <c r="B4463" s="10" t="s">
        <v>71</v>
      </c>
      <c r="C4463" s="10" t="s">
        <v>900</v>
      </c>
      <c r="D4463" s="10" t="s">
        <v>766</v>
      </c>
      <c r="E4463" s="11" t="str">
        <f t="array" ref="E4463">_xlfn.XLOOKUP(D4463,Insumos!B:B,Insumos!C:$C)</f>
        <v>L</v>
      </c>
      <c r="F4463" s="14">
        <v>0.1666</v>
      </c>
      <c r="G4463" s="92">
        <f t="array" ref="G4463">IF(B4463="insumo",_xlfn.XLOOKUP($D4463,Insumos!$B$1:$B$996,Insumos!$D$1:$D$996),"")</f>
        <v>10.555555555555555</v>
      </c>
      <c r="H4463" s="92">
        <v>1.7585555555555601</v>
      </c>
      <c r="I4463" s="13">
        <v>0</v>
      </c>
      <c r="J4463" s="13">
        <v>0</v>
      </c>
      <c r="K4463" s="13"/>
      <c r="L4463"/>
      <c r="M4463"/>
      <c r="N4463"/>
      <c r="O4463"/>
      <c r="P4463"/>
      <c r="Q4463"/>
      <c r="R4463"/>
      <c r="S4463"/>
      <c r="T4463"/>
      <c r="U4463"/>
      <c r="V4463"/>
      <c r="W4463"/>
      <c r="X4463"/>
      <c r="Y4463"/>
      <c r="Z4463"/>
      <c r="AA4463"/>
      <c r="AB4463"/>
      <c r="AC4463"/>
      <c r="AD4463"/>
      <c r="AE4463"/>
      <c r="AF4463"/>
      <c r="AG4463"/>
      <c r="AH4463"/>
      <c r="AI4463"/>
      <c r="AJ4463"/>
      <c r="AK4463"/>
      <c r="AL4463"/>
    </row>
    <row r="4464" spans="1:38" ht="15.75" customHeight="1" outlineLevel="2" x14ac:dyDescent="0.2">
      <c r="A4464" s="1067">
        <v>1</v>
      </c>
      <c r="B4464" s="1067" t="s">
        <v>68</v>
      </c>
      <c r="C4464" s="1067" t="s">
        <v>902</v>
      </c>
      <c r="D4464" s="1067" t="s">
        <v>902</v>
      </c>
      <c r="E4464" s="1068" t="s">
        <v>70</v>
      </c>
      <c r="F4464" s="1067"/>
      <c r="G4464" s="1069" t="str">
        <f t="array" ref="G4464">IF(B4464="insumo",_xlfn.XLOOKUP($D4464,Insumos!$B$1:$B$996,Insumos!$D$1:$D$996),"")</f>
        <v/>
      </c>
      <c r="H4464" s="1069">
        <v>6.2085555555555603</v>
      </c>
      <c r="I4464" s="1070">
        <v>0</v>
      </c>
      <c r="J4464" s="1070">
        <v>0</v>
      </c>
      <c r="K4464" s="1070"/>
      <c r="L4464"/>
      <c r="M4464"/>
      <c r="N4464"/>
      <c r="O4464"/>
      <c r="P4464"/>
      <c r="Q4464"/>
      <c r="R4464"/>
      <c r="S4464"/>
      <c r="T4464"/>
      <c r="U4464"/>
      <c r="V4464"/>
      <c r="W4464"/>
      <c r="X4464"/>
      <c r="Y4464"/>
      <c r="Z4464"/>
      <c r="AA4464"/>
      <c r="AB4464"/>
      <c r="AC4464"/>
      <c r="AD4464"/>
      <c r="AE4464"/>
      <c r="AF4464"/>
      <c r="AG4464"/>
      <c r="AH4464"/>
      <c r="AI4464"/>
      <c r="AJ4464"/>
      <c r="AK4464"/>
      <c r="AL4464"/>
    </row>
    <row r="4465" spans="1:38" ht="15.75" customHeight="1" outlineLevel="3" x14ac:dyDescent="0.2">
      <c r="A4465" s="10">
        <v>1</v>
      </c>
      <c r="B4465" s="10" t="s">
        <v>71</v>
      </c>
      <c r="C4465" s="10" t="s">
        <v>902</v>
      </c>
      <c r="D4465" s="10" t="s">
        <v>903</v>
      </c>
      <c r="E4465" s="11" t="str">
        <f t="array" ref="E4465">_xlfn.XLOOKUP(D4465,Insumos!B:B,Insumos!C:$C)</f>
        <v>KG</v>
      </c>
      <c r="F4465" s="14">
        <v>0.21000000000000002</v>
      </c>
      <c r="G4465" s="92">
        <f t="array" ref="G4465">IF(B4465="insumo",_xlfn.XLOOKUP($D4465,Insumos!$B$1:$B$996,Insumos!$D$1:$D$996),"")</f>
        <v>21.19047619047619</v>
      </c>
      <c r="H4465" s="92">
        <v>4.45</v>
      </c>
      <c r="I4465" s="13">
        <v>0</v>
      </c>
      <c r="J4465" s="13">
        <v>0</v>
      </c>
      <c r="K4465" s="13"/>
      <c r="L4465"/>
      <c r="M4465"/>
      <c r="N4465"/>
      <c r="O4465"/>
      <c r="P4465"/>
      <c r="Q4465"/>
      <c r="R4465"/>
      <c r="S4465"/>
      <c r="T4465"/>
      <c r="U4465"/>
      <c r="V4465"/>
      <c r="W4465"/>
      <c r="X4465"/>
      <c r="Y4465"/>
      <c r="Z4465"/>
      <c r="AA4465"/>
      <c r="AB4465"/>
      <c r="AC4465"/>
      <c r="AD4465"/>
      <c r="AE4465"/>
      <c r="AF4465"/>
      <c r="AG4465"/>
      <c r="AH4465"/>
      <c r="AI4465"/>
      <c r="AJ4465"/>
      <c r="AK4465"/>
      <c r="AL4465"/>
    </row>
    <row r="4466" spans="1:38" ht="15.75" customHeight="1" outlineLevel="3" x14ac:dyDescent="0.2">
      <c r="A4466" s="10">
        <v>19</v>
      </c>
      <c r="B4466" s="10" t="s">
        <v>71</v>
      </c>
      <c r="C4466" s="10" t="s">
        <v>902</v>
      </c>
      <c r="D4466" s="10" t="s">
        <v>766</v>
      </c>
      <c r="E4466" s="11" t="str">
        <f t="array" ref="E4466">_xlfn.XLOOKUP(D4466,Insumos!B:B,Insumos!C:$C)</f>
        <v>L</v>
      </c>
      <c r="F4466" s="14">
        <v>0.1666</v>
      </c>
      <c r="G4466" s="92">
        <f t="array" ref="G4466">IF(B4466="insumo",_xlfn.XLOOKUP($D4466,Insumos!$B$1:$B$996,Insumos!$D$1:$D$996),"")</f>
        <v>10.555555555555555</v>
      </c>
      <c r="H4466" s="92">
        <v>1.7585555555555601</v>
      </c>
      <c r="I4466" s="13">
        <v>0</v>
      </c>
      <c r="J4466" s="13">
        <v>0</v>
      </c>
      <c r="K4466" s="13"/>
      <c r="L4466"/>
      <c r="M4466"/>
      <c r="N4466"/>
      <c r="O4466"/>
      <c r="P4466"/>
      <c r="Q4466"/>
      <c r="R4466"/>
      <c r="S4466"/>
      <c r="T4466"/>
      <c r="U4466"/>
      <c r="V4466"/>
      <c r="W4466"/>
      <c r="X4466"/>
      <c r="Y4466"/>
      <c r="Z4466"/>
      <c r="AA4466"/>
      <c r="AB4466"/>
      <c r="AC4466"/>
      <c r="AD4466"/>
      <c r="AE4466"/>
      <c r="AF4466"/>
      <c r="AG4466"/>
      <c r="AH4466"/>
      <c r="AI4466"/>
      <c r="AJ4466"/>
      <c r="AK4466"/>
      <c r="AL4466"/>
    </row>
    <row r="4467" spans="1:38" ht="15.75" customHeight="1" outlineLevel="2" x14ac:dyDescent="0.2">
      <c r="A4467" s="1067">
        <v>1</v>
      </c>
      <c r="B4467" s="1067" t="s">
        <v>68</v>
      </c>
      <c r="C4467" s="1067" t="s">
        <v>904</v>
      </c>
      <c r="D4467" s="1067" t="s">
        <v>904</v>
      </c>
      <c r="E4467" s="1068" t="s">
        <v>70</v>
      </c>
      <c r="F4467" s="1067"/>
      <c r="G4467" s="1069" t="str">
        <f t="array" ref="G4467">IF(B4467="insumo",_xlfn.XLOOKUP($D4467,Insumos!$B$1:$B$996,Insumos!$D$1:$D$996),"")</f>
        <v/>
      </c>
      <c r="H4467" s="1069">
        <v>13.353529411764701</v>
      </c>
      <c r="I4467" s="1070">
        <v>0</v>
      </c>
      <c r="J4467" s="1070">
        <v>0</v>
      </c>
      <c r="K4467" s="1070"/>
      <c r="L4467"/>
      <c r="M4467"/>
      <c r="N4467"/>
      <c r="O4467"/>
      <c r="P4467"/>
      <c r="Q4467"/>
      <c r="R4467"/>
      <c r="S4467"/>
      <c r="T4467"/>
      <c r="U4467"/>
      <c r="V4467"/>
      <c r="W4467"/>
      <c r="X4467"/>
      <c r="Y4467"/>
      <c r="Z4467"/>
      <c r="AA4467"/>
      <c r="AB4467"/>
      <c r="AC4467"/>
      <c r="AD4467"/>
      <c r="AE4467"/>
      <c r="AF4467"/>
      <c r="AG4467"/>
      <c r="AH4467"/>
      <c r="AI4467"/>
      <c r="AJ4467"/>
      <c r="AK4467"/>
      <c r="AL4467"/>
    </row>
    <row r="4468" spans="1:38" ht="15.75" customHeight="1" outlineLevel="3" x14ac:dyDescent="0.2">
      <c r="A4468" s="10">
        <v>5</v>
      </c>
      <c r="B4468" s="10" t="s">
        <v>71</v>
      </c>
      <c r="C4468" s="10" t="s">
        <v>904</v>
      </c>
      <c r="D4468" s="10" t="s">
        <v>905</v>
      </c>
      <c r="E4468" s="11" t="str">
        <f t="array" ref="E4468">_xlfn.XLOOKUP(D4468,Insumos!B:B,Insumos!C:$C)</f>
        <v>KG</v>
      </c>
      <c r="F4468" s="14">
        <v>0.83333333333333337</v>
      </c>
      <c r="G4468" s="92">
        <f t="array" ref="G4468">IF(B4468="insumo",_xlfn.XLOOKUP($D4468,Insumos!$B$1:$B$996,Insumos!$D$1:$D$996),"")</f>
        <v>8.3960000000000008</v>
      </c>
      <c r="H4468" s="92">
        <v>6.9966666666666697</v>
      </c>
      <c r="I4468" s="13">
        <v>0</v>
      </c>
      <c r="J4468" s="13">
        <v>0</v>
      </c>
      <c r="K4468" s="13"/>
      <c r="L4468"/>
      <c r="M4468"/>
      <c r="N4468"/>
      <c r="O4468"/>
      <c r="P4468"/>
      <c r="Q4468"/>
      <c r="R4468"/>
      <c r="S4468"/>
      <c r="T4468"/>
      <c r="U4468"/>
      <c r="V4468"/>
      <c r="W4468"/>
      <c r="X4468"/>
      <c r="Y4468"/>
      <c r="Z4468"/>
      <c r="AA4468"/>
      <c r="AB4468"/>
      <c r="AC4468"/>
      <c r="AD4468"/>
      <c r="AE4468"/>
      <c r="AF4468"/>
      <c r="AG4468"/>
      <c r="AH4468"/>
      <c r="AI4468"/>
      <c r="AJ4468"/>
      <c r="AK4468"/>
      <c r="AL4468"/>
    </row>
    <row r="4469" spans="1:38" ht="15.75" customHeight="1" outlineLevel="3" x14ac:dyDescent="0.2">
      <c r="A4469" s="10">
        <v>1</v>
      </c>
      <c r="B4469" s="10" t="s">
        <v>71</v>
      </c>
      <c r="C4469" s="10" t="s">
        <v>904</v>
      </c>
      <c r="D4469" s="10" t="s">
        <v>906</v>
      </c>
      <c r="E4469" s="11" t="str">
        <f t="array" ref="E4469">_xlfn.XLOOKUP(D4469,Insumos!B:B,Insumos!C:$C)</f>
        <v>L</v>
      </c>
      <c r="F4469" s="14">
        <v>9.4117647058823528E-2</v>
      </c>
      <c r="G4469" s="92">
        <f t="array" ref="G4469">IF(B4469="insumo",_xlfn.XLOOKUP($D4469,Insumos!$B$1:$B$996,Insumos!$D$1:$D$996),"")</f>
        <v>40.625</v>
      </c>
      <c r="H4469" s="92">
        <v>3.8235294117647101</v>
      </c>
      <c r="I4469" s="13">
        <v>0</v>
      </c>
      <c r="J4469" s="13">
        <v>0</v>
      </c>
      <c r="K4469" s="13"/>
      <c r="L4469"/>
      <c r="M4469"/>
      <c r="N4469"/>
      <c r="O4469"/>
      <c r="P4469"/>
      <c r="Q4469"/>
      <c r="R4469"/>
      <c r="S4469"/>
      <c r="T4469"/>
      <c r="U4469"/>
      <c r="V4469"/>
      <c r="W4469"/>
      <c r="X4469"/>
      <c r="Y4469"/>
      <c r="Z4469"/>
      <c r="AA4469"/>
      <c r="AB4469"/>
      <c r="AC4469"/>
      <c r="AD4469"/>
      <c r="AE4469"/>
      <c r="AF4469"/>
      <c r="AG4469"/>
      <c r="AH4469"/>
      <c r="AI4469"/>
      <c r="AJ4469"/>
      <c r="AK4469"/>
      <c r="AL4469"/>
    </row>
    <row r="4470" spans="1:38" ht="15.75" customHeight="1" outlineLevel="3" x14ac:dyDescent="0.2">
      <c r="A4470" s="10">
        <v>19</v>
      </c>
      <c r="B4470" s="10" t="s">
        <v>71</v>
      </c>
      <c r="C4470" s="10" t="s">
        <v>904</v>
      </c>
      <c r="D4470" s="10" t="s">
        <v>766</v>
      </c>
      <c r="E4470" s="11" t="str">
        <f t="array" ref="E4470">_xlfn.XLOOKUP(D4470,Insumos!B:B,Insumos!C:$C)</f>
        <v>L</v>
      </c>
      <c r="F4470" s="14">
        <v>0.24</v>
      </c>
      <c r="G4470" s="92">
        <f t="array" ref="G4470">IF(B4470="insumo",_xlfn.XLOOKUP($D4470,Insumos!$B$1:$B$996,Insumos!$D$1:$D$996),"")</f>
        <v>10.555555555555555</v>
      </c>
      <c r="H4470" s="92">
        <v>2.5333333333333301</v>
      </c>
      <c r="I4470" s="13">
        <v>0</v>
      </c>
      <c r="J4470" s="13">
        <v>0</v>
      </c>
      <c r="K4470" s="13"/>
      <c r="L4470"/>
      <c r="M4470"/>
      <c r="N4470"/>
      <c r="O4470"/>
      <c r="P4470"/>
      <c r="Q4470"/>
      <c r="R4470"/>
      <c r="S4470"/>
      <c r="T4470"/>
      <c r="U4470"/>
      <c r="V4470"/>
      <c r="W4470"/>
      <c r="X4470"/>
      <c r="Y4470"/>
      <c r="Z4470"/>
      <c r="AA4470"/>
      <c r="AB4470"/>
      <c r="AC4470"/>
      <c r="AD4470"/>
      <c r="AE4470"/>
      <c r="AF4470"/>
      <c r="AG4470"/>
      <c r="AH4470"/>
      <c r="AI4470"/>
      <c r="AJ4470"/>
      <c r="AK4470"/>
      <c r="AL4470"/>
    </row>
    <row r="4471" spans="1:38" ht="15.75" customHeight="1" outlineLevel="2" x14ac:dyDescent="0.2">
      <c r="A4471" s="1067">
        <v>1</v>
      </c>
      <c r="B4471" s="1067" t="s">
        <v>68</v>
      </c>
      <c r="C4471" s="1067" t="s">
        <v>907</v>
      </c>
      <c r="D4471" s="1067" t="s">
        <v>907</v>
      </c>
      <c r="E4471" s="1068" t="s">
        <v>70</v>
      </c>
      <c r="F4471" s="1067"/>
      <c r="G4471" s="1069" t="str">
        <f t="array" ref="G4471">IF(B4471="insumo",_xlfn.XLOOKUP($D4471,Insumos!$B$1:$B$996,Insumos!$D$1:$D$996),"")</f>
        <v/>
      </c>
      <c r="H4471" s="1069">
        <v>11.196533333333299</v>
      </c>
      <c r="I4471" s="1070">
        <v>0</v>
      </c>
      <c r="J4471" s="1070">
        <v>0</v>
      </c>
      <c r="K4471" s="1070"/>
      <c r="L4471"/>
      <c r="M4471"/>
      <c r="N4471"/>
      <c r="O4471"/>
      <c r="P4471"/>
      <c r="Q4471"/>
      <c r="R4471"/>
      <c r="S4471"/>
      <c r="T4471"/>
      <c r="U4471"/>
      <c r="V4471"/>
      <c r="W4471"/>
      <c r="X4471"/>
      <c r="Y4471"/>
      <c r="Z4471"/>
      <c r="AA4471"/>
      <c r="AB4471"/>
      <c r="AC4471"/>
      <c r="AD4471"/>
      <c r="AE4471"/>
      <c r="AF4471"/>
      <c r="AG4471"/>
      <c r="AH4471"/>
      <c r="AI4471"/>
      <c r="AJ4471"/>
      <c r="AK4471"/>
      <c r="AL4471"/>
    </row>
    <row r="4472" spans="1:38" ht="15.75" customHeight="1" outlineLevel="3" x14ac:dyDescent="0.2">
      <c r="A4472" s="10">
        <v>5</v>
      </c>
      <c r="B4472" s="10" t="s">
        <v>71</v>
      </c>
      <c r="C4472" s="10" t="s">
        <v>907</v>
      </c>
      <c r="D4472" s="10" t="s">
        <v>905</v>
      </c>
      <c r="E4472" s="11" t="str">
        <f t="array" ref="E4472">_xlfn.XLOOKUP(D4472,Insumos!B:B,Insumos!C:$C)</f>
        <v>KG</v>
      </c>
      <c r="F4472" s="14">
        <v>0.83333333333333337</v>
      </c>
      <c r="G4472" s="92">
        <f t="array" ref="G4472">IF(B4472="insumo",_xlfn.XLOOKUP($D4472,Insumos!$B$1:$B$996,Insumos!$D$1:$D$996),"")</f>
        <v>8.3960000000000008</v>
      </c>
      <c r="H4472" s="92">
        <v>6.9966666666666697</v>
      </c>
      <c r="I4472" s="13">
        <v>0</v>
      </c>
      <c r="J4472" s="13">
        <v>0</v>
      </c>
      <c r="K4472" s="13"/>
      <c r="L4472"/>
      <c r="M4472"/>
      <c r="N4472"/>
      <c r="O4472"/>
      <c r="P4472"/>
      <c r="Q4472"/>
      <c r="R4472"/>
      <c r="S4472"/>
      <c r="T4472"/>
      <c r="U4472"/>
      <c r="V4472"/>
      <c r="W4472"/>
      <c r="X4472"/>
      <c r="Y4472"/>
      <c r="Z4472"/>
      <c r="AA4472"/>
      <c r="AB4472"/>
      <c r="AC4472"/>
      <c r="AD4472"/>
      <c r="AE4472"/>
      <c r="AF4472"/>
      <c r="AG4472"/>
      <c r="AH4472"/>
      <c r="AI4472"/>
      <c r="AJ4472"/>
      <c r="AK4472"/>
      <c r="AL4472"/>
    </row>
    <row r="4473" spans="1:38" ht="15.75" customHeight="1" outlineLevel="3" x14ac:dyDescent="0.2">
      <c r="A4473" s="10">
        <v>1</v>
      </c>
      <c r="B4473" s="10" t="s">
        <v>71</v>
      </c>
      <c r="C4473" s="10" t="s">
        <v>907</v>
      </c>
      <c r="D4473" s="10" t="s">
        <v>908</v>
      </c>
      <c r="E4473" s="11" t="str">
        <f t="array" ref="E4473">_xlfn.XLOOKUP(D4473,Insumos!B:B,Insumos!C:$C)</f>
        <v>L</v>
      </c>
      <c r="F4473" s="14">
        <v>4.8000000000000001E-2</v>
      </c>
      <c r="G4473" s="92">
        <f t="array" ref="G4473">IF(B4473="insumo",_xlfn.XLOOKUP($D4473,Insumos!$B$1:$B$996,Insumos!$D$1:$D$996),"")</f>
        <v>34.719444444444441</v>
      </c>
      <c r="H4473" s="92">
        <v>1.6665333333333301</v>
      </c>
      <c r="I4473" s="13">
        <v>0</v>
      </c>
      <c r="J4473" s="13">
        <v>0</v>
      </c>
      <c r="K4473" s="13"/>
      <c r="L4473"/>
      <c r="M4473"/>
      <c r="N4473"/>
      <c r="O4473"/>
      <c r="P4473"/>
      <c r="Q4473"/>
      <c r="R4473"/>
      <c r="S4473"/>
      <c r="T4473"/>
      <c r="U4473"/>
      <c r="V4473"/>
      <c r="W4473"/>
      <c r="X4473"/>
      <c r="Y4473"/>
      <c r="Z4473"/>
      <c r="AA4473"/>
      <c r="AB4473"/>
      <c r="AC4473"/>
      <c r="AD4473"/>
      <c r="AE4473"/>
      <c r="AF4473"/>
      <c r="AG4473"/>
      <c r="AH4473"/>
      <c r="AI4473"/>
      <c r="AJ4473"/>
      <c r="AK4473"/>
      <c r="AL4473"/>
    </row>
    <row r="4474" spans="1:38" ht="15.75" customHeight="1" outlineLevel="3" x14ac:dyDescent="0.2">
      <c r="A4474" s="10">
        <v>19</v>
      </c>
      <c r="B4474" s="10" t="s">
        <v>71</v>
      </c>
      <c r="C4474" s="10" t="s">
        <v>907</v>
      </c>
      <c r="D4474" s="10" t="s">
        <v>766</v>
      </c>
      <c r="E4474" s="11" t="str">
        <f t="array" ref="E4474">_xlfn.XLOOKUP(D4474,Insumos!B:B,Insumos!C:$C)</f>
        <v>L</v>
      </c>
      <c r="F4474" s="14">
        <v>0.24</v>
      </c>
      <c r="G4474" s="92">
        <f t="array" ref="G4474">IF(B4474="insumo",_xlfn.XLOOKUP($D4474,Insumos!$B$1:$B$996,Insumos!$D$1:$D$996),"")</f>
        <v>10.555555555555555</v>
      </c>
      <c r="H4474" s="92">
        <v>2.5333333333333301</v>
      </c>
      <c r="I4474" s="13">
        <v>0</v>
      </c>
      <c r="J4474" s="13">
        <v>0</v>
      </c>
      <c r="K4474" s="13"/>
      <c r="L4474"/>
      <c r="M4474"/>
      <c r="N4474"/>
      <c r="O4474"/>
      <c r="P4474"/>
      <c r="Q4474"/>
      <c r="R4474"/>
      <c r="S4474"/>
      <c r="T4474"/>
      <c r="U4474"/>
      <c r="V4474"/>
      <c r="W4474"/>
      <c r="X4474"/>
      <c r="Y4474"/>
      <c r="Z4474"/>
      <c r="AA4474"/>
      <c r="AB4474"/>
      <c r="AC4474"/>
      <c r="AD4474"/>
      <c r="AE4474"/>
      <c r="AF4474"/>
      <c r="AG4474"/>
      <c r="AH4474"/>
      <c r="AI4474"/>
      <c r="AJ4474"/>
      <c r="AK4474"/>
      <c r="AL4474"/>
    </row>
    <row r="4475" spans="1:38" ht="15.75" customHeight="1" outlineLevel="2" x14ac:dyDescent="0.2">
      <c r="A4475" s="1067">
        <v>1</v>
      </c>
      <c r="B4475" s="1067" t="s">
        <v>68</v>
      </c>
      <c r="C4475" s="1067" t="s">
        <v>909</v>
      </c>
      <c r="D4475" s="1067" t="s">
        <v>909</v>
      </c>
      <c r="E4475" s="1068" t="s">
        <v>70</v>
      </c>
      <c r="F4475" s="1067"/>
      <c r="G4475" s="1069" t="str">
        <f t="array" ref="G4475">IF(B4475="insumo",_xlfn.XLOOKUP($D4475,Insumos!$B$1:$B$996,Insumos!$D$1:$D$996),"")</f>
        <v/>
      </c>
      <c r="H4475" s="1069">
        <v>11.9286666666667</v>
      </c>
      <c r="I4475" s="1070">
        <v>0</v>
      </c>
      <c r="J4475" s="1070">
        <v>0</v>
      </c>
      <c r="K4475" s="1070"/>
      <c r="L4475"/>
      <c r="M4475"/>
      <c r="N4475"/>
      <c r="O4475"/>
      <c r="P4475"/>
      <c r="Q4475"/>
      <c r="R4475"/>
      <c r="S4475"/>
      <c r="T4475"/>
      <c r="U4475"/>
      <c r="V4475"/>
      <c r="W4475"/>
      <c r="X4475"/>
      <c r="Y4475"/>
      <c r="Z4475"/>
      <c r="AA4475"/>
      <c r="AB4475"/>
      <c r="AC4475"/>
      <c r="AD4475"/>
      <c r="AE4475"/>
      <c r="AF4475"/>
      <c r="AG4475"/>
      <c r="AH4475"/>
      <c r="AI4475"/>
      <c r="AJ4475"/>
      <c r="AK4475"/>
      <c r="AL4475"/>
    </row>
    <row r="4476" spans="1:38" ht="15.75" customHeight="1" outlineLevel="3" x14ac:dyDescent="0.2">
      <c r="A4476" s="10">
        <v>5</v>
      </c>
      <c r="B4476" s="10" t="s">
        <v>71</v>
      </c>
      <c r="C4476" s="10" t="s">
        <v>909</v>
      </c>
      <c r="D4476" s="10" t="s">
        <v>905</v>
      </c>
      <c r="E4476" s="11" t="str">
        <f t="array" ref="E4476">_xlfn.XLOOKUP(D4476,Insumos!B:B,Insumos!C:$C)</f>
        <v>KG</v>
      </c>
      <c r="F4476" s="14">
        <v>0.83333333333333337</v>
      </c>
      <c r="G4476" s="92">
        <f t="array" ref="G4476">IF(B4476="insumo",_xlfn.XLOOKUP($D4476,Insumos!$B$1:$B$996,Insumos!$D$1:$D$996),"")</f>
        <v>8.3960000000000008</v>
      </c>
      <c r="H4476" s="92">
        <v>6.9966666666666697</v>
      </c>
      <c r="I4476" s="13">
        <v>0</v>
      </c>
      <c r="J4476" s="13">
        <v>0</v>
      </c>
      <c r="K4476" s="13"/>
      <c r="L4476"/>
      <c r="M4476"/>
      <c r="N4476"/>
      <c r="O4476"/>
      <c r="P4476"/>
      <c r="Q4476"/>
      <c r="R4476"/>
      <c r="S4476"/>
      <c r="T4476"/>
      <c r="U4476"/>
      <c r="V4476"/>
      <c r="W4476"/>
      <c r="X4476"/>
      <c r="Y4476"/>
      <c r="Z4476"/>
      <c r="AA4476"/>
      <c r="AB4476"/>
      <c r="AC4476"/>
      <c r="AD4476"/>
      <c r="AE4476"/>
      <c r="AF4476"/>
      <c r="AG4476"/>
      <c r="AH4476"/>
      <c r="AI4476"/>
      <c r="AJ4476"/>
      <c r="AK4476"/>
      <c r="AL4476"/>
    </row>
    <row r="4477" spans="1:38" ht="15.75" customHeight="1" outlineLevel="3" x14ac:dyDescent="0.2">
      <c r="A4477" s="10">
        <v>1</v>
      </c>
      <c r="B4477" s="10" t="s">
        <v>71</v>
      </c>
      <c r="C4477" s="10" t="s">
        <v>909</v>
      </c>
      <c r="D4477" s="10" t="s">
        <v>910</v>
      </c>
      <c r="E4477" s="11" t="str">
        <f t="array" ref="E4477">_xlfn.XLOOKUP(D4477,Insumos!B:B,Insumos!C:$C)</f>
        <v>L</v>
      </c>
      <c r="F4477" s="14">
        <v>4.8000000000000001E-2</v>
      </c>
      <c r="G4477" s="92">
        <f t="array" ref="G4477">IF(B4477="insumo",_xlfn.XLOOKUP($D4477,Insumos!$B$1:$B$996,Insumos!$D$1:$D$996),"")</f>
        <v>49.972222222222221</v>
      </c>
      <c r="H4477" s="92">
        <v>2.3986666666666698</v>
      </c>
      <c r="I4477" s="13">
        <v>0</v>
      </c>
      <c r="J4477" s="13">
        <v>0</v>
      </c>
      <c r="K4477" s="13"/>
      <c r="L4477"/>
      <c r="M4477"/>
      <c r="N4477"/>
      <c r="O4477"/>
      <c r="P4477"/>
      <c r="Q4477"/>
      <c r="R4477"/>
      <c r="S4477"/>
      <c r="T4477"/>
      <c r="U4477"/>
      <c r="V4477"/>
      <c r="W4477"/>
      <c r="X4477"/>
      <c r="Y4477"/>
      <c r="Z4477"/>
      <c r="AA4477"/>
      <c r="AB4477"/>
      <c r="AC4477"/>
      <c r="AD4477"/>
      <c r="AE4477"/>
      <c r="AF4477"/>
      <c r="AG4477"/>
      <c r="AH4477"/>
      <c r="AI4477"/>
      <c r="AJ4477"/>
      <c r="AK4477"/>
      <c r="AL4477"/>
    </row>
    <row r="4478" spans="1:38" ht="15.75" customHeight="1" outlineLevel="3" x14ac:dyDescent="0.2">
      <c r="A4478" s="10">
        <v>19</v>
      </c>
      <c r="B4478" s="10" t="s">
        <v>71</v>
      </c>
      <c r="C4478" s="10" t="s">
        <v>909</v>
      </c>
      <c r="D4478" s="10" t="s">
        <v>766</v>
      </c>
      <c r="E4478" s="11" t="str">
        <f t="array" ref="E4478">_xlfn.XLOOKUP(D4478,Insumos!B:B,Insumos!C:$C)</f>
        <v>L</v>
      </c>
      <c r="F4478" s="14">
        <v>0.24</v>
      </c>
      <c r="G4478" s="92">
        <f t="array" ref="G4478">IF(B4478="insumo",_xlfn.XLOOKUP($D4478,Insumos!$B$1:$B$996,Insumos!$D$1:$D$996),"")</f>
        <v>10.555555555555555</v>
      </c>
      <c r="H4478" s="92">
        <v>2.5333333333333301</v>
      </c>
      <c r="I4478" s="13">
        <v>0</v>
      </c>
      <c r="J4478" s="13">
        <v>0</v>
      </c>
      <c r="K4478" s="13"/>
      <c r="L4478"/>
      <c r="M4478"/>
      <c r="N4478"/>
      <c r="O4478"/>
      <c r="P4478"/>
      <c r="Q4478"/>
      <c r="R4478"/>
      <c r="S4478"/>
      <c r="T4478"/>
      <c r="U4478"/>
      <c r="V4478"/>
      <c r="W4478"/>
      <c r="X4478"/>
      <c r="Y4478"/>
      <c r="Z4478"/>
      <c r="AA4478"/>
      <c r="AB4478"/>
      <c r="AC4478"/>
      <c r="AD4478"/>
      <c r="AE4478"/>
      <c r="AF4478"/>
      <c r="AG4478"/>
      <c r="AH4478"/>
      <c r="AI4478"/>
      <c r="AJ4478"/>
      <c r="AK4478"/>
      <c r="AL4478"/>
    </row>
    <row r="4479" spans="1:38" ht="15.75" customHeight="1" outlineLevel="2" x14ac:dyDescent="0.2">
      <c r="A4479" s="1067">
        <v>1</v>
      </c>
      <c r="B4479" s="1067" t="s">
        <v>68</v>
      </c>
      <c r="C4479" s="1067" t="s">
        <v>911</v>
      </c>
      <c r="D4479" s="1067" t="s">
        <v>911</v>
      </c>
      <c r="E4479" s="1068" t="s">
        <v>70</v>
      </c>
      <c r="F4479" s="1067"/>
      <c r="G4479" s="1069" t="str">
        <f t="array" ref="G4479">IF(B4479="insumo",_xlfn.XLOOKUP($D4479,Insumos!$B$1:$B$996,Insumos!$D$1:$D$996),"")</f>
        <v/>
      </c>
      <c r="H4479" s="1069">
        <v>36.363636363636402</v>
      </c>
      <c r="I4479" s="1070">
        <v>0</v>
      </c>
      <c r="J4479" s="1070">
        <v>0</v>
      </c>
      <c r="K4479" s="1070"/>
      <c r="L4479"/>
      <c r="M4479"/>
      <c r="N4479"/>
      <c r="O4479"/>
      <c r="P4479"/>
      <c r="Q4479"/>
      <c r="R4479"/>
      <c r="S4479"/>
      <c r="T4479"/>
      <c r="U4479"/>
      <c r="V4479"/>
      <c r="W4479"/>
      <c r="X4479"/>
      <c r="Y4479"/>
      <c r="Z4479"/>
      <c r="AA4479"/>
      <c r="AB4479"/>
      <c r="AC4479"/>
      <c r="AD4479"/>
      <c r="AE4479"/>
      <c r="AF4479"/>
      <c r="AG4479"/>
      <c r="AH4479"/>
      <c r="AI4479"/>
      <c r="AJ4479"/>
      <c r="AK4479"/>
      <c r="AL4479"/>
    </row>
    <row r="4480" spans="1:38" ht="15.75" customHeight="1" outlineLevel="3" x14ac:dyDescent="0.2">
      <c r="A4480" s="10">
        <v>5</v>
      </c>
      <c r="B4480" s="10" t="s">
        <v>71</v>
      </c>
      <c r="C4480" s="10" t="s">
        <v>911</v>
      </c>
      <c r="D4480" s="10" t="s">
        <v>769</v>
      </c>
      <c r="E4480" s="11" t="str">
        <f t="array" ref="E4480">_xlfn.XLOOKUP(D4480,Insumos!B:B,Insumos!C:$C)</f>
        <v>KG</v>
      </c>
      <c r="F4480" s="14">
        <v>4</v>
      </c>
      <c r="G4480" s="92">
        <f t="array" ref="G4480">IF(B4480="insumo",_xlfn.XLOOKUP($D4480,Insumos!$B$1:$B$996,Insumos!$D$1:$D$996),"")</f>
        <v>9.0909090909090917</v>
      </c>
      <c r="H4480" s="92">
        <v>36.363636363636402</v>
      </c>
      <c r="I4480" s="13">
        <v>0</v>
      </c>
      <c r="J4480" s="13">
        <v>0</v>
      </c>
      <c r="K4480" s="13"/>
      <c r="L4480"/>
      <c r="M4480"/>
      <c r="N4480"/>
      <c r="O4480"/>
      <c r="P4480"/>
      <c r="Q4480"/>
      <c r="R4480"/>
      <c r="S4480"/>
      <c r="T4480"/>
      <c r="U4480"/>
      <c r="V4480"/>
      <c r="W4480"/>
      <c r="X4480"/>
      <c r="Y4480"/>
      <c r="Z4480"/>
      <c r="AA4480"/>
      <c r="AB4480"/>
      <c r="AC4480"/>
      <c r="AD4480"/>
      <c r="AE4480"/>
      <c r="AF4480"/>
      <c r="AG4480"/>
      <c r="AH4480"/>
      <c r="AI4480"/>
      <c r="AJ4480"/>
      <c r="AK4480"/>
      <c r="AL4480"/>
    </row>
    <row r="4481" spans="1:38" ht="15.75" customHeight="1" outlineLevel="2" x14ac:dyDescent="0.2">
      <c r="A4481" s="1067">
        <v>1</v>
      </c>
      <c r="B4481" s="1067" t="s">
        <v>68</v>
      </c>
      <c r="C4481" s="1067" t="s">
        <v>915</v>
      </c>
      <c r="D4481" s="1067" t="s">
        <v>915</v>
      </c>
      <c r="E4481" s="1068" t="s">
        <v>70</v>
      </c>
      <c r="F4481" s="1067"/>
      <c r="G4481" s="1069" t="str">
        <f t="array" ref="G4481">IF(B4481="insumo",_xlfn.XLOOKUP($D4481,Insumos!$B$1:$B$996,Insumos!$D$1:$D$996),"")</f>
        <v/>
      </c>
      <c r="H4481" s="1069">
        <v>1.7585555555555601</v>
      </c>
      <c r="I4481" s="1070">
        <v>0</v>
      </c>
      <c r="J4481" s="1070">
        <v>0</v>
      </c>
      <c r="K4481" s="1070"/>
      <c r="L4481"/>
      <c r="M4481"/>
      <c r="N4481"/>
      <c r="O4481"/>
      <c r="P4481"/>
      <c r="Q4481"/>
      <c r="R4481"/>
      <c r="S4481"/>
      <c r="T4481"/>
      <c r="U4481"/>
      <c r="V4481"/>
      <c r="W4481"/>
      <c r="X4481"/>
      <c r="Y4481"/>
      <c r="Z4481"/>
      <c r="AA4481"/>
      <c r="AB4481"/>
      <c r="AC4481"/>
      <c r="AD4481"/>
      <c r="AE4481"/>
      <c r="AF4481"/>
      <c r="AG4481"/>
      <c r="AH4481"/>
      <c r="AI4481"/>
      <c r="AJ4481"/>
      <c r="AK4481"/>
      <c r="AL4481"/>
    </row>
    <row r="4482" spans="1:38" ht="15.75" customHeight="1" outlineLevel="3" x14ac:dyDescent="0.2">
      <c r="A4482" s="10">
        <v>19</v>
      </c>
      <c r="B4482" s="10" t="s">
        <v>71</v>
      </c>
      <c r="C4482" s="10" t="s">
        <v>915</v>
      </c>
      <c r="D4482" s="10" t="s">
        <v>766</v>
      </c>
      <c r="E4482" s="11" t="str">
        <f t="array" ref="E4482">_xlfn.XLOOKUP(D4482,Insumos!B:B,Insumos!C:$C)</f>
        <v>L</v>
      </c>
      <c r="F4482" s="14">
        <v>0.1666</v>
      </c>
      <c r="G4482" s="92">
        <f t="array" ref="G4482">IF(B4482="insumo",_xlfn.XLOOKUP($D4482,Insumos!$B$1:$B$996,Insumos!$D$1:$D$996),"")</f>
        <v>10.555555555555555</v>
      </c>
      <c r="H4482" s="92">
        <v>1.7585555555555601</v>
      </c>
      <c r="I4482" s="13">
        <v>0</v>
      </c>
      <c r="J4482" s="13">
        <v>0</v>
      </c>
      <c r="K4482" s="13"/>
      <c r="L4482"/>
      <c r="M4482"/>
      <c r="N4482"/>
      <c r="O4482"/>
      <c r="P4482"/>
      <c r="Q4482"/>
      <c r="R4482"/>
      <c r="S4482"/>
      <c r="T4482"/>
      <c r="U4482"/>
      <c r="V4482"/>
      <c r="W4482"/>
      <c r="X4482"/>
      <c r="Y4482"/>
      <c r="Z4482"/>
      <c r="AA4482"/>
      <c r="AB4482"/>
      <c r="AC4482"/>
      <c r="AD4482"/>
      <c r="AE4482"/>
      <c r="AF4482"/>
      <c r="AG4482"/>
      <c r="AH4482"/>
      <c r="AI4482"/>
      <c r="AJ4482"/>
      <c r="AK4482"/>
      <c r="AL4482"/>
    </row>
    <row r="4483" spans="1:38" ht="15.75" customHeight="1" outlineLevel="2" x14ac:dyDescent="0.2">
      <c r="A4483" s="1067">
        <v>1</v>
      </c>
      <c r="B4483" s="1067" t="s">
        <v>68</v>
      </c>
      <c r="C4483" s="1067" t="s">
        <v>916</v>
      </c>
      <c r="D4483" s="1067" t="s">
        <v>916</v>
      </c>
      <c r="E4483" s="1068" t="s">
        <v>70</v>
      </c>
      <c r="F4483" s="1067"/>
      <c r="G4483" s="1069" t="str">
        <f t="array" ref="G4483">IF(B4483="insumo",_xlfn.XLOOKUP($D4483,Insumos!$B$1:$B$996,Insumos!$D$1:$D$996),"")</f>
        <v/>
      </c>
      <c r="H4483" s="1069">
        <v>54.3556666666667</v>
      </c>
      <c r="I4483" s="1070">
        <v>0</v>
      </c>
      <c r="J4483" s="1070">
        <v>0</v>
      </c>
      <c r="K4483" s="1070"/>
      <c r="L4483"/>
      <c r="M4483"/>
      <c r="N4483"/>
      <c r="O4483"/>
      <c r="P4483"/>
      <c r="Q4483"/>
      <c r="R4483"/>
      <c r="S4483"/>
      <c r="T4483"/>
      <c r="U4483"/>
      <c r="V4483"/>
      <c r="W4483"/>
      <c r="X4483"/>
      <c r="Y4483"/>
      <c r="Z4483"/>
      <c r="AA4483"/>
      <c r="AB4483"/>
      <c r="AC4483"/>
      <c r="AD4483"/>
      <c r="AE4483"/>
      <c r="AF4483"/>
      <c r="AG4483"/>
      <c r="AH4483"/>
      <c r="AI4483"/>
      <c r="AJ4483"/>
      <c r="AK4483"/>
      <c r="AL4483"/>
    </row>
    <row r="4484" spans="1:38" ht="15.75" customHeight="1" outlineLevel="3" x14ac:dyDescent="0.2">
      <c r="A4484" s="10">
        <v>36</v>
      </c>
      <c r="B4484" s="10" t="s">
        <v>71</v>
      </c>
      <c r="C4484" s="10" t="s">
        <v>916</v>
      </c>
      <c r="D4484" s="10" t="s">
        <v>104</v>
      </c>
      <c r="E4484" s="11" t="str">
        <f t="array" ref="E4484">_xlfn.XLOOKUP(D4484,Insumos!B:B,Insumos!C:$C)</f>
        <v>UN</v>
      </c>
      <c r="F4484" s="14">
        <v>0.1</v>
      </c>
      <c r="G4484" s="92">
        <f t="array" ref="G4484">IF(B4484="insumo",_xlfn.XLOOKUP($D4484,Insumos!$B$1:$B$996,Insumos!$D$1:$D$996),"")</f>
        <v>1.89</v>
      </c>
      <c r="H4484" s="92">
        <v>0.189</v>
      </c>
      <c r="I4484" s="13">
        <v>0</v>
      </c>
      <c r="J4484" s="13">
        <v>0</v>
      </c>
      <c r="K4484" s="13"/>
      <c r="L4484"/>
      <c r="M4484"/>
      <c r="N4484"/>
      <c r="O4484"/>
      <c r="P4484"/>
      <c r="Q4484"/>
      <c r="R4484"/>
      <c r="S4484"/>
      <c r="T4484"/>
      <c r="U4484"/>
      <c r="V4484"/>
      <c r="W4484"/>
      <c r="X4484"/>
      <c r="Y4484"/>
      <c r="Z4484"/>
      <c r="AA4484"/>
      <c r="AB4484"/>
      <c r="AC4484"/>
      <c r="AD4484"/>
      <c r="AE4484"/>
      <c r="AF4484"/>
      <c r="AG4484"/>
      <c r="AH4484"/>
      <c r="AI4484"/>
      <c r="AJ4484"/>
      <c r="AK4484"/>
      <c r="AL4484"/>
    </row>
    <row r="4485" spans="1:38" ht="15.75" customHeight="1" outlineLevel="3" x14ac:dyDescent="0.2">
      <c r="A4485" s="10">
        <v>1</v>
      </c>
      <c r="B4485" s="10" t="s">
        <v>71</v>
      </c>
      <c r="C4485" s="10" t="s">
        <v>916</v>
      </c>
      <c r="D4485" s="10" t="s">
        <v>917</v>
      </c>
      <c r="E4485" s="11" t="str">
        <f t="array" ref="E4485">_xlfn.XLOOKUP(D4485,Insumos!B:B,Insumos!C:$C)</f>
        <v>L</v>
      </c>
      <c r="F4485" s="14">
        <v>1.5</v>
      </c>
      <c r="G4485" s="92">
        <f t="array" ref="G4485">IF(B4485="insumo",_xlfn.XLOOKUP($D4485,Insumos!$B$1:$B$996,Insumos!$D$1:$D$996),"")</f>
        <v>36.111111111111114</v>
      </c>
      <c r="H4485" s="92">
        <v>54.1666666666667</v>
      </c>
      <c r="I4485" s="13">
        <v>0</v>
      </c>
      <c r="J4485" s="13">
        <v>0</v>
      </c>
      <c r="K4485" s="13"/>
      <c r="L4485"/>
      <c r="M4485"/>
      <c r="N4485"/>
      <c r="O4485"/>
      <c r="P4485"/>
      <c r="Q4485"/>
      <c r="R4485"/>
      <c r="S4485"/>
      <c r="T4485"/>
      <c r="U4485"/>
      <c r="V4485"/>
      <c r="W4485"/>
      <c r="X4485"/>
      <c r="Y4485"/>
      <c r="Z4485"/>
      <c r="AA4485"/>
      <c r="AB4485"/>
      <c r="AC4485"/>
      <c r="AD4485"/>
      <c r="AE4485"/>
      <c r="AF4485"/>
      <c r="AG4485"/>
      <c r="AH4485"/>
      <c r="AI4485"/>
      <c r="AJ4485"/>
      <c r="AK4485"/>
      <c r="AL4485"/>
    </row>
    <row r="4486" spans="1:38" ht="15.75" customHeight="1" outlineLevel="2" x14ac:dyDescent="0.2">
      <c r="A4486" s="1067">
        <v>1</v>
      </c>
      <c r="B4486" s="1067" t="s">
        <v>68</v>
      </c>
      <c r="C4486" s="1067" t="s">
        <v>918</v>
      </c>
      <c r="D4486" s="1067" t="s">
        <v>918</v>
      </c>
      <c r="E4486" s="1068" t="s">
        <v>70</v>
      </c>
      <c r="F4486" s="1067"/>
      <c r="G4486" s="1069" t="str">
        <f t="array" ref="G4486">IF(B4486="insumo",_xlfn.XLOOKUP($D4486,Insumos!$B$1:$B$996,Insumos!$D$1:$D$996),"")</f>
        <v/>
      </c>
      <c r="H4486" s="1069">
        <v>33.264000000000003</v>
      </c>
      <c r="I4486" s="1070">
        <v>0</v>
      </c>
      <c r="J4486" s="1070">
        <v>0</v>
      </c>
      <c r="K4486" s="1070"/>
      <c r="L4486"/>
      <c r="M4486"/>
      <c r="N4486"/>
      <c r="O4486"/>
      <c r="P4486"/>
      <c r="Q4486"/>
      <c r="R4486"/>
      <c r="S4486"/>
      <c r="T4486"/>
      <c r="U4486"/>
      <c r="V4486"/>
      <c r="W4486"/>
      <c r="X4486"/>
      <c r="Y4486"/>
      <c r="Z4486"/>
      <c r="AA4486"/>
      <c r="AB4486"/>
      <c r="AC4486"/>
      <c r="AD4486"/>
      <c r="AE4486"/>
      <c r="AF4486"/>
      <c r="AG4486"/>
      <c r="AH4486"/>
      <c r="AI4486"/>
      <c r="AJ4486"/>
      <c r="AK4486"/>
      <c r="AL4486"/>
    </row>
    <row r="4487" spans="1:38" ht="15.75" customHeight="1" outlineLevel="3" x14ac:dyDescent="0.2">
      <c r="A4487" s="10">
        <v>36</v>
      </c>
      <c r="B4487" s="10" t="s">
        <v>71</v>
      </c>
      <c r="C4487" s="10" t="s">
        <v>918</v>
      </c>
      <c r="D4487" s="10" t="s">
        <v>104</v>
      </c>
      <c r="E4487" s="11" t="str">
        <f t="array" ref="E4487">_xlfn.XLOOKUP(D4487,Insumos!B:B,Insumos!C:$C)</f>
        <v>UN</v>
      </c>
      <c r="F4487" s="14">
        <v>0.1</v>
      </c>
      <c r="G4487" s="92">
        <f t="array" ref="G4487">IF(B4487="insumo",_xlfn.XLOOKUP($D4487,Insumos!$B$1:$B$996,Insumos!$D$1:$D$996),"")</f>
        <v>1.89</v>
      </c>
      <c r="H4487" s="92">
        <v>0.189</v>
      </c>
      <c r="I4487" s="13">
        <v>0</v>
      </c>
      <c r="J4487" s="13">
        <v>0</v>
      </c>
      <c r="K4487" s="13"/>
      <c r="L4487"/>
      <c r="M4487"/>
      <c r="N4487"/>
      <c r="O4487"/>
      <c r="P4487"/>
      <c r="Q4487"/>
      <c r="R4487"/>
      <c r="S4487"/>
      <c r="T4487"/>
      <c r="U4487"/>
      <c r="V4487"/>
      <c r="W4487"/>
      <c r="X4487"/>
      <c r="Y4487"/>
      <c r="Z4487"/>
      <c r="AA4487"/>
      <c r="AB4487"/>
      <c r="AC4487"/>
      <c r="AD4487"/>
      <c r="AE4487"/>
      <c r="AF4487"/>
      <c r="AG4487"/>
      <c r="AH4487"/>
      <c r="AI4487"/>
      <c r="AJ4487"/>
      <c r="AK4487"/>
      <c r="AL4487"/>
    </row>
    <row r="4488" spans="1:38" ht="15.75" customHeight="1" outlineLevel="3" x14ac:dyDescent="0.2">
      <c r="A4488" s="10">
        <v>2</v>
      </c>
      <c r="B4488" s="10" t="s">
        <v>71</v>
      </c>
      <c r="C4488" s="10" t="s">
        <v>918</v>
      </c>
      <c r="D4488" s="10" t="s">
        <v>919</v>
      </c>
      <c r="E4488" s="11" t="str">
        <f t="array" ref="E4488">_xlfn.XLOOKUP(D4488,Insumos!B:B,Insumos!C:$C)</f>
        <v>L</v>
      </c>
      <c r="F4488" s="14">
        <v>1.5</v>
      </c>
      <c r="G4488" s="92">
        <f t="array" ref="G4488">IF(B4488="insumo",_xlfn.XLOOKUP($D4488,Insumos!$B$1:$B$996,Insumos!$D$1:$D$996),"")</f>
        <v>22.049999999999997</v>
      </c>
      <c r="H4488" s="92">
        <v>33.075000000000003</v>
      </c>
      <c r="I4488" s="13">
        <v>0</v>
      </c>
      <c r="J4488" s="13">
        <v>0</v>
      </c>
      <c r="K4488" s="13"/>
      <c r="L4488"/>
      <c r="M4488"/>
      <c r="N4488"/>
      <c r="O4488"/>
      <c r="P4488"/>
      <c r="Q4488"/>
      <c r="R4488"/>
      <c r="S4488"/>
      <c r="T4488"/>
      <c r="U4488"/>
      <c r="V4488"/>
      <c r="W4488"/>
      <c r="X4488"/>
      <c r="Y4488"/>
      <c r="Z4488"/>
      <c r="AA4488"/>
      <c r="AB4488"/>
      <c r="AC4488"/>
      <c r="AD4488"/>
      <c r="AE4488"/>
      <c r="AF4488"/>
      <c r="AG4488"/>
      <c r="AH4488"/>
      <c r="AI4488"/>
      <c r="AJ4488"/>
      <c r="AK4488"/>
      <c r="AL4488"/>
    </row>
    <row r="4489" spans="1:38" ht="15.75" customHeight="1" outlineLevel="2" x14ac:dyDescent="0.2">
      <c r="A4489" s="1067">
        <v>1</v>
      </c>
      <c r="B4489" s="1067" t="s">
        <v>68</v>
      </c>
      <c r="C4489" s="1067" t="s">
        <v>920</v>
      </c>
      <c r="D4489" s="1067" t="s">
        <v>920</v>
      </c>
      <c r="E4489" s="1068" t="s">
        <v>70</v>
      </c>
      <c r="F4489" s="1067"/>
      <c r="G4489" s="1069" t="str">
        <f t="array" ref="G4489">IF(B4489="insumo",_xlfn.XLOOKUP($D4489,Insumos!$B$1:$B$996,Insumos!$D$1:$D$996),"")</f>
        <v/>
      </c>
      <c r="H4489" s="1069">
        <v>93.83775</v>
      </c>
      <c r="I4489" s="1070">
        <v>0</v>
      </c>
      <c r="J4489" s="1070">
        <v>0</v>
      </c>
      <c r="K4489" s="1070"/>
      <c r="L4489"/>
      <c r="M4489"/>
      <c r="N4489"/>
      <c r="O4489"/>
      <c r="P4489"/>
      <c r="Q4489"/>
      <c r="R4489"/>
      <c r="S4489"/>
      <c r="T4489"/>
      <c r="U4489"/>
      <c r="V4489"/>
      <c r="W4489"/>
      <c r="X4489"/>
      <c r="Y4489"/>
      <c r="Z4489"/>
      <c r="AA4489"/>
      <c r="AB4489"/>
      <c r="AC4489"/>
      <c r="AD4489"/>
      <c r="AE4489"/>
      <c r="AF4489"/>
      <c r="AG4489"/>
      <c r="AH4489"/>
      <c r="AI4489"/>
      <c r="AJ4489"/>
      <c r="AK4489"/>
      <c r="AL4489"/>
    </row>
    <row r="4490" spans="1:38" ht="15.75" customHeight="1" outlineLevel="3" x14ac:dyDescent="0.2">
      <c r="A4490" s="10">
        <v>36</v>
      </c>
      <c r="B4490" s="10" t="s">
        <v>71</v>
      </c>
      <c r="C4490" s="10" t="s">
        <v>920</v>
      </c>
      <c r="D4490" s="10" t="s">
        <v>104</v>
      </c>
      <c r="E4490" s="11" t="str">
        <f t="array" ref="E4490">_xlfn.XLOOKUP(D4490,Insumos!B:B,Insumos!C:$C)</f>
        <v>UN</v>
      </c>
      <c r="F4490" s="14">
        <v>0.1</v>
      </c>
      <c r="G4490" s="92">
        <f t="array" ref="G4490">IF(B4490="insumo",_xlfn.XLOOKUP($D4490,Insumos!$B$1:$B$996,Insumos!$D$1:$D$996),"")</f>
        <v>1.89</v>
      </c>
      <c r="H4490" s="92">
        <v>0.189</v>
      </c>
      <c r="I4490" s="13">
        <v>0</v>
      </c>
      <c r="J4490" s="13">
        <v>0</v>
      </c>
      <c r="K4490" s="13"/>
      <c r="L4490"/>
      <c r="M4490"/>
      <c r="N4490"/>
      <c r="O4490"/>
      <c r="P4490"/>
      <c r="Q4490"/>
      <c r="R4490"/>
      <c r="S4490"/>
      <c r="T4490"/>
      <c r="U4490"/>
      <c r="V4490"/>
      <c r="W4490"/>
      <c r="X4490"/>
      <c r="Y4490"/>
      <c r="Z4490"/>
      <c r="AA4490"/>
      <c r="AB4490"/>
      <c r="AC4490"/>
      <c r="AD4490"/>
      <c r="AE4490"/>
      <c r="AF4490"/>
      <c r="AG4490"/>
      <c r="AH4490"/>
      <c r="AI4490"/>
      <c r="AJ4490"/>
      <c r="AK4490"/>
      <c r="AL4490"/>
    </row>
    <row r="4491" spans="1:38" ht="15.75" customHeight="1" outlineLevel="3" x14ac:dyDescent="0.2">
      <c r="A4491" s="10">
        <v>1</v>
      </c>
      <c r="B4491" s="10" t="s">
        <v>71</v>
      </c>
      <c r="C4491" s="10" t="s">
        <v>920</v>
      </c>
      <c r="D4491" s="10" t="s">
        <v>921</v>
      </c>
      <c r="E4491" s="11" t="str">
        <f t="array" ref="E4491">_xlfn.XLOOKUP(D4491,Insumos!B:B,Insumos!C:$C)</f>
        <v>L</v>
      </c>
      <c r="F4491" s="14">
        <v>1.5</v>
      </c>
      <c r="G4491" s="92">
        <f t="array" ref="G4491">IF(B4491="insumo",_xlfn.XLOOKUP($D4491,Insumos!$B$1:$B$996,Insumos!$D$1:$D$996),"")</f>
        <v>62.432499999999997</v>
      </c>
      <c r="H4491" s="92">
        <v>93.648750000000007</v>
      </c>
      <c r="I4491" s="13">
        <v>0</v>
      </c>
      <c r="J4491" s="13">
        <v>0</v>
      </c>
      <c r="K4491" s="13"/>
      <c r="L4491"/>
      <c r="M4491"/>
      <c r="N4491"/>
      <c r="O4491"/>
      <c r="P4491"/>
      <c r="Q4491"/>
      <c r="R4491"/>
      <c r="S4491"/>
      <c r="T4491"/>
      <c r="U4491"/>
      <c r="V4491"/>
      <c r="W4491"/>
      <c r="X4491"/>
      <c r="Y4491"/>
      <c r="Z4491"/>
      <c r="AA4491"/>
      <c r="AB4491"/>
      <c r="AC4491"/>
      <c r="AD4491"/>
      <c r="AE4491"/>
      <c r="AF4491"/>
      <c r="AG4491"/>
      <c r="AH4491"/>
      <c r="AI4491"/>
      <c r="AJ4491"/>
      <c r="AK4491"/>
      <c r="AL4491"/>
    </row>
    <row r="4492" spans="1:38" ht="15.75" customHeight="1" outlineLevel="2" x14ac:dyDescent="0.2">
      <c r="A4492" s="1067">
        <v>1</v>
      </c>
      <c r="B4492" s="1067" t="s">
        <v>68</v>
      </c>
      <c r="C4492" s="1067" t="s">
        <v>922</v>
      </c>
      <c r="D4492" s="1067" t="s">
        <v>922</v>
      </c>
      <c r="E4492" s="1068" t="s">
        <v>70</v>
      </c>
      <c r="F4492" s="1067"/>
      <c r="G4492" s="1069" t="str">
        <f t="array" ref="G4492">IF(B4492="insumo",_xlfn.XLOOKUP($D4492,Insumos!$B$1:$B$996,Insumos!$D$1:$D$996),"")</f>
        <v/>
      </c>
      <c r="H4492" s="1069">
        <v>57.6056666666667</v>
      </c>
      <c r="I4492" s="1070">
        <v>0</v>
      </c>
      <c r="J4492" s="1070">
        <v>0</v>
      </c>
      <c r="K4492" s="1070"/>
      <c r="L4492"/>
      <c r="M4492"/>
      <c r="N4492"/>
      <c r="O4492"/>
      <c r="P4492"/>
      <c r="Q4492"/>
      <c r="R4492"/>
      <c r="S4492"/>
      <c r="T4492"/>
      <c r="U4492"/>
      <c r="V4492"/>
      <c r="W4492"/>
      <c r="X4492"/>
      <c r="Y4492"/>
      <c r="Z4492"/>
      <c r="AA4492"/>
      <c r="AB4492"/>
      <c r="AC4492"/>
      <c r="AD4492"/>
      <c r="AE4492"/>
      <c r="AF4492"/>
      <c r="AG4492"/>
      <c r="AH4492"/>
      <c r="AI4492"/>
      <c r="AJ4492"/>
      <c r="AK4492"/>
      <c r="AL4492"/>
    </row>
    <row r="4493" spans="1:38" ht="15.75" customHeight="1" outlineLevel="3" x14ac:dyDescent="0.2">
      <c r="A4493" s="10">
        <v>36</v>
      </c>
      <c r="B4493" s="10" t="s">
        <v>71</v>
      </c>
      <c r="C4493" s="10" t="s">
        <v>922</v>
      </c>
      <c r="D4493" s="10" t="s">
        <v>104</v>
      </c>
      <c r="E4493" s="11" t="str">
        <f t="array" ref="E4493">_xlfn.XLOOKUP(D4493,Insumos!B:B,Insumos!C:$C)</f>
        <v>UN</v>
      </c>
      <c r="F4493" s="14">
        <v>0.1</v>
      </c>
      <c r="G4493" s="92">
        <f t="array" ref="G4493">IF(B4493="insumo",_xlfn.XLOOKUP($D4493,Insumos!$B$1:$B$996,Insumos!$D$1:$D$996),"")</f>
        <v>1.89</v>
      </c>
      <c r="H4493" s="92">
        <v>0.189</v>
      </c>
      <c r="I4493" s="13">
        <v>0</v>
      </c>
      <c r="J4493" s="13">
        <v>0</v>
      </c>
      <c r="K4493" s="13"/>
      <c r="L4493"/>
      <c r="M4493"/>
      <c r="N4493"/>
      <c r="O4493"/>
      <c r="P4493"/>
      <c r="Q4493"/>
      <c r="R4493"/>
      <c r="S4493"/>
      <c r="T4493"/>
      <c r="U4493"/>
      <c r="V4493"/>
      <c r="W4493"/>
      <c r="X4493"/>
      <c r="Y4493"/>
      <c r="Z4493"/>
      <c r="AA4493"/>
      <c r="AB4493"/>
      <c r="AC4493"/>
      <c r="AD4493"/>
      <c r="AE4493"/>
      <c r="AF4493"/>
      <c r="AG4493"/>
      <c r="AH4493"/>
      <c r="AI4493"/>
      <c r="AJ4493"/>
      <c r="AK4493"/>
      <c r="AL4493"/>
    </row>
    <row r="4494" spans="1:38" ht="15.75" customHeight="1" outlineLevel="3" x14ac:dyDescent="0.2">
      <c r="A4494" s="10">
        <v>2</v>
      </c>
      <c r="B4494" s="10" t="s">
        <v>71</v>
      </c>
      <c r="C4494" s="10" t="s">
        <v>922</v>
      </c>
      <c r="D4494" s="10" t="s">
        <v>923</v>
      </c>
      <c r="E4494" s="11" t="str">
        <f t="array" ref="E4494">_xlfn.XLOOKUP(D4494,Insumos!B:B,Insumos!C:$C)</f>
        <v>L</v>
      </c>
      <c r="F4494" s="14">
        <v>1.5</v>
      </c>
      <c r="G4494" s="92">
        <f t="array" ref="G4494">IF(B4494="insumo",_xlfn.XLOOKUP($D4494,Insumos!$B$1:$B$996,Insumos!$D$1:$D$996),"")</f>
        <v>38.277777777777779</v>
      </c>
      <c r="H4494" s="92">
        <v>57.4166666666667</v>
      </c>
      <c r="I4494" s="13">
        <v>0</v>
      </c>
      <c r="J4494" s="13">
        <v>0</v>
      </c>
      <c r="K4494" s="13"/>
      <c r="L4494"/>
      <c r="M4494"/>
      <c r="N4494"/>
      <c r="O4494"/>
      <c r="P4494"/>
      <c r="Q4494"/>
      <c r="R4494"/>
      <c r="S4494"/>
      <c r="T4494"/>
      <c r="U4494"/>
      <c r="V4494"/>
      <c r="W4494"/>
      <c r="X4494"/>
      <c r="Y4494"/>
      <c r="Z4494"/>
      <c r="AA4494"/>
      <c r="AB4494"/>
      <c r="AC4494"/>
      <c r="AD4494"/>
      <c r="AE4494"/>
      <c r="AF4494"/>
      <c r="AG4494"/>
      <c r="AH4494"/>
      <c r="AI4494"/>
      <c r="AJ4494"/>
      <c r="AK4494"/>
      <c r="AL4494"/>
    </row>
    <row r="4495" spans="1:38" ht="12.75" outlineLevel="2" x14ac:dyDescent="0.2">
      <c r="A4495" s="1071">
        <v>1</v>
      </c>
      <c r="B4495" s="1071" t="s">
        <v>68</v>
      </c>
      <c r="C4495" s="1067" t="s">
        <v>3531</v>
      </c>
      <c r="D4495" s="1071" t="s">
        <v>3531</v>
      </c>
      <c r="E4495" s="1072" t="s">
        <v>70</v>
      </c>
      <c r="F4495" s="1071"/>
      <c r="G4495" s="1073" t="str">
        <f t="array" ref="G4495">IF(B4495="insumo",_xlfn.XLOOKUP($D4495,Insumos!$B$1:$B$996,Insumos!$D$1:$D$996),"")</f>
        <v/>
      </c>
      <c r="H4495" s="1069">
        <v>35.786235333333302</v>
      </c>
      <c r="I4495" s="1070" t="e">
        <v>#REF!</v>
      </c>
      <c r="J4495" s="1070" t="e">
        <v>#REF!</v>
      </c>
      <c r="K4495" s="1070"/>
      <c r="L4495"/>
      <c r="M4495"/>
      <c r="N4495"/>
      <c r="O4495"/>
      <c r="P4495"/>
      <c r="Q4495"/>
      <c r="R4495"/>
      <c r="S4495"/>
      <c r="T4495"/>
      <c r="U4495"/>
      <c r="V4495"/>
      <c r="W4495"/>
      <c r="X4495"/>
      <c r="Y4495"/>
      <c r="Z4495"/>
      <c r="AA4495"/>
      <c r="AB4495"/>
      <c r="AC4495"/>
      <c r="AD4495"/>
      <c r="AE4495"/>
      <c r="AF4495"/>
      <c r="AG4495"/>
      <c r="AH4495"/>
      <c r="AI4495"/>
      <c r="AJ4495"/>
      <c r="AK4495"/>
      <c r="AL4495"/>
    </row>
    <row r="4496" spans="1:38" ht="12.75" outlineLevel="3" x14ac:dyDescent="0.2">
      <c r="A4496" s="82">
        <v>31</v>
      </c>
      <c r="B4496" s="82" t="s">
        <v>71</v>
      </c>
      <c r="C4496" s="10" t="s">
        <v>3531</v>
      </c>
      <c r="D4496" s="82" t="s">
        <v>768</v>
      </c>
      <c r="E4496" s="11" t="str">
        <f t="array" ref="E4496">_xlfn.XLOOKUP(D4496,Insumos!B:B,Insumos!C:$C)</f>
        <v>L</v>
      </c>
      <c r="F4496" s="86">
        <v>0.1666</v>
      </c>
      <c r="G4496" s="92">
        <f t="array" ref="G4496">IF(B4496="insumo",_xlfn.XLOOKUP($D4496,Insumos!$B$1:$B$996,Insumos!$D$1:$D$996),"")</f>
        <v>6.47</v>
      </c>
      <c r="H4496" s="92">
        <v>1.0779019999999999</v>
      </c>
      <c r="I4496" s="13" t="e">
        <v>#REF!</v>
      </c>
      <c r="J4496" s="13" t="e">
        <v>#REF!</v>
      </c>
      <c r="K4496" s="13"/>
      <c r="L4496"/>
      <c r="M4496"/>
      <c r="N4496"/>
      <c r="O4496"/>
      <c r="P4496"/>
      <c r="Q4496"/>
      <c r="R4496"/>
      <c r="S4496"/>
      <c r="T4496"/>
      <c r="U4496"/>
      <c r="V4496"/>
      <c r="W4496"/>
      <c r="X4496"/>
      <c r="Y4496"/>
      <c r="Z4496"/>
      <c r="AA4496"/>
      <c r="AB4496"/>
      <c r="AC4496"/>
      <c r="AD4496"/>
      <c r="AE4496"/>
      <c r="AF4496"/>
      <c r="AG4496"/>
      <c r="AH4496"/>
      <c r="AI4496"/>
      <c r="AJ4496"/>
      <c r="AK4496"/>
      <c r="AL4496"/>
    </row>
    <row r="4497" spans="1:38" ht="12.75" outlineLevel="3" x14ac:dyDescent="0.2">
      <c r="A4497" s="82">
        <v>4</v>
      </c>
      <c r="B4497" s="82" t="s">
        <v>71</v>
      </c>
      <c r="C4497" s="10" t="s">
        <v>3531</v>
      </c>
      <c r="D4497" s="82" t="s">
        <v>865</v>
      </c>
      <c r="E4497" s="11" t="str">
        <f t="array" ref="E4497">_xlfn.XLOOKUP(D4497,Insumos!B:B,Insumos!C:$C)</f>
        <v>L</v>
      </c>
      <c r="F4497" s="86">
        <v>0.49980000000000002</v>
      </c>
      <c r="G4497" s="92">
        <f t="array" ref="G4497">IF(B4497="insumo",_xlfn.XLOOKUP($D4497,Insumos!$B$1:$B$996,Insumos!$D$1:$D$996),"")</f>
        <v>69.444444444444443</v>
      </c>
      <c r="H4497" s="92">
        <v>34.7083333333333</v>
      </c>
      <c r="I4497" s="13" t="e">
        <v>#REF!</v>
      </c>
      <c r="J4497" s="13" t="e">
        <v>#REF!</v>
      </c>
      <c r="K4497" s="13"/>
      <c r="L4497"/>
      <c r="M4497"/>
      <c r="N4497"/>
      <c r="O4497"/>
      <c r="P4497"/>
      <c r="Q4497"/>
      <c r="R4497"/>
      <c r="S4497"/>
      <c r="T4497"/>
      <c r="U4497"/>
      <c r="V4497"/>
      <c r="W4497"/>
      <c r="X4497"/>
      <c r="Y4497"/>
      <c r="Z4497"/>
      <c r="AA4497"/>
      <c r="AB4497"/>
      <c r="AC4497"/>
      <c r="AD4497"/>
      <c r="AE4497"/>
      <c r="AF4497"/>
      <c r="AG4497"/>
      <c r="AH4497"/>
      <c r="AI4497"/>
      <c r="AJ4497"/>
      <c r="AK4497"/>
      <c r="AL4497"/>
    </row>
    <row r="4498" spans="1:38" ht="12.75" outlineLevel="2" x14ac:dyDescent="0.2">
      <c r="A4498" s="1071">
        <v>1</v>
      </c>
      <c r="B4498" s="1071" t="s">
        <v>68</v>
      </c>
      <c r="C4498" s="1067" t="s">
        <v>1982</v>
      </c>
      <c r="D4498" s="1071" t="s">
        <v>1982</v>
      </c>
      <c r="E4498" s="1072" t="s">
        <v>70</v>
      </c>
      <c r="F4498" s="1071"/>
      <c r="G4498" s="1073" t="str">
        <f t="array" ref="G4498">IF(B4498="insumo",_xlfn.XLOOKUP($D4498,Insumos!$B$1:$B$996,Insumos!$D$1:$D$996),"")</f>
        <v/>
      </c>
      <c r="H4498" s="1069">
        <v>39.802061999999999</v>
      </c>
      <c r="I4498" s="1070">
        <v>0</v>
      </c>
      <c r="J4498" s="1070">
        <v>0</v>
      </c>
      <c r="K4498" s="1070"/>
      <c r="L4498"/>
      <c r="M4498"/>
      <c r="N4498"/>
      <c r="O4498"/>
      <c r="P4498"/>
      <c r="Q4498"/>
      <c r="R4498"/>
      <c r="S4498"/>
      <c r="T4498"/>
      <c r="U4498"/>
      <c r="V4498"/>
      <c r="W4498"/>
      <c r="X4498"/>
      <c r="Y4498"/>
      <c r="Z4498"/>
      <c r="AA4498"/>
      <c r="AB4498"/>
      <c r="AC4498"/>
      <c r="AD4498"/>
      <c r="AE4498"/>
      <c r="AF4498"/>
      <c r="AG4498"/>
      <c r="AH4498"/>
      <c r="AI4498"/>
      <c r="AJ4498"/>
      <c r="AK4498"/>
      <c r="AL4498"/>
    </row>
    <row r="4499" spans="1:38" ht="12.75" outlineLevel="3" x14ac:dyDescent="0.2">
      <c r="A4499" s="82">
        <v>36</v>
      </c>
      <c r="B4499" s="82" t="s">
        <v>71</v>
      </c>
      <c r="C4499" s="10" t="s">
        <v>1982</v>
      </c>
      <c r="D4499" s="82" t="s">
        <v>104</v>
      </c>
      <c r="E4499" s="11" t="str">
        <f t="array" ref="E4499">_xlfn.XLOOKUP(D4499,Insumos!B:B,Insumos!C:$C)</f>
        <v>UN</v>
      </c>
      <c r="F4499" s="86">
        <v>0.1</v>
      </c>
      <c r="G4499" s="92">
        <f t="array" ref="G4499">IF(B4499="insumo",_xlfn.XLOOKUP($D4499,Insumos!$B$1:$B$996,Insumos!$D$1:$D$996),"")</f>
        <v>1.89</v>
      </c>
      <c r="H4499" s="92">
        <v>0.189</v>
      </c>
      <c r="I4499" s="13">
        <v>0</v>
      </c>
      <c r="J4499" s="13">
        <v>0</v>
      </c>
      <c r="K4499" s="13"/>
      <c r="L4499"/>
      <c r="M4499"/>
      <c r="N4499"/>
      <c r="O4499"/>
      <c r="P4499"/>
      <c r="Q4499"/>
      <c r="R4499"/>
      <c r="S4499"/>
      <c r="T4499"/>
      <c r="U4499"/>
      <c r="V4499"/>
      <c r="W4499"/>
      <c r="X4499"/>
      <c r="Y4499"/>
      <c r="Z4499"/>
      <c r="AA4499"/>
      <c r="AB4499"/>
      <c r="AC4499"/>
      <c r="AD4499"/>
      <c r="AE4499"/>
      <c r="AF4499"/>
      <c r="AG4499"/>
      <c r="AH4499"/>
      <c r="AI4499"/>
      <c r="AJ4499"/>
      <c r="AK4499"/>
      <c r="AL4499"/>
    </row>
    <row r="4500" spans="1:38" ht="12.75" outlineLevel="3" x14ac:dyDescent="0.2">
      <c r="A4500" s="82">
        <v>21</v>
      </c>
      <c r="B4500" s="82" t="s">
        <v>71</v>
      </c>
      <c r="C4500" s="10" t="s">
        <v>1982</v>
      </c>
      <c r="D4500" s="82" t="s">
        <v>765</v>
      </c>
      <c r="E4500" s="11" t="str">
        <f t="array" ref="E4500">_xlfn.XLOOKUP(D4500,Insumos!B:B,Insumos!C:$C)</f>
        <v>KG</v>
      </c>
      <c r="F4500" s="86">
        <v>0.86670000000000003</v>
      </c>
      <c r="G4500" s="92">
        <f t="array" ref="G4500">IF(B4500="insumo",_xlfn.XLOOKUP($D4500,Insumos!$B$1:$B$996,Insumos!$D$1:$D$996),"")</f>
        <v>4.8</v>
      </c>
      <c r="H4500" s="92">
        <v>4.1601600000000003</v>
      </c>
      <c r="I4500" s="13">
        <v>0</v>
      </c>
      <c r="J4500" s="13">
        <v>0</v>
      </c>
      <c r="K4500" s="13"/>
      <c r="L4500"/>
      <c r="M4500"/>
      <c r="N4500"/>
      <c r="O4500"/>
      <c r="P4500"/>
      <c r="Q4500"/>
      <c r="R4500"/>
      <c r="S4500"/>
      <c r="T4500"/>
      <c r="U4500"/>
      <c r="V4500"/>
      <c r="W4500"/>
      <c r="X4500"/>
      <c r="Y4500"/>
      <c r="Z4500"/>
      <c r="AA4500"/>
      <c r="AB4500"/>
      <c r="AC4500"/>
      <c r="AD4500"/>
      <c r="AE4500"/>
      <c r="AF4500"/>
      <c r="AG4500"/>
      <c r="AH4500"/>
      <c r="AI4500"/>
      <c r="AJ4500"/>
      <c r="AK4500"/>
      <c r="AL4500"/>
    </row>
    <row r="4501" spans="1:38" ht="12.75" outlineLevel="3" x14ac:dyDescent="0.2">
      <c r="A4501" s="82">
        <v>31</v>
      </c>
      <c r="B4501" s="82" t="s">
        <v>71</v>
      </c>
      <c r="C4501" s="10" t="s">
        <v>1982</v>
      </c>
      <c r="D4501" s="82" t="s">
        <v>768</v>
      </c>
      <c r="E4501" s="11" t="str">
        <f t="array" ref="E4501">_xlfn.XLOOKUP(D4501,Insumos!B:B,Insumos!C:$C)</f>
        <v>L</v>
      </c>
      <c r="F4501" s="86">
        <v>0.1666</v>
      </c>
      <c r="G4501" s="92">
        <f t="array" ref="G4501">IF(B4501="insumo",_xlfn.XLOOKUP($D4501,Insumos!$B$1:$B$996,Insumos!$D$1:$D$996),"")</f>
        <v>6.47</v>
      </c>
      <c r="H4501" s="92">
        <v>1.0779019999999999</v>
      </c>
      <c r="I4501" s="13">
        <v>0</v>
      </c>
      <c r="J4501" s="13">
        <v>0</v>
      </c>
      <c r="K4501" s="13"/>
      <c r="L4501"/>
      <c r="M4501"/>
      <c r="N4501"/>
      <c r="O4501"/>
      <c r="P4501"/>
      <c r="Q4501"/>
      <c r="R4501"/>
      <c r="S4501"/>
      <c r="T4501"/>
      <c r="U4501"/>
      <c r="V4501"/>
      <c r="W4501"/>
      <c r="X4501"/>
      <c r="Y4501"/>
      <c r="Z4501"/>
      <c r="AA4501"/>
      <c r="AB4501"/>
      <c r="AC4501"/>
      <c r="AD4501"/>
      <c r="AE4501"/>
      <c r="AF4501"/>
      <c r="AG4501"/>
      <c r="AH4501"/>
      <c r="AI4501"/>
      <c r="AJ4501"/>
      <c r="AK4501"/>
      <c r="AL4501"/>
    </row>
    <row r="4502" spans="1:38" ht="12.75" outlineLevel="3" x14ac:dyDescent="0.2">
      <c r="A4502" s="82">
        <v>4</v>
      </c>
      <c r="B4502" s="82" t="s">
        <v>71</v>
      </c>
      <c r="C4502" s="10" t="s">
        <v>1982</v>
      </c>
      <c r="D4502" s="82" t="s">
        <v>865</v>
      </c>
      <c r="E4502" s="11" t="str">
        <f t="array" ref="E4502">_xlfn.XLOOKUP(D4502,Insumos!B:B,Insumos!C:$C)</f>
        <v>L</v>
      </c>
      <c r="F4502" s="86">
        <v>0.495</v>
      </c>
      <c r="G4502" s="92">
        <f t="array" ref="G4502">IF(B4502="insumo",_xlfn.XLOOKUP($D4502,Insumos!$B$1:$B$996,Insumos!$D$1:$D$996),"")</f>
        <v>69.444444444444443</v>
      </c>
      <c r="H4502" s="92">
        <v>34.375</v>
      </c>
      <c r="I4502" s="13">
        <v>0</v>
      </c>
      <c r="J4502" s="13">
        <v>0</v>
      </c>
      <c r="K4502" s="13"/>
      <c r="L4502"/>
      <c r="M4502"/>
      <c r="N4502"/>
      <c r="O4502"/>
      <c r="P4502"/>
      <c r="Q4502"/>
      <c r="R4502"/>
      <c r="S4502"/>
      <c r="T4502"/>
      <c r="U4502"/>
      <c r="V4502"/>
      <c r="W4502"/>
      <c r="X4502"/>
      <c r="Y4502"/>
      <c r="Z4502"/>
      <c r="AA4502"/>
      <c r="AB4502"/>
      <c r="AC4502"/>
      <c r="AD4502"/>
      <c r="AE4502"/>
      <c r="AF4502"/>
      <c r="AG4502"/>
      <c r="AH4502"/>
      <c r="AI4502"/>
      <c r="AJ4502"/>
      <c r="AK4502"/>
      <c r="AL4502"/>
    </row>
    <row r="4503" spans="1:38" ht="12.75" outlineLevel="2" x14ac:dyDescent="0.2">
      <c r="A4503" s="1071">
        <v>1</v>
      </c>
      <c r="B4503" s="1071" t="s">
        <v>68</v>
      </c>
      <c r="C4503" s="1067" t="s">
        <v>1983</v>
      </c>
      <c r="D4503" s="1071" t="s">
        <v>1983</v>
      </c>
      <c r="E4503" s="1072" t="s">
        <v>70</v>
      </c>
      <c r="F4503" s="1071"/>
      <c r="G4503" s="1073" t="str">
        <f t="array" ref="G4503">IF(B4503="insumo",_xlfn.XLOOKUP($D4503,Insumos!$B$1:$B$996,Insumos!$D$1:$D$996),"")</f>
        <v/>
      </c>
      <c r="H4503" s="1069">
        <v>22.781607454545501</v>
      </c>
      <c r="I4503" s="1070">
        <v>0</v>
      </c>
      <c r="J4503" s="1070">
        <v>0</v>
      </c>
      <c r="K4503" s="1070"/>
      <c r="L4503"/>
      <c r="M4503"/>
      <c r="N4503"/>
      <c r="O4503"/>
      <c r="P4503"/>
      <c r="Q4503"/>
      <c r="R4503"/>
      <c r="S4503"/>
      <c r="T4503"/>
      <c r="U4503"/>
      <c r="V4503"/>
      <c r="W4503"/>
      <c r="X4503"/>
      <c r="Y4503"/>
      <c r="Z4503"/>
      <c r="AA4503"/>
      <c r="AB4503"/>
      <c r="AC4503"/>
      <c r="AD4503"/>
      <c r="AE4503"/>
      <c r="AF4503"/>
      <c r="AG4503"/>
      <c r="AH4503"/>
      <c r="AI4503"/>
      <c r="AJ4503"/>
      <c r="AK4503"/>
      <c r="AL4503"/>
    </row>
    <row r="4504" spans="1:38" ht="12.75" outlineLevel="3" x14ac:dyDescent="0.2">
      <c r="A4504" s="82">
        <v>36</v>
      </c>
      <c r="B4504" s="82" t="s">
        <v>71</v>
      </c>
      <c r="C4504" s="82" t="s">
        <v>1983</v>
      </c>
      <c r="D4504" s="82" t="s">
        <v>104</v>
      </c>
      <c r="E4504" s="11" t="str">
        <f t="array" ref="E4504">_xlfn.XLOOKUP(D4504,Insumos!B:B,Insumos!C:$C)</f>
        <v>UN</v>
      </c>
      <c r="F4504" s="86">
        <v>0.1</v>
      </c>
      <c r="G4504" s="92">
        <f t="array" ref="G4504">IF(B4504="insumo",_xlfn.XLOOKUP($D4504,Insumos!$B$1:$B$996,Insumos!$D$1:$D$996),"")</f>
        <v>1.89</v>
      </c>
      <c r="H4504" s="92">
        <v>0.189</v>
      </c>
      <c r="I4504" s="84">
        <v>0</v>
      </c>
      <c r="J4504" s="84">
        <v>0</v>
      </c>
      <c r="K4504" s="84"/>
      <c r="L4504"/>
      <c r="M4504"/>
      <c r="N4504"/>
      <c r="O4504"/>
      <c r="P4504"/>
      <c r="Q4504"/>
      <c r="R4504"/>
      <c r="S4504"/>
      <c r="T4504"/>
      <c r="U4504"/>
      <c r="V4504"/>
      <c r="W4504"/>
      <c r="X4504"/>
      <c r="Y4504"/>
      <c r="Z4504"/>
      <c r="AA4504"/>
      <c r="AB4504"/>
      <c r="AC4504"/>
      <c r="AD4504"/>
      <c r="AE4504"/>
      <c r="AF4504"/>
      <c r="AG4504"/>
      <c r="AH4504"/>
      <c r="AI4504"/>
      <c r="AJ4504"/>
      <c r="AK4504"/>
      <c r="AL4504"/>
    </row>
    <row r="4505" spans="1:38" ht="12.75" outlineLevel="3" x14ac:dyDescent="0.2">
      <c r="A4505" s="82">
        <v>21</v>
      </c>
      <c r="B4505" s="82" t="s">
        <v>71</v>
      </c>
      <c r="C4505" s="82" t="s">
        <v>1983</v>
      </c>
      <c r="D4505" s="82" t="s">
        <v>765</v>
      </c>
      <c r="E4505" s="11" t="str">
        <f t="array" ref="E4505">_xlfn.XLOOKUP(D4505,Insumos!B:B,Insumos!C:$C)</f>
        <v>KG</v>
      </c>
      <c r="F4505" s="86">
        <v>0.86670000000000003</v>
      </c>
      <c r="G4505" s="92">
        <f t="array" ref="G4505">IF(B4505="insumo",_xlfn.XLOOKUP($D4505,Insumos!$B$1:$B$996,Insumos!$D$1:$D$996),"")</f>
        <v>4.8</v>
      </c>
      <c r="H4505" s="92">
        <v>4.1601600000000003</v>
      </c>
      <c r="I4505" s="84">
        <v>0</v>
      </c>
      <c r="J4505" s="84">
        <v>0</v>
      </c>
      <c r="K4505" s="84"/>
      <c r="L4505"/>
      <c r="M4505"/>
      <c r="N4505"/>
      <c r="O4505"/>
      <c r="P4505"/>
      <c r="Q4505"/>
      <c r="R4505"/>
      <c r="S4505"/>
      <c r="T4505"/>
      <c r="U4505"/>
      <c r="V4505"/>
      <c r="W4505"/>
      <c r="X4505"/>
      <c r="Y4505"/>
      <c r="Z4505"/>
      <c r="AA4505"/>
      <c r="AB4505"/>
      <c r="AC4505"/>
      <c r="AD4505"/>
      <c r="AE4505"/>
      <c r="AF4505"/>
      <c r="AG4505"/>
      <c r="AH4505"/>
      <c r="AI4505"/>
      <c r="AJ4505"/>
      <c r="AK4505"/>
      <c r="AL4505"/>
    </row>
    <row r="4506" spans="1:38" ht="12.75" outlineLevel="3" x14ac:dyDescent="0.2">
      <c r="A4506" s="82">
        <v>31</v>
      </c>
      <c r="B4506" s="82" t="s">
        <v>71</v>
      </c>
      <c r="C4506" s="82" t="s">
        <v>1983</v>
      </c>
      <c r="D4506" s="82" t="s">
        <v>768</v>
      </c>
      <c r="E4506" s="11" t="str">
        <f t="array" ref="E4506">_xlfn.XLOOKUP(D4506,Insumos!B:B,Insumos!C:$C)</f>
        <v>L</v>
      </c>
      <c r="F4506" s="86">
        <v>0.1666</v>
      </c>
      <c r="G4506" s="92">
        <f t="array" ref="G4506">IF(B4506="insumo",_xlfn.XLOOKUP($D4506,Insumos!$B$1:$B$996,Insumos!$D$1:$D$996),"")</f>
        <v>6.47</v>
      </c>
      <c r="H4506" s="92">
        <v>1.0779019999999999</v>
      </c>
      <c r="I4506" s="84">
        <v>0</v>
      </c>
      <c r="J4506" s="84">
        <v>0</v>
      </c>
      <c r="K4506" s="84"/>
      <c r="L4506"/>
      <c r="M4506"/>
      <c r="N4506"/>
      <c r="O4506"/>
      <c r="P4506"/>
      <c r="Q4506"/>
      <c r="R4506"/>
      <c r="S4506"/>
      <c r="T4506"/>
      <c r="U4506"/>
      <c r="V4506"/>
      <c r="W4506"/>
      <c r="X4506"/>
      <c r="Y4506"/>
      <c r="Z4506"/>
      <c r="AA4506"/>
      <c r="AB4506"/>
      <c r="AC4506"/>
      <c r="AD4506"/>
      <c r="AE4506"/>
      <c r="AF4506"/>
      <c r="AG4506"/>
      <c r="AH4506"/>
      <c r="AI4506"/>
      <c r="AJ4506"/>
      <c r="AK4506"/>
      <c r="AL4506"/>
    </row>
    <row r="4507" spans="1:38" ht="12.75" outlineLevel="3" x14ac:dyDescent="0.2">
      <c r="A4507" s="82">
        <v>1</v>
      </c>
      <c r="B4507" s="82" t="s">
        <v>71</v>
      </c>
      <c r="C4507" s="82" t="s">
        <v>1983</v>
      </c>
      <c r="D4507" s="82" t="s">
        <v>1905</v>
      </c>
      <c r="E4507" s="11" t="str">
        <f t="array" ref="E4507">_xlfn.XLOOKUP(D4507,Insumos!B:B,Insumos!C:$C)</f>
        <v>L</v>
      </c>
      <c r="F4507" s="86">
        <f>(16/110)*2</f>
        <v>0.29090909090909089</v>
      </c>
      <c r="G4507" s="92">
        <f t="array" ref="G4507">IF(B4507="insumo",_xlfn.XLOOKUP($D4507,Insumos!$B$1:$B$996,Insumos!$D$1:$D$996),"")</f>
        <v>59.65625</v>
      </c>
      <c r="H4507" s="92">
        <v>17.354545454545502</v>
      </c>
      <c r="I4507" s="84">
        <v>0</v>
      </c>
      <c r="J4507" s="84">
        <v>0</v>
      </c>
      <c r="K4507" s="84"/>
      <c r="L4507"/>
      <c r="M4507"/>
      <c r="N4507"/>
      <c r="O4507"/>
      <c r="P4507"/>
      <c r="Q4507"/>
      <c r="R4507"/>
      <c r="S4507"/>
      <c r="T4507"/>
      <c r="U4507"/>
      <c r="V4507"/>
      <c r="W4507"/>
      <c r="X4507"/>
      <c r="Y4507"/>
      <c r="Z4507"/>
      <c r="AA4507"/>
      <c r="AB4507"/>
      <c r="AC4507"/>
      <c r="AD4507"/>
      <c r="AE4507"/>
      <c r="AF4507"/>
      <c r="AG4507"/>
      <c r="AH4507"/>
      <c r="AI4507"/>
      <c r="AJ4507"/>
      <c r="AK4507"/>
      <c r="AL4507"/>
    </row>
    <row r="4508" spans="1:38" ht="12.75" outlineLevel="2" x14ac:dyDescent="0.2">
      <c r="A4508" s="1071">
        <v>1</v>
      </c>
      <c r="B4508" s="1071" t="s">
        <v>68</v>
      </c>
      <c r="C4508" s="1071" t="s">
        <v>1984</v>
      </c>
      <c r="D4508" s="1071" t="s">
        <v>1984</v>
      </c>
      <c r="E4508" s="1072" t="s">
        <v>70</v>
      </c>
      <c r="F4508" s="1071"/>
      <c r="G4508" s="1073" t="str">
        <f t="array" ref="G4508">IF(B4508="insumo",_xlfn.XLOOKUP($D4508,Insumos!$B$1:$B$996,Insumos!$D$1:$D$996),"")</f>
        <v/>
      </c>
      <c r="H4508" s="1073">
        <v>24.6906983636364</v>
      </c>
      <c r="I4508" s="1074">
        <v>0</v>
      </c>
      <c r="J4508" s="1074">
        <v>0</v>
      </c>
      <c r="K4508" s="1074"/>
      <c r="L4508"/>
      <c r="M4508"/>
      <c r="N4508"/>
      <c r="O4508"/>
      <c r="P4508"/>
      <c r="Q4508"/>
      <c r="R4508"/>
      <c r="S4508"/>
      <c r="T4508"/>
      <c r="U4508"/>
      <c r="V4508"/>
      <c r="W4508"/>
      <c r="X4508"/>
      <c r="Y4508"/>
      <c r="Z4508"/>
      <c r="AA4508"/>
      <c r="AB4508"/>
      <c r="AC4508"/>
      <c r="AD4508"/>
      <c r="AE4508"/>
      <c r="AF4508"/>
      <c r="AG4508"/>
      <c r="AH4508"/>
      <c r="AI4508"/>
      <c r="AJ4508"/>
      <c r="AK4508"/>
      <c r="AL4508"/>
    </row>
    <row r="4509" spans="1:38" ht="12.75" outlineLevel="3" x14ac:dyDescent="0.2">
      <c r="A4509" s="82">
        <v>36</v>
      </c>
      <c r="B4509" s="82" t="s">
        <v>71</v>
      </c>
      <c r="C4509" s="82" t="s">
        <v>1984</v>
      </c>
      <c r="D4509" s="82" t="s">
        <v>104</v>
      </c>
      <c r="E4509" s="11" t="str">
        <f t="array" ref="E4509">_xlfn.XLOOKUP(D4509,Insumos!B:B,Insumos!C:$C)</f>
        <v>UN</v>
      </c>
      <c r="F4509" s="86">
        <v>0.1</v>
      </c>
      <c r="G4509" s="92">
        <f t="array" ref="G4509">IF(B4509="insumo",_xlfn.XLOOKUP($D4509,Insumos!$B$1:$B$996,Insumos!$D$1:$D$996),"")</f>
        <v>1.89</v>
      </c>
      <c r="H4509" s="92">
        <v>0.189</v>
      </c>
      <c r="I4509" s="84">
        <v>0</v>
      </c>
      <c r="J4509" s="84">
        <v>0</v>
      </c>
      <c r="K4509" s="84"/>
      <c r="L4509"/>
      <c r="M4509"/>
      <c r="N4509"/>
      <c r="O4509"/>
      <c r="P4509"/>
      <c r="Q4509"/>
      <c r="R4509"/>
      <c r="S4509"/>
      <c r="T4509"/>
      <c r="U4509"/>
      <c r="V4509"/>
      <c r="W4509"/>
      <c r="X4509"/>
      <c r="Y4509"/>
      <c r="Z4509"/>
      <c r="AA4509"/>
      <c r="AB4509"/>
      <c r="AC4509"/>
      <c r="AD4509"/>
      <c r="AE4509"/>
      <c r="AF4509"/>
      <c r="AG4509"/>
      <c r="AH4509"/>
      <c r="AI4509"/>
      <c r="AJ4509"/>
      <c r="AK4509"/>
      <c r="AL4509"/>
    </row>
    <row r="4510" spans="1:38" ht="12.75" outlineLevel="3" x14ac:dyDescent="0.2">
      <c r="A4510" s="82">
        <v>21</v>
      </c>
      <c r="B4510" s="82" t="s">
        <v>71</v>
      </c>
      <c r="C4510" s="82" t="s">
        <v>1984</v>
      </c>
      <c r="D4510" s="82" t="s">
        <v>765</v>
      </c>
      <c r="E4510" s="11" t="str">
        <f t="array" ref="E4510">_xlfn.XLOOKUP(D4510,Insumos!B:B,Insumos!C:$C)</f>
        <v>KG</v>
      </c>
      <c r="F4510" s="86">
        <v>0.86670000000000003</v>
      </c>
      <c r="G4510" s="92">
        <f t="array" ref="G4510">IF(B4510="insumo",_xlfn.XLOOKUP($D4510,Insumos!$B$1:$B$996,Insumos!$D$1:$D$996),"")</f>
        <v>4.8</v>
      </c>
      <c r="H4510" s="92">
        <v>4.1601600000000003</v>
      </c>
      <c r="I4510" s="84">
        <v>0</v>
      </c>
      <c r="J4510" s="84">
        <v>0</v>
      </c>
      <c r="K4510" s="84"/>
      <c r="L4510"/>
      <c r="M4510"/>
      <c r="N4510"/>
      <c r="O4510"/>
      <c r="P4510"/>
      <c r="Q4510"/>
      <c r="R4510"/>
      <c r="S4510"/>
      <c r="T4510"/>
      <c r="U4510"/>
      <c r="V4510"/>
      <c r="W4510"/>
      <c r="X4510"/>
      <c r="Y4510"/>
      <c r="Z4510"/>
      <c r="AA4510"/>
      <c r="AB4510"/>
      <c r="AC4510"/>
      <c r="AD4510"/>
      <c r="AE4510"/>
      <c r="AF4510"/>
      <c r="AG4510"/>
      <c r="AH4510"/>
      <c r="AI4510"/>
      <c r="AJ4510"/>
      <c r="AK4510"/>
      <c r="AL4510"/>
    </row>
    <row r="4511" spans="1:38" ht="12.75" outlineLevel="3" x14ac:dyDescent="0.2">
      <c r="A4511" s="82">
        <v>31</v>
      </c>
      <c r="B4511" s="82" t="s">
        <v>71</v>
      </c>
      <c r="C4511" s="82" t="s">
        <v>1984</v>
      </c>
      <c r="D4511" s="82" t="s">
        <v>768</v>
      </c>
      <c r="E4511" s="11" t="str">
        <f t="array" ref="E4511">_xlfn.XLOOKUP(D4511,Insumos!B:B,Insumos!C:$C)</f>
        <v>L</v>
      </c>
      <c r="F4511" s="86">
        <v>0.1666</v>
      </c>
      <c r="G4511" s="92">
        <f t="array" ref="G4511">IF(B4511="insumo",_xlfn.XLOOKUP($D4511,Insumos!$B$1:$B$996,Insumos!$D$1:$D$996),"")</f>
        <v>6.47</v>
      </c>
      <c r="H4511" s="92">
        <v>1.0779019999999999</v>
      </c>
      <c r="I4511" s="84">
        <v>0</v>
      </c>
      <c r="J4511" s="84">
        <v>0</v>
      </c>
      <c r="K4511" s="84"/>
      <c r="L4511"/>
      <c r="M4511"/>
      <c r="N4511"/>
      <c r="O4511"/>
      <c r="P4511"/>
      <c r="Q4511"/>
      <c r="R4511"/>
      <c r="S4511"/>
      <c r="T4511"/>
      <c r="U4511"/>
      <c r="V4511"/>
      <c r="W4511"/>
      <c r="X4511"/>
      <c r="Y4511"/>
      <c r="Z4511"/>
      <c r="AA4511"/>
      <c r="AB4511"/>
      <c r="AC4511"/>
      <c r="AD4511"/>
      <c r="AE4511"/>
      <c r="AF4511"/>
      <c r="AG4511"/>
      <c r="AH4511"/>
      <c r="AI4511"/>
      <c r="AJ4511"/>
      <c r="AK4511"/>
      <c r="AL4511"/>
    </row>
    <row r="4512" spans="1:38" ht="12.75" outlineLevel="3" x14ac:dyDescent="0.2">
      <c r="A4512" s="82">
        <v>1</v>
      </c>
      <c r="B4512" s="82" t="s">
        <v>71</v>
      </c>
      <c r="C4512" s="82" t="s">
        <v>1984</v>
      </c>
      <c r="D4512" s="82" t="s">
        <v>1904</v>
      </c>
      <c r="E4512" s="11" t="str">
        <f t="array" ref="E4512">_xlfn.XLOOKUP(D4512,Insumos!B:B,Insumos!C:$C)</f>
        <v>L</v>
      </c>
      <c r="F4512" s="86">
        <f>(16/110)*2</f>
        <v>0.29090909090909089</v>
      </c>
      <c r="G4512" s="92">
        <f t="array" ref="G4512">IF(B4512="insumo",_xlfn.XLOOKUP($D4512,Insumos!$B$1:$B$996,Insumos!$D$1:$D$996),"")</f>
        <v>66.21875</v>
      </c>
      <c r="H4512" s="92">
        <v>19.263636363636401</v>
      </c>
      <c r="I4512" s="84">
        <v>0</v>
      </c>
      <c r="J4512" s="84">
        <v>0</v>
      </c>
      <c r="K4512" s="84"/>
      <c r="L4512"/>
      <c r="M4512"/>
      <c r="N4512"/>
      <c r="O4512"/>
      <c r="P4512"/>
      <c r="Q4512"/>
      <c r="R4512"/>
      <c r="S4512"/>
      <c r="T4512"/>
      <c r="U4512"/>
      <c r="V4512"/>
      <c r="W4512"/>
      <c r="X4512"/>
      <c r="Y4512"/>
      <c r="Z4512"/>
      <c r="AA4512"/>
      <c r="AB4512"/>
      <c r="AC4512"/>
      <c r="AD4512"/>
      <c r="AE4512"/>
      <c r="AF4512"/>
      <c r="AG4512"/>
      <c r="AH4512"/>
      <c r="AI4512"/>
      <c r="AJ4512"/>
      <c r="AK4512"/>
      <c r="AL4512"/>
    </row>
    <row r="4513" spans="1:38" ht="12.75" outlineLevel="2" x14ac:dyDescent="0.2">
      <c r="A4513" s="1071">
        <v>1</v>
      </c>
      <c r="B4513" s="1071" t="s">
        <v>68</v>
      </c>
      <c r="C4513" s="1071" t="s">
        <v>1985</v>
      </c>
      <c r="D4513" s="1071" t="s">
        <v>1985</v>
      </c>
      <c r="E4513" s="1072" t="s">
        <v>70</v>
      </c>
      <c r="F4513" s="1071"/>
      <c r="G4513" s="1073" t="str">
        <f t="array" ref="G4513">IF(B4513="insumo",_xlfn.XLOOKUP($D4513,Insumos!$B$1:$B$996,Insumos!$D$1:$D$996),"")</f>
        <v/>
      </c>
      <c r="H4513" s="1073">
        <v>24.716152909090901</v>
      </c>
      <c r="I4513" s="1074">
        <v>0</v>
      </c>
      <c r="J4513" s="1074">
        <v>0</v>
      </c>
      <c r="K4513" s="1074"/>
      <c r="L4513"/>
      <c r="M4513"/>
      <c r="N4513"/>
      <c r="O4513"/>
      <c r="P4513"/>
      <c r="Q4513"/>
      <c r="R4513"/>
      <c r="S4513"/>
      <c r="T4513"/>
      <c r="U4513"/>
      <c r="V4513"/>
      <c r="W4513"/>
      <c r="X4513"/>
      <c r="Y4513"/>
      <c r="Z4513"/>
      <c r="AA4513"/>
      <c r="AB4513"/>
      <c r="AC4513"/>
      <c r="AD4513"/>
      <c r="AE4513"/>
      <c r="AF4513"/>
      <c r="AG4513"/>
      <c r="AH4513"/>
      <c r="AI4513"/>
      <c r="AJ4513"/>
      <c r="AK4513"/>
      <c r="AL4513"/>
    </row>
    <row r="4514" spans="1:38" ht="12.75" outlineLevel="3" x14ac:dyDescent="0.2">
      <c r="A4514" s="82">
        <v>36</v>
      </c>
      <c r="B4514" s="82" t="s">
        <v>71</v>
      </c>
      <c r="C4514" s="82" t="s">
        <v>1985</v>
      </c>
      <c r="D4514" s="82" t="s">
        <v>104</v>
      </c>
      <c r="E4514" s="11" t="str">
        <f t="array" ref="E4514">_xlfn.XLOOKUP(D4514,Insumos!B:B,Insumos!C:$C)</f>
        <v>UN</v>
      </c>
      <c r="F4514" s="86">
        <v>0.1</v>
      </c>
      <c r="G4514" s="92">
        <f t="array" ref="G4514">IF(B4514="insumo",_xlfn.XLOOKUP($D4514,Insumos!$B$1:$B$996,Insumos!$D$1:$D$996),"")</f>
        <v>1.89</v>
      </c>
      <c r="H4514" s="92">
        <v>0.189</v>
      </c>
      <c r="I4514" s="84">
        <v>0</v>
      </c>
      <c r="J4514" s="84">
        <v>0</v>
      </c>
      <c r="K4514" s="84"/>
      <c r="L4514"/>
      <c r="M4514"/>
      <c r="N4514"/>
      <c r="O4514"/>
      <c r="P4514"/>
      <c r="Q4514"/>
      <c r="R4514"/>
      <c r="S4514"/>
      <c r="T4514"/>
      <c r="U4514"/>
      <c r="V4514"/>
      <c r="W4514"/>
      <c r="X4514"/>
      <c r="Y4514"/>
      <c r="Z4514"/>
      <c r="AA4514"/>
      <c r="AB4514"/>
      <c r="AC4514"/>
      <c r="AD4514"/>
      <c r="AE4514"/>
      <c r="AF4514"/>
      <c r="AG4514"/>
      <c r="AH4514"/>
      <c r="AI4514"/>
      <c r="AJ4514"/>
      <c r="AK4514"/>
      <c r="AL4514"/>
    </row>
    <row r="4515" spans="1:38" ht="12.75" outlineLevel="3" x14ac:dyDescent="0.2">
      <c r="A4515" s="82">
        <v>21</v>
      </c>
      <c r="B4515" s="82" t="s">
        <v>71</v>
      </c>
      <c r="C4515" s="82" t="s">
        <v>1985</v>
      </c>
      <c r="D4515" s="82" t="s">
        <v>765</v>
      </c>
      <c r="E4515" s="11" t="str">
        <f t="array" ref="E4515">_xlfn.XLOOKUP(D4515,Insumos!B:B,Insumos!C:$C)</f>
        <v>KG</v>
      </c>
      <c r="F4515" s="86">
        <v>0.86670000000000003</v>
      </c>
      <c r="G4515" s="92">
        <f t="array" ref="G4515">IF(B4515="insumo",_xlfn.XLOOKUP($D4515,Insumos!$B$1:$B$996,Insumos!$D$1:$D$996),"")</f>
        <v>4.8</v>
      </c>
      <c r="H4515" s="92">
        <v>4.1601600000000003</v>
      </c>
      <c r="I4515" s="84">
        <v>0</v>
      </c>
      <c r="J4515" s="84">
        <v>0</v>
      </c>
      <c r="K4515" s="84"/>
      <c r="L4515"/>
      <c r="M4515"/>
      <c r="N4515"/>
      <c r="O4515"/>
      <c r="P4515"/>
      <c r="Q4515"/>
      <c r="R4515"/>
      <c r="S4515"/>
      <c r="T4515"/>
      <c r="U4515"/>
      <c r="V4515"/>
      <c r="W4515"/>
      <c r="X4515"/>
      <c r="Y4515"/>
      <c r="Z4515"/>
      <c r="AA4515"/>
      <c r="AB4515"/>
      <c r="AC4515"/>
      <c r="AD4515"/>
      <c r="AE4515"/>
      <c r="AF4515"/>
      <c r="AG4515"/>
      <c r="AH4515"/>
      <c r="AI4515"/>
      <c r="AJ4515"/>
      <c r="AK4515"/>
      <c r="AL4515"/>
    </row>
    <row r="4516" spans="1:38" ht="12.75" outlineLevel="3" x14ac:dyDescent="0.2">
      <c r="A4516" s="82">
        <v>31</v>
      </c>
      <c r="B4516" s="82" t="s">
        <v>71</v>
      </c>
      <c r="C4516" s="82" t="s">
        <v>1985</v>
      </c>
      <c r="D4516" s="82" t="s">
        <v>768</v>
      </c>
      <c r="E4516" s="11" t="str">
        <f t="array" ref="E4516">_xlfn.XLOOKUP(D4516,Insumos!B:B,Insumos!C:$C)</f>
        <v>L</v>
      </c>
      <c r="F4516" s="86">
        <v>0.1666</v>
      </c>
      <c r="G4516" s="92">
        <f t="array" ref="G4516">IF(B4516="insumo",_xlfn.XLOOKUP($D4516,Insumos!$B$1:$B$996,Insumos!$D$1:$D$996),"")</f>
        <v>6.47</v>
      </c>
      <c r="H4516" s="92">
        <v>1.0779019999999999</v>
      </c>
      <c r="I4516" s="84">
        <v>0</v>
      </c>
      <c r="J4516" s="84">
        <v>0</v>
      </c>
      <c r="K4516" s="84"/>
      <c r="L4516"/>
      <c r="M4516"/>
      <c r="N4516"/>
      <c r="O4516"/>
      <c r="P4516"/>
      <c r="Q4516"/>
      <c r="R4516"/>
      <c r="S4516"/>
      <c r="T4516"/>
      <c r="U4516"/>
      <c r="V4516"/>
      <c r="W4516"/>
      <c r="X4516"/>
      <c r="Y4516"/>
      <c r="Z4516"/>
      <c r="AA4516"/>
      <c r="AB4516"/>
      <c r="AC4516"/>
      <c r="AD4516"/>
      <c r="AE4516"/>
      <c r="AF4516"/>
      <c r="AG4516"/>
      <c r="AH4516"/>
      <c r="AI4516"/>
      <c r="AJ4516"/>
      <c r="AK4516"/>
      <c r="AL4516"/>
    </row>
    <row r="4517" spans="1:38" ht="12.75" outlineLevel="3" x14ac:dyDescent="0.2">
      <c r="A4517" s="82">
        <v>1</v>
      </c>
      <c r="B4517" s="82" t="s">
        <v>71</v>
      </c>
      <c r="C4517" s="82" t="s">
        <v>1985</v>
      </c>
      <c r="D4517" s="82" t="s">
        <v>1906</v>
      </c>
      <c r="E4517" s="11" t="str">
        <f t="array" ref="E4517">_xlfn.XLOOKUP(D4517,Insumos!B:B,Insumos!C:$C)</f>
        <v>L</v>
      </c>
      <c r="F4517" s="86">
        <f>(16/110)*2</f>
        <v>0.29090909090909089</v>
      </c>
      <c r="G4517" s="92">
        <f t="array" ref="G4517">IF(B4517="insumo",_xlfn.XLOOKUP($D4517,Insumos!$B$1:$B$996,Insumos!$D$1:$D$996),"")</f>
        <v>66.306250000000006</v>
      </c>
      <c r="H4517" s="92">
        <v>19.289090909090898</v>
      </c>
      <c r="I4517" s="84">
        <v>0</v>
      </c>
      <c r="J4517" s="84">
        <v>0</v>
      </c>
      <c r="K4517" s="84"/>
      <c r="L4517"/>
      <c r="M4517"/>
      <c r="N4517"/>
      <c r="O4517"/>
      <c r="P4517"/>
      <c r="Q4517"/>
      <c r="R4517"/>
      <c r="S4517"/>
      <c r="T4517"/>
      <c r="U4517"/>
      <c r="V4517"/>
      <c r="W4517"/>
      <c r="X4517"/>
      <c r="Y4517"/>
      <c r="Z4517"/>
      <c r="AA4517"/>
      <c r="AB4517"/>
      <c r="AC4517"/>
      <c r="AD4517"/>
      <c r="AE4517"/>
      <c r="AF4517"/>
      <c r="AG4517"/>
      <c r="AH4517"/>
      <c r="AI4517"/>
      <c r="AJ4517"/>
      <c r="AK4517"/>
      <c r="AL4517"/>
    </row>
    <row r="4518" spans="1:38" ht="12.75" outlineLevel="2" x14ac:dyDescent="0.2">
      <c r="A4518" s="1071">
        <v>1</v>
      </c>
      <c r="B4518" s="1071" t="s">
        <v>68</v>
      </c>
      <c r="C4518" s="1071" t="s">
        <v>1986</v>
      </c>
      <c r="D4518" s="1071" t="s">
        <v>1986</v>
      </c>
      <c r="E4518" s="1072" t="s">
        <v>70</v>
      </c>
      <c r="F4518" s="1071"/>
      <c r="G4518" s="1073" t="str">
        <f t="array" ref="G4518">IF(B4518="insumo",_xlfn.XLOOKUP($D4518,Insumos!$B$1:$B$996,Insumos!$D$1:$D$996),"")</f>
        <v/>
      </c>
      <c r="H4518" s="1073">
        <v>17.869890282828301</v>
      </c>
      <c r="I4518" s="1074">
        <v>0</v>
      </c>
      <c r="J4518" s="1074">
        <v>0</v>
      </c>
      <c r="K4518" s="1074"/>
      <c r="L4518"/>
      <c r="M4518"/>
      <c r="N4518"/>
      <c r="O4518"/>
      <c r="P4518"/>
      <c r="Q4518"/>
      <c r="R4518"/>
      <c r="S4518"/>
      <c r="T4518"/>
      <c r="U4518"/>
      <c r="V4518"/>
      <c r="W4518"/>
      <c r="X4518"/>
      <c r="Y4518"/>
      <c r="Z4518"/>
      <c r="AA4518"/>
      <c r="AB4518"/>
      <c r="AC4518"/>
      <c r="AD4518"/>
      <c r="AE4518"/>
      <c r="AF4518"/>
      <c r="AG4518"/>
      <c r="AH4518"/>
      <c r="AI4518"/>
      <c r="AJ4518"/>
      <c r="AK4518"/>
      <c r="AL4518"/>
    </row>
    <row r="4519" spans="1:38" ht="12.75" outlineLevel="3" x14ac:dyDescent="0.2">
      <c r="A4519" s="82">
        <v>36</v>
      </c>
      <c r="B4519" s="82" t="s">
        <v>71</v>
      </c>
      <c r="C4519" s="82" t="s">
        <v>1986</v>
      </c>
      <c r="D4519" s="82" t="s">
        <v>104</v>
      </c>
      <c r="E4519" s="11" t="str">
        <f t="array" ref="E4519">_xlfn.XLOOKUP(D4519,Insumos!B:B,Insumos!C:$C)</f>
        <v>UN</v>
      </c>
      <c r="F4519" s="86">
        <v>0.1</v>
      </c>
      <c r="G4519" s="92">
        <f t="array" ref="G4519">IF(B4519="insumo",_xlfn.XLOOKUP($D4519,Insumos!$B$1:$B$996,Insumos!$D$1:$D$996),"")</f>
        <v>1.89</v>
      </c>
      <c r="H4519" s="92">
        <v>0.189</v>
      </c>
      <c r="I4519" s="84">
        <v>0</v>
      </c>
      <c r="J4519" s="84">
        <v>0</v>
      </c>
      <c r="K4519" s="84"/>
      <c r="L4519"/>
      <c r="M4519"/>
      <c r="N4519"/>
      <c r="O4519"/>
      <c r="P4519"/>
      <c r="Q4519"/>
      <c r="R4519"/>
      <c r="S4519"/>
      <c r="T4519"/>
      <c r="U4519"/>
      <c r="V4519"/>
      <c r="W4519"/>
      <c r="X4519"/>
      <c r="Y4519"/>
      <c r="Z4519"/>
      <c r="AA4519"/>
      <c r="AB4519"/>
      <c r="AC4519"/>
      <c r="AD4519"/>
      <c r="AE4519"/>
      <c r="AF4519"/>
      <c r="AG4519"/>
      <c r="AH4519"/>
      <c r="AI4519"/>
      <c r="AJ4519"/>
      <c r="AK4519"/>
      <c r="AL4519"/>
    </row>
    <row r="4520" spans="1:38" ht="12.75" outlineLevel="3" x14ac:dyDescent="0.2">
      <c r="A4520" s="82">
        <v>21</v>
      </c>
      <c r="B4520" s="82" t="s">
        <v>71</v>
      </c>
      <c r="C4520" s="82" t="s">
        <v>1986</v>
      </c>
      <c r="D4520" s="82" t="s">
        <v>765</v>
      </c>
      <c r="E4520" s="11" t="str">
        <f t="array" ref="E4520">_xlfn.XLOOKUP(D4520,Insumos!B:B,Insumos!C:$C)</f>
        <v>KG</v>
      </c>
      <c r="F4520" s="86">
        <v>0.86670000000000003</v>
      </c>
      <c r="G4520" s="92">
        <f t="array" ref="G4520">IF(B4520="insumo",_xlfn.XLOOKUP($D4520,Insumos!$B$1:$B$996,Insumos!$D$1:$D$996),"")</f>
        <v>4.8</v>
      </c>
      <c r="H4520" s="92">
        <v>4.1601600000000003</v>
      </c>
      <c r="I4520" s="84">
        <v>0</v>
      </c>
      <c r="J4520" s="84">
        <v>0</v>
      </c>
      <c r="K4520" s="84"/>
      <c r="L4520"/>
      <c r="M4520"/>
      <c r="N4520"/>
      <c r="O4520"/>
      <c r="P4520"/>
      <c r="Q4520"/>
      <c r="R4520"/>
      <c r="S4520"/>
      <c r="T4520"/>
      <c r="U4520"/>
      <c r="V4520"/>
      <c r="W4520"/>
      <c r="X4520"/>
      <c r="Y4520"/>
      <c r="Z4520"/>
      <c r="AA4520"/>
      <c r="AB4520"/>
      <c r="AC4520"/>
      <c r="AD4520"/>
      <c r="AE4520"/>
      <c r="AF4520"/>
      <c r="AG4520"/>
      <c r="AH4520"/>
      <c r="AI4520"/>
      <c r="AJ4520"/>
      <c r="AK4520"/>
      <c r="AL4520"/>
    </row>
    <row r="4521" spans="1:38" ht="12.75" outlineLevel="3" x14ac:dyDescent="0.2">
      <c r="A4521" s="82">
        <v>31</v>
      </c>
      <c r="B4521" s="82" t="s">
        <v>71</v>
      </c>
      <c r="C4521" s="82" t="s">
        <v>1986</v>
      </c>
      <c r="D4521" s="82" t="s">
        <v>768</v>
      </c>
      <c r="E4521" s="11" t="str">
        <f t="array" ref="E4521">_xlfn.XLOOKUP(D4521,Insumos!B:B,Insumos!C:$C)</f>
        <v>L</v>
      </c>
      <c r="F4521" s="86">
        <v>0.1666</v>
      </c>
      <c r="G4521" s="92">
        <f t="array" ref="G4521">IF(B4521="insumo",_xlfn.XLOOKUP($D4521,Insumos!$B$1:$B$996,Insumos!$D$1:$D$996),"")</f>
        <v>6.47</v>
      </c>
      <c r="H4521" s="92">
        <v>1.0779019999999999</v>
      </c>
      <c r="I4521" s="84">
        <v>0</v>
      </c>
      <c r="J4521" s="84">
        <v>0</v>
      </c>
      <c r="K4521" s="84"/>
      <c r="L4521"/>
      <c r="M4521"/>
      <c r="N4521"/>
      <c r="O4521"/>
      <c r="P4521"/>
      <c r="Q4521"/>
      <c r="R4521"/>
      <c r="S4521"/>
      <c r="T4521"/>
      <c r="U4521"/>
      <c r="V4521"/>
      <c r="W4521"/>
      <c r="X4521"/>
      <c r="Y4521"/>
      <c r="Z4521"/>
      <c r="AA4521"/>
      <c r="AB4521"/>
      <c r="AC4521"/>
      <c r="AD4521"/>
      <c r="AE4521"/>
      <c r="AF4521"/>
      <c r="AG4521"/>
      <c r="AH4521"/>
      <c r="AI4521"/>
      <c r="AJ4521"/>
      <c r="AK4521"/>
      <c r="AL4521"/>
    </row>
    <row r="4522" spans="1:38" ht="12.75" outlineLevel="3" x14ac:dyDescent="0.2">
      <c r="A4522" s="82">
        <v>2</v>
      </c>
      <c r="B4522" s="82" t="s">
        <v>71</v>
      </c>
      <c r="C4522" s="82" t="s">
        <v>1986</v>
      </c>
      <c r="D4522" s="82" t="s">
        <v>1911</v>
      </c>
      <c r="E4522" s="11" t="str">
        <f t="array" ref="E4522">_xlfn.XLOOKUP(D4522,Insumos!B:B,Insumos!C:$C)</f>
        <v>L</v>
      </c>
      <c r="F4522" s="86">
        <f>(16/110)*2</f>
        <v>0.29090909090909089</v>
      </c>
      <c r="G4522" s="92">
        <f t="array" ref="G4522">IF(B4522="insumo",_xlfn.XLOOKUP($D4522,Insumos!$B$1:$B$996,Insumos!$D$1:$D$996),"")</f>
        <v>42.772222222222219</v>
      </c>
      <c r="H4522" s="92">
        <v>12.4428282828283</v>
      </c>
      <c r="I4522" s="84">
        <v>0</v>
      </c>
      <c r="J4522" s="84">
        <v>0</v>
      </c>
      <c r="K4522" s="84"/>
      <c r="L4522"/>
      <c r="M4522"/>
      <c r="N4522"/>
      <c r="O4522"/>
      <c r="P4522"/>
      <c r="Q4522"/>
      <c r="R4522"/>
      <c r="S4522"/>
      <c r="T4522"/>
      <c r="U4522"/>
      <c r="V4522"/>
      <c r="W4522"/>
      <c r="X4522"/>
      <c r="Y4522"/>
      <c r="Z4522"/>
      <c r="AA4522"/>
      <c r="AB4522"/>
      <c r="AC4522"/>
      <c r="AD4522"/>
      <c r="AE4522"/>
      <c r="AF4522"/>
      <c r="AG4522"/>
      <c r="AH4522"/>
      <c r="AI4522"/>
      <c r="AJ4522"/>
      <c r="AK4522"/>
      <c r="AL4522"/>
    </row>
    <row r="4523" spans="1:38" ht="12.75" outlineLevel="2" x14ac:dyDescent="0.2">
      <c r="A4523" s="1071">
        <v>1</v>
      </c>
      <c r="B4523" s="1071" t="s">
        <v>68</v>
      </c>
      <c r="C4523" s="1071" t="s">
        <v>1987</v>
      </c>
      <c r="D4523" s="1071" t="s">
        <v>1987</v>
      </c>
      <c r="E4523" s="1072" t="s">
        <v>70</v>
      </c>
      <c r="F4523" s="1071"/>
      <c r="G4523" s="1073" t="str">
        <f t="array" ref="G4523">IF(B4523="insumo",_xlfn.XLOOKUP($D4523,Insumos!$B$1:$B$996,Insumos!$D$1:$D$996),"")</f>
        <v/>
      </c>
      <c r="H4523" s="1073">
        <v>18.6979710909091</v>
      </c>
      <c r="I4523" s="1074">
        <v>0</v>
      </c>
      <c r="J4523" s="1074">
        <v>0</v>
      </c>
      <c r="K4523" s="1074"/>
      <c r="L4523"/>
      <c r="M4523"/>
      <c r="N4523"/>
      <c r="O4523"/>
      <c r="P4523"/>
      <c r="Q4523"/>
      <c r="R4523"/>
      <c r="S4523"/>
      <c r="T4523"/>
      <c r="U4523"/>
      <c r="V4523"/>
      <c r="W4523"/>
      <c r="X4523"/>
      <c r="Y4523"/>
      <c r="Z4523"/>
      <c r="AA4523"/>
      <c r="AB4523"/>
      <c r="AC4523"/>
      <c r="AD4523"/>
      <c r="AE4523"/>
      <c r="AF4523"/>
      <c r="AG4523"/>
      <c r="AH4523"/>
      <c r="AI4523"/>
      <c r="AJ4523"/>
      <c r="AK4523"/>
      <c r="AL4523"/>
    </row>
    <row r="4524" spans="1:38" ht="12.75" outlineLevel="3" x14ac:dyDescent="0.2">
      <c r="A4524" s="82">
        <v>36</v>
      </c>
      <c r="B4524" s="82" t="s">
        <v>71</v>
      </c>
      <c r="C4524" s="82" t="s">
        <v>1987</v>
      </c>
      <c r="D4524" s="82" t="s">
        <v>104</v>
      </c>
      <c r="E4524" s="11" t="str">
        <f t="array" ref="E4524">_xlfn.XLOOKUP(D4524,Insumos!B:B,Insumos!C:$C)</f>
        <v>UN</v>
      </c>
      <c r="F4524" s="86">
        <v>0.1</v>
      </c>
      <c r="G4524" s="92">
        <f t="array" ref="G4524">IF(B4524="insumo",_xlfn.XLOOKUP($D4524,Insumos!$B$1:$B$996,Insumos!$D$1:$D$996),"")</f>
        <v>1.89</v>
      </c>
      <c r="H4524" s="92">
        <v>0.189</v>
      </c>
      <c r="I4524" s="84">
        <v>0</v>
      </c>
      <c r="J4524" s="84">
        <v>0</v>
      </c>
      <c r="K4524" s="84"/>
      <c r="L4524"/>
      <c r="M4524"/>
      <c r="N4524"/>
      <c r="O4524"/>
      <c r="P4524"/>
      <c r="Q4524"/>
      <c r="R4524"/>
      <c r="S4524"/>
      <c r="T4524"/>
      <c r="U4524"/>
      <c r="V4524"/>
      <c r="W4524"/>
      <c r="X4524"/>
      <c r="Y4524"/>
      <c r="Z4524"/>
      <c r="AA4524"/>
      <c r="AB4524"/>
      <c r="AC4524"/>
      <c r="AD4524"/>
      <c r="AE4524"/>
      <c r="AF4524"/>
      <c r="AG4524"/>
      <c r="AH4524"/>
      <c r="AI4524"/>
      <c r="AJ4524"/>
      <c r="AK4524"/>
      <c r="AL4524"/>
    </row>
    <row r="4525" spans="1:38" ht="12.75" outlineLevel="3" x14ac:dyDescent="0.2">
      <c r="A4525" s="82">
        <v>21</v>
      </c>
      <c r="B4525" s="82" t="s">
        <v>71</v>
      </c>
      <c r="C4525" s="82" t="s">
        <v>1987</v>
      </c>
      <c r="D4525" s="82" t="s">
        <v>765</v>
      </c>
      <c r="E4525" s="11" t="str">
        <f t="array" ref="E4525">_xlfn.XLOOKUP(D4525,Insumos!B:B,Insumos!C:$C)</f>
        <v>KG</v>
      </c>
      <c r="F4525" s="86">
        <v>0.86670000000000003</v>
      </c>
      <c r="G4525" s="92">
        <f t="array" ref="G4525">IF(B4525="insumo",_xlfn.XLOOKUP($D4525,Insumos!$B$1:$B$996,Insumos!$D$1:$D$996),"")</f>
        <v>4.8</v>
      </c>
      <c r="H4525" s="92">
        <v>4.1601600000000003</v>
      </c>
      <c r="I4525" s="84">
        <v>0</v>
      </c>
      <c r="J4525" s="84">
        <v>0</v>
      </c>
      <c r="K4525" s="84"/>
      <c r="L4525"/>
      <c r="M4525"/>
      <c r="N4525"/>
      <c r="O4525"/>
      <c r="P4525"/>
      <c r="Q4525"/>
      <c r="R4525"/>
      <c r="S4525"/>
      <c r="T4525"/>
      <c r="U4525"/>
      <c r="V4525"/>
      <c r="W4525"/>
      <c r="X4525"/>
      <c r="Y4525"/>
      <c r="Z4525"/>
      <c r="AA4525"/>
      <c r="AB4525"/>
      <c r="AC4525"/>
      <c r="AD4525"/>
      <c r="AE4525"/>
      <c r="AF4525"/>
      <c r="AG4525"/>
      <c r="AH4525"/>
      <c r="AI4525"/>
      <c r="AJ4525"/>
      <c r="AK4525"/>
      <c r="AL4525"/>
    </row>
    <row r="4526" spans="1:38" ht="12.75" outlineLevel="3" x14ac:dyDescent="0.2">
      <c r="A4526" s="82">
        <v>31</v>
      </c>
      <c r="B4526" s="82" t="s">
        <v>71</v>
      </c>
      <c r="C4526" s="82" t="s">
        <v>1987</v>
      </c>
      <c r="D4526" s="82" t="s">
        <v>768</v>
      </c>
      <c r="E4526" s="11" t="str">
        <f t="array" ref="E4526">_xlfn.XLOOKUP(D4526,Insumos!B:B,Insumos!C:$C)</f>
        <v>L</v>
      </c>
      <c r="F4526" s="86">
        <v>0.1666</v>
      </c>
      <c r="G4526" s="92">
        <f t="array" ref="G4526">IF(B4526="insumo",_xlfn.XLOOKUP($D4526,Insumos!$B$1:$B$996,Insumos!$D$1:$D$996),"")</f>
        <v>6.47</v>
      </c>
      <c r="H4526" s="92">
        <v>1.0779019999999999</v>
      </c>
      <c r="I4526" s="84">
        <v>0</v>
      </c>
      <c r="J4526" s="84">
        <v>0</v>
      </c>
      <c r="K4526" s="84"/>
      <c r="L4526"/>
      <c r="M4526"/>
      <c r="N4526"/>
      <c r="O4526"/>
      <c r="P4526"/>
      <c r="Q4526"/>
      <c r="R4526"/>
      <c r="S4526"/>
      <c r="T4526"/>
      <c r="U4526"/>
      <c r="V4526"/>
      <c r="W4526"/>
      <c r="X4526"/>
      <c r="Y4526"/>
      <c r="Z4526"/>
      <c r="AA4526"/>
      <c r="AB4526"/>
      <c r="AC4526"/>
      <c r="AD4526"/>
      <c r="AE4526"/>
      <c r="AF4526"/>
      <c r="AG4526"/>
      <c r="AH4526"/>
      <c r="AI4526"/>
      <c r="AJ4526"/>
      <c r="AK4526"/>
      <c r="AL4526"/>
    </row>
    <row r="4527" spans="1:38" ht="12.75" outlineLevel="3" x14ac:dyDescent="0.2">
      <c r="A4527" s="82">
        <v>1</v>
      </c>
      <c r="B4527" s="82" t="s">
        <v>71</v>
      </c>
      <c r="C4527" s="82" t="s">
        <v>1987</v>
      </c>
      <c r="D4527" s="82" t="s">
        <v>1908</v>
      </c>
      <c r="E4527" s="11" t="str">
        <f t="array" ref="E4527">_xlfn.XLOOKUP(D4527,Insumos!B:B,Insumos!C:$C)</f>
        <v>L</v>
      </c>
      <c r="F4527" s="86">
        <f>(16/110)*2</f>
        <v>0.29090909090909089</v>
      </c>
      <c r="G4527" s="92">
        <f t="array" ref="G4527">IF(B4527="insumo",_xlfn.XLOOKUP($D4527,Insumos!$B$1:$B$996,Insumos!$D$1:$D$996),"")</f>
        <v>45.618749999999999</v>
      </c>
      <c r="H4527" s="92">
        <v>13.2709090909091</v>
      </c>
      <c r="I4527" s="84">
        <v>0</v>
      </c>
      <c r="J4527" s="84">
        <v>0</v>
      </c>
      <c r="K4527" s="84"/>
      <c r="L4527"/>
      <c r="M4527"/>
      <c r="N4527"/>
      <c r="O4527"/>
      <c r="P4527"/>
      <c r="Q4527"/>
      <c r="R4527"/>
      <c r="S4527"/>
      <c r="T4527"/>
      <c r="U4527"/>
      <c r="V4527"/>
      <c r="W4527"/>
      <c r="X4527"/>
      <c r="Y4527"/>
      <c r="Z4527"/>
      <c r="AA4527"/>
      <c r="AB4527"/>
      <c r="AC4527"/>
      <c r="AD4527"/>
      <c r="AE4527"/>
      <c r="AF4527"/>
      <c r="AG4527"/>
      <c r="AH4527"/>
      <c r="AI4527"/>
      <c r="AJ4527"/>
      <c r="AK4527"/>
      <c r="AL4527"/>
    </row>
    <row r="4528" spans="1:38" ht="12.75" outlineLevel="2" x14ac:dyDescent="0.2">
      <c r="A4528" s="1071">
        <v>1</v>
      </c>
      <c r="B4528" s="1071" t="s">
        <v>68</v>
      </c>
      <c r="C4528" s="1071" t="s">
        <v>1988</v>
      </c>
      <c r="D4528" s="1071" t="s">
        <v>1988</v>
      </c>
      <c r="E4528" s="1072" t="s">
        <v>70</v>
      </c>
      <c r="F4528" s="1071"/>
      <c r="G4528" s="1073" t="str">
        <f t="array" ref="G4528">IF(B4528="insumo",_xlfn.XLOOKUP($D4528,Insumos!$B$1:$B$996,Insumos!$D$1:$D$996),"")</f>
        <v/>
      </c>
      <c r="H4528" s="1073">
        <v>21.207062000000001</v>
      </c>
      <c r="I4528" s="1074">
        <v>0</v>
      </c>
      <c r="J4528" s="1074">
        <v>0</v>
      </c>
      <c r="K4528" s="1074"/>
      <c r="L4528"/>
      <c r="M4528"/>
      <c r="N4528"/>
      <c r="O4528"/>
      <c r="P4528"/>
      <c r="Q4528"/>
      <c r="R4528"/>
      <c r="S4528"/>
      <c r="T4528"/>
      <c r="U4528"/>
      <c r="V4528"/>
      <c r="W4528"/>
      <c r="X4528"/>
      <c r="Y4528"/>
      <c r="Z4528"/>
      <c r="AA4528"/>
      <c r="AB4528"/>
      <c r="AC4528"/>
      <c r="AD4528"/>
      <c r="AE4528"/>
      <c r="AF4528"/>
      <c r="AG4528"/>
      <c r="AH4528"/>
      <c r="AI4528"/>
      <c r="AJ4528"/>
      <c r="AK4528"/>
      <c r="AL4528"/>
    </row>
    <row r="4529" spans="1:38" ht="12.75" outlineLevel="3" x14ac:dyDescent="0.2">
      <c r="A4529" s="82">
        <v>36</v>
      </c>
      <c r="B4529" s="82" t="s">
        <v>71</v>
      </c>
      <c r="C4529" s="82" t="s">
        <v>1988</v>
      </c>
      <c r="D4529" s="82" t="s">
        <v>104</v>
      </c>
      <c r="E4529" s="11" t="str">
        <f t="array" ref="E4529">_xlfn.XLOOKUP(D4529,Insumos!B:B,Insumos!C:$C)</f>
        <v>UN</v>
      </c>
      <c r="F4529" s="86">
        <v>0.1</v>
      </c>
      <c r="G4529" s="92">
        <f t="array" ref="G4529">IF(B4529="insumo",_xlfn.XLOOKUP($D4529,Insumos!$B$1:$B$996,Insumos!$D$1:$D$996),"")</f>
        <v>1.89</v>
      </c>
      <c r="H4529" s="92">
        <v>0.189</v>
      </c>
      <c r="I4529" s="84">
        <v>0</v>
      </c>
      <c r="J4529" s="84">
        <v>0</v>
      </c>
      <c r="K4529" s="84"/>
      <c r="L4529"/>
      <c r="M4529"/>
      <c r="N4529"/>
      <c r="O4529"/>
      <c r="P4529"/>
      <c r="Q4529"/>
      <c r="R4529"/>
      <c r="S4529"/>
      <c r="T4529"/>
      <c r="U4529"/>
      <c r="V4529"/>
      <c r="W4529"/>
      <c r="X4529"/>
      <c r="Y4529"/>
      <c r="Z4529"/>
      <c r="AA4529"/>
      <c r="AB4529"/>
      <c r="AC4529"/>
      <c r="AD4529"/>
      <c r="AE4529"/>
      <c r="AF4529"/>
      <c r="AG4529"/>
      <c r="AH4529"/>
      <c r="AI4529"/>
      <c r="AJ4529"/>
      <c r="AK4529"/>
      <c r="AL4529"/>
    </row>
    <row r="4530" spans="1:38" ht="12.75" outlineLevel="3" x14ac:dyDescent="0.2">
      <c r="A4530" s="82">
        <v>21</v>
      </c>
      <c r="B4530" s="82" t="s">
        <v>71</v>
      </c>
      <c r="C4530" s="82" t="s">
        <v>1988</v>
      </c>
      <c r="D4530" s="82" t="s">
        <v>765</v>
      </c>
      <c r="E4530" s="11" t="str">
        <f t="array" ref="E4530">_xlfn.XLOOKUP(D4530,Insumos!B:B,Insumos!C:$C)</f>
        <v>KG</v>
      </c>
      <c r="F4530" s="86">
        <v>0.86670000000000003</v>
      </c>
      <c r="G4530" s="92">
        <f t="array" ref="G4530">IF(B4530="insumo",_xlfn.XLOOKUP($D4530,Insumos!$B$1:$B$996,Insumos!$D$1:$D$996),"")</f>
        <v>4.8</v>
      </c>
      <c r="H4530" s="92">
        <v>4.1601600000000003</v>
      </c>
      <c r="I4530" s="84">
        <v>0</v>
      </c>
      <c r="J4530" s="84">
        <v>0</v>
      </c>
      <c r="K4530" s="84"/>
      <c r="L4530"/>
      <c r="M4530"/>
      <c r="N4530"/>
      <c r="O4530"/>
      <c r="P4530"/>
      <c r="Q4530"/>
      <c r="R4530"/>
      <c r="S4530"/>
      <c r="T4530"/>
      <c r="U4530"/>
      <c r="V4530"/>
      <c r="W4530"/>
      <c r="X4530"/>
      <c r="Y4530"/>
      <c r="Z4530"/>
      <c r="AA4530"/>
      <c r="AB4530"/>
      <c r="AC4530"/>
      <c r="AD4530"/>
      <c r="AE4530"/>
      <c r="AF4530"/>
      <c r="AG4530"/>
      <c r="AH4530"/>
      <c r="AI4530"/>
      <c r="AJ4530"/>
      <c r="AK4530"/>
      <c r="AL4530"/>
    </row>
    <row r="4531" spans="1:38" ht="12.75" outlineLevel="3" x14ac:dyDescent="0.2">
      <c r="A4531" s="82">
        <v>31</v>
      </c>
      <c r="B4531" s="82" t="s">
        <v>71</v>
      </c>
      <c r="C4531" s="82" t="s">
        <v>1988</v>
      </c>
      <c r="D4531" s="82" t="s">
        <v>768</v>
      </c>
      <c r="E4531" s="11" t="str">
        <f t="array" ref="E4531">_xlfn.XLOOKUP(D4531,Insumos!B:B,Insumos!C:$C)</f>
        <v>L</v>
      </c>
      <c r="F4531" s="86">
        <v>0.1666</v>
      </c>
      <c r="G4531" s="92">
        <f t="array" ref="G4531">IF(B4531="insumo",_xlfn.XLOOKUP($D4531,Insumos!$B$1:$B$996,Insumos!$D$1:$D$996),"")</f>
        <v>6.47</v>
      </c>
      <c r="H4531" s="92">
        <v>1.0779019999999999</v>
      </c>
      <c r="I4531" s="84">
        <v>0</v>
      </c>
      <c r="J4531" s="84">
        <v>0</v>
      </c>
      <c r="K4531" s="84"/>
      <c r="L4531"/>
      <c r="M4531"/>
      <c r="N4531"/>
      <c r="O4531"/>
      <c r="P4531"/>
      <c r="Q4531"/>
      <c r="R4531"/>
      <c r="S4531"/>
      <c r="T4531"/>
      <c r="U4531"/>
      <c r="V4531"/>
      <c r="W4531"/>
      <c r="X4531"/>
      <c r="Y4531"/>
      <c r="Z4531"/>
      <c r="AA4531"/>
      <c r="AB4531"/>
      <c r="AC4531"/>
      <c r="AD4531"/>
      <c r="AE4531"/>
      <c r="AF4531"/>
      <c r="AG4531"/>
      <c r="AH4531"/>
      <c r="AI4531"/>
      <c r="AJ4531"/>
      <c r="AK4531"/>
      <c r="AL4531"/>
    </row>
    <row r="4532" spans="1:38" ht="12.75" outlineLevel="3" x14ac:dyDescent="0.2">
      <c r="A4532" s="82">
        <v>1</v>
      </c>
      <c r="B4532" s="82" t="s">
        <v>71</v>
      </c>
      <c r="C4532" s="82" t="s">
        <v>1988</v>
      </c>
      <c r="D4532" s="82" t="s">
        <v>1907</v>
      </c>
      <c r="E4532" s="11" t="str">
        <f t="array" ref="E4532">_xlfn.XLOOKUP(D4532,Insumos!B:B,Insumos!C:$C)</f>
        <v>L</v>
      </c>
      <c r="F4532" s="86">
        <f>(16/110)*2</f>
        <v>0.29090909090909089</v>
      </c>
      <c r="G4532" s="92">
        <f t="array" ref="G4532">IF(B4532="insumo",_xlfn.XLOOKUP($D4532,Insumos!$B$1:$B$996,Insumos!$D$1:$D$996),"")</f>
        <v>54.243749999999999</v>
      </c>
      <c r="H4532" s="92">
        <v>15.78</v>
      </c>
      <c r="I4532" s="84">
        <v>0</v>
      </c>
      <c r="J4532" s="84">
        <v>0</v>
      </c>
      <c r="K4532" s="84"/>
      <c r="L4532"/>
      <c r="M4532"/>
      <c r="N4532"/>
      <c r="O4532"/>
      <c r="P4532"/>
      <c r="Q4532"/>
      <c r="R4532"/>
      <c r="S4532"/>
      <c r="T4532"/>
      <c r="U4532"/>
      <c r="V4532"/>
      <c r="W4532"/>
      <c r="X4532"/>
      <c r="Y4532"/>
      <c r="Z4532"/>
      <c r="AA4532"/>
      <c r="AB4532"/>
      <c r="AC4532"/>
      <c r="AD4532"/>
      <c r="AE4532"/>
      <c r="AF4532"/>
      <c r="AG4532"/>
      <c r="AH4532"/>
      <c r="AI4532"/>
      <c r="AJ4532"/>
      <c r="AK4532"/>
      <c r="AL4532"/>
    </row>
    <row r="4533" spans="1:38" ht="12.75" outlineLevel="2" x14ac:dyDescent="0.2">
      <c r="A4533" s="1071">
        <v>1</v>
      </c>
      <c r="B4533" s="1071" t="s">
        <v>68</v>
      </c>
      <c r="C4533" s="1071" t="s">
        <v>1989</v>
      </c>
      <c r="D4533" s="1071" t="s">
        <v>1989</v>
      </c>
      <c r="E4533" s="1072" t="s">
        <v>70</v>
      </c>
      <c r="F4533" s="1071"/>
      <c r="G4533" s="1073" t="str">
        <f t="array" ref="G4533">IF(B4533="insumo",_xlfn.XLOOKUP($D4533,Insumos!$B$1:$B$996,Insumos!$D$1:$D$996),"")</f>
        <v/>
      </c>
      <c r="H4533" s="1073">
        <v>21.552516545454498</v>
      </c>
      <c r="I4533" s="1074">
        <v>0</v>
      </c>
      <c r="J4533" s="1074">
        <v>0</v>
      </c>
      <c r="K4533" s="1074"/>
      <c r="L4533"/>
      <c r="M4533"/>
      <c r="N4533"/>
      <c r="O4533"/>
      <c r="P4533"/>
      <c r="Q4533"/>
      <c r="R4533"/>
      <c r="S4533"/>
      <c r="T4533"/>
      <c r="U4533"/>
      <c r="V4533"/>
      <c r="W4533"/>
      <c r="X4533"/>
      <c r="Y4533"/>
      <c r="Z4533"/>
      <c r="AA4533"/>
      <c r="AB4533"/>
      <c r="AC4533"/>
      <c r="AD4533"/>
      <c r="AE4533"/>
      <c r="AF4533"/>
      <c r="AG4533"/>
      <c r="AH4533"/>
      <c r="AI4533"/>
      <c r="AJ4533"/>
      <c r="AK4533"/>
      <c r="AL4533"/>
    </row>
    <row r="4534" spans="1:38" ht="12.75" outlineLevel="3" x14ac:dyDescent="0.2">
      <c r="A4534" s="82">
        <v>36</v>
      </c>
      <c r="B4534" s="82" t="s">
        <v>71</v>
      </c>
      <c r="C4534" s="82" t="s">
        <v>1989</v>
      </c>
      <c r="D4534" s="82" t="s">
        <v>104</v>
      </c>
      <c r="E4534" s="11" t="str">
        <f t="array" ref="E4534">_xlfn.XLOOKUP(D4534,Insumos!B:B,Insumos!C:$C)</f>
        <v>UN</v>
      </c>
      <c r="F4534" s="86">
        <v>0.1</v>
      </c>
      <c r="G4534" s="92">
        <f t="array" ref="G4534">IF(B4534="insumo",_xlfn.XLOOKUP($D4534,Insumos!$B$1:$B$996,Insumos!$D$1:$D$996),"")</f>
        <v>1.89</v>
      </c>
      <c r="H4534" s="92">
        <v>0.189</v>
      </c>
      <c r="I4534" s="84">
        <v>0</v>
      </c>
      <c r="J4534" s="84">
        <v>0</v>
      </c>
      <c r="K4534" s="84"/>
      <c r="L4534"/>
      <c r="M4534"/>
      <c r="N4534"/>
      <c r="O4534"/>
      <c r="P4534"/>
      <c r="Q4534"/>
      <c r="R4534"/>
      <c r="S4534"/>
      <c r="T4534"/>
      <c r="U4534"/>
      <c r="V4534"/>
      <c r="W4534"/>
      <c r="X4534"/>
      <c r="Y4534"/>
      <c r="Z4534"/>
      <c r="AA4534"/>
      <c r="AB4534"/>
      <c r="AC4534"/>
      <c r="AD4534"/>
      <c r="AE4534"/>
      <c r="AF4534"/>
      <c r="AG4534"/>
      <c r="AH4534"/>
      <c r="AI4534"/>
      <c r="AJ4534"/>
      <c r="AK4534"/>
      <c r="AL4534"/>
    </row>
    <row r="4535" spans="1:38" ht="12.75" outlineLevel="3" x14ac:dyDescent="0.2">
      <c r="A4535" s="82">
        <v>21</v>
      </c>
      <c r="B4535" s="82" t="s">
        <v>71</v>
      </c>
      <c r="C4535" s="82" t="s">
        <v>1989</v>
      </c>
      <c r="D4535" s="82" t="s">
        <v>765</v>
      </c>
      <c r="E4535" s="11" t="str">
        <f t="array" ref="E4535">_xlfn.XLOOKUP(D4535,Insumos!B:B,Insumos!C:$C)</f>
        <v>KG</v>
      </c>
      <c r="F4535" s="86">
        <v>0.86670000000000003</v>
      </c>
      <c r="G4535" s="92">
        <f t="array" ref="G4535">IF(B4535="insumo",_xlfn.XLOOKUP($D4535,Insumos!$B$1:$B$996,Insumos!$D$1:$D$996),"")</f>
        <v>4.8</v>
      </c>
      <c r="H4535" s="92">
        <v>4.1601600000000003</v>
      </c>
      <c r="I4535" s="84">
        <v>0</v>
      </c>
      <c r="J4535" s="84">
        <v>0</v>
      </c>
      <c r="K4535" s="84"/>
      <c r="L4535"/>
      <c r="M4535"/>
      <c r="N4535"/>
      <c r="O4535"/>
      <c r="P4535"/>
      <c r="Q4535"/>
      <c r="R4535"/>
      <c r="S4535"/>
      <c r="T4535"/>
      <c r="U4535"/>
      <c r="V4535"/>
      <c r="W4535"/>
      <c r="X4535"/>
      <c r="Y4535"/>
      <c r="Z4535"/>
      <c r="AA4535"/>
      <c r="AB4535"/>
      <c r="AC4535"/>
      <c r="AD4535"/>
      <c r="AE4535"/>
      <c r="AF4535"/>
      <c r="AG4535"/>
      <c r="AH4535"/>
      <c r="AI4535"/>
      <c r="AJ4535"/>
      <c r="AK4535"/>
      <c r="AL4535"/>
    </row>
    <row r="4536" spans="1:38" ht="12.75" outlineLevel="3" x14ac:dyDescent="0.2">
      <c r="A4536" s="82">
        <v>31</v>
      </c>
      <c r="B4536" s="82" t="s">
        <v>71</v>
      </c>
      <c r="C4536" s="82" t="s">
        <v>1989</v>
      </c>
      <c r="D4536" s="82" t="s">
        <v>768</v>
      </c>
      <c r="E4536" s="11" t="str">
        <f t="array" ref="E4536">_xlfn.XLOOKUP(D4536,Insumos!B:B,Insumos!C:$C)</f>
        <v>L</v>
      </c>
      <c r="F4536" s="86">
        <v>0.1666</v>
      </c>
      <c r="G4536" s="92">
        <f t="array" ref="G4536">IF(B4536="insumo",_xlfn.XLOOKUP($D4536,Insumos!$B$1:$B$996,Insumos!$D$1:$D$996),"")</f>
        <v>6.47</v>
      </c>
      <c r="H4536" s="92">
        <v>1.0779019999999999</v>
      </c>
      <c r="I4536" s="84">
        <v>0</v>
      </c>
      <c r="J4536" s="84">
        <v>0</v>
      </c>
      <c r="K4536" s="84"/>
      <c r="L4536"/>
      <c r="M4536"/>
      <c r="N4536"/>
      <c r="O4536"/>
      <c r="P4536"/>
      <c r="Q4536"/>
      <c r="R4536"/>
      <c r="S4536"/>
      <c r="T4536"/>
      <c r="U4536"/>
      <c r="V4536"/>
      <c r="W4536"/>
      <c r="X4536"/>
      <c r="Y4536"/>
      <c r="Z4536"/>
      <c r="AA4536"/>
      <c r="AB4536"/>
      <c r="AC4536"/>
      <c r="AD4536"/>
      <c r="AE4536"/>
      <c r="AF4536"/>
      <c r="AG4536"/>
      <c r="AH4536"/>
      <c r="AI4536"/>
      <c r="AJ4536"/>
      <c r="AK4536"/>
      <c r="AL4536"/>
    </row>
    <row r="4537" spans="1:38" ht="12.75" outlineLevel="3" x14ac:dyDescent="0.2">
      <c r="A4537" s="82">
        <v>1</v>
      </c>
      <c r="B4537" s="82" t="s">
        <v>71</v>
      </c>
      <c r="C4537" s="82" t="s">
        <v>1989</v>
      </c>
      <c r="D4537" s="82" t="s">
        <v>1909</v>
      </c>
      <c r="E4537" s="11" t="str">
        <f t="array" ref="E4537">_xlfn.XLOOKUP(D4537,Insumos!B:B,Insumos!C:$C)</f>
        <v>L</v>
      </c>
      <c r="F4537" s="86">
        <f>(16/110)*2</f>
        <v>0.29090909090909089</v>
      </c>
      <c r="G4537" s="92">
        <f t="array" ref="G4537">IF(B4537="insumo",_xlfn.XLOOKUP($D4537,Insumos!$B$1:$B$996,Insumos!$D$1:$D$996),"")</f>
        <v>55.431249999999999</v>
      </c>
      <c r="H4537" s="92">
        <v>16.125454545454499</v>
      </c>
      <c r="I4537" s="84">
        <v>0</v>
      </c>
      <c r="J4537" s="84">
        <v>0</v>
      </c>
      <c r="K4537" s="84"/>
      <c r="L4537"/>
      <c r="M4537"/>
      <c r="N4537"/>
      <c r="O4537"/>
      <c r="P4537"/>
      <c r="Q4537"/>
      <c r="R4537"/>
      <c r="S4537"/>
      <c r="T4537"/>
      <c r="U4537"/>
      <c r="V4537"/>
      <c r="W4537"/>
      <c r="X4537"/>
      <c r="Y4537"/>
      <c r="Z4537"/>
      <c r="AA4537"/>
      <c r="AB4537"/>
      <c r="AC4537"/>
      <c r="AD4537"/>
      <c r="AE4537"/>
      <c r="AF4537"/>
      <c r="AG4537"/>
      <c r="AH4537"/>
      <c r="AI4537"/>
      <c r="AJ4537"/>
      <c r="AK4537"/>
      <c r="AL4537"/>
    </row>
    <row r="4538" spans="1:38" ht="12.75" outlineLevel="2" x14ac:dyDescent="0.2">
      <c r="A4538" s="1071">
        <v>1</v>
      </c>
      <c r="B4538" s="1071" t="s">
        <v>68</v>
      </c>
      <c r="C4538" s="1071" t="s">
        <v>1990</v>
      </c>
      <c r="D4538" s="1071" t="s">
        <v>1990</v>
      </c>
      <c r="E4538" s="1072" t="s">
        <v>70</v>
      </c>
      <c r="F4538" s="1071"/>
      <c r="G4538" s="1073" t="str">
        <f t="array" ref="G4538">IF(B4538="insumo",_xlfn.XLOOKUP($D4538,Insumos!$B$1:$B$996,Insumos!$D$1:$D$996),"")</f>
        <v/>
      </c>
      <c r="H4538" s="1073">
        <v>15.4456478585859</v>
      </c>
      <c r="I4538" s="1074">
        <v>0</v>
      </c>
      <c r="J4538" s="1074">
        <v>0</v>
      </c>
      <c r="K4538" s="1074"/>
      <c r="L4538"/>
      <c r="M4538"/>
      <c r="N4538"/>
      <c r="O4538"/>
      <c r="P4538"/>
      <c r="Q4538"/>
      <c r="R4538"/>
      <c r="S4538"/>
      <c r="T4538"/>
      <c r="U4538"/>
      <c r="V4538"/>
      <c r="W4538"/>
      <c r="X4538"/>
      <c r="Y4538"/>
      <c r="Z4538"/>
      <c r="AA4538"/>
      <c r="AB4538"/>
      <c r="AC4538"/>
      <c r="AD4538"/>
      <c r="AE4538"/>
      <c r="AF4538"/>
      <c r="AG4538"/>
      <c r="AH4538"/>
      <c r="AI4538"/>
      <c r="AJ4538"/>
      <c r="AK4538"/>
      <c r="AL4538"/>
    </row>
    <row r="4539" spans="1:38" ht="12.75" outlineLevel="3" x14ac:dyDescent="0.2">
      <c r="A4539" s="82">
        <v>36</v>
      </c>
      <c r="B4539" s="82" t="s">
        <v>71</v>
      </c>
      <c r="C4539" s="82" t="s">
        <v>1990</v>
      </c>
      <c r="D4539" s="82" t="s">
        <v>104</v>
      </c>
      <c r="E4539" s="11" t="str">
        <f t="array" ref="E4539">_xlfn.XLOOKUP(D4539,Insumos!B:B,Insumos!C:$C)</f>
        <v>UN</v>
      </c>
      <c r="F4539" s="86">
        <v>0.1</v>
      </c>
      <c r="G4539" s="92">
        <f t="array" ref="G4539">IF(B4539="insumo",_xlfn.XLOOKUP($D4539,Insumos!$B$1:$B$996,Insumos!$D$1:$D$996),"")</f>
        <v>1.89</v>
      </c>
      <c r="H4539" s="92">
        <v>0.189</v>
      </c>
      <c r="I4539" s="84">
        <v>0</v>
      </c>
      <c r="J4539" s="84">
        <v>0</v>
      </c>
      <c r="K4539" s="84"/>
      <c r="L4539"/>
      <c r="M4539"/>
      <c r="N4539"/>
      <c r="O4539"/>
      <c r="P4539"/>
      <c r="Q4539"/>
      <c r="R4539"/>
      <c r="S4539"/>
      <c r="T4539"/>
      <c r="U4539"/>
      <c r="V4539"/>
      <c r="W4539"/>
      <c r="X4539"/>
      <c r="Y4539"/>
      <c r="Z4539"/>
      <c r="AA4539"/>
      <c r="AB4539"/>
      <c r="AC4539"/>
      <c r="AD4539"/>
      <c r="AE4539"/>
      <c r="AF4539"/>
      <c r="AG4539"/>
      <c r="AH4539"/>
      <c r="AI4539"/>
      <c r="AJ4539"/>
      <c r="AK4539"/>
      <c r="AL4539"/>
    </row>
    <row r="4540" spans="1:38" ht="12.75" outlineLevel="3" x14ac:dyDescent="0.2">
      <c r="A4540" s="82">
        <v>21</v>
      </c>
      <c r="B4540" s="82" t="s">
        <v>71</v>
      </c>
      <c r="C4540" s="82" t="s">
        <v>1990</v>
      </c>
      <c r="D4540" s="82" t="s">
        <v>765</v>
      </c>
      <c r="E4540" s="11" t="str">
        <f t="array" ref="E4540">_xlfn.XLOOKUP(D4540,Insumos!B:B,Insumos!C:$C)</f>
        <v>KG</v>
      </c>
      <c r="F4540" s="86">
        <v>0.86670000000000003</v>
      </c>
      <c r="G4540" s="92">
        <f t="array" ref="G4540">IF(B4540="insumo",_xlfn.XLOOKUP($D4540,Insumos!$B$1:$B$996,Insumos!$D$1:$D$996),"")</f>
        <v>4.8</v>
      </c>
      <c r="H4540" s="92">
        <v>4.1601600000000003</v>
      </c>
      <c r="I4540" s="84">
        <v>0</v>
      </c>
      <c r="J4540" s="84">
        <v>0</v>
      </c>
      <c r="K4540" s="84"/>
      <c r="L4540"/>
      <c r="M4540"/>
      <c r="N4540"/>
      <c r="O4540"/>
      <c r="P4540"/>
      <c r="Q4540"/>
      <c r="R4540"/>
      <c r="S4540"/>
      <c r="T4540"/>
      <c r="U4540"/>
      <c r="V4540"/>
      <c r="W4540"/>
      <c r="X4540"/>
      <c r="Y4540"/>
      <c r="Z4540"/>
      <c r="AA4540"/>
      <c r="AB4540"/>
      <c r="AC4540"/>
      <c r="AD4540"/>
      <c r="AE4540"/>
      <c r="AF4540"/>
      <c r="AG4540"/>
      <c r="AH4540"/>
      <c r="AI4540"/>
      <c r="AJ4540"/>
      <c r="AK4540"/>
      <c r="AL4540"/>
    </row>
    <row r="4541" spans="1:38" ht="12.75" outlineLevel="3" x14ac:dyDescent="0.2">
      <c r="A4541" s="82">
        <v>31</v>
      </c>
      <c r="B4541" s="82" t="s">
        <v>71</v>
      </c>
      <c r="C4541" s="82" t="s">
        <v>1990</v>
      </c>
      <c r="D4541" s="82" t="s">
        <v>768</v>
      </c>
      <c r="E4541" s="11" t="str">
        <f t="array" ref="E4541">_xlfn.XLOOKUP(D4541,Insumos!B:B,Insumos!C:$C)</f>
        <v>L</v>
      </c>
      <c r="F4541" s="86">
        <v>0.1666</v>
      </c>
      <c r="G4541" s="92">
        <f t="array" ref="G4541">IF(B4541="insumo",_xlfn.XLOOKUP($D4541,Insumos!$B$1:$B$996,Insumos!$D$1:$D$996),"")</f>
        <v>6.47</v>
      </c>
      <c r="H4541" s="92">
        <v>1.0779019999999999</v>
      </c>
      <c r="I4541" s="84">
        <v>0</v>
      </c>
      <c r="J4541" s="84">
        <v>0</v>
      </c>
      <c r="K4541" s="84"/>
      <c r="L4541"/>
      <c r="M4541"/>
      <c r="N4541"/>
      <c r="O4541"/>
      <c r="P4541"/>
      <c r="Q4541"/>
      <c r="R4541"/>
      <c r="S4541"/>
      <c r="T4541"/>
      <c r="U4541"/>
      <c r="V4541"/>
      <c r="W4541"/>
      <c r="X4541"/>
      <c r="Y4541"/>
      <c r="Z4541"/>
      <c r="AA4541"/>
      <c r="AB4541"/>
      <c r="AC4541"/>
      <c r="AD4541"/>
      <c r="AE4541"/>
      <c r="AF4541"/>
      <c r="AG4541"/>
      <c r="AH4541"/>
      <c r="AI4541"/>
      <c r="AJ4541"/>
      <c r="AK4541"/>
      <c r="AL4541"/>
    </row>
    <row r="4542" spans="1:38" ht="12.75" outlineLevel="3" x14ac:dyDescent="0.2">
      <c r="A4542" s="82">
        <v>2</v>
      </c>
      <c r="B4542" s="82" t="s">
        <v>71</v>
      </c>
      <c r="C4542" s="82" t="s">
        <v>1990</v>
      </c>
      <c r="D4542" s="82" t="s">
        <v>1910</v>
      </c>
      <c r="E4542" s="11" t="str">
        <f t="array" ref="E4542">_xlfn.XLOOKUP(D4542,Insumos!B:B,Insumos!C:$C)</f>
        <v>L</v>
      </c>
      <c r="F4542" s="86">
        <f>(16/110)*2</f>
        <v>0.29090909090909089</v>
      </c>
      <c r="G4542" s="92">
        <f t="array" ref="G4542">IF(B4542="insumo",_xlfn.XLOOKUP($D4542,Insumos!$B$1:$B$996,Insumos!$D$1:$D$996),"")</f>
        <v>34.43888888888889</v>
      </c>
      <c r="H4542" s="92">
        <v>10.018585858585899</v>
      </c>
      <c r="I4542" s="84">
        <v>0</v>
      </c>
      <c r="J4542" s="84">
        <v>0</v>
      </c>
      <c r="K4542" s="84"/>
      <c r="L4542"/>
      <c r="M4542"/>
      <c r="N4542"/>
      <c r="O4542"/>
      <c r="P4542"/>
      <c r="Q4542"/>
      <c r="R4542"/>
      <c r="S4542"/>
      <c r="T4542"/>
      <c r="U4542"/>
      <c r="V4542"/>
      <c r="W4542"/>
      <c r="X4542"/>
      <c r="Y4542"/>
      <c r="Z4542"/>
      <c r="AA4542"/>
      <c r="AB4542"/>
      <c r="AC4542"/>
      <c r="AD4542"/>
      <c r="AE4542"/>
      <c r="AF4542"/>
      <c r="AG4542"/>
      <c r="AH4542"/>
      <c r="AI4542"/>
      <c r="AJ4542"/>
      <c r="AK4542"/>
      <c r="AL4542"/>
    </row>
    <row r="4543" spans="1:38" ht="12.75" outlineLevel="2" x14ac:dyDescent="0.2">
      <c r="A4543" s="1071">
        <v>1</v>
      </c>
      <c r="B4543" s="1071" t="s">
        <v>68</v>
      </c>
      <c r="C4543" s="1071" t="s">
        <v>1991</v>
      </c>
      <c r="D4543" s="1071" t="s">
        <v>1991</v>
      </c>
      <c r="E4543" s="1072" t="s">
        <v>70</v>
      </c>
      <c r="F4543" s="1071"/>
      <c r="G4543" s="1073" t="str">
        <f t="array" ref="G4543">IF(B4543="insumo",_xlfn.XLOOKUP($D4543,Insumos!$B$1:$B$996,Insumos!$D$1:$D$996),"")</f>
        <v/>
      </c>
      <c r="H4543" s="1073">
        <v>3.3191999999999999</v>
      </c>
      <c r="I4543" s="1074">
        <v>0</v>
      </c>
      <c r="J4543" s="1074">
        <v>0</v>
      </c>
      <c r="K4543" s="1074"/>
      <c r="L4543"/>
      <c r="M4543"/>
      <c r="N4543"/>
      <c r="O4543"/>
      <c r="P4543"/>
      <c r="Q4543"/>
      <c r="R4543"/>
      <c r="S4543"/>
      <c r="T4543"/>
      <c r="U4543"/>
      <c r="V4543"/>
      <c r="W4543"/>
      <c r="X4543"/>
      <c r="Y4543"/>
      <c r="Z4543"/>
      <c r="AA4543"/>
      <c r="AB4543"/>
      <c r="AC4543"/>
      <c r="AD4543"/>
      <c r="AE4543"/>
      <c r="AF4543"/>
      <c r="AG4543"/>
      <c r="AH4543"/>
      <c r="AI4543"/>
      <c r="AJ4543"/>
      <c r="AK4543"/>
      <c r="AL4543"/>
    </row>
    <row r="4544" spans="1:38" ht="12.75" outlineLevel="3" x14ac:dyDescent="0.2">
      <c r="A4544" s="82">
        <v>1</v>
      </c>
      <c r="B4544" s="82" t="s">
        <v>71</v>
      </c>
      <c r="C4544" s="82" t="s">
        <v>1991</v>
      </c>
      <c r="D4544" s="82" t="s">
        <v>1912</v>
      </c>
      <c r="E4544" s="11" t="str">
        <f t="array" ref="E4544">_xlfn.XLOOKUP(D4544,Insumos!B:B,Insumos!C:$C)</f>
        <v>L</v>
      </c>
      <c r="F4544" s="86">
        <f>(18/250)*2</f>
        <v>0.14399999999999999</v>
      </c>
      <c r="G4544" s="92">
        <f t="array" ref="G4544">IF(B4544="insumo",_xlfn.XLOOKUP($D4544,Insumos!$B$1:$B$996,Insumos!$D$1:$D$996),"")</f>
        <v>23.049999999999997</v>
      </c>
      <c r="H4544" s="92">
        <v>3.3191999999999999</v>
      </c>
      <c r="I4544" s="84">
        <v>0</v>
      </c>
      <c r="J4544" s="84">
        <v>0</v>
      </c>
      <c r="K4544" s="84"/>
      <c r="L4544"/>
      <c r="M4544"/>
      <c r="N4544"/>
      <c r="O4544"/>
      <c r="P4544"/>
      <c r="Q4544"/>
      <c r="R4544"/>
      <c r="S4544"/>
      <c r="T4544"/>
      <c r="U4544"/>
      <c r="V4544"/>
      <c r="W4544"/>
      <c r="X4544"/>
      <c r="Y4544"/>
      <c r="Z4544"/>
      <c r="AA4544"/>
      <c r="AB4544"/>
      <c r="AC4544"/>
      <c r="AD4544"/>
      <c r="AE4544"/>
      <c r="AF4544"/>
      <c r="AG4544"/>
      <c r="AH4544"/>
      <c r="AI4544"/>
      <c r="AJ4544"/>
      <c r="AK4544"/>
      <c r="AL4544"/>
    </row>
    <row r="4545" spans="1:38" ht="12.75" outlineLevel="2" x14ac:dyDescent="0.2">
      <c r="A4545" s="1071">
        <v>1</v>
      </c>
      <c r="B4545" s="1071" t="s">
        <v>68</v>
      </c>
      <c r="C4545" s="1071" t="s">
        <v>1992</v>
      </c>
      <c r="D4545" s="1071" t="s">
        <v>1992</v>
      </c>
      <c r="E4545" s="1072" t="s">
        <v>70</v>
      </c>
      <c r="F4545" s="1071"/>
      <c r="G4545" s="1073" t="str">
        <f t="array" ref="G4545">IF(B4545="insumo",_xlfn.XLOOKUP($D4545,Insumos!$B$1:$B$996,Insumos!$D$1:$D$996),"")</f>
        <v/>
      </c>
      <c r="H4545" s="1073">
        <v>5.3904347826086996</v>
      </c>
      <c r="I4545" s="1074">
        <v>0</v>
      </c>
      <c r="J4545" s="1074">
        <v>0</v>
      </c>
      <c r="K4545" s="1074"/>
      <c r="L4545"/>
      <c r="M4545"/>
      <c r="N4545"/>
      <c r="O4545"/>
      <c r="P4545"/>
      <c r="Q4545"/>
      <c r="R4545"/>
      <c r="S4545"/>
      <c r="T4545"/>
      <c r="U4545"/>
      <c r="V4545"/>
      <c r="W4545"/>
      <c r="X4545"/>
      <c r="Y4545"/>
      <c r="Z4545"/>
      <c r="AA4545"/>
      <c r="AB4545"/>
      <c r="AC4545"/>
      <c r="AD4545"/>
      <c r="AE4545"/>
      <c r="AF4545"/>
      <c r="AG4545"/>
      <c r="AH4545"/>
      <c r="AI4545"/>
      <c r="AJ4545"/>
      <c r="AK4545"/>
      <c r="AL4545"/>
    </row>
    <row r="4546" spans="1:38" ht="12.75" outlineLevel="3" x14ac:dyDescent="0.2">
      <c r="A4546" s="82">
        <v>2</v>
      </c>
      <c r="B4546" s="82" t="s">
        <v>71</v>
      </c>
      <c r="C4546" s="82" t="s">
        <v>1992</v>
      </c>
      <c r="D4546" s="82" t="s">
        <v>1910</v>
      </c>
      <c r="E4546" s="11" t="str">
        <f t="array" ref="E4546">_xlfn.XLOOKUP(D4546,Insumos!B:B,Insumos!C:$C)</f>
        <v>L</v>
      </c>
      <c r="F4546" s="86">
        <f>18/115</f>
        <v>0.15652173913043479</v>
      </c>
      <c r="G4546" s="92">
        <f t="array" ref="G4546">IF(B4546="insumo",_xlfn.XLOOKUP($D4546,Insumos!$B$1:$B$996,Insumos!$D$1:$D$996),"")</f>
        <v>34.43888888888889</v>
      </c>
      <c r="H4546" s="92">
        <v>5.3904347826086996</v>
      </c>
      <c r="I4546" s="84">
        <v>0</v>
      </c>
      <c r="J4546" s="84">
        <v>0</v>
      </c>
      <c r="K4546" s="84"/>
      <c r="L4546"/>
      <c r="M4546"/>
      <c r="N4546"/>
      <c r="O4546"/>
      <c r="P4546"/>
      <c r="Q4546"/>
      <c r="R4546"/>
      <c r="S4546"/>
      <c r="T4546"/>
      <c r="U4546"/>
      <c r="V4546"/>
      <c r="W4546"/>
      <c r="X4546"/>
      <c r="Y4546"/>
      <c r="Z4546"/>
      <c r="AA4546"/>
      <c r="AB4546"/>
      <c r="AC4546"/>
      <c r="AD4546"/>
      <c r="AE4546"/>
      <c r="AF4546"/>
      <c r="AG4546"/>
      <c r="AH4546"/>
      <c r="AI4546"/>
      <c r="AJ4546"/>
      <c r="AK4546"/>
      <c r="AL4546"/>
    </row>
    <row r="4547" spans="1:38" ht="12.75" outlineLevel="2" x14ac:dyDescent="0.2">
      <c r="A4547" s="1071">
        <v>1</v>
      </c>
      <c r="B4547" s="1071" t="s">
        <v>68</v>
      </c>
      <c r="C4547" s="1071" t="s">
        <v>1993</v>
      </c>
      <c r="D4547" s="1071" t="s">
        <v>1993</v>
      </c>
      <c r="E4547" s="1072" t="s">
        <v>70</v>
      </c>
      <c r="F4547" s="1071"/>
      <c r="G4547" s="1073" t="str">
        <f t="array" ref="G4547">IF(B4547="insumo",_xlfn.XLOOKUP($D4547,Insumos!$B$1:$B$996,Insumos!$D$1:$D$996),"")</f>
        <v/>
      </c>
      <c r="H4547" s="1073">
        <v>44.2</v>
      </c>
      <c r="I4547" s="1074">
        <v>0</v>
      </c>
      <c r="J4547" s="1074">
        <v>0</v>
      </c>
      <c r="K4547" s="1074"/>
      <c r="L4547"/>
      <c r="M4547"/>
      <c r="N4547"/>
      <c r="O4547"/>
      <c r="P4547"/>
      <c r="Q4547"/>
      <c r="R4547"/>
      <c r="S4547"/>
      <c r="T4547"/>
      <c r="U4547"/>
      <c r="V4547"/>
      <c r="W4547"/>
      <c r="X4547"/>
      <c r="Y4547"/>
      <c r="Z4547"/>
      <c r="AA4547"/>
      <c r="AB4547"/>
      <c r="AC4547"/>
      <c r="AD4547"/>
      <c r="AE4547"/>
      <c r="AF4547"/>
      <c r="AG4547"/>
      <c r="AH4547"/>
      <c r="AI4547"/>
      <c r="AJ4547"/>
      <c r="AK4547"/>
      <c r="AL4547"/>
    </row>
    <row r="4548" spans="1:38" ht="12.75" outlineLevel="3" x14ac:dyDescent="0.2">
      <c r="A4548" s="82">
        <v>1</v>
      </c>
      <c r="B4548" s="82" t="s">
        <v>71</v>
      </c>
      <c r="C4548" s="82" t="s">
        <v>1993</v>
      </c>
      <c r="D4548" s="82" t="s">
        <v>1919</v>
      </c>
      <c r="E4548" s="11" t="str">
        <f t="array" ref="E4548">_xlfn.XLOOKUP(D4548,Insumos!B:B,Insumos!C:$C)</f>
        <v>KG</v>
      </c>
      <c r="F4548" s="86">
        <v>1.7</v>
      </c>
      <c r="G4548" s="92">
        <f t="array" ref="G4548">IF(B4548="insumo",_xlfn.XLOOKUP($D4548,Insumos!$B$1:$B$996,Insumos!$D$1:$D$996),"")</f>
        <v>26</v>
      </c>
      <c r="H4548" s="92">
        <v>44.2</v>
      </c>
      <c r="I4548" s="84">
        <v>0</v>
      </c>
      <c r="J4548" s="84">
        <v>0</v>
      </c>
      <c r="K4548" s="84"/>
      <c r="L4548"/>
      <c r="M4548"/>
      <c r="N4548"/>
      <c r="O4548"/>
      <c r="P4548"/>
      <c r="Q4548"/>
      <c r="R4548"/>
      <c r="S4548"/>
      <c r="T4548"/>
      <c r="U4548"/>
      <c r="V4548"/>
      <c r="W4548"/>
      <c r="X4548"/>
      <c r="Y4548"/>
      <c r="Z4548"/>
      <c r="AA4548"/>
      <c r="AB4548"/>
      <c r="AC4548"/>
      <c r="AD4548"/>
      <c r="AE4548"/>
      <c r="AF4548"/>
      <c r="AG4548"/>
      <c r="AH4548"/>
      <c r="AI4548"/>
      <c r="AJ4548"/>
      <c r="AK4548"/>
      <c r="AL4548"/>
    </row>
    <row r="4549" spans="1:38" ht="12.75" outlineLevel="2" x14ac:dyDescent="0.2">
      <c r="A4549" s="1071">
        <v>1</v>
      </c>
      <c r="B4549" s="1071" t="s">
        <v>68</v>
      </c>
      <c r="C4549" s="1071" t="s">
        <v>1994</v>
      </c>
      <c r="D4549" s="1071" t="s">
        <v>1994</v>
      </c>
      <c r="E4549" s="1072" t="s">
        <v>70</v>
      </c>
      <c r="F4549" s="1071"/>
      <c r="G4549" s="1073" t="str">
        <f t="array" ref="G4549">IF(B4549="insumo",_xlfn.XLOOKUP($D4549,Insumos!$B$1:$B$996,Insumos!$D$1:$D$996),"")</f>
        <v/>
      </c>
      <c r="H4549" s="1073">
        <v>48</v>
      </c>
      <c r="I4549" s="1074">
        <v>0</v>
      </c>
      <c r="J4549" s="1074">
        <v>0</v>
      </c>
      <c r="K4549" s="1074"/>
      <c r="L4549"/>
      <c r="M4549"/>
      <c r="N4549"/>
      <c r="O4549"/>
      <c r="P4549"/>
      <c r="Q4549"/>
      <c r="R4549"/>
      <c r="S4549"/>
      <c r="T4549"/>
      <c r="U4549"/>
      <c r="V4549"/>
      <c r="W4549"/>
      <c r="X4549"/>
      <c r="Y4549"/>
      <c r="Z4549"/>
      <c r="AA4549"/>
      <c r="AB4549"/>
      <c r="AC4549"/>
      <c r="AD4549"/>
      <c r="AE4549"/>
      <c r="AF4549"/>
      <c r="AG4549"/>
      <c r="AH4549"/>
      <c r="AI4549"/>
      <c r="AJ4549"/>
      <c r="AK4549"/>
      <c r="AL4549"/>
    </row>
    <row r="4550" spans="1:38" ht="12.75" outlineLevel="3" x14ac:dyDescent="0.2">
      <c r="A4550" s="82">
        <v>1</v>
      </c>
      <c r="B4550" s="82" t="s">
        <v>71</v>
      </c>
      <c r="C4550" s="82" t="s">
        <v>1994</v>
      </c>
      <c r="D4550" s="82" t="s">
        <v>1917</v>
      </c>
      <c r="E4550" s="11" t="str">
        <f t="array" ref="E4550">_xlfn.XLOOKUP(D4550,Insumos!B:B,Insumos!C:$C)</f>
        <v>KG</v>
      </c>
      <c r="F4550" s="86">
        <v>1.6</v>
      </c>
      <c r="G4550" s="92">
        <f t="array" ref="G4550">IF(B4550="insumo",_xlfn.XLOOKUP($D4550,Insumos!$B$1:$B$996,Insumos!$D$1:$D$996),"")</f>
        <v>30</v>
      </c>
      <c r="H4550" s="92">
        <v>48</v>
      </c>
      <c r="I4550" s="84">
        <v>0</v>
      </c>
      <c r="J4550" s="84">
        <v>0</v>
      </c>
      <c r="K4550" s="84"/>
      <c r="L4550"/>
      <c r="M4550"/>
      <c r="N4550"/>
      <c r="O4550"/>
      <c r="P4550"/>
      <c r="Q4550"/>
      <c r="R4550"/>
      <c r="S4550"/>
      <c r="T4550"/>
      <c r="U4550"/>
      <c r="V4550"/>
      <c r="W4550"/>
      <c r="X4550"/>
      <c r="Y4550"/>
      <c r="Z4550"/>
      <c r="AA4550"/>
      <c r="AB4550"/>
      <c r="AC4550"/>
      <c r="AD4550"/>
      <c r="AE4550"/>
      <c r="AF4550"/>
      <c r="AG4550"/>
      <c r="AH4550"/>
      <c r="AI4550"/>
      <c r="AJ4550"/>
      <c r="AK4550"/>
      <c r="AL4550"/>
    </row>
    <row r="4551" spans="1:38" ht="12.75" outlineLevel="2" x14ac:dyDescent="0.2">
      <c r="A4551" s="1071">
        <v>1</v>
      </c>
      <c r="B4551" s="1071" t="s">
        <v>68</v>
      </c>
      <c r="C4551" s="1071" t="s">
        <v>1995</v>
      </c>
      <c r="D4551" s="1071" t="s">
        <v>1995</v>
      </c>
      <c r="E4551" s="1072" t="s">
        <v>70</v>
      </c>
      <c r="F4551" s="1071"/>
      <c r="G4551" s="1073" t="str">
        <f t="array" ref="G4551">IF(B4551="insumo",_xlfn.XLOOKUP($D4551,Insumos!$B$1:$B$996,Insumos!$D$1:$D$996),"")</f>
        <v/>
      </c>
      <c r="H4551" s="1073">
        <v>40</v>
      </c>
      <c r="I4551" s="1074">
        <v>0</v>
      </c>
      <c r="J4551" s="1074">
        <v>0</v>
      </c>
      <c r="K4551" s="1074"/>
      <c r="L4551"/>
      <c r="M4551"/>
      <c r="N4551"/>
      <c r="O4551"/>
      <c r="P4551"/>
      <c r="Q4551"/>
      <c r="R4551"/>
      <c r="S4551"/>
      <c r="T4551"/>
      <c r="U4551"/>
      <c r="V4551"/>
      <c r="W4551"/>
      <c r="X4551"/>
      <c r="Y4551"/>
      <c r="Z4551"/>
      <c r="AA4551"/>
      <c r="AB4551"/>
      <c r="AC4551"/>
      <c r="AD4551"/>
      <c r="AE4551"/>
      <c r="AF4551"/>
      <c r="AG4551"/>
      <c r="AH4551"/>
      <c r="AI4551"/>
      <c r="AJ4551"/>
      <c r="AK4551"/>
      <c r="AL4551"/>
    </row>
    <row r="4552" spans="1:38" ht="12.75" outlineLevel="3" x14ac:dyDescent="0.2">
      <c r="A4552" s="82">
        <v>1</v>
      </c>
      <c r="B4552" s="82" t="s">
        <v>71</v>
      </c>
      <c r="C4552" s="82" t="s">
        <v>1995</v>
      </c>
      <c r="D4552" s="82" t="s">
        <v>1918</v>
      </c>
      <c r="E4552" s="11" t="str">
        <f t="array" ref="E4552">_xlfn.XLOOKUP(D4552,Insumos!B:B,Insumos!C:$C)</f>
        <v>KG</v>
      </c>
      <c r="F4552" s="86">
        <v>1.6</v>
      </c>
      <c r="G4552" s="92">
        <f t="array" ref="G4552">IF(B4552="insumo",_xlfn.XLOOKUP($D4552,Insumos!$B$1:$B$996,Insumos!$D$1:$D$996),"")</f>
        <v>25</v>
      </c>
      <c r="H4552" s="92">
        <v>40</v>
      </c>
      <c r="I4552" s="84">
        <v>0</v>
      </c>
      <c r="J4552" s="84">
        <v>0</v>
      </c>
      <c r="K4552" s="84"/>
      <c r="L4552"/>
      <c r="M4552"/>
      <c r="N4552"/>
      <c r="O4552"/>
      <c r="P4552"/>
      <c r="Q4552"/>
      <c r="R4552"/>
      <c r="S4552"/>
      <c r="T4552"/>
      <c r="U4552"/>
      <c r="V4552"/>
      <c r="W4552"/>
      <c r="X4552"/>
      <c r="Y4552"/>
      <c r="Z4552"/>
      <c r="AA4552"/>
      <c r="AB4552"/>
      <c r="AC4552"/>
      <c r="AD4552"/>
      <c r="AE4552"/>
      <c r="AF4552"/>
      <c r="AG4552"/>
      <c r="AH4552"/>
      <c r="AI4552"/>
      <c r="AJ4552"/>
      <c r="AK4552"/>
      <c r="AL4552"/>
    </row>
    <row r="4553" spans="1:38" ht="12.75" outlineLevel="2" x14ac:dyDescent="0.2">
      <c r="A4553" s="1071">
        <v>1</v>
      </c>
      <c r="B4553" s="1071" t="s">
        <v>68</v>
      </c>
      <c r="C4553" s="1071" t="s">
        <v>1996</v>
      </c>
      <c r="D4553" s="1071" t="s">
        <v>1996</v>
      </c>
      <c r="E4553" s="1072" t="s">
        <v>70</v>
      </c>
      <c r="F4553" s="1071"/>
      <c r="G4553" s="1073" t="str">
        <f t="array" ref="G4553">IF(B4553="insumo",_xlfn.XLOOKUP($D4553,Insumos!$B$1:$B$996,Insumos!$D$1:$D$996),"")</f>
        <v/>
      </c>
      <c r="H4553" s="1073">
        <v>6.6947826086956503</v>
      </c>
      <c r="I4553" s="1074">
        <v>0</v>
      </c>
      <c r="J4553" s="1074">
        <v>0</v>
      </c>
      <c r="K4553" s="1074"/>
      <c r="L4553"/>
      <c r="M4553"/>
      <c r="N4553"/>
      <c r="O4553"/>
      <c r="P4553"/>
      <c r="Q4553"/>
      <c r="R4553"/>
      <c r="S4553"/>
      <c r="T4553"/>
      <c r="U4553"/>
      <c r="V4553"/>
      <c r="W4553"/>
      <c r="X4553"/>
      <c r="Y4553"/>
      <c r="Z4553"/>
      <c r="AA4553"/>
      <c r="AB4553"/>
      <c r="AC4553"/>
      <c r="AD4553"/>
      <c r="AE4553"/>
      <c r="AF4553"/>
      <c r="AG4553"/>
      <c r="AH4553"/>
      <c r="AI4553"/>
      <c r="AJ4553"/>
      <c r="AK4553"/>
      <c r="AL4553"/>
    </row>
    <row r="4554" spans="1:38" ht="12.75" outlineLevel="3" x14ac:dyDescent="0.2">
      <c r="A4554" s="82">
        <v>2</v>
      </c>
      <c r="B4554" s="82" t="s">
        <v>71</v>
      </c>
      <c r="C4554" s="82" t="s">
        <v>1996</v>
      </c>
      <c r="D4554" s="82" t="s">
        <v>1911</v>
      </c>
      <c r="E4554" s="11" t="str">
        <f t="array" ref="E4554">_xlfn.XLOOKUP(D4554,Insumos!B:B,Insumos!C:$C)</f>
        <v>L</v>
      </c>
      <c r="F4554" s="86">
        <f>18/115</f>
        <v>0.15652173913043479</v>
      </c>
      <c r="G4554" s="92">
        <f t="array" ref="G4554">IF(B4554="insumo",_xlfn.XLOOKUP($D4554,Insumos!$B$1:$B$996,Insumos!$D$1:$D$996),"")</f>
        <v>42.772222222222219</v>
      </c>
      <c r="H4554" s="92">
        <v>6.6947826086956503</v>
      </c>
      <c r="I4554" s="84">
        <v>0</v>
      </c>
      <c r="J4554" s="84">
        <v>0</v>
      </c>
      <c r="K4554" s="84"/>
      <c r="L4554"/>
      <c r="M4554"/>
      <c r="N4554"/>
      <c r="O4554"/>
      <c r="P4554"/>
      <c r="Q4554"/>
      <c r="R4554"/>
      <c r="S4554"/>
      <c r="T4554"/>
      <c r="U4554"/>
      <c r="V4554"/>
      <c r="W4554"/>
      <c r="X4554"/>
      <c r="Y4554"/>
      <c r="Z4554"/>
      <c r="AA4554"/>
      <c r="AB4554"/>
      <c r="AC4554"/>
      <c r="AD4554"/>
      <c r="AE4554"/>
      <c r="AF4554"/>
      <c r="AG4554"/>
      <c r="AH4554"/>
      <c r="AI4554"/>
      <c r="AJ4554"/>
      <c r="AK4554"/>
      <c r="AL4554"/>
    </row>
    <row r="4555" spans="1:38" ht="12.75" outlineLevel="2" x14ac:dyDescent="0.2">
      <c r="A4555" s="1071">
        <v>1</v>
      </c>
      <c r="B4555" s="1071" t="s">
        <v>68</v>
      </c>
      <c r="C4555" s="1071" t="s">
        <v>1997</v>
      </c>
      <c r="D4555" s="1071" t="s">
        <v>1997</v>
      </c>
      <c r="E4555" s="1072" t="s">
        <v>70</v>
      </c>
      <c r="F4555" s="1071"/>
      <c r="G4555" s="1073" t="str">
        <f t="array" ref="G4555">IF(B4555="insumo",_xlfn.XLOOKUP($D4555,Insumos!$B$1:$B$996,Insumos!$D$1:$D$996),"")</f>
        <v/>
      </c>
      <c r="H4555" s="1073">
        <v>16.341812000000001</v>
      </c>
      <c r="I4555" s="1074">
        <v>0</v>
      </c>
      <c r="J4555" s="1074">
        <v>0</v>
      </c>
      <c r="K4555" s="1074"/>
      <c r="L4555"/>
      <c r="M4555"/>
      <c r="N4555"/>
      <c r="O4555"/>
      <c r="P4555"/>
      <c r="Q4555"/>
      <c r="R4555"/>
      <c r="S4555"/>
      <c r="T4555"/>
      <c r="U4555"/>
      <c r="V4555"/>
      <c r="W4555"/>
      <c r="X4555"/>
      <c r="Y4555"/>
      <c r="Z4555"/>
      <c r="AA4555"/>
      <c r="AB4555"/>
      <c r="AC4555"/>
      <c r="AD4555"/>
      <c r="AE4555"/>
      <c r="AF4555"/>
      <c r="AG4555"/>
      <c r="AH4555"/>
      <c r="AI4555"/>
      <c r="AJ4555"/>
      <c r="AK4555"/>
      <c r="AL4555"/>
    </row>
    <row r="4556" spans="1:38" ht="12.75" outlineLevel="3" x14ac:dyDescent="0.2">
      <c r="A4556" s="82">
        <v>36</v>
      </c>
      <c r="B4556" s="82" t="s">
        <v>71</v>
      </c>
      <c r="C4556" s="82" t="s">
        <v>1997</v>
      </c>
      <c r="D4556" s="82" t="s">
        <v>104</v>
      </c>
      <c r="E4556" s="11" t="str">
        <f t="array" ref="E4556">_xlfn.XLOOKUP(D4556,Insumos!B:B,Insumos!C:$C)</f>
        <v>UN</v>
      </c>
      <c r="F4556" s="86">
        <v>0.1</v>
      </c>
      <c r="G4556" s="92">
        <f t="array" ref="G4556">IF(B4556="insumo",_xlfn.XLOOKUP($D4556,Insumos!$B$1:$B$996,Insumos!$D$1:$D$996),"")</f>
        <v>1.89</v>
      </c>
      <c r="H4556" s="92">
        <v>0.189</v>
      </c>
      <c r="I4556" s="84">
        <v>0</v>
      </c>
      <c r="J4556" s="84">
        <v>0</v>
      </c>
      <c r="K4556" s="84"/>
      <c r="L4556"/>
      <c r="M4556"/>
      <c r="N4556"/>
      <c r="O4556"/>
      <c r="P4556"/>
      <c r="Q4556"/>
      <c r="R4556"/>
      <c r="S4556"/>
      <c r="T4556"/>
      <c r="U4556"/>
      <c r="V4556"/>
      <c r="W4556"/>
      <c r="X4556"/>
      <c r="Y4556"/>
      <c r="Z4556"/>
      <c r="AA4556"/>
      <c r="AB4556"/>
      <c r="AC4556"/>
      <c r="AD4556"/>
      <c r="AE4556"/>
      <c r="AF4556"/>
      <c r="AG4556"/>
      <c r="AH4556"/>
      <c r="AI4556"/>
      <c r="AJ4556"/>
      <c r="AK4556"/>
      <c r="AL4556"/>
    </row>
    <row r="4557" spans="1:38" ht="12.75" outlineLevel="3" x14ac:dyDescent="0.2">
      <c r="A4557" s="82">
        <v>21</v>
      </c>
      <c r="B4557" s="82" t="s">
        <v>71</v>
      </c>
      <c r="C4557" s="82" t="s">
        <v>1997</v>
      </c>
      <c r="D4557" s="82" t="s">
        <v>765</v>
      </c>
      <c r="E4557" s="11" t="str">
        <f t="array" ref="E4557">_xlfn.XLOOKUP(D4557,Insumos!B:B,Insumos!C:$C)</f>
        <v>KG</v>
      </c>
      <c r="F4557" s="86">
        <v>0.86670000000000003</v>
      </c>
      <c r="G4557" s="92">
        <f t="array" ref="G4557">IF(B4557="insumo",_xlfn.XLOOKUP($D4557,Insumos!$B$1:$B$996,Insumos!$D$1:$D$996),"")</f>
        <v>4.8</v>
      </c>
      <c r="H4557" s="92">
        <v>4.1601600000000003</v>
      </c>
      <c r="I4557" s="84">
        <v>0</v>
      </c>
      <c r="J4557" s="84">
        <v>0</v>
      </c>
      <c r="K4557" s="84"/>
      <c r="L4557"/>
      <c r="M4557"/>
      <c r="N4557"/>
      <c r="O4557"/>
      <c r="P4557"/>
      <c r="Q4557"/>
      <c r="R4557"/>
      <c r="S4557"/>
      <c r="T4557"/>
      <c r="U4557"/>
      <c r="V4557"/>
      <c r="W4557"/>
      <c r="X4557"/>
      <c r="Y4557"/>
      <c r="Z4557"/>
      <c r="AA4557"/>
      <c r="AB4557"/>
      <c r="AC4557"/>
      <c r="AD4557"/>
      <c r="AE4557"/>
      <c r="AF4557"/>
      <c r="AG4557"/>
      <c r="AH4557"/>
      <c r="AI4557"/>
      <c r="AJ4557"/>
      <c r="AK4557"/>
      <c r="AL4557"/>
    </row>
    <row r="4558" spans="1:38" ht="12.75" outlineLevel="3" x14ac:dyDescent="0.2">
      <c r="A4558" s="82">
        <v>31</v>
      </c>
      <c r="B4558" s="82" t="s">
        <v>71</v>
      </c>
      <c r="C4558" s="82" t="s">
        <v>1997</v>
      </c>
      <c r="D4558" s="82" t="s">
        <v>768</v>
      </c>
      <c r="E4558" s="11" t="str">
        <f t="array" ref="E4558">_xlfn.XLOOKUP(D4558,Insumos!B:B,Insumos!C:$C)</f>
        <v>L</v>
      </c>
      <c r="F4558" s="86">
        <v>0.1666</v>
      </c>
      <c r="G4558" s="92">
        <f t="array" ref="G4558">IF(B4558="insumo",_xlfn.XLOOKUP($D4558,Insumos!$B$1:$B$996,Insumos!$D$1:$D$996),"")</f>
        <v>6.47</v>
      </c>
      <c r="H4558" s="92">
        <v>1.0779019999999999</v>
      </c>
      <c r="I4558" s="84">
        <v>0</v>
      </c>
      <c r="J4558" s="84">
        <v>0</v>
      </c>
      <c r="K4558" s="84"/>
      <c r="L4558"/>
      <c r="M4558"/>
      <c r="N4558"/>
      <c r="O4558"/>
      <c r="P4558"/>
      <c r="Q4558"/>
      <c r="R4558"/>
      <c r="S4558"/>
      <c r="T4558"/>
      <c r="U4558"/>
      <c r="V4558"/>
      <c r="W4558"/>
      <c r="X4558"/>
      <c r="Y4558"/>
      <c r="Z4558"/>
      <c r="AA4558"/>
      <c r="AB4558"/>
      <c r="AC4558"/>
      <c r="AD4558"/>
      <c r="AE4558"/>
      <c r="AF4558"/>
      <c r="AG4558"/>
      <c r="AH4558"/>
      <c r="AI4558"/>
      <c r="AJ4558"/>
      <c r="AK4558"/>
      <c r="AL4558"/>
    </row>
    <row r="4559" spans="1:38" ht="12.75" outlineLevel="3" x14ac:dyDescent="0.2">
      <c r="A4559" s="82">
        <v>2</v>
      </c>
      <c r="B4559" s="82" t="s">
        <v>71</v>
      </c>
      <c r="C4559" s="82" t="s">
        <v>1997</v>
      </c>
      <c r="D4559" s="82" t="s">
        <v>919</v>
      </c>
      <c r="E4559" s="11" t="str">
        <f t="array" ref="E4559">_xlfn.XLOOKUP(D4559,Insumos!B:B,Insumos!C:$C)</f>
        <v>L</v>
      </c>
      <c r="F4559" s="86">
        <v>0.495</v>
      </c>
      <c r="G4559" s="92">
        <f t="array" ref="G4559">IF(B4559="insumo",_xlfn.XLOOKUP($D4559,Insumos!$B$1:$B$996,Insumos!$D$1:$D$996),"")</f>
        <v>22.049999999999997</v>
      </c>
      <c r="H4559" s="92">
        <v>10.91475</v>
      </c>
      <c r="I4559" s="84">
        <v>0</v>
      </c>
      <c r="J4559" s="84">
        <v>0</v>
      </c>
      <c r="K4559" s="84"/>
      <c r="L4559"/>
      <c r="M4559"/>
      <c r="N4559"/>
      <c r="O4559"/>
      <c r="P4559"/>
      <c r="Q4559"/>
      <c r="R4559"/>
      <c r="S4559"/>
      <c r="T4559"/>
      <c r="U4559"/>
      <c r="V4559"/>
      <c r="W4559"/>
      <c r="X4559"/>
      <c r="Y4559"/>
      <c r="Z4559"/>
      <c r="AA4559"/>
      <c r="AB4559"/>
      <c r="AC4559"/>
      <c r="AD4559"/>
      <c r="AE4559"/>
      <c r="AF4559"/>
      <c r="AG4559"/>
      <c r="AH4559"/>
      <c r="AI4559"/>
      <c r="AJ4559"/>
      <c r="AK4559"/>
      <c r="AL4559"/>
    </row>
    <row r="4560" spans="1:38" ht="12.75" outlineLevel="2" x14ac:dyDescent="0.2">
      <c r="A4560" s="1071">
        <v>1</v>
      </c>
      <c r="B4560" s="1071" t="s">
        <v>68</v>
      </c>
      <c r="C4560" s="1071" t="s">
        <v>1998</v>
      </c>
      <c r="D4560" s="1071" t="s">
        <v>1998</v>
      </c>
      <c r="E4560" s="1072" t="s">
        <v>70</v>
      </c>
      <c r="F4560" s="1071"/>
      <c r="G4560" s="1073" t="str">
        <f t="array" ref="G4560">IF(B4560="insumo",_xlfn.XLOOKUP($D4560,Insumos!$B$1:$B$996,Insumos!$D$1:$D$996),"")</f>
        <v/>
      </c>
      <c r="H4560" s="1073">
        <v>32.652062000000001</v>
      </c>
      <c r="I4560" s="1074">
        <v>0</v>
      </c>
      <c r="J4560" s="1074">
        <v>0</v>
      </c>
      <c r="K4560" s="1074"/>
      <c r="L4560"/>
      <c r="M4560"/>
      <c r="N4560"/>
      <c r="O4560"/>
      <c r="P4560"/>
      <c r="Q4560"/>
      <c r="R4560"/>
      <c r="S4560"/>
      <c r="T4560"/>
      <c r="U4560"/>
      <c r="V4560"/>
      <c r="W4560"/>
      <c r="X4560"/>
      <c r="Y4560"/>
      <c r="Z4560"/>
      <c r="AA4560"/>
      <c r="AB4560"/>
      <c r="AC4560"/>
      <c r="AD4560"/>
      <c r="AE4560"/>
      <c r="AF4560"/>
      <c r="AG4560"/>
      <c r="AH4560"/>
      <c r="AI4560"/>
      <c r="AJ4560"/>
      <c r="AK4560"/>
      <c r="AL4560"/>
    </row>
    <row r="4561" spans="1:38" ht="12.75" outlineLevel="3" x14ac:dyDescent="0.2">
      <c r="A4561" s="82">
        <v>36</v>
      </c>
      <c r="B4561" s="82" t="s">
        <v>71</v>
      </c>
      <c r="C4561" s="82" t="s">
        <v>1998</v>
      </c>
      <c r="D4561" s="82" t="s">
        <v>104</v>
      </c>
      <c r="E4561" s="11" t="str">
        <f t="array" ref="E4561">_xlfn.XLOOKUP(D4561,Insumos!B:B,Insumos!C:$C)</f>
        <v>UN</v>
      </c>
      <c r="F4561" s="86">
        <v>0.1</v>
      </c>
      <c r="G4561" s="92">
        <f t="array" ref="G4561">IF(B4561="insumo",_xlfn.XLOOKUP($D4561,Insumos!$B$1:$B$996,Insumos!$D$1:$D$996),"")</f>
        <v>1.89</v>
      </c>
      <c r="H4561" s="92">
        <v>0.189</v>
      </c>
      <c r="I4561" s="84">
        <v>0</v>
      </c>
      <c r="J4561" s="84">
        <v>0</v>
      </c>
      <c r="K4561" s="84"/>
      <c r="L4561"/>
      <c r="M4561"/>
      <c r="N4561"/>
      <c r="O4561"/>
      <c r="P4561"/>
      <c r="Q4561"/>
      <c r="R4561"/>
      <c r="S4561"/>
      <c r="T4561"/>
      <c r="U4561"/>
      <c r="V4561"/>
      <c r="W4561"/>
      <c r="X4561"/>
      <c r="Y4561"/>
      <c r="Z4561"/>
      <c r="AA4561"/>
      <c r="AB4561"/>
      <c r="AC4561"/>
      <c r="AD4561"/>
      <c r="AE4561"/>
      <c r="AF4561"/>
      <c r="AG4561"/>
      <c r="AH4561"/>
      <c r="AI4561"/>
      <c r="AJ4561"/>
      <c r="AK4561"/>
      <c r="AL4561"/>
    </row>
    <row r="4562" spans="1:38" ht="12.75" outlineLevel="3" x14ac:dyDescent="0.2">
      <c r="A4562" s="82">
        <v>21</v>
      </c>
      <c r="B4562" s="82" t="s">
        <v>71</v>
      </c>
      <c r="C4562" s="82" t="s">
        <v>1998</v>
      </c>
      <c r="D4562" s="82" t="s">
        <v>765</v>
      </c>
      <c r="E4562" s="11" t="str">
        <f t="array" ref="E4562">_xlfn.XLOOKUP(D4562,Insumos!B:B,Insumos!C:$C)</f>
        <v>KG</v>
      </c>
      <c r="F4562" s="86">
        <v>0.86670000000000003</v>
      </c>
      <c r="G4562" s="92">
        <f t="array" ref="G4562">IF(B4562="insumo",_xlfn.XLOOKUP($D4562,Insumos!$B$1:$B$996,Insumos!$D$1:$D$996),"")</f>
        <v>4.8</v>
      </c>
      <c r="H4562" s="92">
        <v>4.1601600000000003</v>
      </c>
      <c r="I4562" s="84">
        <v>0</v>
      </c>
      <c r="J4562" s="84">
        <v>0</v>
      </c>
      <c r="K4562" s="84"/>
      <c r="L4562"/>
      <c r="M4562"/>
      <c r="N4562"/>
      <c r="O4562"/>
      <c r="P4562"/>
      <c r="Q4562"/>
      <c r="R4562"/>
      <c r="S4562"/>
      <c r="T4562"/>
      <c r="U4562"/>
      <c r="V4562"/>
      <c r="W4562"/>
      <c r="X4562"/>
      <c r="Y4562"/>
      <c r="Z4562"/>
      <c r="AA4562"/>
      <c r="AB4562"/>
      <c r="AC4562"/>
      <c r="AD4562"/>
      <c r="AE4562"/>
      <c r="AF4562"/>
      <c r="AG4562"/>
      <c r="AH4562"/>
      <c r="AI4562"/>
      <c r="AJ4562"/>
      <c r="AK4562"/>
      <c r="AL4562"/>
    </row>
    <row r="4563" spans="1:38" ht="12.75" outlineLevel="3" x14ac:dyDescent="0.2">
      <c r="A4563" s="82">
        <v>31</v>
      </c>
      <c r="B4563" s="82" t="s">
        <v>71</v>
      </c>
      <c r="C4563" s="82" t="s">
        <v>1998</v>
      </c>
      <c r="D4563" s="82" t="s">
        <v>768</v>
      </c>
      <c r="E4563" s="11" t="str">
        <f t="array" ref="E4563">_xlfn.XLOOKUP(D4563,Insumos!B:B,Insumos!C:$C)</f>
        <v>L</v>
      </c>
      <c r="F4563" s="86">
        <v>0.1666</v>
      </c>
      <c r="G4563" s="92">
        <f t="array" ref="G4563">IF(B4563="insumo",_xlfn.XLOOKUP($D4563,Insumos!$B$1:$B$996,Insumos!$D$1:$D$996),"")</f>
        <v>6.47</v>
      </c>
      <c r="H4563" s="92">
        <v>1.0779019999999999</v>
      </c>
      <c r="I4563" s="84">
        <v>0</v>
      </c>
      <c r="J4563" s="84">
        <v>0</v>
      </c>
      <c r="K4563" s="84"/>
      <c r="L4563"/>
      <c r="M4563"/>
      <c r="N4563"/>
      <c r="O4563"/>
      <c r="P4563"/>
      <c r="Q4563"/>
      <c r="R4563"/>
      <c r="S4563"/>
      <c r="T4563"/>
      <c r="U4563"/>
      <c r="V4563"/>
      <c r="W4563"/>
      <c r="X4563"/>
      <c r="Y4563"/>
      <c r="Z4563"/>
      <c r="AA4563"/>
      <c r="AB4563"/>
      <c r="AC4563"/>
      <c r="AD4563"/>
      <c r="AE4563"/>
      <c r="AF4563"/>
      <c r="AG4563"/>
      <c r="AH4563"/>
      <c r="AI4563"/>
      <c r="AJ4563"/>
      <c r="AK4563"/>
      <c r="AL4563"/>
    </row>
    <row r="4564" spans="1:38" ht="12.75" outlineLevel="3" x14ac:dyDescent="0.2">
      <c r="A4564" s="82">
        <v>1</v>
      </c>
      <c r="B4564" s="82" t="s">
        <v>71</v>
      </c>
      <c r="C4564" s="82" t="s">
        <v>1998</v>
      </c>
      <c r="D4564" s="82" t="s">
        <v>1902</v>
      </c>
      <c r="E4564" s="11" t="str">
        <f t="array" ref="E4564">_xlfn.XLOOKUP(D4564,Insumos!B:B,Insumos!C:$C)</f>
        <v>L</v>
      </c>
      <c r="F4564" s="86">
        <v>0.495</v>
      </c>
      <c r="G4564" s="92">
        <f t="array" ref="G4564">IF(B4564="insumo",_xlfn.XLOOKUP($D4564,Insumos!$B$1:$B$996,Insumos!$D$1:$D$996),"")</f>
        <v>55</v>
      </c>
      <c r="H4564" s="92">
        <v>27.225000000000001</v>
      </c>
      <c r="I4564" s="84">
        <v>0</v>
      </c>
      <c r="J4564" s="84">
        <v>0</v>
      </c>
      <c r="K4564" s="84"/>
      <c r="L4564"/>
      <c r="M4564"/>
      <c r="N4564"/>
      <c r="O4564"/>
      <c r="P4564"/>
      <c r="Q4564"/>
      <c r="R4564"/>
      <c r="S4564"/>
      <c r="T4564"/>
      <c r="U4564"/>
      <c r="V4564"/>
      <c r="W4564"/>
      <c r="X4564"/>
      <c r="Y4564"/>
      <c r="Z4564"/>
      <c r="AA4564"/>
      <c r="AB4564"/>
      <c r="AC4564"/>
      <c r="AD4564"/>
      <c r="AE4564"/>
      <c r="AF4564"/>
      <c r="AG4564"/>
      <c r="AH4564"/>
      <c r="AI4564"/>
      <c r="AJ4564"/>
      <c r="AK4564"/>
      <c r="AL4564"/>
    </row>
    <row r="4565" spans="1:38" ht="12.75" outlineLevel="2" x14ac:dyDescent="0.2">
      <c r="A4565" s="1071">
        <v>1</v>
      </c>
      <c r="B4565" s="1071" t="s">
        <v>68</v>
      </c>
      <c r="C4565" s="1071" t="s">
        <v>1999</v>
      </c>
      <c r="D4565" s="1071" t="s">
        <v>1999</v>
      </c>
      <c r="E4565" s="1072" t="s">
        <v>70</v>
      </c>
      <c r="F4565" s="1071"/>
      <c r="G4565" s="1073" t="str">
        <f t="array" ref="G4565">IF(B4565="insumo",_xlfn.XLOOKUP($D4565,Insumos!$B$1:$B$996,Insumos!$D$1:$D$996),"")</f>
        <v/>
      </c>
      <c r="H4565" s="1073">
        <v>30.177061999999999</v>
      </c>
      <c r="I4565" s="1074">
        <v>0</v>
      </c>
      <c r="J4565" s="1074">
        <v>0</v>
      </c>
      <c r="K4565" s="1074"/>
      <c r="L4565"/>
      <c r="M4565"/>
      <c r="N4565"/>
      <c r="O4565"/>
      <c r="P4565"/>
      <c r="Q4565"/>
      <c r="R4565"/>
      <c r="S4565"/>
      <c r="T4565"/>
      <c r="U4565"/>
      <c r="V4565"/>
      <c r="W4565"/>
      <c r="X4565"/>
      <c r="Y4565"/>
      <c r="Z4565"/>
      <c r="AA4565"/>
      <c r="AB4565"/>
      <c r="AC4565"/>
      <c r="AD4565"/>
      <c r="AE4565"/>
      <c r="AF4565"/>
      <c r="AG4565"/>
      <c r="AH4565"/>
      <c r="AI4565"/>
      <c r="AJ4565"/>
      <c r="AK4565"/>
      <c r="AL4565"/>
    </row>
    <row r="4566" spans="1:38" ht="12.75" outlineLevel="3" x14ac:dyDescent="0.2">
      <c r="A4566" s="82">
        <v>36</v>
      </c>
      <c r="B4566" s="82" t="s">
        <v>71</v>
      </c>
      <c r="C4566" s="82" t="s">
        <v>1999</v>
      </c>
      <c r="D4566" s="82" t="s">
        <v>104</v>
      </c>
      <c r="E4566" s="11" t="str">
        <f t="array" ref="E4566">_xlfn.XLOOKUP(D4566,Insumos!B:B,Insumos!C:$C)</f>
        <v>UN</v>
      </c>
      <c r="F4566" s="86">
        <v>0.1</v>
      </c>
      <c r="G4566" s="92">
        <f t="array" ref="G4566">IF(B4566="insumo",_xlfn.XLOOKUP($D4566,Insumos!$B$1:$B$996,Insumos!$D$1:$D$996),"")</f>
        <v>1.89</v>
      </c>
      <c r="H4566" s="92">
        <v>0.189</v>
      </c>
      <c r="I4566" s="84">
        <v>0</v>
      </c>
      <c r="J4566" s="84">
        <v>0</v>
      </c>
      <c r="K4566" s="84"/>
      <c r="L4566"/>
      <c r="M4566"/>
      <c r="N4566"/>
      <c r="O4566"/>
      <c r="P4566"/>
      <c r="Q4566"/>
      <c r="R4566"/>
      <c r="S4566"/>
      <c r="T4566"/>
      <c r="U4566"/>
      <c r="V4566"/>
      <c r="W4566"/>
      <c r="X4566"/>
      <c r="Y4566"/>
      <c r="Z4566"/>
      <c r="AA4566"/>
      <c r="AB4566"/>
      <c r="AC4566"/>
      <c r="AD4566"/>
      <c r="AE4566"/>
      <c r="AF4566"/>
      <c r="AG4566"/>
      <c r="AH4566"/>
      <c r="AI4566"/>
      <c r="AJ4566"/>
      <c r="AK4566"/>
      <c r="AL4566"/>
    </row>
    <row r="4567" spans="1:38" ht="12.75" outlineLevel="3" x14ac:dyDescent="0.2">
      <c r="A4567" s="82">
        <v>21</v>
      </c>
      <c r="B4567" s="82" t="s">
        <v>71</v>
      </c>
      <c r="C4567" s="82" t="s">
        <v>1999</v>
      </c>
      <c r="D4567" s="82" t="s">
        <v>765</v>
      </c>
      <c r="E4567" s="11" t="str">
        <f t="array" ref="E4567">_xlfn.XLOOKUP(D4567,Insumos!B:B,Insumos!C:$C)</f>
        <v>KG</v>
      </c>
      <c r="F4567" s="86">
        <v>0.86670000000000003</v>
      </c>
      <c r="G4567" s="92">
        <f t="array" ref="G4567">IF(B4567="insumo",_xlfn.XLOOKUP($D4567,Insumos!$B$1:$B$996,Insumos!$D$1:$D$996),"")</f>
        <v>4.8</v>
      </c>
      <c r="H4567" s="92">
        <v>4.1601600000000003</v>
      </c>
      <c r="I4567" s="84">
        <v>0</v>
      </c>
      <c r="J4567" s="84">
        <v>0</v>
      </c>
      <c r="K4567" s="84"/>
      <c r="L4567"/>
      <c r="M4567"/>
      <c r="N4567"/>
      <c r="O4567"/>
      <c r="P4567"/>
      <c r="Q4567"/>
      <c r="R4567"/>
      <c r="S4567"/>
      <c r="T4567"/>
      <c r="U4567"/>
      <c r="V4567"/>
      <c r="W4567"/>
      <c r="X4567"/>
      <c r="Y4567"/>
      <c r="Z4567"/>
      <c r="AA4567"/>
      <c r="AB4567"/>
      <c r="AC4567"/>
      <c r="AD4567"/>
      <c r="AE4567"/>
      <c r="AF4567"/>
      <c r="AG4567"/>
      <c r="AH4567"/>
      <c r="AI4567"/>
      <c r="AJ4567"/>
      <c r="AK4567"/>
      <c r="AL4567"/>
    </row>
    <row r="4568" spans="1:38" ht="12.75" outlineLevel="3" x14ac:dyDescent="0.2">
      <c r="A4568" s="82">
        <v>31</v>
      </c>
      <c r="B4568" s="82" t="s">
        <v>71</v>
      </c>
      <c r="C4568" s="82" t="s">
        <v>1999</v>
      </c>
      <c r="D4568" s="82" t="s">
        <v>768</v>
      </c>
      <c r="E4568" s="11" t="str">
        <f t="array" ref="E4568">_xlfn.XLOOKUP(D4568,Insumos!B:B,Insumos!C:$C)</f>
        <v>L</v>
      </c>
      <c r="F4568" s="86">
        <v>0.1666</v>
      </c>
      <c r="G4568" s="92">
        <f t="array" ref="G4568">IF(B4568="insumo",_xlfn.XLOOKUP($D4568,Insumos!$B$1:$B$996,Insumos!$D$1:$D$996),"")</f>
        <v>6.47</v>
      </c>
      <c r="H4568" s="92">
        <v>1.0779019999999999</v>
      </c>
      <c r="I4568" s="84">
        <v>0</v>
      </c>
      <c r="J4568" s="84">
        <v>0</v>
      </c>
      <c r="K4568" s="84"/>
      <c r="L4568"/>
      <c r="M4568"/>
      <c r="N4568"/>
      <c r="O4568"/>
      <c r="P4568"/>
      <c r="Q4568"/>
      <c r="R4568"/>
      <c r="S4568"/>
      <c r="T4568"/>
      <c r="U4568"/>
      <c r="V4568"/>
      <c r="W4568"/>
      <c r="X4568"/>
      <c r="Y4568"/>
      <c r="Z4568"/>
      <c r="AA4568"/>
      <c r="AB4568"/>
      <c r="AC4568"/>
      <c r="AD4568"/>
      <c r="AE4568"/>
      <c r="AF4568"/>
      <c r="AG4568"/>
      <c r="AH4568"/>
      <c r="AI4568"/>
      <c r="AJ4568"/>
      <c r="AK4568"/>
      <c r="AL4568"/>
    </row>
    <row r="4569" spans="1:38" ht="12.75" outlineLevel="3" x14ac:dyDescent="0.2">
      <c r="A4569" s="82">
        <v>1</v>
      </c>
      <c r="B4569" s="82" t="s">
        <v>71</v>
      </c>
      <c r="C4569" s="82" t="s">
        <v>1999</v>
      </c>
      <c r="D4569" s="82" t="s">
        <v>1903</v>
      </c>
      <c r="E4569" s="11" t="str">
        <f t="array" ref="E4569">_xlfn.XLOOKUP(D4569,Insumos!B:B,Insumos!C:$C)</f>
        <v>L</v>
      </c>
      <c r="F4569" s="86">
        <v>0.495</v>
      </c>
      <c r="G4569" s="92">
        <f t="array" ref="G4569">IF(B4569="insumo",_xlfn.XLOOKUP($D4569,Insumos!$B$1:$B$996,Insumos!$D$1:$D$996),"")</f>
        <v>50</v>
      </c>
      <c r="H4569" s="92">
        <v>24.75</v>
      </c>
      <c r="I4569" s="84">
        <v>0</v>
      </c>
      <c r="J4569" s="84">
        <v>0</v>
      </c>
      <c r="K4569" s="84"/>
      <c r="L4569"/>
      <c r="M4569"/>
      <c r="N4569"/>
      <c r="O4569"/>
      <c r="P4569"/>
      <c r="Q4569"/>
      <c r="R4569"/>
      <c r="S4569"/>
      <c r="T4569"/>
      <c r="U4569"/>
      <c r="V4569"/>
      <c r="W4569"/>
      <c r="X4569"/>
      <c r="Y4569"/>
      <c r="Z4569"/>
      <c r="AA4569"/>
      <c r="AB4569"/>
      <c r="AC4569"/>
      <c r="AD4569"/>
      <c r="AE4569"/>
      <c r="AF4569"/>
      <c r="AG4569"/>
      <c r="AH4569"/>
      <c r="AI4569"/>
      <c r="AJ4569"/>
      <c r="AK4569"/>
      <c r="AL4569"/>
    </row>
    <row r="4570" spans="1:38" ht="12.75" outlineLevel="2" x14ac:dyDescent="0.2">
      <c r="A4570" s="1071">
        <v>1</v>
      </c>
      <c r="B4570" s="1071" t="s">
        <v>68</v>
      </c>
      <c r="C4570" s="1071" t="s">
        <v>2000</v>
      </c>
      <c r="D4570" s="1071" t="s">
        <v>2000</v>
      </c>
      <c r="E4570" s="1072" t="s">
        <v>70</v>
      </c>
      <c r="F4570" s="1071"/>
      <c r="G4570" s="1073" t="str">
        <f t="array" ref="G4570">IF(B4570="insumo",_xlfn.XLOOKUP($D4570,Insumos!$B$1:$B$996,Insumos!$D$1:$D$996),"")</f>
        <v/>
      </c>
      <c r="H4570" s="1073">
        <v>211.758555555556</v>
      </c>
      <c r="I4570" s="1074">
        <v>0</v>
      </c>
      <c r="J4570" s="1074">
        <v>0</v>
      </c>
      <c r="K4570" s="1074"/>
      <c r="L4570"/>
      <c r="M4570"/>
      <c r="N4570"/>
      <c r="O4570"/>
      <c r="P4570"/>
      <c r="Q4570"/>
      <c r="R4570"/>
      <c r="S4570"/>
      <c r="T4570"/>
      <c r="U4570"/>
      <c r="V4570"/>
      <c r="W4570"/>
      <c r="X4570"/>
      <c r="Y4570"/>
      <c r="Z4570"/>
      <c r="AA4570"/>
      <c r="AB4570"/>
      <c r="AC4570"/>
      <c r="AD4570"/>
      <c r="AE4570"/>
      <c r="AF4570"/>
      <c r="AG4570"/>
      <c r="AH4570"/>
      <c r="AI4570"/>
      <c r="AJ4570"/>
      <c r="AK4570"/>
      <c r="AL4570"/>
    </row>
    <row r="4571" spans="1:38" ht="12.75" outlineLevel="3" x14ac:dyDescent="0.2">
      <c r="A4571" s="82">
        <v>2</v>
      </c>
      <c r="B4571" s="82" t="s">
        <v>71</v>
      </c>
      <c r="C4571" s="82" t="s">
        <v>2000</v>
      </c>
      <c r="D4571" s="82" t="s">
        <v>897</v>
      </c>
      <c r="E4571" s="11" t="str">
        <f t="array" ref="E4571">_xlfn.XLOOKUP(D4571,Insumos!B:B,Insumos!C:$C)</f>
        <v>KG</v>
      </c>
      <c r="F4571" s="86">
        <v>1.5</v>
      </c>
      <c r="G4571" s="92">
        <f t="array" ref="G4571">IF(B4571="insumo",_xlfn.XLOOKUP($D4571,Insumos!$B$1:$B$996,Insumos!$D$1:$D$996),"")</f>
        <v>140</v>
      </c>
      <c r="H4571" s="92">
        <v>210</v>
      </c>
      <c r="I4571" s="84">
        <v>0</v>
      </c>
      <c r="J4571" s="84">
        <v>0</v>
      </c>
      <c r="K4571" s="84"/>
      <c r="L4571"/>
      <c r="M4571"/>
      <c r="N4571"/>
      <c r="O4571"/>
      <c r="P4571"/>
      <c r="Q4571"/>
      <c r="R4571"/>
      <c r="S4571"/>
      <c r="T4571"/>
      <c r="U4571"/>
      <c r="V4571"/>
      <c r="W4571"/>
      <c r="X4571"/>
      <c r="Y4571"/>
      <c r="Z4571"/>
      <c r="AA4571"/>
      <c r="AB4571"/>
      <c r="AC4571"/>
      <c r="AD4571"/>
      <c r="AE4571"/>
      <c r="AF4571"/>
      <c r="AG4571"/>
      <c r="AH4571"/>
      <c r="AI4571"/>
      <c r="AJ4571"/>
      <c r="AK4571"/>
      <c r="AL4571"/>
    </row>
    <row r="4572" spans="1:38" ht="12.75" outlineLevel="3" x14ac:dyDescent="0.2">
      <c r="A4572" s="82">
        <v>19</v>
      </c>
      <c r="B4572" s="82" t="s">
        <v>71</v>
      </c>
      <c r="C4572" s="82" t="s">
        <v>2000</v>
      </c>
      <c r="D4572" s="82" t="s">
        <v>766</v>
      </c>
      <c r="E4572" s="11" t="str">
        <f t="array" ref="E4572">_xlfn.XLOOKUP(D4572,Insumos!B:B,Insumos!C:$C)</f>
        <v>L</v>
      </c>
      <c r="F4572" s="86">
        <v>0.1666</v>
      </c>
      <c r="G4572" s="92">
        <f t="array" ref="G4572">IF(B4572="insumo",_xlfn.XLOOKUP($D4572,Insumos!$B$1:$B$996,Insumos!$D$1:$D$996),"")</f>
        <v>10.555555555555555</v>
      </c>
      <c r="H4572" s="92">
        <v>1.7585555555555601</v>
      </c>
      <c r="I4572" s="84">
        <v>0</v>
      </c>
      <c r="J4572" s="84">
        <v>0</v>
      </c>
      <c r="K4572" s="84"/>
      <c r="L4572"/>
      <c r="M4572"/>
      <c r="N4572"/>
      <c r="O4572"/>
      <c r="P4572"/>
      <c r="Q4572"/>
      <c r="R4572"/>
      <c r="S4572"/>
      <c r="T4572"/>
      <c r="U4572"/>
      <c r="V4572"/>
      <c r="W4572"/>
      <c r="X4572"/>
      <c r="Y4572"/>
      <c r="Z4572"/>
      <c r="AA4572"/>
      <c r="AB4572"/>
      <c r="AC4572"/>
      <c r="AD4572"/>
      <c r="AE4572"/>
      <c r="AF4572"/>
      <c r="AG4572"/>
      <c r="AH4572"/>
      <c r="AI4572"/>
      <c r="AJ4572"/>
      <c r="AK4572"/>
      <c r="AL4572"/>
    </row>
    <row r="4573" spans="1:38" ht="15.75" customHeight="1" outlineLevel="1" x14ac:dyDescent="0.2">
      <c r="A4573" s="1090">
        <v>1</v>
      </c>
      <c r="B4573" s="1090" t="s">
        <v>1228</v>
      </c>
      <c r="C4573" s="1090" t="s">
        <v>2000</v>
      </c>
      <c r="D4573" s="1090" t="s">
        <v>1576</v>
      </c>
      <c r="E4573" s="1091"/>
      <c r="F4573" s="1092"/>
      <c r="G4573" s="1091"/>
      <c r="H4573" s="1091">
        <v>0</v>
      </c>
      <c r="I4573" s="1092">
        <v>0</v>
      </c>
      <c r="J4573" s="1092">
        <v>0</v>
      </c>
      <c r="K4573" s="1092"/>
      <c r="L4573"/>
      <c r="M4573"/>
      <c r="N4573"/>
      <c r="O4573"/>
      <c r="P4573"/>
      <c r="Q4573"/>
      <c r="R4573"/>
      <c r="S4573"/>
      <c r="T4573"/>
      <c r="U4573"/>
      <c r="V4573"/>
      <c r="W4573"/>
      <c r="X4573"/>
      <c r="Y4573"/>
      <c r="Z4573"/>
      <c r="AA4573"/>
      <c r="AB4573"/>
      <c r="AC4573"/>
      <c r="AD4573"/>
      <c r="AE4573"/>
      <c r="AF4573"/>
      <c r="AG4573"/>
      <c r="AH4573"/>
      <c r="AI4573"/>
      <c r="AJ4573"/>
      <c r="AK4573"/>
      <c r="AL4573"/>
    </row>
    <row r="4574" spans="1:38" ht="15.75" customHeight="1" outlineLevel="2" x14ac:dyDescent="0.2">
      <c r="A4574" s="1067">
        <v>1</v>
      </c>
      <c r="B4574" s="1067" t="s">
        <v>68</v>
      </c>
      <c r="C4574" s="1067" t="s">
        <v>912</v>
      </c>
      <c r="D4574" s="1067" t="s">
        <v>912</v>
      </c>
      <c r="E4574" s="1068" t="s">
        <v>70</v>
      </c>
      <c r="F4574" s="1067"/>
      <c r="G4574" s="1069" t="str">
        <f t="array" ref="G4574">IF(B4574="insumo",_xlfn.XLOOKUP($D4574,Insumos!$B$1:$B$996,Insumos!$D$1:$D$996),"")</f>
        <v/>
      </c>
      <c r="H4574" s="1069">
        <v>1200</v>
      </c>
      <c r="I4574" s="1070">
        <v>0</v>
      </c>
      <c r="J4574" s="1070">
        <v>0</v>
      </c>
      <c r="K4574" s="1070"/>
      <c r="L4574"/>
      <c r="M4574"/>
      <c r="N4574"/>
      <c r="O4574"/>
      <c r="P4574"/>
      <c r="Q4574"/>
      <c r="R4574"/>
      <c r="S4574"/>
      <c r="T4574"/>
      <c r="U4574"/>
      <c r="V4574"/>
      <c r="W4574"/>
      <c r="X4574"/>
      <c r="Y4574"/>
      <c r="Z4574"/>
      <c r="AA4574"/>
      <c r="AB4574"/>
      <c r="AC4574"/>
      <c r="AD4574"/>
      <c r="AE4574"/>
      <c r="AF4574"/>
      <c r="AG4574"/>
      <c r="AH4574"/>
      <c r="AI4574"/>
      <c r="AJ4574"/>
      <c r="AK4574"/>
      <c r="AL4574"/>
    </row>
    <row r="4575" spans="1:38" ht="15.75" customHeight="1" outlineLevel="3" x14ac:dyDescent="0.2">
      <c r="A4575" s="10">
        <v>4</v>
      </c>
      <c r="B4575" s="10" t="s">
        <v>71</v>
      </c>
      <c r="C4575" s="10" t="s">
        <v>912</v>
      </c>
      <c r="D4575" s="10" t="s">
        <v>912</v>
      </c>
      <c r="E4575" s="11" t="str">
        <f t="array" ref="E4575">_xlfn.XLOOKUP(D4575,Insumos!B:B,Insumos!C:$C)</f>
        <v>M2</v>
      </c>
      <c r="F4575" s="14">
        <v>1</v>
      </c>
      <c r="G4575" s="92">
        <f t="array" ref="G4575">IF(B4575="insumo",_xlfn.XLOOKUP($D4575,Insumos!$B$1:$B$996,Insumos!$D$1:$D$996),"")</f>
        <v>1200</v>
      </c>
      <c r="H4575" s="92">
        <v>1200</v>
      </c>
      <c r="I4575" s="13">
        <v>0</v>
      </c>
      <c r="J4575" s="13">
        <v>0</v>
      </c>
      <c r="K4575" s="13"/>
      <c r="L4575"/>
      <c r="M4575"/>
      <c r="N4575"/>
      <c r="O4575"/>
      <c r="P4575"/>
      <c r="Q4575"/>
      <c r="R4575"/>
      <c r="S4575"/>
      <c r="T4575"/>
      <c r="U4575"/>
      <c r="V4575"/>
      <c r="W4575"/>
      <c r="X4575"/>
      <c r="Y4575"/>
      <c r="Z4575"/>
      <c r="AA4575"/>
      <c r="AB4575"/>
      <c r="AC4575"/>
      <c r="AD4575"/>
      <c r="AE4575"/>
      <c r="AF4575"/>
      <c r="AG4575"/>
      <c r="AH4575"/>
      <c r="AI4575"/>
      <c r="AJ4575"/>
      <c r="AK4575"/>
      <c r="AL4575"/>
    </row>
    <row r="4576" spans="1:38" ht="15.75" customHeight="1" outlineLevel="2" x14ac:dyDescent="0.2">
      <c r="A4576" s="1067">
        <v>1</v>
      </c>
      <c r="B4576" s="1067" t="s">
        <v>68</v>
      </c>
      <c r="C4576" s="1067" t="s">
        <v>913</v>
      </c>
      <c r="D4576" s="1067" t="s">
        <v>913</v>
      </c>
      <c r="E4576" s="1068" t="s">
        <v>70</v>
      </c>
      <c r="F4576" s="1067"/>
      <c r="G4576" s="1069" t="str">
        <f t="array" ref="G4576">IF(B4576="insumo",_xlfn.XLOOKUP($D4576,Insumos!$B$1:$B$996,Insumos!$D$1:$D$996),"")</f>
        <v/>
      </c>
      <c r="H4576" s="1069">
        <v>1200</v>
      </c>
      <c r="I4576" s="1070">
        <v>0</v>
      </c>
      <c r="J4576" s="1070">
        <v>0</v>
      </c>
      <c r="K4576" s="1070"/>
      <c r="L4576"/>
      <c r="M4576"/>
      <c r="N4576"/>
      <c r="O4576"/>
      <c r="P4576"/>
      <c r="Q4576"/>
      <c r="R4576"/>
      <c r="S4576"/>
      <c r="T4576"/>
      <c r="U4576"/>
      <c r="V4576"/>
      <c r="W4576"/>
      <c r="X4576"/>
      <c r="Y4576"/>
      <c r="Z4576"/>
      <c r="AA4576"/>
      <c r="AB4576"/>
      <c r="AC4576"/>
      <c r="AD4576"/>
      <c r="AE4576"/>
      <c r="AF4576"/>
      <c r="AG4576"/>
      <c r="AH4576"/>
      <c r="AI4576"/>
      <c r="AJ4576"/>
      <c r="AK4576"/>
      <c r="AL4576"/>
    </row>
    <row r="4577" spans="1:38" ht="15.75" customHeight="1" outlineLevel="3" x14ac:dyDescent="0.2">
      <c r="A4577" s="10">
        <v>4</v>
      </c>
      <c r="B4577" s="10" t="s">
        <v>71</v>
      </c>
      <c r="C4577" s="10" t="s">
        <v>913</v>
      </c>
      <c r="D4577" s="10" t="s">
        <v>912</v>
      </c>
      <c r="E4577" s="11" t="str">
        <f t="array" ref="E4577">_xlfn.XLOOKUP(D4577,Insumos!B:B,Insumos!C:$C)</f>
        <v>M2</v>
      </c>
      <c r="F4577" s="14">
        <v>1</v>
      </c>
      <c r="G4577" s="92">
        <f t="array" ref="G4577">IF(B4577="insumo",_xlfn.XLOOKUP($D4577,Insumos!$B$1:$B$996,Insumos!$D$1:$D$996),"")</f>
        <v>1200</v>
      </c>
      <c r="H4577" s="92">
        <v>1200</v>
      </c>
      <c r="I4577" s="13">
        <v>0</v>
      </c>
      <c r="J4577" s="13">
        <v>0</v>
      </c>
      <c r="K4577" s="13"/>
      <c r="L4577"/>
      <c r="M4577"/>
      <c r="N4577"/>
      <c r="O4577"/>
      <c r="P4577"/>
      <c r="Q4577"/>
      <c r="R4577"/>
      <c r="S4577"/>
      <c r="T4577"/>
      <c r="U4577"/>
      <c r="V4577"/>
      <c r="W4577"/>
      <c r="X4577"/>
      <c r="Y4577"/>
      <c r="Z4577"/>
      <c r="AA4577"/>
      <c r="AB4577"/>
      <c r="AC4577"/>
      <c r="AD4577"/>
      <c r="AE4577"/>
      <c r="AF4577"/>
      <c r="AG4577"/>
      <c r="AH4577"/>
      <c r="AI4577"/>
      <c r="AJ4577"/>
      <c r="AK4577"/>
      <c r="AL4577"/>
    </row>
    <row r="4578" spans="1:38" ht="15.75" customHeight="1" outlineLevel="2" x14ac:dyDescent="0.2">
      <c r="A4578" s="1067">
        <v>1</v>
      </c>
      <c r="B4578" s="1067" t="s">
        <v>68</v>
      </c>
      <c r="C4578" s="1067" t="s">
        <v>1580</v>
      </c>
      <c r="D4578" s="1067" t="s">
        <v>1580</v>
      </c>
      <c r="E4578" s="1068" t="s">
        <v>70</v>
      </c>
      <c r="F4578" s="1067"/>
      <c r="G4578" s="1069" t="str">
        <f t="array" ref="G4578">IF(B4578="insumo",_xlfn.XLOOKUP($D4578,Insumos!$B$1:$B$996,Insumos!$D$1:$D$996),"")</f>
        <v/>
      </c>
      <c r="H4578" s="1069">
        <v>1200</v>
      </c>
      <c r="I4578" s="1070">
        <v>0</v>
      </c>
      <c r="J4578" s="1070">
        <v>0</v>
      </c>
      <c r="K4578" s="1070"/>
      <c r="L4578"/>
      <c r="M4578"/>
      <c r="N4578"/>
      <c r="O4578"/>
      <c r="P4578"/>
      <c r="Q4578"/>
      <c r="R4578"/>
      <c r="S4578"/>
      <c r="T4578"/>
      <c r="U4578"/>
      <c r="V4578"/>
      <c r="W4578"/>
      <c r="X4578"/>
      <c r="Y4578"/>
      <c r="Z4578"/>
      <c r="AA4578"/>
      <c r="AB4578"/>
      <c r="AC4578"/>
      <c r="AD4578"/>
      <c r="AE4578"/>
      <c r="AF4578"/>
      <c r="AG4578"/>
      <c r="AH4578"/>
      <c r="AI4578"/>
      <c r="AJ4578"/>
      <c r="AK4578"/>
      <c r="AL4578"/>
    </row>
    <row r="4579" spans="1:38" ht="15.75" customHeight="1" outlineLevel="3" x14ac:dyDescent="0.2">
      <c r="A4579" s="10">
        <v>4</v>
      </c>
      <c r="B4579" s="10" t="s">
        <v>71</v>
      </c>
      <c r="C4579" s="10" t="s">
        <v>1580</v>
      </c>
      <c r="D4579" s="10" t="s">
        <v>912</v>
      </c>
      <c r="E4579" s="11" t="str">
        <f t="array" ref="E4579">_xlfn.XLOOKUP(D4579,Insumos!B:B,Insumos!C:$C)</f>
        <v>M2</v>
      </c>
      <c r="F4579" s="14">
        <v>1</v>
      </c>
      <c r="G4579" s="92">
        <f t="array" ref="G4579">IF(B4579="insumo",_xlfn.XLOOKUP($D4579,Insumos!$B$1:$B$996,Insumos!$D$1:$D$996),"")</f>
        <v>1200</v>
      </c>
      <c r="H4579" s="92">
        <v>1200</v>
      </c>
      <c r="I4579" s="13">
        <v>0</v>
      </c>
      <c r="J4579" s="13">
        <v>0</v>
      </c>
      <c r="K4579" s="13"/>
      <c r="L4579"/>
      <c r="M4579"/>
      <c r="N4579"/>
      <c r="O4579"/>
      <c r="P4579"/>
      <c r="Q4579"/>
      <c r="R4579"/>
      <c r="S4579"/>
      <c r="T4579"/>
      <c r="U4579"/>
      <c r="V4579"/>
      <c r="W4579"/>
      <c r="X4579"/>
      <c r="Y4579"/>
      <c r="Z4579"/>
      <c r="AA4579"/>
      <c r="AB4579"/>
      <c r="AC4579"/>
      <c r="AD4579"/>
      <c r="AE4579"/>
      <c r="AF4579"/>
      <c r="AG4579"/>
      <c r="AH4579"/>
      <c r="AI4579"/>
      <c r="AJ4579"/>
      <c r="AK4579"/>
      <c r="AL4579"/>
    </row>
    <row r="4580" spans="1:38" ht="15.75" customHeight="1" outlineLevel="2" x14ac:dyDescent="0.2">
      <c r="A4580" s="1067">
        <v>1</v>
      </c>
      <c r="B4580" s="1067" t="s">
        <v>68</v>
      </c>
      <c r="C4580" s="1067" t="s">
        <v>879</v>
      </c>
      <c r="D4580" s="1067" t="s">
        <v>879</v>
      </c>
      <c r="E4580" s="1068" t="s">
        <v>70</v>
      </c>
      <c r="F4580" s="1067"/>
      <c r="G4580" s="1069" t="str">
        <f t="array" ref="G4580">IF(B4580="insumo",_xlfn.XLOOKUP($D4580,Insumos!$B$1:$B$996,Insumos!$D$1:$D$996),"")</f>
        <v/>
      </c>
      <c r="H4580" s="1069">
        <v>165</v>
      </c>
      <c r="I4580" s="1070">
        <v>0</v>
      </c>
      <c r="J4580" s="1070">
        <v>0</v>
      </c>
      <c r="K4580" s="1070"/>
      <c r="L4580"/>
      <c r="M4580"/>
      <c r="N4580"/>
      <c r="O4580"/>
      <c r="P4580"/>
      <c r="Q4580"/>
      <c r="R4580"/>
      <c r="S4580"/>
      <c r="T4580"/>
      <c r="U4580"/>
      <c r="V4580"/>
      <c r="W4580"/>
      <c r="X4580"/>
      <c r="Y4580"/>
      <c r="Z4580"/>
      <c r="AA4580"/>
      <c r="AB4580"/>
      <c r="AC4580"/>
      <c r="AD4580"/>
      <c r="AE4580"/>
      <c r="AF4580"/>
      <c r="AG4580"/>
      <c r="AH4580"/>
      <c r="AI4580"/>
      <c r="AJ4580"/>
      <c r="AK4580"/>
      <c r="AL4580"/>
    </row>
    <row r="4581" spans="1:38" ht="15.75" customHeight="1" outlineLevel="3" x14ac:dyDescent="0.2">
      <c r="A4581" s="10">
        <v>3</v>
      </c>
      <c r="B4581" s="10" t="s">
        <v>71</v>
      </c>
      <c r="C4581" s="10" t="s">
        <v>879</v>
      </c>
      <c r="D4581" s="10" t="s">
        <v>706</v>
      </c>
      <c r="E4581" s="11" t="str">
        <f t="array" ref="E4581">_xlfn.XLOOKUP(D4581,Insumos!B:B,Insumos!C:$C)</f>
        <v>M2</v>
      </c>
      <c r="F4581" s="14">
        <v>1.1000000000000001</v>
      </c>
      <c r="G4581" s="92">
        <f t="array" ref="G4581">IF(B4581="insumo",_xlfn.XLOOKUP($D4581,Insumos!$B$1:$B$996,Insumos!$D$1:$D$996),"")</f>
        <v>150</v>
      </c>
      <c r="H4581" s="92">
        <v>165</v>
      </c>
      <c r="I4581" s="13">
        <v>0</v>
      </c>
      <c r="J4581" s="13">
        <v>0</v>
      </c>
      <c r="K4581" s="13"/>
      <c r="L4581"/>
      <c r="M4581"/>
      <c r="N4581"/>
      <c r="O4581"/>
      <c r="P4581"/>
      <c r="Q4581"/>
      <c r="R4581"/>
      <c r="S4581"/>
      <c r="T4581"/>
      <c r="U4581"/>
      <c r="V4581"/>
      <c r="W4581"/>
      <c r="X4581"/>
      <c r="Y4581"/>
      <c r="Z4581"/>
      <c r="AA4581"/>
      <c r="AB4581"/>
      <c r="AC4581"/>
      <c r="AD4581"/>
      <c r="AE4581"/>
      <c r="AF4581"/>
      <c r="AG4581"/>
      <c r="AH4581"/>
      <c r="AI4581"/>
      <c r="AJ4581"/>
      <c r="AK4581"/>
      <c r="AL4581"/>
    </row>
    <row r="4582" spans="1:38" ht="15.75" customHeight="1" outlineLevel="2" x14ac:dyDescent="0.2">
      <c r="A4582" s="1067">
        <v>1</v>
      </c>
      <c r="B4582" s="1067" t="s">
        <v>68</v>
      </c>
      <c r="C4582" s="1067" t="s">
        <v>882</v>
      </c>
      <c r="D4582" s="1067" t="s">
        <v>882</v>
      </c>
      <c r="E4582" s="1068" t="s">
        <v>70</v>
      </c>
      <c r="F4582" s="1067"/>
      <c r="G4582" s="1069" t="str">
        <f t="array" ref="G4582">IF(B4582="insumo",_xlfn.XLOOKUP($D4582,Insumos!$B$1:$B$996,Insumos!$D$1:$D$996),"")</f>
        <v/>
      </c>
      <c r="H4582" s="1069">
        <v>1200</v>
      </c>
      <c r="I4582" s="1070">
        <v>0</v>
      </c>
      <c r="J4582" s="1070">
        <v>0</v>
      </c>
      <c r="K4582" s="1070"/>
      <c r="L4582"/>
      <c r="M4582"/>
      <c r="N4582"/>
      <c r="O4582"/>
      <c r="P4582"/>
      <c r="Q4582"/>
      <c r="R4582"/>
      <c r="S4582"/>
      <c r="T4582"/>
      <c r="U4582"/>
      <c r="V4582"/>
      <c r="W4582"/>
      <c r="X4582"/>
      <c r="Y4582"/>
      <c r="Z4582"/>
      <c r="AA4582"/>
      <c r="AB4582"/>
      <c r="AC4582"/>
      <c r="AD4582"/>
      <c r="AE4582"/>
      <c r="AF4582"/>
      <c r="AG4582"/>
      <c r="AH4582"/>
      <c r="AI4582"/>
      <c r="AJ4582"/>
      <c r="AK4582"/>
      <c r="AL4582"/>
    </row>
    <row r="4583" spans="1:38" ht="15.75" customHeight="1" outlineLevel="3" x14ac:dyDescent="0.2">
      <c r="A4583" s="10">
        <v>1</v>
      </c>
      <c r="B4583" s="10" t="s">
        <v>71</v>
      </c>
      <c r="C4583" s="10" t="s">
        <v>882</v>
      </c>
      <c r="D4583" s="10" t="s">
        <v>882</v>
      </c>
      <c r="E4583" s="11" t="str">
        <f t="array" ref="E4583">_xlfn.XLOOKUP(D4583,Insumos!B:B,Insumos!C:$C)</f>
        <v>M2</v>
      </c>
      <c r="F4583" s="14">
        <v>1</v>
      </c>
      <c r="G4583" s="92">
        <f t="array" ref="G4583">IF(B4583="insumo",_xlfn.XLOOKUP($D4583,Insumos!$B$1:$B$996,Insumos!$D$1:$D$996),"")</f>
        <v>1200</v>
      </c>
      <c r="H4583" s="92">
        <v>1200</v>
      </c>
      <c r="I4583" s="13">
        <v>0</v>
      </c>
      <c r="J4583" s="13">
        <v>0</v>
      </c>
      <c r="K4583" s="13"/>
      <c r="L4583"/>
      <c r="M4583"/>
      <c r="N4583"/>
      <c r="O4583"/>
      <c r="P4583"/>
      <c r="Q4583"/>
      <c r="R4583"/>
      <c r="S4583"/>
      <c r="T4583"/>
      <c r="U4583"/>
      <c r="V4583"/>
      <c r="W4583"/>
      <c r="X4583"/>
      <c r="Y4583"/>
      <c r="Z4583"/>
      <c r="AA4583"/>
      <c r="AB4583"/>
      <c r="AC4583"/>
      <c r="AD4583"/>
      <c r="AE4583"/>
      <c r="AF4583"/>
      <c r="AG4583"/>
      <c r="AH4583"/>
      <c r="AI4583"/>
      <c r="AJ4583"/>
      <c r="AK4583"/>
      <c r="AL4583"/>
    </row>
    <row r="4584" spans="1:38" ht="15.75" customHeight="1" outlineLevel="2" x14ac:dyDescent="0.2">
      <c r="A4584" s="1067">
        <v>1</v>
      </c>
      <c r="B4584" s="1067" t="s">
        <v>68</v>
      </c>
      <c r="C4584" s="1067" t="s">
        <v>883</v>
      </c>
      <c r="D4584" s="1067" t="s">
        <v>883</v>
      </c>
      <c r="E4584" s="1068" t="s">
        <v>70</v>
      </c>
      <c r="F4584" s="1067"/>
      <c r="G4584" s="1069" t="str">
        <f t="array" ref="G4584">IF(B4584="insumo",_xlfn.XLOOKUP($D4584,Insumos!$B$1:$B$996,Insumos!$D$1:$D$996),"")</f>
        <v/>
      </c>
      <c r="H4584" s="1069">
        <v>1200</v>
      </c>
      <c r="I4584" s="1070">
        <v>0</v>
      </c>
      <c r="J4584" s="1070">
        <v>0</v>
      </c>
      <c r="K4584" s="1070"/>
      <c r="L4584"/>
      <c r="M4584"/>
      <c r="N4584"/>
      <c r="O4584"/>
      <c r="P4584"/>
      <c r="Q4584"/>
      <c r="R4584"/>
      <c r="S4584"/>
      <c r="T4584"/>
      <c r="U4584"/>
      <c r="V4584"/>
      <c r="W4584"/>
      <c r="X4584"/>
      <c r="Y4584"/>
      <c r="Z4584"/>
      <c r="AA4584"/>
      <c r="AB4584"/>
      <c r="AC4584"/>
      <c r="AD4584"/>
      <c r="AE4584"/>
      <c r="AF4584"/>
      <c r="AG4584"/>
      <c r="AH4584"/>
      <c r="AI4584"/>
      <c r="AJ4584"/>
      <c r="AK4584"/>
      <c r="AL4584"/>
    </row>
    <row r="4585" spans="1:38" ht="15.75" customHeight="1" outlineLevel="3" x14ac:dyDescent="0.2">
      <c r="A4585" s="10">
        <v>1</v>
      </c>
      <c r="B4585" s="10" t="s">
        <v>71</v>
      </c>
      <c r="C4585" s="10" t="s">
        <v>883</v>
      </c>
      <c r="D4585" s="10" t="s">
        <v>883</v>
      </c>
      <c r="E4585" s="11" t="str">
        <f t="array" ref="E4585">_xlfn.XLOOKUP(D4585,Insumos!B:B,Insumos!C:$C)</f>
        <v>M2</v>
      </c>
      <c r="F4585" s="14">
        <v>1</v>
      </c>
      <c r="G4585" s="92">
        <f t="array" ref="G4585">IF(B4585="insumo",_xlfn.XLOOKUP($D4585,Insumos!$B$1:$B$996,Insumos!$D$1:$D$996),"")</f>
        <v>1200</v>
      </c>
      <c r="H4585" s="92">
        <v>1200</v>
      </c>
      <c r="I4585" s="13">
        <v>0</v>
      </c>
      <c r="J4585" s="13">
        <v>0</v>
      </c>
      <c r="K4585" s="13"/>
      <c r="L4585"/>
      <c r="M4585"/>
      <c r="N4585"/>
      <c r="O4585"/>
      <c r="P4585"/>
      <c r="Q4585"/>
      <c r="R4585"/>
      <c r="S4585"/>
      <c r="T4585"/>
      <c r="U4585"/>
      <c r="V4585"/>
      <c r="W4585"/>
      <c r="X4585"/>
      <c r="Y4585"/>
      <c r="Z4585"/>
      <c r="AA4585"/>
      <c r="AB4585"/>
      <c r="AC4585"/>
      <c r="AD4585"/>
      <c r="AE4585"/>
      <c r="AF4585"/>
      <c r="AG4585"/>
      <c r="AH4585"/>
      <c r="AI4585"/>
      <c r="AJ4585"/>
      <c r="AK4585"/>
      <c r="AL4585"/>
    </row>
    <row r="4586" spans="1:38" ht="15.75" customHeight="1" outlineLevel="2" x14ac:dyDescent="0.2">
      <c r="A4586" s="1067">
        <v>1</v>
      </c>
      <c r="B4586" s="1067" t="s">
        <v>68</v>
      </c>
      <c r="C4586" s="1067" t="s">
        <v>4223</v>
      </c>
      <c r="D4586" s="1067" t="s">
        <v>4223</v>
      </c>
      <c r="E4586" s="1068" t="s">
        <v>70</v>
      </c>
      <c r="F4586" s="1067"/>
      <c r="G4586" s="1069" t="str">
        <f t="array" ref="G4586">IF(B4586="insumo",_xlfn.XLOOKUP($D4586,Insumos!$B$1:$B$996,Insumos!$D$1:$D$996),"")</f>
        <v/>
      </c>
      <c r="H4586" s="1069">
        <v>450.23927500000002</v>
      </c>
      <c r="I4586" s="1070" t="e">
        <v>#REF!</v>
      </c>
      <c r="J4586" s="1070" t="e">
        <v>#REF!</v>
      </c>
      <c r="K4586" s="1070"/>
      <c r="L4586"/>
      <c r="M4586"/>
      <c r="N4586"/>
      <c r="O4586"/>
      <c r="P4586"/>
      <c r="Q4586"/>
      <c r="R4586"/>
      <c r="S4586"/>
      <c r="T4586"/>
      <c r="U4586"/>
      <c r="V4586"/>
      <c r="W4586"/>
      <c r="X4586"/>
      <c r="Y4586"/>
      <c r="Z4586"/>
      <c r="AA4586"/>
      <c r="AB4586"/>
      <c r="AC4586"/>
      <c r="AD4586"/>
      <c r="AE4586"/>
      <c r="AF4586"/>
      <c r="AG4586"/>
      <c r="AH4586"/>
      <c r="AI4586"/>
      <c r="AJ4586"/>
      <c r="AK4586"/>
      <c r="AL4586"/>
    </row>
    <row r="4587" spans="1:38" ht="15.75" customHeight="1" outlineLevel="3" x14ac:dyDescent="0.2">
      <c r="A4587" s="10">
        <v>1</v>
      </c>
      <c r="B4587" s="10" t="s">
        <v>71</v>
      </c>
      <c r="C4587" s="10" t="s">
        <v>4223</v>
      </c>
      <c r="D4587" s="10" t="s">
        <v>4224</v>
      </c>
      <c r="E4587" s="11" t="str">
        <f t="array" ref="E4587">_xlfn.XLOOKUP(D4587,Insumos!B:B,Insumos!C:$C)</f>
        <v>M2</v>
      </c>
      <c r="F4587" s="14">
        <f>1.1/2</f>
        <v>0.55000000000000004</v>
      </c>
      <c r="G4587" s="92">
        <f t="array" ref="G4587">IF(B4587="insumo",_xlfn.XLOOKUP($D4587,Insumos!$B$1:$B$996,Insumos!$D$1:$D$996),"")</f>
        <v>402.5</v>
      </c>
      <c r="H4587" s="92">
        <v>221.375</v>
      </c>
      <c r="I4587" s="13" t="e">
        <v>#REF!</v>
      </c>
      <c r="J4587" s="13" t="e">
        <v>#REF!</v>
      </c>
      <c r="K4587" s="13"/>
      <c r="L4587"/>
      <c r="M4587"/>
      <c r="N4587"/>
      <c r="O4587"/>
      <c r="P4587"/>
      <c r="Q4587"/>
      <c r="R4587"/>
      <c r="S4587"/>
      <c r="T4587"/>
      <c r="U4587"/>
      <c r="V4587"/>
      <c r="W4587"/>
      <c r="X4587"/>
      <c r="Y4587"/>
      <c r="Z4587"/>
      <c r="AA4587"/>
      <c r="AB4587"/>
      <c r="AC4587"/>
      <c r="AD4587"/>
      <c r="AE4587"/>
      <c r="AF4587"/>
      <c r="AG4587"/>
      <c r="AH4587"/>
      <c r="AI4587"/>
      <c r="AJ4587"/>
      <c r="AK4587"/>
      <c r="AL4587"/>
    </row>
    <row r="4588" spans="1:38" ht="15.75" customHeight="1" outlineLevel="3" x14ac:dyDescent="0.2">
      <c r="A4588" s="10">
        <v>1</v>
      </c>
      <c r="B4588" s="10" t="s">
        <v>71</v>
      </c>
      <c r="C4588" s="10" t="s">
        <v>4223</v>
      </c>
      <c r="D4588" s="10" t="s">
        <v>4225</v>
      </c>
      <c r="E4588" s="11" t="str">
        <f t="array" ref="E4588">_xlfn.XLOOKUP(D4588,Insumos!B:B,Insumos!C:$C)</f>
        <v>M2</v>
      </c>
      <c r="F4588" s="14">
        <f>1.1/2</f>
        <v>0.55000000000000004</v>
      </c>
      <c r="G4588" s="92">
        <f t="array" ref="G4588">IF(B4588="insumo",_xlfn.XLOOKUP($D4588,Insumos!$B$1:$B$996,Insumos!$D$1:$D$996),"")</f>
        <v>402.5</v>
      </c>
      <c r="H4588" s="92">
        <v>221.375</v>
      </c>
      <c r="I4588" s="13" t="e">
        <v>#REF!</v>
      </c>
      <c r="J4588" s="13" t="e">
        <v>#REF!</v>
      </c>
      <c r="K4588" s="13"/>
      <c r="L4588"/>
      <c r="M4588"/>
      <c r="N4588"/>
      <c r="O4588"/>
      <c r="P4588"/>
      <c r="Q4588"/>
      <c r="R4588"/>
      <c r="S4588"/>
      <c r="T4588"/>
      <c r="U4588"/>
      <c r="V4588"/>
      <c r="W4588"/>
      <c r="X4588"/>
      <c r="Y4588"/>
      <c r="Z4588"/>
      <c r="AA4588"/>
      <c r="AB4588"/>
      <c r="AC4588"/>
      <c r="AD4588"/>
      <c r="AE4588"/>
      <c r="AF4588"/>
      <c r="AG4588"/>
      <c r="AH4588"/>
      <c r="AI4588"/>
      <c r="AJ4588"/>
      <c r="AK4588"/>
      <c r="AL4588"/>
    </row>
    <row r="4589" spans="1:38" ht="15.75" customHeight="1" outlineLevel="3" x14ac:dyDescent="0.2">
      <c r="A4589" s="10">
        <v>191</v>
      </c>
      <c r="B4589" s="10" t="s">
        <v>71</v>
      </c>
      <c r="C4589" s="10" t="s">
        <v>4223</v>
      </c>
      <c r="D4589" s="10" t="s">
        <v>481</v>
      </c>
      <c r="E4589" s="11" t="str">
        <f t="array" ref="E4589">_xlfn.XLOOKUP(D4589,Insumos!B:B,Insumos!C:$C)</f>
        <v>KG</v>
      </c>
      <c r="F4589" s="14">
        <v>4.95</v>
      </c>
      <c r="G4589" s="92">
        <f t="array" ref="G4589">IF(B4589="insumo",_xlfn.XLOOKUP($D4589,Insumos!$B$1:$B$996,Insumos!$D$1:$D$996),"")</f>
        <v>1.0645</v>
      </c>
      <c r="H4589" s="92">
        <v>5.2692750000000004</v>
      </c>
      <c r="I4589" s="13" t="e">
        <v>#REF!</v>
      </c>
      <c r="J4589" s="13" t="e">
        <v>#REF!</v>
      </c>
      <c r="K4589" s="13"/>
      <c r="L4589"/>
      <c r="M4589"/>
      <c r="N4589"/>
      <c r="O4589"/>
      <c r="P4589"/>
      <c r="Q4589"/>
      <c r="R4589"/>
      <c r="S4589"/>
      <c r="T4589"/>
      <c r="U4589"/>
      <c r="V4589"/>
      <c r="W4589"/>
      <c r="X4589"/>
      <c r="Y4589"/>
      <c r="Z4589"/>
      <c r="AA4589"/>
      <c r="AB4589"/>
      <c r="AC4589"/>
      <c r="AD4589"/>
      <c r="AE4589"/>
      <c r="AF4589"/>
      <c r="AG4589"/>
      <c r="AH4589"/>
      <c r="AI4589"/>
      <c r="AJ4589"/>
      <c r="AK4589"/>
      <c r="AL4589"/>
    </row>
    <row r="4590" spans="1:38" ht="15.75" customHeight="1" outlineLevel="3" x14ac:dyDescent="0.2">
      <c r="A4590" s="10">
        <v>142</v>
      </c>
      <c r="B4590" s="10" t="s">
        <v>71</v>
      </c>
      <c r="C4590" s="10" t="s">
        <v>4223</v>
      </c>
      <c r="D4590" s="10" t="s">
        <v>506</v>
      </c>
      <c r="E4590" s="11" t="str">
        <f t="array" ref="E4590">_xlfn.XLOOKUP(D4590,Insumos!B:B,Insumos!C:$C)</f>
        <v>UN</v>
      </c>
      <c r="F4590" s="14">
        <v>4</v>
      </c>
      <c r="G4590" s="92">
        <f t="array" ref="G4590">IF(B4590="insumo",_xlfn.XLOOKUP($D4590,Insumos!$B$1:$B$996,Insumos!$D$1:$D$996),"")</f>
        <v>0.08</v>
      </c>
      <c r="H4590" s="92">
        <v>0.32</v>
      </c>
      <c r="I4590" s="13" t="e">
        <v>#REF!</v>
      </c>
      <c r="J4590" s="13" t="e">
        <v>#REF!</v>
      </c>
      <c r="K4590" s="13"/>
      <c r="L4590"/>
      <c r="M4590"/>
      <c r="N4590"/>
      <c r="O4590"/>
      <c r="P4590"/>
      <c r="Q4590"/>
      <c r="R4590"/>
      <c r="S4590"/>
      <c r="T4590"/>
      <c r="U4590"/>
      <c r="V4590"/>
      <c r="W4590"/>
      <c r="X4590"/>
      <c r="Y4590"/>
      <c r="Z4590"/>
      <c r="AA4590"/>
      <c r="AB4590"/>
      <c r="AC4590"/>
      <c r="AD4590"/>
      <c r="AE4590"/>
      <c r="AF4590"/>
      <c r="AG4590"/>
      <c r="AH4590"/>
      <c r="AI4590"/>
      <c r="AJ4590"/>
      <c r="AK4590"/>
      <c r="AL4590"/>
    </row>
    <row r="4591" spans="1:38" ht="15.75" customHeight="1" outlineLevel="3" x14ac:dyDescent="0.2">
      <c r="A4591" s="10">
        <v>36</v>
      </c>
      <c r="B4591" s="10" t="s">
        <v>71</v>
      </c>
      <c r="C4591" s="82" t="s">
        <v>4223</v>
      </c>
      <c r="D4591" s="82" t="s">
        <v>2856</v>
      </c>
      <c r="E4591" s="11" t="str">
        <f t="array" ref="E4591">_xlfn.XLOOKUP(D4591,Insumos!B:B,Insumos!C:$C)</f>
        <v>KG</v>
      </c>
      <c r="F4591" s="14">
        <v>0.05</v>
      </c>
      <c r="G4591" s="92">
        <f t="array" ref="G4591">IF(B4591="insumo",_xlfn.XLOOKUP($D4591,Insumos!$B$1:$B$996,Insumos!$D$1:$D$996),"")</f>
        <v>38</v>
      </c>
      <c r="H4591" s="92">
        <v>1.9</v>
      </c>
      <c r="I4591" s="13" t="e">
        <v>#REF!</v>
      </c>
      <c r="J4591" s="13" t="e">
        <v>#REF!</v>
      </c>
      <c r="K4591" s="13"/>
      <c r="L4591"/>
      <c r="M4591"/>
      <c r="N4591"/>
      <c r="O4591"/>
      <c r="P4591"/>
      <c r="Q4591"/>
      <c r="R4591"/>
      <c r="S4591"/>
      <c r="T4591"/>
      <c r="U4591"/>
      <c r="V4591"/>
      <c r="W4591"/>
      <c r="X4591"/>
      <c r="Y4591"/>
      <c r="Z4591"/>
      <c r="AA4591"/>
      <c r="AB4591"/>
      <c r="AC4591"/>
      <c r="AD4591"/>
      <c r="AE4591"/>
      <c r="AF4591"/>
      <c r="AG4591"/>
      <c r="AH4591"/>
      <c r="AI4591"/>
      <c r="AJ4591"/>
      <c r="AK4591"/>
      <c r="AL4591"/>
    </row>
    <row r="4592" spans="1:38" ht="15.75" customHeight="1" outlineLevel="2" x14ac:dyDescent="0.2">
      <c r="A4592" s="1067">
        <v>1</v>
      </c>
      <c r="B4592" s="1067" t="s">
        <v>68</v>
      </c>
      <c r="C4592" s="1067" t="s">
        <v>3150</v>
      </c>
      <c r="D4592" s="1067" t="s">
        <v>3150</v>
      </c>
      <c r="E4592" s="1068" t="s">
        <v>70</v>
      </c>
      <c r="F4592" s="1067"/>
      <c r="G4592" s="1069" t="str">
        <f t="array" ref="G4592">IF(B4592="insumo",_xlfn.XLOOKUP($D4592,Insumos!$B$1:$B$996,Insumos!$D$1:$D$996),"")</f>
        <v/>
      </c>
      <c r="H4592" s="1069">
        <v>654.28927499999998</v>
      </c>
      <c r="I4592" s="1070">
        <v>0</v>
      </c>
      <c r="J4592" s="1070">
        <v>0</v>
      </c>
      <c r="K4592" s="1070"/>
      <c r="L4592"/>
      <c r="M4592"/>
      <c r="N4592"/>
      <c r="O4592"/>
      <c r="P4592"/>
      <c r="Q4592"/>
      <c r="R4592"/>
      <c r="S4592"/>
      <c r="T4592"/>
      <c r="U4592"/>
      <c r="V4592"/>
      <c r="W4592"/>
      <c r="X4592"/>
      <c r="Y4592"/>
      <c r="Z4592"/>
      <c r="AA4592"/>
      <c r="AB4592"/>
      <c r="AC4592"/>
      <c r="AD4592"/>
      <c r="AE4592"/>
      <c r="AF4592"/>
      <c r="AG4592"/>
      <c r="AH4592"/>
      <c r="AI4592"/>
      <c r="AJ4592"/>
      <c r="AK4592"/>
      <c r="AL4592"/>
    </row>
    <row r="4593" spans="1:38" ht="15.75" customHeight="1" outlineLevel="3" x14ac:dyDescent="0.2">
      <c r="A4593" s="10">
        <v>1</v>
      </c>
      <c r="B4593" s="10" t="s">
        <v>71</v>
      </c>
      <c r="C4593" s="10" t="s">
        <v>3150</v>
      </c>
      <c r="D4593" s="10" t="s">
        <v>3148</v>
      </c>
      <c r="E4593" s="11" t="str">
        <f t="array" ref="E4593">_xlfn.XLOOKUP(D4593,Insumos!B:B,Insumos!C:$C)</f>
        <v>M2</v>
      </c>
      <c r="F4593" s="14">
        <f>1.1/2</f>
        <v>0.55000000000000004</v>
      </c>
      <c r="G4593" s="92">
        <f t="array" ref="G4593">IF(B4593="insumo",_xlfn.XLOOKUP($D4593,Insumos!$B$1:$B$996,Insumos!$D$1:$D$996),"")</f>
        <v>588</v>
      </c>
      <c r="H4593" s="92">
        <v>323.39999999999998</v>
      </c>
      <c r="I4593" s="13">
        <v>0</v>
      </c>
      <c r="J4593" s="13">
        <v>0</v>
      </c>
      <c r="K4593" s="13"/>
      <c r="L4593"/>
      <c r="M4593"/>
      <c r="N4593"/>
      <c r="O4593"/>
      <c r="P4593"/>
      <c r="Q4593"/>
      <c r="R4593"/>
      <c r="S4593"/>
      <c r="T4593"/>
      <c r="U4593"/>
      <c r="V4593"/>
      <c r="W4593"/>
      <c r="X4593"/>
      <c r="Y4593"/>
      <c r="Z4593"/>
      <c r="AA4593"/>
      <c r="AB4593"/>
      <c r="AC4593"/>
      <c r="AD4593"/>
      <c r="AE4593"/>
      <c r="AF4593"/>
      <c r="AG4593"/>
      <c r="AH4593"/>
      <c r="AI4593"/>
      <c r="AJ4593"/>
      <c r="AK4593"/>
      <c r="AL4593"/>
    </row>
    <row r="4594" spans="1:38" ht="15.75" customHeight="1" outlineLevel="3" x14ac:dyDescent="0.2">
      <c r="A4594" s="10">
        <v>1</v>
      </c>
      <c r="B4594" s="10" t="s">
        <v>71</v>
      </c>
      <c r="C4594" s="10" t="s">
        <v>3150</v>
      </c>
      <c r="D4594" s="10" t="s">
        <v>3149</v>
      </c>
      <c r="E4594" s="11" t="str">
        <f t="array" ref="E4594">_xlfn.XLOOKUP(D4594,Insumos!B:B,Insumos!C:$C)</f>
        <v>M2</v>
      </c>
      <c r="F4594" s="14">
        <f>1.1/2</f>
        <v>0.55000000000000004</v>
      </c>
      <c r="G4594" s="92">
        <f t="array" ref="G4594">IF(B4594="insumo",_xlfn.XLOOKUP($D4594,Insumos!$B$1:$B$996,Insumos!$D$1:$D$996),"")</f>
        <v>588</v>
      </c>
      <c r="H4594" s="92">
        <v>323.39999999999998</v>
      </c>
      <c r="I4594" s="13">
        <v>0</v>
      </c>
      <c r="J4594" s="13">
        <v>0</v>
      </c>
      <c r="K4594" s="13"/>
      <c r="L4594"/>
      <c r="M4594"/>
      <c r="N4594"/>
      <c r="O4594"/>
      <c r="P4594"/>
      <c r="Q4594"/>
      <c r="R4594"/>
      <c r="S4594"/>
      <c r="T4594"/>
      <c r="U4594"/>
      <c r="V4594"/>
      <c r="W4594"/>
      <c r="X4594"/>
      <c r="Y4594"/>
      <c r="Z4594"/>
      <c r="AA4594"/>
      <c r="AB4594"/>
      <c r="AC4594"/>
      <c r="AD4594"/>
      <c r="AE4594"/>
      <c r="AF4594"/>
      <c r="AG4594"/>
      <c r="AH4594"/>
      <c r="AI4594"/>
      <c r="AJ4594"/>
      <c r="AK4594"/>
      <c r="AL4594"/>
    </row>
    <row r="4595" spans="1:38" ht="15.75" customHeight="1" outlineLevel="3" x14ac:dyDescent="0.2">
      <c r="A4595" s="10">
        <v>191</v>
      </c>
      <c r="B4595" s="10" t="s">
        <v>71</v>
      </c>
      <c r="C4595" s="10" t="s">
        <v>3150</v>
      </c>
      <c r="D4595" s="10" t="s">
        <v>481</v>
      </c>
      <c r="E4595" s="11" t="str">
        <f t="array" ref="E4595">_xlfn.XLOOKUP(D4595,Insumos!B:B,Insumos!C:$C)</f>
        <v>KG</v>
      </c>
      <c r="F4595" s="14">
        <v>4.95</v>
      </c>
      <c r="G4595" s="92">
        <f t="array" ref="G4595">IF(B4595="insumo",_xlfn.XLOOKUP($D4595,Insumos!$B$1:$B$996,Insumos!$D$1:$D$996),"")</f>
        <v>1.0645</v>
      </c>
      <c r="H4595" s="92">
        <v>5.2692750000000004</v>
      </c>
      <c r="I4595" s="13">
        <v>0</v>
      </c>
      <c r="J4595" s="13">
        <v>0</v>
      </c>
      <c r="K4595" s="13"/>
      <c r="L4595"/>
      <c r="M4595"/>
      <c r="N4595"/>
      <c r="O4595"/>
      <c r="P4595"/>
      <c r="Q4595"/>
      <c r="R4595"/>
      <c r="S4595"/>
      <c r="T4595"/>
      <c r="U4595"/>
      <c r="V4595"/>
      <c r="W4595"/>
      <c r="X4595"/>
      <c r="Y4595"/>
      <c r="Z4595"/>
      <c r="AA4595"/>
      <c r="AB4595"/>
      <c r="AC4595"/>
      <c r="AD4595"/>
      <c r="AE4595"/>
      <c r="AF4595"/>
      <c r="AG4595"/>
      <c r="AH4595"/>
      <c r="AI4595"/>
      <c r="AJ4595"/>
      <c r="AK4595"/>
      <c r="AL4595"/>
    </row>
    <row r="4596" spans="1:38" ht="15.75" customHeight="1" outlineLevel="3" x14ac:dyDescent="0.2">
      <c r="A4596" s="10">
        <v>142</v>
      </c>
      <c r="B4596" s="10" t="s">
        <v>71</v>
      </c>
      <c r="C4596" s="10" t="s">
        <v>3150</v>
      </c>
      <c r="D4596" s="10" t="s">
        <v>506</v>
      </c>
      <c r="E4596" s="11" t="str">
        <f t="array" ref="E4596">_xlfn.XLOOKUP(D4596,Insumos!B:B,Insumos!C:$C)</f>
        <v>UN</v>
      </c>
      <c r="F4596" s="14">
        <v>4</v>
      </c>
      <c r="G4596" s="92">
        <f t="array" ref="G4596">IF(B4596="insumo",_xlfn.XLOOKUP($D4596,Insumos!$B$1:$B$996,Insumos!$D$1:$D$996),"")</f>
        <v>0.08</v>
      </c>
      <c r="H4596" s="92">
        <v>0.32</v>
      </c>
      <c r="I4596" s="13">
        <v>0</v>
      </c>
      <c r="J4596" s="13">
        <v>0</v>
      </c>
      <c r="K4596" s="13"/>
      <c r="L4596"/>
      <c r="M4596"/>
      <c r="N4596"/>
      <c r="O4596"/>
      <c r="P4596"/>
      <c r="Q4596"/>
      <c r="R4596"/>
      <c r="S4596"/>
      <c r="T4596"/>
      <c r="U4596"/>
      <c r="V4596"/>
      <c r="W4596"/>
      <c r="X4596"/>
      <c r="Y4596"/>
      <c r="Z4596"/>
      <c r="AA4596"/>
      <c r="AB4596"/>
      <c r="AC4596"/>
      <c r="AD4596"/>
      <c r="AE4596"/>
      <c r="AF4596"/>
      <c r="AG4596"/>
      <c r="AH4596"/>
      <c r="AI4596"/>
      <c r="AJ4596"/>
      <c r="AK4596"/>
      <c r="AL4596"/>
    </row>
    <row r="4597" spans="1:38" ht="15.75" customHeight="1" outlineLevel="3" x14ac:dyDescent="0.2">
      <c r="A4597" s="10">
        <v>36</v>
      </c>
      <c r="B4597" s="10" t="s">
        <v>71</v>
      </c>
      <c r="C4597" s="82" t="s">
        <v>3150</v>
      </c>
      <c r="D4597" s="82" t="s">
        <v>2856</v>
      </c>
      <c r="E4597" s="11" t="str">
        <f t="array" ref="E4597">_xlfn.XLOOKUP(D4597,Insumos!B:B,Insumos!C:$C)</f>
        <v>KG</v>
      </c>
      <c r="F4597" s="14">
        <v>0.05</v>
      </c>
      <c r="G4597" s="92">
        <f t="array" ref="G4597">IF(B4597="insumo",_xlfn.XLOOKUP($D4597,Insumos!$B$1:$B$996,Insumos!$D$1:$D$996),"")</f>
        <v>38</v>
      </c>
      <c r="H4597" s="92">
        <v>1.9</v>
      </c>
      <c r="I4597" s="13">
        <v>0</v>
      </c>
      <c r="J4597" s="13">
        <v>0</v>
      </c>
      <c r="K4597" s="13"/>
      <c r="L4597"/>
      <c r="M4597"/>
      <c r="N4597"/>
      <c r="O4597"/>
      <c r="P4597"/>
      <c r="Q4597"/>
      <c r="R4597"/>
      <c r="S4597"/>
      <c r="T4597"/>
      <c r="U4597"/>
      <c r="V4597"/>
      <c r="W4597"/>
      <c r="X4597"/>
      <c r="Y4597"/>
      <c r="Z4597"/>
      <c r="AA4597"/>
      <c r="AB4597"/>
      <c r="AC4597"/>
      <c r="AD4597"/>
      <c r="AE4597"/>
      <c r="AF4597"/>
      <c r="AG4597"/>
      <c r="AH4597"/>
      <c r="AI4597"/>
      <c r="AJ4597"/>
      <c r="AK4597"/>
      <c r="AL4597"/>
    </row>
    <row r="4598" spans="1:38" ht="15.75" customHeight="1" outlineLevel="2" x14ac:dyDescent="0.2">
      <c r="A4598" s="1067">
        <v>1</v>
      </c>
      <c r="B4598" s="1067" t="s">
        <v>68</v>
      </c>
      <c r="C4598" s="1067" t="s">
        <v>886</v>
      </c>
      <c r="D4598" s="1067" t="s">
        <v>886</v>
      </c>
      <c r="E4598" s="1068" t="s">
        <v>70</v>
      </c>
      <c r="F4598" s="1067"/>
      <c r="G4598" s="1069" t="str">
        <f t="array" ref="G4598">IF(B4598="insumo",_xlfn.XLOOKUP($D4598,Insumos!$B$1:$B$996,Insumos!$D$1:$D$996),"")</f>
        <v/>
      </c>
      <c r="H4598" s="1069">
        <v>323.47550000000001</v>
      </c>
      <c r="I4598" s="1070">
        <v>0</v>
      </c>
      <c r="J4598" s="1070">
        <v>0</v>
      </c>
      <c r="K4598" s="1070"/>
      <c r="L4598"/>
      <c r="M4598"/>
      <c r="N4598"/>
      <c r="O4598"/>
      <c r="P4598"/>
      <c r="Q4598"/>
      <c r="R4598"/>
      <c r="S4598"/>
      <c r="T4598"/>
      <c r="U4598"/>
      <c r="V4598"/>
      <c r="W4598"/>
      <c r="X4598"/>
      <c r="Y4598"/>
      <c r="Z4598"/>
      <c r="AA4598"/>
      <c r="AB4598"/>
      <c r="AC4598"/>
      <c r="AD4598"/>
      <c r="AE4598"/>
      <c r="AF4598"/>
      <c r="AG4598"/>
      <c r="AH4598"/>
      <c r="AI4598"/>
      <c r="AJ4598"/>
      <c r="AK4598"/>
      <c r="AL4598"/>
    </row>
    <row r="4599" spans="1:38" ht="15.75" customHeight="1" outlineLevel="3" x14ac:dyDescent="0.2">
      <c r="A4599" s="10">
        <v>1</v>
      </c>
      <c r="B4599" s="10" t="s">
        <v>71</v>
      </c>
      <c r="C4599" s="10" t="s">
        <v>886</v>
      </c>
      <c r="D4599" s="10" t="s">
        <v>887</v>
      </c>
      <c r="E4599" s="11" t="str">
        <f t="array" ref="E4599">_xlfn.XLOOKUP(D4599,Insumos!B:B,Insumos!C:$C)</f>
        <v>M2</v>
      </c>
      <c r="F4599" s="14">
        <v>1.1000000000000001</v>
      </c>
      <c r="G4599" s="92">
        <f t="array" ref="G4599">IF(B4599="insumo",_xlfn.XLOOKUP($D4599,Insumos!$B$1:$B$996,Insumos!$D$1:$D$996),"")</f>
        <v>280</v>
      </c>
      <c r="H4599" s="92">
        <v>308</v>
      </c>
      <c r="I4599" s="13">
        <v>0</v>
      </c>
      <c r="J4599" s="13">
        <v>0</v>
      </c>
      <c r="K4599" s="13"/>
      <c r="L4599"/>
      <c r="M4599"/>
      <c r="N4599"/>
      <c r="O4599"/>
      <c r="P4599"/>
      <c r="Q4599"/>
      <c r="R4599"/>
      <c r="S4599"/>
      <c r="T4599"/>
      <c r="U4599"/>
      <c r="V4599"/>
      <c r="W4599"/>
      <c r="X4599"/>
      <c r="Y4599"/>
      <c r="Z4599"/>
      <c r="AA4599"/>
      <c r="AB4599"/>
      <c r="AC4599"/>
      <c r="AD4599"/>
      <c r="AE4599"/>
      <c r="AF4599"/>
      <c r="AG4599"/>
      <c r="AH4599"/>
      <c r="AI4599"/>
      <c r="AJ4599"/>
      <c r="AK4599"/>
      <c r="AL4599"/>
    </row>
    <row r="4600" spans="1:38" ht="15.75" customHeight="1" outlineLevel="3" x14ac:dyDescent="0.2">
      <c r="A4600" s="10">
        <v>191</v>
      </c>
      <c r="B4600" s="10" t="s">
        <v>71</v>
      </c>
      <c r="C4600" s="10" t="s">
        <v>886</v>
      </c>
      <c r="D4600" s="10" t="s">
        <v>481</v>
      </c>
      <c r="E4600" s="11" t="str">
        <f t="array" ref="E4600">_xlfn.XLOOKUP(D4600,Insumos!B:B,Insumos!C:$C)</f>
        <v>KG</v>
      </c>
      <c r="F4600" s="14">
        <v>9</v>
      </c>
      <c r="G4600" s="92">
        <f t="array" ref="G4600">IF(B4600="insumo",_xlfn.XLOOKUP($D4600,Insumos!$B$1:$B$996,Insumos!$D$1:$D$996),"")</f>
        <v>1.0645</v>
      </c>
      <c r="H4600" s="92">
        <v>9.5805000000000007</v>
      </c>
      <c r="I4600" s="13">
        <v>0</v>
      </c>
      <c r="J4600" s="13">
        <v>0</v>
      </c>
      <c r="K4600" s="13"/>
      <c r="L4600"/>
      <c r="M4600"/>
      <c r="N4600"/>
      <c r="O4600"/>
      <c r="P4600"/>
      <c r="Q4600"/>
      <c r="R4600"/>
      <c r="S4600"/>
      <c r="T4600"/>
      <c r="U4600"/>
      <c r="V4600"/>
      <c r="W4600"/>
      <c r="X4600"/>
      <c r="Y4600"/>
      <c r="Z4600"/>
      <c r="AA4600"/>
      <c r="AB4600"/>
      <c r="AC4600"/>
      <c r="AD4600"/>
      <c r="AE4600"/>
      <c r="AF4600"/>
      <c r="AG4600"/>
      <c r="AH4600"/>
      <c r="AI4600"/>
      <c r="AJ4600"/>
      <c r="AK4600"/>
      <c r="AL4600"/>
    </row>
    <row r="4601" spans="1:38" ht="15.75" customHeight="1" outlineLevel="3" x14ac:dyDescent="0.2">
      <c r="A4601" s="10">
        <v>142</v>
      </c>
      <c r="B4601" s="10" t="s">
        <v>71</v>
      </c>
      <c r="C4601" s="10" t="s">
        <v>886</v>
      </c>
      <c r="D4601" s="10" t="s">
        <v>506</v>
      </c>
      <c r="E4601" s="11" t="str">
        <f t="array" ref="E4601">_xlfn.XLOOKUP(D4601,Insumos!B:B,Insumos!C:$C)</f>
        <v>UN</v>
      </c>
      <c r="F4601" s="14">
        <v>4</v>
      </c>
      <c r="G4601" s="92">
        <f t="array" ref="G4601">IF(B4601="insumo",_xlfn.XLOOKUP($D4601,Insumos!$B$1:$B$996,Insumos!$D$1:$D$996),"")</f>
        <v>0.08</v>
      </c>
      <c r="H4601" s="92">
        <v>0.32</v>
      </c>
      <c r="I4601" s="13">
        <v>0</v>
      </c>
      <c r="J4601" s="13">
        <v>0</v>
      </c>
      <c r="K4601" s="13"/>
      <c r="L4601"/>
      <c r="M4601"/>
      <c r="N4601"/>
      <c r="O4601"/>
      <c r="P4601"/>
      <c r="Q4601"/>
      <c r="R4601"/>
      <c r="S4601"/>
      <c r="T4601"/>
      <c r="U4601"/>
      <c r="V4601"/>
      <c r="W4601"/>
      <c r="X4601"/>
      <c r="Y4601"/>
      <c r="Z4601"/>
      <c r="AA4601"/>
      <c r="AB4601"/>
      <c r="AC4601"/>
      <c r="AD4601"/>
      <c r="AE4601"/>
      <c r="AF4601"/>
      <c r="AG4601"/>
      <c r="AH4601"/>
      <c r="AI4601"/>
      <c r="AJ4601"/>
      <c r="AK4601"/>
      <c r="AL4601"/>
    </row>
    <row r="4602" spans="1:38" ht="15.75" customHeight="1" outlineLevel="3" x14ac:dyDescent="0.2">
      <c r="A4602" s="10">
        <v>101</v>
      </c>
      <c r="B4602" s="10" t="s">
        <v>71</v>
      </c>
      <c r="C4602" s="10" t="s">
        <v>886</v>
      </c>
      <c r="D4602" s="10" t="s">
        <v>507</v>
      </c>
      <c r="E4602" s="11" t="str">
        <f t="array" ref="E4602">_xlfn.XLOOKUP(D4602,Insumos!B:B,Insumos!C:$C)</f>
        <v>KG</v>
      </c>
      <c r="F4602" s="14">
        <v>0.5</v>
      </c>
      <c r="G4602" s="92">
        <f t="array" ref="G4602">IF(B4602="insumo",_xlfn.XLOOKUP($D4602,Insumos!$B$1:$B$996,Insumos!$D$1:$D$996),"")</f>
        <v>11.15</v>
      </c>
      <c r="H4602" s="92">
        <v>5.5750000000000002</v>
      </c>
      <c r="I4602" s="13">
        <v>0</v>
      </c>
      <c r="J4602" s="13">
        <v>0</v>
      </c>
      <c r="K4602" s="13"/>
      <c r="L4602"/>
      <c r="M4602"/>
      <c r="N4602"/>
      <c r="O4602"/>
      <c r="P4602"/>
      <c r="Q4602"/>
      <c r="R4602"/>
      <c r="S4602"/>
      <c r="T4602"/>
      <c r="U4602"/>
      <c r="V4602"/>
      <c r="W4602"/>
      <c r="X4602"/>
      <c r="Y4602"/>
      <c r="Z4602"/>
      <c r="AA4602"/>
      <c r="AB4602"/>
      <c r="AC4602"/>
      <c r="AD4602"/>
      <c r="AE4602"/>
      <c r="AF4602"/>
      <c r="AG4602"/>
      <c r="AH4602"/>
      <c r="AI4602"/>
      <c r="AJ4602"/>
      <c r="AK4602"/>
      <c r="AL4602"/>
    </row>
    <row r="4603" spans="1:38" ht="15.75" customHeight="1" outlineLevel="2" x14ac:dyDescent="0.2">
      <c r="A4603" s="1067">
        <v>1</v>
      </c>
      <c r="B4603" s="1067" t="s">
        <v>68</v>
      </c>
      <c r="C4603" s="1067" t="s">
        <v>889</v>
      </c>
      <c r="D4603" s="1067" t="s">
        <v>889</v>
      </c>
      <c r="E4603" s="1068" t="s">
        <v>70</v>
      </c>
      <c r="F4603" s="1067"/>
      <c r="G4603" s="1069" t="str">
        <f t="array" ref="G4603">IF(B4603="insumo",_xlfn.XLOOKUP($D4603,Insumos!$B$1:$B$996,Insumos!$D$1:$D$996),"")</f>
        <v/>
      </c>
      <c r="H4603" s="1069">
        <v>305</v>
      </c>
      <c r="I4603" s="1070">
        <v>0</v>
      </c>
      <c r="J4603" s="1070">
        <v>0</v>
      </c>
      <c r="K4603" s="1070"/>
      <c r="L4603"/>
      <c r="M4603"/>
      <c r="N4603"/>
      <c r="O4603"/>
      <c r="P4603"/>
      <c r="Q4603"/>
      <c r="R4603"/>
      <c r="S4603"/>
      <c r="T4603"/>
      <c r="U4603"/>
      <c r="V4603"/>
      <c r="W4603"/>
      <c r="X4603"/>
      <c r="Y4603"/>
      <c r="Z4603"/>
      <c r="AA4603"/>
      <c r="AB4603"/>
      <c r="AC4603"/>
      <c r="AD4603"/>
      <c r="AE4603"/>
      <c r="AF4603"/>
      <c r="AG4603"/>
      <c r="AH4603"/>
      <c r="AI4603"/>
      <c r="AJ4603"/>
      <c r="AK4603"/>
      <c r="AL4603"/>
    </row>
    <row r="4604" spans="1:38" ht="15.75" customHeight="1" outlineLevel="3" x14ac:dyDescent="0.2">
      <c r="A4604" s="10">
        <v>3</v>
      </c>
      <c r="B4604" s="10" t="s">
        <v>71</v>
      </c>
      <c r="C4604" s="15" t="s">
        <v>889</v>
      </c>
      <c r="D4604" s="15" t="s">
        <v>890</v>
      </c>
      <c r="E4604" s="11" t="str">
        <f t="array" ref="E4604">_xlfn.XLOOKUP(D4604,Insumos!B:B,Insumos!C:$C)</f>
        <v>UN</v>
      </c>
      <c r="F4604" s="14">
        <v>1</v>
      </c>
      <c r="G4604" s="92">
        <f t="array" ref="G4604">IF(B4604="insumo",_xlfn.XLOOKUP($D4604,Insumos!$B$1:$B$996,Insumos!$D$1:$D$996),"")</f>
        <v>305</v>
      </c>
      <c r="H4604" s="92">
        <v>305</v>
      </c>
      <c r="I4604" s="13">
        <v>0</v>
      </c>
      <c r="J4604" s="13">
        <v>0</v>
      </c>
      <c r="K4604" s="13"/>
      <c r="L4604"/>
      <c r="M4604"/>
      <c r="N4604"/>
      <c r="O4604"/>
      <c r="P4604"/>
      <c r="Q4604"/>
      <c r="R4604"/>
      <c r="S4604"/>
      <c r="T4604"/>
      <c r="U4604"/>
      <c r="V4604"/>
      <c r="W4604"/>
      <c r="X4604"/>
      <c r="Y4604"/>
      <c r="Z4604"/>
      <c r="AA4604"/>
      <c r="AB4604"/>
      <c r="AC4604"/>
      <c r="AD4604"/>
      <c r="AE4604"/>
      <c r="AF4604"/>
      <c r="AG4604"/>
      <c r="AH4604"/>
      <c r="AI4604"/>
      <c r="AJ4604"/>
      <c r="AK4604"/>
      <c r="AL4604"/>
    </row>
    <row r="4605" spans="1:38" ht="15.75" customHeight="1" outlineLevel="2" x14ac:dyDescent="0.2">
      <c r="A4605" s="1067">
        <v>1</v>
      </c>
      <c r="B4605" s="1067" t="s">
        <v>68</v>
      </c>
      <c r="C4605" s="1067" t="s">
        <v>1583</v>
      </c>
      <c r="D4605" s="1067" t="s">
        <v>1583</v>
      </c>
      <c r="E4605" s="1068" t="s">
        <v>70</v>
      </c>
      <c r="F4605" s="1067"/>
      <c r="G4605" s="1069" t="str">
        <f t="array" ref="G4605">IF(B4605="insumo",_xlfn.XLOOKUP($D4605,Insumos!$B$1:$B$996,Insumos!$D$1:$D$996),"")</f>
        <v/>
      </c>
      <c r="H4605" s="1069">
        <v>137.27955555555599</v>
      </c>
      <c r="I4605" s="1070">
        <v>0</v>
      </c>
      <c r="J4605" s="1070">
        <v>0</v>
      </c>
      <c r="K4605" s="1070"/>
      <c r="L4605"/>
      <c r="M4605"/>
      <c r="N4605"/>
      <c r="O4605"/>
      <c r="P4605"/>
      <c r="Q4605"/>
      <c r="R4605"/>
      <c r="S4605"/>
      <c r="T4605"/>
      <c r="U4605"/>
      <c r="V4605"/>
      <c r="W4605"/>
      <c r="X4605"/>
      <c r="Y4605"/>
      <c r="Z4605"/>
      <c r="AA4605"/>
      <c r="AB4605"/>
      <c r="AC4605"/>
      <c r="AD4605"/>
      <c r="AE4605"/>
      <c r="AF4605"/>
      <c r="AG4605"/>
      <c r="AH4605"/>
      <c r="AI4605"/>
      <c r="AJ4605"/>
      <c r="AK4605"/>
      <c r="AL4605"/>
    </row>
    <row r="4606" spans="1:38" ht="15.75" customHeight="1" outlineLevel="3" x14ac:dyDescent="0.2">
      <c r="A4606" s="10">
        <v>19</v>
      </c>
      <c r="B4606" s="10" t="s">
        <v>71</v>
      </c>
      <c r="C4606" s="15" t="s">
        <v>1583</v>
      </c>
      <c r="D4606" s="15" t="s">
        <v>766</v>
      </c>
      <c r="E4606" s="11" t="str">
        <f t="array" ref="E4606">_xlfn.XLOOKUP(D4606,Insumos!B:B,Insumos!C:$C)</f>
        <v>L</v>
      </c>
      <c r="F4606" s="14">
        <v>0.1</v>
      </c>
      <c r="G4606" s="92">
        <f t="array" ref="G4606">IF(B4606="insumo",_xlfn.XLOOKUP($D4606,Insumos!$B$1:$B$996,Insumos!$D$1:$D$996),"")</f>
        <v>10.555555555555555</v>
      </c>
      <c r="H4606" s="92">
        <v>1.05555555555556</v>
      </c>
      <c r="I4606" s="13">
        <v>0</v>
      </c>
      <c r="J4606" s="13">
        <v>0</v>
      </c>
      <c r="K4606" s="13"/>
      <c r="L4606"/>
      <c r="M4606"/>
      <c r="N4606"/>
      <c r="O4606"/>
      <c r="P4606"/>
      <c r="Q4606"/>
      <c r="R4606"/>
      <c r="S4606"/>
      <c r="T4606"/>
      <c r="U4606"/>
      <c r="V4606"/>
      <c r="W4606"/>
      <c r="X4606"/>
      <c r="Y4606"/>
      <c r="Z4606"/>
      <c r="AA4606"/>
      <c r="AB4606"/>
      <c r="AC4606"/>
      <c r="AD4606"/>
      <c r="AE4606"/>
      <c r="AF4606"/>
      <c r="AG4606"/>
      <c r="AH4606"/>
      <c r="AI4606"/>
      <c r="AJ4606"/>
      <c r="AK4606"/>
      <c r="AL4606"/>
    </row>
    <row r="4607" spans="1:38" ht="15.75" customHeight="1" outlineLevel="3" x14ac:dyDescent="0.2">
      <c r="A4607" s="10">
        <v>1</v>
      </c>
      <c r="B4607" s="10" t="s">
        <v>71</v>
      </c>
      <c r="C4607" s="15" t="s">
        <v>1583</v>
      </c>
      <c r="D4607" s="15" t="s">
        <v>1584</v>
      </c>
      <c r="E4607" s="11" t="str">
        <f t="array" ref="E4607">_xlfn.XLOOKUP(D4607,Insumos!B:B,Insumos!C:$C)</f>
        <v>KG</v>
      </c>
      <c r="F4607" s="14">
        <v>1.8</v>
      </c>
      <c r="G4607" s="92">
        <f t="array" ref="G4607">IF(B4607="insumo",_xlfn.XLOOKUP($D4607,Insumos!$B$1:$B$996,Insumos!$D$1:$D$996),"")</f>
        <v>74.88000000000001</v>
      </c>
      <c r="H4607" s="92">
        <v>134.78399999999999</v>
      </c>
      <c r="I4607" s="13">
        <v>0</v>
      </c>
      <c r="J4607" s="13">
        <v>0</v>
      </c>
      <c r="K4607" s="13"/>
      <c r="L4607"/>
      <c r="M4607"/>
      <c r="N4607"/>
      <c r="O4607"/>
      <c r="P4607"/>
      <c r="Q4607"/>
      <c r="R4607"/>
      <c r="S4607"/>
      <c r="T4607"/>
      <c r="U4607"/>
      <c r="V4607"/>
      <c r="W4607"/>
      <c r="X4607"/>
      <c r="Y4607"/>
      <c r="Z4607"/>
      <c r="AA4607"/>
      <c r="AB4607"/>
      <c r="AC4607"/>
      <c r="AD4607"/>
      <c r="AE4607"/>
      <c r="AF4607"/>
      <c r="AG4607"/>
      <c r="AH4607"/>
      <c r="AI4607"/>
      <c r="AJ4607"/>
      <c r="AK4607"/>
      <c r="AL4607"/>
    </row>
    <row r="4608" spans="1:38" ht="15.75" customHeight="1" outlineLevel="3" x14ac:dyDescent="0.2">
      <c r="A4608" s="10">
        <v>5</v>
      </c>
      <c r="B4608" s="10" t="s">
        <v>71</v>
      </c>
      <c r="C4608" s="15" t="s">
        <v>1583</v>
      </c>
      <c r="D4608" s="15" t="s">
        <v>1585</v>
      </c>
      <c r="E4608" s="11" t="str">
        <f t="array" ref="E4608">_xlfn.XLOOKUP(D4608,Insumos!B:B,Insumos!C:$C)</f>
        <v>m2</v>
      </c>
      <c r="F4608" s="14">
        <v>0.05</v>
      </c>
      <c r="G4608" s="92">
        <f t="array" ref="G4608">IF(B4608="insumo",_xlfn.XLOOKUP($D4608,Insumos!$B$1:$B$996,Insumos!$D$1:$D$996),"")</f>
        <v>8.1</v>
      </c>
      <c r="H4608" s="92">
        <v>0.40500000000000003</v>
      </c>
      <c r="I4608" s="13">
        <v>0</v>
      </c>
      <c r="J4608" s="13">
        <v>0</v>
      </c>
      <c r="K4608" s="13"/>
      <c r="L4608"/>
      <c r="M4608"/>
      <c r="N4608"/>
      <c r="O4608"/>
      <c r="P4608"/>
      <c r="Q4608"/>
      <c r="R4608"/>
      <c r="S4608"/>
      <c r="T4608"/>
      <c r="U4608"/>
      <c r="V4608"/>
      <c r="W4608"/>
      <c r="X4608"/>
      <c r="Y4608"/>
      <c r="Z4608"/>
      <c r="AA4608"/>
      <c r="AB4608"/>
      <c r="AC4608"/>
      <c r="AD4608"/>
      <c r="AE4608"/>
      <c r="AF4608"/>
      <c r="AG4608"/>
      <c r="AH4608"/>
      <c r="AI4608"/>
      <c r="AJ4608"/>
      <c r="AK4608"/>
      <c r="AL4608"/>
    </row>
    <row r="4609" spans="1:38" ht="15.75" customHeight="1" outlineLevel="3" x14ac:dyDescent="0.2">
      <c r="A4609" s="10">
        <v>10</v>
      </c>
      <c r="B4609" s="10" t="s">
        <v>71</v>
      </c>
      <c r="C4609" s="15" t="s">
        <v>1583</v>
      </c>
      <c r="D4609" s="15" t="s">
        <v>852</v>
      </c>
      <c r="E4609" s="11" t="str">
        <f t="array" ref="E4609">_xlfn.XLOOKUP(D4609,Insumos!B:B,Insumos!C:$C)</f>
        <v>UN</v>
      </c>
      <c r="F4609" s="14">
        <v>0.05</v>
      </c>
      <c r="G4609" s="92">
        <f t="array" ref="G4609">IF(B4609="insumo",_xlfn.XLOOKUP($D4609,Insumos!$B$1:$B$996,Insumos!$D$1:$D$996),"")</f>
        <v>20.7</v>
      </c>
      <c r="H4609" s="92">
        <v>1.0349999999999999</v>
      </c>
      <c r="I4609" s="13">
        <v>0</v>
      </c>
      <c r="J4609" s="13">
        <v>0</v>
      </c>
      <c r="K4609" s="13"/>
      <c r="L4609"/>
      <c r="M4609"/>
      <c r="N4609"/>
      <c r="O4609"/>
      <c r="P4609"/>
      <c r="Q4609"/>
      <c r="R4609"/>
      <c r="S4609"/>
      <c r="T4609"/>
      <c r="U4609"/>
      <c r="V4609"/>
      <c r="W4609"/>
      <c r="X4609"/>
      <c r="Y4609"/>
      <c r="Z4609"/>
      <c r="AA4609"/>
      <c r="AB4609"/>
      <c r="AC4609"/>
      <c r="AD4609"/>
      <c r="AE4609"/>
      <c r="AF4609"/>
      <c r="AG4609"/>
      <c r="AH4609"/>
      <c r="AI4609"/>
      <c r="AJ4609"/>
      <c r="AK4609"/>
      <c r="AL4609"/>
    </row>
    <row r="4610" spans="1:38" ht="15.75" customHeight="1" outlineLevel="2" x14ac:dyDescent="0.2">
      <c r="A4610" s="1067">
        <v>1</v>
      </c>
      <c r="B4610" s="1067" t="s">
        <v>68</v>
      </c>
      <c r="C4610" s="1067" t="s">
        <v>3131</v>
      </c>
      <c r="D4610" s="1067" t="s">
        <v>3131</v>
      </c>
      <c r="E4610" s="1068" t="s">
        <v>113</v>
      </c>
      <c r="F4610" s="1067"/>
      <c r="G4610" s="1069" t="str">
        <f t="array" ref="G4610">IF(B4610="insumo",_xlfn.XLOOKUP($D4610,Insumos!$B$1:$B$996,Insumos!$D$1:$D$996),"")</f>
        <v/>
      </c>
      <c r="H4610" s="1069">
        <v>36.031999999999996</v>
      </c>
      <c r="I4610" s="1070">
        <v>0</v>
      </c>
      <c r="J4610" s="1070">
        <v>0</v>
      </c>
      <c r="K4610" s="1070"/>
      <c r="L4610"/>
      <c r="M4610"/>
      <c r="N4610"/>
      <c r="O4610"/>
      <c r="P4610"/>
      <c r="Q4610"/>
      <c r="R4610"/>
      <c r="S4610"/>
      <c r="T4610"/>
      <c r="U4610"/>
      <c r="V4610"/>
      <c r="W4610"/>
      <c r="X4610"/>
      <c r="Y4610"/>
      <c r="Z4610"/>
      <c r="AA4610"/>
      <c r="AB4610"/>
      <c r="AC4610"/>
      <c r="AD4610"/>
      <c r="AE4610"/>
      <c r="AF4610"/>
      <c r="AG4610"/>
      <c r="AH4610"/>
      <c r="AI4610"/>
      <c r="AJ4610"/>
      <c r="AK4610"/>
      <c r="AL4610"/>
    </row>
    <row r="4611" spans="1:38" ht="15.75" customHeight="1" outlineLevel="3" x14ac:dyDescent="0.2">
      <c r="A4611" s="10">
        <v>1</v>
      </c>
      <c r="B4611" s="10" t="s">
        <v>71</v>
      </c>
      <c r="C4611" s="10" t="s">
        <v>3131</v>
      </c>
      <c r="D4611" s="10" t="s">
        <v>3132</v>
      </c>
      <c r="E4611" s="11" t="str">
        <f t="array" ref="E4611">_xlfn.XLOOKUP(D4611,Insumos!B:B,Insumos!C:$C)</f>
        <v>M2</v>
      </c>
      <c r="F4611" s="14">
        <v>0.13</v>
      </c>
      <c r="G4611" s="92">
        <f t="array" ref="G4611">IF(B4611="insumo",_xlfn.XLOOKUP($D4611,Insumos!$B$1:$B$996,Insumos!$D$1:$D$996),"")</f>
        <v>240</v>
      </c>
      <c r="H4611" s="92">
        <v>31.2</v>
      </c>
      <c r="I4611" s="13">
        <v>0</v>
      </c>
      <c r="J4611" s="13">
        <v>0</v>
      </c>
      <c r="K4611" s="13"/>
      <c r="L4611"/>
      <c r="M4611"/>
      <c r="N4611"/>
      <c r="O4611"/>
      <c r="P4611"/>
      <c r="Q4611"/>
      <c r="R4611"/>
      <c r="S4611"/>
      <c r="T4611"/>
      <c r="U4611"/>
      <c r="V4611"/>
      <c r="W4611"/>
      <c r="X4611"/>
      <c r="Y4611"/>
      <c r="Z4611"/>
      <c r="AA4611"/>
      <c r="AB4611"/>
      <c r="AC4611"/>
      <c r="AD4611"/>
      <c r="AE4611"/>
      <c r="AF4611"/>
      <c r="AG4611"/>
      <c r="AH4611"/>
      <c r="AI4611"/>
      <c r="AJ4611"/>
      <c r="AK4611"/>
      <c r="AL4611"/>
    </row>
    <row r="4612" spans="1:38" ht="15.75" customHeight="1" outlineLevel="3" x14ac:dyDescent="0.2">
      <c r="A4612" s="10">
        <v>8</v>
      </c>
      <c r="B4612" s="10" t="s">
        <v>71</v>
      </c>
      <c r="C4612" s="10" t="s">
        <v>3131</v>
      </c>
      <c r="D4612" s="10" t="s">
        <v>1109</v>
      </c>
      <c r="E4612" s="11" t="str">
        <f t="array" ref="E4612">_xlfn.XLOOKUP(D4612,Insumos!B:B,Insumos!C:$C)</f>
        <v>KG</v>
      </c>
      <c r="F4612" s="14">
        <v>0.7</v>
      </c>
      <c r="G4612" s="92">
        <f t="array" ref="G4612">IF(B4612="insumo",_xlfn.XLOOKUP($D4612,Insumos!$B$1:$B$996,Insumos!$D$1:$D$996),"")</f>
        <v>1.36</v>
      </c>
      <c r="H4612" s="92">
        <v>0.95199999999999996</v>
      </c>
      <c r="I4612" s="13">
        <v>0</v>
      </c>
      <c r="J4612" s="13">
        <v>0</v>
      </c>
      <c r="K4612" s="13"/>
      <c r="L4612"/>
      <c r="M4612"/>
      <c r="N4612"/>
      <c r="O4612"/>
      <c r="P4612"/>
      <c r="Q4612"/>
      <c r="R4612"/>
      <c r="S4612"/>
      <c r="T4612"/>
      <c r="U4612"/>
      <c r="V4612"/>
      <c r="W4612"/>
      <c r="X4612"/>
      <c r="Y4612"/>
      <c r="Z4612"/>
      <c r="AA4612"/>
      <c r="AB4612"/>
      <c r="AC4612"/>
      <c r="AD4612"/>
      <c r="AE4612"/>
      <c r="AF4612"/>
      <c r="AG4612"/>
      <c r="AH4612"/>
      <c r="AI4612"/>
      <c r="AJ4612"/>
      <c r="AK4612"/>
      <c r="AL4612"/>
    </row>
    <row r="4613" spans="1:38" ht="15.75" customHeight="1" outlineLevel="3" x14ac:dyDescent="0.2">
      <c r="A4613" s="10">
        <v>36</v>
      </c>
      <c r="B4613" s="10" t="s">
        <v>71</v>
      </c>
      <c r="C4613" s="10" t="s">
        <v>3131</v>
      </c>
      <c r="D4613" s="10" t="s">
        <v>2856</v>
      </c>
      <c r="E4613" s="11" t="str">
        <f t="array" ref="E4613">_xlfn.XLOOKUP(D4613,Insumos!B:B,Insumos!C:$C)</f>
        <v>KG</v>
      </c>
      <c r="F4613" s="14">
        <v>0.1</v>
      </c>
      <c r="G4613" s="92">
        <f t="array" ref="G4613">IF(B4613="insumo",_xlfn.XLOOKUP($D4613,Insumos!$B$1:$B$996,Insumos!$D$1:$D$996),"")</f>
        <v>38</v>
      </c>
      <c r="H4613" s="92">
        <v>3.8</v>
      </c>
      <c r="I4613" s="13">
        <v>0</v>
      </c>
      <c r="J4613" s="13">
        <v>0</v>
      </c>
      <c r="K4613" s="13"/>
      <c r="L4613"/>
      <c r="M4613"/>
      <c r="N4613"/>
      <c r="O4613"/>
      <c r="P4613"/>
      <c r="Q4613"/>
      <c r="R4613"/>
      <c r="S4613"/>
      <c r="T4613"/>
      <c r="U4613"/>
      <c r="V4613"/>
      <c r="W4613"/>
      <c r="X4613"/>
      <c r="Y4613"/>
      <c r="Z4613"/>
      <c r="AA4613"/>
      <c r="AB4613"/>
      <c r="AC4613"/>
      <c r="AD4613"/>
      <c r="AE4613"/>
      <c r="AF4613"/>
      <c r="AG4613"/>
      <c r="AH4613"/>
      <c r="AI4613"/>
      <c r="AJ4613"/>
      <c r="AK4613"/>
      <c r="AL4613"/>
    </row>
    <row r="4614" spans="1:38" ht="15.75" customHeight="1" outlineLevel="3" x14ac:dyDescent="0.2">
      <c r="A4614" s="10">
        <v>142</v>
      </c>
      <c r="B4614" s="10" t="s">
        <v>71</v>
      </c>
      <c r="C4614" s="10" t="s">
        <v>3131</v>
      </c>
      <c r="D4614" s="10" t="s">
        <v>506</v>
      </c>
      <c r="E4614" s="11" t="str">
        <f t="array" ref="E4614">_xlfn.XLOOKUP(D4614,Insumos!B:B,Insumos!C:$C)</f>
        <v>UN</v>
      </c>
      <c r="F4614" s="14">
        <v>1</v>
      </c>
      <c r="G4614" s="92">
        <f t="array" ref="G4614">IF(B4614="insumo",_xlfn.XLOOKUP($D4614,Insumos!$B$1:$B$996,Insumos!$D$1:$D$996),"")</f>
        <v>0.08</v>
      </c>
      <c r="H4614" s="92">
        <v>0.08</v>
      </c>
      <c r="I4614" s="13">
        <v>0</v>
      </c>
      <c r="J4614" s="13">
        <v>0</v>
      </c>
      <c r="K4614" s="13"/>
      <c r="L4614"/>
      <c r="M4614"/>
      <c r="N4614"/>
      <c r="O4614"/>
      <c r="P4614"/>
      <c r="Q4614"/>
      <c r="R4614"/>
      <c r="S4614"/>
      <c r="T4614"/>
      <c r="U4614"/>
      <c r="V4614"/>
      <c r="W4614"/>
      <c r="X4614"/>
      <c r="Y4614"/>
      <c r="Z4614"/>
      <c r="AA4614"/>
      <c r="AB4614"/>
      <c r="AC4614"/>
      <c r="AD4614"/>
      <c r="AE4614"/>
      <c r="AF4614"/>
      <c r="AG4614"/>
      <c r="AH4614"/>
      <c r="AI4614"/>
      <c r="AJ4614"/>
      <c r="AK4614"/>
      <c r="AL4614"/>
    </row>
    <row r="4615" spans="1:38" ht="15.75" customHeight="1" outlineLevel="2" x14ac:dyDescent="0.2">
      <c r="A4615" s="1067">
        <v>1</v>
      </c>
      <c r="B4615" s="1067" t="s">
        <v>68</v>
      </c>
      <c r="C4615" s="1067" t="s">
        <v>3137</v>
      </c>
      <c r="D4615" s="1067" t="s">
        <v>3137</v>
      </c>
      <c r="E4615" s="1068" t="s">
        <v>113</v>
      </c>
      <c r="F4615" s="1067"/>
      <c r="G4615" s="1069" t="str">
        <f t="array" ref="G4615">IF(B4615="insumo",_xlfn.XLOOKUP($D4615,Insumos!$B$1:$B$996,Insumos!$D$1:$D$996),"")</f>
        <v/>
      </c>
      <c r="H4615" s="1069">
        <v>42.271999999999998</v>
      </c>
      <c r="I4615" s="1070">
        <v>0</v>
      </c>
      <c r="J4615" s="1070">
        <v>0</v>
      </c>
      <c r="K4615" s="1070"/>
      <c r="L4615"/>
      <c r="M4615"/>
      <c r="N4615"/>
      <c r="O4615"/>
      <c r="P4615"/>
      <c r="Q4615"/>
      <c r="R4615"/>
      <c r="S4615"/>
      <c r="T4615"/>
      <c r="U4615"/>
      <c r="V4615"/>
      <c r="W4615"/>
      <c r="X4615"/>
      <c r="Y4615"/>
      <c r="Z4615"/>
      <c r="AA4615"/>
      <c r="AB4615"/>
      <c r="AC4615"/>
      <c r="AD4615"/>
      <c r="AE4615"/>
      <c r="AF4615"/>
      <c r="AG4615"/>
      <c r="AH4615"/>
      <c r="AI4615"/>
      <c r="AJ4615"/>
      <c r="AK4615"/>
      <c r="AL4615"/>
    </row>
    <row r="4616" spans="1:38" ht="15.75" customHeight="1" outlineLevel="3" x14ac:dyDescent="0.2">
      <c r="A4616" s="10">
        <v>2</v>
      </c>
      <c r="B4616" s="10" t="s">
        <v>71</v>
      </c>
      <c r="C4616" s="10" t="s">
        <v>3137</v>
      </c>
      <c r="D4616" s="10" t="s">
        <v>3134</v>
      </c>
      <c r="E4616" s="11" t="str">
        <f t="array" ref="E4616">_xlfn.XLOOKUP(D4616,Insumos!B:B,Insumos!C:$C)</f>
        <v>M2</v>
      </c>
      <c r="F4616" s="14">
        <v>0.13</v>
      </c>
      <c r="G4616" s="92">
        <f t="array" ref="G4616">IF(B4616="insumo",_xlfn.XLOOKUP($D4616,Insumos!$B$1:$B$996,Insumos!$D$1:$D$996),"")</f>
        <v>288</v>
      </c>
      <c r="H4616" s="92">
        <v>37.44</v>
      </c>
      <c r="I4616" s="13">
        <v>0</v>
      </c>
      <c r="J4616" s="13">
        <v>0</v>
      </c>
      <c r="K4616" s="13"/>
      <c r="L4616"/>
      <c r="M4616"/>
      <c r="N4616"/>
      <c r="O4616"/>
      <c r="P4616"/>
      <c r="Q4616"/>
      <c r="R4616"/>
      <c r="S4616"/>
      <c r="T4616"/>
      <c r="U4616"/>
      <c r="V4616"/>
      <c r="W4616"/>
      <c r="X4616"/>
      <c r="Y4616"/>
      <c r="Z4616"/>
      <c r="AA4616"/>
      <c r="AB4616"/>
      <c r="AC4616"/>
      <c r="AD4616"/>
      <c r="AE4616"/>
      <c r="AF4616"/>
      <c r="AG4616"/>
      <c r="AH4616"/>
      <c r="AI4616"/>
      <c r="AJ4616"/>
      <c r="AK4616"/>
      <c r="AL4616"/>
    </row>
    <row r="4617" spans="1:38" ht="15.75" customHeight="1" outlineLevel="3" x14ac:dyDescent="0.2">
      <c r="A4617" s="10">
        <v>8</v>
      </c>
      <c r="B4617" s="10" t="s">
        <v>71</v>
      </c>
      <c r="C4617" s="10" t="s">
        <v>3137</v>
      </c>
      <c r="D4617" s="10" t="s">
        <v>1109</v>
      </c>
      <c r="E4617" s="11" t="str">
        <f t="array" ref="E4617">_xlfn.XLOOKUP(D4617,Insumos!B:B,Insumos!C:$C)</f>
        <v>KG</v>
      </c>
      <c r="F4617" s="14">
        <v>0.7</v>
      </c>
      <c r="G4617" s="92">
        <f t="array" ref="G4617">IF(B4617="insumo",_xlfn.XLOOKUP($D4617,Insumos!$B$1:$B$996,Insumos!$D$1:$D$996),"")</f>
        <v>1.36</v>
      </c>
      <c r="H4617" s="92">
        <v>0.95199999999999996</v>
      </c>
      <c r="I4617" s="13">
        <v>0</v>
      </c>
      <c r="J4617" s="13">
        <v>0</v>
      </c>
      <c r="K4617" s="13"/>
      <c r="L4617"/>
      <c r="M4617"/>
      <c r="N4617"/>
      <c r="O4617"/>
      <c r="P4617"/>
      <c r="Q4617"/>
      <c r="R4617"/>
      <c r="S4617"/>
      <c r="T4617"/>
      <c r="U4617"/>
      <c r="V4617"/>
      <c r="W4617"/>
      <c r="X4617"/>
      <c r="Y4617"/>
      <c r="Z4617"/>
      <c r="AA4617"/>
      <c r="AB4617"/>
      <c r="AC4617"/>
      <c r="AD4617"/>
      <c r="AE4617"/>
      <c r="AF4617"/>
      <c r="AG4617"/>
      <c r="AH4617"/>
      <c r="AI4617"/>
      <c r="AJ4617"/>
      <c r="AK4617"/>
      <c r="AL4617"/>
    </row>
    <row r="4618" spans="1:38" ht="15.75" customHeight="1" outlineLevel="3" x14ac:dyDescent="0.2">
      <c r="A4618" s="10">
        <v>36</v>
      </c>
      <c r="B4618" s="10" t="s">
        <v>71</v>
      </c>
      <c r="C4618" s="10" t="s">
        <v>3137</v>
      </c>
      <c r="D4618" s="10" t="s">
        <v>2856</v>
      </c>
      <c r="E4618" s="11" t="str">
        <f t="array" ref="E4618">_xlfn.XLOOKUP(D4618,Insumos!B:B,Insumos!C:$C)</f>
        <v>KG</v>
      </c>
      <c r="F4618" s="14">
        <v>0.1</v>
      </c>
      <c r="G4618" s="92">
        <f t="array" ref="G4618">IF(B4618="insumo",_xlfn.XLOOKUP($D4618,Insumos!$B$1:$B$996,Insumos!$D$1:$D$996),"")</f>
        <v>38</v>
      </c>
      <c r="H4618" s="92">
        <v>3.8</v>
      </c>
      <c r="I4618" s="13">
        <v>0</v>
      </c>
      <c r="J4618" s="13">
        <v>0</v>
      </c>
      <c r="K4618" s="13"/>
      <c r="L4618"/>
      <c r="M4618"/>
      <c r="N4618"/>
      <c r="O4618"/>
      <c r="P4618"/>
      <c r="Q4618"/>
      <c r="R4618"/>
      <c r="S4618"/>
      <c r="T4618"/>
      <c r="U4618"/>
      <c r="V4618"/>
      <c r="W4618"/>
      <c r="X4618"/>
      <c r="Y4618"/>
      <c r="Z4618"/>
      <c r="AA4618"/>
      <c r="AB4618"/>
      <c r="AC4618"/>
      <c r="AD4618"/>
      <c r="AE4618"/>
      <c r="AF4618"/>
      <c r="AG4618"/>
      <c r="AH4618"/>
      <c r="AI4618"/>
      <c r="AJ4618"/>
      <c r="AK4618"/>
      <c r="AL4618"/>
    </row>
    <row r="4619" spans="1:38" ht="15.75" customHeight="1" outlineLevel="3" x14ac:dyDescent="0.2">
      <c r="A4619" s="10">
        <v>142</v>
      </c>
      <c r="B4619" s="10" t="s">
        <v>71</v>
      </c>
      <c r="C4619" s="10" t="s">
        <v>3137</v>
      </c>
      <c r="D4619" s="10" t="s">
        <v>506</v>
      </c>
      <c r="E4619" s="11" t="str">
        <f t="array" ref="E4619">_xlfn.XLOOKUP(D4619,Insumos!B:B,Insumos!C:$C)</f>
        <v>UN</v>
      </c>
      <c r="F4619" s="14">
        <v>1</v>
      </c>
      <c r="G4619" s="92">
        <f t="array" ref="G4619">IF(B4619="insumo",_xlfn.XLOOKUP($D4619,Insumos!$B$1:$B$996,Insumos!$D$1:$D$996),"")</f>
        <v>0.08</v>
      </c>
      <c r="H4619" s="92">
        <v>0.08</v>
      </c>
      <c r="I4619" s="13">
        <v>0</v>
      </c>
      <c r="J4619" s="13">
        <v>0</v>
      </c>
      <c r="K4619" s="13"/>
      <c r="L4619"/>
      <c r="M4619"/>
      <c r="N4619"/>
      <c r="O4619"/>
      <c r="P4619"/>
      <c r="Q4619"/>
      <c r="R4619"/>
      <c r="S4619"/>
      <c r="T4619"/>
      <c r="U4619"/>
      <c r="V4619"/>
      <c r="W4619"/>
      <c r="X4619"/>
      <c r="Y4619"/>
      <c r="Z4619"/>
      <c r="AA4619"/>
      <c r="AB4619"/>
      <c r="AC4619"/>
      <c r="AD4619"/>
      <c r="AE4619"/>
      <c r="AF4619"/>
      <c r="AG4619"/>
      <c r="AH4619"/>
      <c r="AI4619"/>
      <c r="AJ4619"/>
      <c r="AK4619"/>
      <c r="AL4619"/>
    </row>
    <row r="4620" spans="1:38" ht="15.75" customHeight="1" outlineLevel="2" x14ac:dyDescent="0.2">
      <c r="A4620" s="1067">
        <v>1</v>
      </c>
      <c r="B4620" s="1067" t="s">
        <v>68</v>
      </c>
      <c r="C4620" s="1067" t="s">
        <v>3165</v>
      </c>
      <c r="D4620" s="1067" t="s">
        <v>3165</v>
      </c>
      <c r="E4620" s="1068" t="s">
        <v>113</v>
      </c>
      <c r="F4620" s="1067"/>
      <c r="G4620" s="1069" t="str">
        <f t="array" ref="G4620">IF(B4620="insumo",_xlfn.XLOOKUP($D4620,Insumos!$B$1:$B$996,Insumos!$D$1:$D$996),"")</f>
        <v/>
      </c>
      <c r="H4620" s="1069">
        <v>173.83199999999999</v>
      </c>
      <c r="I4620" s="1070" t="e">
        <v>#REF!</v>
      </c>
      <c r="J4620" s="1070" t="e">
        <v>#REF!</v>
      </c>
      <c r="K4620" s="1070"/>
      <c r="L4620"/>
      <c r="M4620"/>
      <c r="N4620"/>
      <c r="O4620"/>
      <c r="P4620"/>
      <c r="Q4620"/>
      <c r="R4620"/>
      <c r="S4620"/>
      <c r="T4620"/>
      <c r="U4620"/>
      <c r="V4620"/>
      <c r="W4620"/>
      <c r="X4620"/>
      <c r="Y4620"/>
      <c r="Z4620"/>
      <c r="AA4620"/>
      <c r="AB4620"/>
      <c r="AC4620"/>
      <c r="AD4620"/>
      <c r="AE4620"/>
      <c r="AF4620"/>
      <c r="AG4620"/>
      <c r="AH4620"/>
      <c r="AI4620"/>
      <c r="AJ4620"/>
      <c r="AK4620"/>
      <c r="AL4620"/>
    </row>
    <row r="4621" spans="1:38" ht="15.75" customHeight="1" outlineLevel="3" x14ac:dyDescent="0.2">
      <c r="A4621" s="10">
        <v>5</v>
      </c>
      <c r="B4621" s="10" t="s">
        <v>71</v>
      </c>
      <c r="C4621" s="10" t="s">
        <v>3165</v>
      </c>
      <c r="D4621" s="10" t="s">
        <v>2877</v>
      </c>
      <c r="E4621" s="11" t="str">
        <f t="array" ref="E4621">_xlfn.XLOOKUP(D4621,Insumos!B:B,Insumos!C:$C)</f>
        <v>M2</v>
      </c>
      <c r="F4621" s="14">
        <v>0.13</v>
      </c>
      <c r="G4621" s="92">
        <f t="array" ref="G4621">IF(B4621="insumo",_xlfn.XLOOKUP($D4621,Insumos!$B$1:$B$996,Insumos!$D$1:$D$996),"")</f>
        <v>1300</v>
      </c>
      <c r="H4621" s="92">
        <v>169</v>
      </c>
      <c r="I4621" s="13" t="e">
        <v>#REF!</v>
      </c>
      <c r="J4621" s="13" t="e">
        <v>#REF!</v>
      </c>
      <c r="K4621" s="13"/>
      <c r="L4621"/>
      <c r="M4621"/>
      <c r="N4621"/>
      <c r="O4621"/>
      <c r="P4621"/>
      <c r="Q4621"/>
      <c r="R4621"/>
      <c r="S4621"/>
      <c r="T4621"/>
      <c r="U4621"/>
      <c r="V4621"/>
      <c r="W4621"/>
      <c r="X4621"/>
      <c r="Y4621"/>
      <c r="Z4621"/>
      <c r="AA4621"/>
      <c r="AB4621"/>
      <c r="AC4621"/>
      <c r="AD4621"/>
      <c r="AE4621"/>
      <c r="AF4621"/>
      <c r="AG4621"/>
      <c r="AH4621"/>
      <c r="AI4621"/>
      <c r="AJ4621"/>
      <c r="AK4621"/>
      <c r="AL4621"/>
    </row>
    <row r="4622" spans="1:38" ht="15.75" customHeight="1" outlineLevel="3" x14ac:dyDescent="0.2">
      <c r="A4622" s="10">
        <v>8</v>
      </c>
      <c r="B4622" s="10" t="s">
        <v>71</v>
      </c>
      <c r="C4622" s="10" t="s">
        <v>3165</v>
      </c>
      <c r="D4622" s="10" t="s">
        <v>1109</v>
      </c>
      <c r="E4622" s="11" t="str">
        <f t="array" ref="E4622">_xlfn.XLOOKUP(D4622,Insumos!B:B,Insumos!C:$C)</f>
        <v>KG</v>
      </c>
      <c r="F4622" s="14">
        <v>0.7</v>
      </c>
      <c r="G4622" s="92">
        <f t="array" ref="G4622">IF(B4622="insumo",_xlfn.XLOOKUP($D4622,Insumos!$B$1:$B$996,Insumos!$D$1:$D$996),"")</f>
        <v>1.36</v>
      </c>
      <c r="H4622" s="92">
        <v>0.95199999999999996</v>
      </c>
      <c r="I4622" s="13" t="e">
        <v>#REF!</v>
      </c>
      <c r="J4622" s="13" t="e">
        <v>#REF!</v>
      </c>
      <c r="K4622" s="13"/>
      <c r="L4622"/>
      <c r="M4622"/>
      <c r="N4622"/>
      <c r="O4622"/>
      <c r="P4622"/>
      <c r="Q4622"/>
      <c r="R4622"/>
      <c r="S4622"/>
      <c r="T4622"/>
      <c r="U4622"/>
      <c r="V4622"/>
      <c r="W4622"/>
      <c r="X4622"/>
      <c r="Y4622"/>
      <c r="Z4622"/>
      <c r="AA4622"/>
      <c r="AB4622"/>
      <c r="AC4622"/>
      <c r="AD4622"/>
      <c r="AE4622"/>
      <c r="AF4622"/>
      <c r="AG4622"/>
      <c r="AH4622"/>
      <c r="AI4622"/>
      <c r="AJ4622"/>
      <c r="AK4622"/>
      <c r="AL4622"/>
    </row>
    <row r="4623" spans="1:38" ht="15.75" customHeight="1" outlineLevel="3" x14ac:dyDescent="0.2">
      <c r="A4623" s="10">
        <v>36</v>
      </c>
      <c r="B4623" s="10" t="s">
        <v>71</v>
      </c>
      <c r="C4623" s="10" t="s">
        <v>3165</v>
      </c>
      <c r="D4623" s="10" t="s">
        <v>2856</v>
      </c>
      <c r="E4623" s="11" t="str">
        <f t="array" ref="E4623">_xlfn.XLOOKUP(D4623,Insumos!B:B,Insumos!C:$C)</f>
        <v>KG</v>
      </c>
      <c r="F4623" s="14">
        <v>0.1</v>
      </c>
      <c r="G4623" s="92">
        <f t="array" ref="G4623">IF(B4623="insumo",_xlfn.XLOOKUP($D4623,Insumos!$B$1:$B$996,Insumos!$D$1:$D$996),"")</f>
        <v>38</v>
      </c>
      <c r="H4623" s="92">
        <v>3.8</v>
      </c>
      <c r="I4623" s="13" t="e">
        <v>#REF!</v>
      </c>
      <c r="J4623" s="13" t="e">
        <v>#REF!</v>
      </c>
      <c r="K4623" s="13"/>
      <c r="L4623"/>
      <c r="M4623"/>
      <c r="N4623"/>
      <c r="O4623"/>
      <c r="P4623"/>
      <c r="Q4623"/>
      <c r="R4623"/>
      <c r="S4623"/>
      <c r="T4623"/>
      <c r="U4623"/>
      <c r="V4623"/>
      <c r="W4623"/>
      <c r="X4623"/>
      <c r="Y4623"/>
      <c r="Z4623"/>
      <c r="AA4623"/>
      <c r="AB4623"/>
      <c r="AC4623"/>
      <c r="AD4623"/>
      <c r="AE4623"/>
      <c r="AF4623"/>
      <c r="AG4623"/>
      <c r="AH4623"/>
      <c r="AI4623"/>
      <c r="AJ4623"/>
      <c r="AK4623"/>
      <c r="AL4623"/>
    </row>
    <row r="4624" spans="1:38" ht="15.75" customHeight="1" outlineLevel="3" x14ac:dyDescent="0.2">
      <c r="A4624" s="10">
        <v>142</v>
      </c>
      <c r="B4624" s="10" t="s">
        <v>71</v>
      </c>
      <c r="C4624" s="10" t="s">
        <v>3165</v>
      </c>
      <c r="D4624" s="10" t="s">
        <v>506</v>
      </c>
      <c r="E4624" s="11" t="str">
        <f t="array" ref="E4624">_xlfn.XLOOKUP(D4624,Insumos!B:B,Insumos!C:$C)</f>
        <v>UN</v>
      </c>
      <c r="F4624" s="14">
        <v>1</v>
      </c>
      <c r="G4624" s="92">
        <f t="array" ref="G4624">IF(B4624="insumo",_xlfn.XLOOKUP($D4624,Insumos!$B$1:$B$996,Insumos!$D$1:$D$996),"")</f>
        <v>0.08</v>
      </c>
      <c r="H4624" s="92">
        <v>0.08</v>
      </c>
      <c r="I4624" s="13" t="e">
        <v>#REF!</v>
      </c>
      <c r="J4624" s="13" t="e">
        <v>#REF!</v>
      </c>
      <c r="K4624" s="13"/>
      <c r="L4624"/>
      <c r="M4624"/>
      <c r="N4624"/>
      <c r="O4624"/>
      <c r="P4624"/>
      <c r="Q4624"/>
      <c r="R4624"/>
      <c r="S4624"/>
      <c r="T4624"/>
      <c r="U4624"/>
      <c r="V4624"/>
      <c r="W4624"/>
      <c r="X4624"/>
      <c r="Y4624"/>
      <c r="Z4624"/>
      <c r="AA4624"/>
      <c r="AB4624"/>
      <c r="AC4624"/>
      <c r="AD4624"/>
      <c r="AE4624"/>
      <c r="AF4624"/>
      <c r="AG4624"/>
      <c r="AH4624"/>
      <c r="AI4624"/>
      <c r="AJ4624"/>
      <c r="AK4624"/>
      <c r="AL4624"/>
    </row>
    <row r="4625" spans="1:38" ht="15.75" customHeight="1" outlineLevel="2" x14ac:dyDescent="0.2">
      <c r="A4625" s="1067">
        <v>1</v>
      </c>
      <c r="B4625" s="1067" t="s">
        <v>68</v>
      </c>
      <c r="C4625" s="1067" t="s">
        <v>3138</v>
      </c>
      <c r="D4625" s="1067" t="s">
        <v>3138</v>
      </c>
      <c r="E4625" s="1068" t="s">
        <v>113</v>
      </c>
      <c r="F4625" s="1067"/>
      <c r="G4625" s="1069" t="str">
        <f t="array" ref="G4625">IF(B4625="insumo",_xlfn.XLOOKUP($D4625,Insumos!$B$1:$B$996,Insumos!$D$1:$D$996),"")</f>
        <v/>
      </c>
      <c r="H4625" s="1069">
        <v>32.911999999999999</v>
      </c>
      <c r="I4625" s="1070">
        <v>0</v>
      </c>
      <c r="J4625" s="1070">
        <v>0</v>
      </c>
      <c r="K4625" s="1070"/>
      <c r="L4625"/>
      <c r="M4625"/>
      <c r="N4625"/>
      <c r="O4625"/>
      <c r="P4625"/>
      <c r="Q4625"/>
      <c r="R4625"/>
      <c r="S4625"/>
      <c r="T4625"/>
      <c r="U4625"/>
      <c r="V4625"/>
      <c r="W4625"/>
      <c r="X4625"/>
      <c r="Y4625"/>
      <c r="Z4625"/>
      <c r="AA4625"/>
      <c r="AB4625"/>
      <c r="AC4625"/>
      <c r="AD4625"/>
      <c r="AE4625"/>
      <c r="AF4625"/>
      <c r="AG4625"/>
      <c r="AH4625"/>
      <c r="AI4625"/>
      <c r="AJ4625"/>
      <c r="AK4625"/>
      <c r="AL4625"/>
    </row>
    <row r="4626" spans="1:38" ht="15.75" customHeight="1" outlineLevel="3" x14ac:dyDescent="0.2">
      <c r="A4626" s="10">
        <v>2</v>
      </c>
      <c r="B4626" s="10" t="s">
        <v>71</v>
      </c>
      <c r="C4626" s="10" t="s">
        <v>3138</v>
      </c>
      <c r="D4626" s="10" t="s">
        <v>3133</v>
      </c>
      <c r="E4626" s="11" t="str">
        <f t="array" ref="E4626">_xlfn.XLOOKUP(D4626,Insumos!B:B,Insumos!C:$C)</f>
        <v>M2</v>
      </c>
      <c r="F4626" s="14">
        <v>0.13</v>
      </c>
      <c r="G4626" s="92">
        <f t="array" ref="G4626">IF(B4626="insumo",_xlfn.XLOOKUP($D4626,Insumos!$B$1:$B$996,Insumos!$D$1:$D$996),"")</f>
        <v>216</v>
      </c>
      <c r="H4626" s="92">
        <v>28.08</v>
      </c>
      <c r="I4626" s="13">
        <v>0</v>
      </c>
      <c r="J4626" s="13">
        <v>0</v>
      </c>
      <c r="K4626" s="13"/>
      <c r="L4626"/>
      <c r="M4626"/>
      <c r="N4626"/>
      <c r="O4626"/>
      <c r="P4626"/>
      <c r="Q4626"/>
      <c r="R4626"/>
      <c r="S4626"/>
      <c r="T4626"/>
      <c r="U4626"/>
      <c r="V4626"/>
      <c r="W4626"/>
      <c r="X4626"/>
      <c r="Y4626"/>
      <c r="Z4626"/>
      <c r="AA4626"/>
      <c r="AB4626"/>
      <c r="AC4626"/>
      <c r="AD4626"/>
      <c r="AE4626"/>
      <c r="AF4626"/>
      <c r="AG4626"/>
      <c r="AH4626"/>
      <c r="AI4626"/>
      <c r="AJ4626"/>
      <c r="AK4626"/>
      <c r="AL4626"/>
    </row>
    <row r="4627" spans="1:38" ht="15.75" customHeight="1" outlineLevel="3" x14ac:dyDescent="0.2">
      <c r="A4627" s="10">
        <v>8</v>
      </c>
      <c r="B4627" s="10" t="s">
        <v>71</v>
      </c>
      <c r="C4627" s="10" t="s">
        <v>3138</v>
      </c>
      <c r="D4627" s="10" t="s">
        <v>1109</v>
      </c>
      <c r="E4627" s="11" t="str">
        <f t="array" ref="E4627">_xlfn.XLOOKUP(D4627,Insumos!B:B,Insumos!C:$C)</f>
        <v>KG</v>
      </c>
      <c r="F4627" s="14">
        <v>0.7</v>
      </c>
      <c r="G4627" s="92">
        <f t="array" ref="G4627">IF(B4627="insumo",_xlfn.XLOOKUP($D4627,Insumos!$B$1:$B$996,Insumos!$D$1:$D$996),"")</f>
        <v>1.36</v>
      </c>
      <c r="H4627" s="92">
        <v>0.95199999999999996</v>
      </c>
      <c r="I4627" s="13">
        <v>0</v>
      </c>
      <c r="J4627" s="13">
        <v>0</v>
      </c>
      <c r="K4627" s="13"/>
      <c r="L4627"/>
      <c r="M4627"/>
      <c r="N4627"/>
      <c r="O4627"/>
      <c r="P4627"/>
      <c r="Q4627"/>
      <c r="R4627"/>
      <c r="S4627"/>
      <c r="T4627"/>
      <c r="U4627"/>
      <c r="V4627"/>
      <c r="W4627"/>
      <c r="X4627"/>
      <c r="Y4627"/>
      <c r="Z4627"/>
      <c r="AA4627"/>
      <c r="AB4627"/>
      <c r="AC4627"/>
      <c r="AD4627"/>
      <c r="AE4627"/>
      <c r="AF4627"/>
      <c r="AG4627"/>
      <c r="AH4627"/>
      <c r="AI4627"/>
      <c r="AJ4627"/>
      <c r="AK4627"/>
      <c r="AL4627"/>
    </row>
    <row r="4628" spans="1:38" ht="15.75" customHeight="1" outlineLevel="3" x14ac:dyDescent="0.2">
      <c r="A4628" s="10">
        <v>36</v>
      </c>
      <c r="B4628" s="10" t="s">
        <v>71</v>
      </c>
      <c r="C4628" s="10" t="s">
        <v>3138</v>
      </c>
      <c r="D4628" s="10" t="s">
        <v>2856</v>
      </c>
      <c r="E4628" s="11" t="str">
        <f t="array" ref="E4628">_xlfn.XLOOKUP(D4628,Insumos!B:B,Insumos!C:$C)</f>
        <v>KG</v>
      </c>
      <c r="F4628" s="14">
        <v>0.1</v>
      </c>
      <c r="G4628" s="92">
        <f t="array" ref="G4628">IF(B4628="insumo",_xlfn.XLOOKUP($D4628,Insumos!$B$1:$B$996,Insumos!$D$1:$D$996),"")</f>
        <v>38</v>
      </c>
      <c r="H4628" s="92">
        <v>3.8</v>
      </c>
      <c r="I4628" s="13">
        <v>0</v>
      </c>
      <c r="J4628" s="13">
        <v>0</v>
      </c>
      <c r="K4628" s="13"/>
      <c r="L4628"/>
      <c r="M4628"/>
      <c r="N4628"/>
      <c r="O4628"/>
      <c r="P4628"/>
      <c r="Q4628"/>
      <c r="R4628"/>
      <c r="S4628"/>
      <c r="T4628"/>
      <c r="U4628"/>
      <c r="V4628"/>
      <c r="W4628"/>
      <c r="X4628"/>
      <c r="Y4628"/>
      <c r="Z4628"/>
      <c r="AA4628"/>
      <c r="AB4628"/>
      <c r="AC4628"/>
      <c r="AD4628"/>
      <c r="AE4628"/>
      <c r="AF4628"/>
      <c r="AG4628"/>
      <c r="AH4628"/>
      <c r="AI4628"/>
      <c r="AJ4628"/>
      <c r="AK4628"/>
      <c r="AL4628"/>
    </row>
    <row r="4629" spans="1:38" ht="15.75" customHeight="1" outlineLevel="3" x14ac:dyDescent="0.2">
      <c r="A4629" s="10">
        <v>142</v>
      </c>
      <c r="B4629" s="10" t="s">
        <v>71</v>
      </c>
      <c r="C4629" s="10" t="s">
        <v>3138</v>
      </c>
      <c r="D4629" s="10" t="s">
        <v>506</v>
      </c>
      <c r="E4629" s="11" t="str">
        <f t="array" ref="E4629">_xlfn.XLOOKUP(D4629,Insumos!B:B,Insumos!C:$C)</f>
        <v>UN</v>
      </c>
      <c r="F4629" s="14">
        <v>1</v>
      </c>
      <c r="G4629" s="92">
        <f t="array" ref="G4629">IF(B4629="insumo",_xlfn.XLOOKUP($D4629,Insumos!$B$1:$B$996,Insumos!$D$1:$D$996),"")</f>
        <v>0.08</v>
      </c>
      <c r="H4629" s="92">
        <v>0.08</v>
      </c>
      <c r="I4629" s="13">
        <v>0</v>
      </c>
      <c r="J4629" s="13">
        <v>0</v>
      </c>
      <c r="K4629" s="13"/>
      <c r="L4629"/>
      <c r="M4629"/>
      <c r="N4629"/>
      <c r="O4629"/>
      <c r="P4629"/>
      <c r="Q4629"/>
      <c r="R4629"/>
      <c r="S4629"/>
      <c r="T4629"/>
      <c r="U4629"/>
      <c r="V4629"/>
      <c r="W4629"/>
      <c r="X4629"/>
      <c r="Y4629"/>
      <c r="Z4629"/>
      <c r="AA4629"/>
      <c r="AB4629"/>
      <c r="AC4629"/>
      <c r="AD4629"/>
      <c r="AE4629"/>
      <c r="AF4629"/>
      <c r="AG4629"/>
      <c r="AH4629"/>
      <c r="AI4629"/>
      <c r="AJ4629"/>
      <c r="AK4629"/>
      <c r="AL4629"/>
    </row>
    <row r="4630" spans="1:38" ht="15.75" customHeight="1" outlineLevel="2" x14ac:dyDescent="0.2">
      <c r="A4630" s="1067">
        <v>1</v>
      </c>
      <c r="B4630" s="1067" t="s">
        <v>68</v>
      </c>
      <c r="C4630" s="1067" t="s">
        <v>5341</v>
      </c>
      <c r="D4630" s="1067" t="s">
        <v>5341</v>
      </c>
      <c r="E4630" s="1068" t="s">
        <v>113</v>
      </c>
      <c r="F4630" s="1067"/>
      <c r="G4630" s="1069" t="str">
        <f t="array" ref="G4630">IF(B4630="insumo",_xlfn.XLOOKUP($D4630,Insumos!$B$1:$B$996,Insumos!$D$1:$D$996),"")</f>
        <v/>
      </c>
      <c r="H4630" s="1069">
        <v>150.380185454545</v>
      </c>
      <c r="I4630" s="1070" t="e">
        <v>#REF!</v>
      </c>
      <c r="J4630" s="1070" t="e">
        <v>#REF!</v>
      </c>
      <c r="K4630" s="1070"/>
      <c r="L4630"/>
      <c r="M4630"/>
      <c r="N4630"/>
      <c r="O4630"/>
      <c r="P4630"/>
      <c r="Q4630"/>
      <c r="R4630"/>
      <c r="S4630"/>
      <c r="T4630"/>
      <c r="U4630"/>
      <c r="V4630"/>
      <c r="W4630"/>
      <c r="X4630"/>
      <c r="Y4630"/>
      <c r="Z4630"/>
      <c r="AA4630"/>
      <c r="AB4630"/>
      <c r="AC4630"/>
      <c r="AD4630"/>
      <c r="AE4630"/>
      <c r="AF4630"/>
      <c r="AG4630"/>
      <c r="AH4630"/>
      <c r="AI4630"/>
      <c r="AJ4630"/>
      <c r="AK4630"/>
      <c r="AL4630"/>
    </row>
    <row r="4631" spans="1:38" ht="15.75" customHeight="1" outlineLevel="3" x14ac:dyDescent="0.2">
      <c r="A4631" s="10">
        <v>1</v>
      </c>
      <c r="B4631" s="10" t="s">
        <v>71</v>
      </c>
      <c r="C4631" s="10" t="s">
        <v>5341</v>
      </c>
      <c r="D4631" s="10" t="s">
        <v>3136</v>
      </c>
      <c r="E4631" s="11" t="str">
        <f t="array" ref="E4631">_xlfn.XLOOKUP(D4631,Insumos!B:B,Insumos!C:$C)</f>
        <v>M2</v>
      </c>
      <c r="F4631" s="14">
        <v>0.33</v>
      </c>
      <c r="G4631" s="92">
        <f t="array" ref="G4631">IF(B4631="insumo",_xlfn.XLOOKUP($D4631,Insumos!$B$1:$B$996,Insumos!$D$1:$D$996),"")</f>
        <v>170</v>
      </c>
      <c r="H4631" s="92">
        <v>56.1</v>
      </c>
      <c r="I4631" s="13" t="e">
        <v>#REF!</v>
      </c>
      <c r="J4631" s="13" t="e">
        <v>#REF!</v>
      </c>
      <c r="K4631" s="13"/>
      <c r="L4631"/>
      <c r="M4631"/>
      <c r="N4631"/>
      <c r="O4631"/>
      <c r="P4631"/>
      <c r="Q4631"/>
      <c r="R4631"/>
      <c r="S4631"/>
      <c r="T4631"/>
      <c r="U4631"/>
      <c r="V4631"/>
      <c r="W4631"/>
      <c r="X4631"/>
      <c r="Y4631"/>
      <c r="Z4631"/>
      <c r="AA4631"/>
      <c r="AB4631"/>
      <c r="AC4631"/>
      <c r="AD4631"/>
      <c r="AE4631"/>
      <c r="AF4631"/>
      <c r="AG4631"/>
      <c r="AH4631"/>
      <c r="AI4631"/>
      <c r="AJ4631"/>
      <c r="AK4631"/>
      <c r="AL4631"/>
    </row>
    <row r="4632" spans="1:38" ht="15.75" customHeight="1" outlineLevel="3" x14ac:dyDescent="0.2">
      <c r="A4632" s="10">
        <v>8</v>
      </c>
      <c r="B4632" s="10" t="s">
        <v>71</v>
      </c>
      <c r="C4632" s="10" t="s">
        <v>5341</v>
      </c>
      <c r="D4632" s="10" t="s">
        <v>1109</v>
      </c>
      <c r="E4632" s="11" t="str">
        <f t="array" ref="E4632">_xlfn.XLOOKUP(D4632,Insumos!B:B,Insumos!C:$C)</f>
        <v>KG</v>
      </c>
      <c r="F4632" s="14">
        <f>2.64+2.7</f>
        <v>5.34</v>
      </c>
      <c r="G4632" s="92">
        <f t="array" ref="G4632">IF(B4632="insumo",_xlfn.XLOOKUP($D4632,Insumos!$B$1:$B$996,Insumos!$D$1:$D$996),"")</f>
        <v>1.36</v>
      </c>
      <c r="H4632" s="92">
        <v>7.2624000000000004</v>
      </c>
      <c r="I4632" s="13" t="e">
        <v>#REF!</v>
      </c>
      <c r="J4632" s="13" t="e">
        <v>#REF!</v>
      </c>
      <c r="K4632" s="13"/>
      <c r="L4632"/>
      <c r="M4632"/>
      <c r="N4632"/>
      <c r="O4632"/>
      <c r="P4632"/>
      <c r="Q4632"/>
      <c r="R4632"/>
      <c r="S4632"/>
      <c r="T4632"/>
      <c r="U4632"/>
      <c r="V4632"/>
      <c r="W4632"/>
      <c r="X4632"/>
      <c r="Y4632"/>
      <c r="Z4632"/>
      <c r="AA4632"/>
      <c r="AB4632"/>
      <c r="AC4632"/>
      <c r="AD4632"/>
      <c r="AE4632"/>
      <c r="AF4632"/>
      <c r="AG4632"/>
      <c r="AH4632"/>
      <c r="AI4632"/>
      <c r="AJ4632"/>
      <c r="AK4632"/>
      <c r="AL4632"/>
    </row>
    <row r="4633" spans="1:38" ht="15.75" customHeight="1" outlineLevel="3" x14ac:dyDescent="0.2">
      <c r="A4633" s="10">
        <v>36</v>
      </c>
      <c r="B4633" s="10" t="s">
        <v>71</v>
      </c>
      <c r="C4633" s="10" t="s">
        <v>5341</v>
      </c>
      <c r="D4633" s="10" t="s">
        <v>2856</v>
      </c>
      <c r="E4633" s="11" t="str">
        <f t="array" ref="E4633">_xlfn.XLOOKUP(D4633,Insumos!B:B,Insumos!C:$C)</f>
        <v>KG</v>
      </c>
      <c r="F4633" s="14">
        <v>0.3</v>
      </c>
      <c r="G4633" s="92">
        <f t="array" ref="G4633">IF(B4633="insumo",_xlfn.XLOOKUP($D4633,Insumos!$B$1:$B$996,Insumos!$D$1:$D$996),"")</f>
        <v>38</v>
      </c>
      <c r="H4633" s="92">
        <v>11.4</v>
      </c>
      <c r="I4633" s="13" t="e">
        <v>#REF!</v>
      </c>
      <c r="J4633" s="13" t="e">
        <v>#REF!</v>
      </c>
      <c r="K4633" s="13"/>
      <c r="L4633"/>
      <c r="M4633"/>
      <c r="N4633"/>
      <c r="O4633"/>
      <c r="P4633"/>
      <c r="Q4633"/>
      <c r="R4633"/>
      <c r="S4633"/>
      <c r="T4633"/>
      <c r="U4633"/>
      <c r="V4633"/>
      <c r="W4633"/>
      <c r="X4633"/>
      <c r="Y4633"/>
      <c r="Z4633"/>
      <c r="AA4633"/>
      <c r="AB4633"/>
      <c r="AC4633"/>
      <c r="AD4633"/>
      <c r="AE4633"/>
      <c r="AF4633"/>
      <c r="AG4633"/>
      <c r="AH4633"/>
      <c r="AI4633"/>
      <c r="AJ4633"/>
      <c r="AK4633"/>
      <c r="AL4633"/>
    </row>
    <row r="4634" spans="1:38" ht="15.75" customHeight="1" outlineLevel="3" x14ac:dyDescent="0.2">
      <c r="A4634" s="10">
        <v>142</v>
      </c>
      <c r="B4634" s="10" t="s">
        <v>71</v>
      </c>
      <c r="C4634" s="10" t="s">
        <v>5341</v>
      </c>
      <c r="D4634" s="10" t="s">
        <v>506</v>
      </c>
      <c r="E4634" s="11" t="str">
        <f t="array" ref="E4634">_xlfn.XLOOKUP(D4634,Insumos!B:B,Insumos!C:$C)</f>
        <v>UN</v>
      </c>
      <c r="F4634" s="14">
        <v>3.0000000000000001E-3</v>
      </c>
      <c r="G4634" s="92">
        <f t="array" ref="G4634">IF(B4634="insumo",_xlfn.XLOOKUP($D4634,Insumos!$B$1:$B$996,Insumos!$D$1:$D$996),"")</f>
        <v>0.08</v>
      </c>
      <c r="H4634" s="92">
        <v>2.4000000000000001E-4</v>
      </c>
      <c r="I4634" s="13" t="e">
        <v>#REF!</v>
      </c>
      <c r="J4634" s="13" t="e">
        <v>#REF!</v>
      </c>
      <c r="K4634" s="13"/>
      <c r="L4634"/>
      <c r="M4634"/>
      <c r="N4634"/>
      <c r="O4634"/>
      <c r="P4634"/>
      <c r="Q4634"/>
      <c r="R4634"/>
      <c r="S4634"/>
      <c r="T4634"/>
      <c r="U4634"/>
      <c r="V4634"/>
      <c r="W4634"/>
      <c r="X4634"/>
      <c r="Y4634"/>
      <c r="Z4634"/>
      <c r="AA4634"/>
      <c r="AB4634"/>
      <c r="AC4634"/>
      <c r="AD4634"/>
      <c r="AE4634"/>
      <c r="AF4634"/>
      <c r="AG4634"/>
      <c r="AH4634"/>
      <c r="AI4634"/>
      <c r="AJ4634"/>
      <c r="AK4634"/>
      <c r="AL4634"/>
    </row>
    <row r="4635" spans="1:38" ht="15.75" customHeight="1" outlineLevel="3" x14ac:dyDescent="0.2">
      <c r="A4635" s="10">
        <v>5</v>
      </c>
      <c r="B4635" s="10" t="s">
        <v>71</v>
      </c>
      <c r="C4635" s="10" t="s">
        <v>5341</v>
      </c>
      <c r="D4635" s="10" t="s">
        <v>3127</v>
      </c>
      <c r="E4635" s="11" t="str">
        <f t="array" ref="E4635">_xlfn.XLOOKUP(D4635,Insumos!B:B,Insumos!C:$C)</f>
        <v>M3</v>
      </c>
      <c r="F4635" s="14">
        <v>3.3000000000000002E-2</v>
      </c>
      <c r="G4635" s="92">
        <f t="array" ref="G4635">IF(B4635="insumo",_xlfn.XLOOKUP($D4635,Insumos!$B$1:$B$996,Insumos!$D$1:$D$996),"")</f>
        <v>1377.4104683195592</v>
      </c>
      <c r="H4635" s="92">
        <v>45.454545454545503</v>
      </c>
      <c r="I4635" s="13" t="e">
        <v>#REF!</v>
      </c>
      <c r="J4635" s="13" t="e">
        <v>#REF!</v>
      </c>
      <c r="K4635" s="13"/>
      <c r="L4635"/>
      <c r="M4635"/>
      <c r="N4635"/>
      <c r="O4635"/>
      <c r="P4635"/>
      <c r="Q4635"/>
      <c r="R4635"/>
      <c r="S4635"/>
      <c r="T4635"/>
      <c r="U4635"/>
      <c r="V4635"/>
      <c r="W4635"/>
      <c r="X4635"/>
      <c r="Y4635"/>
      <c r="Z4635"/>
      <c r="AA4635"/>
      <c r="AB4635"/>
      <c r="AC4635"/>
      <c r="AD4635"/>
      <c r="AE4635"/>
      <c r="AF4635"/>
      <c r="AG4635"/>
      <c r="AH4635"/>
      <c r="AI4635"/>
      <c r="AJ4635"/>
      <c r="AK4635"/>
      <c r="AL4635"/>
    </row>
    <row r="4636" spans="1:38" ht="15.75" customHeight="1" outlineLevel="3" x14ac:dyDescent="0.2">
      <c r="A4636" s="10">
        <v>4</v>
      </c>
      <c r="B4636" s="10" t="s">
        <v>71</v>
      </c>
      <c r="C4636" s="10" t="s">
        <v>5341</v>
      </c>
      <c r="D4636" s="10" t="s">
        <v>3128</v>
      </c>
      <c r="E4636" s="11" t="str">
        <f t="array" ref="E4636">_xlfn.XLOOKUP(D4636,Insumos!B:B,Insumos!C:$C)</f>
        <v>KG</v>
      </c>
      <c r="F4636" s="14">
        <v>1.5</v>
      </c>
      <c r="G4636" s="92">
        <f t="array" ref="G4636">IF(B4636="insumo",_xlfn.XLOOKUP($D4636,Insumos!$B$1:$B$996,Insumos!$D$1:$D$996),"")</f>
        <v>18.326666666666664</v>
      </c>
      <c r="H4636" s="92">
        <v>27.49</v>
      </c>
      <c r="I4636" s="13" t="e">
        <v>#REF!</v>
      </c>
      <c r="J4636" s="13" t="e">
        <v>#REF!</v>
      </c>
      <c r="K4636" s="13"/>
      <c r="L4636"/>
      <c r="M4636"/>
      <c r="N4636"/>
      <c r="O4636"/>
      <c r="P4636"/>
      <c r="Q4636"/>
      <c r="R4636"/>
      <c r="S4636"/>
      <c r="T4636"/>
      <c r="U4636"/>
      <c r="V4636"/>
      <c r="W4636"/>
      <c r="X4636"/>
      <c r="Y4636"/>
      <c r="Z4636"/>
      <c r="AA4636"/>
      <c r="AB4636"/>
      <c r="AC4636"/>
      <c r="AD4636"/>
      <c r="AE4636"/>
      <c r="AF4636"/>
      <c r="AG4636"/>
      <c r="AH4636"/>
      <c r="AI4636"/>
      <c r="AJ4636"/>
      <c r="AK4636"/>
      <c r="AL4636"/>
    </row>
    <row r="4637" spans="1:38" ht="15.75" customHeight="1" outlineLevel="3" x14ac:dyDescent="0.2">
      <c r="A4637" s="10">
        <v>5</v>
      </c>
      <c r="B4637" s="10" t="s">
        <v>71</v>
      </c>
      <c r="C4637" s="10" t="s">
        <v>5341</v>
      </c>
      <c r="D4637" s="10" t="s">
        <v>1585</v>
      </c>
      <c r="E4637" s="11" t="str">
        <f t="array" ref="E4637">_xlfn.XLOOKUP(D4637,Insumos!B:B,Insumos!C:$C)</f>
        <v>m2</v>
      </c>
      <c r="F4637" s="14">
        <v>0.33</v>
      </c>
      <c r="G4637" s="92">
        <f t="array" ref="G4637">IF(B4637="insumo",_xlfn.XLOOKUP($D4637,Insumos!$B$1:$B$996,Insumos!$D$1:$D$996),"")</f>
        <v>8.1</v>
      </c>
      <c r="H4637" s="92">
        <v>2.673</v>
      </c>
      <c r="I4637" s="13" t="e">
        <v>#REF!</v>
      </c>
      <c r="J4637" s="13" t="e">
        <v>#REF!</v>
      </c>
      <c r="K4637" s="13"/>
      <c r="L4637"/>
      <c r="M4637"/>
      <c r="N4637"/>
      <c r="O4637"/>
      <c r="P4637"/>
      <c r="Q4637"/>
      <c r="R4637"/>
      <c r="S4637"/>
      <c r="T4637"/>
      <c r="U4637"/>
      <c r="V4637"/>
      <c r="W4637"/>
      <c r="X4637"/>
      <c r="Y4637"/>
      <c r="Z4637"/>
      <c r="AA4637"/>
      <c r="AB4637"/>
      <c r="AC4637"/>
      <c r="AD4637"/>
      <c r="AE4637"/>
      <c r="AF4637"/>
      <c r="AG4637"/>
      <c r="AH4637"/>
      <c r="AI4637"/>
      <c r="AJ4637"/>
      <c r="AK4637"/>
      <c r="AL4637"/>
    </row>
    <row r="4638" spans="1:38" ht="12.75" outlineLevel="2" x14ac:dyDescent="0.2">
      <c r="A4638" s="1071">
        <v>1</v>
      </c>
      <c r="B4638" s="1071" t="s">
        <v>68</v>
      </c>
      <c r="C4638" s="1071" t="s">
        <v>5340</v>
      </c>
      <c r="D4638" s="1071" t="s">
        <v>5340</v>
      </c>
      <c r="E4638" s="1072" t="s">
        <v>113</v>
      </c>
      <c r="F4638" s="1071"/>
      <c r="G4638" s="1073" t="str">
        <f t="array" ref="G4638">IF(B4638="insumo",_xlfn.XLOOKUP($D4638,Insumos!$B$1:$B$996,Insumos!$D$1:$D$996),"")</f>
        <v/>
      </c>
      <c r="H4638" s="1073">
        <v>130.099375454545</v>
      </c>
      <c r="I4638" s="1074" t="e">
        <v>#REF!</v>
      </c>
      <c r="J4638" s="1074" t="e">
        <v>#REF!</v>
      </c>
      <c r="K4638" s="1074"/>
      <c r="L4638"/>
      <c r="M4638"/>
      <c r="N4638"/>
      <c r="O4638"/>
      <c r="P4638"/>
      <c r="Q4638"/>
      <c r="R4638"/>
      <c r="S4638"/>
      <c r="T4638"/>
      <c r="U4638"/>
      <c r="V4638"/>
      <c r="W4638"/>
      <c r="X4638"/>
      <c r="Y4638"/>
      <c r="Z4638"/>
      <c r="AA4638"/>
      <c r="AB4638"/>
      <c r="AC4638"/>
      <c r="AD4638"/>
      <c r="AE4638"/>
      <c r="AF4638"/>
      <c r="AG4638"/>
      <c r="AH4638"/>
      <c r="AI4638"/>
      <c r="AJ4638"/>
      <c r="AK4638"/>
      <c r="AL4638"/>
    </row>
    <row r="4639" spans="1:38" ht="12.75" outlineLevel="3" x14ac:dyDescent="0.2">
      <c r="A4639" s="82">
        <v>3</v>
      </c>
      <c r="B4639" s="82" t="s">
        <v>71</v>
      </c>
      <c r="C4639" s="82" t="s">
        <v>5340</v>
      </c>
      <c r="D4639" s="10" t="s">
        <v>5337</v>
      </c>
      <c r="E4639" s="11" t="str">
        <f t="array" ref="E4639">_xlfn.XLOOKUP(D4639,Insumos!B:B,Insumos!C:$C)</f>
        <v>M2</v>
      </c>
      <c r="F4639" s="86">
        <v>0.33</v>
      </c>
      <c r="G4639" s="92">
        <f t="array" ref="G4639">IF(B4639="insumo",_xlfn.XLOOKUP($D4639,Insumos!$B$1:$B$996,Insumos!$D$1:$D$996),"")</f>
        <v>147.4</v>
      </c>
      <c r="H4639" s="92">
        <v>48.642000000000003</v>
      </c>
      <c r="I4639" s="84" t="e">
        <v>#REF!</v>
      </c>
      <c r="J4639" s="84" t="e">
        <v>#REF!</v>
      </c>
      <c r="K4639" s="84"/>
      <c r="L4639"/>
      <c r="M4639"/>
      <c r="N4639"/>
      <c r="O4639"/>
      <c r="P4639"/>
      <c r="Q4639"/>
      <c r="R4639"/>
      <c r="S4639"/>
      <c r="T4639"/>
      <c r="U4639"/>
      <c r="V4639"/>
      <c r="W4639"/>
      <c r="X4639"/>
      <c r="Y4639"/>
      <c r="Z4639"/>
      <c r="AA4639"/>
      <c r="AB4639"/>
      <c r="AC4639"/>
      <c r="AD4639"/>
      <c r="AE4639"/>
      <c r="AF4639"/>
      <c r="AG4639"/>
      <c r="AH4639"/>
      <c r="AI4639"/>
      <c r="AJ4639"/>
      <c r="AK4639"/>
      <c r="AL4639"/>
    </row>
    <row r="4640" spans="1:38" ht="12.75" outlineLevel="3" x14ac:dyDescent="0.2">
      <c r="A4640" s="82">
        <v>191</v>
      </c>
      <c r="B4640" s="82" t="s">
        <v>71</v>
      </c>
      <c r="C4640" s="82" t="s">
        <v>5340</v>
      </c>
      <c r="D4640" s="82" t="s">
        <v>481</v>
      </c>
      <c r="E4640" s="11" t="str">
        <f t="array" ref="E4640">_xlfn.XLOOKUP(D4640,Insumos!B:B,Insumos!C:$C)</f>
        <v>KG</v>
      </c>
      <c r="F4640" s="86">
        <f>2.64+2.7</f>
        <v>5.34</v>
      </c>
      <c r="G4640" s="92">
        <f t="array" ref="G4640">IF(B4640="insumo",_xlfn.XLOOKUP($D4640,Insumos!$B$1:$B$996,Insumos!$D$1:$D$996),"")</f>
        <v>1.0645</v>
      </c>
      <c r="H4640" s="92">
        <v>5.6844299999999999</v>
      </c>
      <c r="I4640" s="84" t="e">
        <v>#REF!</v>
      </c>
      <c r="J4640" s="84" t="e">
        <v>#REF!</v>
      </c>
      <c r="K4640" s="84"/>
      <c r="L4640"/>
      <c r="M4640"/>
      <c r="N4640"/>
      <c r="O4640"/>
      <c r="P4640"/>
      <c r="Q4640"/>
      <c r="R4640"/>
      <c r="S4640"/>
      <c r="T4640"/>
      <c r="U4640"/>
      <c r="V4640"/>
      <c r="W4640"/>
      <c r="X4640"/>
      <c r="Y4640"/>
      <c r="Z4640"/>
      <c r="AA4640"/>
      <c r="AB4640"/>
      <c r="AC4640"/>
      <c r="AD4640"/>
      <c r="AE4640"/>
      <c r="AF4640"/>
      <c r="AG4640"/>
      <c r="AH4640"/>
      <c r="AI4640"/>
      <c r="AJ4640"/>
      <c r="AK4640"/>
      <c r="AL4640"/>
    </row>
    <row r="4641" spans="1:38" ht="12.75" outlineLevel="3" x14ac:dyDescent="0.2">
      <c r="A4641" s="82">
        <v>142</v>
      </c>
      <c r="B4641" s="82" t="s">
        <v>71</v>
      </c>
      <c r="C4641" s="82" t="s">
        <v>5340</v>
      </c>
      <c r="D4641" s="82" t="s">
        <v>506</v>
      </c>
      <c r="E4641" s="11" t="str">
        <f t="array" ref="E4641">_xlfn.XLOOKUP(D4641,Insumos!B:B,Insumos!C:$C)</f>
        <v>UN</v>
      </c>
      <c r="F4641" s="86">
        <v>0.3</v>
      </c>
      <c r="G4641" s="92">
        <f t="array" ref="G4641">IF(B4641="insumo",_xlfn.XLOOKUP($D4641,Insumos!$B$1:$B$996,Insumos!$D$1:$D$996),"")</f>
        <v>0.08</v>
      </c>
      <c r="H4641" s="92">
        <v>2.4E-2</v>
      </c>
      <c r="I4641" s="84" t="e">
        <v>#REF!</v>
      </c>
      <c r="J4641" s="84" t="e">
        <v>#REF!</v>
      </c>
      <c r="K4641" s="84"/>
      <c r="L4641"/>
      <c r="M4641"/>
      <c r="N4641"/>
      <c r="O4641"/>
      <c r="P4641"/>
      <c r="Q4641"/>
      <c r="R4641"/>
      <c r="S4641"/>
      <c r="T4641"/>
      <c r="U4641"/>
      <c r="V4641"/>
      <c r="W4641"/>
      <c r="X4641"/>
      <c r="Y4641"/>
      <c r="Z4641"/>
      <c r="AA4641"/>
      <c r="AB4641"/>
      <c r="AC4641"/>
      <c r="AD4641"/>
      <c r="AE4641"/>
      <c r="AF4641"/>
      <c r="AG4641"/>
      <c r="AH4641"/>
      <c r="AI4641"/>
      <c r="AJ4641"/>
      <c r="AK4641"/>
      <c r="AL4641"/>
    </row>
    <row r="4642" spans="1:38" ht="12.75" outlineLevel="3" x14ac:dyDescent="0.2">
      <c r="A4642" s="82">
        <v>22</v>
      </c>
      <c r="B4642" s="82" t="s">
        <v>71</v>
      </c>
      <c r="C4642" s="82" t="s">
        <v>5340</v>
      </c>
      <c r="D4642" s="82" t="s">
        <v>1833</v>
      </c>
      <c r="E4642" s="11" t="str">
        <f t="array" ref="E4642">_xlfn.XLOOKUP(D4642,Insumos!B:B,Insumos!C:$C)</f>
        <v>KG</v>
      </c>
      <c r="F4642" s="86">
        <v>3.0000000000000001E-3</v>
      </c>
      <c r="G4642" s="92">
        <f t="array" ref="G4642">IF(B4642="insumo",_xlfn.XLOOKUP($D4642,Insumos!$B$1:$B$996,Insumos!$D$1:$D$996),"")</f>
        <v>43.8</v>
      </c>
      <c r="H4642" s="92">
        <v>0.13139999999999999</v>
      </c>
      <c r="I4642" s="84" t="e">
        <v>#REF!</v>
      </c>
      <c r="J4642" s="84" t="e">
        <v>#REF!</v>
      </c>
      <c r="K4642" s="84"/>
      <c r="L4642"/>
      <c r="M4642"/>
      <c r="N4642"/>
      <c r="O4642"/>
      <c r="P4642"/>
      <c r="Q4642"/>
      <c r="R4642"/>
      <c r="S4642"/>
      <c r="T4642"/>
      <c r="U4642"/>
      <c r="V4642"/>
      <c r="W4642"/>
      <c r="X4642"/>
      <c r="Y4642"/>
      <c r="Z4642"/>
      <c r="AA4642"/>
      <c r="AB4642"/>
      <c r="AC4642"/>
      <c r="AD4642"/>
      <c r="AE4642"/>
      <c r="AF4642"/>
      <c r="AG4642"/>
      <c r="AH4642"/>
      <c r="AI4642"/>
      <c r="AJ4642"/>
      <c r="AK4642"/>
      <c r="AL4642"/>
    </row>
    <row r="4643" spans="1:38" ht="15.75" customHeight="1" outlineLevel="3" x14ac:dyDescent="0.2">
      <c r="A4643" s="10">
        <v>5</v>
      </c>
      <c r="B4643" s="10" t="s">
        <v>71</v>
      </c>
      <c r="C4643" s="10" t="s">
        <v>5340</v>
      </c>
      <c r="D4643" s="10" t="s">
        <v>3127</v>
      </c>
      <c r="E4643" s="11" t="str">
        <f t="array" ref="E4643">_xlfn.XLOOKUP(D4643,Insumos!B:B,Insumos!C:$C)</f>
        <v>M3</v>
      </c>
      <c r="F4643" s="14">
        <v>3.3000000000000002E-2</v>
      </c>
      <c r="G4643" s="92">
        <f t="array" ref="G4643">IF(B4643="insumo",_xlfn.XLOOKUP($D4643,Insumos!$B$1:$B$996,Insumos!$D$1:$D$996),"")</f>
        <v>1377.4104683195592</v>
      </c>
      <c r="H4643" s="92">
        <v>45.454545454545503</v>
      </c>
      <c r="I4643" s="13" t="e">
        <v>#REF!</v>
      </c>
      <c r="J4643" s="13" t="e">
        <v>#REF!</v>
      </c>
      <c r="K4643" s="13"/>
      <c r="L4643"/>
      <c r="M4643"/>
      <c r="N4643"/>
      <c r="O4643"/>
      <c r="P4643"/>
      <c r="Q4643"/>
      <c r="R4643"/>
      <c r="S4643"/>
      <c r="T4643"/>
      <c r="U4643"/>
      <c r="V4643"/>
      <c r="W4643"/>
      <c r="X4643"/>
      <c r="Y4643"/>
      <c r="Z4643"/>
      <c r="AA4643"/>
      <c r="AB4643"/>
      <c r="AC4643"/>
      <c r="AD4643"/>
      <c r="AE4643"/>
      <c r="AF4643"/>
      <c r="AG4643"/>
      <c r="AH4643"/>
      <c r="AI4643"/>
      <c r="AJ4643"/>
      <c r="AK4643"/>
      <c r="AL4643"/>
    </row>
    <row r="4644" spans="1:38" ht="15.75" customHeight="1" outlineLevel="3" x14ac:dyDescent="0.2">
      <c r="A4644" s="10">
        <v>4</v>
      </c>
      <c r="B4644" s="10" t="s">
        <v>71</v>
      </c>
      <c r="C4644" s="10" t="s">
        <v>5340</v>
      </c>
      <c r="D4644" s="10" t="s">
        <v>3128</v>
      </c>
      <c r="E4644" s="11" t="str">
        <f t="array" ref="E4644">_xlfn.XLOOKUP(D4644,Insumos!B:B,Insumos!C:$C)</f>
        <v>KG</v>
      </c>
      <c r="F4644" s="14">
        <v>1.5</v>
      </c>
      <c r="G4644" s="92">
        <f t="array" ref="G4644">IF(B4644="insumo",_xlfn.XLOOKUP($D4644,Insumos!$B$1:$B$996,Insumos!$D$1:$D$996),"")</f>
        <v>18.326666666666664</v>
      </c>
      <c r="H4644" s="92">
        <v>27.49</v>
      </c>
      <c r="I4644" s="13" t="e">
        <v>#REF!</v>
      </c>
      <c r="J4644" s="13" t="e">
        <v>#REF!</v>
      </c>
      <c r="K4644" s="13"/>
      <c r="L4644"/>
      <c r="M4644"/>
      <c r="N4644"/>
      <c r="O4644"/>
      <c r="P4644"/>
      <c r="Q4644"/>
      <c r="R4644"/>
      <c r="S4644"/>
      <c r="T4644"/>
      <c r="U4644"/>
      <c r="V4644"/>
      <c r="W4644"/>
      <c r="X4644"/>
      <c r="Y4644"/>
      <c r="Z4644"/>
      <c r="AA4644"/>
      <c r="AB4644"/>
      <c r="AC4644"/>
      <c r="AD4644"/>
      <c r="AE4644"/>
      <c r="AF4644"/>
      <c r="AG4644"/>
      <c r="AH4644"/>
      <c r="AI4644"/>
      <c r="AJ4644"/>
      <c r="AK4644"/>
      <c r="AL4644"/>
    </row>
    <row r="4645" spans="1:38" ht="15.75" customHeight="1" outlineLevel="3" x14ac:dyDescent="0.2">
      <c r="A4645" s="10">
        <v>5</v>
      </c>
      <c r="B4645" s="10" t="s">
        <v>71</v>
      </c>
      <c r="C4645" s="10" t="s">
        <v>5340</v>
      </c>
      <c r="D4645" s="10" t="s">
        <v>1585</v>
      </c>
      <c r="E4645" s="11" t="str">
        <f t="array" ref="E4645">_xlfn.XLOOKUP(D4645,Insumos!B:B,Insumos!C:$C)</f>
        <v>m2</v>
      </c>
      <c r="F4645" s="14">
        <v>0.33</v>
      </c>
      <c r="G4645" s="92">
        <f t="array" ref="G4645">IF(B4645="insumo",_xlfn.XLOOKUP($D4645,Insumos!$B$1:$B$996,Insumos!$D$1:$D$996),"")</f>
        <v>8.1</v>
      </c>
      <c r="H4645" s="92">
        <v>2.673</v>
      </c>
      <c r="I4645" s="13" t="e">
        <v>#REF!</v>
      </c>
      <c r="J4645" s="13" t="e">
        <v>#REF!</v>
      </c>
      <c r="K4645" s="13"/>
      <c r="L4645"/>
      <c r="M4645"/>
      <c r="N4645"/>
      <c r="O4645"/>
      <c r="P4645"/>
      <c r="Q4645"/>
      <c r="R4645"/>
      <c r="S4645"/>
      <c r="T4645"/>
      <c r="U4645"/>
      <c r="V4645"/>
      <c r="W4645"/>
      <c r="X4645"/>
      <c r="Y4645"/>
      <c r="Z4645"/>
      <c r="AA4645"/>
      <c r="AB4645"/>
      <c r="AC4645"/>
      <c r="AD4645"/>
      <c r="AE4645"/>
      <c r="AF4645"/>
      <c r="AG4645"/>
      <c r="AH4645"/>
      <c r="AI4645"/>
      <c r="AJ4645"/>
      <c r="AK4645"/>
      <c r="AL4645"/>
    </row>
    <row r="4646" spans="1:38" ht="12.75" outlineLevel="2" x14ac:dyDescent="0.2">
      <c r="A4646" s="1071">
        <v>1</v>
      </c>
      <c r="B4646" s="1071" t="s">
        <v>68</v>
      </c>
      <c r="C4646" s="1071" t="s">
        <v>5346</v>
      </c>
      <c r="D4646" s="1071" t="s">
        <v>5346</v>
      </c>
      <c r="E4646" s="1072" t="s">
        <v>113</v>
      </c>
      <c r="F4646" s="1071"/>
      <c r="G4646" s="1073" t="str">
        <f t="array" ref="G4646">IF(B4646="insumo",_xlfn.XLOOKUP($D4646,Insumos!$B$1:$B$996,Insumos!$D$1:$D$996),"")</f>
        <v/>
      </c>
      <c r="H4646" s="1073">
        <v>211.47737545454501</v>
      </c>
      <c r="I4646" s="1074" t="e">
        <v>#REF!</v>
      </c>
      <c r="J4646" s="1074" t="e">
        <v>#REF!</v>
      </c>
      <c r="K4646" s="1074"/>
      <c r="L4646"/>
      <c r="M4646"/>
      <c r="N4646"/>
      <c r="O4646"/>
      <c r="P4646"/>
      <c r="Q4646"/>
      <c r="R4646"/>
      <c r="S4646"/>
      <c r="T4646"/>
      <c r="U4646"/>
      <c r="V4646"/>
      <c r="W4646"/>
      <c r="X4646"/>
      <c r="Y4646"/>
      <c r="Z4646"/>
      <c r="AA4646"/>
      <c r="AB4646"/>
      <c r="AC4646"/>
      <c r="AD4646"/>
      <c r="AE4646"/>
      <c r="AF4646"/>
      <c r="AG4646"/>
      <c r="AH4646"/>
      <c r="AI4646"/>
      <c r="AJ4646"/>
      <c r="AK4646"/>
      <c r="AL4646"/>
    </row>
    <row r="4647" spans="1:38" ht="12.75" outlineLevel="3" x14ac:dyDescent="0.2">
      <c r="A4647" s="82">
        <v>3</v>
      </c>
      <c r="B4647" s="82" t="s">
        <v>71</v>
      </c>
      <c r="C4647" s="82" t="s">
        <v>5346</v>
      </c>
      <c r="D4647" s="10" t="s">
        <v>5342</v>
      </c>
      <c r="E4647" s="11" t="str">
        <f t="array" ref="E4647">_xlfn.XLOOKUP(D4647,Insumos!B:B,Insumos!C:$C)</f>
        <v>M2</v>
      </c>
      <c r="F4647" s="86">
        <v>0.33</v>
      </c>
      <c r="G4647" s="92">
        <f t="array" ref="G4647">IF(B4647="insumo",_xlfn.XLOOKUP($D4647,Insumos!$B$1:$B$996,Insumos!$D$1:$D$996),"")</f>
        <v>394</v>
      </c>
      <c r="H4647" s="92">
        <v>130.02000000000001</v>
      </c>
      <c r="I4647" s="84" t="e">
        <v>#REF!</v>
      </c>
      <c r="J4647" s="84" t="e">
        <v>#REF!</v>
      </c>
      <c r="K4647" s="84"/>
      <c r="L4647"/>
      <c r="M4647"/>
      <c r="N4647"/>
      <c r="O4647"/>
      <c r="P4647"/>
      <c r="Q4647"/>
      <c r="R4647"/>
      <c r="S4647"/>
      <c r="T4647"/>
      <c r="U4647"/>
      <c r="V4647"/>
      <c r="W4647"/>
      <c r="X4647"/>
      <c r="Y4647"/>
      <c r="Z4647"/>
      <c r="AA4647"/>
      <c r="AB4647"/>
      <c r="AC4647"/>
      <c r="AD4647"/>
      <c r="AE4647"/>
      <c r="AF4647"/>
      <c r="AG4647"/>
      <c r="AH4647"/>
      <c r="AI4647"/>
      <c r="AJ4647"/>
      <c r="AK4647"/>
      <c r="AL4647"/>
    </row>
    <row r="4648" spans="1:38" ht="12.75" outlineLevel="3" x14ac:dyDescent="0.2">
      <c r="A4648" s="82">
        <v>191</v>
      </c>
      <c r="B4648" s="82" t="s">
        <v>71</v>
      </c>
      <c r="C4648" s="82" t="s">
        <v>5346</v>
      </c>
      <c r="D4648" s="82" t="s">
        <v>481</v>
      </c>
      <c r="E4648" s="11" t="str">
        <f t="array" ref="E4648">_xlfn.XLOOKUP(D4648,Insumos!B:B,Insumos!C:$C)</f>
        <v>KG</v>
      </c>
      <c r="F4648" s="86">
        <f>2.64+2.7</f>
        <v>5.34</v>
      </c>
      <c r="G4648" s="92">
        <f t="array" ref="G4648">IF(B4648="insumo",_xlfn.XLOOKUP($D4648,Insumos!$B$1:$B$996,Insumos!$D$1:$D$996),"")</f>
        <v>1.0645</v>
      </c>
      <c r="H4648" s="92">
        <v>5.6844299999999999</v>
      </c>
      <c r="I4648" s="84" t="e">
        <v>#REF!</v>
      </c>
      <c r="J4648" s="84" t="e">
        <v>#REF!</v>
      </c>
      <c r="K4648" s="84"/>
      <c r="L4648"/>
      <c r="M4648"/>
      <c r="N4648"/>
      <c r="O4648"/>
      <c r="P4648"/>
      <c r="Q4648"/>
      <c r="R4648"/>
      <c r="S4648"/>
      <c r="T4648"/>
      <c r="U4648"/>
      <c r="V4648"/>
      <c r="W4648"/>
      <c r="X4648"/>
      <c r="Y4648"/>
      <c r="Z4648"/>
      <c r="AA4648"/>
      <c r="AB4648"/>
      <c r="AC4648"/>
      <c r="AD4648"/>
      <c r="AE4648"/>
      <c r="AF4648"/>
      <c r="AG4648"/>
      <c r="AH4648"/>
      <c r="AI4648"/>
      <c r="AJ4648"/>
      <c r="AK4648"/>
      <c r="AL4648"/>
    </row>
    <row r="4649" spans="1:38" ht="12.75" outlineLevel="3" x14ac:dyDescent="0.2">
      <c r="A4649" s="82">
        <v>142</v>
      </c>
      <c r="B4649" s="82" t="s">
        <v>71</v>
      </c>
      <c r="C4649" s="82" t="s">
        <v>5346</v>
      </c>
      <c r="D4649" s="82" t="s">
        <v>506</v>
      </c>
      <c r="E4649" s="11" t="str">
        <f t="array" ref="E4649">_xlfn.XLOOKUP(D4649,Insumos!B:B,Insumos!C:$C)</f>
        <v>UN</v>
      </c>
      <c r="F4649" s="86">
        <v>0.3</v>
      </c>
      <c r="G4649" s="92">
        <f t="array" ref="G4649">IF(B4649="insumo",_xlfn.XLOOKUP($D4649,Insumos!$B$1:$B$996,Insumos!$D$1:$D$996),"")</f>
        <v>0.08</v>
      </c>
      <c r="H4649" s="92">
        <v>2.4E-2</v>
      </c>
      <c r="I4649" s="84" t="e">
        <v>#REF!</v>
      </c>
      <c r="J4649" s="84" t="e">
        <v>#REF!</v>
      </c>
      <c r="K4649" s="84"/>
      <c r="L4649"/>
      <c r="M4649"/>
      <c r="N4649"/>
      <c r="O4649"/>
      <c r="P4649"/>
      <c r="Q4649"/>
      <c r="R4649"/>
      <c r="S4649"/>
      <c r="T4649"/>
      <c r="U4649"/>
      <c r="V4649"/>
      <c r="W4649"/>
      <c r="X4649"/>
      <c r="Y4649"/>
      <c r="Z4649"/>
      <c r="AA4649"/>
      <c r="AB4649"/>
      <c r="AC4649"/>
      <c r="AD4649"/>
      <c r="AE4649"/>
      <c r="AF4649"/>
      <c r="AG4649"/>
      <c r="AH4649"/>
      <c r="AI4649"/>
      <c r="AJ4649"/>
      <c r="AK4649"/>
      <c r="AL4649"/>
    </row>
    <row r="4650" spans="1:38" ht="12.75" outlineLevel="3" x14ac:dyDescent="0.2">
      <c r="A4650" s="82">
        <v>22</v>
      </c>
      <c r="B4650" s="82" t="s">
        <v>71</v>
      </c>
      <c r="C4650" s="82" t="s">
        <v>5346</v>
      </c>
      <c r="D4650" s="82" t="s">
        <v>1833</v>
      </c>
      <c r="E4650" s="11" t="str">
        <f t="array" ref="E4650">_xlfn.XLOOKUP(D4650,Insumos!B:B,Insumos!C:$C)</f>
        <v>KG</v>
      </c>
      <c r="F4650" s="86">
        <v>3.0000000000000001E-3</v>
      </c>
      <c r="G4650" s="92">
        <f t="array" ref="G4650">IF(B4650="insumo",_xlfn.XLOOKUP($D4650,Insumos!$B$1:$B$996,Insumos!$D$1:$D$996),"")</f>
        <v>43.8</v>
      </c>
      <c r="H4650" s="92">
        <v>0.13139999999999999</v>
      </c>
      <c r="I4650" s="84" t="e">
        <v>#REF!</v>
      </c>
      <c r="J4650" s="84" t="e">
        <v>#REF!</v>
      </c>
      <c r="K4650" s="84"/>
      <c r="L4650"/>
      <c r="M4650"/>
      <c r="N4650"/>
      <c r="O4650"/>
      <c r="P4650"/>
      <c r="Q4650"/>
      <c r="R4650"/>
      <c r="S4650"/>
      <c r="T4650"/>
      <c r="U4650"/>
      <c r="V4650"/>
      <c r="W4650"/>
      <c r="X4650"/>
      <c r="Y4650"/>
      <c r="Z4650"/>
      <c r="AA4650"/>
      <c r="AB4650"/>
      <c r="AC4650"/>
      <c r="AD4650"/>
      <c r="AE4650"/>
      <c r="AF4650"/>
      <c r="AG4650"/>
      <c r="AH4650"/>
      <c r="AI4650"/>
      <c r="AJ4650"/>
      <c r="AK4650"/>
      <c r="AL4650"/>
    </row>
    <row r="4651" spans="1:38" ht="15.75" customHeight="1" outlineLevel="3" x14ac:dyDescent="0.2">
      <c r="A4651" s="10">
        <v>5</v>
      </c>
      <c r="B4651" s="10" t="s">
        <v>71</v>
      </c>
      <c r="C4651" s="10" t="s">
        <v>5346</v>
      </c>
      <c r="D4651" s="10" t="s">
        <v>3127</v>
      </c>
      <c r="E4651" s="11" t="str">
        <f t="array" ref="E4651">_xlfn.XLOOKUP(D4651,Insumos!B:B,Insumos!C:$C)</f>
        <v>M3</v>
      </c>
      <c r="F4651" s="14">
        <v>3.3000000000000002E-2</v>
      </c>
      <c r="G4651" s="92">
        <f t="array" ref="G4651">IF(B4651="insumo",_xlfn.XLOOKUP($D4651,Insumos!$B$1:$B$996,Insumos!$D$1:$D$996),"")</f>
        <v>1377.4104683195592</v>
      </c>
      <c r="H4651" s="92">
        <v>45.454545454545503</v>
      </c>
      <c r="I4651" s="13" t="e">
        <v>#REF!</v>
      </c>
      <c r="J4651" s="13" t="e">
        <v>#REF!</v>
      </c>
      <c r="K4651" s="13"/>
      <c r="L4651"/>
      <c r="M4651"/>
      <c r="N4651"/>
      <c r="O4651"/>
      <c r="P4651"/>
      <c r="Q4651"/>
      <c r="R4651"/>
      <c r="S4651"/>
      <c r="T4651"/>
      <c r="U4651"/>
      <c r="V4651"/>
      <c r="W4651"/>
      <c r="X4651"/>
      <c r="Y4651"/>
      <c r="Z4651"/>
      <c r="AA4651"/>
      <c r="AB4651"/>
      <c r="AC4651"/>
      <c r="AD4651"/>
      <c r="AE4651"/>
      <c r="AF4651"/>
      <c r="AG4651"/>
      <c r="AH4651"/>
      <c r="AI4651"/>
      <c r="AJ4651"/>
      <c r="AK4651"/>
      <c r="AL4651"/>
    </row>
    <row r="4652" spans="1:38" ht="15.75" customHeight="1" outlineLevel="3" x14ac:dyDescent="0.2">
      <c r="A4652" s="10">
        <v>4</v>
      </c>
      <c r="B4652" s="10" t="s">
        <v>71</v>
      </c>
      <c r="C4652" s="10" t="s">
        <v>5346</v>
      </c>
      <c r="D4652" s="10" t="s">
        <v>3128</v>
      </c>
      <c r="E4652" s="11" t="str">
        <f t="array" ref="E4652">_xlfn.XLOOKUP(D4652,Insumos!B:B,Insumos!C:$C)</f>
        <v>KG</v>
      </c>
      <c r="F4652" s="14">
        <v>1.5</v>
      </c>
      <c r="G4652" s="92">
        <f t="array" ref="G4652">IF(B4652="insumo",_xlfn.XLOOKUP($D4652,Insumos!$B$1:$B$996,Insumos!$D$1:$D$996),"")</f>
        <v>18.326666666666664</v>
      </c>
      <c r="H4652" s="92">
        <v>27.49</v>
      </c>
      <c r="I4652" s="13" t="e">
        <v>#REF!</v>
      </c>
      <c r="J4652" s="13" t="e">
        <v>#REF!</v>
      </c>
      <c r="K4652" s="13"/>
      <c r="L4652"/>
      <c r="M4652"/>
      <c r="N4652"/>
      <c r="O4652"/>
      <c r="P4652"/>
      <c r="Q4652"/>
      <c r="R4652"/>
      <c r="S4652"/>
      <c r="T4652"/>
      <c r="U4652"/>
      <c r="V4652"/>
      <c r="W4652"/>
      <c r="X4652"/>
      <c r="Y4652"/>
      <c r="Z4652"/>
      <c r="AA4652"/>
      <c r="AB4652"/>
      <c r="AC4652"/>
      <c r="AD4652"/>
      <c r="AE4652"/>
      <c r="AF4652"/>
      <c r="AG4652"/>
      <c r="AH4652"/>
      <c r="AI4652"/>
      <c r="AJ4652"/>
      <c r="AK4652"/>
      <c r="AL4652"/>
    </row>
    <row r="4653" spans="1:38" ht="15.75" customHeight="1" outlineLevel="3" x14ac:dyDescent="0.2">
      <c r="A4653" s="10">
        <v>5</v>
      </c>
      <c r="B4653" s="10" t="s">
        <v>71</v>
      </c>
      <c r="C4653" s="10" t="s">
        <v>5346</v>
      </c>
      <c r="D4653" s="10" t="s">
        <v>1585</v>
      </c>
      <c r="E4653" s="11" t="str">
        <f t="array" ref="E4653">_xlfn.XLOOKUP(D4653,Insumos!B:B,Insumos!C:$C)</f>
        <v>m2</v>
      </c>
      <c r="F4653" s="14">
        <v>0.33</v>
      </c>
      <c r="G4653" s="92">
        <f t="array" ref="G4653">IF(B4653="insumo",_xlfn.XLOOKUP($D4653,Insumos!$B$1:$B$996,Insumos!$D$1:$D$996),"")</f>
        <v>8.1</v>
      </c>
      <c r="H4653" s="92">
        <v>2.673</v>
      </c>
      <c r="I4653" s="13" t="e">
        <v>#REF!</v>
      </c>
      <c r="J4653" s="13" t="e">
        <v>#REF!</v>
      </c>
      <c r="K4653" s="13"/>
      <c r="L4653"/>
      <c r="M4653"/>
      <c r="N4653"/>
      <c r="O4653"/>
      <c r="P4653"/>
      <c r="Q4653"/>
      <c r="R4653"/>
      <c r="S4653"/>
      <c r="T4653"/>
      <c r="U4653"/>
      <c r="V4653"/>
      <c r="W4653"/>
      <c r="X4653"/>
      <c r="Y4653"/>
      <c r="Z4653"/>
      <c r="AA4653"/>
      <c r="AB4653"/>
      <c r="AC4653"/>
      <c r="AD4653"/>
      <c r="AE4653"/>
      <c r="AF4653"/>
      <c r="AG4653"/>
      <c r="AH4653"/>
      <c r="AI4653"/>
      <c r="AJ4653"/>
      <c r="AK4653"/>
      <c r="AL4653"/>
    </row>
    <row r="4654" spans="1:38" ht="15.75" customHeight="1" outlineLevel="2" x14ac:dyDescent="0.2">
      <c r="A4654" s="1067">
        <v>1</v>
      </c>
      <c r="B4654" s="1067" t="s">
        <v>68</v>
      </c>
      <c r="C4654" s="1067" t="s">
        <v>5345</v>
      </c>
      <c r="D4654" s="1067" t="s">
        <v>5345</v>
      </c>
      <c r="E4654" s="1072" t="s">
        <v>70</v>
      </c>
      <c r="F4654" s="1067"/>
      <c r="G4654" s="1069" t="str">
        <f t="array" ref="G4654">IF(B4654="insumo",_xlfn.XLOOKUP($D4654,Insumos!$B$1:$B$996,Insumos!$D$1:$D$996),"")</f>
        <v/>
      </c>
      <c r="H4654" s="1069">
        <v>1102</v>
      </c>
      <c r="I4654" s="1070" t="e">
        <v>#REF!</v>
      </c>
      <c r="J4654" s="1070" t="e">
        <v>#REF!</v>
      </c>
      <c r="K4654" s="1070"/>
      <c r="L4654"/>
      <c r="M4654"/>
      <c r="N4654"/>
      <c r="O4654"/>
      <c r="P4654"/>
      <c r="Q4654"/>
      <c r="R4654"/>
      <c r="S4654"/>
      <c r="T4654"/>
      <c r="U4654"/>
      <c r="V4654"/>
      <c r="W4654"/>
      <c r="X4654"/>
      <c r="Y4654"/>
      <c r="Z4654"/>
      <c r="AA4654"/>
      <c r="AB4654"/>
      <c r="AC4654"/>
      <c r="AD4654"/>
      <c r="AE4654"/>
      <c r="AF4654"/>
      <c r="AG4654"/>
      <c r="AH4654"/>
      <c r="AI4654"/>
      <c r="AJ4654"/>
      <c r="AK4654"/>
      <c r="AL4654"/>
    </row>
    <row r="4655" spans="1:38" ht="15.75" customHeight="1" outlineLevel="3" x14ac:dyDescent="0.2">
      <c r="A4655" s="10">
        <v>3</v>
      </c>
      <c r="B4655" s="10" t="s">
        <v>71</v>
      </c>
      <c r="C4655" s="10" t="s">
        <v>5345</v>
      </c>
      <c r="D4655" s="10" t="s">
        <v>5342</v>
      </c>
      <c r="E4655" s="11" t="str">
        <f t="array" ref="E4655">_xlfn.XLOOKUP(D4655,Insumos!B:B,Insumos!C:$C)</f>
        <v>M2</v>
      </c>
      <c r="F4655" s="14">
        <v>1.1000000000000001</v>
      </c>
      <c r="G4655" s="92">
        <f t="array" ref="G4655">IF(B4655="insumo",_xlfn.XLOOKUP($D4655,Insumos!$B$1:$B$996,Insumos!$D$1:$D$996),"")</f>
        <v>394</v>
      </c>
      <c r="H4655" s="92">
        <v>433.4</v>
      </c>
      <c r="I4655" s="13" t="e">
        <v>#REF!</v>
      </c>
      <c r="J4655" s="13" t="e">
        <v>#REF!</v>
      </c>
      <c r="K4655" s="13"/>
      <c r="L4655"/>
      <c r="M4655"/>
      <c r="N4655"/>
      <c r="O4655"/>
      <c r="P4655"/>
      <c r="Q4655"/>
      <c r="R4655"/>
      <c r="S4655"/>
      <c r="T4655"/>
      <c r="U4655"/>
      <c r="V4655"/>
      <c r="W4655"/>
      <c r="X4655"/>
      <c r="Y4655"/>
      <c r="Z4655"/>
      <c r="AA4655"/>
      <c r="AB4655"/>
      <c r="AC4655"/>
      <c r="AD4655"/>
      <c r="AE4655"/>
      <c r="AF4655"/>
      <c r="AG4655"/>
      <c r="AH4655"/>
      <c r="AI4655"/>
      <c r="AJ4655"/>
      <c r="AK4655"/>
      <c r="AL4655"/>
    </row>
    <row r="4656" spans="1:38" ht="15.75" customHeight="1" outlineLevel="3" x14ac:dyDescent="0.2">
      <c r="A4656" s="10">
        <v>1</v>
      </c>
      <c r="B4656" s="10" t="s">
        <v>71</v>
      </c>
      <c r="C4656" s="10" t="s">
        <v>5345</v>
      </c>
      <c r="D4656" s="10" t="s">
        <v>5344</v>
      </c>
      <c r="E4656" s="11" t="str">
        <f t="array" ref="E4656">_xlfn.XLOOKUP(D4656,Insumos!B:B,Insumos!C:$C)</f>
        <v>M2</v>
      </c>
      <c r="F4656" s="14">
        <v>1</v>
      </c>
      <c r="G4656" s="92">
        <f t="array" ref="G4656">IF(B4656="insumo",_xlfn.XLOOKUP($D4656,Insumos!$B$1:$B$996,Insumos!$D$1:$D$996),"")</f>
        <v>337</v>
      </c>
      <c r="H4656" s="92">
        <v>337</v>
      </c>
      <c r="I4656" s="13" t="e">
        <v>#REF!</v>
      </c>
      <c r="J4656" s="13" t="e">
        <v>#REF!</v>
      </c>
      <c r="K4656" s="13"/>
      <c r="L4656"/>
      <c r="M4656"/>
      <c r="N4656"/>
      <c r="O4656"/>
      <c r="P4656"/>
      <c r="Q4656"/>
      <c r="R4656"/>
      <c r="S4656"/>
      <c r="T4656"/>
      <c r="U4656"/>
      <c r="V4656"/>
      <c r="W4656"/>
      <c r="X4656"/>
      <c r="Y4656"/>
      <c r="Z4656"/>
      <c r="AA4656"/>
      <c r="AB4656"/>
      <c r="AC4656"/>
      <c r="AD4656"/>
      <c r="AE4656"/>
      <c r="AF4656"/>
      <c r="AG4656"/>
      <c r="AH4656"/>
      <c r="AI4656"/>
      <c r="AJ4656"/>
      <c r="AK4656"/>
      <c r="AL4656"/>
    </row>
    <row r="4657" spans="1:38" ht="15.75" customHeight="1" outlineLevel="3" x14ac:dyDescent="0.2">
      <c r="A4657" s="10">
        <v>1</v>
      </c>
      <c r="B4657" s="10" t="s">
        <v>71</v>
      </c>
      <c r="C4657" s="10" t="s">
        <v>5345</v>
      </c>
      <c r="D4657" s="10" t="s">
        <v>5343</v>
      </c>
      <c r="E4657" s="11" t="str">
        <f t="array" ref="E4657">_xlfn.XLOOKUP(D4657,Insumos!B:B,Insumos!C:$C)</f>
        <v>M2</v>
      </c>
      <c r="F4657" s="14">
        <v>1</v>
      </c>
      <c r="G4657" s="92">
        <f t="array" ref="G4657">IF(B4657="insumo",_xlfn.XLOOKUP($D4657,Insumos!$B$1:$B$996,Insumos!$D$1:$D$996),"")</f>
        <v>298</v>
      </c>
      <c r="H4657" s="92">
        <v>298</v>
      </c>
      <c r="I4657" s="13" t="e">
        <v>#REF!</v>
      </c>
      <c r="J4657" s="13" t="e">
        <v>#REF!</v>
      </c>
      <c r="K4657" s="13"/>
      <c r="L4657"/>
      <c r="M4657"/>
      <c r="N4657"/>
      <c r="O4657"/>
      <c r="P4657"/>
      <c r="Q4657"/>
      <c r="R4657"/>
      <c r="S4657"/>
      <c r="T4657"/>
      <c r="U4657"/>
      <c r="V4657"/>
      <c r="W4657"/>
      <c r="X4657"/>
      <c r="Y4657"/>
      <c r="Z4657"/>
      <c r="AA4657"/>
      <c r="AB4657"/>
      <c r="AC4657"/>
      <c r="AD4657"/>
      <c r="AE4657"/>
      <c r="AF4657"/>
      <c r="AG4657"/>
      <c r="AH4657"/>
      <c r="AI4657"/>
      <c r="AJ4657"/>
      <c r="AK4657"/>
      <c r="AL4657"/>
    </row>
    <row r="4658" spans="1:38" ht="15.75" customHeight="1" outlineLevel="3" x14ac:dyDescent="0.2">
      <c r="A4658" s="10">
        <v>3</v>
      </c>
      <c r="B4658" s="10" t="s">
        <v>71</v>
      </c>
      <c r="C4658" s="10" t="s">
        <v>5345</v>
      </c>
      <c r="D4658" s="10" t="s">
        <v>3141</v>
      </c>
      <c r="E4658" s="11" t="str">
        <f t="array" ref="E4658">_xlfn.XLOOKUP(D4658,Insumos!B:B,Insumos!C:$C)</f>
        <v>M2</v>
      </c>
      <c r="F4658" s="14">
        <v>1.05</v>
      </c>
      <c r="G4658" s="92">
        <f t="array" ref="G4658">IF(B4658="insumo",_xlfn.XLOOKUP($D4658,Insumos!$B$1:$B$996,Insumos!$D$1:$D$996),"")</f>
        <v>32</v>
      </c>
      <c r="H4658" s="92">
        <v>33.6</v>
      </c>
      <c r="I4658" s="13" t="e">
        <v>#REF!</v>
      </c>
      <c r="J4658" s="13" t="e">
        <v>#REF!</v>
      </c>
      <c r="K4658" s="13"/>
      <c r="L4658"/>
      <c r="M4658"/>
      <c r="N4658"/>
      <c r="O4658"/>
      <c r="P4658"/>
      <c r="Q4658"/>
      <c r="R4658"/>
      <c r="S4658"/>
      <c r="T4658"/>
      <c r="U4658"/>
      <c r="V4658"/>
      <c r="W4658"/>
      <c r="X4658"/>
      <c r="Y4658"/>
      <c r="Z4658"/>
      <c r="AA4658"/>
      <c r="AB4658"/>
      <c r="AC4658"/>
      <c r="AD4658"/>
      <c r="AE4658"/>
      <c r="AF4658"/>
      <c r="AG4658"/>
      <c r="AH4658"/>
      <c r="AI4658"/>
      <c r="AJ4658"/>
      <c r="AK4658"/>
      <c r="AL4658"/>
    </row>
    <row r="4659" spans="1:38" ht="15.75" customHeight="1" outlineLevel="2" x14ac:dyDescent="0.2">
      <c r="A4659" s="1067">
        <v>1</v>
      </c>
      <c r="B4659" s="1067" t="s">
        <v>68</v>
      </c>
      <c r="C4659" s="1067" t="s">
        <v>5338</v>
      </c>
      <c r="D4659" s="1067" t="s">
        <v>5338</v>
      </c>
      <c r="E4659" s="1072" t="s">
        <v>70</v>
      </c>
      <c r="F4659" s="1067"/>
      <c r="G4659" s="1069" t="str">
        <f t="array" ref="G4659">IF(B4659="insumo",_xlfn.XLOOKUP($D4659,Insumos!$B$1:$B$996,Insumos!$D$1:$D$996),"")</f>
        <v/>
      </c>
      <c r="H4659" s="1069">
        <v>807.74</v>
      </c>
      <c r="I4659" s="1070" t="e">
        <v>#REF!</v>
      </c>
      <c r="J4659" s="1070" t="e">
        <v>#REF!</v>
      </c>
      <c r="K4659" s="1070"/>
      <c r="L4659"/>
      <c r="M4659"/>
      <c r="N4659"/>
      <c r="O4659"/>
      <c r="P4659"/>
      <c r="Q4659"/>
      <c r="R4659"/>
      <c r="S4659"/>
      <c r="T4659"/>
      <c r="U4659"/>
      <c r="V4659"/>
      <c r="W4659"/>
      <c r="X4659"/>
      <c r="Y4659"/>
      <c r="Z4659"/>
      <c r="AA4659"/>
      <c r="AB4659"/>
      <c r="AC4659"/>
      <c r="AD4659"/>
      <c r="AE4659"/>
      <c r="AF4659"/>
      <c r="AG4659"/>
      <c r="AH4659"/>
      <c r="AI4659"/>
      <c r="AJ4659"/>
      <c r="AK4659"/>
      <c r="AL4659"/>
    </row>
    <row r="4660" spans="1:38" ht="15.75" customHeight="1" outlineLevel="3" x14ac:dyDescent="0.2">
      <c r="A4660" s="10">
        <v>3</v>
      </c>
      <c r="B4660" s="10" t="s">
        <v>71</v>
      </c>
      <c r="C4660" s="10" t="s">
        <v>5338</v>
      </c>
      <c r="D4660" s="10" t="s">
        <v>5337</v>
      </c>
      <c r="E4660" s="11" t="str">
        <f t="array" ref="E4660">_xlfn.XLOOKUP(D4660,Insumos!B:B,Insumos!C:$C)</f>
        <v>M2</v>
      </c>
      <c r="F4660" s="14">
        <v>1.1000000000000001</v>
      </c>
      <c r="G4660" s="92">
        <f t="array" ref="G4660">IF(B4660="insumo",_xlfn.XLOOKUP($D4660,Insumos!$B$1:$B$996,Insumos!$D$1:$D$996),"")</f>
        <v>147.4</v>
      </c>
      <c r="H4660" s="92">
        <v>162.13999999999999</v>
      </c>
      <c r="I4660" s="13" t="e">
        <v>#REF!</v>
      </c>
      <c r="J4660" s="13" t="e">
        <v>#REF!</v>
      </c>
      <c r="K4660" s="13"/>
      <c r="L4660"/>
      <c r="M4660"/>
      <c r="N4660"/>
      <c r="O4660"/>
      <c r="P4660"/>
      <c r="Q4660"/>
      <c r="R4660"/>
      <c r="S4660"/>
      <c r="T4660"/>
      <c r="U4660"/>
      <c r="V4660"/>
      <c r="W4660"/>
      <c r="X4660"/>
      <c r="Y4660"/>
      <c r="Z4660"/>
      <c r="AA4660"/>
      <c r="AB4660"/>
      <c r="AC4660"/>
      <c r="AD4660"/>
      <c r="AE4660"/>
      <c r="AF4660"/>
      <c r="AG4660"/>
      <c r="AH4660"/>
      <c r="AI4660"/>
      <c r="AJ4660"/>
      <c r="AK4660"/>
      <c r="AL4660"/>
    </row>
    <row r="4661" spans="1:38" ht="15.75" customHeight="1" outlineLevel="3" x14ac:dyDescent="0.2">
      <c r="A4661" s="10">
        <v>3</v>
      </c>
      <c r="B4661" s="10" t="s">
        <v>71</v>
      </c>
      <c r="C4661" s="10" t="s">
        <v>5338</v>
      </c>
      <c r="D4661" s="10" t="s">
        <v>890</v>
      </c>
      <c r="E4661" s="11" t="str">
        <f t="array" ref="E4661">_xlfn.XLOOKUP(D4661,Insumos!B:B,Insumos!C:$C)</f>
        <v>UN</v>
      </c>
      <c r="F4661" s="14">
        <v>1</v>
      </c>
      <c r="G4661" s="92">
        <f t="array" ref="G4661">IF(B4661="insumo",_xlfn.XLOOKUP($D4661,Insumos!$B$1:$B$996,Insumos!$D$1:$D$996),"")</f>
        <v>305</v>
      </c>
      <c r="H4661" s="92">
        <v>305</v>
      </c>
      <c r="I4661" s="13" t="e">
        <v>#REF!</v>
      </c>
      <c r="J4661" s="13" t="e">
        <v>#REF!</v>
      </c>
      <c r="K4661" s="13"/>
      <c r="L4661"/>
      <c r="M4661"/>
      <c r="N4661"/>
      <c r="O4661"/>
      <c r="P4661"/>
      <c r="Q4661"/>
      <c r="R4661"/>
      <c r="S4661"/>
      <c r="T4661"/>
      <c r="U4661"/>
      <c r="V4661"/>
      <c r="W4661"/>
      <c r="X4661"/>
      <c r="Y4661"/>
      <c r="Z4661"/>
      <c r="AA4661"/>
      <c r="AB4661"/>
      <c r="AC4661"/>
      <c r="AD4661"/>
      <c r="AE4661"/>
      <c r="AF4661"/>
      <c r="AG4661"/>
      <c r="AH4661"/>
      <c r="AI4661"/>
      <c r="AJ4661"/>
      <c r="AK4661"/>
      <c r="AL4661"/>
    </row>
    <row r="4662" spans="1:38" ht="15.75" customHeight="1" outlineLevel="3" x14ac:dyDescent="0.2">
      <c r="A4662" s="10">
        <v>3</v>
      </c>
      <c r="B4662" s="10" t="s">
        <v>71</v>
      </c>
      <c r="C4662" s="10" t="s">
        <v>5338</v>
      </c>
      <c r="D4662" s="10" t="s">
        <v>3141</v>
      </c>
      <c r="E4662" s="11" t="str">
        <f t="array" ref="E4662">_xlfn.XLOOKUP(D4662,Insumos!B:B,Insumos!C:$C)</f>
        <v>M2</v>
      </c>
      <c r="F4662" s="14">
        <v>1.05</v>
      </c>
      <c r="G4662" s="92">
        <f t="array" ref="G4662">IF(B4662="insumo",_xlfn.XLOOKUP($D4662,Insumos!$B$1:$B$996,Insumos!$D$1:$D$996),"")</f>
        <v>32</v>
      </c>
      <c r="H4662" s="92">
        <v>33.6</v>
      </c>
      <c r="I4662" s="13" t="e">
        <v>#REF!</v>
      </c>
      <c r="J4662" s="13" t="e">
        <v>#REF!</v>
      </c>
      <c r="K4662" s="13"/>
      <c r="L4662"/>
      <c r="M4662"/>
      <c r="N4662"/>
      <c r="O4662"/>
      <c r="P4662"/>
      <c r="Q4662"/>
      <c r="R4662"/>
      <c r="S4662"/>
      <c r="T4662"/>
      <c r="U4662"/>
      <c r="V4662"/>
      <c r="W4662"/>
      <c r="X4662"/>
      <c r="Y4662"/>
      <c r="Z4662"/>
      <c r="AA4662"/>
      <c r="AB4662"/>
      <c r="AC4662"/>
      <c r="AD4662"/>
      <c r="AE4662"/>
      <c r="AF4662"/>
      <c r="AG4662"/>
      <c r="AH4662"/>
      <c r="AI4662"/>
      <c r="AJ4662"/>
      <c r="AK4662"/>
      <c r="AL4662"/>
    </row>
    <row r="4663" spans="1:38" ht="15.75" customHeight="1" outlineLevel="3" x14ac:dyDescent="0.2">
      <c r="A4663" s="10">
        <v>2</v>
      </c>
      <c r="B4663" s="10" t="s">
        <v>71</v>
      </c>
      <c r="C4663" s="10" t="s">
        <v>5338</v>
      </c>
      <c r="D4663" s="10" t="s">
        <v>3140</v>
      </c>
      <c r="E4663" s="11" t="str">
        <f t="array" ref="E4663">_xlfn.XLOOKUP(D4663,Insumos!B:B,Insumos!C:$C)</f>
        <v>M2</v>
      </c>
      <c r="F4663" s="14">
        <v>1</v>
      </c>
      <c r="G4663" s="92">
        <f t="array" ref="G4663">IF(B4663="insumo",_xlfn.XLOOKUP($D4663,Insumos!$B$1:$B$996,Insumos!$D$1:$D$996),"")</f>
        <v>307</v>
      </c>
      <c r="H4663" s="92">
        <v>307</v>
      </c>
      <c r="I4663" s="13" t="e">
        <v>#REF!</v>
      </c>
      <c r="J4663" s="13" t="e">
        <v>#REF!</v>
      </c>
      <c r="K4663" s="13"/>
      <c r="L4663"/>
      <c r="M4663"/>
      <c r="N4663"/>
      <c r="O4663"/>
      <c r="P4663"/>
      <c r="Q4663"/>
      <c r="R4663"/>
      <c r="S4663"/>
      <c r="T4663"/>
      <c r="U4663"/>
      <c r="V4663"/>
      <c r="W4663"/>
      <c r="X4663"/>
      <c r="Y4663"/>
      <c r="Z4663"/>
      <c r="AA4663"/>
      <c r="AB4663"/>
      <c r="AC4663"/>
      <c r="AD4663"/>
      <c r="AE4663"/>
      <c r="AF4663"/>
      <c r="AG4663"/>
      <c r="AH4663"/>
      <c r="AI4663"/>
      <c r="AJ4663"/>
      <c r="AK4663"/>
      <c r="AL4663"/>
    </row>
    <row r="4664" spans="1:38" ht="15.75" customHeight="1" outlineLevel="2" x14ac:dyDescent="0.2">
      <c r="A4664" s="1067">
        <v>1</v>
      </c>
      <c r="B4664" s="1067" t="s">
        <v>68</v>
      </c>
      <c r="C4664" s="1067" t="s">
        <v>3144</v>
      </c>
      <c r="D4664" s="1067" t="s">
        <v>3144</v>
      </c>
      <c r="E4664" s="1068" t="s">
        <v>113</v>
      </c>
      <c r="F4664" s="1067"/>
      <c r="G4664" s="1069" t="str">
        <f t="array" ref="G4664">IF(B4664="insumo",_xlfn.XLOOKUP($D4664,Insumos!$B$1:$B$996,Insumos!$D$1:$D$996),"")</f>
        <v/>
      </c>
      <c r="H4664" s="1069">
        <v>1843.3440000000001</v>
      </c>
      <c r="I4664" s="1070" t="e">
        <v>#REF!</v>
      </c>
      <c r="J4664" s="1070" t="e">
        <v>#REF!</v>
      </c>
      <c r="K4664" s="1070"/>
      <c r="L4664"/>
      <c r="M4664"/>
      <c r="N4664"/>
      <c r="O4664"/>
      <c r="P4664"/>
      <c r="Q4664"/>
      <c r="R4664"/>
      <c r="S4664"/>
      <c r="T4664"/>
      <c r="U4664"/>
      <c r="V4664"/>
      <c r="W4664"/>
      <c r="X4664"/>
      <c r="Y4664"/>
      <c r="Z4664"/>
      <c r="AA4664"/>
      <c r="AB4664"/>
      <c r="AC4664"/>
      <c r="AD4664"/>
      <c r="AE4664"/>
      <c r="AF4664"/>
      <c r="AG4664"/>
      <c r="AH4664"/>
      <c r="AI4664"/>
      <c r="AJ4664"/>
      <c r="AK4664"/>
      <c r="AL4664"/>
    </row>
    <row r="4665" spans="1:38" ht="15.75" customHeight="1" outlineLevel="3" x14ac:dyDescent="0.2">
      <c r="A4665" s="10">
        <v>1</v>
      </c>
      <c r="B4665" s="10" t="s">
        <v>71</v>
      </c>
      <c r="C4665" s="10" t="s">
        <v>3144</v>
      </c>
      <c r="D4665" s="10" t="s">
        <v>3532</v>
      </c>
      <c r="E4665" s="11" t="str">
        <f t="array" ref="E4665">_xlfn.XLOOKUP(D4665,Insumos!B:B,Insumos!C:$C)</f>
        <v>M2</v>
      </c>
      <c r="F4665" s="14">
        <f>1.1*0.8</f>
        <v>0.88000000000000012</v>
      </c>
      <c r="G4665" s="92">
        <f t="array" ref="G4665">IF(B4665="insumo",_xlfn.XLOOKUP($D4665,Insumos!$B$1:$B$996,Insumos!$D$1:$D$996),"")</f>
        <v>993.59999999999991</v>
      </c>
      <c r="H4665" s="92">
        <v>874.36800000000005</v>
      </c>
      <c r="I4665" s="13" t="e">
        <v>#REF!</v>
      </c>
      <c r="J4665" s="13" t="e">
        <v>#REF!</v>
      </c>
      <c r="K4665" s="13"/>
      <c r="L4665"/>
      <c r="M4665"/>
      <c r="N4665"/>
      <c r="O4665"/>
      <c r="P4665"/>
      <c r="Q4665"/>
      <c r="R4665"/>
      <c r="S4665"/>
      <c r="T4665"/>
      <c r="U4665"/>
      <c r="V4665"/>
      <c r="W4665"/>
      <c r="X4665"/>
      <c r="Y4665"/>
      <c r="Z4665"/>
      <c r="AA4665"/>
      <c r="AB4665"/>
      <c r="AC4665"/>
      <c r="AD4665"/>
      <c r="AE4665"/>
      <c r="AF4665"/>
      <c r="AG4665"/>
      <c r="AH4665"/>
      <c r="AI4665"/>
      <c r="AJ4665"/>
      <c r="AK4665"/>
      <c r="AL4665"/>
    </row>
    <row r="4666" spans="1:38" ht="15.75" customHeight="1" outlineLevel="3" x14ac:dyDescent="0.2">
      <c r="A4666" s="10">
        <v>1</v>
      </c>
      <c r="B4666" s="10" t="s">
        <v>71</v>
      </c>
      <c r="C4666" s="10" t="s">
        <v>3144</v>
      </c>
      <c r="D4666" s="10" t="s">
        <v>3533</v>
      </c>
      <c r="E4666" s="11" t="str">
        <f t="array" ref="E4666">_xlfn.XLOOKUP(D4666,Insumos!B:B,Insumos!C:$C)</f>
        <v>M2</v>
      </c>
      <c r="F4666" s="14">
        <f>1.1*0.2</f>
        <v>0.22000000000000003</v>
      </c>
      <c r="G4666" s="92">
        <f t="array" ref="G4666">IF(B4666="insumo",_xlfn.XLOOKUP($D4666,Insumos!$B$1:$B$996,Insumos!$D$1:$D$996),"")</f>
        <v>1060.8</v>
      </c>
      <c r="H4666" s="92">
        <v>233.376</v>
      </c>
      <c r="I4666" s="13" t="e">
        <v>#REF!</v>
      </c>
      <c r="J4666" s="13" t="e">
        <v>#REF!</v>
      </c>
      <c r="K4666" s="13"/>
      <c r="L4666"/>
      <c r="M4666"/>
      <c r="N4666"/>
      <c r="O4666"/>
      <c r="P4666"/>
      <c r="Q4666"/>
      <c r="R4666"/>
      <c r="S4666"/>
      <c r="T4666"/>
      <c r="U4666"/>
      <c r="V4666"/>
      <c r="W4666"/>
      <c r="X4666"/>
      <c r="Y4666"/>
      <c r="Z4666"/>
      <c r="AA4666"/>
      <c r="AB4666"/>
      <c r="AC4666"/>
      <c r="AD4666"/>
      <c r="AE4666"/>
      <c r="AF4666"/>
      <c r="AG4666"/>
      <c r="AH4666"/>
      <c r="AI4666"/>
      <c r="AJ4666"/>
      <c r="AK4666"/>
      <c r="AL4666"/>
    </row>
    <row r="4667" spans="1:38" ht="15.75" customHeight="1" outlineLevel="3" x14ac:dyDescent="0.2">
      <c r="A4667" s="10">
        <v>3</v>
      </c>
      <c r="B4667" s="10" t="s">
        <v>71</v>
      </c>
      <c r="C4667" s="10" t="s">
        <v>3144</v>
      </c>
      <c r="D4667" s="10" t="s">
        <v>890</v>
      </c>
      <c r="E4667" s="11" t="str">
        <f t="array" ref="E4667">_xlfn.XLOOKUP(D4667,Insumos!B:B,Insumos!C:$C)</f>
        <v>UN</v>
      </c>
      <c r="F4667" s="14">
        <v>1</v>
      </c>
      <c r="G4667" s="92">
        <f t="array" ref="G4667">IF(B4667="insumo",_xlfn.XLOOKUP($D4667,Insumos!$B$1:$B$996,Insumos!$D$1:$D$996),"")</f>
        <v>305</v>
      </c>
      <c r="H4667" s="92">
        <v>305</v>
      </c>
      <c r="I4667" s="13" t="e">
        <v>#REF!</v>
      </c>
      <c r="J4667" s="13" t="e">
        <v>#REF!</v>
      </c>
      <c r="K4667" s="13"/>
      <c r="L4667"/>
      <c r="M4667"/>
      <c r="N4667"/>
      <c r="O4667"/>
      <c r="P4667"/>
      <c r="Q4667"/>
      <c r="R4667"/>
      <c r="S4667"/>
      <c r="T4667"/>
      <c r="U4667"/>
      <c r="V4667"/>
      <c r="W4667"/>
      <c r="X4667"/>
      <c r="Y4667"/>
      <c r="Z4667"/>
      <c r="AA4667"/>
      <c r="AB4667"/>
      <c r="AC4667"/>
      <c r="AD4667"/>
      <c r="AE4667"/>
      <c r="AF4667"/>
      <c r="AG4667"/>
      <c r="AH4667"/>
      <c r="AI4667"/>
      <c r="AJ4667"/>
      <c r="AK4667"/>
      <c r="AL4667"/>
    </row>
    <row r="4668" spans="1:38" ht="15.75" customHeight="1" outlineLevel="3" x14ac:dyDescent="0.2">
      <c r="A4668" s="10">
        <v>1</v>
      </c>
      <c r="B4668" s="10" t="s">
        <v>71</v>
      </c>
      <c r="C4668" s="10" t="s">
        <v>3144</v>
      </c>
      <c r="D4668" s="10" t="s">
        <v>3139</v>
      </c>
      <c r="E4668" s="11" t="str">
        <f t="array" ref="E4668">_xlfn.XLOOKUP(D4668,Insumos!B:B,Insumos!C:$C)</f>
        <v>m2</v>
      </c>
      <c r="F4668" s="14">
        <v>1</v>
      </c>
      <c r="G4668" s="92">
        <f t="array" ref="G4668">IF(B4668="insumo",_xlfn.XLOOKUP($D4668,Insumos!$B$1:$B$996,Insumos!$D$1:$D$996),"")</f>
        <v>90</v>
      </c>
      <c r="H4668" s="92">
        <v>90</v>
      </c>
      <c r="I4668" s="13" t="e">
        <v>#REF!</v>
      </c>
      <c r="J4668" s="13" t="e">
        <v>#REF!</v>
      </c>
      <c r="K4668" s="13"/>
      <c r="L4668"/>
      <c r="M4668"/>
      <c r="N4668"/>
      <c r="O4668"/>
      <c r="P4668"/>
      <c r="Q4668"/>
      <c r="R4668"/>
      <c r="S4668"/>
      <c r="T4668"/>
      <c r="U4668"/>
      <c r="V4668"/>
      <c r="W4668"/>
      <c r="X4668"/>
      <c r="Y4668"/>
      <c r="Z4668"/>
      <c r="AA4668"/>
      <c r="AB4668"/>
      <c r="AC4668"/>
      <c r="AD4668"/>
      <c r="AE4668"/>
      <c r="AF4668"/>
      <c r="AG4668"/>
      <c r="AH4668"/>
      <c r="AI4668"/>
      <c r="AJ4668"/>
      <c r="AK4668"/>
      <c r="AL4668"/>
    </row>
    <row r="4669" spans="1:38" ht="15.75" customHeight="1" outlineLevel="3" x14ac:dyDescent="0.2">
      <c r="A4669" s="10">
        <v>3</v>
      </c>
      <c r="B4669" s="10" t="s">
        <v>71</v>
      </c>
      <c r="C4669" s="10" t="s">
        <v>3144</v>
      </c>
      <c r="D4669" s="10" t="s">
        <v>3141</v>
      </c>
      <c r="E4669" s="11" t="str">
        <f t="array" ref="E4669">_xlfn.XLOOKUP(D4669,Insumos!B:B,Insumos!C:$C)</f>
        <v>M2</v>
      </c>
      <c r="F4669" s="14">
        <v>1.05</v>
      </c>
      <c r="G4669" s="92">
        <f t="array" ref="G4669">IF(B4669="insumo",_xlfn.XLOOKUP($D4669,Insumos!$B$1:$B$996,Insumos!$D$1:$D$996),"")</f>
        <v>32</v>
      </c>
      <c r="H4669" s="92">
        <v>33.6</v>
      </c>
      <c r="I4669" s="13" t="e">
        <v>#REF!</v>
      </c>
      <c r="J4669" s="13" t="e">
        <v>#REF!</v>
      </c>
      <c r="K4669" s="13"/>
      <c r="L4669"/>
      <c r="M4669"/>
      <c r="N4669"/>
      <c r="O4669"/>
      <c r="P4669"/>
      <c r="Q4669"/>
      <c r="R4669"/>
      <c r="S4669"/>
      <c r="T4669"/>
      <c r="U4669"/>
      <c r="V4669"/>
      <c r="W4669"/>
      <c r="X4669"/>
      <c r="Y4669"/>
      <c r="Z4669"/>
      <c r="AA4669"/>
      <c r="AB4669"/>
      <c r="AC4669"/>
      <c r="AD4669"/>
      <c r="AE4669"/>
      <c r="AF4669"/>
      <c r="AG4669"/>
      <c r="AH4669"/>
      <c r="AI4669"/>
      <c r="AJ4669"/>
      <c r="AK4669"/>
      <c r="AL4669"/>
    </row>
    <row r="4670" spans="1:38" ht="15.75" customHeight="1" outlineLevel="3" x14ac:dyDescent="0.2">
      <c r="A4670" s="10">
        <v>2</v>
      </c>
      <c r="B4670" s="10" t="s">
        <v>71</v>
      </c>
      <c r="C4670" s="10" t="s">
        <v>3144</v>
      </c>
      <c r="D4670" s="10" t="s">
        <v>3140</v>
      </c>
      <c r="E4670" s="11" t="str">
        <f t="array" ref="E4670">_xlfn.XLOOKUP(D4670,Insumos!B:B,Insumos!C:$C)</f>
        <v>M2</v>
      </c>
      <c r="F4670" s="14">
        <v>1</v>
      </c>
      <c r="G4670" s="92">
        <f t="array" ref="G4670">IF(B4670="insumo",_xlfn.XLOOKUP($D4670,Insumos!$B$1:$B$996,Insumos!$D$1:$D$996),"")</f>
        <v>307</v>
      </c>
      <c r="H4670" s="92">
        <v>307</v>
      </c>
      <c r="I4670" s="13" t="e">
        <v>#REF!</v>
      </c>
      <c r="J4670" s="13" t="e">
        <v>#REF!</v>
      </c>
      <c r="K4670" s="13"/>
      <c r="L4670"/>
      <c r="M4670"/>
      <c r="N4670"/>
      <c r="O4670"/>
      <c r="P4670"/>
      <c r="Q4670"/>
      <c r="R4670"/>
      <c r="S4670"/>
      <c r="T4670"/>
      <c r="U4670"/>
      <c r="V4670"/>
      <c r="W4670"/>
      <c r="X4670"/>
      <c r="Y4670"/>
      <c r="Z4670"/>
      <c r="AA4670"/>
      <c r="AB4670"/>
      <c r="AC4670"/>
      <c r="AD4670"/>
      <c r="AE4670"/>
      <c r="AF4670"/>
      <c r="AG4670"/>
      <c r="AH4670"/>
      <c r="AI4670"/>
      <c r="AJ4670"/>
      <c r="AK4670"/>
      <c r="AL4670"/>
    </row>
    <row r="4671" spans="1:38" ht="15.75" customHeight="1" outlineLevel="2" x14ac:dyDescent="0.2">
      <c r="A4671" s="1067">
        <v>1</v>
      </c>
      <c r="B4671" s="1067" t="s">
        <v>68</v>
      </c>
      <c r="C4671" s="1067" t="s">
        <v>3142</v>
      </c>
      <c r="D4671" s="1067" t="s">
        <v>3142</v>
      </c>
      <c r="E4671" s="1068" t="s">
        <v>113</v>
      </c>
      <c r="F4671" s="1067"/>
      <c r="G4671" s="1069" t="str">
        <f t="array" ref="G4671">IF(B4671="insumo",_xlfn.XLOOKUP($D4671,Insumos!$B$1:$B$996,Insumos!$D$1:$D$996),"")</f>
        <v/>
      </c>
      <c r="H4671" s="1069">
        <v>268.52600000000001</v>
      </c>
      <c r="I4671" s="1070">
        <v>0</v>
      </c>
      <c r="J4671" s="1070">
        <v>0</v>
      </c>
      <c r="K4671" s="1070"/>
      <c r="L4671"/>
      <c r="M4671"/>
      <c r="N4671"/>
      <c r="O4671"/>
      <c r="P4671"/>
      <c r="Q4671"/>
      <c r="R4671"/>
      <c r="S4671"/>
      <c r="T4671"/>
      <c r="U4671"/>
      <c r="V4671"/>
      <c r="W4671"/>
      <c r="X4671"/>
      <c r="Y4671"/>
      <c r="Z4671"/>
      <c r="AA4671"/>
      <c r="AB4671"/>
      <c r="AC4671"/>
      <c r="AD4671"/>
      <c r="AE4671"/>
      <c r="AF4671"/>
      <c r="AG4671"/>
      <c r="AH4671"/>
      <c r="AI4671"/>
      <c r="AJ4671"/>
      <c r="AK4671"/>
      <c r="AL4671"/>
    </row>
    <row r="4672" spans="1:38" ht="15.75" customHeight="1" outlineLevel="3" x14ac:dyDescent="0.2">
      <c r="A4672" s="10">
        <v>2</v>
      </c>
      <c r="B4672" s="10" t="s">
        <v>71</v>
      </c>
      <c r="C4672" s="10" t="s">
        <v>3142</v>
      </c>
      <c r="D4672" s="10" t="s">
        <v>3133</v>
      </c>
      <c r="E4672" s="11" t="str">
        <f t="array" ref="E4672">_xlfn.XLOOKUP(D4672,Insumos!B:B,Insumos!C:$C)</f>
        <v>M2</v>
      </c>
      <c r="F4672" s="14">
        <v>1.1499999999999999</v>
      </c>
      <c r="G4672" s="92">
        <f t="array" ref="G4672">IF(B4672="insumo",_xlfn.XLOOKUP($D4672,Insumos!$B$1:$B$996,Insumos!$D$1:$D$996),"")</f>
        <v>216</v>
      </c>
      <c r="H4672" s="92">
        <v>248.4</v>
      </c>
      <c r="I4672" s="13">
        <v>0</v>
      </c>
      <c r="J4672" s="13">
        <v>0</v>
      </c>
      <c r="K4672" s="13"/>
      <c r="L4672"/>
      <c r="M4672"/>
      <c r="N4672"/>
      <c r="O4672"/>
      <c r="P4672"/>
      <c r="Q4672"/>
      <c r="R4672"/>
      <c r="S4672"/>
      <c r="T4672"/>
      <c r="U4672"/>
      <c r="V4672"/>
      <c r="W4672"/>
      <c r="X4672"/>
      <c r="Y4672"/>
      <c r="Z4672"/>
      <c r="AA4672"/>
      <c r="AB4672"/>
      <c r="AC4672"/>
      <c r="AD4672"/>
      <c r="AE4672"/>
      <c r="AF4672"/>
      <c r="AG4672"/>
      <c r="AH4672"/>
      <c r="AI4672"/>
      <c r="AJ4672"/>
      <c r="AK4672"/>
      <c r="AL4672"/>
    </row>
    <row r="4673" spans="1:38" ht="15.75" customHeight="1" outlineLevel="3" x14ac:dyDescent="0.2">
      <c r="A4673" s="10">
        <v>8</v>
      </c>
      <c r="B4673" s="10" t="s">
        <v>71</v>
      </c>
      <c r="C4673" s="10" t="s">
        <v>3142</v>
      </c>
      <c r="D4673" s="10" t="s">
        <v>1109</v>
      </c>
      <c r="E4673" s="11" t="str">
        <f t="array" ref="E4673">_xlfn.XLOOKUP(D4673,Insumos!B:B,Insumos!C:$C)</f>
        <v>KG</v>
      </c>
      <c r="F4673" s="14">
        <f>10*0.7</f>
        <v>7</v>
      </c>
      <c r="G4673" s="92">
        <f t="array" ref="G4673">IF(B4673="insumo",_xlfn.XLOOKUP($D4673,Insumos!$B$1:$B$996,Insumos!$D$1:$D$996),"")</f>
        <v>1.36</v>
      </c>
      <c r="H4673" s="92">
        <v>9.52</v>
      </c>
      <c r="I4673" s="13">
        <v>0</v>
      </c>
      <c r="J4673" s="13">
        <v>0</v>
      </c>
      <c r="K4673" s="13"/>
      <c r="L4673"/>
      <c r="M4673"/>
      <c r="N4673"/>
      <c r="O4673"/>
      <c r="P4673"/>
      <c r="Q4673"/>
      <c r="R4673"/>
      <c r="S4673"/>
      <c r="T4673"/>
      <c r="U4673"/>
      <c r="V4673"/>
      <c r="W4673"/>
      <c r="X4673"/>
      <c r="Y4673"/>
      <c r="Z4673"/>
      <c r="AA4673"/>
      <c r="AB4673"/>
      <c r="AC4673"/>
      <c r="AD4673"/>
      <c r="AE4673"/>
      <c r="AF4673"/>
      <c r="AG4673"/>
      <c r="AH4673"/>
      <c r="AI4673"/>
      <c r="AJ4673"/>
      <c r="AK4673"/>
      <c r="AL4673"/>
    </row>
    <row r="4674" spans="1:38" ht="15.75" customHeight="1" outlineLevel="3" x14ac:dyDescent="0.2">
      <c r="A4674" s="10">
        <v>36</v>
      </c>
      <c r="B4674" s="10" t="s">
        <v>71</v>
      </c>
      <c r="C4674" s="10" t="s">
        <v>3142</v>
      </c>
      <c r="D4674" s="10" t="s">
        <v>2856</v>
      </c>
      <c r="E4674" s="11" t="str">
        <f t="array" ref="E4674">_xlfn.XLOOKUP(D4674,Insumos!B:B,Insumos!C:$C)</f>
        <v>KG</v>
      </c>
      <c r="F4674" s="14">
        <v>3.6999999999999998E-2</v>
      </c>
      <c r="G4674" s="92">
        <f t="array" ref="G4674">IF(B4674="insumo",_xlfn.XLOOKUP($D4674,Insumos!$B$1:$B$996,Insumos!$D$1:$D$996),"")</f>
        <v>38</v>
      </c>
      <c r="H4674" s="92">
        <v>1.4059999999999999</v>
      </c>
      <c r="I4674" s="13">
        <v>0</v>
      </c>
      <c r="J4674" s="13">
        <v>0</v>
      </c>
      <c r="K4674" s="13"/>
      <c r="L4674"/>
      <c r="M4674"/>
      <c r="N4674"/>
      <c r="O4674"/>
      <c r="P4674"/>
      <c r="Q4674"/>
      <c r="R4674"/>
      <c r="S4674"/>
      <c r="T4674"/>
      <c r="U4674"/>
      <c r="V4674"/>
      <c r="W4674"/>
      <c r="X4674"/>
      <c r="Y4674"/>
      <c r="Z4674"/>
      <c r="AA4674"/>
      <c r="AB4674"/>
      <c r="AC4674"/>
      <c r="AD4674"/>
      <c r="AE4674"/>
      <c r="AF4674"/>
      <c r="AG4674"/>
      <c r="AH4674"/>
      <c r="AI4674"/>
      <c r="AJ4674"/>
      <c r="AK4674"/>
      <c r="AL4674"/>
    </row>
    <row r="4675" spans="1:38" ht="15.75" customHeight="1" outlineLevel="3" x14ac:dyDescent="0.2">
      <c r="A4675" s="10">
        <v>142</v>
      </c>
      <c r="B4675" s="10" t="s">
        <v>71</v>
      </c>
      <c r="C4675" s="10" t="s">
        <v>3142</v>
      </c>
      <c r="D4675" s="10" t="s">
        <v>506</v>
      </c>
      <c r="E4675" s="11" t="str">
        <f t="array" ref="E4675">_xlfn.XLOOKUP(D4675,Insumos!B:B,Insumos!C:$C)</f>
        <v>UN</v>
      </c>
      <c r="F4675" s="14">
        <v>115</v>
      </c>
      <c r="G4675" s="92">
        <f t="array" ref="G4675">IF(B4675="insumo",_xlfn.XLOOKUP($D4675,Insumos!$B$1:$B$996,Insumos!$D$1:$D$996),"")</f>
        <v>0.08</v>
      </c>
      <c r="H4675" s="92">
        <v>9.1999999999999993</v>
      </c>
      <c r="I4675" s="13">
        <v>0</v>
      </c>
      <c r="J4675" s="13">
        <v>0</v>
      </c>
      <c r="K4675" s="13"/>
      <c r="L4675"/>
      <c r="M4675"/>
      <c r="N4675"/>
      <c r="O4675"/>
      <c r="P4675"/>
      <c r="Q4675"/>
      <c r="R4675"/>
      <c r="S4675"/>
      <c r="T4675"/>
      <c r="U4675"/>
      <c r="V4675"/>
      <c r="W4675"/>
      <c r="X4675"/>
      <c r="Y4675"/>
      <c r="Z4675"/>
      <c r="AA4675"/>
      <c r="AB4675"/>
      <c r="AC4675"/>
      <c r="AD4675"/>
      <c r="AE4675"/>
      <c r="AF4675"/>
      <c r="AG4675"/>
      <c r="AH4675"/>
      <c r="AI4675"/>
      <c r="AJ4675"/>
      <c r="AK4675"/>
      <c r="AL4675"/>
    </row>
    <row r="4676" spans="1:38" ht="15.75" customHeight="1" outlineLevel="2" x14ac:dyDescent="0.2">
      <c r="A4676" s="1067">
        <v>1</v>
      </c>
      <c r="B4676" s="1067" t="s">
        <v>68</v>
      </c>
      <c r="C4676" s="1067" t="s">
        <v>3143</v>
      </c>
      <c r="D4676" s="1067" t="s">
        <v>3143</v>
      </c>
      <c r="E4676" s="1068" t="s">
        <v>113</v>
      </c>
      <c r="F4676" s="1067"/>
      <c r="G4676" s="1069" t="str">
        <f t="array" ref="G4676">IF(B4676="insumo",_xlfn.XLOOKUP($D4676,Insumos!$B$1:$B$996,Insumos!$D$1:$D$996),"")</f>
        <v/>
      </c>
      <c r="H4676" s="1069">
        <v>351.32600000000002</v>
      </c>
      <c r="I4676" s="1070">
        <v>0</v>
      </c>
      <c r="J4676" s="1070">
        <v>0</v>
      </c>
      <c r="K4676" s="1070"/>
      <c r="L4676"/>
      <c r="M4676"/>
      <c r="N4676"/>
      <c r="O4676"/>
      <c r="P4676"/>
      <c r="Q4676"/>
      <c r="R4676"/>
      <c r="S4676"/>
      <c r="T4676"/>
      <c r="U4676"/>
      <c r="V4676"/>
      <c r="W4676"/>
      <c r="X4676"/>
      <c r="Y4676"/>
      <c r="Z4676"/>
      <c r="AA4676"/>
      <c r="AB4676"/>
      <c r="AC4676"/>
      <c r="AD4676"/>
      <c r="AE4676"/>
      <c r="AF4676"/>
      <c r="AG4676"/>
      <c r="AH4676"/>
      <c r="AI4676"/>
      <c r="AJ4676"/>
      <c r="AK4676"/>
      <c r="AL4676"/>
    </row>
    <row r="4677" spans="1:38" ht="15.75" customHeight="1" outlineLevel="3" x14ac:dyDescent="0.2">
      <c r="A4677" s="10">
        <v>2</v>
      </c>
      <c r="B4677" s="10" t="s">
        <v>71</v>
      </c>
      <c r="C4677" s="10" t="s">
        <v>3143</v>
      </c>
      <c r="D4677" s="10" t="s">
        <v>3134</v>
      </c>
      <c r="E4677" s="11" t="str">
        <f t="array" ref="E4677">_xlfn.XLOOKUP(D4677,Insumos!B:B,Insumos!C:$C)</f>
        <v>M2</v>
      </c>
      <c r="F4677" s="14">
        <v>1.1499999999999999</v>
      </c>
      <c r="G4677" s="92">
        <f t="array" ref="G4677">IF(B4677="insumo",_xlfn.XLOOKUP($D4677,Insumos!$B$1:$B$996,Insumos!$D$1:$D$996),"")</f>
        <v>288</v>
      </c>
      <c r="H4677" s="92">
        <v>331.2</v>
      </c>
      <c r="I4677" s="13">
        <v>0</v>
      </c>
      <c r="J4677" s="13">
        <v>0</v>
      </c>
      <c r="K4677" s="13"/>
      <c r="L4677"/>
      <c r="M4677"/>
      <c r="N4677"/>
      <c r="O4677"/>
      <c r="P4677"/>
      <c r="Q4677"/>
      <c r="R4677"/>
      <c r="S4677"/>
      <c r="T4677"/>
      <c r="U4677"/>
      <c r="V4677"/>
      <c r="W4677"/>
      <c r="X4677"/>
      <c r="Y4677"/>
      <c r="Z4677"/>
      <c r="AA4677"/>
      <c r="AB4677"/>
      <c r="AC4677"/>
      <c r="AD4677"/>
      <c r="AE4677"/>
      <c r="AF4677"/>
      <c r="AG4677"/>
      <c r="AH4677"/>
      <c r="AI4677"/>
      <c r="AJ4677"/>
      <c r="AK4677"/>
      <c r="AL4677"/>
    </row>
    <row r="4678" spans="1:38" ht="15.75" customHeight="1" outlineLevel="3" x14ac:dyDescent="0.2">
      <c r="A4678" s="10">
        <v>8</v>
      </c>
      <c r="B4678" s="10" t="s">
        <v>71</v>
      </c>
      <c r="C4678" s="10" t="s">
        <v>3143</v>
      </c>
      <c r="D4678" s="10" t="s">
        <v>1109</v>
      </c>
      <c r="E4678" s="11" t="str">
        <f t="array" ref="E4678">_xlfn.XLOOKUP(D4678,Insumos!B:B,Insumos!C:$C)</f>
        <v>KG</v>
      </c>
      <c r="F4678" s="14">
        <f>10*0.7</f>
        <v>7</v>
      </c>
      <c r="G4678" s="92">
        <f t="array" ref="G4678">IF(B4678="insumo",_xlfn.XLOOKUP($D4678,Insumos!$B$1:$B$996,Insumos!$D$1:$D$996),"")</f>
        <v>1.36</v>
      </c>
      <c r="H4678" s="92">
        <v>9.52</v>
      </c>
      <c r="I4678" s="13">
        <v>0</v>
      </c>
      <c r="J4678" s="13">
        <v>0</v>
      </c>
      <c r="K4678" s="13"/>
      <c r="L4678"/>
      <c r="M4678"/>
      <c r="N4678"/>
      <c r="O4678"/>
      <c r="P4678"/>
      <c r="Q4678"/>
      <c r="R4678"/>
      <c r="S4678"/>
      <c r="T4678"/>
      <c r="U4678"/>
      <c r="V4678"/>
      <c r="W4678"/>
      <c r="X4678"/>
      <c r="Y4678"/>
      <c r="Z4678"/>
      <c r="AA4678"/>
      <c r="AB4678"/>
      <c r="AC4678"/>
      <c r="AD4678"/>
      <c r="AE4678"/>
      <c r="AF4678"/>
      <c r="AG4678"/>
      <c r="AH4678"/>
      <c r="AI4678"/>
      <c r="AJ4678"/>
      <c r="AK4678"/>
      <c r="AL4678"/>
    </row>
    <row r="4679" spans="1:38" ht="15.75" customHeight="1" outlineLevel="3" x14ac:dyDescent="0.2">
      <c r="A4679" s="10">
        <v>36</v>
      </c>
      <c r="B4679" s="10" t="s">
        <v>71</v>
      </c>
      <c r="C4679" s="10" t="s">
        <v>3143</v>
      </c>
      <c r="D4679" s="10" t="s">
        <v>2856</v>
      </c>
      <c r="E4679" s="11" t="str">
        <f t="array" ref="E4679">_xlfn.XLOOKUP(D4679,Insumos!B:B,Insumos!C:$C)</f>
        <v>KG</v>
      </c>
      <c r="F4679" s="14">
        <v>3.6999999999999998E-2</v>
      </c>
      <c r="G4679" s="92">
        <f t="array" ref="G4679">IF(B4679="insumo",_xlfn.XLOOKUP($D4679,Insumos!$B$1:$B$996,Insumos!$D$1:$D$996),"")</f>
        <v>38</v>
      </c>
      <c r="H4679" s="92">
        <v>1.4059999999999999</v>
      </c>
      <c r="I4679" s="13">
        <v>0</v>
      </c>
      <c r="J4679" s="13">
        <v>0</v>
      </c>
      <c r="K4679" s="13"/>
      <c r="L4679"/>
      <c r="M4679"/>
      <c r="N4679"/>
      <c r="O4679"/>
      <c r="P4679"/>
      <c r="Q4679"/>
      <c r="R4679"/>
      <c r="S4679"/>
      <c r="T4679"/>
      <c r="U4679"/>
      <c r="V4679"/>
      <c r="W4679"/>
      <c r="X4679"/>
      <c r="Y4679"/>
      <c r="Z4679"/>
      <c r="AA4679"/>
      <c r="AB4679"/>
      <c r="AC4679"/>
      <c r="AD4679"/>
      <c r="AE4679"/>
      <c r="AF4679"/>
      <c r="AG4679"/>
      <c r="AH4679"/>
      <c r="AI4679"/>
      <c r="AJ4679"/>
      <c r="AK4679"/>
      <c r="AL4679"/>
    </row>
    <row r="4680" spans="1:38" ht="15.75" customHeight="1" outlineLevel="3" x14ac:dyDescent="0.2">
      <c r="A4680" s="10">
        <v>142</v>
      </c>
      <c r="B4680" s="10" t="s">
        <v>71</v>
      </c>
      <c r="C4680" s="10" t="s">
        <v>3143</v>
      </c>
      <c r="D4680" s="10" t="s">
        <v>506</v>
      </c>
      <c r="E4680" s="11" t="str">
        <f t="array" ref="E4680">_xlfn.XLOOKUP(D4680,Insumos!B:B,Insumos!C:$C)</f>
        <v>UN</v>
      </c>
      <c r="F4680" s="14">
        <v>115</v>
      </c>
      <c r="G4680" s="92">
        <f t="array" ref="G4680">IF(B4680="insumo",_xlfn.XLOOKUP($D4680,Insumos!$B$1:$B$996,Insumos!$D$1:$D$996),"")</f>
        <v>0.08</v>
      </c>
      <c r="H4680" s="92">
        <v>9.1999999999999993</v>
      </c>
      <c r="I4680" s="13">
        <v>0</v>
      </c>
      <c r="J4680" s="13">
        <v>0</v>
      </c>
      <c r="K4680" s="13"/>
      <c r="L4680"/>
      <c r="M4680"/>
      <c r="N4680"/>
      <c r="O4680"/>
      <c r="P4680"/>
      <c r="Q4680"/>
      <c r="R4680"/>
      <c r="S4680"/>
      <c r="T4680"/>
      <c r="U4680"/>
      <c r="V4680"/>
      <c r="W4680"/>
      <c r="X4680"/>
      <c r="Y4680"/>
      <c r="Z4680"/>
      <c r="AA4680"/>
      <c r="AB4680"/>
      <c r="AC4680"/>
      <c r="AD4680"/>
      <c r="AE4680"/>
      <c r="AF4680"/>
      <c r="AG4680"/>
      <c r="AH4680"/>
      <c r="AI4680"/>
      <c r="AJ4680"/>
      <c r="AK4680"/>
      <c r="AL4680"/>
    </row>
    <row r="4681" spans="1:38" ht="15.75" customHeight="1" outlineLevel="2" x14ac:dyDescent="0.2">
      <c r="A4681" s="1067">
        <v>1</v>
      </c>
      <c r="B4681" s="1067" t="s">
        <v>68</v>
      </c>
      <c r="C4681" s="1067" t="s">
        <v>3146</v>
      </c>
      <c r="D4681" s="1067" t="s">
        <v>3146</v>
      </c>
      <c r="E4681" s="1068" t="s">
        <v>113</v>
      </c>
      <c r="F4681" s="1067"/>
      <c r="G4681" s="1069" t="str">
        <f t="array" ref="G4681">IF(B4681="insumo",_xlfn.XLOOKUP($D4681,Insumos!$B$1:$B$996,Insumos!$D$1:$D$996),"")</f>
        <v/>
      </c>
      <c r="H4681" s="1069">
        <v>164.30199999999999</v>
      </c>
      <c r="I4681" s="1070" t="e">
        <v>#REF!</v>
      </c>
      <c r="J4681" s="1070" t="e">
        <v>#REF!</v>
      </c>
      <c r="K4681" s="1070"/>
      <c r="L4681"/>
      <c r="M4681"/>
      <c r="N4681"/>
      <c r="O4681"/>
      <c r="P4681"/>
      <c r="Q4681"/>
      <c r="R4681"/>
      <c r="S4681"/>
      <c r="T4681"/>
      <c r="U4681"/>
      <c r="V4681"/>
      <c r="W4681"/>
      <c r="X4681"/>
      <c r="Y4681"/>
      <c r="Z4681"/>
      <c r="AA4681"/>
      <c r="AB4681"/>
      <c r="AC4681"/>
      <c r="AD4681"/>
      <c r="AE4681"/>
      <c r="AF4681"/>
      <c r="AG4681"/>
      <c r="AH4681"/>
      <c r="AI4681"/>
      <c r="AJ4681"/>
      <c r="AK4681"/>
      <c r="AL4681"/>
    </row>
    <row r="4682" spans="1:38" ht="15.75" customHeight="1" outlineLevel="3" x14ac:dyDescent="0.2">
      <c r="A4682" s="10">
        <v>1</v>
      </c>
      <c r="B4682" s="10" t="s">
        <v>71</v>
      </c>
      <c r="C4682" s="10" t="s">
        <v>3146</v>
      </c>
      <c r="D4682" s="10" t="s">
        <v>3135</v>
      </c>
      <c r="E4682" s="11" t="str">
        <f t="array" ref="E4682">_xlfn.XLOOKUP(D4682,Insumos!B:B,Insumos!C:$C)</f>
        <v>M2</v>
      </c>
      <c r="F4682" s="14">
        <v>1.1499999999999999</v>
      </c>
      <c r="G4682" s="92">
        <f t="array" ref="G4682">IF(B4682="insumo",_xlfn.XLOOKUP($D4682,Insumos!$B$1:$B$996,Insumos!$D$1:$D$996),"")</f>
        <v>130.04</v>
      </c>
      <c r="H4682" s="92">
        <v>149.54599999999999</v>
      </c>
      <c r="I4682" s="13" t="e">
        <v>#REF!</v>
      </c>
      <c r="J4682" s="13" t="e">
        <v>#REF!</v>
      </c>
      <c r="K4682" s="13"/>
      <c r="L4682"/>
      <c r="M4682"/>
      <c r="N4682"/>
      <c r="O4682"/>
      <c r="P4682"/>
      <c r="Q4682"/>
      <c r="R4682"/>
      <c r="S4682"/>
      <c r="T4682"/>
      <c r="U4682"/>
      <c r="V4682"/>
      <c r="W4682"/>
      <c r="X4682"/>
      <c r="Y4682"/>
      <c r="Z4682"/>
      <c r="AA4682"/>
      <c r="AB4682"/>
      <c r="AC4682"/>
      <c r="AD4682"/>
      <c r="AE4682"/>
      <c r="AF4682"/>
      <c r="AG4682"/>
      <c r="AH4682"/>
      <c r="AI4682"/>
      <c r="AJ4682"/>
      <c r="AK4682"/>
      <c r="AL4682"/>
    </row>
    <row r="4683" spans="1:38" ht="15.75" customHeight="1" outlineLevel="3" x14ac:dyDescent="0.2">
      <c r="A4683" s="10">
        <v>8</v>
      </c>
      <c r="B4683" s="10" t="s">
        <v>71</v>
      </c>
      <c r="C4683" s="10" t="s">
        <v>3146</v>
      </c>
      <c r="D4683" s="10" t="s">
        <v>1109</v>
      </c>
      <c r="E4683" s="11" t="str">
        <f t="array" ref="E4683">_xlfn.XLOOKUP(D4683,Insumos!B:B,Insumos!C:$C)</f>
        <v>KG</v>
      </c>
      <c r="F4683" s="14">
        <f>10*0.7</f>
        <v>7</v>
      </c>
      <c r="G4683" s="92">
        <f t="array" ref="G4683">IF(B4683="insumo",_xlfn.XLOOKUP($D4683,Insumos!$B$1:$B$996,Insumos!$D$1:$D$996),"")</f>
        <v>1.36</v>
      </c>
      <c r="H4683" s="92">
        <v>9.52</v>
      </c>
      <c r="I4683" s="13" t="e">
        <v>#REF!</v>
      </c>
      <c r="J4683" s="13" t="e">
        <v>#REF!</v>
      </c>
      <c r="K4683" s="13"/>
      <c r="L4683"/>
      <c r="M4683"/>
      <c r="N4683"/>
      <c r="O4683"/>
      <c r="P4683"/>
      <c r="Q4683"/>
      <c r="R4683"/>
      <c r="S4683"/>
      <c r="T4683"/>
      <c r="U4683"/>
      <c r="V4683"/>
      <c r="W4683"/>
      <c r="X4683"/>
      <c r="Y4683"/>
      <c r="Z4683"/>
      <c r="AA4683"/>
      <c r="AB4683"/>
      <c r="AC4683"/>
      <c r="AD4683"/>
      <c r="AE4683"/>
      <c r="AF4683"/>
      <c r="AG4683"/>
      <c r="AH4683"/>
      <c r="AI4683"/>
      <c r="AJ4683"/>
      <c r="AK4683"/>
      <c r="AL4683"/>
    </row>
    <row r="4684" spans="1:38" ht="15.75" customHeight="1" outlineLevel="3" x14ac:dyDescent="0.2">
      <c r="A4684" s="10">
        <v>36</v>
      </c>
      <c r="B4684" s="10" t="s">
        <v>71</v>
      </c>
      <c r="C4684" s="10" t="s">
        <v>3146</v>
      </c>
      <c r="D4684" s="10" t="s">
        <v>2856</v>
      </c>
      <c r="E4684" s="11" t="str">
        <f t="array" ref="E4684">_xlfn.XLOOKUP(D4684,Insumos!B:B,Insumos!C:$C)</f>
        <v>KG</v>
      </c>
      <c r="F4684" s="14">
        <v>2.1999999999999999E-2</v>
      </c>
      <c r="G4684" s="92">
        <f t="array" ref="G4684">IF(B4684="insumo",_xlfn.XLOOKUP($D4684,Insumos!$B$1:$B$996,Insumos!$D$1:$D$996),"")</f>
        <v>38</v>
      </c>
      <c r="H4684" s="92">
        <v>0.83599999999999997</v>
      </c>
      <c r="I4684" s="13" t="e">
        <v>#REF!</v>
      </c>
      <c r="J4684" s="13" t="e">
        <v>#REF!</v>
      </c>
      <c r="K4684" s="13"/>
      <c r="L4684"/>
      <c r="M4684"/>
      <c r="N4684"/>
      <c r="O4684"/>
      <c r="P4684"/>
      <c r="Q4684"/>
      <c r="R4684"/>
      <c r="S4684"/>
      <c r="T4684"/>
      <c r="U4684"/>
      <c r="V4684"/>
      <c r="W4684"/>
      <c r="X4684"/>
      <c r="Y4684"/>
      <c r="Z4684"/>
      <c r="AA4684"/>
      <c r="AB4684"/>
      <c r="AC4684"/>
      <c r="AD4684"/>
      <c r="AE4684"/>
      <c r="AF4684"/>
      <c r="AG4684"/>
      <c r="AH4684"/>
      <c r="AI4684"/>
      <c r="AJ4684"/>
      <c r="AK4684"/>
      <c r="AL4684"/>
    </row>
    <row r="4685" spans="1:38" ht="15.75" customHeight="1" outlineLevel="3" x14ac:dyDescent="0.2">
      <c r="A4685" s="10">
        <v>142</v>
      </c>
      <c r="B4685" s="10" t="s">
        <v>71</v>
      </c>
      <c r="C4685" s="10" t="s">
        <v>3146</v>
      </c>
      <c r="D4685" s="10" t="s">
        <v>506</v>
      </c>
      <c r="E4685" s="11" t="str">
        <f t="array" ref="E4685">_xlfn.XLOOKUP(D4685,Insumos!B:B,Insumos!C:$C)</f>
        <v>UN</v>
      </c>
      <c r="F4685" s="14">
        <v>55</v>
      </c>
      <c r="G4685" s="92">
        <f t="array" ref="G4685">IF(B4685="insumo",_xlfn.XLOOKUP($D4685,Insumos!$B$1:$B$996,Insumos!$D$1:$D$996),"")</f>
        <v>0.08</v>
      </c>
      <c r="H4685" s="92">
        <v>4.4000000000000004</v>
      </c>
      <c r="I4685" s="13" t="e">
        <v>#REF!</v>
      </c>
      <c r="J4685" s="13" t="e">
        <v>#REF!</v>
      </c>
      <c r="K4685" s="13"/>
      <c r="L4685"/>
      <c r="M4685"/>
      <c r="N4685"/>
      <c r="O4685"/>
      <c r="P4685"/>
      <c r="Q4685"/>
      <c r="R4685"/>
      <c r="S4685"/>
      <c r="T4685"/>
      <c r="U4685"/>
      <c r="V4685"/>
      <c r="W4685"/>
      <c r="X4685"/>
      <c r="Y4685"/>
      <c r="Z4685"/>
      <c r="AA4685"/>
      <c r="AB4685"/>
      <c r="AC4685"/>
      <c r="AD4685"/>
      <c r="AE4685"/>
      <c r="AF4685"/>
      <c r="AG4685"/>
      <c r="AH4685"/>
      <c r="AI4685"/>
      <c r="AJ4685"/>
      <c r="AK4685"/>
      <c r="AL4685"/>
    </row>
    <row r="4686" spans="1:38" ht="12.75" outlineLevel="2" x14ac:dyDescent="0.2">
      <c r="A4686" s="1071">
        <v>1</v>
      </c>
      <c r="B4686" s="1071" t="s">
        <v>68</v>
      </c>
      <c r="C4686" s="1071" t="s">
        <v>1979</v>
      </c>
      <c r="D4686" s="1071" t="s">
        <v>1979</v>
      </c>
      <c r="E4686" s="1072" t="s">
        <v>70</v>
      </c>
      <c r="F4686" s="1071"/>
      <c r="G4686" s="1073" t="str">
        <f t="array" ref="G4686">IF(B4686="insumo",_xlfn.XLOOKUP($D4686,Insumos!$B$1:$B$996,Insumos!$D$1:$D$996),"")</f>
        <v/>
      </c>
      <c r="H4686" s="1073">
        <v>1360</v>
      </c>
      <c r="I4686" s="1074">
        <v>0</v>
      </c>
      <c r="J4686" s="1074">
        <v>0</v>
      </c>
      <c r="K4686" s="1074"/>
      <c r="L4686"/>
      <c r="M4686"/>
      <c r="N4686"/>
      <c r="O4686"/>
      <c r="P4686"/>
      <c r="Q4686"/>
      <c r="R4686"/>
      <c r="S4686"/>
      <c r="T4686"/>
      <c r="U4686"/>
      <c r="V4686"/>
      <c r="W4686"/>
      <c r="X4686"/>
      <c r="Y4686"/>
      <c r="Z4686"/>
      <c r="AA4686"/>
      <c r="AB4686"/>
      <c r="AC4686"/>
      <c r="AD4686"/>
      <c r="AE4686"/>
      <c r="AF4686"/>
      <c r="AG4686"/>
      <c r="AH4686"/>
      <c r="AI4686"/>
      <c r="AJ4686"/>
      <c r="AK4686"/>
      <c r="AL4686"/>
    </row>
    <row r="4687" spans="1:38" ht="12.75" outlineLevel="3" x14ac:dyDescent="0.2">
      <c r="A4687" s="82">
        <v>1</v>
      </c>
      <c r="B4687" s="82" t="s">
        <v>71</v>
      </c>
      <c r="C4687" s="82" t="s">
        <v>1979</v>
      </c>
      <c r="D4687" s="82" t="s">
        <v>1820</v>
      </c>
      <c r="E4687" s="11" t="str">
        <f t="array" ref="E4687">_xlfn.XLOOKUP(D4687,Insumos!B:B,Insumos!C:$C)</f>
        <v>M2</v>
      </c>
      <c r="F4687" s="86">
        <v>1</v>
      </c>
      <c r="G4687" s="92">
        <f t="array" ref="G4687">IF(B4687="insumo",_xlfn.XLOOKUP($D4687,Insumos!$B$1:$B$996,Insumos!$D$1:$D$996),"")</f>
        <v>1060</v>
      </c>
      <c r="H4687" s="92">
        <v>1060</v>
      </c>
      <c r="I4687" s="84">
        <v>0</v>
      </c>
      <c r="J4687" s="84">
        <v>0</v>
      </c>
      <c r="K4687" s="84"/>
      <c r="L4687"/>
      <c r="M4687"/>
      <c r="N4687"/>
      <c r="O4687"/>
      <c r="P4687"/>
      <c r="Q4687"/>
      <c r="R4687"/>
      <c r="S4687"/>
      <c r="T4687"/>
      <c r="U4687"/>
      <c r="V4687"/>
      <c r="W4687"/>
      <c r="X4687"/>
      <c r="Y4687"/>
      <c r="Z4687"/>
      <c r="AA4687"/>
      <c r="AB4687"/>
      <c r="AC4687"/>
      <c r="AD4687"/>
      <c r="AE4687"/>
      <c r="AF4687"/>
      <c r="AG4687"/>
      <c r="AH4687"/>
      <c r="AI4687"/>
      <c r="AJ4687"/>
      <c r="AK4687"/>
      <c r="AL4687"/>
    </row>
    <row r="4688" spans="1:38" ht="12.75" outlineLevel="3" x14ac:dyDescent="0.2">
      <c r="A4688" s="82">
        <v>2</v>
      </c>
      <c r="B4688" s="82" t="s">
        <v>71</v>
      </c>
      <c r="C4688" s="82" t="s">
        <v>1979</v>
      </c>
      <c r="D4688" s="82" t="s">
        <v>1822</v>
      </c>
      <c r="E4688" s="11" t="str">
        <f t="array" ref="E4688">_xlfn.XLOOKUP(D4688,Insumos!B:B,Insumos!C:$C)</f>
        <v>M2</v>
      </c>
      <c r="F4688" s="86">
        <v>1</v>
      </c>
      <c r="G4688" s="92">
        <f t="array" ref="G4688">IF(B4688="insumo",_xlfn.XLOOKUP($D4688,Insumos!$B$1:$B$996,Insumos!$D$1:$D$996),"")</f>
        <v>300</v>
      </c>
      <c r="H4688" s="92">
        <v>300</v>
      </c>
      <c r="I4688" s="84">
        <v>0</v>
      </c>
      <c r="J4688" s="84">
        <v>0</v>
      </c>
      <c r="K4688" s="84"/>
      <c r="L4688"/>
      <c r="M4688"/>
      <c r="N4688"/>
      <c r="O4688"/>
      <c r="P4688"/>
      <c r="Q4688"/>
      <c r="R4688"/>
      <c r="S4688"/>
      <c r="T4688"/>
      <c r="U4688"/>
      <c r="V4688"/>
      <c r="W4688"/>
      <c r="X4688"/>
      <c r="Y4688"/>
      <c r="Z4688"/>
      <c r="AA4688"/>
      <c r="AB4688"/>
      <c r="AC4688"/>
      <c r="AD4688"/>
      <c r="AE4688"/>
      <c r="AF4688"/>
      <c r="AG4688"/>
      <c r="AH4688"/>
      <c r="AI4688"/>
      <c r="AJ4688"/>
      <c r="AK4688"/>
      <c r="AL4688"/>
    </row>
    <row r="4689" spans="1:38" ht="12.75" outlineLevel="2" x14ac:dyDescent="0.2">
      <c r="A4689" s="1071">
        <v>1</v>
      </c>
      <c r="B4689" s="1071" t="s">
        <v>68</v>
      </c>
      <c r="C4689" s="1071" t="s">
        <v>1949</v>
      </c>
      <c r="D4689" s="1071" t="s">
        <v>1949</v>
      </c>
      <c r="E4689" s="1072" t="s">
        <v>70</v>
      </c>
      <c r="F4689" s="1071"/>
      <c r="G4689" s="1073" t="str">
        <f t="array" ref="G4689">IF(B4689="insumo",_xlfn.XLOOKUP($D4689,Insumos!$B$1:$B$996,Insumos!$D$1:$D$996),"")</f>
        <v/>
      </c>
      <c r="H4689" s="1073">
        <v>1200</v>
      </c>
      <c r="I4689" s="1074">
        <v>0</v>
      </c>
      <c r="J4689" s="1074">
        <v>0</v>
      </c>
      <c r="K4689" s="1074"/>
      <c r="L4689"/>
      <c r="M4689"/>
      <c r="N4689"/>
      <c r="O4689"/>
      <c r="P4689"/>
      <c r="Q4689"/>
      <c r="R4689"/>
      <c r="S4689"/>
      <c r="T4689"/>
      <c r="U4689"/>
      <c r="V4689"/>
      <c r="W4689"/>
      <c r="X4689"/>
      <c r="Y4689"/>
      <c r="Z4689"/>
      <c r="AA4689"/>
      <c r="AB4689"/>
      <c r="AC4689"/>
      <c r="AD4689"/>
      <c r="AE4689"/>
      <c r="AF4689"/>
      <c r="AG4689"/>
      <c r="AH4689"/>
      <c r="AI4689"/>
      <c r="AJ4689"/>
      <c r="AK4689"/>
      <c r="AL4689"/>
    </row>
    <row r="4690" spans="1:38" ht="12.75" outlineLevel="3" x14ac:dyDescent="0.2">
      <c r="A4690" s="82">
        <v>1</v>
      </c>
      <c r="B4690" s="82" t="s">
        <v>71</v>
      </c>
      <c r="C4690" s="82" t="s">
        <v>1949</v>
      </c>
      <c r="D4690" s="82" t="s">
        <v>1949</v>
      </c>
      <c r="E4690" s="11" t="str">
        <f t="array" ref="E4690">_xlfn.XLOOKUP(D4690,Insumos!B:B,Insumos!C:$C)</f>
        <v>M2</v>
      </c>
      <c r="F4690" s="86">
        <v>1</v>
      </c>
      <c r="G4690" s="92">
        <f t="array" ref="G4690">IF(B4690="insumo",_xlfn.XLOOKUP($D4690,Insumos!$B$1:$B$996,Insumos!$D$1:$D$996),"")</f>
        <v>1200</v>
      </c>
      <c r="H4690" s="92">
        <v>1200</v>
      </c>
      <c r="I4690" s="84">
        <v>0</v>
      </c>
      <c r="J4690" s="84">
        <v>0</v>
      </c>
      <c r="K4690" s="84"/>
      <c r="L4690"/>
      <c r="M4690"/>
      <c r="N4690"/>
      <c r="O4690"/>
      <c r="P4690"/>
      <c r="Q4690"/>
      <c r="R4690"/>
      <c r="S4690"/>
      <c r="T4690"/>
      <c r="U4690"/>
      <c r="V4690"/>
      <c r="W4690"/>
      <c r="X4690"/>
      <c r="Y4690"/>
      <c r="Z4690"/>
      <c r="AA4690"/>
      <c r="AB4690"/>
      <c r="AC4690"/>
      <c r="AD4690"/>
      <c r="AE4690"/>
      <c r="AF4690"/>
      <c r="AG4690"/>
      <c r="AH4690"/>
      <c r="AI4690"/>
      <c r="AJ4690"/>
      <c r="AK4690"/>
      <c r="AL4690"/>
    </row>
    <row r="4691" spans="1:38" ht="12.75" outlineLevel="2" x14ac:dyDescent="0.2">
      <c r="A4691" s="1071">
        <v>1</v>
      </c>
      <c r="B4691" s="1071" t="s">
        <v>68</v>
      </c>
      <c r="C4691" s="1071" t="s">
        <v>1950</v>
      </c>
      <c r="D4691" s="1071" t="s">
        <v>1950</v>
      </c>
      <c r="E4691" s="1072" t="s">
        <v>70</v>
      </c>
      <c r="F4691" s="1071"/>
      <c r="G4691" s="1073" t="str">
        <f t="array" ref="G4691">IF(B4691="insumo",_xlfn.XLOOKUP($D4691,Insumos!$B$1:$B$996,Insumos!$D$1:$D$996),"")</f>
        <v/>
      </c>
      <c r="H4691" s="1073">
        <v>950</v>
      </c>
      <c r="I4691" s="1074">
        <v>0</v>
      </c>
      <c r="J4691" s="1074">
        <v>0</v>
      </c>
      <c r="K4691" s="1074"/>
      <c r="L4691"/>
      <c r="M4691"/>
      <c r="N4691"/>
      <c r="O4691"/>
      <c r="P4691"/>
      <c r="Q4691"/>
      <c r="R4691"/>
      <c r="S4691"/>
      <c r="T4691"/>
      <c r="U4691"/>
      <c r="V4691"/>
      <c r="W4691"/>
      <c r="X4691"/>
      <c r="Y4691"/>
      <c r="Z4691"/>
      <c r="AA4691"/>
      <c r="AB4691"/>
      <c r="AC4691"/>
      <c r="AD4691"/>
      <c r="AE4691"/>
      <c r="AF4691"/>
      <c r="AG4691"/>
      <c r="AH4691"/>
      <c r="AI4691"/>
      <c r="AJ4691"/>
      <c r="AK4691"/>
      <c r="AL4691"/>
    </row>
    <row r="4692" spans="1:38" ht="12.75" outlineLevel="3" x14ac:dyDescent="0.2">
      <c r="A4692" s="82">
        <v>1</v>
      </c>
      <c r="B4692" s="82" t="s">
        <v>71</v>
      </c>
      <c r="C4692" s="82" t="s">
        <v>1950</v>
      </c>
      <c r="D4692" s="82" t="s">
        <v>1950</v>
      </c>
      <c r="E4692" s="11" t="str">
        <f t="array" ref="E4692">_xlfn.XLOOKUP(D4692,Insumos!B:B,Insumos!C:$C)</f>
        <v>M2</v>
      </c>
      <c r="F4692" s="86">
        <v>1</v>
      </c>
      <c r="G4692" s="92">
        <f t="array" ref="G4692">IF(B4692="insumo",_xlfn.XLOOKUP($D4692,Insumos!$B$1:$B$996,Insumos!$D$1:$D$996),"")</f>
        <v>950</v>
      </c>
      <c r="H4692" s="92">
        <v>950</v>
      </c>
      <c r="I4692" s="84">
        <v>0</v>
      </c>
      <c r="J4692" s="84">
        <v>0</v>
      </c>
      <c r="K4692" s="84"/>
      <c r="L4692"/>
      <c r="M4692"/>
      <c r="N4692"/>
      <c r="O4692"/>
      <c r="P4692"/>
      <c r="Q4692"/>
      <c r="R4692"/>
      <c r="S4692"/>
      <c r="T4692"/>
      <c r="U4692"/>
      <c r="V4692"/>
      <c r="W4692"/>
      <c r="X4692"/>
      <c r="Y4692"/>
      <c r="Z4692"/>
      <c r="AA4692"/>
      <c r="AB4692"/>
      <c r="AC4692"/>
      <c r="AD4692"/>
      <c r="AE4692"/>
      <c r="AF4692"/>
      <c r="AG4692"/>
      <c r="AH4692"/>
      <c r="AI4692"/>
      <c r="AJ4692"/>
      <c r="AK4692"/>
      <c r="AL4692"/>
    </row>
    <row r="4693" spans="1:38" ht="12.75" outlineLevel="2" x14ac:dyDescent="0.2">
      <c r="A4693" s="1071">
        <v>1</v>
      </c>
      <c r="B4693" s="1071" t="s">
        <v>68</v>
      </c>
      <c r="C4693" s="1071" t="s">
        <v>1951</v>
      </c>
      <c r="D4693" s="1071" t="s">
        <v>1951</v>
      </c>
      <c r="E4693" s="1072" t="s">
        <v>70</v>
      </c>
      <c r="F4693" s="1071"/>
      <c r="G4693" s="1073" t="str">
        <f t="array" ref="G4693">IF(B4693="insumo",_xlfn.XLOOKUP($D4693,Insumos!$B$1:$B$996,Insumos!$D$1:$D$996),"")</f>
        <v/>
      </c>
      <c r="H4693" s="1073">
        <v>860</v>
      </c>
      <c r="I4693" s="1074">
        <v>0</v>
      </c>
      <c r="J4693" s="1074">
        <v>0</v>
      </c>
      <c r="K4693" s="1074"/>
      <c r="L4693"/>
      <c r="M4693"/>
      <c r="N4693"/>
      <c r="O4693"/>
      <c r="P4693"/>
      <c r="Q4693"/>
      <c r="R4693"/>
      <c r="S4693"/>
      <c r="T4693"/>
      <c r="U4693"/>
      <c r="V4693"/>
      <c r="W4693"/>
      <c r="X4693"/>
      <c r="Y4693"/>
      <c r="Z4693"/>
      <c r="AA4693"/>
      <c r="AB4693"/>
      <c r="AC4693"/>
      <c r="AD4693"/>
      <c r="AE4693"/>
      <c r="AF4693"/>
      <c r="AG4693"/>
      <c r="AH4693"/>
      <c r="AI4693"/>
      <c r="AJ4693"/>
      <c r="AK4693"/>
      <c r="AL4693"/>
    </row>
    <row r="4694" spans="1:38" ht="12.75" outlineLevel="3" x14ac:dyDescent="0.2">
      <c r="A4694" s="82">
        <v>1</v>
      </c>
      <c r="B4694" s="82" t="s">
        <v>71</v>
      </c>
      <c r="C4694" s="82" t="s">
        <v>1951</v>
      </c>
      <c r="D4694" s="82" t="s">
        <v>1951</v>
      </c>
      <c r="E4694" s="11" t="str">
        <f t="array" ref="E4694">_xlfn.XLOOKUP(D4694,Insumos!B:B,Insumos!C:$C)</f>
        <v>M2</v>
      </c>
      <c r="F4694" s="86">
        <v>1</v>
      </c>
      <c r="G4694" s="92">
        <f t="array" ref="G4694">IF(B4694="insumo",_xlfn.XLOOKUP($D4694,Insumos!$B$1:$B$996,Insumos!$D$1:$D$996),"")</f>
        <v>860</v>
      </c>
      <c r="H4694" s="92">
        <v>860</v>
      </c>
      <c r="I4694" s="84">
        <v>0</v>
      </c>
      <c r="J4694" s="84">
        <v>0</v>
      </c>
      <c r="K4694" s="84"/>
      <c r="L4694"/>
      <c r="M4694"/>
      <c r="N4694"/>
      <c r="O4694"/>
      <c r="P4694"/>
      <c r="Q4694"/>
      <c r="R4694"/>
      <c r="S4694"/>
      <c r="T4694"/>
      <c r="U4694"/>
      <c r="V4694"/>
      <c r="W4694"/>
      <c r="X4694"/>
      <c r="Y4694"/>
      <c r="Z4694"/>
      <c r="AA4694"/>
      <c r="AB4694"/>
      <c r="AC4694"/>
      <c r="AD4694"/>
      <c r="AE4694"/>
      <c r="AF4694"/>
      <c r="AG4694"/>
      <c r="AH4694"/>
      <c r="AI4694"/>
      <c r="AJ4694"/>
      <c r="AK4694"/>
      <c r="AL4694"/>
    </row>
    <row r="4695" spans="1:38" ht="12.75" outlineLevel="2" x14ac:dyDescent="0.2">
      <c r="A4695" s="1071">
        <v>1</v>
      </c>
      <c r="B4695" s="1071" t="s">
        <v>68</v>
      </c>
      <c r="C4695" s="1071" t="s">
        <v>1980</v>
      </c>
      <c r="D4695" s="1071" t="s">
        <v>1980</v>
      </c>
      <c r="E4695" s="1072" t="s">
        <v>70</v>
      </c>
      <c r="F4695" s="1071"/>
      <c r="G4695" s="1073" t="str">
        <f t="array" ref="G4695">IF(B4695="insumo",_xlfn.XLOOKUP($D4695,Insumos!$B$1:$B$996,Insumos!$D$1:$D$996),"")</f>
        <v/>
      </c>
      <c r="H4695" s="1073">
        <v>948</v>
      </c>
      <c r="I4695" s="1074">
        <v>0</v>
      </c>
      <c r="J4695" s="1074">
        <v>0</v>
      </c>
      <c r="K4695" s="1074"/>
      <c r="L4695"/>
      <c r="M4695"/>
      <c r="N4695"/>
      <c r="O4695"/>
      <c r="P4695"/>
      <c r="Q4695"/>
      <c r="R4695"/>
      <c r="S4695"/>
      <c r="T4695"/>
      <c r="U4695"/>
      <c r="V4695"/>
      <c r="W4695"/>
      <c r="X4695"/>
      <c r="Y4695"/>
      <c r="Z4695"/>
      <c r="AA4695"/>
      <c r="AB4695"/>
      <c r="AC4695"/>
      <c r="AD4695"/>
      <c r="AE4695"/>
      <c r="AF4695"/>
      <c r="AG4695"/>
      <c r="AH4695"/>
      <c r="AI4695"/>
      <c r="AJ4695"/>
      <c r="AK4695"/>
      <c r="AL4695"/>
    </row>
    <row r="4696" spans="1:38" ht="12.75" outlineLevel="3" x14ac:dyDescent="0.2">
      <c r="A4696" s="82">
        <v>1</v>
      </c>
      <c r="B4696" s="82" t="s">
        <v>71</v>
      </c>
      <c r="C4696" s="82" t="s">
        <v>1980</v>
      </c>
      <c r="D4696" s="82" t="s">
        <v>1821</v>
      </c>
      <c r="E4696" s="11" t="str">
        <f t="array" ref="E4696">_xlfn.XLOOKUP(D4696,Insumos!B:B,Insumos!C:$C)</f>
        <v>M2</v>
      </c>
      <c r="F4696" s="86">
        <v>1</v>
      </c>
      <c r="G4696" s="92">
        <f t="array" ref="G4696">IF(B4696="insumo",_xlfn.XLOOKUP($D4696,Insumos!$B$1:$B$996,Insumos!$D$1:$D$996),"")</f>
        <v>648</v>
      </c>
      <c r="H4696" s="92">
        <v>648</v>
      </c>
      <c r="I4696" s="84">
        <v>0</v>
      </c>
      <c r="J4696" s="84">
        <v>0</v>
      </c>
      <c r="K4696" s="84"/>
      <c r="L4696"/>
      <c r="M4696"/>
      <c r="N4696"/>
      <c r="O4696"/>
      <c r="P4696"/>
      <c r="Q4696"/>
      <c r="R4696"/>
      <c r="S4696"/>
      <c r="T4696"/>
      <c r="U4696"/>
      <c r="V4696"/>
      <c r="W4696"/>
      <c r="X4696"/>
      <c r="Y4696"/>
      <c r="Z4696"/>
      <c r="AA4696"/>
      <c r="AB4696"/>
      <c r="AC4696"/>
      <c r="AD4696"/>
      <c r="AE4696"/>
      <c r="AF4696"/>
      <c r="AG4696"/>
      <c r="AH4696"/>
      <c r="AI4696"/>
      <c r="AJ4696"/>
      <c r="AK4696"/>
      <c r="AL4696"/>
    </row>
    <row r="4697" spans="1:38" ht="12.75" outlineLevel="3" x14ac:dyDescent="0.2">
      <c r="A4697" s="82">
        <v>2</v>
      </c>
      <c r="B4697" s="82" t="s">
        <v>71</v>
      </c>
      <c r="C4697" s="82" t="s">
        <v>1980</v>
      </c>
      <c r="D4697" s="82" t="s">
        <v>1822</v>
      </c>
      <c r="E4697" s="11" t="str">
        <f t="array" ref="E4697">_xlfn.XLOOKUP(D4697,Insumos!B:B,Insumos!C:$C)</f>
        <v>M2</v>
      </c>
      <c r="F4697" s="86">
        <v>1</v>
      </c>
      <c r="G4697" s="92">
        <f t="array" ref="G4697">IF(B4697="insumo",_xlfn.XLOOKUP($D4697,Insumos!$B$1:$B$996,Insumos!$D$1:$D$996),"")</f>
        <v>300</v>
      </c>
      <c r="H4697" s="92">
        <v>300</v>
      </c>
      <c r="I4697" s="84">
        <v>0</v>
      </c>
      <c r="J4697" s="84">
        <v>0</v>
      </c>
      <c r="K4697" s="84"/>
      <c r="L4697"/>
      <c r="M4697"/>
      <c r="N4697"/>
      <c r="O4697"/>
      <c r="P4697"/>
      <c r="Q4697"/>
      <c r="R4697"/>
      <c r="S4697"/>
      <c r="T4697"/>
      <c r="U4697"/>
      <c r="V4697"/>
      <c r="W4697"/>
      <c r="X4697"/>
      <c r="Y4697"/>
      <c r="Z4697"/>
      <c r="AA4697"/>
      <c r="AB4697"/>
      <c r="AC4697"/>
      <c r="AD4697"/>
      <c r="AE4697"/>
      <c r="AF4697"/>
      <c r="AG4697"/>
      <c r="AH4697"/>
      <c r="AI4697"/>
      <c r="AJ4697"/>
      <c r="AK4697"/>
      <c r="AL4697"/>
    </row>
    <row r="4698" spans="1:38" ht="12.75" outlineLevel="2" x14ac:dyDescent="0.2">
      <c r="A4698" s="1071">
        <v>1</v>
      </c>
      <c r="B4698" s="1071" t="s">
        <v>68</v>
      </c>
      <c r="C4698" s="1071" t="s">
        <v>1981</v>
      </c>
      <c r="D4698" s="1071" t="s">
        <v>1981</v>
      </c>
      <c r="E4698" s="1072" t="s">
        <v>70</v>
      </c>
      <c r="F4698" s="1071"/>
      <c r="G4698" s="1073" t="str">
        <f t="array" ref="G4698">IF(B4698="insumo",_xlfn.XLOOKUP($D4698,Insumos!$B$1:$B$996,Insumos!$D$1:$D$996),"")</f>
        <v/>
      </c>
      <c r="H4698" s="1073">
        <v>1415.0275930380601</v>
      </c>
      <c r="I4698" s="1074">
        <v>0</v>
      </c>
      <c r="J4698" s="1074">
        <v>0</v>
      </c>
      <c r="K4698" s="1074"/>
      <c r="L4698"/>
      <c r="M4698"/>
      <c r="N4698"/>
      <c r="O4698"/>
      <c r="P4698"/>
      <c r="Q4698"/>
      <c r="R4698"/>
      <c r="S4698"/>
      <c r="T4698"/>
      <c r="U4698"/>
      <c r="V4698"/>
      <c r="W4698"/>
      <c r="X4698"/>
      <c r="Y4698"/>
      <c r="Z4698"/>
      <c r="AA4698"/>
      <c r="AB4698"/>
      <c r="AC4698"/>
      <c r="AD4698"/>
      <c r="AE4698"/>
      <c r="AF4698"/>
      <c r="AG4698"/>
      <c r="AH4698"/>
      <c r="AI4698"/>
      <c r="AJ4698"/>
      <c r="AK4698"/>
      <c r="AL4698"/>
    </row>
    <row r="4699" spans="1:38" ht="12.75" outlineLevel="3" x14ac:dyDescent="0.2">
      <c r="A4699" s="82">
        <v>2</v>
      </c>
      <c r="B4699" s="82" t="s">
        <v>71</v>
      </c>
      <c r="C4699" s="82" t="s">
        <v>1981</v>
      </c>
      <c r="D4699" s="82" t="s">
        <v>795</v>
      </c>
      <c r="E4699" s="11" t="str">
        <f t="array" ref="E4699">_xlfn.XLOOKUP(D4699,Insumos!B:B,Insumos!C:$C)</f>
        <v>M2</v>
      </c>
      <c r="F4699" s="86">
        <v>1</v>
      </c>
      <c r="G4699" s="92">
        <f t="array" ref="G4699">IF(B4699="insumo",_xlfn.XLOOKUP($D4699,Insumos!$B$1:$B$996,Insumos!$D$1:$D$996),"")</f>
        <v>1415.0275930380642</v>
      </c>
      <c r="H4699" s="92">
        <v>1415.0275930380601</v>
      </c>
      <c r="I4699" s="84">
        <v>0</v>
      </c>
      <c r="J4699" s="84">
        <v>0</v>
      </c>
      <c r="K4699" s="84"/>
      <c r="L4699"/>
      <c r="M4699"/>
      <c r="N4699"/>
      <c r="O4699"/>
      <c r="P4699"/>
      <c r="Q4699"/>
      <c r="R4699"/>
      <c r="S4699"/>
      <c r="T4699"/>
      <c r="U4699"/>
      <c r="V4699"/>
      <c r="W4699"/>
      <c r="X4699"/>
      <c r="Y4699"/>
      <c r="Z4699"/>
      <c r="AA4699"/>
      <c r="AB4699"/>
      <c r="AC4699"/>
      <c r="AD4699"/>
      <c r="AE4699"/>
      <c r="AF4699"/>
      <c r="AG4699"/>
      <c r="AH4699"/>
      <c r="AI4699"/>
      <c r="AJ4699"/>
      <c r="AK4699"/>
      <c r="AL4699"/>
    </row>
    <row r="4700" spans="1:38" ht="15.75" customHeight="1" outlineLevel="1" x14ac:dyDescent="0.2">
      <c r="A4700" s="1090">
        <v>1</v>
      </c>
      <c r="B4700" s="1090" t="s">
        <v>1228</v>
      </c>
      <c r="C4700" s="1090" t="s">
        <v>1981</v>
      </c>
      <c r="D4700" s="1090" t="s">
        <v>1650</v>
      </c>
      <c r="E4700" s="1091"/>
      <c r="F4700" s="1092"/>
      <c r="G4700" s="1091"/>
      <c r="H4700" s="1091">
        <v>0</v>
      </c>
      <c r="I4700" s="1092">
        <v>0</v>
      </c>
      <c r="J4700" s="1092">
        <v>0</v>
      </c>
      <c r="K4700" s="1092"/>
      <c r="L4700"/>
      <c r="M4700"/>
      <c r="N4700"/>
      <c r="O4700"/>
      <c r="P4700"/>
      <c r="Q4700"/>
      <c r="R4700"/>
      <c r="S4700"/>
      <c r="T4700"/>
      <c r="U4700"/>
      <c r="V4700"/>
      <c r="W4700"/>
      <c r="X4700"/>
      <c r="Y4700"/>
      <c r="Z4700"/>
      <c r="AA4700"/>
      <c r="AB4700"/>
      <c r="AC4700"/>
      <c r="AD4700"/>
      <c r="AE4700"/>
      <c r="AF4700"/>
      <c r="AG4700"/>
      <c r="AH4700"/>
      <c r="AI4700"/>
      <c r="AJ4700"/>
      <c r="AK4700"/>
      <c r="AL4700"/>
    </row>
    <row r="4701" spans="1:38" ht="15.75" customHeight="1" outlineLevel="2" x14ac:dyDescent="0.2">
      <c r="A4701" s="1067">
        <v>1</v>
      </c>
      <c r="B4701" s="1067" t="s">
        <v>68</v>
      </c>
      <c r="C4701" s="1067" t="s">
        <v>1645</v>
      </c>
      <c r="D4701" s="1067" t="s">
        <v>1645</v>
      </c>
      <c r="E4701" s="1068" t="s">
        <v>70</v>
      </c>
      <c r="F4701" s="1075"/>
      <c r="G4701" s="1069" t="str">
        <f t="array" ref="G4701">IF(B4701="insumo",_xlfn.XLOOKUP($D4701,Insumos!$B$1:$B$996,Insumos!$D$1:$D$996),"")</f>
        <v/>
      </c>
      <c r="H4701" s="1069">
        <v>30</v>
      </c>
      <c r="I4701" s="1070">
        <v>0</v>
      </c>
      <c r="J4701" s="1070">
        <v>0</v>
      </c>
      <c r="K4701" s="1070"/>
      <c r="L4701"/>
      <c r="M4701"/>
      <c r="N4701"/>
      <c r="O4701"/>
      <c r="P4701"/>
      <c r="Q4701"/>
      <c r="R4701"/>
      <c r="S4701"/>
      <c r="T4701"/>
      <c r="U4701"/>
      <c r="V4701"/>
      <c r="W4701"/>
      <c r="X4701"/>
      <c r="Y4701"/>
      <c r="Z4701"/>
      <c r="AA4701"/>
      <c r="AB4701"/>
      <c r="AC4701"/>
      <c r="AD4701"/>
      <c r="AE4701"/>
      <c r="AF4701"/>
      <c r="AG4701"/>
      <c r="AH4701"/>
      <c r="AI4701"/>
      <c r="AJ4701"/>
      <c r="AK4701"/>
      <c r="AL4701"/>
    </row>
    <row r="4702" spans="1:38" ht="15.75" customHeight="1" outlineLevel="3" x14ac:dyDescent="0.2">
      <c r="A4702" s="10">
        <v>2</v>
      </c>
      <c r="B4702" s="10" t="s">
        <v>71</v>
      </c>
      <c r="C4702" s="10" t="s">
        <v>1645</v>
      </c>
      <c r="D4702" s="10" t="s">
        <v>543</v>
      </c>
      <c r="E4702" s="11" t="str">
        <f t="array" ref="E4702">_xlfn.XLOOKUP(D4702,Insumos!B:B,Insumos!C:$C)</f>
        <v>M2</v>
      </c>
      <c r="F4702" s="14">
        <v>1</v>
      </c>
      <c r="G4702" s="92">
        <f t="array" ref="G4702">IF(B4702="insumo",_xlfn.XLOOKUP($D4702,Insumos!$B$1:$B$996,Insumos!$D$1:$D$996),"")</f>
        <v>30</v>
      </c>
      <c r="H4702" s="92">
        <v>30</v>
      </c>
      <c r="I4702" s="13">
        <v>0</v>
      </c>
      <c r="J4702" s="13">
        <v>0</v>
      </c>
      <c r="K4702" s="13"/>
      <c r="L4702"/>
      <c r="M4702"/>
      <c r="N4702"/>
      <c r="O4702"/>
      <c r="P4702"/>
      <c r="Q4702"/>
      <c r="R4702"/>
      <c r="S4702"/>
      <c r="T4702"/>
      <c r="U4702"/>
      <c r="V4702"/>
      <c r="W4702"/>
      <c r="X4702"/>
      <c r="Y4702"/>
      <c r="Z4702"/>
      <c r="AA4702"/>
      <c r="AB4702"/>
      <c r="AC4702"/>
      <c r="AD4702"/>
      <c r="AE4702"/>
      <c r="AF4702"/>
      <c r="AG4702"/>
      <c r="AH4702"/>
      <c r="AI4702"/>
      <c r="AJ4702"/>
      <c r="AK4702"/>
      <c r="AL4702"/>
    </row>
    <row r="4703" spans="1:38" ht="15.75" customHeight="1" outlineLevel="2" x14ac:dyDescent="0.2">
      <c r="A4703" s="1067">
        <v>1</v>
      </c>
      <c r="B4703" s="1067" t="s">
        <v>68</v>
      </c>
      <c r="C4703" s="1067" t="s">
        <v>3151</v>
      </c>
      <c r="D4703" s="1067" t="s">
        <v>3151</v>
      </c>
      <c r="E4703" s="1068" t="s">
        <v>70</v>
      </c>
      <c r="F4703" s="1075"/>
      <c r="G4703" s="1069" t="str">
        <f t="array" ref="G4703">IF(B4703="insumo",_xlfn.XLOOKUP($D4703,Insumos!$B$1:$B$996,Insumos!$D$1:$D$996),"")</f>
        <v/>
      </c>
      <c r="H4703" s="1069">
        <v>25</v>
      </c>
      <c r="I4703" s="1070">
        <v>0</v>
      </c>
      <c r="J4703" s="1070">
        <v>0</v>
      </c>
      <c r="K4703" s="1070"/>
      <c r="L4703"/>
      <c r="M4703"/>
      <c r="N4703"/>
      <c r="O4703"/>
      <c r="P4703"/>
      <c r="Q4703"/>
      <c r="R4703"/>
      <c r="S4703"/>
      <c r="T4703"/>
      <c r="U4703"/>
      <c r="V4703"/>
      <c r="W4703"/>
      <c r="X4703"/>
      <c r="Y4703"/>
      <c r="Z4703"/>
      <c r="AA4703"/>
      <c r="AB4703"/>
      <c r="AC4703"/>
      <c r="AD4703"/>
      <c r="AE4703"/>
      <c r="AF4703"/>
      <c r="AG4703"/>
      <c r="AH4703"/>
      <c r="AI4703"/>
      <c r="AJ4703"/>
      <c r="AK4703"/>
      <c r="AL4703"/>
    </row>
    <row r="4704" spans="1:38" ht="15.75" customHeight="1" outlineLevel="3" x14ac:dyDescent="0.2">
      <c r="A4704" s="10">
        <v>1</v>
      </c>
      <c r="B4704" s="10" t="s">
        <v>71</v>
      </c>
      <c r="C4704" s="10" t="s">
        <v>3151</v>
      </c>
      <c r="D4704" s="10" t="s">
        <v>3151</v>
      </c>
      <c r="E4704" s="11" t="str">
        <f t="array" ref="E4704">_xlfn.XLOOKUP(D4704,Insumos!B:B,Insumos!C:$C)</f>
        <v>M2</v>
      </c>
      <c r="F4704" s="14">
        <v>1</v>
      </c>
      <c r="G4704" s="92">
        <f t="array" ref="G4704">IF(B4704="insumo",_xlfn.XLOOKUP($D4704,Insumos!$B$1:$B$996,Insumos!$D$1:$D$996),"")</f>
        <v>25</v>
      </c>
      <c r="H4704" s="92">
        <v>25</v>
      </c>
      <c r="I4704" s="13">
        <v>0</v>
      </c>
      <c r="J4704" s="13">
        <v>0</v>
      </c>
      <c r="K4704" s="13"/>
      <c r="L4704"/>
      <c r="M4704"/>
      <c r="N4704"/>
      <c r="O4704"/>
      <c r="P4704"/>
      <c r="Q4704"/>
      <c r="R4704"/>
      <c r="S4704"/>
      <c r="T4704"/>
      <c r="U4704"/>
      <c r="V4704"/>
      <c r="W4704"/>
      <c r="X4704"/>
      <c r="Y4704"/>
      <c r="Z4704"/>
      <c r="AA4704"/>
      <c r="AB4704"/>
      <c r="AC4704"/>
      <c r="AD4704"/>
      <c r="AE4704"/>
      <c r="AF4704"/>
      <c r="AG4704"/>
      <c r="AH4704"/>
      <c r="AI4704"/>
      <c r="AJ4704"/>
      <c r="AK4704"/>
      <c r="AL4704"/>
    </row>
    <row r="4705" spans="1:38" ht="15.75" customHeight="1" outlineLevel="2" x14ac:dyDescent="0.2">
      <c r="A4705" s="1067">
        <v>1</v>
      </c>
      <c r="B4705" s="1067" t="s">
        <v>68</v>
      </c>
      <c r="C4705" s="1067" t="s">
        <v>924</v>
      </c>
      <c r="D4705" s="1067" t="s">
        <v>924</v>
      </c>
      <c r="E4705" s="1068" t="s">
        <v>70</v>
      </c>
      <c r="F4705" s="1075"/>
      <c r="G4705" s="1069" t="str">
        <f t="array" ref="G4705">IF(B4705="insumo",_xlfn.XLOOKUP($D4705,Insumos!$B$1:$B$996,Insumos!$D$1:$D$996),"")</f>
        <v/>
      </c>
      <c r="H4705" s="1069">
        <v>62</v>
      </c>
      <c r="I4705" s="1070" t="e">
        <v>#REF!</v>
      </c>
      <c r="J4705" s="1070" t="e">
        <v>#REF!</v>
      </c>
      <c r="K4705" s="1070"/>
      <c r="L4705"/>
      <c r="M4705"/>
      <c r="N4705"/>
      <c r="O4705"/>
      <c r="P4705"/>
      <c r="Q4705"/>
      <c r="R4705"/>
      <c r="S4705"/>
      <c r="T4705"/>
      <c r="U4705"/>
      <c r="V4705"/>
      <c r="W4705"/>
      <c r="X4705"/>
      <c r="Y4705"/>
      <c r="Z4705"/>
      <c r="AA4705"/>
      <c r="AB4705"/>
      <c r="AC4705"/>
      <c r="AD4705"/>
      <c r="AE4705"/>
      <c r="AF4705"/>
      <c r="AG4705"/>
      <c r="AH4705"/>
      <c r="AI4705"/>
      <c r="AJ4705"/>
      <c r="AK4705"/>
      <c r="AL4705"/>
    </row>
    <row r="4706" spans="1:38" ht="15.75" customHeight="1" outlineLevel="3" x14ac:dyDescent="0.2">
      <c r="A4706" s="10">
        <v>1</v>
      </c>
      <c r="B4706" s="10" t="s">
        <v>71</v>
      </c>
      <c r="C4706" s="10" t="s">
        <v>924</v>
      </c>
      <c r="D4706" s="10" t="s">
        <v>924</v>
      </c>
      <c r="E4706" s="11" t="str">
        <f t="array" ref="E4706">_xlfn.XLOOKUP(D4706,Insumos!B:B,Insumos!C:$C)</f>
        <v>UN</v>
      </c>
      <c r="F4706" s="14">
        <v>1</v>
      </c>
      <c r="G4706" s="92">
        <f t="array" ref="G4706">IF(B4706="insumo",_xlfn.XLOOKUP($D4706,Insumos!$B$1:$B$996,Insumos!$D$1:$D$996),"")</f>
        <v>62</v>
      </c>
      <c r="H4706" s="92">
        <v>62</v>
      </c>
      <c r="I4706" s="13" t="e">
        <v>#REF!</v>
      </c>
      <c r="J4706" s="13" t="e">
        <v>#REF!</v>
      </c>
      <c r="K4706" s="13"/>
      <c r="L4706"/>
      <c r="M4706"/>
      <c r="N4706"/>
      <c r="O4706"/>
      <c r="P4706"/>
      <c r="Q4706"/>
      <c r="R4706"/>
      <c r="S4706"/>
      <c r="T4706"/>
      <c r="U4706"/>
      <c r="V4706"/>
      <c r="W4706"/>
      <c r="X4706"/>
      <c r="Y4706"/>
      <c r="Z4706"/>
      <c r="AA4706"/>
      <c r="AB4706"/>
      <c r="AC4706"/>
      <c r="AD4706"/>
      <c r="AE4706"/>
      <c r="AF4706"/>
      <c r="AG4706"/>
      <c r="AH4706"/>
      <c r="AI4706"/>
      <c r="AJ4706"/>
      <c r="AK4706"/>
      <c r="AL4706"/>
    </row>
    <row r="4707" spans="1:38" ht="15.75" customHeight="1" outlineLevel="2" x14ac:dyDescent="0.2">
      <c r="A4707" s="1067">
        <v>1</v>
      </c>
      <c r="B4707" s="1067" t="s">
        <v>68</v>
      </c>
      <c r="C4707" s="1067" t="s">
        <v>925</v>
      </c>
      <c r="D4707" s="1067" t="s">
        <v>925</v>
      </c>
      <c r="E4707" s="1068" t="s">
        <v>70</v>
      </c>
      <c r="F4707" s="1075"/>
      <c r="G4707" s="1069" t="str">
        <f t="array" ref="G4707">IF(B4707="insumo",_xlfn.XLOOKUP($D4707,Insumos!$B$1:$B$996,Insumos!$D$1:$D$996),"")</f>
        <v/>
      </c>
      <c r="H4707" s="1069">
        <v>58</v>
      </c>
      <c r="I4707" s="1070" t="e">
        <v>#REF!</v>
      </c>
      <c r="J4707" s="1070" t="e">
        <v>#REF!</v>
      </c>
      <c r="K4707" s="1070"/>
      <c r="L4707"/>
      <c r="M4707"/>
      <c r="N4707"/>
      <c r="O4707"/>
      <c r="P4707"/>
      <c r="Q4707"/>
      <c r="R4707"/>
      <c r="S4707"/>
      <c r="T4707"/>
      <c r="U4707"/>
      <c r="V4707"/>
      <c r="W4707"/>
      <c r="X4707"/>
      <c r="Y4707"/>
      <c r="Z4707"/>
      <c r="AA4707"/>
      <c r="AB4707"/>
      <c r="AC4707"/>
      <c r="AD4707"/>
      <c r="AE4707"/>
      <c r="AF4707"/>
      <c r="AG4707"/>
      <c r="AH4707"/>
      <c r="AI4707"/>
      <c r="AJ4707"/>
      <c r="AK4707"/>
      <c r="AL4707"/>
    </row>
    <row r="4708" spans="1:38" ht="15.75" customHeight="1" outlineLevel="3" x14ac:dyDescent="0.2">
      <c r="A4708" s="10">
        <v>1</v>
      </c>
      <c r="B4708" s="10" t="s">
        <v>71</v>
      </c>
      <c r="C4708" s="10" t="s">
        <v>925</v>
      </c>
      <c r="D4708" s="10" t="s">
        <v>925</v>
      </c>
      <c r="E4708" s="11" t="str">
        <f t="array" ref="E4708">_xlfn.XLOOKUP(D4708,Insumos!B:B,Insumos!C:$C)</f>
        <v>UN</v>
      </c>
      <c r="F4708" s="14">
        <v>1</v>
      </c>
      <c r="G4708" s="92">
        <f t="array" ref="G4708">IF(B4708="insumo",_xlfn.XLOOKUP($D4708,Insumos!$B$1:$B$996,Insumos!$D$1:$D$996),"")</f>
        <v>58</v>
      </c>
      <c r="H4708" s="92">
        <v>58</v>
      </c>
      <c r="I4708" s="13" t="e">
        <v>#REF!</v>
      </c>
      <c r="J4708" s="13" t="e">
        <v>#REF!</v>
      </c>
      <c r="K4708" s="13"/>
      <c r="L4708"/>
      <c r="M4708"/>
      <c r="N4708"/>
      <c r="O4708"/>
      <c r="P4708"/>
      <c r="Q4708"/>
      <c r="R4708"/>
      <c r="S4708"/>
      <c r="T4708"/>
      <c r="U4708"/>
      <c r="V4708"/>
      <c r="W4708"/>
      <c r="X4708"/>
      <c r="Y4708"/>
      <c r="Z4708"/>
      <c r="AA4708"/>
      <c r="AB4708"/>
      <c r="AC4708"/>
      <c r="AD4708"/>
      <c r="AE4708"/>
      <c r="AF4708"/>
      <c r="AG4708"/>
      <c r="AH4708"/>
      <c r="AI4708"/>
      <c r="AJ4708"/>
      <c r="AK4708"/>
      <c r="AL4708"/>
    </row>
    <row r="4709" spans="1:38" ht="15.75" customHeight="1" outlineLevel="2" x14ac:dyDescent="0.2">
      <c r="A4709" s="1067">
        <v>1</v>
      </c>
      <c r="B4709" s="1067" t="s">
        <v>68</v>
      </c>
      <c r="C4709" s="1067" t="s">
        <v>926</v>
      </c>
      <c r="D4709" s="1067" t="s">
        <v>926</v>
      </c>
      <c r="E4709" s="1068" t="s">
        <v>70</v>
      </c>
      <c r="F4709" s="1075"/>
      <c r="G4709" s="1069" t="str">
        <f t="array" ref="G4709">IF(B4709="insumo",_xlfn.XLOOKUP($D4709,Insumos!$B$1:$B$996,Insumos!$D$1:$D$996),"")</f>
        <v/>
      </c>
      <c r="H4709" s="1069">
        <v>58</v>
      </c>
      <c r="I4709" s="1070" t="e">
        <v>#REF!</v>
      </c>
      <c r="J4709" s="1070" t="e">
        <v>#REF!</v>
      </c>
      <c r="K4709" s="1070"/>
      <c r="L4709"/>
      <c r="M4709"/>
      <c r="N4709"/>
      <c r="O4709"/>
      <c r="P4709"/>
      <c r="Q4709"/>
      <c r="R4709"/>
      <c r="S4709"/>
      <c r="T4709"/>
      <c r="U4709"/>
      <c r="V4709"/>
      <c r="W4709"/>
      <c r="X4709"/>
      <c r="Y4709"/>
      <c r="Z4709"/>
      <c r="AA4709"/>
      <c r="AB4709"/>
      <c r="AC4709"/>
      <c r="AD4709"/>
      <c r="AE4709"/>
      <c r="AF4709"/>
      <c r="AG4709"/>
      <c r="AH4709"/>
      <c r="AI4709"/>
      <c r="AJ4709"/>
      <c r="AK4709"/>
      <c r="AL4709"/>
    </row>
    <row r="4710" spans="1:38" ht="15.75" customHeight="1" outlineLevel="3" x14ac:dyDescent="0.2">
      <c r="A4710" s="10">
        <v>1</v>
      </c>
      <c r="B4710" s="10" t="s">
        <v>71</v>
      </c>
      <c r="C4710" s="10" t="s">
        <v>926</v>
      </c>
      <c r="D4710" s="10" t="s">
        <v>926</v>
      </c>
      <c r="E4710" s="11" t="str">
        <f t="array" ref="E4710">_xlfn.XLOOKUP(D4710,Insumos!B:B,Insumos!C:$C)</f>
        <v>UN</v>
      </c>
      <c r="F4710" s="14">
        <v>1</v>
      </c>
      <c r="G4710" s="92">
        <f t="array" ref="G4710">IF(B4710="insumo",_xlfn.XLOOKUP($D4710,Insumos!$B$1:$B$996,Insumos!$D$1:$D$996),"")</f>
        <v>58</v>
      </c>
      <c r="H4710" s="92">
        <v>58</v>
      </c>
      <c r="I4710" s="13" t="e">
        <v>#REF!</v>
      </c>
      <c r="J4710" s="13" t="e">
        <v>#REF!</v>
      </c>
      <c r="K4710" s="13"/>
      <c r="L4710"/>
      <c r="M4710"/>
      <c r="N4710"/>
      <c r="O4710"/>
      <c r="P4710"/>
      <c r="Q4710"/>
      <c r="R4710"/>
      <c r="S4710"/>
      <c r="T4710"/>
      <c r="U4710"/>
      <c r="V4710"/>
      <c r="W4710"/>
      <c r="X4710"/>
      <c r="Y4710"/>
      <c r="Z4710"/>
      <c r="AA4710"/>
      <c r="AB4710"/>
      <c r="AC4710"/>
      <c r="AD4710"/>
      <c r="AE4710"/>
      <c r="AF4710"/>
      <c r="AG4710"/>
      <c r="AH4710"/>
      <c r="AI4710"/>
      <c r="AJ4710"/>
      <c r="AK4710"/>
      <c r="AL4710"/>
    </row>
    <row r="4711" spans="1:38" ht="15.75" customHeight="1" outlineLevel="2" x14ac:dyDescent="0.2">
      <c r="A4711" s="1067">
        <v>1</v>
      </c>
      <c r="B4711" s="1067" t="s">
        <v>68</v>
      </c>
      <c r="C4711" s="1067" t="s">
        <v>927</v>
      </c>
      <c r="D4711" s="1067" t="s">
        <v>927</v>
      </c>
      <c r="E4711" s="1068" t="s">
        <v>70</v>
      </c>
      <c r="F4711" s="1075"/>
      <c r="G4711" s="1069" t="str">
        <f t="array" ref="G4711">IF(B4711="insumo",_xlfn.XLOOKUP($D4711,Insumos!$B$1:$B$996,Insumos!$D$1:$D$996),"")</f>
        <v/>
      </c>
      <c r="H4711" s="1069">
        <v>95</v>
      </c>
      <c r="I4711" s="1070" t="e">
        <v>#REF!</v>
      </c>
      <c r="J4711" s="1070" t="e">
        <v>#REF!</v>
      </c>
      <c r="K4711" s="1070"/>
      <c r="L4711"/>
      <c r="M4711"/>
      <c r="N4711"/>
      <c r="O4711"/>
      <c r="P4711"/>
      <c r="Q4711"/>
      <c r="R4711"/>
      <c r="S4711"/>
      <c r="T4711"/>
      <c r="U4711"/>
      <c r="V4711"/>
      <c r="W4711"/>
      <c r="X4711"/>
      <c r="Y4711"/>
      <c r="Z4711"/>
      <c r="AA4711"/>
      <c r="AB4711"/>
      <c r="AC4711"/>
      <c r="AD4711"/>
      <c r="AE4711"/>
      <c r="AF4711"/>
      <c r="AG4711"/>
      <c r="AH4711"/>
      <c r="AI4711"/>
      <c r="AJ4711"/>
      <c r="AK4711"/>
      <c r="AL4711"/>
    </row>
    <row r="4712" spans="1:38" ht="15.75" customHeight="1" outlineLevel="3" x14ac:dyDescent="0.2">
      <c r="A4712" s="10">
        <v>1</v>
      </c>
      <c r="B4712" s="10" t="s">
        <v>71</v>
      </c>
      <c r="C4712" s="10" t="s">
        <v>927</v>
      </c>
      <c r="D4712" s="10" t="s">
        <v>927</v>
      </c>
      <c r="E4712" s="11" t="str">
        <f t="array" ref="E4712">_xlfn.XLOOKUP(D4712,Insumos!B:B,Insumos!C:$C)</f>
        <v>UN</v>
      </c>
      <c r="F4712" s="14">
        <v>1</v>
      </c>
      <c r="G4712" s="92">
        <f t="array" ref="G4712">IF(B4712="insumo",_xlfn.XLOOKUP($D4712,Insumos!$B$1:$B$996,Insumos!$D$1:$D$996),"")</f>
        <v>95</v>
      </c>
      <c r="H4712" s="92">
        <v>95</v>
      </c>
      <c r="I4712" s="13" t="e">
        <v>#REF!</v>
      </c>
      <c r="J4712" s="13" t="e">
        <v>#REF!</v>
      </c>
      <c r="K4712" s="13"/>
      <c r="L4712"/>
      <c r="M4712"/>
      <c r="N4712"/>
      <c r="O4712"/>
      <c r="P4712"/>
      <c r="Q4712"/>
      <c r="R4712"/>
      <c r="S4712"/>
      <c r="T4712"/>
      <c r="U4712"/>
      <c r="V4712"/>
      <c r="W4712"/>
      <c r="X4712"/>
      <c r="Y4712"/>
      <c r="Z4712"/>
      <c r="AA4712"/>
      <c r="AB4712"/>
      <c r="AC4712"/>
      <c r="AD4712"/>
      <c r="AE4712"/>
      <c r="AF4712"/>
      <c r="AG4712"/>
      <c r="AH4712"/>
      <c r="AI4712"/>
      <c r="AJ4712"/>
      <c r="AK4712"/>
      <c r="AL4712"/>
    </row>
    <row r="4713" spans="1:38" ht="15.75" customHeight="1" outlineLevel="2" x14ac:dyDescent="0.2">
      <c r="A4713" s="1067">
        <v>1</v>
      </c>
      <c r="B4713" s="1067" t="s">
        <v>68</v>
      </c>
      <c r="C4713" s="1067" t="s">
        <v>928</v>
      </c>
      <c r="D4713" s="1067" t="s">
        <v>928</v>
      </c>
      <c r="E4713" s="1068" t="s">
        <v>70</v>
      </c>
      <c r="F4713" s="1075"/>
      <c r="G4713" s="1069" t="str">
        <f t="array" ref="G4713">IF(B4713="insumo",_xlfn.XLOOKUP($D4713,Insumos!$B$1:$B$996,Insumos!$D$1:$D$996),"")</f>
        <v/>
      </c>
      <c r="H4713" s="1069">
        <v>85</v>
      </c>
      <c r="I4713" s="1070" t="e">
        <v>#REF!</v>
      </c>
      <c r="J4713" s="1070" t="e">
        <v>#REF!</v>
      </c>
      <c r="K4713" s="1070"/>
      <c r="L4713"/>
      <c r="M4713"/>
      <c r="N4713"/>
      <c r="O4713"/>
      <c r="P4713"/>
      <c r="Q4713"/>
      <c r="R4713"/>
      <c r="S4713"/>
      <c r="T4713"/>
      <c r="U4713"/>
      <c r="V4713"/>
      <c r="W4713"/>
      <c r="X4713"/>
      <c r="Y4713"/>
      <c r="Z4713"/>
      <c r="AA4713"/>
      <c r="AB4713"/>
      <c r="AC4713"/>
      <c r="AD4713"/>
      <c r="AE4713"/>
      <c r="AF4713"/>
      <c r="AG4713"/>
      <c r="AH4713"/>
      <c r="AI4713"/>
      <c r="AJ4713"/>
      <c r="AK4713"/>
      <c r="AL4713"/>
    </row>
    <row r="4714" spans="1:38" ht="15.75" customHeight="1" outlineLevel="3" x14ac:dyDescent="0.2">
      <c r="A4714" s="10">
        <v>1</v>
      </c>
      <c r="B4714" s="10" t="s">
        <v>71</v>
      </c>
      <c r="C4714" s="10" t="s">
        <v>928</v>
      </c>
      <c r="D4714" s="10" t="s">
        <v>928</v>
      </c>
      <c r="E4714" s="11" t="str">
        <f t="array" ref="E4714">_xlfn.XLOOKUP(D4714,Insumos!B:B,Insumos!C:$C)</f>
        <v>UN</v>
      </c>
      <c r="F4714" s="14">
        <v>1</v>
      </c>
      <c r="G4714" s="92">
        <f t="array" ref="G4714">IF(B4714="insumo",_xlfn.XLOOKUP($D4714,Insumos!$B$1:$B$996,Insumos!$D$1:$D$996),"")</f>
        <v>85</v>
      </c>
      <c r="H4714" s="92">
        <v>85</v>
      </c>
      <c r="I4714" s="13" t="e">
        <v>#REF!</v>
      </c>
      <c r="J4714" s="13" t="e">
        <v>#REF!</v>
      </c>
      <c r="K4714" s="13"/>
      <c r="L4714"/>
      <c r="M4714"/>
      <c r="N4714"/>
      <c r="O4714"/>
      <c r="P4714"/>
      <c r="Q4714"/>
      <c r="R4714"/>
      <c r="S4714"/>
      <c r="T4714"/>
      <c r="U4714"/>
      <c r="V4714"/>
      <c r="W4714"/>
      <c r="X4714"/>
      <c r="Y4714"/>
      <c r="Z4714"/>
      <c r="AA4714"/>
      <c r="AB4714"/>
      <c r="AC4714"/>
      <c r="AD4714"/>
      <c r="AE4714"/>
      <c r="AF4714"/>
      <c r="AG4714"/>
      <c r="AH4714"/>
      <c r="AI4714"/>
      <c r="AJ4714"/>
      <c r="AK4714"/>
      <c r="AL4714"/>
    </row>
    <row r="4715" spans="1:38" ht="15.75" customHeight="1" outlineLevel="2" x14ac:dyDescent="0.2">
      <c r="A4715" s="1067">
        <v>1</v>
      </c>
      <c r="B4715" s="1067" t="s">
        <v>68</v>
      </c>
      <c r="C4715" s="1067" t="s">
        <v>3153</v>
      </c>
      <c r="D4715" s="1067" t="s">
        <v>3153</v>
      </c>
      <c r="E4715" s="1068" t="s">
        <v>70</v>
      </c>
      <c r="F4715" s="1075"/>
      <c r="G4715" s="1069" t="str">
        <f t="array" ref="G4715">IF(B4715="insumo",_xlfn.XLOOKUP($D4715,Insumos!$B$1:$B$996,Insumos!$D$1:$D$996),"")</f>
        <v/>
      </c>
      <c r="H4715" s="1069">
        <v>95</v>
      </c>
      <c r="I4715" s="1070" t="e">
        <v>#REF!</v>
      </c>
      <c r="J4715" s="1070" t="e">
        <v>#REF!</v>
      </c>
      <c r="K4715" s="1070"/>
      <c r="L4715"/>
      <c r="M4715"/>
      <c r="N4715"/>
      <c r="O4715"/>
      <c r="P4715"/>
      <c r="Q4715"/>
      <c r="R4715"/>
      <c r="S4715"/>
      <c r="T4715"/>
      <c r="U4715"/>
      <c r="V4715"/>
      <c r="W4715"/>
      <c r="X4715"/>
      <c r="Y4715"/>
      <c r="Z4715"/>
      <c r="AA4715"/>
      <c r="AB4715"/>
      <c r="AC4715"/>
      <c r="AD4715"/>
      <c r="AE4715"/>
      <c r="AF4715"/>
      <c r="AG4715"/>
      <c r="AH4715"/>
      <c r="AI4715"/>
      <c r="AJ4715"/>
      <c r="AK4715"/>
      <c r="AL4715"/>
    </row>
    <row r="4716" spans="1:38" ht="15.75" customHeight="1" outlineLevel="3" x14ac:dyDescent="0.2">
      <c r="A4716" s="10">
        <v>2</v>
      </c>
      <c r="B4716" s="10" t="s">
        <v>71</v>
      </c>
      <c r="C4716" s="10" t="s">
        <v>3153</v>
      </c>
      <c r="D4716" s="10" t="s">
        <v>929</v>
      </c>
      <c r="E4716" s="11" t="str">
        <f t="array" ref="E4716">_xlfn.XLOOKUP(D4716,Insumos!B:B,Insumos!C:$C)</f>
        <v>M2</v>
      </c>
      <c r="F4716" s="14">
        <v>1</v>
      </c>
      <c r="G4716" s="92">
        <f t="array" ref="G4716">IF(B4716="insumo",_xlfn.XLOOKUP($D4716,Insumos!$B$1:$B$996,Insumos!$D$1:$D$996),"")</f>
        <v>95</v>
      </c>
      <c r="H4716" s="92">
        <v>95</v>
      </c>
      <c r="I4716" s="13" t="e">
        <v>#REF!</v>
      </c>
      <c r="J4716" s="13" t="e">
        <v>#REF!</v>
      </c>
      <c r="K4716" s="13"/>
      <c r="L4716"/>
      <c r="M4716"/>
      <c r="N4716"/>
      <c r="O4716"/>
      <c r="P4716"/>
      <c r="Q4716"/>
      <c r="R4716"/>
      <c r="S4716"/>
      <c r="T4716"/>
      <c r="U4716"/>
      <c r="V4716"/>
      <c r="W4716"/>
      <c r="X4716"/>
      <c r="Y4716"/>
      <c r="Z4716"/>
      <c r="AA4716"/>
      <c r="AB4716"/>
      <c r="AC4716"/>
      <c r="AD4716"/>
      <c r="AE4716"/>
      <c r="AF4716"/>
      <c r="AG4716"/>
      <c r="AH4716"/>
      <c r="AI4716"/>
      <c r="AJ4716"/>
      <c r="AK4716"/>
      <c r="AL4716"/>
    </row>
    <row r="4717" spans="1:38" ht="15.75" customHeight="1" outlineLevel="2" x14ac:dyDescent="0.2">
      <c r="A4717" s="1067">
        <v>1</v>
      </c>
      <c r="B4717" s="1067" t="s">
        <v>68</v>
      </c>
      <c r="C4717" s="1067" t="s">
        <v>929</v>
      </c>
      <c r="D4717" s="1067" t="s">
        <v>929</v>
      </c>
      <c r="E4717" s="1068" t="s">
        <v>70</v>
      </c>
      <c r="F4717" s="1075"/>
      <c r="G4717" s="1069" t="str">
        <f t="array" ref="G4717">IF(B4717="insumo",_xlfn.XLOOKUP($D4717,Insumos!$B$1:$B$996,Insumos!$D$1:$D$996),"")</f>
        <v/>
      </c>
      <c r="H4717" s="1069">
        <v>95</v>
      </c>
      <c r="I4717" s="1070">
        <v>0</v>
      </c>
      <c r="J4717" s="1070">
        <v>0</v>
      </c>
      <c r="K4717" s="1070"/>
      <c r="L4717"/>
      <c r="M4717"/>
      <c r="N4717"/>
      <c r="O4717"/>
      <c r="P4717"/>
      <c r="Q4717"/>
      <c r="R4717"/>
      <c r="S4717"/>
      <c r="T4717"/>
      <c r="U4717"/>
      <c r="V4717"/>
      <c r="W4717"/>
      <c r="X4717"/>
      <c r="Y4717"/>
      <c r="Z4717"/>
      <c r="AA4717"/>
      <c r="AB4717"/>
      <c r="AC4717"/>
      <c r="AD4717"/>
      <c r="AE4717"/>
      <c r="AF4717"/>
      <c r="AG4717"/>
      <c r="AH4717"/>
      <c r="AI4717"/>
      <c r="AJ4717"/>
      <c r="AK4717"/>
      <c r="AL4717"/>
    </row>
    <row r="4718" spans="1:38" ht="15.75" customHeight="1" outlineLevel="3" x14ac:dyDescent="0.2">
      <c r="A4718" s="10">
        <v>2</v>
      </c>
      <c r="B4718" s="10" t="s">
        <v>71</v>
      </c>
      <c r="C4718" s="10" t="s">
        <v>929</v>
      </c>
      <c r="D4718" s="10" t="s">
        <v>929</v>
      </c>
      <c r="E4718" s="11" t="str">
        <f t="array" ref="E4718">_xlfn.XLOOKUP(D4718,Insumos!B:B,Insumos!C:$C)</f>
        <v>M2</v>
      </c>
      <c r="F4718" s="14">
        <v>1</v>
      </c>
      <c r="G4718" s="92">
        <f t="array" ref="G4718">IF(B4718="insumo",_xlfn.XLOOKUP($D4718,Insumos!$B$1:$B$996,Insumos!$D$1:$D$996),"")</f>
        <v>95</v>
      </c>
      <c r="H4718" s="92">
        <v>95</v>
      </c>
      <c r="I4718" s="13">
        <v>0</v>
      </c>
      <c r="J4718" s="13">
        <v>0</v>
      </c>
      <c r="K4718" s="13"/>
      <c r="L4718"/>
      <c r="M4718"/>
      <c r="N4718"/>
      <c r="O4718"/>
      <c r="P4718"/>
      <c r="Q4718"/>
      <c r="R4718"/>
      <c r="S4718"/>
      <c r="T4718"/>
      <c r="U4718"/>
      <c r="V4718"/>
      <c r="W4718"/>
      <c r="X4718"/>
      <c r="Y4718"/>
      <c r="Z4718"/>
      <c r="AA4718"/>
      <c r="AB4718"/>
      <c r="AC4718"/>
      <c r="AD4718"/>
      <c r="AE4718"/>
      <c r="AF4718"/>
      <c r="AG4718"/>
      <c r="AH4718"/>
      <c r="AI4718"/>
      <c r="AJ4718"/>
      <c r="AK4718"/>
      <c r="AL4718"/>
    </row>
    <row r="4719" spans="1:38" ht="15.75" customHeight="1" outlineLevel="2" x14ac:dyDescent="0.2">
      <c r="A4719" s="1067">
        <v>1</v>
      </c>
      <c r="B4719" s="1067" t="s">
        <v>68</v>
      </c>
      <c r="C4719" s="1067" t="s">
        <v>3152</v>
      </c>
      <c r="D4719" s="1067" t="s">
        <v>3152</v>
      </c>
      <c r="E4719" s="1068" t="s">
        <v>70</v>
      </c>
      <c r="F4719" s="1075"/>
      <c r="G4719" s="1069" t="str">
        <f t="array" ref="G4719">IF(B4719="insumo",_xlfn.XLOOKUP($D4719,Insumos!$B$1:$B$996,Insumos!$D$1:$D$996),"")</f>
        <v/>
      </c>
      <c r="H4719" s="1069">
        <v>120</v>
      </c>
      <c r="I4719" s="1070" t="e">
        <v>#REF!</v>
      </c>
      <c r="J4719" s="1070" t="e">
        <v>#REF!</v>
      </c>
      <c r="K4719" s="1070"/>
      <c r="L4719"/>
      <c r="M4719"/>
      <c r="N4719"/>
      <c r="O4719"/>
      <c r="P4719"/>
      <c r="Q4719"/>
      <c r="R4719"/>
      <c r="S4719"/>
      <c r="T4719"/>
      <c r="U4719"/>
      <c r="V4719"/>
      <c r="W4719"/>
      <c r="X4719"/>
      <c r="Y4719"/>
      <c r="Z4719"/>
      <c r="AA4719"/>
      <c r="AB4719"/>
      <c r="AC4719"/>
      <c r="AD4719"/>
      <c r="AE4719"/>
      <c r="AF4719"/>
      <c r="AG4719"/>
      <c r="AH4719"/>
      <c r="AI4719"/>
      <c r="AJ4719"/>
      <c r="AK4719"/>
      <c r="AL4719"/>
    </row>
    <row r="4720" spans="1:38" ht="15.75" customHeight="1" outlineLevel="3" x14ac:dyDescent="0.2">
      <c r="A4720" s="10">
        <v>1</v>
      </c>
      <c r="B4720" s="10" t="s">
        <v>71</v>
      </c>
      <c r="C4720" s="10" t="s">
        <v>3152</v>
      </c>
      <c r="D4720" s="10" t="s">
        <v>3152</v>
      </c>
      <c r="E4720" s="11" t="str">
        <f t="array" ref="E4720">_xlfn.XLOOKUP(D4720,Insumos!B:B,Insumos!C:$C)</f>
        <v>M2</v>
      </c>
      <c r="F4720" s="14">
        <v>1</v>
      </c>
      <c r="G4720" s="92">
        <f t="array" ref="G4720">IF(B4720="insumo",_xlfn.XLOOKUP($D4720,Insumos!$B$1:$B$996,Insumos!$D$1:$D$996),"")</f>
        <v>120</v>
      </c>
      <c r="H4720" s="92">
        <v>120</v>
      </c>
      <c r="I4720" s="13" t="e">
        <v>#REF!</v>
      </c>
      <c r="J4720" s="13" t="e">
        <v>#REF!</v>
      </c>
      <c r="K4720" s="13"/>
      <c r="L4720"/>
      <c r="M4720"/>
      <c r="N4720"/>
      <c r="O4720"/>
      <c r="P4720"/>
      <c r="Q4720"/>
      <c r="R4720"/>
      <c r="S4720"/>
      <c r="T4720"/>
      <c r="U4720"/>
      <c r="V4720"/>
      <c r="W4720"/>
      <c r="X4720"/>
      <c r="Y4720"/>
      <c r="Z4720"/>
      <c r="AA4720"/>
      <c r="AB4720"/>
      <c r="AC4720"/>
      <c r="AD4720"/>
      <c r="AE4720"/>
      <c r="AF4720"/>
      <c r="AG4720"/>
      <c r="AH4720"/>
      <c r="AI4720"/>
      <c r="AJ4720"/>
      <c r="AK4720"/>
      <c r="AL4720"/>
    </row>
    <row r="4721" spans="1:38" ht="15.75" customHeight="1" outlineLevel="2" x14ac:dyDescent="0.2">
      <c r="A4721" s="1067">
        <v>1</v>
      </c>
      <c r="B4721" s="1067" t="s">
        <v>68</v>
      </c>
      <c r="C4721" s="1083" t="s">
        <v>1586</v>
      </c>
      <c r="D4721" s="1083" t="s">
        <v>1586</v>
      </c>
      <c r="E4721" s="1068" t="s">
        <v>70</v>
      </c>
      <c r="F4721" s="1075"/>
      <c r="G4721" s="1069" t="str">
        <f t="array" ref="G4721">IF(B4721="insumo",_xlfn.XLOOKUP($D4721,Insumos!$B$1:$B$996,Insumos!$D$1:$D$996),"")</f>
        <v/>
      </c>
      <c r="H4721" s="1069">
        <v>80</v>
      </c>
      <c r="I4721" s="1070">
        <v>0</v>
      </c>
      <c r="J4721" s="1070">
        <v>0</v>
      </c>
      <c r="K4721" s="1070"/>
      <c r="L4721"/>
      <c r="M4721"/>
      <c r="N4721"/>
      <c r="O4721"/>
      <c r="P4721"/>
      <c r="Q4721"/>
      <c r="R4721"/>
      <c r="S4721"/>
      <c r="T4721"/>
      <c r="U4721"/>
      <c r="V4721"/>
      <c r="W4721"/>
      <c r="X4721"/>
      <c r="Y4721"/>
      <c r="Z4721"/>
      <c r="AA4721"/>
      <c r="AB4721"/>
      <c r="AC4721"/>
      <c r="AD4721"/>
      <c r="AE4721"/>
      <c r="AF4721"/>
      <c r="AG4721"/>
      <c r="AH4721"/>
      <c r="AI4721"/>
      <c r="AJ4721"/>
      <c r="AK4721"/>
      <c r="AL4721"/>
    </row>
    <row r="4722" spans="1:38" ht="15.75" customHeight="1" outlineLevel="3" x14ac:dyDescent="0.2">
      <c r="A4722" s="10">
        <v>1</v>
      </c>
      <c r="B4722" s="10" t="s">
        <v>71</v>
      </c>
      <c r="C4722" s="15" t="s">
        <v>1586</v>
      </c>
      <c r="D4722" s="15" t="s">
        <v>1586</v>
      </c>
      <c r="E4722" s="11" t="str">
        <f t="array" ref="E4722">_xlfn.XLOOKUP(D4722,Insumos!B:B,Insumos!C:$C)</f>
        <v>m2</v>
      </c>
      <c r="F4722" s="14">
        <v>1</v>
      </c>
      <c r="G4722" s="92">
        <f t="array" ref="G4722">IF(B4722="insumo",_xlfn.XLOOKUP($D4722,Insumos!$B$1:$B$996,Insumos!$D$1:$D$996),"")</f>
        <v>80</v>
      </c>
      <c r="H4722" s="92">
        <v>80</v>
      </c>
      <c r="I4722" s="13">
        <v>0</v>
      </c>
      <c r="J4722" s="13">
        <v>0</v>
      </c>
      <c r="K4722" s="13"/>
      <c r="L4722"/>
      <c r="M4722"/>
      <c r="N4722"/>
      <c r="O4722"/>
      <c r="P4722"/>
      <c r="Q4722"/>
      <c r="R4722"/>
      <c r="S4722"/>
      <c r="T4722"/>
      <c r="U4722"/>
      <c r="V4722"/>
      <c r="W4722"/>
      <c r="X4722"/>
      <c r="Y4722"/>
      <c r="Z4722"/>
      <c r="AA4722"/>
      <c r="AB4722"/>
      <c r="AC4722"/>
      <c r="AD4722"/>
      <c r="AE4722"/>
      <c r="AF4722"/>
      <c r="AG4722"/>
      <c r="AH4722"/>
      <c r="AI4722"/>
      <c r="AJ4722"/>
      <c r="AK4722"/>
      <c r="AL4722"/>
    </row>
    <row r="4723" spans="1:38" ht="15.75" customHeight="1" outlineLevel="2" x14ac:dyDescent="0.2">
      <c r="A4723" s="1067">
        <v>1</v>
      </c>
      <c r="B4723" s="1067" t="s">
        <v>68</v>
      </c>
      <c r="C4723" s="1067" t="s">
        <v>930</v>
      </c>
      <c r="D4723" s="1067" t="s">
        <v>930</v>
      </c>
      <c r="E4723" s="1068" t="s">
        <v>70</v>
      </c>
      <c r="F4723" s="1075"/>
      <c r="G4723" s="1069" t="str">
        <f t="array" ref="G4723">IF(B4723="insumo",_xlfn.XLOOKUP($D4723,Insumos!$B$1:$B$996,Insumos!$D$1:$D$996),"")</f>
        <v/>
      </c>
      <c r="H4723" s="1069">
        <v>175</v>
      </c>
      <c r="I4723" s="1070">
        <v>0</v>
      </c>
      <c r="J4723" s="1070">
        <v>0</v>
      </c>
      <c r="K4723" s="1070"/>
      <c r="L4723"/>
      <c r="M4723"/>
      <c r="N4723"/>
      <c r="O4723"/>
      <c r="P4723"/>
      <c r="Q4723"/>
      <c r="R4723"/>
      <c r="S4723"/>
      <c r="T4723"/>
      <c r="U4723"/>
      <c r="V4723"/>
      <c r="W4723"/>
      <c r="X4723"/>
      <c r="Y4723"/>
      <c r="Z4723"/>
      <c r="AA4723"/>
      <c r="AB4723"/>
      <c r="AC4723"/>
      <c r="AD4723"/>
      <c r="AE4723"/>
      <c r="AF4723"/>
      <c r="AG4723"/>
      <c r="AH4723"/>
      <c r="AI4723"/>
      <c r="AJ4723"/>
      <c r="AK4723"/>
      <c r="AL4723"/>
    </row>
    <row r="4724" spans="1:38" ht="15.75" customHeight="1" outlineLevel="3" x14ac:dyDescent="0.2">
      <c r="A4724" s="10">
        <v>1</v>
      </c>
      <c r="B4724" s="10" t="s">
        <v>71</v>
      </c>
      <c r="C4724" s="10" t="s">
        <v>930</v>
      </c>
      <c r="D4724" s="10" t="s">
        <v>930</v>
      </c>
      <c r="E4724" s="11" t="str">
        <f t="array" ref="E4724">_xlfn.XLOOKUP(D4724,Insumos!B:B,Insumos!C:$C)</f>
        <v>m2</v>
      </c>
      <c r="F4724" s="14">
        <v>1</v>
      </c>
      <c r="G4724" s="92">
        <f t="array" ref="G4724">IF(B4724="insumo",_xlfn.XLOOKUP($D4724,Insumos!$B$1:$B$996,Insumos!$D$1:$D$996),"")</f>
        <v>175</v>
      </c>
      <c r="H4724" s="92">
        <v>175</v>
      </c>
      <c r="I4724" s="13">
        <v>0</v>
      </c>
      <c r="J4724" s="13">
        <v>0</v>
      </c>
      <c r="K4724" s="13"/>
      <c r="L4724"/>
      <c r="M4724"/>
      <c r="N4724"/>
      <c r="O4724"/>
      <c r="P4724"/>
      <c r="Q4724"/>
      <c r="R4724"/>
      <c r="S4724"/>
      <c r="T4724"/>
      <c r="U4724"/>
      <c r="V4724"/>
      <c r="W4724"/>
      <c r="X4724"/>
      <c r="Y4724"/>
      <c r="Z4724"/>
      <c r="AA4724"/>
      <c r="AB4724"/>
      <c r="AC4724"/>
      <c r="AD4724"/>
      <c r="AE4724"/>
      <c r="AF4724"/>
      <c r="AG4724"/>
      <c r="AH4724"/>
      <c r="AI4724"/>
      <c r="AJ4724"/>
      <c r="AK4724"/>
      <c r="AL4724"/>
    </row>
    <row r="4725" spans="1:38" ht="15.75" customHeight="1" x14ac:dyDescent="0.2">
      <c r="A4725" s="7">
        <v>1</v>
      </c>
      <c r="B4725" s="7" t="s">
        <v>66</v>
      </c>
      <c r="C4725" s="7" t="s">
        <v>930</v>
      </c>
      <c r="D4725" s="7" t="s">
        <v>931</v>
      </c>
      <c r="E4725" s="8"/>
      <c r="F4725" s="9"/>
      <c r="G4725" s="91" t="str">
        <f t="array" ref="G4725">IF(B4725="insumo",_xlfn.XLOOKUP($D4725,Insumos!$B$1:$B$996,Insumos!$D$1:$D$996),"")</f>
        <v/>
      </c>
      <c r="H4725" s="91">
        <v>0</v>
      </c>
      <c r="I4725" s="9">
        <v>0</v>
      </c>
      <c r="J4725" s="9">
        <v>0</v>
      </c>
      <c r="K4725" s="9"/>
      <c r="L4725"/>
      <c r="M4725"/>
      <c r="N4725"/>
      <c r="O4725"/>
      <c r="P4725"/>
      <c r="Q4725"/>
      <c r="R4725"/>
      <c r="S4725"/>
      <c r="T4725"/>
      <c r="U4725"/>
      <c r="V4725"/>
      <c r="W4725"/>
      <c r="X4725"/>
      <c r="Y4725"/>
      <c r="Z4725"/>
      <c r="AA4725"/>
      <c r="AB4725"/>
      <c r="AC4725"/>
      <c r="AD4725"/>
      <c r="AE4725"/>
      <c r="AF4725"/>
      <c r="AG4725"/>
      <c r="AH4725"/>
      <c r="AI4725"/>
      <c r="AJ4725"/>
      <c r="AK4725"/>
      <c r="AL4725"/>
    </row>
    <row r="4726" spans="1:38" ht="15.75" customHeight="1" outlineLevel="1" x14ac:dyDescent="0.2">
      <c r="A4726" s="1067">
        <v>1</v>
      </c>
      <c r="B4726" s="1067" t="s">
        <v>68</v>
      </c>
      <c r="C4726" s="1084" t="s">
        <v>932</v>
      </c>
      <c r="D4726" s="1084" t="s">
        <v>932</v>
      </c>
      <c r="E4726" s="1068" t="s">
        <v>197</v>
      </c>
      <c r="F4726" s="1085" t="s">
        <v>400</v>
      </c>
      <c r="G4726" s="1069" t="str">
        <f t="array" ref="G4726">IF(B4726="insumo",_xlfn.XLOOKUP($D4726,Insumos!$B$1:$B$996,Insumos!$D$1:$D$996),"")</f>
        <v/>
      </c>
      <c r="H4726" s="1069">
        <v>586.66880000000003</v>
      </c>
      <c r="I4726" s="1070">
        <v>0</v>
      </c>
      <c r="J4726" s="1070">
        <v>0</v>
      </c>
      <c r="K4726" s="1070"/>
      <c r="L4726"/>
      <c r="M4726"/>
      <c r="N4726"/>
      <c r="O4726"/>
      <c r="P4726"/>
      <c r="Q4726"/>
      <c r="R4726"/>
      <c r="S4726"/>
      <c r="T4726"/>
      <c r="U4726"/>
      <c r="V4726"/>
      <c r="W4726"/>
      <c r="X4726"/>
      <c r="Y4726"/>
      <c r="Z4726"/>
      <c r="AA4726"/>
      <c r="AB4726"/>
      <c r="AC4726"/>
      <c r="AD4726"/>
      <c r="AE4726"/>
      <c r="AF4726"/>
      <c r="AG4726"/>
      <c r="AH4726"/>
      <c r="AI4726"/>
      <c r="AJ4726"/>
      <c r="AK4726"/>
      <c r="AL4726"/>
    </row>
    <row r="4727" spans="1:38" ht="15.75" customHeight="1" outlineLevel="2" x14ac:dyDescent="0.2">
      <c r="A4727" s="10">
        <v>2</v>
      </c>
      <c r="B4727" s="10" t="s">
        <v>71</v>
      </c>
      <c r="C4727" s="10" t="s">
        <v>932</v>
      </c>
      <c r="D4727" s="10" t="s">
        <v>933</v>
      </c>
      <c r="E4727" s="11" t="str">
        <f t="array" ref="E4727">_xlfn.XLOOKUP(D4727,Insumos!B:B,Insumos!C:$C)</f>
        <v>UN</v>
      </c>
      <c r="F4727" s="14">
        <v>1</v>
      </c>
      <c r="G4727" s="92">
        <f t="array" ref="G4727">IF(B4727="insumo",_xlfn.XLOOKUP($D4727,Insumos!$B$1:$B$996,Insumos!$D$1:$D$996),"")</f>
        <v>523.16999999999996</v>
      </c>
      <c r="H4727" s="92">
        <v>523.16999999999996</v>
      </c>
      <c r="I4727" s="13">
        <v>0</v>
      </c>
      <c r="J4727" s="13">
        <v>0</v>
      </c>
      <c r="K4727" s="13"/>
      <c r="L4727"/>
      <c r="M4727"/>
      <c r="N4727"/>
      <c r="O4727"/>
      <c r="P4727"/>
      <c r="Q4727"/>
      <c r="R4727"/>
      <c r="S4727"/>
      <c r="T4727"/>
      <c r="U4727"/>
      <c r="V4727"/>
      <c r="W4727"/>
      <c r="X4727"/>
      <c r="Y4727"/>
      <c r="Z4727"/>
      <c r="AA4727"/>
      <c r="AB4727"/>
      <c r="AC4727"/>
      <c r="AD4727"/>
      <c r="AE4727"/>
      <c r="AF4727"/>
      <c r="AG4727"/>
      <c r="AH4727"/>
      <c r="AI4727"/>
      <c r="AJ4727"/>
      <c r="AK4727"/>
      <c r="AL4727"/>
    </row>
    <row r="4728" spans="1:38" ht="15.75" customHeight="1" outlineLevel="2" x14ac:dyDescent="0.2">
      <c r="A4728" s="10">
        <v>2</v>
      </c>
      <c r="B4728" s="10" t="s">
        <v>71</v>
      </c>
      <c r="C4728" s="10" t="s">
        <v>932</v>
      </c>
      <c r="D4728" s="10" t="s">
        <v>934</v>
      </c>
      <c r="E4728" s="11" t="str">
        <f t="array" ref="E4728">_xlfn.XLOOKUP(D4728,Insumos!B:B,Insumos!C:$C)</f>
        <v>UN</v>
      </c>
      <c r="F4728" s="14">
        <v>2</v>
      </c>
      <c r="G4728" s="92">
        <f t="array" ref="G4728">IF(B4728="insumo",_xlfn.XLOOKUP($D4728,Insumos!$B$1:$B$996,Insumos!$D$1:$D$996),"")</f>
        <v>0.34</v>
      </c>
      <c r="H4728" s="92">
        <v>0.68</v>
      </c>
      <c r="I4728" s="13">
        <v>0</v>
      </c>
      <c r="J4728" s="13">
        <v>0</v>
      </c>
      <c r="K4728" s="13"/>
      <c r="L4728"/>
      <c r="M4728"/>
      <c r="N4728"/>
      <c r="O4728"/>
      <c r="P4728"/>
      <c r="Q4728"/>
      <c r="R4728"/>
      <c r="S4728"/>
      <c r="T4728"/>
      <c r="U4728"/>
      <c r="V4728"/>
      <c r="W4728"/>
      <c r="X4728"/>
      <c r="Y4728"/>
      <c r="Z4728"/>
      <c r="AA4728"/>
      <c r="AB4728"/>
      <c r="AC4728"/>
      <c r="AD4728"/>
      <c r="AE4728"/>
      <c r="AF4728"/>
      <c r="AG4728"/>
      <c r="AH4728"/>
      <c r="AI4728"/>
      <c r="AJ4728"/>
      <c r="AK4728"/>
      <c r="AL4728"/>
    </row>
    <row r="4729" spans="1:38" ht="15.75" customHeight="1" outlineLevel="2" x14ac:dyDescent="0.2">
      <c r="A4729" s="10">
        <v>3</v>
      </c>
      <c r="B4729" s="10" t="s">
        <v>71</v>
      </c>
      <c r="C4729" s="10" t="s">
        <v>932</v>
      </c>
      <c r="D4729" s="10" t="s">
        <v>935</v>
      </c>
      <c r="E4729" s="11" t="str">
        <f t="array" ref="E4729">_xlfn.XLOOKUP(D4729,Insumos!B:B,Insumos!C:$C)</f>
        <v>UN</v>
      </c>
      <c r="F4729" s="14">
        <v>2</v>
      </c>
      <c r="G4729" s="92">
        <f t="array" ref="G4729">IF(B4729="insumo",_xlfn.XLOOKUP($D4729,Insumos!$B$1:$B$996,Insumos!$D$1:$D$996),"")</f>
        <v>5.95</v>
      </c>
      <c r="H4729" s="92">
        <v>11.9</v>
      </c>
      <c r="I4729" s="13">
        <v>0</v>
      </c>
      <c r="J4729" s="13">
        <v>0</v>
      </c>
      <c r="K4729" s="13"/>
      <c r="L4729"/>
      <c r="M4729"/>
      <c r="N4729"/>
      <c r="O4729"/>
      <c r="P4729"/>
      <c r="Q4729"/>
      <c r="R4729"/>
      <c r="S4729"/>
      <c r="T4729"/>
      <c r="U4729"/>
      <c r="V4729"/>
      <c r="W4729"/>
      <c r="X4729"/>
      <c r="Y4729"/>
      <c r="Z4729"/>
      <c r="AA4729"/>
      <c r="AB4729"/>
      <c r="AC4729"/>
      <c r="AD4729"/>
      <c r="AE4729"/>
      <c r="AF4729"/>
      <c r="AG4729"/>
      <c r="AH4729"/>
      <c r="AI4729"/>
      <c r="AJ4729"/>
      <c r="AK4729"/>
      <c r="AL4729"/>
    </row>
    <row r="4730" spans="1:38" ht="15.75" customHeight="1" outlineLevel="2" x14ac:dyDescent="0.2">
      <c r="A4730" s="10">
        <v>8</v>
      </c>
      <c r="B4730" s="10" t="s">
        <v>71</v>
      </c>
      <c r="C4730" s="10" t="s">
        <v>932</v>
      </c>
      <c r="D4730" s="10" t="s">
        <v>936</v>
      </c>
      <c r="E4730" s="11" t="str">
        <f t="array" ref="E4730">_xlfn.XLOOKUP(D4730,Insumos!B:B,Insumos!C:$C)</f>
        <v>M</v>
      </c>
      <c r="F4730" s="14">
        <v>1.1200000000000001</v>
      </c>
      <c r="G4730" s="92">
        <f t="array" ref="G4730">IF(B4730="insumo",_xlfn.XLOOKUP($D4730,Insumos!$B$1:$B$996,Insumos!$D$1:$D$996),"")</f>
        <v>0.24</v>
      </c>
      <c r="H4730" s="92">
        <v>0.26879999999999998</v>
      </c>
      <c r="I4730" s="13">
        <v>0</v>
      </c>
      <c r="J4730" s="13">
        <v>0</v>
      </c>
      <c r="K4730" s="13"/>
      <c r="L4730"/>
      <c r="M4730"/>
      <c r="N4730"/>
      <c r="O4730"/>
      <c r="P4730"/>
      <c r="Q4730"/>
      <c r="R4730"/>
      <c r="S4730"/>
      <c r="T4730"/>
      <c r="U4730"/>
      <c r="V4730"/>
      <c r="W4730"/>
      <c r="X4730"/>
      <c r="Y4730"/>
      <c r="Z4730"/>
      <c r="AA4730"/>
      <c r="AB4730"/>
      <c r="AC4730"/>
      <c r="AD4730"/>
      <c r="AE4730"/>
      <c r="AF4730"/>
      <c r="AG4730"/>
      <c r="AH4730"/>
      <c r="AI4730"/>
      <c r="AJ4730"/>
      <c r="AK4730"/>
      <c r="AL4730"/>
    </row>
    <row r="4731" spans="1:38" ht="15.75" customHeight="1" outlineLevel="2" x14ac:dyDescent="0.2">
      <c r="A4731" s="10">
        <v>3</v>
      </c>
      <c r="B4731" s="10" t="s">
        <v>71</v>
      </c>
      <c r="C4731" s="10" t="s">
        <v>932</v>
      </c>
      <c r="D4731" s="10" t="s">
        <v>937</v>
      </c>
      <c r="E4731" s="11" t="str">
        <f t="array" ref="E4731">_xlfn.XLOOKUP(D4731,Insumos!B:B,Insumos!C:$C)</f>
        <v>UN</v>
      </c>
      <c r="F4731" s="14">
        <v>1</v>
      </c>
      <c r="G4731" s="92">
        <f t="array" ref="G4731">IF(B4731="insumo",_xlfn.XLOOKUP($D4731,Insumos!$B$1:$B$996,Insumos!$D$1:$D$996),"")</f>
        <v>5</v>
      </c>
      <c r="H4731" s="92">
        <v>5</v>
      </c>
      <c r="I4731" s="13">
        <v>0</v>
      </c>
      <c r="J4731" s="13">
        <v>0</v>
      </c>
      <c r="K4731" s="13"/>
      <c r="L4731"/>
      <c r="M4731"/>
      <c r="N4731"/>
      <c r="O4731"/>
      <c r="P4731"/>
      <c r="Q4731"/>
      <c r="R4731"/>
      <c r="S4731"/>
      <c r="T4731"/>
      <c r="U4731"/>
      <c r="V4731"/>
      <c r="W4731"/>
      <c r="X4731"/>
      <c r="Y4731"/>
      <c r="Z4731"/>
      <c r="AA4731"/>
      <c r="AB4731"/>
      <c r="AC4731"/>
      <c r="AD4731"/>
      <c r="AE4731"/>
      <c r="AF4731"/>
      <c r="AG4731"/>
      <c r="AH4731"/>
      <c r="AI4731"/>
      <c r="AJ4731"/>
      <c r="AK4731"/>
      <c r="AL4731"/>
    </row>
    <row r="4732" spans="1:38" ht="15.75" customHeight="1" outlineLevel="2" x14ac:dyDescent="0.2">
      <c r="A4732" s="10">
        <v>11</v>
      </c>
      <c r="B4732" s="10" t="s">
        <v>71</v>
      </c>
      <c r="C4732" s="10" t="s">
        <v>932</v>
      </c>
      <c r="D4732" s="10" t="s">
        <v>938</v>
      </c>
      <c r="E4732" s="11" t="str">
        <f t="array" ref="E4732">_xlfn.XLOOKUP(D4732,Insumos!B:B,Insumos!C:$C)</f>
        <v>UN</v>
      </c>
      <c r="F4732" s="14">
        <v>0.25</v>
      </c>
      <c r="G4732" s="92">
        <f t="array" ref="G4732">IF(B4732="insumo",_xlfn.XLOOKUP($D4732,Insumos!$B$1:$B$996,Insumos!$D$1:$D$996),"")</f>
        <v>75</v>
      </c>
      <c r="H4732" s="92">
        <v>18.75</v>
      </c>
      <c r="I4732" s="13">
        <v>0</v>
      </c>
      <c r="J4732" s="13">
        <v>0</v>
      </c>
      <c r="K4732" s="13"/>
      <c r="L4732"/>
      <c r="M4732"/>
      <c r="N4732"/>
      <c r="O4732"/>
      <c r="P4732"/>
      <c r="Q4732"/>
      <c r="R4732"/>
      <c r="S4732"/>
      <c r="T4732"/>
      <c r="U4732"/>
      <c r="V4732"/>
      <c r="W4732"/>
      <c r="X4732"/>
      <c r="Y4732"/>
      <c r="Z4732"/>
      <c r="AA4732"/>
      <c r="AB4732"/>
      <c r="AC4732"/>
      <c r="AD4732"/>
      <c r="AE4732"/>
      <c r="AF4732"/>
      <c r="AG4732"/>
      <c r="AH4732"/>
      <c r="AI4732"/>
      <c r="AJ4732"/>
      <c r="AK4732"/>
      <c r="AL4732"/>
    </row>
    <row r="4733" spans="1:38" ht="15.75" customHeight="1" outlineLevel="2" x14ac:dyDescent="0.2">
      <c r="A4733" s="10">
        <v>11</v>
      </c>
      <c r="B4733" s="10" t="s">
        <v>71</v>
      </c>
      <c r="C4733" s="10" t="s">
        <v>932</v>
      </c>
      <c r="D4733" s="10" t="s">
        <v>939</v>
      </c>
      <c r="E4733" s="11" t="str">
        <f t="array" ref="E4733">_xlfn.XLOOKUP(D4733,Insumos!B:B,Insumos!C:$C)</f>
        <v>UN</v>
      </c>
      <c r="F4733" s="14">
        <v>1</v>
      </c>
      <c r="G4733" s="92">
        <f t="array" ref="G4733">IF(B4733="insumo",_xlfn.XLOOKUP($D4733,Insumos!$B$1:$B$996,Insumos!$D$1:$D$996),"")</f>
        <v>26.9</v>
      </c>
      <c r="H4733" s="92">
        <v>26.9</v>
      </c>
      <c r="I4733" s="13">
        <v>0</v>
      </c>
      <c r="J4733" s="13">
        <v>0</v>
      </c>
      <c r="K4733" s="13"/>
      <c r="L4733"/>
      <c r="M4733"/>
      <c r="N4733"/>
      <c r="O4733"/>
      <c r="P4733"/>
      <c r="Q4733"/>
      <c r="R4733"/>
      <c r="S4733"/>
      <c r="T4733"/>
      <c r="U4733"/>
      <c r="V4733"/>
      <c r="W4733"/>
      <c r="X4733"/>
      <c r="Y4733"/>
      <c r="Z4733"/>
      <c r="AA4733"/>
      <c r="AB4733"/>
      <c r="AC4733"/>
      <c r="AD4733"/>
      <c r="AE4733"/>
      <c r="AF4733"/>
      <c r="AG4733"/>
      <c r="AH4733"/>
      <c r="AI4733"/>
      <c r="AJ4733"/>
      <c r="AK4733"/>
      <c r="AL4733"/>
    </row>
    <row r="4734" spans="1:38" ht="15.75" customHeight="1" outlineLevel="1" x14ac:dyDescent="0.2">
      <c r="A4734" s="1067">
        <v>1</v>
      </c>
      <c r="B4734" s="1067" t="s">
        <v>68</v>
      </c>
      <c r="C4734" s="1084" t="s">
        <v>940</v>
      </c>
      <c r="D4734" s="1084" t="s">
        <v>940</v>
      </c>
      <c r="E4734" s="1068" t="s">
        <v>197</v>
      </c>
      <c r="F4734" s="1085" t="s">
        <v>400</v>
      </c>
      <c r="G4734" s="1069" t="str">
        <f t="array" ref="G4734">IF(B4734="insumo",_xlfn.XLOOKUP($D4734,Insumos!$B$1:$B$996,Insumos!$D$1:$D$996),"")</f>
        <v/>
      </c>
      <c r="H4734" s="1069">
        <v>1073.9000000000001</v>
      </c>
      <c r="I4734" s="1070">
        <v>0</v>
      </c>
      <c r="J4734" s="1070">
        <v>0</v>
      </c>
      <c r="K4734" s="1070"/>
      <c r="L4734"/>
      <c r="M4734"/>
      <c r="N4734"/>
      <c r="O4734"/>
      <c r="P4734"/>
      <c r="Q4734"/>
      <c r="R4734"/>
      <c r="S4734"/>
      <c r="T4734"/>
      <c r="U4734"/>
      <c r="V4734"/>
      <c r="W4734"/>
      <c r="X4734"/>
      <c r="Y4734"/>
      <c r="Z4734"/>
      <c r="AA4734"/>
      <c r="AB4734"/>
      <c r="AC4734"/>
      <c r="AD4734"/>
      <c r="AE4734"/>
      <c r="AF4734"/>
      <c r="AG4734"/>
      <c r="AH4734"/>
      <c r="AI4734"/>
      <c r="AJ4734"/>
      <c r="AK4734"/>
      <c r="AL4734"/>
    </row>
    <row r="4735" spans="1:38" ht="15.75" customHeight="1" outlineLevel="2" x14ac:dyDescent="0.2">
      <c r="A4735" s="10">
        <v>1</v>
      </c>
      <c r="B4735" s="10" t="s">
        <v>71</v>
      </c>
      <c r="C4735" s="10" t="s">
        <v>940</v>
      </c>
      <c r="D4735" s="10" t="s">
        <v>941</v>
      </c>
      <c r="E4735" s="11" t="str">
        <f t="array" ref="E4735">_xlfn.XLOOKUP(D4735,Insumos!B:B,Insumos!C:$C)</f>
        <v>UN</v>
      </c>
      <c r="F4735" s="14">
        <v>1</v>
      </c>
      <c r="G4735" s="92">
        <f t="array" ref="G4735">IF(B4735="insumo",_xlfn.XLOOKUP($D4735,Insumos!$B$1:$B$996,Insumos!$D$1:$D$996),"")</f>
        <v>1010.4012000000001</v>
      </c>
      <c r="H4735" s="92">
        <v>1010.4012</v>
      </c>
      <c r="I4735" s="13">
        <v>0</v>
      </c>
      <c r="J4735" s="13">
        <v>0</v>
      </c>
      <c r="K4735" s="13"/>
      <c r="L4735"/>
      <c r="M4735"/>
      <c r="N4735"/>
      <c r="O4735"/>
      <c r="P4735"/>
      <c r="Q4735"/>
      <c r="R4735"/>
      <c r="S4735"/>
      <c r="T4735"/>
      <c r="U4735"/>
      <c r="V4735"/>
      <c r="W4735"/>
      <c r="X4735"/>
      <c r="Y4735"/>
      <c r="Z4735"/>
      <c r="AA4735"/>
      <c r="AB4735"/>
      <c r="AC4735"/>
      <c r="AD4735"/>
      <c r="AE4735"/>
      <c r="AF4735"/>
      <c r="AG4735"/>
      <c r="AH4735"/>
      <c r="AI4735"/>
      <c r="AJ4735"/>
      <c r="AK4735"/>
      <c r="AL4735"/>
    </row>
    <row r="4736" spans="1:38" ht="15.75" customHeight="1" outlineLevel="2" x14ac:dyDescent="0.2">
      <c r="A4736" s="10">
        <v>2</v>
      </c>
      <c r="B4736" s="10" t="s">
        <v>71</v>
      </c>
      <c r="C4736" s="10" t="s">
        <v>940</v>
      </c>
      <c r="D4736" s="10" t="s">
        <v>934</v>
      </c>
      <c r="E4736" s="11" t="str">
        <f t="array" ref="E4736">_xlfn.XLOOKUP(D4736,Insumos!B:B,Insumos!C:$C)</f>
        <v>UN</v>
      </c>
      <c r="F4736" s="14">
        <v>2</v>
      </c>
      <c r="G4736" s="92">
        <f t="array" ref="G4736">IF(B4736="insumo",_xlfn.XLOOKUP($D4736,Insumos!$B$1:$B$996,Insumos!$D$1:$D$996),"")</f>
        <v>0.34</v>
      </c>
      <c r="H4736" s="92">
        <v>0.68</v>
      </c>
      <c r="I4736" s="13">
        <v>0</v>
      </c>
      <c r="J4736" s="13">
        <v>0</v>
      </c>
      <c r="K4736" s="13"/>
      <c r="L4736"/>
      <c r="M4736"/>
      <c r="N4736"/>
      <c r="O4736"/>
      <c r="P4736"/>
      <c r="Q4736"/>
      <c r="R4736"/>
      <c r="S4736"/>
      <c r="T4736"/>
      <c r="U4736"/>
      <c r="V4736"/>
      <c r="W4736"/>
      <c r="X4736"/>
      <c r="Y4736"/>
      <c r="Z4736"/>
      <c r="AA4736"/>
      <c r="AB4736"/>
      <c r="AC4736"/>
      <c r="AD4736"/>
      <c r="AE4736"/>
      <c r="AF4736"/>
      <c r="AG4736"/>
      <c r="AH4736"/>
      <c r="AI4736"/>
      <c r="AJ4736"/>
      <c r="AK4736"/>
      <c r="AL4736"/>
    </row>
    <row r="4737" spans="1:38" ht="15.75" customHeight="1" outlineLevel="2" x14ac:dyDescent="0.2">
      <c r="A4737" s="10">
        <v>3</v>
      </c>
      <c r="B4737" s="10" t="s">
        <v>71</v>
      </c>
      <c r="C4737" s="10" t="s">
        <v>940</v>
      </c>
      <c r="D4737" s="10" t="s">
        <v>935</v>
      </c>
      <c r="E4737" s="11" t="str">
        <f t="array" ref="E4737">_xlfn.XLOOKUP(D4737,Insumos!B:B,Insumos!C:$C)</f>
        <v>UN</v>
      </c>
      <c r="F4737" s="14">
        <v>2</v>
      </c>
      <c r="G4737" s="92">
        <f t="array" ref="G4737">IF(B4737="insumo",_xlfn.XLOOKUP($D4737,Insumos!$B$1:$B$996,Insumos!$D$1:$D$996),"")</f>
        <v>5.95</v>
      </c>
      <c r="H4737" s="92">
        <v>11.9</v>
      </c>
      <c r="I4737" s="13">
        <v>0</v>
      </c>
      <c r="J4737" s="13">
        <v>0</v>
      </c>
      <c r="K4737" s="13"/>
      <c r="L4737"/>
      <c r="M4737"/>
      <c r="N4737"/>
      <c r="O4737"/>
      <c r="P4737"/>
      <c r="Q4737"/>
      <c r="R4737"/>
      <c r="S4737"/>
      <c r="T4737"/>
      <c r="U4737"/>
      <c r="V4737"/>
      <c r="W4737"/>
      <c r="X4737"/>
      <c r="Y4737"/>
      <c r="Z4737"/>
      <c r="AA4737"/>
      <c r="AB4737"/>
      <c r="AC4737"/>
      <c r="AD4737"/>
      <c r="AE4737"/>
      <c r="AF4737"/>
      <c r="AG4737"/>
      <c r="AH4737"/>
      <c r="AI4737"/>
      <c r="AJ4737"/>
      <c r="AK4737"/>
      <c r="AL4737"/>
    </row>
    <row r="4738" spans="1:38" ht="15.75" customHeight="1" outlineLevel="2" x14ac:dyDescent="0.2">
      <c r="A4738" s="10">
        <v>8</v>
      </c>
      <c r="B4738" s="10" t="s">
        <v>71</v>
      </c>
      <c r="C4738" s="10" t="s">
        <v>940</v>
      </c>
      <c r="D4738" s="10" t="s">
        <v>936</v>
      </c>
      <c r="E4738" s="11" t="str">
        <f t="array" ref="E4738">_xlfn.XLOOKUP(D4738,Insumos!B:B,Insumos!C:$C)</f>
        <v>M</v>
      </c>
      <c r="F4738" s="14">
        <v>1.1200000000000001</v>
      </c>
      <c r="G4738" s="92">
        <f t="array" ref="G4738">IF(B4738="insumo",_xlfn.XLOOKUP($D4738,Insumos!$B$1:$B$996,Insumos!$D$1:$D$996),"")</f>
        <v>0.24</v>
      </c>
      <c r="H4738" s="92">
        <v>0.26879999999999998</v>
      </c>
      <c r="I4738" s="13">
        <v>0</v>
      </c>
      <c r="J4738" s="13">
        <v>0</v>
      </c>
      <c r="K4738" s="13"/>
      <c r="L4738"/>
      <c r="M4738"/>
      <c r="N4738"/>
      <c r="O4738"/>
      <c r="P4738"/>
      <c r="Q4738"/>
      <c r="R4738"/>
      <c r="S4738"/>
      <c r="T4738"/>
      <c r="U4738"/>
      <c r="V4738"/>
      <c r="W4738"/>
      <c r="X4738"/>
      <c r="Y4738"/>
      <c r="Z4738"/>
      <c r="AA4738"/>
      <c r="AB4738"/>
      <c r="AC4738"/>
      <c r="AD4738"/>
      <c r="AE4738"/>
      <c r="AF4738"/>
      <c r="AG4738"/>
      <c r="AH4738"/>
      <c r="AI4738"/>
      <c r="AJ4738"/>
      <c r="AK4738"/>
      <c r="AL4738"/>
    </row>
    <row r="4739" spans="1:38" ht="15.75" customHeight="1" outlineLevel="2" x14ac:dyDescent="0.2">
      <c r="A4739" s="10">
        <v>3</v>
      </c>
      <c r="B4739" s="10" t="s">
        <v>71</v>
      </c>
      <c r="C4739" s="10" t="s">
        <v>940</v>
      </c>
      <c r="D4739" s="10" t="s">
        <v>937</v>
      </c>
      <c r="E4739" s="11" t="str">
        <f t="array" ref="E4739">_xlfn.XLOOKUP(D4739,Insumos!B:B,Insumos!C:$C)</f>
        <v>UN</v>
      </c>
      <c r="F4739" s="14">
        <v>1</v>
      </c>
      <c r="G4739" s="92">
        <f t="array" ref="G4739">IF(B4739="insumo",_xlfn.XLOOKUP($D4739,Insumos!$B$1:$B$996,Insumos!$D$1:$D$996),"")</f>
        <v>5</v>
      </c>
      <c r="H4739" s="92">
        <v>5</v>
      </c>
      <c r="I4739" s="13">
        <v>0</v>
      </c>
      <c r="J4739" s="13">
        <v>0</v>
      </c>
      <c r="K4739" s="13"/>
      <c r="L4739"/>
      <c r="M4739"/>
      <c r="N4739"/>
      <c r="O4739"/>
      <c r="P4739"/>
      <c r="Q4739"/>
      <c r="R4739"/>
      <c r="S4739"/>
      <c r="T4739"/>
      <c r="U4739"/>
      <c r="V4739"/>
      <c r="W4739"/>
      <c r="X4739"/>
      <c r="Y4739"/>
      <c r="Z4739"/>
      <c r="AA4739"/>
      <c r="AB4739"/>
      <c r="AC4739"/>
      <c r="AD4739"/>
      <c r="AE4739"/>
      <c r="AF4739"/>
      <c r="AG4739"/>
      <c r="AH4739"/>
      <c r="AI4739"/>
      <c r="AJ4739"/>
      <c r="AK4739"/>
      <c r="AL4739"/>
    </row>
    <row r="4740" spans="1:38" ht="15.75" customHeight="1" outlineLevel="2" x14ac:dyDescent="0.2">
      <c r="A4740" s="10">
        <v>11</v>
      </c>
      <c r="B4740" s="10" t="s">
        <v>71</v>
      </c>
      <c r="C4740" s="10" t="s">
        <v>940</v>
      </c>
      <c r="D4740" s="10" t="s">
        <v>938</v>
      </c>
      <c r="E4740" s="11" t="str">
        <f t="array" ref="E4740">_xlfn.XLOOKUP(D4740,Insumos!B:B,Insumos!C:$C)</f>
        <v>UN</v>
      </c>
      <c r="F4740" s="14">
        <v>0.25</v>
      </c>
      <c r="G4740" s="92">
        <f t="array" ref="G4740">IF(B4740="insumo",_xlfn.XLOOKUP($D4740,Insumos!$B$1:$B$996,Insumos!$D$1:$D$996),"")</f>
        <v>75</v>
      </c>
      <c r="H4740" s="92">
        <v>18.75</v>
      </c>
      <c r="I4740" s="13">
        <v>0</v>
      </c>
      <c r="J4740" s="13">
        <v>0</v>
      </c>
      <c r="K4740" s="13"/>
      <c r="L4740"/>
      <c r="M4740"/>
      <c r="N4740"/>
      <c r="O4740"/>
      <c r="P4740"/>
      <c r="Q4740"/>
      <c r="R4740"/>
      <c r="S4740"/>
      <c r="T4740"/>
      <c r="U4740"/>
      <c r="V4740"/>
      <c r="W4740"/>
      <c r="X4740"/>
      <c r="Y4740"/>
      <c r="Z4740"/>
      <c r="AA4740"/>
      <c r="AB4740"/>
      <c r="AC4740"/>
      <c r="AD4740"/>
      <c r="AE4740"/>
      <c r="AF4740"/>
      <c r="AG4740"/>
      <c r="AH4740"/>
      <c r="AI4740"/>
      <c r="AJ4740"/>
      <c r="AK4740"/>
      <c r="AL4740"/>
    </row>
    <row r="4741" spans="1:38" ht="15.75" customHeight="1" outlineLevel="2" x14ac:dyDescent="0.2">
      <c r="A4741" s="10">
        <v>11</v>
      </c>
      <c r="B4741" s="10" t="s">
        <v>71</v>
      </c>
      <c r="C4741" s="10" t="s">
        <v>940</v>
      </c>
      <c r="D4741" s="10" t="s">
        <v>939</v>
      </c>
      <c r="E4741" s="11" t="str">
        <f t="array" ref="E4741">_xlfn.XLOOKUP(D4741,Insumos!B:B,Insumos!C:$C)</f>
        <v>UN</v>
      </c>
      <c r="F4741" s="14">
        <v>1</v>
      </c>
      <c r="G4741" s="92">
        <f t="array" ref="G4741">IF(B4741="insumo",_xlfn.XLOOKUP($D4741,Insumos!$B$1:$B$996,Insumos!$D$1:$D$996),"")</f>
        <v>26.9</v>
      </c>
      <c r="H4741" s="92">
        <v>26.9</v>
      </c>
      <c r="I4741" s="13">
        <v>0</v>
      </c>
      <c r="J4741" s="13">
        <v>0</v>
      </c>
      <c r="K4741" s="13"/>
      <c r="L4741"/>
      <c r="M4741"/>
      <c r="N4741"/>
      <c r="O4741"/>
      <c r="P4741"/>
      <c r="Q4741"/>
      <c r="R4741"/>
      <c r="S4741"/>
      <c r="T4741"/>
      <c r="U4741"/>
      <c r="V4741"/>
      <c r="W4741"/>
      <c r="X4741"/>
      <c r="Y4741"/>
      <c r="Z4741"/>
      <c r="AA4741"/>
      <c r="AB4741"/>
      <c r="AC4741"/>
      <c r="AD4741"/>
      <c r="AE4741"/>
      <c r="AF4741"/>
      <c r="AG4741"/>
      <c r="AH4741"/>
      <c r="AI4741"/>
      <c r="AJ4741"/>
      <c r="AK4741"/>
      <c r="AL4741"/>
    </row>
    <row r="4742" spans="1:38" ht="15.75" customHeight="1" outlineLevel="1" x14ac:dyDescent="0.2">
      <c r="A4742" s="1067">
        <v>1</v>
      </c>
      <c r="B4742" s="1067" t="s">
        <v>68</v>
      </c>
      <c r="C4742" s="1067" t="s">
        <v>942</v>
      </c>
      <c r="D4742" s="1067" t="s">
        <v>942</v>
      </c>
      <c r="E4742" s="1068" t="s">
        <v>197</v>
      </c>
      <c r="F4742" s="1067" t="s">
        <v>400</v>
      </c>
      <c r="G4742" s="1069" t="str">
        <f t="array" ref="G4742">IF(B4742="insumo",_xlfn.XLOOKUP($D4742,Insumos!$B$1:$B$996,Insumos!$D$1:$D$996),"")</f>
        <v/>
      </c>
      <c r="H4742" s="1069">
        <v>600.64</v>
      </c>
      <c r="I4742" s="1070">
        <v>0</v>
      </c>
      <c r="J4742" s="1070">
        <v>0</v>
      </c>
      <c r="K4742" s="1070"/>
      <c r="L4742"/>
      <c r="M4742"/>
      <c r="N4742"/>
      <c r="O4742"/>
      <c r="P4742"/>
      <c r="Q4742"/>
      <c r="R4742"/>
      <c r="S4742"/>
      <c r="T4742"/>
      <c r="U4742"/>
      <c r="V4742"/>
      <c r="W4742"/>
      <c r="X4742"/>
      <c r="Y4742"/>
      <c r="Z4742"/>
      <c r="AA4742"/>
      <c r="AB4742"/>
      <c r="AC4742"/>
      <c r="AD4742"/>
      <c r="AE4742"/>
      <c r="AF4742"/>
      <c r="AG4742"/>
      <c r="AH4742"/>
      <c r="AI4742"/>
      <c r="AJ4742"/>
      <c r="AK4742"/>
      <c r="AL4742"/>
    </row>
    <row r="4743" spans="1:38" ht="15.75" customHeight="1" outlineLevel="2" x14ac:dyDescent="0.2">
      <c r="A4743" s="10">
        <v>3</v>
      </c>
      <c r="B4743" s="10" t="s">
        <v>71</v>
      </c>
      <c r="C4743" s="10" t="s">
        <v>942</v>
      </c>
      <c r="D4743" s="10" t="s">
        <v>943</v>
      </c>
      <c r="E4743" s="11" t="str">
        <f t="array" ref="E4743">_xlfn.XLOOKUP(D4743,Insumos!B:B,Insumos!C:$C)</f>
        <v>UN</v>
      </c>
      <c r="F4743" s="14">
        <v>2</v>
      </c>
      <c r="G4743" s="92">
        <f t="array" ref="G4743">IF(B4743="insumo",_xlfn.XLOOKUP($D4743,Insumos!$B$1:$B$996,Insumos!$D$1:$D$996),"")</f>
        <v>0.34</v>
      </c>
      <c r="H4743" s="92">
        <v>0.68</v>
      </c>
      <c r="I4743" s="13">
        <v>0</v>
      </c>
      <c r="J4743" s="13">
        <v>0</v>
      </c>
      <c r="K4743" s="13"/>
      <c r="L4743"/>
      <c r="M4743"/>
      <c r="N4743"/>
      <c r="O4743"/>
      <c r="P4743"/>
      <c r="Q4743"/>
      <c r="R4743"/>
      <c r="S4743"/>
      <c r="T4743"/>
      <c r="U4743"/>
      <c r="V4743"/>
      <c r="W4743"/>
      <c r="X4743"/>
      <c r="Y4743"/>
      <c r="Z4743"/>
      <c r="AA4743"/>
      <c r="AB4743"/>
      <c r="AC4743"/>
      <c r="AD4743"/>
      <c r="AE4743"/>
      <c r="AF4743"/>
      <c r="AG4743"/>
      <c r="AH4743"/>
      <c r="AI4743"/>
      <c r="AJ4743"/>
      <c r="AK4743"/>
      <c r="AL4743"/>
    </row>
    <row r="4744" spans="1:38" ht="15.75" customHeight="1" outlineLevel="2" x14ac:dyDescent="0.2">
      <c r="A4744" s="10">
        <v>3</v>
      </c>
      <c r="B4744" s="10" t="s">
        <v>71</v>
      </c>
      <c r="C4744" s="10" t="s">
        <v>942</v>
      </c>
      <c r="D4744" s="10" t="s">
        <v>935</v>
      </c>
      <c r="E4744" s="11" t="str">
        <f t="array" ref="E4744">_xlfn.XLOOKUP(D4744,Insumos!B:B,Insumos!C:$C)</f>
        <v>UN</v>
      </c>
      <c r="F4744" s="14">
        <v>2</v>
      </c>
      <c r="G4744" s="92">
        <f t="array" ref="G4744">IF(B4744="insumo",_xlfn.XLOOKUP($D4744,Insumos!$B$1:$B$996,Insumos!$D$1:$D$996),"")</f>
        <v>5.95</v>
      </c>
      <c r="H4744" s="92">
        <v>11.9</v>
      </c>
      <c r="I4744" s="13">
        <v>0</v>
      </c>
      <c r="J4744" s="13">
        <v>0</v>
      </c>
      <c r="K4744" s="13"/>
      <c r="L4744"/>
      <c r="M4744"/>
      <c r="N4744"/>
      <c r="O4744"/>
      <c r="P4744"/>
      <c r="Q4744"/>
      <c r="R4744"/>
      <c r="S4744"/>
      <c r="T4744"/>
      <c r="U4744"/>
      <c r="V4744"/>
      <c r="W4744"/>
      <c r="X4744"/>
      <c r="Y4744"/>
      <c r="Z4744"/>
      <c r="AA4744"/>
      <c r="AB4744"/>
      <c r="AC4744"/>
      <c r="AD4744"/>
      <c r="AE4744"/>
      <c r="AF4744"/>
      <c r="AG4744"/>
      <c r="AH4744"/>
      <c r="AI4744"/>
      <c r="AJ4744"/>
      <c r="AK4744"/>
      <c r="AL4744"/>
    </row>
    <row r="4745" spans="1:38" ht="15.75" customHeight="1" outlineLevel="2" x14ac:dyDescent="0.2">
      <c r="A4745" s="10">
        <v>3</v>
      </c>
      <c r="B4745" s="10" t="s">
        <v>71</v>
      </c>
      <c r="C4745" s="10" t="s">
        <v>942</v>
      </c>
      <c r="D4745" s="10" t="s">
        <v>937</v>
      </c>
      <c r="E4745" s="11" t="str">
        <f t="array" ref="E4745">_xlfn.XLOOKUP(D4745,Insumos!B:B,Insumos!C:$C)</f>
        <v>UN</v>
      </c>
      <c r="F4745" s="14">
        <v>1</v>
      </c>
      <c r="G4745" s="92">
        <f t="array" ref="G4745">IF(B4745="insumo",_xlfn.XLOOKUP($D4745,Insumos!$B$1:$B$996,Insumos!$D$1:$D$996),"")</f>
        <v>5</v>
      </c>
      <c r="H4745" s="92">
        <v>5</v>
      </c>
      <c r="I4745" s="13">
        <v>0</v>
      </c>
      <c r="J4745" s="13">
        <v>0</v>
      </c>
      <c r="K4745" s="13"/>
      <c r="L4745"/>
      <c r="M4745"/>
      <c r="N4745"/>
      <c r="O4745"/>
      <c r="P4745"/>
      <c r="Q4745"/>
      <c r="R4745"/>
      <c r="S4745"/>
      <c r="T4745"/>
      <c r="U4745"/>
      <c r="V4745"/>
      <c r="W4745"/>
      <c r="X4745"/>
      <c r="Y4745"/>
      <c r="Z4745"/>
      <c r="AA4745"/>
      <c r="AB4745"/>
      <c r="AC4745"/>
      <c r="AD4745"/>
      <c r="AE4745"/>
      <c r="AF4745"/>
      <c r="AG4745"/>
      <c r="AH4745"/>
      <c r="AI4745"/>
      <c r="AJ4745"/>
      <c r="AK4745"/>
      <c r="AL4745"/>
    </row>
    <row r="4746" spans="1:38" ht="15.75" customHeight="1" outlineLevel="2" x14ac:dyDescent="0.2">
      <c r="A4746" s="10">
        <v>7</v>
      </c>
      <c r="B4746" s="10" t="s">
        <v>71</v>
      </c>
      <c r="C4746" s="10" t="s">
        <v>942</v>
      </c>
      <c r="D4746" s="10" t="s">
        <v>944</v>
      </c>
      <c r="E4746" s="11" t="str">
        <f t="array" ref="E4746">_xlfn.XLOOKUP(D4746,Insumos!B:B,Insumos!C:$C)</f>
        <v>UN</v>
      </c>
      <c r="F4746" s="14">
        <v>0.4</v>
      </c>
      <c r="G4746" s="92">
        <f t="array" ref="G4746">IF(B4746="insumo",_xlfn.XLOOKUP($D4746,Insumos!$B$1:$B$996,Insumos!$D$1:$D$996),"")</f>
        <v>35.6</v>
      </c>
      <c r="H4746" s="92">
        <v>14.24</v>
      </c>
      <c r="I4746" s="13">
        <v>0</v>
      </c>
      <c r="J4746" s="13">
        <v>0</v>
      </c>
      <c r="K4746" s="13"/>
      <c r="L4746"/>
      <c r="M4746"/>
      <c r="N4746"/>
      <c r="O4746"/>
      <c r="P4746"/>
      <c r="Q4746"/>
      <c r="R4746"/>
      <c r="S4746"/>
      <c r="T4746"/>
      <c r="U4746"/>
      <c r="V4746"/>
      <c r="W4746"/>
      <c r="X4746"/>
      <c r="Y4746"/>
      <c r="Z4746"/>
      <c r="AA4746"/>
      <c r="AB4746"/>
      <c r="AC4746"/>
      <c r="AD4746"/>
      <c r="AE4746"/>
      <c r="AF4746"/>
      <c r="AG4746"/>
      <c r="AH4746"/>
      <c r="AI4746"/>
      <c r="AJ4746"/>
      <c r="AK4746"/>
      <c r="AL4746"/>
    </row>
    <row r="4747" spans="1:38" ht="15.75" customHeight="1" outlineLevel="2" x14ac:dyDescent="0.2">
      <c r="A4747" s="10">
        <v>11</v>
      </c>
      <c r="B4747" s="10" t="s">
        <v>71</v>
      </c>
      <c r="C4747" s="10" t="s">
        <v>942</v>
      </c>
      <c r="D4747" s="10" t="s">
        <v>938</v>
      </c>
      <c r="E4747" s="11" t="str">
        <f t="array" ref="E4747">_xlfn.XLOOKUP(D4747,Insumos!B:B,Insumos!C:$C)</f>
        <v>UN</v>
      </c>
      <c r="F4747" s="14">
        <v>0.25</v>
      </c>
      <c r="G4747" s="92">
        <f t="array" ref="G4747">IF(B4747="insumo",_xlfn.XLOOKUP($D4747,Insumos!$B$1:$B$996,Insumos!$D$1:$D$996),"")</f>
        <v>75</v>
      </c>
      <c r="H4747" s="92">
        <v>18.75</v>
      </c>
      <c r="I4747" s="13">
        <v>0</v>
      </c>
      <c r="J4747" s="13">
        <v>0</v>
      </c>
      <c r="K4747" s="13"/>
      <c r="L4747"/>
      <c r="M4747"/>
      <c r="N4747"/>
      <c r="O4747"/>
      <c r="P4747"/>
      <c r="Q4747"/>
      <c r="R4747"/>
      <c r="S4747"/>
      <c r="T4747"/>
      <c r="U4747"/>
      <c r="V4747"/>
      <c r="W4747"/>
      <c r="X4747"/>
      <c r="Y4747"/>
      <c r="Z4747"/>
      <c r="AA4747"/>
      <c r="AB4747"/>
      <c r="AC4747"/>
      <c r="AD4747"/>
      <c r="AE4747"/>
      <c r="AF4747"/>
      <c r="AG4747"/>
      <c r="AH4747"/>
      <c r="AI4747"/>
      <c r="AJ4747"/>
      <c r="AK4747"/>
      <c r="AL4747"/>
    </row>
    <row r="4748" spans="1:38" ht="15.75" customHeight="1" outlineLevel="2" x14ac:dyDescent="0.2">
      <c r="A4748" s="10">
        <v>2</v>
      </c>
      <c r="B4748" s="10" t="s">
        <v>71</v>
      </c>
      <c r="C4748" s="10" t="s">
        <v>942</v>
      </c>
      <c r="D4748" s="10" t="s">
        <v>933</v>
      </c>
      <c r="E4748" s="11" t="str">
        <f t="array" ref="E4748">_xlfn.XLOOKUP(D4748,Insumos!B:B,Insumos!C:$C)</f>
        <v>UN</v>
      </c>
      <c r="F4748" s="14">
        <v>1</v>
      </c>
      <c r="G4748" s="92">
        <f t="array" ref="G4748">IF(B4748="insumo",_xlfn.XLOOKUP($D4748,Insumos!$B$1:$B$996,Insumos!$D$1:$D$996),"")</f>
        <v>523.16999999999996</v>
      </c>
      <c r="H4748" s="92">
        <v>523.16999999999996</v>
      </c>
      <c r="I4748" s="13">
        <v>0</v>
      </c>
      <c r="J4748" s="13">
        <v>0</v>
      </c>
      <c r="K4748" s="13"/>
      <c r="L4748"/>
      <c r="M4748"/>
      <c r="N4748"/>
      <c r="O4748"/>
      <c r="P4748"/>
      <c r="Q4748"/>
      <c r="R4748"/>
      <c r="S4748"/>
      <c r="T4748"/>
      <c r="U4748"/>
      <c r="V4748"/>
      <c r="W4748"/>
      <c r="X4748"/>
      <c r="Y4748"/>
      <c r="Z4748"/>
      <c r="AA4748"/>
      <c r="AB4748"/>
      <c r="AC4748"/>
      <c r="AD4748"/>
      <c r="AE4748"/>
      <c r="AF4748"/>
      <c r="AG4748"/>
      <c r="AH4748"/>
      <c r="AI4748"/>
      <c r="AJ4748"/>
      <c r="AK4748"/>
      <c r="AL4748"/>
    </row>
    <row r="4749" spans="1:38" ht="15.75" customHeight="1" outlineLevel="2" x14ac:dyDescent="0.2">
      <c r="A4749" s="10">
        <v>11</v>
      </c>
      <c r="B4749" s="10" t="s">
        <v>71</v>
      </c>
      <c r="C4749" s="10" t="s">
        <v>942</v>
      </c>
      <c r="D4749" s="10" t="s">
        <v>939</v>
      </c>
      <c r="E4749" s="11" t="str">
        <f t="array" ref="E4749">_xlfn.XLOOKUP(D4749,Insumos!B:B,Insumos!C:$C)</f>
        <v>UN</v>
      </c>
      <c r="F4749" s="14">
        <v>1</v>
      </c>
      <c r="G4749" s="92">
        <f t="array" ref="G4749">IF(B4749="insumo",_xlfn.XLOOKUP($D4749,Insumos!$B$1:$B$996,Insumos!$D$1:$D$996),"")</f>
        <v>26.9</v>
      </c>
      <c r="H4749" s="92">
        <v>26.9</v>
      </c>
      <c r="I4749" s="13">
        <v>0</v>
      </c>
      <c r="J4749" s="13">
        <v>0</v>
      </c>
      <c r="K4749" s="13"/>
      <c r="L4749"/>
      <c r="M4749"/>
      <c r="N4749"/>
      <c r="O4749"/>
      <c r="P4749"/>
      <c r="Q4749"/>
      <c r="R4749"/>
      <c r="S4749"/>
      <c r="T4749"/>
      <c r="U4749"/>
      <c r="V4749"/>
      <c r="W4749"/>
      <c r="X4749"/>
      <c r="Y4749"/>
      <c r="Z4749"/>
      <c r="AA4749"/>
      <c r="AB4749"/>
      <c r="AC4749"/>
      <c r="AD4749"/>
      <c r="AE4749"/>
      <c r="AF4749"/>
      <c r="AG4749"/>
      <c r="AH4749"/>
      <c r="AI4749"/>
      <c r="AJ4749"/>
      <c r="AK4749"/>
      <c r="AL4749"/>
    </row>
    <row r="4750" spans="1:38" ht="15.75" customHeight="1" outlineLevel="1" x14ac:dyDescent="0.2">
      <c r="A4750" s="1067">
        <v>1</v>
      </c>
      <c r="B4750" s="1067" t="s">
        <v>68</v>
      </c>
      <c r="C4750" s="1084" t="s">
        <v>945</v>
      </c>
      <c r="D4750" s="1084" t="s">
        <v>945</v>
      </c>
      <c r="E4750" s="1068" t="s">
        <v>197</v>
      </c>
      <c r="F4750" s="1085" t="s">
        <v>400</v>
      </c>
      <c r="G4750" s="1069" t="str">
        <f t="array" ref="G4750">IF(B4750="insumo",_xlfn.XLOOKUP($D4750,Insumos!$B$1:$B$996,Insumos!$D$1:$D$996),"")</f>
        <v/>
      </c>
      <c r="H4750" s="1069">
        <v>436.69</v>
      </c>
      <c r="I4750" s="1070">
        <v>0</v>
      </c>
      <c r="J4750" s="1070">
        <v>0</v>
      </c>
      <c r="K4750" s="1070"/>
      <c r="L4750"/>
      <c r="M4750"/>
      <c r="N4750"/>
      <c r="O4750"/>
      <c r="P4750"/>
      <c r="Q4750"/>
      <c r="R4750"/>
      <c r="S4750"/>
      <c r="T4750"/>
      <c r="U4750"/>
      <c r="V4750"/>
      <c r="W4750"/>
      <c r="X4750"/>
      <c r="Y4750"/>
      <c r="Z4750"/>
      <c r="AA4750"/>
      <c r="AB4750"/>
      <c r="AC4750"/>
      <c r="AD4750"/>
      <c r="AE4750"/>
      <c r="AF4750"/>
      <c r="AG4750"/>
      <c r="AH4750"/>
      <c r="AI4750"/>
      <c r="AJ4750"/>
      <c r="AK4750"/>
      <c r="AL4750"/>
    </row>
    <row r="4751" spans="1:38" ht="15.75" customHeight="1" outlineLevel="2" x14ac:dyDescent="0.2">
      <c r="A4751" s="10">
        <v>1</v>
      </c>
      <c r="B4751" s="10" t="s">
        <v>71</v>
      </c>
      <c r="C4751" s="10" t="s">
        <v>945</v>
      </c>
      <c r="D4751" s="10" t="s">
        <v>946</v>
      </c>
      <c r="E4751" s="11" t="str">
        <f t="array" ref="E4751">_xlfn.XLOOKUP(D4751,Insumos!B:B,Insumos!C:$C)</f>
        <v>UN</v>
      </c>
      <c r="F4751" s="14">
        <v>1</v>
      </c>
      <c r="G4751" s="92">
        <f t="array" ref="G4751">IF(B4751="insumo",_xlfn.XLOOKUP($D4751,Insumos!$B$1:$B$996,Insumos!$D$1:$D$996),"")</f>
        <v>272.89999999999998</v>
      </c>
      <c r="H4751" s="92">
        <v>272.89999999999998</v>
      </c>
      <c r="I4751" s="13">
        <v>0</v>
      </c>
      <c r="J4751" s="13">
        <v>0</v>
      </c>
      <c r="K4751" s="13"/>
      <c r="L4751"/>
      <c r="M4751"/>
      <c r="N4751"/>
      <c r="O4751"/>
      <c r="P4751"/>
      <c r="Q4751"/>
      <c r="R4751"/>
      <c r="S4751"/>
      <c r="T4751"/>
      <c r="U4751"/>
      <c r="V4751"/>
      <c r="W4751"/>
      <c r="X4751"/>
      <c r="Y4751"/>
      <c r="Z4751"/>
      <c r="AA4751"/>
      <c r="AB4751"/>
      <c r="AC4751"/>
      <c r="AD4751"/>
      <c r="AE4751"/>
      <c r="AF4751"/>
      <c r="AG4751"/>
      <c r="AH4751"/>
      <c r="AI4751"/>
      <c r="AJ4751"/>
      <c r="AK4751"/>
      <c r="AL4751"/>
    </row>
    <row r="4752" spans="1:38" ht="15.75" customHeight="1" outlineLevel="2" x14ac:dyDescent="0.2">
      <c r="A4752" s="10">
        <v>2</v>
      </c>
      <c r="B4752" s="10" t="s">
        <v>71</v>
      </c>
      <c r="C4752" s="10" t="s">
        <v>945</v>
      </c>
      <c r="D4752" s="10" t="s">
        <v>947</v>
      </c>
      <c r="E4752" s="11" t="str">
        <f t="array" ref="E4752">_xlfn.XLOOKUP(D4752,Insumos!B:B,Insumos!C:$C)</f>
        <v>UN</v>
      </c>
      <c r="F4752" s="14">
        <v>1</v>
      </c>
      <c r="G4752" s="92">
        <f t="array" ref="G4752">IF(B4752="insumo",_xlfn.XLOOKUP($D4752,Insumos!$B$1:$B$996,Insumos!$D$1:$D$996),"")</f>
        <v>65</v>
      </c>
      <c r="H4752" s="92">
        <v>65</v>
      </c>
      <c r="I4752" s="13">
        <v>0</v>
      </c>
      <c r="J4752" s="13">
        <v>0</v>
      </c>
      <c r="K4752" s="13"/>
      <c r="L4752"/>
      <c r="M4752"/>
      <c r="N4752"/>
      <c r="O4752"/>
      <c r="P4752"/>
      <c r="Q4752"/>
      <c r="R4752"/>
      <c r="S4752"/>
      <c r="T4752"/>
      <c r="U4752"/>
      <c r="V4752"/>
      <c r="W4752"/>
      <c r="X4752"/>
      <c r="Y4752"/>
      <c r="Z4752"/>
      <c r="AA4752"/>
      <c r="AB4752"/>
      <c r="AC4752"/>
      <c r="AD4752"/>
      <c r="AE4752"/>
      <c r="AF4752"/>
      <c r="AG4752"/>
      <c r="AH4752"/>
      <c r="AI4752"/>
      <c r="AJ4752"/>
      <c r="AK4752"/>
      <c r="AL4752"/>
    </row>
    <row r="4753" spans="1:38" ht="15.75" customHeight="1" outlineLevel="2" x14ac:dyDescent="0.2">
      <c r="A4753" s="10">
        <v>3</v>
      </c>
      <c r="B4753" s="10" t="s">
        <v>71</v>
      </c>
      <c r="C4753" s="10" t="s">
        <v>945</v>
      </c>
      <c r="D4753" s="10" t="s">
        <v>943</v>
      </c>
      <c r="E4753" s="11" t="str">
        <f t="array" ref="E4753">_xlfn.XLOOKUP(D4753,Insumos!B:B,Insumos!C:$C)</f>
        <v>UN</v>
      </c>
      <c r="F4753" s="14">
        <v>1</v>
      </c>
      <c r="G4753" s="92">
        <f t="array" ref="G4753">IF(B4753="insumo",_xlfn.XLOOKUP($D4753,Insumos!$B$1:$B$996,Insumos!$D$1:$D$996),"")</f>
        <v>0.34</v>
      </c>
      <c r="H4753" s="92">
        <v>0.34</v>
      </c>
      <c r="I4753" s="13">
        <v>0</v>
      </c>
      <c r="J4753" s="13">
        <v>0</v>
      </c>
      <c r="K4753" s="13"/>
      <c r="L4753"/>
      <c r="M4753"/>
      <c r="N4753"/>
      <c r="O4753"/>
      <c r="P4753"/>
      <c r="Q4753"/>
      <c r="R4753"/>
      <c r="S4753"/>
      <c r="T4753"/>
      <c r="U4753"/>
      <c r="V4753"/>
      <c r="W4753"/>
      <c r="X4753"/>
      <c r="Y4753"/>
      <c r="Z4753"/>
      <c r="AA4753"/>
      <c r="AB4753"/>
      <c r="AC4753"/>
      <c r="AD4753"/>
      <c r="AE4753"/>
      <c r="AF4753"/>
      <c r="AG4753"/>
      <c r="AH4753"/>
      <c r="AI4753"/>
      <c r="AJ4753"/>
      <c r="AK4753"/>
      <c r="AL4753"/>
    </row>
    <row r="4754" spans="1:38" ht="15.75" customHeight="1" outlineLevel="2" x14ac:dyDescent="0.2">
      <c r="A4754" s="10">
        <v>2</v>
      </c>
      <c r="B4754" s="10" t="s">
        <v>71</v>
      </c>
      <c r="C4754" s="10" t="s">
        <v>945</v>
      </c>
      <c r="D4754" s="10" t="s">
        <v>948</v>
      </c>
      <c r="E4754" s="11" t="str">
        <f t="array" ref="E4754">_xlfn.XLOOKUP(D4754,Insumos!B:B,Insumos!C:$C)</f>
        <v>UN</v>
      </c>
      <c r="F4754" s="14">
        <v>2</v>
      </c>
      <c r="G4754" s="92">
        <f t="array" ref="G4754">IF(B4754="insumo",_xlfn.XLOOKUP($D4754,Insumos!$B$1:$B$996,Insumos!$D$1:$D$996),"")</f>
        <v>5.95</v>
      </c>
      <c r="H4754" s="92">
        <v>11.9</v>
      </c>
      <c r="I4754" s="13">
        <v>0</v>
      </c>
      <c r="J4754" s="13">
        <v>0</v>
      </c>
      <c r="K4754" s="13"/>
      <c r="L4754"/>
      <c r="M4754"/>
      <c r="N4754"/>
      <c r="O4754"/>
      <c r="P4754"/>
      <c r="Q4754"/>
      <c r="R4754"/>
      <c r="S4754"/>
      <c r="T4754"/>
      <c r="U4754"/>
      <c r="V4754"/>
      <c r="W4754"/>
      <c r="X4754"/>
      <c r="Y4754"/>
      <c r="Z4754"/>
      <c r="AA4754"/>
      <c r="AB4754"/>
      <c r="AC4754"/>
      <c r="AD4754"/>
      <c r="AE4754"/>
      <c r="AF4754"/>
      <c r="AG4754"/>
      <c r="AH4754"/>
      <c r="AI4754"/>
      <c r="AJ4754"/>
      <c r="AK4754"/>
      <c r="AL4754"/>
    </row>
    <row r="4755" spans="1:38" ht="15.75" customHeight="1" outlineLevel="2" x14ac:dyDescent="0.2">
      <c r="A4755" s="10">
        <v>11</v>
      </c>
      <c r="B4755" s="10" t="s">
        <v>71</v>
      </c>
      <c r="C4755" s="10" t="s">
        <v>945</v>
      </c>
      <c r="D4755" s="10" t="s">
        <v>938</v>
      </c>
      <c r="E4755" s="11" t="str">
        <f t="array" ref="E4755">_xlfn.XLOOKUP(D4755,Insumos!B:B,Insumos!C:$C)</f>
        <v>UN</v>
      </c>
      <c r="F4755" s="14">
        <v>0.25</v>
      </c>
      <c r="G4755" s="92">
        <f t="array" ref="G4755">IF(B4755="insumo",_xlfn.XLOOKUP($D4755,Insumos!$B$1:$B$996,Insumos!$D$1:$D$996),"")</f>
        <v>75</v>
      </c>
      <c r="H4755" s="92">
        <v>18.75</v>
      </c>
      <c r="I4755" s="13">
        <v>0</v>
      </c>
      <c r="J4755" s="13">
        <v>0</v>
      </c>
      <c r="K4755" s="13"/>
      <c r="L4755"/>
      <c r="M4755"/>
      <c r="N4755"/>
      <c r="O4755"/>
      <c r="P4755"/>
      <c r="Q4755"/>
      <c r="R4755"/>
      <c r="S4755"/>
      <c r="T4755"/>
      <c r="U4755"/>
      <c r="V4755"/>
      <c r="W4755"/>
      <c r="X4755"/>
      <c r="Y4755"/>
      <c r="Z4755"/>
      <c r="AA4755"/>
      <c r="AB4755"/>
      <c r="AC4755"/>
      <c r="AD4755"/>
      <c r="AE4755"/>
      <c r="AF4755"/>
      <c r="AG4755"/>
      <c r="AH4755"/>
      <c r="AI4755"/>
      <c r="AJ4755"/>
      <c r="AK4755"/>
      <c r="AL4755"/>
    </row>
    <row r="4756" spans="1:38" ht="15.75" customHeight="1" outlineLevel="2" x14ac:dyDescent="0.2">
      <c r="A4756" s="10">
        <v>11</v>
      </c>
      <c r="B4756" s="10" t="s">
        <v>71</v>
      </c>
      <c r="C4756" s="10" t="s">
        <v>945</v>
      </c>
      <c r="D4756" s="10" t="s">
        <v>939</v>
      </c>
      <c r="E4756" s="11" t="str">
        <f t="array" ref="E4756">_xlfn.XLOOKUP(D4756,Insumos!B:B,Insumos!C:$C)</f>
        <v>UN</v>
      </c>
      <c r="F4756" s="14">
        <v>1</v>
      </c>
      <c r="G4756" s="92">
        <f t="array" ref="G4756">IF(B4756="insumo",_xlfn.XLOOKUP($D4756,Insumos!$B$1:$B$996,Insumos!$D$1:$D$996),"")</f>
        <v>26.9</v>
      </c>
      <c r="H4756" s="92">
        <v>26.9</v>
      </c>
      <c r="I4756" s="13">
        <v>0</v>
      </c>
      <c r="J4756" s="13">
        <v>0</v>
      </c>
      <c r="K4756" s="13"/>
      <c r="L4756"/>
      <c r="M4756"/>
      <c r="N4756"/>
      <c r="O4756"/>
      <c r="P4756"/>
      <c r="Q4756"/>
      <c r="R4756"/>
      <c r="S4756"/>
      <c r="T4756"/>
      <c r="U4756"/>
      <c r="V4756"/>
      <c r="W4756"/>
      <c r="X4756"/>
      <c r="Y4756"/>
      <c r="Z4756"/>
      <c r="AA4756"/>
      <c r="AB4756"/>
      <c r="AC4756"/>
      <c r="AD4756"/>
      <c r="AE4756"/>
      <c r="AF4756"/>
      <c r="AG4756"/>
      <c r="AH4756"/>
      <c r="AI4756"/>
      <c r="AJ4756"/>
      <c r="AK4756"/>
      <c r="AL4756"/>
    </row>
    <row r="4757" spans="1:38" ht="15.75" customHeight="1" outlineLevel="2" x14ac:dyDescent="0.2">
      <c r="A4757" s="10">
        <v>2</v>
      </c>
      <c r="B4757" s="10" t="s">
        <v>71</v>
      </c>
      <c r="C4757" s="10" t="s">
        <v>945</v>
      </c>
      <c r="D4757" s="10" t="s">
        <v>949</v>
      </c>
      <c r="E4757" s="11" t="str">
        <f t="array" ref="E4757">_xlfn.XLOOKUP(D4757,Insumos!B:B,Insumos!C:$C)</f>
        <v>UN</v>
      </c>
      <c r="F4757" s="14">
        <v>1</v>
      </c>
      <c r="G4757" s="92">
        <f t="array" ref="G4757">IF(B4757="insumo",_xlfn.XLOOKUP($D4757,Insumos!$B$1:$B$996,Insumos!$D$1:$D$996),"")</f>
        <v>8.9</v>
      </c>
      <c r="H4757" s="92">
        <v>8.9</v>
      </c>
      <c r="I4757" s="13">
        <v>0</v>
      </c>
      <c r="J4757" s="13">
        <v>0</v>
      </c>
      <c r="K4757" s="13"/>
      <c r="L4757"/>
      <c r="M4757"/>
      <c r="N4757"/>
      <c r="O4757"/>
      <c r="P4757"/>
      <c r="Q4757"/>
      <c r="R4757"/>
      <c r="S4757"/>
      <c r="T4757"/>
      <c r="U4757"/>
      <c r="V4757"/>
      <c r="W4757"/>
      <c r="X4757"/>
      <c r="Y4757"/>
      <c r="Z4757"/>
      <c r="AA4757"/>
      <c r="AB4757"/>
      <c r="AC4757"/>
      <c r="AD4757"/>
      <c r="AE4757"/>
      <c r="AF4757"/>
      <c r="AG4757"/>
      <c r="AH4757"/>
      <c r="AI4757"/>
      <c r="AJ4757"/>
      <c r="AK4757"/>
      <c r="AL4757"/>
    </row>
    <row r="4758" spans="1:38" ht="15.75" customHeight="1" outlineLevel="2" x14ac:dyDescent="0.2">
      <c r="A4758" s="10">
        <v>2</v>
      </c>
      <c r="B4758" s="10" t="s">
        <v>71</v>
      </c>
      <c r="C4758" s="10" t="s">
        <v>945</v>
      </c>
      <c r="D4758" s="10" t="s">
        <v>950</v>
      </c>
      <c r="E4758" s="11" t="str">
        <f t="array" ref="E4758">_xlfn.XLOOKUP(D4758,Insumos!B:B,Insumos!C:$C)</f>
        <v>UN</v>
      </c>
      <c r="F4758" s="14">
        <v>1</v>
      </c>
      <c r="G4758" s="92">
        <f t="array" ref="G4758">IF(B4758="insumo",_xlfn.XLOOKUP($D4758,Insumos!$B$1:$B$996,Insumos!$D$1:$D$996),"")</f>
        <v>32</v>
      </c>
      <c r="H4758" s="92">
        <v>32</v>
      </c>
      <c r="I4758" s="13">
        <v>0</v>
      </c>
      <c r="J4758" s="13">
        <v>0</v>
      </c>
      <c r="K4758" s="13"/>
      <c r="L4758"/>
      <c r="M4758"/>
      <c r="N4758"/>
      <c r="O4758"/>
      <c r="P4758"/>
      <c r="Q4758"/>
      <c r="R4758"/>
      <c r="S4758"/>
      <c r="T4758"/>
      <c r="U4758"/>
      <c r="V4758"/>
      <c r="W4758"/>
      <c r="X4758"/>
      <c r="Y4758"/>
      <c r="Z4758"/>
      <c r="AA4758"/>
      <c r="AB4758"/>
      <c r="AC4758"/>
      <c r="AD4758"/>
      <c r="AE4758"/>
      <c r="AF4758"/>
      <c r="AG4758"/>
      <c r="AH4758"/>
      <c r="AI4758"/>
      <c r="AJ4758"/>
      <c r="AK4758"/>
      <c r="AL4758"/>
    </row>
    <row r="4759" spans="1:38" ht="15.75" customHeight="1" outlineLevel="1" x14ac:dyDescent="0.2">
      <c r="A4759" s="1067">
        <v>1</v>
      </c>
      <c r="B4759" s="1067" t="s">
        <v>68</v>
      </c>
      <c r="C4759" s="1084" t="s">
        <v>951</v>
      </c>
      <c r="D4759" s="1084" t="s">
        <v>951</v>
      </c>
      <c r="E4759" s="1068" t="s">
        <v>197</v>
      </c>
      <c r="F4759" s="1085" t="s">
        <v>400</v>
      </c>
      <c r="G4759" s="1069" t="str">
        <f t="array" ref="G4759">IF(B4759="insumo",_xlfn.XLOOKUP($D4759,Insumos!$B$1:$B$996,Insumos!$D$1:$D$996),"")</f>
        <v/>
      </c>
      <c r="H4759" s="1069">
        <v>1737.89</v>
      </c>
      <c r="I4759" s="1070">
        <v>0</v>
      </c>
      <c r="J4759" s="1070">
        <v>0</v>
      </c>
      <c r="K4759" s="1070"/>
      <c r="L4759"/>
      <c r="M4759"/>
      <c r="N4759"/>
      <c r="O4759"/>
      <c r="P4759"/>
      <c r="Q4759"/>
      <c r="R4759"/>
      <c r="S4759"/>
      <c r="T4759"/>
      <c r="U4759"/>
      <c r="V4759"/>
      <c r="W4759"/>
      <c r="X4759"/>
      <c r="Y4759"/>
      <c r="Z4759"/>
      <c r="AA4759"/>
      <c r="AB4759"/>
      <c r="AC4759"/>
      <c r="AD4759"/>
      <c r="AE4759"/>
      <c r="AF4759"/>
      <c r="AG4759"/>
      <c r="AH4759"/>
      <c r="AI4759"/>
      <c r="AJ4759"/>
      <c r="AK4759"/>
      <c r="AL4759"/>
    </row>
    <row r="4760" spans="1:38" ht="15.75" customHeight="1" outlineLevel="2" x14ac:dyDescent="0.2">
      <c r="A4760" s="10">
        <v>1</v>
      </c>
      <c r="B4760" s="10" t="s">
        <v>71</v>
      </c>
      <c r="C4760" s="10" t="s">
        <v>951</v>
      </c>
      <c r="D4760" s="10" t="s">
        <v>952</v>
      </c>
      <c r="E4760" s="11" t="str">
        <f t="array" ref="E4760">_xlfn.XLOOKUP(D4760,Insumos!B:B,Insumos!C:$C)</f>
        <v>UN</v>
      </c>
      <c r="F4760" s="14">
        <v>1</v>
      </c>
      <c r="G4760" s="92">
        <f t="array" ref="G4760">IF(B4760="insumo",_xlfn.XLOOKUP($D4760,Insumos!$B$1:$B$996,Insumos!$D$1:$D$996),"")</f>
        <v>1574.1</v>
      </c>
      <c r="H4760" s="92">
        <v>1574.1</v>
      </c>
      <c r="I4760" s="13">
        <v>0</v>
      </c>
      <c r="J4760" s="13">
        <v>0</v>
      </c>
      <c r="K4760" s="13"/>
      <c r="L4760"/>
      <c r="M4760"/>
      <c r="N4760"/>
      <c r="O4760"/>
      <c r="P4760"/>
      <c r="Q4760"/>
      <c r="R4760"/>
      <c r="S4760"/>
      <c r="T4760"/>
      <c r="U4760"/>
      <c r="V4760"/>
      <c r="W4760"/>
      <c r="X4760"/>
      <c r="Y4760"/>
      <c r="Z4760"/>
      <c r="AA4760"/>
      <c r="AB4760"/>
      <c r="AC4760"/>
      <c r="AD4760"/>
      <c r="AE4760"/>
      <c r="AF4760"/>
      <c r="AG4760"/>
      <c r="AH4760"/>
      <c r="AI4760"/>
      <c r="AJ4760"/>
      <c r="AK4760"/>
      <c r="AL4760"/>
    </row>
    <row r="4761" spans="1:38" ht="15.75" customHeight="1" outlineLevel="2" x14ac:dyDescent="0.2">
      <c r="A4761" s="10">
        <v>2</v>
      </c>
      <c r="B4761" s="10" t="s">
        <v>71</v>
      </c>
      <c r="C4761" s="10" t="s">
        <v>951</v>
      </c>
      <c r="D4761" s="10" t="s">
        <v>947</v>
      </c>
      <c r="E4761" s="11" t="str">
        <f t="array" ref="E4761">_xlfn.XLOOKUP(D4761,Insumos!B:B,Insumos!C:$C)</f>
        <v>UN</v>
      </c>
      <c r="F4761" s="14">
        <v>1</v>
      </c>
      <c r="G4761" s="92">
        <f t="array" ref="G4761">IF(B4761="insumo",_xlfn.XLOOKUP($D4761,Insumos!$B$1:$B$996,Insumos!$D$1:$D$996),"")</f>
        <v>65</v>
      </c>
      <c r="H4761" s="92">
        <v>65</v>
      </c>
      <c r="I4761" s="13">
        <v>0</v>
      </c>
      <c r="J4761" s="13">
        <v>0</v>
      </c>
      <c r="K4761" s="13"/>
      <c r="L4761"/>
      <c r="M4761"/>
      <c r="N4761"/>
      <c r="O4761"/>
      <c r="P4761"/>
      <c r="Q4761"/>
      <c r="R4761"/>
      <c r="S4761"/>
      <c r="T4761"/>
      <c r="U4761"/>
      <c r="V4761"/>
      <c r="W4761"/>
      <c r="X4761"/>
      <c r="Y4761"/>
      <c r="Z4761"/>
      <c r="AA4761"/>
      <c r="AB4761"/>
      <c r="AC4761"/>
      <c r="AD4761"/>
      <c r="AE4761"/>
      <c r="AF4761"/>
      <c r="AG4761"/>
      <c r="AH4761"/>
      <c r="AI4761"/>
      <c r="AJ4761"/>
      <c r="AK4761"/>
      <c r="AL4761"/>
    </row>
    <row r="4762" spans="1:38" ht="15.75" customHeight="1" outlineLevel="2" x14ac:dyDescent="0.2">
      <c r="A4762" s="10">
        <v>3</v>
      </c>
      <c r="B4762" s="10" t="s">
        <v>71</v>
      </c>
      <c r="C4762" s="10" t="s">
        <v>951</v>
      </c>
      <c r="D4762" s="10" t="s">
        <v>943</v>
      </c>
      <c r="E4762" s="11" t="str">
        <f t="array" ref="E4762">_xlfn.XLOOKUP(D4762,Insumos!B:B,Insumos!C:$C)</f>
        <v>UN</v>
      </c>
      <c r="F4762" s="14">
        <v>1</v>
      </c>
      <c r="G4762" s="92">
        <f t="array" ref="G4762">IF(B4762="insumo",_xlfn.XLOOKUP($D4762,Insumos!$B$1:$B$996,Insumos!$D$1:$D$996),"")</f>
        <v>0.34</v>
      </c>
      <c r="H4762" s="92">
        <v>0.34</v>
      </c>
      <c r="I4762" s="13">
        <v>0</v>
      </c>
      <c r="J4762" s="13">
        <v>0</v>
      </c>
      <c r="K4762" s="13"/>
      <c r="L4762"/>
      <c r="M4762"/>
      <c r="N4762"/>
      <c r="O4762"/>
      <c r="P4762"/>
      <c r="Q4762"/>
      <c r="R4762"/>
      <c r="S4762"/>
      <c r="T4762"/>
      <c r="U4762"/>
      <c r="V4762"/>
      <c r="W4762"/>
      <c r="X4762"/>
      <c r="Y4762"/>
      <c r="Z4762"/>
      <c r="AA4762"/>
      <c r="AB4762"/>
      <c r="AC4762"/>
      <c r="AD4762"/>
      <c r="AE4762"/>
      <c r="AF4762"/>
      <c r="AG4762"/>
      <c r="AH4762"/>
      <c r="AI4762"/>
      <c r="AJ4762"/>
      <c r="AK4762"/>
      <c r="AL4762"/>
    </row>
    <row r="4763" spans="1:38" ht="15.75" customHeight="1" outlineLevel="2" x14ac:dyDescent="0.2">
      <c r="A4763" s="10">
        <v>2</v>
      </c>
      <c r="B4763" s="10" t="s">
        <v>71</v>
      </c>
      <c r="C4763" s="10" t="s">
        <v>951</v>
      </c>
      <c r="D4763" s="10" t="s">
        <v>948</v>
      </c>
      <c r="E4763" s="11" t="str">
        <f t="array" ref="E4763">_xlfn.XLOOKUP(D4763,Insumos!B:B,Insumos!C:$C)</f>
        <v>UN</v>
      </c>
      <c r="F4763" s="14">
        <v>2</v>
      </c>
      <c r="G4763" s="92">
        <f t="array" ref="G4763">IF(B4763="insumo",_xlfn.XLOOKUP($D4763,Insumos!$B$1:$B$996,Insumos!$D$1:$D$996),"")</f>
        <v>5.95</v>
      </c>
      <c r="H4763" s="92">
        <v>11.9</v>
      </c>
      <c r="I4763" s="13">
        <v>0</v>
      </c>
      <c r="J4763" s="13">
        <v>0</v>
      </c>
      <c r="K4763" s="13"/>
      <c r="L4763"/>
      <c r="M4763"/>
      <c r="N4763"/>
      <c r="O4763"/>
      <c r="P4763"/>
      <c r="Q4763"/>
      <c r="R4763"/>
      <c r="S4763"/>
      <c r="T4763"/>
      <c r="U4763"/>
      <c r="V4763"/>
      <c r="W4763"/>
      <c r="X4763"/>
      <c r="Y4763"/>
      <c r="Z4763"/>
      <c r="AA4763"/>
      <c r="AB4763"/>
      <c r="AC4763"/>
      <c r="AD4763"/>
      <c r="AE4763"/>
      <c r="AF4763"/>
      <c r="AG4763"/>
      <c r="AH4763"/>
      <c r="AI4763"/>
      <c r="AJ4763"/>
      <c r="AK4763"/>
      <c r="AL4763"/>
    </row>
    <row r="4764" spans="1:38" ht="15.75" customHeight="1" outlineLevel="2" x14ac:dyDescent="0.2">
      <c r="A4764" s="10">
        <v>11</v>
      </c>
      <c r="B4764" s="10" t="s">
        <v>71</v>
      </c>
      <c r="C4764" s="10" t="s">
        <v>951</v>
      </c>
      <c r="D4764" s="10" t="s">
        <v>938</v>
      </c>
      <c r="E4764" s="11" t="str">
        <f t="array" ref="E4764">_xlfn.XLOOKUP(D4764,Insumos!B:B,Insumos!C:$C)</f>
        <v>UN</v>
      </c>
      <c r="F4764" s="14">
        <v>0.25</v>
      </c>
      <c r="G4764" s="92">
        <f t="array" ref="G4764">IF(B4764="insumo",_xlfn.XLOOKUP($D4764,Insumos!$B$1:$B$996,Insumos!$D$1:$D$996),"")</f>
        <v>75</v>
      </c>
      <c r="H4764" s="92">
        <v>18.75</v>
      </c>
      <c r="I4764" s="13">
        <v>0</v>
      </c>
      <c r="J4764" s="13">
        <v>0</v>
      </c>
      <c r="K4764" s="13"/>
      <c r="L4764"/>
      <c r="M4764"/>
      <c r="N4764"/>
      <c r="O4764"/>
      <c r="P4764"/>
      <c r="Q4764"/>
      <c r="R4764"/>
      <c r="S4764"/>
      <c r="T4764"/>
      <c r="U4764"/>
      <c r="V4764"/>
      <c r="W4764"/>
      <c r="X4764"/>
      <c r="Y4764"/>
      <c r="Z4764"/>
      <c r="AA4764"/>
      <c r="AB4764"/>
      <c r="AC4764"/>
      <c r="AD4764"/>
      <c r="AE4764"/>
      <c r="AF4764"/>
      <c r="AG4764"/>
      <c r="AH4764"/>
      <c r="AI4764"/>
      <c r="AJ4764"/>
      <c r="AK4764"/>
      <c r="AL4764"/>
    </row>
    <row r="4765" spans="1:38" ht="15.75" customHeight="1" outlineLevel="2" x14ac:dyDescent="0.2">
      <c r="A4765" s="10">
        <v>11</v>
      </c>
      <c r="B4765" s="10" t="s">
        <v>71</v>
      </c>
      <c r="C4765" s="10" t="s">
        <v>951</v>
      </c>
      <c r="D4765" s="10" t="s">
        <v>939</v>
      </c>
      <c r="E4765" s="11" t="str">
        <f t="array" ref="E4765">_xlfn.XLOOKUP(D4765,Insumos!B:B,Insumos!C:$C)</f>
        <v>UN</v>
      </c>
      <c r="F4765" s="14">
        <v>1</v>
      </c>
      <c r="G4765" s="92">
        <f t="array" ref="G4765">IF(B4765="insumo",_xlfn.XLOOKUP($D4765,Insumos!$B$1:$B$996,Insumos!$D$1:$D$996),"")</f>
        <v>26.9</v>
      </c>
      <c r="H4765" s="92">
        <v>26.9</v>
      </c>
      <c r="I4765" s="13">
        <v>0</v>
      </c>
      <c r="J4765" s="13">
        <v>0</v>
      </c>
      <c r="K4765" s="13"/>
      <c r="L4765"/>
      <c r="M4765"/>
      <c r="N4765"/>
      <c r="O4765"/>
      <c r="P4765"/>
      <c r="Q4765"/>
      <c r="R4765"/>
      <c r="S4765"/>
      <c r="T4765"/>
      <c r="U4765"/>
      <c r="V4765"/>
      <c r="W4765"/>
      <c r="X4765"/>
      <c r="Y4765"/>
      <c r="Z4765"/>
      <c r="AA4765"/>
      <c r="AB4765"/>
      <c r="AC4765"/>
      <c r="AD4765"/>
      <c r="AE4765"/>
      <c r="AF4765"/>
      <c r="AG4765"/>
      <c r="AH4765"/>
      <c r="AI4765"/>
      <c r="AJ4765"/>
      <c r="AK4765"/>
      <c r="AL4765"/>
    </row>
    <row r="4766" spans="1:38" ht="15.75" customHeight="1" outlineLevel="2" x14ac:dyDescent="0.2">
      <c r="A4766" s="10">
        <v>2</v>
      </c>
      <c r="B4766" s="10" t="s">
        <v>71</v>
      </c>
      <c r="C4766" s="10" t="s">
        <v>951</v>
      </c>
      <c r="D4766" s="10" t="s">
        <v>949</v>
      </c>
      <c r="E4766" s="11" t="str">
        <f t="array" ref="E4766">_xlfn.XLOOKUP(D4766,Insumos!B:B,Insumos!C:$C)</f>
        <v>UN</v>
      </c>
      <c r="F4766" s="14">
        <v>1</v>
      </c>
      <c r="G4766" s="92">
        <f t="array" ref="G4766">IF(B4766="insumo",_xlfn.XLOOKUP($D4766,Insumos!$B$1:$B$996,Insumos!$D$1:$D$996),"")</f>
        <v>8.9</v>
      </c>
      <c r="H4766" s="92">
        <v>8.9</v>
      </c>
      <c r="I4766" s="13">
        <v>0</v>
      </c>
      <c r="J4766" s="13">
        <v>0</v>
      </c>
      <c r="K4766" s="13"/>
      <c r="L4766"/>
      <c r="M4766"/>
      <c r="N4766"/>
      <c r="O4766"/>
      <c r="P4766"/>
      <c r="Q4766"/>
      <c r="R4766"/>
      <c r="S4766"/>
      <c r="T4766"/>
      <c r="U4766"/>
      <c r="V4766"/>
      <c r="W4766"/>
      <c r="X4766"/>
      <c r="Y4766"/>
      <c r="Z4766"/>
      <c r="AA4766"/>
      <c r="AB4766"/>
      <c r="AC4766"/>
      <c r="AD4766"/>
      <c r="AE4766"/>
      <c r="AF4766"/>
      <c r="AG4766"/>
      <c r="AH4766"/>
      <c r="AI4766"/>
      <c r="AJ4766"/>
      <c r="AK4766"/>
      <c r="AL4766"/>
    </row>
    <row r="4767" spans="1:38" ht="15.75" customHeight="1" outlineLevel="2" x14ac:dyDescent="0.2">
      <c r="A4767" s="10">
        <v>2</v>
      </c>
      <c r="B4767" s="10" t="s">
        <v>71</v>
      </c>
      <c r="C4767" s="10" t="s">
        <v>951</v>
      </c>
      <c r="D4767" s="10" t="s">
        <v>950</v>
      </c>
      <c r="E4767" s="11" t="str">
        <f t="array" ref="E4767">_xlfn.XLOOKUP(D4767,Insumos!B:B,Insumos!C:$C)</f>
        <v>UN</v>
      </c>
      <c r="F4767" s="14">
        <v>1</v>
      </c>
      <c r="G4767" s="92">
        <f t="array" ref="G4767">IF(B4767="insumo",_xlfn.XLOOKUP($D4767,Insumos!$B$1:$B$996,Insumos!$D$1:$D$996),"")</f>
        <v>32</v>
      </c>
      <c r="H4767" s="92">
        <v>32</v>
      </c>
      <c r="I4767" s="13">
        <v>0</v>
      </c>
      <c r="J4767" s="13">
        <v>0</v>
      </c>
      <c r="K4767" s="13"/>
      <c r="L4767"/>
      <c r="M4767"/>
      <c r="N4767"/>
      <c r="O4767"/>
      <c r="P4767"/>
      <c r="Q4767"/>
      <c r="R4767"/>
      <c r="S4767"/>
      <c r="T4767"/>
      <c r="U4767"/>
      <c r="V4767"/>
      <c r="W4767"/>
      <c r="X4767"/>
      <c r="Y4767"/>
      <c r="Z4767"/>
      <c r="AA4767"/>
      <c r="AB4767"/>
      <c r="AC4767"/>
      <c r="AD4767"/>
      <c r="AE4767"/>
      <c r="AF4767"/>
      <c r="AG4767"/>
      <c r="AH4767"/>
      <c r="AI4767"/>
      <c r="AJ4767"/>
      <c r="AK4767"/>
      <c r="AL4767"/>
    </row>
    <row r="4768" spans="1:38" ht="15.75" customHeight="1" outlineLevel="1" x14ac:dyDescent="0.2">
      <c r="A4768" s="1067">
        <v>1</v>
      </c>
      <c r="B4768" s="1067" t="s">
        <v>68</v>
      </c>
      <c r="C4768" s="1084" t="s">
        <v>953</v>
      </c>
      <c r="D4768" s="1084" t="s">
        <v>953</v>
      </c>
      <c r="E4768" s="1068" t="s">
        <v>197</v>
      </c>
      <c r="F4768" s="1085" t="s">
        <v>400</v>
      </c>
      <c r="G4768" s="1069" t="str">
        <f t="array" ref="G4768">IF(B4768="insumo",_xlfn.XLOOKUP($D4768,Insumos!$B$1:$B$996,Insumos!$D$1:$D$996),"")</f>
        <v/>
      </c>
      <c r="H4768" s="1069">
        <v>5832.1220000000003</v>
      </c>
      <c r="I4768" s="1086">
        <v>0</v>
      </c>
      <c r="J4768" s="1086">
        <v>0</v>
      </c>
      <c r="K4768" s="1086"/>
      <c r="L4768"/>
      <c r="M4768"/>
      <c r="N4768"/>
      <c r="O4768"/>
      <c r="P4768"/>
      <c r="Q4768"/>
      <c r="R4768"/>
      <c r="S4768"/>
      <c r="T4768"/>
      <c r="U4768"/>
      <c r="V4768"/>
      <c r="W4768"/>
      <c r="X4768"/>
      <c r="Y4768"/>
      <c r="Z4768"/>
      <c r="AA4768"/>
      <c r="AB4768"/>
      <c r="AC4768"/>
      <c r="AD4768"/>
      <c r="AE4768"/>
      <c r="AF4768"/>
      <c r="AG4768"/>
      <c r="AH4768"/>
      <c r="AI4768"/>
      <c r="AJ4768"/>
      <c r="AK4768"/>
      <c r="AL4768"/>
    </row>
    <row r="4769" spans="1:38" ht="15.75" customHeight="1" outlineLevel="2" x14ac:dyDescent="0.2">
      <c r="A4769" s="10">
        <v>1</v>
      </c>
      <c r="B4769" s="10" t="s">
        <v>71</v>
      </c>
      <c r="C4769" s="10" t="s">
        <v>953</v>
      </c>
      <c r="D4769" s="10" t="s">
        <v>954</v>
      </c>
      <c r="E4769" s="11" t="str">
        <f t="array" ref="E4769">_xlfn.XLOOKUP(D4769,Insumos!B:B,Insumos!C:$C)</f>
        <v>UN</v>
      </c>
      <c r="F4769" s="14">
        <v>1</v>
      </c>
      <c r="G4769" s="92">
        <f t="array" ref="G4769">IF(B4769="insumo",_xlfn.XLOOKUP($D4769,Insumos!$B$1:$B$996,Insumos!$D$1:$D$996),"")</f>
        <v>2750.38</v>
      </c>
      <c r="H4769" s="92">
        <v>2750.38</v>
      </c>
      <c r="I4769" s="13">
        <v>0</v>
      </c>
      <c r="J4769" s="13">
        <v>0</v>
      </c>
      <c r="K4769" s="13"/>
      <c r="L4769"/>
      <c r="M4769"/>
      <c r="N4769"/>
      <c r="O4769"/>
      <c r="P4769"/>
      <c r="Q4769"/>
      <c r="R4769"/>
      <c r="S4769"/>
      <c r="T4769"/>
      <c r="U4769"/>
      <c r="V4769"/>
      <c r="W4769"/>
      <c r="X4769"/>
      <c r="Y4769"/>
      <c r="Z4769"/>
      <c r="AA4769"/>
      <c r="AB4769"/>
      <c r="AC4769"/>
      <c r="AD4769"/>
      <c r="AE4769"/>
      <c r="AF4769"/>
      <c r="AG4769"/>
      <c r="AH4769"/>
      <c r="AI4769"/>
      <c r="AJ4769"/>
      <c r="AK4769"/>
      <c r="AL4769"/>
    </row>
    <row r="4770" spans="1:38" ht="15.75" customHeight="1" outlineLevel="2" x14ac:dyDescent="0.2">
      <c r="A4770" s="10">
        <v>1</v>
      </c>
      <c r="B4770" s="10" t="s">
        <v>71</v>
      </c>
      <c r="C4770" s="10" t="s">
        <v>953</v>
      </c>
      <c r="D4770" s="10" t="s">
        <v>955</v>
      </c>
      <c r="E4770" s="11" t="str">
        <f t="array" ref="E4770">_xlfn.XLOOKUP(D4770,Insumos!B:B,Insumos!C:$C)</f>
        <v>UN</v>
      </c>
      <c r="F4770" s="14">
        <v>1</v>
      </c>
      <c r="G4770" s="92">
        <f t="array" ref="G4770">IF(B4770="insumo",_xlfn.XLOOKUP($D4770,Insumos!$B$1:$B$996,Insumos!$D$1:$D$996),"")</f>
        <v>71.55</v>
      </c>
      <c r="H4770" s="92">
        <v>71.55</v>
      </c>
      <c r="I4770" s="13">
        <v>0</v>
      </c>
      <c r="J4770" s="13">
        <v>0</v>
      </c>
      <c r="K4770" s="13"/>
      <c r="L4770"/>
      <c r="M4770"/>
      <c r="N4770"/>
      <c r="O4770"/>
      <c r="P4770"/>
      <c r="Q4770"/>
      <c r="R4770"/>
      <c r="S4770"/>
      <c r="T4770"/>
      <c r="U4770"/>
      <c r="V4770"/>
      <c r="W4770"/>
      <c r="X4770"/>
      <c r="Y4770"/>
      <c r="Z4770"/>
      <c r="AA4770"/>
      <c r="AB4770"/>
      <c r="AC4770"/>
      <c r="AD4770"/>
      <c r="AE4770"/>
      <c r="AF4770"/>
      <c r="AG4770"/>
      <c r="AH4770"/>
      <c r="AI4770"/>
      <c r="AJ4770"/>
      <c r="AK4770"/>
      <c r="AL4770"/>
    </row>
    <row r="4771" spans="1:38" ht="15.75" customHeight="1" outlineLevel="2" x14ac:dyDescent="0.2">
      <c r="A4771" s="10">
        <v>1</v>
      </c>
      <c r="B4771" s="10" t="s">
        <v>71</v>
      </c>
      <c r="C4771" s="10" t="s">
        <v>953</v>
      </c>
      <c r="D4771" s="10" t="s">
        <v>956</v>
      </c>
      <c r="E4771" s="11" t="str">
        <f t="array" ref="E4771">_xlfn.XLOOKUP(D4771,Insumos!B:B,Insumos!C:$C)</f>
        <v>UN</v>
      </c>
      <c r="F4771" s="14">
        <v>1</v>
      </c>
      <c r="G4771" s="92">
        <f t="array" ref="G4771">IF(B4771="insumo",_xlfn.XLOOKUP($D4771,Insumos!$B$1:$B$996,Insumos!$D$1:$D$996),"")</f>
        <v>2117.89</v>
      </c>
      <c r="H4771" s="92">
        <v>2117.89</v>
      </c>
      <c r="I4771" s="13">
        <v>0</v>
      </c>
      <c r="J4771" s="13">
        <v>0</v>
      </c>
      <c r="K4771" s="13"/>
      <c r="L4771"/>
      <c r="M4771"/>
      <c r="N4771"/>
      <c r="O4771"/>
      <c r="P4771"/>
      <c r="Q4771"/>
      <c r="R4771"/>
      <c r="S4771"/>
      <c r="T4771"/>
      <c r="U4771"/>
      <c r="V4771"/>
      <c r="W4771"/>
      <c r="X4771"/>
      <c r="Y4771"/>
      <c r="Z4771"/>
      <c r="AA4771"/>
      <c r="AB4771"/>
      <c r="AC4771"/>
      <c r="AD4771"/>
      <c r="AE4771"/>
      <c r="AF4771"/>
      <c r="AG4771"/>
      <c r="AH4771"/>
      <c r="AI4771"/>
      <c r="AJ4771"/>
      <c r="AK4771"/>
      <c r="AL4771"/>
    </row>
    <row r="4772" spans="1:38" ht="15.75" customHeight="1" outlineLevel="2" x14ac:dyDescent="0.2">
      <c r="A4772" s="10">
        <v>1</v>
      </c>
      <c r="B4772" s="10" t="s">
        <v>71</v>
      </c>
      <c r="C4772" s="10" t="s">
        <v>953</v>
      </c>
      <c r="D4772" s="10" t="s">
        <v>957</v>
      </c>
      <c r="E4772" s="11" t="str">
        <f t="array" ref="E4772">_xlfn.XLOOKUP(D4772,Insumos!B:B,Insumos!C:$C)</f>
        <v>UN</v>
      </c>
      <c r="F4772" s="14">
        <v>1</v>
      </c>
      <c r="G4772" s="92">
        <f t="array" ref="G4772">IF(B4772="insumo",_xlfn.XLOOKUP($D4772,Insumos!$B$1:$B$996,Insumos!$D$1:$D$996),"")</f>
        <v>225.38</v>
      </c>
      <c r="H4772" s="92">
        <v>225.38</v>
      </c>
      <c r="I4772" s="13">
        <v>0</v>
      </c>
      <c r="J4772" s="13">
        <v>0</v>
      </c>
      <c r="K4772" s="13"/>
      <c r="L4772"/>
      <c r="M4772"/>
      <c r="N4772"/>
      <c r="O4772"/>
      <c r="P4772"/>
      <c r="Q4772"/>
      <c r="R4772"/>
      <c r="S4772"/>
      <c r="T4772"/>
      <c r="U4772"/>
      <c r="V4772"/>
      <c r="W4772"/>
      <c r="X4772"/>
      <c r="Y4772"/>
      <c r="Z4772"/>
      <c r="AA4772"/>
      <c r="AB4772"/>
      <c r="AC4772"/>
      <c r="AD4772"/>
      <c r="AE4772"/>
      <c r="AF4772"/>
      <c r="AG4772"/>
      <c r="AH4772"/>
      <c r="AI4772"/>
      <c r="AJ4772"/>
      <c r="AK4772"/>
      <c r="AL4772"/>
    </row>
    <row r="4773" spans="1:38" ht="15.75" customHeight="1" outlineLevel="2" x14ac:dyDescent="0.2">
      <c r="A4773" s="10">
        <v>5</v>
      </c>
      <c r="B4773" s="10" t="s">
        <v>71</v>
      </c>
      <c r="C4773" s="10" t="s">
        <v>953</v>
      </c>
      <c r="D4773" s="10" t="s">
        <v>958</v>
      </c>
      <c r="E4773" s="11" t="str">
        <f t="array" ref="E4773">_xlfn.XLOOKUP(D4773,Insumos!B:B,Insumos!C:$C)</f>
        <v>UN</v>
      </c>
      <c r="F4773" s="14">
        <v>1</v>
      </c>
      <c r="G4773" s="92">
        <f t="array" ref="G4773">IF(B4773="insumo",_xlfn.XLOOKUP($D4773,Insumos!$B$1:$B$996,Insumos!$D$1:$D$996),"")</f>
        <v>256.89999999999998</v>
      </c>
      <c r="H4773" s="92">
        <v>256.89999999999998</v>
      </c>
      <c r="I4773" s="13">
        <v>0</v>
      </c>
      <c r="J4773" s="13">
        <v>0</v>
      </c>
      <c r="K4773" s="13"/>
      <c r="L4773"/>
      <c r="M4773"/>
      <c r="N4773"/>
      <c r="O4773"/>
      <c r="P4773"/>
      <c r="Q4773"/>
      <c r="R4773"/>
      <c r="S4773"/>
      <c r="T4773"/>
      <c r="U4773"/>
      <c r="V4773"/>
      <c r="W4773"/>
      <c r="X4773"/>
      <c r="Y4773"/>
      <c r="Z4773"/>
      <c r="AA4773"/>
      <c r="AB4773"/>
      <c r="AC4773"/>
      <c r="AD4773"/>
      <c r="AE4773"/>
      <c r="AF4773"/>
      <c r="AG4773"/>
      <c r="AH4773"/>
      <c r="AI4773"/>
      <c r="AJ4773"/>
      <c r="AK4773"/>
      <c r="AL4773"/>
    </row>
    <row r="4774" spans="1:38" ht="15.75" customHeight="1" outlineLevel="2" x14ac:dyDescent="0.2">
      <c r="A4774" s="10">
        <v>3</v>
      </c>
      <c r="B4774" s="10" t="s">
        <v>71</v>
      </c>
      <c r="C4774" s="10" t="s">
        <v>953</v>
      </c>
      <c r="D4774" s="10" t="s">
        <v>959</v>
      </c>
      <c r="E4774" s="11" t="str">
        <f t="array" ref="E4774">_xlfn.XLOOKUP(D4774,Insumos!B:B,Insumos!C:$C)</f>
        <v>UN</v>
      </c>
      <c r="F4774" s="14">
        <v>1</v>
      </c>
      <c r="G4774" s="92">
        <f t="array" ref="G4774">IF(B4774="insumo",_xlfn.XLOOKUP($D4774,Insumos!$B$1:$B$996,Insumos!$D$1:$D$996),"")</f>
        <v>196.76</v>
      </c>
      <c r="H4774" s="92">
        <v>196.76</v>
      </c>
      <c r="I4774" s="13">
        <v>0</v>
      </c>
      <c r="J4774" s="13">
        <v>0</v>
      </c>
      <c r="K4774" s="13"/>
      <c r="L4774"/>
      <c r="M4774"/>
      <c r="N4774"/>
      <c r="O4774"/>
      <c r="P4774"/>
      <c r="Q4774"/>
      <c r="R4774"/>
      <c r="S4774"/>
      <c r="T4774"/>
      <c r="U4774"/>
      <c r="V4774"/>
      <c r="W4774"/>
      <c r="X4774"/>
      <c r="Y4774"/>
      <c r="Z4774"/>
      <c r="AA4774"/>
      <c r="AB4774"/>
      <c r="AC4774"/>
      <c r="AD4774"/>
      <c r="AE4774"/>
      <c r="AF4774"/>
      <c r="AG4774"/>
      <c r="AH4774"/>
      <c r="AI4774"/>
      <c r="AJ4774"/>
      <c r="AK4774"/>
      <c r="AL4774"/>
    </row>
    <row r="4775" spans="1:38" ht="15.75" customHeight="1" outlineLevel="2" x14ac:dyDescent="0.2">
      <c r="A4775" s="10">
        <v>6</v>
      </c>
      <c r="B4775" s="10" t="s">
        <v>71</v>
      </c>
      <c r="C4775" s="10" t="s">
        <v>953</v>
      </c>
      <c r="D4775" s="10" t="s">
        <v>960</v>
      </c>
      <c r="E4775" s="11" t="str">
        <f t="array" ref="E4775">_xlfn.XLOOKUP(D4775,Insumos!B:B,Insumos!C:$C)</f>
        <v>UN</v>
      </c>
      <c r="F4775" s="14">
        <v>6</v>
      </c>
      <c r="G4775" s="92">
        <f t="array" ref="G4775">IF(B4775="insumo",_xlfn.XLOOKUP($D4775,Insumos!$B$1:$B$996,Insumos!$D$1:$D$996),"")</f>
        <v>0.6</v>
      </c>
      <c r="H4775" s="92">
        <v>3.6</v>
      </c>
      <c r="I4775" s="13">
        <v>0</v>
      </c>
      <c r="J4775" s="13">
        <v>0</v>
      </c>
      <c r="K4775" s="13"/>
      <c r="L4775"/>
      <c r="M4775"/>
      <c r="N4775"/>
      <c r="O4775"/>
      <c r="P4775"/>
      <c r="Q4775"/>
      <c r="R4775"/>
      <c r="S4775"/>
      <c r="T4775"/>
      <c r="U4775"/>
      <c r="V4775"/>
      <c r="W4775"/>
      <c r="X4775"/>
      <c r="Y4775"/>
      <c r="Z4775"/>
      <c r="AA4775"/>
      <c r="AB4775"/>
      <c r="AC4775"/>
      <c r="AD4775"/>
      <c r="AE4775"/>
      <c r="AF4775"/>
      <c r="AG4775"/>
      <c r="AH4775"/>
      <c r="AI4775"/>
      <c r="AJ4775"/>
      <c r="AK4775"/>
      <c r="AL4775"/>
    </row>
    <row r="4776" spans="1:38" ht="15.75" customHeight="1" outlineLevel="2" x14ac:dyDescent="0.2">
      <c r="A4776" s="10">
        <v>6</v>
      </c>
      <c r="B4776" s="10" t="s">
        <v>71</v>
      </c>
      <c r="C4776" s="10" t="s">
        <v>953</v>
      </c>
      <c r="D4776" s="10" t="s">
        <v>961</v>
      </c>
      <c r="E4776" s="11" t="str">
        <f t="array" ref="E4776">_xlfn.XLOOKUP(D4776,Insumos!B:B,Insumos!C:$C)</f>
        <v>UN</v>
      </c>
      <c r="F4776" s="14">
        <v>6</v>
      </c>
      <c r="G4776" s="92">
        <f t="array" ref="G4776">IF(B4776="insumo",_xlfn.XLOOKUP($D4776,Insumos!$B$1:$B$996,Insumos!$D$1:$D$996),"")</f>
        <v>24.95</v>
      </c>
      <c r="H4776" s="92">
        <v>149.69999999999999</v>
      </c>
      <c r="I4776" s="13">
        <v>0</v>
      </c>
      <c r="J4776" s="13">
        <v>0</v>
      </c>
      <c r="K4776" s="13"/>
      <c r="L4776"/>
      <c r="M4776"/>
      <c r="N4776"/>
      <c r="O4776"/>
      <c r="P4776"/>
      <c r="Q4776"/>
      <c r="R4776"/>
      <c r="S4776"/>
      <c r="T4776"/>
      <c r="U4776"/>
      <c r="V4776"/>
      <c r="W4776"/>
      <c r="X4776"/>
      <c r="Y4776"/>
      <c r="Z4776"/>
      <c r="AA4776"/>
      <c r="AB4776"/>
      <c r="AC4776"/>
      <c r="AD4776"/>
      <c r="AE4776"/>
      <c r="AF4776"/>
      <c r="AG4776"/>
      <c r="AH4776"/>
      <c r="AI4776"/>
      <c r="AJ4776"/>
      <c r="AK4776"/>
      <c r="AL4776"/>
    </row>
    <row r="4777" spans="1:38" ht="15.75" customHeight="1" outlineLevel="2" x14ac:dyDescent="0.2">
      <c r="A4777" s="10">
        <v>8</v>
      </c>
      <c r="B4777" s="10" t="s">
        <v>71</v>
      </c>
      <c r="C4777" s="10" t="s">
        <v>953</v>
      </c>
      <c r="D4777" s="10" t="s">
        <v>936</v>
      </c>
      <c r="E4777" s="11" t="str">
        <f t="array" ref="E4777">_xlfn.XLOOKUP(D4777,Insumos!B:B,Insumos!C:$C)</f>
        <v>M</v>
      </c>
      <c r="F4777" s="14">
        <v>0.3</v>
      </c>
      <c r="G4777" s="92">
        <f t="array" ref="G4777">IF(B4777="insumo",_xlfn.XLOOKUP($D4777,Insumos!$B$1:$B$996,Insumos!$D$1:$D$996),"")</f>
        <v>0.24</v>
      </c>
      <c r="H4777" s="92">
        <v>7.1999999999999995E-2</v>
      </c>
      <c r="I4777" s="13">
        <v>0</v>
      </c>
      <c r="J4777" s="13">
        <v>0</v>
      </c>
      <c r="K4777" s="13"/>
      <c r="L4777"/>
      <c r="M4777"/>
      <c r="N4777"/>
      <c r="O4777"/>
      <c r="P4777"/>
      <c r="Q4777"/>
      <c r="R4777"/>
      <c r="S4777"/>
      <c r="T4777"/>
      <c r="U4777"/>
      <c r="V4777"/>
      <c r="W4777"/>
      <c r="X4777"/>
      <c r="Y4777"/>
      <c r="Z4777"/>
      <c r="AA4777"/>
      <c r="AB4777"/>
      <c r="AC4777"/>
      <c r="AD4777"/>
      <c r="AE4777"/>
      <c r="AF4777"/>
      <c r="AG4777"/>
      <c r="AH4777"/>
      <c r="AI4777"/>
      <c r="AJ4777"/>
      <c r="AK4777"/>
      <c r="AL4777"/>
    </row>
    <row r="4778" spans="1:38" ht="15.75" customHeight="1" outlineLevel="2" x14ac:dyDescent="0.2">
      <c r="A4778" s="10">
        <v>7</v>
      </c>
      <c r="B4778" s="10" t="s">
        <v>71</v>
      </c>
      <c r="C4778" s="10" t="s">
        <v>953</v>
      </c>
      <c r="D4778" s="10" t="s">
        <v>944</v>
      </c>
      <c r="E4778" s="11" t="str">
        <f t="array" ref="E4778">_xlfn.XLOOKUP(D4778,Insumos!B:B,Insumos!C:$C)</f>
        <v>UN</v>
      </c>
      <c r="F4778" s="14">
        <v>0.4</v>
      </c>
      <c r="G4778" s="92">
        <f t="array" ref="G4778">IF(B4778="insumo",_xlfn.XLOOKUP($D4778,Insumos!$B$1:$B$996,Insumos!$D$1:$D$996),"")</f>
        <v>35.6</v>
      </c>
      <c r="H4778" s="92">
        <v>14.24</v>
      </c>
      <c r="I4778" s="13">
        <v>0</v>
      </c>
      <c r="J4778" s="13">
        <v>0</v>
      </c>
      <c r="K4778" s="13"/>
      <c r="L4778"/>
      <c r="M4778"/>
      <c r="N4778"/>
      <c r="O4778"/>
      <c r="P4778"/>
      <c r="Q4778"/>
      <c r="R4778"/>
      <c r="S4778"/>
      <c r="T4778"/>
      <c r="U4778"/>
      <c r="V4778"/>
      <c r="W4778"/>
      <c r="X4778"/>
      <c r="Y4778"/>
      <c r="Z4778"/>
      <c r="AA4778"/>
      <c r="AB4778"/>
      <c r="AC4778"/>
      <c r="AD4778"/>
      <c r="AE4778"/>
      <c r="AF4778"/>
      <c r="AG4778"/>
      <c r="AH4778"/>
      <c r="AI4778"/>
      <c r="AJ4778"/>
      <c r="AK4778"/>
      <c r="AL4778"/>
    </row>
    <row r="4779" spans="1:38" ht="15.75" customHeight="1" outlineLevel="2" x14ac:dyDescent="0.2">
      <c r="A4779" s="10">
        <v>11</v>
      </c>
      <c r="B4779" s="10" t="s">
        <v>71</v>
      </c>
      <c r="C4779" s="10" t="s">
        <v>953</v>
      </c>
      <c r="D4779" s="10" t="s">
        <v>938</v>
      </c>
      <c r="E4779" s="11" t="str">
        <f t="array" ref="E4779">_xlfn.XLOOKUP(D4779,Insumos!B:B,Insumos!C:$C)</f>
        <v>UN</v>
      </c>
      <c r="F4779" s="14">
        <v>0.25</v>
      </c>
      <c r="G4779" s="92">
        <f t="array" ref="G4779">IF(B4779="insumo",_xlfn.XLOOKUP($D4779,Insumos!$B$1:$B$996,Insumos!$D$1:$D$996),"")</f>
        <v>75</v>
      </c>
      <c r="H4779" s="92">
        <v>18.75</v>
      </c>
      <c r="I4779" s="13">
        <v>0</v>
      </c>
      <c r="J4779" s="13">
        <v>0</v>
      </c>
      <c r="K4779" s="13"/>
      <c r="L4779"/>
      <c r="M4779"/>
      <c r="N4779"/>
      <c r="O4779"/>
      <c r="P4779"/>
      <c r="Q4779"/>
      <c r="R4779"/>
      <c r="S4779"/>
      <c r="T4779"/>
      <c r="U4779"/>
      <c r="V4779"/>
      <c r="W4779"/>
      <c r="X4779"/>
      <c r="Y4779"/>
      <c r="Z4779"/>
      <c r="AA4779"/>
      <c r="AB4779"/>
      <c r="AC4779"/>
      <c r="AD4779"/>
      <c r="AE4779"/>
      <c r="AF4779"/>
      <c r="AG4779"/>
      <c r="AH4779"/>
      <c r="AI4779"/>
      <c r="AJ4779"/>
      <c r="AK4779"/>
      <c r="AL4779"/>
    </row>
    <row r="4780" spans="1:38" ht="15.75" customHeight="1" outlineLevel="2" x14ac:dyDescent="0.2">
      <c r="A4780" s="10">
        <v>11</v>
      </c>
      <c r="B4780" s="10" t="s">
        <v>71</v>
      </c>
      <c r="C4780" s="10" t="s">
        <v>953</v>
      </c>
      <c r="D4780" s="10" t="s">
        <v>939</v>
      </c>
      <c r="E4780" s="11" t="str">
        <f t="array" ref="E4780">_xlfn.XLOOKUP(D4780,Insumos!B:B,Insumos!C:$C)</f>
        <v>UN</v>
      </c>
      <c r="F4780" s="14">
        <v>1</v>
      </c>
      <c r="G4780" s="92">
        <f t="array" ref="G4780">IF(B4780="insumo",_xlfn.XLOOKUP($D4780,Insumos!$B$1:$B$996,Insumos!$D$1:$D$996),"")</f>
        <v>26.9</v>
      </c>
      <c r="H4780" s="92">
        <v>26.9</v>
      </c>
      <c r="I4780" s="13">
        <v>0</v>
      </c>
      <c r="J4780" s="13">
        <v>0</v>
      </c>
      <c r="K4780" s="13"/>
      <c r="L4780"/>
      <c r="M4780"/>
      <c r="N4780"/>
      <c r="O4780"/>
      <c r="P4780"/>
      <c r="Q4780"/>
      <c r="R4780"/>
      <c r="S4780"/>
      <c r="T4780"/>
      <c r="U4780"/>
      <c r="V4780"/>
      <c r="W4780"/>
      <c r="X4780"/>
      <c r="Y4780"/>
      <c r="Z4780"/>
      <c r="AA4780"/>
      <c r="AB4780"/>
      <c r="AC4780"/>
      <c r="AD4780"/>
      <c r="AE4780"/>
      <c r="AF4780"/>
      <c r="AG4780"/>
      <c r="AH4780"/>
      <c r="AI4780"/>
      <c r="AJ4780"/>
      <c r="AK4780"/>
      <c r="AL4780"/>
    </row>
    <row r="4781" spans="1:38" ht="15.75" customHeight="1" outlineLevel="1" x14ac:dyDescent="0.2">
      <c r="A4781" s="1067">
        <v>1</v>
      </c>
      <c r="B4781" s="1067" t="s">
        <v>68</v>
      </c>
      <c r="C4781" s="1084" t="s">
        <v>962</v>
      </c>
      <c r="D4781" s="1084" t="s">
        <v>962</v>
      </c>
      <c r="E4781" s="1068" t="s">
        <v>197</v>
      </c>
      <c r="F4781" s="1085" t="s">
        <v>400</v>
      </c>
      <c r="G4781" s="1069" t="str">
        <f t="array" ref="G4781">IF(B4781="insumo",_xlfn.XLOOKUP($D4781,Insumos!$B$1:$B$996,Insumos!$D$1:$D$996),"")</f>
        <v/>
      </c>
      <c r="H4781" s="1069">
        <v>1126.922</v>
      </c>
      <c r="I4781" s="1086">
        <v>0</v>
      </c>
      <c r="J4781" s="1086">
        <v>0</v>
      </c>
      <c r="K4781" s="1086"/>
      <c r="L4781"/>
      <c r="M4781"/>
      <c r="N4781"/>
      <c r="O4781"/>
      <c r="P4781"/>
      <c r="Q4781"/>
      <c r="R4781"/>
      <c r="S4781"/>
      <c r="T4781"/>
      <c r="U4781"/>
      <c r="V4781"/>
      <c r="W4781"/>
      <c r="X4781"/>
      <c r="Y4781"/>
      <c r="Z4781"/>
      <c r="AA4781"/>
      <c r="AB4781"/>
      <c r="AC4781"/>
      <c r="AD4781"/>
      <c r="AE4781"/>
      <c r="AF4781"/>
      <c r="AG4781"/>
      <c r="AH4781"/>
      <c r="AI4781"/>
      <c r="AJ4781"/>
      <c r="AK4781"/>
      <c r="AL4781"/>
    </row>
    <row r="4782" spans="1:38" ht="15.75" customHeight="1" outlineLevel="2" x14ac:dyDescent="0.2">
      <c r="A4782" s="10">
        <v>1</v>
      </c>
      <c r="B4782" s="10" t="s">
        <v>71</v>
      </c>
      <c r="C4782" s="10" t="s">
        <v>962</v>
      </c>
      <c r="D4782" s="10" t="s">
        <v>963</v>
      </c>
      <c r="E4782" s="11" t="str">
        <f t="array" ref="E4782">_xlfn.XLOOKUP(D4782,Insumos!B:B,Insumos!C:$C)</f>
        <v>UN</v>
      </c>
      <c r="F4782" s="14">
        <v>1</v>
      </c>
      <c r="G4782" s="92">
        <f t="array" ref="G4782">IF(B4782="insumo",_xlfn.XLOOKUP($D4782,Insumos!$B$1:$B$996,Insumos!$D$1:$D$996),"")</f>
        <v>460</v>
      </c>
      <c r="H4782" s="92">
        <v>460</v>
      </c>
      <c r="I4782" s="13">
        <v>0</v>
      </c>
      <c r="J4782" s="13">
        <v>0</v>
      </c>
      <c r="K4782" s="13"/>
      <c r="L4782"/>
      <c r="M4782"/>
      <c r="N4782"/>
      <c r="O4782"/>
      <c r="P4782"/>
      <c r="Q4782"/>
      <c r="R4782"/>
      <c r="S4782"/>
      <c r="T4782"/>
      <c r="U4782"/>
      <c r="V4782"/>
      <c r="W4782"/>
      <c r="X4782"/>
      <c r="Y4782"/>
      <c r="Z4782"/>
      <c r="AA4782"/>
      <c r="AB4782"/>
      <c r="AC4782"/>
      <c r="AD4782"/>
      <c r="AE4782"/>
      <c r="AF4782"/>
      <c r="AG4782"/>
      <c r="AH4782"/>
      <c r="AI4782"/>
      <c r="AJ4782"/>
      <c r="AK4782"/>
      <c r="AL4782"/>
    </row>
    <row r="4783" spans="1:38" ht="15.75" customHeight="1" outlineLevel="2" x14ac:dyDescent="0.2">
      <c r="A4783" s="10">
        <v>5</v>
      </c>
      <c r="B4783" s="10" t="s">
        <v>71</v>
      </c>
      <c r="C4783" s="10" t="s">
        <v>962</v>
      </c>
      <c r="D4783" s="10" t="s">
        <v>958</v>
      </c>
      <c r="E4783" s="11" t="str">
        <f t="array" ref="E4783">_xlfn.XLOOKUP(D4783,Insumos!B:B,Insumos!C:$C)</f>
        <v>UN</v>
      </c>
      <c r="F4783" s="14">
        <v>1</v>
      </c>
      <c r="G4783" s="92">
        <f t="array" ref="G4783">IF(B4783="insumo",_xlfn.XLOOKUP($D4783,Insumos!$B$1:$B$996,Insumos!$D$1:$D$996),"")</f>
        <v>256.89999999999998</v>
      </c>
      <c r="H4783" s="92">
        <v>256.89999999999998</v>
      </c>
      <c r="I4783" s="13">
        <v>0</v>
      </c>
      <c r="J4783" s="13">
        <v>0</v>
      </c>
      <c r="K4783" s="13"/>
      <c r="L4783"/>
      <c r="M4783"/>
      <c r="N4783"/>
      <c r="O4783"/>
      <c r="P4783"/>
      <c r="Q4783"/>
      <c r="R4783"/>
      <c r="S4783"/>
      <c r="T4783"/>
      <c r="U4783"/>
      <c r="V4783"/>
      <c r="W4783"/>
      <c r="X4783"/>
      <c r="Y4783"/>
      <c r="Z4783"/>
      <c r="AA4783"/>
      <c r="AB4783"/>
      <c r="AC4783"/>
      <c r="AD4783"/>
      <c r="AE4783"/>
      <c r="AF4783"/>
      <c r="AG4783"/>
      <c r="AH4783"/>
      <c r="AI4783"/>
      <c r="AJ4783"/>
      <c r="AK4783"/>
      <c r="AL4783"/>
    </row>
    <row r="4784" spans="1:38" ht="15.75" customHeight="1" outlineLevel="2" x14ac:dyDescent="0.2">
      <c r="A4784" s="10">
        <v>3</v>
      </c>
      <c r="B4784" s="10" t="s">
        <v>71</v>
      </c>
      <c r="C4784" s="10" t="s">
        <v>962</v>
      </c>
      <c r="D4784" s="10" t="s">
        <v>959</v>
      </c>
      <c r="E4784" s="11" t="str">
        <f t="array" ref="E4784">_xlfn.XLOOKUP(D4784,Insumos!B:B,Insumos!C:$C)</f>
        <v>UN</v>
      </c>
      <c r="F4784" s="14">
        <v>1</v>
      </c>
      <c r="G4784" s="92">
        <f t="array" ref="G4784">IF(B4784="insumo",_xlfn.XLOOKUP($D4784,Insumos!$B$1:$B$996,Insumos!$D$1:$D$996),"")</f>
        <v>196.76</v>
      </c>
      <c r="H4784" s="92">
        <v>196.76</v>
      </c>
      <c r="I4784" s="13">
        <v>0</v>
      </c>
      <c r="J4784" s="13">
        <v>0</v>
      </c>
      <c r="K4784" s="13"/>
      <c r="L4784"/>
      <c r="M4784"/>
      <c r="N4784"/>
      <c r="O4784"/>
      <c r="P4784"/>
      <c r="Q4784"/>
      <c r="R4784"/>
      <c r="S4784"/>
      <c r="T4784"/>
      <c r="U4784"/>
      <c r="V4784"/>
      <c r="W4784"/>
      <c r="X4784"/>
      <c r="Y4784"/>
      <c r="Z4784"/>
      <c r="AA4784"/>
      <c r="AB4784"/>
      <c r="AC4784"/>
      <c r="AD4784"/>
      <c r="AE4784"/>
      <c r="AF4784"/>
      <c r="AG4784"/>
      <c r="AH4784"/>
      <c r="AI4784"/>
      <c r="AJ4784"/>
      <c r="AK4784"/>
      <c r="AL4784"/>
    </row>
    <row r="4785" spans="1:38" ht="15.75" customHeight="1" outlineLevel="2" x14ac:dyDescent="0.2">
      <c r="A4785" s="10">
        <v>6</v>
      </c>
      <c r="B4785" s="10" t="s">
        <v>71</v>
      </c>
      <c r="C4785" s="10" t="s">
        <v>962</v>
      </c>
      <c r="D4785" s="10" t="s">
        <v>960</v>
      </c>
      <c r="E4785" s="11" t="str">
        <f t="array" ref="E4785">_xlfn.XLOOKUP(D4785,Insumos!B:B,Insumos!C:$C)</f>
        <v>UN</v>
      </c>
      <c r="F4785" s="14">
        <v>6</v>
      </c>
      <c r="G4785" s="92">
        <f t="array" ref="G4785">IF(B4785="insumo",_xlfn.XLOOKUP($D4785,Insumos!$B$1:$B$996,Insumos!$D$1:$D$996),"")</f>
        <v>0.6</v>
      </c>
      <c r="H4785" s="92">
        <v>3.6</v>
      </c>
      <c r="I4785" s="13">
        <v>0</v>
      </c>
      <c r="J4785" s="13">
        <v>0</v>
      </c>
      <c r="K4785" s="13"/>
      <c r="L4785"/>
      <c r="M4785"/>
      <c r="N4785"/>
      <c r="O4785"/>
      <c r="P4785"/>
      <c r="Q4785"/>
      <c r="R4785"/>
      <c r="S4785"/>
      <c r="T4785"/>
      <c r="U4785"/>
      <c r="V4785"/>
      <c r="W4785"/>
      <c r="X4785"/>
      <c r="Y4785"/>
      <c r="Z4785"/>
      <c r="AA4785"/>
      <c r="AB4785"/>
      <c r="AC4785"/>
      <c r="AD4785"/>
      <c r="AE4785"/>
      <c r="AF4785"/>
      <c r="AG4785"/>
      <c r="AH4785"/>
      <c r="AI4785"/>
      <c r="AJ4785"/>
      <c r="AK4785"/>
      <c r="AL4785"/>
    </row>
    <row r="4786" spans="1:38" ht="15.75" customHeight="1" outlineLevel="2" x14ac:dyDescent="0.2">
      <c r="A4786" s="10">
        <v>6</v>
      </c>
      <c r="B4786" s="10" t="s">
        <v>71</v>
      </c>
      <c r="C4786" s="10" t="s">
        <v>962</v>
      </c>
      <c r="D4786" s="10" t="s">
        <v>961</v>
      </c>
      <c r="E4786" s="11" t="str">
        <f t="array" ref="E4786">_xlfn.XLOOKUP(D4786,Insumos!B:B,Insumos!C:$C)</f>
        <v>UN</v>
      </c>
      <c r="F4786" s="14">
        <v>6</v>
      </c>
      <c r="G4786" s="92">
        <f t="array" ref="G4786">IF(B4786="insumo",_xlfn.XLOOKUP($D4786,Insumos!$B$1:$B$996,Insumos!$D$1:$D$996),"")</f>
        <v>24.95</v>
      </c>
      <c r="H4786" s="92">
        <v>149.69999999999999</v>
      </c>
      <c r="I4786" s="13">
        <v>0</v>
      </c>
      <c r="J4786" s="13">
        <v>0</v>
      </c>
      <c r="K4786" s="13"/>
      <c r="L4786"/>
      <c r="M4786"/>
      <c r="N4786"/>
      <c r="O4786"/>
      <c r="P4786"/>
      <c r="Q4786"/>
      <c r="R4786"/>
      <c r="S4786"/>
      <c r="T4786"/>
      <c r="U4786"/>
      <c r="V4786"/>
      <c r="W4786"/>
      <c r="X4786"/>
      <c r="Y4786"/>
      <c r="Z4786"/>
      <c r="AA4786"/>
      <c r="AB4786"/>
      <c r="AC4786"/>
      <c r="AD4786"/>
      <c r="AE4786"/>
      <c r="AF4786"/>
      <c r="AG4786"/>
      <c r="AH4786"/>
      <c r="AI4786"/>
      <c r="AJ4786"/>
      <c r="AK4786"/>
      <c r="AL4786"/>
    </row>
    <row r="4787" spans="1:38" ht="15.75" customHeight="1" outlineLevel="2" x14ac:dyDescent="0.2">
      <c r="A4787" s="10">
        <v>8</v>
      </c>
      <c r="B4787" s="10" t="s">
        <v>71</v>
      </c>
      <c r="C4787" s="10" t="s">
        <v>962</v>
      </c>
      <c r="D4787" s="10" t="s">
        <v>936</v>
      </c>
      <c r="E4787" s="11" t="str">
        <f t="array" ref="E4787">_xlfn.XLOOKUP(D4787,Insumos!B:B,Insumos!C:$C)</f>
        <v>M</v>
      </c>
      <c r="F4787" s="14">
        <v>0.3</v>
      </c>
      <c r="G4787" s="92">
        <f t="array" ref="G4787">IF(B4787="insumo",_xlfn.XLOOKUP($D4787,Insumos!$B$1:$B$996,Insumos!$D$1:$D$996),"")</f>
        <v>0.24</v>
      </c>
      <c r="H4787" s="92">
        <v>7.1999999999999995E-2</v>
      </c>
      <c r="I4787" s="13">
        <v>0</v>
      </c>
      <c r="J4787" s="13">
        <v>0</v>
      </c>
      <c r="K4787" s="13"/>
      <c r="L4787"/>
      <c r="M4787"/>
      <c r="N4787"/>
      <c r="O4787"/>
      <c r="P4787"/>
      <c r="Q4787"/>
      <c r="R4787"/>
      <c r="S4787"/>
      <c r="T4787"/>
      <c r="U4787"/>
      <c r="V4787"/>
      <c r="W4787"/>
      <c r="X4787"/>
      <c r="Y4787"/>
      <c r="Z4787"/>
      <c r="AA4787"/>
      <c r="AB4787"/>
      <c r="AC4787"/>
      <c r="AD4787"/>
      <c r="AE4787"/>
      <c r="AF4787"/>
      <c r="AG4787"/>
      <c r="AH4787"/>
      <c r="AI4787"/>
      <c r="AJ4787"/>
      <c r="AK4787"/>
      <c r="AL4787"/>
    </row>
    <row r="4788" spans="1:38" ht="15.75" customHeight="1" outlineLevel="2" x14ac:dyDescent="0.2">
      <c r="A4788" s="10">
        <v>7</v>
      </c>
      <c r="B4788" s="10" t="s">
        <v>71</v>
      </c>
      <c r="C4788" s="10" t="s">
        <v>962</v>
      </c>
      <c r="D4788" s="10" t="s">
        <v>944</v>
      </c>
      <c r="E4788" s="11" t="str">
        <f t="array" ref="E4788">_xlfn.XLOOKUP(D4788,Insumos!B:B,Insumos!C:$C)</f>
        <v>UN</v>
      </c>
      <c r="F4788" s="14">
        <v>0.4</v>
      </c>
      <c r="G4788" s="92">
        <f t="array" ref="G4788">IF(B4788="insumo",_xlfn.XLOOKUP($D4788,Insumos!$B$1:$B$996,Insumos!$D$1:$D$996),"")</f>
        <v>35.6</v>
      </c>
      <c r="H4788" s="92">
        <v>14.24</v>
      </c>
      <c r="I4788" s="13">
        <v>0</v>
      </c>
      <c r="J4788" s="13">
        <v>0</v>
      </c>
      <c r="K4788" s="13"/>
      <c r="L4788"/>
      <c r="M4788"/>
      <c r="N4788"/>
      <c r="O4788"/>
      <c r="P4788"/>
      <c r="Q4788"/>
      <c r="R4788"/>
      <c r="S4788"/>
      <c r="T4788"/>
      <c r="U4788"/>
      <c r="V4788"/>
      <c r="W4788"/>
      <c r="X4788"/>
      <c r="Y4788"/>
      <c r="Z4788"/>
      <c r="AA4788"/>
      <c r="AB4788"/>
      <c r="AC4788"/>
      <c r="AD4788"/>
      <c r="AE4788"/>
      <c r="AF4788"/>
      <c r="AG4788"/>
      <c r="AH4788"/>
      <c r="AI4788"/>
      <c r="AJ4788"/>
      <c r="AK4788"/>
      <c r="AL4788"/>
    </row>
    <row r="4789" spans="1:38" ht="15.75" customHeight="1" outlineLevel="2" x14ac:dyDescent="0.2">
      <c r="A4789" s="10">
        <v>11</v>
      </c>
      <c r="B4789" s="10" t="s">
        <v>71</v>
      </c>
      <c r="C4789" s="10" t="s">
        <v>962</v>
      </c>
      <c r="D4789" s="10" t="s">
        <v>938</v>
      </c>
      <c r="E4789" s="11" t="str">
        <f t="array" ref="E4789">_xlfn.XLOOKUP(D4789,Insumos!B:B,Insumos!C:$C)</f>
        <v>UN</v>
      </c>
      <c r="F4789" s="14">
        <v>0.25</v>
      </c>
      <c r="G4789" s="92">
        <f t="array" ref="G4789">IF(B4789="insumo",_xlfn.XLOOKUP($D4789,Insumos!$B$1:$B$996,Insumos!$D$1:$D$996),"")</f>
        <v>75</v>
      </c>
      <c r="H4789" s="92">
        <v>18.75</v>
      </c>
      <c r="I4789" s="13">
        <v>0</v>
      </c>
      <c r="J4789" s="13">
        <v>0</v>
      </c>
      <c r="K4789" s="13"/>
      <c r="L4789"/>
      <c r="M4789"/>
      <c r="N4789"/>
      <c r="O4789"/>
      <c r="P4789"/>
      <c r="Q4789"/>
      <c r="R4789"/>
      <c r="S4789"/>
      <c r="T4789"/>
      <c r="U4789"/>
      <c r="V4789"/>
      <c r="W4789"/>
      <c r="X4789"/>
      <c r="Y4789"/>
      <c r="Z4789"/>
      <c r="AA4789"/>
      <c r="AB4789"/>
      <c r="AC4789"/>
      <c r="AD4789"/>
      <c r="AE4789"/>
      <c r="AF4789"/>
      <c r="AG4789"/>
      <c r="AH4789"/>
      <c r="AI4789"/>
      <c r="AJ4789"/>
      <c r="AK4789"/>
      <c r="AL4789"/>
    </row>
    <row r="4790" spans="1:38" ht="15.75" customHeight="1" outlineLevel="2" x14ac:dyDescent="0.2">
      <c r="A4790" s="10">
        <v>11</v>
      </c>
      <c r="B4790" s="10" t="s">
        <v>71</v>
      </c>
      <c r="C4790" s="10" t="s">
        <v>962</v>
      </c>
      <c r="D4790" s="10" t="s">
        <v>939</v>
      </c>
      <c r="E4790" s="11" t="str">
        <f t="array" ref="E4790">_xlfn.XLOOKUP(D4790,Insumos!B:B,Insumos!C:$C)</f>
        <v>UN</v>
      </c>
      <c r="F4790" s="14">
        <v>1</v>
      </c>
      <c r="G4790" s="92">
        <f t="array" ref="G4790">IF(B4790="insumo",_xlfn.XLOOKUP($D4790,Insumos!$B$1:$B$996,Insumos!$D$1:$D$996),"")</f>
        <v>26.9</v>
      </c>
      <c r="H4790" s="92">
        <v>26.9</v>
      </c>
      <c r="I4790" s="13">
        <v>0</v>
      </c>
      <c r="J4790" s="13">
        <v>0</v>
      </c>
      <c r="K4790" s="13"/>
      <c r="L4790"/>
      <c r="M4790"/>
      <c r="N4790"/>
      <c r="O4790"/>
      <c r="P4790"/>
      <c r="Q4790"/>
      <c r="R4790"/>
      <c r="S4790"/>
      <c r="T4790"/>
      <c r="U4790"/>
      <c r="V4790"/>
      <c r="W4790"/>
      <c r="X4790"/>
      <c r="Y4790"/>
      <c r="Z4790"/>
      <c r="AA4790"/>
      <c r="AB4790"/>
      <c r="AC4790"/>
      <c r="AD4790"/>
      <c r="AE4790"/>
      <c r="AF4790"/>
      <c r="AG4790"/>
      <c r="AH4790"/>
      <c r="AI4790"/>
      <c r="AJ4790"/>
      <c r="AK4790"/>
      <c r="AL4790"/>
    </row>
    <row r="4791" spans="1:38" ht="15.75" customHeight="1" outlineLevel="1" x14ac:dyDescent="0.2">
      <c r="A4791" s="1067">
        <v>1</v>
      </c>
      <c r="B4791" s="1067" t="s">
        <v>68</v>
      </c>
      <c r="C4791" s="1084" t="s">
        <v>964</v>
      </c>
      <c r="D4791" s="1084" t="s">
        <v>964</v>
      </c>
      <c r="E4791" s="1068" t="s">
        <v>197</v>
      </c>
      <c r="F4791" s="1085" t="s">
        <v>400</v>
      </c>
      <c r="G4791" s="1069" t="str">
        <f t="array" ref="G4791">IF(B4791="insumo",_xlfn.XLOOKUP($D4791,Insumos!$B$1:$B$996,Insumos!$D$1:$D$996),"")</f>
        <v/>
      </c>
      <c r="H4791" s="1069">
        <v>709.96199999999999</v>
      </c>
      <c r="I4791" s="1086">
        <v>0</v>
      </c>
      <c r="J4791" s="1086">
        <v>0</v>
      </c>
      <c r="K4791" s="1086"/>
      <c r="L4791"/>
      <c r="M4791"/>
      <c r="N4791"/>
      <c r="O4791"/>
      <c r="P4791"/>
      <c r="Q4791"/>
      <c r="R4791"/>
      <c r="S4791"/>
      <c r="T4791"/>
      <c r="U4791"/>
      <c r="V4791"/>
      <c r="W4791"/>
      <c r="X4791"/>
      <c r="Y4791"/>
      <c r="Z4791"/>
      <c r="AA4791"/>
      <c r="AB4791"/>
      <c r="AC4791"/>
      <c r="AD4791"/>
      <c r="AE4791"/>
      <c r="AF4791"/>
      <c r="AG4791"/>
      <c r="AH4791"/>
      <c r="AI4791"/>
      <c r="AJ4791"/>
      <c r="AK4791"/>
      <c r="AL4791"/>
    </row>
    <row r="4792" spans="1:38" ht="15.75" customHeight="1" outlineLevel="2" x14ac:dyDescent="0.2">
      <c r="A4792" s="10">
        <v>1</v>
      </c>
      <c r="B4792" s="10" t="s">
        <v>71</v>
      </c>
      <c r="C4792" s="10" t="s">
        <v>964</v>
      </c>
      <c r="D4792" s="10" t="s">
        <v>965</v>
      </c>
      <c r="E4792" s="11" t="str">
        <f t="array" ref="E4792">_xlfn.XLOOKUP(D4792,Insumos!B:B,Insumos!C:$C)</f>
        <v>UN</v>
      </c>
      <c r="F4792" s="14">
        <v>1</v>
      </c>
      <c r="G4792" s="92">
        <f t="array" ref="G4792">IF(B4792="insumo",_xlfn.XLOOKUP($D4792,Insumos!$B$1:$B$996,Insumos!$D$1:$D$996),"")</f>
        <v>203.9</v>
      </c>
      <c r="H4792" s="92">
        <v>203.9</v>
      </c>
      <c r="I4792" s="13">
        <v>0</v>
      </c>
      <c r="J4792" s="13">
        <v>0</v>
      </c>
      <c r="K4792" s="13"/>
      <c r="L4792"/>
      <c r="M4792"/>
      <c r="N4792"/>
      <c r="O4792"/>
      <c r="P4792"/>
      <c r="Q4792"/>
      <c r="R4792"/>
      <c r="S4792"/>
      <c r="T4792"/>
      <c r="U4792"/>
      <c r="V4792"/>
      <c r="W4792"/>
      <c r="X4792"/>
      <c r="Y4792"/>
      <c r="Z4792"/>
      <c r="AA4792"/>
      <c r="AB4792"/>
      <c r="AC4792"/>
      <c r="AD4792"/>
      <c r="AE4792"/>
      <c r="AF4792"/>
      <c r="AG4792"/>
      <c r="AH4792"/>
      <c r="AI4792"/>
      <c r="AJ4792"/>
      <c r="AK4792"/>
      <c r="AL4792"/>
    </row>
    <row r="4793" spans="1:38" ht="15.75" customHeight="1" outlineLevel="2" x14ac:dyDescent="0.2">
      <c r="A4793" s="10">
        <v>5</v>
      </c>
      <c r="B4793" s="10" t="s">
        <v>71</v>
      </c>
      <c r="C4793" s="10" t="s">
        <v>964</v>
      </c>
      <c r="D4793" s="10" t="s">
        <v>958</v>
      </c>
      <c r="E4793" s="11" t="str">
        <f t="array" ref="E4793">_xlfn.XLOOKUP(D4793,Insumos!B:B,Insumos!C:$C)</f>
        <v>UN</v>
      </c>
      <c r="F4793" s="14">
        <v>1</v>
      </c>
      <c r="G4793" s="92">
        <f t="array" ref="G4793">IF(B4793="insumo",_xlfn.XLOOKUP($D4793,Insumos!$B$1:$B$996,Insumos!$D$1:$D$996),"")</f>
        <v>256.89999999999998</v>
      </c>
      <c r="H4793" s="92">
        <v>256.89999999999998</v>
      </c>
      <c r="I4793" s="13">
        <v>0</v>
      </c>
      <c r="J4793" s="13">
        <v>0</v>
      </c>
      <c r="K4793" s="13"/>
      <c r="L4793"/>
      <c r="M4793"/>
      <c r="N4793"/>
      <c r="O4793"/>
      <c r="P4793"/>
      <c r="Q4793"/>
      <c r="R4793"/>
      <c r="S4793"/>
      <c r="T4793"/>
      <c r="U4793"/>
      <c r="V4793"/>
      <c r="W4793"/>
      <c r="X4793"/>
      <c r="Y4793"/>
      <c r="Z4793"/>
      <c r="AA4793"/>
      <c r="AB4793"/>
      <c r="AC4793"/>
      <c r="AD4793"/>
      <c r="AE4793"/>
      <c r="AF4793"/>
      <c r="AG4793"/>
      <c r="AH4793"/>
      <c r="AI4793"/>
      <c r="AJ4793"/>
      <c r="AK4793"/>
      <c r="AL4793"/>
    </row>
    <row r="4794" spans="1:38" ht="15.75" customHeight="1" outlineLevel="2" x14ac:dyDescent="0.2">
      <c r="A4794" s="10">
        <v>3</v>
      </c>
      <c r="B4794" s="10" t="s">
        <v>71</v>
      </c>
      <c r="C4794" s="10" t="s">
        <v>964</v>
      </c>
      <c r="D4794" s="10" t="s">
        <v>966</v>
      </c>
      <c r="E4794" s="11" t="str">
        <f t="array" ref="E4794">_xlfn.XLOOKUP(D4794,Insumos!B:B,Insumos!C:$C)</f>
        <v>UN</v>
      </c>
      <c r="F4794" s="14">
        <v>1</v>
      </c>
      <c r="G4794" s="92">
        <f t="array" ref="G4794">IF(B4794="insumo",_xlfn.XLOOKUP($D4794,Insumos!$B$1:$B$996,Insumos!$D$1:$D$996),"")</f>
        <v>35.9</v>
      </c>
      <c r="H4794" s="92">
        <v>35.9</v>
      </c>
      <c r="I4794" s="13">
        <v>0</v>
      </c>
      <c r="J4794" s="13">
        <v>0</v>
      </c>
      <c r="K4794" s="13"/>
      <c r="L4794"/>
      <c r="M4794"/>
      <c r="N4794"/>
      <c r="O4794"/>
      <c r="P4794"/>
      <c r="Q4794"/>
      <c r="R4794"/>
      <c r="S4794"/>
      <c r="T4794"/>
      <c r="U4794"/>
      <c r="V4794"/>
      <c r="W4794"/>
      <c r="X4794"/>
      <c r="Y4794"/>
      <c r="Z4794"/>
      <c r="AA4794"/>
      <c r="AB4794"/>
      <c r="AC4794"/>
      <c r="AD4794"/>
      <c r="AE4794"/>
      <c r="AF4794"/>
      <c r="AG4794"/>
      <c r="AH4794"/>
      <c r="AI4794"/>
      <c r="AJ4794"/>
      <c r="AK4794"/>
      <c r="AL4794"/>
    </row>
    <row r="4795" spans="1:38" ht="15.75" customHeight="1" outlineLevel="2" x14ac:dyDescent="0.2">
      <c r="A4795" s="10">
        <v>6</v>
      </c>
      <c r="B4795" s="10" t="s">
        <v>71</v>
      </c>
      <c r="C4795" s="10" t="s">
        <v>964</v>
      </c>
      <c r="D4795" s="10" t="s">
        <v>960</v>
      </c>
      <c r="E4795" s="11" t="str">
        <f t="array" ref="E4795">_xlfn.XLOOKUP(D4795,Insumos!B:B,Insumos!C:$C)</f>
        <v>UN</v>
      </c>
      <c r="F4795" s="14">
        <v>6</v>
      </c>
      <c r="G4795" s="92">
        <f t="array" ref="G4795">IF(B4795="insumo",_xlfn.XLOOKUP($D4795,Insumos!$B$1:$B$996,Insumos!$D$1:$D$996),"")</f>
        <v>0.6</v>
      </c>
      <c r="H4795" s="92">
        <v>3.6</v>
      </c>
      <c r="I4795" s="13">
        <v>0</v>
      </c>
      <c r="J4795" s="13">
        <v>0</v>
      </c>
      <c r="K4795" s="13"/>
      <c r="L4795"/>
      <c r="M4795"/>
      <c r="N4795"/>
      <c r="O4795"/>
      <c r="P4795"/>
      <c r="Q4795"/>
      <c r="R4795"/>
      <c r="S4795"/>
      <c r="T4795"/>
      <c r="U4795"/>
      <c r="V4795"/>
      <c r="W4795"/>
      <c r="X4795"/>
      <c r="Y4795"/>
      <c r="Z4795"/>
      <c r="AA4795"/>
      <c r="AB4795"/>
      <c r="AC4795"/>
      <c r="AD4795"/>
      <c r="AE4795"/>
      <c r="AF4795"/>
      <c r="AG4795"/>
      <c r="AH4795"/>
      <c r="AI4795"/>
      <c r="AJ4795"/>
      <c r="AK4795"/>
      <c r="AL4795"/>
    </row>
    <row r="4796" spans="1:38" ht="15.75" customHeight="1" outlineLevel="2" x14ac:dyDescent="0.2">
      <c r="A4796" s="10">
        <v>6</v>
      </c>
      <c r="B4796" s="10" t="s">
        <v>71</v>
      </c>
      <c r="C4796" s="10" t="s">
        <v>964</v>
      </c>
      <c r="D4796" s="10" t="s">
        <v>961</v>
      </c>
      <c r="E4796" s="11" t="str">
        <f t="array" ref="E4796">_xlfn.XLOOKUP(D4796,Insumos!B:B,Insumos!C:$C)</f>
        <v>UN</v>
      </c>
      <c r="F4796" s="14">
        <v>6</v>
      </c>
      <c r="G4796" s="92">
        <f t="array" ref="G4796">IF(B4796="insumo",_xlfn.XLOOKUP($D4796,Insumos!$B$1:$B$996,Insumos!$D$1:$D$996),"")</f>
        <v>24.95</v>
      </c>
      <c r="H4796" s="92">
        <v>149.69999999999999</v>
      </c>
      <c r="I4796" s="13">
        <v>0</v>
      </c>
      <c r="J4796" s="13">
        <v>0</v>
      </c>
      <c r="K4796" s="13"/>
      <c r="L4796"/>
      <c r="M4796"/>
      <c r="N4796"/>
      <c r="O4796"/>
      <c r="P4796"/>
      <c r="Q4796"/>
      <c r="R4796"/>
      <c r="S4796"/>
      <c r="T4796"/>
      <c r="U4796"/>
      <c r="V4796"/>
      <c r="W4796"/>
      <c r="X4796"/>
      <c r="Y4796"/>
      <c r="Z4796"/>
      <c r="AA4796"/>
      <c r="AB4796"/>
      <c r="AC4796"/>
      <c r="AD4796"/>
      <c r="AE4796"/>
      <c r="AF4796"/>
      <c r="AG4796"/>
      <c r="AH4796"/>
      <c r="AI4796"/>
      <c r="AJ4796"/>
      <c r="AK4796"/>
      <c r="AL4796"/>
    </row>
    <row r="4797" spans="1:38" ht="15.75" customHeight="1" outlineLevel="2" x14ac:dyDescent="0.2">
      <c r="A4797" s="10">
        <v>8</v>
      </c>
      <c r="B4797" s="10" t="s">
        <v>71</v>
      </c>
      <c r="C4797" s="10" t="s">
        <v>964</v>
      </c>
      <c r="D4797" s="10" t="s">
        <v>936</v>
      </c>
      <c r="E4797" s="11" t="str">
        <f t="array" ref="E4797">_xlfn.XLOOKUP(D4797,Insumos!B:B,Insumos!C:$C)</f>
        <v>M</v>
      </c>
      <c r="F4797" s="14">
        <v>0.3</v>
      </c>
      <c r="G4797" s="92">
        <f t="array" ref="G4797">IF(B4797="insumo",_xlfn.XLOOKUP($D4797,Insumos!$B$1:$B$996,Insumos!$D$1:$D$996),"")</f>
        <v>0.24</v>
      </c>
      <c r="H4797" s="92">
        <v>7.1999999999999995E-2</v>
      </c>
      <c r="I4797" s="13">
        <v>0</v>
      </c>
      <c r="J4797" s="13">
        <v>0</v>
      </c>
      <c r="K4797" s="13"/>
      <c r="L4797"/>
      <c r="M4797"/>
      <c r="N4797"/>
      <c r="O4797"/>
      <c r="P4797"/>
      <c r="Q4797"/>
      <c r="R4797"/>
      <c r="S4797"/>
      <c r="T4797"/>
      <c r="U4797"/>
      <c r="V4797"/>
      <c r="W4797"/>
      <c r="X4797"/>
      <c r="Y4797"/>
      <c r="Z4797"/>
      <c r="AA4797"/>
      <c r="AB4797"/>
      <c r="AC4797"/>
      <c r="AD4797"/>
      <c r="AE4797"/>
      <c r="AF4797"/>
      <c r="AG4797"/>
      <c r="AH4797"/>
      <c r="AI4797"/>
      <c r="AJ4797"/>
      <c r="AK4797"/>
      <c r="AL4797"/>
    </row>
    <row r="4798" spans="1:38" ht="15.75" customHeight="1" outlineLevel="2" x14ac:dyDescent="0.2">
      <c r="A4798" s="10">
        <v>7</v>
      </c>
      <c r="B4798" s="10" t="s">
        <v>71</v>
      </c>
      <c r="C4798" s="10" t="s">
        <v>964</v>
      </c>
      <c r="D4798" s="10" t="s">
        <v>944</v>
      </c>
      <c r="E4798" s="11" t="str">
        <f t="array" ref="E4798">_xlfn.XLOOKUP(D4798,Insumos!B:B,Insumos!C:$C)</f>
        <v>UN</v>
      </c>
      <c r="F4798" s="14">
        <v>0.4</v>
      </c>
      <c r="G4798" s="92">
        <f t="array" ref="G4798">IF(B4798="insumo",_xlfn.XLOOKUP($D4798,Insumos!$B$1:$B$996,Insumos!$D$1:$D$996),"")</f>
        <v>35.6</v>
      </c>
      <c r="H4798" s="92">
        <v>14.24</v>
      </c>
      <c r="I4798" s="13">
        <v>0</v>
      </c>
      <c r="J4798" s="13">
        <v>0</v>
      </c>
      <c r="K4798" s="13"/>
      <c r="L4798"/>
      <c r="M4798"/>
      <c r="N4798"/>
      <c r="O4798"/>
      <c r="P4798"/>
      <c r="Q4798"/>
      <c r="R4798"/>
      <c r="S4798"/>
      <c r="T4798"/>
      <c r="U4798"/>
      <c r="V4798"/>
      <c r="W4798"/>
      <c r="X4798"/>
      <c r="Y4798"/>
      <c r="Z4798"/>
      <c r="AA4798"/>
      <c r="AB4798"/>
      <c r="AC4798"/>
      <c r="AD4798"/>
      <c r="AE4798"/>
      <c r="AF4798"/>
      <c r="AG4798"/>
      <c r="AH4798"/>
      <c r="AI4798"/>
      <c r="AJ4798"/>
      <c r="AK4798"/>
      <c r="AL4798"/>
    </row>
    <row r="4799" spans="1:38" ht="15.75" customHeight="1" outlineLevel="2" x14ac:dyDescent="0.2">
      <c r="A4799" s="10">
        <v>11</v>
      </c>
      <c r="B4799" s="10" t="s">
        <v>71</v>
      </c>
      <c r="C4799" s="10" t="s">
        <v>964</v>
      </c>
      <c r="D4799" s="10" t="s">
        <v>938</v>
      </c>
      <c r="E4799" s="11" t="str">
        <f t="array" ref="E4799">_xlfn.XLOOKUP(D4799,Insumos!B:B,Insumos!C:$C)</f>
        <v>UN</v>
      </c>
      <c r="F4799" s="14">
        <v>0.25</v>
      </c>
      <c r="G4799" s="92">
        <f t="array" ref="G4799">IF(B4799="insumo",_xlfn.XLOOKUP($D4799,Insumos!$B$1:$B$996,Insumos!$D$1:$D$996),"")</f>
        <v>75</v>
      </c>
      <c r="H4799" s="92">
        <v>18.75</v>
      </c>
      <c r="I4799" s="13">
        <v>0</v>
      </c>
      <c r="J4799" s="13">
        <v>0</v>
      </c>
      <c r="K4799" s="13"/>
      <c r="L4799"/>
      <c r="M4799"/>
      <c r="N4799"/>
      <c r="O4799"/>
      <c r="P4799"/>
      <c r="Q4799"/>
      <c r="R4799"/>
      <c r="S4799"/>
      <c r="T4799"/>
      <c r="U4799"/>
      <c r="V4799"/>
      <c r="W4799"/>
      <c r="X4799"/>
      <c r="Y4799"/>
      <c r="Z4799"/>
      <c r="AA4799"/>
      <c r="AB4799"/>
      <c r="AC4799"/>
      <c r="AD4799"/>
      <c r="AE4799"/>
      <c r="AF4799"/>
      <c r="AG4799"/>
      <c r="AH4799"/>
      <c r="AI4799"/>
      <c r="AJ4799"/>
      <c r="AK4799"/>
      <c r="AL4799"/>
    </row>
    <row r="4800" spans="1:38" ht="15.75" customHeight="1" outlineLevel="2" x14ac:dyDescent="0.2">
      <c r="A4800" s="10">
        <v>11</v>
      </c>
      <c r="B4800" s="10" t="s">
        <v>71</v>
      </c>
      <c r="C4800" s="10" t="s">
        <v>964</v>
      </c>
      <c r="D4800" s="10" t="s">
        <v>939</v>
      </c>
      <c r="E4800" s="11" t="str">
        <f t="array" ref="E4800">_xlfn.XLOOKUP(D4800,Insumos!B:B,Insumos!C:$C)</f>
        <v>UN</v>
      </c>
      <c r="F4800" s="14">
        <v>1</v>
      </c>
      <c r="G4800" s="92">
        <f t="array" ref="G4800">IF(B4800="insumo",_xlfn.XLOOKUP($D4800,Insumos!$B$1:$B$996,Insumos!$D$1:$D$996),"")</f>
        <v>26.9</v>
      </c>
      <c r="H4800" s="92">
        <v>26.9</v>
      </c>
      <c r="I4800" s="13">
        <v>0</v>
      </c>
      <c r="J4800" s="13">
        <v>0</v>
      </c>
      <c r="K4800" s="13"/>
      <c r="L4800"/>
      <c r="M4800"/>
      <c r="N4800"/>
      <c r="O4800"/>
      <c r="P4800"/>
      <c r="Q4800"/>
      <c r="R4800"/>
      <c r="S4800"/>
      <c r="T4800"/>
      <c r="U4800"/>
      <c r="V4800"/>
      <c r="W4800"/>
      <c r="X4800"/>
      <c r="Y4800"/>
      <c r="Z4800"/>
      <c r="AA4800"/>
      <c r="AB4800"/>
      <c r="AC4800"/>
      <c r="AD4800"/>
      <c r="AE4800"/>
      <c r="AF4800"/>
      <c r="AG4800"/>
      <c r="AH4800"/>
      <c r="AI4800"/>
      <c r="AJ4800"/>
      <c r="AK4800"/>
      <c r="AL4800"/>
    </row>
    <row r="4801" spans="1:38" ht="12.75" outlineLevel="1" x14ac:dyDescent="0.2">
      <c r="A4801" s="1071">
        <v>1</v>
      </c>
      <c r="B4801" s="1071" t="s">
        <v>68</v>
      </c>
      <c r="C4801" s="1087" t="s">
        <v>2001</v>
      </c>
      <c r="D4801" s="1087" t="s">
        <v>2001</v>
      </c>
      <c r="E4801" s="1072" t="s">
        <v>197</v>
      </c>
      <c r="F4801" s="1088" t="s">
        <v>400</v>
      </c>
      <c r="G4801" s="1073" t="str">
        <f t="array" ref="G4801">IF(B4801="insumo",_xlfn.XLOOKUP($D4801,Insumos!$B$1:$B$996,Insumos!$D$1:$D$996),"")</f>
        <v/>
      </c>
      <c r="H4801" s="1073">
        <v>721.06200000000001</v>
      </c>
      <c r="I4801" s="1089">
        <v>0</v>
      </c>
      <c r="J4801" s="1089">
        <v>0</v>
      </c>
      <c r="K4801" s="1089"/>
      <c r="L4801"/>
      <c r="M4801"/>
      <c r="N4801"/>
      <c r="O4801"/>
      <c r="P4801"/>
      <c r="Q4801"/>
      <c r="R4801"/>
      <c r="S4801"/>
      <c r="T4801"/>
      <c r="U4801"/>
      <c r="V4801"/>
      <c r="W4801"/>
      <c r="X4801"/>
      <c r="Y4801"/>
      <c r="Z4801"/>
      <c r="AA4801"/>
      <c r="AB4801"/>
      <c r="AC4801"/>
      <c r="AD4801"/>
      <c r="AE4801"/>
      <c r="AF4801"/>
      <c r="AG4801"/>
      <c r="AH4801"/>
      <c r="AI4801"/>
      <c r="AJ4801"/>
      <c r="AK4801"/>
      <c r="AL4801"/>
    </row>
    <row r="4802" spans="1:38" ht="12.75" outlineLevel="2" x14ac:dyDescent="0.2">
      <c r="A4802" s="82">
        <v>1</v>
      </c>
      <c r="B4802" s="82" t="s">
        <v>71</v>
      </c>
      <c r="C4802" s="82" t="s">
        <v>2001</v>
      </c>
      <c r="D4802" s="82" t="s">
        <v>2002</v>
      </c>
      <c r="E4802" s="11" t="str">
        <f t="array" ref="E4802">_xlfn.XLOOKUP(D4802,Insumos!B:B,Insumos!C:$C)</f>
        <v>UN</v>
      </c>
      <c r="F4802" s="86">
        <v>1</v>
      </c>
      <c r="G4802" s="92">
        <f t="array" ref="G4802">IF(B4802="insumo",_xlfn.XLOOKUP($D4802,Insumos!$B$1:$B$996,Insumos!$D$1:$D$996),"")</f>
        <v>215</v>
      </c>
      <c r="H4802" s="92">
        <v>215</v>
      </c>
      <c r="I4802" s="84">
        <v>0</v>
      </c>
      <c r="J4802" s="84">
        <v>0</v>
      </c>
      <c r="K4802" s="84"/>
      <c r="L4802"/>
      <c r="M4802"/>
      <c r="N4802"/>
      <c r="O4802"/>
      <c r="P4802"/>
      <c r="Q4802"/>
      <c r="R4802"/>
      <c r="S4802"/>
      <c r="T4802"/>
      <c r="U4802"/>
      <c r="V4802"/>
      <c r="W4802"/>
      <c r="X4802"/>
      <c r="Y4802"/>
      <c r="Z4802"/>
      <c r="AA4802"/>
      <c r="AB4802"/>
      <c r="AC4802"/>
      <c r="AD4802"/>
      <c r="AE4802"/>
      <c r="AF4802"/>
      <c r="AG4802"/>
      <c r="AH4802"/>
      <c r="AI4802"/>
      <c r="AJ4802"/>
      <c r="AK4802"/>
      <c r="AL4802"/>
    </row>
    <row r="4803" spans="1:38" ht="12.75" outlineLevel="2" x14ac:dyDescent="0.2">
      <c r="A4803" s="82">
        <v>5</v>
      </c>
      <c r="B4803" s="82" t="s">
        <v>71</v>
      </c>
      <c r="C4803" s="82" t="s">
        <v>2001</v>
      </c>
      <c r="D4803" s="82" t="s">
        <v>958</v>
      </c>
      <c r="E4803" s="11" t="str">
        <f t="array" ref="E4803">_xlfn.XLOOKUP(D4803,Insumos!B:B,Insumos!C:$C)</f>
        <v>UN</v>
      </c>
      <c r="F4803" s="86">
        <v>1</v>
      </c>
      <c r="G4803" s="92">
        <f t="array" ref="G4803">IF(B4803="insumo",_xlfn.XLOOKUP($D4803,Insumos!$B$1:$B$996,Insumos!$D$1:$D$996),"")</f>
        <v>256.89999999999998</v>
      </c>
      <c r="H4803" s="92">
        <v>256.89999999999998</v>
      </c>
      <c r="I4803" s="84">
        <v>0</v>
      </c>
      <c r="J4803" s="84">
        <v>0</v>
      </c>
      <c r="K4803" s="84"/>
      <c r="L4803"/>
      <c r="M4803"/>
      <c r="N4803"/>
      <c r="O4803"/>
      <c r="P4803"/>
      <c r="Q4803"/>
      <c r="R4803"/>
      <c r="S4803"/>
      <c r="T4803"/>
      <c r="U4803"/>
      <c r="V4803"/>
      <c r="W4803"/>
      <c r="X4803"/>
      <c r="Y4803"/>
      <c r="Z4803"/>
      <c r="AA4803"/>
      <c r="AB4803"/>
      <c r="AC4803"/>
      <c r="AD4803"/>
      <c r="AE4803"/>
      <c r="AF4803"/>
      <c r="AG4803"/>
      <c r="AH4803"/>
      <c r="AI4803"/>
      <c r="AJ4803"/>
      <c r="AK4803"/>
      <c r="AL4803"/>
    </row>
    <row r="4804" spans="1:38" ht="12.75" outlineLevel="2" x14ac:dyDescent="0.2">
      <c r="A4804" s="82">
        <v>3</v>
      </c>
      <c r="B4804" s="82" t="s">
        <v>71</v>
      </c>
      <c r="C4804" s="82" t="s">
        <v>2001</v>
      </c>
      <c r="D4804" s="82" t="s">
        <v>966</v>
      </c>
      <c r="E4804" s="11" t="str">
        <f t="array" ref="E4804">_xlfn.XLOOKUP(D4804,Insumos!B:B,Insumos!C:$C)</f>
        <v>UN</v>
      </c>
      <c r="F4804" s="86">
        <v>1</v>
      </c>
      <c r="G4804" s="92">
        <f t="array" ref="G4804">IF(B4804="insumo",_xlfn.XLOOKUP($D4804,Insumos!$B$1:$B$996,Insumos!$D$1:$D$996),"")</f>
        <v>35.9</v>
      </c>
      <c r="H4804" s="92">
        <v>35.9</v>
      </c>
      <c r="I4804" s="84">
        <v>0</v>
      </c>
      <c r="J4804" s="84">
        <v>0</v>
      </c>
      <c r="K4804" s="84"/>
      <c r="L4804"/>
      <c r="M4804"/>
      <c r="N4804"/>
      <c r="O4804"/>
      <c r="P4804"/>
      <c r="Q4804"/>
      <c r="R4804"/>
      <c r="S4804"/>
      <c r="T4804"/>
      <c r="U4804"/>
      <c r="V4804"/>
      <c r="W4804"/>
      <c r="X4804"/>
      <c r="Y4804"/>
      <c r="Z4804"/>
      <c r="AA4804"/>
      <c r="AB4804"/>
      <c r="AC4804"/>
      <c r="AD4804"/>
      <c r="AE4804"/>
      <c r="AF4804"/>
      <c r="AG4804"/>
      <c r="AH4804"/>
      <c r="AI4804"/>
      <c r="AJ4804"/>
      <c r="AK4804"/>
      <c r="AL4804"/>
    </row>
    <row r="4805" spans="1:38" ht="12.75" outlineLevel="2" x14ac:dyDescent="0.2">
      <c r="A4805" s="82">
        <v>6</v>
      </c>
      <c r="B4805" s="82" t="s">
        <v>71</v>
      </c>
      <c r="C4805" s="82" t="s">
        <v>2001</v>
      </c>
      <c r="D4805" s="82" t="s">
        <v>960</v>
      </c>
      <c r="E4805" s="11" t="str">
        <f t="array" ref="E4805">_xlfn.XLOOKUP(D4805,Insumos!B:B,Insumos!C:$C)</f>
        <v>UN</v>
      </c>
      <c r="F4805" s="86">
        <v>6</v>
      </c>
      <c r="G4805" s="92">
        <f t="array" ref="G4805">IF(B4805="insumo",_xlfn.XLOOKUP($D4805,Insumos!$B$1:$B$996,Insumos!$D$1:$D$996),"")</f>
        <v>0.6</v>
      </c>
      <c r="H4805" s="92">
        <v>3.6</v>
      </c>
      <c r="I4805" s="84">
        <v>0</v>
      </c>
      <c r="J4805" s="84">
        <v>0</v>
      </c>
      <c r="K4805" s="84"/>
      <c r="L4805"/>
      <c r="M4805"/>
      <c r="N4805"/>
      <c r="O4805"/>
      <c r="P4805"/>
      <c r="Q4805"/>
      <c r="R4805"/>
      <c r="S4805"/>
      <c r="T4805"/>
      <c r="U4805"/>
      <c r="V4805"/>
      <c r="W4805"/>
      <c r="X4805"/>
      <c r="Y4805"/>
      <c r="Z4805"/>
      <c r="AA4805"/>
      <c r="AB4805"/>
      <c r="AC4805"/>
      <c r="AD4805"/>
      <c r="AE4805"/>
      <c r="AF4805"/>
      <c r="AG4805"/>
      <c r="AH4805"/>
      <c r="AI4805"/>
      <c r="AJ4805"/>
      <c r="AK4805"/>
      <c r="AL4805"/>
    </row>
    <row r="4806" spans="1:38" ht="12.75" outlineLevel="2" x14ac:dyDescent="0.2">
      <c r="A4806" s="82">
        <v>6</v>
      </c>
      <c r="B4806" s="82" t="s">
        <v>71</v>
      </c>
      <c r="C4806" s="82" t="s">
        <v>2001</v>
      </c>
      <c r="D4806" s="82" t="s">
        <v>961</v>
      </c>
      <c r="E4806" s="11" t="str">
        <f t="array" ref="E4806">_xlfn.XLOOKUP(D4806,Insumos!B:B,Insumos!C:$C)</f>
        <v>UN</v>
      </c>
      <c r="F4806" s="86">
        <v>6</v>
      </c>
      <c r="G4806" s="92">
        <f t="array" ref="G4806">IF(B4806="insumo",_xlfn.XLOOKUP($D4806,Insumos!$B$1:$B$996,Insumos!$D$1:$D$996),"")</f>
        <v>24.95</v>
      </c>
      <c r="H4806" s="92">
        <v>149.69999999999999</v>
      </c>
      <c r="I4806" s="84">
        <v>0</v>
      </c>
      <c r="J4806" s="84">
        <v>0</v>
      </c>
      <c r="K4806" s="84"/>
      <c r="L4806"/>
      <c r="M4806"/>
      <c r="N4806"/>
      <c r="O4806"/>
      <c r="P4806"/>
      <c r="Q4806"/>
      <c r="R4806"/>
      <c r="S4806"/>
      <c r="T4806"/>
      <c r="U4806"/>
      <c r="V4806"/>
      <c r="W4806"/>
      <c r="X4806"/>
      <c r="Y4806"/>
      <c r="Z4806"/>
      <c r="AA4806"/>
      <c r="AB4806"/>
      <c r="AC4806"/>
      <c r="AD4806"/>
      <c r="AE4806"/>
      <c r="AF4806"/>
      <c r="AG4806"/>
      <c r="AH4806"/>
      <c r="AI4806"/>
      <c r="AJ4806"/>
      <c r="AK4806"/>
      <c r="AL4806"/>
    </row>
    <row r="4807" spans="1:38" ht="12.75" outlineLevel="2" x14ac:dyDescent="0.2">
      <c r="A4807" s="82">
        <v>8</v>
      </c>
      <c r="B4807" s="82" t="s">
        <v>71</v>
      </c>
      <c r="C4807" s="82" t="s">
        <v>2001</v>
      </c>
      <c r="D4807" s="82" t="s">
        <v>936</v>
      </c>
      <c r="E4807" s="11" t="str">
        <f t="array" ref="E4807">_xlfn.XLOOKUP(D4807,Insumos!B:B,Insumos!C:$C)</f>
        <v>M</v>
      </c>
      <c r="F4807" s="86">
        <v>0.3</v>
      </c>
      <c r="G4807" s="92">
        <f t="array" ref="G4807">IF(B4807="insumo",_xlfn.XLOOKUP($D4807,Insumos!$B$1:$B$996,Insumos!$D$1:$D$996),"")</f>
        <v>0.24</v>
      </c>
      <c r="H4807" s="92">
        <v>7.1999999999999995E-2</v>
      </c>
      <c r="I4807" s="84">
        <v>0</v>
      </c>
      <c r="J4807" s="84">
        <v>0</v>
      </c>
      <c r="K4807" s="84"/>
      <c r="L4807"/>
      <c r="M4807"/>
      <c r="N4807"/>
      <c r="O4807"/>
      <c r="P4807"/>
      <c r="Q4807"/>
      <c r="R4807"/>
      <c r="S4807"/>
      <c r="T4807"/>
      <c r="U4807"/>
      <c r="V4807"/>
      <c r="W4807"/>
      <c r="X4807"/>
      <c r="Y4807"/>
      <c r="Z4807"/>
      <c r="AA4807"/>
      <c r="AB4807"/>
      <c r="AC4807"/>
      <c r="AD4807"/>
      <c r="AE4807"/>
      <c r="AF4807"/>
      <c r="AG4807"/>
      <c r="AH4807"/>
      <c r="AI4807"/>
      <c r="AJ4807"/>
      <c r="AK4807"/>
      <c r="AL4807"/>
    </row>
    <row r="4808" spans="1:38" ht="12.75" outlineLevel="2" x14ac:dyDescent="0.2">
      <c r="A4808" s="82">
        <v>7</v>
      </c>
      <c r="B4808" s="82" t="s">
        <v>71</v>
      </c>
      <c r="C4808" s="82" t="s">
        <v>2001</v>
      </c>
      <c r="D4808" s="82" t="s">
        <v>944</v>
      </c>
      <c r="E4808" s="11" t="str">
        <f t="array" ref="E4808">_xlfn.XLOOKUP(D4808,Insumos!B:B,Insumos!C:$C)</f>
        <v>UN</v>
      </c>
      <c r="F4808" s="86">
        <v>0.4</v>
      </c>
      <c r="G4808" s="92">
        <f t="array" ref="G4808">IF(B4808="insumo",_xlfn.XLOOKUP($D4808,Insumos!$B$1:$B$996,Insumos!$D$1:$D$996),"")</f>
        <v>35.6</v>
      </c>
      <c r="H4808" s="92">
        <v>14.24</v>
      </c>
      <c r="I4808" s="84">
        <v>0</v>
      </c>
      <c r="J4808" s="84">
        <v>0</v>
      </c>
      <c r="K4808" s="84"/>
      <c r="L4808"/>
      <c r="M4808"/>
      <c r="N4808"/>
      <c r="O4808"/>
      <c r="P4808"/>
      <c r="Q4808"/>
      <c r="R4808"/>
      <c r="S4808"/>
      <c r="T4808"/>
      <c r="U4808"/>
      <c r="V4808"/>
      <c r="W4808"/>
      <c r="X4808"/>
      <c r="Y4808"/>
      <c r="Z4808"/>
      <c r="AA4808"/>
      <c r="AB4808"/>
      <c r="AC4808"/>
      <c r="AD4808"/>
      <c r="AE4808"/>
      <c r="AF4808"/>
      <c r="AG4808"/>
      <c r="AH4808"/>
      <c r="AI4808"/>
      <c r="AJ4808"/>
      <c r="AK4808"/>
      <c r="AL4808"/>
    </row>
    <row r="4809" spans="1:38" ht="12.75" outlineLevel="2" x14ac:dyDescent="0.2">
      <c r="A4809" s="82">
        <v>11</v>
      </c>
      <c r="B4809" s="82" t="s">
        <v>71</v>
      </c>
      <c r="C4809" s="82" t="s">
        <v>2001</v>
      </c>
      <c r="D4809" s="82" t="s">
        <v>938</v>
      </c>
      <c r="E4809" s="11" t="str">
        <f t="array" ref="E4809">_xlfn.XLOOKUP(D4809,Insumos!B:B,Insumos!C:$C)</f>
        <v>UN</v>
      </c>
      <c r="F4809" s="86">
        <v>0.25</v>
      </c>
      <c r="G4809" s="92">
        <f t="array" ref="G4809">IF(B4809="insumo",_xlfn.XLOOKUP($D4809,Insumos!$B$1:$B$996,Insumos!$D$1:$D$996),"")</f>
        <v>75</v>
      </c>
      <c r="H4809" s="92">
        <v>18.75</v>
      </c>
      <c r="I4809" s="84">
        <v>0</v>
      </c>
      <c r="J4809" s="84">
        <v>0</v>
      </c>
      <c r="K4809" s="84"/>
      <c r="L4809"/>
      <c r="M4809"/>
      <c r="N4809"/>
      <c r="O4809"/>
      <c r="P4809"/>
      <c r="Q4809"/>
      <c r="R4809"/>
      <c r="S4809"/>
      <c r="T4809"/>
      <c r="U4809"/>
      <c r="V4809"/>
      <c r="W4809"/>
      <c r="X4809"/>
      <c r="Y4809"/>
      <c r="Z4809"/>
      <c r="AA4809"/>
      <c r="AB4809"/>
      <c r="AC4809"/>
      <c r="AD4809"/>
      <c r="AE4809"/>
      <c r="AF4809"/>
      <c r="AG4809"/>
      <c r="AH4809"/>
      <c r="AI4809"/>
      <c r="AJ4809"/>
      <c r="AK4809"/>
      <c r="AL4809"/>
    </row>
    <row r="4810" spans="1:38" ht="12.75" outlineLevel="2" x14ac:dyDescent="0.2">
      <c r="A4810" s="82">
        <v>11</v>
      </c>
      <c r="B4810" s="82" t="s">
        <v>71</v>
      </c>
      <c r="C4810" s="82" t="s">
        <v>2001</v>
      </c>
      <c r="D4810" s="82" t="s">
        <v>939</v>
      </c>
      <c r="E4810" s="11" t="str">
        <f t="array" ref="E4810">_xlfn.XLOOKUP(D4810,Insumos!B:B,Insumos!C:$C)</f>
        <v>UN</v>
      </c>
      <c r="F4810" s="86">
        <v>1</v>
      </c>
      <c r="G4810" s="92">
        <f t="array" ref="G4810">IF(B4810="insumo",_xlfn.XLOOKUP($D4810,Insumos!$B$1:$B$996,Insumos!$D$1:$D$996),"")</f>
        <v>26.9</v>
      </c>
      <c r="H4810" s="92">
        <v>26.9</v>
      </c>
      <c r="I4810" s="84">
        <v>0</v>
      </c>
      <c r="J4810" s="84">
        <v>0</v>
      </c>
      <c r="K4810" s="84"/>
      <c r="L4810"/>
      <c r="M4810"/>
      <c r="N4810"/>
      <c r="O4810"/>
      <c r="P4810"/>
      <c r="Q4810"/>
      <c r="R4810"/>
      <c r="S4810"/>
      <c r="T4810"/>
      <c r="U4810"/>
      <c r="V4810"/>
      <c r="W4810"/>
      <c r="X4810"/>
      <c r="Y4810"/>
      <c r="Z4810"/>
      <c r="AA4810"/>
      <c r="AB4810"/>
      <c r="AC4810"/>
      <c r="AD4810"/>
      <c r="AE4810"/>
      <c r="AF4810"/>
      <c r="AG4810"/>
      <c r="AH4810"/>
      <c r="AI4810"/>
      <c r="AJ4810"/>
      <c r="AK4810"/>
      <c r="AL4810"/>
    </row>
    <row r="4811" spans="1:38" ht="15.75" customHeight="1" outlineLevel="1" x14ac:dyDescent="0.2">
      <c r="A4811" s="1067">
        <v>1</v>
      </c>
      <c r="B4811" s="1067" t="s">
        <v>68</v>
      </c>
      <c r="C4811" s="1084" t="s">
        <v>967</v>
      </c>
      <c r="D4811" s="1084" t="s">
        <v>967</v>
      </c>
      <c r="E4811" s="1068" t="s">
        <v>197</v>
      </c>
      <c r="F4811" s="1085" t="s">
        <v>400</v>
      </c>
      <c r="G4811" s="1069" t="str">
        <f t="array" ref="G4811">IF(B4811="insumo",_xlfn.XLOOKUP($D4811,Insumos!$B$1:$B$996,Insumos!$D$1:$D$996),"")</f>
        <v/>
      </c>
      <c r="H4811" s="1069">
        <v>1426.922</v>
      </c>
      <c r="I4811" s="1086">
        <v>0</v>
      </c>
      <c r="J4811" s="1086">
        <v>0</v>
      </c>
      <c r="K4811" s="1086"/>
      <c r="L4811"/>
      <c r="M4811"/>
      <c r="N4811"/>
      <c r="O4811"/>
      <c r="P4811"/>
      <c r="Q4811"/>
      <c r="R4811"/>
      <c r="S4811"/>
      <c r="T4811"/>
      <c r="U4811"/>
      <c r="V4811"/>
      <c r="W4811"/>
      <c r="X4811"/>
      <c r="Y4811"/>
      <c r="Z4811"/>
      <c r="AA4811"/>
      <c r="AB4811"/>
      <c r="AC4811"/>
      <c r="AD4811"/>
      <c r="AE4811"/>
      <c r="AF4811"/>
      <c r="AG4811"/>
      <c r="AH4811"/>
      <c r="AI4811"/>
      <c r="AJ4811"/>
      <c r="AK4811"/>
      <c r="AL4811"/>
    </row>
    <row r="4812" spans="1:38" ht="15.75" customHeight="1" outlineLevel="2" x14ac:dyDescent="0.2">
      <c r="A4812" s="10">
        <v>1</v>
      </c>
      <c r="B4812" s="10" t="s">
        <v>71</v>
      </c>
      <c r="C4812" s="10" t="s">
        <v>967</v>
      </c>
      <c r="D4812" s="10" t="s">
        <v>968</v>
      </c>
      <c r="E4812" s="11" t="str">
        <f t="array" ref="E4812">_xlfn.XLOOKUP(D4812,Insumos!B:B,Insumos!C:$C)</f>
        <v>UN</v>
      </c>
      <c r="F4812" s="14">
        <v>1</v>
      </c>
      <c r="G4812" s="92">
        <f t="array" ref="G4812">IF(B4812="insumo",_xlfn.XLOOKUP($D4812,Insumos!$B$1:$B$996,Insumos!$D$1:$D$996),"")</f>
        <v>760</v>
      </c>
      <c r="H4812" s="92">
        <v>760</v>
      </c>
      <c r="I4812" s="13">
        <v>0</v>
      </c>
      <c r="J4812" s="13">
        <v>0</v>
      </c>
      <c r="K4812" s="13"/>
      <c r="L4812"/>
      <c r="M4812"/>
      <c r="N4812"/>
      <c r="O4812"/>
      <c r="P4812"/>
      <c r="Q4812"/>
      <c r="R4812"/>
      <c r="S4812"/>
      <c r="T4812"/>
      <c r="U4812"/>
      <c r="V4812"/>
      <c r="W4812"/>
      <c r="X4812"/>
      <c r="Y4812"/>
      <c r="Z4812"/>
      <c r="AA4812"/>
      <c r="AB4812"/>
      <c r="AC4812"/>
      <c r="AD4812"/>
      <c r="AE4812"/>
      <c r="AF4812"/>
      <c r="AG4812"/>
      <c r="AH4812"/>
      <c r="AI4812"/>
      <c r="AJ4812"/>
      <c r="AK4812"/>
      <c r="AL4812"/>
    </row>
    <row r="4813" spans="1:38" ht="15.75" customHeight="1" outlineLevel="2" x14ac:dyDescent="0.2">
      <c r="A4813" s="10">
        <v>5</v>
      </c>
      <c r="B4813" s="10" t="s">
        <v>71</v>
      </c>
      <c r="C4813" s="10" t="s">
        <v>967</v>
      </c>
      <c r="D4813" s="10" t="s">
        <v>958</v>
      </c>
      <c r="E4813" s="11" t="str">
        <f t="array" ref="E4813">_xlfn.XLOOKUP(D4813,Insumos!B:B,Insumos!C:$C)</f>
        <v>UN</v>
      </c>
      <c r="F4813" s="14">
        <v>1</v>
      </c>
      <c r="G4813" s="92">
        <f t="array" ref="G4813">IF(B4813="insumo",_xlfn.XLOOKUP($D4813,Insumos!$B$1:$B$996,Insumos!$D$1:$D$996),"")</f>
        <v>256.89999999999998</v>
      </c>
      <c r="H4813" s="92">
        <v>256.89999999999998</v>
      </c>
      <c r="I4813" s="13">
        <v>0</v>
      </c>
      <c r="J4813" s="13">
        <v>0</v>
      </c>
      <c r="K4813" s="13"/>
      <c r="L4813"/>
      <c r="M4813"/>
      <c r="N4813"/>
      <c r="O4813"/>
      <c r="P4813"/>
      <c r="Q4813"/>
      <c r="R4813"/>
      <c r="S4813"/>
      <c r="T4813"/>
      <c r="U4813"/>
      <c r="V4813"/>
      <c r="W4813"/>
      <c r="X4813"/>
      <c r="Y4813"/>
      <c r="Z4813"/>
      <c r="AA4813"/>
      <c r="AB4813"/>
      <c r="AC4813"/>
      <c r="AD4813"/>
      <c r="AE4813"/>
      <c r="AF4813"/>
      <c r="AG4813"/>
      <c r="AH4813"/>
      <c r="AI4813"/>
      <c r="AJ4813"/>
      <c r="AK4813"/>
      <c r="AL4813"/>
    </row>
    <row r="4814" spans="1:38" ht="15.75" customHeight="1" outlineLevel="2" x14ac:dyDescent="0.2">
      <c r="A4814" s="10">
        <v>3</v>
      </c>
      <c r="B4814" s="10" t="s">
        <v>71</v>
      </c>
      <c r="C4814" s="10" t="s">
        <v>967</v>
      </c>
      <c r="D4814" s="10" t="s">
        <v>959</v>
      </c>
      <c r="E4814" s="11" t="str">
        <f t="array" ref="E4814">_xlfn.XLOOKUP(D4814,Insumos!B:B,Insumos!C:$C)</f>
        <v>UN</v>
      </c>
      <c r="F4814" s="14">
        <v>1</v>
      </c>
      <c r="G4814" s="92">
        <f t="array" ref="G4814">IF(B4814="insumo",_xlfn.XLOOKUP($D4814,Insumos!$B$1:$B$996,Insumos!$D$1:$D$996),"")</f>
        <v>196.76</v>
      </c>
      <c r="H4814" s="92">
        <v>196.76</v>
      </c>
      <c r="I4814" s="13">
        <v>0</v>
      </c>
      <c r="J4814" s="13">
        <v>0</v>
      </c>
      <c r="K4814" s="13"/>
      <c r="L4814"/>
      <c r="M4814"/>
      <c r="N4814"/>
      <c r="O4814"/>
      <c r="P4814"/>
      <c r="Q4814"/>
      <c r="R4814"/>
      <c r="S4814"/>
      <c r="T4814"/>
      <c r="U4814"/>
      <c r="V4814"/>
      <c r="W4814"/>
      <c r="X4814"/>
      <c r="Y4814"/>
      <c r="Z4814"/>
      <c r="AA4814"/>
      <c r="AB4814"/>
      <c r="AC4814"/>
      <c r="AD4814"/>
      <c r="AE4814"/>
      <c r="AF4814"/>
      <c r="AG4814"/>
      <c r="AH4814"/>
      <c r="AI4814"/>
      <c r="AJ4814"/>
      <c r="AK4814"/>
      <c r="AL4814"/>
    </row>
    <row r="4815" spans="1:38" ht="15.75" customHeight="1" outlineLevel="2" x14ac:dyDescent="0.2">
      <c r="A4815" s="10">
        <v>6</v>
      </c>
      <c r="B4815" s="10" t="s">
        <v>71</v>
      </c>
      <c r="C4815" s="10" t="s">
        <v>967</v>
      </c>
      <c r="D4815" s="10" t="s">
        <v>960</v>
      </c>
      <c r="E4815" s="11" t="str">
        <f t="array" ref="E4815">_xlfn.XLOOKUP(D4815,Insumos!B:B,Insumos!C:$C)</f>
        <v>UN</v>
      </c>
      <c r="F4815" s="14">
        <v>6</v>
      </c>
      <c r="G4815" s="92">
        <f t="array" ref="G4815">IF(B4815="insumo",_xlfn.XLOOKUP($D4815,Insumos!$B$1:$B$996,Insumos!$D$1:$D$996),"")</f>
        <v>0.6</v>
      </c>
      <c r="H4815" s="92">
        <v>3.6</v>
      </c>
      <c r="I4815" s="13">
        <v>0</v>
      </c>
      <c r="J4815" s="13">
        <v>0</v>
      </c>
      <c r="K4815" s="13"/>
      <c r="L4815"/>
      <c r="M4815"/>
      <c r="N4815"/>
      <c r="O4815"/>
      <c r="P4815"/>
      <c r="Q4815"/>
      <c r="R4815"/>
      <c r="S4815"/>
      <c r="T4815"/>
      <c r="U4815"/>
      <c r="V4815"/>
      <c r="W4815"/>
      <c r="X4815"/>
      <c r="Y4815"/>
      <c r="Z4815"/>
      <c r="AA4815"/>
      <c r="AB4815"/>
      <c r="AC4815"/>
      <c r="AD4815"/>
      <c r="AE4815"/>
      <c r="AF4815"/>
      <c r="AG4815"/>
      <c r="AH4815"/>
      <c r="AI4815"/>
      <c r="AJ4815"/>
      <c r="AK4815"/>
      <c r="AL4815"/>
    </row>
    <row r="4816" spans="1:38" ht="15.75" customHeight="1" outlineLevel="2" x14ac:dyDescent="0.2">
      <c r="A4816" s="10">
        <v>6</v>
      </c>
      <c r="B4816" s="10" t="s">
        <v>71</v>
      </c>
      <c r="C4816" s="10" t="s">
        <v>967</v>
      </c>
      <c r="D4816" s="10" t="s">
        <v>961</v>
      </c>
      <c r="E4816" s="11" t="str">
        <f t="array" ref="E4816">_xlfn.XLOOKUP(D4816,Insumos!B:B,Insumos!C:$C)</f>
        <v>UN</v>
      </c>
      <c r="F4816" s="14">
        <v>6</v>
      </c>
      <c r="G4816" s="92">
        <f t="array" ref="G4816">IF(B4816="insumo",_xlfn.XLOOKUP($D4816,Insumos!$B$1:$B$996,Insumos!$D$1:$D$996),"")</f>
        <v>24.95</v>
      </c>
      <c r="H4816" s="92">
        <v>149.69999999999999</v>
      </c>
      <c r="I4816" s="13">
        <v>0</v>
      </c>
      <c r="J4816" s="13">
        <v>0</v>
      </c>
      <c r="K4816" s="13"/>
      <c r="L4816"/>
      <c r="M4816"/>
      <c r="N4816"/>
      <c r="O4816"/>
      <c r="P4816"/>
      <c r="Q4816"/>
      <c r="R4816"/>
      <c r="S4816"/>
      <c r="T4816"/>
      <c r="U4816"/>
      <c r="V4816"/>
      <c r="W4816"/>
      <c r="X4816"/>
      <c r="Y4816"/>
      <c r="Z4816"/>
      <c r="AA4816"/>
      <c r="AB4816"/>
      <c r="AC4816"/>
      <c r="AD4816"/>
      <c r="AE4816"/>
      <c r="AF4816"/>
      <c r="AG4816"/>
      <c r="AH4816"/>
      <c r="AI4816"/>
      <c r="AJ4816"/>
      <c r="AK4816"/>
      <c r="AL4816"/>
    </row>
    <row r="4817" spans="1:38" ht="15.75" customHeight="1" outlineLevel="2" x14ac:dyDescent="0.2">
      <c r="A4817" s="10">
        <v>8</v>
      </c>
      <c r="B4817" s="10" t="s">
        <v>71</v>
      </c>
      <c r="C4817" s="10" t="s">
        <v>967</v>
      </c>
      <c r="D4817" s="10" t="s">
        <v>936</v>
      </c>
      <c r="E4817" s="11" t="str">
        <f t="array" ref="E4817">_xlfn.XLOOKUP(D4817,Insumos!B:B,Insumos!C:$C)</f>
        <v>M</v>
      </c>
      <c r="F4817" s="14">
        <v>0.3</v>
      </c>
      <c r="G4817" s="92">
        <f t="array" ref="G4817">IF(B4817="insumo",_xlfn.XLOOKUP($D4817,Insumos!$B$1:$B$996,Insumos!$D$1:$D$996),"")</f>
        <v>0.24</v>
      </c>
      <c r="H4817" s="92">
        <v>7.1999999999999995E-2</v>
      </c>
      <c r="I4817" s="13">
        <v>0</v>
      </c>
      <c r="J4817" s="13">
        <v>0</v>
      </c>
      <c r="K4817" s="13"/>
      <c r="L4817"/>
      <c r="M4817"/>
      <c r="N4817"/>
      <c r="O4817"/>
      <c r="P4817"/>
      <c r="Q4817"/>
      <c r="R4817"/>
      <c r="S4817"/>
      <c r="T4817"/>
      <c r="U4817"/>
      <c r="V4817"/>
      <c r="W4817"/>
      <c r="X4817"/>
      <c r="Y4817"/>
      <c r="Z4817"/>
      <c r="AA4817"/>
      <c r="AB4817"/>
      <c r="AC4817"/>
      <c r="AD4817"/>
      <c r="AE4817"/>
      <c r="AF4817"/>
      <c r="AG4817"/>
      <c r="AH4817"/>
      <c r="AI4817"/>
      <c r="AJ4817"/>
      <c r="AK4817"/>
      <c r="AL4817"/>
    </row>
    <row r="4818" spans="1:38" ht="15.75" customHeight="1" outlineLevel="2" x14ac:dyDescent="0.2">
      <c r="A4818" s="10">
        <v>7</v>
      </c>
      <c r="B4818" s="10" t="s">
        <v>71</v>
      </c>
      <c r="C4818" s="10" t="s">
        <v>967</v>
      </c>
      <c r="D4818" s="10" t="s">
        <v>944</v>
      </c>
      <c r="E4818" s="11" t="str">
        <f t="array" ref="E4818">_xlfn.XLOOKUP(D4818,Insumos!B:B,Insumos!C:$C)</f>
        <v>UN</v>
      </c>
      <c r="F4818" s="14">
        <v>0.4</v>
      </c>
      <c r="G4818" s="92">
        <f t="array" ref="G4818">IF(B4818="insumo",_xlfn.XLOOKUP($D4818,Insumos!$B$1:$B$996,Insumos!$D$1:$D$996),"")</f>
        <v>35.6</v>
      </c>
      <c r="H4818" s="92">
        <v>14.24</v>
      </c>
      <c r="I4818" s="13">
        <v>0</v>
      </c>
      <c r="J4818" s="13">
        <v>0</v>
      </c>
      <c r="K4818" s="13"/>
      <c r="L4818"/>
      <c r="M4818"/>
      <c r="N4818"/>
      <c r="O4818"/>
      <c r="P4818"/>
      <c r="Q4818"/>
      <c r="R4818"/>
      <c r="S4818"/>
      <c r="T4818"/>
      <c r="U4818"/>
      <c r="V4818"/>
      <c r="W4818"/>
      <c r="X4818"/>
      <c r="Y4818"/>
      <c r="Z4818"/>
      <c r="AA4818"/>
      <c r="AB4818"/>
      <c r="AC4818"/>
      <c r="AD4818"/>
      <c r="AE4818"/>
      <c r="AF4818"/>
      <c r="AG4818"/>
      <c r="AH4818"/>
      <c r="AI4818"/>
      <c r="AJ4818"/>
      <c r="AK4818"/>
      <c r="AL4818"/>
    </row>
    <row r="4819" spans="1:38" ht="15.75" customHeight="1" outlineLevel="2" x14ac:dyDescent="0.2">
      <c r="A4819" s="10">
        <v>11</v>
      </c>
      <c r="B4819" s="10" t="s">
        <v>71</v>
      </c>
      <c r="C4819" s="10" t="s">
        <v>967</v>
      </c>
      <c r="D4819" s="10" t="s">
        <v>938</v>
      </c>
      <c r="E4819" s="11" t="str">
        <f t="array" ref="E4819">_xlfn.XLOOKUP(D4819,Insumos!B:B,Insumos!C:$C)</f>
        <v>UN</v>
      </c>
      <c r="F4819" s="14">
        <v>0.25</v>
      </c>
      <c r="G4819" s="92">
        <f t="array" ref="G4819">IF(B4819="insumo",_xlfn.XLOOKUP($D4819,Insumos!$B$1:$B$996,Insumos!$D$1:$D$996),"")</f>
        <v>75</v>
      </c>
      <c r="H4819" s="92">
        <v>18.75</v>
      </c>
      <c r="I4819" s="13">
        <v>0</v>
      </c>
      <c r="J4819" s="13">
        <v>0</v>
      </c>
      <c r="K4819" s="13"/>
      <c r="L4819"/>
      <c r="M4819"/>
      <c r="N4819"/>
      <c r="O4819"/>
      <c r="P4819"/>
      <c r="Q4819"/>
      <c r="R4819"/>
      <c r="S4819"/>
      <c r="T4819"/>
      <c r="U4819"/>
      <c r="V4819"/>
      <c r="W4819"/>
      <c r="X4819"/>
      <c r="Y4819"/>
      <c r="Z4819"/>
      <c r="AA4819"/>
      <c r="AB4819"/>
      <c r="AC4819"/>
      <c r="AD4819"/>
      <c r="AE4819"/>
      <c r="AF4819"/>
      <c r="AG4819"/>
      <c r="AH4819"/>
      <c r="AI4819"/>
      <c r="AJ4819"/>
      <c r="AK4819"/>
      <c r="AL4819"/>
    </row>
    <row r="4820" spans="1:38" ht="15.75" customHeight="1" outlineLevel="2" x14ac:dyDescent="0.2">
      <c r="A4820" s="10">
        <v>11</v>
      </c>
      <c r="B4820" s="10" t="s">
        <v>71</v>
      </c>
      <c r="C4820" s="10" t="s">
        <v>967</v>
      </c>
      <c r="D4820" s="10" t="s">
        <v>939</v>
      </c>
      <c r="E4820" s="11" t="str">
        <f t="array" ref="E4820">_xlfn.XLOOKUP(D4820,Insumos!B:B,Insumos!C:$C)</f>
        <v>UN</v>
      </c>
      <c r="F4820" s="14">
        <v>1</v>
      </c>
      <c r="G4820" s="92">
        <f t="array" ref="G4820">IF(B4820="insumo",_xlfn.XLOOKUP($D4820,Insumos!$B$1:$B$996,Insumos!$D$1:$D$996),"")</f>
        <v>26.9</v>
      </c>
      <c r="H4820" s="92">
        <v>26.9</v>
      </c>
      <c r="I4820" s="13">
        <v>0</v>
      </c>
      <c r="J4820" s="13">
        <v>0</v>
      </c>
      <c r="K4820" s="13"/>
      <c r="L4820"/>
      <c r="M4820"/>
      <c r="N4820"/>
      <c r="O4820"/>
      <c r="P4820"/>
      <c r="Q4820"/>
      <c r="R4820"/>
      <c r="S4820"/>
      <c r="T4820"/>
      <c r="U4820"/>
      <c r="V4820"/>
      <c r="W4820"/>
      <c r="X4820"/>
      <c r="Y4820"/>
      <c r="Z4820"/>
      <c r="AA4820"/>
      <c r="AB4820"/>
      <c r="AC4820"/>
      <c r="AD4820"/>
      <c r="AE4820"/>
      <c r="AF4820"/>
      <c r="AG4820"/>
      <c r="AH4820"/>
      <c r="AI4820"/>
      <c r="AJ4820"/>
      <c r="AK4820"/>
      <c r="AL4820"/>
    </row>
    <row r="4821" spans="1:38" ht="15.75" customHeight="1" outlineLevel="1" x14ac:dyDescent="0.2">
      <c r="A4821" s="1067">
        <v>1</v>
      </c>
      <c r="B4821" s="1067" t="s">
        <v>68</v>
      </c>
      <c r="C4821" s="1084" t="s">
        <v>969</v>
      </c>
      <c r="D4821" s="1084" t="s">
        <v>969</v>
      </c>
      <c r="E4821" s="1068" t="s">
        <v>197</v>
      </c>
      <c r="F4821" s="1085" t="s">
        <v>400</v>
      </c>
      <c r="G4821" s="1069" t="str">
        <f t="array" ref="G4821">IF(B4821="insumo",_xlfn.XLOOKUP($D4821,Insumos!$B$1:$B$996,Insumos!$D$1:$D$996),"")</f>
        <v/>
      </c>
      <c r="H4821" s="1069">
        <v>681.03200000000004</v>
      </c>
      <c r="I4821" s="1086">
        <v>0</v>
      </c>
      <c r="J4821" s="1086">
        <v>0</v>
      </c>
      <c r="K4821" s="1086"/>
      <c r="L4821"/>
      <c r="M4821"/>
      <c r="N4821"/>
      <c r="O4821"/>
      <c r="P4821"/>
      <c r="Q4821"/>
      <c r="R4821"/>
      <c r="S4821"/>
      <c r="T4821"/>
      <c r="U4821"/>
      <c r="V4821"/>
      <c r="W4821"/>
      <c r="X4821"/>
      <c r="Y4821"/>
      <c r="Z4821"/>
      <c r="AA4821"/>
      <c r="AB4821"/>
      <c r="AC4821"/>
      <c r="AD4821"/>
      <c r="AE4821"/>
      <c r="AF4821"/>
      <c r="AG4821"/>
      <c r="AH4821"/>
      <c r="AI4821"/>
      <c r="AJ4821"/>
      <c r="AK4821"/>
      <c r="AL4821"/>
    </row>
    <row r="4822" spans="1:38" ht="15.75" customHeight="1" outlineLevel="2" x14ac:dyDescent="0.2">
      <c r="A4822" s="10">
        <v>1</v>
      </c>
      <c r="B4822" s="10" t="s">
        <v>71</v>
      </c>
      <c r="C4822" s="10" t="s">
        <v>969</v>
      </c>
      <c r="D4822" s="10" t="s">
        <v>970</v>
      </c>
      <c r="E4822" s="11" t="str">
        <f t="array" ref="E4822">_xlfn.XLOOKUP(D4822,Insumos!B:B,Insumos!C:$C)</f>
        <v>UN</v>
      </c>
      <c r="F4822" s="14">
        <v>1</v>
      </c>
      <c r="G4822" s="92">
        <f t="array" ref="G4822">IF(B4822="insumo",_xlfn.XLOOKUP($D4822,Insumos!$B$1:$B$996,Insumos!$D$1:$D$996),"")</f>
        <v>396.87</v>
      </c>
      <c r="H4822" s="92">
        <v>396.87</v>
      </c>
      <c r="I4822" s="13">
        <v>0</v>
      </c>
      <c r="J4822" s="13">
        <v>0</v>
      </c>
      <c r="K4822" s="13"/>
      <c r="L4822"/>
      <c r="M4822"/>
      <c r="N4822"/>
      <c r="O4822"/>
      <c r="P4822"/>
      <c r="Q4822"/>
      <c r="R4822"/>
      <c r="S4822"/>
      <c r="T4822"/>
      <c r="U4822"/>
      <c r="V4822"/>
      <c r="W4822"/>
      <c r="X4822"/>
      <c r="Y4822"/>
      <c r="Z4822"/>
      <c r="AA4822"/>
      <c r="AB4822"/>
      <c r="AC4822"/>
      <c r="AD4822"/>
      <c r="AE4822"/>
      <c r="AF4822"/>
      <c r="AG4822"/>
      <c r="AH4822"/>
      <c r="AI4822"/>
      <c r="AJ4822"/>
      <c r="AK4822"/>
      <c r="AL4822"/>
    </row>
    <row r="4823" spans="1:38" ht="15.75" customHeight="1" outlineLevel="2" x14ac:dyDescent="0.2">
      <c r="A4823" s="10">
        <v>1</v>
      </c>
      <c r="B4823" s="10" t="s">
        <v>71</v>
      </c>
      <c r="C4823" s="10" t="s">
        <v>969</v>
      </c>
      <c r="D4823" s="10" t="s">
        <v>971</v>
      </c>
      <c r="E4823" s="11" t="str">
        <f t="array" ref="E4823">_xlfn.XLOOKUP(D4823,Insumos!B:B,Insumos!C:$C)</f>
        <v>UN</v>
      </c>
      <c r="F4823" s="14">
        <v>1</v>
      </c>
      <c r="G4823" s="92">
        <f t="array" ref="G4823">IF(B4823="insumo",_xlfn.XLOOKUP($D4823,Insumos!$B$1:$B$996,Insumos!$D$1:$D$996),"")</f>
        <v>35</v>
      </c>
      <c r="H4823" s="92">
        <v>35</v>
      </c>
      <c r="I4823" s="13">
        <v>0</v>
      </c>
      <c r="J4823" s="13">
        <v>0</v>
      </c>
      <c r="K4823" s="13"/>
      <c r="L4823"/>
      <c r="M4823"/>
      <c r="N4823"/>
      <c r="O4823"/>
      <c r="P4823"/>
      <c r="Q4823"/>
      <c r="R4823"/>
      <c r="S4823"/>
      <c r="T4823"/>
      <c r="U4823"/>
      <c r="V4823"/>
      <c r="W4823"/>
      <c r="X4823"/>
      <c r="Y4823"/>
      <c r="Z4823"/>
      <c r="AA4823"/>
      <c r="AB4823"/>
      <c r="AC4823"/>
      <c r="AD4823"/>
      <c r="AE4823"/>
      <c r="AF4823"/>
      <c r="AG4823"/>
      <c r="AH4823"/>
      <c r="AI4823"/>
      <c r="AJ4823"/>
      <c r="AK4823"/>
      <c r="AL4823"/>
    </row>
    <row r="4824" spans="1:38" ht="15.75" customHeight="1" outlineLevel="2" x14ac:dyDescent="0.2">
      <c r="A4824" s="10">
        <v>3</v>
      </c>
      <c r="B4824" s="10" t="s">
        <v>71</v>
      </c>
      <c r="C4824" s="10" t="s">
        <v>969</v>
      </c>
      <c r="D4824" s="10" t="s">
        <v>966</v>
      </c>
      <c r="E4824" s="11" t="str">
        <f t="array" ref="E4824">_xlfn.XLOOKUP(D4824,Insumos!B:B,Insumos!C:$C)</f>
        <v>UN</v>
      </c>
      <c r="F4824" s="14">
        <v>1</v>
      </c>
      <c r="G4824" s="92">
        <f t="array" ref="G4824">IF(B4824="insumo",_xlfn.XLOOKUP($D4824,Insumos!$B$1:$B$996,Insumos!$D$1:$D$996),"")</f>
        <v>35.9</v>
      </c>
      <c r="H4824" s="92">
        <v>35.9</v>
      </c>
      <c r="I4824" s="13">
        <v>0</v>
      </c>
      <c r="J4824" s="13">
        <v>0</v>
      </c>
      <c r="K4824" s="13"/>
      <c r="L4824"/>
      <c r="M4824"/>
      <c r="N4824"/>
      <c r="O4824"/>
      <c r="P4824"/>
      <c r="Q4824"/>
      <c r="R4824"/>
      <c r="S4824"/>
      <c r="T4824"/>
      <c r="U4824"/>
      <c r="V4824"/>
      <c r="W4824"/>
      <c r="X4824"/>
      <c r="Y4824"/>
      <c r="Z4824"/>
      <c r="AA4824"/>
      <c r="AB4824"/>
      <c r="AC4824"/>
      <c r="AD4824"/>
      <c r="AE4824"/>
      <c r="AF4824"/>
      <c r="AG4824"/>
      <c r="AH4824"/>
      <c r="AI4824"/>
      <c r="AJ4824"/>
      <c r="AK4824"/>
      <c r="AL4824"/>
    </row>
    <row r="4825" spans="1:38" ht="15.75" customHeight="1" outlineLevel="2" x14ac:dyDescent="0.2">
      <c r="A4825" s="10">
        <v>6</v>
      </c>
      <c r="B4825" s="10" t="s">
        <v>71</v>
      </c>
      <c r="C4825" s="10" t="s">
        <v>969</v>
      </c>
      <c r="D4825" s="10" t="s">
        <v>960</v>
      </c>
      <c r="E4825" s="11" t="str">
        <f t="array" ref="E4825">_xlfn.XLOOKUP(D4825,Insumos!B:B,Insumos!C:$C)</f>
        <v>UN</v>
      </c>
      <c r="F4825" s="14">
        <v>6</v>
      </c>
      <c r="G4825" s="92">
        <f t="array" ref="G4825">IF(B4825="insumo",_xlfn.XLOOKUP($D4825,Insumos!$B$1:$B$996,Insumos!$D$1:$D$996),"")</f>
        <v>0.6</v>
      </c>
      <c r="H4825" s="92">
        <v>3.6</v>
      </c>
      <c r="I4825" s="13">
        <v>0</v>
      </c>
      <c r="J4825" s="13">
        <v>0</v>
      </c>
      <c r="K4825" s="13"/>
      <c r="L4825"/>
      <c r="M4825"/>
      <c r="N4825"/>
      <c r="O4825"/>
      <c r="P4825"/>
      <c r="Q4825"/>
      <c r="R4825"/>
      <c r="S4825"/>
      <c r="T4825"/>
      <c r="U4825"/>
      <c r="V4825"/>
      <c r="W4825"/>
      <c r="X4825"/>
      <c r="Y4825"/>
      <c r="Z4825"/>
      <c r="AA4825"/>
      <c r="AB4825"/>
      <c r="AC4825"/>
      <c r="AD4825"/>
      <c r="AE4825"/>
      <c r="AF4825"/>
      <c r="AG4825"/>
      <c r="AH4825"/>
      <c r="AI4825"/>
      <c r="AJ4825"/>
      <c r="AK4825"/>
      <c r="AL4825"/>
    </row>
    <row r="4826" spans="1:38" ht="15.75" customHeight="1" outlineLevel="2" x14ac:dyDescent="0.2">
      <c r="A4826" s="10">
        <v>6</v>
      </c>
      <c r="B4826" s="10" t="s">
        <v>71</v>
      </c>
      <c r="C4826" s="10" t="s">
        <v>969</v>
      </c>
      <c r="D4826" s="10" t="s">
        <v>961</v>
      </c>
      <c r="E4826" s="11" t="str">
        <f t="array" ref="E4826">_xlfn.XLOOKUP(D4826,Insumos!B:B,Insumos!C:$C)</f>
        <v>UN</v>
      </c>
      <c r="F4826" s="14">
        <v>6</v>
      </c>
      <c r="G4826" s="92">
        <f t="array" ref="G4826">IF(B4826="insumo",_xlfn.XLOOKUP($D4826,Insumos!$B$1:$B$996,Insumos!$D$1:$D$996),"")</f>
        <v>24.95</v>
      </c>
      <c r="H4826" s="92">
        <v>149.69999999999999</v>
      </c>
      <c r="I4826" s="13">
        <v>0</v>
      </c>
      <c r="J4826" s="13">
        <v>0</v>
      </c>
      <c r="K4826" s="13"/>
      <c r="L4826"/>
      <c r="M4826"/>
      <c r="N4826"/>
      <c r="O4826"/>
      <c r="P4826"/>
      <c r="Q4826"/>
      <c r="R4826"/>
      <c r="S4826"/>
      <c r="T4826"/>
      <c r="U4826"/>
      <c r="V4826"/>
      <c r="W4826"/>
      <c r="X4826"/>
      <c r="Y4826"/>
      <c r="Z4826"/>
      <c r="AA4826"/>
      <c r="AB4826"/>
      <c r="AC4826"/>
      <c r="AD4826"/>
      <c r="AE4826"/>
      <c r="AF4826"/>
      <c r="AG4826"/>
      <c r="AH4826"/>
      <c r="AI4826"/>
      <c r="AJ4826"/>
      <c r="AK4826"/>
      <c r="AL4826"/>
    </row>
    <row r="4827" spans="1:38" ht="15.75" customHeight="1" outlineLevel="2" x14ac:dyDescent="0.2">
      <c r="A4827" s="10">
        <v>8</v>
      </c>
      <c r="B4827" s="10" t="s">
        <v>71</v>
      </c>
      <c r="C4827" s="10" t="s">
        <v>969</v>
      </c>
      <c r="D4827" s="10" t="s">
        <v>936</v>
      </c>
      <c r="E4827" s="11" t="str">
        <f t="array" ref="E4827">_xlfn.XLOOKUP(D4827,Insumos!B:B,Insumos!C:$C)</f>
        <v>M</v>
      </c>
      <c r="F4827" s="14">
        <v>0.3</v>
      </c>
      <c r="G4827" s="92">
        <f t="array" ref="G4827">IF(B4827="insumo",_xlfn.XLOOKUP($D4827,Insumos!$B$1:$B$996,Insumos!$D$1:$D$996),"")</f>
        <v>0.24</v>
      </c>
      <c r="H4827" s="92">
        <v>7.1999999999999995E-2</v>
      </c>
      <c r="I4827" s="13">
        <v>0</v>
      </c>
      <c r="J4827" s="13">
        <v>0</v>
      </c>
      <c r="K4827" s="13"/>
      <c r="L4827"/>
      <c r="M4827"/>
      <c r="N4827"/>
      <c r="O4827"/>
      <c r="P4827"/>
      <c r="Q4827"/>
      <c r="R4827"/>
      <c r="S4827"/>
      <c r="T4827"/>
      <c r="U4827"/>
      <c r="V4827"/>
      <c r="W4827"/>
      <c r="X4827"/>
      <c r="Y4827"/>
      <c r="Z4827"/>
      <c r="AA4827"/>
      <c r="AB4827"/>
      <c r="AC4827"/>
      <c r="AD4827"/>
      <c r="AE4827"/>
      <c r="AF4827"/>
      <c r="AG4827"/>
      <c r="AH4827"/>
      <c r="AI4827"/>
      <c r="AJ4827"/>
      <c r="AK4827"/>
      <c r="AL4827"/>
    </row>
    <row r="4828" spans="1:38" ht="15.75" customHeight="1" outlineLevel="2" x14ac:dyDescent="0.2">
      <c r="A4828" s="10">
        <v>7</v>
      </c>
      <c r="B4828" s="10" t="s">
        <v>71</v>
      </c>
      <c r="C4828" s="10" t="s">
        <v>969</v>
      </c>
      <c r="D4828" s="10" t="s">
        <v>944</v>
      </c>
      <c r="E4828" s="11" t="str">
        <f t="array" ref="E4828">_xlfn.XLOOKUP(D4828,Insumos!B:B,Insumos!C:$C)</f>
        <v>UN</v>
      </c>
      <c r="F4828" s="14">
        <v>0.4</v>
      </c>
      <c r="G4828" s="92">
        <f t="array" ref="G4828">IF(B4828="insumo",_xlfn.XLOOKUP($D4828,Insumos!$B$1:$B$996,Insumos!$D$1:$D$996),"")</f>
        <v>35.6</v>
      </c>
      <c r="H4828" s="92">
        <v>14.24</v>
      </c>
      <c r="I4828" s="13">
        <v>0</v>
      </c>
      <c r="J4828" s="13">
        <v>0</v>
      </c>
      <c r="K4828" s="13"/>
      <c r="L4828"/>
      <c r="M4828"/>
      <c r="N4828"/>
      <c r="O4828"/>
      <c r="P4828"/>
      <c r="Q4828"/>
      <c r="R4828"/>
      <c r="S4828"/>
      <c r="T4828"/>
      <c r="U4828"/>
      <c r="V4828"/>
      <c r="W4828"/>
      <c r="X4828"/>
      <c r="Y4828"/>
      <c r="Z4828"/>
      <c r="AA4828"/>
      <c r="AB4828"/>
      <c r="AC4828"/>
      <c r="AD4828"/>
      <c r="AE4828"/>
      <c r="AF4828"/>
      <c r="AG4828"/>
      <c r="AH4828"/>
      <c r="AI4828"/>
      <c r="AJ4828"/>
      <c r="AK4828"/>
      <c r="AL4828"/>
    </row>
    <row r="4829" spans="1:38" ht="15.75" customHeight="1" outlineLevel="2" x14ac:dyDescent="0.2">
      <c r="A4829" s="10">
        <v>11</v>
      </c>
      <c r="B4829" s="10" t="s">
        <v>71</v>
      </c>
      <c r="C4829" s="10" t="s">
        <v>969</v>
      </c>
      <c r="D4829" s="10" t="s">
        <v>938</v>
      </c>
      <c r="E4829" s="11" t="str">
        <f t="array" ref="E4829">_xlfn.XLOOKUP(D4829,Insumos!B:B,Insumos!C:$C)</f>
        <v>UN</v>
      </c>
      <c r="F4829" s="14">
        <v>0.25</v>
      </c>
      <c r="G4829" s="92">
        <f t="array" ref="G4829">IF(B4829="insumo",_xlfn.XLOOKUP($D4829,Insumos!$B$1:$B$996,Insumos!$D$1:$D$996),"")</f>
        <v>75</v>
      </c>
      <c r="H4829" s="92">
        <v>18.75</v>
      </c>
      <c r="I4829" s="13">
        <v>0</v>
      </c>
      <c r="J4829" s="13">
        <v>0</v>
      </c>
      <c r="K4829" s="13"/>
      <c r="L4829"/>
      <c r="M4829"/>
      <c r="N4829"/>
      <c r="O4829"/>
      <c r="P4829"/>
      <c r="Q4829"/>
      <c r="R4829"/>
      <c r="S4829"/>
      <c r="T4829"/>
      <c r="U4829"/>
      <c r="V4829"/>
      <c r="W4829"/>
      <c r="X4829"/>
      <c r="Y4829"/>
      <c r="Z4829"/>
      <c r="AA4829"/>
      <c r="AB4829"/>
      <c r="AC4829"/>
      <c r="AD4829"/>
      <c r="AE4829"/>
      <c r="AF4829"/>
      <c r="AG4829"/>
      <c r="AH4829"/>
      <c r="AI4829"/>
      <c r="AJ4829"/>
      <c r="AK4829"/>
      <c r="AL4829"/>
    </row>
    <row r="4830" spans="1:38" ht="15.75" customHeight="1" outlineLevel="2" x14ac:dyDescent="0.2">
      <c r="A4830" s="10">
        <v>11</v>
      </c>
      <c r="B4830" s="10" t="s">
        <v>71</v>
      </c>
      <c r="C4830" s="10" t="s">
        <v>969</v>
      </c>
      <c r="D4830" s="10" t="s">
        <v>939</v>
      </c>
      <c r="E4830" s="11" t="str">
        <f t="array" ref="E4830">_xlfn.XLOOKUP(D4830,Insumos!B:B,Insumos!C:$C)</f>
        <v>UN</v>
      </c>
      <c r="F4830" s="14">
        <v>1</v>
      </c>
      <c r="G4830" s="92">
        <f t="array" ref="G4830">IF(B4830="insumo",_xlfn.XLOOKUP($D4830,Insumos!$B$1:$B$996,Insumos!$D$1:$D$996),"")</f>
        <v>26.9</v>
      </c>
      <c r="H4830" s="92">
        <v>26.9</v>
      </c>
      <c r="I4830" s="13">
        <v>0</v>
      </c>
      <c r="J4830" s="13">
        <v>0</v>
      </c>
      <c r="K4830" s="13"/>
      <c r="L4830"/>
      <c r="M4830"/>
      <c r="N4830"/>
      <c r="O4830"/>
      <c r="P4830"/>
      <c r="Q4830"/>
      <c r="R4830"/>
      <c r="S4830"/>
      <c r="T4830"/>
      <c r="U4830"/>
      <c r="V4830"/>
      <c r="W4830"/>
      <c r="X4830"/>
      <c r="Y4830"/>
      <c r="Z4830"/>
      <c r="AA4830"/>
      <c r="AB4830"/>
      <c r="AC4830"/>
      <c r="AD4830"/>
      <c r="AE4830"/>
      <c r="AF4830"/>
      <c r="AG4830"/>
      <c r="AH4830"/>
      <c r="AI4830"/>
      <c r="AJ4830"/>
      <c r="AK4830"/>
      <c r="AL4830"/>
    </row>
    <row r="4831" spans="1:38" ht="15.75" customHeight="1" outlineLevel="1" x14ac:dyDescent="0.2">
      <c r="A4831" s="1067">
        <v>1</v>
      </c>
      <c r="B4831" s="1067" t="s">
        <v>68</v>
      </c>
      <c r="C4831" s="1084" t="s">
        <v>972</v>
      </c>
      <c r="D4831" s="1084" t="s">
        <v>972</v>
      </c>
      <c r="E4831" s="1068" t="s">
        <v>197</v>
      </c>
      <c r="F4831" s="1085" t="s">
        <v>400</v>
      </c>
      <c r="G4831" s="1069" t="str">
        <f t="array" ref="G4831">IF(B4831="insumo",_xlfn.XLOOKUP($D4831,Insumos!$B$1:$B$996,Insumos!$D$1:$D$996),"")</f>
        <v/>
      </c>
      <c r="H4831" s="1069">
        <v>1054.93</v>
      </c>
      <c r="I4831" s="1086">
        <v>0</v>
      </c>
      <c r="J4831" s="1086">
        <v>0</v>
      </c>
      <c r="K4831" s="1086"/>
      <c r="L4831"/>
      <c r="M4831"/>
      <c r="N4831"/>
      <c r="O4831"/>
      <c r="P4831"/>
      <c r="Q4831"/>
      <c r="R4831"/>
      <c r="S4831"/>
      <c r="T4831"/>
      <c r="U4831"/>
      <c r="V4831"/>
      <c r="W4831"/>
      <c r="X4831"/>
      <c r="Y4831"/>
      <c r="Z4831"/>
      <c r="AA4831"/>
      <c r="AB4831"/>
      <c r="AC4831"/>
      <c r="AD4831"/>
      <c r="AE4831"/>
      <c r="AF4831"/>
      <c r="AG4831"/>
      <c r="AH4831"/>
      <c r="AI4831"/>
      <c r="AJ4831"/>
      <c r="AK4831"/>
      <c r="AL4831"/>
    </row>
    <row r="4832" spans="1:38" ht="15.75" customHeight="1" outlineLevel="2" x14ac:dyDescent="0.2">
      <c r="A4832" s="10">
        <v>1</v>
      </c>
      <c r="B4832" s="10" t="s">
        <v>71</v>
      </c>
      <c r="C4832" s="10" t="s">
        <v>972</v>
      </c>
      <c r="D4832" s="10" t="s">
        <v>973</v>
      </c>
      <c r="E4832" s="11" t="str">
        <f t="array" ref="E4832">_xlfn.XLOOKUP(D4832,Insumos!B:B,Insumos!C:$C)</f>
        <v>UN</v>
      </c>
      <c r="F4832" s="14">
        <v>1</v>
      </c>
      <c r="G4832" s="92">
        <f t="array" ref="G4832">IF(B4832="insumo",_xlfn.XLOOKUP($D4832,Insumos!$B$1:$B$996,Insumos!$D$1:$D$996),"")</f>
        <v>1054.93</v>
      </c>
      <c r="H4832" s="92">
        <v>1054.93</v>
      </c>
      <c r="I4832" s="13">
        <v>0</v>
      </c>
      <c r="J4832" s="13">
        <v>0</v>
      </c>
      <c r="K4832" s="13"/>
      <c r="L4832"/>
      <c r="M4832"/>
      <c r="N4832"/>
      <c r="O4832"/>
      <c r="P4832"/>
      <c r="Q4832"/>
      <c r="R4832"/>
      <c r="S4832"/>
      <c r="T4832"/>
      <c r="U4832"/>
      <c r="V4832"/>
      <c r="W4832"/>
      <c r="X4832"/>
      <c r="Y4832"/>
      <c r="Z4832"/>
      <c r="AA4832"/>
      <c r="AB4832"/>
      <c r="AC4832"/>
      <c r="AD4832"/>
      <c r="AE4832"/>
      <c r="AF4832"/>
      <c r="AG4832"/>
      <c r="AH4832"/>
      <c r="AI4832"/>
      <c r="AJ4832"/>
      <c r="AK4832"/>
      <c r="AL4832"/>
    </row>
    <row r="4833" spans="1:38" ht="15.75" customHeight="1" outlineLevel="1" x14ac:dyDescent="0.2">
      <c r="A4833" s="1067">
        <v>1</v>
      </c>
      <c r="B4833" s="1067" t="s">
        <v>68</v>
      </c>
      <c r="C4833" s="1084" t="s">
        <v>974</v>
      </c>
      <c r="D4833" s="1084" t="s">
        <v>974</v>
      </c>
      <c r="E4833" s="1068" t="s">
        <v>197</v>
      </c>
      <c r="F4833" s="1085" t="s">
        <v>400</v>
      </c>
      <c r="G4833" s="1069" t="str">
        <f t="array" ref="G4833">IF(B4833="insumo",_xlfn.XLOOKUP($D4833,Insumos!$B$1:$B$996,Insumos!$D$1:$D$996),"")</f>
        <v/>
      </c>
      <c r="H4833" s="1069">
        <v>1054.93</v>
      </c>
      <c r="I4833" s="1086">
        <v>0</v>
      </c>
      <c r="J4833" s="1086">
        <v>0</v>
      </c>
      <c r="K4833" s="1086"/>
      <c r="L4833"/>
      <c r="M4833"/>
      <c r="N4833"/>
      <c r="O4833"/>
      <c r="P4833"/>
      <c r="Q4833"/>
      <c r="R4833"/>
      <c r="S4833"/>
      <c r="T4833"/>
      <c r="U4833"/>
      <c r="V4833"/>
      <c r="W4833"/>
      <c r="X4833"/>
      <c r="Y4833"/>
      <c r="Z4833"/>
      <c r="AA4833"/>
      <c r="AB4833"/>
      <c r="AC4833"/>
      <c r="AD4833"/>
      <c r="AE4833"/>
      <c r="AF4833"/>
      <c r="AG4833"/>
      <c r="AH4833"/>
      <c r="AI4833"/>
      <c r="AJ4833"/>
      <c r="AK4833"/>
      <c r="AL4833"/>
    </row>
    <row r="4834" spans="1:38" ht="15.75" customHeight="1" outlineLevel="2" x14ac:dyDescent="0.2">
      <c r="A4834" s="10">
        <v>1</v>
      </c>
      <c r="B4834" s="10" t="s">
        <v>71</v>
      </c>
      <c r="C4834" s="10" t="s">
        <v>974</v>
      </c>
      <c r="D4834" s="10" t="s">
        <v>975</v>
      </c>
      <c r="E4834" s="11" t="str">
        <f t="array" ref="E4834">_xlfn.XLOOKUP(D4834,Insumos!B:B,Insumos!C:$C)</f>
        <v>UN</v>
      </c>
      <c r="F4834" s="14">
        <v>1</v>
      </c>
      <c r="G4834" s="92">
        <f t="array" ref="G4834">IF(B4834="insumo",_xlfn.XLOOKUP($D4834,Insumos!$B$1:$B$996,Insumos!$D$1:$D$996),"")</f>
        <v>1054.93</v>
      </c>
      <c r="H4834" s="92">
        <v>1054.93</v>
      </c>
      <c r="I4834" s="13">
        <v>0</v>
      </c>
      <c r="J4834" s="13">
        <v>0</v>
      </c>
      <c r="K4834" s="13"/>
      <c r="L4834"/>
      <c r="M4834"/>
      <c r="N4834"/>
      <c r="O4834"/>
      <c r="P4834"/>
      <c r="Q4834"/>
      <c r="R4834"/>
      <c r="S4834"/>
      <c r="T4834"/>
      <c r="U4834"/>
      <c r="V4834"/>
      <c r="W4834"/>
      <c r="X4834"/>
      <c r="Y4834"/>
      <c r="Z4834"/>
      <c r="AA4834"/>
      <c r="AB4834"/>
      <c r="AC4834"/>
      <c r="AD4834"/>
      <c r="AE4834"/>
      <c r="AF4834"/>
      <c r="AG4834"/>
      <c r="AH4834"/>
      <c r="AI4834"/>
      <c r="AJ4834"/>
      <c r="AK4834"/>
      <c r="AL4834"/>
    </row>
    <row r="4835" spans="1:38" ht="15.75" customHeight="1" outlineLevel="1" x14ac:dyDescent="0.2">
      <c r="A4835" s="1067">
        <v>1</v>
      </c>
      <c r="B4835" s="1067" t="s">
        <v>68</v>
      </c>
      <c r="C4835" s="1084" t="s">
        <v>976</v>
      </c>
      <c r="D4835" s="1084" t="s">
        <v>976</v>
      </c>
      <c r="E4835" s="1068" t="s">
        <v>197</v>
      </c>
      <c r="F4835" s="1085" t="s">
        <v>400</v>
      </c>
      <c r="G4835" s="1069" t="str">
        <f t="array" ref="G4835">IF(B4835="insumo",_xlfn.XLOOKUP($D4835,Insumos!$B$1:$B$996,Insumos!$D$1:$D$996),"")</f>
        <v/>
      </c>
      <c r="H4835" s="1069">
        <v>1054.93</v>
      </c>
      <c r="I4835" s="1086">
        <v>0</v>
      </c>
      <c r="J4835" s="1086">
        <v>0</v>
      </c>
      <c r="K4835" s="1086"/>
      <c r="L4835"/>
      <c r="M4835"/>
      <c r="N4835"/>
      <c r="O4835"/>
      <c r="P4835"/>
      <c r="Q4835"/>
      <c r="R4835"/>
      <c r="S4835"/>
      <c r="T4835"/>
      <c r="U4835"/>
      <c r="V4835"/>
      <c r="W4835"/>
      <c r="X4835"/>
      <c r="Y4835"/>
      <c r="Z4835"/>
      <c r="AA4835"/>
      <c r="AB4835"/>
      <c r="AC4835"/>
      <c r="AD4835"/>
      <c r="AE4835"/>
      <c r="AF4835"/>
      <c r="AG4835"/>
      <c r="AH4835"/>
      <c r="AI4835"/>
      <c r="AJ4835"/>
      <c r="AK4835"/>
      <c r="AL4835"/>
    </row>
    <row r="4836" spans="1:38" ht="15.75" customHeight="1" outlineLevel="2" x14ac:dyDescent="0.2">
      <c r="A4836" s="10">
        <v>1</v>
      </c>
      <c r="B4836" s="10" t="s">
        <v>71</v>
      </c>
      <c r="C4836" s="10" t="s">
        <v>976</v>
      </c>
      <c r="D4836" s="10" t="s">
        <v>977</v>
      </c>
      <c r="E4836" s="11" t="str">
        <f t="array" ref="E4836">_xlfn.XLOOKUP(D4836,Insumos!B:B,Insumos!C:$C)</f>
        <v>UN</v>
      </c>
      <c r="F4836" s="14">
        <v>1</v>
      </c>
      <c r="G4836" s="92">
        <f t="array" ref="G4836">IF(B4836="insumo",_xlfn.XLOOKUP($D4836,Insumos!$B$1:$B$996,Insumos!$D$1:$D$996),"")</f>
        <v>1054.93</v>
      </c>
      <c r="H4836" s="92">
        <v>1054.93</v>
      </c>
      <c r="I4836" s="13">
        <v>0</v>
      </c>
      <c r="J4836" s="13">
        <v>0</v>
      </c>
      <c r="K4836" s="13"/>
      <c r="L4836"/>
      <c r="M4836"/>
      <c r="N4836"/>
      <c r="O4836"/>
      <c r="P4836"/>
      <c r="Q4836"/>
      <c r="R4836"/>
      <c r="S4836"/>
      <c r="T4836"/>
      <c r="U4836"/>
      <c r="V4836"/>
      <c r="W4836"/>
      <c r="X4836"/>
      <c r="Y4836"/>
      <c r="Z4836"/>
      <c r="AA4836"/>
      <c r="AB4836"/>
      <c r="AC4836"/>
      <c r="AD4836"/>
      <c r="AE4836"/>
      <c r="AF4836"/>
      <c r="AG4836"/>
      <c r="AH4836"/>
      <c r="AI4836"/>
      <c r="AJ4836"/>
      <c r="AK4836"/>
      <c r="AL4836"/>
    </row>
    <row r="4837" spans="1:38" ht="15.75" customHeight="1" outlineLevel="1" x14ac:dyDescent="0.2">
      <c r="A4837" s="1067">
        <v>1</v>
      </c>
      <c r="B4837" s="1067" t="s">
        <v>68</v>
      </c>
      <c r="C4837" s="1084" t="s">
        <v>978</v>
      </c>
      <c r="D4837" s="1084" t="s">
        <v>978</v>
      </c>
      <c r="E4837" s="1068" t="s">
        <v>197</v>
      </c>
      <c r="F4837" s="1085" t="s">
        <v>400</v>
      </c>
      <c r="G4837" s="1069" t="str">
        <f t="array" ref="G4837">IF(B4837="insumo",_xlfn.XLOOKUP($D4837,Insumos!$B$1:$B$996,Insumos!$D$1:$D$996),"")</f>
        <v/>
      </c>
      <c r="H4837" s="1069">
        <v>1054.93</v>
      </c>
      <c r="I4837" s="1086">
        <v>0</v>
      </c>
      <c r="J4837" s="1086">
        <v>0</v>
      </c>
      <c r="K4837" s="1086"/>
      <c r="L4837"/>
      <c r="M4837"/>
      <c r="N4837"/>
      <c r="O4837"/>
      <c r="P4837"/>
      <c r="Q4837"/>
      <c r="R4837"/>
      <c r="S4837"/>
      <c r="T4837"/>
      <c r="U4837"/>
      <c r="V4837"/>
      <c r="W4837"/>
      <c r="X4837"/>
      <c r="Y4837"/>
      <c r="Z4837"/>
      <c r="AA4837"/>
      <c r="AB4837"/>
      <c r="AC4837"/>
      <c r="AD4837"/>
      <c r="AE4837"/>
      <c r="AF4837"/>
      <c r="AG4837"/>
      <c r="AH4837"/>
      <c r="AI4837"/>
      <c r="AJ4837"/>
      <c r="AK4837"/>
      <c r="AL4837"/>
    </row>
    <row r="4838" spans="1:38" ht="15.75" customHeight="1" outlineLevel="2" x14ac:dyDescent="0.2">
      <c r="A4838" s="10">
        <v>1</v>
      </c>
      <c r="B4838" s="10" t="s">
        <v>71</v>
      </c>
      <c r="C4838" s="10" t="s">
        <v>978</v>
      </c>
      <c r="D4838" s="10" t="s">
        <v>979</v>
      </c>
      <c r="E4838" s="11" t="str">
        <f t="array" ref="E4838">_xlfn.XLOOKUP(D4838,Insumos!B:B,Insumos!C:$C)</f>
        <v>UN</v>
      </c>
      <c r="F4838" s="14">
        <v>1</v>
      </c>
      <c r="G4838" s="92">
        <f t="array" ref="G4838">IF(B4838="insumo",_xlfn.XLOOKUP($D4838,Insumos!$B$1:$B$996,Insumos!$D$1:$D$996),"")</f>
        <v>1054.93</v>
      </c>
      <c r="H4838" s="92">
        <v>1054.93</v>
      </c>
      <c r="I4838" s="13">
        <v>0</v>
      </c>
      <c r="J4838" s="13">
        <v>0</v>
      </c>
      <c r="K4838" s="13"/>
      <c r="L4838"/>
      <c r="M4838"/>
      <c r="N4838"/>
      <c r="O4838"/>
      <c r="P4838"/>
      <c r="Q4838"/>
      <c r="R4838"/>
      <c r="S4838"/>
      <c r="T4838"/>
      <c r="U4838"/>
      <c r="V4838"/>
      <c r="W4838"/>
      <c r="X4838"/>
      <c r="Y4838"/>
      <c r="Z4838"/>
      <c r="AA4838"/>
      <c r="AB4838"/>
      <c r="AC4838"/>
      <c r="AD4838"/>
      <c r="AE4838"/>
      <c r="AF4838"/>
      <c r="AG4838"/>
      <c r="AH4838"/>
      <c r="AI4838"/>
      <c r="AJ4838"/>
      <c r="AK4838"/>
      <c r="AL4838"/>
    </row>
    <row r="4839" spans="1:38" ht="15.75" customHeight="1" outlineLevel="1" x14ac:dyDescent="0.2">
      <c r="A4839" s="1067">
        <v>1</v>
      </c>
      <c r="B4839" s="1067" t="s">
        <v>68</v>
      </c>
      <c r="C4839" s="1084" t="s">
        <v>980</v>
      </c>
      <c r="D4839" s="1084" t="s">
        <v>980</v>
      </c>
      <c r="E4839" s="1068" t="s">
        <v>197</v>
      </c>
      <c r="F4839" s="1085" t="s">
        <v>400</v>
      </c>
      <c r="G4839" s="1069" t="str">
        <f t="array" ref="G4839">IF(B4839="insumo",_xlfn.XLOOKUP($D4839,Insumos!$B$1:$B$996,Insumos!$D$1:$D$996),"")</f>
        <v/>
      </c>
      <c r="H4839" s="1069">
        <v>1876.89</v>
      </c>
      <c r="I4839" s="1086">
        <v>0</v>
      </c>
      <c r="J4839" s="1086">
        <v>0</v>
      </c>
      <c r="K4839" s="1086"/>
      <c r="L4839"/>
      <c r="M4839"/>
      <c r="N4839"/>
      <c r="O4839"/>
      <c r="P4839"/>
      <c r="Q4839"/>
      <c r="R4839"/>
      <c r="S4839"/>
      <c r="T4839"/>
      <c r="U4839"/>
      <c r="V4839"/>
      <c r="W4839"/>
      <c r="X4839"/>
      <c r="Y4839"/>
      <c r="Z4839"/>
      <c r="AA4839"/>
      <c r="AB4839"/>
      <c r="AC4839"/>
      <c r="AD4839"/>
      <c r="AE4839"/>
      <c r="AF4839"/>
      <c r="AG4839"/>
      <c r="AH4839"/>
      <c r="AI4839"/>
      <c r="AJ4839"/>
      <c r="AK4839"/>
      <c r="AL4839"/>
    </row>
    <row r="4840" spans="1:38" ht="15.75" customHeight="1" outlineLevel="2" x14ac:dyDescent="0.2">
      <c r="A4840" s="10">
        <v>1</v>
      </c>
      <c r="B4840" s="10" t="s">
        <v>71</v>
      </c>
      <c r="C4840" s="10" t="s">
        <v>980</v>
      </c>
      <c r="D4840" s="10" t="s">
        <v>1590</v>
      </c>
      <c r="E4840" s="11" t="str">
        <f t="array" ref="E4840">_xlfn.XLOOKUP(D4840,Insumos!B:B,Insumos!C:$C)</f>
        <v>UN</v>
      </c>
      <c r="F4840" s="14">
        <v>1</v>
      </c>
      <c r="G4840" s="92">
        <f t="array" ref="G4840">IF(B4840="insumo",_xlfn.XLOOKUP($D4840,Insumos!$B$1:$B$996,Insumos!$D$1:$D$996),"")</f>
        <v>1876.89</v>
      </c>
      <c r="H4840" s="92">
        <v>1876.89</v>
      </c>
      <c r="I4840" s="13">
        <v>0</v>
      </c>
      <c r="J4840" s="13">
        <v>0</v>
      </c>
      <c r="K4840" s="13"/>
      <c r="L4840"/>
      <c r="M4840"/>
      <c r="N4840"/>
      <c r="O4840"/>
      <c r="P4840"/>
      <c r="Q4840"/>
      <c r="R4840"/>
      <c r="S4840"/>
      <c r="T4840"/>
      <c r="U4840"/>
      <c r="V4840"/>
      <c r="W4840"/>
      <c r="X4840"/>
      <c r="Y4840"/>
      <c r="Z4840"/>
      <c r="AA4840"/>
      <c r="AB4840"/>
      <c r="AC4840"/>
      <c r="AD4840"/>
      <c r="AE4840"/>
      <c r="AF4840"/>
      <c r="AG4840"/>
      <c r="AH4840"/>
      <c r="AI4840"/>
      <c r="AJ4840"/>
      <c r="AK4840"/>
      <c r="AL4840"/>
    </row>
    <row r="4841" spans="1:38" ht="15.75" customHeight="1" outlineLevel="1" x14ac:dyDescent="0.2">
      <c r="A4841" s="1067">
        <v>1</v>
      </c>
      <c r="B4841" s="1067" t="s">
        <v>68</v>
      </c>
      <c r="C4841" s="1084" t="s">
        <v>982</v>
      </c>
      <c r="D4841" s="1084" t="s">
        <v>982</v>
      </c>
      <c r="E4841" s="1068" t="s">
        <v>197</v>
      </c>
      <c r="F4841" s="1085" t="s">
        <v>400</v>
      </c>
      <c r="G4841" s="1069" t="str">
        <f t="array" ref="G4841">IF(B4841="insumo",_xlfn.XLOOKUP($D4841,Insumos!$B$1:$B$996,Insumos!$D$1:$D$996),"")</f>
        <v/>
      </c>
      <c r="H4841" s="1069">
        <v>240.41</v>
      </c>
      <c r="I4841" s="1086">
        <v>0</v>
      </c>
      <c r="J4841" s="1086">
        <v>0</v>
      </c>
      <c r="K4841" s="1086"/>
      <c r="L4841"/>
      <c r="M4841"/>
      <c r="N4841"/>
      <c r="O4841"/>
      <c r="P4841"/>
      <c r="Q4841"/>
      <c r="R4841"/>
      <c r="S4841"/>
      <c r="T4841"/>
      <c r="U4841"/>
      <c r="V4841"/>
      <c r="W4841"/>
      <c r="X4841"/>
      <c r="Y4841"/>
      <c r="Z4841"/>
      <c r="AA4841"/>
      <c r="AB4841"/>
      <c r="AC4841"/>
      <c r="AD4841"/>
      <c r="AE4841"/>
      <c r="AF4841"/>
      <c r="AG4841"/>
      <c r="AH4841"/>
      <c r="AI4841"/>
      <c r="AJ4841"/>
      <c r="AK4841"/>
      <c r="AL4841"/>
    </row>
    <row r="4842" spans="1:38" ht="15.75" customHeight="1" outlineLevel="2" x14ac:dyDescent="0.2">
      <c r="A4842" s="10">
        <v>1</v>
      </c>
      <c r="B4842" s="10" t="s">
        <v>71</v>
      </c>
      <c r="C4842" s="10" t="s">
        <v>982</v>
      </c>
      <c r="D4842" s="10" t="s">
        <v>983</v>
      </c>
      <c r="E4842" s="11" t="str">
        <f t="array" ref="E4842">_xlfn.XLOOKUP(D4842,Insumos!B:B,Insumos!C:$C)</f>
        <v>UN</v>
      </c>
      <c r="F4842" s="14">
        <v>1</v>
      </c>
      <c r="G4842" s="92">
        <f t="array" ref="G4842">IF(B4842="insumo",_xlfn.XLOOKUP($D4842,Insumos!$B$1:$B$996,Insumos!$D$1:$D$996),"")</f>
        <v>240.41</v>
      </c>
      <c r="H4842" s="92">
        <v>240.41</v>
      </c>
      <c r="I4842" s="13">
        <v>0</v>
      </c>
      <c r="J4842" s="13">
        <v>0</v>
      </c>
      <c r="K4842" s="13"/>
      <c r="L4842"/>
      <c r="M4842"/>
      <c r="N4842"/>
      <c r="O4842"/>
      <c r="P4842"/>
      <c r="Q4842"/>
      <c r="R4842"/>
      <c r="S4842"/>
      <c r="T4842"/>
      <c r="U4842"/>
      <c r="V4842"/>
      <c r="W4842"/>
      <c r="X4842"/>
      <c r="Y4842"/>
      <c r="Z4842"/>
      <c r="AA4842"/>
      <c r="AB4842"/>
      <c r="AC4842"/>
      <c r="AD4842"/>
      <c r="AE4842"/>
      <c r="AF4842"/>
      <c r="AG4842"/>
      <c r="AH4842"/>
      <c r="AI4842"/>
      <c r="AJ4842"/>
      <c r="AK4842"/>
      <c r="AL4842"/>
    </row>
    <row r="4843" spans="1:38" ht="15.75" customHeight="1" outlineLevel="1" x14ac:dyDescent="0.2">
      <c r="A4843" s="1067">
        <v>1</v>
      </c>
      <c r="B4843" s="1067" t="s">
        <v>68</v>
      </c>
      <c r="C4843" s="1084" t="s">
        <v>984</v>
      </c>
      <c r="D4843" s="1084" t="s">
        <v>984</v>
      </c>
      <c r="E4843" s="1068" t="s">
        <v>197</v>
      </c>
      <c r="F4843" s="1085" t="s">
        <v>400</v>
      </c>
      <c r="G4843" s="1069" t="str">
        <f t="array" ref="G4843">IF(B4843="insumo",_xlfn.XLOOKUP($D4843,Insumos!$B$1:$B$996,Insumos!$D$1:$D$996),"")</f>
        <v/>
      </c>
      <c r="H4843" s="1069">
        <v>493.7</v>
      </c>
      <c r="I4843" s="1086">
        <v>0</v>
      </c>
      <c r="J4843" s="1086">
        <v>0</v>
      </c>
      <c r="K4843" s="1086"/>
      <c r="L4843"/>
      <c r="M4843"/>
      <c r="N4843"/>
      <c r="O4843"/>
      <c r="P4843"/>
      <c r="Q4843"/>
      <c r="R4843"/>
      <c r="S4843"/>
      <c r="T4843"/>
      <c r="U4843"/>
      <c r="V4843"/>
      <c r="W4843"/>
      <c r="X4843"/>
      <c r="Y4843"/>
      <c r="Z4843"/>
      <c r="AA4843"/>
      <c r="AB4843"/>
      <c r="AC4843"/>
      <c r="AD4843"/>
      <c r="AE4843"/>
      <c r="AF4843"/>
      <c r="AG4843"/>
      <c r="AH4843"/>
      <c r="AI4843"/>
      <c r="AJ4843"/>
      <c r="AK4843"/>
      <c r="AL4843"/>
    </row>
    <row r="4844" spans="1:38" ht="15.75" customHeight="1" outlineLevel="2" x14ac:dyDescent="0.2">
      <c r="A4844" s="10">
        <v>1</v>
      </c>
      <c r="B4844" s="10" t="s">
        <v>71</v>
      </c>
      <c r="C4844" s="10" t="s">
        <v>984</v>
      </c>
      <c r="D4844" s="10" t="s">
        <v>985</v>
      </c>
      <c r="E4844" s="11" t="str">
        <f t="array" ref="E4844">_xlfn.XLOOKUP(D4844,Insumos!B:B,Insumos!C:$C)</f>
        <v>UN</v>
      </c>
      <c r="F4844" s="14">
        <v>1</v>
      </c>
      <c r="G4844" s="92">
        <f t="array" ref="G4844">IF(B4844="insumo",_xlfn.XLOOKUP($D4844,Insumos!$B$1:$B$996,Insumos!$D$1:$D$996),"")</f>
        <v>493.7</v>
      </c>
      <c r="H4844" s="92">
        <v>493.7</v>
      </c>
      <c r="I4844" s="13">
        <v>0</v>
      </c>
      <c r="J4844" s="13">
        <v>0</v>
      </c>
      <c r="K4844" s="13"/>
      <c r="L4844"/>
      <c r="M4844"/>
      <c r="N4844"/>
      <c r="O4844"/>
      <c r="P4844"/>
      <c r="Q4844"/>
      <c r="R4844"/>
      <c r="S4844"/>
      <c r="T4844"/>
      <c r="U4844"/>
      <c r="V4844"/>
      <c r="W4844"/>
      <c r="X4844"/>
      <c r="Y4844"/>
      <c r="Z4844"/>
      <c r="AA4844"/>
      <c r="AB4844"/>
      <c r="AC4844"/>
      <c r="AD4844"/>
      <c r="AE4844"/>
      <c r="AF4844"/>
      <c r="AG4844"/>
      <c r="AH4844"/>
      <c r="AI4844"/>
      <c r="AJ4844"/>
      <c r="AK4844"/>
      <c r="AL4844"/>
    </row>
    <row r="4845" spans="1:38" ht="15.75" customHeight="1" outlineLevel="1" x14ac:dyDescent="0.2">
      <c r="A4845" s="1067">
        <v>1</v>
      </c>
      <c r="B4845" s="1067" t="s">
        <v>68</v>
      </c>
      <c r="C4845" s="1084" t="s">
        <v>986</v>
      </c>
      <c r="D4845" s="1084" t="s">
        <v>986</v>
      </c>
      <c r="E4845" s="1068" t="s">
        <v>197</v>
      </c>
      <c r="F4845" s="1085" t="s">
        <v>400</v>
      </c>
      <c r="G4845" s="1069" t="str">
        <f t="array" ref="G4845">IF(B4845="insumo",_xlfn.XLOOKUP($D4845,Insumos!$B$1:$B$996,Insumos!$D$1:$D$996),"")</f>
        <v/>
      </c>
      <c r="H4845" s="1069">
        <v>900</v>
      </c>
      <c r="I4845" s="1086">
        <v>0</v>
      </c>
      <c r="J4845" s="1086">
        <v>0</v>
      </c>
      <c r="K4845" s="1086"/>
      <c r="L4845"/>
      <c r="M4845"/>
      <c r="N4845"/>
      <c r="O4845"/>
      <c r="P4845"/>
      <c r="Q4845"/>
      <c r="R4845"/>
      <c r="S4845"/>
      <c r="T4845"/>
      <c r="U4845"/>
      <c r="V4845"/>
      <c r="W4845"/>
      <c r="X4845"/>
      <c r="Y4845"/>
      <c r="Z4845"/>
      <c r="AA4845"/>
      <c r="AB4845"/>
      <c r="AC4845"/>
      <c r="AD4845"/>
      <c r="AE4845"/>
      <c r="AF4845"/>
      <c r="AG4845"/>
      <c r="AH4845"/>
      <c r="AI4845"/>
      <c r="AJ4845"/>
      <c r="AK4845"/>
      <c r="AL4845"/>
    </row>
    <row r="4846" spans="1:38" ht="15.75" customHeight="1" outlineLevel="2" x14ac:dyDescent="0.2">
      <c r="A4846" s="10">
        <v>1</v>
      </c>
      <c r="B4846" s="10" t="s">
        <v>71</v>
      </c>
      <c r="C4846" s="10" t="s">
        <v>986</v>
      </c>
      <c r="D4846" s="10" t="s">
        <v>987</v>
      </c>
      <c r="E4846" s="11" t="str">
        <f t="array" ref="E4846">_xlfn.XLOOKUP(D4846,Insumos!B:B,Insumos!C:$C)</f>
        <v>UN</v>
      </c>
      <c r="F4846" s="14">
        <v>1</v>
      </c>
      <c r="G4846" s="92">
        <f t="array" ref="G4846">IF(B4846="insumo",_xlfn.XLOOKUP($D4846,Insumos!$B$1:$B$996,Insumos!$D$1:$D$996),"")</f>
        <v>900</v>
      </c>
      <c r="H4846" s="92">
        <v>900</v>
      </c>
      <c r="I4846" s="13">
        <v>0</v>
      </c>
      <c r="J4846" s="13">
        <v>0</v>
      </c>
      <c r="K4846" s="13"/>
      <c r="L4846"/>
      <c r="M4846"/>
      <c r="N4846"/>
      <c r="O4846"/>
      <c r="P4846"/>
      <c r="Q4846"/>
      <c r="R4846"/>
      <c r="S4846"/>
      <c r="T4846"/>
      <c r="U4846"/>
      <c r="V4846"/>
      <c r="W4846"/>
      <c r="X4846"/>
      <c r="Y4846"/>
      <c r="Z4846"/>
      <c r="AA4846"/>
      <c r="AB4846"/>
      <c r="AC4846"/>
      <c r="AD4846"/>
      <c r="AE4846"/>
      <c r="AF4846"/>
      <c r="AG4846"/>
      <c r="AH4846"/>
      <c r="AI4846"/>
      <c r="AJ4846"/>
      <c r="AK4846"/>
      <c r="AL4846"/>
    </row>
    <row r="4847" spans="1:38" ht="15.75" customHeight="1" outlineLevel="1" x14ac:dyDescent="0.2">
      <c r="A4847" s="1067">
        <v>1</v>
      </c>
      <c r="B4847" s="1067" t="s">
        <v>68</v>
      </c>
      <c r="C4847" s="1084" t="s">
        <v>988</v>
      </c>
      <c r="D4847" s="1084" t="s">
        <v>988</v>
      </c>
      <c r="E4847" s="1068" t="s">
        <v>197</v>
      </c>
      <c r="F4847" s="1085" t="s">
        <v>400</v>
      </c>
      <c r="G4847" s="1069" t="str">
        <f t="array" ref="G4847">IF(B4847="insumo",_xlfn.XLOOKUP($D4847,Insumos!$B$1:$B$996,Insumos!$D$1:$D$996),"")</f>
        <v/>
      </c>
      <c r="H4847" s="1069">
        <v>84.8</v>
      </c>
      <c r="I4847" s="1086">
        <v>0</v>
      </c>
      <c r="J4847" s="1086">
        <v>0</v>
      </c>
      <c r="K4847" s="1086"/>
      <c r="L4847"/>
      <c r="M4847"/>
      <c r="N4847"/>
      <c r="O4847"/>
      <c r="P4847"/>
      <c r="Q4847"/>
      <c r="R4847"/>
      <c r="S4847"/>
      <c r="T4847"/>
      <c r="U4847"/>
      <c r="V4847"/>
      <c r="W4847"/>
      <c r="X4847"/>
      <c r="Y4847"/>
      <c r="Z4847"/>
      <c r="AA4847"/>
      <c r="AB4847"/>
      <c r="AC4847"/>
      <c r="AD4847"/>
      <c r="AE4847"/>
      <c r="AF4847"/>
      <c r="AG4847"/>
      <c r="AH4847"/>
      <c r="AI4847"/>
      <c r="AJ4847"/>
      <c r="AK4847"/>
      <c r="AL4847"/>
    </row>
    <row r="4848" spans="1:38" ht="15.75" customHeight="1" outlineLevel="2" x14ac:dyDescent="0.2">
      <c r="A4848" s="10">
        <v>1</v>
      </c>
      <c r="B4848" s="10" t="s">
        <v>71</v>
      </c>
      <c r="C4848" s="10" t="s">
        <v>988</v>
      </c>
      <c r="D4848" s="10" t="s">
        <v>989</v>
      </c>
      <c r="E4848" s="11" t="str">
        <f t="array" ref="E4848">_xlfn.XLOOKUP(D4848,Insumos!B:B,Insumos!C:$C)</f>
        <v>UN</v>
      </c>
      <c r="F4848" s="14">
        <v>1</v>
      </c>
      <c r="G4848" s="92">
        <f t="array" ref="G4848">IF(B4848="insumo",_xlfn.XLOOKUP($D4848,Insumos!$B$1:$B$996,Insumos!$D$1:$D$996),"")</f>
        <v>84.8</v>
      </c>
      <c r="H4848" s="92">
        <v>84.8</v>
      </c>
      <c r="I4848" s="13">
        <v>0</v>
      </c>
      <c r="J4848" s="13">
        <v>0</v>
      </c>
      <c r="K4848" s="13"/>
      <c r="L4848"/>
      <c r="M4848"/>
      <c r="N4848"/>
      <c r="O4848"/>
      <c r="P4848"/>
      <c r="Q4848"/>
      <c r="R4848"/>
      <c r="S4848"/>
      <c r="T4848"/>
      <c r="U4848"/>
      <c r="V4848"/>
      <c r="W4848"/>
      <c r="X4848"/>
      <c r="Y4848"/>
      <c r="Z4848"/>
      <c r="AA4848"/>
      <c r="AB4848"/>
      <c r="AC4848"/>
      <c r="AD4848"/>
      <c r="AE4848"/>
      <c r="AF4848"/>
      <c r="AG4848"/>
      <c r="AH4848"/>
      <c r="AI4848"/>
      <c r="AJ4848"/>
      <c r="AK4848"/>
      <c r="AL4848"/>
    </row>
    <row r="4849" spans="1:38" ht="15.75" customHeight="1" outlineLevel="1" x14ac:dyDescent="0.2">
      <c r="A4849" s="1067">
        <v>1</v>
      </c>
      <c r="B4849" s="1067" t="s">
        <v>68</v>
      </c>
      <c r="C4849" s="1084" t="s">
        <v>990</v>
      </c>
      <c r="D4849" s="1084" t="s">
        <v>990</v>
      </c>
      <c r="E4849" s="1068" t="s">
        <v>197</v>
      </c>
      <c r="F4849" s="1085" t="s">
        <v>400</v>
      </c>
      <c r="G4849" s="1069" t="str">
        <f t="array" ref="G4849">IF(B4849="insumo",_xlfn.XLOOKUP($D4849,Insumos!$B$1:$B$996,Insumos!$D$1:$D$996),"")</f>
        <v/>
      </c>
      <c r="H4849" s="1069">
        <v>660</v>
      </c>
      <c r="I4849" s="1086">
        <v>0</v>
      </c>
      <c r="J4849" s="1086">
        <v>0</v>
      </c>
      <c r="K4849" s="1086"/>
      <c r="L4849"/>
      <c r="M4849"/>
      <c r="N4849"/>
      <c r="O4849"/>
      <c r="P4849"/>
      <c r="Q4849"/>
      <c r="R4849"/>
      <c r="S4849"/>
      <c r="T4849"/>
      <c r="U4849"/>
      <c r="V4849"/>
      <c r="W4849"/>
      <c r="X4849"/>
      <c r="Y4849"/>
      <c r="Z4849"/>
      <c r="AA4849"/>
      <c r="AB4849"/>
      <c r="AC4849"/>
      <c r="AD4849"/>
      <c r="AE4849"/>
      <c r="AF4849"/>
      <c r="AG4849"/>
      <c r="AH4849"/>
      <c r="AI4849"/>
      <c r="AJ4849"/>
      <c r="AK4849"/>
      <c r="AL4849"/>
    </row>
    <row r="4850" spans="1:38" ht="15.75" customHeight="1" outlineLevel="2" x14ac:dyDescent="0.2">
      <c r="A4850" s="10">
        <v>1</v>
      </c>
      <c r="B4850" s="10" t="s">
        <v>71</v>
      </c>
      <c r="C4850" s="10" t="s">
        <v>990</v>
      </c>
      <c r="D4850" s="10" t="s">
        <v>991</v>
      </c>
      <c r="E4850" s="11" t="str">
        <f t="array" ref="E4850">_xlfn.XLOOKUP(D4850,Insumos!B:B,Insumos!C:$C)</f>
        <v>UN</v>
      </c>
      <c r="F4850" s="14">
        <v>1</v>
      </c>
      <c r="G4850" s="92">
        <f t="array" ref="G4850">IF(B4850="insumo",_xlfn.XLOOKUP($D4850,Insumos!$B$1:$B$996,Insumos!$D$1:$D$996),"")</f>
        <v>660</v>
      </c>
      <c r="H4850" s="92">
        <v>660</v>
      </c>
      <c r="I4850" s="13">
        <v>0</v>
      </c>
      <c r="J4850" s="13">
        <v>0</v>
      </c>
      <c r="K4850" s="13"/>
      <c r="L4850"/>
      <c r="M4850"/>
      <c r="N4850"/>
      <c r="O4850"/>
      <c r="P4850"/>
      <c r="Q4850"/>
      <c r="R4850"/>
      <c r="S4850"/>
      <c r="T4850"/>
      <c r="U4850"/>
      <c r="V4850"/>
      <c r="W4850"/>
      <c r="X4850"/>
      <c r="Y4850"/>
      <c r="Z4850"/>
      <c r="AA4850"/>
      <c r="AB4850"/>
      <c r="AC4850"/>
      <c r="AD4850"/>
      <c r="AE4850"/>
      <c r="AF4850"/>
      <c r="AG4850"/>
      <c r="AH4850"/>
      <c r="AI4850"/>
      <c r="AJ4850"/>
      <c r="AK4850"/>
      <c r="AL4850"/>
    </row>
    <row r="4851" spans="1:38" ht="15.75" customHeight="1" outlineLevel="1" x14ac:dyDescent="0.2">
      <c r="A4851" s="1067">
        <v>1</v>
      </c>
      <c r="B4851" s="1067" t="s">
        <v>68</v>
      </c>
      <c r="C4851" s="1084" t="s">
        <v>992</v>
      </c>
      <c r="D4851" s="1084" t="s">
        <v>992</v>
      </c>
      <c r="E4851" s="1068" t="s">
        <v>197</v>
      </c>
      <c r="F4851" s="1085" t="s">
        <v>400</v>
      </c>
      <c r="G4851" s="1069" t="str">
        <f t="array" ref="G4851">IF(B4851="insumo",_xlfn.XLOOKUP($D4851,Insumos!$B$1:$B$996,Insumos!$D$1:$D$996),"")</f>
        <v/>
      </c>
      <c r="H4851" s="1069">
        <v>970</v>
      </c>
      <c r="I4851" s="1086">
        <v>0</v>
      </c>
      <c r="J4851" s="1086">
        <v>0</v>
      </c>
      <c r="K4851" s="1086"/>
      <c r="L4851"/>
      <c r="M4851"/>
      <c r="N4851"/>
      <c r="O4851"/>
      <c r="P4851"/>
      <c r="Q4851"/>
      <c r="R4851"/>
      <c r="S4851"/>
      <c r="T4851"/>
      <c r="U4851"/>
      <c r="V4851"/>
      <c r="W4851"/>
      <c r="X4851"/>
      <c r="Y4851"/>
      <c r="Z4851"/>
      <c r="AA4851"/>
      <c r="AB4851"/>
      <c r="AC4851"/>
      <c r="AD4851"/>
      <c r="AE4851"/>
      <c r="AF4851"/>
      <c r="AG4851"/>
      <c r="AH4851"/>
      <c r="AI4851"/>
      <c r="AJ4851"/>
      <c r="AK4851"/>
      <c r="AL4851"/>
    </row>
    <row r="4852" spans="1:38" ht="15.75" customHeight="1" outlineLevel="2" x14ac:dyDescent="0.2">
      <c r="A4852" s="10">
        <v>1</v>
      </c>
      <c r="B4852" s="10" t="s">
        <v>71</v>
      </c>
      <c r="C4852" s="10" t="s">
        <v>992</v>
      </c>
      <c r="D4852" s="10" t="s">
        <v>993</v>
      </c>
      <c r="E4852" s="11" t="str">
        <f t="array" ref="E4852">_xlfn.XLOOKUP(D4852,Insumos!B:B,Insumos!C:$C)</f>
        <v>UN</v>
      </c>
      <c r="F4852" s="14">
        <v>1</v>
      </c>
      <c r="G4852" s="92">
        <f t="array" ref="G4852">IF(B4852="insumo",_xlfn.XLOOKUP($D4852,Insumos!$B$1:$B$996,Insumos!$D$1:$D$996),"")</f>
        <v>970</v>
      </c>
      <c r="H4852" s="92">
        <v>970</v>
      </c>
      <c r="I4852" s="13">
        <v>0</v>
      </c>
      <c r="J4852" s="13">
        <v>0</v>
      </c>
      <c r="K4852" s="13"/>
      <c r="L4852"/>
      <c r="M4852"/>
      <c r="N4852"/>
      <c r="O4852"/>
      <c r="P4852"/>
      <c r="Q4852"/>
      <c r="R4852"/>
      <c r="S4852"/>
      <c r="T4852"/>
      <c r="U4852"/>
      <c r="V4852"/>
      <c r="W4852"/>
      <c r="X4852"/>
      <c r="Y4852"/>
      <c r="Z4852"/>
      <c r="AA4852"/>
      <c r="AB4852"/>
      <c r="AC4852"/>
      <c r="AD4852"/>
      <c r="AE4852"/>
      <c r="AF4852"/>
      <c r="AG4852"/>
      <c r="AH4852"/>
      <c r="AI4852"/>
      <c r="AJ4852"/>
      <c r="AK4852"/>
      <c r="AL4852"/>
    </row>
    <row r="4853" spans="1:38" ht="15.75" customHeight="1" outlineLevel="1" x14ac:dyDescent="0.2">
      <c r="A4853" s="1067">
        <v>1</v>
      </c>
      <c r="B4853" s="1067" t="s">
        <v>68</v>
      </c>
      <c r="C4853" s="1084" t="s">
        <v>994</v>
      </c>
      <c r="D4853" s="1084" t="s">
        <v>994</v>
      </c>
      <c r="E4853" s="1068" t="s">
        <v>197</v>
      </c>
      <c r="F4853" s="1085" t="s">
        <v>400</v>
      </c>
      <c r="G4853" s="1069" t="str">
        <f t="array" ref="G4853">IF(B4853="insumo",_xlfn.XLOOKUP($D4853,Insumos!$B$1:$B$996,Insumos!$D$1:$D$996),"")</f>
        <v/>
      </c>
      <c r="H4853" s="1069">
        <v>1196.32</v>
      </c>
      <c r="I4853" s="1086">
        <v>0</v>
      </c>
      <c r="J4853" s="1086">
        <v>0</v>
      </c>
      <c r="K4853" s="1086"/>
      <c r="L4853"/>
      <c r="M4853"/>
      <c r="N4853"/>
      <c r="O4853"/>
      <c r="P4853"/>
      <c r="Q4853"/>
      <c r="R4853"/>
      <c r="S4853"/>
      <c r="T4853"/>
      <c r="U4853"/>
      <c r="V4853"/>
      <c r="W4853"/>
      <c r="X4853"/>
      <c r="Y4853"/>
      <c r="Z4853"/>
      <c r="AA4853"/>
      <c r="AB4853"/>
      <c r="AC4853"/>
      <c r="AD4853"/>
      <c r="AE4853"/>
      <c r="AF4853"/>
      <c r="AG4853"/>
      <c r="AH4853"/>
      <c r="AI4853"/>
      <c r="AJ4853"/>
      <c r="AK4853"/>
      <c r="AL4853"/>
    </row>
    <row r="4854" spans="1:38" ht="15.75" customHeight="1" outlineLevel="2" x14ac:dyDescent="0.2">
      <c r="A4854" s="10">
        <v>1</v>
      </c>
      <c r="B4854" s="10" t="s">
        <v>71</v>
      </c>
      <c r="C4854" s="10" t="s">
        <v>994</v>
      </c>
      <c r="D4854" s="10" t="s">
        <v>995</v>
      </c>
      <c r="E4854" s="11" t="str">
        <f t="array" ref="E4854">_xlfn.XLOOKUP(D4854,Insumos!B:B,Insumos!C:$C)</f>
        <v>UN</v>
      </c>
      <c r="F4854" s="14">
        <v>1</v>
      </c>
      <c r="G4854" s="92">
        <f t="array" ref="G4854">IF(B4854="insumo",_xlfn.XLOOKUP($D4854,Insumos!$B$1:$B$996,Insumos!$D$1:$D$996),"")</f>
        <v>1196.32</v>
      </c>
      <c r="H4854" s="92">
        <v>1196.32</v>
      </c>
      <c r="I4854" s="13">
        <v>0</v>
      </c>
      <c r="J4854" s="13">
        <v>0</v>
      </c>
      <c r="K4854" s="13"/>
      <c r="L4854"/>
      <c r="M4854"/>
      <c r="N4854"/>
      <c r="O4854"/>
      <c r="P4854"/>
      <c r="Q4854"/>
      <c r="R4854"/>
      <c r="S4854"/>
      <c r="T4854"/>
      <c r="U4854"/>
      <c r="V4854"/>
      <c r="W4854"/>
      <c r="X4854"/>
      <c r="Y4854"/>
      <c r="Z4854"/>
      <c r="AA4854"/>
      <c r="AB4854"/>
      <c r="AC4854"/>
      <c r="AD4854"/>
      <c r="AE4854"/>
      <c r="AF4854"/>
      <c r="AG4854"/>
      <c r="AH4854"/>
      <c r="AI4854"/>
      <c r="AJ4854"/>
      <c r="AK4854"/>
      <c r="AL4854"/>
    </row>
    <row r="4855" spans="1:38" ht="15.75" customHeight="1" outlineLevel="1" x14ac:dyDescent="0.2">
      <c r="A4855" s="1067">
        <v>1</v>
      </c>
      <c r="B4855" s="1067" t="s">
        <v>68</v>
      </c>
      <c r="C4855" s="1084" t="s">
        <v>996</v>
      </c>
      <c r="D4855" s="1084" t="s">
        <v>996</v>
      </c>
      <c r="E4855" s="1068" t="s">
        <v>197</v>
      </c>
      <c r="F4855" s="1085" t="s">
        <v>400</v>
      </c>
      <c r="G4855" s="1069" t="str">
        <f t="array" ref="G4855">IF(B4855="insumo",_xlfn.XLOOKUP($D4855,Insumos!$B$1:$B$996,Insumos!$D$1:$D$996),"")</f>
        <v/>
      </c>
      <c r="H4855" s="1069">
        <v>1183.51</v>
      </c>
      <c r="I4855" s="1086">
        <v>0</v>
      </c>
      <c r="J4855" s="1086">
        <v>0</v>
      </c>
      <c r="K4855" s="1086"/>
      <c r="L4855"/>
      <c r="M4855"/>
      <c r="N4855"/>
      <c r="O4855"/>
      <c r="P4855"/>
      <c r="Q4855"/>
      <c r="R4855"/>
      <c r="S4855"/>
      <c r="T4855"/>
      <c r="U4855"/>
      <c r="V4855"/>
      <c r="W4855"/>
      <c r="X4855"/>
      <c r="Y4855"/>
      <c r="Z4855"/>
      <c r="AA4855"/>
      <c r="AB4855"/>
      <c r="AC4855"/>
      <c r="AD4855"/>
      <c r="AE4855"/>
      <c r="AF4855"/>
      <c r="AG4855"/>
      <c r="AH4855"/>
      <c r="AI4855"/>
      <c r="AJ4855"/>
      <c r="AK4855"/>
      <c r="AL4855"/>
    </row>
    <row r="4856" spans="1:38" ht="15.75" customHeight="1" outlineLevel="2" x14ac:dyDescent="0.2">
      <c r="A4856" s="10">
        <v>1</v>
      </c>
      <c r="B4856" s="10" t="s">
        <v>71</v>
      </c>
      <c r="C4856" s="10" t="s">
        <v>996</v>
      </c>
      <c r="D4856" s="10" t="s">
        <v>997</v>
      </c>
      <c r="E4856" s="11" t="str">
        <f t="array" ref="E4856">_xlfn.XLOOKUP(D4856,Insumos!B:B,Insumos!C:$C)</f>
        <v>UN</v>
      </c>
      <c r="F4856" s="14">
        <v>1</v>
      </c>
      <c r="G4856" s="92">
        <f t="array" ref="G4856">IF(B4856="insumo",_xlfn.XLOOKUP($D4856,Insumos!$B$1:$B$996,Insumos!$D$1:$D$996),"")</f>
        <v>396.67</v>
      </c>
      <c r="H4856" s="92">
        <v>396.67</v>
      </c>
      <c r="I4856" s="13">
        <v>0</v>
      </c>
      <c r="J4856" s="13">
        <v>0</v>
      </c>
      <c r="K4856" s="13"/>
      <c r="L4856"/>
      <c r="M4856"/>
      <c r="N4856"/>
      <c r="O4856"/>
      <c r="P4856"/>
      <c r="Q4856"/>
      <c r="R4856"/>
      <c r="S4856"/>
      <c r="T4856"/>
      <c r="U4856"/>
      <c r="V4856"/>
      <c r="W4856"/>
      <c r="X4856"/>
      <c r="Y4856"/>
      <c r="Z4856"/>
      <c r="AA4856"/>
      <c r="AB4856"/>
      <c r="AC4856"/>
      <c r="AD4856"/>
      <c r="AE4856"/>
      <c r="AF4856"/>
      <c r="AG4856"/>
      <c r="AH4856"/>
      <c r="AI4856"/>
      <c r="AJ4856"/>
      <c r="AK4856"/>
      <c r="AL4856"/>
    </row>
    <row r="4857" spans="1:38" ht="15.75" customHeight="1" outlineLevel="2" x14ac:dyDescent="0.2">
      <c r="A4857" s="10">
        <v>1</v>
      </c>
      <c r="B4857" s="10" t="s">
        <v>71</v>
      </c>
      <c r="C4857" s="10" t="s">
        <v>996</v>
      </c>
      <c r="D4857" s="10" t="s">
        <v>998</v>
      </c>
      <c r="E4857" s="11" t="str">
        <f t="array" ref="E4857">_xlfn.XLOOKUP(D4857,Insumos!B:B,Insumos!C:$C)</f>
        <v>UN</v>
      </c>
      <c r="F4857" s="14">
        <v>1</v>
      </c>
      <c r="G4857" s="92">
        <f t="array" ref="G4857">IF(B4857="insumo",_xlfn.XLOOKUP($D4857,Insumos!$B$1:$B$996,Insumos!$D$1:$D$996),"")</f>
        <v>293</v>
      </c>
      <c r="H4857" s="92">
        <v>293</v>
      </c>
      <c r="I4857" s="13">
        <v>0</v>
      </c>
      <c r="J4857" s="13">
        <v>0</v>
      </c>
      <c r="K4857" s="13"/>
      <c r="L4857"/>
      <c r="M4857"/>
      <c r="N4857"/>
      <c r="O4857"/>
      <c r="P4857"/>
      <c r="Q4857"/>
      <c r="R4857"/>
      <c r="S4857"/>
      <c r="T4857"/>
      <c r="U4857"/>
      <c r="V4857"/>
      <c r="W4857"/>
      <c r="X4857"/>
      <c r="Y4857"/>
      <c r="Z4857"/>
      <c r="AA4857"/>
      <c r="AB4857"/>
      <c r="AC4857"/>
      <c r="AD4857"/>
      <c r="AE4857"/>
      <c r="AF4857"/>
      <c r="AG4857"/>
      <c r="AH4857"/>
      <c r="AI4857"/>
      <c r="AJ4857"/>
      <c r="AK4857"/>
      <c r="AL4857"/>
    </row>
    <row r="4858" spans="1:38" ht="15.75" customHeight="1" outlineLevel="2" x14ac:dyDescent="0.2">
      <c r="A4858" s="10">
        <v>1</v>
      </c>
      <c r="B4858" s="10" t="s">
        <v>71</v>
      </c>
      <c r="C4858" s="10" t="s">
        <v>996</v>
      </c>
      <c r="D4858" s="10" t="s">
        <v>999</v>
      </c>
      <c r="E4858" s="11" t="str">
        <f t="array" ref="E4858">_xlfn.XLOOKUP(D4858,Insumos!B:B,Insumos!C:$C)</f>
        <v>UN</v>
      </c>
      <c r="F4858" s="14">
        <v>1</v>
      </c>
      <c r="G4858" s="92">
        <f t="array" ref="G4858">IF(B4858="insumo",_xlfn.XLOOKUP($D4858,Insumos!$B$1:$B$996,Insumos!$D$1:$D$996),"")</f>
        <v>493.84</v>
      </c>
      <c r="H4858" s="92">
        <v>493.84</v>
      </c>
      <c r="I4858" s="13">
        <v>0</v>
      </c>
      <c r="J4858" s="13">
        <v>0</v>
      </c>
      <c r="K4858" s="13"/>
      <c r="L4858"/>
      <c r="M4858"/>
      <c r="N4858"/>
      <c r="O4858"/>
      <c r="P4858"/>
      <c r="Q4858"/>
      <c r="R4858"/>
      <c r="S4858"/>
      <c r="T4858"/>
      <c r="U4858"/>
      <c r="V4858"/>
      <c r="W4858"/>
      <c r="X4858"/>
      <c r="Y4858"/>
      <c r="Z4858"/>
      <c r="AA4858"/>
      <c r="AB4858"/>
      <c r="AC4858"/>
      <c r="AD4858"/>
      <c r="AE4858"/>
      <c r="AF4858"/>
      <c r="AG4858"/>
      <c r="AH4858"/>
      <c r="AI4858"/>
      <c r="AJ4858"/>
      <c r="AK4858"/>
      <c r="AL4858"/>
    </row>
    <row r="4859" spans="1:38" ht="15.75" customHeight="1" outlineLevel="1" x14ac:dyDescent="0.2">
      <c r="A4859" s="1067">
        <v>1</v>
      </c>
      <c r="B4859" s="1067" t="s">
        <v>68</v>
      </c>
      <c r="C4859" s="1084" t="s">
        <v>1000</v>
      </c>
      <c r="D4859" s="1084" t="s">
        <v>1000</v>
      </c>
      <c r="E4859" s="1068" t="s">
        <v>70</v>
      </c>
      <c r="F4859" s="1085" t="s">
        <v>400</v>
      </c>
      <c r="G4859" s="1069" t="str">
        <f t="array" ref="G4859">IF(B4859="insumo",_xlfn.XLOOKUP($D4859,Insumos!$B$1:$B$996,Insumos!$D$1:$D$996),"")</f>
        <v/>
      </c>
      <c r="H4859" s="1069">
        <v>750</v>
      </c>
      <c r="I4859" s="1086">
        <v>0</v>
      </c>
      <c r="J4859" s="1086">
        <v>0</v>
      </c>
      <c r="K4859" s="1086"/>
      <c r="L4859"/>
      <c r="M4859"/>
      <c r="N4859"/>
      <c r="O4859"/>
      <c r="P4859"/>
      <c r="Q4859"/>
      <c r="R4859"/>
      <c r="S4859"/>
      <c r="T4859"/>
      <c r="U4859"/>
      <c r="V4859"/>
      <c r="W4859"/>
      <c r="X4859"/>
      <c r="Y4859"/>
      <c r="Z4859"/>
      <c r="AA4859"/>
      <c r="AB4859"/>
      <c r="AC4859"/>
      <c r="AD4859"/>
      <c r="AE4859"/>
      <c r="AF4859"/>
      <c r="AG4859"/>
      <c r="AH4859"/>
      <c r="AI4859"/>
      <c r="AJ4859"/>
      <c r="AK4859"/>
      <c r="AL4859"/>
    </row>
    <row r="4860" spans="1:38" ht="18.75" customHeight="1" outlineLevel="2" x14ac:dyDescent="0.2">
      <c r="A4860" s="10">
        <v>1</v>
      </c>
      <c r="B4860" s="10" t="s">
        <v>71</v>
      </c>
      <c r="C4860" s="10" t="s">
        <v>1000</v>
      </c>
      <c r="D4860" s="10" t="s">
        <v>1001</v>
      </c>
      <c r="E4860" s="11" t="str">
        <f t="array" ref="E4860">_xlfn.XLOOKUP(D4860,Insumos!B:B,Insumos!C:$C)</f>
        <v>M²</v>
      </c>
      <c r="F4860" s="14">
        <v>1</v>
      </c>
      <c r="G4860" s="92">
        <f t="array" ref="G4860">IF(B4860="insumo",_xlfn.XLOOKUP($D4860,Insumos!$B$1:$B$996,Insumos!$D$1:$D$996),"")</f>
        <v>750</v>
      </c>
      <c r="H4860" s="92">
        <v>750</v>
      </c>
      <c r="I4860" s="13">
        <v>0</v>
      </c>
      <c r="J4860" s="13">
        <v>0</v>
      </c>
      <c r="K4860" s="13"/>
      <c r="L4860"/>
      <c r="M4860"/>
      <c r="N4860"/>
      <c r="O4860"/>
      <c r="P4860"/>
      <c r="Q4860"/>
      <c r="R4860"/>
      <c r="S4860"/>
      <c r="T4860"/>
      <c r="U4860"/>
      <c r="V4860"/>
      <c r="W4860"/>
      <c r="X4860"/>
      <c r="Y4860"/>
      <c r="Z4860"/>
      <c r="AA4860"/>
      <c r="AB4860"/>
      <c r="AC4860"/>
      <c r="AD4860"/>
      <c r="AE4860"/>
      <c r="AF4860"/>
      <c r="AG4860"/>
      <c r="AH4860"/>
      <c r="AI4860"/>
      <c r="AJ4860"/>
      <c r="AK4860"/>
      <c r="AL4860"/>
    </row>
    <row r="4861" spans="1:38" ht="15.75" customHeight="1" outlineLevel="1" x14ac:dyDescent="0.2">
      <c r="A4861" s="1067">
        <v>1</v>
      </c>
      <c r="B4861" s="1067" t="s">
        <v>68</v>
      </c>
      <c r="C4861" s="1084" t="s">
        <v>1002</v>
      </c>
      <c r="D4861" s="1084" t="s">
        <v>1002</v>
      </c>
      <c r="E4861" s="1068" t="s">
        <v>70</v>
      </c>
      <c r="F4861" s="1085" t="s">
        <v>400</v>
      </c>
      <c r="G4861" s="1069" t="str">
        <f t="array" ref="G4861">IF(B4861="insumo",_xlfn.XLOOKUP($D4861,Insumos!$B$1:$B$996,Insumos!$D$1:$D$996),"")</f>
        <v/>
      </c>
      <c r="H4861" s="1069">
        <v>750</v>
      </c>
      <c r="I4861" s="1086">
        <v>0</v>
      </c>
      <c r="J4861" s="1086">
        <v>0</v>
      </c>
      <c r="K4861" s="1086"/>
      <c r="L4861"/>
      <c r="M4861"/>
      <c r="N4861"/>
      <c r="O4861"/>
      <c r="P4861"/>
      <c r="Q4861"/>
      <c r="R4861"/>
      <c r="S4861"/>
      <c r="T4861"/>
      <c r="U4861"/>
      <c r="V4861"/>
      <c r="W4861"/>
      <c r="X4861"/>
      <c r="Y4861"/>
      <c r="Z4861"/>
      <c r="AA4861"/>
      <c r="AB4861"/>
      <c r="AC4861"/>
      <c r="AD4861"/>
      <c r="AE4861"/>
      <c r="AF4861"/>
      <c r="AG4861"/>
      <c r="AH4861"/>
      <c r="AI4861"/>
      <c r="AJ4861"/>
      <c r="AK4861"/>
      <c r="AL4861"/>
    </row>
    <row r="4862" spans="1:38" ht="15.75" customHeight="1" outlineLevel="2" x14ac:dyDescent="0.2">
      <c r="A4862" s="10">
        <v>1</v>
      </c>
      <c r="B4862" s="10" t="s">
        <v>71</v>
      </c>
      <c r="C4862" s="10" t="s">
        <v>1002</v>
      </c>
      <c r="D4862" s="10" t="s">
        <v>1003</v>
      </c>
      <c r="E4862" s="11" t="str">
        <f t="array" ref="E4862">_xlfn.XLOOKUP(D4862,Insumos!B:B,Insumos!C:$C)</f>
        <v>M²</v>
      </c>
      <c r="F4862" s="14">
        <v>1</v>
      </c>
      <c r="G4862" s="92">
        <f t="array" ref="G4862">IF(B4862="insumo",_xlfn.XLOOKUP($D4862,Insumos!$B$1:$B$996,Insumos!$D$1:$D$996),"")</f>
        <v>750</v>
      </c>
      <c r="H4862" s="92">
        <v>750</v>
      </c>
      <c r="I4862" s="13">
        <v>0</v>
      </c>
      <c r="J4862" s="13">
        <v>0</v>
      </c>
      <c r="K4862" s="13"/>
      <c r="L4862"/>
      <c r="M4862"/>
      <c r="N4862"/>
      <c r="O4862"/>
      <c r="P4862"/>
      <c r="Q4862"/>
      <c r="R4862"/>
      <c r="S4862"/>
      <c r="T4862"/>
      <c r="U4862"/>
      <c r="V4862"/>
      <c r="W4862"/>
      <c r="X4862"/>
      <c r="Y4862"/>
      <c r="Z4862"/>
      <c r="AA4862"/>
      <c r="AB4862"/>
      <c r="AC4862"/>
      <c r="AD4862"/>
      <c r="AE4862"/>
      <c r="AF4862"/>
      <c r="AG4862"/>
      <c r="AH4862"/>
      <c r="AI4862"/>
      <c r="AJ4862"/>
      <c r="AK4862"/>
      <c r="AL4862"/>
    </row>
    <row r="4863" spans="1:38" ht="15.75" customHeight="1" outlineLevel="1" x14ac:dyDescent="0.2">
      <c r="A4863" s="1067">
        <v>1</v>
      </c>
      <c r="B4863" s="1067" t="s">
        <v>68</v>
      </c>
      <c r="C4863" s="1084" t="s">
        <v>1004</v>
      </c>
      <c r="D4863" s="1084" t="s">
        <v>1004</v>
      </c>
      <c r="E4863" s="1068" t="s">
        <v>70</v>
      </c>
      <c r="F4863" s="1085" t="s">
        <v>400</v>
      </c>
      <c r="G4863" s="1069" t="str">
        <f t="array" ref="G4863">IF(B4863="insumo",_xlfn.XLOOKUP($D4863,Insumos!$B$1:$B$996,Insumos!$D$1:$D$996),"")</f>
        <v/>
      </c>
      <c r="H4863" s="1069">
        <v>750</v>
      </c>
      <c r="I4863" s="1086">
        <v>0</v>
      </c>
      <c r="J4863" s="1086">
        <v>0</v>
      </c>
      <c r="K4863" s="1086"/>
      <c r="L4863"/>
      <c r="M4863"/>
      <c r="N4863"/>
      <c r="O4863"/>
      <c r="P4863"/>
      <c r="Q4863"/>
      <c r="R4863"/>
      <c r="S4863"/>
      <c r="T4863"/>
      <c r="U4863"/>
      <c r="V4863"/>
      <c r="W4863"/>
      <c r="X4863"/>
      <c r="Y4863"/>
      <c r="Z4863"/>
      <c r="AA4863"/>
      <c r="AB4863"/>
      <c r="AC4863"/>
      <c r="AD4863"/>
      <c r="AE4863"/>
      <c r="AF4863"/>
      <c r="AG4863"/>
      <c r="AH4863"/>
      <c r="AI4863"/>
      <c r="AJ4863"/>
      <c r="AK4863"/>
      <c r="AL4863"/>
    </row>
    <row r="4864" spans="1:38" ht="15.75" customHeight="1" outlineLevel="2" x14ac:dyDescent="0.2">
      <c r="A4864" s="10">
        <v>1</v>
      </c>
      <c r="B4864" s="10" t="s">
        <v>71</v>
      </c>
      <c r="C4864" s="10" t="s">
        <v>1004</v>
      </c>
      <c r="D4864" s="10" t="s">
        <v>1005</v>
      </c>
      <c r="E4864" s="11" t="str">
        <f t="array" ref="E4864">_xlfn.XLOOKUP(D4864,Insumos!B:B,Insumos!C:$C)</f>
        <v>M²</v>
      </c>
      <c r="F4864" s="14">
        <v>1</v>
      </c>
      <c r="G4864" s="92">
        <f t="array" ref="G4864">IF(B4864="insumo",_xlfn.XLOOKUP($D4864,Insumos!$B$1:$B$996,Insumos!$D$1:$D$996),"")</f>
        <v>750</v>
      </c>
      <c r="H4864" s="92">
        <v>750</v>
      </c>
      <c r="I4864" s="13">
        <v>0</v>
      </c>
      <c r="J4864" s="13">
        <v>0</v>
      </c>
      <c r="K4864" s="13"/>
      <c r="L4864"/>
      <c r="M4864"/>
      <c r="N4864"/>
      <c r="O4864"/>
      <c r="P4864"/>
      <c r="Q4864"/>
      <c r="R4864"/>
      <c r="S4864"/>
      <c r="T4864"/>
      <c r="U4864"/>
      <c r="V4864"/>
      <c r="W4864"/>
      <c r="X4864"/>
      <c r="Y4864"/>
      <c r="Z4864"/>
      <c r="AA4864"/>
      <c r="AB4864"/>
      <c r="AC4864"/>
      <c r="AD4864"/>
      <c r="AE4864"/>
      <c r="AF4864"/>
      <c r="AG4864"/>
      <c r="AH4864"/>
      <c r="AI4864"/>
      <c r="AJ4864"/>
      <c r="AK4864"/>
      <c r="AL4864"/>
    </row>
    <row r="4865" spans="1:38" ht="15.75" customHeight="1" x14ac:dyDescent="0.2">
      <c r="A4865" s="7">
        <v>1</v>
      </c>
      <c r="B4865" s="7" t="s">
        <v>66</v>
      </c>
      <c r="C4865" s="7" t="s">
        <v>1004</v>
      </c>
      <c r="D4865" s="7" t="s">
        <v>33</v>
      </c>
      <c r="E4865" s="8"/>
      <c r="F4865" s="9"/>
      <c r="G4865" s="91" t="str">
        <f t="array" ref="G4865">IF(B4865="insumo",_xlfn.XLOOKUP($D4865,Insumos!$B$1:$B$996,Insumos!$D$1:$D$996),"")</f>
        <v/>
      </c>
      <c r="H4865" s="91">
        <v>0</v>
      </c>
      <c r="I4865" s="9">
        <v>0</v>
      </c>
      <c r="J4865" s="9">
        <v>0</v>
      </c>
      <c r="K4865" s="9"/>
      <c r="L4865"/>
      <c r="M4865"/>
      <c r="N4865"/>
      <c r="O4865"/>
      <c r="P4865"/>
      <c r="Q4865"/>
      <c r="R4865"/>
      <c r="S4865"/>
      <c r="T4865"/>
      <c r="U4865"/>
      <c r="V4865"/>
      <c r="W4865"/>
      <c r="X4865"/>
      <c r="Y4865"/>
      <c r="Z4865"/>
      <c r="AA4865"/>
      <c r="AB4865"/>
      <c r="AC4865"/>
      <c r="AD4865"/>
      <c r="AE4865"/>
      <c r="AF4865"/>
      <c r="AG4865"/>
      <c r="AH4865"/>
      <c r="AI4865"/>
      <c r="AJ4865"/>
      <c r="AK4865"/>
      <c r="AL4865"/>
    </row>
    <row r="4866" spans="1:38" ht="15.75" customHeight="1" outlineLevel="1" x14ac:dyDescent="0.2">
      <c r="A4866" s="1067">
        <v>1</v>
      </c>
      <c r="B4866" s="1067" t="s">
        <v>68</v>
      </c>
      <c r="C4866" s="1067" t="s">
        <v>1006</v>
      </c>
      <c r="D4866" s="1067" t="s">
        <v>1006</v>
      </c>
      <c r="E4866" s="1068" t="s">
        <v>197</v>
      </c>
      <c r="F4866" s="1067"/>
      <c r="G4866" s="1069" t="str">
        <f t="array" ref="G4866">IF(B4866="insumo",_xlfn.XLOOKUP($D4866,Insumos!$B$1:$B$996,Insumos!$D$1:$D$996),"")</f>
        <v/>
      </c>
      <c r="H4866" s="1069">
        <v>34721</v>
      </c>
      <c r="I4866" s="1070">
        <v>1</v>
      </c>
      <c r="J4866" s="1070">
        <v>34721</v>
      </c>
      <c r="K4866" s="1070"/>
      <c r="L4866"/>
      <c r="M4866"/>
      <c r="N4866"/>
      <c r="O4866"/>
      <c r="P4866"/>
      <c r="Q4866"/>
      <c r="R4866"/>
      <c r="S4866"/>
      <c r="T4866"/>
      <c r="U4866"/>
      <c r="V4866"/>
      <c r="W4866"/>
      <c r="X4866"/>
      <c r="Y4866"/>
      <c r="Z4866"/>
      <c r="AA4866"/>
      <c r="AB4866"/>
      <c r="AC4866"/>
      <c r="AD4866"/>
      <c r="AE4866"/>
      <c r="AF4866"/>
      <c r="AG4866"/>
      <c r="AH4866"/>
      <c r="AI4866"/>
      <c r="AJ4866"/>
      <c r="AK4866"/>
      <c r="AL4866"/>
    </row>
    <row r="4867" spans="1:38" ht="15.75" customHeight="1" outlineLevel="2" x14ac:dyDescent="0.2">
      <c r="A4867" s="10">
        <v>4</v>
      </c>
      <c r="B4867" s="10" t="s">
        <v>71</v>
      </c>
      <c r="C4867" s="10" t="s">
        <v>1006</v>
      </c>
      <c r="D4867" s="10" t="s">
        <v>1007</v>
      </c>
      <c r="E4867" s="11" t="str">
        <f t="array" ref="E4867">_xlfn.XLOOKUP(D4867,Insumos!B:B,Insumos!C:$C)</f>
        <v>UN</v>
      </c>
      <c r="F4867" s="14">
        <v>1</v>
      </c>
      <c r="G4867" s="92">
        <f t="array" ref="G4867">IF(B4867="insumo",_xlfn.XLOOKUP($D4867,Insumos!$B$1:$B$996,Insumos!$D$1:$D$996),"")</f>
        <v>30657</v>
      </c>
      <c r="H4867" s="92">
        <v>30657</v>
      </c>
      <c r="I4867" s="13">
        <v>1</v>
      </c>
      <c r="J4867" s="13">
        <v>30657</v>
      </c>
      <c r="K4867" s="13"/>
      <c r="L4867"/>
      <c r="M4867"/>
      <c r="N4867"/>
      <c r="O4867"/>
      <c r="P4867"/>
      <c r="Q4867"/>
      <c r="R4867"/>
      <c r="S4867"/>
      <c r="T4867"/>
      <c r="U4867"/>
      <c r="V4867"/>
      <c r="W4867"/>
      <c r="X4867"/>
      <c r="Y4867"/>
      <c r="Z4867"/>
      <c r="AA4867"/>
      <c r="AB4867"/>
      <c r="AC4867"/>
      <c r="AD4867"/>
      <c r="AE4867"/>
      <c r="AF4867"/>
      <c r="AG4867"/>
      <c r="AH4867"/>
      <c r="AI4867"/>
      <c r="AJ4867"/>
      <c r="AK4867"/>
      <c r="AL4867"/>
    </row>
    <row r="4868" spans="1:38" ht="15.75" customHeight="1" outlineLevel="2" x14ac:dyDescent="0.2">
      <c r="A4868" s="10">
        <v>1</v>
      </c>
      <c r="B4868" s="10" t="s">
        <v>71</v>
      </c>
      <c r="C4868" s="10" t="s">
        <v>1006</v>
      </c>
      <c r="D4868" s="10" t="s">
        <v>1008</v>
      </c>
      <c r="E4868" s="11" t="str">
        <f t="array" ref="E4868">_xlfn.XLOOKUP(D4868,Insumos!B:B,Insumos!C:$C)</f>
        <v>UN</v>
      </c>
      <c r="F4868" s="14">
        <v>1</v>
      </c>
      <c r="G4868" s="92">
        <f t="array" ref="G4868">IF(B4868="insumo",_xlfn.XLOOKUP($D4868,Insumos!$B$1:$B$996,Insumos!$D$1:$D$996),"")</f>
        <v>3300</v>
      </c>
      <c r="H4868" s="92">
        <v>3300</v>
      </c>
      <c r="I4868" s="13">
        <v>1</v>
      </c>
      <c r="J4868" s="13">
        <v>3300</v>
      </c>
      <c r="K4868" s="13"/>
      <c r="L4868"/>
      <c r="M4868"/>
      <c r="N4868"/>
      <c r="O4868"/>
      <c r="P4868"/>
      <c r="Q4868"/>
      <c r="R4868"/>
      <c r="S4868"/>
      <c r="T4868"/>
      <c r="U4868"/>
      <c r="V4868"/>
      <c r="W4868"/>
      <c r="X4868"/>
      <c r="Y4868"/>
      <c r="Z4868"/>
      <c r="AA4868"/>
      <c r="AB4868"/>
      <c r="AC4868"/>
      <c r="AD4868"/>
      <c r="AE4868"/>
      <c r="AF4868"/>
      <c r="AG4868"/>
      <c r="AH4868"/>
      <c r="AI4868"/>
      <c r="AJ4868"/>
      <c r="AK4868"/>
      <c r="AL4868"/>
    </row>
    <row r="4869" spans="1:38" ht="15.75" customHeight="1" outlineLevel="2" x14ac:dyDescent="0.2">
      <c r="A4869" s="10">
        <v>1</v>
      </c>
      <c r="B4869" s="10" t="s">
        <v>71</v>
      </c>
      <c r="C4869" s="10" t="s">
        <v>1006</v>
      </c>
      <c r="D4869" s="10" t="s">
        <v>1009</v>
      </c>
      <c r="E4869" s="11" t="str">
        <f t="array" ref="E4869">_xlfn.XLOOKUP(D4869,Insumos!B:B,Insumos!C:$C)</f>
        <v>UN</v>
      </c>
      <c r="F4869" s="14">
        <v>2</v>
      </c>
      <c r="G4869" s="92">
        <f t="array" ref="G4869">IF(B4869="insumo",_xlfn.XLOOKUP($D4869,Insumos!$B$1:$B$996,Insumos!$D$1:$D$996),"")</f>
        <v>382</v>
      </c>
      <c r="H4869" s="92">
        <v>764</v>
      </c>
      <c r="I4869" s="13">
        <v>1</v>
      </c>
      <c r="J4869" s="13">
        <v>764</v>
      </c>
      <c r="K4869" s="13"/>
      <c r="L4869"/>
      <c r="M4869"/>
      <c r="N4869"/>
      <c r="O4869"/>
      <c r="P4869"/>
      <c r="Q4869"/>
      <c r="R4869"/>
      <c r="S4869"/>
      <c r="T4869"/>
      <c r="U4869"/>
      <c r="V4869"/>
      <c r="W4869"/>
      <c r="X4869"/>
      <c r="Y4869"/>
      <c r="Z4869"/>
      <c r="AA4869"/>
      <c r="AB4869"/>
      <c r="AC4869"/>
      <c r="AD4869"/>
      <c r="AE4869"/>
      <c r="AF4869"/>
      <c r="AG4869"/>
      <c r="AH4869"/>
      <c r="AI4869"/>
      <c r="AJ4869"/>
      <c r="AK4869"/>
      <c r="AL4869"/>
    </row>
    <row r="4870" spans="1:38" ht="15.75" customHeight="1" outlineLevel="1" x14ac:dyDescent="0.2">
      <c r="A4870" s="1067">
        <v>1</v>
      </c>
      <c r="B4870" s="1067" t="s">
        <v>68</v>
      </c>
      <c r="C4870" s="1067" t="s">
        <v>1010</v>
      </c>
      <c r="D4870" s="1067" t="s">
        <v>1010</v>
      </c>
      <c r="E4870" s="1068" t="s">
        <v>113</v>
      </c>
      <c r="F4870" s="1067"/>
      <c r="G4870" s="1069" t="str">
        <f t="array" ref="G4870">IF(B4870="insumo",_xlfn.XLOOKUP($D4870,Insumos!$B$1:$B$996,Insumos!$D$1:$D$996),"")</f>
        <v/>
      </c>
      <c r="H4870" s="1069">
        <v>2320</v>
      </c>
      <c r="I4870" s="1070">
        <v>0</v>
      </c>
      <c r="J4870" s="1070">
        <v>0</v>
      </c>
      <c r="K4870" s="1070"/>
      <c r="L4870"/>
      <c r="M4870"/>
      <c r="N4870"/>
      <c r="O4870"/>
      <c r="P4870"/>
      <c r="Q4870"/>
      <c r="R4870"/>
      <c r="S4870"/>
      <c r="T4870"/>
      <c r="U4870"/>
      <c r="V4870"/>
      <c r="W4870"/>
      <c r="X4870"/>
      <c r="Y4870"/>
      <c r="Z4870"/>
      <c r="AA4870"/>
      <c r="AB4870"/>
      <c r="AC4870"/>
      <c r="AD4870"/>
      <c r="AE4870"/>
      <c r="AF4870"/>
      <c r="AG4870"/>
      <c r="AH4870"/>
      <c r="AI4870"/>
      <c r="AJ4870"/>
      <c r="AK4870"/>
      <c r="AL4870"/>
    </row>
    <row r="4871" spans="1:38" ht="15.75" customHeight="1" outlineLevel="2" x14ac:dyDescent="0.2">
      <c r="A4871" s="10">
        <v>1</v>
      </c>
      <c r="B4871" s="10" t="s">
        <v>71</v>
      </c>
      <c r="C4871" s="10" t="s">
        <v>1010</v>
      </c>
      <c r="D4871" s="10" t="s">
        <v>1011</v>
      </c>
      <c r="E4871" s="11" t="str">
        <f t="array" ref="E4871">_xlfn.XLOOKUP(D4871,Insumos!B:B,Insumos!C:$C)</f>
        <v>M2</v>
      </c>
      <c r="F4871" s="14">
        <v>1</v>
      </c>
      <c r="G4871" s="92">
        <f t="array" ref="G4871">IF(B4871="insumo",_xlfn.XLOOKUP($D4871,Insumos!$B$1:$B$996,Insumos!$D$1:$D$996),"")</f>
        <v>880</v>
      </c>
      <c r="H4871" s="92">
        <v>880</v>
      </c>
      <c r="I4871" s="13">
        <v>0</v>
      </c>
      <c r="J4871" s="13">
        <v>0</v>
      </c>
      <c r="K4871" s="13"/>
      <c r="L4871"/>
      <c r="M4871"/>
      <c r="N4871"/>
      <c r="O4871"/>
      <c r="P4871"/>
      <c r="Q4871"/>
      <c r="R4871"/>
      <c r="S4871"/>
      <c r="T4871"/>
      <c r="U4871"/>
      <c r="V4871"/>
      <c r="W4871"/>
      <c r="X4871"/>
      <c r="Y4871"/>
      <c r="Z4871"/>
      <c r="AA4871"/>
      <c r="AB4871"/>
      <c r="AC4871"/>
      <c r="AD4871"/>
      <c r="AE4871"/>
      <c r="AF4871"/>
      <c r="AG4871"/>
      <c r="AH4871"/>
      <c r="AI4871"/>
      <c r="AJ4871"/>
      <c r="AK4871"/>
      <c r="AL4871"/>
    </row>
    <row r="4872" spans="1:38" ht="15.75" customHeight="1" outlineLevel="2" x14ac:dyDescent="0.2">
      <c r="A4872" s="10">
        <v>4</v>
      </c>
      <c r="B4872" s="10" t="s">
        <v>71</v>
      </c>
      <c r="C4872" s="10" t="s">
        <v>1010</v>
      </c>
      <c r="D4872" s="10" t="s">
        <v>912</v>
      </c>
      <c r="E4872" s="11" t="str">
        <f t="array" ref="E4872">_xlfn.XLOOKUP(D4872,Insumos!B:B,Insumos!C:$C)</f>
        <v>M2</v>
      </c>
      <c r="F4872" s="14">
        <f>0.6*2</f>
        <v>1.2</v>
      </c>
      <c r="G4872" s="92">
        <f t="array" ref="G4872">IF(B4872="insumo",_xlfn.XLOOKUP($D4872,Insumos!$B$1:$B$996,Insumos!$D$1:$D$996),"")</f>
        <v>1200</v>
      </c>
      <c r="H4872" s="92">
        <v>1440</v>
      </c>
      <c r="I4872" s="13">
        <v>0</v>
      </c>
      <c r="J4872" s="13">
        <v>0</v>
      </c>
      <c r="K4872" s="13"/>
      <c r="L4872"/>
      <c r="M4872"/>
      <c r="N4872"/>
      <c r="O4872"/>
      <c r="P4872"/>
      <c r="Q4872"/>
      <c r="R4872"/>
      <c r="S4872"/>
      <c r="T4872"/>
      <c r="U4872"/>
      <c r="V4872"/>
      <c r="W4872"/>
      <c r="X4872"/>
      <c r="Y4872"/>
      <c r="Z4872"/>
      <c r="AA4872"/>
      <c r="AB4872"/>
      <c r="AC4872"/>
      <c r="AD4872"/>
      <c r="AE4872"/>
      <c r="AF4872"/>
      <c r="AG4872"/>
      <c r="AH4872"/>
      <c r="AI4872"/>
      <c r="AJ4872"/>
      <c r="AK4872"/>
      <c r="AL4872"/>
    </row>
    <row r="4873" spans="1:38" ht="15.75" customHeight="1" outlineLevel="1" x14ac:dyDescent="0.2">
      <c r="A4873" s="1067">
        <v>1</v>
      </c>
      <c r="B4873" s="1067" t="s">
        <v>68</v>
      </c>
      <c r="C4873" s="1067" t="s">
        <v>1012</v>
      </c>
      <c r="D4873" s="1067" t="s">
        <v>1012</v>
      </c>
      <c r="E4873" s="1068" t="s">
        <v>70</v>
      </c>
      <c r="F4873" s="1067"/>
      <c r="G4873" s="1069" t="str">
        <f t="array" ref="G4873">IF(B4873="insumo",_xlfn.XLOOKUP($D4873,Insumos!$B$1:$B$996,Insumos!$D$1:$D$996),"")</f>
        <v/>
      </c>
      <c r="H4873" s="1069">
        <v>1014</v>
      </c>
      <c r="I4873" s="1070">
        <v>0</v>
      </c>
      <c r="J4873" s="1070">
        <v>0</v>
      </c>
      <c r="K4873" s="1070"/>
      <c r="L4873"/>
      <c r="M4873"/>
      <c r="N4873"/>
      <c r="O4873"/>
      <c r="P4873"/>
      <c r="Q4873"/>
      <c r="R4873"/>
      <c r="S4873"/>
      <c r="T4873"/>
      <c r="U4873"/>
      <c r="V4873"/>
      <c r="W4873"/>
      <c r="X4873"/>
      <c r="Y4873"/>
      <c r="Z4873"/>
      <c r="AA4873"/>
      <c r="AB4873"/>
      <c r="AC4873"/>
      <c r="AD4873"/>
      <c r="AE4873"/>
      <c r="AF4873"/>
      <c r="AG4873"/>
      <c r="AH4873"/>
      <c r="AI4873"/>
      <c r="AJ4873"/>
      <c r="AK4873"/>
      <c r="AL4873"/>
    </row>
    <row r="4874" spans="1:38" ht="15.75" customHeight="1" outlineLevel="2" x14ac:dyDescent="0.2">
      <c r="A4874" s="10">
        <v>1</v>
      </c>
      <c r="B4874" s="10" t="s">
        <v>71</v>
      </c>
      <c r="C4874" s="10" t="s">
        <v>1012</v>
      </c>
      <c r="D4874" s="10" t="s">
        <v>1012</v>
      </c>
      <c r="E4874" s="11" t="str">
        <f t="array" ref="E4874">_xlfn.XLOOKUP(D4874,Insumos!B:B,Insumos!C:$C)</f>
        <v>un</v>
      </c>
      <c r="F4874" s="14">
        <v>1</v>
      </c>
      <c r="G4874" s="92">
        <f t="array" ref="G4874">IF(B4874="insumo",_xlfn.XLOOKUP($D4874,Insumos!$B$1:$B$996,Insumos!$D$1:$D$996),"")</f>
        <v>1014</v>
      </c>
      <c r="H4874" s="92">
        <v>1014</v>
      </c>
      <c r="I4874" s="13">
        <v>0</v>
      </c>
      <c r="J4874" s="13">
        <v>0</v>
      </c>
      <c r="K4874" s="13"/>
      <c r="L4874"/>
      <c r="M4874"/>
      <c r="N4874"/>
      <c r="O4874"/>
      <c r="P4874"/>
      <c r="Q4874"/>
      <c r="R4874"/>
      <c r="S4874"/>
      <c r="T4874"/>
      <c r="U4874"/>
      <c r="V4874"/>
      <c r="W4874"/>
      <c r="X4874"/>
      <c r="Y4874"/>
      <c r="Z4874"/>
      <c r="AA4874"/>
      <c r="AB4874"/>
      <c r="AC4874"/>
      <c r="AD4874"/>
      <c r="AE4874"/>
      <c r="AF4874"/>
      <c r="AG4874"/>
      <c r="AH4874"/>
      <c r="AI4874"/>
      <c r="AJ4874"/>
      <c r="AK4874"/>
      <c r="AL4874"/>
    </row>
    <row r="4875" spans="1:38" ht="15.75" customHeight="1" outlineLevel="1" x14ac:dyDescent="0.2">
      <c r="A4875" s="1067">
        <v>1</v>
      </c>
      <c r="B4875" s="1067" t="s">
        <v>68</v>
      </c>
      <c r="C4875" s="1067" t="s">
        <v>1013</v>
      </c>
      <c r="D4875" s="1067" t="s">
        <v>1013</v>
      </c>
      <c r="E4875" s="1068" t="s">
        <v>70</v>
      </c>
      <c r="F4875" s="1067"/>
      <c r="G4875" s="1069" t="str">
        <f t="array" ref="G4875">IF(B4875="insumo",_xlfn.XLOOKUP($D4875,Insumos!$B$1:$B$996,Insumos!$D$1:$D$996),"")</f>
        <v/>
      </c>
      <c r="H4875" s="1069">
        <v>92.167408499999993</v>
      </c>
      <c r="I4875" s="1070">
        <v>0</v>
      </c>
      <c r="J4875" s="1070">
        <v>0</v>
      </c>
      <c r="K4875" s="1070"/>
      <c r="L4875"/>
      <c r="M4875"/>
      <c r="N4875"/>
      <c r="O4875"/>
      <c r="P4875"/>
      <c r="Q4875"/>
      <c r="R4875"/>
      <c r="S4875"/>
      <c r="T4875"/>
      <c r="U4875"/>
      <c r="V4875"/>
      <c r="W4875"/>
      <c r="X4875"/>
      <c r="Y4875"/>
      <c r="Z4875"/>
      <c r="AA4875"/>
      <c r="AB4875"/>
      <c r="AC4875"/>
      <c r="AD4875"/>
      <c r="AE4875"/>
      <c r="AF4875"/>
      <c r="AG4875"/>
      <c r="AH4875"/>
      <c r="AI4875"/>
      <c r="AJ4875"/>
      <c r="AK4875"/>
      <c r="AL4875"/>
    </row>
    <row r="4876" spans="1:38" ht="15.75" customHeight="1" outlineLevel="2" x14ac:dyDescent="0.2">
      <c r="A4876" s="10">
        <v>6</v>
      </c>
      <c r="B4876" s="10" t="s">
        <v>71</v>
      </c>
      <c r="C4876" s="10" t="s">
        <v>1013</v>
      </c>
      <c r="D4876" s="10" t="s">
        <v>251</v>
      </c>
      <c r="E4876" s="11" t="str">
        <f t="array" ref="E4876">_xlfn.XLOOKUP(D4876,Insumos!B:B,Insumos!C:$C)</f>
        <v>M3</v>
      </c>
      <c r="F4876" s="14">
        <f>0.0243*3/2</f>
        <v>3.6449999999999996E-2</v>
      </c>
      <c r="G4876" s="92">
        <f t="array" ref="G4876">IF(B4876="insumo",_xlfn.XLOOKUP($D4876,Insumos!$B$1:$B$996,Insumos!$D$1:$D$996),"")</f>
        <v>604.73</v>
      </c>
      <c r="H4876" s="92">
        <v>22.042408500000001</v>
      </c>
      <c r="I4876" s="13">
        <v>0</v>
      </c>
      <c r="J4876" s="13">
        <v>0</v>
      </c>
      <c r="K4876" s="13"/>
      <c r="L4876"/>
      <c r="M4876"/>
      <c r="N4876"/>
      <c r="O4876"/>
      <c r="P4876"/>
      <c r="Q4876"/>
      <c r="R4876"/>
      <c r="S4876"/>
      <c r="T4876"/>
      <c r="U4876"/>
      <c r="V4876"/>
      <c r="W4876"/>
      <c r="X4876"/>
      <c r="Y4876"/>
      <c r="Z4876"/>
      <c r="AA4876"/>
      <c r="AB4876"/>
      <c r="AC4876"/>
      <c r="AD4876"/>
      <c r="AE4876"/>
      <c r="AF4876"/>
      <c r="AG4876"/>
      <c r="AH4876"/>
      <c r="AI4876"/>
      <c r="AJ4876"/>
      <c r="AK4876"/>
      <c r="AL4876"/>
    </row>
    <row r="4877" spans="1:38" ht="15.75" customHeight="1" outlineLevel="2" x14ac:dyDescent="0.2">
      <c r="A4877" s="10">
        <v>4</v>
      </c>
      <c r="B4877" s="10" t="s">
        <v>71</v>
      </c>
      <c r="C4877" s="10" t="s">
        <v>1013</v>
      </c>
      <c r="D4877" s="10" t="s">
        <v>619</v>
      </c>
      <c r="E4877" s="11" t="str">
        <f t="array" ref="E4877">_xlfn.XLOOKUP(D4877,Insumos!B:B,Insumos!C:$C)</f>
        <v>KG</v>
      </c>
      <c r="F4877" s="14">
        <f>5*3/2</f>
        <v>7.5</v>
      </c>
      <c r="G4877" s="92">
        <f t="array" ref="G4877">IF(B4877="insumo",_xlfn.XLOOKUP($D4877,Insumos!$B$1:$B$996,Insumos!$D$1:$D$996),"")</f>
        <v>9.35</v>
      </c>
      <c r="H4877" s="92">
        <v>70.125</v>
      </c>
      <c r="I4877" s="13">
        <v>0</v>
      </c>
      <c r="J4877" s="13">
        <v>0</v>
      </c>
      <c r="K4877" s="13"/>
      <c r="L4877"/>
      <c r="M4877"/>
      <c r="N4877"/>
      <c r="O4877"/>
      <c r="P4877"/>
      <c r="Q4877"/>
      <c r="R4877"/>
      <c r="S4877"/>
      <c r="T4877"/>
      <c r="U4877"/>
      <c r="V4877"/>
      <c r="W4877"/>
      <c r="X4877"/>
      <c r="Y4877"/>
      <c r="Z4877"/>
      <c r="AA4877"/>
      <c r="AB4877"/>
      <c r="AC4877"/>
      <c r="AD4877"/>
      <c r="AE4877"/>
      <c r="AF4877"/>
      <c r="AG4877"/>
      <c r="AH4877"/>
      <c r="AI4877"/>
      <c r="AJ4877"/>
      <c r="AK4877"/>
      <c r="AL4877"/>
    </row>
    <row r="4878" spans="1:38" ht="15.75" customHeight="1" outlineLevel="1" x14ac:dyDescent="0.2">
      <c r="A4878" s="1067">
        <v>1</v>
      </c>
      <c r="B4878" s="1067" t="s">
        <v>68</v>
      </c>
      <c r="C4878" s="1067" t="s">
        <v>1014</v>
      </c>
      <c r="D4878" s="1067" t="s">
        <v>1014</v>
      </c>
      <c r="E4878" s="1068" t="s">
        <v>70</v>
      </c>
      <c r="F4878" s="1067"/>
      <c r="G4878" s="1069" t="str">
        <f t="array" ref="G4878">IF(B4878="insumo",_xlfn.XLOOKUP($D4878,Insumos!$B$1:$B$996,Insumos!$D$1:$D$996),"")</f>
        <v/>
      </c>
      <c r="H4878" s="1069">
        <v>119.77</v>
      </c>
      <c r="I4878" s="1070">
        <v>0</v>
      </c>
      <c r="J4878" s="1070">
        <v>0</v>
      </c>
      <c r="K4878" s="1070"/>
      <c r="L4878"/>
      <c r="M4878"/>
      <c r="N4878"/>
      <c r="O4878"/>
      <c r="P4878"/>
      <c r="Q4878"/>
      <c r="R4878"/>
      <c r="S4878"/>
      <c r="T4878"/>
      <c r="U4878"/>
      <c r="V4878"/>
      <c r="W4878"/>
      <c r="X4878"/>
      <c r="Y4878"/>
      <c r="Z4878"/>
      <c r="AA4878"/>
      <c r="AB4878"/>
      <c r="AC4878"/>
      <c r="AD4878"/>
      <c r="AE4878"/>
      <c r="AF4878"/>
      <c r="AG4878"/>
      <c r="AH4878"/>
      <c r="AI4878"/>
      <c r="AJ4878"/>
      <c r="AK4878"/>
      <c r="AL4878"/>
    </row>
    <row r="4879" spans="1:38" ht="15.75" customHeight="1" outlineLevel="2" x14ac:dyDescent="0.2">
      <c r="A4879" s="10">
        <v>1</v>
      </c>
      <c r="B4879" s="10" t="s">
        <v>71</v>
      </c>
      <c r="C4879" s="17" t="s">
        <v>1014</v>
      </c>
      <c r="D4879" s="17" t="s">
        <v>1014</v>
      </c>
      <c r="E4879" s="11" t="str">
        <f t="array" ref="E4879">_xlfn.XLOOKUP(D4879,Insumos!B:B,Insumos!C:$C)</f>
        <v>M2</v>
      </c>
      <c r="F4879" s="14">
        <v>1</v>
      </c>
      <c r="G4879" s="92">
        <f t="array" ref="G4879">IF(B4879="insumo",_xlfn.XLOOKUP($D4879,Insumos!$B$1:$B$996,Insumos!$D$1:$D$996),"")</f>
        <v>119.77</v>
      </c>
      <c r="H4879" s="92">
        <v>119.77</v>
      </c>
      <c r="I4879" s="13">
        <v>0</v>
      </c>
      <c r="J4879" s="13">
        <v>0</v>
      </c>
      <c r="K4879" s="13"/>
      <c r="L4879"/>
      <c r="M4879"/>
      <c r="N4879"/>
      <c r="O4879"/>
      <c r="P4879"/>
      <c r="Q4879"/>
      <c r="R4879"/>
      <c r="S4879"/>
      <c r="T4879"/>
      <c r="U4879"/>
      <c r="V4879"/>
      <c r="W4879"/>
      <c r="X4879"/>
      <c r="Y4879"/>
      <c r="Z4879"/>
      <c r="AA4879"/>
      <c r="AB4879"/>
      <c r="AC4879"/>
      <c r="AD4879"/>
      <c r="AE4879"/>
      <c r="AF4879"/>
      <c r="AG4879"/>
      <c r="AH4879"/>
      <c r="AI4879"/>
      <c r="AJ4879"/>
      <c r="AK4879"/>
      <c r="AL4879"/>
    </row>
    <row r="4880" spans="1:38" ht="15.75" customHeight="1" outlineLevel="1" x14ac:dyDescent="0.2">
      <c r="A4880" s="1067">
        <v>1</v>
      </c>
      <c r="B4880" s="1067" t="s">
        <v>68</v>
      </c>
      <c r="C4880" s="1067" t="s">
        <v>1015</v>
      </c>
      <c r="D4880" s="1067" t="s">
        <v>1015</v>
      </c>
      <c r="E4880" s="1068" t="s">
        <v>152</v>
      </c>
      <c r="F4880" s="1067"/>
      <c r="G4880" s="1069" t="str">
        <f t="array" ref="G4880">IF(B4880="insumo",_xlfn.XLOOKUP($D4880,Insumos!$B$1:$B$996,Insumos!$D$1:$D$996),"")</f>
        <v/>
      </c>
      <c r="H4880" s="1069">
        <v>94.997450000000001</v>
      </c>
      <c r="I4880" s="1070">
        <v>0</v>
      </c>
      <c r="J4880" s="1070">
        <v>0</v>
      </c>
      <c r="K4880" s="1070"/>
      <c r="L4880"/>
      <c r="M4880"/>
      <c r="N4880"/>
      <c r="O4880"/>
      <c r="P4880"/>
      <c r="Q4880"/>
      <c r="R4880"/>
      <c r="S4880"/>
      <c r="T4880"/>
      <c r="U4880"/>
      <c r="V4880"/>
      <c r="W4880"/>
      <c r="X4880"/>
      <c r="Y4880"/>
      <c r="Z4880"/>
      <c r="AA4880"/>
      <c r="AB4880"/>
      <c r="AC4880"/>
      <c r="AD4880"/>
      <c r="AE4880"/>
      <c r="AF4880"/>
      <c r="AG4880"/>
      <c r="AH4880"/>
      <c r="AI4880"/>
      <c r="AJ4880"/>
      <c r="AK4880"/>
      <c r="AL4880"/>
    </row>
    <row r="4881" spans="1:38" ht="15.75" customHeight="1" outlineLevel="2" x14ac:dyDescent="0.2">
      <c r="A4881" s="10">
        <v>2</v>
      </c>
      <c r="B4881" s="10" t="s">
        <v>71</v>
      </c>
      <c r="C4881" s="10" t="s">
        <v>1015</v>
      </c>
      <c r="D4881" s="10" t="s">
        <v>1016</v>
      </c>
      <c r="E4881" s="11" t="str">
        <f t="array" ref="E4881">_xlfn.XLOOKUP(D4881,Insumos!B:B,Insumos!C:$C)</f>
        <v>CJ</v>
      </c>
      <c r="F4881" s="14">
        <v>1.26</v>
      </c>
      <c r="G4881" s="92">
        <f t="array" ref="G4881">IF(B4881="insumo",_xlfn.XLOOKUP($D4881,Insumos!$B$1:$B$996,Insumos!$D$1:$D$996),"")</f>
        <v>0.26</v>
      </c>
      <c r="H4881" s="92">
        <v>0.3276</v>
      </c>
      <c r="I4881" s="13">
        <v>0</v>
      </c>
      <c r="J4881" s="13">
        <v>0</v>
      </c>
      <c r="K4881" s="13"/>
      <c r="L4881"/>
      <c r="M4881"/>
      <c r="N4881"/>
      <c r="O4881"/>
      <c r="P4881"/>
      <c r="Q4881"/>
      <c r="R4881"/>
      <c r="S4881"/>
      <c r="T4881"/>
      <c r="U4881"/>
      <c r="V4881"/>
      <c r="W4881"/>
      <c r="X4881"/>
      <c r="Y4881"/>
      <c r="Z4881"/>
      <c r="AA4881"/>
      <c r="AB4881"/>
      <c r="AC4881"/>
      <c r="AD4881"/>
      <c r="AE4881"/>
      <c r="AF4881"/>
      <c r="AG4881"/>
      <c r="AH4881"/>
      <c r="AI4881"/>
      <c r="AJ4881"/>
      <c r="AK4881"/>
      <c r="AL4881"/>
    </row>
    <row r="4882" spans="1:38" ht="15.75" customHeight="1" outlineLevel="2" x14ac:dyDescent="0.2">
      <c r="A4882" s="10">
        <v>2</v>
      </c>
      <c r="B4882" s="10" t="s">
        <v>71</v>
      </c>
      <c r="C4882" s="10" t="s">
        <v>1015</v>
      </c>
      <c r="D4882" s="10" t="s">
        <v>1017</v>
      </c>
      <c r="E4882" s="11" t="str">
        <f t="array" ref="E4882">_xlfn.XLOOKUP(D4882,Insumos!B:B,Insumos!C:$C)</f>
        <v>UN</v>
      </c>
      <c r="F4882" s="14">
        <v>1.26</v>
      </c>
      <c r="G4882" s="92">
        <f t="array" ref="G4882">IF(B4882="insumo",_xlfn.XLOOKUP($D4882,Insumos!$B$1:$B$996,Insumos!$D$1:$D$996),"")</f>
        <v>4</v>
      </c>
      <c r="H4882" s="92">
        <v>5.04</v>
      </c>
      <c r="I4882" s="13">
        <v>0</v>
      </c>
      <c r="J4882" s="13">
        <v>0</v>
      </c>
      <c r="K4882" s="13"/>
      <c r="L4882"/>
      <c r="M4882"/>
      <c r="N4882"/>
      <c r="O4882"/>
      <c r="P4882"/>
      <c r="Q4882"/>
      <c r="R4882"/>
      <c r="S4882"/>
      <c r="T4882"/>
      <c r="U4882"/>
      <c r="V4882"/>
      <c r="W4882"/>
      <c r="X4882"/>
      <c r="Y4882"/>
      <c r="Z4882"/>
      <c r="AA4882"/>
      <c r="AB4882"/>
      <c r="AC4882"/>
      <c r="AD4882"/>
      <c r="AE4882"/>
      <c r="AF4882"/>
      <c r="AG4882"/>
      <c r="AH4882"/>
      <c r="AI4882"/>
      <c r="AJ4882"/>
      <c r="AK4882"/>
      <c r="AL4882"/>
    </row>
    <row r="4883" spans="1:38" ht="15.75" customHeight="1" outlineLevel="2" x14ac:dyDescent="0.2">
      <c r="A4883" s="10">
        <v>1</v>
      </c>
      <c r="B4883" s="10" t="s">
        <v>71</v>
      </c>
      <c r="C4883" s="10" t="s">
        <v>1015</v>
      </c>
      <c r="D4883" s="10" t="s">
        <v>1018</v>
      </c>
      <c r="E4883" s="11" t="str">
        <f t="array" ref="E4883">_xlfn.XLOOKUP(D4883,Insumos!B:B,Insumos!C:$C)</f>
        <v>M2</v>
      </c>
      <c r="F4883" s="14">
        <v>1.357</v>
      </c>
      <c r="G4883" s="92">
        <f t="array" ref="G4883">IF(B4883="insumo",_xlfn.XLOOKUP($D4883,Insumos!$B$1:$B$996,Insumos!$D$1:$D$996),"")</f>
        <v>66.05</v>
      </c>
      <c r="H4883" s="92">
        <v>89.629850000000005</v>
      </c>
      <c r="I4883" s="13">
        <v>0</v>
      </c>
      <c r="J4883" s="13">
        <v>0</v>
      </c>
      <c r="K4883" s="13"/>
      <c r="L4883"/>
      <c r="M4883"/>
      <c r="N4883"/>
      <c r="O4883"/>
      <c r="P4883"/>
      <c r="Q4883"/>
      <c r="R4883"/>
      <c r="S4883"/>
      <c r="T4883"/>
      <c r="U4883"/>
      <c r="V4883"/>
      <c r="W4883"/>
      <c r="X4883"/>
      <c r="Y4883"/>
      <c r="Z4883"/>
      <c r="AA4883"/>
      <c r="AB4883"/>
      <c r="AC4883"/>
      <c r="AD4883"/>
      <c r="AE4883"/>
      <c r="AF4883"/>
      <c r="AG4883"/>
      <c r="AH4883"/>
      <c r="AI4883"/>
      <c r="AJ4883"/>
      <c r="AK4883"/>
      <c r="AL4883"/>
    </row>
    <row r="4884" spans="1:38" ht="15.75" customHeight="1" outlineLevel="1" x14ac:dyDescent="0.2">
      <c r="A4884" s="1067">
        <v>1</v>
      </c>
      <c r="B4884" s="1067" t="s">
        <v>68</v>
      </c>
      <c r="C4884" s="1067" t="s">
        <v>1019</v>
      </c>
      <c r="D4884" s="1067" t="s">
        <v>1019</v>
      </c>
      <c r="E4884" s="1068" t="s">
        <v>152</v>
      </c>
      <c r="F4884" s="1067"/>
      <c r="G4884" s="1069" t="str">
        <f t="array" ref="G4884">IF(B4884="insumo",_xlfn.XLOOKUP($D4884,Insumos!$B$1:$B$996,Insumos!$D$1:$D$996),"")</f>
        <v/>
      </c>
      <c r="H4884" s="1069">
        <v>274.31142999999997</v>
      </c>
      <c r="I4884" s="1070">
        <v>0</v>
      </c>
      <c r="J4884" s="1070">
        <v>0</v>
      </c>
      <c r="K4884" s="1070"/>
      <c r="L4884"/>
      <c r="M4884"/>
      <c r="N4884"/>
      <c r="O4884"/>
      <c r="P4884"/>
      <c r="Q4884"/>
      <c r="R4884"/>
      <c r="S4884"/>
      <c r="T4884"/>
      <c r="U4884"/>
      <c r="V4884"/>
      <c r="W4884"/>
      <c r="X4884"/>
      <c r="Y4884"/>
      <c r="Z4884"/>
      <c r="AA4884"/>
      <c r="AB4884"/>
      <c r="AC4884"/>
      <c r="AD4884"/>
      <c r="AE4884"/>
      <c r="AF4884"/>
      <c r="AG4884"/>
      <c r="AH4884"/>
      <c r="AI4884"/>
      <c r="AJ4884"/>
      <c r="AK4884"/>
      <c r="AL4884"/>
    </row>
    <row r="4885" spans="1:38" ht="15.75" customHeight="1" outlineLevel="2" x14ac:dyDescent="0.2">
      <c r="A4885" s="10">
        <v>2</v>
      </c>
      <c r="B4885" s="10" t="s">
        <v>71</v>
      </c>
      <c r="C4885" s="10" t="s">
        <v>1019</v>
      </c>
      <c r="D4885" s="10" t="s">
        <v>1016</v>
      </c>
      <c r="E4885" s="11" t="str">
        <f t="array" ref="E4885">_xlfn.XLOOKUP(D4885,Insumos!B:B,Insumos!C:$C)</f>
        <v>CJ</v>
      </c>
      <c r="F4885" s="14">
        <v>1.26</v>
      </c>
      <c r="G4885" s="92">
        <f t="array" ref="G4885">IF(B4885="insumo",_xlfn.XLOOKUP($D4885,Insumos!$B$1:$B$996,Insumos!$D$1:$D$996),"")</f>
        <v>0.26</v>
      </c>
      <c r="H4885" s="92">
        <v>0.3276</v>
      </c>
      <c r="I4885" s="13">
        <v>0</v>
      </c>
      <c r="J4885" s="13">
        <v>0</v>
      </c>
      <c r="K4885" s="13"/>
      <c r="L4885"/>
      <c r="M4885"/>
      <c r="N4885"/>
      <c r="O4885"/>
      <c r="P4885"/>
      <c r="Q4885"/>
      <c r="R4885"/>
      <c r="S4885"/>
      <c r="T4885"/>
      <c r="U4885"/>
      <c r="V4885"/>
      <c r="W4885"/>
      <c r="X4885"/>
      <c r="Y4885"/>
      <c r="Z4885"/>
      <c r="AA4885"/>
      <c r="AB4885"/>
      <c r="AC4885"/>
      <c r="AD4885"/>
      <c r="AE4885"/>
      <c r="AF4885"/>
      <c r="AG4885"/>
      <c r="AH4885"/>
      <c r="AI4885"/>
      <c r="AJ4885"/>
      <c r="AK4885"/>
      <c r="AL4885"/>
    </row>
    <row r="4886" spans="1:38" ht="15.75" customHeight="1" outlineLevel="2" x14ac:dyDescent="0.2">
      <c r="A4886" s="10">
        <v>2</v>
      </c>
      <c r="B4886" s="10" t="s">
        <v>71</v>
      </c>
      <c r="C4886" s="10" t="s">
        <v>1019</v>
      </c>
      <c r="D4886" s="10" t="s">
        <v>1017</v>
      </c>
      <c r="E4886" s="11" t="str">
        <f t="array" ref="E4886">_xlfn.XLOOKUP(D4886,Insumos!B:B,Insumos!C:$C)</f>
        <v>UN</v>
      </c>
      <c r="F4886" s="14">
        <v>1.26</v>
      </c>
      <c r="G4886" s="92">
        <f t="array" ref="G4886">IF(B4886="insumo",_xlfn.XLOOKUP($D4886,Insumos!$B$1:$B$996,Insumos!$D$1:$D$996),"")</f>
        <v>4</v>
      </c>
      <c r="H4886" s="92">
        <v>5.04</v>
      </c>
      <c r="I4886" s="13">
        <v>0</v>
      </c>
      <c r="J4886" s="13">
        <v>0</v>
      </c>
      <c r="K4886" s="13"/>
      <c r="L4886"/>
      <c r="M4886"/>
      <c r="N4886"/>
      <c r="O4886"/>
      <c r="P4886"/>
      <c r="Q4886"/>
      <c r="R4886"/>
      <c r="S4886"/>
      <c r="T4886"/>
      <c r="U4886"/>
      <c r="V4886"/>
      <c r="W4886"/>
      <c r="X4886"/>
      <c r="Y4886"/>
      <c r="Z4886"/>
      <c r="AA4886"/>
      <c r="AB4886"/>
      <c r="AC4886"/>
      <c r="AD4886"/>
      <c r="AE4886"/>
      <c r="AF4886"/>
      <c r="AG4886"/>
      <c r="AH4886"/>
      <c r="AI4886"/>
      <c r="AJ4886"/>
      <c r="AK4886"/>
      <c r="AL4886"/>
    </row>
    <row r="4887" spans="1:38" ht="15.75" customHeight="1" outlineLevel="2" x14ac:dyDescent="0.2">
      <c r="A4887" s="10">
        <v>1</v>
      </c>
      <c r="B4887" s="10" t="s">
        <v>71</v>
      </c>
      <c r="C4887" s="10" t="s">
        <v>1019</v>
      </c>
      <c r="D4887" s="10" t="s">
        <v>1020</v>
      </c>
      <c r="E4887" s="11" t="str">
        <f t="array" ref="E4887">_xlfn.XLOOKUP(D4887,Insumos!B:B,Insumos!C:$C)</f>
        <v>M2</v>
      </c>
      <c r="F4887" s="14">
        <v>1.357</v>
      </c>
      <c r="G4887" s="92">
        <f t="array" ref="G4887">IF(B4887="insumo",_xlfn.XLOOKUP($D4887,Insumos!$B$1:$B$996,Insumos!$D$1:$D$996),"")</f>
        <v>198.19</v>
      </c>
      <c r="H4887" s="92">
        <v>268.94382999999999</v>
      </c>
      <c r="I4887" s="13">
        <v>0</v>
      </c>
      <c r="J4887" s="13">
        <v>0</v>
      </c>
      <c r="K4887" s="13"/>
      <c r="L4887"/>
      <c r="M4887"/>
      <c r="N4887"/>
      <c r="O4887"/>
      <c r="P4887"/>
      <c r="Q4887"/>
      <c r="R4887"/>
      <c r="S4887"/>
      <c r="T4887"/>
      <c r="U4887"/>
      <c r="V4887"/>
      <c r="W4887"/>
      <c r="X4887"/>
      <c r="Y4887"/>
      <c r="Z4887"/>
      <c r="AA4887"/>
      <c r="AB4887"/>
      <c r="AC4887"/>
      <c r="AD4887"/>
      <c r="AE4887"/>
      <c r="AF4887"/>
      <c r="AG4887"/>
      <c r="AH4887"/>
      <c r="AI4887"/>
      <c r="AJ4887"/>
      <c r="AK4887"/>
      <c r="AL4887"/>
    </row>
    <row r="4888" spans="1:38" ht="15.75" customHeight="1" outlineLevel="1" x14ac:dyDescent="0.2">
      <c r="A4888" s="1067">
        <v>1</v>
      </c>
      <c r="B4888" s="1067" t="s">
        <v>68</v>
      </c>
      <c r="C4888" s="1067" t="s">
        <v>1021</v>
      </c>
      <c r="D4888" s="1067" t="s">
        <v>1021</v>
      </c>
      <c r="E4888" s="1068" t="s">
        <v>113</v>
      </c>
      <c r="F4888" s="1067"/>
      <c r="G4888" s="1069" t="str">
        <f t="array" ref="G4888">IF(B4888="insumo",_xlfn.XLOOKUP($D4888,Insumos!$B$1:$B$996,Insumos!$D$1:$D$996),"")</f>
        <v/>
      </c>
      <c r="H4888" s="1069">
        <v>53.077489</v>
      </c>
      <c r="I4888" s="1070">
        <v>0</v>
      </c>
      <c r="J4888" s="1070">
        <v>0</v>
      </c>
      <c r="K4888" s="1070"/>
      <c r="L4888"/>
      <c r="M4888"/>
      <c r="N4888"/>
      <c r="O4888"/>
      <c r="P4888"/>
      <c r="Q4888"/>
      <c r="R4888"/>
      <c r="S4888"/>
      <c r="T4888"/>
      <c r="U4888"/>
      <c r="V4888"/>
      <c r="W4888"/>
      <c r="X4888"/>
      <c r="Y4888"/>
      <c r="Z4888"/>
      <c r="AA4888"/>
      <c r="AB4888"/>
      <c r="AC4888"/>
      <c r="AD4888"/>
      <c r="AE4888"/>
      <c r="AF4888"/>
      <c r="AG4888"/>
      <c r="AH4888"/>
      <c r="AI4888"/>
      <c r="AJ4888"/>
      <c r="AK4888"/>
      <c r="AL4888"/>
    </row>
    <row r="4889" spans="1:38" ht="15.75" customHeight="1" outlineLevel="2" x14ac:dyDescent="0.2">
      <c r="A4889" s="10">
        <v>1</v>
      </c>
      <c r="B4889" s="10" t="s">
        <v>71</v>
      </c>
      <c r="C4889" s="10" t="s">
        <v>1021</v>
      </c>
      <c r="D4889" s="10" t="s">
        <v>1022</v>
      </c>
      <c r="E4889" s="11" t="str">
        <f t="array" ref="E4889">_xlfn.XLOOKUP(D4889,Insumos!B:B,Insumos!C:$C)</f>
        <v>M</v>
      </c>
      <c r="F4889" s="14">
        <v>1.05</v>
      </c>
      <c r="G4889" s="92">
        <f t="array" ref="G4889">IF(B4889="insumo",_xlfn.XLOOKUP($D4889,Insumos!$B$1:$B$996,Insumos!$D$1:$D$996),"")</f>
        <v>18.7148</v>
      </c>
      <c r="H4889" s="92">
        <v>19.650539999999999</v>
      </c>
      <c r="I4889" s="13">
        <v>0</v>
      </c>
      <c r="J4889" s="13">
        <v>0</v>
      </c>
      <c r="K4889" s="13"/>
      <c r="L4889"/>
      <c r="M4889"/>
      <c r="N4889"/>
      <c r="O4889"/>
      <c r="P4889"/>
      <c r="Q4889"/>
      <c r="R4889"/>
      <c r="S4889"/>
      <c r="T4889"/>
      <c r="U4889"/>
      <c r="V4889"/>
      <c r="W4889"/>
      <c r="X4889"/>
      <c r="Y4889"/>
      <c r="Z4889"/>
      <c r="AA4889"/>
      <c r="AB4889"/>
      <c r="AC4889"/>
      <c r="AD4889"/>
      <c r="AE4889"/>
      <c r="AF4889"/>
      <c r="AG4889"/>
      <c r="AH4889"/>
      <c r="AI4889"/>
      <c r="AJ4889"/>
      <c r="AK4889"/>
      <c r="AL4889"/>
    </row>
    <row r="4890" spans="1:38" ht="15.75" customHeight="1" outlineLevel="2" x14ac:dyDescent="0.2">
      <c r="A4890" s="10">
        <v>6</v>
      </c>
      <c r="B4890" s="10" t="s">
        <v>71</v>
      </c>
      <c r="C4890" s="10" t="s">
        <v>1021</v>
      </c>
      <c r="D4890" s="10" t="s">
        <v>135</v>
      </c>
      <c r="E4890" s="11" t="str">
        <f t="array" ref="E4890">_xlfn.XLOOKUP(D4890,Insumos!B:B,Insumos!C:$C)</f>
        <v>KG</v>
      </c>
      <c r="F4890" s="14">
        <v>2.5000000000000001E-2</v>
      </c>
      <c r="G4890" s="92">
        <f t="array" ref="G4890">IF(B4890="insumo",_xlfn.XLOOKUP($D4890,Insumos!$B$1:$B$996,Insumos!$D$1:$D$996),"")</f>
        <v>15.65</v>
      </c>
      <c r="H4890" s="92">
        <v>0.39124999999999999</v>
      </c>
      <c r="I4890" s="13">
        <v>0</v>
      </c>
      <c r="J4890" s="13">
        <v>0</v>
      </c>
      <c r="K4890" s="13"/>
      <c r="L4890"/>
      <c r="M4890"/>
      <c r="N4890"/>
      <c r="O4890"/>
      <c r="P4890"/>
      <c r="Q4890"/>
      <c r="R4890"/>
      <c r="S4890"/>
      <c r="T4890"/>
      <c r="U4890"/>
      <c r="V4890"/>
      <c r="W4890"/>
      <c r="X4890"/>
      <c r="Y4890"/>
      <c r="Z4890"/>
      <c r="AA4890"/>
      <c r="AB4890"/>
      <c r="AC4890"/>
      <c r="AD4890"/>
      <c r="AE4890"/>
      <c r="AF4890"/>
      <c r="AG4890"/>
      <c r="AH4890"/>
      <c r="AI4890"/>
      <c r="AJ4890"/>
      <c r="AK4890"/>
      <c r="AL4890"/>
    </row>
    <row r="4891" spans="1:38" ht="15.75" customHeight="1" outlineLevel="2" x14ac:dyDescent="0.2">
      <c r="A4891" s="10">
        <v>7</v>
      </c>
      <c r="B4891" s="10" t="s">
        <v>71</v>
      </c>
      <c r="C4891" s="10" t="s">
        <v>1021</v>
      </c>
      <c r="D4891" s="10" t="s">
        <v>1023</v>
      </c>
      <c r="E4891" s="11" t="str">
        <f t="array" ref="E4891">_xlfn.XLOOKUP(D4891,Insumos!B:B,Insumos!C:$C)</f>
        <v>KG</v>
      </c>
      <c r="F4891" s="14">
        <v>4.8999999999999998E-3</v>
      </c>
      <c r="G4891" s="92">
        <f t="array" ref="G4891">IF(B4891="insumo",_xlfn.XLOOKUP($D4891,Insumos!$B$1:$B$996,Insumos!$D$1:$D$996),"")</f>
        <v>71.510000000000005</v>
      </c>
      <c r="H4891" s="92">
        <v>0.35039900000000002</v>
      </c>
      <c r="I4891" s="13">
        <v>0</v>
      </c>
      <c r="J4891" s="13">
        <v>0</v>
      </c>
      <c r="K4891" s="13"/>
      <c r="L4891"/>
      <c r="M4891"/>
      <c r="N4891"/>
      <c r="O4891"/>
      <c r="P4891"/>
      <c r="Q4891"/>
      <c r="R4891"/>
      <c r="S4891"/>
      <c r="T4891"/>
      <c r="U4891"/>
      <c r="V4891"/>
      <c r="W4891"/>
      <c r="X4891"/>
      <c r="Y4891"/>
      <c r="Z4891"/>
      <c r="AA4891"/>
      <c r="AB4891"/>
      <c r="AC4891"/>
      <c r="AD4891"/>
      <c r="AE4891"/>
      <c r="AF4891"/>
      <c r="AG4891"/>
      <c r="AH4891"/>
      <c r="AI4891"/>
      <c r="AJ4891"/>
      <c r="AK4891"/>
      <c r="AL4891"/>
    </row>
    <row r="4892" spans="1:38" ht="15.75" customHeight="1" outlineLevel="2" x14ac:dyDescent="0.2">
      <c r="A4892" s="10">
        <v>10</v>
      </c>
      <c r="B4892" s="10" t="s">
        <v>71</v>
      </c>
      <c r="C4892" s="10" t="s">
        <v>1021</v>
      </c>
      <c r="D4892" s="10" t="s">
        <v>852</v>
      </c>
      <c r="E4892" s="11" t="str">
        <f t="array" ref="E4892">_xlfn.XLOOKUP(D4892,Insumos!B:B,Insumos!C:$C)</f>
        <v>UN</v>
      </c>
      <c r="F4892" s="14">
        <v>0.161</v>
      </c>
      <c r="G4892" s="92">
        <f t="array" ref="G4892">IF(B4892="insumo",_xlfn.XLOOKUP($D4892,Insumos!$B$1:$B$996,Insumos!$D$1:$D$996),"")</f>
        <v>20.7</v>
      </c>
      <c r="H4892" s="92">
        <v>3.3327</v>
      </c>
      <c r="I4892" s="13">
        <v>0</v>
      </c>
      <c r="J4892" s="13">
        <v>0</v>
      </c>
      <c r="K4892" s="13"/>
      <c r="L4892"/>
      <c r="M4892"/>
      <c r="N4892"/>
      <c r="O4892"/>
      <c r="P4892"/>
      <c r="Q4892"/>
      <c r="R4892"/>
      <c r="S4892"/>
      <c r="T4892"/>
      <c r="U4892"/>
      <c r="V4892"/>
      <c r="W4892"/>
      <c r="X4892"/>
      <c r="Y4892"/>
      <c r="Z4892"/>
      <c r="AA4892"/>
      <c r="AB4892"/>
      <c r="AC4892"/>
      <c r="AD4892"/>
      <c r="AE4892"/>
      <c r="AF4892"/>
      <c r="AG4892"/>
      <c r="AH4892"/>
      <c r="AI4892"/>
      <c r="AJ4892"/>
      <c r="AK4892"/>
      <c r="AL4892"/>
    </row>
    <row r="4893" spans="1:38" ht="15.75" customHeight="1" outlineLevel="2" x14ac:dyDescent="0.2">
      <c r="A4893" s="10">
        <v>7</v>
      </c>
      <c r="B4893" s="10" t="s">
        <v>71</v>
      </c>
      <c r="C4893" s="10" t="s">
        <v>1021</v>
      </c>
      <c r="D4893" s="10" t="s">
        <v>1024</v>
      </c>
      <c r="E4893" s="11" t="str">
        <f t="array" ref="E4893">_xlfn.XLOOKUP(D4893,Insumos!B:B,Insumos!C:$C)</f>
        <v>KG</v>
      </c>
      <c r="F4893" s="14">
        <v>0.18</v>
      </c>
      <c r="G4893" s="92">
        <f t="array" ref="G4893">IF(B4893="insumo",_xlfn.XLOOKUP($D4893,Insumos!$B$1:$B$996,Insumos!$D$1:$D$996),"")</f>
        <v>163.07</v>
      </c>
      <c r="H4893" s="92">
        <v>29.352599999999999</v>
      </c>
      <c r="I4893" s="13">
        <v>0</v>
      </c>
      <c r="J4893" s="13">
        <v>0</v>
      </c>
      <c r="K4893" s="13"/>
      <c r="L4893"/>
      <c r="M4893"/>
      <c r="N4893"/>
      <c r="O4893"/>
      <c r="P4893"/>
      <c r="Q4893"/>
      <c r="R4893"/>
      <c r="S4893"/>
      <c r="T4893"/>
      <c r="U4893"/>
      <c r="V4893"/>
      <c r="W4893"/>
      <c r="X4893"/>
      <c r="Y4893"/>
      <c r="Z4893"/>
      <c r="AA4893"/>
      <c r="AB4893"/>
      <c r="AC4893"/>
      <c r="AD4893"/>
      <c r="AE4893"/>
      <c r="AF4893"/>
      <c r="AG4893"/>
      <c r="AH4893"/>
      <c r="AI4893"/>
      <c r="AJ4893"/>
      <c r="AK4893"/>
      <c r="AL4893"/>
    </row>
    <row r="4894" spans="1:38" ht="15.75" customHeight="1" outlineLevel="1" x14ac:dyDescent="0.2">
      <c r="A4894" s="1067">
        <v>1</v>
      </c>
      <c r="B4894" s="1067" t="s">
        <v>68</v>
      </c>
      <c r="C4894" s="1067" t="s">
        <v>1025</v>
      </c>
      <c r="D4894" s="1067" t="s">
        <v>1025</v>
      </c>
      <c r="E4894" s="1068" t="s">
        <v>113</v>
      </c>
      <c r="F4894" s="1067"/>
      <c r="G4894" s="1069" t="str">
        <f t="array" ref="G4894">IF(B4894="insumo",_xlfn.XLOOKUP($D4894,Insumos!$B$1:$B$996,Insumos!$D$1:$D$996),"")</f>
        <v/>
      </c>
      <c r="H4894" s="1069">
        <v>57.612228999999999</v>
      </c>
      <c r="I4894" s="1070">
        <v>0</v>
      </c>
      <c r="J4894" s="1070">
        <v>0</v>
      </c>
      <c r="K4894" s="1070"/>
      <c r="L4894"/>
      <c r="M4894"/>
      <c r="N4894"/>
      <c r="O4894"/>
      <c r="P4894"/>
      <c r="Q4894"/>
      <c r="R4894"/>
      <c r="S4894"/>
      <c r="T4894"/>
      <c r="U4894"/>
      <c r="V4894"/>
      <c r="W4894"/>
      <c r="X4894"/>
      <c r="Y4894"/>
      <c r="Z4894"/>
      <c r="AA4894"/>
      <c r="AB4894"/>
      <c r="AC4894"/>
      <c r="AD4894"/>
      <c r="AE4894"/>
      <c r="AF4894"/>
      <c r="AG4894"/>
      <c r="AH4894"/>
      <c r="AI4894"/>
      <c r="AJ4894"/>
      <c r="AK4894"/>
      <c r="AL4894"/>
    </row>
    <row r="4895" spans="1:38" ht="15.75" customHeight="1" outlineLevel="2" x14ac:dyDescent="0.2">
      <c r="A4895" s="10">
        <v>1</v>
      </c>
      <c r="B4895" s="10" t="s">
        <v>71</v>
      </c>
      <c r="C4895" s="10" t="s">
        <v>1025</v>
      </c>
      <c r="D4895" s="10" t="s">
        <v>1026</v>
      </c>
      <c r="E4895" s="11" t="str">
        <f t="array" ref="E4895">_xlfn.XLOOKUP(D4895,Insumos!B:B,Insumos!C:$C)</f>
        <v>M</v>
      </c>
      <c r="F4895" s="14">
        <v>1.05</v>
      </c>
      <c r="G4895" s="92">
        <f t="array" ref="G4895">IF(B4895="insumo",_xlfn.XLOOKUP($D4895,Insumos!$B$1:$B$996,Insumos!$D$1:$D$996),"")</f>
        <v>23.0336</v>
      </c>
      <c r="H4895" s="92">
        <v>24.185279999999999</v>
      </c>
      <c r="I4895" s="13">
        <v>0</v>
      </c>
      <c r="J4895" s="13">
        <v>0</v>
      </c>
      <c r="K4895" s="13"/>
      <c r="L4895"/>
      <c r="M4895"/>
      <c r="N4895"/>
      <c r="O4895"/>
      <c r="P4895"/>
      <c r="Q4895"/>
      <c r="R4895"/>
      <c r="S4895"/>
      <c r="T4895"/>
      <c r="U4895"/>
      <c r="V4895"/>
      <c r="W4895"/>
      <c r="X4895"/>
      <c r="Y4895"/>
      <c r="Z4895"/>
      <c r="AA4895"/>
      <c r="AB4895"/>
      <c r="AC4895"/>
      <c r="AD4895"/>
      <c r="AE4895"/>
      <c r="AF4895"/>
      <c r="AG4895"/>
      <c r="AH4895"/>
      <c r="AI4895"/>
      <c r="AJ4895"/>
      <c r="AK4895"/>
      <c r="AL4895"/>
    </row>
    <row r="4896" spans="1:38" ht="15.75" customHeight="1" outlineLevel="2" x14ac:dyDescent="0.2">
      <c r="A4896" s="10">
        <v>6</v>
      </c>
      <c r="B4896" s="10" t="s">
        <v>71</v>
      </c>
      <c r="C4896" s="10" t="s">
        <v>1025</v>
      </c>
      <c r="D4896" s="10" t="s">
        <v>135</v>
      </c>
      <c r="E4896" s="11" t="str">
        <f t="array" ref="E4896">_xlfn.XLOOKUP(D4896,Insumos!B:B,Insumos!C:$C)</f>
        <v>KG</v>
      </c>
      <c r="F4896" s="14">
        <v>2.5000000000000001E-2</v>
      </c>
      <c r="G4896" s="92">
        <f t="array" ref="G4896">IF(B4896="insumo",_xlfn.XLOOKUP($D4896,Insumos!$B$1:$B$996,Insumos!$D$1:$D$996),"")</f>
        <v>15.65</v>
      </c>
      <c r="H4896" s="92">
        <v>0.39124999999999999</v>
      </c>
      <c r="I4896" s="13">
        <v>0</v>
      </c>
      <c r="J4896" s="13">
        <v>0</v>
      </c>
      <c r="K4896" s="13"/>
      <c r="L4896"/>
      <c r="M4896"/>
      <c r="N4896"/>
      <c r="O4896"/>
      <c r="P4896"/>
      <c r="Q4896"/>
      <c r="R4896"/>
      <c r="S4896"/>
      <c r="T4896"/>
      <c r="U4896"/>
      <c r="V4896"/>
      <c r="W4896"/>
      <c r="X4896"/>
      <c r="Y4896"/>
      <c r="Z4896"/>
      <c r="AA4896"/>
      <c r="AB4896"/>
      <c r="AC4896"/>
      <c r="AD4896"/>
      <c r="AE4896"/>
      <c r="AF4896"/>
      <c r="AG4896"/>
      <c r="AH4896"/>
      <c r="AI4896"/>
      <c r="AJ4896"/>
      <c r="AK4896"/>
      <c r="AL4896"/>
    </row>
    <row r="4897" spans="1:38" ht="15.75" customHeight="1" outlineLevel="2" x14ac:dyDescent="0.2">
      <c r="A4897" s="10">
        <v>7</v>
      </c>
      <c r="B4897" s="10" t="s">
        <v>71</v>
      </c>
      <c r="C4897" s="10" t="s">
        <v>1025</v>
      </c>
      <c r="D4897" s="10" t="s">
        <v>1023</v>
      </c>
      <c r="E4897" s="11" t="str">
        <f t="array" ref="E4897">_xlfn.XLOOKUP(D4897,Insumos!B:B,Insumos!C:$C)</f>
        <v>KG</v>
      </c>
      <c r="F4897" s="14">
        <v>4.8999999999999998E-3</v>
      </c>
      <c r="G4897" s="92">
        <f t="array" ref="G4897">IF(B4897="insumo",_xlfn.XLOOKUP($D4897,Insumos!$B$1:$B$996,Insumos!$D$1:$D$996),"")</f>
        <v>71.510000000000005</v>
      </c>
      <c r="H4897" s="92">
        <v>0.35039900000000002</v>
      </c>
      <c r="I4897" s="13">
        <v>0</v>
      </c>
      <c r="J4897" s="13">
        <v>0</v>
      </c>
      <c r="K4897" s="13"/>
      <c r="L4897"/>
      <c r="M4897"/>
      <c r="N4897"/>
      <c r="O4897"/>
      <c r="P4897"/>
      <c r="Q4897"/>
      <c r="R4897"/>
      <c r="S4897"/>
      <c r="T4897"/>
      <c r="U4897"/>
      <c r="V4897"/>
      <c r="W4897"/>
      <c r="X4897"/>
      <c r="Y4897"/>
      <c r="Z4897"/>
      <c r="AA4897"/>
      <c r="AB4897"/>
      <c r="AC4897"/>
      <c r="AD4897"/>
      <c r="AE4897"/>
      <c r="AF4897"/>
      <c r="AG4897"/>
      <c r="AH4897"/>
      <c r="AI4897"/>
      <c r="AJ4897"/>
      <c r="AK4897"/>
      <c r="AL4897"/>
    </row>
    <row r="4898" spans="1:38" ht="15.75" customHeight="1" outlineLevel="2" x14ac:dyDescent="0.2">
      <c r="A4898" s="10">
        <v>10</v>
      </c>
      <c r="B4898" s="10" t="s">
        <v>71</v>
      </c>
      <c r="C4898" s="10" t="s">
        <v>1025</v>
      </c>
      <c r="D4898" s="10" t="s">
        <v>852</v>
      </c>
      <c r="E4898" s="11" t="str">
        <f t="array" ref="E4898">_xlfn.XLOOKUP(D4898,Insumos!B:B,Insumos!C:$C)</f>
        <v>UN</v>
      </c>
      <c r="F4898" s="14">
        <v>0.161</v>
      </c>
      <c r="G4898" s="92">
        <f t="array" ref="G4898">IF(B4898="insumo",_xlfn.XLOOKUP($D4898,Insumos!$B$1:$B$996,Insumos!$D$1:$D$996),"")</f>
        <v>20.7</v>
      </c>
      <c r="H4898" s="92">
        <v>3.3327</v>
      </c>
      <c r="I4898" s="13">
        <v>0</v>
      </c>
      <c r="J4898" s="13">
        <v>0</v>
      </c>
      <c r="K4898" s="13"/>
      <c r="L4898"/>
      <c r="M4898"/>
      <c r="N4898"/>
      <c r="O4898"/>
      <c r="P4898"/>
      <c r="Q4898"/>
      <c r="R4898"/>
      <c r="S4898"/>
      <c r="T4898"/>
      <c r="U4898"/>
      <c r="V4898"/>
      <c r="W4898"/>
      <c r="X4898"/>
      <c r="Y4898"/>
      <c r="Z4898"/>
      <c r="AA4898"/>
      <c r="AB4898"/>
      <c r="AC4898"/>
      <c r="AD4898"/>
      <c r="AE4898"/>
      <c r="AF4898"/>
      <c r="AG4898"/>
      <c r="AH4898"/>
      <c r="AI4898"/>
      <c r="AJ4898"/>
      <c r="AK4898"/>
      <c r="AL4898"/>
    </row>
    <row r="4899" spans="1:38" ht="15.75" customHeight="1" outlineLevel="2" x14ac:dyDescent="0.2">
      <c r="A4899" s="10">
        <v>7</v>
      </c>
      <c r="B4899" s="10" t="s">
        <v>71</v>
      </c>
      <c r="C4899" s="10" t="s">
        <v>1025</v>
      </c>
      <c r="D4899" s="10" t="s">
        <v>1024</v>
      </c>
      <c r="E4899" s="11" t="str">
        <f t="array" ref="E4899">_xlfn.XLOOKUP(D4899,Insumos!B:B,Insumos!C:$C)</f>
        <v>KG</v>
      </c>
      <c r="F4899" s="14">
        <v>0.18</v>
      </c>
      <c r="G4899" s="92">
        <f t="array" ref="G4899">IF(B4899="insumo",_xlfn.XLOOKUP($D4899,Insumos!$B$1:$B$996,Insumos!$D$1:$D$996),"")</f>
        <v>163.07</v>
      </c>
      <c r="H4899" s="92">
        <v>29.352599999999999</v>
      </c>
      <c r="I4899" s="13">
        <v>0</v>
      </c>
      <c r="J4899" s="13">
        <v>0</v>
      </c>
      <c r="K4899" s="13"/>
      <c r="L4899"/>
      <c r="M4899"/>
      <c r="N4899"/>
      <c r="O4899"/>
      <c r="P4899"/>
      <c r="Q4899"/>
      <c r="R4899"/>
      <c r="S4899"/>
      <c r="T4899"/>
      <c r="U4899"/>
      <c r="V4899"/>
      <c r="W4899"/>
      <c r="X4899"/>
      <c r="Y4899"/>
      <c r="Z4899"/>
      <c r="AA4899"/>
      <c r="AB4899"/>
      <c r="AC4899"/>
      <c r="AD4899"/>
      <c r="AE4899"/>
      <c r="AF4899"/>
      <c r="AG4899"/>
      <c r="AH4899"/>
      <c r="AI4899"/>
      <c r="AJ4899"/>
      <c r="AK4899"/>
      <c r="AL4899"/>
    </row>
    <row r="4900" spans="1:38" ht="15.75" customHeight="1" outlineLevel="1" x14ac:dyDescent="0.2">
      <c r="A4900" s="1067">
        <v>1</v>
      </c>
      <c r="B4900" s="1067" t="s">
        <v>68</v>
      </c>
      <c r="C4900" s="1067" t="s">
        <v>1027</v>
      </c>
      <c r="D4900" s="1067" t="s">
        <v>1027</v>
      </c>
      <c r="E4900" s="1068" t="s">
        <v>113</v>
      </c>
      <c r="F4900" s="1067"/>
      <c r="G4900" s="1069" t="str">
        <f t="array" ref="G4900">IF(B4900="insumo",_xlfn.XLOOKUP($D4900,Insumos!$B$1:$B$996,Insumos!$D$1:$D$996),"")</f>
        <v/>
      </c>
      <c r="H4900" s="1069">
        <v>71.216448999999997</v>
      </c>
      <c r="I4900" s="1070">
        <v>0</v>
      </c>
      <c r="J4900" s="1070">
        <v>0</v>
      </c>
      <c r="K4900" s="1070"/>
      <c r="L4900"/>
      <c r="M4900"/>
      <c r="N4900"/>
      <c r="O4900"/>
      <c r="P4900"/>
      <c r="Q4900"/>
      <c r="R4900"/>
      <c r="S4900"/>
      <c r="T4900"/>
      <c r="U4900"/>
      <c r="V4900"/>
      <c r="W4900"/>
      <c r="X4900"/>
      <c r="Y4900"/>
      <c r="Z4900"/>
      <c r="AA4900"/>
      <c r="AB4900"/>
      <c r="AC4900"/>
      <c r="AD4900"/>
      <c r="AE4900"/>
      <c r="AF4900"/>
      <c r="AG4900"/>
      <c r="AH4900"/>
      <c r="AI4900"/>
      <c r="AJ4900"/>
      <c r="AK4900"/>
      <c r="AL4900"/>
    </row>
    <row r="4901" spans="1:38" ht="15.75" customHeight="1" outlineLevel="2" x14ac:dyDescent="0.2">
      <c r="A4901" s="10">
        <v>1</v>
      </c>
      <c r="B4901" s="10" t="s">
        <v>71</v>
      </c>
      <c r="C4901" s="10" t="s">
        <v>1027</v>
      </c>
      <c r="D4901" s="10" t="s">
        <v>1028</v>
      </c>
      <c r="E4901" s="11" t="str">
        <f t="array" ref="E4901">_xlfn.XLOOKUP(D4901,Insumos!B:B,Insumos!C:$C)</f>
        <v>M</v>
      </c>
      <c r="F4901" s="14">
        <v>1.05</v>
      </c>
      <c r="G4901" s="92">
        <f t="array" ref="G4901">IF(B4901="insumo",_xlfn.XLOOKUP($D4901,Insumos!$B$1:$B$996,Insumos!$D$1:$D$996),"")</f>
        <v>35.99</v>
      </c>
      <c r="H4901" s="92">
        <v>37.789499999999997</v>
      </c>
      <c r="I4901" s="13">
        <v>0</v>
      </c>
      <c r="J4901" s="13">
        <v>0</v>
      </c>
      <c r="K4901" s="13"/>
      <c r="L4901"/>
      <c r="M4901"/>
      <c r="N4901"/>
      <c r="O4901"/>
      <c r="P4901"/>
      <c r="Q4901"/>
      <c r="R4901"/>
      <c r="S4901"/>
      <c r="T4901"/>
      <c r="U4901"/>
      <c r="V4901"/>
      <c r="W4901"/>
      <c r="X4901"/>
      <c r="Y4901"/>
      <c r="Z4901"/>
      <c r="AA4901"/>
      <c r="AB4901"/>
      <c r="AC4901"/>
      <c r="AD4901"/>
      <c r="AE4901"/>
      <c r="AF4901"/>
      <c r="AG4901"/>
      <c r="AH4901"/>
      <c r="AI4901"/>
      <c r="AJ4901"/>
      <c r="AK4901"/>
      <c r="AL4901"/>
    </row>
    <row r="4902" spans="1:38" ht="15.75" customHeight="1" outlineLevel="2" x14ac:dyDescent="0.2">
      <c r="A4902" s="10">
        <v>6</v>
      </c>
      <c r="B4902" s="10" t="s">
        <v>71</v>
      </c>
      <c r="C4902" s="10" t="s">
        <v>1027</v>
      </c>
      <c r="D4902" s="10" t="s">
        <v>135</v>
      </c>
      <c r="E4902" s="11" t="str">
        <f t="array" ref="E4902">_xlfn.XLOOKUP(D4902,Insumos!B:B,Insumos!C:$C)</f>
        <v>KG</v>
      </c>
      <c r="F4902" s="14">
        <v>2.5000000000000001E-2</v>
      </c>
      <c r="G4902" s="92">
        <f t="array" ref="G4902">IF(B4902="insumo",_xlfn.XLOOKUP($D4902,Insumos!$B$1:$B$996,Insumos!$D$1:$D$996),"")</f>
        <v>15.65</v>
      </c>
      <c r="H4902" s="92">
        <v>0.39124999999999999</v>
      </c>
      <c r="I4902" s="13">
        <v>0</v>
      </c>
      <c r="J4902" s="13">
        <v>0</v>
      </c>
      <c r="K4902" s="13"/>
      <c r="L4902"/>
      <c r="M4902"/>
      <c r="N4902"/>
      <c r="O4902"/>
      <c r="P4902"/>
      <c r="Q4902"/>
      <c r="R4902"/>
      <c r="S4902"/>
      <c r="T4902"/>
      <c r="U4902"/>
      <c r="V4902"/>
      <c r="W4902"/>
      <c r="X4902"/>
      <c r="Y4902"/>
      <c r="Z4902"/>
      <c r="AA4902"/>
      <c r="AB4902"/>
      <c r="AC4902"/>
      <c r="AD4902"/>
      <c r="AE4902"/>
      <c r="AF4902"/>
      <c r="AG4902"/>
      <c r="AH4902"/>
      <c r="AI4902"/>
      <c r="AJ4902"/>
      <c r="AK4902"/>
      <c r="AL4902"/>
    </row>
    <row r="4903" spans="1:38" ht="15.75" customHeight="1" outlineLevel="2" x14ac:dyDescent="0.2">
      <c r="A4903" s="10">
        <v>7</v>
      </c>
      <c r="B4903" s="10" t="s">
        <v>71</v>
      </c>
      <c r="C4903" s="10" t="s">
        <v>1027</v>
      </c>
      <c r="D4903" s="10" t="s">
        <v>1023</v>
      </c>
      <c r="E4903" s="11" t="str">
        <f t="array" ref="E4903">_xlfn.XLOOKUP(D4903,Insumos!B:B,Insumos!C:$C)</f>
        <v>KG</v>
      </c>
      <c r="F4903" s="14">
        <v>4.8999999999999998E-3</v>
      </c>
      <c r="G4903" s="92">
        <f t="array" ref="G4903">IF(B4903="insumo",_xlfn.XLOOKUP($D4903,Insumos!$B$1:$B$996,Insumos!$D$1:$D$996),"")</f>
        <v>71.510000000000005</v>
      </c>
      <c r="H4903" s="92">
        <v>0.35039900000000002</v>
      </c>
      <c r="I4903" s="13">
        <v>0</v>
      </c>
      <c r="J4903" s="13">
        <v>0</v>
      </c>
      <c r="K4903" s="13"/>
      <c r="L4903"/>
      <c r="M4903"/>
      <c r="N4903"/>
      <c r="O4903"/>
      <c r="P4903"/>
      <c r="Q4903"/>
      <c r="R4903"/>
      <c r="S4903"/>
      <c r="T4903"/>
      <c r="U4903"/>
      <c r="V4903"/>
      <c r="W4903"/>
      <c r="X4903"/>
      <c r="Y4903"/>
      <c r="Z4903"/>
      <c r="AA4903"/>
      <c r="AB4903"/>
      <c r="AC4903"/>
      <c r="AD4903"/>
      <c r="AE4903"/>
      <c r="AF4903"/>
      <c r="AG4903"/>
      <c r="AH4903"/>
      <c r="AI4903"/>
      <c r="AJ4903"/>
      <c r="AK4903"/>
      <c r="AL4903"/>
    </row>
    <row r="4904" spans="1:38" ht="15.75" customHeight="1" outlineLevel="2" x14ac:dyDescent="0.2">
      <c r="A4904" s="10">
        <v>10</v>
      </c>
      <c r="B4904" s="10" t="s">
        <v>71</v>
      </c>
      <c r="C4904" s="10" t="s">
        <v>1027</v>
      </c>
      <c r="D4904" s="10" t="s">
        <v>852</v>
      </c>
      <c r="E4904" s="11" t="str">
        <f t="array" ref="E4904">_xlfn.XLOOKUP(D4904,Insumos!B:B,Insumos!C:$C)</f>
        <v>UN</v>
      </c>
      <c r="F4904" s="14">
        <v>0.161</v>
      </c>
      <c r="G4904" s="92">
        <f t="array" ref="G4904">IF(B4904="insumo",_xlfn.XLOOKUP($D4904,Insumos!$B$1:$B$996,Insumos!$D$1:$D$996),"")</f>
        <v>20.7</v>
      </c>
      <c r="H4904" s="92">
        <v>3.3327</v>
      </c>
      <c r="I4904" s="13">
        <v>0</v>
      </c>
      <c r="J4904" s="13">
        <v>0</v>
      </c>
      <c r="K4904" s="13"/>
      <c r="L4904"/>
      <c r="M4904"/>
      <c r="N4904"/>
      <c r="O4904"/>
      <c r="P4904"/>
      <c r="Q4904"/>
      <c r="R4904"/>
      <c r="S4904"/>
      <c r="T4904"/>
      <c r="U4904"/>
      <c r="V4904"/>
      <c r="W4904"/>
      <c r="X4904"/>
      <c r="Y4904"/>
      <c r="Z4904"/>
      <c r="AA4904"/>
      <c r="AB4904"/>
      <c r="AC4904"/>
      <c r="AD4904"/>
      <c r="AE4904"/>
      <c r="AF4904"/>
      <c r="AG4904"/>
      <c r="AH4904"/>
      <c r="AI4904"/>
      <c r="AJ4904"/>
      <c r="AK4904"/>
      <c r="AL4904"/>
    </row>
    <row r="4905" spans="1:38" ht="15.75" customHeight="1" outlineLevel="2" x14ac:dyDescent="0.2">
      <c r="A4905" s="10">
        <v>7</v>
      </c>
      <c r="B4905" s="10" t="s">
        <v>71</v>
      </c>
      <c r="C4905" s="10" t="s">
        <v>1027</v>
      </c>
      <c r="D4905" s="10" t="s">
        <v>1024</v>
      </c>
      <c r="E4905" s="11" t="str">
        <f t="array" ref="E4905">_xlfn.XLOOKUP(D4905,Insumos!B:B,Insumos!C:$C)</f>
        <v>KG</v>
      </c>
      <c r="F4905" s="14">
        <v>0.18</v>
      </c>
      <c r="G4905" s="92">
        <f t="array" ref="G4905">IF(B4905="insumo",_xlfn.XLOOKUP($D4905,Insumos!$B$1:$B$996,Insumos!$D$1:$D$996),"")</f>
        <v>163.07</v>
      </c>
      <c r="H4905" s="92">
        <v>29.352599999999999</v>
      </c>
      <c r="I4905" s="13">
        <v>0</v>
      </c>
      <c r="J4905" s="13">
        <v>0</v>
      </c>
      <c r="K4905" s="13"/>
      <c r="L4905"/>
      <c r="M4905"/>
      <c r="N4905"/>
      <c r="O4905"/>
      <c r="P4905"/>
      <c r="Q4905"/>
      <c r="R4905"/>
      <c r="S4905"/>
      <c r="T4905"/>
      <c r="U4905"/>
      <c r="V4905"/>
      <c r="W4905"/>
      <c r="X4905"/>
      <c r="Y4905"/>
      <c r="Z4905"/>
      <c r="AA4905"/>
      <c r="AB4905"/>
      <c r="AC4905"/>
      <c r="AD4905"/>
      <c r="AE4905"/>
      <c r="AF4905"/>
      <c r="AG4905"/>
      <c r="AH4905"/>
      <c r="AI4905"/>
      <c r="AJ4905"/>
      <c r="AK4905"/>
      <c r="AL4905"/>
    </row>
    <row r="4906" spans="1:38" ht="15.75" customHeight="1" outlineLevel="1" x14ac:dyDescent="0.2">
      <c r="A4906" s="1067">
        <v>1</v>
      </c>
      <c r="B4906" s="1067" t="s">
        <v>68</v>
      </c>
      <c r="C4906" s="1067" t="s">
        <v>1029</v>
      </c>
      <c r="D4906" s="1067" t="s">
        <v>1029</v>
      </c>
      <c r="E4906" s="1068" t="s">
        <v>113</v>
      </c>
      <c r="F4906" s="1067"/>
      <c r="G4906" s="1069" t="str">
        <f t="array" ref="G4906">IF(B4906="insumo",_xlfn.XLOOKUP($D4906,Insumos!$B$1:$B$996,Insumos!$D$1:$D$996),"")</f>
        <v/>
      </c>
      <c r="H4906" s="1069">
        <v>82.426948999999993</v>
      </c>
      <c r="I4906" s="1070">
        <v>0</v>
      </c>
      <c r="J4906" s="1070">
        <v>0</v>
      </c>
      <c r="K4906" s="1070"/>
      <c r="L4906"/>
      <c r="M4906"/>
      <c r="N4906"/>
      <c r="O4906"/>
      <c r="P4906"/>
      <c r="Q4906"/>
      <c r="R4906"/>
      <c r="S4906"/>
      <c r="T4906"/>
      <c r="U4906"/>
      <c r="V4906"/>
      <c r="W4906"/>
      <c r="X4906"/>
      <c r="Y4906"/>
      <c r="Z4906"/>
      <c r="AA4906"/>
      <c r="AB4906"/>
      <c r="AC4906"/>
      <c r="AD4906"/>
      <c r="AE4906"/>
      <c r="AF4906"/>
      <c r="AG4906"/>
      <c r="AH4906"/>
      <c r="AI4906"/>
      <c r="AJ4906"/>
      <c r="AK4906"/>
      <c r="AL4906"/>
    </row>
    <row r="4907" spans="1:38" ht="15.75" customHeight="1" outlineLevel="2" x14ac:dyDescent="0.2">
      <c r="A4907" s="10">
        <v>1</v>
      </c>
      <c r="B4907" s="10" t="s">
        <v>71</v>
      </c>
      <c r="C4907" s="10" t="s">
        <v>1029</v>
      </c>
      <c r="D4907" s="10" t="s">
        <v>1030</v>
      </c>
      <c r="E4907" s="11" t="str">
        <f t="array" ref="E4907">_xlfn.XLOOKUP(D4907,Insumos!B:B,Insumos!C:$C)</f>
        <v>M</v>
      </c>
      <c r="F4907" s="14">
        <v>1.05</v>
      </c>
      <c r="G4907" s="92">
        <f t="array" ref="G4907">IF(B4907="insumo",_xlfn.XLOOKUP($D4907,Insumos!$B$1:$B$996,Insumos!$D$1:$D$996),"")</f>
        <v>46.666666666666664</v>
      </c>
      <c r="H4907" s="92">
        <v>49</v>
      </c>
      <c r="I4907" s="13">
        <v>0</v>
      </c>
      <c r="J4907" s="13">
        <v>0</v>
      </c>
      <c r="K4907" s="13"/>
      <c r="L4907"/>
      <c r="M4907"/>
      <c r="N4907"/>
      <c r="O4907"/>
      <c r="P4907"/>
      <c r="Q4907"/>
      <c r="R4907"/>
      <c r="S4907"/>
      <c r="T4907"/>
      <c r="U4907"/>
      <c r="V4907"/>
      <c r="W4907"/>
      <c r="X4907"/>
      <c r="Y4907"/>
      <c r="Z4907"/>
      <c r="AA4907"/>
      <c r="AB4907"/>
      <c r="AC4907"/>
      <c r="AD4907"/>
      <c r="AE4907"/>
      <c r="AF4907"/>
      <c r="AG4907"/>
      <c r="AH4907"/>
      <c r="AI4907"/>
      <c r="AJ4907"/>
      <c r="AK4907"/>
      <c r="AL4907"/>
    </row>
    <row r="4908" spans="1:38" ht="15.75" customHeight="1" outlineLevel="2" x14ac:dyDescent="0.2">
      <c r="A4908" s="10">
        <v>6</v>
      </c>
      <c r="B4908" s="10" t="s">
        <v>71</v>
      </c>
      <c r="C4908" s="10" t="s">
        <v>1029</v>
      </c>
      <c r="D4908" s="10" t="s">
        <v>135</v>
      </c>
      <c r="E4908" s="11" t="str">
        <f t="array" ref="E4908">_xlfn.XLOOKUP(D4908,Insumos!B:B,Insumos!C:$C)</f>
        <v>KG</v>
      </c>
      <c r="F4908" s="14">
        <v>2.5000000000000001E-2</v>
      </c>
      <c r="G4908" s="92">
        <f t="array" ref="G4908">IF(B4908="insumo",_xlfn.XLOOKUP($D4908,Insumos!$B$1:$B$996,Insumos!$D$1:$D$996),"")</f>
        <v>15.65</v>
      </c>
      <c r="H4908" s="92">
        <v>0.39124999999999999</v>
      </c>
      <c r="I4908" s="13">
        <v>0</v>
      </c>
      <c r="J4908" s="13">
        <v>0</v>
      </c>
      <c r="K4908" s="13"/>
      <c r="L4908"/>
      <c r="M4908"/>
      <c r="N4908"/>
      <c r="O4908"/>
      <c r="P4908"/>
      <c r="Q4908"/>
      <c r="R4908"/>
      <c r="S4908"/>
      <c r="T4908"/>
      <c r="U4908"/>
      <c r="V4908"/>
      <c r="W4908"/>
      <c r="X4908"/>
      <c r="Y4908"/>
      <c r="Z4908"/>
      <c r="AA4908"/>
      <c r="AB4908"/>
      <c r="AC4908"/>
      <c r="AD4908"/>
      <c r="AE4908"/>
      <c r="AF4908"/>
      <c r="AG4908"/>
      <c r="AH4908"/>
      <c r="AI4908"/>
      <c r="AJ4908"/>
      <c r="AK4908"/>
      <c r="AL4908"/>
    </row>
    <row r="4909" spans="1:38" ht="15.75" customHeight="1" outlineLevel="2" x14ac:dyDescent="0.2">
      <c r="A4909" s="10">
        <v>7</v>
      </c>
      <c r="B4909" s="10" t="s">
        <v>71</v>
      </c>
      <c r="C4909" s="10" t="s">
        <v>1029</v>
      </c>
      <c r="D4909" s="10" t="s">
        <v>1023</v>
      </c>
      <c r="E4909" s="11" t="str">
        <f t="array" ref="E4909">_xlfn.XLOOKUP(D4909,Insumos!B:B,Insumos!C:$C)</f>
        <v>KG</v>
      </c>
      <c r="F4909" s="14">
        <v>4.8999999999999998E-3</v>
      </c>
      <c r="G4909" s="92">
        <f t="array" ref="G4909">IF(B4909="insumo",_xlfn.XLOOKUP($D4909,Insumos!$B$1:$B$996,Insumos!$D$1:$D$996),"")</f>
        <v>71.510000000000005</v>
      </c>
      <c r="H4909" s="92">
        <v>0.35039900000000002</v>
      </c>
      <c r="I4909" s="13">
        <v>0</v>
      </c>
      <c r="J4909" s="13">
        <v>0</v>
      </c>
      <c r="K4909" s="13"/>
      <c r="L4909"/>
      <c r="M4909"/>
      <c r="N4909"/>
      <c r="O4909"/>
      <c r="P4909"/>
      <c r="Q4909"/>
      <c r="R4909"/>
      <c r="S4909"/>
      <c r="T4909"/>
      <c r="U4909"/>
      <c r="V4909"/>
      <c r="W4909"/>
      <c r="X4909"/>
      <c r="Y4909"/>
      <c r="Z4909"/>
      <c r="AA4909"/>
      <c r="AB4909"/>
      <c r="AC4909"/>
      <c r="AD4909"/>
      <c r="AE4909"/>
      <c r="AF4909"/>
      <c r="AG4909"/>
      <c r="AH4909"/>
      <c r="AI4909"/>
      <c r="AJ4909"/>
      <c r="AK4909"/>
      <c r="AL4909"/>
    </row>
    <row r="4910" spans="1:38" ht="15.75" customHeight="1" outlineLevel="2" x14ac:dyDescent="0.2">
      <c r="A4910" s="10">
        <v>10</v>
      </c>
      <c r="B4910" s="10" t="s">
        <v>71</v>
      </c>
      <c r="C4910" s="10" t="s">
        <v>1029</v>
      </c>
      <c r="D4910" s="10" t="s">
        <v>852</v>
      </c>
      <c r="E4910" s="11" t="str">
        <f t="array" ref="E4910">_xlfn.XLOOKUP(D4910,Insumos!B:B,Insumos!C:$C)</f>
        <v>UN</v>
      </c>
      <c r="F4910" s="14">
        <v>0.161</v>
      </c>
      <c r="G4910" s="92">
        <f t="array" ref="G4910">IF(B4910="insumo",_xlfn.XLOOKUP($D4910,Insumos!$B$1:$B$996,Insumos!$D$1:$D$996),"")</f>
        <v>20.7</v>
      </c>
      <c r="H4910" s="92">
        <v>3.3327</v>
      </c>
      <c r="I4910" s="13">
        <v>0</v>
      </c>
      <c r="J4910" s="13">
        <v>0</v>
      </c>
      <c r="K4910" s="13"/>
      <c r="L4910"/>
      <c r="M4910"/>
      <c r="N4910"/>
      <c r="O4910"/>
      <c r="P4910"/>
      <c r="Q4910"/>
      <c r="R4910"/>
      <c r="S4910"/>
      <c r="T4910"/>
      <c r="U4910"/>
      <c r="V4910"/>
      <c r="W4910"/>
      <c r="X4910"/>
      <c r="Y4910"/>
      <c r="Z4910"/>
      <c r="AA4910"/>
      <c r="AB4910"/>
      <c r="AC4910"/>
      <c r="AD4910"/>
      <c r="AE4910"/>
      <c r="AF4910"/>
      <c r="AG4910"/>
      <c r="AH4910"/>
      <c r="AI4910"/>
      <c r="AJ4910"/>
      <c r="AK4910"/>
      <c r="AL4910"/>
    </row>
    <row r="4911" spans="1:38" ht="15.75" customHeight="1" outlineLevel="2" x14ac:dyDescent="0.2">
      <c r="A4911" s="10">
        <v>7</v>
      </c>
      <c r="B4911" s="10" t="s">
        <v>71</v>
      </c>
      <c r="C4911" s="10" t="s">
        <v>1029</v>
      </c>
      <c r="D4911" s="10" t="s">
        <v>1024</v>
      </c>
      <c r="E4911" s="11" t="str">
        <f t="array" ref="E4911">_xlfn.XLOOKUP(D4911,Insumos!B:B,Insumos!C:$C)</f>
        <v>KG</v>
      </c>
      <c r="F4911" s="14">
        <v>0.18</v>
      </c>
      <c r="G4911" s="92">
        <f t="array" ref="G4911">IF(B4911="insumo",_xlfn.XLOOKUP($D4911,Insumos!$B$1:$B$996,Insumos!$D$1:$D$996),"")</f>
        <v>163.07</v>
      </c>
      <c r="H4911" s="92">
        <v>29.352599999999999</v>
      </c>
      <c r="I4911" s="13">
        <v>0</v>
      </c>
      <c r="J4911" s="13">
        <v>0</v>
      </c>
      <c r="K4911" s="13"/>
      <c r="L4911"/>
      <c r="M4911"/>
      <c r="N4911"/>
      <c r="O4911"/>
      <c r="P4911"/>
      <c r="Q4911"/>
      <c r="R4911"/>
      <c r="S4911"/>
      <c r="T4911"/>
      <c r="U4911"/>
      <c r="V4911"/>
      <c r="W4911"/>
      <c r="X4911"/>
      <c r="Y4911"/>
      <c r="Z4911"/>
      <c r="AA4911"/>
      <c r="AB4911"/>
      <c r="AC4911"/>
      <c r="AD4911"/>
      <c r="AE4911"/>
      <c r="AF4911"/>
      <c r="AG4911"/>
      <c r="AH4911"/>
      <c r="AI4911"/>
      <c r="AJ4911"/>
      <c r="AK4911"/>
      <c r="AL4911"/>
    </row>
    <row r="4912" spans="1:38" ht="15.75" customHeight="1" outlineLevel="1" x14ac:dyDescent="0.2">
      <c r="A4912" s="1067">
        <v>1</v>
      </c>
      <c r="B4912" s="1067" t="s">
        <v>68</v>
      </c>
      <c r="C4912" s="1067" t="s">
        <v>1031</v>
      </c>
      <c r="D4912" s="1067" t="s">
        <v>1031</v>
      </c>
      <c r="E4912" s="1068" t="s">
        <v>113</v>
      </c>
      <c r="F4912" s="1067"/>
      <c r="G4912" s="1069" t="str">
        <f t="array" ref="G4912">IF(B4912="insumo",_xlfn.XLOOKUP($D4912,Insumos!$B$1:$B$996,Insumos!$D$1:$D$996),"")</f>
        <v/>
      </c>
      <c r="H4912" s="1069">
        <v>96.391948999999997</v>
      </c>
      <c r="I4912" s="1070">
        <v>0</v>
      </c>
      <c r="J4912" s="1070">
        <v>0</v>
      </c>
      <c r="K4912" s="1070"/>
      <c r="L4912"/>
      <c r="M4912"/>
      <c r="N4912"/>
      <c r="O4912"/>
      <c r="P4912"/>
      <c r="Q4912"/>
      <c r="R4912"/>
      <c r="S4912"/>
      <c r="T4912"/>
      <c r="U4912"/>
      <c r="V4912"/>
      <c r="W4912"/>
      <c r="X4912"/>
      <c r="Y4912"/>
      <c r="Z4912"/>
      <c r="AA4912"/>
      <c r="AB4912"/>
      <c r="AC4912"/>
      <c r="AD4912"/>
      <c r="AE4912"/>
      <c r="AF4912"/>
      <c r="AG4912"/>
      <c r="AH4912"/>
      <c r="AI4912"/>
      <c r="AJ4912"/>
      <c r="AK4912"/>
      <c r="AL4912"/>
    </row>
    <row r="4913" spans="1:38" ht="15.75" customHeight="1" outlineLevel="2" x14ac:dyDescent="0.2">
      <c r="A4913" s="10">
        <v>1</v>
      </c>
      <c r="B4913" s="10" t="s">
        <v>71</v>
      </c>
      <c r="C4913" s="10" t="s">
        <v>1031</v>
      </c>
      <c r="D4913" s="10" t="s">
        <v>1031</v>
      </c>
      <c r="E4913" s="11" t="str">
        <f t="array" ref="E4913">_xlfn.XLOOKUP(D4913,Insumos!B:B,Insumos!C:$C)</f>
        <v>M</v>
      </c>
      <c r="F4913" s="14">
        <v>1.05</v>
      </c>
      <c r="G4913" s="92">
        <f t="array" ref="G4913">IF(B4913="insumo",_xlfn.XLOOKUP($D4913,Insumos!$B$1:$B$996,Insumos!$D$1:$D$996),"")</f>
        <v>59.966666666666669</v>
      </c>
      <c r="H4913" s="92">
        <v>62.965000000000003</v>
      </c>
      <c r="I4913" s="13">
        <v>0</v>
      </c>
      <c r="J4913" s="13">
        <v>0</v>
      </c>
      <c r="K4913" s="13"/>
      <c r="L4913"/>
      <c r="M4913"/>
      <c r="N4913"/>
      <c r="O4913"/>
      <c r="P4913"/>
      <c r="Q4913"/>
      <c r="R4913"/>
      <c r="S4913"/>
      <c r="T4913"/>
      <c r="U4913"/>
      <c r="V4913"/>
      <c r="W4913"/>
      <c r="X4913"/>
      <c r="Y4913"/>
      <c r="Z4913"/>
      <c r="AA4913"/>
      <c r="AB4913"/>
      <c r="AC4913"/>
      <c r="AD4913"/>
      <c r="AE4913"/>
      <c r="AF4913"/>
      <c r="AG4913"/>
      <c r="AH4913"/>
      <c r="AI4913"/>
      <c r="AJ4913"/>
      <c r="AK4913"/>
      <c r="AL4913"/>
    </row>
    <row r="4914" spans="1:38" ht="15.75" customHeight="1" outlineLevel="2" x14ac:dyDescent="0.2">
      <c r="A4914" s="10">
        <v>6</v>
      </c>
      <c r="B4914" s="10" t="s">
        <v>71</v>
      </c>
      <c r="C4914" s="10" t="s">
        <v>1031</v>
      </c>
      <c r="D4914" s="10" t="s">
        <v>135</v>
      </c>
      <c r="E4914" s="11" t="str">
        <f t="array" ref="E4914">_xlfn.XLOOKUP(D4914,Insumos!B:B,Insumos!C:$C)</f>
        <v>KG</v>
      </c>
      <c r="F4914" s="14">
        <v>2.5000000000000001E-2</v>
      </c>
      <c r="G4914" s="92">
        <f t="array" ref="G4914">IF(B4914="insumo",_xlfn.XLOOKUP($D4914,Insumos!$B$1:$B$996,Insumos!$D$1:$D$996),"")</f>
        <v>15.65</v>
      </c>
      <c r="H4914" s="92">
        <v>0.39124999999999999</v>
      </c>
      <c r="I4914" s="13">
        <v>0</v>
      </c>
      <c r="J4914" s="13">
        <v>0</v>
      </c>
      <c r="K4914" s="13"/>
      <c r="L4914"/>
      <c r="M4914"/>
      <c r="N4914"/>
      <c r="O4914"/>
      <c r="P4914"/>
      <c r="Q4914"/>
      <c r="R4914"/>
      <c r="S4914"/>
      <c r="T4914"/>
      <c r="U4914"/>
      <c r="V4914"/>
      <c r="W4914"/>
      <c r="X4914"/>
      <c r="Y4914"/>
      <c r="Z4914"/>
      <c r="AA4914"/>
      <c r="AB4914"/>
      <c r="AC4914"/>
      <c r="AD4914"/>
      <c r="AE4914"/>
      <c r="AF4914"/>
      <c r="AG4914"/>
      <c r="AH4914"/>
      <c r="AI4914"/>
      <c r="AJ4914"/>
      <c r="AK4914"/>
      <c r="AL4914"/>
    </row>
    <row r="4915" spans="1:38" ht="15.75" customHeight="1" outlineLevel="2" x14ac:dyDescent="0.2">
      <c r="A4915" s="10">
        <v>7</v>
      </c>
      <c r="B4915" s="10" t="s">
        <v>71</v>
      </c>
      <c r="C4915" s="10" t="s">
        <v>1031</v>
      </c>
      <c r="D4915" s="10" t="s">
        <v>1023</v>
      </c>
      <c r="E4915" s="11" t="str">
        <f t="array" ref="E4915">_xlfn.XLOOKUP(D4915,Insumos!B:B,Insumos!C:$C)</f>
        <v>KG</v>
      </c>
      <c r="F4915" s="14">
        <v>4.8999999999999998E-3</v>
      </c>
      <c r="G4915" s="92">
        <f t="array" ref="G4915">IF(B4915="insumo",_xlfn.XLOOKUP($D4915,Insumos!$B$1:$B$996,Insumos!$D$1:$D$996),"")</f>
        <v>71.510000000000005</v>
      </c>
      <c r="H4915" s="92">
        <v>0.35039900000000002</v>
      </c>
      <c r="I4915" s="13">
        <v>0</v>
      </c>
      <c r="J4915" s="13">
        <v>0</v>
      </c>
      <c r="K4915" s="13"/>
      <c r="L4915"/>
      <c r="M4915"/>
      <c r="N4915"/>
      <c r="O4915"/>
      <c r="P4915"/>
      <c r="Q4915"/>
      <c r="R4915"/>
      <c r="S4915"/>
      <c r="T4915"/>
      <c r="U4915"/>
      <c r="V4915"/>
      <c r="W4915"/>
      <c r="X4915"/>
      <c r="Y4915"/>
      <c r="Z4915"/>
      <c r="AA4915"/>
      <c r="AB4915"/>
      <c r="AC4915"/>
      <c r="AD4915"/>
      <c r="AE4915"/>
      <c r="AF4915"/>
      <c r="AG4915"/>
      <c r="AH4915"/>
      <c r="AI4915"/>
      <c r="AJ4915"/>
      <c r="AK4915"/>
      <c r="AL4915"/>
    </row>
    <row r="4916" spans="1:38" ht="15.75" customHeight="1" outlineLevel="2" x14ac:dyDescent="0.2">
      <c r="A4916" s="10">
        <v>10</v>
      </c>
      <c r="B4916" s="10" t="s">
        <v>71</v>
      </c>
      <c r="C4916" s="10" t="s">
        <v>1031</v>
      </c>
      <c r="D4916" s="10" t="s">
        <v>852</v>
      </c>
      <c r="E4916" s="11" t="str">
        <f t="array" ref="E4916">_xlfn.XLOOKUP(D4916,Insumos!B:B,Insumos!C:$C)</f>
        <v>UN</v>
      </c>
      <c r="F4916" s="14">
        <v>0.161</v>
      </c>
      <c r="G4916" s="92">
        <f t="array" ref="G4916">IF(B4916="insumo",_xlfn.XLOOKUP($D4916,Insumos!$B$1:$B$996,Insumos!$D$1:$D$996),"")</f>
        <v>20.7</v>
      </c>
      <c r="H4916" s="92">
        <v>3.3327</v>
      </c>
      <c r="I4916" s="13">
        <v>0</v>
      </c>
      <c r="J4916" s="13">
        <v>0</v>
      </c>
      <c r="K4916" s="13"/>
      <c r="L4916"/>
      <c r="M4916"/>
      <c r="N4916"/>
      <c r="O4916"/>
      <c r="P4916"/>
      <c r="Q4916"/>
      <c r="R4916"/>
      <c r="S4916"/>
      <c r="T4916"/>
      <c r="U4916"/>
      <c r="V4916"/>
      <c r="W4916"/>
      <c r="X4916"/>
      <c r="Y4916"/>
      <c r="Z4916"/>
      <c r="AA4916"/>
      <c r="AB4916"/>
      <c r="AC4916"/>
      <c r="AD4916"/>
      <c r="AE4916"/>
      <c r="AF4916"/>
      <c r="AG4916"/>
      <c r="AH4916"/>
      <c r="AI4916"/>
      <c r="AJ4916"/>
      <c r="AK4916"/>
      <c r="AL4916"/>
    </row>
    <row r="4917" spans="1:38" ht="15.75" customHeight="1" outlineLevel="2" x14ac:dyDescent="0.2">
      <c r="A4917" s="10">
        <v>7</v>
      </c>
      <c r="B4917" s="10" t="s">
        <v>71</v>
      </c>
      <c r="C4917" s="10" t="s">
        <v>1031</v>
      </c>
      <c r="D4917" s="10" t="s">
        <v>1024</v>
      </c>
      <c r="E4917" s="11" t="str">
        <f t="array" ref="E4917">_xlfn.XLOOKUP(D4917,Insumos!B:B,Insumos!C:$C)</f>
        <v>KG</v>
      </c>
      <c r="F4917" s="14">
        <v>0.18</v>
      </c>
      <c r="G4917" s="92">
        <f t="array" ref="G4917">IF(B4917="insumo",_xlfn.XLOOKUP($D4917,Insumos!$B$1:$B$996,Insumos!$D$1:$D$996),"")</f>
        <v>163.07</v>
      </c>
      <c r="H4917" s="92">
        <v>29.352599999999999</v>
      </c>
      <c r="I4917" s="13">
        <v>0</v>
      </c>
      <c r="J4917" s="13">
        <v>0</v>
      </c>
      <c r="K4917" s="13"/>
      <c r="L4917"/>
      <c r="M4917"/>
      <c r="N4917"/>
      <c r="O4917"/>
      <c r="P4917"/>
      <c r="Q4917"/>
      <c r="R4917"/>
      <c r="S4917"/>
      <c r="T4917"/>
      <c r="U4917"/>
      <c r="V4917"/>
      <c r="W4917"/>
      <c r="X4917"/>
      <c r="Y4917"/>
      <c r="Z4917"/>
      <c r="AA4917"/>
      <c r="AB4917"/>
      <c r="AC4917"/>
      <c r="AD4917"/>
      <c r="AE4917"/>
      <c r="AF4917"/>
      <c r="AG4917"/>
      <c r="AH4917"/>
      <c r="AI4917"/>
      <c r="AJ4917"/>
      <c r="AK4917"/>
      <c r="AL4917"/>
    </row>
    <row r="4918" spans="1:38" ht="12.75" outlineLevel="1" x14ac:dyDescent="0.2">
      <c r="A4918" s="1071">
        <v>1</v>
      </c>
      <c r="B4918" s="1071" t="s">
        <v>68</v>
      </c>
      <c r="C4918" s="1071" t="s">
        <v>2003</v>
      </c>
      <c r="D4918" s="1071" t="s">
        <v>2003</v>
      </c>
      <c r="E4918" s="1072" t="s">
        <v>113</v>
      </c>
      <c r="F4918" s="1071"/>
      <c r="G4918" s="1073" t="str">
        <f t="array" ref="G4918">IF(B4918="insumo",_xlfn.XLOOKUP($D4918,Insumos!$B$1:$B$996,Insumos!$D$1:$D$996),"")</f>
        <v/>
      </c>
      <c r="H4918" s="1073">
        <v>163.690248</v>
      </c>
      <c r="I4918" s="1074">
        <v>0</v>
      </c>
      <c r="J4918" s="1074">
        <v>0</v>
      </c>
      <c r="K4918" s="1074"/>
      <c r="L4918"/>
      <c r="M4918"/>
      <c r="N4918"/>
      <c r="O4918"/>
      <c r="P4918"/>
      <c r="Q4918"/>
      <c r="R4918"/>
      <c r="S4918"/>
      <c r="T4918"/>
      <c r="U4918"/>
      <c r="V4918"/>
      <c r="W4918"/>
      <c r="X4918"/>
      <c r="Y4918"/>
      <c r="Z4918"/>
      <c r="AA4918"/>
      <c r="AB4918"/>
      <c r="AC4918"/>
      <c r="AD4918"/>
      <c r="AE4918"/>
      <c r="AF4918"/>
      <c r="AG4918"/>
      <c r="AH4918"/>
      <c r="AI4918"/>
      <c r="AJ4918"/>
      <c r="AK4918"/>
      <c r="AL4918"/>
    </row>
    <row r="4919" spans="1:38" ht="12.75" outlineLevel="2" x14ac:dyDescent="0.2">
      <c r="A4919" s="82">
        <v>7</v>
      </c>
      <c r="B4919" s="82" t="s">
        <v>71</v>
      </c>
      <c r="C4919" s="82" t="s">
        <v>2003</v>
      </c>
      <c r="D4919" s="82" t="s">
        <v>1023</v>
      </c>
      <c r="E4919" s="11" t="str">
        <f t="array" ref="E4919">_xlfn.XLOOKUP(D4919,Insumos!B:B,Insumos!C:$C)</f>
        <v>KG</v>
      </c>
      <c r="F4919" s="86">
        <v>4.7999999999999996E-3</v>
      </c>
      <c r="G4919" s="92">
        <f t="array" ref="G4919">IF(B4919="insumo",_xlfn.XLOOKUP($D4919,Insumos!$B$1:$B$996,Insumos!$D$1:$D$996),"")</f>
        <v>71.510000000000005</v>
      </c>
      <c r="H4919" s="92">
        <v>0.343248</v>
      </c>
      <c r="I4919" s="84">
        <v>0</v>
      </c>
      <c r="J4919" s="84">
        <v>0</v>
      </c>
      <c r="K4919" s="84"/>
      <c r="L4919"/>
      <c r="M4919"/>
      <c r="N4919"/>
      <c r="O4919"/>
      <c r="P4919"/>
      <c r="Q4919"/>
      <c r="R4919"/>
      <c r="S4919"/>
      <c r="T4919"/>
      <c r="U4919"/>
      <c r="V4919"/>
      <c r="W4919"/>
      <c r="X4919"/>
      <c r="Y4919"/>
      <c r="Z4919"/>
      <c r="AA4919"/>
      <c r="AB4919"/>
      <c r="AC4919"/>
      <c r="AD4919"/>
      <c r="AE4919"/>
      <c r="AF4919"/>
      <c r="AG4919"/>
      <c r="AH4919"/>
      <c r="AI4919"/>
      <c r="AJ4919"/>
      <c r="AK4919"/>
      <c r="AL4919"/>
    </row>
    <row r="4920" spans="1:38" ht="12.75" outlineLevel="2" x14ac:dyDescent="0.2">
      <c r="A4920" s="82">
        <v>2</v>
      </c>
      <c r="B4920" s="82" t="s">
        <v>71</v>
      </c>
      <c r="C4920" s="82" t="s">
        <v>2003</v>
      </c>
      <c r="D4920" s="82" t="s">
        <v>1033</v>
      </c>
      <c r="E4920" s="11" t="str">
        <f t="array" ref="E4920">_xlfn.XLOOKUP(D4920,Insumos!B:B,Insumos!C:$C)</f>
        <v>M</v>
      </c>
      <c r="F4920" s="86">
        <v>4.2</v>
      </c>
      <c r="G4920" s="92">
        <f t="array" ref="G4920">IF(B4920="insumo",_xlfn.XLOOKUP($D4920,Insumos!$B$1:$B$996,Insumos!$D$1:$D$996),"")</f>
        <v>28</v>
      </c>
      <c r="H4920" s="92">
        <v>117.6</v>
      </c>
      <c r="I4920" s="84">
        <v>0</v>
      </c>
      <c r="J4920" s="84">
        <v>0</v>
      </c>
      <c r="K4920" s="84"/>
      <c r="L4920"/>
      <c r="M4920"/>
      <c r="N4920"/>
      <c r="O4920"/>
      <c r="P4920"/>
      <c r="Q4920"/>
      <c r="R4920"/>
      <c r="S4920"/>
      <c r="T4920"/>
      <c r="U4920"/>
      <c r="V4920"/>
      <c r="W4920"/>
      <c r="X4920"/>
      <c r="Y4920"/>
      <c r="Z4920"/>
      <c r="AA4920"/>
      <c r="AB4920"/>
      <c r="AC4920"/>
      <c r="AD4920"/>
      <c r="AE4920"/>
      <c r="AF4920"/>
      <c r="AG4920"/>
      <c r="AH4920"/>
      <c r="AI4920"/>
      <c r="AJ4920"/>
      <c r="AK4920"/>
      <c r="AL4920"/>
    </row>
    <row r="4921" spans="1:38" ht="12.75" outlineLevel="2" x14ac:dyDescent="0.2">
      <c r="A4921" s="82">
        <v>10</v>
      </c>
      <c r="B4921" s="82" t="s">
        <v>71</v>
      </c>
      <c r="C4921" s="82" t="s">
        <v>2003</v>
      </c>
      <c r="D4921" s="82" t="s">
        <v>852</v>
      </c>
      <c r="E4921" s="11" t="str">
        <f t="array" ref="E4921">_xlfn.XLOOKUP(D4921,Insumos!B:B,Insumos!C:$C)</f>
        <v>UN</v>
      </c>
      <c r="F4921" s="86">
        <v>0.79200000000000004</v>
      </c>
      <c r="G4921" s="92">
        <f t="array" ref="G4921">IF(B4921="insumo",_xlfn.XLOOKUP($D4921,Insumos!$B$1:$B$996,Insumos!$D$1:$D$996),"")</f>
        <v>20.7</v>
      </c>
      <c r="H4921" s="92">
        <v>16.394400000000001</v>
      </c>
      <c r="I4921" s="84">
        <v>0</v>
      </c>
      <c r="J4921" s="84">
        <v>0</v>
      </c>
      <c r="K4921" s="84"/>
      <c r="L4921"/>
      <c r="M4921"/>
      <c r="N4921"/>
      <c r="O4921"/>
      <c r="P4921"/>
      <c r="Q4921"/>
      <c r="R4921"/>
      <c r="S4921"/>
      <c r="T4921"/>
      <c r="U4921"/>
      <c r="V4921"/>
      <c r="W4921"/>
      <c r="X4921"/>
      <c r="Y4921"/>
      <c r="Z4921"/>
      <c r="AA4921"/>
      <c r="AB4921"/>
      <c r="AC4921"/>
      <c r="AD4921"/>
      <c r="AE4921"/>
      <c r="AF4921"/>
      <c r="AG4921"/>
      <c r="AH4921"/>
      <c r="AI4921"/>
      <c r="AJ4921"/>
      <c r="AK4921"/>
      <c r="AL4921"/>
    </row>
    <row r="4922" spans="1:38" ht="12.75" outlineLevel="2" x14ac:dyDescent="0.2">
      <c r="A4922" s="82">
        <v>7</v>
      </c>
      <c r="B4922" s="82" t="s">
        <v>71</v>
      </c>
      <c r="C4922" s="82" t="s">
        <v>2003</v>
      </c>
      <c r="D4922" s="82" t="s">
        <v>1024</v>
      </c>
      <c r="E4922" s="11" t="str">
        <f t="array" ref="E4922">_xlfn.XLOOKUP(D4922,Insumos!B:B,Insumos!C:$C)</f>
        <v>KG</v>
      </c>
      <c r="F4922" s="86">
        <v>0.18</v>
      </c>
      <c r="G4922" s="92">
        <f t="array" ref="G4922">IF(B4922="insumo",_xlfn.XLOOKUP($D4922,Insumos!$B$1:$B$996,Insumos!$D$1:$D$996),"")</f>
        <v>163.07</v>
      </c>
      <c r="H4922" s="92">
        <v>29.352599999999999</v>
      </c>
      <c r="I4922" s="84">
        <v>0</v>
      </c>
      <c r="J4922" s="84">
        <v>0</v>
      </c>
      <c r="K4922" s="84"/>
      <c r="L4922"/>
      <c r="M4922"/>
      <c r="N4922"/>
      <c r="O4922"/>
      <c r="P4922"/>
      <c r="Q4922"/>
      <c r="R4922"/>
      <c r="S4922"/>
      <c r="T4922"/>
      <c r="U4922"/>
      <c r="V4922"/>
      <c r="W4922"/>
      <c r="X4922"/>
      <c r="Y4922"/>
      <c r="Z4922"/>
      <c r="AA4922"/>
      <c r="AB4922"/>
      <c r="AC4922"/>
      <c r="AD4922"/>
      <c r="AE4922"/>
      <c r="AF4922"/>
      <c r="AG4922"/>
      <c r="AH4922"/>
      <c r="AI4922"/>
      <c r="AJ4922"/>
      <c r="AK4922"/>
      <c r="AL4922"/>
    </row>
    <row r="4923" spans="1:38" ht="15.75" customHeight="1" outlineLevel="1" x14ac:dyDescent="0.2">
      <c r="A4923" s="1067">
        <v>1</v>
      </c>
      <c r="B4923" s="1067" t="s">
        <v>68</v>
      </c>
      <c r="C4923" s="1067" t="s">
        <v>1032</v>
      </c>
      <c r="D4923" s="1067" t="s">
        <v>1032</v>
      </c>
      <c r="E4923" s="1068" t="s">
        <v>113</v>
      </c>
      <c r="F4923" s="1067"/>
      <c r="G4923" s="1069" t="str">
        <f t="array" ref="G4923">IF(B4923="insumo",_xlfn.XLOOKUP($D4923,Insumos!$B$1:$B$996,Insumos!$D$1:$D$996),"")</f>
        <v/>
      </c>
      <c r="H4923" s="1069">
        <v>40.922561999999999</v>
      </c>
      <c r="I4923" s="1070">
        <v>0</v>
      </c>
      <c r="J4923" s="1070">
        <v>0</v>
      </c>
      <c r="K4923" s="1070"/>
      <c r="L4923"/>
      <c r="M4923"/>
      <c r="N4923"/>
      <c r="O4923"/>
      <c r="P4923"/>
      <c r="Q4923"/>
      <c r="R4923"/>
      <c r="S4923"/>
      <c r="T4923"/>
      <c r="U4923"/>
      <c r="V4923"/>
      <c r="W4923"/>
      <c r="X4923"/>
      <c r="Y4923"/>
      <c r="Z4923"/>
      <c r="AA4923"/>
      <c r="AB4923"/>
      <c r="AC4923"/>
      <c r="AD4923"/>
      <c r="AE4923"/>
      <c r="AF4923"/>
      <c r="AG4923"/>
      <c r="AH4923"/>
      <c r="AI4923"/>
      <c r="AJ4923"/>
      <c r="AK4923"/>
      <c r="AL4923"/>
    </row>
    <row r="4924" spans="1:38" ht="15.75" customHeight="1" outlineLevel="2" x14ac:dyDescent="0.2">
      <c r="A4924" s="10">
        <v>7</v>
      </c>
      <c r="B4924" s="10" t="s">
        <v>71</v>
      </c>
      <c r="C4924" s="10" t="s">
        <v>1032</v>
      </c>
      <c r="D4924" s="10" t="s">
        <v>1023</v>
      </c>
      <c r="E4924" s="11" t="str">
        <f t="array" ref="E4924">_xlfn.XLOOKUP(D4924,Insumos!B:B,Insumos!C:$C)</f>
        <v>KG</v>
      </c>
      <c r="F4924" s="14">
        <v>1.1999999999999999E-3</v>
      </c>
      <c r="G4924" s="92">
        <f t="array" ref="G4924">IF(B4924="insumo",_xlfn.XLOOKUP($D4924,Insumos!$B$1:$B$996,Insumos!$D$1:$D$996),"")</f>
        <v>71.510000000000005</v>
      </c>
      <c r="H4924" s="92">
        <v>8.5811999999999999E-2</v>
      </c>
      <c r="I4924" s="13">
        <v>0</v>
      </c>
      <c r="J4924" s="13">
        <v>0</v>
      </c>
      <c r="K4924" s="13"/>
      <c r="L4924"/>
      <c r="M4924"/>
      <c r="N4924"/>
      <c r="O4924"/>
      <c r="P4924"/>
      <c r="Q4924"/>
      <c r="R4924"/>
      <c r="S4924"/>
      <c r="T4924"/>
      <c r="U4924"/>
      <c r="V4924"/>
      <c r="W4924"/>
      <c r="X4924"/>
      <c r="Y4924"/>
      <c r="Z4924"/>
      <c r="AA4924"/>
      <c r="AB4924"/>
      <c r="AC4924"/>
      <c r="AD4924"/>
      <c r="AE4924"/>
      <c r="AF4924"/>
      <c r="AG4924"/>
      <c r="AH4924"/>
      <c r="AI4924"/>
      <c r="AJ4924"/>
      <c r="AK4924"/>
      <c r="AL4924"/>
    </row>
    <row r="4925" spans="1:38" ht="15.75" customHeight="1" outlineLevel="2" x14ac:dyDescent="0.2">
      <c r="A4925" s="10">
        <v>2</v>
      </c>
      <c r="B4925" s="10" t="s">
        <v>71</v>
      </c>
      <c r="C4925" s="10" t="s">
        <v>1032</v>
      </c>
      <c r="D4925" s="10" t="s">
        <v>1033</v>
      </c>
      <c r="E4925" s="11" t="str">
        <f t="array" ref="E4925">_xlfn.XLOOKUP(D4925,Insumos!B:B,Insumos!C:$C)</f>
        <v>M</v>
      </c>
      <c r="F4925" s="14">
        <v>1.05</v>
      </c>
      <c r="G4925" s="92">
        <f t="array" ref="G4925">IF(B4925="insumo",_xlfn.XLOOKUP($D4925,Insumos!$B$1:$B$996,Insumos!$D$1:$D$996),"")</f>
        <v>28</v>
      </c>
      <c r="H4925" s="92">
        <v>29.4</v>
      </c>
      <c r="I4925" s="13">
        <v>0</v>
      </c>
      <c r="J4925" s="13">
        <v>0</v>
      </c>
      <c r="K4925" s="13"/>
      <c r="L4925"/>
      <c r="M4925"/>
      <c r="N4925"/>
      <c r="O4925"/>
      <c r="P4925"/>
      <c r="Q4925"/>
      <c r="R4925"/>
      <c r="S4925"/>
      <c r="T4925"/>
      <c r="U4925"/>
      <c r="V4925"/>
      <c r="W4925"/>
      <c r="X4925"/>
      <c r="Y4925"/>
      <c r="Z4925"/>
      <c r="AA4925"/>
      <c r="AB4925"/>
      <c r="AC4925"/>
      <c r="AD4925"/>
      <c r="AE4925"/>
      <c r="AF4925"/>
      <c r="AG4925"/>
      <c r="AH4925"/>
      <c r="AI4925"/>
      <c r="AJ4925"/>
      <c r="AK4925"/>
      <c r="AL4925"/>
    </row>
    <row r="4926" spans="1:38" ht="15.75" customHeight="1" outlineLevel="2" x14ac:dyDescent="0.2">
      <c r="A4926" s="10">
        <v>10</v>
      </c>
      <c r="B4926" s="10" t="s">
        <v>71</v>
      </c>
      <c r="C4926" s="10" t="s">
        <v>1032</v>
      </c>
      <c r="D4926" s="10" t="s">
        <v>852</v>
      </c>
      <c r="E4926" s="11" t="str">
        <f t="array" ref="E4926">_xlfn.XLOOKUP(D4926,Insumos!B:B,Insumos!C:$C)</f>
        <v>UN</v>
      </c>
      <c r="F4926" s="14">
        <v>0.19800000000000001</v>
      </c>
      <c r="G4926" s="92">
        <f t="array" ref="G4926">IF(B4926="insumo",_xlfn.XLOOKUP($D4926,Insumos!$B$1:$B$996,Insumos!$D$1:$D$996),"")</f>
        <v>20.7</v>
      </c>
      <c r="H4926" s="92">
        <v>4.0986000000000002</v>
      </c>
      <c r="I4926" s="13">
        <v>0</v>
      </c>
      <c r="J4926" s="13">
        <v>0</v>
      </c>
      <c r="K4926" s="13"/>
      <c r="L4926"/>
      <c r="M4926"/>
      <c r="N4926"/>
      <c r="O4926"/>
      <c r="P4926"/>
      <c r="Q4926"/>
      <c r="R4926"/>
      <c r="S4926"/>
      <c r="T4926"/>
      <c r="U4926"/>
      <c r="V4926"/>
      <c r="W4926"/>
      <c r="X4926"/>
      <c r="Y4926"/>
      <c r="Z4926"/>
      <c r="AA4926"/>
      <c r="AB4926"/>
      <c r="AC4926"/>
      <c r="AD4926"/>
      <c r="AE4926"/>
      <c r="AF4926"/>
      <c r="AG4926"/>
      <c r="AH4926"/>
      <c r="AI4926"/>
      <c r="AJ4926"/>
      <c r="AK4926"/>
      <c r="AL4926"/>
    </row>
    <row r="4927" spans="1:38" ht="15.75" customHeight="1" outlineLevel="2" x14ac:dyDescent="0.2">
      <c r="A4927" s="10">
        <v>7</v>
      </c>
      <c r="B4927" s="10" t="s">
        <v>71</v>
      </c>
      <c r="C4927" s="10" t="s">
        <v>1032</v>
      </c>
      <c r="D4927" s="10" t="s">
        <v>1024</v>
      </c>
      <c r="E4927" s="11" t="str">
        <f t="array" ref="E4927">_xlfn.XLOOKUP(D4927,Insumos!B:B,Insumos!C:$C)</f>
        <v>KG</v>
      </c>
      <c r="F4927" s="14">
        <v>4.4999999999999998E-2</v>
      </c>
      <c r="G4927" s="92">
        <f t="array" ref="G4927">IF(B4927="insumo",_xlfn.XLOOKUP($D4927,Insumos!$B$1:$B$996,Insumos!$D$1:$D$996),"")</f>
        <v>163.07</v>
      </c>
      <c r="H4927" s="92">
        <v>7.3381499999999997</v>
      </c>
      <c r="I4927" s="13">
        <v>0</v>
      </c>
      <c r="J4927" s="13">
        <v>0</v>
      </c>
      <c r="K4927" s="13"/>
      <c r="L4927"/>
      <c r="M4927"/>
      <c r="N4927"/>
      <c r="O4927"/>
      <c r="P4927"/>
      <c r="Q4927"/>
      <c r="R4927"/>
      <c r="S4927"/>
      <c r="T4927"/>
      <c r="U4927"/>
      <c r="V4927"/>
      <c r="W4927"/>
      <c r="X4927"/>
      <c r="Y4927"/>
      <c r="Z4927"/>
      <c r="AA4927"/>
      <c r="AB4927"/>
      <c r="AC4927"/>
      <c r="AD4927"/>
      <c r="AE4927"/>
      <c r="AF4927"/>
      <c r="AG4927"/>
      <c r="AH4927"/>
      <c r="AI4927"/>
      <c r="AJ4927"/>
      <c r="AK4927"/>
      <c r="AL4927"/>
    </row>
    <row r="4928" spans="1:38" ht="15.75" customHeight="1" outlineLevel="1" x14ac:dyDescent="0.2">
      <c r="A4928" s="1067">
        <v>1</v>
      </c>
      <c r="B4928" s="1067" t="s">
        <v>68</v>
      </c>
      <c r="C4928" s="1067" t="s">
        <v>1034</v>
      </c>
      <c r="D4928" s="1067" t="s">
        <v>1034</v>
      </c>
      <c r="E4928" s="1068" t="s">
        <v>197</v>
      </c>
      <c r="F4928" s="1067"/>
      <c r="G4928" s="1069"/>
      <c r="H4928" s="1069">
        <v>31541.087336244502</v>
      </c>
      <c r="I4928" s="1070">
        <v>0</v>
      </c>
      <c r="J4928" s="1070">
        <v>0</v>
      </c>
      <c r="K4928" s="1070"/>
      <c r="L4928"/>
      <c r="M4928"/>
      <c r="N4928"/>
      <c r="O4928"/>
      <c r="P4928"/>
      <c r="Q4928"/>
      <c r="R4928"/>
      <c r="S4928"/>
      <c r="T4928"/>
      <c r="U4928"/>
      <c r="V4928"/>
      <c r="W4928"/>
      <c r="X4928"/>
      <c r="Y4928"/>
      <c r="Z4928"/>
      <c r="AA4928"/>
      <c r="AB4928"/>
      <c r="AC4928"/>
      <c r="AD4928"/>
      <c r="AE4928"/>
      <c r="AF4928"/>
      <c r="AG4928"/>
      <c r="AH4928"/>
      <c r="AI4928"/>
      <c r="AJ4928"/>
      <c r="AK4928"/>
      <c r="AL4928"/>
    </row>
    <row r="4929" spans="1:38" ht="15.75" customHeight="1" outlineLevel="2" x14ac:dyDescent="0.2">
      <c r="A4929" s="10">
        <v>4</v>
      </c>
      <c r="B4929" s="10" t="s">
        <v>71</v>
      </c>
      <c r="C4929" s="10" t="s">
        <v>1034</v>
      </c>
      <c r="D4929" s="10" t="s">
        <v>1007</v>
      </c>
      <c r="E4929" s="11" t="str">
        <f t="array" ref="E4929">_xlfn.XLOOKUP(D4929,Insumos!B:B,Insumos!C:$C)</f>
        <v>UN</v>
      </c>
      <c r="F4929" s="14">
        <v>1</v>
      </c>
      <c r="G4929" s="92">
        <f t="array" ref="G4929">IF(B4929="insumo",_xlfn.XLOOKUP($D4929,Insumos!$B$1:$B$996,Insumos!$D$1:$D$996),"")</f>
        <v>30657</v>
      </c>
      <c r="H4929" s="92">
        <v>30657</v>
      </c>
      <c r="I4929" s="13">
        <v>0</v>
      </c>
      <c r="J4929" s="13">
        <v>0</v>
      </c>
      <c r="K4929" s="13"/>
      <c r="L4929"/>
      <c r="M4929"/>
      <c r="N4929"/>
      <c r="O4929"/>
      <c r="P4929"/>
      <c r="Q4929"/>
      <c r="R4929"/>
      <c r="S4929"/>
      <c r="T4929"/>
      <c r="U4929"/>
      <c r="V4929"/>
      <c r="W4929"/>
      <c r="X4929"/>
      <c r="Y4929"/>
      <c r="Z4929"/>
      <c r="AA4929"/>
      <c r="AB4929"/>
      <c r="AC4929"/>
      <c r="AD4929"/>
      <c r="AE4929"/>
      <c r="AF4929"/>
      <c r="AG4929"/>
      <c r="AH4929"/>
      <c r="AI4929"/>
      <c r="AJ4929"/>
      <c r="AK4929"/>
      <c r="AL4929"/>
    </row>
    <row r="4930" spans="1:38" ht="15.75" customHeight="1" outlineLevel="2" x14ac:dyDescent="0.2">
      <c r="A4930" s="10">
        <v>3</v>
      </c>
      <c r="B4930" s="10" t="s">
        <v>71</v>
      </c>
      <c r="C4930" s="10" t="s">
        <v>1034</v>
      </c>
      <c r="D4930" s="10" t="s">
        <v>1035</v>
      </c>
      <c r="E4930" s="11" t="str">
        <f t="array" ref="E4930">_xlfn.XLOOKUP(D4930,Insumos!B:B,Insumos!C:$C)</f>
        <v>UN</v>
      </c>
      <c r="F4930" s="14">
        <v>1</v>
      </c>
      <c r="G4930" s="92">
        <f t="array" ref="G4930">IF(B4930="insumo",_xlfn.XLOOKUP($D4930,Insumos!$B$1:$B$996,Insumos!$D$1:$D$996),"")</f>
        <v>120.08733624454149</v>
      </c>
      <c r="H4930" s="92">
        <v>120.08733624454101</v>
      </c>
      <c r="I4930" s="13">
        <v>0</v>
      </c>
      <c r="J4930" s="13">
        <v>0</v>
      </c>
      <c r="K4930" s="13"/>
      <c r="L4930"/>
      <c r="M4930"/>
      <c r="N4930"/>
      <c r="O4930"/>
      <c r="P4930"/>
      <c r="Q4930"/>
      <c r="R4930"/>
      <c r="S4930"/>
      <c r="T4930"/>
      <c r="U4930"/>
      <c r="V4930"/>
      <c r="W4930"/>
      <c r="X4930"/>
      <c r="Y4930"/>
      <c r="Z4930"/>
      <c r="AA4930"/>
      <c r="AB4930"/>
      <c r="AC4930"/>
      <c r="AD4930"/>
      <c r="AE4930"/>
      <c r="AF4930"/>
      <c r="AG4930"/>
      <c r="AH4930"/>
      <c r="AI4930"/>
      <c r="AJ4930"/>
      <c r="AK4930"/>
      <c r="AL4930"/>
    </row>
    <row r="4931" spans="1:38" ht="15.75" customHeight="1" outlineLevel="2" x14ac:dyDescent="0.2">
      <c r="A4931" s="10">
        <v>2</v>
      </c>
      <c r="B4931" s="10" t="s">
        <v>71</v>
      </c>
      <c r="C4931" s="10" t="s">
        <v>1034</v>
      </c>
      <c r="D4931" s="10" t="s">
        <v>1036</v>
      </c>
      <c r="E4931" s="11" t="str">
        <f t="array" ref="E4931">_xlfn.XLOOKUP(D4931,Insumos!B:B,Insumos!C:$C)</f>
        <v>UN</v>
      </c>
      <c r="F4931" s="14">
        <v>2</v>
      </c>
      <c r="G4931" s="92">
        <f t="array" ref="G4931">IF(B4931="insumo",_xlfn.XLOOKUP($D4931,Insumos!$B$1:$B$996,Insumos!$D$1:$D$996),"")</f>
        <v>382</v>
      </c>
      <c r="H4931" s="92">
        <v>764</v>
      </c>
      <c r="I4931" s="13">
        <v>0</v>
      </c>
      <c r="J4931" s="13">
        <v>0</v>
      </c>
      <c r="K4931" s="13"/>
      <c r="L4931"/>
      <c r="M4931"/>
      <c r="N4931"/>
      <c r="O4931"/>
      <c r="P4931"/>
      <c r="Q4931"/>
      <c r="R4931"/>
      <c r="S4931"/>
      <c r="T4931"/>
      <c r="U4931"/>
      <c r="V4931"/>
      <c r="W4931"/>
      <c r="X4931"/>
      <c r="Y4931"/>
      <c r="Z4931"/>
      <c r="AA4931"/>
      <c r="AB4931"/>
      <c r="AC4931"/>
      <c r="AD4931"/>
      <c r="AE4931"/>
      <c r="AF4931"/>
      <c r="AG4931"/>
      <c r="AH4931"/>
      <c r="AI4931"/>
      <c r="AJ4931"/>
      <c r="AK4931"/>
      <c r="AL4931"/>
    </row>
    <row r="4932" spans="1:38" ht="15.75" customHeight="1" outlineLevel="1" x14ac:dyDescent="0.2">
      <c r="A4932" s="1067">
        <v>1</v>
      </c>
      <c r="B4932" s="1067" t="s">
        <v>68</v>
      </c>
      <c r="C4932" s="1067" t="s">
        <v>1037</v>
      </c>
      <c r="D4932" s="1067" t="s">
        <v>1037</v>
      </c>
      <c r="E4932" s="1068" t="s">
        <v>197</v>
      </c>
      <c r="F4932" s="1067"/>
      <c r="G4932" s="1069"/>
      <c r="H4932" s="1069">
        <v>32305.087336244502</v>
      </c>
      <c r="I4932" s="1070">
        <v>0</v>
      </c>
      <c r="J4932" s="1070">
        <v>0</v>
      </c>
      <c r="K4932" s="1070"/>
      <c r="L4932"/>
      <c r="M4932"/>
      <c r="N4932"/>
      <c r="O4932"/>
      <c r="P4932"/>
      <c r="Q4932"/>
      <c r="R4932"/>
      <c r="S4932"/>
      <c r="T4932"/>
      <c r="U4932"/>
      <c r="V4932"/>
      <c r="W4932"/>
      <c r="X4932"/>
      <c r="Y4932"/>
      <c r="Z4932"/>
      <c r="AA4932"/>
      <c r="AB4932"/>
      <c r="AC4932"/>
      <c r="AD4932"/>
      <c r="AE4932"/>
      <c r="AF4932"/>
      <c r="AG4932"/>
      <c r="AH4932"/>
      <c r="AI4932"/>
      <c r="AJ4932"/>
      <c r="AK4932"/>
      <c r="AL4932"/>
    </row>
    <row r="4933" spans="1:38" ht="15.75" customHeight="1" outlineLevel="2" x14ac:dyDescent="0.2">
      <c r="A4933" s="10">
        <v>4</v>
      </c>
      <c r="B4933" s="10" t="s">
        <v>71</v>
      </c>
      <c r="C4933" s="10" t="s">
        <v>1037</v>
      </c>
      <c r="D4933" s="10" t="s">
        <v>1007</v>
      </c>
      <c r="E4933" s="11" t="str">
        <f t="array" ref="E4933">_xlfn.XLOOKUP(D4933,Insumos!B:B,Insumos!C:$C)</f>
        <v>UN</v>
      </c>
      <c r="F4933" s="14">
        <v>1</v>
      </c>
      <c r="G4933" s="92">
        <f t="array" ref="G4933">IF(B4933="insumo",_xlfn.XLOOKUP($D4933,Insumos!$B$1:$B$996,Insumos!$D$1:$D$996),"")</f>
        <v>30657</v>
      </c>
      <c r="H4933" s="92">
        <v>30657</v>
      </c>
      <c r="I4933" s="13">
        <v>0</v>
      </c>
      <c r="J4933" s="13">
        <v>0</v>
      </c>
      <c r="K4933" s="13"/>
      <c r="L4933"/>
      <c r="M4933"/>
      <c r="N4933"/>
      <c r="O4933"/>
      <c r="P4933"/>
      <c r="Q4933"/>
      <c r="R4933"/>
      <c r="S4933"/>
      <c r="T4933"/>
      <c r="U4933"/>
      <c r="V4933"/>
      <c r="W4933"/>
      <c r="X4933"/>
      <c r="Y4933"/>
      <c r="Z4933"/>
      <c r="AA4933"/>
      <c r="AB4933"/>
      <c r="AC4933"/>
      <c r="AD4933"/>
      <c r="AE4933"/>
      <c r="AF4933"/>
      <c r="AG4933"/>
      <c r="AH4933"/>
      <c r="AI4933"/>
      <c r="AJ4933"/>
      <c r="AK4933"/>
      <c r="AL4933"/>
    </row>
    <row r="4934" spans="1:38" ht="15.75" customHeight="1" outlineLevel="2" x14ac:dyDescent="0.2">
      <c r="A4934" s="10">
        <v>3</v>
      </c>
      <c r="B4934" s="10" t="s">
        <v>71</v>
      </c>
      <c r="C4934" s="10" t="s">
        <v>1037</v>
      </c>
      <c r="D4934" s="10" t="s">
        <v>1035</v>
      </c>
      <c r="E4934" s="11" t="str">
        <f t="array" ref="E4934">_xlfn.XLOOKUP(D4934,Insumos!B:B,Insumos!C:$C)</f>
        <v>UN</v>
      </c>
      <c r="F4934" s="14">
        <v>1</v>
      </c>
      <c r="G4934" s="92">
        <f t="array" ref="G4934">IF(B4934="insumo",_xlfn.XLOOKUP($D4934,Insumos!$B$1:$B$996,Insumos!$D$1:$D$996),"")</f>
        <v>120.08733624454149</v>
      </c>
      <c r="H4934" s="92">
        <v>120.08733624454101</v>
      </c>
      <c r="I4934" s="13">
        <v>0</v>
      </c>
      <c r="J4934" s="13">
        <v>0</v>
      </c>
      <c r="K4934" s="13"/>
      <c r="L4934"/>
      <c r="M4934"/>
      <c r="N4934"/>
      <c r="O4934"/>
      <c r="P4934"/>
      <c r="Q4934"/>
      <c r="R4934"/>
      <c r="S4934"/>
      <c r="T4934"/>
      <c r="U4934"/>
      <c r="V4934"/>
      <c r="W4934"/>
      <c r="X4934"/>
      <c r="Y4934"/>
      <c r="Z4934"/>
      <c r="AA4934"/>
      <c r="AB4934"/>
      <c r="AC4934"/>
      <c r="AD4934"/>
      <c r="AE4934"/>
      <c r="AF4934"/>
      <c r="AG4934"/>
      <c r="AH4934"/>
      <c r="AI4934"/>
      <c r="AJ4934"/>
      <c r="AK4934"/>
      <c r="AL4934"/>
    </row>
    <row r="4935" spans="1:38" ht="15.75" customHeight="1" outlineLevel="2" x14ac:dyDescent="0.2">
      <c r="A4935" s="10">
        <v>2</v>
      </c>
      <c r="B4935" s="10" t="s">
        <v>71</v>
      </c>
      <c r="C4935" s="10" t="s">
        <v>1037</v>
      </c>
      <c r="D4935" s="10" t="s">
        <v>1036</v>
      </c>
      <c r="E4935" s="11" t="str">
        <f t="array" ref="E4935">_xlfn.XLOOKUP(D4935,Insumos!B:B,Insumos!C:$C)</f>
        <v>UN</v>
      </c>
      <c r="F4935" s="14">
        <v>4</v>
      </c>
      <c r="G4935" s="92">
        <f t="array" ref="G4935">IF(B4935="insumo",_xlfn.XLOOKUP($D4935,Insumos!$B$1:$B$996,Insumos!$D$1:$D$996),"")</f>
        <v>382</v>
      </c>
      <c r="H4935" s="92">
        <v>1528</v>
      </c>
      <c r="I4935" s="13">
        <v>0</v>
      </c>
      <c r="J4935" s="13">
        <v>0</v>
      </c>
      <c r="K4935" s="13"/>
      <c r="L4935"/>
      <c r="M4935"/>
      <c r="N4935"/>
      <c r="O4935"/>
      <c r="P4935"/>
      <c r="Q4935"/>
      <c r="R4935"/>
      <c r="S4935"/>
      <c r="T4935"/>
      <c r="U4935"/>
      <c r="V4935"/>
      <c r="W4935"/>
      <c r="X4935"/>
      <c r="Y4935"/>
      <c r="Z4935"/>
      <c r="AA4935"/>
      <c r="AB4935"/>
      <c r="AC4935"/>
      <c r="AD4935"/>
      <c r="AE4935"/>
      <c r="AF4935"/>
      <c r="AG4935"/>
      <c r="AH4935"/>
      <c r="AI4935"/>
      <c r="AJ4935"/>
      <c r="AK4935"/>
      <c r="AL4935"/>
    </row>
    <row r="4936" spans="1:38" ht="15.75" customHeight="1" outlineLevel="1" x14ac:dyDescent="0.2">
      <c r="A4936" s="1067">
        <v>1</v>
      </c>
      <c r="B4936" s="1067" t="s">
        <v>68</v>
      </c>
      <c r="C4936" s="1067" t="s">
        <v>1038</v>
      </c>
      <c r="D4936" s="1067" t="s">
        <v>1038</v>
      </c>
      <c r="E4936" s="1068" t="s">
        <v>197</v>
      </c>
      <c r="F4936" s="1067"/>
      <c r="G4936" s="1069"/>
      <c r="H4936" s="1069">
        <v>30777.087336244502</v>
      </c>
      <c r="I4936" s="1070">
        <v>0</v>
      </c>
      <c r="J4936" s="1070">
        <v>0</v>
      </c>
      <c r="K4936" s="1070"/>
      <c r="L4936"/>
      <c r="M4936"/>
      <c r="N4936"/>
      <c r="O4936"/>
      <c r="P4936"/>
      <c r="Q4936"/>
      <c r="R4936"/>
      <c r="S4936"/>
      <c r="T4936"/>
      <c r="U4936"/>
      <c r="V4936"/>
      <c r="W4936"/>
      <c r="X4936"/>
      <c r="Y4936"/>
      <c r="Z4936"/>
      <c r="AA4936"/>
      <c r="AB4936"/>
      <c r="AC4936"/>
      <c r="AD4936"/>
      <c r="AE4936"/>
      <c r="AF4936"/>
      <c r="AG4936"/>
      <c r="AH4936"/>
      <c r="AI4936"/>
      <c r="AJ4936"/>
      <c r="AK4936"/>
      <c r="AL4936"/>
    </row>
    <row r="4937" spans="1:38" ht="15.75" customHeight="1" outlineLevel="2" x14ac:dyDescent="0.2">
      <c r="A4937" s="10">
        <v>4</v>
      </c>
      <c r="B4937" s="10" t="s">
        <v>71</v>
      </c>
      <c r="C4937" s="10" t="s">
        <v>1038</v>
      </c>
      <c r="D4937" s="10" t="s">
        <v>1007</v>
      </c>
      <c r="E4937" s="11" t="str">
        <f t="array" ref="E4937">_xlfn.XLOOKUP(D4937,Insumos!B:B,Insumos!C:$C)</f>
        <v>UN</v>
      </c>
      <c r="F4937" s="14">
        <v>1</v>
      </c>
      <c r="G4937" s="92">
        <f t="array" ref="G4937">IF(B4937="insumo",_xlfn.XLOOKUP($D4937,Insumos!$B$1:$B$996,Insumos!$D$1:$D$996),"")</f>
        <v>30657</v>
      </c>
      <c r="H4937" s="92">
        <v>30657</v>
      </c>
      <c r="I4937" s="13">
        <v>0</v>
      </c>
      <c r="J4937" s="13">
        <v>0</v>
      </c>
      <c r="K4937" s="13"/>
      <c r="L4937"/>
      <c r="M4937"/>
      <c r="N4937"/>
      <c r="O4937"/>
      <c r="P4937"/>
      <c r="Q4937"/>
      <c r="R4937"/>
      <c r="S4937"/>
      <c r="T4937"/>
      <c r="U4937"/>
      <c r="V4937"/>
      <c r="W4937"/>
      <c r="X4937"/>
      <c r="Y4937"/>
      <c r="Z4937"/>
      <c r="AA4937"/>
      <c r="AB4937"/>
      <c r="AC4937"/>
      <c r="AD4937"/>
      <c r="AE4937"/>
      <c r="AF4937"/>
      <c r="AG4937"/>
      <c r="AH4937"/>
      <c r="AI4937"/>
      <c r="AJ4937"/>
      <c r="AK4937"/>
      <c r="AL4937"/>
    </row>
    <row r="4938" spans="1:38" ht="15.75" customHeight="1" outlineLevel="2" x14ac:dyDescent="0.2">
      <c r="A4938" s="10">
        <v>3</v>
      </c>
      <c r="B4938" s="10" t="s">
        <v>71</v>
      </c>
      <c r="C4938" s="10" t="s">
        <v>1038</v>
      </c>
      <c r="D4938" s="10" t="s">
        <v>1035</v>
      </c>
      <c r="E4938" s="11" t="str">
        <f t="array" ref="E4938">_xlfn.XLOOKUP(D4938,Insumos!B:B,Insumos!C:$C)</f>
        <v>UN</v>
      </c>
      <c r="F4938" s="14">
        <v>1</v>
      </c>
      <c r="G4938" s="92">
        <f t="array" ref="G4938">IF(B4938="insumo",_xlfn.XLOOKUP($D4938,Insumos!$B$1:$B$996,Insumos!$D$1:$D$996),"")</f>
        <v>120.08733624454149</v>
      </c>
      <c r="H4938" s="92">
        <v>120.08733624454101</v>
      </c>
      <c r="I4938" s="13">
        <v>0</v>
      </c>
      <c r="J4938" s="13">
        <v>0</v>
      </c>
      <c r="K4938" s="13"/>
      <c r="L4938"/>
      <c r="M4938"/>
      <c r="N4938"/>
      <c r="O4938"/>
      <c r="P4938"/>
      <c r="Q4938"/>
      <c r="R4938"/>
      <c r="S4938"/>
      <c r="T4938"/>
      <c r="U4938"/>
      <c r="V4938"/>
      <c r="W4938"/>
      <c r="X4938"/>
      <c r="Y4938"/>
      <c r="Z4938"/>
      <c r="AA4938"/>
      <c r="AB4938"/>
      <c r="AC4938"/>
      <c r="AD4938"/>
      <c r="AE4938"/>
      <c r="AF4938"/>
      <c r="AG4938"/>
      <c r="AH4938"/>
      <c r="AI4938"/>
      <c r="AJ4938"/>
      <c r="AK4938"/>
      <c r="AL4938"/>
    </row>
    <row r="4939" spans="1:38" ht="15.75" customHeight="1" outlineLevel="1" x14ac:dyDescent="0.2">
      <c r="A4939" s="1067">
        <v>1</v>
      </c>
      <c r="B4939" s="1067" t="s">
        <v>68</v>
      </c>
      <c r="C4939" s="1067" t="s">
        <v>1039</v>
      </c>
      <c r="D4939" s="1067" t="s">
        <v>1039</v>
      </c>
      <c r="E4939" s="1068" t="s">
        <v>70</v>
      </c>
      <c r="F4939" s="1075"/>
      <c r="G4939" s="1069" t="str">
        <f t="array" ref="G4939">IF(B4939="insumo",_xlfn.XLOOKUP($D4939,Insumos!$B$1:$B$996,Insumos!$D$1:$D$996),"")</f>
        <v/>
      </c>
      <c r="H4939" s="1069">
        <v>220</v>
      </c>
      <c r="I4939" s="1070">
        <v>0</v>
      </c>
      <c r="J4939" s="1070">
        <v>0</v>
      </c>
      <c r="K4939" s="1070"/>
      <c r="L4939"/>
      <c r="M4939"/>
      <c r="N4939"/>
      <c r="O4939"/>
      <c r="P4939"/>
      <c r="Q4939"/>
      <c r="R4939"/>
      <c r="S4939"/>
      <c r="T4939"/>
      <c r="U4939"/>
      <c r="V4939"/>
      <c r="W4939"/>
      <c r="X4939"/>
      <c r="Y4939"/>
      <c r="Z4939"/>
      <c r="AA4939"/>
      <c r="AB4939"/>
      <c r="AC4939"/>
      <c r="AD4939"/>
      <c r="AE4939"/>
      <c r="AF4939"/>
      <c r="AG4939"/>
      <c r="AH4939"/>
      <c r="AI4939"/>
      <c r="AJ4939"/>
      <c r="AK4939"/>
      <c r="AL4939"/>
    </row>
    <row r="4940" spans="1:38" ht="15.75" customHeight="1" outlineLevel="2" x14ac:dyDescent="0.2">
      <c r="A4940" s="10">
        <v>1</v>
      </c>
      <c r="B4940" s="10" t="s">
        <v>71</v>
      </c>
      <c r="C4940" s="10" t="s">
        <v>1039</v>
      </c>
      <c r="D4940" s="10" t="s">
        <v>1039</v>
      </c>
      <c r="E4940" s="11" t="str">
        <f t="array" ref="E4940">_xlfn.XLOOKUP(D4940,Insumos!B:B,Insumos!C:$C)</f>
        <v>M2</v>
      </c>
      <c r="F4940" s="14">
        <v>1</v>
      </c>
      <c r="G4940" s="92">
        <f t="array" ref="G4940">IF(B4940="insumo",_xlfn.XLOOKUP($D4940,Insumos!$B$1:$B$996,Insumos!$D$1:$D$996),"")</f>
        <v>220</v>
      </c>
      <c r="H4940" s="92">
        <v>220</v>
      </c>
      <c r="I4940" s="13">
        <v>0</v>
      </c>
      <c r="J4940" s="13">
        <v>0</v>
      </c>
      <c r="K4940" s="13"/>
      <c r="L4940"/>
      <c r="M4940"/>
      <c r="N4940"/>
      <c r="O4940"/>
      <c r="P4940"/>
      <c r="Q4940"/>
      <c r="R4940"/>
      <c r="S4940"/>
      <c r="T4940"/>
      <c r="U4940"/>
      <c r="V4940"/>
      <c r="W4940"/>
      <c r="X4940"/>
      <c r="Y4940"/>
      <c r="Z4940"/>
      <c r="AA4940"/>
      <c r="AB4940"/>
      <c r="AC4940"/>
      <c r="AD4940"/>
      <c r="AE4940"/>
      <c r="AF4940"/>
      <c r="AG4940"/>
      <c r="AH4940"/>
      <c r="AI4940"/>
      <c r="AJ4940"/>
      <c r="AK4940"/>
      <c r="AL4940"/>
    </row>
    <row r="4941" spans="1:38" ht="15.75" customHeight="1" x14ac:dyDescent="0.2">
      <c r="A4941" s="7">
        <v>1</v>
      </c>
      <c r="B4941" s="7" t="s">
        <v>66</v>
      </c>
      <c r="C4941" s="7" t="s">
        <v>1039</v>
      </c>
      <c r="D4941" s="7" t="s">
        <v>1040</v>
      </c>
      <c r="E4941" s="8"/>
      <c r="F4941" s="9"/>
      <c r="G4941" s="91" t="str">
        <f t="array" ref="G4941">IF(B4941="insumo",_xlfn.XLOOKUP($D4941,Insumos!$B$1:$B$996,Insumos!$D$1:$D$996),"")</f>
        <v/>
      </c>
      <c r="H4941" s="91">
        <v>0</v>
      </c>
      <c r="I4941" s="9">
        <v>0</v>
      </c>
      <c r="J4941" s="9">
        <v>0</v>
      </c>
      <c r="K4941" s="9"/>
      <c r="L4941"/>
      <c r="M4941"/>
      <c r="N4941"/>
      <c r="O4941"/>
      <c r="P4941"/>
      <c r="Q4941"/>
      <c r="R4941"/>
      <c r="S4941"/>
      <c r="T4941"/>
      <c r="U4941"/>
      <c r="V4941"/>
      <c r="W4941"/>
      <c r="X4941"/>
      <c r="Y4941"/>
      <c r="Z4941"/>
      <c r="AA4941"/>
      <c r="AB4941"/>
      <c r="AC4941"/>
      <c r="AD4941"/>
      <c r="AE4941"/>
      <c r="AF4941"/>
      <c r="AG4941"/>
      <c r="AH4941"/>
      <c r="AI4941"/>
      <c r="AJ4941"/>
      <c r="AK4941"/>
      <c r="AL4941"/>
    </row>
    <row r="4942" spans="1:38" ht="15.75" customHeight="1" outlineLevel="1" x14ac:dyDescent="0.2">
      <c r="A4942" s="1067">
        <v>1</v>
      </c>
      <c r="B4942" s="1067" t="s">
        <v>68</v>
      </c>
      <c r="C4942" s="1067" t="s">
        <v>1041</v>
      </c>
      <c r="D4942" s="1067" t="s">
        <v>1041</v>
      </c>
      <c r="E4942" s="1068" t="s">
        <v>113</v>
      </c>
      <c r="F4942" s="1067"/>
      <c r="G4942" s="1069" t="str">
        <f t="array" ref="G4942">IF(B4942="insumo",_xlfn.XLOOKUP($D4942,Insumos!$B$1:$B$996,Insumos!$D$1:$D$996),"")</f>
        <v/>
      </c>
      <c r="H4942" s="1069">
        <v>7.3973000000000004</v>
      </c>
      <c r="I4942" s="1070">
        <v>0</v>
      </c>
      <c r="J4942" s="1070">
        <v>0</v>
      </c>
      <c r="K4942" s="1070"/>
      <c r="L4942"/>
      <c r="M4942"/>
      <c r="N4942"/>
      <c r="O4942"/>
      <c r="P4942"/>
      <c r="Q4942"/>
      <c r="R4942"/>
      <c r="S4942"/>
      <c r="T4942"/>
      <c r="U4942"/>
      <c r="V4942"/>
      <c r="W4942"/>
      <c r="X4942"/>
      <c r="Y4942"/>
      <c r="Z4942"/>
      <c r="AA4942"/>
      <c r="AB4942"/>
      <c r="AC4942"/>
      <c r="AD4942"/>
      <c r="AE4942"/>
      <c r="AF4942"/>
      <c r="AG4942"/>
      <c r="AH4942"/>
      <c r="AI4942"/>
      <c r="AJ4942"/>
      <c r="AK4942"/>
      <c r="AL4942"/>
    </row>
    <row r="4943" spans="1:38" ht="15.75" customHeight="1" outlineLevel="2" x14ac:dyDescent="0.2">
      <c r="A4943" s="10">
        <v>4</v>
      </c>
      <c r="B4943" s="10" t="s">
        <v>71</v>
      </c>
      <c r="C4943" s="10" t="s">
        <v>1041</v>
      </c>
      <c r="D4943" s="10" t="s">
        <v>1042</v>
      </c>
      <c r="E4943" s="11" t="str">
        <f t="array" ref="E4943">_xlfn.XLOOKUP(D4943,Insumos!B:B,Insumos!C:$C)</f>
        <v>MÊS</v>
      </c>
      <c r="F4943" s="14">
        <v>5.4700000000000007E-4</v>
      </c>
      <c r="G4943" s="92">
        <f t="array" ref="G4943">IF(B4943="insumo",_xlfn.XLOOKUP($D4943,Insumos!$B$1:$B$996,Insumos!$D$1:$D$996),"")</f>
        <v>1500</v>
      </c>
      <c r="H4943" s="92">
        <v>0.82050000000000001</v>
      </c>
      <c r="I4943" s="13">
        <v>0</v>
      </c>
      <c r="J4943" s="13">
        <v>0</v>
      </c>
      <c r="K4943" s="13"/>
      <c r="L4943"/>
      <c r="M4943"/>
      <c r="N4943"/>
      <c r="O4943"/>
      <c r="P4943"/>
      <c r="Q4943"/>
      <c r="R4943"/>
      <c r="S4943"/>
      <c r="T4943"/>
      <c r="U4943"/>
      <c r="V4943"/>
      <c r="W4943"/>
      <c r="X4943"/>
      <c r="Y4943"/>
      <c r="Z4943"/>
      <c r="AA4943"/>
      <c r="AB4943"/>
      <c r="AC4943"/>
      <c r="AD4943"/>
      <c r="AE4943"/>
      <c r="AF4943"/>
      <c r="AG4943"/>
      <c r="AH4943"/>
      <c r="AI4943"/>
      <c r="AJ4943"/>
      <c r="AK4943"/>
      <c r="AL4943"/>
    </row>
    <row r="4944" spans="1:38" ht="15.75" customHeight="1" outlineLevel="2" x14ac:dyDescent="0.2">
      <c r="A4944" s="10">
        <v>4</v>
      </c>
      <c r="B4944" s="10" t="s">
        <v>71</v>
      </c>
      <c r="C4944" s="10" t="s">
        <v>1041</v>
      </c>
      <c r="D4944" s="10" t="s">
        <v>1043</v>
      </c>
      <c r="E4944" s="11" t="str">
        <f t="array" ref="E4944">_xlfn.XLOOKUP(D4944,Insumos!B:B,Insumos!C:$C)</f>
        <v>MÊS</v>
      </c>
      <c r="F4944" s="14">
        <v>2.5700000000000001E-4</v>
      </c>
      <c r="G4944" s="92">
        <f t="array" ref="G4944">IF(B4944="insumo",_xlfn.XLOOKUP($D4944,Insumos!$B$1:$B$996,Insumos!$D$1:$D$996),"")</f>
        <v>3200</v>
      </c>
      <c r="H4944" s="92">
        <v>0.82240000000000002</v>
      </c>
      <c r="I4944" s="13">
        <v>0</v>
      </c>
      <c r="J4944" s="13">
        <v>0</v>
      </c>
      <c r="K4944" s="13"/>
      <c r="L4944"/>
      <c r="M4944"/>
      <c r="N4944"/>
      <c r="O4944"/>
      <c r="P4944"/>
      <c r="Q4944"/>
      <c r="R4944"/>
      <c r="S4944"/>
      <c r="T4944"/>
      <c r="U4944"/>
      <c r="V4944"/>
      <c r="W4944"/>
      <c r="X4944"/>
      <c r="Y4944"/>
      <c r="Z4944"/>
      <c r="AA4944"/>
      <c r="AB4944"/>
      <c r="AC4944"/>
      <c r="AD4944"/>
      <c r="AE4944"/>
      <c r="AF4944"/>
      <c r="AG4944"/>
      <c r="AH4944"/>
      <c r="AI4944"/>
      <c r="AJ4944"/>
      <c r="AK4944"/>
      <c r="AL4944"/>
    </row>
    <row r="4945" spans="1:38" ht="15.75" customHeight="1" outlineLevel="2" x14ac:dyDescent="0.2">
      <c r="A4945" s="10">
        <v>7</v>
      </c>
      <c r="B4945" s="10" t="s">
        <v>71</v>
      </c>
      <c r="C4945" s="10" t="s">
        <v>1041</v>
      </c>
      <c r="D4945" s="10" t="s">
        <v>1044</v>
      </c>
      <c r="E4945" s="11" t="str">
        <f t="array" ref="E4945">_xlfn.XLOOKUP(D4945,Insumos!B:B,Insumos!C:$C)</f>
        <v>MÊS</v>
      </c>
      <c r="F4945" s="14">
        <v>3.57E-4</v>
      </c>
      <c r="G4945" s="92">
        <f t="array" ref="G4945">IF(B4945="insumo",_xlfn.XLOOKUP($D4945,Insumos!$B$1:$B$996,Insumos!$D$1:$D$996),"")</f>
        <v>3450</v>
      </c>
      <c r="H4945" s="92">
        <v>1.2316499999999999</v>
      </c>
      <c r="I4945" s="13">
        <v>0</v>
      </c>
      <c r="J4945" s="13">
        <v>0</v>
      </c>
      <c r="K4945" s="13"/>
      <c r="L4945"/>
      <c r="M4945"/>
      <c r="N4945"/>
      <c r="O4945"/>
      <c r="P4945"/>
      <c r="Q4945"/>
      <c r="R4945"/>
      <c r="S4945"/>
      <c r="T4945"/>
      <c r="U4945"/>
      <c r="V4945"/>
      <c r="W4945"/>
      <c r="X4945"/>
      <c r="Y4945"/>
      <c r="Z4945"/>
      <c r="AA4945"/>
      <c r="AB4945"/>
      <c r="AC4945"/>
      <c r="AD4945"/>
      <c r="AE4945"/>
      <c r="AF4945"/>
      <c r="AG4945"/>
      <c r="AH4945"/>
      <c r="AI4945"/>
      <c r="AJ4945"/>
      <c r="AK4945"/>
      <c r="AL4945"/>
    </row>
    <row r="4946" spans="1:38" ht="15.75" customHeight="1" outlineLevel="2" x14ac:dyDescent="0.2">
      <c r="A4946" s="10">
        <v>4</v>
      </c>
      <c r="B4946" s="10" t="s">
        <v>71</v>
      </c>
      <c r="C4946" s="10" t="s">
        <v>1041</v>
      </c>
      <c r="D4946" s="10" t="s">
        <v>1045</v>
      </c>
      <c r="E4946" s="11" t="str">
        <f t="array" ref="E4946">_xlfn.XLOOKUP(D4946,Insumos!B:B,Insumos!C:$C)</f>
        <v>MÊS</v>
      </c>
      <c r="F4946" s="14">
        <v>2.4600000000000002E-4</v>
      </c>
      <c r="G4946" s="92">
        <f t="array" ref="G4946">IF(B4946="insumo",_xlfn.XLOOKUP($D4946,Insumos!$B$1:$B$996,Insumos!$D$1:$D$996),"")</f>
        <v>5000</v>
      </c>
      <c r="H4946" s="92">
        <v>1.23</v>
      </c>
      <c r="I4946" s="13">
        <v>0</v>
      </c>
      <c r="J4946" s="13">
        <v>0</v>
      </c>
      <c r="K4946" s="13"/>
      <c r="L4946"/>
      <c r="M4946"/>
      <c r="N4946"/>
      <c r="O4946"/>
      <c r="P4946"/>
      <c r="Q4946"/>
      <c r="R4946"/>
      <c r="S4946"/>
      <c r="T4946"/>
      <c r="U4946"/>
      <c r="V4946"/>
      <c r="W4946"/>
      <c r="X4946"/>
      <c r="Y4946"/>
      <c r="Z4946"/>
      <c r="AA4946"/>
      <c r="AB4946"/>
      <c r="AC4946"/>
      <c r="AD4946"/>
      <c r="AE4946"/>
      <c r="AF4946"/>
      <c r="AG4946"/>
      <c r="AH4946"/>
      <c r="AI4946"/>
      <c r="AJ4946"/>
      <c r="AK4946"/>
      <c r="AL4946"/>
    </row>
    <row r="4947" spans="1:38" ht="15.75" customHeight="1" outlineLevel="2" x14ac:dyDescent="0.2">
      <c r="A4947" s="10">
        <v>4</v>
      </c>
      <c r="B4947" s="10" t="s">
        <v>71</v>
      </c>
      <c r="C4947" s="10" t="s">
        <v>1041</v>
      </c>
      <c r="D4947" s="10" t="s">
        <v>1046</v>
      </c>
      <c r="E4947" s="11" t="str">
        <f t="array" ref="E4947">_xlfn.XLOOKUP(D4947,Insumos!B:B,Insumos!C:$C)</f>
        <v>MÊS</v>
      </c>
      <c r="F4947" s="14">
        <v>1.8100000000000001E-4</v>
      </c>
      <c r="G4947" s="92">
        <f t="array" ref="G4947">IF(B4947="insumo",_xlfn.XLOOKUP($D4947,Insumos!$B$1:$B$996,Insumos!$D$1:$D$996),"")</f>
        <v>4550</v>
      </c>
      <c r="H4947" s="92">
        <v>0.82355</v>
      </c>
      <c r="I4947" s="13">
        <v>0</v>
      </c>
      <c r="J4947" s="13">
        <v>0</v>
      </c>
      <c r="K4947" s="13"/>
      <c r="L4947"/>
      <c r="M4947"/>
      <c r="N4947"/>
      <c r="O4947"/>
      <c r="P4947"/>
      <c r="Q4947"/>
      <c r="R4947"/>
      <c r="S4947"/>
      <c r="T4947"/>
      <c r="U4947"/>
      <c r="V4947"/>
      <c r="W4947"/>
      <c r="X4947"/>
      <c r="Y4947"/>
      <c r="Z4947"/>
      <c r="AA4947"/>
      <c r="AB4947"/>
      <c r="AC4947"/>
      <c r="AD4947"/>
      <c r="AE4947"/>
      <c r="AF4947"/>
      <c r="AG4947"/>
      <c r="AH4947"/>
      <c r="AI4947"/>
      <c r="AJ4947"/>
      <c r="AK4947"/>
      <c r="AL4947"/>
    </row>
    <row r="4948" spans="1:38" ht="15.75" customHeight="1" outlineLevel="2" x14ac:dyDescent="0.2">
      <c r="A4948" s="10">
        <v>4</v>
      </c>
      <c r="B4948" s="10" t="s">
        <v>71</v>
      </c>
      <c r="C4948" s="10" t="s">
        <v>1041</v>
      </c>
      <c r="D4948" s="10" t="s">
        <v>1047</v>
      </c>
      <c r="E4948" s="11" t="str">
        <f t="array" ref="E4948">_xlfn.XLOOKUP(D4948,Insumos!B:B,Insumos!C:$C)</f>
        <v>MÊS</v>
      </c>
      <c r="F4948" s="14">
        <v>3.9199999999999999E-4</v>
      </c>
      <c r="G4948" s="92">
        <f t="array" ref="G4948">IF(B4948="insumo",_xlfn.XLOOKUP($D4948,Insumos!$B$1:$B$996,Insumos!$D$1:$D$996),"")</f>
        <v>4200</v>
      </c>
      <c r="H4948" s="92">
        <v>1.6464000000000001</v>
      </c>
      <c r="I4948" s="13">
        <v>0</v>
      </c>
      <c r="J4948" s="13">
        <v>0</v>
      </c>
      <c r="K4948" s="13"/>
      <c r="L4948"/>
      <c r="M4948"/>
      <c r="N4948"/>
      <c r="O4948"/>
      <c r="P4948"/>
      <c r="Q4948"/>
      <c r="R4948"/>
      <c r="S4948"/>
      <c r="T4948"/>
      <c r="U4948"/>
      <c r="V4948"/>
      <c r="W4948"/>
      <c r="X4948"/>
      <c r="Y4948"/>
      <c r="Z4948"/>
      <c r="AA4948"/>
      <c r="AB4948"/>
      <c r="AC4948"/>
      <c r="AD4948"/>
      <c r="AE4948"/>
      <c r="AF4948"/>
      <c r="AG4948"/>
      <c r="AH4948"/>
      <c r="AI4948"/>
      <c r="AJ4948"/>
      <c r="AK4948"/>
      <c r="AL4948"/>
    </row>
    <row r="4949" spans="1:38" ht="15.75" customHeight="1" outlineLevel="2" x14ac:dyDescent="0.2">
      <c r="A4949" s="10">
        <v>4</v>
      </c>
      <c r="B4949" s="10" t="s">
        <v>71</v>
      </c>
      <c r="C4949" s="10" t="s">
        <v>1041</v>
      </c>
      <c r="D4949" s="10" t="s">
        <v>1048</v>
      </c>
      <c r="E4949" s="11" t="str">
        <f t="array" ref="E4949">_xlfn.XLOOKUP(D4949,Insumos!B:B,Insumos!C:$C)</f>
        <v>MÊS</v>
      </c>
      <c r="F4949" s="14">
        <v>2.42E-4</v>
      </c>
      <c r="G4949" s="92">
        <f t="array" ref="G4949">IF(B4949="insumo",_xlfn.XLOOKUP($D4949,Insumos!$B$1:$B$996,Insumos!$D$1:$D$996),"")</f>
        <v>3400</v>
      </c>
      <c r="H4949" s="92">
        <v>0.82279999999999998</v>
      </c>
      <c r="I4949" s="13">
        <v>0</v>
      </c>
      <c r="J4949" s="13">
        <v>0</v>
      </c>
      <c r="K4949" s="13"/>
      <c r="L4949"/>
      <c r="M4949"/>
      <c r="N4949"/>
      <c r="O4949"/>
      <c r="P4949"/>
      <c r="Q4949"/>
      <c r="R4949"/>
      <c r="S4949"/>
      <c r="T4949"/>
      <c r="U4949"/>
      <c r="V4949"/>
      <c r="W4949"/>
      <c r="X4949"/>
      <c r="Y4949"/>
      <c r="Z4949"/>
      <c r="AA4949"/>
      <c r="AB4949"/>
      <c r="AC4949"/>
      <c r="AD4949"/>
      <c r="AE4949"/>
      <c r="AF4949"/>
      <c r="AG4949"/>
      <c r="AH4949"/>
      <c r="AI4949"/>
      <c r="AJ4949"/>
      <c r="AK4949"/>
      <c r="AL4949"/>
    </row>
    <row r="4950" spans="1:38" ht="15.75" customHeight="1" outlineLevel="1" x14ac:dyDescent="0.2">
      <c r="A4950" s="1067">
        <v>1</v>
      </c>
      <c r="B4950" s="1067" t="s">
        <v>68</v>
      </c>
      <c r="C4950" s="1067" t="s">
        <v>1049</v>
      </c>
      <c r="D4950" s="1067" t="s">
        <v>1049</v>
      </c>
      <c r="E4950" s="1068" t="s">
        <v>113</v>
      </c>
      <c r="F4950" s="1067"/>
      <c r="G4950" s="1069" t="str">
        <f t="array" ref="G4950">IF(B4950="insumo",_xlfn.XLOOKUP($D4950,Insumos!$B$1:$B$996,Insumos!$D$1:$D$996),"")</f>
        <v/>
      </c>
      <c r="H4950" s="1069">
        <v>9.8454999999999995</v>
      </c>
      <c r="I4950" s="1070">
        <v>0</v>
      </c>
      <c r="J4950" s="1070">
        <v>0</v>
      </c>
      <c r="K4950" s="1070"/>
      <c r="L4950"/>
      <c r="M4950"/>
      <c r="N4950"/>
      <c r="O4950"/>
      <c r="P4950"/>
      <c r="Q4950"/>
      <c r="R4950"/>
      <c r="S4950"/>
      <c r="T4950"/>
      <c r="U4950"/>
      <c r="V4950"/>
      <c r="W4950"/>
      <c r="X4950"/>
      <c r="Y4950"/>
      <c r="Z4950"/>
      <c r="AA4950"/>
      <c r="AB4950"/>
      <c r="AC4950"/>
      <c r="AD4950"/>
      <c r="AE4950"/>
      <c r="AF4950"/>
      <c r="AG4950"/>
      <c r="AH4950"/>
      <c r="AI4950"/>
      <c r="AJ4950"/>
      <c r="AK4950"/>
      <c r="AL4950"/>
    </row>
    <row r="4951" spans="1:38" ht="15.75" customHeight="1" outlineLevel="2" x14ac:dyDescent="0.2">
      <c r="A4951" s="10">
        <v>4</v>
      </c>
      <c r="B4951" s="10" t="s">
        <v>71</v>
      </c>
      <c r="C4951" s="10" t="s">
        <v>1049</v>
      </c>
      <c r="D4951" s="10" t="s">
        <v>1042</v>
      </c>
      <c r="E4951" s="11" t="str">
        <f t="array" ref="E4951">_xlfn.XLOOKUP(D4951,Insumos!B:B,Insumos!C:$C)</f>
        <v>MÊS</v>
      </c>
      <c r="F4951" s="14">
        <v>8.1999999999999998E-4</v>
      </c>
      <c r="G4951" s="92">
        <f t="array" ref="G4951">IF(B4951="insumo",_xlfn.XLOOKUP($D4951,Insumos!$B$1:$B$996,Insumos!$D$1:$D$996),"")</f>
        <v>1500</v>
      </c>
      <c r="H4951" s="92">
        <v>1.23</v>
      </c>
      <c r="I4951" s="13">
        <v>0</v>
      </c>
      <c r="J4951" s="13">
        <v>0</v>
      </c>
      <c r="K4951" s="13"/>
      <c r="L4951"/>
      <c r="M4951"/>
      <c r="N4951"/>
      <c r="O4951"/>
      <c r="P4951"/>
      <c r="Q4951"/>
      <c r="R4951"/>
      <c r="S4951"/>
      <c r="T4951"/>
      <c r="U4951"/>
      <c r="V4951"/>
      <c r="W4951"/>
      <c r="X4951"/>
      <c r="Y4951"/>
      <c r="Z4951"/>
      <c r="AA4951"/>
      <c r="AB4951"/>
      <c r="AC4951"/>
      <c r="AD4951"/>
      <c r="AE4951"/>
      <c r="AF4951"/>
      <c r="AG4951"/>
      <c r="AH4951"/>
      <c r="AI4951"/>
      <c r="AJ4951"/>
      <c r="AK4951"/>
      <c r="AL4951"/>
    </row>
    <row r="4952" spans="1:38" ht="15.75" customHeight="1" outlineLevel="2" x14ac:dyDescent="0.2">
      <c r="A4952" s="10">
        <v>4</v>
      </c>
      <c r="B4952" s="10" t="s">
        <v>71</v>
      </c>
      <c r="C4952" s="10" t="s">
        <v>1049</v>
      </c>
      <c r="D4952" s="10" t="s">
        <v>1043</v>
      </c>
      <c r="E4952" s="11" t="str">
        <f t="array" ref="E4952">_xlfn.XLOOKUP(D4952,Insumos!B:B,Insumos!C:$C)</f>
        <v>MÊS</v>
      </c>
      <c r="F4952" s="14">
        <v>3.8400000000000001E-4</v>
      </c>
      <c r="G4952" s="92">
        <f t="array" ref="G4952">IF(B4952="insumo",_xlfn.XLOOKUP($D4952,Insumos!$B$1:$B$996,Insumos!$D$1:$D$996),"")</f>
        <v>3200</v>
      </c>
      <c r="H4952" s="92">
        <v>1.2287999999999999</v>
      </c>
      <c r="I4952" s="13">
        <v>0</v>
      </c>
      <c r="J4952" s="13">
        <v>0</v>
      </c>
      <c r="K4952" s="13"/>
      <c r="L4952"/>
      <c r="M4952"/>
      <c r="N4952"/>
      <c r="O4952"/>
      <c r="P4952"/>
      <c r="Q4952"/>
      <c r="R4952"/>
      <c r="S4952"/>
      <c r="T4952"/>
      <c r="U4952"/>
      <c r="V4952"/>
      <c r="W4952"/>
      <c r="X4952"/>
      <c r="Y4952"/>
      <c r="Z4952"/>
      <c r="AA4952"/>
      <c r="AB4952"/>
      <c r="AC4952"/>
      <c r="AD4952"/>
      <c r="AE4952"/>
      <c r="AF4952"/>
      <c r="AG4952"/>
      <c r="AH4952"/>
      <c r="AI4952"/>
      <c r="AJ4952"/>
      <c r="AK4952"/>
      <c r="AL4952"/>
    </row>
    <row r="4953" spans="1:38" ht="15.75" customHeight="1" outlineLevel="2" x14ac:dyDescent="0.2">
      <c r="A4953" s="10">
        <v>7</v>
      </c>
      <c r="B4953" s="10" t="s">
        <v>71</v>
      </c>
      <c r="C4953" s="10" t="s">
        <v>1049</v>
      </c>
      <c r="D4953" s="10" t="s">
        <v>1044</v>
      </c>
      <c r="E4953" s="11" t="str">
        <f t="array" ref="E4953">_xlfn.XLOOKUP(D4953,Insumos!B:B,Insumos!C:$C)</f>
        <v>MÊS</v>
      </c>
      <c r="F4953" s="14">
        <v>3.57E-4</v>
      </c>
      <c r="G4953" s="92">
        <f t="array" ref="G4953">IF(B4953="insumo",_xlfn.XLOOKUP($D4953,Insumos!$B$1:$B$996,Insumos!$D$1:$D$996),"")</f>
        <v>3450</v>
      </c>
      <c r="H4953" s="92">
        <v>1.2316499999999999</v>
      </c>
      <c r="I4953" s="13">
        <v>0</v>
      </c>
      <c r="J4953" s="13">
        <v>0</v>
      </c>
      <c r="K4953" s="13"/>
      <c r="L4953"/>
      <c r="M4953"/>
      <c r="N4953"/>
      <c r="O4953"/>
      <c r="P4953"/>
      <c r="Q4953"/>
      <c r="R4953"/>
      <c r="S4953"/>
      <c r="T4953"/>
      <c r="U4953"/>
      <c r="V4953"/>
      <c r="W4953"/>
      <c r="X4953"/>
      <c r="Y4953"/>
      <c r="Z4953"/>
      <c r="AA4953"/>
      <c r="AB4953"/>
      <c r="AC4953"/>
      <c r="AD4953"/>
      <c r="AE4953"/>
      <c r="AF4953"/>
      <c r="AG4953"/>
      <c r="AH4953"/>
      <c r="AI4953"/>
      <c r="AJ4953"/>
      <c r="AK4953"/>
      <c r="AL4953"/>
    </row>
    <row r="4954" spans="1:38" ht="15.75" customHeight="1" outlineLevel="2" x14ac:dyDescent="0.2">
      <c r="A4954" s="10">
        <v>4</v>
      </c>
      <c r="B4954" s="10" t="s">
        <v>71</v>
      </c>
      <c r="C4954" s="10" t="s">
        <v>1049</v>
      </c>
      <c r="D4954" s="10" t="s">
        <v>1045</v>
      </c>
      <c r="E4954" s="11" t="str">
        <f t="array" ref="E4954">_xlfn.XLOOKUP(D4954,Insumos!B:B,Insumos!C:$C)</f>
        <v>MÊS</v>
      </c>
      <c r="F4954" s="14">
        <v>2.4600000000000002E-4</v>
      </c>
      <c r="G4954" s="92">
        <f t="array" ref="G4954">IF(B4954="insumo",_xlfn.XLOOKUP($D4954,Insumos!$B$1:$B$996,Insumos!$D$1:$D$996),"")</f>
        <v>5000</v>
      </c>
      <c r="H4954" s="92">
        <v>1.23</v>
      </c>
      <c r="I4954" s="13">
        <v>0</v>
      </c>
      <c r="J4954" s="13">
        <v>0</v>
      </c>
      <c r="K4954" s="13"/>
      <c r="L4954"/>
      <c r="M4954"/>
      <c r="N4954"/>
      <c r="O4954"/>
      <c r="P4954"/>
      <c r="Q4954"/>
      <c r="R4954"/>
      <c r="S4954"/>
      <c r="T4954"/>
      <c r="U4954"/>
      <c r="V4954"/>
      <c r="W4954"/>
      <c r="X4954"/>
      <c r="Y4954"/>
      <c r="Z4954"/>
      <c r="AA4954"/>
      <c r="AB4954"/>
      <c r="AC4954"/>
      <c r="AD4954"/>
      <c r="AE4954"/>
      <c r="AF4954"/>
      <c r="AG4954"/>
      <c r="AH4954"/>
      <c r="AI4954"/>
      <c r="AJ4954"/>
      <c r="AK4954"/>
      <c r="AL4954"/>
    </row>
    <row r="4955" spans="1:38" ht="15.75" customHeight="1" outlineLevel="2" x14ac:dyDescent="0.2">
      <c r="A4955" s="10">
        <v>4</v>
      </c>
      <c r="B4955" s="10" t="s">
        <v>71</v>
      </c>
      <c r="C4955" s="10" t="s">
        <v>1049</v>
      </c>
      <c r="D4955" s="10" t="s">
        <v>1046</v>
      </c>
      <c r="E4955" s="11" t="str">
        <f t="array" ref="E4955">_xlfn.XLOOKUP(D4955,Insumos!B:B,Insumos!C:$C)</f>
        <v>MÊS</v>
      </c>
      <c r="F4955" s="14">
        <v>2.7100000000000003E-4</v>
      </c>
      <c r="G4955" s="92">
        <f t="array" ref="G4955">IF(B4955="insumo",_xlfn.XLOOKUP($D4955,Insumos!$B$1:$B$996,Insumos!$D$1:$D$996),"")</f>
        <v>4550</v>
      </c>
      <c r="H4955" s="92">
        <v>1.23305</v>
      </c>
      <c r="I4955" s="13">
        <v>0</v>
      </c>
      <c r="J4955" s="13">
        <v>0</v>
      </c>
      <c r="K4955" s="13"/>
      <c r="L4955"/>
      <c r="M4955"/>
      <c r="N4955"/>
      <c r="O4955"/>
      <c r="P4955"/>
      <c r="Q4955"/>
      <c r="R4955"/>
      <c r="S4955"/>
      <c r="T4955"/>
      <c r="U4955"/>
      <c r="V4955"/>
      <c r="W4955"/>
      <c r="X4955"/>
      <c r="Y4955"/>
      <c r="Z4955"/>
      <c r="AA4955"/>
      <c r="AB4955"/>
      <c r="AC4955"/>
      <c r="AD4955"/>
      <c r="AE4955"/>
      <c r="AF4955"/>
      <c r="AG4955"/>
      <c r="AH4955"/>
      <c r="AI4955"/>
      <c r="AJ4955"/>
      <c r="AK4955"/>
      <c r="AL4955"/>
    </row>
    <row r="4956" spans="1:38" ht="15.75" customHeight="1" outlineLevel="2" x14ac:dyDescent="0.2">
      <c r="A4956" s="10">
        <v>4</v>
      </c>
      <c r="B4956" s="10" t="s">
        <v>71</v>
      </c>
      <c r="C4956" s="10" t="s">
        <v>1049</v>
      </c>
      <c r="D4956" s="10" t="s">
        <v>1047</v>
      </c>
      <c r="E4956" s="11" t="str">
        <f t="array" ref="E4956">_xlfn.XLOOKUP(D4956,Insumos!B:B,Insumos!C:$C)</f>
        <v>MÊS</v>
      </c>
      <c r="F4956" s="14">
        <v>5.8600000000000004E-4</v>
      </c>
      <c r="G4956" s="92">
        <f t="array" ref="G4956">IF(B4956="insumo",_xlfn.XLOOKUP($D4956,Insumos!$B$1:$B$996,Insumos!$D$1:$D$996),"")</f>
        <v>4200</v>
      </c>
      <c r="H4956" s="92">
        <v>2.4611999999999998</v>
      </c>
      <c r="I4956" s="13">
        <v>0</v>
      </c>
      <c r="J4956" s="13">
        <v>0</v>
      </c>
      <c r="K4956" s="13"/>
      <c r="L4956"/>
      <c r="M4956"/>
      <c r="N4956"/>
      <c r="O4956"/>
      <c r="P4956"/>
      <c r="Q4956"/>
      <c r="R4956"/>
      <c r="S4956"/>
      <c r="T4956"/>
      <c r="U4956"/>
      <c r="V4956"/>
      <c r="W4956"/>
      <c r="X4956"/>
      <c r="Y4956"/>
      <c r="Z4956"/>
      <c r="AA4956"/>
      <c r="AB4956"/>
      <c r="AC4956"/>
      <c r="AD4956"/>
      <c r="AE4956"/>
      <c r="AF4956"/>
      <c r="AG4956"/>
      <c r="AH4956"/>
      <c r="AI4956"/>
      <c r="AJ4956"/>
      <c r="AK4956"/>
      <c r="AL4956"/>
    </row>
    <row r="4957" spans="1:38" ht="15.75" customHeight="1" outlineLevel="2" x14ac:dyDescent="0.2">
      <c r="A4957" s="10">
        <v>4</v>
      </c>
      <c r="B4957" s="10" t="s">
        <v>71</v>
      </c>
      <c r="C4957" s="10" t="s">
        <v>1049</v>
      </c>
      <c r="D4957" s="10" t="s">
        <v>1048</v>
      </c>
      <c r="E4957" s="11" t="str">
        <f t="array" ref="E4957">_xlfn.XLOOKUP(D4957,Insumos!B:B,Insumos!C:$C)</f>
        <v>MÊS</v>
      </c>
      <c r="F4957" s="14">
        <v>3.6200000000000002E-4</v>
      </c>
      <c r="G4957" s="92">
        <f t="array" ref="G4957">IF(B4957="insumo",_xlfn.XLOOKUP($D4957,Insumos!$B$1:$B$996,Insumos!$D$1:$D$996),"")</f>
        <v>3400</v>
      </c>
      <c r="H4957" s="92">
        <v>1.2307999999999999</v>
      </c>
      <c r="I4957" s="13">
        <v>0</v>
      </c>
      <c r="J4957" s="13">
        <v>0</v>
      </c>
      <c r="K4957" s="13"/>
      <c r="L4957"/>
      <c r="M4957"/>
      <c r="N4957"/>
      <c r="O4957"/>
      <c r="P4957"/>
      <c r="Q4957"/>
      <c r="R4957"/>
      <c r="S4957"/>
      <c r="T4957"/>
      <c r="U4957"/>
      <c r="V4957"/>
      <c r="W4957"/>
      <c r="X4957"/>
      <c r="Y4957"/>
      <c r="Z4957"/>
      <c r="AA4957"/>
      <c r="AB4957"/>
      <c r="AC4957"/>
      <c r="AD4957"/>
      <c r="AE4957"/>
      <c r="AF4957"/>
      <c r="AG4957"/>
      <c r="AH4957"/>
      <c r="AI4957"/>
      <c r="AJ4957"/>
      <c r="AK4957"/>
      <c r="AL4957"/>
    </row>
    <row r="4958" spans="1:38" ht="15.75" customHeight="1" outlineLevel="1" x14ac:dyDescent="0.2">
      <c r="A4958" s="1067">
        <v>1</v>
      </c>
      <c r="B4958" s="1067" t="s">
        <v>68</v>
      </c>
      <c r="C4958" s="1067" t="s">
        <v>1050</v>
      </c>
      <c r="D4958" s="1067" t="s">
        <v>1050</v>
      </c>
      <c r="E4958" s="1068" t="s">
        <v>113</v>
      </c>
      <c r="F4958" s="1067"/>
      <c r="G4958" s="1069" t="str">
        <f t="array" ref="G4958">IF(B4958="insumo",_xlfn.XLOOKUP($D4958,Insumos!$B$1:$B$996,Insumos!$D$1:$D$996),"")</f>
        <v/>
      </c>
      <c r="H4958" s="1069">
        <v>7.3973000000000004</v>
      </c>
      <c r="I4958" s="1070">
        <v>0</v>
      </c>
      <c r="J4958" s="1070">
        <v>0</v>
      </c>
      <c r="K4958" s="1070"/>
      <c r="L4958"/>
      <c r="M4958"/>
      <c r="N4958"/>
      <c r="O4958"/>
      <c r="P4958"/>
      <c r="Q4958"/>
      <c r="R4958"/>
      <c r="S4958"/>
      <c r="T4958"/>
      <c r="U4958"/>
      <c r="V4958"/>
      <c r="W4958"/>
      <c r="X4958"/>
      <c r="Y4958"/>
      <c r="Z4958"/>
      <c r="AA4958"/>
      <c r="AB4958"/>
      <c r="AC4958"/>
      <c r="AD4958"/>
      <c r="AE4958"/>
      <c r="AF4958"/>
      <c r="AG4958"/>
      <c r="AH4958"/>
      <c r="AI4958"/>
      <c r="AJ4958"/>
      <c r="AK4958"/>
      <c r="AL4958"/>
    </row>
    <row r="4959" spans="1:38" ht="15.75" customHeight="1" outlineLevel="2" x14ac:dyDescent="0.2">
      <c r="A4959" s="10">
        <v>4</v>
      </c>
      <c r="B4959" s="10" t="s">
        <v>71</v>
      </c>
      <c r="C4959" s="10" t="s">
        <v>1050</v>
      </c>
      <c r="D4959" s="10" t="s">
        <v>1042</v>
      </c>
      <c r="E4959" s="11" t="str">
        <f t="array" ref="E4959">_xlfn.XLOOKUP(D4959,Insumos!B:B,Insumos!C:$C)</f>
        <v>MÊS</v>
      </c>
      <c r="F4959" s="14">
        <v>5.4700000000000007E-4</v>
      </c>
      <c r="G4959" s="92">
        <f t="array" ref="G4959">IF(B4959="insumo",_xlfn.XLOOKUP($D4959,Insumos!$B$1:$B$996,Insumos!$D$1:$D$996),"")</f>
        <v>1500</v>
      </c>
      <c r="H4959" s="92">
        <v>0.82050000000000001</v>
      </c>
      <c r="I4959" s="13">
        <v>0</v>
      </c>
      <c r="J4959" s="13">
        <v>0</v>
      </c>
      <c r="K4959" s="13"/>
      <c r="L4959"/>
      <c r="M4959"/>
      <c r="N4959"/>
      <c r="O4959"/>
      <c r="P4959"/>
      <c r="Q4959"/>
      <c r="R4959"/>
      <c r="S4959"/>
      <c r="T4959"/>
      <c r="U4959"/>
      <c r="V4959"/>
      <c r="W4959"/>
      <c r="X4959"/>
      <c r="Y4959"/>
      <c r="Z4959"/>
      <c r="AA4959"/>
      <c r="AB4959"/>
      <c r="AC4959"/>
      <c r="AD4959"/>
      <c r="AE4959"/>
      <c r="AF4959"/>
      <c r="AG4959"/>
      <c r="AH4959"/>
      <c r="AI4959"/>
      <c r="AJ4959"/>
      <c r="AK4959"/>
      <c r="AL4959"/>
    </row>
    <row r="4960" spans="1:38" ht="15.75" customHeight="1" outlineLevel="2" x14ac:dyDescent="0.2">
      <c r="A4960" s="10">
        <v>4</v>
      </c>
      <c r="B4960" s="10" t="s">
        <v>71</v>
      </c>
      <c r="C4960" s="10" t="s">
        <v>1050</v>
      </c>
      <c r="D4960" s="10" t="s">
        <v>1043</v>
      </c>
      <c r="E4960" s="11" t="str">
        <f t="array" ref="E4960">_xlfn.XLOOKUP(D4960,Insumos!B:B,Insumos!C:$C)</f>
        <v>MÊS</v>
      </c>
      <c r="F4960" s="14">
        <v>2.5700000000000001E-4</v>
      </c>
      <c r="G4960" s="92">
        <f t="array" ref="G4960">IF(B4960="insumo",_xlfn.XLOOKUP($D4960,Insumos!$B$1:$B$996,Insumos!$D$1:$D$996),"")</f>
        <v>3200</v>
      </c>
      <c r="H4960" s="92">
        <v>0.82240000000000002</v>
      </c>
      <c r="I4960" s="13">
        <v>0</v>
      </c>
      <c r="J4960" s="13">
        <v>0</v>
      </c>
      <c r="K4960" s="13"/>
      <c r="L4960"/>
      <c r="M4960"/>
      <c r="N4960"/>
      <c r="O4960"/>
      <c r="P4960"/>
      <c r="Q4960"/>
      <c r="R4960"/>
      <c r="S4960"/>
      <c r="T4960"/>
      <c r="U4960"/>
      <c r="V4960"/>
      <c r="W4960"/>
      <c r="X4960"/>
      <c r="Y4960"/>
      <c r="Z4960"/>
      <c r="AA4960"/>
      <c r="AB4960"/>
      <c r="AC4960"/>
      <c r="AD4960"/>
      <c r="AE4960"/>
      <c r="AF4960"/>
      <c r="AG4960"/>
      <c r="AH4960"/>
      <c r="AI4960"/>
      <c r="AJ4960"/>
      <c r="AK4960"/>
      <c r="AL4960"/>
    </row>
    <row r="4961" spans="1:38" ht="15.75" customHeight="1" outlineLevel="2" x14ac:dyDescent="0.2">
      <c r="A4961" s="10">
        <v>7</v>
      </c>
      <c r="B4961" s="10" t="s">
        <v>71</v>
      </c>
      <c r="C4961" s="10" t="s">
        <v>1050</v>
      </c>
      <c r="D4961" s="10" t="s">
        <v>1044</v>
      </c>
      <c r="E4961" s="11" t="str">
        <f t="array" ref="E4961">_xlfn.XLOOKUP(D4961,Insumos!B:B,Insumos!C:$C)</f>
        <v>MÊS</v>
      </c>
      <c r="F4961" s="14">
        <v>3.57E-4</v>
      </c>
      <c r="G4961" s="92">
        <f t="array" ref="G4961">IF(B4961="insumo",_xlfn.XLOOKUP($D4961,Insumos!$B$1:$B$996,Insumos!$D$1:$D$996),"")</f>
        <v>3450</v>
      </c>
      <c r="H4961" s="92">
        <v>1.2316499999999999</v>
      </c>
      <c r="I4961" s="13">
        <v>0</v>
      </c>
      <c r="J4961" s="13">
        <v>0</v>
      </c>
      <c r="K4961" s="13"/>
      <c r="L4961"/>
      <c r="M4961"/>
      <c r="N4961"/>
      <c r="O4961"/>
      <c r="P4961"/>
      <c r="Q4961"/>
      <c r="R4961"/>
      <c r="S4961"/>
      <c r="T4961"/>
      <c r="U4961"/>
      <c r="V4961"/>
      <c r="W4961"/>
      <c r="X4961"/>
      <c r="Y4961"/>
      <c r="Z4961"/>
      <c r="AA4961"/>
      <c r="AB4961"/>
      <c r="AC4961"/>
      <c r="AD4961"/>
      <c r="AE4961"/>
      <c r="AF4961"/>
      <c r="AG4961"/>
      <c r="AH4961"/>
      <c r="AI4961"/>
      <c r="AJ4961"/>
      <c r="AK4961"/>
      <c r="AL4961"/>
    </row>
    <row r="4962" spans="1:38" ht="15.75" customHeight="1" outlineLevel="2" x14ac:dyDescent="0.2">
      <c r="A4962" s="10">
        <v>4</v>
      </c>
      <c r="B4962" s="10" t="s">
        <v>71</v>
      </c>
      <c r="C4962" s="10" t="s">
        <v>1050</v>
      </c>
      <c r="D4962" s="10" t="s">
        <v>1045</v>
      </c>
      <c r="E4962" s="11" t="str">
        <f t="array" ref="E4962">_xlfn.XLOOKUP(D4962,Insumos!B:B,Insumos!C:$C)</f>
        <v>MÊS</v>
      </c>
      <c r="F4962" s="14">
        <v>2.4600000000000002E-4</v>
      </c>
      <c r="G4962" s="92">
        <f t="array" ref="G4962">IF(B4962="insumo",_xlfn.XLOOKUP($D4962,Insumos!$B$1:$B$996,Insumos!$D$1:$D$996),"")</f>
        <v>5000</v>
      </c>
      <c r="H4962" s="92">
        <v>1.23</v>
      </c>
      <c r="I4962" s="13">
        <v>0</v>
      </c>
      <c r="J4962" s="13">
        <v>0</v>
      </c>
      <c r="K4962" s="13"/>
      <c r="L4962"/>
      <c r="M4962"/>
      <c r="N4962"/>
      <c r="O4962"/>
      <c r="P4962"/>
      <c r="Q4962"/>
      <c r="R4962"/>
      <c r="S4962"/>
      <c r="T4962"/>
      <c r="U4962"/>
      <c r="V4962"/>
      <c r="W4962"/>
      <c r="X4962"/>
      <c r="Y4962"/>
      <c r="Z4962"/>
      <c r="AA4962"/>
      <c r="AB4962"/>
      <c r="AC4962"/>
      <c r="AD4962"/>
      <c r="AE4962"/>
      <c r="AF4962"/>
      <c r="AG4962"/>
      <c r="AH4962"/>
      <c r="AI4962"/>
      <c r="AJ4962"/>
      <c r="AK4962"/>
      <c r="AL4962"/>
    </row>
    <row r="4963" spans="1:38" ht="15.75" customHeight="1" outlineLevel="2" x14ac:dyDescent="0.2">
      <c r="A4963" s="10">
        <v>4</v>
      </c>
      <c r="B4963" s="10" t="s">
        <v>71</v>
      </c>
      <c r="C4963" s="10" t="s">
        <v>1050</v>
      </c>
      <c r="D4963" s="10" t="s">
        <v>1046</v>
      </c>
      <c r="E4963" s="11" t="str">
        <f t="array" ref="E4963">_xlfn.XLOOKUP(D4963,Insumos!B:B,Insumos!C:$C)</f>
        <v>MÊS</v>
      </c>
      <c r="F4963" s="14">
        <v>1.8100000000000001E-4</v>
      </c>
      <c r="G4963" s="92">
        <f t="array" ref="G4963">IF(B4963="insumo",_xlfn.XLOOKUP($D4963,Insumos!$B$1:$B$996,Insumos!$D$1:$D$996),"")</f>
        <v>4550</v>
      </c>
      <c r="H4963" s="92">
        <v>0.82355</v>
      </c>
      <c r="I4963" s="13">
        <v>0</v>
      </c>
      <c r="J4963" s="13">
        <v>0</v>
      </c>
      <c r="K4963" s="13"/>
      <c r="L4963"/>
      <c r="M4963"/>
      <c r="N4963"/>
      <c r="O4963"/>
      <c r="P4963"/>
      <c r="Q4963"/>
      <c r="R4963"/>
      <c r="S4963"/>
      <c r="T4963"/>
      <c r="U4963"/>
      <c r="V4963"/>
      <c r="W4963"/>
      <c r="X4963"/>
      <c r="Y4963"/>
      <c r="Z4963"/>
      <c r="AA4963"/>
      <c r="AB4963"/>
      <c r="AC4963"/>
      <c r="AD4963"/>
      <c r="AE4963"/>
      <c r="AF4963"/>
      <c r="AG4963"/>
      <c r="AH4963"/>
      <c r="AI4963"/>
      <c r="AJ4963"/>
      <c r="AK4963"/>
      <c r="AL4963"/>
    </row>
    <row r="4964" spans="1:38" ht="15.75" customHeight="1" outlineLevel="2" x14ac:dyDescent="0.2">
      <c r="A4964" s="10">
        <v>4</v>
      </c>
      <c r="B4964" s="10" t="s">
        <v>71</v>
      </c>
      <c r="C4964" s="10" t="s">
        <v>1050</v>
      </c>
      <c r="D4964" s="10" t="s">
        <v>1047</v>
      </c>
      <c r="E4964" s="11" t="str">
        <f t="array" ref="E4964">_xlfn.XLOOKUP(D4964,Insumos!B:B,Insumos!C:$C)</f>
        <v>MÊS</v>
      </c>
      <c r="F4964" s="14">
        <v>3.9199999999999999E-4</v>
      </c>
      <c r="G4964" s="92">
        <f t="array" ref="G4964">IF(B4964="insumo",_xlfn.XLOOKUP($D4964,Insumos!$B$1:$B$996,Insumos!$D$1:$D$996),"")</f>
        <v>4200</v>
      </c>
      <c r="H4964" s="92">
        <v>1.6464000000000001</v>
      </c>
      <c r="I4964" s="13">
        <v>0</v>
      </c>
      <c r="J4964" s="13">
        <v>0</v>
      </c>
      <c r="K4964" s="13"/>
      <c r="L4964"/>
      <c r="M4964"/>
      <c r="N4964"/>
      <c r="O4964"/>
      <c r="P4964"/>
      <c r="Q4964"/>
      <c r="R4964"/>
      <c r="S4964"/>
      <c r="T4964"/>
      <c r="U4964"/>
      <c r="V4964"/>
      <c r="W4964"/>
      <c r="X4964"/>
      <c r="Y4964"/>
      <c r="Z4964"/>
      <c r="AA4964"/>
      <c r="AB4964"/>
      <c r="AC4964"/>
      <c r="AD4964"/>
      <c r="AE4964"/>
      <c r="AF4964"/>
      <c r="AG4964"/>
      <c r="AH4964"/>
      <c r="AI4964"/>
      <c r="AJ4964"/>
      <c r="AK4964"/>
      <c r="AL4964"/>
    </row>
    <row r="4965" spans="1:38" ht="15.75" customHeight="1" outlineLevel="2" x14ac:dyDescent="0.2">
      <c r="A4965" s="10">
        <v>4</v>
      </c>
      <c r="B4965" s="10" t="s">
        <v>71</v>
      </c>
      <c r="C4965" s="10" t="s">
        <v>1050</v>
      </c>
      <c r="D4965" s="10" t="s">
        <v>1048</v>
      </c>
      <c r="E4965" s="11" t="str">
        <f t="array" ref="E4965">_xlfn.XLOOKUP(D4965,Insumos!B:B,Insumos!C:$C)</f>
        <v>MÊS</v>
      </c>
      <c r="F4965" s="14">
        <v>2.42E-4</v>
      </c>
      <c r="G4965" s="92">
        <f t="array" ref="G4965">IF(B4965="insumo",_xlfn.XLOOKUP($D4965,Insumos!$B$1:$B$996,Insumos!$D$1:$D$996),"")</f>
        <v>3400</v>
      </c>
      <c r="H4965" s="92">
        <v>0.82279999999999998</v>
      </c>
      <c r="I4965" s="13">
        <v>0</v>
      </c>
      <c r="J4965" s="13">
        <v>0</v>
      </c>
      <c r="K4965" s="13"/>
      <c r="L4965"/>
      <c r="M4965"/>
      <c r="N4965"/>
      <c r="O4965"/>
      <c r="P4965"/>
      <c r="Q4965"/>
      <c r="R4965"/>
      <c r="S4965"/>
      <c r="T4965"/>
      <c r="U4965"/>
      <c r="V4965"/>
      <c r="W4965"/>
      <c r="X4965"/>
      <c r="Y4965"/>
      <c r="Z4965"/>
      <c r="AA4965"/>
      <c r="AB4965"/>
      <c r="AC4965"/>
      <c r="AD4965"/>
      <c r="AE4965"/>
      <c r="AF4965"/>
      <c r="AG4965"/>
      <c r="AH4965"/>
      <c r="AI4965"/>
      <c r="AJ4965"/>
      <c r="AK4965"/>
      <c r="AL4965"/>
    </row>
    <row r="4966" spans="1:38" ht="15.75" customHeight="1" outlineLevel="1" x14ac:dyDescent="0.2">
      <c r="A4966" s="1067">
        <v>1</v>
      </c>
      <c r="B4966" s="1067" t="s">
        <v>68</v>
      </c>
      <c r="C4966" s="1067" t="s">
        <v>1051</v>
      </c>
      <c r="D4966" s="1067" t="s">
        <v>1051</v>
      </c>
      <c r="E4966" s="1068" t="s">
        <v>113</v>
      </c>
      <c r="F4966" s="1067"/>
      <c r="G4966" s="1069" t="str">
        <f t="array" ref="G4966">IF(B4966="insumo",_xlfn.XLOOKUP($D4966,Insumos!$B$1:$B$996,Insumos!$D$1:$D$996),"")</f>
        <v/>
      </c>
      <c r="H4966" s="1069">
        <v>12.3085</v>
      </c>
      <c r="I4966" s="1070">
        <v>0</v>
      </c>
      <c r="J4966" s="1070">
        <v>0</v>
      </c>
      <c r="K4966" s="1070"/>
      <c r="L4966"/>
      <c r="M4966"/>
      <c r="N4966"/>
      <c r="O4966"/>
      <c r="P4966"/>
      <c r="Q4966"/>
      <c r="R4966"/>
      <c r="S4966"/>
      <c r="T4966"/>
      <c r="U4966"/>
      <c r="V4966"/>
      <c r="W4966"/>
      <c r="X4966"/>
      <c r="Y4966"/>
      <c r="Z4966"/>
      <c r="AA4966"/>
      <c r="AB4966"/>
      <c r="AC4966"/>
      <c r="AD4966"/>
      <c r="AE4966"/>
      <c r="AF4966"/>
      <c r="AG4966"/>
      <c r="AH4966"/>
      <c r="AI4966"/>
      <c r="AJ4966"/>
      <c r="AK4966"/>
      <c r="AL4966"/>
    </row>
    <row r="4967" spans="1:38" ht="15.75" customHeight="1" outlineLevel="2" x14ac:dyDescent="0.2">
      <c r="A4967" s="10">
        <v>4</v>
      </c>
      <c r="B4967" s="10" t="s">
        <v>71</v>
      </c>
      <c r="C4967" s="10" t="s">
        <v>1051</v>
      </c>
      <c r="D4967" s="10" t="s">
        <v>1042</v>
      </c>
      <c r="E4967" s="11" t="str">
        <f t="array" ref="E4967">_xlfn.XLOOKUP(D4967,Insumos!B:B,Insumos!C:$C)</f>
        <v>MÊS</v>
      </c>
      <c r="F4967" s="14">
        <v>1.093E-3</v>
      </c>
      <c r="G4967" s="92">
        <f t="array" ref="G4967">IF(B4967="insumo",_xlfn.XLOOKUP($D4967,Insumos!$B$1:$B$996,Insumos!$D$1:$D$996),"")</f>
        <v>1500</v>
      </c>
      <c r="H4967" s="92">
        <v>1.6395</v>
      </c>
      <c r="I4967" s="13">
        <v>0</v>
      </c>
      <c r="J4967" s="13">
        <v>0</v>
      </c>
      <c r="K4967" s="13"/>
      <c r="L4967"/>
      <c r="M4967"/>
      <c r="N4967"/>
      <c r="O4967"/>
      <c r="P4967"/>
      <c r="Q4967"/>
      <c r="R4967"/>
      <c r="S4967"/>
      <c r="T4967"/>
      <c r="U4967"/>
      <c r="V4967"/>
      <c r="W4967"/>
      <c r="X4967"/>
      <c r="Y4967"/>
      <c r="Z4967"/>
      <c r="AA4967"/>
      <c r="AB4967"/>
      <c r="AC4967"/>
      <c r="AD4967"/>
      <c r="AE4967"/>
      <c r="AF4967"/>
      <c r="AG4967"/>
      <c r="AH4967"/>
      <c r="AI4967"/>
      <c r="AJ4967"/>
      <c r="AK4967"/>
      <c r="AL4967"/>
    </row>
    <row r="4968" spans="1:38" ht="15.75" customHeight="1" outlineLevel="2" x14ac:dyDescent="0.2">
      <c r="A4968" s="10">
        <v>4</v>
      </c>
      <c r="B4968" s="10" t="s">
        <v>71</v>
      </c>
      <c r="C4968" s="10" t="s">
        <v>1051</v>
      </c>
      <c r="D4968" s="10" t="s">
        <v>1043</v>
      </c>
      <c r="E4968" s="11" t="str">
        <f t="array" ref="E4968">_xlfn.XLOOKUP(D4968,Insumos!B:B,Insumos!C:$C)</f>
        <v>MÊS</v>
      </c>
      <c r="F4968" s="14">
        <v>5.13E-4</v>
      </c>
      <c r="G4968" s="92">
        <f t="array" ref="G4968">IF(B4968="insumo",_xlfn.XLOOKUP($D4968,Insumos!$B$1:$B$996,Insumos!$D$1:$D$996),"")</f>
        <v>3200</v>
      </c>
      <c r="H4968" s="92">
        <v>1.6415999999999999</v>
      </c>
      <c r="I4968" s="13">
        <v>0</v>
      </c>
      <c r="J4968" s="13">
        <v>0</v>
      </c>
      <c r="K4968" s="13"/>
      <c r="L4968"/>
      <c r="M4968"/>
      <c r="N4968"/>
      <c r="O4968"/>
      <c r="P4968"/>
      <c r="Q4968"/>
      <c r="R4968"/>
      <c r="S4968"/>
      <c r="T4968"/>
      <c r="U4968"/>
      <c r="V4968"/>
      <c r="W4968"/>
      <c r="X4968"/>
      <c r="Y4968"/>
      <c r="Z4968"/>
      <c r="AA4968"/>
      <c r="AB4968"/>
      <c r="AC4968"/>
      <c r="AD4968"/>
      <c r="AE4968"/>
      <c r="AF4968"/>
      <c r="AG4968"/>
      <c r="AH4968"/>
      <c r="AI4968"/>
      <c r="AJ4968"/>
      <c r="AK4968"/>
      <c r="AL4968"/>
    </row>
    <row r="4969" spans="1:38" ht="15.75" customHeight="1" outlineLevel="2" x14ac:dyDescent="0.2">
      <c r="A4969" s="10">
        <v>7</v>
      </c>
      <c r="B4969" s="10" t="s">
        <v>71</v>
      </c>
      <c r="C4969" s="10" t="s">
        <v>1051</v>
      </c>
      <c r="D4969" s="10" t="s">
        <v>1044</v>
      </c>
      <c r="E4969" s="11" t="str">
        <f t="array" ref="E4969">_xlfn.XLOOKUP(D4969,Insumos!B:B,Insumos!C:$C)</f>
        <v>MÊS</v>
      </c>
      <c r="F4969" s="14">
        <v>3.57E-4</v>
      </c>
      <c r="G4969" s="92">
        <f t="array" ref="G4969">IF(B4969="insumo",_xlfn.XLOOKUP($D4969,Insumos!$B$1:$B$996,Insumos!$D$1:$D$996),"")</f>
        <v>3450</v>
      </c>
      <c r="H4969" s="92">
        <v>1.2316499999999999</v>
      </c>
      <c r="I4969" s="13">
        <v>0</v>
      </c>
      <c r="J4969" s="13">
        <v>0</v>
      </c>
      <c r="K4969" s="13"/>
      <c r="L4969"/>
      <c r="M4969"/>
      <c r="N4969"/>
      <c r="O4969"/>
      <c r="P4969"/>
      <c r="Q4969"/>
      <c r="R4969"/>
      <c r="S4969"/>
      <c r="T4969"/>
      <c r="U4969"/>
      <c r="V4969"/>
      <c r="W4969"/>
      <c r="X4969"/>
      <c r="Y4969"/>
      <c r="Z4969"/>
      <c r="AA4969"/>
      <c r="AB4969"/>
      <c r="AC4969"/>
      <c r="AD4969"/>
      <c r="AE4969"/>
      <c r="AF4969"/>
      <c r="AG4969"/>
      <c r="AH4969"/>
      <c r="AI4969"/>
      <c r="AJ4969"/>
      <c r="AK4969"/>
      <c r="AL4969"/>
    </row>
    <row r="4970" spans="1:38" ht="15.75" customHeight="1" outlineLevel="2" x14ac:dyDescent="0.2">
      <c r="A4970" s="10">
        <v>4</v>
      </c>
      <c r="B4970" s="10" t="s">
        <v>71</v>
      </c>
      <c r="C4970" s="10" t="s">
        <v>1051</v>
      </c>
      <c r="D4970" s="10" t="s">
        <v>1045</v>
      </c>
      <c r="E4970" s="11" t="str">
        <f t="array" ref="E4970">_xlfn.XLOOKUP(D4970,Insumos!B:B,Insumos!C:$C)</f>
        <v>MÊS</v>
      </c>
      <c r="F4970" s="14">
        <v>2.4600000000000002E-4</v>
      </c>
      <c r="G4970" s="92">
        <f t="array" ref="G4970">IF(B4970="insumo",_xlfn.XLOOKUP($D4970,Insumos!$B$1:$B$996,Insumos!$D$1:$D$996),"")</f>
        <v>5000</v>
      </c>
      <c r="H4970" s="92">
        <v>1.23</v>
      </c>
      <c r="I4970" s="13">
        <v>0</v>
      </c>
      <c r="J4970" s="13">
        <v>0</v>
      </c>
      <c r="K4970" s="13"/>
      <c r="L4970"/>
      <c r="M4970"/>
      <c r="N4970"/>
      <c r="O4970"/>
      <c r="P4970"/>
      <c r="Q4970"/>
      <c r="R4970"/>
      <c r="S4970"/>
      <c r="T4970"/>
      <c r="U4970"/>
      <c r="V4970"/>
      <c r="W4970"/>
      <c r="X4970"/>
      <c r="Y4970"/>
      <c r="Z4970"/>
      <c r="AA4970"/>
      <c r="AB4970"/>
      <c r="AC4970"/>
      <c r="AD4970"/>
      <c r="AE4970"/>
      <c r="AF4970"/>
      <c r="AG4970"/>
      <c r="AH4970"/>
      <c r="AI4970"/>
      <c r="AJ4970"/>
      <c r="AK4970"/>
      <c r="AL4970"/>
    </row>
    <row r="4971" spans="1:38" ht="15.75" customHeight="1" outlineLevel="2" x14ac:dyDescent="0.2">
      <c r="A4971" s="10">
        <v>4</v>
      </c>
      <c r="B4971" s="10" t="s">
        <v>71</v>
      </c>
      <c r="C4971" s="10" t="s">
        <v>1051</v>
      </c>
      <c r="D4971" s="10" t="s">
        <v>1046</v>
      </c>
      <c r="E4971" s="11" t="str">
        <f t="array" ref="E4971">_xlfn.XLOOKUP(D4971,Insumos!B:B,Insumos!C:$C)</f>
        <v>MÊS</v>
      </c>
      <c r="F4971" s="14">
        <v>3.6100000000000005E-4</v>
      </c>
      <c r="G4971" s="92">
        <f t="array" ref="G4971">IF(B4971="insumo",_xlfn.XLOOKUP($D4971,Insumos!$B$1:$B$996,Insumos!$D$1:$D$996),"")</f>
        <v>4550</v>
      </c>
      <c r="H4971" s="92">
        <v>1.64255</v>
      </c>
      <c r="I4971" s="13">
        <v>0</v>
      </c>
      <c r="J4971" s="13">
        <v>0</v>
      </c>
      <c r="K4971" s="13"/>
      <c r="L4971"/>
      <c r="M4971"/>
      <c r="N4971"/>
      <c r="O4971"/>
      <c r="P4971"/>
      <c r="Q4971"/>
      <c r="R4971"/>
      <c r="S4971"/>
      <c r="T4971"/>
      <c r="U4971"/>
      <c r="V4971"/>
      <c r="W4971"/>
      <c r="X4971"/>
      <c r="Y4971"/>
      <c r="Z4971"/>
      <c r="AA4971"/>
      <c r="AB4971"/>
      <c r="AC4971"/>
      <c r="AD4971"/>
      <c r="AE4971"/>
      <c r="AF4971"/>
      <c r="AG4971"/>
      <c r="AH4971"/>
      <c r="AI4971"/>
      <c r="AJ4971"/>
      <c r="AK4971"/>
      <c r="AL4971"/>
    </row>
    <row r="4972" spans="1:38" ht="15.75" customHeight="1" outlineLevel="2" x14ac:dyDescent="0.2">
      <c r="A4972" s="10">
        <v>4</v>
      </c>
      <c r="B4972" s="10" t="s">
        <v>71</v>
      </c>
      <c r="C4972" s="10" t="s">
        <v>1051</v>
      </c>
      <c r="D4972" s="10" t="s">
        <v>1047</v>
      </c>
      <c r="E4972" s="11" t="str">
        <f t="array" ref="E4972">_xlfn.XLOOKUP(D4972,Insumos!B:B,Insumos!C:$C)</f>
        <v>MÊS</v>
      </c>
      <c r="F4972" s="14">
        <v>7.8200000000000003E-4</v>
      </c>
      <c r="G4972" s="92">
        <f t="array" ref="G4972">IF(B4972="insumo",_xlfn.XLOOKUP($D4972,Insumos!$B$1:$B$996,Insumos!$D$1:$D$996),"")</f>
        <v>4200</v>
      </c>
      <c r="H4972" s="92">
        <v>3.2844000000000002</v>
      </c>
      <c r="I4972" s="13">
        <v>0</v>
      </c>
      <c r="J4972" s="13">
        <v>0</v>
      </c>
      <c r="K4972" s="13"/>
      <c r="L4972"/>
      <c r="M4972"/>
      <c r="N4972"/>
      <c r="O4972"/>
      <c r="P4972"/>
      <c r="Q4972"/>
      <c r="R4972"/>
      <c r="S4972"/>
      <c r="T4972"/>
      <c r="U4972"/>
      <c r="V4972"/>
      <c r="W4972"/>
      <c r="X4972"/>
      <c r="Y4972"/>
      <c r="Z4972"/>
      <c r="AA4972"/>
      <c r="AB4972"/>
      <c r="AC4972"/>
      <c r="AD4972"/>
      <c r="AE4972"/>
      <c r="AF4972"/>
      <c r="AG4972"/>
      <c r="AH4972"/>
      <c r="AI4972"/>
      <c r="AJ4972"/>
      <c r="AK4972"/>
      <c r="AL4972"/>
    </row>
    <row r="4973" spans="1:38" ht="15.75" customHeight="1" outlineLevel="2" x14ac:dyDescent="0.2">
      <c r="A4973" s="10">
        <v>4</v>
      </c>
      <c r="B4973" s="10" t="s">
        <v>71</v>
      </c>
      <c r="C4973" s="10" t="s">
        <v>1051</v>
      </c>
      <c r="D4973" s="10" t="s">
        <v>1048</v>
      </c>
      <c r="E4973" s="11" t="str">
        <f t="array" ref="E4973">_xlfn.XLOOKUP(D4973,Insumos!B:B,Insumos!C:$C)</f>
        <v>MÊS</v>
      </c>
      <c r="F4973" s="14">
        <v>4.8200000000000001E-4</v>
      </c>
      <c r="G4973" s="92">
        <f t="array" ref="G4973">IF(B4973="insumo",_xlfn.XLOOKUP($D4973,Insumos!$B$1:$B$996,Insumos!$D$1:$D$996),"")</f>
        <v>3400</v>
      </c>
      <c r="H4973" s="92">
        <v>1.6388</v>
      </c>
      <c r="I4973" s="13">
        <v>0</v>
      </c>
      <c r="J4973" s="13">
        <v>0</v>
      </c>
      <c r="K4973" s="13"/>
      <c r="L4973"/>
      <c r="M4973"/>
      <c r="N4973"/>
      <c r="O4973"/>
      <c r="P4973"/>
      <c r="Q4973"/>
      <c r="R4973"/>
      <c r="S4973"/>
      <c r="T4973"/>
      <c r="U4973"/>
      <c r="V4973"/>
      <c r="W4973"/>
      <c r="X4973"/>
      <c r="Y4973"/>
      <c r="Z4973"/>
      <c r="AA4973"/>
      <c r="AB4973"/>
      <c r="AC4973"/>
      <c r="AD4973"/>
      <c r="AE4973"/>
      <c r="AF4973"/>
      <c r="AG4973"/>
      <c r="AH4973"/>
      <c r="AI4973"/>
      <c r="AJ4973"/>
      <c r="AK4973"/>
      <c r="AL4973"/>
    </row>
    <row r="4974" spans="1:38" ht="15.75" customHeight="1" outlineLevel="1" x14ac:dyDescent="0.2">
      <c r="A4974" s="1067">
        <v>1</v>
      </c>
      <c r="B4974" s="1067" t="s">
        <v>68</v>
      </c>
      <c r="C4974" s="1067" t="s">
        <v>1052</v>
      </c>
      <c r="D4974" s="1067" t="s">
        <v>1052</v>
      </c>
      <c r="E4974" s="1068" t="s">
        <v>113</v>
      </c>
      <c r="F4974" s="1067"/>
      <c r="G4974" s="1069" t="str">
        <f t="array" ref="G4974">IF(B4974="insumo",_xlfn.XLOOKUP($D4974,Insumos!$B$1:$B$996,Insumos!$D$1:$D$996),"")</f>
        <v/>
      </c>
      <c r="H4974" s="1069">
        <v>20.09</v>
      </c>
      <c r="I4974" s="1070">
        <v>0</v>
      </c>
      <c r="J4974" s="1070">
        <v>0</v>
      </c>
      <c r="K4974" s="1070"/>
      <c r="L4974"/>
      <c r="M4974"/>
      <c r="N4974"/>
      <c r="O4974"/>
      <c r="P4974"/>
      <c r="Q4974"/>
      <c r="R4974"/>
      <c r="S4974"/>
      <c r="T4974"/>
      <c r="U4974"/>
      <c r="V4974"/>
      <c r="W4974"/>
      <c r="X4974"/>
      <c r="Y4974"/>
      <c r="Z4974"/>
      <c r="AA4974"/>
      <c r="AB4974"/>
      <c r="AC4974"/>
      <c r="AD4974"/>
      <c r="AE4974"/>
      <c r="AF4974"/>
      <c r="AG4974"/>
      <c r="AH4974"/>
      <c r="AI4974"/>
      <c r="AJ4974"/>
      <c r="AK4974"/>
      <c r="AL4974"/>
    </row>
    <row r="4975" spans="1:38" ht="15.75" customHeight="1" outlineLevel="2" x14ac:dyDescent="0.2">
      <c r="A4975" s="10">
        <v>9</v>
      </c>
      <c r="B4975" s="10" t="s">
        <v>71</v>
      </c>
      <c r="C4975" s="10" t="s">
        <v>1052</v>
      </c>
      <c r="D4975" s="10" t="s">
        <v>74</v>
      </c>
      <c r="E4975" s="11" t="str">
        <f t="array" ref="E4975">_xlfn.XLOOKUP(D4975,Insumos!B:B,Insumos!C:$C)</f>
        <v>M3</v>
      </c>
      <c r="F4975" s="14">
        <v>4.1000000000000002E-2</v>
      </c>
      <c r="G4975" s="92">
        <f t="array" ref="G4975">IF(B4975="insumo",_xlfn.XLOOKUP($D4975,Insumos!$B$1:$B$996,Insumos!$D$1:$D$996),"")</f>
        <v>490</v>
      </c>
      <c r="H4975" s="92">
        <v>20.09</v>
      </c>
      <c r="I4975" s="13">
        <v>0</v>
      </c>
      <c r="J4975" s="13">
        <v>0</v>
      </c>
      <c r="K4975" s="13"/>
      <c r="L4975"/>
      <c r="M4975"/>
      <c r="N4975"/>
      <c r="O4975"/>
      <c r="P4975"/>
      <c r="Q4975"/>
      <c r="R4975"/>
      <c r="S4975"/>
      <c r="T4975"/>
      <c r="U4975"/>
      <c r="V4975"/>
      <c r="W4975"/>
      <c r="X4975"/>
      <c r="Y4975"/>
      <c r="Z4975"/>
      <c r="AA4975"/>
      <c r="AB4975"/>
      <c r="AC4975"/>
      <c r="AD4975"/>
      <c r="AE4975"/>
      <c r="AF4975"/>
      <c r="AG4975"/>
      <c r="AH4975"/>
      <c r="AI4975"/>
      <c r="AJ4975"/>
      <c r="AK4975"/>
      <c r="AL4975"/>
    </row>
    <row r="4976" spans="1:38" ht="12.75" outlineLevel="1" x14ac:dyDescent="0.2">
      <c r="A4976" s="1071">
        <v>1</v>
      </c>
      <c r="B4976" s="1071" t="s">
        <v>68</v>
      </c>
      <c r="C4976" s="1071" t="s">
        <v>776</v>
      </c>
      <c r="D4976" s="1071" t="s">
        <v>776</v>
      </c>
      <c r="E4976" s="1072" t="s">
        <v>70</v>
      </c>
      <c r="F4976" s="1071"/>
      <c r="G4976" s="1073" t="str">
        <f t="array" ref="G4976">IF(B4976="insumo",_xlfn.XLOOKUP($D4976,Insumos!$B$1:$B$996,Insumos!$D$1:$D$996),"")</f>
        <v/>
      </c>
      <c r="H4976" s="1073">
        <v>78.128686000000002</v>
      </c>
      <c r="I4976" s="1074">
        <v>0</v>
      </c>
      <c r="J4976" s="1074">
        <v>0</v>
      </c>
      <c r="K4976" s="1074"/>
      <c r="L4976"/>
      <c r="M4976"/>
      <c r="N4976"/>
      <c r="O4976"/>
      <c r="P4976"/>
      <c r="Q4976"/>
      <c r="R4976"/>
      <c r="S4976"/>
      <c r="T4976"/>
      <c r="U4976"/>
      <c r="V4976"/>
      <c r="W4976"/>
      <c r="X4976"/>
      <c r="Y4976"/>
      <c r="Z4976"/>
      <c r="AA4976"/>
      <c r="AB4976"/>
      <c r="AC4976"/>
      <c r="AD4976"/>
      <c r="AE4976"/>
      <c r="AF4976"/>
      <c r="AG4976"/>
      <c r="AH4976"/>
      <c r="AI4976"/>
      <c r="AJ4976"/>
      <c r="AK4976"/>
      <c r="AL4976"/>
    </row>
    <row r="4977" spans="1:38" ht="12.75" outlineLevel="2" x14ac:dyDescent="0.2">
      <c r="A4977" s="82">
        <v>2</v>
      </c>
      <c r="B4977" s="82" t="s">
        <v>71</v>
      </c>
      <c r="C4977" s="82" t="s">
        <v>776</v>
      </c>
      <c r="D4977" s="82" t="s">
        <v>733</v>
      </c>
      <c r="E4977" s="11" t="str">
        <f t="array" ref="E4977">_xlfn.XLOOKUP(D4977,Insumos!B:B,Insumos!C:$C)</f>
        <v>M2</v>
      </c>
      <c r="F4977" s="86">
        <v>1.05</v>
      </c>
      <c r="G4977" s="92">
        <f t="array" ref="G4977">IF(B4977="insumo",_xlfn.XLOOKUP($D4977,Insumos!$B$1:$B$996,Insumos!$D$1:$D$996),"")</f>
        <v>65.900000000000006</v>
      </c>
      <c r="H4977" s="92">
        <v>69.194999999999993</v>
      </c>
      <c r="I4977" s="84">
        <v>0</v>
      </c>
      <c r="J4977" s="84">
        <v>0</v>
      </c>
      <c r="K4977" s="84"/>
      <c r="L4977"/>
      <c r="M4977"/>
      <c r="N4977"/>
      <c r="O4977"/>
      <c r="P4977"/>
      <c r="Q4977"/>
      <c r="R4977"/>
      <c r="S4977"/>
      <c r="T4977"/>
      <c r="U4977"/>
      <c r="V4977"/>
      <c r="W4977"/>
      <c r="X4977"/>
      <c r="Y4977"/>
      <c r="Z4977"/>
      <c r="AA4977"/>
      <c r="AB4977"/>
      <c r="AC4977"/>
      <c r="AD4977"/>
      <c r="AE4977"/>
      <c r="AF4977"/>
      <c r="AG4977"/>
      <c r="AH4977"/>
      <c r="AI4977"/>
      <c r="AJ4977"/>
      <c r="AK4977"/>
      <c r="AL4977"/>
    </row>
    <row r="4978" spans="1:38" ht="12.75" outlineLevel="2" x14ac:dyDescent="0.2">
      <c r="A4978" s="82">
        <v>6</v>
      </c>
      <c r="B4978" s="82" t="s">
        <v>71</v>
      </c>
      <c r="C4978" s="82" t="s">
        <v>776</v>
      </c>
      <c r="D4978" s="82" t="s">
        <v>729</v>
      </c>
      <c r="E4978" s="11" t="str">
        <f t="array" ref="E4978">_xlfn.XLOOKUP(D4978,Insumos!B:B,Insumos!C:$C)</f>
        <v>M3</v>
      </c>
      <c r="F4978" s="86">
        <v>6.6E-3</v>
      </c>
      <c r="G4978" s="92">
        <f t="array" ref="G4978">IF(B4978="insumo",_xlfn.XLOOKUP($D4978,Insumos!$B$1:$B$996,Insumos!$D$1:$D$996),"")</f>
        <v>105.71</v>
      </c>
      <c r="H4978" s="92">
        <v>0.69768600000000003</v>
      </c>
      <c r="I4978" s="84">
        <v>0</v>
      </c>
      <c r="J4978" s="84">
        <v>0</v>
      </c>
      <c r="K4978" s="84"/>
      <c r="L4978"/>
      <c r="M4978"/>
      <c r="N4978"/>
      <c r="O4978"/>
      <c r="P4978"/>
      <c r="Q4978"/>
      <c r="R4978"/>
      <c r="S4978"/>
      <c r="T4978"/>
      <c r="U4978"/>
      <c r="V4978"/>
      <c r="W4978"/>
      <c r="X4978"/>
      <c r="Y4978"/>
      <c r="Z4978"/>
      <c r="AA4978"/>
      <c r="AB4978"/>
      <c r="AC4978"/>
      <c r="AD4978"/>
      <c r="AE4978"/>
      <c r="AF4978"/>
      <c r="AG4978"/>
      <c r="AH4978"/>
      <c r="AI4978"/>
      <c r="AJ4978"/>
      <c r="AK4978"/>
      <c r="AL4978"/>
    </row>
    <row r="4979" spans="1:38" ht="12.75" outlineLevel="2" x14ac:dyDescent="0.2">
      <c r="A4979" s="82">
        <v>8</v>
      </c>
      <c r="B4979" s="82" t="s">
        <v>71</v>
      </c>
      <c r="C4979" s="82" t="s">
        <v>776</v>
      </c>
      <c r="D4979" s="82" t="s">
        <v>443</v>
      </c>
      <c r="E4979" s="11" t="str">
        <f t="array" ref="E4979">_xlfn.XLOOKUP(D4979,Insumos!B:B,Insumos!C:$C)</f>
        <v>M3</v>
      </c>
      <c r="F4979" s="86">
        <v>5.6800000000000003E-2</v>
      </c>
      <c r="G4979" s="92">
        <f t="array" ref="G4979">IF(B4979="insumo",_xlfn.XLOOKUP($D4979,Insumos!$B$1:$B$996,Insumos!$D$1:$D$996),"")</f>
        <v>145</v>
      </c>
      <c r="H4979" s="92">
        <v>8.2360000000000007</v>
      </c>
      <c r="I4979" s="84">
        <v>0</v>
      </c>
      <c r="J4979" s="84">
        <v>0</v>
      </c>
      <c r="K4979" s="84"/>
      <c r="L4979"/>
      <c r="M4979"/>
      <c r="N4979"/>
      <c r="O4979"/>
      <c r="P4979"/>
      <c r="Q4979"/>
      <c r="R4979"/>
      <c r="S4979"/>
      <c r="T4979"/>
      <c r="U4979"/>
      <c r="V4979"/>
      <c r="W4979"/>
      <c r="X4979"/>
      <c r="Y4979"/>
      <c r="Z4979"/>
      <c r="AA4979"/>
      <c r="AB4979"/>
      <c r="AC4979"/>
      <c r="AD4979"/>
      <c r="AE4979"/>
      <c r="AF4979"/>
      <c r="AG4979"/>
      <c r="AH4979"/>
      <c r="AI4979"/>
      <c r="AJ4979"/>
      <c r="AK4979"/>
      <c r="AL4979"/>
    </row>
    <row r="4980" spans="1:38" ht="12.75" outlineLevel="1" x14ac:dyDescent="0.2">
      <c r="A4980" s="1071">
        <v>1</v>
      </c>
      <c r="B4980" s="1071" t="s">
        <v>68</v>
      </c>
      <c r="C4980" s="1071" t="s">
        <v>777</v>
      </c>
      <c r="D4980" s="1071" t="s">
        <v>777</v>
      </c>
      <c r="E4980" s="1072" t="s">
        <v>70</v>
      </c>
      <c r="F4980" s="1071"/>
      <c r="G4980" s="1073" t="str">
        <f t="array" ref="G4980">IF(B4980="insumo",_xlfn.XLOOKUP($D4980,Insumos!$B$1:$B$996,Insumos!$D$1:$D$996),"")</f>
        <v/>
      </c>
      <c r="H4980" s="1073">
        <v>116.978686</v>
      </c>
      <c r="I4980" s="1074">
        <v>0</v>
      </c>
      <c r="J4980" s="1074">
        <v>0</v>
      </c>
      <c r="K4980" s="1074"/>
      <c r="L4980"/>
      <c r="M4980"/>
      <c r="N4980"/>
      <c r="O4980"/>
      <c r="P4980"/>
      <c r="Q4980"/>
      <c r="R4980"/>
      <c r="S4980"/>
      <c r="T4980"/>
      <c r="U4980"/>
      <c r="V4980"/>
      <c r="W4980"/>
      <c r="X4980"/>
      <c r="Y4980"/>
      <c r="Z4980"/>
      <c r="AA4980"/>
      <c r="AB4980"/>
      <c r="AC4980"/>
      <c r="AD4980"/>
      <c r="AE4980"/>
      <c r="AF4980"/>
      <c r="AG4980"/>
      <c r="AH4980"/>
      <c r="AI4980"/>
      <c r="AJ4980"/>
      <c r="AK4980"/>
      <c r="AL4980"/>
    </row>
    <row r="4981" spans="1:38" ht="12.75" outlineLevel="2" x14ac:dyDescent="0.2">
      <c r="A4981" s="82">
        <v>1</v>
      </c>
      <c r="B4981" s="82" t="s">
        <v>71</v>
      </c>
      <c r="C4981" s="82" t="s">
        <v>777</v>
      </c>
      <c r="D4981" s="82" t="s">
        <v>778</v>
      </c>
      <c r="E4981" s="11" t="str">
        <f t="array" ref="E4981">_xlfn.XLOOKUP(D4981,Insumos!B:B,Insumos!C:$C)</f>
        <v>M2</v>
      </c>
      <c r="F4981" s="86">
        <v>1.05</v>
      </c>
      <c r="G4981" s="92">
        <f t="array" ref="G4981">IF(B4981="insumo",_xlfn.XLOOKUP($D4981,Insumos!$B$1:$B$996,Insumos!$D$1:$D$996),"")</f>
        <v>102.9</v>
      </c>
      <c r="H4981" s="92">
        <v>108.045</v>
      </c>
      <c r="I4981" s="84">
        <v>0</v>
      </c>
      <c r="J4981" s="84">
        <v>0</v>
      </c>
      <c r="K4981" s="84"/>
      <c r="L4981"/>
      <c r="M4981"/>
      <c r="N4981"/>
      <c r="O4981"/>
      <c r="P4981"/>
      <c r="Q4981"/>
      <c r="R4981"/>
      <c r="S4981"/>
      <c r="T4981"/>
      <c r="U4981"/>
      <c r="V4981"/>
      <c r="W4981"/>
      <c r="X4981"/>
      <c r="Y4981"/>
      <c r="Z4981"/>
      <c r="AA4981"/>
      <c r="AB4981"/>
      <c r="AC4981"/>
      <c r="AD4981"/>
      <c r="AE4981"/>
      <c r="AF4981"/>
      <c r="AG4981"/>
      <c r="AH4981"/>
      <c r="AI4981"/>
      <c r="AJ4981"/>
      <c r="AK4981"/>
      <c r="AL4981"/>
    </row>
    <row r="4982" spans="1:38" ht="12.75" outlineLevel="2" x14ac:dyDescent="0.2">
      <c r="A4982" s="82">
        <v>6</v>
      </c>
      <c r="B4982" s="82" t="s">
        <v>71</v>
      </c>
      <c r="C4982" s="82" t="s">
        <v>777</v>
      </c>
      <c r="D4982" s="82" t="s">
        <v>729</v>
      </c>
      <c r="E4982" s="11" t="str">
        <f t="array" ref="E4982">_xlfn.XLOOKUP(D4982,Insumos!B:B,Insumos!C:$C)</f>
        <v>M3</v>
      </c>
      <c r="F4982" s="86">
        <v>6.6E-3</v>
      </c>
      <c r="G4982" s="92">
        <f t="array" ref="G4982">IF(B4982="insumo",_xlfn.XLOOKUP($D4982,Insumos!$B$1:$B$996,Insumos!$D$1:$D$996),"")</f>
        <v>105.71</v>
      </c>
      <c r="H4982" s="92">
        <v>0.69768600000000003</v>
      </c>
      <c r="I4982" s="84">
        <v>0</v>
      </c>
      <c r="J4982" s="84">
        <v>0</v>
      </c>
      <c r="K4982" s="84"/>
      <c r="L4982"/>
      <c r="M4982"/>
      <c r="N4982"/>
      <c r="O4982"/>
      <c r="P4982"/>
      <c r="Q4982"/>
      <c r="R4982"/>
      <c r="S4982"/>
      <c r="T4982"/>
      <c r="U4982"/>
      <c r="V4982"/>
      <c r="W4982"/>
      <c r="X4982"/>
      <c r="Y4982"/>
      <c r="Z4982"/>
      <c r="AA4982"/>
      <c r="AB4982"/>
      <c r="AC4982"/>
      <c r="AD4982"/>
      <c r="AE4982"/>
      <c r="AF4982"/>
      <c r="AG4982"/>
      <c r="AH4982"/>
      <c r="AI4982"/>
      <c r="AJ4982"/>
      <c r="AK4982"/>
      <c r="AL4982"/>
    </row>
    <row r="4983" spans="1:38" ht="12.75" outlineLevel="2" x14ac:dyDescent="0.2">
      <c r="A4983" s="82">
        <v>8</v>
      </c>
      <c r="B4983" s="82" t="s">
        <v>71</v>
      </c>
      <c r="C4983" s="82" t="s">
        <v>777</v>
      </c>
      <c r="D4983" s="82" t="s">
        <v>443</v>
      </c>
      <c r="E4983" s="11" t="str">
        <f t="array" ref="E4983">_xlfn.XLOOKUP(D4983,Insumos!B:B,Insumos!C:$C)</f>
        <v>M3</v>
      </c>
      <c r="F4983" s="86">
        <v>5.6800000000000003E-2</v>
      </c>
      <c r="G4983" s="92">
        <f t="array" ref="G4983">IF(B4983="insumo",_xlfn.XLOOKUP($D4983,Insumos!$B$1:$B$996,Insumos!$D$1:$D$996),"")</f>
        <v>145</v>
      </c>
      <c r="H4983" s="92">
        <v>8.2360000000000007</v>
      </c>
      <c r="I4983" s="84">
        <v>0</v>
      </c>
      <c r="J4983" s="84">
        <v>0</v>
      </c>
      <c r="K4983" s="84"/>
      <c r="L4983"/>
      <c r="M4983"/>
      <c r="N4983"/>
      <c r="O4983"/>
      <c r="P4983"/>
      <c r="Q4983"/>
      <c r="R4983"/>
      <c r="S4983"/>
      <c r="T4983"/>
      <c r="U4983"/>
      <c r="V4983"/>
      <c r="W4983"/>
      <c r="X4983"/>
      <c r="Y4983"/>
      <c r="Z4983"/>
      <c r="AA4983"/>
      <c r="AB4983"/>
      <c r="AC4983"/>
      <c r="AD4983"/>
      <c r="AE4983"/>
      <c r="AF4983"/>
      <c r="AG4983"/>
      <c r="AH4983"/>
      <c r="AI4983"/>
      <c r="AJ4983"/>
      <c r="AK4983"/>
      <c r="AL4983"/>
    </row>
    <row r="4984" spans="1:38" ht="15.75" customHeight="1" outlineLevel="1" x14ac:dyDescent="0.2">
      <c r="A4984" s="1067">
        <v>1</v>
      </c>
      <c r="B4984" s="1067" t="s">
        <v>68</v>
      </c>
      <c r="C4984" s="1067" t="s">
        <v>1053</v>
      </c>
      <c r="D4984" s="1067" t="s">
        <v>1053</v>
      </c>
      <c r="E4984" s="1068" t="s">
        <v>70</v>
      </c>
      <c r="F4984" s="1067"/>
      <c r="G4984" s="1069" t="str">
        <f t="array" ref="G4984">IF(B4984="insumo",_xlfn.XLOOKUP($D4984,Insumos!$B$1:$B$996,Insumos!$D$1:$D$996),"")</f>
        <v/>
      </c>
      <c r="H4984" s="1069">
        <v>898.24549999999999</v>
      </c>
      <c r="I4984" s="1070">
        <v>0</v>
      </c>
      <c r="J4984" s="1070">
        <v>0</v>
      </c>
      <c r="K4984" s="1070"/>
      <c r="L4984"/>
      <c r="M4984"/>
      <c r="N4984"/>
      <c r="O4984"/>
      <c r="P4984"/>
      <c r="Q4984"/>
      <c r="R4984"/>
      <c r="S4984"/>
      <c r="T4984"/>
      <c r="U4984"/>
      <c r="V4984"/>
      <c r="W4984"/>
      <c r="X4984"/>
      <c r="Y4984"/>
      <c r="Z4984"/>
      <c r="AA4984"/>
      <c r="AB4984"/>
      <c r="AC4984"/>
      <c r="AD4984"/>
      <c r="AE4984"/>
      <c r="AF4984"/>
      <c r="AG4984"/>
      <c r="AH4984"/>
      <c r="AI4984"/>
      <c r="AJ4984"/>
      <c r="AK4984"/>
      <c r="AL4984"/>
    </row>
    <row r="4985" spans="1:38" ht="15.75" customHeight="1" outlineLevel="2" x14ac:dyDescent="0.2">
      <c r="A4985" s="10">
        <v>10</v>
      </c>
      <c r="B4985" s="10" t="s">
        <v>71</v>
      </c>
      <c r="C4985" s="10" t="s">
        <v>1053</v>
      </c>
      <c r="D4985" s="10" t="s">
        <v>531</v>
      </c>
      <c r="E4985" s="11" t="str">
        <f t="array" ref="E4985">_xlfn.XLOOKUP(D4985,Insumos!B:B,Insumos!C:$C)</f>
        <v>M2</v>
      </c>
      <c r="F4985" s="14">
        <v>1.1000000000000001</v>
      </c>
      <c r="G4985" s="92">
        <f t="array" ref="G4985">IF(B4985="insumo",_xlfn.XLOOKUP($D4985,Insumos!$B$1:$B$996,Insumos!$D$1:$D$996),"")</f>
        <v>800</v>
      </c>
      <c r="H4985" s="92">
        <v>880</v>
      </c>
      <c r="I4985" s="13">
        <v>0</v>
      </c>
      <c r="J4985" s="13">
        <v>0</v>
      </c>
      <c r="K4985" s="13"/>
      <c r="L4985"/>
      <c r="M4985"/>
      <c r="N4985"/>
      <c r="O4985"/>
      <c r="P4985"/>
      <c r="Q4985"/>
      <c r="R4985"/>
      <c r="S4985"/>
      <c r="T4985"/>
      <c r="U4985"/>
      <c r="V4985"/>
      <c r="W4985"/>
      <c r="X4985"/>
      <c r="Y4985"/>
      <c r="Z4985"/>
      <c r="AA4985"/>
      <c r="AB4985"/>
      <c r="AC4985"/>
      <c r="AD4985"/>
      <c r="AE4985"/>
      <c r="AF4985"/>
      <c r="AG4985"/>
      <c r="AH4985"/>
      <c r="AI4985"/>
      <c r="AJ4985"/>
      <c r="AK4985"/>
      <c r="AL4985"/>
    </row>
    <row r="4986" spans="1:38" ht="15.75" customHeight="1" outlineLevel="2" x14ac:dyDescent="0.2">
      <c r="A4986" s="10">
        <v>191</v>
      </c>
      <c r="B4986" s="10" t="s">
        <v>71</v>
      </c>
      <c r="C4986" s="10" t="s">
        <v>1053</v>
      </c>
      <c r="D4986" s="10" t="s">
        <v>481</v>
      </c>
      <c r="E4986" s="11" t="str">
        <f t="array" ref="E4986">_xlfn.XLOOKUP(D4986,Insumos!B:B,Insumos!C:$C)</f>
        <v>KG</v>
      </c>
      <c r="F4986" s="14">
        <v>9</v>
      </c>
      <c r="G4986" s="92">
        <f t="array" ref="G4986">IF(B4986="insumo",_xlfn.XLOOKUP($D4986,Insumos!$B$1:$B$996,Insumos!$D$1:$D$996),"")</f>
        <v>1.0645</v>
      </c>
      <c r="H4986" s="92">
        <v>9.5805000000000007</v>
      </c>
      <c r="I4986" s="13">
        <v>0</v>
      </c>
      <c r="J4986" s="13">
        <v>0</v>
      </c>
      <c r="K4986" s="13"/>
      <c r="L4986"/>
      <c r="M4986"/>
      <c r="N4986"/>
      <c r="O4986"/>
      <c r="P4986"/>
      <c r="Q4986"/>
      <c r="R4986"/>
      <c r="S4986"/>
      <c r="T4986"/>
      <c r="U4986"/>
      <c r="V4986"/>
      <c r="W4986"/>
      <c r="X4986"/>
      <c r="Y4986"/>
      <c r="Z4986"/>
      <c r="AA4986"/>
      <c r="AB4986"/>
      <c r="AC4986"/>
      <c r="AD4986"/>
      <c r="AE4986"/>
      <c r="AF4986"/>
      <c r="AG4986"/>
      <c r="AH4986"/>
      <c r="AI4986"/>
      <c r="AJ4986"/>
      <c r="AK4986"/>
      <c r="AL4986"/>
    </row>
    <row r="4987" spans="1:38" ht="15.75" customHeight="1" outlineLevel="2" x14ac:dyDescent="0.2">
      <c r="A4987" s="10">
        <v>34</v>
      </c>
      <c r="B4987" s="10" t="s">
        <v>71</v>
      </c>
      <c r="C4987" s="10" t="s">
        <v>1053</v>
      </c>
      <c r="D4987" s="10" t="s">
        <v>538</v>
      </c>
      <c r="E4987" s="11" t="str">
        <f t="array" ref="E4987">_xlfn.XLOOKUP(D4987,Insumos!B:B,Insumos!C:$C)</f>
        <v>UN</v>
      </c>
      <c r="F4987" s="14">
        <v>0.5</v>
      </c>
      <c r="G4987" s="92">
        <f t="array" ref="G4987">IF(B4987="insumo",_xlfn.XLOOKUP($D4987,Insumos!$B$1:$B$996,Insumos!$D$1:$D$996),"")</f>
        <v>17.329999999999998</v>
      </c>
      <c r="H4987" s="92">
        <v>8.6649999999999991</v>
      </c>
      <c r="I4987" s="13">
        <v>0</v>
      </c>
      <c r="J4987" s="13">
        <v>0</v>
      </c>
      <c r="K4987" s="13"/>
      <c r="L4987"/>
      <c r="M4987"/>
      <c r="N4987"/>
      <c r="O4987"/>
      <c r="P4987"/>
      <c r="Q4987"/>
      <c r="R4987"/>
      <c r="S4987"/>
      <c r="T4987"/>
      <c r="U4987"/>
      <c r="V4987"/>
      <c r="W4987"/>
      <c r="X4987"/>
      <c r="Y4987"/>
      <c r="Z4987"/>
      <c r="AA4987"/>
      <c r="AB4987"/>
      <c r="AC4987"/>
      <c r="AD4987"/>
      <c r="AE4987"/>
      <c r="AF4987"/>
      <c r="AG4987"/>
      <c r="AH4987"/>
      <c r="AI4987"/>
      <c r="AJ4987"/>
      <c r="AK4987"/>
      <c r="AL4987"/>
    </row>
    <row r="4988" spans="1:38" ht="15.75" customHeight="1" outlineLevel="1" x14ac:dyDescent="0.2">
      <c r="A4988" s="1067">
        <v>1</v>
      </c>
      <c r="B4988" s="1067" t="s">
        <v>68</v>
      </c>
      <c r="C4988" s="1067" t="s">
        <v>1054</v>
      </c>
      <c r="D4988" s="1067" t="s">
        <v>1054</v>
      </c>
      <c r="E4988" s="1068" t="s">
        <v>70</v>
      </c>
      <c r="F4988" s="1067"/>
      <c r="G4988" s="1069" t="str">
        <f t="array" ref="G4988">IF(B4988="insumo",_xlfn.XLOOKUP($D4988,Insumos!$B$1:$B$996,Insumos!$D$1:$D$996),"")</f>
        <v/>
      </c>
      <c r="H4988" s="1069">
        <v>150</v>
      </c>
      <c r="I4988" s="1070">
        <v>0</v>
      </c>
      <c r="J4988" s="1070">
        <v>0</v>
      </c>
      <c r="K4988" s="1070"/>
      <c r="L4988"/>
      <c r="M4988"/>
      <c r="N4988"/>
      <c r="O4988"/>
      <c r="P4988"/>
      <c r="Q4988"/>
      <c r="R4988"/>
      <c r="S4988"/>
      <c r="T4988"/>
      <c r="U4988"/>
      <c r="V4988"/>
      <c r="W4988"/>
      <c r="X4988"/>
      <c r="Y4988"/>
      <c r="Z4988"/>
      <c r="AA4988"/>
      <c r="AB4988"/>
      <c r="AC4988"/>
      <c r="AD4988"/>
      <c r="AE4988"/>
      <c r="AF4988"/>
      <c r="AG4988"/>
      <c r="AH4988"/>
      <c r="AI4988"/>
      <c r="AJ4988"/>
      <c r="AK4988"/>
      <c r="AL4988"/>
    </row>
    <row r="4989" spans="1:38" ht="15.75" customHeight="1" outlineLevel="2" x14ac:dyDescent="0.2">
      <c r="A4989" s="10">
        <v>1</v>
      </c>
      <c r="B4989" s="10" t="s">
        <v>71</v>
      </c>
      <c r="C4989" s="10" t="s">
        <v>1054</v>
      </c>
      <c r="D4989" s="10" t="s">
        <v>1054</v>
      </c>
      <c r="E4989" s="11" t="str">
        <f t="array" ref="E4989">_xlfn.XLOOKUP(D4989,Insumos!B:B,Insumos!C:$C)</f>
        <v>M2</v>
      </c>
      <c r="F4989" s="14">
        <v>1</v>
      </c>
      <c r="G4989" s="92">
        <f t="array" ref="G4989">IF(B4989="insumo",_xlfn.XLOOKUP($D4989,Insumos!$B$1:$B$996,Insumos!$D$1:$D$996),"")</f>
        <v>150</v>
      </c>
      <c r="H4989" s="92">
        <v>150</v>
      </c>
      <c r="I4989" s="13">
        <v>0</v>
      </c>
      <c r="J4989" s="13">
        <v>0</v>
      </c>
      <c r="K4989" s="13"/>
      <c r="L4989"/>
      <c r="M4989"/>
      <c r="N4989"/>
      <c r="O4989"/>
      <c r="P4989"/>
      <c r="Q4989"/>
      <c r="R4989"/>
      <c r="S4989"/>
      <c r="T4989"/>
      <c r="U4989"/>
      <c r="V4989"/>
      <c r="W4989"/>
      <c r="X4989"/>
      <c r="Y4989"/>
      <c r="Z4989"/>
      <c r="AA4989"/>
      <c r="AB4989"/>
      <c r="AC4989"/>
      <c r="AD4989"/>
      <c r="AE4989"/>
      <c r="AF4989"/>
      <c r="AG4989"/>
      <c r="AH4989"/>
      <c r="AI4989"/>
      <c r="AJ4989"/>
      <c r="AK4989"/>
      <c r="AL4989"/>
    </row>
    <row r="4990" spans="1:38" ht="15.75" customHeight="1" outlineLevel="1" x14ac:dyDescent="0.2">
      <c r="A4990" s="1067">
        <v>1</v>
      </c>
      <c r="B4990" s="1067" t="s">
        <v>68</v>
      </c>
      <c r="C4990" s="1067" t="s">
        <v>1055</v>
      </c>
      <c r="D4990" s="1067" t="s">
        <v>1055</v>
      </c>
      <c r="E4990" s="1068" t="s">
        <v>113</v>
      </c>
      <c r="F4990" s="1067"/>
      <c r="G4990" s="1069" t="str">
        <f t="array" ref="G4990">IF(B4990="insumo",_xlfn.XLOOKUP($D4990,Insumos!$B$1:$B$996,Insumos!$D$1:$D$996),"")</f>
        <v/>
      </c>
      <c r="H4990" s="1069">
        <v>4.08</v>
      </c>
      <c r="I4990" s="1070">
        <v>0</v>
      </c>
      <c r="J4990" s="1070">
        <v>0</v>
      </c>
      <c r="K4990" s="1070"/>
      <c r="L4990"/>
      <c r="M4990"/>
      <c r="N4990"/>
      <c r="O4990"/>
      <c r="P4990"/>
      <c r="Q4990"/>
      <c r="R4990"/>
      <c r="S4990"/>
      <c r="T4990"/>
      <c r="U4990"/>
      <c r="V4990"/>
      <c r="W4990"/>
      <c r="X4990"/>
      <c r="Y4990"/>
      <c r="Z4990"/>
      <c r="AA4990"/>
      <c r="AB4990"/>
      <c r="AC4990"/>
      <c r="AD4990"/>
      <c r="AE4990"/>
      <c r="AF4990"/>
      <c r="AG4990"/>
      <c r="AH4990"/>
      <c r="AI4990"/>
      <c r="AJ4990"/>
      <c r="AK4990"/>
      <c r="AL4990"/>
    </row>
    <row r="4991" spans="1:38" ht="15.75" customHeight="1" outlineLevel="2" x14ac:dyDescent="0.2">
      <c r="A4991" s="10">
        <v>1</v>
      </c>
      <c r="B4991" s="10" t="s">
        <v>71</v>
      </c>
      <c r="C4991" s="10" t="s">
        <v>1055</v>
      </c>
      <c r="D4991" s="10" t="s">
        <v>1056</v>
      </c>
      <c r="E4991" s="11" t="str">
        <f t="array" ref="E4991">_xlfn.XLOOKUP(D4991,Insumos!B:B,Insumos!C:$C)</f>
        <v>MÊS</v>
      </c>
      <c r="F4991" s="14">
        <v>6.8000000000000005E-4</v>
      </c>
      <c r="G4991" s="92">
        <f t="array" ref="G4991">IF(B4991="insumo",_xlfn.XLOOKUP($D4991,Insumos!$B$1:$B$996,Insumos!$D$1:$D$996),"")</f>
        <v>1000</v>
      </c>
      <c r="H4991" s="92">
        <v>0.68</v>
      </c>
      <c r="I4991" s="13">
        <v>0</v>
      </c>
      <c r="J4991" s="13">
        <v>0</v>
      </c>
      <c r="K4991" s="13"/>
      <c r="L4991"/>
      <c r="M4991"/>
      <c r="N4991"/>
      <c r="O4991"/>
      <c r="P4991"/>
      <c r="Q4991"/>
      <c r="R4991"/>
      <c r="S4991"/>
      <c r="T4991"/>
      <c r="U4991"/>
      <c r="V4991"/>
      <c r="W4991"/>
      <c r="X4991"/>
      <c r="Y4991"/>
      <c r="Z4991"/>
      <c r="AA4991"/>
      <c r="AB4991"/>
      <c r="AC4991"/>
      <c r="AD4991"/>
      <c r="AE4991"/>
      <c r="AF4991"/>
      <c r="AG4991"/>
      <c r="AH4991"/>
      <c r="AI4991"/>
      <c r="AJ4991"/>
      <c r="AK4991"/>
      <c r="AL4991"/>
    </row>
    <row r="4992" spans="1:38" ht="15.75" customHeight="1" outlineLevel="2" x14ac:dyDescent="0.2">
      <c r="A4992" s="10">
        <v>1</v>
      </c>
      <c r="B4992" s="10" t="s">
        <v>71</v>
      </c>
      <c r="C4992" s="10" t="s">
        <v>1055</v>
      </c>
      <c r="D4992" s="10" t="s">
        <v>1057</v>
      </c>
      <c r="E4992" s="11" t="str">
        <f t="array" ref="E4992">_xlfn.XLOOKUP(D4992,Insumos!B:B,Insumos!C:$C)</f>
        <v>MÊS</v>
      </c>
      <c r="F4992" s="14">
        <v>4.5333333333333337E-4</v>
      </c>
      <c r="G4992" s="92">
        <f t="array" ref="G4992">IF(B4992="insumo",_xlfn.XLOOKUP($D4992,Insumos!$B$1:$B$996,Insumos!$D$1:$D$996),"")</f>
        <v>1500</v>
      </c>
      <c r="H4992" s="92">
        <v>0.68</v>
      </c>
      <c r="I4992" s="13">
        <v>0</v>
      </c>
      <c r="J4992" s="13">
        <v>0</v>
      </c>
      <c r="K4992" s="13"/>
      <c r="L4992"/>
      <c r="M4992"/>
      <c r="N4992"/>
      <c r="O4992"/>
      <c r="P4992"/>
      <c r="Q4992"/>
      <c r="R4992"/>
      <c r="S4992"/>
      <c r="T4992"/>
      <c r="U4992"/>
      <c r="V4992"/>
      <c r="W4992"/>
      <c r="X4992"/>
      <c r="Y4992"/>
      <c r="Z4992"/>
      <c r="AA4992"/>
      <c r="AB4992"/>
      <c r="AC4992"/>
      <c r="AD4992"/>
      <c r="AE4992"/>
      <c r="AF4992"/>
      <c r="AG4992"/>
      <c r="AH4992"/>
      <c r="AI4992"/>
      <c r="AJ4992"/>
      <c r="AK4992"/>
      <c r="AL4992"/>
    </row>
    <row r="4993" spans="1:38" ht="15.75" customHeight="1" outlineLevel="2" x14ac:dyDescent="0.2">
      <c r="A4993" s="10">
        <v>7</v>
      </c>
      <c r="B4993" s="10" t="s">
        <v>71</v>
      </c>
      <c r="C4993" s="10" t="s">
        <v>1055</v>
      </c>
      <c r="D4993" s="10" t="s">
        <v>1044</v>
      </c>
      <c r="E4993" s="11" t="str">
        <f t="array" ref="E4993">_xlfn.XLOOKUP(D4993,Insumos!B:B,Insumos!C:$C)</f>
        <v>MÊS</v>
      </c>
      <c r="F4993" s="14">
        <v>1.9710144927536234E-4</v>
      </c>
      <c r="G4993" s="92">
        <f t="array" ref="G4993">IF(B4993="insumo",_xlfn.XLOOKUP($D4993,Insumos!$B$1:$B$996,Insumos!$D$1:$D$996),"")</f>
        <v>3450</v>
      </c>
      <c r="H4993" s="92">
        <v>0.68</v>
      </c>
      <c r="I4993" s="13">
        <v>0</v>
      </c>
      <c r="J4993" s="13">
        <v>0</v>
      </c>
      <c r="K4993" s="13"/>
      <c r="L4993"/>
      <c r="M4993"/>
      <c r="N4993"/>
      <c r="O4993"/>
      <c r="P4993"/>
      <c r="Q4993"/>
      <c r="R4993"/>
      <c r="S4993"/>
      <c r="T4993"/>
      <c r="U4993"/>
      <c r="V4993"/>
      <c r="W4993"/>
      <c r="X4993"/>
      <c r="Y4993"/>
      <c r="Z4993"/>
      <c r="AA4993"/>
      <c r="AB4993"/>
      <c r="AC4993"/>
      <c r="AD4993"/>
      <c r="AE4993"/>
      <c r="AF4993"/>
      <c r="AG4993"/>
      <c r="AH4993"/>
      <c r="AI4993"/>
      <c r="AJ4993"/>
      <c r="AK4993"/>
      <c r="AL4993"/>
    </row>
    <row r="4994" spans="1:38" ht="15.75" customHeight="1" outlineLevel="2" x14ac:dyDescent="0.2">
      <c r="A4994" s="10">
        <v>7</v>
      </c>
      <c r="B4994" s="10" t="s">
        <v>71</v>
      </c>
      <c r="C4994" s="10" t="s">
        <v>1055</v>
      </c>
      <c r="D4994" s="10" t="s">
        <v>1044</v>
      </c>
      <c r="E4994" s="11" t="str">
        <f t="array" ref="E4994">_xlfn.XLOOKUP(D4994,Insumos!B:B,Insumos!C:$C)</f>
        <v>MÊS</v>
      </c>
      <c r="F4994" s="14">
        <v>1.9710144927536234E-4</v>
      </c>
      <c r="G4994" s="92">
        <f t="array" ref="G4994">IF(B4994="insumo",_xlfn.XLOOKUP($D4994,Insumos!$B$1:$B$996,Insumos!$D$1:$D$996),"")</f>
        <v>3450</v>
      </c>
      <c r="H4994" s="92">
        <v>0.68</v>
      </c>
      <c r="I4994" s="13">
        <v>0</v>
      </c>
      <c r="J4994" s="13">
        <v>0</v>
      </c>
      <c r="K4994" s="13"/>
      <c r="L4994"/>
      <c r="M4994"/>
      <c r="N4994"/>
      <c r="O4994"/>
      <c r="P4994"/>
      <c r="Q4994"/>
      <c r="R4994"/>
      <c r="S4994"/>
      <c r="T4994"/>
      <c r="U4994"/>
      <c r="V4994"/>
      <c r="W4994"/>
      <c r="X4994"/>
      <c r="Y4994"/>
      <c r="Z4994"/>
      <c r="AA4994"/>
      <c r="AB4994"/>
      <c r="AC4994"/>
      <c r="AD4994"/>
      <c r="AE4994"/>
      <c r="AF4994"/>
      <c r="AG4994"/>
      <c r="AH4994"/>
      <c r="AI4994"/>
      <c r="AJ4994"/>
      <c r="AK4994"/>
      <c r="AL4994"/>
    </row>
    <row r="4995" spans="1:38" ht="15.75" customHeight="1" outlineLevel="2" x14ac:dyDescent="0.2">
      <c r="A4995" s="10">
        <v>1</v>
      </c>
      <c r="B4995" s="10" t="s">
        <v>71</v>
      </c>
      <c r="C4995" s="10" t="s">
        <v>1055</v>
      </c>
      <c r="D4995" s="10" t="s">
        <v>1058</v>
      </c>
      <c r="E4995" s="11" t="str">
        <f t="array" ref="E4995">_xlfn.XLOOKUP(D4995,Insumos!B:B,Insumos!C:$C)</f>
        <v>MÊS</v>
      </c>
      <c r="F4995" s="14">
        <v>2.2666666666666668E-4</v>
      </c>
      <c r="G4995" s="92">
        <f t="array" ref="G4995">IF(B4995="insumo",_xlfn.XLOOKUP($D4995,Insumos!$B$1:$B$996,Insumos!$D$1:$D$996),"")</f>
        <v>3000</v>
      </c>
      <c r="H4995" s="92">
        <v>0.68</v>
      </c>
      <c r="I4995" s="13">
        <v>0</v>
      </c>
      <c r="J4995" s="13">
        <v>0</v>
      </c>
      <c r="K4995" s="13"/>
      <c r="L4995"/>
      <c r="M4995"/>
      <c r="N4995"/>
      <c r="O4995"/>
      <c r="P4995"/>
      <c r="Q4995"/>
      <c r="R4995"/>
      <c r="S4995"/>
      <c r="T4995"/>
      <c r="U4995"/>
      <c r="V4995"/>
      <c r="W4995"/>
      <c r="X4995"/>
      <c r="Y4995"/>
      <c r="Z4995"/>
      <c r="AA4995"/>
      <c r="AB4995"/>
      <c r="AC4995"/>
      <c r="AD4995"/>
      <c r="AE4995"/>
      <c r="AF4995"/>
      <c r="AG4995"/>
      <c r="AH4995"/>
      <c r="AI4995"/>
      <c r="AJ4995"/>
      <c r="AK4995"/>
      <c r="AL4995"/>
    </row>
    <row r="4996" spans="1:38" ht="15.75" customHeight="1" outlineLevel="2" x14ac:dyDescent="0.2">
      <c r="A4996" s="10">
        <v>1</v>
      </c>
      <c r="B4996" s="10" t="s">
        <v>71</v>
      </c>
      <c r="C4996" s="10" t="s">
        <v>1055</v>
      </c>
      <c r="D4996" s="10" t="s">
        <v>1059</v>
      </c>
      <c r="E4996" s="11" t="str">
        <f t="array" ref="E4996">_xlfn.XLOOKUP(D4996,Insumos!B:B,Insumos!C:$C)</f>
        <v>MÊS</v>
      </c>
      <c r="F4996" s="14">
        <v>2.8333333333333335E-4</v>
      </c>
      <c r="G4996" s="92">
        <f t="array" ref="G4996">IF(B4996="insumo",_xlfn.XLOOKUP($D4996,Insumos!$B$1:$B$996,Insumos!$D$1:$D$996),"")</f>
        <v>2400</v>
      </c>
      <c r="H4996" s="92">
        <v>0.68</v>
      </c>
      <c r="I4996" s="13">
        <v>0</v>
      </c>
      <c r="J4996" s="13">
        <v>0</v>
      </c>
      <c r="K4996" s="13"/>
      <c r="L4996"/>
      <c r="M4996"/>
      <c r="N4996"/>
      <c r="O4996"/>
      <c r="P4996"/>
      <c r="Q4996"/>
      <c r="R4996"/>
      <c r="S4996"/>
      <c r="T4996"/>
      <c r="U4996"/>
      <c r="V4996"/>
      <c r="W4996"/>
      <c r="X4996"/>
      <c r="Y4996"/>
      <c r="Z4996"/>
      <c r="AA4996"/>
      <c r="AB4996"/>
      <c r="AC4996"/>
      <c r="AD4996"/>
      <c r="AE4996"/>
      <c r="AF4996"/>
      <c r="AG4996"/>
      <c r="AH4996"/>
      <c r="AI4996"/>
      <c r="AJ4996"/>
      <c r="AK4996"/>
      <c r="AL4996"/>
    </row>
    <row r="4997" spans="1:38" ht="15.75" customHeight="1" outlineLevel="1" x14ac:dyDescent="0.2">
      <c r="A4997" s="1067">
        <v>1</v>
      </c>
      <c r="B4997" s="1067" t="s">
        <v>68</v>
      </c>
      <c r="C4997" s="1067" t="s">
        <v>1060</v>
      </c>
      <c r="D4997" s="1067" t="s">
        <v>1060</v>
      </c>
      <c r="E4997" s="1068" t="s">
        <v>152</v>
      </c>
      <c r="F4997" s="1067"/>
      <c r="G4997" s="1069" t="str">
        <f t="array" ref="G4997">IF(B4997="insumo",_xlfn.XLOOKUP($D4997,Insumos!$B$1:$B$996,Insumos!$D$1:$D$996),"")</f>
        <v/>
      </c>
      <c r="H4997" s="1069">
        <v>150.15</v>
      </c>
      <c r="I4997" s="1070">
        <v>0</v>
      </c>
      <c r="J4997" s="1070">
        <v>0</v>
      </c>
      <c r="K4997" s="1070"/>
      <c r="L4997"/>
      <c r="M4997"/>
      <c r="N4997"/>
      <c r="O4997"/>
      <c r="P4997"/>
      <c r="Q4997"/>
      <c r="R4997"/>
      <c r="S4997"/>
      <c r="T4997"/>
      <c r="U4997"/>
      <c r="V4997"/>
      <c r="W4997"/>
      <c r="X4997"/>
      <c r="Y4997"/>
      <c r="Z4997"/>
      <c r="AA4997"/>
      <c r="AB4997"/>
      <c r="AC4997"/>
      <c r="AD4997"/>
      <c r="AE4997"/>
      <c r="AF4997"/>
      <c r="AG4997"/>
      <c r="AH4997"/>
      <c r="AI4997"/>
      <c r="AJ4997"/>
      <c r="AK4997"/>
      <c r="AL4997"/>
    </row>
    <row r="4998" spans="1:38" ht="15.75" customHeight="1" outlineLevel="2" x14ac:dyDescent="0.2">
      <c r="A4998" s="10">
        <v>1</v>
      </c>
      <c r="B4998" s="10" t="s">
        <v>71</v>
      </c>
      <c r="C4998" s="10" t="s">
        <v>1060</v>
      </c>
      <c r="D4998" s="10" t="s">
        <v>1061</v>
      </c>
      <c r="E4998" s="11" t="str">
        <f t="array" ref="E4998">_xlfn.XLOOKUP(D4998,Insumos!B:B,Insumos!C:$C)</f>
        <v>M3</v>
      </c>
      <c r="F4998" s="14">
        <v>1.05</v>
      </c>
      <c r="G4998" s="92">
        <f t="array" ref="G4998">IF(B4998="insumo",_xlfn.XLOOKUP($D4998,Insumos!$B$1:$B$996,Insumos!$D$1:$D$996),"")</f>
        <v>143</v>
      </c>
      <c r="H4998" s="92">
        <v>150.15</v>
      </c>
      <c r="I4998" s="13">
        <v>0</v>
      </c>
      <c r="J4998" s="13">
        <v>0</v>
      </c>
      <c r="K4998" s="13"/>
      <c r="L4998"/>
      <c r="M4998"/>
      <c r="N4998"/>
      <c r="O4998"/>
      <c r="P4998"/>
      <c r="Q4998"/>
      <c r="R4998"/>
      <c r="S4998"/>
      <c r="T4998"/>
      <c r="U4998"/>
      <c r="V4998"/>
      <c r="W4998"/>
      <c r="X4998"/>
      <c r="Y4998"/>
      <c r="Z4998"/>
      <c r="AA4998"/>
      <c r="AB4998"/>
      <c r="AC4998"/>
      <c r="AD4998"/>
      <c r="AE4998"/>
      <c r="AF4998"/>
      <c r="AG4998"/>
      <c r="AH4998"/>
      <c r="AI4998"/>
      <c r="AJ4998"/>
      <c r="AK4998"/>
      <c r="AL4998"/>
    </row>
    <row r="4999" spans="1:38" ht="15.75" customHeight="1" outlineLevel="1" x14ac:dyDescent="0.2">
      <c r="A4999" s="1067">
        <v>1</v>
      </c>
      <c r="B4999" s="1067" t="s">
        <v>68</v>
      </c>
      <c r="C4999" s="1067" t="s">
        <v>1062</v>
      </c>
      <c r="D4999" s="1067" t="s">
        <v>1062</v>
      </c>
      <c r="E4999" s="1068" t="s">
        <v>152</v>
      </c>
      <c r="F4999" s="1067"/>
      <c r="G4999" s="1069" t="str">
        <f t="array" ref="G4999">IF(B4999="insumo",_xlfn.XLOOKUP($D4999,Insumos!$B$1:$B$996,Insumos!$D$1:$D$996),"")</f>
        <v/>
      </c>
      <c r="H4999" s="1069">
        <v>5.08</v>
      </c>
      <c r="I4999" s="1070">
        <v>0</v>
      </c>
      <c r="J4999" s="1070">
        <v>0</v>
      </c>
      <c r="K4999" s="1070"/>
      <c r="L4999"/>
      <c r="M4999"/>
      <c r="N4999"/>
      <c r="O4999"/>
      <c r="P4999"/>
      <c r="Q4999"/>
      <c r="R4999"/>
      <c r="S4999"/>
      <c r="T4999"/>
      <c r="U4999"/>
      <c r="V4999"/>
      <c r="W4999"/>
      <c r="X4999"/>
      <c r="Y4999"/>
      <c r="Z4999"/>
      <c r="AA4999"/>
      <c r="AB4999"/>
      <c r="AC4999"/>
      <c r="AD4999"/>
      <c r="AE4999"/>
      <c r="AF4999"/>
      <c r="AG4999"/>
      <c r="AH4999"/>
      <c r="AI4999"/>
      <c r="AJ4999"/>
      <c r="AK4999"/>
      <c r="AL4999"/>
    </row>
    <row r="5000" spans="1:38" ht="15.75" customHeight="1" outlineLevel="2" x14ac:dyDescent="0.2">
      <c r="A5000" s="10">
        <v>1</v>
      </c>
      <c r="B5000" s="10" t="s">
        <v>71</v>
      </c>
      <c r="C5000" s="10" t="s">
        <v>1062</v>
      </c>
      <c r="D5000" s="10" t="s">
        <v>1063</v>
      </c>
      <c r="E5000" s="11" t="str">
        <f t="array" ref="E5000">_xlfn.XLOOKUP(D5000,Insumos!B:B,Insumos!C:$C)</f>
        <v>MÊS</v>
      </c>
      <c r="F5000" s="14">
        <v>1.8142857142857145E-4</v>
      </c>
      <c r="G5000" s="92">
        <f t="array" ref="G5000">IF(B5000="insumo",_xlfn.XLOOKUP($D5000,Insumos!$B$1:$B$996,Insumos!$D$1:$D$996),"")</f>
        <v>4000</v>
      </c>
      <c r="H5000" s="92">
        <v>0.72571428571428598</v>
      </c>
      <c r="I5000" s="13">
        <v>0</v>
      </c>
      <c r="J5000" s="13">
        <v>0</v>
      </c>
      <c r="K5000" s="13"/>
      <c r="L5000"/>
      <c r="M5000"/>
      <c r="N5000"/>
      <c r="O5000"/>
      <c r="P5000"/>
      <c r="Q5000"/>
      <c r="R5000"/>
      <c r="S5000"/>
      <c r="T5000"/>
      <c r="U5000"/>
      <c r="V5000"/>
      <c r="W5000"/>
      <c r="X5000"/>
      <c r="Y5000"/>
      <c r="Z5000"/>
      <c r="AA5000"/>
      <c r="AB5000"/>
      <c r="AC5000"/>
      <c r="AD5000"/>
      <c r="AE5000"/>
      <c r="AF5000"/>
      <c r="AG5000"/>
      <c r="AH5000"/>
      <c r="AI5000"/>
      <c r="AJ5000"/>
      <c r="AK5000"/>
      <c r="AL5000"/>
    </row>
    <row r="5001" spans="1:38" ht="15.75" customHeight="1" outlineLevel="2" x14ac:dyDescent="0.2">
      <c r="A5001" s="10">
        <v>1</v>
      </c>
      <c r="B5001" s="10" t="s">
        <v>71</v>
      </c>
      <c r="C5001" s="10" t="s">
        <v>1062</v>
      </c>
      <c r="D5001" s="10" t="s">
        <v>1064</v>
      </c>
      <c r="E5001" s="11" t="str">
        <f t="array" ref="E5001">_xlfn.XLOOKUP(D5001,Insumos!B:B,Insumos!C:$C)</f>
        <v>MÊS</v>
      </c>
      <c r="F5001" s="14">
        <v>4.8380952380952383E-4</v>
      </c>
      <c r="G5001" s="92">
        <f t="array" ref="G5001">IF(B5001="insumo",_xlfn.XLOOKUP($D5001,Insumos!$B$1:$B$996,Insumos!$D$1:$D$996),"")</f>
        <v>1500</v>
      </c>
      <c r="H5001" s="92">
        <v>0.72571428571428598</v>
      </c>
      <c r="I5001" s="13">
        <v>0</v>
      </c>
      <c r="J5001" s="13">
        <v>0</v>
      </c>
      <c r="K5001" s="13"/>
      <c r="L5001"/>
      <c r="M5001"/>
      <c r="N5001"/>
      <c r="O5001"/>
      <c r="P5001"/>
      <c r="Q5001"/>
      <c r="R5001"/>
      <c r="S5001"/>
      <c r="T5001"/>
      <c r="U5001"/>
      <c r="V5001"/>
      <c r="W5001"/>
      <c r="X5001"/>
      <c r="Y5001"/>
      <c r="Z5001"/>
      <c r="AA5001"/>
      <c r="AB5001"/>
      <c r="AC5001"/>
      <c r="AD5001"/>
      <c r="AE5001"/>
      <c r="AF5001"/>
      <c r="AG5001"/>
      <c r="AH5001"/>
      <c r="AI5001"/>
      <c r="AJ5001"/>
      <c r="AK5001"/>
      <c r="AL5001"/>
    </row>
    <row r="5002" spans="1:38" ht="15.75" customHeight="1" outlineLevel="2" x14ac:dyDescent="0.2">
      <c r="A5002" s="10">
        <v>1</v>
      </c>
      <c r="B5002" s="10" t="s">
        <v>71</v>
      </c>
      <c r="C5002" s="10" t="s">
        <v>1062</v>
      </c>
      <c r="D5002" s="10" t="s">
        <v>1065</v>
      </c>
      <c r="E5002" s="11" t="str">
        <f t="array" ref="E5002">_xlfn.XLOOKUP(D5002,Insumos!B:B,Insumos!C:$C)</f>
        <v>MÊS</v>
      </c>
      <c r="F5002" s="14">
        <v>3.628571428571429E-4</v>
      </c>
      <c r="G5002" s="92">
        <f t="array" ref="G5002">IF(B5002="insumo",_xlfn.XLOOKUP($D5002,Insumos!$B$1:$B$996,Insumos!$D$1:$D$996),"")</f>
        <v>2000</v>
      </c>
      <c r="H5002" s="92">
        <v>0.72571428571428598</v>
      </c>
      <c r="I5002" s="13">
        <v>0</v>
      </c>
      <c r="J5002" s="13">
        <v>0</v>
      </c>
      <c r="K5002" s="13"/>
      <c r="L5002"/>
      <c r="M5002"/>
      <c r="N5002"/>
      <c r="O5002"/>
      <c r="P5002"/>
      <c r="Q5002"/>
      <c r="R5002"/>
      <c r="S5002"/>
      <c r="T5002"/>
      <c r="U5002"/>
      <c r="V5002"/>
      <c r="W5002"/>
      <c r="X5002"/>
      <c r="Y5002"/>
      <c r="Z5002"/>
      <c r="AA5002"/>
      <c r="AB5002"/>
      <c r="AC5002"/>
      <c r="AD5002"/>
      <c r="AE5002"/>
      <c r="AF5002"/>
      <c r="AG5002"/>
      <c r="AH5002"/>
      <c r="AI5002"/>
      <c r="AJ5002"/>
      <c r="AK5002"/>
      <c r="AL5002"/>
    </row>
    <row r="5003" spans="1:38" ht="15.75" customHeight="1" outlineLevel="2" x14ac:dyDescent="0.2">
      <c r="A5003" s="10">
        <v>7</v>
      </c>
      <c r="B5003" s="10" t="s">
        <v>71</v>
      </c>
      <c r="C5003" s="10" t="s">
        <v>1062</v>
      </c>
      <c r="D5003" s="10" t="s">
        <v>1044</v>
      </c>
      <c r="E5003" s="11" t="str">
        <f t="array" ref="E5003">_xlfn.XLOOKUP(D5003,Insumos!B:B,Insumos!C:$C)</f>
        <v>MÊS</v>
      </c>
      <c r="F5003" s="14">
        <v>2.10351966873706E-4</v>
      </c>
      <c r="G5003" s="92">
        <f t="array" ref="G5003">IF(B5003="insumo",_xlfn.XLOOKUP($D5003,Insumos!$B$1:$B$996,Insumos!$D$1:$D$996),"")</f>
        <v>3450</v>
      </c>
      <c r="H5003" s="92">
        <v>0.72571428571428598</v>
      </c>
      <c r="I5003" s="13">
        <v>0</v>
      </c>
      <c r="J5003" s="13">
        <v>0</v>
      </c>
      <c r="K5003" s="13"/>
      <c r="L5003"/>
      <c r="M5003"/>
      <c r="N5003"/>
      <c r="O5003"/>
      <c r="P5003"/>
      <c r="Q5003"/>
      <c r="R5003"/>
      <c r="S5003"/>
      <c r="T5003"/>
      <c r="U5003"/>
      <c r="V5003"/>
      <c r="W5003"/>
      <c r="X5003"/>
      <c r="Y5003"/>
      <c r="Z5003"/>
      <c r="AA5003"/>
      <c r="AB5003"/>
      <c r="AC5003"/>
      <c r="AD5003"/>
      <c r="AE5003"/>
      <c r="AF5003"/>
      <c r="AG5003"/>
      <c r="AH5003"/>
      <c r="AI5003"/>
      <c r="AJ5003"/>
      <c r="AK5003"/>
      <c r="AL5003"/>
    </row>
    <row r="5004" spans="1:38" ht="15.75" customHeight="1" outlineLevel="2" x14ac:dyDescent="0.2">
      <c r="A5004" s="10">
        <v>1</v>
      </c>
      <c r="B5004" s="10" t="s">
        <v>71</v>
      </c>
      <c r="C5004" s="10" t="s">
        <v>1062</v>
      </c>
      <c r="D5004" s="10" t="s">
        <v>1066</v>
      </c>
      <c r="E5004" s="11" t="str">
        <f t="array" ref="E5004">_xlfn.XLOOKUP(D5004,Insumos!B:B,Insumos!C:$C)</f>
        <v>MÊS</v>
      </c>
      <c r="F5004" s="14">
        <v>2.4190476190476192E-4</v>
      </c>
      <c r="G5004" s="92">
        <f t="array" ref="G5004">IF(B5004="insumo",_xlfn.XLOOKUP($D5004,Insumos!$B$1:$B$996,Insumos!$D$1:$D$996),"")</f>
        <v>3000</v>
      </c>
      <c r="H5004" s="92">
        <v>0.72571428571428598</v>
      </c>
      <c r="I5004" s="13">
        <v>0</v>
      </c>
      <c r="J5004" s="13">
        <v>0</v>
      </c>
      <c r="K5004" s="13"/>
      <c r="L5004"/>
      <c r="M5004"/>
      <c r="N5004"/>
      <c r="O5004"/>
      <c r="P5004"/>
      <c r="Q5004"/>
      <c r="R5004"/>
      <c r="S5004"/>
      <c r="T5004"/>
      <c r="U5004"/>
      <c r="V5004"/>
      <c r="W5004"/>
      <c r="X5004"/>
      <c r="Y5004"/>
      <c r="Z5004"/>
      <c r="AA5004"/>
      <c r="AB5004"/>
      <c r="AC5004"/>
      <c r="AD5004"/>
      <c r="AE5004"/>
      <c r="AF5004"/>
      <c r="AG5004"/>
      <c r="AH5004"/>
      <c r="AI5004"/>
      <c r="AJ5004"/>
      <c r="AK5004"/>
      <c r="AL5004"/>
    </row>
    <row r="5005" spans="1:38" ht="15.75" customHeight="1" outlineLevel="2" x14ac:dyDescent="0.2">
      <c r="A5005" s="10">
        <v>1</v>
      </c>
      <c r="B5005" s="10" t="s">
        <v>71</v>
      </c>
      <c r="C5005" s="10" t="s">
        <v>1062</v>
      </c>
      <c r="D5005" s="10" t="s">
        <v>1067</v>
      </c>
      <c r="E5005" s="11" t="str">
        <f t="array" ref="E5005">_xlfn.XLOOKUP(D5005,Insumos!B:B,Insumos!C:$C)</f>
        <v>MÊS</v>
      </c>
      <c r="F5005" s="14">
        <v>3.0238095238095241E-4</v>
      </c>
      <c r="G5005" s="92">
        <f t="array" ref="G5005">IF(B5005="insumo",_xlfn.XLOOKUP($D5005,Insumos!$B$1:$B$996,Insumos!$D$1:$D$996),"")</f>
        <v>2400</v>
      </c>
      <c r="H5005" s="92">
        <v>0.72571428571428598</v>
      </c>
      <c r="I5005" s="13">
        <v>0</v>
      </c>
      <c r="J5005" s="13">
        <v>0</v>
      </c>
      <c r="K5005" s="13"/>
      <c r="L5005"/>
      <c r="M5005"/>
      <c r="N5005"/>
      <c r="O5005"/>
      <c r="P5005"/>
      <c r="Q5005"/>
      <c r="R5005"/>
      <c r="S5005"/>
      <c r="T5005"/>
      <c r="U5005"/>
      <c r="V5005"/>
      <c r="W5005"/>
      <c r="X5005"/>
      <c r="Y5005"/>
      <c r="Z5005"/>
      <c r="AA5005"/>
      <c r="AB5005"/>
      <c r="AC5005"/>
      <c r="AD5005"/>
      <c r="AE5005"/>
      <c r="AF5005"/>
      <c r="AG5005"/>
      <c r="AH5005"/>
      <c r="AI5005"/>
      <c r="AJ5005"/>
      <c r="AK5005"/>
      <c r="AL5005"/>
    </row>
    <row r="5006" spans="1:38" ht="15.75" customHeight="1" outlineLevel="2" x14ac:dyDescent="0.2">
      <c r="A5006" s="10">
        <v>1</v>
      </c>
      <c r="B5006" s="10" t="s">
        <v>71</v>
      </c>
      <c r="C5006" s="10" t="s">
        <v>1062</v>
      </c>
      <c r="D5006" s="10" t="s">
        <v>1068</v>
      </c>
      <c r="E5006" s="11" t="str">
        <f t="array" ref="E5006">_xlfn.XLOOKUP(D5006,Insumos!B:B,Insumos!C:$C)</f>
        <v>MÊS</v>
      </c>
      <c r="F5006" s="14">
        <v>1.1164835164835164E-4</v>
      </c>
      <c r="G5006" s="92">
        <f t="array" ref="G5006">IF(B5006="insumo",_xlfn.XLOOKUP($D5006,Insumos!$B$1:$B$996,Insumos!$D$1:$D$996),"")</f>
        <v>6500</v>
      </c>
      <c r="H5006" s="92">
        <v>0.72571428571428598</v>
      </c>
      <c r="I5006" s="13">
        <v>0</v>
      </c>
      <c r="J5006" s="13">
        <v>0</v>
      </c>
      <c r="K5006" s="13"/>
      <c r="L5006"/>
      <c r="M5006"/>
      <c r="N5006"/>
      <c r="O5006"/>
      <c r="P5006"/>
      <c r="Q5006"/>
      <c r="R5006"/>
      <c r="S5006"/>
      <c r="T5006"/>
      <c r="U5006"/>
      <c r="V5006"/>
      <c r="W5006"/>
      <c r="X5006"/>
      <c r="Y5006"/>
      <c r="Z5006"/>
      <c r="AA5006"/>
      <c r="AB5006"/>
      <c r="AC5006"/>
      <c r="AD5006"/>
      <c r="AE5006"/>
      <c r="AF5006"/>
      <c r="AG5006"/>
      <c r="AH5006"/>
      <c r="AI5006"/>
      <c r="AJ5006"/>
      <c r="AK5006"/>
      <c r="AL5006"/>
    </row>
    <row r="5007" spans="1:38" ht="15.75" customHeight="1" outlineLevel="1" x14ac:dyDescent="0.2">
      <c r="A5007" s="1067">
        <v>1</v>
      </c>
      <c r="B5007" s="1067" t="s">
        <v>68</v>
      </c>
      <c r="C5007" s="1067" t="s">
        <v>1069</v>
      </c>
      <c r="D5007" s="1067" t="s">
        <v>1069</v>
      </c>
      <c r="E5007" s="1068" t="s">
        <v>70</v>
      </c>
      <c r="F5007" s="1067"/>
      <c r="G5007" s="1069" t="str">
        <f t="array" ref="G5007">IF(B5007="insumo",_xlfn.XLOOKUP($D5007,Insumos!$B$1:$B$996,Insumos!$D$1:$D$996),"")</f>
        <v/>
      </c>
      <c r="H5007" s="1069">
        <v>108.035</v>
      </c>
      <c r="I5007" s="1070">
        <v>0</v>
      </c>
      <c r="J5007" s="1070">
        <v>0</v>
      </c>
      <c r="K5007" s="1070"/>
      <c r="L5007"/>
      <c r="M5007"/>
      <c r="N5007"/>
      <c r="O5007"/>
      <c r="P5007"/>
      <c r="Q5007"/>
      <c r="R5007"/>
      <c r="S5007"/>
      <c r="T5007"/>
      <c r="U5007"/>
      <c r="V5007"/>
      <c r="W5007"/>
      <c r="X5007"/>
      <c r="Y5007"/>
      <c r="Z5007"/>
      <c r="AA5007"/>
      <c r="AB5007"/>
      <c r="AC5007"/>
      <c r="AD5007"/>
      <c r="AE5007"/>
      <c r="AF5007"/>
      <c r="AG5007"/>
      <c r="AH5007"/>
      <c r="AI5007"/>
      <c r="AJ5007"/>
      <c r="AK5007"/>
      <c r="AL5007"/>
    </row>
    <row r="5008" spans="1:38" ht="15.75" customHeight="1" outlineLevel="2" x14ac:dyDescent="0.2">
      <c r="A5008" s="10">
        <v>1</v>
      </c>
      <c r="B5008" s="10" t="s">
        <v>71</v>
      </c>
      <c r="C5008" s="10" t="s">
        <v>1069</v>
      </c>
      <c r="D5008" s="10" t="s">
        <v>1070</v>
      </c>
      <c r="E5008" s="11" t="str">
        <f t="array" ref="E5008">_xlfn.XLOOKUP(D5008,Insumos!B:B,Insumos!C:$C)</f>
        <v>M2</v>
      </c>
      <c r="F5008" s="14">
        <v>1.05</v>
      </c>
      <c r="G5008" s="92">
        <f t="array" ref="G5008">IF(B5008="insumo",_xlfn.XLOOKUP($D5008,Insumos!$B$1:$B$996,Insumos!$D$1:$D$996),"")</f>
        <v>75.900000000000006</v>
      </c>
      <c r="H5008" s="92">
        <v>79.694999999999993</v>
      </c>
      <c r="I5008" s="13">
        <v>0</v>
      </c>
      <c r="J5008" s="13">
        <v>0</v>
      </c>
      <c r="K5008" s="13"/>
      <c r="L5008"/>
      <c r="M5008"/>
      <c r="N5008"/>
      <c r="O5008"/>
      <c r="P5008"/>
      <c r="Q5008"/>
      <c r="R5008"/>
      <c r="S5008"/>
      <c r="T5008"/>
      <c r="U5008"/>
      <c r="V5008"/>
      <c r="W5008"/>
      <c r="X5008"/>
      <c r="Y5008"/>
      <c r="Z5008"/>
      <c r="AA5008"/>
      <c r="AB5008"/>
      <c r="AC5008"/>
      <c r="AD5008"/>
      <c r="AE5008"/>
      <c r="AF5008"/>
      <c r="AG5008"/>
      <c r="AH5008"/>
      <c r="AI5008"/>
      <c r="AJ5008"/>
      <c r="AK5008"/>
      <c r="AL5008"/>
    </row>
    <row r="5009" spans="1:38" ht="15.75" customHeight="1" outlineLevel="2" x14ac:dyDescent="0.2">
      <c r="A5009" s="10">
        <v>1</v>
      </c>
      <c r="B5009" s="10" t="s">
        <v>71</v>
      </c>
      <c r="C5009" s="10" t="s">
        <v>1069</v>
      </c>
      <c r="D5009" s="10" t="s">
        <v>1071</v>
      </c>
      <c r="E5009" s="11" t="str">
        <f t="array" ref="E5009">_xlfn.XLOOKUP(D5009,Insumos!B:B,Insumos!C:$C)</f>
        <v>M3</v>
      </c>
      <c r="F5009" s="14">
        <v>0.09</v>
      </c>
      <c r="G5009" s="92">
        <f t="array" ref="G5009">IF(B5009="insumo",_xlfn.XLOOKUP($D5009,Insumos!$B$1:$B$996,Insumos!$D$1:$D$996),"")</f>
        <v>300</v>
      </c>
      <c r="H5009" s="92">
        <v>27</v>
      </c>
      <c r="I5009" s="13">
        <v>0</v>
      </c>
      <c r="J5009" s="13">
        <v>0</v>
      </c>
      <c r="K5009" s="13"/>
      <c r="L5009"/>
      <c r="M5009"/>
      <c r="N5009"/>
      <c r="O5009"/>
      <c r="P5009"/>
      <c r="Q5009"/>
      <c r="R5009"/>
      <c r="S5009"/>
      <c r="T5009"/>
      <c r="U5009"/>
      <c r="V5009"/>
      <c r="W5009"/>
      <c r="X5009"/>
      <c r="Y5009"/>
      <c r="Z5009"/>
      <c r="AA5009"/>
      <c r="AB5009"/>
      <c r="AC5009"/>
      <c r="AD5009"/>
      <c r="AE5009"/>
      <c r="AF5009"/>
      <c r="AG5009"/>
      <c r="AH5009"/>
      <c r="AI5009"/>
      <c r="AJ5009"/>
      <c r="AK5009"/>
      <c r="AL5009"/>
    </row>
    <row r="5010" spans="1:38" ht="15.75" customHeight="1" outlineLevel="2" x14ac:dyDescent="0.2">
      <c r="A5010" s="10">
        <v>1</v>
      </c>
      <c r="B5010" s="10" t="s">
        <v>71</v>
      </c>
      <c r="C5010" s="10" t="s">
        <v>1069</v>
      </c>
      <c r="D5010" s="10" t="s">
        <v>1072</v>
      </c>
      <c r="E5010" s="11" t="str">
        <f t="array" ref="E5010">_xlfn.XLOOKUP(D5010,Insumos!B:B,Insumos!C:$C)</f>
        <v>M3</v>
      </c>
      <c r="F5010" s="14">
        <v>0.01</v>
      </c>
      <c r="G5010" s="92">
        <f t="array" ref="G5010">IF(B5010="insumo",_xlfn.XLOOKUP($D5010,Insumos!$B$1:$B$996,Insumos!$D$1:$D$996),"")</f>
        <v>134</v>
      </c>
      <c r="H5010" s="92">
        <v>1.34</v>
      </c>
      <c r="I5010" s="13">
        <v>0</v>
      </c>
      <c r="J5010" s="13">
        <v>0</v>
      </c>
      <c r="K5010" s="13"/>
      <c r="L5010"/>
      <c r="M5010"/>
      <c r="N5010"/>
      <c r="O5010"/>
      <c r="P5010"/>
      <c r="Q5010"/>
      <c r="R5010"/>
      <c r="S5010"/>
      <c r="T5010"/>
      <c r="U5010"/>
      <c r="V5010"/>
      <c r="W5010"/>
      <c r="X5010"/>
      <c r="Y5010"/>
      <c r="Z5010"/>
      <c r="AA5010"/>
      <c r="AB5010"/>
      <c r="AC5010"/>
      <c r="AD5010"/>
      <c r="AE5010"/>
      <c r="AF5010"/>
      <c r="AG5010"/>
      <c r="AH5010"/>
      <c r="AI5010"/>
      <c r="AJ5010"/>
      <c r="AK5010"/>
      <c r="AL5010"/>
    </row>
    <row r="5011" spans="1:38" ht="15.75" customHeight="1" outlineLevel="1" x14ac:dyDescent="0.2">
      <c r="A5011" s="1067">
        <v>1</v>
      </c>
      <c r="B5011" s="1067" t="s">
        <v>68</v>
      </c>
      <c r="C5011" s="1067" t="s">
        <v>1073</v>
      </c>
      <c r="D5011" s="1067" t="s">
        <v>1073</v>
      </c>
      <c r="E5011" s="1068" t="s">
        <v>70</v>
      </c>
      <c r="F5011" s="1067"/>
      <c r="G5011" s="1069" t="str">
        <f t="array" ref="G5011">IF(B5011="insumo",_xlfn.XLOOKUP($D5011,Insumos!$B$1:$B$996,Insumos!$D$1:$D$996),"")</f>
        <v/>
      </c>
      <c r="H5011" s="1069">
        <v>50</v>
      </c>
      <c r="I5011" s="1070">
        <v>0</v>
      </c>
      <c r="J5011" s="1070">
        <v>0</v>
      </c>
      <c r="K5011" s="1070"/>
      <c r="L5011"/>
      <c r="M5011"/>
      <c r="N5011"/>
      <c r="O5011"/>
      <c r="P5011"/>
      <c r="Q5011"/>
      <c r="R5011"/>
      <c r="S5011"/>
      <c r="T5011"/>
      <c r="U5011"/>
      <c r="V5011"/>
      <c r="W5011"/>
      <c r="X5011"/>
      <c r="Y5011"/>
      <c r="Z5011"/>
      <c r="AA5011"/>
      <c r="AB5011"/>
      <c r="AC5011"/>
      <c r="AD5011"/>
      <c r="AE5011"/>
      <c r="AF5011"/>
      <c r="AG5011"/>
      <c r="AH5011"/>
      <c r="AI5011"/>
      <c r="AJ5011"/>
      <c r="AK5011"/>
      <c r="AL5011"/>
    </row>
    <row r="5012" spans="1:38" ht="15.75" customHeight="1" outlineLevel="2" x14ac:dyDescent="0.2">
      <c r="A5012" s="10">
        <v>1</v>
      </c>
      <c r="B5012" s="10" t="s">
        <v>71</v>
      </c>
      <c r="C5012" s="10" t="s">
        <v>1073</v>
      </c>
      <c r="D5012" s="10" t="s">
        <v>1074</v>
      </c>
      <c r="E5012" s="11" t="str">
        <f t="array" ref="E5012">_xlfn.XLOOKUP(D5012,Insumos!B:B,Insumos!C:$C)</f>
        <v>M2</v>
      </c>
      <c r="F5012" s="14">
        <v>1</v>
      </c>
      <c r="G5012" s="92">
        <f t="array" ref="G5012">IF(B5012="insumo",_xlfn.XLOOKUP($D5012,Insumos!$B$1:$B$996,Insumos!$D$1:$D$996),"")</f>
        <v>50</v>
      </c>
      <c r="H5012" s="92">
        <v>50</v>
      </c>
      <c r="I5012" s="13">
        <v>0</v>
      </c>
      <c r="J5012" s="13">
        <v>0</v>
      </c>
      <c r="K5012" s="13"/>
      <c r="L5012"/>
      <c r="M5012"/>
      <c r="N5012"/>
      <c r="O5012"/>
      <c r="P5012"/>
      <c r="Q5012"/>
      <c r="R5012"/>
      <c r="S5012"/>
      <c r="T5012"/>
      <c r="U5012"/>
      <c r="V5012"/>
      <c r="W5012"/>
      <c r="X5012"/>
      <c r="Y5012"/>
      <c r="Z5012"/>
      <c r="AA5012"/>
      <c r="AB5012"/>
      <c r="AC5012"/>
      <c r="AD5012"/>
      <c r="AE5012"/>
      <c r="AF5012"/>
      <c r="AG5012"/>
      <c r="AH5012"/>
      <c r="AI5012"/>
      <c r="AJ5012"/>
      <c r="AK5012"/>
      <c r="AL5012"/>
    </row>
    <row r="5013" spans="1:38" ht="15.75" customHeight="1" outlineLevel="1" x14ac:dyDescent="0.2">
      <c r="A5013" s="1067">
        <v>1</v>
      </c>
      <c r="B5013" s="1067" t="s">
        <v>68</v>
      </c>
      <c r="C5013" s="1067" t="s">
        <v>1075</v>
      </c>
      <c r="D5013" s="1067" t="s">
        <v>1075</v>
      </c>
      <c r="E5013" s="1068" t="s">
        <v>70</v>
      </c>
      <c r="F5013" s="1067"/>
      <c r="G5013" s="1069" t="str">
        <f t="array" ref="G5013">IF(B5013="insumo",_xlfn.XLOOKUP($D5013,Insumos!$B$1:$B$996,Insumos!$D$1:$D$996),"")</f>
        <v/>
      </c>
      <c r="H5013" s="1069">
        <v>28.335750000000001</v>
      </c>
      <c r="I5013" s="1070">
        <v>0</v>
      </c>
      <c r="J5013" s="1070">
        <v>0</v>
      </c>
      <c r="K5013" s="1070"/>
      <c r="L5013"/>
      <c r="M5013"/>
      <c r="N5013"/>
      <c r="O5013"/>
      <c r="P5013"/>
      <c r="Q5013"/>
      <c r="R5013"/>
      <c r="S5013"/>
      <c r="T5013"/>
      <c r="U5013"/>
      <c r="V5013"/>
      <c r="W5013"/>
      <c r="X5013"/>
      <c r="Y5013"/>
      <c r="Z5013"/>
      <c r="AA5013"/>
      <c r="AB5013"/>
      <c r="AC5013"/>
      <c r="AD5013"/>
      <c r="AE5013"/>
      <c r="AF5013"/>
      <c r="AG5013"/>
      <c r="AH5013"/>
      <c r="AI5013"/>
      <c r="AJ5013"/>
      <c r="AK5013"/>
      <c r="AL5013"/>
    </row>
    <row r="5014" spans="1:38" ht="15.75" customHeight="1" outlineLevel="2" x14ac:dyDescent="0.2">
      <c r="A5014" s="10">
        <v>6</v>
      </c>
      <c r="B5014" s="10" t="s">
        <v>71</v>
      </c>
      <c r="C5014" s="10" t="s">
        <v>1075</v>
      </c>
      <c r="D5014" s="10" t="s">
        <v>756</v>
      </c>
      <c r="E5014" s="11" t="str">
        <f t="array" ref="E5014">_xlfn.XLOOKUP(D5014,Insumos!B:B,Insumos!C:$C)</f>
        <v>L</v>
      </c>
      <c r="F5014" s="14">
        <v>2.1000000000000001E-2</v>
      </c>
      <c r="G5014" s="92">
        <f t="array" ref="G5014">IF(B5014="insumo",_xlfn.XLOOKUP($D5014,Insumos!$B$1:$B$996,Insumos!$D$1:$D$996),"")</f>
        <v>21.99</v>
      </c>
      <c r="H5014" s="92">
        <v>0.46178999999999998</v>
      </c>
      <c r="I5014" s="13">
        <v>0</v>
      </c>
      <c r="J5014" s="13">
        <v>0</v>
      </c>
      <c r="K5014" s="13"/>
      <c r="L5014"/>
      <c r="M5014"/>
      <c r="N5014"/>
      <c r="O5014"/>
      <c r="P5014"/>
      <c r="Q5014"/>
      <c r="R5014"/>
      <c r="S5014"/>
      <c r="T5014"/>
      <c r="U5014"/>
      <c r="V5014"/>
      <c r="W5014"/>
      <c r="X5014"/>
      <c r="Y5014"/>
      <c r="Z5014"/>
      <c r="AA5014"/>
      <c r="AB5014"/>
      <c r="AC5014"/>
      <c r="AD5014"/>
      <c r="AE5014"/>
      <c r="AF5014"/>
      <c r="AG5014"/>
      <c r="AH5014"/>
      <c r="AI5014"/>
      <c r="AJ5014"/>
      <c r="AK5014"/>
      <c r="AL5014"/>
    </row>
    <row r="5015" spans="1:38" ht="15.75" customHeight="1" outlineLevel="2" x14ac:dyDescent="0.2">
      <c r="A5015" s="10">
        <v>2</v>
      </c>
      <c r="B5015" s="10" t="s">
        <v>71</v>
      </c>
      <c r="C5015" s="10" t="s">
        <v>1075</v>
      </c>
      <c r="D5015" s="10" t="s">
        <v>1076</v>
      </c>
      <c r="E5015" s="11" t="str">
        <f t="array" ref="E5015">_xlfn.XLOOKUP(D5015,Insumos!B:B,Insumos!C:$C)</f>
        <v>L</v>
      </c>
      <c r="F5015" s="14">
        <v>0.42699999999999999</v>
      </c>
      <c r="G5015" s="92">
        <f t="array" ref="G5015">IF(B5015="insumo",_xlfn.XLOOKUP($D5015,Insumos!$B$1:$B$996,Insumos!$D$1:$D$996),"")</f>
        <v>35.42</v>
      </c>
      <c r="H5015" s="92">
        <v>15.12434</v>
      </c>
      <c r="I5015" s="13">
        <v>0</v>
      </c>
      <c r="J5015" s="13">
        <v>0</v>
      </c>
      <c r="K5015" s="13"/>
      <c r="L5015"/>
      <c r="M5015"/>
      <c r="N5015"/>
      <c r="O5015"/>
      <c r="P5015"/>
      <c r="Q5015"/>
      <c r="R5015"/>
      <c r="S5015"/>
      <c r="T5015"/>
      <c r="U5015"/>
      <c r="V5015"/>
      <c r="W5015"/>
      <c r="X5015"/>
      <c r="Y5015"/>
      <c r="Z5015"/>
      <c r="AA5015"/>
      <c r="AB5015"/>
      <c r="AC5015"/>
      <c r="AD5015"/>
      <c r="AE5015"/>
      <c r="AF5015"/>
      <c r="AG5015"/>
      <c r="AH5015"/>
      <c r="AI5015"/>
      <c r="AJ5015"/>
      <c r="AK5015"/>
      <c r="AL5015"/>
    </row>
    <row r="5016" spans="1:38" ht="15.75" customHeight="1" outlineLevel="2" x14ac:dyDescent="0.2">
      <c r="A5016" s="10">
        <v>25</v>
      </c>
      <c r="B5016" s="10" t="s">
        <v>71</v>
      </c>
      <c r="C5016" s="10" t="s">
        <v>1075</v>
      </c>
      <c r="D5016" s="10" t="s">
        <v>750</v>
      </c>
      <c r="E5016" s="11" t="str">
        <f t="array" ref="E5016">_xlfn.XLOOKUP(D5016,Insumos!B:B,Insumos!C:$C)</f>
        <v>UN</v>
      </c>
      <c r="F5016" s="14">
        <v>1.2E-2</v>
      </c>
      <c r="G5016" s="92">
        <f t="array" ref="G5016">IF(B5016="insumo",_xlfn.XLOOKUP($D5016,Insumos!$B$1:$B$996,Insumos!$D$1:$D$996),"")</f>
        <v>11.26</v>
      </c>
      <c r="H5016" s="92">
        <v>0.13511999999999999</v>
      </c>
      <c r="I5016" s="13">
        <v>0</v>
      </c>
      <c r="J5016" s="13">
        <v>0</v>
      </c>
      <c r="K5016" s="13"/>
      <c r="L5016"/>
      <c r="M5016"/>
      <c r="N5016"/>
      <c r="O5016"/>
      <c r="P5016"/>
      <c r="Q5016"/>
      <c r="R5016"/>
      <c r="S5016"/>
      <c r="T5016"/>
      <c r="U5016"/>
      <c r="V5016"/>
      <c r="W5016"/>
      <c r="X5016"/>
      <c r="Y5016"/>
      <c r="Z5016"/>
      <c r="AA5016"/>
      <c r="AB5016"/>
      <c r="AC5016"/>
      <c r="AD5016"/>
      <c r="AE5016"/>
      <c r="AF5016"/>
      <c r="AG5016"/>
      <c r="AH5016"/>
      <c r="AI5016"/>
      <c r="AJ5016"/>
      <c r="AK5016"/>
      <c r="AL5016"/>
    </row>
    <row r="5017" spans="1:38" ht="15.75" customHeight="1" outlineLevel="2" x14ac:dyDescent="0.2">
      <c r="A5017" s="10">
        <v>2</v>
      </c>
      <c r="B5017" s="10" t="s">
        <v>71</v>
      </c>
      <c r="C5017" s="10" t="s">
        <v>1075</v>
      </c>
      <c r="D5017" s="10" t="s">
        <v>1077</v>
      </c>
      <c r="E5017" s="11" t="str">
        <f t="array" ref="E5017">_xlfn.XLOOKUP(D5017,Insumos!B:B,Insumos!C:$C)</f>
        <v>L</v>
      </c>
      <c r="F5017" s="14">
        <v>0.25</v>
      </c>
      <c r="G5017" s="92">
        <f t="array" ref="G5017">IF(B5017="insumo",_xlfn.XLOOKUP($D5017,Insumos!$B$1:$B$996,Insumos!$D$1:$D$996),"")</f>
        <v>40.25</v>
      </c>
      <c r="H5017" s="92">
        <v>10.0625</v>
      </c>
      <c r="I5017" s="13">
        <v>0</v>
      </c>
      <c r="J5017" s="13">
        <v>0</v>
      </c>
      <c r="K5017" s="13"/>
      <c r="L5017"/>
      <c r="M5017"/>
      <c r="N5017"/>
      <c r="O5017"/>
      <c r="P5017"/>
      <c r="Q5017"/>
      <c r="R5017"/>
      <c r="S5017"/>
      <c r="T5017"/>
      <c r="U5017"/>
      <c r="V5017"/>
      <c r="W5017"/>
      <c r="X5017"/>
      <c r="Y5017"/>
      <c r="Z5017"/>
      <c r="AA5017"/>
      <c r="AB5017"/>
      <c r="AC5017"/>
      <c r="AD5017"/>
      <c r="AE5017"/>
      <c r="AF5017"/>
      <c r="AG5017"/>
      <c r="AH5017"/>
      <c r="AI5017"/>
      <c r="AJ5017"/>
      <c r="AK5017"/>
      <c r="AL5017"/>
    </row>
    <row r="5018" spans="1:38" ht="15.75" customHeight="1" outlineLevel="2" x14ac:dyDescent="0.2">
      <c r="A5018" s="10">
        <v>2</v>
      </c>
      <c r="B5018" s="10" t="s">
        <v>71</v>
      </c>
      <c r="C5018" s="10" t="s">
        <v>1075</v>
      </c>
      <c r="D5018" s="10" t="s">
        <v>1078</v>
      </c>
      <c r="E5018" s="11" t="str">
        <f t="array" ref="E5018">_xlfn.XLOOKUP(D5018,Insumos!B:B,Insumos!C:$C)</f>
        <v>KG</v>
      </c>
      <c r="F5018" s="14">
        <v>0.11</v>
      </c>
      <c r="G5018" s="92">
        <f t="array" ref="G5018">IF(B5018="insumo",_xlfn.XLOOKUP($D5018,Insumos!$B$1:$B$996,Insumos!$D$1:$D$996),"")</f>
        <v>23.2</v>
      </c>
      <c r="H5018" s="92">
        <v>2.552</v>
      </c>
      <c r="I5018" s="13">
        <v>0</v>
      </c>
      <c r="J5018" s="13">
        <v>0</v>
      </c>
      <c r="K5018" s="13"/>
      <c r="L5018"/>
      <c r="M5018"/>
      <c r="N5018"/>
      <c r="O5018"/>
      <c r="P5018"/>
      <c r="Q5018"/>
      <c r="R5018"/>
      <c r="S5018"/>
      <c r="T5018"/>
      <c r="U5018"/>
      <c r="V5018"/>
      <c r="W5018"/>
      <c r="X5018"/>
      <c r="Y5018"/>
      <c r="Z5018"/>
      <c r="AA5018"/>
      <c r="AB5018"/>
      <c r="AC5018"/>
      <c r="AD5018"/>
      <c r="AE5018"/>
      <c r="AF5018"/>
      <c r="AG5018"/>
      <c r="AH5018"/>
      <c r="AI5018"/>
      <c r="AJ5018"/>
      <c r="AK5018"/>
      <c r="AL5018"/>
    </row>
    <row r="5019" spans="1:38" ht="15.75" customHeight="1" outlineLevel="1" x14ac:dyDescent="0.2">
      <c r="A5019" s="1067">
        <v>1</v>
      </c>
      <c r="B5019" s="1067" t="s">
        <v>68</v>
      </c>
      <c r="C5019" s="1067" t="s">
        <v>1079</v>
      </c>
      <c r="D5019" s="1067" t="s">
        <v>1079</v>
      </c>
      <c r="E5019" s="1068" t="s">
        <v>70</v>
      </c>
      <c r="F5019" s="1067"/>
      <c r="G5019" s="1069" t="str">
        <f t="array" ref="G5019">IF(B5019="insumo",_xlfn.XLOOKUP($D5019,Insumos!$B$1:$B$996,Insumos!$D$1:$D$996),"")</f>
        <v/>
      </c>
      <c r="H5019" s="1069">
        <v>2.8284899999999999</v>
      </c>
      <c r="I5019" s="1070">
        <v>0</v>
      </c>
      <c r="J5019" s="1070">
        <v>0</v>
      </c>
      <c r="K5019" s="1070"/>
      <c r="L5019"/>
      <c r="M5019"/>
      <c r="N5019"/>
      <c r="O5019"/>
      <c r="P5019"/>
      <c r="Q5019"/>
      <c r="R5019"/>
      <c r="S5019"/>
      <c r="T5019"/>
      <c r="U5019"/>
      <c r="V5019"/>
      <c r="W5019"/>
      <c r="X5019"/>
      <c r="Y5019"/>
      <c r="Z5019"/>
      <c r="AA5019"/>
      <c r="AB5019"/>
      <c r="AC5019"/>
      <c r="AD5019"/>
      <c r="AE5019"/>
      <c r="AF5019"/>
      <c r="AG5019"/>
      <c r="AH5019"/>
      <c r="AI5019"/>
      <c r="AJ5019"/>
      <c r="AK5019"/>
      <c r="AL5019"/>
    </row>
    <row r="5020" spans="1:38" ht="15.75" customHeight="1" outlineLevel="2" x14ac:dyDescent="0.2">
      <c r="A5020" s="10">
        <v>6</v>
      </c>
      <c r="B5020" s="10" t="s">
        <v>71</v>
      </c>
      <c r="C5020" s="10" t="s">
        <v>1079</v>
      </c>
      <c r="D5020" s="10" t="s">
        <v>756</v>
      </c>
      <c r="E5020" s="11" t="str">
        <f t="array" ref="E5020">_xlfn.XLOOKUP(D5020,Insumos!B:B,Insumos!C:$C)</f>
        <v>L</v>
      </c>
      <c r="F5020" s="14">
        <v>2E-3</v>
      </c>
      <c r="G5020" s="92">
        <f t="array" ref="G5020">IF(B5020="insumo",_xlfn.XLOOKUP($D5020,Insumos!$B$1:$B$996,Insumos!$D$1:$D$996),"")</f>
        <v>21.99</v>
      </c>
      <c r="H5020" s="92">
        <v>4.3979999999999998E-2</v>
      </c>
      <c r="I5020" s="13">
        <v>0</v>
      </c>
      <c r="J5020" s="13">
        <v>0</v>
      </c>
      <c r="K5020" s="13"/>
      <c r="L5020"/>
      <c r="M5020"/>
      <c r="N5020"/>
      <c r="O5020"/>
      <c r="P5020"/>
      <c r="Q5020"/>
      <c r="R5020"/>
      <c r="S5020"/>
      <c r="T5020"/>
      <c r="U5020"/>
      <c r="V5020"/>
      <c r="W5020"/>
      <c r="X5020"/>
      <c r="Y5020"/>
      <c r="Z5020"/>
      <c r="AA5020"/>
      <c r="AB5020"/>
      <c r="AC5020"/>
      <c r="AD5020"/>
      <c r="AE5020"/>
      <c r="AF5020"/>
      <c r="AG5020"/>
      <c r="AH5020"/>
      <c r="AI5020"/>
      <c r="AJ5020"/>
      <c r="AK5020"/>
      <c r="AL5020"/>
    </row>
    <row r="5021" spans="1:38" ht="15.75" customHeight="1" outlineLevel="2" x14ac:dyDescent="0.2">
      <c r="A5021" s="10">
        <v>2</v>
      </c>
      <c r="B5021" s="10" t="s">
        <v>71</v>
      </c>
      <c r="C5021" s="10" t="s">
        <v>1079</v>
      </c>
      <c r="D5021" s="10" t="s">
        <v>1076</v>
      </c>
      <c r="E5021" s="11" t="str">
        <f t="array" ref="E5021">_xlfn.XLOOKUP(D5021,Insumos!B:B,Insumos!C:$C)</f>
        <v>L</v>
      </c>
      <c r="F5021" s="14">
        <v>4.2999999999999997E-2</v>
      </c>
      <c r="G5021" s="92">
        <f t="array" ref="G5021">IF(B5021="insumo",_xlfn.XLOOKUP($D5021,Insumos!$B$1:$B$996,Insumos!$D$1:$D$996),"")</f>
        <v>35.42</v>
      </c>
      <c r="H5021" s="92">
        <v>1.5230600000000001</v>
      </c>
      <c r="I5021" s="13">
        <v>0</v>
      </c>
      <c r="J5021" s="13">
        <v>0</v>
      </c>
      <c r="K5021" s="13"/>
      <c r="L5021"/>
      <c r="M5021"/>
      <c r="N5021"/>
      <c r="O5021"/>
      <c r="P5021"/>
      <c r="Q5021"/>
      <c r="R5021"/>
      <c r="S5021"/>
      <c r="T5021"/>
      <c r="U5021"/>
      <c r="V5021"/>
      <c r="W5021"/>
      <c r="X5021"/>
      <c r="Y5021"/>
      <c r="Z5021"/>
      <c r="AA5021"/>
      <c r="AB5021"/>
      <c r="AC5021"/>
      <c r="AD5021"/>
      <c r="AE5021"/>
      <c r="AF5021"/>
      <c r="AG5021"/>
      <c r="AH5021"/>
      <c r="AI5021"/>
      <c r="AJ5021"/>
      <c r="AK5021"/>
      <c r="AL5021"/>
    </row>
    <row r="5022" spans="1:38" ht="15.75" customHeight="1" outlineLevel="2" x14ac:dyDescent="0.2">
      <c r="A5022" s="10">
        <v>2</v>
      </c>
      <c r="B5022" s="10" t="s">
        <v>71</v>
      </c>
      <c r="C5022" s="10" t="s">
        <v>1079</v>
      </c>
      <c r="D5022" s="10" t="s">
        <v>1077</v>
      </c>
      <c r="E5022" s="11" t="str">
        <f t="array" ref="E5022">_xlfn.XLOOKUP(D5022,Insumos!B:B,Insumos!C:$C)</f>
        <v>L</v>
      </c>
      <c r="F5022" s="14">
        <v>2.5000000000000001E-2</v>
      </c>
      <c r="G5022" s="92">
        <f t="array" ref="G5022">IF(B5022="insumo",_xlfn.XLOOKUP($D5022,Insumos!$B$1:$B$996,Insumos!$D$1:$D$996),"")</f>
        <v>40.25</v>
      </c>
      <c r="H5022" s="92">
        <v>1.0062500000000001</v>
      </c>
      <c r="I5022" s="13">
        <v>0</v>
      </c>
      <c r="J5022" s="13">
        <v>0</v>
      </c>
      <c r="K5022" s="13"/>
      <c r="L5022"/>
      <c r="M5022"/>
      <c r="N5022"/>
      <c r="O5022"/>
      <c r="P5022"/>
      <c r="Q5022"/>
      <c r="R5022"/>
      <c r="S5022"/>
      <c r="T5022"/>
      <c r="U5022"/>
      <c r="V5022"/>
      <c r="W5022"/>
      <c r="X5022"/>
      <c r="Y5022"/>
      <c r="Z5022"/>
      <c r="AA5022"/>
      <c r="AB5022"/>
      <c r="AC5022"/>
      <c r="AD5022"/>
      <c r="AE5022"/>
      <c r="AF5022"/>
      <c r="AG5022"/>
      <c r="AH5022"/>
      <c r="AI5022"/>
      <c r="AJ5022"/>
      <c r="AK5022"/>
      <c r="AL5022"/>
    </row>
    <row r="5023" spans="1:38" ht="15.75" customHeight="1" outlineLevel="2" x14ac:dyDescent="0.2">
      <c r="A5023" s="10">
        <v>2</v>
      </c>
      <c r="B5023" s="10" t="s">
        <v>71</v>
      </c>
      <c r="C5023" s="10" t="s">
        <v>1079</v>
      </c>
      <c r="D5023" s="10" t="s">
        <v>1078</v>
      </c>
      <c r="E5023" s="11" t="str">
        <f t="array" ref="E5023">_xlfn.XLOOKUP(D5023,Insumos!B:B,Insumos!C:$C)</f>
        <v>KG</v>
      </c>
      <c r="F5023" s="14">
        <v>1.0999999999999999E-2</v>
      </c>
      <c r="G5023" s="92">
        <f t="array" ref="G5023">IF(B5023="insumo",_xlfn.XLOOKUP($D5023,Insumos!$B$1:$B$996,Insumos!$D$1:$D$996),"")</f>
        <v>23.2</v>
      </c>
      <c r="H5023" s="92">
        <v>0.25519999999999998</v>
      </c>
      <c r="I5023" s="13">
        <v>0</v>
      </c>
      <c r="J5023" s="13">
        <v>0</v>
      </c>
      <c r="K5023" s="13"/>
      <c r="L5023"/>
      <c r="M5023"/>
      <c r="N5023"/>
      <c r="O5023"/>
      <c r="P5023"/>
      <c r="Q5023"/>
      <c r="R5023"/>
      <c r="S5023"/>
      <c r="T5023"/>
      <c r="U5023"/>
      <c r="V5023"/>
      <c r="W5023"/>
      <c r="X5023"/>
      <c r="Y5023"/>
      <c r="Z5023"/>
      <c r="AA5023"/>
      <c r="AB5023"/>
      <c r="AC5023"/>
      <c r="AD5023"/>
      <c r="AE5023"/>
      <c r="AF5023"/>
      <c r="AG5023"/>
      <c r="AH5023"/>
      <c r="AI5023"/>
      <c r="AJ5023"/>
      <c r="AK5023"/>
      <c r="AL5023"/>
    </row>
    <row r="5024" spans="1:38" ht="15.75" customHeight="1" outlineLevel="1" x14ac:dyDescent="0.2">
      <c r="A5024" s="1067">
        <v>1</v>
      </c>
      <c r="B5024" s="1067" t="s">
        <v>68</v>
      </c>
      <c r="C5024" s="1067" t="s">
        <v>1080</v>
      </c>
      <c r="D5024" s="1067" t="s">
        <v>1080</v>
      </c>
      <c r="E5024" s="1068" t="s">
        <v>70</v>
      </c>
      <c r="F5024" s="1067"/>
      <c r="G5024" s="1069" t="str">
        <f t="array" ref="G5024">IF(B5024="insumo",_xlfn.XLOOKUP($D5024,Insumos!$B$1:$B$996,Insumos!$D$1:$D$996),"")</f>
        <v/>
      </c>
      <c r="H5024" s="1069">
        <v>20</v>
      </c>
      <c r="I5024" s="1070">
        <v>0</v>
      </c>
      <c r="J5024" s="1070">
        <v>0</v>
      </c>
      <c r="K5024" s="1070"/>
      <c r="L5024"/>
      <c r="M5024"/>
      <c r="N5024"/>
      <c r="O5024"/>
      <c r="P5024"/>
      <c r="Q5024"/>
      <c r="R5024"/>
      <c r="S5024"/>
      <c r="T5024"/>
      <c r="U5024"/>
      <c r="V5024"/>
      <c r="W5024"/>
      <c r="X5024"/>
      <c r="Y5024"/>
      <c r="Z5024"/>
      <c r="AA5024"/>
      <c r="AB5024"/>
      <c r="AC5024"/>
      <c r="AD5024"/>
      <c r="AE5024"/>
      <c r="AF5024"/>
      <c r="AG5024"/>
      <c r="AH5024"/>
      <c r="AI5024"/>
      <c r="AJ5024"/>
      <c r="AK5024"/>
      <c r="AL5024"/>
    </row>
    <row r="5025" spans="1:38" ht="15.75" customHeight="1" outlineLevel="2" x14ac:dyDescent="0.2">
      <c r="A5025" s="10">
        <v>1</v>
      </c>
      <c r="B5025" s="10" t="s">
        <v>71</v>
      </c>
      <c r="C5025" s="10" t="s">
        <v>1080</v>
      </c>
      <c r="D5025" s="10" t="s">
        <v>1080</v>
      </c>
      <c r="E5025" s="11" t="str">
        <f t="array" ref="E5025">_xlfn.XLOOKUP(D5025,Insumos!B:B,Insumos!C:$C)</f>
        <v>M2</v>
      </c>
      <c r="F5025" s="14">
        <v>1</v>
      </c>
      <c r="G5025" s="92">
        <f t="array" ref="G5025">IF(B5025="insumo",_xlfn.XLOOKUP($D5025,Insumos!$B$1:$B$996,Insumos!$D$1:$D$996),"")</f>
        <v>20</v>
      </c>
      <c r="H5025" s="92">
        <v>20</v>
      </c>
      <c r="I5025" s="13">
        <v>0</v>
      </c>
      <c r="J5025" s="13">
        <v>0</v>
      </c>
      <c r="K5025" s="13"/>
      <c r="L5025"/>
      <c r="M5025"/>
      <c r="N5025"/>
      <c r="O5025"/>
      <c r="P5025"/>
      <c r="Q5025"/>
      <c r="R5025"/>
      <c r="S5025"/>
      <c r="T5025"/>
      <c r="U5025"/>
      <c r="V5025"/>
      <c r="W5025"/>
      <c r="X5025"/>
      <c r="Y5025"/>
      <c r="Z5025"/>
      <c r="AA5025"/>
      <c r="AB5025"/>
      <c r="AC5025"/>
      <c r="AD5025"/>
      <c r="AE5025"/>
      <c r="AF5025"/>
      <c r="AG5025"/>
      <c r="AH5025"/>
      <c r="AI5025"/>
      <c r="AJ5025"/>
      <c r="AK5025"/>
      <c r="AL5025"/>
    </row>
    <row r="5026" spans="1:38" ht="15.75" customHeight="1" outlineLevel="1" x14ac:dyDescent="0.2">
      <c r="A5026" s="1067">
        <v>1</v>
      </c>
      <c r="B5026" s="1067" t="s">
        <v>68</v>
      </c>
      <c r="C5026" s="1067" t="s">
        <v>1081</v>
      </c>
      <c r="D5026" s="1067" t="s">
        <v>1081</v>
      </c>
      <c r="E5026" s="1068" t="s">
        <v>113</v>
      </c>
      <c r="F5026" s="1067"/>
      <c r="G5026" s="1069" t="str">
        <f t="array" ref="G5026">IF(B5026="insumo",_xlfn.XLOOKUP($D5026,Insumos!$B$1:$B$996,Insumos!$D$1:$D$996),"")</f>
        <v/>
      </c>
      <c r="H5026" s="1069">
        <v>5</v>
      </c>
      <c r="I5026" s="1070">
        <v>0</v>
      </c>
      <c r="J5026" s="1070">
        <v>0</v>
      </c>
      <c r="K5026" s="1070"/>
      <c r="L5026"/>
      <c r="M5026"/>
      <c r="N5026"/>
      <c r="O5026"/>
      <c r="P5026"/>
      <c r="Q5026"/>
      <c r="R5026"/>
      <c r="S5026"/>
      <c r="T5026"/>
      <c r="U5026"/>
      <c r="V5026"/>
      <c r="W5026"/>
      <c r="X5026"/>
      <c r="Y5026"/>
      <c r="Z5026"/>
      <c r="AA5026"/>
      <c r="AB5026"/>
      <c r="AC5026"/>
      <c r="AD5026"/>
      <c r="AE5026"/>
      <c r="AF5026"/>
      <c r="AG5026"/>
      <c r="AH5026"/>
      <c r="AI5026"/>
      <c r="AJ5026"/>
      <c r="AK5026"/>
      <c r="AL5026"/>
    </row>
    <row r="5027" spans="1:38" ht="15.75" customHeight="1" outlineLevel="2" x14ac:dyDescent="0.2">
      <c r="A5027" s="10">
        <v>1</v>
      </c>
      <c r="B5027" s="10" t="s">
        <v>71</v>
      </c>
      <c r="C5027" s="10" t="s">
        <v>1081</v>
      </c>
      <c r="D5027" s="10" t="s">
        <v>1081</v>
      </c>
      <c r="E5027" s="11" t="str">
        <f t="array" ref="E5027">_xlfn.XLOOKUP(D5027,Insumos!B:B,Insumos!C:$C)</f>
        <v>M</v>
      </c>
      <c r="F5027" s="14">
        <v>1</v>
      </c>
      <c r="G5027" s="92">
        <f t="array" ref="G5027">IF(B5027="insumo",_xlfn.XLOOKUP($D5027,Insumos!$B$1:$B$996,Insumos!$D$1:$D$996),"")</f>
        <v>5</v>
      </c>
      <c r="H5027" s="92">
        <v>5</v>
      </c>
      <c r="I5027" s="13">
        <v>0</v>
      </c>
      <c r="J5027" s="13">
        <v>0</v>
      </c>
      <c r="K5027" s="13"/>
      <c r="L5027"/>
      <c r="M5027"/>
      <c r="N5027"/>
      <c r="O5027"/>
      <c r="P5027"/>
      <c r="Q5027"/>
      <c r="R5027"/>
      <c r="S5027"/>
      <c r="T5027"/>
      <c r="U5027"/>
      <c r="V5027"/>
      <c r="W5027"/>
      <c r="X5027"/>
      <c r="Y5027"/>
      <c r="Z5027"/>
      <c r="AA5027"/>
      <c r="AB5027"/>
      <c r="AC5027"/>
      <c r="AD5027"/>
      <c r="AE5027"/>
      <c r="AF5027"/>
      <c r="AG5027"/>
      <c r="AH5027"/>
      <c r="AI5027"/>
      <c r="AJ5027"/>
      <c r="AK5027"/>
      <c r="AL5027"/>
    </row>
    <row r="5028" spans="1:38" ht="15" customHeight="1" x14ac:dyDescent="0.2">
      <c r="L5028"/>
      <c r="M5028"/>
      <c r="N5028"/>
      <c r="O5028"/>
      <c r="P5028"/>
      <c r="Q5028"/>
      <c r="R5028"/>
      <c r="S5028"/>
      <c r="T5028"/>
      <c r="U5028"/>
      <c r="V5028"/>
      <c r="W5028"/>
      <c r="X5028"/>
      <c r="Y5028"/>
      <c r="Z5028"/>
      <c r="AA5028"/>
      <c r="AB5028"/>
      <c r="AC5028"/>
      <c r="AD5028"/>
      <c r="AE5028"/>
      <c r="AF5028"/>
      <c r="AG5028"/>
      <c r="AH5028"/>
      <c r="AI5028"/>
      <c r="AJ5028"/>
      <c r="AK5028"/>
      <c r="AL5028"/>
    </row>
    <row r="5029" spans="1:38" ht="15" customHeight="1" x14ac:dyDescent="0.2">
      <c r="A5029"/>
      <c r="B5029"/>
      <c r="C5029"/>
      <c r="D5029"/>
      <c r="E5029"/>
      <c r="F5029"/>
      <c r="G5029"/>
      <c r="H5029"/>
      <c r="I5029"/>
      <c r="J5029"/>
      <c r="K5029"/>
      <c r="L5029"/>
      <c r="M5029"/>
      <c r="N5029"/>
      <c r="O5029"/>
      <c r="P5029"/>
      <c r="Q5029"/>
      <c r="R5029"/>
      <c r="S5029"/>
      <c r="T5029"/>
      <c r="U5029"/>
      <c r="V5029"/>
      <c r="W5029"/>
      <c r="X5029"/>
      <c r="Y5029"/>
      <c r="Z5029"/>
      <c r="AA5029"/>
      <c r="AB5029"/>
      <c r="AC5029"/>
      <c r="AD5029"/>
      <c r="AE5029"/>
      <c r="AF5029"/>
      <c r="AG5029"/>
      <c r="AH5029"/>
      <c r="AI5029"/>
      <c r="AJ5029"/>
      <c r="AK5029"/>
      <c r="AL5029"/>
    </row>
    <row r="5030" spans="1:38" ht="15" customHeight="1" x14ac:dyDescent="0.2">
      <c r="A5030"/>
      <c r="B5030"/>
      <c r="C5030"/>
      <c r="D5030"/>
      <c r="E5030"/>
      <c r="F5030"/>
      <c r="G5030"/>
      <c r="H5030"/>
      <c r="I5030"/>
      <c r="J5030"/>
      <c r="K5030"/>
      <c r="L5030"/>
      <c r="M5030"/>
      <c r="N5030"/>
      <c r="O5030"/>
      <c r="P5030"/>
      <c r="Q5030"/>
      <c r="R5030"/>
      <c r="S5030"/>
      <c r="T5030"/>
      <c r="U5030"/>
      <c r="V5030"/>
      <c r="W5030"/>
      <c r="X5030"/>
      <c r="Y5030"/>
      <c r="Z5030"/>
      <c r="AA5030"/>
      <c r="AB5030"/>
      <c r="AC5030"/>
      <c r="AD5030"/>
      <c r="AE5030"/>
      <c r="AF5030"/>
      <c r="AG5030"/>
      <c r="AH5030"/>
      <c r="AI5030"/>
      <c r="AJ5030"/>
      <c r="AK5030"/>
      <c r="AL5030"/>
    </row>
    <row r="5031" spans="1:38" ht="15" customHeight="1" x14ac:dyDescent="0.2">
      <c r="A5031"/>
      <c r="B5031"/>
      <c r="C5031"/>
      <c r="D5031"/>
      <c r="E5031"/>
      <c r="F5031"/>
      <c r="G5031"/>
      <c r="H5031"/>
      <c r="I5031"/>
      <c r="J5031"/>
      <c r="K5031"/>
      <c r="L5031"/>
      <c r="M5031"/>
      <c r="N5031"/>
      <c r="O5031"/>
      <c r="P5031"/>
      <c r="Q5031"/>
      <c r="R5031"/>
      <c r="S5031"/>
      <c r="T5031"/>
      <c r="U5031"/>
      <c r="V5031"/>
      <c r="W5031"/>
      <c r="X5031"/>
      <c r="Y5031"/>
      <c r="Z5031"/>
      <c r="AA5031"/>
      <c r="AB5031"/>
      <c r="AC5031"/>
      <c r="AD5031"/>
      <c r="AE5031"/>
      <c r="AF5031"/>
      <c r="AG5031"/>
      <c r="AH5031"/>
      <c r="AI5031"/>
      <c r="AJ5031"/>
      <c r="AK5031"/>
      <c r="AL5031"/>
    </row>
    <row r="5032" spans="1:38" ht="15" customHeight="1" x14ac:dyDescent="0.2">
      <c r="A5032"/>
      <c r="B5032"/>
      <c r="C5032"/>
      <c r="D5032"/>
      <c r="E5032"/>
      <c r="F5032"/>
      <c r="G5032"/>
      <c r="H5032"/>
      <c r="I5032"/>
      <c r="J5032"/>
      <c r="K5032"/>
      <c r="L5032"/>
      <c r="M5032"/>
      <c r="N5032"/>
      <c r="O5032"/>
      <c r="P5032"/>
      <c r="Q5032"/>
      <c r="R5032"/>
      <c r="S5032"/>
      <c r="T5032"/>
      <c r="U5032"/>
      <c r="V5032"/>
      <c r="W5032"/>
      <c r="X5032"/>
      <c r="Y5032"/>
      <c r="Z5032"/>
      <c r="AA5032"/>
      <c r="AB5032"/>
      <c r="AC5032"/>
      <c r="AD5032"/>
      <c r="AE5032"/>
      <c r="AF5032"/>
      <c r="AG5032"/>
      <c r="AH5032"/>
      <c r="AI5032"/>
      <c r="AJ5032"/>
      <c r="AK5032"/>
      <c r="AL5032"/>
    </row>
    <row r="5033" spans="1:38" ht="15" customHeight="1" x14ac:dyDescent="0.2">
      <c r="A5033"/>
      <c r="B5033"/>
      <c r="C5033"/>
      <c r="D5033"/>
      <c r="E5033"/>
      <c r="F5033"/>
      <c r="G5033"/>
      <c r="H5033"/>
      <c r="I5033"/>
      <c r="J5033"/>
      <c r="K5033"/>
      <c r="L5033"/>
      <c r="M5033"/>
      <c r="N5033"/>
      <c r="O5033"/>
      <c r="P5033"/>
      <c r="Q5033"/>
      <c r="R5033"/>
      <c r="S5033"/>
      <c r="T5033"/>
      <c r="U5033"/>
      <c r="V5033"/>
      <c r="W5033"/>
      <c r="X5033"/>
      <c r="Y5033"/>
      <c r="Z5033"/>
      <c r="AA5033"/>
      <c r="AB5033"/>
      <c r="AC5033"/>
      <c r="AD5033"/>
      <c r="AE5033"/>
      <c r="AF5033"/>
      <c r="AG5033"/>
      <c r="AH5033"/>
      <c r="AI5033"/>
      <c r="AJ5033"/>
      <c r="AK5033"/>
      <c r="AL5033"/>
    </row>
    <row r="5034" spans="1:38" ht="15" customHeight="1" x14ac:dyDescent="0.2">
      <c r="A5034"/>
      <c r="B5034"/>
      <c r="C5034"/>
      <c r="D5034"/>
      <c r="E5034"/>
      <c r="F5034"/>
      <c r="G5034"/>
      <c r="H5034"/>
      <c r="I5034"/>
      <c r="J5034"/>
      <c r="K5034"/>
      <c r="L5034"/>
      <c r="M5034"/>
      <c r="N5034"/>
      <c r="O5034"/>
      <c r="P5034"/>
      <c r="Q5034"/>
      <c r="R5034"/>
      <c r="S5034"/>
      <c r="T5034"/>
      <c r="U5034"/>
      <c r="V5034"/>
      <c r="W5034"/>
      <c r="X5034"/>
      <c r="Y5034"/>
      <c r="Z5034"/>
      <c r="AA5034"/>
      <c r="AB5034"/>
      <c r="AC5034"/>
      <c r="AD5034"/>
      <c r="AE5034"/>
      <c r="AF5034"/>
      <c r="AG5034"/>
      <c r="AH5034"/>
      <c r="AI5034"/>
      <c r="AJ5034"/>
      <c r="AK5034"/>
      <c r="AL5034"/>
    </row>
    <row r="5035" spans="1:38" ht="15" customHeight="1" x14ac:dyDescent="0.2">
      <c r="A5035"/>
      <c r="B5035"/>
      <c r="C5035"/>
      <c r="D5035"/>
      <c r="E5035"/>
      <c r="F5035"/>
      <c r="G5035"/>
      <c r="H5035"/>
      <c r="I5035"/>
      <c r="J5035"/>
      <c r="K5035"/>
      <c r="L5035"/>
      <c r="M5035"/>
      <c r="N5035"/>
      <c r="O5035"/>
      <c r="P5035"/>
      <c r="Q5035"/>
      <c r="R5035"/>
      <c r="S5035"/>
      <c r="T5035"/>
      <c r="U5035"/>
      <c r="V5035"/>
      <c r="W5035"/>
      <c r="X5035"/>
      <c r="Y5035"/>
      <c r="Z5035"/>
      <c r="AA5035"/>
      <c r="AB5035"/>
      <c r="AC5035"/>
      <c r="AD5035"/>
      <c r="AE5035"/>
      <c r="AF5035"/>
      <c r="AG5035"/>
      <c r="AH5035"/>
      <c r="AI5035"/>
      <c r="AJ5035"/>
      <c r="AK5035"/>
      <c r="AL5035"/>
    </row>
    <row r="5036" spans="1:38" ht="15" customHeight="1" x14ac:dyDescent="0.2">
      <c r="A5036"/>
      <c r="B5036"/>
      <c r="C5036"/>
      <c r="D5036"/>
      <c r="E5036"/>
      <c r="F5036"/>
      <c r="G5036"/>
      <c r="H5036"/>
      <c r="I5036"/>
      <c r="J5036"/>
      <c r="K5036"/>
      <c r="L5036"/>
      <c r="M5036"/>
      <c r="N5036"/>
      <c r="O5036"/>
      <c r="P5036"/>
      <c r="Q5036"/>
      <c r="R5036"/>
      <c r="S5036"/>
      <c r="T5036"/>
      <c r="U5036"/>
      <c r="V5036"/>
      <c r="W5036"/>
      <c r="X5036"/>
      <c r="Y5036"/>
      <c r="Z5036"/>
      <c r="AA5036"/>
      <c r="AB5036"/>
      <c r="AC5036"/>
      <c r="AD5036"/>
      <c r="AE5036"/>
      <c r="AF5036"/>
      <c r="AG5036"/>
      <c r="AH5036"/>
      <c r="AI5036"/>
      <c r="AJ5036"/>
      <c r="AK5036"/>
      <c r="AL5036"/>
    </row>
    <row r="5037" spans="1:38" ht="15" customHeight="1" x14ac:dyDescent="0.2">
      <c r="A5037"/>
      <c r="B5037"/>
      <c r="C5037"/>
      <c r="D5037"/>
      <c r="E5037"/>
      <c r="F5037"/>
      <c r="G5037"/>
      <c r="H5037"/>
      <c r="I5037"/>
      <c r="J5037"/>
      <c r="K5037"/>
      <c r="L5037"/>
      <c r="M5037"/>
      <c r="N5037"/>
      <c r="O5037"/>
      <c r="P5037"/>
      <c r="Q5037"/>
      <c r="R5037"/>
      <c r="S5037"/>
      <c r="T5037"/>
      <c r="U5037"/>
      <c r="V5037"/>
      <c r="W5037"/>
      <c r="X5037"/>
      <c r="Y5037"/>
      <c r="Z5037"/>
      <c r="AA5037"/>
      <c r="AB5037"/>
      <c r="AC5037"/>
      <c r="AD5037"/>
      <c r="AE5037"/>
      <c r="AF5037"/>
      <c r="AG5037"/>
      <c r="AH5037"/>
      <c r="AI5037"/>
      <c r="AJ5037"/>
      <c r="AK5037"/>
      <c r="AL5037"/>
    </row>
    <row r="5038" spans="1:38" ht="15" customHeight="1" x14ac:dyDescent="0.2">
      <c r="A5038"/>
      <c r="B5038"/>
      <c r="C5038"/>
      <c r="D5038"/>
      <c r="E5038"/>
      <c r="F5038"/>
      <c r="G5038"/>
      <c r="H5038"/>
      <c r="I5038"/>
      <c r="J5038"/>
      <c r="K5038"/>
      <c r="L5038"/>
      <c r="M5038"/>
      <c r="N5038"/>
      <c r="O5038"/>
      <c r="P5038"/>
      <c r="Q5038"/>
      <c r="R5038"/>
      <c r="S5038"/>
      <c r="T5038"/>
      <c r="U5038"/>
      <c r="V5038"/>
      <c r="W5038"/>
      <c r="X5038"/>
      <c r="Y5038"/>
      <c r="Z5038"/>
      <c r="AA5038"/>
      <c r="AB5038"/>
      <c r="AC5038"/>
      <c r="AD5038"/>
      <c r="AE5038"/>
      <c r="AF5038"/>
      <c r="AG5038"/>
      <c r="AH5038"/>
      <c r="AI5038"/>
      <c r="AJ5038"/>
      <c r="AK5038"/>
      <c r="AL5038"/>
    </row>
    <row r="5039" spans="1:38" ht="15" customHeight="1" x14ac:dyDescent="0.2">
      <c r="A5039"/>
      <c r="B5039"/>
      <c r="C5039"/>
      <c r="D5039"/>
      <c r="E5039"/>
      <c r="F5039"/>
      <c r="G5039"/>
      <c r="H5039"/>
      <c r="I5039"/>
      <c r="J5039"/>
      <c r="K5039"/>
      <c r="L5039"/>
      <c r="M5039"/>
      <c r="N5039"/>
      <c r="O5039"/>
      <c r="P5039"/>
      <c r="Q5039"/>
      <c r="R5039"/>
      <c r="S5039"/>
      <c r="T5039"/>
      <c r="U5039"/>
      <c r="V5039"/>
      <c r="W5039"/>
      <c r="X5039"/>
      <c r="Y5039"/>
      <c r="Z5039"/>
      <c r="AA5039"/>
      <c r="AB5039"/>
      <c r="AC5039"/>
      <c r="AD5039"/>
      <c r="AE5039"/>
      <c r="AF5039"/>
      <c r="AG5039"/>
      <c r="AH5039"/>
      <c r="AI5039"/>
      <c r="AJ5039"/>
      <c r="AK5039"/>
      <c r="AL5039"/>
    </row>
    <row r="5040" spans="1:38" ht="15" customHeight="1" x14ac:dyDescent="0.2">
      <c r="A5040"/>
      <c r="B5040"/>
      <c r="C5040"/>
      <c r="D5040"/>
      <c r="E5040"/>
      <c r="F5040"/>
      <c r="G5040"/>
      <c r="H5040"/>
      <c r="I5040"/>
      <c r="J5040"/>
      <c r="K5040"/>
      <c r="L5040"/>
      <c r="M5040"/>
      <c r="N5040"/>
      <c r="O5040"/>
      <c r="P5040"/>
      <c r="Q5040"/>
      <c r="R5040"/>
      <c r="S5040"/>
      <c r="T5040"/>
      <c r="U5040"/>
      <c r="V5040"/>
      <c r="W5040"/>
      <c r="X5040"/>
      <c r="Y5040"/>
      <c r="Z5040"/>
      <c r="AA5040"/>
      <c r="AB5040"/>
      <c r="AC5040"/>
      <c r="AD5040"/>
      <c r="AE5040"/>
      <c r="AF5040"/>
      <c r="AG5040"/>
      <c r="AH5040"/>
      <c r="AI5040"/>
      <c r="AJ5040"/>
      <c r="AK5040"/>
      <c r="AL5040"/>
    </row>
  </sheetData>
  <autoFilter ref="A1:Y5027" xr:uid="{00000000-0001-0000-0300-000000000000}"/>
  <conditionalFormatting sqref="E573:E575 E223 E225 E227 E229 E231:E235 E237 E1243:E1254 E1420:F1429 E1431:F1440 E1453:F1462 E1464:F1473 E1442:F1451 E1525:F1534 K1386:K2041 B195:B212 A1419:B1473 A1524:B1534 A2817:A2831 B2841:B2842 E2846:F2847 E2849:F2850 A2843:B2874 E2844:F2844 K2843:K2882 A2835:A2842 E2567:E2570 E2562:E2565 E2547:E2550 E2542:E2545 E2537:E2540 E2532:E2535 E2557:E2560 E2552:E2555 K2526:K2606 A2526:B2606 A3143:B3176 K3143:K3176 E4626:F4629 E4616:F4619 E4611:F4614 E4665:F4670 E4672:F4675 E4631:F4634 E4682:F4685 K4403:K4451 A4428:B4451 E4621:F4624 C3148:F3148 C3156:F3156 C3154:F3154 C3152:F3152 C3150:F3150 G159:H159 G165:H165 G170:H170 G176:H176 G182:H182 G187:H187 G191:H191 G195:H195 G199:H199 E4496:E4497 E4677:F4680 E2261:E2263 A4455:B4455 K4454:K4458 D4660:F4660 E4661:F4663 A4610:B4634 C4659:C4663 A4659:B4685 A4651:F4653 A4635:F4637 I4610:K4637 D4655:F4655 E4656:F4658 A4654:C4658 I4651:K4685 A4643:F4645 I4643:K4645">
    <cfRule type="expression" dxfId="9513" priority="13722">
      <formula>$B159="Subetapa"</formula>
    </cfRule>
  </conditionalFormatting>
  <conditionalFormatting sqref="B4976:B4983">
    <cfRule type="expression" dxfId="9512" priority="7843">
      <formula>$B4976="Subetapa"</formula>
    </cfRule>
    <cfRule type="expression" dxfId="9511" priority="7844">
      <formula>$B4976="Serviço"</formula>
    </cfRule>
  </conditionalFormatting>
  <conditionalFormatting sqref="B4:B151 B153:B194">
    <cfRule type="expression" dxfId="9510" priority="13599">
      <formula>$B4="Subetapa"</formula>
    </cfRule>
  </conditionalFormatting>
  <conditionalFormatting sqref="B271 B273 F2263 D2263">
    <cfRule type="expression" dxfId="9509" priority="9735">
      <formula>$B271="Serviço"</formula>
    </cfRule>
    <cfRule type="expression" dxfId="9508" priority="9736">
      <formula>$B271="Subetapa"</formula>
    </cfRule>
  </conditionalFormatting>
  <conditionalFormatting sqref="B287:B289 B295 B293 B291">
    <cfRule type="expression" dxfId="9507" priority="9752">
      <formula>$B287="Serviço"</formula>
    </cfRule>
    <cfRule type="expression" dxfId="9506" priority="9753">
      <formula>$B287="Subetapa"</formula>
    </cfRule>
  </conditionalFormatting>
  <conditionalFormatting sqref="B297">
    <cfRule type="expression" dxfId="9505" priority="9724">
      <formula>$B297="Serviço"</formula>
    </cfRule>
    <cfRule type="expression" dxfId="9504" priority="9725">
      <formula>$B297="Subetapa"</formula>
    </cfRule>
  </conditionalFormatting>
  <conditionalFormatting sqref="B345:B360 D349:F349 D353:F353 D350:D352 F350:F352 D357:F357 D354:D356 F354:F356 D358:D360 F358:F360 C349:C360">
    <cfRule type="expression" dxfId="9503" priority="13774">
      <formula>$B345="Subetapa"</formula>
    </cfRule>
  </conditionalFormatting>
  <conditionalFormatting sqref="B461:B463">
    <cfRule type="expression" dxfId="9502" priority="9715">
      <formula>$B461="Serviço"</formula>
    </cfRule>
    <cfRule type="expression" dxfId="9501" priority="9716">
      <formula>$B461="Subetapa"</formula>
    </cfRule>
  </conditionalFormatting>
  <conditionalFormatting sqref="B473:B476">
    <cfRule type="expression" dxfId="9500" priority="9706">
      <formula>$B473="Serviço"</formula>
    </cfRule>
    <cfRule type="expression" dxfId="9499" priority="9707">
      <formula>$B473="Subetapa"</formula>
    </cfRule>
  </conditionalFormatting>
  <conditionalFormatting sqref="B500:B501">
    <cfRule type="expression" dxfId="9498" priority="9697">
      <formula>$B500="Serviço"</formula>
    </cfRule>
    <cfRule type="expression" dxfId="9497" priority="9698">
      <formula>$B500="Subetapa"</formula>
    </cfRule>
  </conditionalFormatting>
  <conditionalFormatting sqref="B621:B639">
    <cfRule type="expression" dxfId="9496" priority="9688">
      <formula>$B621="Serviço"</formula>
    </cfRule>
    <cfRule type="expression" dxfId="9495" priority="9689">
      <formula>$B621="Subetapa"</formula>
    </cfRule>
  </conditionalFormatting>
  <conditionalFormatting sqref="K1198:K1385 D2828:F2831 B661:B663 A1198:B1385 B2826:B2831 D4496:D4497 F4496:F4497 C4504:C4506 K4504:K4572 A4495:B4572 A2263:B2265 I2263:K2265 A2269:B2270 I2269:K2270 H2237:H2276">
    <cfRule type="expression" dxfId="9494" priority="9675">
      <formula>$B661="Serviço"</formula>
    </cfRule>
  </conditionalFormatting>
  <conditionalFormatting sqref="K1198:K1385 D2828:F2831 B661:B664 A1198:B1299 A1346:B1355 B2826:B2831 D4496:D4497 F4496:F4497 C4504:C4506 K4504:K4572 A4495:B4572 I2263:K2265 A2263:B2265 I2269:K2270 A2269:B2270 H2237:H2276">
    <cfRule type="expression" dxfId="9493" priority="9676">
      <formula>$B661="Subetapa"</formula>
    </cfRule>
  </conditionalFormatting>
  <conditionalFormatting sqref="B787:B791 B793:B809">
    <cfRule type="expression" dxfId="9492" priority="13567">
      <formula>$B787="Subetapa"</formula>
    </cfRule>
  </conditionalFormatting>
  <conditionalFormatting sqref="B814:B834">
    <cfRule type="expression" dxfId="9491" priority="9649">
      <formula>$B814="Serviço"</formula>
    </cfRule>
    <cfRule type="expression" dxfId="9490" priority="9650">
      <formula>$B814="Subetapa"</formula>
    </cfRule>
  </conditionalFormatting>
  <conditionalFormatting sqref="B835:B838">
    <cfRule type="expression" dxfId="9489" priority="9630">
      <formula>$B835="Serviço"</formula>
    </cfRule>
    <cfRule type="expression" dxfId="9488" priority="9631">
      <formula>$B835="Subetapa"</formula>
    </cfRule>
  </conditionalFormatting>
  <conditionalFormatting sqref="B843:B847">
    <cfRule type="expression" dxfId="9487" priority="13731">
      <formula>$B843="Subetapa"</formula>
    </cfRule>
  </conditionalFormatting>
  <conditionalFormatting sqref="B848:B850">
    <cfRule type="expression" dxfId="9486" priority="13786">
      <formula>$B848="Subetapa"</formula>
    </cfRule>
  </conditionalFormatting>
  <conditionalFormatting sqref="B852:B860">
    <cfRule type="expression" dxfId="9485" priority="13698">
      <formula>$B852="Subetapa"</formula>
    </cfRule>
  </conditionalFormatting>
  <conditionalFormatting sqref="B860:B862 D864:F864 D865:D866 F865:F866 C864:C866">
    <cfRule type="expression" dxfId="9484" priority="13680">
      <formula>$B860="Subetapa"</formula>
    </cfRule>
  </conditionalFormatting>
  <conditionalFormatting sqref="B879:B882">
    <cfRule type="expression" dxfId="9483" priority="9608">
      <formula>$B879="Serviço"</formula>
    </cfRule>
    <cfRule type="expression" dxfId="9482" priority="9609">
      <formula>$B879="Subetapa"</formula>
    </cfRule>
  </conditionalFormatting>
  <conditionalFormatting sqref="B883:B884">
    <cfRule type="expression" dxfId="9481" priority="9604">
      <formula>$B883="Serviço"</formula>
    </cfRule>
    <cfRule type="expression" dxfId="9480" priority="9605">
      <formula>$B883="Subetapa"</formula>
    </cfRule>
  </conditionalFormatting>
  <conditionalFormatting sqref="B895:B896">
    <cfRule type="expression" dxfId="9479" priority="9624">
      <formula>$B895="Serviço"</formula>
    </cfRule>
    <cfRule type="expression" dxfId="9478" priority="9625">
      <formula>$B895="Subetapa"</formula>
    </cfRule>
  </conditionalFormatting>
  <conditionalFormatting sqref="B918:B929">
    <cfRule type="expression" dxfId="9477" priority="9912">
      <formula>$B918="Serviço"</formula>
    </cfRule>
    <cfRule type="expression" dxfId="9476" priority="9913">
      <formula>$B918="Subetapa"</formula>
    </cfRule>
  </conditionalFormatting>
  <conditionalFormatting sqref="B931:B942">
    <cfRule type="expression" dxfId="9475" priority="9954">
      <formula>$B931="Serviço"</formula>
    </cfRule>
    <cfRule type="expression" dxfId="9474" priority="9955">
      <formula>$B931="Subetapa"</formula>
    </cfRule>
  </conditionalFormatting>
  <conditionalFormatting sqref="D943:F944 D947:F947 D945:D946 F945:F946 D950:F950 D948:D949 F948:F949 D953:F953 D951:D952 F951:F952 D956:F956 D954:D955 F954:F955 B943:C956">
    <cfRule type="expression" dxfId="9473" priority="11766">
      <formula>$B943="Subetapa"</formula>
    </cfRule>
  </conditionalFormatting>
  <conditionalFormatting sqref="B957:B962 B1169:B1172">
    <cfRule type="expression" dxfId="9472" priority="13737">
      <formula>$B957="Subetapa"</formula>
    </cfRule>
  </conditionalFormatting>
  <conditionalFormatting sqref="B963:B989 C970:F970">
    <cfRule type="expression" dxfId="9471" priority="11762">
      <formula>$B963="Subetapa"</formula>
    </cfRule>
  </conditionalFormatting>
  <conditionalFormatting sqref="B979:B980">
    <cfRule type="expression" dxfId="9470" priority="13655">
      <formula>$B979="Subetapa"</formula>
    </cfRule>
  </conditionalFormatting>
  <conditionalFormatting sqref="B1175:B1185 D1177:D1185">
    <cfRule type="expression" dxfId="9469" priority="9583">
      <formula>$B1175="Subetapa"</formula>
    </cfRule>
  </conditionalFormatting>
  <conditionalFormatting sqref="B1175:B1185">
    <cfRule type="expression" dxfId="9468" priority="9582">
      <formula>$B1175="Serviço"</formula>
    </cfRule>
  </conditionalFormatting>
  <conditionalFormatting sqref="B1290:B1299">
    <cfRule type="expression" dxfId="9467" priority="9497">
      <formula>$B1290="Serviço"</formula>
    </cfRule>
  </conditionalFormatting>
  <conditionalFormatting sqref="B1301:B1310 B1312:B1321 B1323:B1332 B1334:B1343 B1345:B1346 D1312:D1321 F1345">
    <cfRule type="expression" dxfId="9466" priority="9562">
      <formula>$B1301="Subetapa"</formula>
    </cfRule>
  </conditionalFormatting>
  <conditionalFormatting sqref="B1302:B1310 B1313:B1321 B1324:B1332 B1335:B1343 B1356:B1373 D1362:F1362 D1368:F1368 D1369:D1373 D1356:F1356 D1357 F1357 D1363 F1363 C1368:C1373 C1218:D1219 C1200:D1208 C1356:C1357 C1362:C1363">
    <cfRule type="expression" dxfId="9465" priority="9560">
      <formula>$B1200="Subetapa"</formula>
    </cfRule>
  </conditionalFormatting>
  <conditionalFormatting sqref="B1257:B1265 B1268:B1276 B1279:B1287 B1302:B1310 B1313:B1321 B1324:B1332 B1335:B1343 B1357:B1361 D1362:F1362 B1363:B1367 D1368:F1368 B1369:B1373 D1369:D1373 F1357 D1363 F1363 C1357:D1357 C1368:C1373 C1362:C1363">
    <cfRule type="expression" dxfId="9464" priority="9559">
      <formula>$B1257="Serviço"</formula>
    </cfRule>
  </conditionalFormatting>
  <conditionalFormatting sqref="B1376:B1385">
    <cfRule type="expression" dxfId="9463" priority="9561">
      <formula>$B1376="Serviço"</formula>
    </cfRule>
  </conditionalFormatting>
  <conditionalFormatting sqref="B1549:B1624">
    <cfRule type="expression" dxfId="9462" priority="13384">
      <formula>$B1549="Subetapa"</formula>
    </cfRule>
  </conditionalFormatting>
  <conditionalFormatting sqref="B1627:B1636">
    <cfRule type="expression" dxfId="9461" priority="13372">
      <formula>$B1627="Subetapa"</formula>
    </cfRule>
  </conditionalFormatting>
  <conditionalFormatting sqref="B1639:B1648">
    <cfRule type="expression" dxfId="9460" priority="13330">
      <formula>$B1639="Subetapa"</formula>
    </cfRule>
  </conditionalFormatting>
  <conditionalFormatting sqref="B1814:B1822">
    <cfRule type="expression" dxfId="9459" priority="13659">
      <formula>$B1814="Subetapa"</formula>
    </cfRule>
  </conditionalFormatting>
  <conditionalFormatting sqref="B1868:B1891">
    <cfRule type="expression" dxfId="9458" priority="13261">
      <formula>$B1868="Subetapa"</formula>
    </cfRule>
  </conditionalFormatting>
  <conditionalFormatting sqref="B1882:B1892 D1881:D1891">
    <cfRule type="expression" dxfId="9457" priority="13270">
      <formula>$B1881="Subetapa"</formula>
    </cfRule>
  </conditionalFormatting>
  <conditionalFormatting sqref="B1893:B1904">
    <cfRule type="expression" dxfId="9456" priority="13249">
      <formula>$B1893="Subetapa"</formula>
    </cfRule>
  </conditionalFormatting>
  <conditionalFormatting sqref="B1907:B1916">
    <cfRule type="expression" dxfId="9455" priority="13223">
      <formula>$B1907="Subetapa"</formula>
    </cfRule>
  </conditionalFormatting>
  <conditionalFormatting sqref="B1908:B1916 D1908:D1916">
    <cfRule type="expression" dxfId="9454" priority="13228">
      <formula>$B1908="Subetapa"</formula>
    </cfRule>
  </conditionalFormatting>
  <conditionalFormatting sqref="B1918:B1928">
    <cfRule type="expression" dxfId="9453" priority="13207">
      <formula>$B1918="Subetapa"</formula>
    </cfRule>
  </conditionalFormatting>
  <conditionalFormatting sqref="B1920:B1928 D1920:D1928">
    <cfRule type="expression" dxfId="9452" priority="13212">
      <formula>$B1920="Subetapa"</formula>
    </cfRule>
  </conditionalFormatting>
  <conditionalFormatting sqref="B1930:B1941">
    <cfRule type="expression" dxfId="9451" priority="13191">
      <formula>$B1930="Subetapa"</formula>
    </cfRule>
  </conditionalFormatting>
  <conditionalFormatting sqref="B1943:B1954">
    <cfRule type="expression" dxfId="9450" priority="13175">
      <formula>$B1943="Subetapa"</formula>
    </cfRule>
  </conditionalFormatting>
  <conditionalFormatting sqref="B1956:B1967">
    <cfRule type="expression" dxfId="9449" priority="13159">
      <formula>$B1956="Subetapa"</formula>
    </cfRule>
  </conditionalFormatting>
  <conditionalFormatting sqref="B1969:B1980">
    <cfRule type="expression" dxfId="9448" priority="13143">
      <formula>$B1969="Subetapa"</formula>
    </cfRule>
  </conditionalFormatting>
  <conditionalFormatting sqref="B1982:B1992">
    <cfRule type="expression" dxfId="9447" priority="13127">
      <formula>$B1982="Subetapa"</formula>
    </cfRule>
  </conditionalFormatting>
  <conditionalFormatting sqref="B1994:B2004">
    <cfRule type="expression" dxfId="9446" priority="13109">
      <formula>$B1994="Subetapa"</formula>
    </cfRule>
  </conditionalFormatting>
  <conditionalFormatting sqref="B2006:B2016">
    <cfRule type="expression" dxfId="9445" priority="13237">
      <formula>$B2006="Subetapa"</formula>
    </cfRule>
  </conditionalFormatting>
  <conditionalFormatting sqref="B2008:B2017 D2008:D2016">
    <cfRule type="expression" dxfId="9444" priority="13242">
      <formula>$B2008="Subetapa"</formula>
    </cfRule>
  </conditionalFormatting>
  <conditionalFormatting sqref="B2021:B2028 B2018:B2019">
    <cfRule type="expression" dxfId="9443" priority="13096">
      <formula>$B2018="Subetapa"</formula>
    </cfRule>
  </conditionalFormatting>
  <conditionalFormatting sqref="B2031:B2040 D2030:D2032 D2035:D2040">
    <cfRule type="expression" dxfId="9442" priority="13074">
      <formula>$B2030="Subetapa"</formula>
    </cfRule>
  </conditionalFormatting>
  <conditionalFormatting sqref="B2043:B2052 D2042:D2044 D2047:D2052">
    <cfRule type="expression" dxfId="9441" priority="13064">
      <formula>$B2042="Subetapa"</formula>
    </cfRule>
  </conditionalFormatting>
  <conditionalFormatting sqref="B2054:B2055 D2054:D2055">
    <cfRule type="expression" dxfId="9440" priority="13044">
      <formula>$B2054="Subetapa"</formula>
    </cfRule>
  </conditionalFormatting>
  <conditionalFormatting sqref="B2055:B2065">
    <cfRule type="expression" dxfId="9439" priority="13042">
      <formula>$B2055="Subetapa"</formula>
    </cfRule>
  </conditionalFormatting>
  <conditionalFormatting sqref="B2056:B2066 D2056:D2057 D2060:D2065">
    <cfRule type="expression" dxfId="9438" priority="13054">
      <formula>$B2056="Subetapa"</formula>
    </cfRule>
  </conditionalFormatting>
  <conditionalFormatting sqref="B2105:B2112">
    <cfRule type="expression" dxfId="9437" priority="12955">
      <formula>$B2105="Subetapa"</formula>
    </cfRule>
  </conditionalFormatting>
  <conditionalFormatting sqref="B2113:B2118">
    <cfRule type="expression" dxfId="9436" priority="12935">
      <formula>$B2113="Subetapa"</formula>
    </cfRule>
  </conditionalFormatting>
  <conditionalFormatting sqref="B2120:B2125">
    <cfRule type="expression" dxfId="9435" priority="12915">
      <formula>$B2120="Subetapa"</formula>
    </cfRule>
  </conditionalFormatting>
  <conditionalFormatting sqref="B2127:B2132">
    <cfRule type="expression" dxfId="9434" priority="12895">
      <formula>$B2127="Subetapa"</formula>
    </cfRule>
  </conditionalFormatting>
  <conditionalFormatting sqref="B2134:B2139">
    <cfRule type="expression" dxfId="9433" priority="12875">
      <formula>$B2134="Subetapa"</formula>
    </cfRule>
  </conditionalFormatting>
  <conditionalFormatting sqref="B2179:B2180">
    <cfRule type="expression" dxfId="9432" priority="13739">
      <formula>$B2179="Subetapa"</formula>
    </cfRule>
  </conditionalFormatting>
  <conditionalFormatting sqref="B2181:B2207 D2194:F2194 D2317:F2317 B2317:B2330 D2192:D2193 F2192:F2193 D2196:F2196 D2195 F2195 D2198:F2198 D2197 F2197 D2201:F2201 D2199:D2200 F2199:F2200 D2203:F2203 D2202 F2202 D2205:F2205 D2204 F2204 D2206:D2207 F2206:F2207 D2319:F2319 D2318 F2318 D2322:F2322 D2320:D2321 F2320:F2321 D2324:F2324 D2323 F2323 D2326:F2326 D2325 F2325 D2328:F2328 D2327 F2327 D2331:F2331 D2329:D2330 F2329:F2330 C2192:C2207 C2317:C2331">
    <cfRule type="expression" dxfId="9431" priority="13626">
      <formula>$B2181="Subetapa"</formula>
    </cfRule>
  </conditionalFormatting>
  <conditionalFormatting sqref="B2212:B2223">
    <cfRule type="expression" dxfId="9430" priority="9975">
      <formula>$B2212="Subetapa"</formula>
    </cfRule>
  </conditionalFormatting>
  <conditionalFormatting sqref="B2224:B2243">
    <cfRule type="expression" dxfId="9429" priority="9999">
      <formula>$B2224="Subetapa"</formula>
    </cfRule>
  </conditionalFormatting>
  <conditionalFormatting sqref="B2338:B2341">
    <cfRule type="expression" dxfId="9428" priority="9458">
      <formula>$B2338="Serviço"</formula>
    </cfRule>
    <cfRule type="expression" dxfId="9427" priority="9462">
      <formula>$B2338="Subetapa"</formula>
    </cfRule>
  </conditionalFormatting>
  <conditionalFormatting sqref="B2347:B2348">
    <cfRule type="expression" dxfId="9426" priority="9444">
      <formula>$B2347="Serviço"</formula>
    </cfRule>
    <cfRule type="expression" dxfId="9425" priority="9448">
      <formula>$B2347="Subetapa"</formula>
    </cfRule>
  </conditionalFormatting>
  <conditionalFormatting sqref="B2349:B2350">
    <cfRule type="expression" dxfId="9424" priority="9435">
      <formula>$B2349="Serviço"</formula>
    </cfRule>
    <cfRule type="expression" dxfId="9423" priority="9439">
      <formula>$B2349="Subetapa"</formula>
    </cfRule>
  </conditionalFormatting>
  <conditionalFormatting sqref="B2356:B2357">
    <cfRule type="expression" dxfId="9422" priority="12825">
      <formula>$B2356="Subetapa"</formula>
    </cfRule>
  </conditionalFormatting>
  <conditionalFormatting sqref="B2359:B2367 B2369:B2373 B2344:B2345 B2390:B2434">
    <cfRule type="expression" dxfId="9421" priority="13671">
      <formula>$B2344="Subetapa"</formula>
    </cfRule>
  </conditionalFormatting>
  <conditionalFormatting sqref="B2374:B2378">
    <cfRule type="expression" dxfId="9420" priority="9426">
      <formula>$B2374="Serviço"</formula>
    </cfRule>
    <cfRule type="expression" dxfId="9419" priority="9430">
      <formula>$B2374="Subetapa"</formula>
    </cfRule>
  </conditionalFormatting>
  <conditionalFormatting sqref="B2379:B2388">
    <cfRule type="expression" dxfId="9418" priority="9409">
      <formula>$B2379="Subetapa"</formula>
    </cfRule>
  </conditionalFormatting>
  <conditionalFormatting sqref="B2380:B2383 B2385:B2388">
    <cfRule type="expression" dxfId="9417" priority="9410">
      <formula>$B2380="Serviço"</formula>
    </cfRule>
  </conditionalFormatting>
  <conditionalFormatting sqref="B2435:B2469">
    <cfRule type="expression" dxfId="9416" priority="12725">
      <formula>$B2435="Subetapa"</formula>
    </cfRule>
  </conditionalFormatting>
  <conditionalFormatting sqref="B2470:B2474">
    <cfRule type="expression" dxfId="9415" priority="9367">
      <formula>$B2470="Serviço"</formula>
    </cfRule>
  </conditionalFormatting>
  <conditionalFormatting sqref="F2659:F2661 D2658:F2658 D2637:F2638 D2639:D2641 F2639:F2641 D2659:D2661 F2643:F2645 D2642:F2642 D2643:D2645 F2647:F2649 D2646:F2646 D2647:D2649 F2655:F2657 D2654:F2654 D2655:D2657 F2651:F2653 D2650:F2650 D2651:D2653 B2637:C2661">
    <cfRule type="expression" dxfId="9414" priority="11598">
      <formula>$B2637="Subetapa"</formula>
    </cfRule>
  </conditionalFormatting>
  <conditionalFormatting sqref="D2666:F2666 D2667:D2669 F2667:F2669 D2662:F2662 F2663:F2665 D2663:D2665 B2662:C2669">
    <cfRule type="expression" dxfId="9413" priority="11563">
      <formula>$B2662="Subetapa"</formula>
    </cfRule>
  </conditionalFormatting>
  <conditionalFormatting sqref="D2670:F2671 D2672 F2672 B2670:C2672">
    <cfRule type="expression" dxfId="9412" priority="11566">
      <formula>$B2670="Subetapa"</formula>
    </cfRule>
  </conditionalFormatting>
  <conditionalFormatting sqref="B2673:B2674 B2690 B2682 B2687:B2688 B2684:B2685">
    <cfRule type="expression" dxfId="9411" priority="9306">
      <formula>$B2673="Serviço"</formula>
    </cfRule>
  </conditionalFormatting>
  <conditionalFormatting sqref="B2673:B2674 B2690 B2685 B2687:B2688">
    <cfRule type="expression" dxfId="9410" priority="9304">
      <formula>$B2673="Subetapa"</formula>
    </cfRule>
  </conditionalFormatting>
  <conditionalFormatting sqref="D2731:F2732 D2734:F2734 D2733 F2733 D2735 F2735 B2731:C2735">
    <cfRule type="expression" dxfId="9409" priority="11596">
      <formula>$B2731="Subetapa"</formula>
    </cfRule>
  </conditionalFormatting>
  <conditionalFormatting sqref="D2737:F2737 D2739:F2739 D2738 F2738 D2741:F2742 D2740 F2740 D2746:F2746 D2743 F2743 D2748:F2748 D2747 F2747 D2750:F2750 D2749 F2749 D2752:F2752 D2751 F2751 D2753 F2753 D2744:F2744 F2745 D2745 B2737:C2753">
    <cfRule type="expression" dxfId="9408" priority="11594">
      <formula>$B2737="Subetapa"</formula>
    </cfRule>
  </conditionalFormatting>
  <conditionalFormatting sqref="D2765:F2765 D2766:D2767 F2766:F2767 B2765:C2767">
    <cfRule type="expression" dxfId="9407" priority="9294">
      <formula>$B2765="Serviço"</formula>
    </cfRule>
  </conditionalFormatting>
  <conditionalFormatting sqref="B2765:B2767">
    <cfRule type="expression" dxfId="9406" priority="9297">
      <formula>$B2765="Subetapa"</formula>
    </cfRule>
  </conditionalFormatting>
  <conditionalFormatting sqref="B2772:B2787">
    <cfRule type="expression" dxfId="9405" priority="12670">
      <formula>$B2772="Subetapa"</formula>
    </cfRule>
  </conditionalFormatting>
  <conditionalFormatting sqref="B2806:B2816 D2815:D2816">
    <cfRule type="expression" dxfId="9404" priority="9289">
      <formula>$B2806="Subetapa"</formula>
    </cfRule>
  </conditionalFormatting>
  <conditionalFormatting sqref="B2806:B2816">
    <cfRule type="expression" dxfId="9403" priority="9288">
      <formula>$B2806="Serviço"</formula>
    </cfRule>
  </conditionalFormatting>
  <conditionalFormatting sqref="B2817:B2821">
    <cfRule type="expression" dxfId="9402" priority="10665">
      <formula>$B2817="Subetapa"</formula>
    </cfRule>
  </conditionalFormatting>
  <conditionalFormatting sqref="B2883:B2884 B3247:B3249 B3177:B3188">
    <cfRule type="expression" dxfId="9401" priority="9279">
      <formula>$B2883="Subetapa"</formula>
    </cfRule>
    <cfRule type="expression" dxfId="9400" priority="9280">
      <formula>$B2883="Serviço"</formula>
    </cfRule>
  </conditionalFormatting>
  <conditionalFormatting sqref="B2911:B2918">
    <cfRule type="expression" dxfId="9399" priority="12574">
      <formula>$B2911="Subetapa"</formula>
    </cfRule>
  </conditionalFormatting>
  <conditionalFormatting sqref="D2957:F2957 D2959:D2960 F2958:F2960 B2937:B2960 C2957:C2960">
    <cfRule type="expression" dxfId="9398" priority="13586">
      <formula>$B2937="Subetapa"</formula>
    </cfRule>
  </conditionalFormatting>
  <conditionalFormatting sqref="D3048:F3048 D3023:F3023 D3027:F3027 D3024:D3026 F3024:F3026 D3031:F3031 D3028:D3030 F3028:F3030 D3035:F3035 D3032:D3034 F3032:F3034 D3039:F3039 D3036:D3038 F3036:F3038 D3043:F3043 D3040:D3042 F3040:F3042 D3044:D3046 F3044:F3046 D3051:F3051 D3049:D3050 F3049:F3050 D3054:F3054 D3052:D3053 F3052:F3053 D3055 F3055 B3023:C3046 B3048:C3055">
    <cfRule type="expression" dxfId="9397" priority="13803">
      <formula>$B3023="Subetapa"</formula>
    </cfRule>
  </conditionalFormatting>
  <conditionalFormatting sqref="B3056:B3063">
    <cfRule type="expression" dxfId="9396" priority="9268">
      <formula>$B3056="Subetapa"</formula>
    </cfRule>
    <cfRule type="expression" dxfId="9395" priority="9270">
      <formula>$B3056="Serviço"</formula>
    </cfRule>
  </conditionalFormatting>
  <conditionalFormatting sqref="B3097:B3098">
    <cfRule type="expression" dxfId="9394" priority="9261">
      <formula>$B3097="Serviço"</formula>
    </cfRule>
  </conditionalFormatting>
  <conditionalFormatting sqref="B3097:B3098">
    <cfRule type="expression" dxfId="9393" priority="9256">
      <formula>$B3097="Subetapa"</formula>
    </cfRule>
  </conditionalFormatting>
  <conditionalFormatting sqref="B3099:B3106 B3108:B3128 B3137:B3138">
    <cfRule type="expression" dxfId="9392" priority="13673">
      <formula>$B3099="Subetapa"</formula>
    </cfRule>
  </conditionalFormatting>
  <conditionalFormatting sqref="B3129:B3136">
    <cfRule type="expression" dxfId="9391" priority="9246">
      <formula>$B3129="Subetapa"</formula>
    </cfRule>
    <cfRule type="expression" dxfId="9390" priority="9252">
      <formula>$B3129="Serviço"</formula>
    </cfRule>
  </conditionalFormatting>
  <conditionalFormatting sqref="B3350:B3379">
    <cfRule type="expression" dxfId="9389" priority="12442">
      <formula>$B3350="Subetapa"</formula>
    </cfRule>
  </conditionalFormatting>
  <conditionalFormatting sqref="B3380:B3463">
    <cfRule type="expression" dxfId="9388" priority="12474">
      <formula>$B3380="Subetapa"</formula>
    </cfRule>
  </conditionalFormatting>
  <conditionalFormatting sqref="B3464:B3475">
    <cfRule type="expression" dxfId="9387" priority="12464">
      <formula>$B3464="Subetapa"</formula>
    </cfRule>
  </conditionalFormatting>
  <conditionalFormatting sqref="D3623:F3623 D3624:D3625 F3624:F3625 B3623:C3625">
    <cfRule type="expression" dxfId="9386" priority="12372">
      <formula>$B3623="Subetapa"</formula>
    </cfRule>
  </conditionalFormatting>
  <conditionalFormatting sqref="D3626:F3626 D3627:D3628 F3627:F3628 B3626:C3628">
    <cfRule type="expression" dxfId="9385" priority="12389">
      <formula>$B3626="Subetapa"</formula>
    </cfRule>
  </conditionalFormatting>
  <conditionalFormatting sqref="D3640:F3640 D3641:D3643 F3641:F3643 B3640:C3643">
    <cfRule type="expression" dxfId="9384" priority="12380">
      <formula>$B3640="Subetapa"</formula>
    </cfRule>
  </conditionalFormatting>
  <conditionalFormatting sqref="D3662:F3662 D3665:F3665 D3663:D3664 F3663:F3664 D3668:F3668 D3666:D3667 F3666:F3667 D3671:F3671 D3669:D3670 F3669:F3670 D3672:D3673 F3672:F3673 B3662:C3673">
    <cfRule type="expression" dxfId="9383" priority="12384">
      <formula>$B3662="Subetapa"</formula>
    </cfRule>
  </conditionalFormatting>
  <conditionalFormatting sqref="B3674:B3678">
    <cfRule type="expression" dxfId="9382" priority="9011">
      <formula>$B3674="Serviço"</formula>
    </cfRule>
    <cfRule type="expression" dxfId="9381" priority="9012">
      <formula>$B3674="Subetapa"</formula>
    </cfRule>
  </conditionalFormatting>
  <conditionalFormatting sqref="B3679:B3683">
    <cfRule type="expression" dxfId="9380" priority="12376">
      <formula>$B3679="Subetapa"</formula>
    </cfRule>
  </conditionalFormatting>
  <conditionalFormatting sqref="B3684:B3688">
    <cfRule type="expression" dxfId="9379" priority="8999">
      <formula>$B3684="Serviço"</formula>
    </cfRule>
    <cfRule type="expression" dxfId="9378" priority="9000">
      <formula>$B3684="Subetapa"</formula>
    </cfRule>
  </conditionalFormatting>
  <conditionalFormatting sqref="B3699:B3708">
    <cfRule type="expression" dxfId="9377" priority="8987">
      <formula>$B3699="Serviço"</formula>
    </cfRule>
    <cfRule type="expression" dxfId="9376" priority="8988">
      <formula>$B3699="Subetapa"</formula>
    </cfRule>
  </conditionalFormatting>
  <conditionalFormatting sqref="B3722:B3724">
    <cfRule type="expression" dxfId="9375" priority="8963">
      <formula>$B3722="Serviço"</formula>
    </cfRule>
    <cfRule type="expression" dxfId="9374" priority="8964">
      <formula>$B3722="Subetapa"</formula>
    </cfRule>
  </conditionalFormatting>
  <conditionalFormatting sqref="D3731:F3732 D3736:F3736 D3733:D3735 F3733:F3735 D3740:F3740 D3737:D3739 F3737:F3739 D3744:F3744 D3741:D3743 F3741:F3743 D3748:F3748 D3745:D3747 F3745:F3747 D3752:F3752 D3749:D3751 F3749:F3751 D3756:F3757 D3753:D3755 F3753:F3755 D3758 F3758 B3731:C3758">
    <cfRule type="expression" dxfId="9373" priority="11516">
      <formula>$B3731="Subetapa"</formula>
    </cfRule>
  </conditionalFormatting>
  <conditionalFormatting sqref="D3767:F3768 D3770:F3770 D3769 F3769 D3772:F3772 D3771 F3771 D3774:F3775 D3773 F3773 D3777:F3777 D3776 F3776 D3781:F3781 D3778 F3778 D3783:F3784 D3782 F3782 D3786:F3786 D3785 F3785 D3787 F3787 D3779:F3779 F3780 D3780 B3767:C3787">
    <cfRule type="expression" dxfId="9372" priority="12524">
      <formula>$B3767="Subetapa"</formula>
    </cfRule>
  </conditionalFormatting>
  <conditionalFormatting sqref="D3788:F3788 D3792:F3792 D3789 F3789 D3793 F3793 D3790:F3790 F3791 D3791 B3788:C3793">
    <cfRule type="expression" dxfId="9371" priority="11461">
      <formula>$B3788="Subetapa"</formula>
    </cfRule>
  </conditionalFormatting>
  <conditionalFormatting sqref="D3794:F3795 D3797:F3797 D3796 F3796 D3799:F3799 D3798 F3798 D3801:F3803 D3800 F3800 D3804:D3807 F3804:F3807 B3794:C3807">
    <cfRule type="expression" dxfId="9370" priority="12298">
      <formula>$B3794="Subetapa"</formula>
    </cfRule>
  </conditionalFormatting>
  <conditionalFormatting sqref="D3808:F3808 D3811:F3811 D3809:D3810 F3809:F3810 D3812:D3815 F3812:F3815 B3808:C3815">
    <cfRule type="expression" dxfId="9369" priority="8649">
      <formula>$B3808="Serviço"</formula>
    </cfRule>
  </conditionalFormatting>
  <conditionalFormatting sqref="B3808:B3815">
    <cfRule type="expression" dxfId="9368" priority="8646">
      <formula>$B3808="Subetapa"</formula>
    </cfRule>
  </conditionalFormatting>
  <conditionalFormatting sqref="B3846:B3847">
    <cfRule type="expression" dxfId="9367" priority="12110">
      <formula>$B3846="Subetapa"</formula>
    </cfRule>
  </conditionalFormatting>
  <conditionalFormatting sqref="B3858:B3859 D3858:F3859">
    <cfRule type="expression" dxfId="9366" priority="12279">
      <formula>$B3858="Subetapa"</formula>
    </cfRule>
  </conditionalFormatting>
  <conditionalFormatting sqref="B3861:B3862">
    <cfRule type="expression" dxfId="9365" priority="12269">
      <formula>$B3861="Subetapa"</formula>
    </cfRule>
  </conditionalFormatting>
  <conditionalFormatting sqref="B3864:B3865">
    <cfRule type="expression" dxfId="9364" priority="12231">
      <formula>$B3864="Subetapa"</formula>
    </cfRule>
  </conditionalFormatting>
  <conditionalFormatting sqref="B3883:B3884">
    <cfRule type="expression" dxfId="9363" priority="12218">
      <formula>$B3883="Subetapa"</formula>
    </cfRule>
  </conditionalFormatting>
  <conditionalFormatting sqref="B3894:B3895">
    <cfRule type="expression" dxfId="9362" priority="12205">
      <formula>$B3894="Subetapa"</formula>
    </cfRule>
  </conditionalFormatting>
  <conditionalFormatting sqref="B3905:B3906">
    <cfRule type="expression" dxfId="9361" priority="12192">
      <formula>$B3905="Subetapa"</formula>
    </cfRule>
  </conditionalFormatting>
  <conditionalFormatting sqref="B3916:B3917">
    <cfRule type="expression" dxfId="9360" priority="12179">
      <formula>$B3916="Subetapa"</formula>
    </cfRule>
  </conditionalFormatting>
  <conditionalFormatting sqref="B3927:B3928">
    <cfRule type="expression" dxfId="9359" priority="12166">
      <formula>$B3927="Subetapa"</formula>
    </cfRule>
  </conditionalFormatting>
  <conditionalFormatting sqref="B3929:B3932 D3929:D3932">
    <cfRule type="expression" dxfId="9358" priority="10566">
      <formula>$B3929="Subetapa"</formula>
    </cfRule>
  </conditionalFormatting>
  <conditionalFormatting sqref="B3938:B3943 D3939:D3940">
    <cfRule type="expression" dxfId="9357" priority="13742">
      <formula>$B3938="Subetapa"</formula>
    </cfRule>
  </conditionalFormatting>
  <conditionalFormatting sqref="B3944:B3952">
    <cfRule type="expression" dxfId="9356" priority="10551">
      <formula>$B3944="Subetapa"</formula>
    </cfRule>
  </conditionalFormatting>
  <conditionalFormatting sqref="B3956:B3959">
    <cfRule type="expression" dxfId="9355" priority="10139">
      <formula>$B3956="Subetapa"</formula>
    </cfRule>
  </conditionalFormatting>
  <conditionalFormatting sqref="B3983:B3986">
    <cfRule type="expression" dxfId="9354" priority="8264">
      <formula>$B3983="Serviço"</formula>
    </cfRule>
  </conditionalFormatting>
  <conditionalFormatting sqref="B4041:B4043 D4051:F4051 D4054:F4054 D4052:D4053 F4052:F4053 B4051:B4056 C4051:C4054">
    <cfRule type="expression" dxfId="9353" priority="7873">
      <formula>$B4041="Serviço"</formula>
    </cfRule>
  </conditionalFormatting>
  <conditionalFormatting sqref="B4041:B4043 B4051:B4056">
    <cfRule type="expression" dxfId="9352" priority="7872">
      <formula>$B4041="Subetapa"</formula>
    </cfRule>
  </conditionalFormatting>
  <conditionalFormatting sqref="B4058:B4067">
    <cfRule type="expression" dxfId="9351" priority="13628">
      <formula>$B4058="Subetapa"</formula>
    </cfRule>
  </conditionalFormatting>
  <conditionalFormatting sqref="B4069:B4076">
    <cfRule type="expression" dxfId="9350" priority="12127">
      <formula>$B4069="Subetapa"</formula>
    </cfRule>
  </conditionalFormatting>
  <conditionalFormatting sqref="D4082:F4082 D4152:F4152 D4084:F4084 F4083 D4086:F4086 D4085 F4085 D4154:F4154 D4153 F4153 D4155 F4155 D4078:F4078 D4079 F4079 D4083 D4080:F4080 F4081 D4081 B4152:C4155 B4078:C4086">
    <cfRule type="expression" dxfId="9349" priority="13589">
      <formula>$B4078="Subetapa"</formula>
    </cfRule>
  </conditionalFormatting>
  <conditionalFormatting sqref="B4110:B4113 B4088:B4097">
    <cfRule type="expression" dxfId="9348" priority="13762">
      <formula>$B4088="Subetapa"</formula>
    </cfRule>
  </conditionalFormatting>
  <conditionalFormatting sqref="D4114:F4114 D4115 F4115 B4114:C4115">
    <cfRule type="expression" dxfId="9347" priority="7797">
      <formula>$B4114="Subetapa"</formula>
    </cfRule>
  </conditionalFormatting>
  <conditionalFormatting sqref="B4122:B4124">
    <cfRule type="expression" dxfId="9346" priority="7818">
      <formula>$B4122="Serviço"</formula>
    </cfRule>
    <cfRule type="expression" dxfId="9345" priority="7820">
      <formula>$B4122="Subetapa"</formula>
    </cfRule>
  </conditionalFormatting>
  <conditionalFormatting sqref="B4125:B4134">
    <cfRule type="expression" dxfId="9344" priority="12334">
      <formula>$B4125="Subetapa"</formula>
    </cfRule>
  </conditionalFormatting>
  <conditionalFormatting sqref="B4156:B4161">
    <cfRule type="expression" dxfId="9343" priority="7786">
      <formula>$B4156="Serviço"</formula>
    </cfRule>
    <cfRule type="expression" dxfId="9342" priority="7787">
      <formula>$B4156="Subetapa"</formula>
    </cfRule>
  </conditionalFormatting>
  <conditionalFormatting sqref="D4187:F4187 D4190:F4190 D4188:D4189 F4188:F4189 D4193:F4193 D4191:D4192 F4191:F4192 D4196:F4196 D4194:D4195 F4194:F4195 D4199:F4199 D4197:D4198 F4197:F4198 D4200:D4201 F4200:F4201 B4187:C4201">
    <cfRule type="expression" dxfId="9341" priority="13705">
      <formula>$B4187="Subetapa"</formula>
    </cfRule>
  </conditionalFormatting>
  <conditionalFormatting sqref="B4245:B4248">
    <cfRule type="expression" dxfId="9340" priority="7757">
      <formula>$B4245="Serviço"</formula>
    </cfRule>
    <cfRule type="expression" dxfId="9339" priority="7758">
      <formula>$B4245="Subetapa"</formula>
    </cfRule>
  </conditionalFormatting>
  <conditionalFormatting sqref="B4296:B4301">
    <cfRule type="expression" dxfId="9338" priority="12077">
      <formula>$B4296="Subetapa"</formula>
    </cfRule>
  </conditionalFormatting>
  <conditionalFormatting sqref="B4323:B4372">
    <cfRule type="expression" dxfId="9337" priority="12071">
      <formula>$B4323="Subetapa"</formula>
    </cfRule>
  </conditionalFormatting>
  <conditionalFormatting sqref="D4373:F4373 D4388:F4388 D4374:D4377 F4374:F4377 D4393:F4393 D4389:D4392 F4389:F4392 D4398:F4398 D4394:D4397 F4394:F4397 D4399:D4402 F4399:F4402 D4383:F4383 D4385:D4387 F4384:F4387 D4378:F4378 D4380:D4382 F4379:F4382 B4373:C4402">
    <cfRule type="expression" dxfId="9336" priority="7749">
      <formula>$B4373="Subetapa"</formula>
    </cfRule>
    <cfRule type="expression" dxfId="9335" priority="7751">
      <formula>$B4373="Serviço"</formula>
    </cfRule>
  </conditionalFormatting>
  <conditionalFormatting sqref="B4403:B4427 D4403:F4404 D4408:F4408 D4405:D4407 F4405:F4407 D4412:F4412 D4409:D4411 F4409:F4411 D4417:F4417 D4413:D4416 F4413:F4416 D4422:F4422 D4418:D4421 F4418:F4421 D4427:F4428 D4423:D4426 F4423:F4426 D4433:F4433 D4429:D4432 F4429:F4432 D4438:F4438 D4434:D4437 F4434:F4437 C4403:C4438">
    <cfRule type="expression" dxfId="9334" priority="12096">
      <formula>$B4403="Subetapa"</formula>
    </cfRule>
  </conditionalFormatting>
  <conditionalFormatting sqref="B4456:B4457">
    <cfRule type="expression" dxfId="9333" priority="14557">
      <formula>$B4456="Subetapa"</formula>
    </cfRule>
  </conditionalFormatting>
  <conditionalFormatting sqref="B4462:B4463">
    <cfRule type="expression" dxfId="9332" priority="13745">
      <formula>$B4462="Subetapa"</formula>
    </cfRule>
  </conditionalFormatting>
  <conditionalFormatting sqref="B4573:B4585 B4598:B4609">
    <cfRule type="expression" dxfId="9331" priority="12032">
      <formula>$B4573="Subetapa"</formula>
    </cfRule>
  </conditionalFormatting>
  <conditionalFormatting sqref="D4686:F4686 D4689:F4689 D4687:D4688 F4687:F4688 D4691:F4691 D4690 F4690 D4693:F4693 D4692 F4692 D4695:F4695 D4694 F4694 D4698:F4698 D4696:D4697 F4696:F4697 D4699 F4699 B4686:C4699">
    <cfRule type="expression" dxfId="9330" priority="7743">
      <formula>$B4686="Subetapa"</formula>
    </cfRule>
    <cfRule type="expression" dxfId="9329" priority="7745">
      <formula>$B4686="Serviço"</formula>
    </cfRule>
  </conditionalFormatting>
  <conditionalFormatting sqref="B4723:B4726 D4939:F4939 D4928:D4938 B4984:B5027 D3759:F3759 D3816:F3816 D3761:F3761 D3760 F3760 D3763:F3763 D3762 F3762 D3765:F3765 D3764 F3764 D3766 F3766 D3817:D3820 F3817:F3820 D4941:F4941 D4940 F4940 B3962:B3969 C3240:D3242 C3252:D3254 C3256:D3258 C3958:D3959 C3969:D3969 B3759:C3766 C3816:C3820 C4928:C4941 C3963:D3963 C3965:D3965">
    <cfRule type="expression" dxfId="9328" priority="13814">
      <formula>$B3240="Subetapa"</formula>
    </cfRule>
  </conditionalFormatting>
  <conditionalFormatting sqref="B4727:B4790 D4726:D4749">
    <cfRule type="expression" dxfId="9327" priority="13645">
      <formula>$B4726="Subetapa"</formula>
    </cfRule>
  </conditionalFormatting>
  <conditionalFormatting sqref="B4801:B4810">
    <cfRule type="expression" dxfId="9326" priority="7613">
      <formula>$B4801="Serviço"</formula>
    </cfRule>
    <cfRule type="expression" dxfId="9325" priority="7622">
      <formula>$B4801="Subetapa"</formula>
    </cfRule>
  </conditionalFormatting>
  <conditionalFormatting sqref="B4872:B4917 B4923:B4931">
    <cfRule type="expression" dxfId="9324" priority="13748">
      <formula>$B4872="Subetapa"</formula>
    </cfRule>
  </conditionalFormatting>
  <conditionalFormatting sqref="B4918:B4922">
    <cfRule type="expression" dxfId="9323" priority="7600">
      <formula>$B4918="Serviço"</formula>
    </cfRule>
    <cfRule type="expression" dxfId="9322" priority="7603">
      <formula>$B4918="Subetapa"</formula>
    </cfRule>
  </conditionalFormatting>
  <conditionalFormatting sqref="B4933:B4975">
    <cfRule type="expression" dxfId="9321" priority="13749">
      <formula>$B4933="Subetapa"</formula>
    </cfRule>
  </conditionalFormatting>
  <conditionalFormatting sqref="D303:F304 B303">
    <cfRule type="expression" dxfId="9320" priority="9791">
      <formula>$B303="Subetapa"</formula>
    </cfRule>
  </conditionalFormatting>
  <conditionalFormatting sqref="B810:B813 B839:B842">
    <cfRule type="expression" dxfId="9319" priority="7472">
      <formula>$B810="Subetapa"</formula>
    </cfRule>
  </conditionalFormatting>
  <conditionalFormatting sqref="B881">
    <cfRule type="expression" dxfId="9318" priority="9606">
      <formula>$B881="Serviço"</formula>
    </cfRule>
    <cfRule type="expression" dxfId="9317" priority="9607">
      <formula>$B881="Subetapa"</formula>
    </cfRule>
  </conditionalFormatting>
  <conditionalFormatting sqref="B894">
    <cfRule type="expression" dxfId="9316" priority="9617">
      <formula>$B894="Serviço"</formula>
    </cfRule>
    <cfRule type="expression" dxfId="9315" priority="9618">
      <formula>$B894="Subetapa"</formula>
    </cfRule>
  </conditionalFormatting>
  <conditionalFormatting sqref="B896">
    <cfRule type="expression" dxfId="9314" priority="9620">
      <formula>$B896="Serviço"</formula>
    </cfRule>
    <cfRule type="expression" dxfId="9313" priority="9621">
      <formula>$B896="Subetapa"</formula>
    </cfRule>
  </conditionalFormatting>
  <conditionalFormatting sqref="B923">
    <cfRule type="expression" dxfId="9312" priority="9899">
      <formula>$B923="Serviço"</formula>
    </cfRule>
    <cfRule type="expression" dxfId="9311" priority="9900">
      <formula>$B923="Subetapa"</formula>
    </cfRule>
  </conditionalFormatting>
  <conditionalFormatting sqref="B926">
    <cfRule type="expression" dxfId="9310" priority="9903">
      <formula>$B926="Serviço"</formula>
    </cfRule>
    <cfRule type="expression" dxfId="9309" priority="9904">
      <formula>$B926="Subetapa"</formula>
    </cfRule>
  </conditionalFormatting>
  <conditionalFormatting sqref="B929">
    <cfRule type="expression" dxfId="9308" priority="9905">
      <formula>$B929="Serviço"</formula>
    </cfRule>
    <cfRule type="expression" dxfId="9307" priority="9906">
      <formula>$B929="Subetapa"</formula>
    </cfRule>
  </conditionalFormatting>
  <conditionalFormatting sqref="B933">
    <cfRule type="expression" dxfId="9306" priority="9941">
      <formula>$B933="Serviço"</formula>
    </cfRule>
    <cfRule type="expression" dxfId="9305" priority="9942">
      <formula>$B933="Subetapa"</formula>
    </cfRule>
  </conditionalFormatting>
  <conditionalFormatting sqref="B936">
    <cfRule type="expression" dxfId="9304" priority="9939">
      <formula>$B936="Serviço"</formula>
    </cfRule>
    <cfRule type="expression" dxfId="9303" priority="9940">
      <formula>$B936="Subetapa"</formula>
    </cfRule>
  </conditionalFormatting>
  <conditionalFormatting sqref="B939">
    <cfRule type="expression" dxfId="9302" priority="9943">
      <formula>$B939="Serviço"</formula>
    </cfRule>
    <cfRule type="expression" dxfId="9301" priority="9944">
      <formula>$B939="Subetapa"</formula>
    </cfRule>
  </conditionalFormatting>
  <conditionalFormatting sqref="B942">
    <cfRule type="expression" dxfId="9300" priority="9947">
      <formula>$B942="Serviço"</formula>
    </cfRule>
    <cfRule type="expression" dxfId="9299" priority="9948">
      <formula>$B942="Subetapa"</formula>
    </cfRule>
  </conditionalFormatting>
  <conditionalFormatting sqref="B959 B962">
    <cfRule type="expression" dxfId="9298" priority="14330">
      <formula>$B959="Subetapa"</formula>
    </cfRule>
  </conditionalFormatting>
  <conditionalFormatting sqref="D3223:F3223 D3235:F3235 D3312:D3315 D3316:F3316 D3317:D3319 D4110:F4110 F2963 D3216 F3216 D3225:F3225 D3224 F3224 D3226 F3226 F3230 D3236:D3237 F3236:F3237 F3552:F3555 F3690:F3693 F3695:F3698 D4112:F4112 D4111 F4111 D4113 F4113 F4206:F4207 F4212:F4213 F4215:F4216 F4250 F4252 F4254 F4256 F4258 F4260 F4263 F4269 F4271 D4271 D4269 D4270:F4270 D4263 D4260 D4261:F4262 D4258 D4259:F4259 D4256 D4257:F4257 D4254 D4255:F4255 D4252 D4253:F4253 D4250 D4251:F4251 D4215:D4216 D4212:D4213 D4214:F4214 D3695:D3698 D3690:D3693 D3694:F3694 D3552:D3555 D3230 D2963 D4268:F4268 D4249:F4249 D4211:F4211 D3689:F3689 D3550:F3551 D3229:F3229 D2962:F2962 B1186:B1197 B3235:B3242 B3251:B3264 B4457:B4461 B2612:B2636 B3340:B3349 B3311:B3324 B3285:B3289 D3221:F3221 D3222 F3222 D3219:F3219 D3220 F3220 D3217:F3217 D3218 F3218 B3215:B3226 C2527:D2530 C3287:D3289 C3312:C3319 C3321:D3324 C3235:C3237 C4110:C4113 B4268:C4271 B4249:C4263 B4211:C4216 B3689:C3698 B3550:C3555 B3229:C3230 B2962:C2963 C3216:C3226 B4206:D4207">
    <cfRule type="expression" dxfId="9297" priority="13557">
      <formula>$B1186="Subetapa"</formula>
    </cfRule>
  </conditionalFormatting>
  <conditionalFormatting sqref="B1290">
    <cfRule type="expression" dxfId="9296" priority="9498">
      <formula>$B1290="Subetapa"</formula>
    </cfRule>
  </conditionalFormatting>
  <conditionalFormatting sqref="B1300">
    <cfRule type="expression" dxfId="9295" priority="9490">
      <formula>$B1300="Subetapa"</formula>
    </cfRule>
  </conditionalFormatting>
  <conditionalFormatting sqref="B1311">
    <cfRule type="expression" dxfId="9294" priority="9492">
      <formula>$B1311="Subetapa"</formula>
    </cfRule>
  </conditionalFormatting>
  <conditionalFormatting sqref="B1322">
    <cfRule type="expression" dxfId="9293" priority="9494">
      <formula>$B1322="Subetapa"</formula>
    </cfRule>
  </conditionalFormatting>
  <conditionalFormatting sqref="B1333">
    <cfRule type="expression" dxfId="9292" priority="9496">
      <formula>$B1333="Subetapa"</formula>
    </cfRule>
  </conditionalFormatting>
  <conditionalFormatting sqref="B1344">
    <cfRule type="expression" dxfId="9291" priority="9480">
      <formula>$B1344="Subetapa"</formula>
    </cfRule>
  </conditionalFormatting>
  <conditionalFormatting sqref="B1386:B1396 B1541 B1548 B1626 B1638 B1535">
    <cfRule type="expression" dxfId="9290" priority="13426">
      <formula>$B1386="Subetapa"</formula>
    </cfRule>
  </conditionalFormatting>
  <conditionalFormatting sqref="B1542:B1546">
    <cfRule type="expression" dxfId="9289" priority="7262">
      <formula>$B1542="Subetapa"</formula>
    </cfRule>
  </conditionalFormatting>
  <conditionalFormatting sqref="B1650:B1842">
    <cfRule type="expression" dxfId="9288" priority="7444">
      <formula>$B1650="Subetapa"</formula>
    </cfRule>
  </conditionalFormatting>
  <conditionalFormatting sqref="B1844:B1854">
    <cfRule type="expression" dxfId="9287" priority="7440">
      <formula>$B1844="Subetapa"</formula>
    </cfRule>
  </conditionalFormatting>
  <conditionalFormatting sqref="B1856:B1866">
    <cfRule type="expression" dxfId="9286" priority="7436">
      <formula>$B1856="Subetapa"</formula>
    </cfRule>
  </conditionalFormatting>
  <conditionalFormatting sqref="D1868:D1869 B1869 B1871:B1879 D1871:D1879">
    <cfRule type="expression" dxfId="9285" priority="13266">
      <formula>$B1868="Subetapa"</formula>
    </cfRule>
  </conditionalFormatting>
  <conditionalFormatting sqref="B1870">
    <cfRule type="expression" dxfId="9284" priority="13256">
      <formula>$B1870="Subetapa"</formula>
    </cfRule>
  </conditionalFormatting>
  <conditionalFormatting sqref="D1893:D1894 D1896:D1904 B1894 B1896:B1906">
    <cfRule type="expression" dxfId="9283" priority="13254">
      <formula>$B1893="Subetapa"</formula>
    </cfRule>
  </conditionalFormatting>
  <conditionalFormatting sqref="D1930:D1931 B1931 B1933:B1941 D1933:D1941">
    <cfRule type="expression" dxfId="9282" priority="13196">
      <formula>$B1930="Subetapa"</formula>
    </cfRule>
  </conditionalFormatting>
  <conditionalFormatting sqref="D1943:D1944 B1944 B1946:B1954 D1946:D1954">
    <cfRule type="expression" dxfId="9281" priority="13180">
      <formula>$B1943="Subetapa"</formula>
    </cfRule>
  </conditionalFormatting>
  <conditionalFormatting sqref="D1956:D1957 B1957 B1959:B1967 D1959:D1967">
    <cfRule type="expression" dxfId="9280" priority="13164">
      <formula>$B1956="Subetapa"</formula>
    </cfRule>
  </conditionalFormatting>
  <conditionalFormatting sqref="D1969:D1970 B1970 B1972:B1980 D1972:D1980">
    <cfRule type="expression" dxfId="9279" priority="13148">
      <formula>$B1969="Subetapa"</formula>
    </cfRule>
  </conditionalFormatting>
  <conditionalFormatting sqref="B2020">
    <cfRule type="expression" dxfId="9278" priority="12006">
      <formula>$B2020="Subetapa"</formula>
    </cfRule>
  </conditionalFormatting>
  <conditionalFormatting sqref="B2042:B2052">
    <cfRule type="expression" dxfId="9277" priority="7391">
      <formula>$B2042="Subetapa"</formula>
    </cfRule>
  </conditionalFormatting>
  <conditionalFormatting sqref="B2068">
    <cfRule type="expression" dxfId="9276" priority="13024">
      <formula>$B2068="Subetapa"</formula>
    </cfRule>
  </conditionalFormatting>
  <conditionalFormatting sqref="B2081">
    <cfRule type="expression" dxfId="9275" priority="13006">
      <formula>$B2081="Subetapa"</formula>
    </cfRule>
  </conditionalFormatting>
  <conditionalFormatting sqref="B2094">
    <cfRule type="expression" dxfId="9274" priority="12988">
      <formula>$B2094="Subetapa"</formula>
    </cfRule>
  </conditionalFormatting>
  <conditionalFormatting sqref="B2331:B2336">
    <cfRule type="expression" dxfId="9273" priority="7351">
      <formula>$B2331="Subetapa"</formula>
    </cfRule>
  </conditionalFormatting>
  <conditionalFormatting sqref="B2346">
    <cfRule type="expression" dxfId="9272" priority="12807">
      <formula>$B2346="Subetapa"</formula>
    </cfRule>
  </conditionalFormatting>
  <conditionalFormatting sqref="B2379 B2384">
    <cfRule type="expression" dxfId="9271" priority="9405">
      <formula>$B2379="Serviço"</formula>
    </cfRule>
  </conditionalFormatting>
  <conditionalFormatting sqref="B2692:B2718">
    <cfRule type="expression" dxfId="9270" priority="7254">
      <formula>$B2692="Subetapa"</formula>
    </cfRule>
  </conditionalFormatting>
  <conditionalFormatting sqref="B2756:B2764">
    <cfRule type="expression" dxfId="9269" priority="7211">
      <formula>$B2756="Subetapa"</formula>
    </cfRule>
  </conditionalFormatting>
  <conditionalFormatting sqref="B2768">
    <cfRule type="expression" dxfId="9268" priority="12651">
      <formula>$B2768="Subetapa"</formula>
    </cfRule>
  </conditionalFormatting>
  <conditionalFormatting sqref="B2876">
    <cfRule type="expression" dxfId="9267" priority="12614">
      <formula>$B2876="Subetapa"</formula>
    </cfRule>
  </conditionalFormatting>
  <conditionalFormatting sqref="B2885:B2889 B2905:B2910">
    <cfRule type="expression" dxfId="9266" priority="7252">
      <formula>$B2885="Subetapa"</formula>
    </cfRule>
  </conditionalFormatting>
  <conditionalFormatting sqref="B3107">
    <cfRule type="expression" dxfId="9265" priority="12544">
      <formula>$B3107="Subetapa"</formula>
    </cfRule>
  </conditionalFormatting>
  <conditionalFormatting sqref="B3561:B3575">
    <cfRule type="expression" dxfId="9264" priority="7334">
      <formula>$B3561="Subetapa"</formula>
    </cfRule>
  </conditionalFormatting>
  <conditionalFormatting sqref="B3577:B3588 B3618:B3621">
    <cfRule type="expression" dxfId="9263" priority="7326">
      <formula>$B3577="Subetapa"</formula>
    </cfRule>
  </conditionalFormatting>
  <conditionalFormatting sqref="B3816:B3845">
    <cfRule type="expression" dxfId="9262" priority="7245">
      <formula>$B3816="Subetapa"</formula>
    </cfRule>
  </conditionalFormatting>
  <conditionalFormatting sqref="B3848:B3850">
    <cfRule type="expression" dxfId="9261" priority="7288">
      <formula>$B3848="Subetapa"</formula>
    </cfRule>
  </conditionalFormatting>
  <conditionalFormatting sqref="B3937">
    <cfRule type="expression" dxfId="9260" priority="10567">
      <formula>$B3937="Subetapa"</formula>
    </cfRule>
  </conditionalFormatting>
  <conditionalFormatting sqref="B3991">
    <cfRule type="expression" dxfId="9259" priority="8277">
      <formula>$B3991="Serviço"</formula>
    </cfRule>
  </conditionalFormatting>
  <conditionalFormatting sqref="B4124">
    <cfRule type="expression" dxfId="9258" priority="7816">
      <formula>$B4124="Serviço"</formula>
    </cfRule>
    <cfRule type="expression" dxfId="9257" priority="7817">
      <formula>$B4124="Subetapa"</formula>
    </cfRule>
  </conditionalFormatting>
  <conditionalFormatting sqref="B4460">
    <cfRule type="expression" dxfId="9256" priority="13642">
      <formula>$B4460="Subetapa"</formula>
    </cfRule>
  </conditionalFormatting>
  <conditionalFormatting sqref="B4482">
    <cfRule type="expression" dxfId="9255" priority="13644">
      <formula>$B4482="Subetapa"</formula>
    </cfRule>
  </conditionalFormatting>
  <conditionalFormatting sqref="B4701:B4702">
    <cfRule type="expression" dxfId="9254" priority="7243">
      <formula>$B4701="Subetapa"</formula>
    </cfRule>
  </conditionalFormatting>
  <conditionalFormatting sqref="B323:D323">
    <cfRule type="expression" dxfId="9253" priority="14327">
      <formula>$B323="Subetapa"</formula>
    </cfRule>
  </conditionalFormatting>
  <conditionalFormatting sqref="B1842:D1842">
    <cfRule type="expression" dxfId="9252" priority="13282">
      <formula>$B1842="Subetapa"</formula>
    </cfRule>
  </conditionalFormatting>
  <conditionalFormatting sqref="B2769:D2769">
    <cfRule type="expression" dxfId="9251" priority="10044">
      <formula>$B2769="Subetapa"</formula>
    </cfRule>
  </conditionalFormatting>
  <conditionalFormatting sqref="B2770:D2770">
    <cfRule type="expression" dxfId="9250" priority="10072">
      <formula>$B2770="Subetapa"</formula>
    </cfRule>
  </conditionalFormatting>
  <conditionalFormatting sqref="B2771:D2771">
    <cfRule type="expression" dxfId="9249" priority="10055">
      <formula>$B2771="Subetapa"</formula>
    </cfRule>
  </conditionalFormatting>
  <conditionalFormatting sqref="B4932:D4932">
    <cfRule type="expression" dxfId="9248" priority="13830">
      <formula>$B4932="Subetapa"</formula>
    </cfRule>
  </conditionalFormatting>
  <conditionalFormatting sqref="B2007:D2007">
    <cfRule type="expression" dxfId="9247" priority="13232">
      <formula>$B2007="Subetapa"</formula>
    </cfRule>
  </conditionalFormatting>
  <conditionalFormatting sqref="B3865 D3865">
    <cfRule type="expression" dxfId="9246" priority="12227">
      <formula>$B3865="Subetapa"</formula>
    </cfRule>
  </conditionalFormatting>
  <conditionalFormatting sqref="B3871 D3871">
    <cfRule type="expression" dxfId="9245" priority="10188">
      <formula>$B3871="Subetapa"</formula>
    </cfRule>
  </conditionalFormatting>
  <conditionalFormatting sqref="B3872 D3872">
    <cfRule type="expression" dxfId="9244" priority="10172">
      <formula>$B3872="Subetapa"</formula>
    </cfRule>
  </conditionalFormatting>
  <conditionalFormatting sqref="B3873 D3873">
    <cfRule type="expression" dxfId="9243" priority="10156">
      <formula>$B3873="Subetapa"</formula>
    </cfRule>
  </conditionalFormatting>
  <conditionalFormatting sqref="B3884 D3884">
    <cfRule type="expression" dxfId="9242" priority="12214">
      <formula>$B3884="Subetapa"</formula>
    </cfRule>
  </conditionalFormatting>
  <conditionalFormatting sqref="B3890:D3890">
    <cfRule type="expression" dxfId="9241" priority="10254">
      <formula>$B3890="Subetapa"</formula>
    </cfRule>
  </conditionalFormatting>
  <conditionalFormatting sqref="B3891:D3891">
    <cfRule type="expression" dxfId="9240" priority="10238">
      <formula>$B3891="Subetapa"</formula>
    </cfRule>
  </conditionalFormatting>
  <conditionalFormatting sqref="B3892:D3892">
    <cfRule type="expression" dxfId="9239" priority="10222">
      <formula>$B3892="Subetapa"</formula>
    </cfRule>
  </conditionalFormatting>
  <conditionalFormatting sqref="B3895:D3895">
    <cfRule type="expression" dxfId="9238" priority="12201">
      <formula>$B3895="Subetapa"</formula>
    </cfRule>
  </conditionalFormatting>
  <conditionalFormatting sqref="B3901:D3901">
    <cfRule type="expression" dxfId="9237" priority="10320">
      <formula>$B3901="Subetapa"</formula>
    </cfRule>
  </conditionalFormatting>
  <conditionalFormatting sqref="B3902:D3902">
    <cfRule type="expression" dxfId="9236" priority="10304">
      <formula>$B3902="Subetapa"</formula>
    </cfRule>
  </conditionalFormatting>
  <conditionalFormatting sqref="B3903:D3903">
    <cfRule type="expression" dxfId="9235" priority="10288">
      <formula>$B3903="Subetapa"</formula>
    </cfRule>
  </conditionalFormatting>
  <conditionalFormatting sqref="B3906:D3906">
    <cfRule type="expression" dxfId="9234" priority="12188">
      <formula>$B3906="Subetapa"</formula>
    </cfRule>
  </conditionalFormatting>
  <conditionalFormatting sqref="B3912:D3912">
    <cfRule type="expression" dxfId="9233" priority="10386">
      <formula>$B3912="Subetapa"</formula>
    </cfRule>
  </conditionalFormatting>
  <conditionalFormatting sqref="B3913:D3913">
    <cfRule type="expression" dxfId="9232" priority="10370">
      <formula>$B3913="Subetapa"</formula>
    </cfRule>
  </conditionalFormatting>
  <conditionalFormatting sqref="B3914:D3914">
    <cfRule type="expression" dxfId="9231" priority="10354">
      <formula>$B3914="Subetapa"</formula>
    </cfRule>
  </conditionalFormatting>
  <conditionalFormatting sqref="B3917:D3917">
    <cfRule type="expression" dxfId="9230" priority="12175">
      <formula>$B3917="Subetapa"</formula>
    </cfRule>
  </conditionalFormatting>
  <conditionalFormatting sqref="B3923:D3923">
    <cfRule type="expression" dxfId="9229" priority="10452">
      <formula>$B3923="Subetapa"</formula>
    </cfRule>
  </conditionalFormatting>
  <conditionalFormatting sqref="B3924:D3924">
    <cfRule type="expression" dxfId="9228" priority="10436">
      <formula>$B3924="Subetapa"</formula>
    </cfRule>
  </conditionalFormatting>
  <conditionalFormatting sqref="B3925:D3925">
    <cfRule type="expression" dxfId="9227" priority="10420">
      <formula>$B3925="Subetapa"</formula>
    </cfRule>
  </conditionalFormatting>
  <conditionalFormatting sqref="B3933:D3933">
    <cfRule type="expression" dxfId="9226" priority="10534">
      <formula>$B3933="Subetapa"</formula>
    </cfRule>
  </conditionalFormatting>
  <conditionalFormatting sqref="B3934:D3934">
    <cfRule type="expression" dxfId="9225" priority="10518">
      <formula>$B3934="Subetapa"</formula>
    </cfRule>
  </conditionalFormatting>
  <conditionalFormatting sqref="B3935:D3935">
    <cfRule type="expression" dxfId="9224" priority="10502">
      <formula>$B3935="Subetapa"</formula>
    </cfRule>
  </conditionalFormatting>
  <conditionalFormatting sqref="B3936:D3936">
    <cfRule type="expression" dxfId="9223" priority="10486">
      <formula>$B3936="Subetapa"</formula>
    </cfRule>
  </conditionalFormatting>
  <conditionalFormatting sqref="B3953:D3953">
    <cfRule type="expression" dxfId="9222" priority="10122">
      <formula>$B3953="Subetapa"</formula>
    </cfRule>
  </conditionalFormatting>
  <conditionalFormatting sqref="B3954:D3954">
    <cfRule type="expression" dxfId="9221" priority="10106">
      <formula>$B3954="Subetapa"</formula>
    </cfRule>
  </conditionalFormatting>
  <conditionalFormatting sqref="B3955:D3955">
    <cfRule type="expression" dxfId="9220" priority="10090">
      <formula>$B3955="Subetapa"</formula>
    </cfRule>
  </conditionalFormatting>
  <conditionalFormatting sqref="F1547 B1547:D1547">
    <cfRule type="expression" dxfId="9219" priority="13414">
      <formula>$B1547="Subetapa"</formula>
    </cfRule>
  </conditionalFormatting>
  <conditionalFormatting sqref="F1625 B1625:D1625">
    <cfRule type="expression" dxfId="9218" priority="13378">
      <formula>$B1625="Subetapa"</formula>
    </cfRule>
  </conditionalFormatting>
  <conditionalFormatting sqref="F1637 B1637:D1637">
    <cfRule type="expression" dxfId="9217" priority="13366">
      <formula>$B1637="Subetapa"</formula>
    </cfRule>
  </conditionalFormatting>
  <conditionalFormatting sqref="F1649 B1649:D1649">
    <cfRule type="expression" dxfId="9216" priority="13324">
      <formula>$B1649="Subetapa"</formula>
    </cfRule>
  </conditionalFormatting>
  <conditionalFormatting sqref="F1895 B1895:D1895">
    <cfRule type="expression" dxfId="9215" priority="13244">
      <formula>$B1895="Subetapa"</formula>
    </cfRule>
  </conditionalFormatting>
  <conditionalFormatting sqref="B3243:F3243">
    <cfRule type="expression" dxfId="9214" priority="9222">
      <formula>$B3243="Serviço"</formula>
    </cfRule>
  </conditionalFormatting>
  <conditionalFormatting sqref="B3622:F3622">
    <cfRule type="expression" dxfId="9213" priority="12520">
      <formula>$B3622="Subetapa"</formula>
    </cfRule>
  </conditionalFormatting>
  <conditionalFormatting sqref="F3860 B3860:D3860">
    <cfRule type="expression" dxfId="9212" priority="12259">
      <formula>$B3860="Subetapa"</formula>
    </cfRule>
  </conditionalFormatting>
  <conditionalFormatting sqref="F3971:F3974 F3976:F3979 D3976:D3979 D3971:D3974 D3975:F3975 D3970:F3970 B3970:C3979">
    <cfRule type="expression" dxfId="9211" priority="11388">
      <formula>$B3970="Subetapa"</formula>
    </cfRule>
  </conditionalFormatting>
  <conditionalFormatting sqref="B4068:F4068">
    <cfRule type="expression" dxfId="9210" priority="12288">
      <formula>$B4068="Subetapa"</formula>
    </cfRule>
  </conditionalFormatting>
  <conditionalFormatting sqref="B4077:F4077">
    <cfRule type="expression" dxfId="9209" priority="12290">
      <formula>$B4077="Subetapa"</formula>
    </cfRule>
  </conditionalFormatting>
  <conditionalFormatting sqref="B4087:F4087">
    <cfRule type="expression" dxfId="9208" priority="12354">
      <formula>$B4087="Subetapa"</formula>
    </cfRule>
  </conditionalFormatting>
  <conditionalFormatting sqref="F4237 F4239 F4241 F4244 D4244 D4241 D4242:F4243 D4239 D4240:F4240 D4237 D4238:F4238 D4235:F4236 B4235:C4244 B4205:F4205">
    <cfRule type="expression" dxfId="9207" priority="12013">
      <formula>$B4205="Subetapa"</formula>
    </cfRule>
  </conditionalFormatting>
  <conditionalFormatting sqref="F1906 F2006 F2108:F2111 F1016 F1536:F1540 F2877:F2882 F4136 F4138 F4284:F4285 F4287 F4289 D4289 D4287 D4284:D4285 D4138 D4136 C2017:F2017 B4135:C4138 B4283:C4290 B1016:D1016 B2877:D2882 B1536:D1540 D4290:H4290 D4288:H4288 D4286:H4286 D4137:H4137 D4135:H4135 D4283:H4283">
    <cfRule type="expression" dxfId="9206" priority="11789">
      <formula>$B1016="Subetapa"</formula>
    </cfRule>
  </conditionalFormatting>
  <conditionalFormatting sqref="C1880:F1880 C1892:F1892 C1905:F1905 B2005:H2005 B1993:H1993 B1981:H1981 B1968:H1968 B1955:H1955 B1942:H1942 B1929:H1929 B1917:H1917 B1867:H1867 B1855:H1855 B1843:H1843">
    <cfRule type="expression" dxfId="9205" priority="11725">
      <formula>$B1843="Subetapa"</formula>
    </cfRule>
  </conditionalFormatting>
  <conditionalFormatting sqref="C2066:F2066 C2079:F2079 C2092:F2092 B2053:H2053 B2041:H2041">
    <cfRule type="expression" dxfId="9204" priority="11661">
      <formula>$B2041="Subetapa"</formula>
    </cfRule>
  </conditionalFormatting>
  <conditionalFormatting sqref="B2168:H2168">
    <cfRule type="expression" dxfId="9203" priority="11822">
      <formula>$B2168="Subetapa"</formula>
    </cfRule>
  </conditionalFormatting>
  <conditionalFormatting sqref="F2209 F2211 F2278 D2278 D2211 D2209 B2277:C2278 B2208:C2211 D2210:H2210 D2277:H2277 D2208:H2208">
    <cfRule type="expression" dxfId="9202" priority="5941">
      <formula>$B2208="Subetapa"</formula>
    </cfRule>
  </conditionalFormatting>
  <conditionalFormatting sqref="B2525:F2525">
    <cfRule type="expression" dxfId="9201" priority="12855">
      <formula>$B2525="Subetapa"</formula>
    </cfRule>
  </conditionalFormatting>
  <conditionalFormatting sqref="B2755:F2755">
    <cfRule type="expression" dxfId="9200" priority="12672">
      <formula>$B2755="Subetapa"</formula>
    </cfRule>
  </conditionalFormatting>
  <conditionalFormatting sqref="F2875 B2875:D2875">
    <cfRule type="expression" dxfId="9199" priority="10661">
      <formula>$B2875="Subetapa"</formula>
    </cfRule>
  </conditionalFormatting>
  <conditionalFormatting sqref="B2936:F2936">
    <cfRule type="expression" dxfId="9198" priority="12562">
      <formula>$B2936="Subetapa"</formula>
    </cfRule>
  </conditionalFormatting>
  <conditionalFormatting sqref="B2961:F2961">
    <cfRule type="expression" dxfId="9197" priority="12558">
      <formula>$B2961="Subetapa"</formula>
    </cfRule>
  </conditionalFormatting>
  <conditionalFormatting sqref="F2964:F2965 F2967:F2969 F2971:F2973 F2975:F2977 F2979:F2981 F2983:F2985 F2987:F2989 F2991:F2993 F2995:F2997 F2999:F3001 F3003:F3005 F3007:F3009 F3011:F3013 F3015:F3017 F3019:F3021 D3019:D3021 D3015:D3017 D3011:D3013 D3007:D3009 D3003:D3005 D2999:D3001 D2995:D2997 D2991:D2993 D2987:D2989 D2983:D2985 D2979:D2981 D2975:D2977 D2971:D2973 D2967:D2969 D2964:D2965 B2964:C3021 D3018:H3018 D3014:H3014 D3010:H3010 D3006:H3006 D3002:H3002 D2998:H2998 D2994:H2994 D2990:H2990 D2986:H2986 D2982:H2982 D2978:H2978 D2974:H2974 D2970:H2970 D2966:H2966">
    <cfRule type="expression" dxfId="9196" priority="5828">
      <formula>$B2964="Subetapa"</formula>
    </cfRule>
  </conditionalFormatting>
  <conditionalFormatting sqref="B3022:F3022">
    <cfRule type="expression" dxfId="9195" priority="12554">
      <formula>$B3022="Subetapa"</formula>
    </cfRule>
  </conditionalFormatting>
  <conditionalFormatting sqref="F3710:F3713 D3710:D3713 B3709:C3713 D3709:H3709">
    <cfRule type="expression" dxfId="9194" priority="6011">
      <formula>$B3709="Subetapa"</formula>
    </cfRule>
  </conditionalFormatting>
  <conditionalFormatting sqref="F3716 F3718 F3720:F3721 F3726:F3727 F3729:F3730 D3729:D3730 D3726:D3727 D3720:D3721 D3718 D3716 B3725:C3730 B3715:C3721 D3728:H3728 D3719:H3719 D3717:H3717 D3725:H3725 D3715:H3715">
    <cfRule type="expression" dxfId="9193" priority="5948">
      <formula>$B3715="Subetapa"</formula>
    </cfRule>
  </conditionalFormatting>
  <conditionalFormatting sqref="F4024 F4026:F4028 D4026:D4028 D4024 B4023:C4028 D4025:H4025 D4023:H4023">
    <cfRule type="expression" dxfId="9192" priority="5947">
      <formula>$B4023="Subetapa"</formula>
    </cfRule>
  </conditionalFormatting>
  <conditionalFormatting sqref="F4274 F4276 D4272:F4272 D4276 D4274 B4272:C4277 D4277:H4277 D4275:H4275 D4273:H4273">
    <cfRule type="expression" dxfId="9191" priority="11450">
      <formula>$B4272="Subetapa"</formula>
    </cfRule>
  </conditionalFormatting>
  <conditionalFormatting sqref="B4700:F4700">
    <cfRule type="expression" dxfId="9190" priority="12094">
      <formula>$B4700="Subetapa"</formula>
    </cfRule>
  </conditionalFormatting>
  <conditionalFormatting sqref="F4722 B4722:D4722">
    <cfRule type="expression" dxfId="9189" priority="12020">
      <formula>$B4722="Subetapa"</formula>
    </cfRule>
  </conditionalFormatting>
  <conditionalFormatting sqref="B3089:B3092">
    <cfRule type="expression" dxfId="9188" priority="7493">
      <formula>$B3089="Subetapa"</formula>
    </cfRule>
  </conditionalFormatting>
  <conditionalFormatting sqref="B3191:B3194 B3209:B3214">
    <cfRule type="expression" dxfId="9187" priority="7324">
      <formula>$B3191="Subetapa"</formula>
    </cfRule>
  </conditionalFormatting>
  <conditionalFormatting sqref="D957:D962">
    <cfRule type="expression" dxfId="9186" priority="7532">
      <formula>$B957="Subetapa"</formula>
    </cfRule>
  </conditionalFormatting>
  <conditionalFormatting sqref="D2351:F2351 D2353:F2353 D2352 F2352 F2354:F2355 D2354:D2355">
    <cfRule type="expression" dxfId="9185" priority="7353">
      <formula>$B2351="Subetapa"</formula>
    </cfRule>
  </conditionalFormatting>
  <conditionalFormatting sqref="D2359:F2359 D2369:F2369 D2364:F2364 D2360:D2363 F2360:F2363 D2365:D2367 F2365:F2367 D2370:D2373 F2370:F2373 C2359:C2367 C2369:C2373">
    <cfRule type="expression" dxfId="9184" priority="7492">
      <formula>$B2359="Subetapa"</formula>
    </cfRule>
  </conditionalFormatting>
  <conditionalFormatting sqref="D3679:F3679 D3680:D3683 F3680:F3683 C3679:C3683">
    <cfRule type="expression" dxfId="9183" priority="7315">
      <formula>$B3679="Subetapa"</formula>
    </cfRule>
  </conditionalFormatting>
  <conditionalFormatting sqref="D4279:F4279 D4280:D4282 F4280:F4282 C4279:C4282">
    <cfRule type="expression" dxfId="9182" priority="7274">
      <formula>$B4279="Subetapa"</formula>
    </cfRule>
  </conditionalFormatting>
  <conditionalFormatting sqref="D284:D286">
    <cfRule type="expression" dxfId="9181" priority="13766">
      <formula>$B284="Subetapa"</formula>
    </cfRule>
  </conditionalFormatting>
  <conditionalFormatting sqref="C287:D289 C295:D295 C293:D293 C291:D291">
    <cfRule type="expression" dxfId="9180" priority="9759">
      <formula>$B287="Subetapa"</formula>
    </cfRule>
  </conditionalFormatting>
  <conditionalFormatting sqref="D321:D322 F321:F323">
    <cfRule type="expression" dxfId="9179" priority="14130">
      <formula>$B321="Subetapa"</formula>
    </cfRule>
  </conditionalFormatting>
  <conditionalFormatting sqref="D662:D664">
    <cfRule type="expression" dxfId="9178" priority="9677">
      <formula>$B662="Serviço"</formula>
    </cfRule>
  </conditionalFormatting>
  <conditionalFormatting sqref="D867:D868">
    <cfRule type="expression" dxfId="9177" priority="13856">
      <formula>$B867="Subetapa"</formula>
    </cfRule>
  </conditionalFormatting>
  <conditionalFormatting sqref="D964:D966">
    <cfRule type="expression" dxfId="9176" priority="13684">
      <formula>$B964="Subetapa"</formula>
    </cfRule>
  </conditionalFormatting>
  <conditionalFormatting sqref="D967:D969">
    <cfRule type="expression" dxfId="9175" priority="13686">
      <formula>$B967="Subetapa"</formula>
    </cfRule>
  </conditionalFormatting>
  <conditionalFormatting sqref="D971:D972">
    <cfRule type="expression" dxfId="9174" priority="13863">
      <formula>$B971="Subetapa"</formula>
    </cfRule>
  </conditionalFormatting>
  <conditionalFormatting sqref="D974:D975">
    <cfRule type="expression" dxfId="9173" priority="13865">
      <formula>$B974="Subetapa"</formula>
    </cfRule>
  </conditionalFormatting>
  <conditionalFormatting sqref="D1345:D1347">
    <cfRule type="expression" dxfId="9172" priority="9475">
      <formula>$B1345="Subetapa"</formula>
    </cfRule>
  </conditionalFormatting>
  <conditionalFormatting sqref="D1844:D1854">
    <cfRule type="expression" dxfId="9171" priority="13276">
      <formula>$B1844="Subetapa"</formula>
    </cfRule>
  </conditionalFormatting>
  <conditionalFormatting sqref="D1856:D1866">
    <cfRule type="expression" dxfId="9170" priority="13272">
      <formula>$B1856="Subetapa"</formula>
    </cfRule>
  </conditionalFormatting>
  <conditionalFormatting sqref="C1918:D1918">
    <cfRule type="expression" dxfId="9169" priority="13216">
      <formula>$B1918="Subetapa"</formula>
    </cfRule>
  </conditionalFormatting>
  <conditionalFormatting sqref="D1982:D1992">
    <cfRule type="expression" dxfId="9168" priority="13121">
      <formula>$B1982="Subetapa"</formula>
    </cfRule>
  </conditionalFormatting>
  <conditionalFormatting sqref="D1994:D2004">
    <cfRule type="expression" dxfId="9167" priority="13103">
      <formula>$B1994="Subetapa"</formula>
    </cfRule>
  </conditionalFormatting>
  <conditionalFormatting sqref="D2018:D2028 B2019:B2040">
    <cfRule type="expression" dxfId="9166" priority="12008">
      <formula>$B2018="Subetapa"</formula>
    </cfRule>
  </conditionalFormatting>
  <conditionalFormatting sqref="D2033:D2034">
    <cfRule type="expression" dxfId="9165" priority="13070">
      <formula>$B2033="Subetapa"</formula>
    </cfRule>
  </conditionalFormatting>
  <conditionalFormatting sqref="D2045:D2046">
    <cfRule type="expression" dxfId="9164" priority="13060">
      <formula>$B2045="Subetapa"</formula>
    </cfRule>
  </conditionalFormatting>
  <conditionalFormatting sqref="D2058:D2059">
    <cfRule type="expression" dxfId="9163" priority="13050">
      <formula>$B2058="Subetapa"</formula>
    </cfRule>
  </conditionalFormatting>
  <conditionalFormatting sqref="D2067:D2068 B2067:B2078">
    <cfRule type="expression" dxfId="9162" priority="13026">
      <formula>$B2067="Subetapa"</formula>
    </cfRule>
  </conditionalFormatting>
  <conditionalFormatting sqref="D2069:D2070 D2073:D2078 B2069:B2079">
    <cfRule type="expression" dxfId="9161" priority="13036">
      <formula>$B2069="Subetapa"</formula>
    </cfRule>
  </conditionalFormatting>
  <conditionalFormatting sqref="D2071:D2072">
    <cfRule type="expression" dxfId="9160" priority="13032">
      <formula>$B2071="Subetapa"</formula>
    </cfRule>
  </conditionalFormatting>
  <conditionalFormatting sqref="D2080:D2081 B2080:B2091">
    <cfRule type="expression" dxfId="9159" priority="13008">
      <formula>$B2080="Subetapa"</formula>
    </cfRule>
  </conditionalFormatting>
  <conditionalFormatting sqref="D2082:D2083 D2086:D2091 B2082:B2092">
    <cfRule type="expression" dxfId="9158" priority="13018">
      <formula>$B2082="Subetapa"</formula>
    </cfRule>
  </conditionalFormatting>
  <conditionalFormatting sqref="D2084:D2085">
    <cfRule type="expression" dxfId="9157" priority="13014">
      <formula>$B2084="Subetapa"</formula>
    </cfRule>
  </conditionalFormatting>
  <conditionalFormatting sqref="D2093:D2094 B2093:B2104">
    <cfRule type="expression" dxfId="9156" priority="12990">
      <formula>$B2093="Subetapa"</formula>
    </cfRule>
  </conditionalFormatting>
  <conditionalFormatting sqref="D2095:D2096 D2099:D2104 B2095:B2104">
    <cfRule type="expression" dxfId="9155" priority="13000">
      <formula>$B2095="Subetapa"</formula>
    </cfRule>
  </conditionalFormatting>
  <conditionalFormatting sqref="D2097:D2098">
    <cfRule type="expression" dxfId="9154" priority="12996">
      <formula>$B2097="Subetapa"</formula>
    </cfRule>
  </conditionalFormatting>
  <conditionalFormatting sqref="D2106:D2111">
    <cfRule type="expression" dxfId="9153" priority="12949">
      <formula>$B2106="Subetapa"</formula>
    </cfRule>
  </conditionalFormatting>
  <conditionalFormatting sqref="D2113:D2118">
    <cfRule type="expression" dxfId="9152" priority="12929">
      <formula>$B2113="Subetapa"</formula>
    </cfRule>
  </conditionalFormatting>
  <conditionalFormatting sqref="D2120:D2125">
    <cfRule type="expression" dxfId="9151" priority="12909">
      <formula>$B2120="Subetapa"</formula>
    </cfRule>
  </conditionalFormatting>
  <conditionalFormatting sqref="D2127:D2132">
    <cfRule type="expression" dxfId="9150" priority="12889">
      <formula>$B2127="Subetapa"</formula>
    </cfRule>
  </conditionalFormatting>
  <conditionalFormatting sqref="D2134:D2139">
    <cfRule type="expression" dxfId="9149" priority="12869">
      <formula>$B2134="Subetapa"</formula>
    </cfRule>
  </conditionalFormatting>
  <conditionalFormatting sqref="D2332:D2336">
    <cfRule type="expression" dxfId="9148" priority="12835">
      <formula>$B2332="Subetapa"</formula>
    </cfRule>
  </conditionalFormatting>
  <conditionalFormatting sqref="C2613:D2613 C2693:D2693 C2716:D2716">
    <cfRule type="expression" dxfId="9147" priority="13877">
      <formula>$A2613=2</formula>
    </cfRule>
  </conditionalFormatting>
  <conditionalFormatting sqref="C2723:D2723">
    <cfRule type="expression" dxfId="9146" priority="9310">
      <formula>$B2723="Subetapa"</formula>
    </cfRule>
  </conditionalFormatting>
  <conditionalFormatting sqref="D2757:D2759">
    <cfRule type="expression" dxfId="9145" priority="10022">
      <formula>$B2757="Subetapa"</formula>
    </cfRule>
  </conditionalFormatting>
  <conditionalFormatting sqref="D2761:D2764">
    <cfRule type="expression" dxfId="9144" priority="10033">
      <formula>$B2761="Subetapa"</formula>
    </cfRule>
  </conditionalFormatting>
  <conditionalFormatting sqref="D2772:D2785">
    <cfRule type="expression" dxfId="9143" priority="12668">
      <formula>$B2772="Subetapa"</formula>
    </cfRule>
  </conditionalFormatting>
  <conditionalFormatting sqref="D2786:D2787">
    <cfRule type="expression" dxfId="9142" priority="13881">
      <formula>$A2786=2</formula>
    </cfRule>
  </conditionalFormatting>
  <conditionalFormatting sqref="C2912:D2913 C4879:D4879 C4723:D4724 C4713:D4720">
    <cfRule type="expression" dxfId="9141" priority="13883">
      <formula>$I2912="CÉLULA CONSTRUTIVA"</formula>
    </cfRule>
    <cfRule type="expression" dxfId="9140" priority="13884">
      <formula>$I2912="ETAPA"</formula>
    </cfRule>
  </conditionalFormatting>
  <conditionalFormatting sqref="D2914:D2915">
    <cfRule type="expression" dxfId="9139" priority="12645">
      <formula>$I2914="SUBETAPA"</formula>
    </cfRule>
    <cfRule type="expression" dxfId="9138" priority="12646">
      <formula>$I2914="CÉLULA CONSTRUTIVA"</formula>
    </cfRule>
    <cfRule type="expression" dxfId="9137" priority="12647">
      <formula>$I2914="ETAPA"</formula>
    </cfRule>
  </conditionalFormatting>
  <conditionalFormatting sqref="D2916:D2917">
    <cfRule type="expression" dxfId="9136" priority="12575">
      <formula>$I2916="SUBETAPA"</formula>
    </cfRule>
    <cfRule type="expression" dxfId="9135" priority="12576">
      <formula>$I2916="CÉLULA CONSTRUTIVA"</formula>
    </cfRule>
    <cfRule type="expression" dxfId="9134" priority="12577">
      <formula>$I2916="ETAPA"</formula>
    </cfRule>
  </conditionalFormatting>
  <conditionalFormatting sqref="C3194:D3194">
    <cfRule type="expression" dxfId="9133" priority="13885">
      <formula>$A3194=2</formula>
    </cfRule>
  </conditionalFormatting>
  <conditionalFormatting sqref="C3286:D3286">
    <cfRule type="expression" dxfId="9132" priority="9072">
      <formula>$B3286="Serviço"</formula>
    </cfRule>
    <cfRule type="expression" dxfId="9131" priority="9073">
      <formula>$B3286="Subetapa"</formula>
    </cfRule>
  </conditionalFormatting>
  <conditionalFormatting sqref="C3301:D3301">
    <cfRule type="expression" dxfId="9130" priority="9070">
      <formula>$B3301="Serviço"</formula>
    </cfRule>
    <cfRule type="expression" dxfId="9129" priority="9071">
      <formula>$B3301="Subetapa"</formula>
    </cfRule>
  </conditionalFormatting>
  <conditionalFormatting sqref="D3427:D3429 F4439 F4441:F4442 F3341:F3344 F3351:F3354 F3421:F3424 F3356:F3359 F3361:F3364 F3366:F3369 F3371:F3374 F3381:F3384 F3386:F3389 F3391:F3394 F3396:F3399 F3411:F3414 F3416:F3419 F3401:F3404 F3406:F3409 F3562:F3565 F4339:F4342 F4344:F4347 F4349:F4352 F4354:F4357 F4581 F4583 F4585 F4324:F4327 F4372 F3321:F3324 F3312:F3315 F3286:F3289">
    <cfRule type="expression" dxfId="9128" priority="13887">
      <formula>$A3286="Subetapa"</formula>
    </cfRule>
  </conditionalFormatting>
  <conditionalFormatting sqref="C3578:D3578">
    <cfRule type="expression" dxfId="9127" priority="12423">
      <formula>$A3578=2</formula>
    </cfRule>
  </conditionalFormatting>
  <conditionalFormatting sqref="C3582:D3582">
    <cfRule type="expression" dxfId="9126" priority="13891">
      <formula>$A3582=2</formula>
    </cfRule>
  </conditionalFormatting>
  <conditionalFormatting sqref="D3619:D3621 F2527:F2530 F3317:F3319">
    <cfRule type="expression" dxfId="9125" priority="13893">
      <formula>$A2527="Subetapa"</formula>
    </cfRule>
  </conditionalFormatting>
  <conditionalFormatting sqref="C3659:D3659">
    <cfRule type="expression" dxfId="9124" priority="13894">
      <formula>$A3659=2</formula>
    </cfRule>
  </conditionalFormatting>
  <conditionalFormatting sqref="C3846:D3846">
    <cfRule type="expression" dxfId="9123" priority="12111">
      <formula>$B3846="Subetapa"</formula>
    </cfRule>
  </conditionalFormatting>
  <conditionalFormatting sqref="C3853:D3853">
    <cfRule type="expression" dxfId="9122" priority="8636">
      <formula>$B3853="Subetapa"</formula>
    </cfRule>
  </conditionalFormatting>
  <conditionalFormatting sqref="D3862:D3863">
    <cfRule type="expression" dxfId="9121" priority="12245">
      <formula>$B3862="Subetapa"</formula>
    </cfRule>
  </conditionalFormatting>
  <conditionalFormatting sqref="D3863">
    <cfRule type="expression" dxfId="9120" priority="12240">
      <formula>$B3863="Subetapa"</formula>
    </cfRule>
  </conditionalFormatting>
  <conditionalFormatting sqref="D3883">
    <cfRule type="expression" dxfId="9119" priority="12160">
      <formula>$B3883="Subetapa"</formula>
    </cfRule>
  </conditionalFormatting>
  <conditionalFormatting sqref="C3894:D3894">
    <cfRule type="expression" dxfId="9118" priority="12158">
      <formula>$B3894="Subetapa"</formula>
    </cfRule>
  </conditionalFormatting>
  <conditionalFormatting sqref="C3905:D3905">
    <cfRule type="expression" dxfId="9117" priority="12156">
      <formula>$B3905="Subetapa"</formula>
    </cfRule>
  </conditionalFormatting>
  <conditionalFormatting sqref="C3916:D3916">
    <cfRule type="expression" dxfId="9116" priority="12154">
      <formula>$B3916="Subetapa"</formula>
    </cfRule>
  </conditionalFormatting>
  <conditionalFormatting sqref="D3927:D3928">
    <cfRule type="expression" dxfId="9115" priority="12152">
      <formula>$B3927="Subetapa"</formula>
    </cfRule>
  </conditionalFormatting>
  <conditionalFormatting sqref="D3939:D3943">
    <cfRule type="expression" dxfId="9114" priority="13897">
      <formula>$B3939="Subetapa"</formula>
    </cfRule>
  </conditionalFormatting>
  <conditionalFormatting sqref="C3981:D3981">
    <cfRule type="expression" dxfId="9113" priority="8302">
      <formula>$B3981="Serviço"</formula>
    </cfRule>
  </conditionalFormatting>
  <conditionalFormatting sqref="C3997:D3997">
    <cfRule type="expression" dxfId="9112" priority="8238">
      <formula>$A3997="Serviço"</formula>
    </cfRule>
    <cfRule type="expression" dxfId="9111" priority="8239">
      <formula>$A3997="Subetapa"</formula>
    </cfRule>
  </conditionalFormatting>
  <conditionalFormatting sqref="D3997:D3998">
    <cfRule type="expression" dxfId="9110" priority="8240">
      <formula>$A3997="Serviço"</formula>
    </cfRule>
    <cfRule type="expression" dxfId="9109" priority="8241">
      <formula>$A3997="Subetapa"</formula>
    </cfRule>
  </conditionalFormatting>
  <conditionalFormatting sqref="C3998:D3998">
    <cfRule type="expression" dxfId="9108" priority="8246">
      <formula>$A3998="Serviço"</formula>
    </cfRule>
    <cfRule type="expression" dxfId="9107" priority="8247">
      <formula>$A3998="Subetapa"</formula>
    </cfRule>
  </conditionalFormatting>
  <conditionalFormatting sqref="C4000:D4000">
    <cfRule type="expression" dxfId="9106" priority="8252">
      <formula>$A4000="Serviço"</formula>
    </cfRule>
    <cfRule type="expression" dxfId="9105" priority="8253">
      <formula>$A4000="Subetapa"</formula>
    </cfRule>
  </conditionalFormatting>
  <conditionalFormatting sqref="D4000:D4001">
    <cfRule type="expression" dxfId="9104" priority="8254">
      <formula>$A4000="Serviço"</formula>
    </cfRule>
    <cfRule type="expression" dxfId="9103" priority="8255">
      <formula>$A4000="Subetapa"</formula>
    </cfRule>
  </conditionalFormatting>
  <conditionalFormatting sqref="C4001:D4001">
    <cfRule type="expression" dxfId="9102" priority="8295">
      <formula>$A4001="Serviço"</formula>
    </cfRule>
    <cfRule type="expression" dxfId="9101" priority="8296">
      <formula>$A4001="Subetapa"</formula>
    </cfRule>
  </conditionalFormatting>
  <conditionalFormatting sqref="C4055:D4055">
    <cfRule type="expression" dxfId="9100" priority="7859">
      <formula>$A4055="Serviço"</formula>
    </cfRule>
    <cfRule type="expression" dxfId="9099" priority="7860">
      <formula>$A4055="Subetapa"</formula>
    </cfRule>
  </conditionalFormatting>
  <conditionalFormatting sqref="D4055:D4056">
    <cfRule type="expression" dxfId="9098" priority="7861">
      <formula>$A4055="Serviço"</formula>
    </cfRule>
    <cfRule type="expression" dxfId="9097" priority="7862">
      <formula>$A4055="Subetapa"</formula>
    </cfRule>
  </conditionalFormatting>
  <conditionalFormatting sqref="C4056:D4056">
    <cfRule type="expression" dxfId="9096" priority="7867">
      <formula>$A4056="Serviço"</formula>
    </cfRule>
    <cfRule type="expression" dxfId="9095" priority="7868">
      <formula>$A4056="Subetapa"</formula>
    </cfRule>
  </conditionalFormatting>
  <conditionalFormatting sqref="D4090:D4091">
    <cfRule type="expression" dxfId="9094" priority="13899">
      <formula>$B4090="Subetapa"</formula>
    </cfRule>
  </conditionalFormatting>
  <conditionalFormatting sqref="D4092:D4097">
    <cfRule type="expression" dxfId="9093" priority="13901">
      <formula>$B4092="Subetapa"</formula>
    </cfRule>
  </conditionalFormatting>
  <conditionalFormatting sqref="B4107:B4109 C4107:D4107">
    <cfRule type="expression" dxfId="9092" priority="7833">
      <formula>$B4107="Subetapa"</formula>
    </cfRule>
  </conditionalFormatting>
  <conditionalFormatting sqref="D4292:D4295">
    <cfRule type="expression" dxfId="9091" priority="12083">
      <formula>$B4292="Subetapa"</formula>
    </cfRule>
  </conditionalFormatting>
  <conditionalFormatting sqref="C4522:D4522">
    <cfRule type="expression" dxfId="9090" priority="7714">
      <formula>$B4522="Serviço"</formula>
    </cfRule>
  </conditionalFormatting>
  <conditionalFormatting sqref="C4546:D4546">
    <cfRule type="expression" dxfId="9089" priority="7711">
      <formula>$B4546="Serviço"</formula>
    </cfRule>
  </conditionalFormatting>
  <conditionalFormatting sqref="C4548:D4548">
    <cfRule type="expression" dxfId="9088" priority="7712">
      <formula>$B4548="Serviço"</formula>
    </cfRule>
  </conditionalFormatting>
  <conditionalFormatting sqref="C4550:D4550">
    <cfRule type="expression" dxfId="9087" priority="7713">
      <formula>$B4550="Serviço"</formula>
    </cfRule>
  </conditionalFormatting>
  <conditionalFormatting sqref="C4552:D4552">
    <cfRule type="expression" dxfId="9086" priority="7715">
      <formula>$B4552="Serviço"</formula>
    </cfRule>
  </conditionalFormatting>
  <conditionalFormatting sqref="C2912:D2913 C4879:D4879 C4723:D4724 C4713:D4720">
    <cfRule type="expression" dxfId="9085" priority="13882">
      <formula>$I2912="SUBETAPA"</formula>
    </cfRule>
  </conditionalFormatting>
  <conditionalFormatting sqref="D4751:D4758 F4751:F4758">
    <cfRule type="expression" dxfId="9084" priority="13908">
      <formula>$B4751="Subetapa"</formula>
    </cfRule>
  </conditionalFormatting>
  <conditionalFormatting sqref="D4880:D4888 D4833:D4838 B2170:B2172 B2">
    <cfRule type="expression" dxfId="9083" priority="13750">
      <formula>$B2="Subetapa"</formula>
    </cfRule>
  </conditionalFormatting>
  <conditionalFormatting sqref="C4918:D4918">
    <cfRule type="expression" dxfId="9082" priority="7606">
      <formula>$B4918="Serviço"</formula>
    </cfRule>
    <cfRule type="expression" dxfId="9081" priority="7607">
      <formula>$B4918="Subetapa"</formula>
    </cfRule>
  </conditionalFormatting>
  <conditionalFormatting sqref="C4936:D4936">
    <cfRule type="expression" dxfId="9080" priority="13832">
      <formula>$B4936="Subetapa"</formula>
    </cfRule>
  </conditionalFormatting>
  <conditionalFormatting sqref="D4942:D4974">
    <cfRule type="expression" dxfId="9079" priority="13930">
      <formula>$B4942="Subetapa"</formula>
    </cfRule>
  </conditionalFormatting>
  <conditionalFormatting sqref="C4974:D4975 C4990:D4990">
    <cfRule type="expression" dxfId="9078" priority="14249">
      <formula>$B4974="Subetapa"</formula>
    </cfRule>
  </conditionalFormatting>
  <conditionalFormatting sqref="D815:D823">
    <cfRule type="expression" dxfId="9077" priority="9641">
      <formula>$B815="Serviço"</formula>
    </cfRule>
    <cfRule type="expression" dxfId="9076" priority="9642">
      <formula>$B815="Subetapa"</formula>
    </cfRule>
  </conditionalFormatting>
  <conditionalFormatting sqref="D1256:D1265">
    <cfRule type="expression" dxfId="9075" priority="9505">
      <formula>$B1256="Subetapa"</formula>
    </cfRule>
  </conditionalFormatting>
  <conditionalFormatting sqref="D1302:D1310">
    <cfRule type="expression" dxfId="9074" priority="9477">
      <formula>$B1302="Serviço"</formula>
    </cfRule>
    <cfRule type="expression" dxfId="9073" priority="9478">
      <formula>$B1302="Subetapa"</formula>
    </cfRule>
  </conditionalFormatting>
  <conditionalFormatting sqref="D1358:D1361">
    <cfRule type="expression" dxfId="9072" priority="9542">
      <formula>$B1358="Serviço"</formula>
    </cfRule>
    <cfRule type="expression" dxfId="9071" priority="9543">
      <formula>$B1358="Subetapa"</formula>
    </cfRule>
  </conditionalFormatting>
  <conditionalFormatting sqref="D1364:D1367">
    <cfRule type="expression" dxfId="9070" priority="9545">
      <formula>$B1364="Serviço"</formula>
    </cfRule>
    <cfRule type="expression" dxfId="9069" priority="9546">
      <formula>$B1364="Subetapa"</formula>
    </cfRule>
  </conditionalFormatting>
  <conditionalFormatting sqref="D1376:D1384">
    <cfRule type="expression" dxfId="9068" priority="9551">
      <formula>$B1376="Subetapa"</formula>
    </cfRule>
  </conditionalFormatting>
  <conditionalFormatting sqref="D2476:D2479">
    <cfRule type="expression" dxfId="9067" priority="9336">
      <formula>$B2476="Serviço"</formula>
    </cfRule>
  </conditionalFormatting>
  <conditionalFormatting sqref="D2481:D2484">
    <cfRule type="expression" dxfId="9066" priority="9339">
      <formula>$B2481="Serviço"</formula>
    </cfRule>
  </conditionalFormatting>
  <conditionalFormatting sqref="D2486:D2489">
    <cfRule type="expression" dxfId="9065" priority="9363">
      <formula>$B2486="Serviço"</formula>
    </cfRule>
  </conditionalFormatting>
  <conditionalFormatting sqref="D2521:D2524">
    <cfRule type="expression" dxfId="9064" priority="9348">
      <formula>$B2521="Serviço"</formula>
    </cfRule>
  </conditionalFormatting>
  <conditionalFormatting sqref="D3866:D3870">
    <cfRule type="expression" dxfId="9063" priority="10646">
      <formula>$B3866="Subetapa"</formula>
    </cfRule>
  </conditionalFormatting>
  <conditionalFormatting sqref="D3885:D3889">
    <cfRule type="expression" dxfId="9062" priority="10630">
      <formula>$B3885="Subetapa"</formula>
    </cfRule>
  </conditionalFormatting>
  <conditionalFormatting sqref="D3896:D3900">
    <cfRule type="expression" dxfId="9061" priority="10614">
      <formula>$B3896="Subetapa"</formula>
    </cfRule>
  </conditionalFormatting>
  <conditionalFormatting sqref="D3907:D3911">
    <cfRule type="expression" dxfId="9060" priority="10598">
      <formula>$B3907="Subetapa"</formula>
    </cfRule>
  </conditionalFormatting>
  <conditionalFormatting sqref="D3918:D3922">
    <cfRule type="expression" dxfId="9059" priority="10582">
      <formula>$B3918="Subetapa"</formula>
    </cfRule>
  </conditionalFormatting>
  <conditionalFormatting sqref="D3948:D3952">
    <cfRule type="expression" dxfId="9058" priority="10550">
      <formula>$B3948="Subetapa"</formula>
    </cfRule>
  </conditionalFormatting>
  <conditionalFormatting sqref="C4003:D4003 C3999:F3999">
    <cfRule type="expression" dxfId="9057" priority="8305">
      <formula>$B3999="Serviço"</formula>
    </cfRule>
  </conditionalFormatting>
  <conditionalFormatting sqref="C4003:D4003">
    <cfRule type="expression" dxfId="9056" priority="8301">
      <formula>$B4003="Subetapa"</formula>
    </cfRule>
  </conditionalFormatting>
  <conditionalFormatting sqref="D4005:D4006">
    <cfRule type="expression" dxfId="9055" priority="8195">
      <formula>$B4005="Subetapa"</formula>
    </cfRule>
  </conditionalFormatting>
  <conditionalFormatting sqref="D4008:D4009">
    <cfRule type="expression" dxfId="9054" priority="8202">
      <formula>$B4008="Subetapa"</formula>
    </cfRule>
  </conditionalFormatting>
  <conditionalFormatting sqref="D4011:D4012">
    <cfRule type="expression" dxfId="9053" priority="8209">
      <formula>$B4011="Subetapa"</formula>
    </cfRule>
  </conditionalFormatting>
  <conditionalFormatting sqref="D4014:D4015">
    <cfRule type="expression" dxfId="9052" priority="8216">
      <formula>$B4014="Subetapa"</formula>
    </cfRule>
  </conditionalFormatting>
  <conditionalFormatting sqref="D4017:D4018">
    <cfRule type="expression" dxfId="9051" priority="8223">
      <formula>$B4017="Subetapa"</formula>
    </cfRule>
  </conditionalFormatting>
  <conditionalFormatting sqref="D4020:D4021">
    <cfRule type="expression" dxfId="9050" priority="8230">
      <formula>$B4020="Subetapa"</formula>
    </cfRule>
  </conditionalFormatting>
  <conditionalFormatting sqref="D4042:D4043">
    <cfRule type="expression" dxfId="9049" priority="7853">
      <formula>$B4042="Subetapa"</formula>
    </cfRule>
  </conditionalFormatting>
  <conditionalFormatting sqref="D147:D150 F147:F150 E147:E151 E154:E158 E160:E164 E166:E169 E171:E175 E177:E181 E183:E186 E188:E190 E192:E194 E196:E198 E200 E202:E206 E208:E210 E212 E216 E218:E219 E221 E240 E242 E244 E246:E248 E254 E256 E258 E260 E264 E276 E278 E280 E282 E284 E286 E288 E305 E307 E309 E311 E321:E323 E325:E327 E329:E331 E333:E335 E337:E339 E341:E343 E346:E348 E350:E352 E354:E356 E358:E360 E367 E371:E376 E378:E383 E386:E388 E390:E392 E394:E396 E398:E400 E402:E404 E406:E408 E410:E412 E414:E416 E418:E420 E422:E424 E462:E463 E466:E468 E470:E472 E474:E476 E478:E480 E482:E484 E486:E488 E495 E499 E501 E504:E509 E516:E518 E520:E522 E524:E526 E528:E530 E532:E534 E536:E538 E540:E542 E544:E546 E577:E579 E581:E583 E586 E590:E594 E596:E599 E601:E604 E606:E607 E609:E612 E614:E617 E619:E620 E622:E626 E628:E631 E633:E636 E638:E639 E641:E644 E646:E649 E651:E652 E654:E657 E659:E660 E662:E664 E667:E669 E671:E673 E675:E677 E679:E681 E683:E685 E687:E689 E691:E693 E695:E697 E699:E701 E739:E741 E743:E745 E747:E749 E752:E754 E756:E758 E760:E762 E764:E766 E780:E786 E788:E791 E794 E796:E800 E802:E809 E811 E813 E815:E823 E825 E827:E834 E836 E838 E840 E842 E844 E846 E848:E850 E853 E855 E859:E860 E862:E863 E865:E866 E868:E869 E871:E872 E874:E875 E877:E878 E880:E881 E883:E884 E895:E896 E898:E899 E901:E902 E904:E906 E909:E910 E912:E913 E915:E916 E919:E920 E922:E923 E925:E926 E928:E929 E932:E933 E935:E936 E938:E939 E941:E942 E945:E946 E948:E949 E951:E952 E954:E955 E958:E959 E961:E962 E965:E966 E968:E969 E972:E973 E975:E976 E978:E980 E982:E989 E992:E993 E996:E1001 E1003:E1009 E1011:E1013 E1016 E1018 E1170 E1172 E1174 E1176:E1185 E1187:E1197 E1199:E1208 E1210:E1219 E1221:E1230 E1232:E1241 E1256:E1265 E1267:E1276 E1278:E1287 E1289:E1299 E1301:E1310 E1312:E1321 E1323:E1332 E1334:E1343 E1345:E1355 E1357:E1361 E1363:E1367 E1369:E1373 E1375:E1385 E1387:E1396 E1536:E1540 E1542:E1547 E1549:E1558 E1560:E1569 E1571:E1580 E1582:E1591 E1593:E1602 E1604:E1613 E1615:E1625 E1627:E1637 E1639:E1649 E1651:E1661 E1663:E1673 E1675:E1685 E1687:E1697 E1699:E1708 E1710:E1719 E1721:E1730 E1732:E1741 E1743:E1753 E1755:E1765 E1767:E1777 E1779:E1788 E1790:E1800 E1802:E1811 E1813:E1823 E1825:E1835 E1837:E1842 E1844:E1854 E1856:E1866 E1868:E1879 E1881:E1891 E1893:E1904 E1906:E1916 E1918:E1928 E1930:E1941 E1943:E1954 E1956:E1967 E1969:E1980 E1982:E1992 E1994:E2004 E2006:E2016 E2018:E2028 E2030:E2040 E2042:E2052 E2054:E2065 E2067:E2078 E2080:E2091 E2093:E2104 E2106:E2111 E2113:E2118 E2120:E2125 E2127:E2132 E2134:E2139 E2141 E2143 E2146 E2148 E2150 E2152 E2156 E2163:E2164 E2166:E2167 E2171:E2172 E2174:E2175 E2177 E2179:E2180 E2182:E2183 E2185:E2186 E2188:E2190 E2192:E2193 E2195 E2197 E2199:E2200 E2202 E2204 E2206:E2207 E2209 E2211 E2213 E2215 E2217:E2218 E2220 E2222:E2223 E2225 E2227 E2229 E2231:E2233 E2235 E2237:E2239 E2241:E2243 E2278 E2280 E2282 E2284 E2286 E2288 E2290 E2292 E2294 E2296 E2298 E2318 E2320:E2321 E2323 E2325 E2327 E2329:E2330 E2332 E2334 E2336 E2339 E2341 E2343 E2345 E2348 E2350 E2352 E2357 E2360:E2363 E2365:E2367 E2370:E2373 E2375:E2378 E2380:E2383 E2385:E2388 E2391:E2394 E2396:E2399 E2401:E2404 E2406:E2409 E2411:E2414 E2431:E2434 E2436:E2439 E2441:E2444 E2446:E2449 E2451:E2454 E2456:E2459 E2461:E2464 E2466:E2469 E2471:E2474 E2476:E2479 E2481:E2484 E2486:E2489 E2491:E2494 E2496:E2499 E2501:E2504 E2506:E2509 E2511:E2514 E2516:E2519 E2521:E2524 E2527:E2530 E2608:E2611 E2613:E2616 E2618:E2621 E2623:E2626 E2628:E2631 E2633:E2636 E2659:E2661 E2667:E2669 E2672 E2674 E2693:E2694 E2696:E2697 E2699:E2700 E2705:E2706 E2708:E2709 E2711:E2714 E2716:E2718 E2720:E2721 E2723:E2724 E2726:E2727 E2729:E2730 E2733 E2735 E2738 E2740 E2743 E2747 E2749 E2751 E2753 E2757:E2759 E2761:E2764 E2766:E2767 E2769 E2771 E2784 E2786:E2787 E2789 E2791 E2793 E2799 E2801 E2803 E2805 E2807:E2816 E2819 E2842 E2852:E2853 E2861:E2862 E2864:E2873 E2875 E2877:E2882 E2884 E2886:E2889 E2906 E2908 E2910 E2913 E2915 E2917 E2921 E2923:E2925 E2927:E2928 E2930:E2931 E2933:E2935 E2938:E2940 E2942:E2944 E2946:E2948 E2954:E2956 E2958:E2960 E2963:E2965 E2967:E2969 E2971:E2973 E2975:E2977 E2979:E2981 E2983:E2985 E2987:E2989 E2991:E2993 E2995:E2997 E2999:E3001 E3003:E3005 E3007:E3009 E3011:E3013 E3015:E3017 E3019:E3021 E3024:E3026 E3028:E3030 E3032:E3034 E3036:E3038 E3040:E3042 E3044:E3046 E3049:E3050 E3052:E3053 E3055 E3057 E3059 E3061 E3063 E3066:E3068 E3070:E3072 E3074:E3076 E3078:E3080 E3082:E3084 E3086:E3088 E3090:E3092 E3098 E3100:E3102 E3104:E3106 E3109:E3111 E3113:E3114 E3116:E3117 E3119:E3121 E3123 E3125:E3128 E3130:E3136 E3138 E3140:E3142 E3145:E3146 E3176 E3182 E3184 E3186 E3188 E3190 E3192 E3194 E3210 E3212 E3214 E3216 E3224 E3226 E3228 E3230 E3232:E3234 E3236:E3237 E3240:E3242 E3244:E3246 E3248:E3250 E3252:E3254 E3256:E3258 E3261:E3264 E3286:E3289 E3291:E3294 E3296:E3299 E3301:E3304 E3306:E3309 E3312:E3315 E3317:E3319 E3321:E3324 E3341:E3344 E3346:E3349 E3351:E3354 E3356:E3359 E3361:E3364 E3366:E3369 E3371:E3374 E3376:E3379 E3381:E3384 E3386:E3389 E3391:E3394 E3396:E3399 E3401:E3404 E3406:E3409 E3411:E3414 E3416:E3419 E3421:E3424 E3426:E3429 E3431:E3434 E3436:E3439 E3441:E3444 E3446:E3449 E3451:E3454 E3456:E3459 E3461:E3464 E3466:E3469 E3471:E3474 E3476:E3479 E3481:E3484 E3486:E3489 E3491:E3494 E3496:E3499 E3506:E3509 E3511:E3514 E3516:E3519 E3521:E3524 E3526:E3529 E3531:E3534 E3536:E3539 E3541:E3544 E3546:E3549 E3552:E3555 E3557:E3560 E3562:E3565 E3567:E3570 E3572:E3575 E3578:E3580 E3582:E3584 E3586:E3588 E3619:E3621 E3624:E3625 E3627:E3628 E3630:E3631 E3633:E3635 E3637:E3639 E3641:E3643 E3645:E3647 E3649:E3650 E3652:E3653 E3659:E3661 E3663:E3664 E3666:E3667 E3669:E3670 E3672:E3673 E3675:E3678 E3680:E3683 E3685:E3688 E3690:E3693 E3695:E3698 E3705:E3708 E3710:E3713 E3716 E3718 E3720:E3721 E3723:E3724 E3726:E3727 E3729:E3730 E3733:E3735 E3737:E3739 E3741:E3743 E3745:E3747 E3749:E3751 E3753:E3755 E3758 E3760 E3762 E3764 E3766 E3769 E3771 E3773 E3776 E3778 E3782 E3785 E3787 E3789 E3793 E3796 E3798 E3800 E3804:E3807 E3809:E3810 E3812:E3815 E3817:E3820 E3822:E3825 E3827:E3829 E3831:E3834 E3836:E3837 E3839:E3841 E3843:E3845 E3847:E3848 E3850 E3852:E3853 E3855:E3857 E3860 E3862:E3863 E3865:E3874 E3884:E3893 E3895:E3904 E3906:E3915 E3917:E3926 E3928:E3937 E3939:E3942 E3944 E3946:E3956 E3958:E3959 E3969 E3971:E3974 E3976:E3979 E3981 E3983:E3986 E3988:E3990 E3992:E3995 E3997:E3998 E4000:E4001 E4003 E4005:E4006 E4008:E4009 E4011:E4012 E4014:E4015 E4017:E4018 E4020:E4021 E4024 E4026:E4028 E4042:E4043 E4052:E4053 E4055:E4056 E4059 E4061 E4065 E4067 E4070 E4074 E4076 E4083 E4085 E4089 E4091:E4093 E4095:E4097 E4099 E4101 E4103 E4105:E4106 E4108:E4109 E4111 E4113 E4115 E4117 E4119 E4121 E4123:E4124 E4126 E4128 E4130 E4132 E4134 E4136 E4138 E4140 E4142 E4144 E4146 E4148 E4150 E4153 E4155 E4161 E4164:E4165 E4167:E4168 E4170:E4171 E4173:E4174 E4176:E4177 E4179:E4180 E4182:E4183 E4185:E4186 E4188:E4189 E4191:E4192 E4194:E4195 E4197:E4198 E4200:E4201 E4203:E4204 E4206:E4207 E4209:E4210 E4212:E4213 E4215:E4216 E4218:E4219 E4221:E4222 E4224:E4225 E4227:E4228 E4230:E4231 E4233:E4234 E4237 E4239 E4241 E4244 E4246 E4248 E4250 E4252 E4254 E4256 E4258 E4260 E4263 E4267 E4269 E4271 E4274 E4276 E4280:E4282 E4284:E4285 E4287 E4289 E4291 E4293 E4295 E4297 E4299 E4301 E4305:E4307 E4309:E4310 E4312:E4314 E4324:E4327 E4329:E4332 E4334:E4337 E4339:E4342 E4344:E4347 E4349:E4352 E4354:E4357 E4359:E4360 E4362:E4365 E4367:E4370 E4372 E4374:E4377 E4389:E4392 E4394:E4397 E4399:E4402 E4405:E4407 E4409:E4411 E4413:E4416 E4418:E4421 E4423:E4426 E4429:E4432 E4434:E4437 E4439 E4441:E4442 E4444:E4446 E4448:E4451 E4456:E4457 E4459:E4460 E4462:E4463 E4465:E4466 E4468:E4470 E4472:E4474 E4476:E4478 E4480 E4482 E4484:E4485 E4487:E4488 E4490:E4491 E4493:E4494 E4499:E4502 E4504:E4507 E4509:E4512 E4514:E4517 E4519:E4522 E4524:E4527 E4529:E4532 E4534:E4537 E4539:E4542 E4544 E4546 E4548 E4550 E4552 E4554 E4556:E4559 E4561:E4564 E4566:E4569 E4571:E4572 E4575 E4577 E4579 E4581 E4583 E4585 E4599:E4602 E4604 E4606:E4609 E4687:E4688 E4690 E4692 E4694 E4696:E4697 E4699 E4702 E4706 E4708 E4710 E4712 E4714 E4718 E4722 E4724 E4727:E4733 E4735:E4741 E4743:E4749 E4751:E4758 E4760:E4767 E4769:E4780 E4782:E4790 E4792:E4800 E4802:E4810 E4812:E4820 E4822:E4830 E4832 E4834 E4836 E4838 E4840 E4842 E4844 E4846 E4848 E4850 E4852 E4854 E4856:E4858 E4860 E4862 E4864 E4867:E4869 E4871:E4872 E4874 E4876:E4877 E4879 E4881:E4883 E4885:E4887 E4889:E4893 E4895:E4899 E4901:E4905 E4907:E4911 E4913:E4917 E4919:E4922 E4924:E4927 E4929:E4931 E4933:E4935 E4937:E4938 E4940 E4943:E4949 E4951:E4957 E4959:E4965 E4967:E4973 E4975 E4977:E4979 E4981:E4983 E4985:E4987 E4989 E4991:E4996 E4998 E5000:E5006 E5008:E5010 E5012 E5014:E5018 E5020:E5023 E5025 E5027 D4:F146 E892:E893 E889:E890 E886:E887 E1409:E1418 E1398:E1407 E2426:E2429 E2416:E2419 E2572:E2576 E2578:E2582 E2602:E2606 E2596:E2600 E2677:E2678 E2680:E2681 E2689:E2690 E2663:E2665 E2702:E2703 E2745 E2821 E2795 E2797 E2858:E2859 E2855:E2856 E2683:E2684 E2891:E2894 E2896:E2899 E2901:E2904 E2950:E2952 E3094:E3096 E3336:E3339 E3331:E3334 E3266:E3269 E3271:E3274 E3276:E3279 E3281:E3284 E3501:E3504 E2590:E2594 E2584:E2588 E2421:E2424 E3611:E3613 E3615:E3617 E3222 E3220 E3178 E3180 E3218 E3196:E3197 E3199:E3206 E3700:E3703 E3655:E3657 E3791 E3208 E3326:E3329 E3780 E3967 E3963 E3961 E3965 E4038 E4036 E4032 E4030 E4034 E4050 E4045:E4048 E4040 E4063 E4303 E4316:E4321 E4593:E4597 E4704 E4720 E4716 E4157 E4159 E4265 E250:E252 E2154 C2:F2 C4:C150 E4072 E772:E774 E776:E778 E2245:E2246 E2254:E2255 E2265:E2268 E2257:E2259 E2248:E2249 E2270:E2275 E2251:E2252 E2300 E2302 E2304 E2306 E2308 E2310 E2312 E2314 E2686:E2687 E4587:E4591 E4453:E4454 E4384:E4387 E4379:E4382 E313:E315 E317:E319 E442:E444 E446:E448 E450:E452 E454:E456 E426:E428 E430:E432 E434:E436 E438:E440 E458:E460 E703:E705 E707:E709 E711:E713 E715:E717 E719:E721 E723:E725 E727:E729 E731:E733 E735:E737 E2354:E2355">
    <cfRule type="expression" dxfId="9048" priority="13980">
      <formula>$B2="Subetapa"</formula>
    </cfRule>
  </conditionalFormatting>
  <conditionalFormatting sqref="D153:F153 D159:F159 D154:D158 F154:F158 D165:F165 D160:D164 F160:F164 D170:F170 D166:D169 F166:F169 D176:F176 D171:D175 F171:F175 D182:F182 D177:D181 F177:F181 D187:F187 D183:D186 F183:F186 D191:F191 D188:D190 F188:F190 D195:F195 D192:D194 F192:F194 D199:F199 D196:D198 F196:F198 D201:F201 D200 F200 D207:F207 D202:D206 F202:F206 D211:F211 D208:D210 F208:F210 D212 F212 D217:F217 D216 F216 D215:F215 B213 D213:F213 B215:C217 C153:C213">
    <cfRule type="expression" dxfId="9047" priority="10656">
      <formula>$B153="Subetapa"</formula>
    </cfRule>
  </conditionalFormatting>
  <conditionalFormatting sqref="C271:F271 C273:F273">
    <cfRule type="expression" dxfId="9046" priority="9741">
      <formula>$B271="Subetapa"</formula>
    </cfRule>
  </conditionalFormatting>
  <conditionalFormatting sqref="C271:F271 C273:F273">
    <cfRule type="expression" dxfId="9045" priority="9740">
      <formula>$B271="Serviço"</formula>
    </cfRule>
  </conditionalFormatting>
  <conditionalFormatting sqref="D275:F275 E285:F286 D277:F277 D276 F276 D279:F279 D278 F278 D281:F283 D280 F280 F284 C275:C283">
    <cfRule type="expression" dxfId="9044" priority="13950">
      <formula>$B275="Subetapa"</formula>
    </cfRule>
  </conditionalFormatting>
  <conditionalFormatting sqref="D287:F287 D289:F289 D288 F288 C287:C289 C291:F291 C293:F293 C295:F295">
    <cfRule type="expression" dxfId="9043" priority="9757">
      <formula>$B287="Serviço"</formula>
    </cfRule>
  </conditionalFormatting>
  <conditionalFormatting sqref="C297:F297">
    <cfRule type="expression" dxfId="9042" priority="9730">
      <formula>$B297="Serviço"</formula>
    </cfRule>
    <cfRule type="expression" dxfId="9041" priority="9732">
      <formula>$B297="Subetapa"</formula>
    </cfRule>
  </conditionalFormatting>
  <conditionalFormatting sqref="D324:F324 D328:F328 D325:D327 F325:F327 D332:F332 D329:D331 F329:F331 D336:F336 D333:D335 F333:F335 D340:F340 D337:D339 F337:F339 D341:D343 F341:F343 C299:F299 C301:F301 B324:C343">
    <cfRule type="expression" dxfId="9040" priority="14293">
      <formula>$B299="Subetapa"</formula>
    </cfRule>
  </conditionalFormatting>
  <conditionalFormatting sqref="D306:F306 D305 F305 D308:F308 D307 F307 D310:F310 D309 F309 D311 F311 C305:C311 C320:F320 C312:F312">
    <cfRule type="expression" dxfId="9039" priority="13840">
      <formula>$B305="Subetapa"</formula>
    </cfRule>
  </conditionalFormatting>
  <conditionalFormatting sqref="D461:F461 D462:D463 F462:F463 C461:C463">
    <cfRule type="expression" dxfId="9038" priority="9717">
      <formula>$B461="Serviço"</formula>
    </cfRule>
    <cfRule type="expression" dxfId="9037" priority="9718">
      <formula>$B461="Subetapa"</formula>
    </cfRule>
  </conditionalFormatting>
  <conditionalFormatting sqref="D473:F473 D474:D476 F474:F476 C473:C476">
    <cfRule type="expression" dxfId="9036" priority="9708">
      <formula>$B473="Serviço"</formula>
    </cfRule>
    <cfRule type="expression" dxfId="9035" priority="9709">
      <formula>$B473="Subetapa"</formula>
    </cfRule>
  </conditionalFormatting>
  <conditionalFormatting sqref="D500:F500 D501 F501 C500:C501">
    <cfRule type="expression" dxfId="9034" priority="9699">
      <formula>$B500="Serviço"</formula>
    </cfRule>
    <cfRule type="expression" dxfId="9033" priority="9700">
      <formula>$B500="Subetapa"</formula>
    </cfRule>
  </conditionalFormatting>
  <conditionalFormatting sqref="D621:F621 D627:F627 D622:D626 F622:F626 D632:F632 D628:D631 F628:F631 D637:F637 D633:D636 F633:F636 D638:D639 F638:F639 C621:C639">
    <cfRule type="expression" dxfId="9032" priority="9686">
      <formula>$B621="Serviço"</formula>
    </cfRule>
    <cfRule type="expression" dxfId="9031" priority="9687">
      <formula>$B621="Subetapa"</formula>
    </cfRule>
  </conditionalFormatting>
  <conditionalFormatting sqref="C661:F661">
    <cfRule type="expression" dxfId="9030" priority="9674">
      <formula>$B661="Serviço"</formula>
    </cfRule>
  </conditionalFormatting>
  <conditionalFormatting sqref="D661:F661 D662:D664 F662:F664 C661:C664">
    <cfRule type="expression" dxfId="9029" priority="9678">
      <formula>$B661="Subetapa"</formula>
    </cfRule>
  </conditionalFormatting>
  <conditionalFormatting sqref="D738:F738 D739:D741 F739:F741 B738:C741">
    <cfRule type="expression" dxfId="9028" priority="9667">
      <formula>$B738="Serviço"</formula>
    </cfRule>
    <cfRule type="expression" dxfId="9027" priority="9668">
      <formula>$B738="Subetapa"</formula>
    </cfRule>
  </conditionalFormatting>
  <conditionalFormatting sqref="D759:F759 D760:D762 F760:F762 B759:C762">
    <cfRule type="expression" dxfId="9026" priority="9660">
      <formula>$B759="Serviço"</formula>
    </cfRule>
    <cfRule type="expression" dxfId="9025" priority="9661">
      <formula>$B759="Subetapa"</formula>
    </cfRule>
  </conditionalFormatting>
  <conditionalFormatting sqref="D779:F779 D780:D786 F780:F786 B779:C786">
    <cfRule type="expression" dxfId="9024" priority="9888">
      <formula>$B779="Serviço"</formula>
    </cfRule>
    <cfRule type="expression" dxfId="9023" priority="9889">
      <formula>$B779="Subetapa"</formula>
    </cfRule>
  </conditionalFormatting>
  <conditionalFormatting sqref="C814:F814">
    <cfRule type="expression" dxfId="9022" priority="9647">
      <formula>$B814="Serviço"</formula>
    </cfRule>
    <cfRule type="expression" dxfId="9021" priority="9648">
      <formula>$B814="Subetapa"</formula>
    </cfRule>
  </conditionalFormatting>
  <conditionalFormatting sqref="D824:F824 D826:F826 D825 F825 C824:C826">
    <cfRule type="expression" dxfId="9020" priority="9637">
      <formula>$B824="Serviço"</formula>
    </cfRule>
    <cfRule type="expression" dxfId="9019" priority="9638">
      <formula>$B824="Subetapa"</formula>
    </cfRule>
  </conditionalFormatting>
  <conditionalFormatting sqref="D827:D834 F827:F834">
    <cfRule type="expression" dxfId="9018" priority="9651">
      <formula>$B827="Serviço"</formula>
    </cfRule>
    <cfRule type="expression" dxfId="9017" priority="9652">
      <formula>$B827="Subetapa"</formula>
    </cfRule>
  </conditionalFormatting>
  <conditionalFormatting sqref="D835:F835 D837:F837 D836 F836 D838 F838 C835:C838">
    <cfRule type="expression" dxfId="9016" priority="9628">
      <formula>$B835="Serviço"</formula>
    </cfRule>
    <cfRule type="expression" dxfId="9015" priority="9629">
      <formula>$B835="Subetapa"</formula>
    </cfRule>
  </conditionalFormatting>
  <conditionalFormatting sqref="D879:F879 D882:F882 D880:D881 F880:F881 D883:D884 F883:F884 B920 B884 C879:C884">
    <cfRule type="expression" dxfId="9014" priority="9901">
      <formula>$B879="Serviço"</formula>
    </cfRule>
    <cfRule type="expression" dxfId="9013" priority="9902">
      <formula>$B879="Subetapa"</formula>
    </cfRule>
  </conditionalFormatting>
  <conditionalFormatting sqref="D894:F894 D895:D896 F895:F896 C894:C896">
    <cfRule type="expression" dxfId="9012" priority="9615">
      <formula>$B894="Serviço"</formula>
    </cfRule>
    <cfRule type="expression" dxfId="9011" priority="9616">
      <formula>$B894="Subetapa"</formula>
    </cfRule>
  </conditionalFormatting>
  <conditionalFormatting sqref="D903:F903 B906:B907 D907:F907 D904:D906 F904:F906 C903:C907">
    <cfRule type="expression" dxfId="9010" priority="9957">
      <formula>$B903="Subetapa"</formula>
    </cfRule>
  </conditionalFormatting>
  <conditionalFormatting sqref="D918:F918 D921:F921 D919:D920 F919:F920 D924:F924 D922:D923 F922:F923 D927:F927 D925:D926 F925:F926 D928:D929 F928:F929 C918:C929">
    <cfRule type="expression" dxfId="9009" priority="9907">
      <formula>$B918="Serviço"</formula>
    </cfRule>
    <cfRule type="expression" dxfId="9008" priority="9908">
      <formula>$B918="Subetapa"</formula>
    </cfRule>
  </conditionalFormatting>
  <conditionalFormatting sqref="D931:F931 D934:F934 D932:D933 F932:F933 D937:F937 D935:D936 F935:F936 D940:F940 D938:D939 F938:F939 D941:D942 F941:F942 C931:C942">
    <cfRule type="expression" dxfId="9007" priority="9949">
      <formula>$B931="Serviço"</formula>
    </cfRule>
    <cfRule type="expression" dxfId="9006" priority="9950">
      <formula>$B931="Subetapa"</formula>
    </cfRule>
  </conditionalFormatting>
  <conditionalFormatting sqref="D1169:F1169 D1171:F1171 D1170 F1170 C1169:C1171">
    <cfRule type="expression" dxfId="9005" priority="14061">
      <formula>$B1169="Subetapa"</formula>
    </cfRule>
  </conditionalFormatting>
  <conditionalFormatting sqref="D1175:F1175 D1176 F1176 C1175:C1176">
    <cfRule type="expression" dxfId="9004" priority="9580">
      <formula>$B1175="Subetapa"</formula>
    </cfRule>
  </conditionalFormatting>
  <conditionalFormatting sqref="D1175:F1175 D1176:D1185 F1176:F1185 C1175:C1185">
    <cfRule type="expression" dxfId="9003" priority="9578">
      <formula>$B1175="Serviço"</formula>
    </cfRule>
  </conditionalFormatting>
  <conditionalFormatting sqref="D1198:F1198 D1199 F1199 C1198:C1199">
    <cfRule type="expression" dxfId="9002" priority="9552">
      <formula>$B1198="Subetapa"</formula>
    </cfRule>
  </conditionalFormatting>
  <conditionalFormatting sqref="D1198:F1198 D1199:D1208 F1199:F1208 C1198:C1208">
    <cfRule type="expression" dxfId="9001" priority="9537">
      <formula>$B1198="Serviço"</formula>
    </cfRule>
  </conditionalFormatting>
  <conditionalFormatting sqref="D1209:F1209 D1210:D1217 F1210:F1217 C1209:C1217">
    <cfRule type="expression" dxfId="9000" priority="9541">
      <formula>$B1209="Subetapa"</formula>
    </cfRule>
  </conditionalFormatting>
  <conditionalFormatting sqref="C1255:F1255">
    <cfRule type="expression" dxfId="8999" priority="9506">
      <formula>$B1255="Subetapa"</formula>
    </cfRule>
  </conditionalFormatting>
  <conditionalFormatting sqref="D1255:F1255 D1266:F1266 D1256:D1265 F1256:F1265 D1277:F1277 D1267:D1276 F1267:F1276 D1288:F1288 D1278:D1287 F1278:F1287 D1289 F1289 C1255:C1289">
    <cfRule type="expression" dxfId="8998" priority="9500">
      <formula>$B1255="Serviço"</formula>
    </cfRule>
  </conditionalFormatting>
  <conditionalFormatting sqref="D1266:F1266 D1277:F1277 D1267:D1276 F1267:F1276 D1288:F1288 D1278:D1287 F1278:F1287 D1289 F1289 C1266:C1289">
    <cfRule type="expression" dxfId="8997" priority="9508">
      <formula>$B1266="Subetapa"</formula>
    </cfRule>
  </conditionalFormatting>
  <conditionalFormatting sqref="D1300:F1300 D1290:D1299 F1290:F1299 C1290:C1300">
    <cfRule type="expression" dxfId="8996" priority="9489">
      <formula>$B1290="Serviço"</formula>
    </cfRule>
    <cfRule type="expression" dxfId="8995" priority="9491">
      <formula>$B1290="Subetapa"</formula>
    </cfRule>
  </conditionalFormatting>
  <conditionalFormatting sqref="F1301 C1301:D1301">
    <cfRule type="expression" dxfId="8994" priority="9487">
      <formula>$B1301="Serviço"</formula>
    </cfRule>
    <cfRule type="expression" dxfId="8993" priority="9488">
      <formula>$B1301="Subetapa"</formula>
    </cfRule>
  </conditionalFormatting>
  <conditionalFormatting sqref="C1311:F1311">
    <cfRule type="expression" dxfId="8992" priority="9493">
      <formula>$B1311="Subetapa"</formula>
    </cfRule>
  </conditionalFormatting>
  <conditionalFormatting sqref="D1311:F1311 D1322:F1322 D1312:D1321 F1312:F1321 D1323 F1323 C1311:C1323">
    <cfRule type="expression" dxfId="8991" priority="9482">
      <formula>$B1311="Serviço"</formula>
    </cfRule>
  </conditionalFormatting>
  <conditionalFormatting sqref="D1322:F1322 D1323 F1323 C1322:C1323">
    <cfRule type="expression" dxfId="8990" priority="9495">
      <formula>$B1322="Subetapa"</formula>
    </cfRule>
  </conditionalFormatting>
  <conditionalFormatting sqref="D1333:F1333 D1324:D1332 F1324:F1332 D1344:F1344 D1334:D1343 F1334:F1343 C1324:C1344">
    <cfRule type="expression" dxfId="8989" priority="9474">
      <formula>$B1324="Subetapa"</formula>
    </cfRule>
  </conditionalFormatting>
  <conditionalFormatting sqref="D1333:F1333 D1324:D1332 F1324:F1332 D1344:F1344 D1334:D1343 F1334:F1343 D1345:D1355 F1345:F1355 D1356:F1356 C1324:C1356">
    <cfRule type="expression" dxfId="8988" priority="9473">
      <formula>$B1324="Serviço"</formula>
    </cfRule>
  </conditionalFormatting>
  <conditionalFormatting sqref="D1348:D1355 F1348:F1355">
    <cfRule type="expression" dxfId="8987" priority="9479">
      <formula>$B1348="Subetapa"</formula>
    </cfRule>
  </conditionalFormatting>
  <conditionalFormatting sqref="D1541:F1541 D1542:D1546 F1542:F1546 C1541:C1546">
    <cfRule type="expression" dxfId="8986" priority="11753">
      <formula>$B1541="Subetapa"</formula>
    </cfRule>
  </conditionalFormatting>
  <conditionalFormatting sqref="D1548:F1548 D1559:F1559 D1549:D1558 F1549:F1558 D1570:F1570 D1560:D1569 F1560:F1569 D1581:F1581 D1571:D1580 F1571:F1580 D1592:F1592 D1582:D1591 F1582:F1591 D1603:F1603 D1593:D1602 F1593:F1602 D1614:F1614 D1604:D1613 F1604:F1613 D1615:D1624 F1615:F1624 C1548:C1624">
    <cfRule type="expression" dxfId="8985" priority="13382">
      <formula>$B1548="Subetapa"</formula>
    </cfRule>
  </conditionalFormatting>
  <conditionalFormatting sqref="D1626:F1626 D1627:D1636 F1627:F1636 C1626:C1636">
    <cfRule type="expression" dxfId="8984" priority="13360">
      <formula>$B1626="Subetapa"</formula>
    </cfRule>
  </conditionalFormatting>
  <conditionalFormatting sqref="D1638:F1638 D1639:D1648 F1639:F1648 C1638:C1648">
    <cfRule type="expression" dxfId="8983" priority="13328">
      <formula>$B1638="Subetapa"</formula>
    </cfRule>
  </conditionalFormatting>
  <conditionalFormatting sqref="D1813:D1814 F1813:F1814">
    <cfRule type="expression" dxfId="8982" priority="13955">
      <formula>$B1813="Subetapa"</formula>
    </cfRule>
  </conditionalFormatting>
  <conditionalFormatting sqref="C1836:F1836">
    <cfRule type="expression" dxfId="8981" priority="13288">
      <formula>$B1836="Subetapa"</formula>
    </cfRule>
  </conditionalFormatting>
  <conditionalFormatting sqref="F1870 C1870:D1870">
    <cfRule type="expression" dxfId="8980" priority="13258">
      <formula>$B1870="Subetapa"</formula>
    </cfRule>
  </conditionalFormatting>
  <conditionalFormatting sqref="F1907 C1907:D1907">
    <cfRule type="expression" dxfId="8979" priority="13220">
      <formula>$B1907="Subetapa"</formula>
    </cfRule>
  </conditionalFormatting>
  <conditionalFormatting sqref="F1919 C1919:D1919">
    <cfRule type="expression" dxfId="8978" priority="13204">
      <formula>$B1919="Subetapa"</formula>
    </cfRule>
  </conditionalFormatting>
  <conditionalFormatting sqref="F1932 C1932:D1932">
    <cfRule type="expression" dxfId="8977" priority="13188">
      <formula>$B1932="Subetapa"</formula>
    </cfRule>
  </conditionalFormatting>
  <conditionalFormatting sqref="F1945 C1945:D1945">
    <cfRule type="expression" dxfId="8976" priority="13172">
      <formula>$B1945="Subetapa"</formula>
    </cfRule>
  </conditionalFormatting>
  <conditionalFormatting sqref="F1958 C1958:D1958">
    <cfRule type="expression" dxfId="8975" priority="13156">
      <formula>$B1958="Subetapa"</formula>
    </cfRule>
  </conditionalFormatting>
  <conditionalFormatting sqref="F1971 C1971:D1971">
    <cfRule type="expression" dxfId="8974" priority="13140">
      <formula>$B1971="Subetapa"</formula>
    </cfRule>
  </conditionalFormatting>
  <conditionalFormatting sqref="C2029:F2029">
    <cfRule type="expression" dxfId="8973" priority="13080">
      <formula>$B2029="Subetapa"</formula>
    </cfRule>
  </conditionalFormatting>
  <conditionalFormatting sqref="C2105:F2105 C2112:F2112 B2133:H2133 B2126:H2126 B2119:H2119">
    <cfRule type="expression" dxfId="8972" priority="11639">
      <formula>$B2105="Subetapa"</formula>
    </cfRule>
  </conditionalFormatting>
  <conditionalFormatting sqref="D2176:F2176 D2178:F2178 D2177 F2177 D2181:F2181 D2179:D2180 F2179:F2180 D2184:F2184 D2182:D2183 F2182:F2183 C2176:C2184">
    <cfRule type="expression" dxfId="8971" priority="13990">
      <formula>$B2176="Subetapa"</formula>
    </cfRule>
  </conditionalFormatting>
  <conditionalFormatting sqref="D2185:D2186 F2185:F2186">
    <cfRule type="expression" dxfId="8970" priority="14333">
      <formula>$B2185="Subetapa"</formula>
    </cfRule>
  </conditionalFormatting>
  <conditionalFormatting sqref="C2187:F2187">
    <cfRule type="expression" dxfId="8969" priority="14065">
      <formula>$B2187="Subetapa"</formula>
    </cfRule>
  </conditionalFormatting>
  <conditionalFormatting sqref="D2212:F2212 D2214:F2214 D2213 F2213 D2215 F2215 C2212:C2215 B2267:B2268 B2274:B2275 B2212:B2261">
    <cfRule type="expression" dxfId="8968" priority="10000">
      <formula>$B2212="Serviço"</formula>
    </cfRule>
  </conditionalFormatting>
  <conditionalFormatting sqref="D2212:F2212 D2214:F2214 D2213 F2213 D2215 F2215 C2212:C2215">
    <cfRule type="expression" dxfId="8967" priority="9998">
      <formula>$B2212="Subetapa"</formula>
    </cfRule>
  </conditionalFormatting>
  <conditionalFormatting sqref="D2216:F2216 D2219:F2219 D2217:D2218 F2217:F2218 D2221:F2221 D2220 F2220 D2222:D2223 F2222:F2223 C2216:C2223">
    <cfRule type="expression" dxfId="8966" priority="9976">
      <formula>$B2216="Serviço"</formula>
    </cfRule>
    <cfRule type="expression" dxfId="8965" priority="9977">
      <formula>$B2216="Subetapa"</formula>
    </cfRule>
  </conditionalFormatting>
  <conditionalFormatting sqref="D2224:F2224 D2226:F2226 D2225 F2225 D2227 F2227 C2224:C2227">
    <cfRule type="expression" dxfId="8964" priority="9992">
      <formula>$B2224="Serviço"</formula>
    </cfRule>
    <cfRule type="expression" dxfId="8963" priority="9993">
      <formula>$B2224="Subetapa"</formula>
    </cfRule>
  </conditionalFormatting>
  <conditionalFormatting sqref="D2228:F2228 D2229 F2229 C2228:C2229">
    <cfRule type="expression" dxfId="8962" priority="9980">
      <formula>$B2228="Serviço"</formula>
    </cfRule>
    <cfRule type="expression" dxfId="8961" priority="9981">
      <formula>$B2228="Subetapa"</formula>
    </cfRule>
  </conditionalFormatting>
  <conditionalFormatting sqref="D2230:F2230 D2234:F2234 D2231:D2233 F2231:F2233 D2236:F2236 D2235 F2235 D2240:F2240 D2237:D2239 F2237:F2239 D2241:D2243 F2241:F2243 C2230:C2275">
    <cfRule type="expression" dxfId="8960" priority="9988">
      <formula>$B2230="Serviço"</formula>
    </cfRule>
    <cfRule type="expression" dxfId="8959" priority="9989">
      <formula>$B2230="Subetapa"</formula>
    </cfRule>
  </conditionalFormatting>
  <conditionalFormatting sqref="D2338:F2338 D2340:F2340 D2339 F2339 D2341 F2341 C2338:C2341">
    <cfRule type="expression" dxfId="8958" priority="9460">
      <formula>$B2338="Serviço"</formula>
    </cfRule>
    <cfRule type="expression" dxfId="8957" priority="9461">
      <formula>$B2338="Subetapa"</formula>
    </cfRule>
  </conditionalFormatting>
  <conditionalFormatting sqref="D2347:F2347 D2348 F2348">
    <cfRule type="expression" dxfId="8956" priority="9446">
      <formula>$B2347="Serviço"</formula>
    </cfRule>
    <cfRule type="expression" dxfId="8955" priority="9447">
      <formula>$B2347="Subetapa"</formula>
    </cfRule>
  </conditionalFormatting>
  <conditionalFormatting sqref="D2349:F2349 D2350 F2350">
    <cfRule type="expression" dxfId="8954" priority="9437">
      <formula>$B2349="Serviço"</formula>
    </cfRule>
    <cfRule type="expression" dxfId="8953" priority="9438">
      <formula>$B2349="Subetapa"</formula>
    </cfRule>
  </conditionalFormatting>
  <conditionalFormatting sqref="F2357 D2357">
    <cfRule type="expression" dxfId="8952" priority="12823">
      <formula>$B2357="Subetapa"</formula>
    </cfRule>
  </conditionalFormatting>
  <conditionalFormatting sqref="D2374:F2374 D2375:D2377 C2374:C2377">
    <cfRule type="expression" dxfId="8951" priority="9427">
      <formula>$B2374="Serviço"</formula>
    </cfRule>
    <cfRule type="expression" dxfId="8950" priority="9428">
      <formula>$B2374="Subetapa"</formula>
    </cfRule>
  </conditionalFormatting>
  <conditionalFormatting sqref="D2379:F2379 D2384:F2384 D2380:D2383 F2380:F2383 D2385:D2387 F2385:F2388 C2379:C2387">
    <cfRule type="expression" dxfId="8949" priority="9407">
      <formula>$B2379="Serviço"</formula>
    </cfRule>
    <cfRule type="expression" dxfId="8948" priority="9408">
      <formula>$B2379="Subetapa"</formula>
    </cfRule>
  </conditionalFormatting>
  <conditionalFormatting sqref="D2400:F2400 D2405:F2405 D2401:D2404 F2401:F2404 D2410:F2410 D2406:D2409 F2406:F2409 C2400:C2410">
    <cfRule type="expression" dxfId="8947" priority="13998">
      <formula>$B2400="Subetapa"</formula>
    </cfRule>
  </conditionalFormatting>
  <conditionalFormatting sqref="D2470:F2470 D2471:D2474 C2470:C2474">
    <cfRule type="expression" dxfId="8946" priority="9371">
      <formula>$B2470="Serviço"</formula>
    </cfRule>
    <cfRule type="expression" dxfId="8945" priority="9372">
      <formula>$B2470="Subetapa"</formula>
    </cfRule>
  </conditionalFormatting>
  <conditionalFormatting sqref="D2475:F2475 D2476 C2475:C2476 C2480:F2480 C2485:F2485 C2520:F2520">
    <cfRule type="expression" dxfId="8944" priority="9401">
      <formula>$B2475="Serviço"</formula>
    </cfRule>
  </conditionalFormatting>
  <conditionalFormatting sqref="D2475:F2475 D2476:D2479 D2480:F2480 D2485:F2485 D2520:F2520 D2486:D2489 D2521:D2524 D2481:D2484 C2520:C2524 C2475:C2489">
    <cfRule type="expression" dxfId="8943" priority="9402">
      <formula>$B2475="Subetapa"</formula>
    </cfRule>
  </conditionalFormatting>
  <conditionalFormatting sqref="D2490:F2490 D2491:D2494 C2490:C2494">
    <cfRule type="expression" dxfId="8942" priority="9353">
      <formula>$B2490="Subetapa"</formula>
    </cfRule>
  </conditionalFormatting>
  <conditionalFormatting sqref="D2495:F2495 D2496:D2499 C2495:C2499">
    <cfRule type="expression" dxfId="8941" priority="9356">
      <formula>$B2495="Subetapa"</formula>
    </cfRule>
  </conditionalFormatting>
  <conditionalFormatting sqref="D2500:F2500 D2501:D2504 C2500:C2504">
    <cfRule type="expression" dxfId="8940" priority="9344">
      <formula>$B2500="Subetapa"</formula>
    </cfRule>
  </conditionalFormatting>
  <conditionalFormatting sqref="D2505:F2505 D2506:D2509 C2505:C2509">
    <cfRule type="expression" dxfId="8939" priority="9347">
      <formula>$B2505="Subetapa"</formula>
    </cfRule>
  </conditionalFormatting>
  <conditionalFormatting sqref="D2510:F2510 D2511:D2514 C2510:C2514">
    <cfRule type="expression" dxfId="8938" priority="9359">
      <formula>$B2510="Subetapa"</formula>
    </cfRule>
  </conditionalFormatting>
  <conditionalFormatting sqref="D2515:F2515 D2516:D2519 D2510:F2510 D2511:D2514 D2495:F2495 D2496:D2499 D2491:D2494 D2505:F2505 D2506:D2509 D2500:F2500 D2501:D2504 C2491:C2519">
    <cfRule type="expression" dxfId="8937" priority="9383">
      <formula>$B2491="Serviço"</formula>
    </cfRule>
  </conditionalFormatting>
  <conditionalFormatting sqref="D2515:F2515 D2516:D2519 C2515:C2519">
    <cfRule type="expression" dxfId="8936" priority="9362">
      <formula>$B2515="Subetapa"</formula>
    </cfRule>
  </conditionalFormatting>
  <conditionalFormatting sqref="D2673:F2673 D2674 F2674 E2688:F2688 F2690 C2673:C2674">
    <cfRule type="expression" dxfId="8935" priority="9302">
      <formula>$B2673="Subetapa"</formula>
    </cfRule>
    <cfRule type="expression" dxfId="8934" priority="9305">
      <formula>$B2673="Serviço"</formula>
    </cfRule>
  </conditionalFormatting>
  <conditionalFormatting sqref="D2695:F2695 D2698:F2698 D2696:D2697 F2696:F2697 D2704:F2704 D2699:D2700 F2699:F2700 D2707:F2707 D2705:D2706 F2705:F2706 D2708:D2709 F2708:F2709 D2701:F2701 D2702:D2703 F2702:F2703 C2695:C2709">
    <cfRule type="expression" dxfId="8933" priority="11561">
      <formula>$B2695="Subetapa"</formula>
    </cfRule>
  </conditionalFormatting>
  <conditionalFormatting sqref="D2719:F2719 D2720:D2721 F2720:F2721 C2719:C2721">
    <cfRule type="expression" dxfId="8932" priority="9315">
      <formula>$B2719="Subetapa"</formula>
    </cfRule>
    <cfRule type="expression" dxfId="8931" priority="9316">
      <formula>$B2719="Serviço"</formula>
    </cfRule>
  </conditionalFormatting>
  <conditionalFormatting sqref="F2723:F2724 C2722:F2722 C2724:D2724">
    <cfRule type="expression" dxfId="8930" priority="9313">
      <formula>$B2722="Subetapa"</formula>
    </cfRule>
  </conditionalFormatting>
  <conditionalFormatting sqref="C2722:F2722">
    <cfRule type="expression" dxfId="8929" priority="9312">
      <formula>$B2722="Serviço"</formula>
    </cfRule>
  </conditionalFormatting>
  <conditionalFormatting sqref="D2723:D2724 F2723:F2724">
    <cfRule type="expression" dxfId="8928" priority="9311">
      <formula>$B2723="Serviço"</formula>
    </cfRule>
  </conditionalFormatting>
  <conditionalFormatting sqref="D2725:F2725 D2726:D2727 F2726:F2727 C2725:C2727">
    <cfRule type="expression" dxfId="8927" priority="9318">
      <formula>$B2725="Subetapa"</formula>
    </cfRule>
  </conditionalFormatting>
  <conditionalFormatting sqref="D2728:F2728 D2729:D2730 F2729:F2730 C2728:C2730">
    <cfRule type="expression" dxfId="8926" priority="9320">
      <formula>$B2728="Subetapa"</formula>
    </cfRule>
  </conditionalFormatting>
  <conditionalFormatting sqref="D2765:F2765 D2766:D2767 F2766:F2767 C2765:C2767">
    <cfRule type="expression" dxfId="8925" priority="9295">
      <formula>$B2765="Subetapa"</formula>
    </cfRule>
  </conditionalFormatting>
  <conditionalFormatting sqref="D2788:F2788 D2790:F2790 D2789 F2789 D2792:F2792 D2791 F2791 D2798:F2798 D2793 D2800:F2800 D2802:F2802 D2801 D2804:F2804 D2803 D2805 D2794:F2794 D2795 D2796:F2796 D2797 D2799 B2788:C2805">
    <cfRule type="expression" dxfId="8924" priority="13741">
      <formula>$B2788="Subetapa"</formula>
    </cfRule>
  </conditionalFormatting>
  <conditionalFormatting sqref="D2806:F2806 D2807:D2814 F2807:F2814 C2806:C2814">
    <cfRule type="expression" dxfId="8923" priority="9286">
      <formula>$B2806="Subetapa"</formula>
    </cfRule>
  </conditionalFormatting>
  <conditionalFormatting sqref="D2806:F2806 D2807:D2816 F2807:F2816 C2806:C2816">
    <cfRule type="expression" dxfId="8922" priority="9285">
      <formula>$B2806="Serviço"</formula>
    </cfRule>
  </conditionalFormatting>
  <conditionalFormatting sqref="D2817:F2818 D2841:F2841 D2819 F2819 D2842 F2842 D2820:F2820 D2821 F2821 C2841:C2842 C2817:C2821">
    <cfRule type="expression" dxfId="8921" priority="11556">
      <formula>$B2817="Subetapa"</formula>
    </cfRule>
  </conditionalFormatting>
  <conditionalFormatting sqref="D2851:F2851 D2860:F2860 D2852:D2853 F2852:F2853 D2863:F2863 D2861:D2862 F2861:F2862 D2874:F2874 D2864:D2873 F2864:F2873 D2845:F2845 D2846:D2847 D2848:F2848 D2849:D2850 D2857:F2857 D2858:D2859 F2858:F2859 D2854:F2854 D2855:D2856 F2855:F2856 C2845:C2874">
    <cfRule type="expression" dxfId="8920" priority="10659">
      <formula>$B2845="Subetapa"</formula>
    </cfRule>
  </conditionalFormatting>
  <conditionalFormatting sqref="D2883:F2883 D2884 F2884 C2883:C2884">
    <cfRule type="expression" dxfId="8919" priority="9277">
      <formula>$B2883="Serviço"</formula>
    </cfRule>
  </conditionalFormatting>
  <conditionalFormatting sqref="D2883:F2883 D2884 F2884 C2883:C2884">
    <cfRule type="expression" dxfId="8918" priority="9278">
      <formula>$B2883="Subetapa"</formula>
    </cfRule>
  </conditionalFormatting>
  <conditionalFormatting sqref="C2905:F2905">
    <cfRule type="expression" dxfId="8917" priority="12593">
      <formula>$B2905="Subetapa"</formula>
    </cfRule>
  </conditionalFormatting>
  <conditionalFormatting sqref="F2906 C2906:D2906">
    <cfRule type="expression" dxfId="8916" priority="12578">
      <formula>$B2906="Subetapa"</formula>
    </cfRule>
  </conditionalFormatting>
  <conditionalFormatting sqref="C2907:F2907">
    <cfRule type="expression" dxfId="8915" priority="12585">
      <formula>$B2907="Subetapa"</formula>
    </cfRule>
  </conditionalFormatting>
  <conditionalFormatting sqref="D2909:F2909 D2908 F2908 D2910 F2910 C2908:C2910">
    <cfRule type="expression" dxfId="8914" priority="11537">
      <formula>$B2908="Subetapa"</formula>
    </cfRule>
  </conditionalFormatting>
  <conditionalFormatting sqref="C2911:F2911">
    <cfRule type="expression" dxfId="8913" priority="12658">
      <formula>$B2911="Subetapa"</formula>
    </cfRule>
  </conditionalFormatting>
  <conditionalFormatting sqref="D2912:F2912 B2919:B2935 D2914:F2914 D2913 F2913 D2916:F2916 D2915 F2915 D2918:F2920 D2917 F2917 D2922:F2922 D2921 F2921 D2926:F2926 D2923:D2925 F2923:F2925 D2929:F2929 D2927:D2928 F2927:F2928 D2932:F2932 D2930:D2931 F2930:F2931 D2933:D2935 F2933:F2935 C2912:C2935">
    <cfRule type="expression" dxfId="8912" priority="12395">
      <formula>$B2912="Subetapa"</formula>
    </cfRule>
  </conditionalFormatting>
  <conditionalFormatting sqref="D3056:F3056 D3058:F3058 D3057 F3057 D3060:F3060 D3059 F3059 D3062:F3062 D3061 F3061 D3063 F3063 C3056:C3063">
    <cfRule type="expression" dxfId="8911" priority="9267">
      <formula>$B3056="Subetapa"</formula>
    </cfRule>
    <cfRule type="expression" dxfId="8910" priority="9269">
      <formula>$B3056="Serviço"</formula>
    </cfRule>
  </conditionalFormatting>
  <conditionalFormatting sqref="D3097:F3097 D3098 F3098 C3097:C3098">
    <cfRule type="expression" dxfId="8909" priority="9257">
      <formula>$B3097="Serviço"</formula>
    </cfRule>
    <cfRule type="expression" dxfId="8908" priority="9260">
      <formula>$B3097="Subetapa"</formula>
    </cfRule>
  </conditionalFormatting>
  <conditionalFormatting sqref="D3115:F3115 D3430:F3430 D3431:D3434 D3113:D3114 F3113:F3114 D3118:F3118 D3116:D3117 F3116:F3117 D3122:F3122 D3119:D3121 F3119:F3121 D3124:F3124 D3123 F3123 D3125:D3128 F3125:F3128 C3430:C3434 C3113:C3128">
    <cfRule type="expression" dxfId="8907" priority="13889">
      <formula>$B3113="Subetapa"</formula>
    </cfRule>
  </conditionalFormatting>
  <conditionalFormatting sqref="C3129:F3129">
    <cfRule type="expression" dxfId="8906" priority="9249">
      <formula>$B3129="Subetapa"</formula>
    </cfRule>
  </conditionalFormatting>
  <conditionalFormatting sqref="D3129:F3129 D3130:D3136 F3130:F3136 C3129:C3136">
    <cfRule type="expression" dxfId="8905" priority="9250">
      <formula>$B3129="Serviço"</formula>
    </cfRule>
  </conditionalFormatting>
  <conditionalFormatting sqref="D3130:D3136 F3130:F3136">
    <cfRule type="expression" dxfId="8904" priority="9251">
      <formula>$B3130="Subetapa"</formula>
    </cfRule>
  </conditionalFormatting>
  <conditionalFormatting sqref="D3137:F3137 D3138 F3138 C3137:C3138">
    <cfRule type="expression" dxfId="8903" priority="14338">
      <formula>$B3137="Subetapa"</formula>
    </cfRule>
  </conditionalFormatting>
  <conditionalFormatting sqref="D3143:F3144">
    <cfRule type="expression" dxfId="8902" priority="12538">
      <formula>$B3143="Subetapa"</formula>
    </cfRule>
  </conditionalFormatting>
  <conditionalFormatting sqref="D3181:F3181 D3190 D3290:F3290 D3291:D3293 D3295:F3295 D3300:F3300 D3296:D3299 D3305:F3305 D3306:D3309 D3545:F3545 D3231:F3231 B3139:B3142 D4217:F4217 D4208:F4208 D4163:F4163 D4139:F4139 D3183:F3183 D3182 F3182 D3185:F3185 D3184 F3184 D3187:F3187 D3186 F3186 D3189:F3189 D3188 F3188 D3232:D3234 F3232:F3234 D3546:D3549 F3546:F3549 D4141:F4141 D4140 F4140 D4143:F4143 D4142 F4142 D4145:F4145 D4144 F4144 D4147:F4147 D4146 F4146 D4149:F4149 D4148 F4148 D4150 F4150 D4164:D4165 F4164:F4165 D4209:D4210 F4209:F4210 D4220:F4220 D4218:D4219 F4218:F4219 D4223:F4223 D4221:D4222 F4221:F4222 D4226:F4226 D4224:D4225 F4224:F4225 D4229:F4229 D4227:D4228 F4227:F4228 D4232:F4232 D4230:D4231 F4230:F4231 D4233:D4234 F4233:F4234 C3290:C3293 C3295:C3300 C3305:C3309 C3181:C3190 C3231:C3234 C3545:C3549 C4139:C4150 C4163:C4165 C4208:C4210 C4217:C4234">
    <cfRule type="expression" dxfId="8901" priority="9738">
      <formula>$B3139="Serviço"</formula>
    </cfRule>
    <cfRule type="expression" dxfId="8900" priority="9739">
      <formula>$B3139="Subetapa"</formula>
    </cfRule>
  </conditionalFormatting>
  <conditionalFormatting sqref="D3211:F3211 D3210 F3210 D3213:F3213 D3212 F3212 D3215:F3215 D3214 F3214 C3210:C3215">
    <cfRule type="expression" dxfId="8899" priority="12401">
      <formula>$B3210="Subetapa"</formula>
    </cfRule>
  </conditionalFormatting>
  <conditionalFormatting sqref="C3243:F3243">
    <cfRule type="expression" dxfId="8898" priority="9214">
      <formula>$B3243="Subetapa"</formula>
    </cfRule>
  </conditionalFormatting>
  <conditionalFormatting sqref="C3259:F3259">
    <cfRule type="expression" dxfId="8897" priority="9227">
      <formula>$B3259="Subetapa"</formula>
    </cfRule>
  </conditionalFormatting>
  <conditionalFormatting sqref="C3320:F3320 B4162:F4162">
    <cfRule type="expression" dxfId="8896" priority="13563">
      <formula>$B3320="Subetapa"</formula>
    </cfRule>
  </conditionalFormatting>
  <conditionalFormatting sqref="D3440:F3440 D3445:F3445 D3441:D3444 F3441:F3444 D3446:D3449 F3446:F3449 C3440:C3449">
    <cfRule type="expression" dxfId="8895" priority="12426">
      <formula>$B3440="Subetapa"</formula>
    </cfRule>
  </conditionalFormatting>
  <conditionalFormatting sqref="D3485:F3485 D3486:D3489 C3485:C3489">
    <cfRule type="expression" dxfId="8894" priority="9133">
      <formula>$B3485="Serviço"</formula>
    </cfRule>
    <cfRule type="expression" dxfId="8893" priority="9134">
      <formula>$B3485="Subetapa"</formula>
    </cfRule>
  </conditionalFormatting>
  <conditionalFormatting sqref="D3490:F3490 D3491:D3494 C3490:C3494">
    <cfRule type="expression" dxfId="8892" priority="9120">
      <formula>$B3490="Serviço"</formula>
    </cfRule>
  </conditionalFormatting>
  <conditionalFormatting sqref="D3495:F3495 D3496:D3499 C3495:C3499">
    <cfRule type="expression" dxfId="8891" priority="9113">
      <formula>$B3495="Serviço"</formula>
    </cfRule>
  </conditionalFormatting>
  <conditionalFormatting sqref="D3505:F3505 D3506:D3509 D3490:F3490 D3491:D3494 D3495:F3495 D3496:D3499 D3500:F3500 D3501:D3504 C3490:C3509">
    <cfRule type="expression" dxfId="8890" priority="9209">
      <formula>$B3490="Subetapa"</formula>
    </cfRule>
  </conditionalFormatting>
  <conditionalFormatting sqref="D3505:F3505 D3506:D3509 C3505:C3509">
    <cfRule type="expression" dxfId="8889" priority="9192">
      <formula>$B3505="Serviço"</formula>
    </cfRule>
  </conditionalFormatting>
  <conditionalFormatting sqref="D3515:F3515 D3516:D3519 C3515:C3519">
    <cfRule type="expression" dxfId="8888" priority="9080">
      <formula>$B3515="Serviço"</formula>
    </cfRule>
    <cfRule type="expression" dxfId="8887" priority="9081">
      <formula>$B3515="Subetapa"</formula>
    </cfRule>
  </conditionalFormatting>
  <conditionalFormatting sqref="D3520:F3520 D3521:D3524 C3520:C3524">
    <cfRule type="expression" dxfId="8886" priority="9098">
      <formula>$B3520="Serviço"</formula>
    </cfRule>
    <cfRule type="expression" dxfId="8885" priority="9099">
      <formula>$B3520="Subetapa"</formula>
    </cfRule>
  </conditionalFormatting>
  <conditionalFormatting sqref="D3525:F3525 D3526:D3529 C3525:C3529">
    <cfRule type="expression" dxfId="8884" priority="9102">
      <formula>$B3525="Serviço"</formula>
    </cfRule>
    <cfRule type="expression" dxfId="8883" priority="9103">
      <formula>$B3525="Subetapa"</formula>
    </cfRule>
  </conditionalFormatting>
  <conditionalFormatting sqref="D3530:F3530 D3531:D3534 C3530:C3534">
    <cfRule type="expression" dxfId="8882" priority="9090">
      <formula>$B3530="Serviço"</formula>
    </cfRule>
    <cfRule type="expression" dxfId="8881" priority="9091">
      <formula>$B3530="Subetapa"</formula>
    </cfRule>
  </conditionalFormatting>
  <conditionalFormatting sqref="D3535:F3535 D3536:D3539 C3535:C3539">
    <cfRule type="expression" dxfId="8880" priority="9094">
      <formula>$B3535="Serviço"</formula>
    </cfRule>
    <cfRule type="expression" dxfId="8879" priority="9095">
      <formula>$B3535="Subetapa"</formula>
    </cfRule>
  </conditionalFormatting>
  <conditionalFormatting sqref="D3540:F3540 D3541:D3544 C3540:C3544">
    <cfRule type="expression" dxfId="8878" priority="9116">
      <formula>$B3540="Serviço"</formula>
    </cfRule>
    <cfRule type="expression" dxfId="8877" priority="9117">
      <formula>$B3540="Subetapa"</formula>
    </cfRule>
  </conditionalFormatting>
  <conditionalFormatting sqref="D3644:F3644 D3648:F3648 D3645:D3647 F3645:F3647 D3651:F3651 D3649:D3650 F3649:F3650 D3652:D3653 F3652:F3653 B3644:B3661 D3654:F3654 D3655 C3658:F3658 C3644:C3655">
    <cfRule type="expression" dxfId="8876" priority="13805">
      <formula>$B3644="Subetapa"</formula>
    </cfRule>
  </conditionalFormatting>
  <conditionalFormatting sqref="D3674:F3674 D3675:D3678 F3675:F3678 C3674:C3678">
    <cfRule type="expression" dxfId="8875" priority="9007">
      <formula>$B3674="Subetapa"</formula>
    </cfRule>
    <cfRule type="expression" dxfId="8874" priority="9008">
      <formula>$B3674="Serviço"</formula>
    </cfRule>
  </conditionalFormatting>
  <conditionalFormatting sqref="D3684:F3684 D3685:D3688 F3685:F3688 C3684:C3688">
    <cfRule type="expression" dxfId="8873" priority="8995">
      <formula>$B3684="Subetapa"</formula>
    </cfRule>
    <cfRule type="expression" dxfId="8872" priority="8996">
      <formula>$B3684="Serviço"</formula>
    </cfRule>
  </conditionalFormatting>
  <conditionalFormatting sqref="D3704:F3704 D3705:D3708 F3705:F3708 C3704:C3708">
    <cfRule type="expression" dxfId="8871" priority="8983">
      <formula>$B3704="Subetapa"</formula>
    </cfRule>
    <cfRule type="expression" dxfId="8870" priority="8984">
      <formula>$B3704="Serviço"</formula>
    </cfRule>
  </conditionalFormatting>
  <conditionalFormatting sqref="D3722:F3722 D3723 F3723 C3722:C3723">
    <cfRule type="expression" dxfId="8869" priority="8960">
      <formula>$B3722="Serviço"</formula>
    </cfRule>
  </conditionalFormatting>
  <conditionalFormatting sqref="D3722:F3722 D3723:D3724 F3723:F3724 C3722:C3724">
    <cfRule type="expression" dxfId="8868" priority="8959">
      <formula>$B3722="Subetapa"</formula>
    </cfRule>
  </conditionalFormatting>
  <conditionalFormatting sqref="F3724 C3724:D3724">
    <cfRule type="expression" dxfId="8867" priority="8967">
      <formula>$B3724="Serviço"</formula>
    </cfRule>
  </conditionalFormatting>
  <conditionalFormatting sqref="D3808:F3808 D3811:F3811 D3809:D3810 F3809:F3810 D3812:D3815 F3812:F3815 C3808:C3815">
    <cfRule type="expression" dxfId="8866" priority="8648">
      <formula>$B3808="Subetapa"</formula>
    </cfRule>
  </conditionalFormatting>
  <conditionalFormatting sqref="D3821:F3821 D3826:F3826 D3822:D3825 F3822:F3825 D3830:F3830 D3827:D3829 F3827:F3829 D3835:F3835 D3831:D3834 F3831:F3834 D3838:F3838 D3836:D3837 F3836:F3837 D3842:F3842 D3839:D3841 F3839:F3841 D3843:D3845 F3843:F3845 C3821:C3845">
    <cfRule type="expression" dxfId="8865" priority="11382">
      <formula>$B3821="Subetapa"</formula>
    </cfRule>
  </conditionalFormatting>
  <conditionalFormatting sqref="C3861:F3861 C3862:C3885">
    <cfRule type="expression" dxfId="8864" priority="12266">
      <formula>$B3861="Subetapa"</formula>
    </cfRule>
  </conditionalFormatting>
  <conditionalFormatting sqref="D3864:F3864">
    <cfRule type="expression" dxfId="8863" priority="12236">
      <formula>$B3864="Subetapa"</formula>
    </cfRule>
  </conditionalFormatting>
  <conditionalFormatting sqref="F3981 C3980:F3980">
    <cfRule type="expression" dxfId="8862" priority="8314">
      <formula>$B3980="Serviço"</formula>
    </cfRule>
  </conditionalFormatting>
  <conditionalFormatting sqref="C3999:F3999">
    <cfRule type="expression" dxfId="8861" priority="8263">
      <formula>$B3999="Subetapa"</formula>
    </cfRule>
  </conditionalFormatting>
  <conditionalFormatting sqref="C4002:F4002">
    <cfRule type="expression" dxfId="8860" priority="8280">
      <formula>$B4002="Subetapa"</formula>
    </cfRule>
    <cfRule type="expression" dxfId="8859" priority="8300">
      <formula>$B4002="Serviço"</formula>
    </cfRule>
  </conditionalFormatting>
  <conditionalFormatting sqref="D4004:F4004 D4005:D4006 C4004:C4006">
    <cfRule type="expression" dxfId="8858" priority="8194">
      <formula>$B4004="Serviço"</formula>
    </cfRule>
  </conditionalFormatting>
  <conditionalFormatting sqref="C4004:F4004">
    <cfRule type="expression" dxfId="8857" priority="8196">
      <formula>$B4004="Subetapa"</formula>
    </cfRule>
  </conditionalFormatting>
  <conditionalFormatting sqref="D4007:F4007 D4008:D4009 C4007:C4009">
    <cfRule type="expression" dxfId="8856" priority="8201">
      <formula>$B4007="Serviço"</formula>
    </cfRule>
  </conditionalFormatting>
  <conditionalFormatting sqref="C4007:F4007">
    <cfRule type="expression" dxfId="8855" priority="8203">
      <formula>$B4007="Subetapa"</formula>
    </cfRule>
  </conditionalFormatting>
  <conditionalFormatting sqref="D4010:F4010 D4011:D4012 C4010:C4012">
    <cfRule type="expression" dxfId="8854" priority="8208">
      <formula>$B4010="Serviço"</formula>
    </cfRule>
  </conditionalFormatting>
  <conditionalFormatting sqref="C4010:F4010">
    <cfRule type="expression" dxfId="8853" priority="8210">
      <formula>$B4010="Subetapa"</formula>
    </cfRule>
  </conditionalFormatting>
  <conditionalFormatting sqref="D4013:F4013 D4014:D4015 C4013:C4015">
    <cfRule type="expression" dxfId="8852" priority="8215">
      <formula>$B4013="Serviço"</formula>
    </cfRule>
  </conditionalFormatting>
  <conditionalFormatting sqref="C4013:F4013">
    <cfRule type="expression" dxfId="8851" priority="8217">
      <formula>$B4013="Subetapa"</formula>
    </cfRule>
  </conditionalFormatting>
  <conditionalFormatting sqref="D4016:F4016 D4017:D4018 C4016:C4018">
    <cfRule type="expression" dxfId="8850" priority="8222">
      <formula>$B4016="Serviço"</formula>
    </cfRule>
  </conditionalFormatting>
  <conditionalFormatting sqref="C4016:F4016">
    <cfRule type="expression" dxfId="8849" priority="8224">
      <formula>$B4016="Subetapa"</formula>
    </cfRule>
  </conditionalFormatting>
  <conditionalFormatting sqref="D4019:F4019 D4020:D4021 C4019:C4021">
    <cfRule type="expression" dxfId="8848" priority="8229">
      <formula>$B4019="Serviço"</formula>
    </cfRule>
  </conditionalFormatting>
  <conditionalFormatting sqref="C4019:F4019">
    <cfRule type="expression" dxfId="8847" priority="8231">
      <formula>$B4019="Subetapa"</formula>
    </cfRule>
  </conditionalFormatting>
  <conditionalFormatting sqref="D4041:F4041 D4042:D4043 C4041:C4043">
    <cfRule type="expression" dxfId="8846" priority="7852">
      <formula>$B4041="Serviço"</formula>
    </cfRule>
  </conditionalFormatting>
  <conditionalFormatting sqref="C4041:F4041">
    <cfRule type="expression" dxfId="8845" priority="7854">
      <formula>$B4041="Subetapa"</formula>
    </cfRule>
  </conditionalFormatting>
  <conditionalFormatting sqref="D4051:F4051 D4054:F4054 D4052:D4053 F4052:F4053 C4051:C4054">
    <cfRule type="expression" dxfId="8844" priority="7869">
      <formula>$B4051="Subetapa"</formula>
    </cfRule>
  </conditionalFormatting>
  <conditionalFormatting sqref="D4058:F4058 D4060:F4060 D4059 F4059 D4064:F4064 D4061 F4061 D4066:F4066 D4065 F4065 D4067 F4067 D4062:F4062 F4063 D4063 C4058:C4067">
    <cfRule type="expression" dxfId="8843" priority="11802">
      <formula>$B4058="Subetapa"</formula>
    </cfRule>
  </conditionalFormatting>
  <conditionalFormatting sqref="E4090:F4090 D4125:F4125 D4089 F4089 E4094:F4094 F4091:F4093 F4095:F4097 D4127:F4127 D4126 F4126 D4129:F4129 D4128 F4128 D4130 F4130 C4088:F4088 C4125:C4130 C4089:C4094">
    <cfRule type="expression" dxfId="8842" priority="13965">
      <formula>$B4088="Subetapa"</formula>
    </cfRule>
  </conditionalFormatting>
  <conditionalFormatting sqref="D4098:F4098 D4100:F4100 D4099 F4099 D4102:F4102 D4101 F4101 D4103 F4103 C4098:C4103">
    <cfRule type="expression" dxfId="8841" priority="7822">
      <formula>$B4098="Subetapa"</formula>
    </cfRule>
  </conditionalFormatting>
  <conditionalFormatting sqref="D4105:D4106 F4105:F4106">
    <cfRule type="expression" dxfId="8840" priority="7828">
      <formula>$B4105="Subetapa"</formula>
    </cfRule>
  </conditionalFormatting>
  <conditionalFormatting sqref="D4108:D4109 F4108:F4109">
    <cfRule type="expression" dxfId="8839" priority="7831">
      <formula>$B4108="Subetapa"</formula>
    </cfRule>
  </conditionalFormatting>
  <conditionalFormatting sqref="D4122:F4122 D4123:D4124 F4123:F4124 C4122:C4124">
    <cfRule type="expression" dxfId="8838" priority="7812">
      <formula>$B4122="Serviço"</formula>
    </cfRule>
    <cfRule type="expression" dxfId="8837" priority="7813">
      <formula>$B4122="Subetapa"</formula>
    </cfRule>
  </conditionalFormatting>
  <conditionalFormatting sqref="D4131:F4131 D4132 F4132 C4131:C4132">
    <cfRule type="expression" dxfId="8836" priority="12337">
      <formula>$B4131="Subetapa"</formula>
    </cfRule>
  </conditionalFormatting>
  <conditionalFormatting sqref="E4160:F4160 F4161">
    <cfRule type="expression" dxfId="8835" priority="7788">
      <formula>$B4160="Serviço"</formula>
    </cfRule>
    <cfRule type="expression" dxfId="8834" priority="7789">
      <formula>$B4160="Subetapa"</formula>
    </cfRule>
  </conditionalFormatting>
  <conditionalFormatting sqref="D4245:F4245 D4247:F4247 D4246 F4246 D4248 F4248 C4245:C4248">
    <cfRule type="expression" dxfId="8833" priority="7759">
      <formula>$B4245="Serviço"</formula>
    </cfRule>
    <cfRule type="expression" dxfId="8832" priority="7760">
      <formula>$B4245="Subetapa"</formula>
    </cfRule>
  </conditionalFormatting>
  <conditionalFormatting sqref="B4291:B4295 F4291 C4291:D4291">
    <cfRule type="expression" dxfId="8831" priority="12002">
      <formula>$B4291="Subetapa"</formula>
    </cfRule>
  </conditionalFormatting>
  <conditionalFormatting sqref="D4298:F4298 D4297 F4297 D4300:F4300 D4299 F4299 D4304:F4304 D4301 F4301 D4308:F4308 D4305:D4307 F4305:F4307 D4311:F4311 D4309:D4310 F4309:F4310 F4312:F4314 D4315:F4315 D4312:D4314 D4316:D4321 F4316:F4321 C4297:C4301 C4304:C4321">
    <cfRule type="expression" dxfId="8830" priority="12075">
      <formula>$B4297="Subetapa"</formula>
    </cfRule>
  </conditionalFormatting>
  <conditionalFormatting sqref="D4358:F4358 D4367:D4370 D4361:F4361 D4359:D4360 F4359:F4360 D4366:F4366 D4362:D4365 F4362:F4365 C4358:C4370">
    <cfRule type="expression" dxfId="8829" priority="12064">
      <formula>$B4358="Subetapa"</formula>
    </cfRule>
  </conditionalFormatting>
  <conditionalFormatting sqref="C4458:F4458">
    <cfRule type="expression" dxfId="8828" priority="14035">
      <formula>$B4458="Subetapa"</formula>
    </cfRule>
  </conditionalFormatting>
  <conditionalFormatting sqref="D4483:F4483 D4482 F4482 D4486:F4486 D4484:D4485 F4484:F4485 D4487:D4488 F4487:F4488 C4482:C4488">
    <cfRule type="expression" dxfId="8827" priority="14036">
      <formula>$B4482="Subetapa"</formula>
    </cfRule>
  </conditionalFormatting>
  <conditionalFormatting sqref="D4498:F4498 D4508:F4508 D4513:F4513 D4518:F4518 D4503:F4503 D4499:D4502 F4499:F4502 D4504:D4506 F4504:F4507 D4509:D4511 F4509:F4512 D4514:D4516 F4514:F4517 D4523:F4523 D4519:D4522 F4519:F4522 D4528:F4528 D4524:D4527 F4524:F4527 D4533:F4533 D4529:D4532 F4529:F4532 D4538:F4538 D4534:D4537 F4534:F4537 D4539:D4542 F4539:F4542 C4508:C4511 C4513:C4516 C4518:C4542 D4495:F4495">
    <cfRule type="expression" dxfId="8826" priority="7722">
      <formula>$B4495="Serviço"</formula>
    </cfRule>
  </conditionalFormatting>
  <conditionalFormatting sqref="D4498:F4498 D4508:F4508 D4513:F4513 D4503:F4503 D4499:D4502 F4499:F4502 D4504:D4506 F4504:F4507 D4509:D4511 F4509:F4512 D4514:D4516 F4514:F4517 C4508:C4511 C4513:C4516 D4495:F4495">
    <cfRule type="expression" dxfId="8825" priority="7716">
      <formula>$B4495="Subetapa"</formula>
    </cfRule>
  </conditionalFormatting>
  <conditionalFormatting sqref="D4573:F4574 D4576:F4576 D4575 F4575 D4578:F4578 D4577 F4577 D4580:F4580 D4579 F4579 C4573:C4580">
    <cfRule type="expression" dxfId="8824" priority="12092">
      <formula>$B4573="Subetapa"</formula>
    </cfRule>
  </conditionalFormatting>
  <conditionalFormatting sqref="D4701:F4701 D4705:F4705 F4702 D4707:F4707 D4706 F4706 D4709:F4709 D4708 F4708 D4711:F4711 D4710 F4710 D4713:F4713 D4712 F4712 D4703:F4703 F4704 D4702:D4704 C4701:C4713">
    <cfRule type="expression" dxfId="8823" priority="11338">
      <formula>$B4701="Subetapa"</formula>
    </cfRule>
  </conditionalFormatting>
  <conditionalFormatting sqref="D4717:F4717 D4714 F4714 D4718 F4718 D4719:F4719 F4720 D4720 D4715:F4715 D4716 F4716 C4723:F4723 C4714:C4720">
    <cfRule type="expression" dxfId="8822" priority="14101">
      <formula>$B4714="Subetapa"</formula>
    </cfRule>
  </conditionalFormatting>
  <conditionalFormatting sqref="C4721:F4721">
    <cfRule type="expression" dxfId="8821" priority="11352">
      <formula>$B4721="Subetapa"</formula>
    </cfRule>
  </conditionalFormatting>
  <conditionalFormatting sqref="F4724 C4724:D4724">
    <cfRule type="expression" dxfId="8820" priority="13837">
      <formula>$B4724="Subetapa"</formula>
    </cfRule>
  </conditionalFormatting>
  <conditionalFormatting sqref="D4759:F4759 D4768:F4768 D4760:D4767 F4760:F4767 D4781:F4781 D4769:D4780 F4769:F4780 D4791:F4791 D4782:D4790 F4782:F4790 D4792:D4800 F4792:F4800 C4811:D4832 C4759:C4800">
    <cfRule type="expression" dxfId="8819" priority="13910">
      <formula>$B4759="Subetapa"</formula>
    </cfRule>
  </conditionalFormatting>
  <conditionalFormatting sqref="D4801:F4801 D4802:D4810 F4802 C4801:C4810">
    <cfRule type="expression" dxfId="8818" priority="7616">
      <formula>$B4801="Serviço"</formula>
    </cfRule>
    <cfRule type="expression" dxfId="8817" priority="7617">
      <formula>$B4801="Subetapa"</formula>
    </cfRule>
  </conditionalFormatting>
  <conditionalFormatting sqref="C4839:F4839">
    <cfRule type="expression" dxfId="8816" priority="14045">
      <formula>$B4839="Subetapa"</formula>
    </cfRule>
  </conditionalFormatting>
  <conditionalFormatting sqref="D4864:F4874">
    <cfRule type="expression" dxfId="8815" priority="14049">
      <formula>$B4864="Subetapa"</formula>
    </cfRule>
  </conditionalFormatting>
  <conditionalFormatting sqref="C4875:F4875">
    <cfRule type="expression" dxfId="8814" priority="14587">
      <formula>$B4875="Subetapa"</formula>
    </cfRule>
  </conditionalFormatting>
  <conditionalFormatting sqref="D4876:D4877 F4876:F4877">
    <cfRule type="expression" dxfId="8813" priority="14582">
      <formula>$B4876="Subetapa"</formula>
    </cfRule>
  </conditionalFormatting>
  <conditionalFormatting sqref="D3191:F3191 D4923:F4923 D263:F263 F3194 F3582:F3584 F3659:F3661 D3175:F3175 D3629:F3629 D265:F265 D264 F264 F3145:F3146 D3176 F3176 D3193:F3193 D3192 F3192 D3632:F3632 D3630:D3631 F3630:F3631 D3636:F3636 D3633:D3635 F3633:F3635 D3637:D3639 F3637:F3639 D4928:F4928 D4924:D4927 F4924:F4927 C4880:F4880 C4725:F4725 C3968:F3968 C3251:F3251 C3255:F3255 C3581:F3581 C3583:D3584 C3660:D3661 C2754:F2754 C3209:F3209 C3957:F3957 C3239:F3239 C2756:F2756 B263:C265 C3145:D3146 C3175:C3176 C3191:C3193 B3629:C3639 C4923:C4928 B269:F269 B267:F267 B320:B322 B304:B314">
    <cfRule type="expression" dxfId="8812" priority="14387">
      <formula>$B263="Subetapa"</formula>
    </cfRule>
  </conditionalFormatting>
  <conditionalFormatting sqref="D4918:F4918 D4919:D4922 F4919:F4922 C4918:C4922">
    <cfRule type="expression" dxfId="8811" priority="7604">
      <formula>$B4918="Serviço"</formula>
    </cfRule>
    <cfRule type="expression" dxfId="8810" priority="7605">
      <formula>$B4918="Subetapa"</formula>
    </cfRule>
  </conditionalFormatting>
  <conditionalFormatting sqref="D4976:F4976 D4980:F4980 D4977:D4979 F4977:F4979 D4981:D4983 F4981:F4983 C4976:C4983">
    <cfRule type="expression" dxfId="8809" priority="7841">
      <formula>$B4976="Serviço"</formula>
    </cfRule>
    <cfRule type="expression" dxfId="8808" priority="7842">
      <formula>$B4976="Subetapa"</formula>
    </cfRule>
  </conditionalFormatting>
  <conditionalFormatting sqref="D1187:D1197 F1187:F1197 C1186:C1197 D1186:H1186 G2526:H2526 G2612:H2612 G2962:H2962 G3215:H3215 G3229:H3229 G3235:H3235 G3251:H3251 G3311:H3311 G3551:H3551 G3689:H3689 G4211:H4211 G4249:H4249 G4268:H4268 G2617:H2617 G2622:H2622 G2627:H2627 G2632:H2632 G3223:H3223 G3225:H3225 G3239:H3239 G3255:H3255 G3260:H3260 G3285:H3285 G3316:H3316 G3320:H3320 G3340:H3340 G3345:H3345 G3694:H3694 G4214:H4214 G4251:H4251 G4253:H4253 G4255:H4255 G4257:H4257 G4259:H4259 G4262:H4262 G4270:H4270">
    <cfRule type="expression" dxfId="8807" priority="6292">
      <formula>$B1186="Subetapa"</formula>
    </cfRule>
  </conditionalFormatting>
  <conditionalFormatting sqref="D1387:D1396 F1387:F1396 C1386:C1396 D1386:H1386 G1541:H1541 C1535:H1535">
    <cfRule type="expression" dxfId="8806" priority="7058">
      <formula>$B1386="Subetapa"</formula>
    </cfRule>
  </conditionalFormatting>
  <conditionalFormatting sqref="C2768:H2768">
    <cfRule type="expression" dxfId="8805" priority="6991">
      <formula>$B2768="Subetapa"</formula>
    </cfRule>
  </conditionalFormatting>
  <conditionalFormatting sqref="C2876:H2876">
    <cfRule type="expression" dxfId="8804" priority="6990">
      <formula>$B2876="Subetapa"</formula>
    </cfRule>
  </conditionalFormatting>
  <conditionalFormatting sqref="D4599:D4602 F4599:F4602 D4604 F4604 D4606:D4609 F4606:F4609 C4598:C4609 D4598:H4598 D4603:H4603 D4605:H4605">
    <cfRule type="expression" dxfId="8803" priority="5981">
      <formula>$B4598="Subetapa"</formula>
    </cfRule>
  </conditionalFormatting>
  <conditionalFormatting sqref="E3846 F3848 C3848:D3848">
    <cfRule type="expression" dxfId="8802" priority="12113">
      <formula>$B3846="Subetapa"</formula>
    </cfRule>
  </conditionalFormatting>
  <conditionalFormatting sqref="D3980:D3981">
    <cfRule type="expression" dxfId="8801" priority="8316">
      <formula>$B3980="Subetapa"</formula>
    </cfRule>
  </conditionalFormatting>
  <conditionalFormatting sqref="E4750 E4759">
    <cfRule type="containsText" dxfId="8800" priority="14128" operator="containsText" text="INSERIR">
      <formula>NOT(ISERROR(SEARCH(("INSERIR"),(E4750))))</formula>
    </cfRule>
  </conditionalFormatting>
  <conditionalFormatting sqref="E4863">
    <cfRule type="containsText" dxfId="8799" priority="14129" operator="containsText" text="INSERIR">
      <formula>NOT(ISERROR(SEARCH(("INSERIR"),(E4863))))</formula>
    </cfRule>
  </conditionalFormatting>
  <conditionalFormatting sqref="E4942:E4975 E2783:F2783 D2390:F2390 D2391:D2394 D2395:F2395 D2396:D2399 D2614:D2616 D2617:F2617 D2618:D2621 E378:F383 E504:F509 E654:F657 D2170:F2173 D2174 E2174:F2175 D3065:F3089 D3099:F3099 F4811:F4830 E4811:E4831 E4832:F4834 F4835:F4836 E4835:E4838 E4878:F4879 E4881:F4917 F4966 F4968:F4970 D4984:F4984 E4997:F5010 F4726:F4750 E4726 B3065:B3088 D3849:F3849 F2786:F2787 D3090:D3092 F3090:F3092 D3103:F3106 D3100:D3102 F3100:F3102 D3850 F3850 F3944 E4734 E4742 D4988:F4988 D4985:D4987 F4985:F4987 D4990:F4996 D4989 F4989 B3093:B3096 D3093:F3096 C2390:C2399 C2526:F2526 C2612:F2612 C2614:C2621 C345:F348 C378:D382 C504:D508 C654:D656 C982:D988 C2170:C2174 C3108:F3112 C3938:F3938 C4894:D4894 C3944:D3944 C3099:C3106 C3849:C3850 C4750:E4750 C4984:C4996 C3065:C3096 E2785:F2785 E2784">
    <cfRule type="expression" dxfId="8798" priority="14056">
      <formula>$B345="Subetapa"</formula>
    </cfRule>
  </conditionalFormatting>
  <conditionalFormatting sqref="E287:F287 F288">
    <cfRule type="expression" dxfId="8797" priority="9745">
      <formula>$B287="Subetapa"</formula>
    </cfRule>
  </conditionalFormatting>
  <conditionalFormatting sqref="E289:F289">
    <cfRule type="expression" dxfId="8796" priority="9747">
      <formula>$B289="Subetapa"</formula>
    </cfRule>
  </conditionalFormatting>
  <conditionalFormatting sqref="E291:F291">
    <cfRule type="expression" dxfId="8795" priority="9749">
      <formula>$B291="Subetapa"</formula>
    </cfRule>
  </conditionalFormatting>
  <conditionalFormatting sqref="E293:F293">
    <cfRule type="expression" dxfId="8794" priority="9751">
      <formula>$B293="Subetapa"</formula>
    </cfRule>
  </conditionalFormatting>
  <conditionalFormatting sqref="E295:F295">
    <cfRule type="expression" dxfId="8793" priority="9761">
      <formula>$B295="Subetapa"</formula>
    </cfRule>
  </conditionalFormatting>
  <conditionalFormatting sqref="F662:F664 B664">
    <cfRule type="expression" dxfId="8792" priority="9682">
      <formula>$B662="Serviço"</formula>
    </cfRule>
  </conditionalFormatting>
  <conditionalFormatting sqref="E867:F867 D870:F870 D897:F897 E900:F900 D1017:F1017 D1686:F1686 F1815:F1823 D2140:F2140 D2710:F2710 D3365:F3365 D3366:D3369 D3370:F3370 D3371:D3374 D3380:F3380 D3381:D3384 D3385:F3385 D3386:D3389 D3390:F3390 D3391:D3394 D3395:F3395 D3396:D3399 D3400:F3400 D3401:D3404 D3405:F3405 D3406:D3409 D3411:D3414 D3415:F3415 D3416:D3419 D3420:F3420 D3421:D3424 D3450:F3450 D4133:F4133 D3470:F3470 F868:F869 D873:F873 D871:D872 F871:F872 D876:F876 D874:D875 F874:F875 D877:D878 F877:F878 D898:D901 F898:F899 F901:F902 F1018 D1687:D1697 F1687:F1697 F1753 F1765 F1777 F1800 D2142:F2142 D2141 F2141 D2143 F2143 D2715:F2715 D2711:D2714 F2711:F2714 D3451:D3454 F3451:F3454 D3475:F3475 D3471:D3474 F3471:F3474 D3480:F3480 D3476:D3479 F3476:F3479 D3481:D3484 F3481:F3484 D4134 F4134 B872 B875 B878 B899 B905:B906 B1003:B1009 B1014 B1652:B1661 B1664:B1672 B1826:B1835 B1838:B1841 B4304:B4307 B2108:B2111 B1018 D1018 C1003:D1010 C1014:F1015 C1662:D1672 C1722:D1722 C1733:D1733 C1753:D1753 C1756:D1756 C1765:D1765 C1768:D1768 C1777:D1777 C1800:D1800 C1803:D1803 C1825:D1835 C2337:F2337 C3365:C3374 C3380:C3409 C3411:C3424 C1837:D1841 C2006:D2006 C1906:D1906 C870:C878 C897:C901 C1686:C1697 C2140:C2143 C2710:C2715 C3450:C3454 C3470:C3484 C4133:C4134 B2691:F2691 C1017:C1018 B4022:F4022 B4322:F4322 B4278:F4278 B3714:F3714 B3310:F3310 B1823:D1823 B994:F994 B990:F990 G4304:H4304">
    <cfRule type="expression" dxfId="8791" priority="13559">
      <formula>$B867="Subetapa"</formula>
    </cfRule>
  </conditionalFormatting>
  <conditionalFormatting sqref="E957:F957 E960:F960 F958:F959 F961:F962">
    <cfRule type="expression" dxfId="8790" priority="14140">
      <formula>$B957="Subetapa"</formula>
    </cfRule>
  </conditionalFormatting>
  <conditionalFormatting sqref="E964:F964 E967:F967 F965:F966 F968:F969">
    <cfRule type="expression" dxfId="8789" priority="11906">
      <formula>$B964="Subetapa"</formula>
    </cfRule>
  </conditionalFormatting>
  <conditionalFormatting sqref="E971:F971 F975:F976 F972:F973">
    <cfRule type="expression" dxfId="8788" priority="14142">
      <formula>$B971="Subetapa"</formula>
    </cfRule>
  </conditionalFormatting>
  <conditionalFormatting sqref="E974:F974">
    <cfRule type="expression" dxfId="8787" priority="14397">
      <formula>$B974="Subetapa"</formula>
    </cfRule>
  </conditionalFormatting>
  <conditionalFormatting sqref="F1346:F1347">
    <cfRule type="expression" dxfId="8786" priority="9476">
      <formula>$B1346="Subetapa"</formula>
    </cfRule>
  </conditionalFormatting>
  <conditionalFormatting sqref="F1837:F1842">
    <cfRule type="expression" dxfId="8785" priority="13280">
      <formula>$B1837="Subetapa"</formula>
    </cfRule>
  </conditionalFormatting>
  <conditionalFormatting sqref="F1868:F1869">
    <cfRule type="expression" dxfId="8784" priority="11715">
      <formula>$B1868="Subetapa"</formula>
    </cfRule>
  </conditionalFormatting>
  <conditionalFormatting sqref="F1881:F1891">
    <cfRule type="expression" dxfId="8783" priority="11717">
      <formula>$B1881="Subetapa"</formula>
    </cfRule>
  </conditionalFormatting>
  <conditionalFormatting sqref="F1893:F1894 F1896:F1904">
    <cfRule type="expression" dxfId="8782" priority="11711">
      <formula>$B1893="Subetapa"</formula>
    </cfRule>
  </conditionalFormatting>
  <conditionalFormatting sqref="F1918">
    <cfRule type="expression" dxfId="8781" priority="11699">
      <formula>$B1918="Subetapa"</formula>
    </cfRule>
  </conditionalFormatting>
  <conditionalFormatting sqref="F1930:F1931">
    <cfRule type="expression" dxfId="8780" priority="11693">
      <formula>$B1930="Subetapa"</formula>
    </cfRule>
  </conditionalFormatting>
  <conditionalFormatting sqref="F1943:F1944">
    <cfRule type="expression" dxfId="8779" priority="11689">
      <formula>$B1943="Subetapa"</formula>
    </cfRule>
  </conditionalFormatting>
  <conditionalFormatting sqref="F1956:F1957">
    <cfRule type="expression" dxfId="8778" priority="11685">
      <formula>$B1956="Subetapa"</formula>
    </cfRule>
  </conditionalFormatting>
  <conditionalFormatting sqref="F1969:F1970">
    <cfRule type="expression" dxfId="8777" priority="11681">
      <formula>$B1969="Subetapa"</formula>
    </cfRule>
  </conditionalFormatting>
  <conditionalFormatting sqref="F1982">
    <cfRule type="expression" dxfId="8776" priority="11677">
      <formula>$B1982="Subetapa"</formula>
    </cfRule>
  </conditionalFormatting>
  <conditionalFormatting sqref="F1983">
    <cfRule type="expression" dxfId="8775" priority="13124">
      <formula>$B1983="Subetapa"</formula>
    </cfRule>
  </conditionalFormatting>
  <conditionalFormatting sqref="F1994">
    <cfRule type="expression" dxfId="8774" priority="11671">
      <formula>$B1994="Subetapa"</formula>
    </cfRule>
  </conditionalFormatting>
  <conditionalFormatting sqref="F1995">
    <cfRule type="expression" dxfId="8773" priority="13106">
      <formula>$B1995="Subetapa"</formula>
    </cfRule>
  </conditionalFormatting>
  <conditionalFormatting sqref="F2008:F2016">
    <cfRule type="expression" dxfId="8772" priority="11707">
      <formula>$B2008="Subetapa"</formula>
    </cfRule>
  </conditionalFormatting>
  <conditionalFormatting sqref="F2030:F2040">
    <cfRule type="expression" dxfId="8771" priority="13072">
      <formula>$B2030="Subetapa"</formula>
    </cfRule>
  </conditionalFormatting>
  <conditionalFormatting sqref="F2106">
    <cfRule type="expression" dxfId="8770" priority="11637">
      <formula>$B2106="Subetapa"</formula>
    </cfRule>
  </conditionalFormatting>
  <conditionalFormatting sqref="F2107">
    <cfRule type="expression" dxfId="8769" priority="12952">
      <formula>$B2107="Subetapa"</formula>
    </cfRule>
  </conditionalFormatting>
  <conditionalFormatting sqref="F2113">
    <cfRule type="expression" dxfId="8768" priority="11631">
      <formula>$B2113="Subetapa"</formula>
    </cfRule>
  </conditionalFormatting>
  <conditionalFormatting sqref="F2114">
    <cfRule type="expression" dxfId="8767" priority="12932">
      <formula>$B2114="Subetapa"</formula>
    </cfRule>
  </conditionalFormatting>
  <conditionalFormatting sqref="F2120">
    <cfRule type="expression" dxfId="8766" priority="11625">
      <formula>$B2120="Subetapa"</formula>
    </cfRule>
  </conditionalFormatting>
  <conditionalFormatting sqref="F2121">
    <cfRule type="expression" dxfId="8765" priority="12912">
      <formula>$B2121="Subetapa"</formula>
    </cfRule>
  </conditionalFormatting>
  <conditionalFormatting sqref="F2127">
    <cfRule type="expression" dxfId="8764" priority="11619">
      <formula>$B2127="Subetapa"</formula>
    </cfRule>
  </conditionalFormatting>
  <conditionalFormatting sqref="F2128">
    <cfRule type="expression" dxfId="8763" priority="12892">
      <formula>$B2128="Subetapa"</formula>
    </cfRule>
  </conditionalFormatting>
  <conditionalFormatting sqref="F2134">
    <cfRule type="expression" dxfId="8762" priority="11613">
      <formula>$B2134="Subetapa"</formula>
    </cfRule>
  </conditionalFormatting>
  <conditionalFormatting sqref="F2135">
    <cfRule type="expression" dxfId="8761" priority="12872">
      <formula>$B2135="Subetapa"</formula>
    </cfRule>
  </conditionalFormatting>
  <conditionalFormatting sqref="E2333:F2333 E2335:F2335 F2334 F2336">
    <cfRule type="expression" dxfId="8760" priority="12843">
      <formula>$B2333="Subetapa"</formula>
    </cfRule>
  </conditionalFormatting>
  <conditionalFormatting sqref="E2356:F2356">
    <cfRule type="expression" dxfId="8759" priority="12827">
      <formula>$B2356="Subetapa"</formula>
    </cfRule>
  </conditionalFormatting>
  <conditionalFormatting sqref="F2757:F2759">
    <cfRule type="expression" dxfId="8758" priority="10028">
      <formula>$B2757="Subetapa"</formula>
    </cfRule>
  </conditionalFormatting>
  <conditionalFormatting sqref="F2761:F2764">
    <cfRule type="expression" dxfId="8757" priority="10039">
      <formula>$B2761="Subetapa"</formula>
    </cfRule>
  </conditionalFormatting>
  <conditionalFormatting sqref="F2769">
    <cfRule type="expression" dxfId="8756" priority="10050">
      <formula>$B2769="Subetapa"</formula>
    </cfRule>
  </conditionalFormatting>
  <conditionalFormatting sqref="E2770:F2770">
    <cfRule type="expression" dxfId="8755" priority="10077">
      <formula>$B2770="Subetapa"</formula>
    </cfRule>
  </conditionalFormatting>
  <conditionalFormatting sqref="F2771">
    <cfRule type="expression" dxfId="8754" priority="10061">
      <formula>$B2771="Subetapa"</formula>
    </cfRule>
  </conditionalFormatting>
  <conditionalFormatting sqref="E2772:F2772">
    <cfRule type="expression" dxfId="8753" priority="11558">
      <formula>$B2772="Subetapa"</formula>
    </cfRule>
  </conditionalFormatting>
  <conditionalFormatting sqref="F3863">
    <cfRule type="expression" dxfId="8752" priority="12247">
      <formula>$B3863="Subetapa"</formula>
    </cfRule>
  </conditionalFormatting>
  <conditionalFormatting sqref="E3883:F3883">
    <cfRule type="expression" dxfId="8751" priority="12222">
      <formula>$B3883="Subetapa"</formula>
    </cfRule>
  </conditionalFormatting>
  <conditionalFormatting sqref="E3894:F3894">
    <cfRule type="expression" dxfId="8750" priority="12209">
      <formula>$B3894="Subetapa"</formula>
    </cfRule>
  </conditionalFormatting>
  <conditionalFormatting sqref="E3905:F3905">
    <cfRule type="expression" dxfId="8749" priority="12196">
      <formula>$B3905="Subetapa"</formula>
    </cfRule>
  </conditionalFormatting>
  <conditionalFormatting sqref="E3916:F3916">
    <cfRule type="expression" dxfId="8748" priority="12183">
      <formula>$B3916="Subetapa"</formula>
    </cfRule>
  </conditionalFormatting>
  <conditionalFormatting sqref="E3927:F3927">
    <cfRule type="expression" dxfId="8747" priority="12170">
      <formula>$B3927="Subetapa"</formula>
    </cfRule>
  </conditionalFormatting>
  <conditionalFormatting sqref="E4107:F4107">
    <cfRule type="expression" dxfId="8746" priority="7836">
      <formula>$B4107="Subetapa"</formula>
    </cfRule>
  </conditionalFormatting>
  <conditionalFormatting sqref="E4292:F4292 E4294:F4294 F4293 F4295">
    <cfRule type="expression" dxfId="8745" priority="12086">
      <formula>$B4292="Subetapa"</formula>
    </cfRule>
  </conditionalFormatting>
  <conditionalFormatting sqref="E4296:F4296">
    <cfRule type="expression" dxfId="8744" priority="12079">
      <formula>$B4296="Subetapa"</formula>
    </cfRule>
  </conditionalFormatting>
  <conditionalFormatting sqref="F4803:F4810">
    <cfRule type="expression" dxfId="8743" priority="7610">
      <formula>$B4803="Serviço"</formula>
    </cfRule>
    <cfRule type="expression" dxfId="8742" priority="7611">
      <formula>$B4803="Subetapa"</formula>
    </cfRule>
  </conditionalFormatting>
  <conditionalFormatting sqref="E4932:F4932 F4929:F4931 E4936:F4936 F4933:F4935 F4937:F4938">
    <cfRule type="expression" dxfId="8741" priority="14135">
      <formula>$B4929="Subetapa"</formula>
    </cfRule>
  </conditionalFormatting>
  <conditionalFormatting sqref="F1844:F1854">
    <cfRule type="expression" dxfId="8740" priority="6140">
      <formula>$B1844="Subetapa"</formula>
    </cfRule>
  </conditionalFormatting>
  <conditionalFormatting sqref="F1856:F1866">
    <cfRule type="expression" dxfId="8739" priority="6136">
      <formula>$B1856="Subetapa"</formula>
    </cfRule>
  </conditionalFormatting>
  <conditionalFormatting sqref="F1908:F1916">
    <cfRule type="expression" dxfId="8738" priority="6122">
      <formula>$B1908="Subetapa"</formula>
    </cfRule>
  </conditionalFormatting>
  <conditionalFormatting sqref="F1920:F1928">
    <cfRule type="expression" dxfId="8737" priority="6118">
      <formula>$B1920="Subetapa"</formula>
    </cfRule>
  </conditionalFormatting>
  <conditionalFormatting sqref="F1984:F1992">
    <cfRule type="expression" dxfId="8736" priority="6106">
      <formula>$B1984="Subetapa"</formula>
    </cfRule>
  </conditionalFormatting>
  <conditionalFormatting sqref="F1996:F2004">
    <cfRule type="expression" dxfId="8735" priority="6102">
      <formula>$B1996="Subetapa"</formula>
    </cfRule>
  </conditionalFormatting>
  <conditionalFormatting sqref="F2018:F2028">
    <cfRule type="expression" dxfId="8734" priority="6098">
      <formula>$B2018="Subetapa"</formula>
    </cfRule>
  </conditionalFormatting>
  <conditionalFormatting sqref="F2042:F2052">
    <cfRule type="expression" dxfId="8733" priority="6091">
      <formula>$B2042="Subetapa"</formula>
    </cfRule>
  </conditionalFormatting>
  <conditionalFormatting sqref="F2054:F2065">
    <cfRule type="expression" dxfId="8732" priority="6085">
      <formula>$B2054="Subetapa"</formula>
    </cfRule>
  </conditionalFormatting>
  <conditionalFormatting sqref="F2067:F2078">
    <cfRule type="expression" dxfId="8731" priority="6081">
      <formula>$B2067="Subetapa"</formula>
    </cfRule>
  </conditionalFormatting>
  <conditionalFormatting sqref="F2080:F2091">
    <cfRule type="expression" dxfId="8730" priority="6077">
      <formula>$B2080="Subetapa"</formula>
    </cfRule>
  </conditionalFormatting>
  <conditionalFormatting sqref="F2093:F2104">
    <cfRule type="expression" dxfId="8729" priority="6073">
      <formula>$B2093="Subetapa"</formula>
    </cfRule>
  </conditionalFormatting>
  <conditionalFormatting sqref="F2115:F2118">
    <cfRule type="expression" dxfId="8728" priority="6068">
      <formula>$B2115="Subetapa"</formula>
    </cfRule>
  </conditionalFormatting>
  <conditionalFormatting sqref="F2122:F2125">
    <cfRule type="expression" dxfId="8727" priority="6064">
      <formula>$B2122="Subetapa"</formula>
    </cfRule>
  </conditionalFormatting>
  <conditionalFormatting sqref="F2129:F2132">
    <cfRule type="expression" dxfId="8726" priority="6060">
      <formula>$B2129="Subetapa"</formula>
    </cfRule>
  </conditionalFormatting>
  <conditionalFormatting sqref="F2136:F2139">
    <cfRule type="expression" dxfId="8725" priority="6056">
      <formula>$B2136="Subetapa"</formula>
    </cfRule>
  </conditionalFormatting>
  <conditionalFormatting sqref="F815:F821">
    <cfRule type="expression" dxfId="8724" priority="9645">
      <formula>$B815="Serviço"</formula>
    </cfRule>
    <cfRule type="expression" dxfId="8723" priority="9646">
      <formula>$B815="Subetapa"</formula>
    </cfRule>
  </conditionalFormatting>
  <conditionalFormatting sqref="F816:F823">
    <cfRule type="expression" dxfId="8722" priority="9639">
      <formula>$B816="Serviço"</formula>
    </cfRule>
    <cfRule type="expression" dxfId="8721" priority="9640">
      <formula>$B816="Subetapa"</formula>
    </cfRule>
  </conditionalFormatting>
  <conditionalFormatting sqref="F1177:F1183">
    <cfRule type="expression" dxfId="8720" priority="9579">
      <formula>$B1177="Subetapa"</formula>
    </cfRule>
  </conditionalFormatting>
  <conditionalFormatting sqref="F1184:F1185">
    <cfRule type="expression" dxfId="8719" priority="9577">
      <formula>$B1184="Subetapa"</formula>
    </cfRule>
  </conditionalFormatting>
  <conditionalFormatting sqref="F1200:F1206">
    <cfRule type="expression" dxfId="8718" priority="9538">
      <formula>$B1200="Subetapa"</formula>
    </cfRule>
  </conditionalFormatting>
  <conditionalFormatting sqref="F1207:F1208">
    <cfRule type="expression" dxfId="8717" priority="9536">
      <formula>$B1207="Subetapa"</formula>
    </cfRule>
  </conditionalFormatting>
  <conditionalFormatting sqref="F1218:F1219">
    <cfRule type="expression" dxfId="8716" priority="9539">
      <formula>$B1218="Subetapa"</formula>
    </cfRule>
  </conditionalFormatting>
  <conditionalFormatting sqref="F1256:F1263">
    <cfRule type="expression" dxfId="8715" priority="9501">
      <formula>$B1256="Subetapa"</formula>
    </cfRule>
  </conditionalFormatting>
  <conditionalFormatting sqref="F1264:F1265">
    <cfRule type="expression" dxfId="8714" priority="9499">
      <formula>$B1264="Subetapa"</formula>
    </cfRule>
  </conditionalFormatting>
  <conditionalFormatting sqref="F1302:F1308">
    <cfRule type="expression" dxfId="8713" priority="9486">
      <formula>$B1302="Subetapa"</formula>
    </cfRule>
  </conditionalFormatting>
  <conditionalFormatting sqref="F1302:F1310">
    <cfRule type="expression" dxfId="8712" priority="9485">
      <formula>$B1302="Serviço"</formula>
    </cfRule>
  </conditionalFormatting>
  <conditionalFormatting sqref="F1309:F1310">
    <cfRule type="expression" dxfId="8711" priority="9484">
      <formula>$B1309="Subetapa"</formula>
    </cfRule>
  </conditionalFormatting>
  <conditionalFormatting sqref="F1312:F1319">
    <cfRule type="expression" dxfId="8710" priority="9483">
      <formula>$B1312="Subetapa"</formula>
    </cfRule>
  </conditionalFormatting>
  <conditionalFormatting sqref="F1320:F1321">
    <cfRule type="expression" dxfId="8709" priority="9481">
      <formula>$B1320="Subetapa"</formula>
    </cfRule>
  </conditionalFormatting>
  <conditionalFormatting sqref="F1358:F1359">
    <cfRule type="expression" dxfId="8708" priority="9534">
      <formula>$B1358="Serviço"</formula>
    </cfRule>
  </conditionalFormatting>
  <conditionalFormatting sqref="F1358:F1360">
    <cfRule type="expression" dxfId="8707" priority="9535">
      <formula>$B1358="Subetapa"</formula>
    </cfRule>
  </conditionalFormatting>
  <conditionalFormatting sqref="F1360">
    <cfRule type="expression" dxfId="8706" priority="9544">
      <formula>$B1360="Serviço"</formula>
    </cfRule>
  </conditionalFormatting>
  <conditionalFormatting sqref="F1361">
    <cfRule type="expression" dxfId="8705" priority="9532">
      <formula>$B1361="Subetapa"</formula>
    </cfRule>
    <cfRule type="expression" dxfId="8704" priority="9533">
      <formula>$B1361="Serviço"</formula>
    </cfRule>
  </conditionalFormatting>
  <conditionalFormatting sqref="F1364:F1365">
    <cfRule type="expression" dxfId="8703" priority="9529">
      <formula>$B1364="Serviço"</formula>
    </cfRule>
  </conditionalFormatting>
  <conditionalFormatting sqref="F1364:F1366">
    <cfRule type="expression" dxfId="8702" priority="9530">
      <formula>$B1364="Subetapa"</formula>
    </cfRule>
  </conditionalFormatting>
  <conditionalFormatting sqref="F1366">
    <cfRule type="expression" dxfId="8701" priority="9531">
      <formula>$B1366="Serviço"</formula>
    </cfRule>
  </conditionalFormatting>
  <conditionalFormatting sqref="F1367">
    <cfRule type="expression" dxfId="8700" priority="9527">
      <formula>$B1367="Subetapa"</formula>
    </cfRule>
    <cfRule type="expression" dxfId="8699" priority="9528">
      <formula>$B1367="Serviço"</formula>
    </cfRule>
  </conditionalFormatting>
  <conditionalFormatting sqref="F1369:F1371">
    <cfRule type="expression" dxfId="8698" priority="9524">
      <formula>$B1369="Serviço"</formula>
    </cfRule>
  </conditionalFormatting>
  <conditionalFormatting sqref="F1369:F1372">
    <cfRule type="expression" dxfId="8697" priority="9525">
      <formula>$B1369="Subetapa"</formula>
    </cfRule>
  </conditionalFormatting>
  <conditionalFormatting sqref="F1372">
    <cfRule type="expression" dxfId="8696" priority="9526">
      <formula>$B1372="Serviço"</formula>
    </cfRule>
  </conditionalFormatting>
  <conditionalFormatting sqref="F1373">
    <cfRule type="expression" dxfId="8695" priority="9522">
      <formula>$B1373="Subetapa"</formula>
    </cfRule>
    <cfRule type="expression" dxfId="8694" priority="9523">
      <formula>$B1373="Serviço"</formula>
    </cfRule>
  </conditionalFormatting>
  <conditionalFormatting sqref="F1376:F1382">
    <cfRule type="expression" dxfId="8693" priority="9511">
      <formula>$B1376="Subetapa"</formula>
    </cfRule>
  </conditionalFormatting>
  <conditionalFormatting sqref="F1383:F1384">
    <cfRule type="expression" dxfId="8692" priority="9509">
      <formula>$B1383="Subetapa"</formula>
    </cfRule>
  </conditionalFormatting>
  <conditionalFormatting sqref="F2225">
    <cfRule type="expression" dxfId="8691" priority="9984">
      <formula>$B2225="Serviço"</formula>
    </cfRule>
    <cfRule type="expression" dxfId="8690" priority="9985">
      <formula>$B2225="Subetapa"</formula>
    </cfRule>
  </conditionalFormatting>
  <conditionalFormatting sqref="F2227">
    <cfRule type="expression" dxfId="8689" priority="9990">
      <formula>$B2227="Serviço"</formula>
    </cfRule>
    <cfRule type="expression" dxfId="8688" priority="9991">
      <formula>$B2227="Subetapa"</formula>
    </cfRule>
  </conditionalFormatting>
  <conditionalFormatting sqref="F2229">
    <cfRule type="expression" dxfId="8687" priority="9994">
      <formula>$B2229="Serviço"</formula>
    </cfRule>
    <cfRule type="expression" dxfId="8686" priority="9995">
      <formula>$B2229="Subetapa"</formula>
    </cfRule>
  </conditionalFormatting>
  <conditionalFormatting sqref="F2231">
    <cfRule type="expression" dxfId="8685" priority="9978">
      <formula>$B2231="Serviço"</formula>
    </cfRule>
    <cfRule type="expression" dxfId="8684" priority="9979">
      <formula>$B2231="Subetapa"</formula>
    </cfRule>
  </conditionalFormatting>
  <conditionalFormatting sqref="F2235">
    <cfRule type="expression" dxfId="8683" priority="9986">
      <formula>$B2235="Serviço"</formula>
    </cfRule>
    <cfRule type="expression" dxfId="8682" priority="9987">
      <formula>$B2235="Subetapa"</formula>
    </cfRule>
  </conditionalFormatting>
  <conditionalFormatting sqref="F2332">
    <cfRule type="expression" dxfId="8681" priority="14532">
      <formula>$B2332="Subetapa"</formula>
    </cfRule>
  </conditionalFormatting>
  <conditionalFormatting sqref="F2375:F2378 F2608:F2611 F3190 F3291:F3294 F3296:F3299 F3557:F3560 F3301:F3304 F3306:F3309 F3244:F3246">
    <cfRule type="expression" dxfId="8680" priority="9424">
      <formula>$A2375="Serviço"</formula>
    </cfRule>
    <cfRule type="expression" dxfId="8679" priority="9425">
      <formula>$A2375="Subetapa"</formula>
    </cfRule>
  </conditionalFormatting>
  <conditionalFormatting sqref="F2471:F2474">
    <cfRule type="expression" dxfId="8678" priority="9369">
      <formula>$A2471="Serviço"</formula>
    </cfRule>
    <cfRule type="expression" dxfId="8677" priority="9370">
      <formula>$A2471="Subetapa"</formula>
    </cfRule>
  </conditionalFormatting>
  <conditionalFormatting sqref="F2476:F2479">
    <cfRule type="expression" dxfId="8676" priority="9337">
      <formula>$A2476="Serviço"</formula>
    </cfRule>
    <cfRule type="expression" dxfId="8675" priority="9338">
      <formula>$A2476="Subetapa"</formula>
    </cfRule>
  </conditionalFormatting>
  <conditionalFormatting sqref="F2481:F2484">
    <cfRule type="expression" dxfId="8674" priority="9340">
      <formula>$A2481="Serviço"</formula>
    </cfRule>
    <cfRule type="expression" dxfId="8673" priority="9341">
      <formula>$A2481="Subetapa"</formula>
    </cfRule>
  </conditionalFormatting>
  <conditionalFormatting sqref="F2486:F2489">
    <cfRule type="expression" dxfId="8672" priority="9364">
      <formula>$A2486="Serviço"</formula>
    </cfRule>
    <cfRule type="expression" dxfId="8671" priority="9365">
      <formula>$A2486="Subetapa"</formula>
    </cfRule>
  </conditionalFormatting>
  <conditionalFormatting sqref="F2491:F2494">
    <cfRule type="expression" dxfId="8670" priority="9351">
      <formula>$A2491="Serviço"</formula>
    </cfRule>
    <cfRule type="expression" dxfId="8669" priority="9352">
      <formula>$A2491="Subetapa"</formula>
    </cfRule>
  </conditionalFormatting>
  <conditionalFormatting sqref="F2496:F2499">
    <cfRule type="expression" dxfId="8668" priority="9354">
      <formula>$A2496="Serviço"</formula>
    </cfRule>
    <cfRule type="expression" dxfId="8667" priority="9355">
      <formula>$A2496="Subetapa"</formula>
    </cfRule>
  </conditionalFormatting>
  <conditionalFormatting sqref="F2501:F2504">
    <cfRule type="expression" dxfId="8666" priority="9342">
      <formula>$A2501="Serviço"</formula>
    </cfRule>
    <cfRule type="expression" dxfId="8665" priority="9343">
      <formula>$A2501="Subetapa"</formula>
    </cfRule>
  </conditionalFormatting>
  <conditionalFormatting sqref="F2506:F2509">
    <cfRule type="expression" dxfId="8664" priority="9345">
      <formula>$A2506="Serviço"</formula>
    </cfRule>
    <cfRule type="expression" dxfId="8663" priority="9346">
      <formula>$A2506="Subetapa"</formula>
    </cfRule>
  </conditionalFormatting>
  <conditionalFormatting sqref="F2511:F2514">
    <cfRule type="expression" dxfId="8662" priority="9357">
      <formula>$A2511="Serviço"</formula>
    </cfRule>
    <cfRule type="expression" dxfId="8661" priority="9358">
      <formula>$A2511="Subetapa"</formula>
    </cfRule>
  </conditionalFormatting>
  <conditionalFormatting sqref="F2516:F2519">
    <cfRule type="expression" dxfId="8660" priority="9360">
      <formula>$A2516="Serviço"</formula>
    </cfRule>
    <cfRule type="expression" dxfId="8659" priority="9361">
      <formula>$A2516="Subetapa"</formula>
    </cfRule>
  </conditionalFormatting>
  <conditionalFormatting sqref="F2521:F2524">
    <cfRule type="expression" dxfId="8658" priority="9349">
      <formula>$A2521="Serviço"</formula>
    </cfRule>
    <cfRule type="expression" dxfId="8657" priority="9350">
      <formula>$A2521="Subetapa"</formula>
    </cfRule>
  </conditionalFormatting>
  <conditionalFormatting sqref="F2815:F2816">
    <cfRule type="expression" dxfId="8656" priority="9284">
      <formula>$B2815="Subetapa"</formula>
    </cfRule>
  </conditionalFormatting>
  <conditionalFormatting sqref="F3486:F3489">
    <cfRule type="expression" dxfId="8655" priority="9121">
      <formula>$A3486="Serviço"</formula>
    </cfRule>
    <cfRule type="expression" dxfId="8654" priority="9122">
      <formula>$A3486="Subetapa"</formula>
    </cfRule>
  </conditionalFormatting>
  <conditionalFormatting sqref="F3491:F3494">
    <cfRule type="expression" dxfId="8653" priority="9118">
      <formula>$A3491="Serviço"</formula>
    </cfRule>
    <cfRule type="expression" dxfId="8652" priority="9119">
      <formula>$A3491="Subetapa"</formula>
    </cfRule>
  </conditionalFormatting>
  <conditionalFormatting sqref="F3496:F3499">
    <cfRule type="expression" dxfId="8651" priority="9111">
      <formula>$A3496="Serviço"</formula>
    </cfRule>
    <cfRule type="expression" dxfId="8650" priority="9112">
      <formula>$A3496="Subetapa"</formula>
    </cfRule>
  </conditionalFormatting>
  <conditionalFormatting sqref="F3506:F3509">
    <cfRule type="expression" dxfId="8649" priority="9185">
      <formula>$A3506="Serviço"</formula>
    </cfRule>
    <cfRule type="expression" dxfId="8648" priority="9186">
      <formula>$A3506="Subetapa"</formula>
    </cfRule>
  </conditionalFormatting>
  <conditionalFormatting sqref="F3516:F3519">
    <cfRule type="expression" dxfId="8647" priority="9078">
      <formula>$A3516="Serviço"</formula>
    </cfRule>
    <cfRule type="expression" dxfId="8646" priority="9079">
      <formula>$A3516="Subetapa"</formula>
    </cfRule>
  </conditionalFormatting>
  <conditionalFormatting sqref="F3521:F3524">
    <cfRule type="expression" dxfId="8645" priority="9096">
      <formula>$A3521="Serviço"</formula>
    </cfRule>
    <cfRule type="expression" dxfId="8644" priority="9097">
      <formula>$A3521="Subetapa"</formula>
    </cfRule>
  </conditionalFormatting>
  <conditionalFormatting sqref="F3526:F3529">
    <cfRule type="expression" dxfId="8643" priority="9100">
      <formula>$A3526="Serviço"</formula>
    </cfRule>
    <cfRule type="expression" dxfId="8642" priority="9101">
      <formula>$A3526="Subetapa"</formula>
    </cfRule>
  </conditionalFormatting>
  <conditionalFormatting sqref="F3531:F3534">
    <cfRule type="expression" dxfId="8641" priority="9088">
      <formula>$A3531="Serviço"</formula>
    </cfRule>
    <cfRule type="expression" dxfId="8640" priority="9089">
      <formula>$A3531="Subetapa"</formula>
    </cfRule>
  </conditionalFormatting>
  <conditionalFormatting sqref="F3536:F3539">
    <cfRule type="expression" dxfId="8639" priority="9092">
      <formula>$A3536="Serviço"</formula>
    </cfRule>
    <cfRule type="expression" dxfId="8638" priority="9093">
      <formula>$A3536="Subetapa"</formula>
    </cfRule>
  </conditionalFormatting>
  <conditionalFormatting sqref="F3541:F3544">
    <cfRule type="expression" dxfId="8637" priority="9114">
      <formula>$A3541="Serviço"</formula>
    </cfRule>
    <cfRule type="expression" dxfId="8636" priority="9115">
      <formula>$A3541="Subetapa"</formula>
    </cfRule>
  </conditionalFormatting>
  <conditionalFormatting sqref="F3846">
    <cfRule type="expression" dxfId="8635" priority="12114">
      <formula>$B3846="Subetapa"</formula>
    </cfRule>
  </conditionalFormatting>
  <conditionalFormatting sqref="F3939:F3943">
    <cfRule type="expression" dxfId="8634" priority="14236">
      <formula>$B3939="Subetapa"</formula>
    </cfRule>
  </conditionalFormatting>
  <conditionalFormatting sqref="F3980:F3981">
    <cfRule type="expression" dxfId="8633" priority="8306">
      <formula>$B3980="Subetapa"</formula>
    </cfRule>
  </conditionalFormatting>
  <conditionalFormatting sqref="F3997">
    <cfRule type="expression" dxfId="8632" priority="8234">
      <formula>$A3997="Serviço"</formula>
    </cfRule>
    <cfRule type="expression" dxfId="8631" priority="8235">
      <formula>$A3997="Subetapa"</formula>
    </cfRule>
  </conditionalFormatting>
  <conditionalFormatting sqref="F3997:F3998">
    <cfRule type="expression" dxfId="8630" priority="8236">
      <formula>$A3997="Serviço"</formula>
    </cfRule>
    <cfRule type="expression" dxfId="8629" priority="8237">
      <formula>$A3997="Subetapa"</formula>
    </cfRule>
  </conditionalFormatting>
  <conditionalFormatting sqref="F3998">
    <cfRule type="expression" dxfId="8628" priority="8244">
      <formula>$A3998="Serviço"</formula>
    </cfRule>
    <cfRule type="expression" dxfId="8627" priority="8245">
      <formula>$A3998="Subetapa"</formula>
    </cfRule>
  </conditionalFormatting>
  <conditionalFormatting sqref="F4000">
    <cfRule type="expression" dxfId="8626" priority="8248">
      <formula>$A4000="Serviço"</formula>
    </cfRule>
    <cfRule type="expression" dxfId="8625" priority="8249">
      <formula>$A4000="Subetapa"</formula>
    </cfRule>
  </conditionalFormatting>
  <conditionalFormatting sqref="F4000:F4001">
    <cfRule type="expression" dxfId="8624" priority="8250">
      <formula>$A4000="Serviço"</formula>
    </cfRule>
    <cfRule type="expression" dxfId="8623" priority="8251">
      <formula>$A4000="Subetapa"</formula>
    </cfRule>
  </conditionalFormatting>
  <conditionalFormatting sqref="F4001">
    <cfRule type="expression" dxfId="8622" priority="8258">
      <formula>$A4001="Serviço"</formula>
    </cfRule>
    <cfRule type="expression" dxfId="8621" priority="8259">
      <formula>$A4001="Subetapa"</formula>
    </cfRule>
  </conditionalFormatting>
  <conditionalFormatting sqref="F4003">
    <cfRule type="expression" dxfId="8620" priority="8278">
      <formula>$A4003="Serviço"</formula>
    </cfRule>
    <cfRule type="expression" dxfId="8619" priority="8279">
      <formula>$A4003="Subetapa"</formula>
    </cfRule>
    <cfRule type="expression" dxfId="8618" priority="8297">
      <formula>$A4003="Serviço"</formula>
    </cfRule>
    <cfRule type="expression" dxfId="8617" priority="8298">
      <formula>$A4003="Subetapa"</formula>
    </cfRule>
  </conditionalFormatting>
  <conditionalFormatting sqref="F4005:F4006">
    <cfRule type="expression" dxfId="8616" priority="8192">
      <formula>$A4005="Serviço"</formula>
    </cfRule>
    <cfRule type="expression" dxfId="8615" priority="8193">
      <formula>$A4005="Subetapa"</formula>
    </cfRule>
  </conditionalFormatting>
  <conditionalFormatting sqref="F4006">
    <cfRule type="expression" dxfId="8614" priority="8190">
      <formula>$A4006="Serviço"</formula>
    </cfRule>
    <cfRule type="expression" dxfId="8613" priority="8191">
      <formula>$A4006="Subetapa"</formula>
    </cfRule>
  </conditionalFormatting>
  <conditionalFormatting sqref="F4008:F4009">
    <cfRule type="expression" dxfId="8612" priority="8199">
      <formula>$A4008="Serviço"</formula>
    </cfRule>
    <cfRule type="expression" dxfId="8611" priority="8200">
      <formula>$A4008="Subetapa"</formula>
    </cfRule>
  </conditionalFormatting>
  <conditionalFormatting sqref="F4009">
    <cfRule type="expression" dxfId="8610" priority="8197">
      <formula>$A4009="Serviço"</formula>
    </cfRule>
    <cfRule type="expression" dxfId="8609" priority="8198">
      <formula>$A4009="Subetapa"</formula>
    </cfRule>
  </conditionalFormatting>
  <conditionalFormatting sqref="F4011:F4012">
    <cfRule type="expression" dxfId="8608" priority="8206">
      <formula>$A4011="Serviço"</formula>
    </cfRule>
    <cfRule type="expression" dxfId="8607" priority="8207">
      <formula>$A4011="Subetapa"</formula>
    </cfRule>
  </conditionalFormatting>
  <conditionalFormatting sqref="F4012">
    <cfRule type="expression" dxfId="8606" priority="8204">
      <formula>$A4012="Serviço"</formula>
    </cfRule>
    <cfRule type="expression" dxfId="8605" priority="8205">
      <formula>$A4012="Subetapa"</formula>
    </cfRule>
  </conditionalFormatting>
  <conditionalFormatting sqref="F4014:F4015">
    <cfRule type="expression" dxfId="8604" priority="8213">
      <formula>$A4014="Serviço"</formula>
    </cfRule>
    <cfRule type="expression" dxfId="8603" priority="8214">
      <formula>$A4014="Subetapa"</formula>
    </cfRule>
  </conditionalFormatting>
  <conditionalFormatting sqref="F4015">
    <cfRule type="expression" dxfId="8602" priority="8211">
      <formula>$A4015="Serviço"</formula>
    </cfRule>
    <cfRule type="expression" dxfId="8601" priority="8212">
      <formula>$A4015="Subetapa"</formula>
    </cfRule>
  </conditionalFormatting>
  <conditionalFormatting sqref="F4017:F4018">
    <cfRule type="expression" dxfId="8600" priority="8220">
      <formula>$A4017="Serviço"</formula>
    </cfRule>
    <cfRule type="expression" dxfId="8599" priority="8221">
      <formula>$A4017="Subetapa"</formula>
    </cfRule>
  </conditionalFormatting>
  <conditionalFormatting sqref="F4018">
    <cfRule type="expression" dxfId="8598" priority="8218">
      <formula>$A4018="Serviço"</formula>
    </cfRule>
    <cfRule type="expression" dxfId="8597" priority="8219">
      <formula>$A4018="Subetapa"</formula>
    </cfRule>
  </conditionalFormatting>
  <conditionalFormatting sqref="F4020:F4021">
    <cfRule type="expression" dxfId="8596" priority="8227">
      <formula>$A4020="Serviço"</formula>
    </cfRule>
    <cfRule type="expression" dxfId="8595" priority="8228">
      <formula>$A4020="Subetapa"</formula>
    </cfRule>
  </conditionalFormatting>
  <conditionalFormatting sqref="F4021">
    <cfRule type="expression" dxfId="8594" priority="8225">
      <formula>$A4021="Serviço"</formula>
    </cfRule>
    <cfRule type="expression" dxfId="8593" priority="8226">
      <formula>$A4021="Subetapa"</formula>
    </cfRule>
  </conditionalFormatting>
  <conditionalFormatting sqref="F4042:F4043">
    <cfRule type="expression" dxfId="8592" priority="7850">
      <formula>$A4042="Serviço"</formula>
    </cfRule>
    <cfRule type="expression" dxfId="8591" priority="7851">
      <formula>$A4042="Subetapa"</formula>
    </cfRule>
  </conditionalFormatting>
  <conditionalFormatting sqref="F4043">
    <cfRule type="expression" dxfId="8590" priority="7848">
      <formula>$A4043="Serviço"</formula>
    </cfRule>
    <cfRule type="expression" dxfId="8589" priority="7849">
      <formula>$A4043="Subetapa"</formula>
    </cfRule>
  </conditionalFormatting>
  <conditionalFormatting sqref="F4055">
    <cfRule type="expression" dxfId="8588" priority="7855">
      <formula>$A4055="Serviço"</formula>
    </cfRule>
    <cfRule type="expression" dxfId="8587" priority="7856">
      <formula>$A4055="Subetapa"</formula>
    </cfRule>
  </conditionalFormatting>
  <conditionalFormatting sqref="F4055:F4056">
    <cfRule type="expression" dxfId="8586" priority="7857">
      <formula>$A4055="Serviço"</formula>
    </cfRule>
    <cfRule type="expression" dxfId="8585" priority="7858">
      <formula>$A4055="Subetapa"</formula>
    </cfRule>
  </conditionalFormatting>
  <conditionalFormatting sqref="F4056">
    <cfRule type="expression" dxfId="8584" priority="7865">
      <formula>$A4056="Serviço"</formula>
    </cfRule>
    <cfRule type="expression" dxfId="8583" priority="7866">
      <formula>$A4056="Subetapa"</formula>
    </cfRule>
  </conditionalFormatting>
  <conditionalFormatting sqref="F4801">
    <cfRule type="expression" dxfId="8582" priority="7614" stopIfTrue="1">
      <formula>$B4801="complemento do insumo"</formula>
    </cfRule>
    <cfRule type="expression" dxfId="8581" priority="7615" stopIfTrue="1">
      <formula>$B4801="insumo"</formula>
    </cfRule>
  </conditionalFormatting>
  <conditionalFormatting sqref="F4837:F4838">
    <cfRule type="expression" dxfId="8580" priority="13911">
      <formula>$B4837="Subetapa"</formula>
    </cfRule>
  </conditionalFormatting>
  <conditionalFormatting sqref="F4942:F4965">
    <cfRule type="expression" dxfId="8579" priority="14224">
      <formula>$B4942="Subetapa"</formula>
    </cfRule>
  </conditionalFormatting>
  <conditionalFormatting sqref="F2007">
    <cfRule type="expression" dxfId="8578" priority="7043">
      <formula>$B2007="Subetapa"</formula>
    </cfRule>
  </conditionalFormatting>
  <conditionalFormatting sqref="G3065:H3065 G3069:H3069 G3073:H3073 G3077:H3077 G3081:H3081 G3085:H3085">
    <cfRule type="expression" dxfId="8577" priority="6267">
      <formula>$B3065="Subetapa"</formula>
    </cfRule>
  </conditionalFormatting>
  <conditionalFormatting sqref="G271:H271 G273:H273">
    <cfRule type="expression" dxfId="8576" priority="5886">
      <formula>$B271="Serviço"</formula>
    </cfRule>
    <cfRule type="expression" dxfId="8575" priority="5887">
      <formula>$B271="Subetapa"</formula>
    </cfRule>
  </conditionalFormatting>
  <conditionalFormatting sqref="G287:H287 G289:H289 G291:H291 G293:H293 G295:H295">
    <cfRule type="expression" dxfId="8574" priority="5890">
      <formula>$B287="Serviço"</formula>
    </cfRule>
    <cfRule type="expression" dxfId="8573" priority="5891">
      <formula>$B287="Subetapa"</formula>
    </cfRule>
  </conditionalFormatting>
  <conditionalFormatting sqref="G297:H297">
    <cfRule type="expression" dxfId="8572" priority="5884">
      <formula>$B297="Serviço"</formula>
    </cfRule>
    <cfRule type="expression" dxfId="8571" priority="5885">
      <formula>$B297="Subetapa"</formula>
    </cfRule>
  </conditionalFormatting>
  <conditionalFormatting sqref="F2938:F2940 F2942:F2944 F2946:F2948 D2954:D2956 F2950:F2952 F2954:F2956 C2937:C2956 G304:H304 G263:H263 D2937:H2937 D2941:H2941 D2945:H2945 D2953:H2953 G265:H265 G267:H267 G269:H269 G306:H306 G308:H308 G310:H310 G320:H320 D2949:H2949 D2950:D2952 D2946:D2948 D2942:D2944 D2938:D2940">
    <cfRule type="expression" dxfId="8570" priority="6278">
      <formula>$B263="Subetapa"</formula>
    </cfRule>
  </conditionalFormatting>
  <conditionalFormatting sqref="G461:H461">
    <cfRule type="expression" dxfId="8569" priority="5882">
      <formula>$B461="Serviço"</formula>
    </cfRule>
    <cfRule type="expression" dxfId="8568" priority="5883">
      <formula>$B461="Subetapa"</formula>
    </cfRule>
  </conditionalFormatting>
  <conditionalFormatting sqref="G473:H473">
    <cfRule type="expression" dxfId="8567" priority="5880">
      <formula>$B473="Serviço"</formula>
    </cfRule>
    <cfRule type="expression" dxfId="8566" priority="5881">
      <formula>$B473="Subetapa"</formula>
    </cfRule>
  </conditionalFormatting>
  <conditionalFormatting sqref="G500:H500">
    <cfRule type="expression" dxfId="8565" priority="5878">
      <formula>$B500="Serviço"</formula>
    </cfRule>
    <cfRule type="expression" dxfId="8564" priority="5879">
      <formula>$B500="Subetapa"</formula>
    </cfRule>
  </conditionalFormatting>
  <conditionalFormatting sqref="G621:H621 G627:H627 G632:H632 G637:H637">
    <cfRule type="expression" dxfId="8563" priority="5876">
      <formula>$B621="Serviço"</formula>
    </cfRule>
    <cfRule type="expression" dxfId="8562" priority="5877">
      <formula>$B621="Subetapa"</formula>
    </cfRule>
  </conditionalFormatting>
  <conditionalFormatting sqref="G661:H661">
    <cfRule type="expression" dxfId="8561" priority="5874">
      <formula>$B661="Serviço"</formula>
    </cfRule>
  </conditionalFormatting>
  <conditionalFormatting sqref="G661:H661">
    <cfRule type="expression" dxfId="8560" priority="5875">
      <formula>$B661="Subetapa"</formula>
    </cfRule>
  </conditionalFormatting>
  <conditionalFormatting sqref="G738:H738">
    <cfRule type="expression" dxfId="8559" priority="5872">
      <formula>$B738="Serviço"</formula>
    </cfRule>
    <cfRule type="expression" dxfId="8558" priority="5873">
      <formula>$B738="Subetapa"</formula>
    </cfRule>
  </conditionalFormatting>
  <conditionalFormatting sqref="G759:H759">
    <cfRule type="expression" dxfId="8557" priority="5870">
      <formula>$B759="Serviço"</formula>
    </cfRule>
    <cfRule type="expression" dxfId="8556" priority="5871">
      <formula>$B759="Subetapa"</formula>
    </cfRule>
  </conditionalFormatting>
  <conditionalFormatting sqref="G779:H779">
    <cfRule type="expression" dxfId="8555" priority="5892">
      <formula>$B779="Serviço"</formula>
    </cfRule>
    <cfRule type="expression" dxfId="8554" priority="5893">
      <formula>$B779="Subetapa"</formula>
    </cfRule>
  </conditionalFormatting>
  <conditionalFormatting sqref="G801:H801">
    <cfRule type="expression" dxfId="8553" priority="6197">
      <formula>$B801="Subetapa"</formula>
    </cfRule>
  </conditionalFormatting>
  <conditionalFormatting sqref="G814:H814 G824:H824 G826:H826">
    <cfRule type="expression" dxfId="8552" priority="5868">
      <formula>$B814="Serviço"</formula>
    </cfRule>
    <cfRule type="expression" dxfId="8551" priority="5869">
      <formula>$B814="Subetapa"</formula>
    </cfRule>
  </conditionalFormatting>
  <conditionalFormatting sqref="G835:H835 G837:H837">
    <cfRule type="expression" dxfId="8550" priority="5866">
      <formula>$B835="Serviço"</formula>
    </cfRule>
    <cfRule type="expression" dxfId="8549" priority="5867">
      <formula>$B835="Subetapa"</formula>
    </cfRule>
  </conditionalFormatting>
  <conditionalFormatting sqref="G843:H843 G845:H845 G847:H847">
    <cfRule type="expression" dxfId="8548" priority="6226">
      <formula>$B843="Subetapa"</formula>
    </cfRule>
  </conditionalFormatting>
  <conditionalFormatting sqref="G852:H852 G854:H854 G856:H856 G858:H858">
    <cfRule type="expression" dxfId="8547" priority="6199">
      <formula>$B852="Subetapa"</formula>
    </cfRule>
  </conditionalFormatting>
  <conditionalFormatting sqref="G861:H861">
    <cfRule type="expression" dxfId="8546" priority="6196">
      <formula>$B861="Subetapa"</formula>
    </cfRule>
  </conditionalFormatting>
  <conditionalFormatting sqref="G864:H864 G867:H867 G870:H870 G873:H873 G876:H876">
    <cfRule type="expression" dxfId="8545" priority="6279">
      <formula>$B864="Subetapa"</formula>
    </cfRule>
  </conditionalFormatting>
  <conditionalFormatting sqref="G879:H879 G882:H882">
    <cfRule type="expression" dxfId="8544" priority="5862">
      <formula>$B879="Serviço"</formula>
    </cfRule>
    <cfRule type="expression" dxfId="8543" priority="5863">
      <formula>$B879="Subetapa"</formula>
    </cfRule>
  </conditionalFormatting>
  <conditionalFormatting sqref="G894:H894">
    <cfRule type="expression" dxfId="8542" priority="6805">
      <formula>$B894="Serviço"</formula>
    </cfRule>
    <cfRule type="expression" dxfId="8541" priority="6806">
      <formula>$B894="Subetapa"</formula>
    </cfRule>
  </conditionalFormatting>
  <conditionalFormatting sqref="G897:H897 G900:H900 G903:H903 G908:H908 G911:H911 G914:H914">
    <cfRule type="expression" dxfId="8540" priority="5900">
      <formula>$B897="Subetapa"</formula>
    </cfRule>
  </conditionalFormatting>
  <conditionalFormatting sqref="G918:H918 G921:H921 G924:H924 G927:H927">
    <cfRule type="expression" dxfId="8539" priority="5896">
      <formula>$B918="Serviço"</formula>
    </cfRule>
    <cfRule type="expression" dxfId="8538" priority="5897">
      <formula>$B918="Subetapa"</formula>
    </cfRule>
  </conditionalFormatting>
  <conditionalFormatting sqref="G931:H931 G934:H934 G937:H937 G940:H940">
    <cfRule type="expression" dxfId="8537" priority="5898">
      <formula>$B931="Serviço"</formula>
    </cfRule>
    <cfRule type="expression" dxfId="8536" priority="5899">
      <formula>$B931="Subetapa"</formula>
    </cfRule>
  </conditionalFormatting>
  <conditionalFormatting sqref="G944:H944 G947:H947 G950:H950 G953:H953 G957:H957 G960:H960">
    <cfRule type="expression" dxfId="8535" priority="5968">
      <formula>$B944="Subetapa"</formula>
    </cfRule>
  </conditionalFormatting>
  <conditionalFormatting sqref="G964:H964 G967:H967 G971:H971 G974:H974 G977:H977 G981:H981">
    <cfRule type="expression" dxfId="8534" priority="5966">
      <formula>$B964="Subetapa"</formula>
    </cfRule>
  </conditionalFormatting>
  <conditionalFormatting sqref="G1169:H1169 G1171:H1171 G1173:H1173">
    <cfRule type="expression" dxfId="8533" priority="6232">
      <formula>$B1169="Subetapa"</formula>
    </cfRule>
  </conditionalFormatting>
  <conditionalFormatting sqref="G1175:H1175">
    <cfRule type="expression" dxfId="8532" priority="5858">
      <formula>$B1175="Serviço"</formula>
    </cfRule>
    <cfRule type="expression" dxfId="8531" priority="5859">
      <formula>$B1175="Subetapa"</formula>
    </cfRule>
  </conditionalFormatting>
  <conditionalFormatting sqref="G1198:H1198 G2470:H2470 G2607:H2607 G2719:H2719 G3198:H3198 G3189:H3189 G3556:H3556 G3290:H3290 G3227:H3227 G3485:H3485 G3231:H3231 G3243:H3243 G3851:H3851 G3980:H3980 G4098:H4098 G4116:H4116 G4266:H4266 G4217:H4217 G4208:H4208 G4163:H4163 G4139:H4139 G4498 G1209:H1209 G1220:H1220 G1231:H1231 G1242:H1242 G1255:H1255 G1266:H1266 G1277:H1277 G1288:H1288 G2475:H2475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87:H3987 G3991:H3991 G3996:H3996 G3999:H3999 G4002:H4002 G4004:H4004 G4007:H4007 G4010:H4010 G4013:H4013 G4016:H4016 G4019:H4019 G4100:H4100 G4102:H4102 G4104:H4104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30" priority="6810">
      <formula>$B1198="Subetapa"</formula>
    </cfRule>
  </conditionalFormatting>
  <conditionalFormatting sqref="G1198:H1198 G2475:H2475 G2607:H2607 G2719:H2719 G3198:H3198 G3189:H3189 G3556:H3556 G3290:H3290 G3227:H3227 G3485:H3485 G3231:H3231 G3851:H3851 G3996:H3996 G3987:H3987 G3980:H3980 G4098:H4098 G4114:H4114 G4266:H4266 G4217:H4217 G4208:H4208 G4163:H4163 G4139:H4139 G4498 G1209:H1209 G1220:H1220 G1231:H1231 G1242:H1242 G1255:H1255 G1266:H1266 G1277:H1277 G1288:H1288 G1300:H1300 G1311:H1311 G1322:H1322 G1333:H1333 G1344:H1344 G2480:H2480 G2485:H2485 G2490:H2490 G2495:H2495 G2500:H2500 G2505:H2505 G2510:H2510 G2515:H2515 G2520:H2520 G2722:H2722 G2725:H2725 G2728:H2728 G3295:H3295 G3300:H3300 G3305:H3305 G3490:H3490 G3495:H3495 G3505:H3505 G3510:H3510 G3515:H3515 G3520:H3520 G3525:H3525 G3530:H3530 G3535:H3535 G3540:H3540 G3545:H3545 G3854:H3854 G3982:H3982 G3999:H3999 G4002:H4002 G4004:H4004 G4007:H4007 G4010:H4010 G4013:H4013 G4016:H4016 G4019:H4019 G4100:H4100 G4102:H4102 G4104:H4104 G4107:H4107 G4116:H4116 G4118:H4118 G4120:H4120 G4141:H4141 G4143:H4143 G4145:H4145 G4147:H4147 G4149:H4149 G4220:H4220 G4223:H4223 G4226:H4226 G4229:H4229 G4232:H4232 G4503 G4508:H4508 G4513:H4513 G4518:H4518 G4523:H4523 G4528:H4528 G4533:H4533 G4538:H4538 G4543:H4543 G4545:H4545 G4547:H4547 G4549:H4549 G4551:H4551 G4553:H4553 G4555:H4555 G4560:H4560 G4565:H4565 G4570:H4570">
    <cfRule type="expression" dxfId="8529" priority="6809">
      <formula>$B1198="Serviço"</formula>
    </cfRule>
  </conditionalFormatting>
  <conditionalFormatting sqref="G1300:H1300">
    <cfRule type="expression" dxfId="8528" priority="6798">
      <formula>$B1300="Subetapa"</formula>
    </cfRule>
  </conditionalFormatting>
  <conditionalFormatting sqref="G1356:H1356 G1362:H1362 G1368:H1368">
    <cfRule type="expression" dxfId="8527" priority="5854">
      <formula>$B1356="Subetapa"</formula>
    </cfRule>
  </conditionalFormatting>
  <conditionalFormatting sqref="G1311:H1311">
    <cfRule type="expression" dxfId="8526" priority="6799">
      <formula>$B1311="Subetapa"</formula>
    </cfRule>
  </conditionalFormatting>
  <conditionalFormatting sqref="G1322:H1322">
    <cfRule type="expression" dxfId="8525" priority="6800">
      <formula>$B1322="Subetapa"</formula>
    </cfRule>
  </conditionalFormatting>
  <conditionalFormatting sqref="G1333:H1333">
    <cfRule type="expression" dxfId="8524" priority="6801">
      <formula>$B1333="Subetapa"</formula>
    </cfRule>
  </conditionalFormatting>
  <conditionalFormatting sqref="G1344:H1344">
    <cfRule type="expression" dxfId="8523" priority="6797">
      <formula>$B1344="Subetapa"</formula>
    </cfRule>
  </conditionalFormatting>
  <conditionalFormatting sqref="G1356:H1356 G1362:H1362 G1368:H1368 G1374:H1374">
    <cfRule type="expression" dxfId="8522" priority="5894">
      <formula>$B1356="Serviço"</formula>
    </cfRule>
  </conditionalFormatting>
  <conditionalFormatting sqref="G1374:H1374">
    <cfRule type="expression" dxfId="8521" priority="5895">
      <formula>$B1374="Subetapa"</formula>
    </cfRule>
  </conditionalFormatting>
  <conditionalFormatting sqref="G1548:H1548">
    <cfRule type="expression" dxfId="8520" priority="7057">
      <formula>$B1548="Subetapa"</formula>
    </cfRule>
  </conditionalFormatting>
  <conditionalFormatting sqref="G1559:H1559 G1570:H1570 G1581:H1581 G1592:H1592 G1603:H1603 G1614:H1614 G1626:H1626">
    <cfRule type="expression" dxfId="8519" priority="6154">
      <formula>$B1559="Subetapa"</formula>
    </cfRule>
  </conditionalFormatting>
  <conditionalFormatting sqref="G1638:H1638">
    <cfRule type="expression" dxfId="8518" priority="6151">
      <formula>$B1638="Subetapa"</formula>
    </cfRule>
  </conditionalFormatting>
  <conditionalFormatting sqref="G1650:H1650 G1662:H1662 G1674:H1674 G1686:H1686 G1698:H1698 G1709:H1709 G1720:H1720 G1731:H1731 G1742:H1742 G1754:H1754 G1766:H1766 G1778:H1778 G1789:H1789 G1801:H1801 G1812:H1812 G1824:H1824 G1836:H1836">
    <cfRule type="expression" dxfId="8517" priority="6144">
      <formula>$B1650="Subetapa"</formula>
    </cfRule>
  </conditionalFormatting>
  <conditionalFormatting sqref="G1880:H1880">
    <cfRule type="expression" dxfId="8516" priority="6130">
      <formula>$B1880="Subetapa"</formula>
    </cfRule>
  </conditionalFormatting>
  <conditionalFormatting sqref="F1871:F1879">
    <cfRule type="expression" dxfId="8515" priority="7051">
      <formula>$B1871="Subetapa"</formula>
    </cfRule>
  </conditionalFormatting>
  <conditionalFormatting sqref="G1892:H1892">
    <cfRule type="expression" dxfId="8514" priority="6134">
      <formula>$B1892="Subetapa"</formula>
    </cfRule>
  </conditionalFormatting>
  <conditionalFormatting sqref="G1905:H1905">
    <cfRule type="expression" dxfId="8513" priority="7048">
      <formula>$B1905="Subetapa"</formula>
    </cfRule>
  </conditionalFormatting>
  <conditionalFormatting sqref="F1933:F1941">
    <cfRule type="expression" dxfId="8512" priority="7037">
      <formula>$B1933="Subetapa"</formula>
    </cfRule>
  </conditionalFormatting>
  <conditionalFormatting sqref="F1946:F1954">
    <cfRule type="expression" dxfId="8511" priority="7033">
      <formula>$B1946="Subetapa"</formula>
    </cfRule>
  </conditionalFormatting>
  <conditionalFormatting sqref="F1959:F1967">
    <cfRule type="expression" dxfId="8510" priority="7029">
      <formula>$B1959="Subetapa"</formula>
    </cfRule>
  </conditionalFormatting>
  <conditionalFormatting sqref="F1972:F1980">
    <cfRule type="expression" dxfId="8509" priority="7025">
      <formula>$B1972="Subetapa"</formula>
    </cfRule>
  </conditionalFormatting>
  <conditionalFormatting sqref="G2029:H2029">
    <cfRule type="expression" dxfId="8508" priority="5977">
      <formula>$B2029="Subetapa"</formula>
    </cfRule>
  </conditionalFormatting>
  <conditionalFormatting sqref="G2105:H2105 G2112:H2112">
    <cfRule type="expression" dxfId="8507" priority="6066">
      <formula>$B2105="Subetapa"</formula>
    </cfRule>
  </conditionalFormatting>
  <conditionalFormatting sqref="G2140:H2140 G2142:H2142">
    <cfRule type="expression" dxfId="8506" priority="6054">
      <formula>$B2140="Subetapa"</formula>
    </cfRule>
  </conditionalFormatting>
  <conditionalFormatting sqref="G2170:H2170 G2173:H2173 G2176:H2176 G2178:H2178">
    <cfRule type="expression" dxfId="8505" priority="6244">
      <formula>$B2170="Subetapa"</formula>
    </cfRule>
  </conditionalFormatting>
  <conditionalFormatting sqref="G2181:H2181 G2317:H2317 G2184:H2184 G2187:H2187 G2191:H2191 G2194:H2194 G2196:H2196 G2198:H2198 G2201:H2201 G2203:H2203 G2205:H2205 G2319:H2319 G2322:H2322 G2324:H2324 G2326:H2326 G2328:H2328">
    <cfRule type="expression" dxfId="8504" priority="6175">
      <formula>$B2181="Subetapa"</formula>
    </cfRule>
  </conditionalFormatting>
  <conditionalFormatting sqref="G2212:H2212 G2214:H2214 G2216:H2216 G2219:H2219 G2221:H2221">
    <cfRule type="expression" dxfId="8503" priority="5907">
      <formula>$B2212="Subetapa"</formula>
    </cfRule>
  </conditionalFormatting>
  <conditionalFormatting sqref="G2212:H2212 G2214:H2214 G2216:H2216 G2219:H2219 G2221:H2221 G2224:H2224 G2226:H2226 G2228:H2228 G2230:H2230 G2234:H2234 G2236:H2236 G2240">
    <cfRule type="expression" dxfId="8502" priority="5909">
      <formula>$B2212="Serviço"</formula>
    </cfRule>
  </conditionalFormatting>
  <conditionalFormatting sqref="G2224:H2224 G2226:H2226 G2228:H2228 G2230:H2230 G2234:H2234 G2236:H2236 G2240">
    <cfRule type="expression" dxfId="8501" priority="5908">
      <formula>$B2224="Subetapa"</formula>
    </cfRule>
  </conditionalFormatting>
  <conditionalFormatting sqref="G2331:H2331 G2333:H2333 G2335:H2335">
    <cfRule type="expression" dxfId="8500" priority="6051">
      <formula>$B2331="Subetapa"</formula>
    </cfRule>
  </conditionalFormatting>
  <conditionalFormatting sqref="G2338:H2338 G2340:H2340">
    <cfRule type="expression" dxfId="8499" priority="5846">
      <formula>$B2338="Serviço"</formula>
    </cfRule>
    <cfRule type="expression" dxfId="8498" priority="5847">
      <formula>$B2338="Subetapa"</formula>
    </cfRule>
  </conditionalFormatting>
  <conditionalFormatting sqref="G2347:H2347">
    <cfRule type="expression" dxfId="8497" priority="5844">
      <formula>$B2347="Serviço"</formula>
    </cfRule>
    <cfRule type="expression" dxfId="8496" priority="5845">
      <formula>$B2347="Subetapa"</formula>
    </cfRule>
  </conditionalFormatting>
  <conditionalFormatting sqref="G2349:H2349">
    <cfRule type="expression" dxfId="8495" priority="5842">
      <formula>$B2349="Serviço"</formula>
    </cfRule>
    <cfRule type="expression" dxfId="8494" priority="5843">
      <formula>$B2349="Subetapa"</formula>
    </cfRule>
  </conditionalFormatting>
  <conditionalFormatting sqref="G2351:H2351 G2353:H2353">
    <cfRule type="expression" dxfId="8493" priority="6053">
      <formula>$B2351="Subetapa"</formula>
    </cfRule>
  </conditionalFormatting>
  <conditionalFormatting sqref="G2356:H2356">
    <cfRule type="expression" dxfId="8492" priority="6049">
      <formula>$B2356="Subetapa"</formula>
    </cfRule>
  </conditionalFormatting>
  <conditionalFormatting sqref="G2359:H2359 G2369:H2369 G2390:H2390 G2342:H2342 G2344:H2344 G2364:H2364 G2395:H2395 G2400:H2400 G2405:H2405 G2410:H2410 G2430:H2430">
    <cfRule type="expression" dxfId="8491" priority="6192">
      <formula>$B2342="Subetapa"</formula>
    </cfRule>
  </conditionalFormatting>
  <conditionalFormatting sqref="G2374:H2374">
    <cfRule type="expression" dxfId="8490" priority="5840">
      <formula>$B2374="Serviço"</formula>
    </cfRule>
    <cfRule type="expression" dxfId="8489" priority="5841">
      <formula>$B2374="Subetapa"</formula>
    </cfRule>
  </conditionalFormatting>
  <conditionalFormatting sqref="G2379:H2379 G2384:H2384">
    <cfRule type="expression" dxfId="8488" priority="6796">
      <formula>$B2379="Serviço"</formula>
    </cfRule>
  </conditionalFormatting>
  <conditionalFormatting sqref="G2379:H2379 G2384:H2384">
    <cfRule type="expression" dxfId="8487" priority="5838">
      <formula>$B2379="Subetapa"</formula>
    </cfRule>
  </conditionalFormatting>
  <conditionalFormatting sqref="G2435:H2435 G2440:H2440 G2445:H2445 G2450:H2450 G2455:H2455 G2460:H2460 G2465:H2465">
    <cfRule type="expression" dxfId="8486" priority="6048">
      <formula>$B2435="Subetapa"</formula>
    </cfRule>
  </conditionalFormatting>
  <conditionalFormatting sqref="G2470:H2470">
    <cfRule type="expression" dxfId="8485" priority="5837">
      <formula>$B2470="Serviço"</formula>
    </cfRule>
  </conditionalFormatting>
  <conditionalFormatting sqref="G2658:H2658 G2666:H2666">
    <cfRule type="expression" dxfId="8484" priority="5956">
      <formula>$B2658="Subetapa"</formula>
    </cfRule>
  </conditionalFormatting>
  <conditionalFormatting sqref="G2671:H2671">
    <cfRule type="expression" dxfId="8483" priority="5958">
      <formula>$B2671="Subetapa"</formula>
    </cfRule>
  </conditionalFormatting>
  <conditionalFormatting sqref="G2673:H2673">
    <cfRule type="expression" dxfId="8482" priority="5835">
      <formula>$B2673="Subetapa"</formula>
    </cfRule>
    <cfRule type="expression" dxfId="8481" priority="5836">
      <formula>$B2673="Serviço"</formula>
    </cfRule>
  </conditionalFormatting>
  <conditionalFormatting sqref="G2692:H2692 G2695:H2695 G2698:H2698 G2704:H2704 G2707:H2707 G2710:H2710 G2715:H2715 G2701:H2701">
    <cfRule type="expression" dxfId="8480" priority="5954">
      <formula>$B2692="Subetapa"</formula>
    </cfRule>
  </conditionalFormatting>
  <conditionalFormatting sqref="G2732:H2732 G2734:H2734">
    <cfRule type="expression" dxfId="8479" priority="5960">
      <formula>$B2732="Subetapa"</formula>
    </cfRule>
  </conditionalFormatting>
  <conditionalFormatting sqref="G2737:H2737 G2739:H2739 G2742:H2742 G2746:H2746 G2748:H2748 G2750:H2750 G2752:H2752 G2754:H2754">
    <cfRule type="expression" dxfId="8478" priority="5959">
      <formula>$B2737="Subetapa"</formula>
    </cfRule>
  </conditionalFormatting>
  <conditionalFormatting sqref="G2756:H2756 G2760:H2760">
    <cfRule type="expression" dxfId="8477" priority="5911">
      <formula>$B2756="Subetapa"</formula>
    </cfRule>
  </conditionalFormatting>
  <conditionalFormatting sqref="G2765:H2765">
    <cfRule type="expression" dxfId="8476" priority="5833">
      <formula>$B2765="Serviço"</formula>
    </cfRule>
    <cfRule type="expression" dxfId="8475" priority="5834">
      <formula>$B2765="Subetapa"</formula>
    </cfRule>
  </conditionalFormatting>
  <conditionalFormatting sqref="G2770:H2770 G2783:H2783 G2785:H2785 G2788:H2788 G2790:H2790 G2792:H2792 G2798:H2798 G2800:H2800 G2802:H2802 G2804:H2804">
    <cfRule type="expression" dxfId="8474" priority="6046">
      <formula>$B2770="Subetapa"</formula>
    </cfRule>
  </conditionalFormatting>
  <conditionalFormatting sqref="G2806:H2806">
    <cfRule type="expression" dxfId="8473" priority="5831">
      <formula>$B2806="Serviço"</formula>
    </cfRule>
    <cfRule type="expression" dxfId="8472" priority="5832">
      <formula>$B2806="Subetapa"</formula>
    </cfRule>
  </conditionalFormatting>
  <conditionalFormatting sqref="G2883:H2883 G3181:H3181 G3247:H3247 G3183:H3183 G3185:H3185 G3187:H3187">
    <cfRule type="expression" dxfId="8471" priority="5829">
      <formula>$B2883="Subetapa"</formula>
    </cfRule>
    <cfRule type="expression" dxfId="8470" priority="5830">
      <formula>$B2883="Serviço"</formula>
    </cfRule>
  </conditionalFormatting>
  <conditionalFormatting sqref="G2885:H2885 G2905:H2905 G2907:H2907 G2909:H2909">
    <cfRule type="expression" dxfId="8469" priority="5952">
      <formula>$B2885="Subetapa"</formula>
    </cfRule>
  </conditionalFormatting>
  <conditionalFormatting sqref="G2912:H2912 G2914:H2914 G2916:H2916 G2918:H2918">
    <cfRule type="expression" dxfId="8468" priority="6041">
      <formula>$B2912="Subetapa"</formula>
    </cfRule>
  </conditionalFormatting>
  <conditionalFormatting sqref="G2920:H2920 G2922:H2922 G2926:H2926 G2929:H2929 G2932:H2932">
    <cfRule type="expression" dxfId="8467" priority="6022">
      <formula>$B2920="Subetapa"</formula>
    </cfRule>
  </conditionalFormatting>
  <conditionalFormatting sqref="G2957:H2957">
    <cfRule type="expression" dxfId="8466" priority="6168">
      <formula>$B2957="Subetapa"</formula>
    </cfRule>
  </conditionalFormatting>
  <conditionalFormatting sqref="G3048:H3048 G3023:H3023 G3027:H3027 G3031:H3031 G3035:H3035 G3039:H3039 G3043:H3043 G3051:H3051 G3054:H3054">
    <cfRule type="expression" dxfId="8465" priority="6257">
      <formula>$B3023="Subetapa"</formula>
    </cfRule>
  </conditionalFormatting>
  <conditionalFormatting sqref="G3056:H3056 G3058:H3058 G3060:H3060 G3062:H3062">
    <cfRule type="expression" dxfId="8464" priority="5826">
      <formula>$B3056="Subetapa"</formula>
    </cfRule>
    <cfRule type="expression" dxfId="8463" priority="5827">
      <formula>$B3056="Serviço"</formula>
    </cfRule>
  </conditionalFormatting>
  <conditionalFormatting sqref="G3089:H3089 G3099:H3099 G3137:H3137 G3103:H3103 G3108:H3108 G3112:H3112 G3115:H3115 G3118:H3118 G3122:H3122 G3124:H3124">
    <cfRule type="expression" dxfId="8462" priority="6193">
      <formula>$B3089="Subetapa"</formula>
    </cfRule>
  </conditionalFormatting>
  <conditionalFormatting sqref="G3097:H3097">
    <cfRule type="expression" dxfId="8461" priority="5824">
      <formula>$B3097="Subetapa"</formula>
    </cfRule>
    <cfRule type="expression" dxfId="8460" priority="5825">
      <formula>$B3097="Serviço"</formula>
    </cfRule>
  </conditionalFormatting>
  <conditionalFormatting sqref="G3129:H3129">
    <cfRule type="expression" dxfId="8459" priority="5822">
      <formula>$B3129="Subetapa"</formula>
    </cfRule>
    <cfRule type="expression" dxfId="8458" priority="5823">
      <formula>$B3129="Serviço"</formula>
    </cfRule>
  </conditionalFormatting>
  <conditionalFormatting sqref="G3139:H3139">
    <cfRule type="expression" dxfId="8457" priority="5888">
      <formula>$B3139="Serviço"</formula>
    </cfRule>
    <cfRule type="expression" dxfId="8456" priority="5889">
      <formula>$B3139="Subetapa"</formula>
    </cfRule>
  </conditionalFormatting>
  <conditionalFormatting sqref="G3144:H3144 G3191:H3191 G3209:H3209 G3175:H3175 G3193:H3193 G3211:H3211 G3213:H3213">
    <cfRule type="expression" dxfId="8455" priority="6024">
      <formula>$B3144="Subetapa"</formula>
    </cfRule>
  </conditionalFormatting>
  <conditionalFormatting sqref="G3243:H3243">
    <cfRule type="expression" dxfId="8454" priority="6795">
      <formula>$B3243="Serviço"</formula>
    </cfRule>
  </conditionalFormatting>
  <conditionalFormatting sqref="G3350:H3350 G3355:H3355 G3360:H3360 G3365:H3365 G3370:H3370 G3375:H3375">
    <cfRule type="expression" dxfId="8453" priority="6029">
      <formula>$B3350="Subetapa"</formula>
    </cfRule>
  </conditionalFormatting>
  <conditionalFormatting sqref="G3380:H3380 G3385:H3385 G3390:H3390 G3395:H3395 G3400:H3400 G3405:H3405 G3410:H3410 G3415:H3415 G3420:H3420 G3425:H3425 G3430:H3430 G3435:H3435 G3440:H3440 G3445:H3445 G3450:H3450 G3455:H3455 G3460:H3460">
    <cfRule type="expression" dxfId="8452" priority="6033">
      <formula>$B3380="Subetapa"</formula>
    </cfRule>
  </conditionalFormatting>
  <conditionalFormatting sqref="G3465:H3465 G3470:H3470 G3475:H3475">
    <cfRule type="expression" dxfId="8451" priority="6031">
      <formula>$B3465="Subetapa"</formula>
    </cfRule>
  </conditionalFormatting>
  <conditionalFormatting sqref="G3623:H3623">
    <cfRule type="expression" dxfId="8450" priority="6013">
      <formula>$B3623="Subetapa"</formula>
    </cfRule>
  </conditionalFormatting>
  <conditionalFormatting sqref="G3626:H3626 G3629:H3629 G3632:H3632 G3636:H3636">
    <cfRule type="expression" dxfId="8449" priority="6021">
      <formula>$B3626="Subetapa"</formula>
    </cfRule>
  </conditionalFormatting>
  <conditionalFormatting sqref="G3644:H3644 G3648:H3648 G3651:H3651 G3658:H3658">
    <cfRule type="expression" dxfId="8448" priority="6259">
      <formula>$B3644="Subetapa"</formula>
    </cfRule>
  </conditionalFormatting>
  <conditionalFormatting sqref="G3662:H3662 G3665:H3665 G3668:H3668 G3671:H3671">
    <cfRule type="expression" dxfId="8447" priority="6019">
      <formula>$B3662="Subetapa"</formula>
    </cfRule>
  </conditionalFormatting>
  <conditionalFormatting sqref="G3674:H3674">
    <cfRule type="expression" dxfId="8446" priority="5820">
      <formula>$B3674="Serviço"</formula>
    </cfRule>
    <cfRule type="expression" dxfId="8445" priority="5821">
      <formula>$B3674="Subetapa"</formula>
    </cfRule>
  </conditionalFormatting>
  <conditionalFormatting sqref="G3679:H3679">
    <cfRule type="expression" dxfId="8444" priority="6015">
      <formula>$B3679="Subetapa"</formula>
    </cfRule>
  </conditionalFormatting>
  <conditionalFormatting sqref="G3684:H3684">
    <cfRule type="expression" dxfId="8443" priority="5818">
      <formula>$B3684="Serviço"</formula>
    </cfRule>
    <cfRule type="expression" dxfId="8442" priority="5819">
      <formula>$B3684="Subetapa"</formula>
    </cfRule>
  </conditionalFormatting>
  <conditionalFormatting sqref="G3704:H3704">
    <cfRule type="expression" dxfId="8441" priority="5816">
      <formula>$B3704="Serviço"</formula>
    </cfRule>
    <cfRule type="expression" dxfId="8440" priority="5817">
      <formula>$B3704="Subetapa"</formula>
    </cfRule>
  </conditionalFormatting>
  <conditionalFormatting sqref="G3722:H3722">
    <cfRule type="expression" dxfId="8439" priority="5814">
      <formula>$B3722="Serviço"</formula>
    </cfRule>
    <cfRule type="expression" dxfId="8438" priority="5815">
      <formula>$B3722="Subetapa"</formula>
    </cfRule>
  </conditionalFormatting>
  <conditionalFormatting sqref="G3732:H3732 G3736:H3736 G3740:H3740 G3744:H3744 G3748:H3748 G3752:H3752 G3757:H3757 G3759:H3759 G3761:H3761 G3763:H3763 G3765:H3765 G3768:H3768 G3770:H3770 G3772:H3772 G3775:H3775 G3777:H3777 G3781:H3781 G3784:H3784 G3786:H3786 G3788:H3788 G3792:H3792">
    <cfRule type="expression" dxfId="8437" priority="5950">
      <formula>$B3732="Subetapa"</formula>
    </cfRule>
  </conditionalFormatting>
  <conditionalFormatting sqref="G3795:H3795 G3797:H3797 G3799:H3799 G3801:H3801 G3803:H3803">
    <cfRule type="expression" dxfId="8436" priority="6004">
      <formula>$B3795="Subetapa"</formula>
    </cfRule>
  </conditionalFormatting>
  <conditionalFormatting sqref="G3808:H3808 G3811:H3811">
    <cfRule type="expression" dxfId="8435" priority="5812">
      <formula>$B3808="Subetapa"</formula>
    </cfRule>
    <cfRule type="expression" dxfId="8434" priority="5813">
      <formula>$B3808="Serviço"</formula>
    </cfRule>
  </conditionalFormatting>
  <conditionalFormatting sqref="G3816:H3816 G3821:H3821 G3826:H3826 G3830:H3830 G3835:H3835 G3838:H3838 G3842:H3842">
    <cfRule type="expression" dxfId="8433" priority="5945">
      <formula>$B3816="Subetapa"</formula>
    </cfRule>
  </conditionalFormatting>
  <conditionalFormatting sqref="G3846:H3846">
    <cfRule type="expression" dxfId="8432" priority="5990">
      <formula>$B3846="Subetapa"</formula>
    </cfRule>
  </conditionalFormatting>
  <conditionalFormatting sqref="G3849:H3849">
    <cfRule type="expression" dxfId="8431" priority="5988">
      <formula>$B3849="Subetapa"</formula>
    </cfRule>
  </conditionalFormatting>
  <conditionalFormatting sqref="G3859:H3859">
    <cfRule type="expression" dxfId="8430" priority="6002">
      <formula>$B3859="Subetapa"</formula>
    </cfRule>
  </conditionalFormatting>
  <conditionalFormatting sqref="G3861:G3883">
    <cfRule type="expression" dxfId="8429" priority="6001">
      <formula>$B3861="Subetapa"</formula>
    </cfRule>
  </conditionalFormatting>
  <conditionalFormatting sqref="G3894:H3894">
    <cfRule type="expression" dxfId="8428" priority="5927">
      <formula>$B3894="Subetapa"</formula>
    </cfRule>
  </conditionalFormatting>
  <conditionalFormatting sqref="G3905:H3905">
    <cfRule type="expression" dxfId="8427" priority="5924">
      <formula>$B3905="Subetapa"</formula>
    </cfRule>
  </conditionalFormatting>
  <conditionalFormatting sqref="G3916:H3916">
    <cfRule type="expression" dxfId="8426" priority="5921">
      <formula>$B3916="Subetapa"</formula>
    </cfRule>
  </conditionalFormatting>
  <conditionalFormatting sqref="G3927:H3927">
    <cfRule type="expression" dxfId="8425" priority="5919">
      <formula>$B3927="Subetapa"</formula>
    </cfRule>
  </conditionalFormatting>
  <conditionalFormatting sqref="G3938:H3938 G3943:H3943 G3945:H3945">
    <cfRule type="expression" dxfId="8424" priority="5916">
      <formula>$B3938="Subetapa"</formula>
    </cfRule>
  </conditionalFormatting>
  <conditionalFormatting sqref="G3957:H3957 G3968:H3968 G3970:H3970">
    <cfRule type="expression" dxfId="8423" priority="5914">
      <formula>$B3957="Subetapa"</formula>
    </cfRule>
  </conditionalFormatting>
  <conditionalFormatting sqref="G3975:H3975">
    <cfRule type="expression" dxfId="8422" priority="6290">
      <formula>$B3975="Subetapa"</formula>
    </cfRule>
  </conditionalFormatting>
  <conditionalFormatting sqref="G3991:H3991">
    <cfRule type="expression" dxfId="8421" priority="6794">
      <formula>$B3991="Serviço"</formula>
    </cfRule>
  </conditionalFormatting>
  <conditionalFormatting sqref="G4041:H4041 G4051:H4051 G4054:H4054">
    <cfRule type="expression" dxfId="8420" priority="5809">
      <formula>$B4041="Subetapa"</formula>
    </cfRule>
    <cfRule type="expression" dxfId="8419" priority="5810">
      <formula>$B4041="Serviço"</formula>
    </cfRule>
  </conditionalFormatting>
  <conditionalFormatting sqref="G4058:H4058 G4060:H4060 G4064:H4064 G4066:H4066">
    <cfRule type="expression" dxfId="8418" priority="6176">
      <formula>$B4058="Subetapa"</formula>
    </cfRule>
  </conditionalFormatting>
  <conditionalFormatting sqref="G4069:H4069 G4073:H4073 G4075:H4075">
    <cfRule type="expression" dxfId="8417" priority="5992">
      <formula>$B4069="Subetapa"</formula>
    </cfRule>
  </conditionalFormatting>
  <conditionalFormatting sqref="G4082:H4082 G4152:H4152 G4084:H4084 G4086:H4086 G4090:H4090 G4094:H4094 G4154:H4154 G4088:H4088">
    <cfRule type="expression" dxfId="8416" priority="6169">
      <formula>$B4082="Subetapa"</formula>
    </cfRule>
  </conditionalFormatting>
  <conditionalFormatting sqref="G4107:H4107">
    <cfRule type="expression" dxfId="8415" priority="5806">
      <formula>$B4107="Subetapa"</formula>
    </cfRule>
  </conditionalFormatting>
  <conditionalFormatting sqref="G4110:H4110 G4112:H4112">
    <cfRule type="expression" dxfId="8414" priority="6245">
      <formula>$B4110="Subetapa"</formula>
    </cfRule>
  </conditionalFormatting>
  <conditionalFormatting sqref="G4114:H4114">
    <cfRule type="expression" dxfId="8413" priority="5803">
      <formula>$B4114="Subetapa"</formula>
    </cfRule>
  </conditionalFormatting>
  <conditionalFormatting sqref="G4122:H4122">
    <cfRule type="expression" dxfId="8412" priority="5804">
      <formula>$B4122="Serviço"</formula>
    </cfRule>
    <cfRule type="expression" dxfId="8411" priority="5805">
      <formula>$B4122="Subetapa"</formula>
    </cfRule>
  </conditionalFormatting>
  <conditionalFormatting sqref="G4125:H4125 G4127:H4127 G4129:H4129 G4131:H4131 G4133:H4133">
    <cfRule type="expression" dxfId="8410" priority="6010">
      <formula>$B4125="Subetapa"</formula>
    </cfRule>
  </conditionalFormatting>
  <conditionalFormatting sqref="G4160:H4160">
    <cfRule type="expression" dxfId="8409" priority="5801">
      <formula>$B4160="Serviço"</formula>
    </cfRule>
    <cfRule type="expression" dxfId="8408" priority="5802">
      <formula>$B4160="Subetapa"</formula>
    </cfRule>
  </conditionalFormatting>
  <conditionalFormatting sqref="G4205:H4205 G4236:H4236 G4238:H4238 G4240:H4240 G4243:H4243">
    <cfRule type="expression" dxfId="8407" priority="6952">
      <formula>$B4205="Subetapa"</formula>
    </cfRule>
  </conditionalFormatting>
  <conditionalFormatting sqref="G4245:H4245 G4247:H4247">
    <cfRule type="expression" dxfId="8406" priority="5799">
      <formula>$B4245="Serviço"</formula>
    </cfRule>
    <cfRule type="expression" dxfId="8405" priority="5800">
      <formula>$B4245="Subetapa"</formula>
    </cfRule>
  </conditionalFormatting>
  <conditionalFormatting sqref="G4292:H4292 G4294:H4294 G4296:H4296 G4298:H4298 G4300:H4300">
    <cfRule type="expression" dxfId="8404" priority="5975">
      <formula>$B4292="Subetapa"</formula>
    </cfRule>
  </conditionalFormatting>
  <conditionalFormatting sqref="G4323:H4323 G4328:H4328 G4333:H4333 G4338:H4338 G4343:H4343 G4348:H4348 G4353:H4353 G4358:H4358 G4361:H4361 G4366:H4366 G4371:H4371">
    <cfRule type="expression" dxfId="8403" priority="5983">
      <formula>$B4323="Subetapa"</formula>
    </cfRule>
  </conditionalFormatting>
  <conditionalFormatting sqref="G4373:H4373 G4388:H4388 G4393:H4393 G4398:H4398">
    <cfRule type="expression" dxfId="8402" priority="5797">
      <formula>$B4373="Subetapa"</formula>
    </cfRule>
    <cfRule type="expression" dxfId="8401" priority="5798">
      <formula>$B4373="Serviço"</formula>
    </cfRule>
  </conditionalFormatting>
  <conditionalFormatting sqref="G4404:H4404 G4408:H4408 G4412:H4412 G4417:H4417 G4422:H4422">
    <cfRule type="expression" dxfId="8400" priority="5987">
      <formula>$B4404="Subetapa"</formula>
    </cfRule>
  </conditionalFormatting>
  <conditionalFormatting sqref="G4428:H4428 G4433:H4433 G4438:H4438 G4440:H4440 G4443:H4443 G4447:H4447 G4455:H4455 G4458:H4458 G4461:H4461">
    <cfRule type="expression" dxfId="8399" priority="6180">
      <formula>$B4428="Subetapa"</formula>
    </cfRule>
  </conditionalFormatting>
  <conditionalFormatting sqref="G4464:H4464 G4467:H4467 G4471:H4471 G4475:H4475 G4479:H4479 G4481:H4481 G4483:H4483 G4486:H4486 G4489:H4489 G4492:H4492 H4493:H4503">
    <cfRule type="expression" dxfId="8398" priority="7069">
      <formula>$B4464="Subetapa"</formula>
    </cfRule>
  </conditionalFormatting>
  <conditionalFormatting sqref="G4574:H4574 G4576:H4576 G4578:H4578">
    <cfRule type="expression" dxfId="8397" priority="5986">
      <formula>$B4574="Subetapa"</formula>
    </cfRule>
  </conditionalFormatting>
  <conditionalFormatting sqref="G4686:H4686 G4689:H4689 G4691:H4691 G4693:H4693 G4695:H4695 G4698:H4698">
    <cfRule type="expression" dxfId="8396" priority="5795">
      <formula>$B4686="Subetapa"</formula>
    </cfRule>
    <cfRule type="expression" dxfId="8395" priority="5796">
      <formula>$B4686="Serviço"</formula>
    </cfRule>
  </conditionalFormatting>
  <conditionalFormatting sqref="G4701:H4701">
    <cfRule type="expression" dxfId="8394" priority="5943">
      <formula>$B4701="Subetapa"</formula>
    </cfRule>
  </conditionalFormatting>
  <conditionalFormatting sqref="G4723:H4723 G4873:H4873 G4984:H4984 G4725:H4726 G4988:H4988 G4990:H4990 G4997:H4997 G4999:H4999 G5007:H5007 G5011:H5011 G5013:H5013 G5019:H5019 G5024:H5024 G5026:H5026">
    <cfRule type="expression" dxfId="8393" priority="6262">
      <formula>$B4723="Subetapa"</formula>
    </cfRule>
  </conditionalFormatting>
  <conditionalFormatting sqref="G4801:H4801">
    <cfRule type="expression" dxfId="8392" priority="5793">
      <formula>$B4801="Serviço"</formula>
    </cfRule>
    <cfRule type="expression" dxfId="8391" priority="5794">
      <formula>$B4801="Subetapa"</formula>
    </cfRule>
  </conditionalFormatting>
  <conditionalFormatting sqref="G4878:H4878 G4923:H4923 G4880:H4880 G4884:H4884 G4888:H4888 G4894:H4894 G4900:H4900 G4906:H4906 G4912:H4912 G4928:H4928">
    <cfRule type="expression" dxfId="8390" priority="6237">
      <formula>$B4878="Subetapa"</formula>
    </cfRule>
  </conditionalFormatting>
  <conditionalFormatting sqref="G4918:H4918">
    <cfRule type="expression" dxfId="8389" priority="5791">
      <formula>$B4918="Serviço"</formula>
    </cfRule>
    <cfRule type="expression" dxfId="8388" priority="5792">
      <formula>$B4918="Subetapa"</formula>
    </cfRule>
  </conditionalFormatting>
  <conditionalFormatting sqref="G4936:H4936 G4939:H4939 G4950:H4950 G4958:H4958 G4966:H4966 G4974:H4974 G4941:H4942">
    <cfRule type="expression" dxfId="8387" priority="6238">
      <formula>$B4936="Subetapa"</formula>
    </cfRule>
  </conditionalFormatting>
  <conditionalFormatting sqref="G4976:H4976 G4980:H4980">
    <cfRule type="expression" dxfId="8386" priority="5807">
      <formula>$B4976="Subetapa"</formula>
    </cfRule>
    <cfRule type="expression" dxfId="8385" priority="5808">
      <formula>$B4976="Serviço"</formula>
    </cfRule>
  </conditionalFormatting>
  <conditionalFormatting sqref="G2:H2">
    <cfRule type="expression" dxfId="8384" priority="7074">
      <formula>$B2="Subetapa"</formula>
    </cfRule>
  </conditionalFormatting>
  <conditionalFormatting sqref="G324:H324 G328:H328 G332:H332 G336:H336 G340:H340">
    <cfRule type="expression" dxfId="8383" priority="6271">
      <formula>$B324="Subetapa"</formula>
    </cfRule>
  </conditionalFormatting>
  <conditionalFormatting sqref="G345:H345 G349:H349 G353:H353 G357:H357">
    <cfRule type="expression" dxfId="8382" priority="6248">
      <formula>$B345="Subetapa"</formula>
    </cfRule>
  </conditionalFormatting>
  <conditionalFormatting sqref="G810:H810 G839:H839 G812:H812 G841:H841">
    <cfRule type="expression" dxfId="8381" priority="6172">
      <formula>$B810="Subetapa"</formula>
    </cfRule>
  </conditionalFormatting>
  <conditionalFormatting sqref="G4734:H4734 G4742:H4742 G4750:H4750 G4759:H4759 G4768:H4768 G4781:H4781">
    <cfRule type="expression" dxfId="8380" priority="6181">
      <formula>$B4734="Subetapa"</formula>
    </cfRule>
  </conditionalFormatting>
  <conditionalFormatting sqref="G4932:H4932">
    <cfRule type="expression" dxfId="8379" priority="7082">
      <formula>$B4932="Subetapa"</formula>
    </cfRule>
  </conditionalFormatting>
  <conditionalFormatting sqref="B1374:B1385 D1374:F1374 D1220:F1220 D1231:F1231 D1221:D1230 F1221:F1230 D1242:F1242 D1232:D1241 F1232:F1241 D1243:D1254 F1243:F1254 D1375 F1375 F1385 C1385:D1385 C1220:C1254 C1374:C1375">
    <cfRule type="expression" dxfId="8378" priority="9911">
      <formula>$B1220="Subetapa"</formula>
    </cfRule>
  </conditionalFormatting>
  <conditionalFormatting sqref="D2607:F2607 D2608:D2611 D2725:F2725 D3510:F3510 D3556:F3556 D3557:D3560 D3247:F3247 D3139:F3139 D3982:F3982 E3980 D4543:F4543 D2728:F2728 D2726:D2727 F2726:F2727 D2729:D2730 F2729:F2730 D3140:D3142 F3140:F3142 F3228 D3248:D3250 F3248:F3250 D3511:D3514 F3511:F3514 F3852:F3853 F3855:F3857 D3987:F3987 D3983:D3986 F3983:F3986 D3991:F3991 D3988:D3990 F3988:F3990 D3996:F3996 D3992:D3995 F3992:F3995 F4099 F4101 F4103 F4105:F4106 F4108:F4109 F4115 F4117 F4119 F4121 F4267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4115 D4116:F4116 D4108:D4109 D4105:D4106 D4107:F4107 D4103 D4104:F4104 D4101 D4102:F4102 D4099 D4100:F4100 D3855:D3857 D3852:D3853 D3854:F3854 D3228 D4266:F4266 D4114:F4114 D4098:F4098 D3851:F3851 D3227:F3227 D3198:F3198 B2475:B2524 B2719:B2730 B3189:B3190 B3290:B3309 B3231:B3234 B3250 B3244:B3246 B3992:B4021 B3987:B3990 B3980:B3982 B4217:B4234 B4208:B4210 B4163:B4165 B4139:B4150 B3485:B3549 F3196:F3197 D3196:D3197 D3195:F3195 F3199:F3206 F4265 D4265 D4264:F4264 D4267 D3199:D3206 D3244:D3246 C2490:F2490 B2607:C2611 B3556:C3560 C3302:D3304 C2725:C2730 C3139:C3142 C3510:C3514 C3982:C3996 C4543:C4572 B4114:C4121 B4098:C4109 B3851:C3857 B3227:C3228 B4264:C4267 B3195:C3206 C3244:C3250">
    <cfRule type="expression" dxfId="8377" priority="9622">
      <formula>$B2475="Serviço"</formula>
    </cfRule>
  </conditionalFormatting>
  <conditionalFormatting sqref="D1374:F1374 D1209:F1209 D1220:F1220 D1210:D1219 F1210:F1219 D1231:F1231 D1221:D1230 F1221:F1230 D1242:F1242 D1232:D1241 F1232:F1241 D1243:D1254 F1243:F1254 D1375:D1385 F1375:F1385 C1209:C1254 C1374:C1385">
    <cfRule type="expression" dxfId="8376" priority="9910">
      <formula>$B1209="Serviço"</formula>
    </cfRule>
  </conditionalFormatting>
  <conditionalFormatting sqref="D2607:F2607 D2608:D2611 D3510:F3510 D3557:D3560 D3556:F3556 D3247:F3247 D3244:D3246 D3139:F3139 D3982:F3982 E3980 D4102:D4103 D4104:F4104 D4518:F4518 D3140:D3142 F3140:F3142 F3228 D3248:D3250 F3248:F3250 D3511:D3514 F3511:F3514 F3852:F3853 F3855:F3857 D3987:F3987 D3983:D3986 F3983:F3986 D3991:F3991 D3988:D3990 F3988:F3990 D3996:F3996 D3992:D3995 F3992:F3995 F4117 F4119 F4121 F4267 D4523:F4523 D4519:D4522 F4519:F4522 D4528:F4528 D4524:D4527 F4524:F4527 D4533:F4533 D4529:D4532 F4529:F4532 D4538:F4538 D4534:D4537 F4534:F4537 D4543:F4543 D4539:D4542 F4539:F4542 D4545:F4545 D4544 F4544 D4547:F4547 D4546 F4546 D4549:F4549 D4548 F4548 D4551:F4551 D4550 F4550 D4553:F4553 D4552 F4552 D4555:F4555 D4554 F4554 D4560:F4560 D4556:D4559 F4556:F4559 D4565:F4565 D4561:D4564 F4561:F4564 D4570:F4570 D4566:D4569 F4566:F4569 D4571:D4572 F4571:F4572 D4121 D4119 D4120:F4120 D4117 D4118:F4118 D3855:D3857 D3852:D3853 D3854:F3854 D3228 D4266:F4266 D4116:F4116 D3851:F3851 D3227:F3227 D3198:F3198 B2470:B2524 B2719:B2730 B3189:B3190 B3290:B3309 B3231:B3234 B3250 B3243:B3246 B3980:B4021 B4098:B4106 B4217:B4234 B4208:B4210 B4163:B4165 B4139:B4150 B3485:B3549 F3196:F3197 D3196:D3197 D3195:F3195 F3199:F3206 F4265 D4265 D4264:F4264 D4267 D3199:D3206 B2607:C2611 B3556:C3560 C3302:D3304 C4102:C4104 C3139:C3142 C3244:C3250 C3510:C3514 C3982:C3996 C4518:C4572 B4116:C4121 B3851:C3857 B3227:C3228 B4264:C4267 B3195:C3206">
    <cfRule type="expression" dxfId="8375" priority="9623">
      <formula>$B2470="Subetapa"</formula>
    </cfRule>
  </conditionalFormatting>
  <conditionalFormatting sqref="D2191:F2191 D2188:D2190 F2188:F2190 C2188:C2191">
    <cfRule type="expression" dxfId="8374" priority="14373">
      <formula>$B2188="Subetapa"</formula>
    </cfRule>
  </conditionalFormatting>
  <conditionalFormatting sqref="F982:F989 D1650:F1650 E1662:F1662 D1698:F1698 D1731:F1731 D1742:F1742 D1754:F1754 D1766:F1766 D1778:F1778 D1801:F1801 D1812:F1812 F1825:F1835 F2693:F2694 F2716:F2718 D3340:F3340 D3341:D3344 D3350:F3350 D3351:D3354 D3355:F3355 D3356:D3359 D3360:F3360 D3361:D3364 D3561:F3561 D3562:D3565 D3585:F3585 E3939:E3943 D3945:F3945 D4323:F4323 D4324:D4327 D4328:F4328 D4339:D4342 D4343:F4343 D4344:D4347 D4348:F4348 D4349:D4352 D4353:F4353 D4354:D4357 D4439 D4440:F4440 D4441:D4442 D4443:F4443 D4461:F4461 D4489:F4489 D4581 D4583 D4585 F992:F993 D996:D1001 F996:F1001 F1003:F1009 F1011:F1013 D1172 F1172 F1174 D1651:D1661 F1651:F1661 E1674:F1674 F1663:F1673 F1675:F1685 D1709:F1709 D1699:D1708 F1699:F1708 D1720:F1720 D1710:D1719 F1710:F1719 D1721 D1723:D1730 F1721:F1730 D1734:D1741 D1732 F1732:F1741 D1743:D1752 F1743:F1752 D1755 F1755:F1764 D1767 F1767:F1776 D1789:F1789 D1779:D1788 F1779:F1788 D1790:D1799 F1790:F1799 D1804:D1811 D1802 F1802:F1811 D3586:D3588 F3586:F3588 D3946:D3947 F3946:F3947 D4333:F4333 D4329:D4332 F4329:F4332 D4338:F4338 D4334:D4337 F4334:F4337 D4447:F4447 D4444:D4446 F4444:F4446 D4455:F4455 D4448:D4451 F4448:F4451 D4456:D4457 F4456:F4457 D4459:D4460 F4459:F4460 D4464:F4464 D4462:D4463 F4462:F4463 D4467:F4467 D4465:D4466 F4465:F4466 D4471:F4471 D4468:D4470 F4468:F4470 D4475:F4475 D4472:D4474 F4472:F4474 D4479:F4479 D4476:D4478 F4476:F4478 D4481:F4481 D4480 F4480 D4492:F4492 D4490:D4491 F4490:F4491 D4493:D4494 F4493:F4494 D1174 D992:D993 D1173:F1173 B2337 B867:B878 B897:B905 B995:B1013 B1015:B1018 B2140:B2143 B2342:B2343 B2754 B3476:B3484 B4463:B4494 B1173:B1174 B4306:B4321 C869:D869 C902:D902 C1011:D1013 C1673:D1685 C1757:D1764 C1769:D1776 C1824:F1824 C2692:F2692 C2694:D2694 C2717:D2718 C3285:F3285 C3311:F3311 C3340:C3344 C3350:C3364 C3410:F3410 C3561:C3565 C4372:D4372 C1650:C1661 C1698:C1721 C1723:C1732 C1734:C1752 C1754:C1755 C1766:C1767 C1778:C1799 C1804:C1812 C1801:C1802 C3618:F3618 C3585:C3588 C3945:C3947 C4323:C4357 C4439:C4451 C4459:C4481 C1172:C1174 C995:C1002 C4581:C4585 B991:C993 D995:H995 G1015:H1015 G3480:H3480 G4308:H4308 G4580:H4580 D1002:H1002 E1010:H1010 G1017:H1017 G4311:H4311 D4582:H4582 D4584:H4584 D991:H991 G4315:H4315 C4489:C4503 F4454 D4454">
    <cfRule type="expression" dxfId="8373" priority="13555">
      <formula>$B867="Subetapa"</formula>
    </cfRule>
  </conditionalFormatting>
  <conditionalFormatting sqref="D2342:F2342 D2344:F2344 D2343 F2343 D2346:F2346 D2345 F2345 C2342:C2346 B2351:C2355">
    <cfRule type="expression" dxfId="8372" priority="12863">
      <formula>$B2342="Subetapa"</formula>
    </cfRule>
  </conditionalFormatting>
  <conditionalFormatting sqref="D4069:F4069 D4073:F4073 D4070 F4070 D4075:F4075 D4074 F4074 D4076 F4076 D4071:F4071 F4072 C4069:C4076 D4072">
    <cfRule type="expression" dxfId="8371" priority="12128">
      <formula>$B4069="Subetapa"</formula>
    </cfRule>
  </conditionalFormatting>
  <conditionalFormatting sqref="B1168:F1168">
    <cfRule type="expression" dxfId="8370" priority="11760">
      <formula>$B1168="Subetapa"</formula>
    </cfRule>
  </conditionalFormatting>
  <conditionalFormatting sqref="C2760:F2760">
    <cfRule type="expression" dxfId="8369" priority="11934">
      <formula>$B2760="Subetapa"</formula>
    </cfRule>
  </conditionalFormatting>
  <conditionalFormatting sqref="C3238:F3238">
    <cfRule type="expression" dxfId="8368" priority="11504">
      <formula>$B3238="Subetapa"</formula>
    </cfRule>
  </conditionalFormatting>
  <conditionalFormatting sqref="D4841:F4841 D4840 F4840 D4842 F4842 C4840:C4842">
    <cfRule type="expression" dxfId="8367" priority="11828">
      <formula>$B4840="Subetapa"</formula>
    </cfRule>
  </conditionalFormatting>
  <conditionalFormatting sqref="D4861:F4863 D4860 F4860 C4860:C4863">
    <cfRule type="expression" dxfId="8366" priority="11846">
      <formula>$B4860="Subetapa"</formula>
    </cfRule>
  </conditionalFormatting>
  <conditionalFormatting sqref="B2736:F2736">
    <cfRule type="expression" dxfId="8365" priority="11793">
      <formula>$B2736="Subetapa"</formula>
    </cfRule>
  </conditionalFormatting>
  <conditionalFormatting sqref="F4831">
    <cfRule type="expression" dxfId="8364" priority="11817">
      <formula>$B4831="Subetapa"</formula>
    </cfRule>
  </conditionalFormatting>
  <conditionalFormatting sqref="K943:K959">
    <cfRule type="expression" dxfId="8363" priority="4865">
      <formula>$B943="Subetapa"</formula>
    </cfRule>
  </conditionalFormatting>
  <conditionalFormatting sqref="I970:K970">
    <cfRule type="expression" dxfId="8362" priority="4861">
      <formula>$B970="Subetapa"</formula>
    </cfRule>
  </conditionalFormatting>
  <conditionalFormatting sqref="K2317:K2330 K2203:K2207">
    <cfRule type="expression" dxfId="8361" priority="5050">
      <formula>$B2203="Subetapa"</formula>
    </cfRule>
  </conditionalFormatting>
  <conditionalFormatting sqref="K2379:K2388">
    <cfRule type="expression" dxfId="8360" priority="4601">
      <formula>$B2379="Serviço"</formula>
    </cfRule>
  </conditionalFormatting>
  <conditionalFormatting sqref="K2637:K2661">
    <cfRule type="expression" dxfId="8359" priority="4846">
      <formula>$B2637="Subetapa"</formula>
    </cfRule>
  </conditionalFormatting>
  <conditionalFormatting sqref="K2662:K2669">
    <cfRule type="expression" dxfId="8358" priority="4838">
      <formula>$B2662="Subetapa"</formula>
    </cfRule>
  </conditionalFormatting>
  <conditionalFormatting sqref="K2670:K2672">
    <cfRule type="expression" dxfId="8357" priority="4840">
      <formula>$B2670="Subetapa"</formula>
    </cfRule>
  </conditionalFormatting>
  <conditionalFormatting sqref="I2673:K2674 I2690:K2690 I2682:K2682 I2687:K2688 I2684:K2685">
    <cfRule type="expression" dxfId="8356" priority="4599">
      <formula>$B2673="Serviço"</formula>
    </cfRule>
  </conditionalFormatting>
  <conditionalFormatting sqref="K2731:K2735">
    <cfRule type="expression" dxfId="8355" priority="4844">
      <formula>$B2731="Subetapa"</formula>
    </cfRule>
  </conditionalFormatting>
  <conditionalFormatting sqref="K2737:K2753">
    <cfRule type="expression" dxfId="8354" priority="4842">
      <formula>$B2737="Subetapa"</formula>
    </cfRule>
  </conditionalFormatting>
  <conditionalFormatting sqref="K3243:K3246 K3177:K3188">
    <cfRule type="expression" dxfId="8353" priority="4592">
      <formula>$B3177="Subetapa"</formula>
    </cfRule>
    <cfRule type="expression" dxfId="8352" priority="4593">
      <formula>$B3177="Serviço"</formula>
    </cfRule>
  </conditionalFormatting>
  <conditionalFormatting sqref="K2957:K2960">
    <cfRule type="expression" dxfId="8351" priority="5048">
      <formula>$B2957="Subetapa"</formula>
    </cfRule>
  </conditionalFormatting>
  <conditionalFormatting sqref="K3731:K3758">
    <cfRule type="expression" dxfId="8350" priority="4823">
      <formula>$B3731="Subetapa"</formula>
    </cfRule>
  </conditionalFormatting>
  <conditionalFormatting sqref="K3767:K3787">
    <cfRule type="expression" dxfId="8349" priority="4977">
      <formula>$B3767="Subetapa"</formula>
    </cfRule>
  </conditionalFormatting>
  <conditionalFormatting sqref="K3788:K3793">
    <cfRule type="expression" dxfId="8348" priority="4811">
      <formula>$B3788="Subetapa"</formula>
    </cfRule>
  </conditionalFormatting>
  <conditionalFormatting sqref="K3794:K3807">
    <cfRule type="expression" dxfId="8347" priority="4949">
      <formula>$B3794="Subetapa"</formula>
    </cfRule>
  </conditionalFormatting>
  <conditionalFormatting sqref="K4078:K4086">
    <cfRule type="expression" dxfId="8346" priority="5051">
      <formula>$B4078="Subetapa"</formula>
    </cfRule>
  </conditionalFormatting>
  <conditionalFormatting sqref="K4373:K4402">
    <cfRule type="expression" dxfId="8345" priority="4560">
      <formula>$B4373="Subetapa"</formula>
    </cfRule>
    <cfRule type="expression" dxfId="8344" priority="4561">
      <formula>$B4373="Serviço"</formula>
    </cfRule>
  </conditionalFormatting>
  <conditionalFormatting sqref="K4686:K4699">
    <cfRule type="expression" dxfId="8343" priority="4558">
      <formula>$B4686="Subetapa"</formula>
    </cfRule>
    <cfRule type="expression" dxfId="8342" priority="4559">
      <formula>$B4686="Serviço"</formula>
    </cfRule>
  </conditionalFormatting>
  <conditionalFormatting sqref="K3759:K3766 K3816:K3820">
    <cfRule type="expression" dxfId="8341" priority="5066">
      <formula>$B3759="Subetapa"</formula>
    </cfRule>
  </conditionalFormatting>
  <conditionalFormatting sqref="I2612:K2636 I2962:K3021 I3229:K3230 I3235:K3237 I3239:K3242 I3251:K3258 I3260:K3264 I3550:K3555 I3689:K3698 I4110:K4113 I4162:K4162 I4205:K4207 I4211:K4216 I4249:K4263 I4268:K4271 I3340:K3344 I3311:K3324 I3285:K3289 I3207:K3226">
    <cfRule type="expression" dxfId="8340" priority="5043">
      <formula>$B2612="Subetapa"</formula>
    </cfRule>
  </conditionalFormatting>
  <conditionalFormatting sqref="K4087:K4097">
    <cfRule type="expression" dxfId="8339" priority="4963">
      <formula>$B4087="Subetapa"</formula>
    </cfRule>
  </conditionalFormatting>
  <conditionalFormatting sqref="K4235:K4244">
    <cfRule type="expression" dxfId="8338" priority="4930">
      <formula>$B4235="Subetapa"</formula>
    </cfRule>
  </conditionalFormatting>
  <conditionalFormatting sqref="I972:K989 I1011:K1013 I1016:K1016 I2342:K2343 I3470:K3484 I4135:K4138 I4323:K4327 I4371:K4372">
    <cfRule type="expression" dxfId="8337" priority="4872">
      <formula>$B972="Subetapa"</formula>
    </cfRule>
  </conditionalFormatting>
  <conditionalFormatting sqref="I2168:K2168 I2170:K2180">
    <cfRule type="expression" dxfId="8336" priority="4881">
      <formula>$B2168="Subetapa"</formula>
    </cfRule>
  </conditionalFormatting>
  <conditionalFormatting sqref="K2277:K2278 K2208:K2211">
    <cfRule type="expression" dxfId="8335" priority="4523">
      <formula>$B2208="Subetapa"</formula>
    </cfRule>
  </conditionalFormatting>
  <conditionalFormatting sqref="I2525:K2525">
    <cfRule type="expression" dxfId="8334" priority="4993">
      <formula>$B2525="Subetapa"</formula>
    </cfRule>
  </conditionalFormatting>
  <conditionalFormatting sqref="I2936:K2936">
    <cfRule type="expression" dxfId="8333" priority="4980">
      <formula>$B2936="Subetapa"</formula>
    </cfRule>
  </conditionalFormatting>
  <conditionalFormatting sqref="I2961:K2961">
    <cfRule type="expression" dxfId="8332" priority="4979">
      <formula>$B2961="Subetapa"</formula>
    </cfRule>
  </conditionalFormatting>
  <conditionalFormatting sqref="I3022:K3022">
    <cfRule type="expression" dxfId="8331" priority="4978">
      <formula>$B3022="Subetapa"</formula>
    </cfRule>
  </conditionalFormatting>
  <conditionalFormatting sqref="K3709:K3713">
    <cfRule type="expression" dxfId="8330" priority="4530">
      <formula>$B3709="Subetapa"</formula>
    </cfRule>
  </conditionalFormatting>
  <conditionalFormatting sqref="K3725:K3730 K3715:K3721">
    <cfRule type="expression" dxfId="8329" priority="4526">
      <formula>$B3715="Subetapa"</formula>
    </cfRule>
  </conditionalFormatting>
  <conditionalFormatting sqref="K4023:K4028">
    <cfRule type="expression" dxfId="8328" priority="4525">
      <formula>$B4023="Subetapa"</formula>
    </cfRule>
  </conditionalFormatting>
  <conditionalFormatting sqref="K4272:K4276">
    <cfRule type="expression" dxfId="8327" priority="4809">
      <formula>$B4272="Subetapa"</formula>
    </cfRule>
  </conditionalFormatting>
  <conditionalFormatting sqref="I4700:K4700">
    <cfRule type="expression" dxfId="8326" priority="4939">
      <formula>$B4700="Subetapa"</formula>
    </cfRule>
  </conditionalFormatting>
  <conditionalFormatting sqref="K153:K213 K215:K217">
    <cfRule type="expression" dxfId="8325" priority="4780">
      <formula>$B153="Subetapa"</formula>
    </cfRule>
  </conditionalFormatting>
  <conditionalFormatting sqref="I271:K271 I273:K273">
    <cfRule type="expression" dxfId="8324" priority="4636">
      <formula>$B271="Subetapa"</formula>
    </cfRule>
  </conditionalFormatting>
  <conditionalFormatting sqref="K903:K907">
    <cfRule type="expression" dxfId="8323" priority="4675">
      <formula>$B903="Subetapa"</formula>
    </cfRule>
  </conditionalFormatting>
  <conditionalFormatting sqref="I2126:K2126 I2133:K2133">
    <cfRule type="expression" dxfId="8322" priority="4849">
      <formula>$B2126="Subetapa"</formula>
    </cfRule>
  </conditionalFormatting>
  <conditionalFormatting sqref="K2267:K2268 K2274:K2275 K2212:K2261">
    <cfRule type="expression" dxfId="8321" priority="4682">
      <formula>$B2212="Serviço"</formula>
    </cfRule>
  </conditionalFormatting>
  <conditionalFormatting sqref="K2817:K2831 K2835:K2842">
    <cfRule type="expression" dxfId="8320" priority="4834">
      <formula>$B2817="Subetapa"</formula>
    </cfRule>
  </conditionalFormatting>
  <conditionalFormatting sqref="K2883:K2884">
    <cfRule type="expression" dxfId="8319" priority="4591">
      <formula>$B2883="Serviço"</formula>
    </cfRule>
  </conditionalFormatting>
  <conditionalFormatting sqref="I2911:K2911">
    <cfRule type="expression" dxfId="8318" priority="4987">
      <formula>$B2911="Subetapa"</formula>
    </cfRule>
  </conditionalFormatting>
  <conditionalFormatting sqref="K2912:K2935">
    <cfRule type="expression" dxfId="8317" priority="4968">
      <formula>$B2912="Subetapa"</formula>
    </cfRule>
  </conditionalFormatting>
  <conditionalFormatting sqref="I3259:K3259">
    <cfRule type="expression" dxfId="8316" priority="4583">
      <formula>$B3259="Subetapa"</formula>
    </cfRule>
  </conditionalFormatting>
  <conditionalFormatting sqref="K3821:K3850">
    <cfRule type="expression" dxfId="8315" priority="4796">
      <formula>$B3821="Subetapa"</formula>
    </cfRule>
  </conditionalFormatting>
  <conditionalFormatting sqref="K4058:K4067">
    <cfRule type="expression" dxfId="8314" priority="4879">
      <formula>$B4058="Subetapa"</formula>
    </cfRule>
  </conditionalFormatting>
  <conditionalFormatting sqref="K4573:K4585">
    <cfRule type="expression" dxfId="8313" priority="4938">
      <formula>$B4573="Subetapa"</formula>
    </cfRule>
  </conditionalFormatting>
  <conditionalFormatting sqref="I263:K265 I275:K286 I299:K299 I2754:K2754 I267:K267 I269:K269 I301:K301 I304:K343">
    <cfRule type="expression" dxfId="8312" priority="5124">
      <formula>$B263="Subetapa"</formula>
    </cfRule>
  </conditionalFormatting>
  <conditionalFormatting sqref="K4598:K4609">
    <cfRule type="expression" dxfId="8311" priority="4529">
      <formula>$B4598="Subetapa"</formula>
    </cfRule>
  </conditionalFormatting>
  <conditionalFormatting sqref="K4725:K4790 K5013:K5019">
    <cfRule type="expression" dxfId="8310" priority="5068">
      <formula>$B4725="Subetapa"</formula>
    </cfRule>
  </conditionalFormatting>
  <conditionalFormatting sqref="K661:K664">
    <cfRule type="expression" dxfId="8309" priority="4624">
      <formula>$B661="Serviço"</formula>
    </cfRule>
  </conditionalFormatting>
  <conditionalFormatting sqref="I897:K902 I990:K1010 I1014:K1015 I1017:K1017 I2691:K2691 I3310:K3310 I3714:K3714 I4133:K4134 I4277:K4278 I4322:K4322 I4022:K4022">
    <cfRule type="expression" dxfId="8308" priority="5045">
      <formula>$B897="Subetapa"</formula>
    </cfRule>
  </conditionalFormatting>
  <conditionalFormatting sqref="K964:K969 K960:K962">
    <cfRule type="expression" dxfId="8307" priority="4899">
      <formula>$B960="Subetapa"</formula>
    </cfRule>
  </conditionalFormatting>
  <conditionalFormatting sqref="I2772:K2772">
    <cfRule type="expression" dxfId="8306" priority="4835">
      <formula>$B2772="Subetapa"</formula>
    </cfRule>
  </conditionalFormatting>
  <conditionalFormatting sqref="K2042:K2052">
    <cfRule type="expression" dxfId="8305" priority="4536">
      <formula>$B2042="Subetapa"</formula>
    </cfRule>
  </conditionalFormatting>
  <conditionalFormatting sqref="I4801:K4801">
    <cfRule type="expression" dxfId="8304" priority="4553" stopIfTrue="1">
      <formula>$B4801="complemento do insumo"</formula>
    </cfRule>
    <cfRule type="expression" dxfId="8303" priority="4554" stopIfTrue="1">
      <formula>$B4801="insumo"</formula>
    </cfRule>
  </conditionalFormatting>
  <conditionalFormatting sqref="K2937:K2956">
    <cfRule type="expression" dxfId="8302" priority="4540">
      <formula>$B2937="Subetapa"</formula>
    </cfRule>
  </conditionalFormatting>
  <conditionalFormatting sqref="K1169:K1174">
    <cfRule type="expression" dxfId="8301" priority="4538">
      <formula>$B1169="Subetapa"</formula>
    </cfRule>
  </conditionalFormatting>
  <conditionalFormatting sqref="K2120:K2125">
    <cfRule type="expression" dxfId="8300" priority="4535">
      <formula>$B2120="Subetapa"</formula>
    </cfRule>
  </conditionalFormatting>
  <conditionalFormatting sqref="K2127:K2132">
    <cfRule type="expression" dxfId="8299" priority="4534">
      <formula>$B2127="Subetapa"</formula>
    </cfRule>
  </conditionalFormatting>
  <conditionalFormatting sqref="K2134:K2143">
    <cfRule type="expression" dxfId="8298" priority="4533">
      <formula>$B2134="Subetapa"</formula>
    </cfRule>
  </conditionalFormatting>
  <conditionalFormatting sqref="K2356:K2357">
    <cfRule type="expression" dxfId="8297" priority="4532">
      <formula>$B2356="Subetapa"</formula>
    </cfRule>
  </conditionalFormatting>
  <conditionalFormatting sqref="K2692:K2718">
    <cfRule type="expression" dxfId="8296" priority="4528">
      <formula>$B2692="Subetapa"</formula>
    </cfRule>
  </conditionalFormatting>
  <conditionalFormatting sqref="K2885:K2889 K2905:K2910">
    <cfRule type="expression" dxfId="8295" priority="4527">
      <formula>$B2885="Subetapa"</formula>
    </cfRule>
  </conditionalFormatting>
  <conditionalFormatting sqref="K3023:K3046">
    <cfRule type="expression" dxfId="8294" priority="4539">
      <formula>$B3023="Subetapa"</formula>
    </cfRule>
  </conditionalFormatting>
  <conditionalFormatting sqref="K3191:K3194">
    <cfRule type="expression" dxfId="8293" priority="4531">
      <formula>$B3191="Subetapa"</formula>
    </cfRule>
  </conditionalFormatting>
  <conditionalFormatting sqref="I3892:K3892">
    <cfRule type="expression" dxfId="8292" priority="4545">
      <formula>$B3892="Subetapa"</formula>
    </cfRule>
  </conditionalFormatting>
  <conditionalFormatting sqref="I3903:K3903">
    <cfRule type="expression" dxfId="8291" priority="4546">
      <formula>$B3903="Subetapa"</formula>
    </cfRule>
  </conditionalFormatting>
  <conditionalFormatting sqref="I3914:K3914">
    <cfRule type="expression" dxfId="8290" priority="4547">
      <formula>$B3914="Subetapa"</formula>
    </cfRule>
  </conditionalFormatting>
  <conditionalFormatting sqref="I3925:K3925">
    <cfRule type="expression" dxfId="8289" priority="4548">
      <formula>$B3925="Subetapa"</formula>
    </cfRule>
  </conditionalFormatting>
  <conditionalFormatting sqref="I3936:K3936">
    <cfRule type="expression" dxfId="8288" priority="4549">
      <formula>$B3936="Subetapa"</formula>
    </cfRule>
  </conditionalFormatting>
  <conditionalFormatting sqref="I3955:K3955">
    <cfRule type="expression" dxfId="8287" priority="4544">
      <formula>$B3955="Subetapa"</formula>
    </cfRule>
  </conditionalFormatting>
  <conditionalFormatting sqref="K4701:K4702">
    <cfRule type="expression" dxfId="8286" priority="4524">
      <formula>$B4701="Subetapa"</formula>
    </cfRule>
  </conditionalFormatting>
  <conditionalFormatting sqref="K3065:K3088">
    <cfRule type="expression" dxfId="8285" priority="4543">
      <formula>$B3065="Subetapa"</formula>
    </cfRule>
  </conditionalFormatting>
  <conditionalFormatting sqref="I271:K271 I273:K273">
    <cfRule type="expression" dxfId="8284" priority="4635">
      <formula>$B271="Serviço"</formula>
    </cfRule>
  </conditionalFormatting>
  <conditionalFormatting sqref="I287:K289 I295:K295 I293:K293 I291:K291">
    <cfRule type="expression" dxfId="8283" priority="4637">
      <formula>$B287="Serviço"</formula>
    </cfRule>
    <cfRule type="expression" dxfId="8282" priority="4638">
      <formula>$B287="Subetapa"</formula>
    </cfRule>
  </conditionalFormatting>
  <conditionalFormatting sqref="I297:K297">
    <cfRule type="expression" dxfId="8281" priority="4633">
      <formula>$B297="Serviço"</formula>
    </cfRule>
    <cfRule type="expression" dxfId="8280" priority="4634">
      <formula>$B297="Subetapa"</formula>
    </cfRule>
  </conditionalFormatting>
  <conditionalFormatting sqref="K461:K463">
    <cfRule type="expression" dxfId="8279" priority="4631">
      <formula>$B461="Subetapa"</formula>
    </cfRule>
    <cfRule type="expression" dxfId="8278" priority="4632">
      <formula>$B461="Serviço"</formula>
    </cfRule>
  </conditionalFormatting>
  <conditionalFormatting sqref="K473:K476">
    <cfRule type="expression" dxfId="8277" priority="4629">
      <formula>$B473="Subetapa"</formula>
    </cfRule>
    <cfRule type="expression" dxfId="8276" priority="4630">
      <formula>$B473="Serviço"</formula>
    </cfRule>
  </conditionalFormatting>
  <conditionalFormatting sqref="K500:K501">
    <cfRule type="expression" dxfId="8275" priority="4627">
      <formula>$B500="Subetapa"</formula>
    </cfRule>
    <cfRule type="expression" dxfId="8274" priority="4628">
      <formula>$B500="Serviço"</formula>
    </cfRule>
  </conditionalFormatting>
  <conditionalFormatting sqref="K621:K639">
    <cfRule type="expression" dxfId="8273" priority="4625">
      <formula>$B621="Subetapa"</formula>
    </cfRule>
    <cfRule type="expression" dxfId="8272" priority="4626">
      <formula>$B621="Serviço"</formula>
    </cfRule>
  </conditionalFormatting>
  <conditionalFormatting sqref="K661:K664">
    <cfRule type="expression" dxfId="8271" priority="4623">
      <formula>$B661="Subetapa"</formula>
    </cfRule>
  </conditionalFormatting>
  <conditionalFormatting sqref="K738:K741">
    <cfRule type="expression" dxfId="8270" priority="4621">
      <formula>$B738="Subetapa"</formula>
    </cfRule>
    <cfRule type="expression" dxfId="8269" priority="4622">
      <formula>$B738="Serviço"</formula>
    </cfRule>
  </conditionalFormatting>
  <conditionalFormatting sqref="K759:K762">
    <cfRule type="expression" dxfId="8268" priority="4619">
      <formula>$B759="Subetapa"</formula>
    </cfRule>
    <cfRule type="expression" dxfId="8267" priority="4620">
      <formula>$B759="Serviço"</formula>
    </cfRule>
  </conditionalFormatting>
  <conditionalFormatting sqref="K779:K786">
    <cfRule type="expression" dxfId="8266" priority="4665">
      <formula>$B779="Subetapa"</formula>
    </cfRule>
    <cfRule type="expression" dxfId="8265" priority="4666">
      <formula>$B779="Serviço"</formula>
    </cfRule>
  </conditionalFormatting>
  <conditionalFormatting sqref="K814:K834">
    <cfRule type="expression" dxfId="8264" priority="4617">
      <formula>$B814="Subetapa"</formula>
    </cfRule>
    <cfRule type="expression" dxfId="8263" priority="4618">
      <formula>$B814="Serviço"</formula>
    </cfRule>
  </conditionalFormatting>
  <conditionalFormatting sqref="K835:K838">
    <cfRule type="expression" dxfId="8262" priority="4615">
      <formula>$B835="Subetapa"</formula>
    </cfRule>
    <cfRule type="expression" dxfId="8261" priority="4616">
      <formula>$B835="Serviço"</formula>
    </cfRule>
  </conditionalFormatting>
  <conditionalFormatting sqref="K879:K884">
    <cfRule type="expression" dxfId="8260" priority="4669">
      <formula>$B879="Subetapa"</formula>
    </cfRule>
  </conditionalFormatting>
  <conditionalFormatting sqref="K2470:K2524 K2607:K2611 K2719:K2730 K3189:K3190 K3556:K3560 K3290:K3309 K3227:K3228 K3231:K3234 K3247:K3250 K3139:K3142 K3851:K3857 K3980:K4021 K4098:K4109 K4114:K4121 K4217:K4234 K4208:K4210 K4163:K4165 K4139:K4150 K885:K896 K3485:K3549 K3195:K3206 K4264:K4267">
    <cfRule type="expression" dxfId="8259" priority="4613">
      <formula>$B885="Serviço"</formula>
    </cfRule>
  </conditionalFormatting>
  <conditionalFormatting sqref="K885:K896">
    <cfRule type="expression" dxfId="8258" priority="4612">
      <formula>$B885="Subetapa"</formula>
    </cfRule>
  </conditionalFormatting>
  <conditionalFormatting sqref="K918:K929 K879:K884">
    <cfRule type="expression" dxfId="8257" priority="4668">
      <formula>$B879="Serviço"</formula>
    </cfRule>
  </conditionalFormatting>
  <conditionalFormatting sqref="K918:K929">
    <cfRule type="expression" dxfId="8256" priority="4667">
      <formula>$B918="Subetapa"</formula>
    </cfRule>
  </conditionalFormatting>
  <conditionalFormatting sqref="K931:K942">
    <cfRule type="expression" dxfId="8255" priority="4672">
      <formula>$B931="Subetapa"</formula>
    </cfRule>
    <cfRule type="expression" dxfId="8254" priority="4673">
      <formula>$B931="Serviço"</formula>
    </cfRule>
  </conditionalFormatting>
  <conditionalFormatting sqref="I971:K971">
    <cfRule type="expression" dxfId="8253" priority="5074">
      <formula>$B971="Subetapa"</formula>
    </cfRule>
  </conditionalFormatting>
  <conditionalFormatting sqref="K1175:K1185">
    <cfRule type="expression" dxfId="8252" priority="4610">
      <formula>$B1175="Subetapa"</formula>
    </cfRule>
    <cfRule type="expression" dxfId="8251" priority="4611">
      <formula>$B1175="Serviço"</formula>
    </cfRule>
  </conditionalFormatting>
  <conditionalFormatting sqref="K2470:K2524 K2607:K2611 K2719:K2730 K3189:K3190 K3556:K3560 K3290:K3309 K3227:K3228 K3231:K3234 K3247:K3250 K3139:K3142 K3851:K3857 K3980:K4021 K4098:K4109 K4114:K4121 K4217:K4234 K4208:K4210 K4163:K4165 K4139:K4150 K3485:K3549 K3195:K3206 K4264:K4267">
    <cfRule type="expression" dxfId="8250" priority="4614">
      <formula>$B2470="Subetapa"</formula>
    </cfRule>
  </conditionalFormatting>
  <conditionalFormatting sqref="K2181:K2187">
    <cfRule type="expression" dxfId="8249" priority="5126">
      <formula>$B2181="Subetapa"</formula>
    </cfRule>
  </conditionalFormatting>
  <conditionalFormatting sqref="I2188:K2188">
    <cfRule type="expression" dxfId="8248" priority="5120">
      <formula>$B2188="Subetapa"</formula>
    </cfRule>
  </conditionalFormatting>
  <conditionalFormatting sqref="K2189:K2202">
    <cfRule type="expression" dxfId="8247" priority="5127">
      <formula>$B2189="Subetapa"</formula>
    </cfRule>
  </conditionalFormatting>
  <conditionalFormatting sqref="K2267:K2268 K2274:K2275 K2212:K2261">
    <cfRule type="expression" dxfId="8246" priority="4681">
      <formula>$B2212="Subetapa"</formula>
    </cfRule>
  </conditionalFormatting>
  <conditionalFormatting sqref="I2229:K2229 I2235:K2235">
    <cfRule type="expression" dxfId="8245" priority="4680">
      <formula>$B2229="Subetapa"</formula>
    </cfRule>
  </conditionalFormatting>
  <conditionalFormatting sqref="I2231:K2231">
    <cfRule type="expression" dxfId="8244" priority="4678">
      <formula>$B2231="Serviço"</formula>
    </cfRule>
    <cfRule type="expression" dxfId="8243" priority="4679">
      <formula>$B2231="Subetapa"</formula>
    </cfRule>
  </conditionalFormatting>
  <conditionalFormatting sqref="K2331:K2334">
    <cfRule type="expression" dxfId="8242" priority="4991">
      <formula>$B2331="Subetapa"</formula>
    </cfRule>
  </conditionalFormatting>
  <conditionalFormatting sqref="K2335:K2337 K3561:K3565">
    <cfRule type="expression" dxfId="8241" priority="5041">
      <formula>$B2335="Subetapa"</formula>
    </cfRule>
  </conditionalFormatting>
  <conditionalFormatting sqref="K2338:K2341">
    <cfRule type="expression" dxfId="8240" priority="4608">
      <formula>$B2338="Subetapa"</formula>
    </cfRule>
    <cfRule type="expression" dxfId="8239" priority="4609">
      <formula>$B2338="Serviço"</formula>
    </cfRule>
  </conditionalFormatting>
  <conditionalFormatting sqref="K2344:K2346 K2351:K2355">
    <cfRule type="expression" dxfId="8238" priority="5001">
      <formula>$B2344="Subetapa"</formula>
    </cfRule>
  </conditionalFormatting>
  <conditionalFormatting sqref="K2347:K2348">
    <cfRule type="expression" dxfId="8237" priority="4606">
      <formula>$B2347="Subetapa"</formula>
    </cfRule>
    <cfRule type="expression" dxfId="8236" priority="4607">
      <formula>$B2347="Serviço"</formula>
    </cfRule>
  </conditionalFormatting>
  <conditionalFormatting sqref="K2349:K2350">
    <cfRule type="expression" dxfId="8235" priority="4604">
      <formula>$B2349="Subetapa"</formula>
    </cfRule>
    <cfRule type="expression" dxfId="8234" priority="4605">
      <formula>$B2349="Serviço"</formula>
    </cfRule>
  </conditionalFormatting>
  <conditionalFormatting sqref="K2359:K2367 K2369:K2373">
    <cfRule type="expression" dxfId="8233" priority="5071">
      <formula>$B2359="Subetapa"</formula>
    </cfRule>
  </conditionalFormatting>
  <conditionalFormatting sqref="K2374:K2378">
    <cfRule type="expression" dxfId="8232" priority="4602">
      <formula>$B2374="Subetapa"</formula>
    </cfRule>
    <cfRule type="expression" dxfId="8231" priority="4603">
      <formula>$B2374="Serviço"</formula>
    </cfRule>
  </conditionalFormatting>
  <conditionalFormatting sqref="K2379:K2388">
    <cfRule type="expression" dxfId="8230" priority="4600">
      <formula>$B2379="Subetapa"</formula>
    </cfRule>
  </conditionalFormatting>
  <conditionalFormatting sqref="I2673:K2674 I2690:K2690 I2682:K2682 I2687:K2688 I2684:K2685">
    <cfRule type="expression" dxfId="8229" priority="4598">
      <formula>$B2673="Subetapa"</formula>
    </cfRule>
  </conditionalFormatting>
  <conditionalFormatting sqref="K2765:K2767">
    <cfRule type="expression" dxfId="8228" priority="4596">
      <formula>$B2765="Subetapa"</formula>
    </cfRule>
    <cfRule type="expression" dxfId="8227" priority="4597">
      <formula>$B2765="Serviço"</formula>
    </cfRule>
  </conditionalFormatting>
  <conditionalFormatting sqref="I2768:K2768">
    <cfRule type="expression" dxfId="8226" priority="4986">
      <formula>$B2768="Subetapa"</formula>
    </cfRule>
  </conditionalFormatting>
  <conditionalFormatting sqref="K2806:K2816">
    <cfRule type="expression" dxfId="8225" priority="4594">
      <formula>$B2806="Subetapa"</formula>
    </cfRule>
    <cfRule type="expression" dxfId="8224" priority="4595">
      <formula>$B2806="Serviço"</formula>
    </cfRule>
  </conditionalFormatting>
  <conditionalFormatting sqref="K2883:K2884">
    <cfRule type="expression" dxfId="8223" priority="4590">
      <formula>$B2883="Subetapa"</formula>
    </cfRule>
  </conditionalFormatting>
  <conditionalFormatting sqref="K3056:K3063">
    <cfRule type="expression" dxfId="8222" priority="4588">
      <formula>$B3056="Subetapa"</formula>
    </cfRule>
    <cfRule type="expression" dxfId="8221" priority="4589">
      <formula>$B3056="Serviço"</formula>
    </cfRule>
  </conditionalFormatting>
  <conditionalFormatting sqref="K3089:K3092 K3099:K3106">
    <cfRule type="expression" dxfId="8220" priority="5128">
      <formula>$B3089="Subetapa"</formula>
    </cfRule>
  </conditionalFormatting>
  <conditionalFormatting sqref="K3097:K3098">
    <cfRule type="expression" dxfId="8219" priority="4586">
      <formula>$B3097="Subetapa"</formula>
    </cfRule>
    <cfRule type="expression" dxfId="8218" priority="4587">
      <formula>$B3097="Serviço"</formula>
    </cfRule>
  </conditionalFormatting>
  <conditionalFormatting sqref="K3129:K3136">
    <cfRule type="expression" dxfId="8217" priority="4584">
      <formula>$B3129="Subetapa"</formula>
    </cfRule>
    <cfRule type="expression" dxfId="8216" priority="4585">
      <formula>$B3129="Serviço"</formula>
    </cfRule>
  </conditionalFormatting>
  <conditionalFormatting sqref="K3350:K3379">
    <cfRule type="expression" dxfId="8215" priority="4974">
      <formula>$B3350="Subetapa"</formula>
    </cfRule>
  </conditionalFormatting>
  <conditionalFormatting sqref="K3380:K3469">
    <cfRule type="expression" dxfId="8214" priority="4976">
      <formula>$B3380="Subetapa"</formula>
    </cfRule>
  </conditionalFormatting>
  <conditionalFormatting sqref="K3577:K3588 K3618:K3622">
    <cfRule type="expression" dxfId="8213" priority="4971">
      <formula>$B3577="Subetapa"</formula>
    </cfRule>
  </conditionalFormatting>
  <conditionalFormatting sqref="K3674:K3678">
    <cfRule type="expression" dxfId="8212" priority="4580">
      <formula>$B3674="Subetapa"</formula>
    </cfRule>
    <cfRule type="expression" dxfId="8211" priority="4581">
      <formula>$B3674="Serviço"</formula>
    </cfRule>
  </conditionalFormatting>
  <conditionalFormatting sqref="K3684:K3688">
    <cfRule type="expression" dxfId="8210" priority="4578">
      <formula>$B3684="Subetapa"</formula>
    </cfRule>
    <cfRule type="expression" dxfId="8209" priority="4579">
      <formula>$B3684="Serviço"</formula>
    </cfRule>
  </conditionalFormatting>
  <conditionalFormatting sqref="K3699:K3708">
    <cfRule type="expression" dxfId="8208" priority="4576">
      <formula>$B3699="Subetapa"</formula>
    </cfRule>
    <cfRule type="expression" dxfId="8207" priority="4577">
      <formula>$B3699="Serviço"</formula>
    </cfRule>
  </conditionalFormatting>
  <conditionalFormatting sqref="K3722:K3724">
    <cfRule type="expression" dxfId="8206" priority="4574">
      <formula>$B3722="Subetapa"</formula>
    </cfRule>
    <cfRule type="expression" dxfId="8205" priority="4575">
      <formula>$B3722="Serviço"</formula>
    </cfRule>
  </conditionalFormatting>
  <conditionalFormatting sqref="K3808:K3815">
    <cfRule type="expression" dxfId="8204" priority="4572">
      <formula>$B3808="Subetapa"</formula>
    </cfRule>
    <cfRule type="expression" dxfId="8203" priority="4573">
      <formula>$B3808="Serviço"</formula>
    </cfRule>
  </conditionalFormatting>
  <conditionalFormatting sqref="I3858:K3858">
    <cfRule type="expression" dxfId="8202" priority="4947">
      <formula>$B3858="Subetapa"</formula>
    </cfRule>
  </conditionalFormatting>
  <conditionalFormatting sqref="K3859:K3884">
    <cfRule type="expression" dxfId="8201" priority="4703">
      <formula>$B3859="Subetapa"</formula>
    </cfRule>
  </conditionalFormatting>
  <conditionalFormatting sqref="I3863:K3863">
    <cfRule type="expression" dxfId="8200" priority="4946">
      <formula>$B3863="Subetapa"</formula>
    </cfRule>
  </conditionalFormatting>
  <conditionalFormatting sqref="K3890:K3891">
    <cfRule type="expression" dxfId="8199" priority="4716">
      <formula>$B3890="Subetapa"</formula>
    </cfRule>
  </conditionalFormatting>
  <conditionalFormatting sqref="K3891:K3892">
    <cfRule type="expression" dxfId="8198" priority="4714">
      <formula>$B3891="Subetapa"</formula>
    </cfRule>
  </conditionalFormatting>
  <conditionalFormatting sqref="K3901:K3902">
    <cfRule type="expression" dxfId="8197" priority="4725">
      <formula>$B3901="Subetapa"</formula>
    </cfRule>
  </conditionalFormatting>
  <conditionalFormatting sqref="K3902:K3903">
    <cfRule type="expression" dxfId="8196" priority="4723">
      <formula>$B3902="Subetapa"</formula>
    </cfRule>
  </conditionalFormatting>
  <conditionalFormatting sqref="K3912:K3913">
    <cfRule type="expression" dxfId="8195" priority="4734">
      <formula>$B3912="Subetapa"</formula>
    </cfRule>
  </conditionalFormatting>
  <conditionalFormatting sqref="K3913:K3914">
    <cfRule type="expression" dxfId="8194" priority="4732">
      <formula>$B3913="Subetapa"</formula>
    </cfRule>
  </conditionalFormatting>
  <conditionalFormatting sqref="K3923:K3924">
    <cfRule type="expression" dxfId="8193" priority="4743">
      <formula>$B3923="Subetapa"</formula>
    </cfRule>
  </conditionalFormatting>
  <conditionalFormatting sqref="K3924:K3925">
    <cfRule type="expression" dxfId="8192" priority="4741">
      <formula>$B3924="Subetapa"</formula>
    </cfRule>
  </conditionalFormatting>
  <conditionalFormatting sqref="K3933:K3934">
    <cfRule type="expression" dxfId="8191" priority="4754">
      <formula>$B3933="Subetapa"</formula>
    </cfRule>
  </conditionalFormatting>
  <conditionalFormatting sqref="K3934:K3935">
    <cfRule type="expression" dxfId="8190" priority="4752">
      <formula>$B3934="Subetapa"</formula>
    </cfRule>
  </conditionalFormatting>
  <conditionalFormatting sqref="K3935:K3936">
    <cfRule type="expression" dxfId="8189" priority="4750">
      <formula>$B3935="Subetapa"</formula>
    </cfRule>
  </conditionalFormatting>
  <conditionalFormatting sqref="K3939:K3941">
    <cfRule type="expression" dxfId="8188" priority="5129">
      <formula>$B3939="Subetapa"</formula>
    </cfRule>
  </conditionalFormatting>
  <conditionalFormatting sqref="K3953:K3954">
    <cfRule type="expression" dxfId="8187" priority="4697">
      <formula>$B3953="Subetapa"</formula>
    </cfRule>
  </conditionalFormatting>
  <conditionalFormatting sqref="K3954:K3955">
    <cfRule type="expression" dxfId="8186" priority="4695">
      <formula>$B3954="Subetapa"</formula>
    </cfRule>
  </conditionalFormatting>
  <conditionalFormatting sqref="K4041:K4043 K4051:K4056">
    <cfRule type="expression" dxfId="8185" priority="4570">
      <formula>$B4041="Subetapa"</formula>
    </cfRule>
    <cfRule type="expression" dxfId="8184" priority="4571">
      <formula>$B4041="Serviço"</formula>
    </cfRule>
  </conditionalFormatting>
  <conditionalFormatting sqref="K4068:K4077">
    <cfRule type="expression" dxfId="8183" priority="4942">
      <formula>$B4068="Subetapa"</formula>
    </cfRule>
  </conditionalFormatting>
  <conditionalFormatting sqref="K4122:K4124">
    <cfRule type="expression" dxfId="8182" priority="4566">
      <formula>$B4122="Subetapa"</formula>
    </cfRule>
    <cfRule type="expression" dxfId="8181" priority="4567">
      <formula>$B4122="Serviço"</formula>
    </cfRule>
  </conditionalFormatting>
  <conditionalFormatting sqref="K4125:K4132">
    <cfRule type="expression" dxfId="8180" priority="4959">
      <formula>$B4125="Subetapa"</formula>
    </cfRule>
  </conditionalFormatting>
  <conditionalFormatting sqref="K4152:K4155">
    <cfRule type="expression" dxfId="8179" priority="5130">
      <formula>$B4152="Subetapa"</formula>
    </cfRule>
  </conditionalFormatting>
  <conditionalFormatting sqref="K4156:K4161">
    <cfRule type="expression" dxfId="8178" priority="4564">
      <formula>$B4156="Subetapa"</formula>
    </cfRule>
    <cfRule type="expression" dxfId="8177" priority="4565">
      <formula>$B4156="Serviço"</formula>
    </cfRule>
  </conditionalFormatting>
  <conditionalFormatting sqref="K4187:K4201">
    <cfRule type="expression" dxfId="8176" priority="5072">
      <formula>$B4187="Subetapa"</formula>
    </cfRule>
  </conditionalFormatting>
  <conditionalFormatting sqref="K4245:K4248">
    <cfRule type="expression" dxfId="8175" priority="4562">
      <formula>$B4245="Subetapa"</formula>
    </cfRule>
    <cfRule type="expression" dxfId="8174" priority="4563">
      <formula>$B4245="Serviço"</formula>
    </cfRule>
  </conditionalFormatting>
  <conditionalFormatting sqref="K4279:K4282">
    <cfRule type="expression" dxfId="8173" priority="4926">
      <formula>$B4279="Subetapa"</formula>
    </cfRule>
  </conditionalFormatting>
  <conditionalFormatting sqref="K4328:K4333">
    <cfRule type="expression" dxfId="8172" priority="5121">
      <formula>$B4328="Subetapa"</formula>
    </cfRule>
  </conditionalFormatting>
  <conditionalFormatting sqref="K4334:K4370">
    <cfRule type="expression" dxfId="8171" priority="4934">
      <formula>$B4334="Subetapa"</formula>
    </cfRule>
  </conditionalFormatting>
  <conditionalFormatting sqref="K4434:K4436">
    <cfRule type="expression" dxfId="8170" priority="5131">
      <formula>$B4434="Subetapa"</formula>
    </cfRule>
  </conditionalFormatting>
  <conditionalFormatting sqref="K4459:K4460">
    <cfRule type="expression" dxfId="8169" priority="5122">
      <formula>$B4459="Subetapa"</formula>
    </cfRule>
  </conditionalFormatting>
  <conditionalFormatting sqref="I4463:K4463">
    <cfRule type="expression" dxfId="8168" priority="5132">
      <formula>$B4463="Subetapa"</formula>
    </cfRule>
  </conditionalFormatting>
  <conditionalFormatting sqref="I4482:K4482">
    <cfRule type="expression" dxfId="8167" priority="5133">
      <formula>$B4482="Subetapa"</formula>
    </cfRule>
  </conditionalFormatting>
  <conditionalFormatting sqref="I4572:K4572">
    <cfRule type="expression" dxfId="8166" priority="4557">
      <formula>$B4572="Serviço"</formula>
    </cfRule>
  </conditionalFormatting>
  <conditionalFormatting sqref="K4791:K4800 K4811:K4830">
    <cfRule type="expression" dxfId="8165" priority="5135">
      <formula>$B4791="Subetapa"</formula>
    </cfRule>
  </conditionalFormatting>
  <conditionalFormatting sqref="K4801:K4810">
    <cfRule type="expression" dxfId="8164" priority="4555">
      <formula>$B4801="Serviço"</formula>
    </cfRule>
    <cfRule type="expression" dxfId="8163" priority="4556">
      <formula>$B4801="Subetapa"</formula>
    </cfRule>
  </conditionalFormatting>
  <conditionalFormatting sqref="K4832:K4834">
    <cfRule type="expression" dxfId="8162" priority="5136">
      <formula>$B4832="Subetapa"</formula>
    </cfRule>
  </conditionalFormatting>
  <conditionalFormatting sqref="K4918:K4922">
    <cfRule type="expression" dxfId="8161" priority="4551">
      <formula>$B4918="Serviço"</formula>
    </cfRule>
    <cfRule type="expression" dxfId="8160" priority="4552">
      <formula>$B4918="Subetapa"</formula>
    </cfRule>
  </conditionalFormatting>
  <conditionalFormatting sqref="K4976:K4983">
    <cfRule type="expression" dxfId="8159" priority="4568">
      <formula>$B4976="Subetapa"</formula>
    </cfRule>
    <cfRule type="expression" dxfId="8158" priority="4569">
      <formula>$B4976="Serviço"</formula>
    </cfRule>
  </conditionalFormatting>
  <conditionalFormatting sqref="K345:K360 K370:K383 K385:K460">
    <cfRule type="expression" dxfId="8157" priority="4871">
      <formula>$B345="Subetapa"</formula>
    </cfRule>
  </conditionalFormatting>
  <conditionalFormatting sqref="I1018:K1018 I1168:K1168">
    <cfRule type="expression" dxfId="8156" priority="4859">
      <formula>$B1018="Subetapa"</formula>
    </cfRule>
  </conditionalFormatting>
  <conditionalFormatting sqref="K1186:K1197">
    <cfRule type="expression" dxfId="8155" priority="4550">
      <formula>$B1186="Subetapa"</formula>
    </cfRule>
  </conditionalFormatting>
  <conditionalFormatting sqref="K2053:K2119">
    <cfRule type="expression" dxfId="8154" priority="4848">
      <formula>$B2053="Subetapa"</formula>
    </cfRule>
  </conditionalFormatting>
  <conditionalFormatting sqref="I2188:K2188">
    <cfRule type="expression" dxfId="8153" priority="4903">
      <formula>$B2188="Subetapa"</formula>
    </cfRule>
  </conditionalFormatting>
  <conditionalFormatting sqref="K2755:K2756">
    <cfRule type="expression" dxfId="8152" priority="4836">
      <formula>$B2755="Subetapa"</formula>
    </cfRule>
  </conditionalFormatting>
  <conditionalFormatting sqref="K2770:K2771">
    <cfRule type="expression" dxfId="8151" priority="4692">
      <formula>$B2770="Subetapa"</formula>
    </cfRule>
  </conditionalFormatting>
  <conditionalFormatting sqref="I2760:K2760 I2773:K2805">
    <cfRule type="expression" dxfId="8150" priority="4909">
      <formula>$B2760="Subetapa"</formula>
    </cfRule>
  </conditionalFormatting>
  <conditionalFormatting sqref="K3048:K3055">
    <cfRule type="expression" dxfId="8149" priority="4542">
      <formula>$B3048="Subetapa"</formula>
    </cfRule>
  </conditionalFormatting>
  <conditionalFormatting sqref="I3238:K3238">
    <cfRule type="expression" dxfId="8148" priority="4818">
      <formula>$B3238="Subetapa"</formula>
    </cfRule>
  </conditionalFormatting>
  <conditionalFormatting sqref="K3623:K3673">
    <cfRule type="expression" dxfId="8147" priority="4812">
      <formula>$B3623="Subetapa"</formula>
    </cfRule>
  </conditionalFormatting>
  <conditionalFormatting sqref="K3679:K3683">
    <cfRule type="expression" dxfId="8146" priority="4541">
      <formula>$B3679="Subetapa"</formula>
    </cfRule>
  </conditionalFormatting>
  <conditionalFormatting sqref="K3885:K3889">
    <cfRule type="expression" dxfId="8145" priority="4772">
      <formula>$B3885="Subetapa"</formula>
    </cfRule>
  </conditionalFormatting>
  <conditionalFormatting sqref="I3893:K3893">
    <cfRule type="expression" dxfId="8144" priority="4719">
      <formula>$B3893="Subetapa"</formula>
    </cfRule>
  </conditionalFormatting>
  <conditionalFormatting sqref="K3894:K3900">
    <cfRule type="expression" dxfId="8143" priority="4769">
      <formula>$B3894="Subetapa"</formula>
    </cfRule>
  </conditionalFormatting>
  <conditionalFormatting sqref="I3895:K3895">
    <cfRule type="expression" dxfId="8142" priority="4804">
      <formula>$B3895="Subetapa"</formula>
    </cfRule>
  </conditionalFormatting>
  <conditionalFormatting sqref="I3904:K3904">
    <cfRule type="expression" dxfId="8141" priority="4728">
      <formula>$B3904="Subetapa"</formula>
    </cfRule>
  </conditionalFormatting>
  <conditionalFormatting sqref="K3905:K3911">
    <cfRule type="expression" dxfId="8140" priority="4766">
      <formula>$B3905="Subetapa"</formula>
    </cfRule>
  </conditionalFormatting>
  <conditionalFormatting sqref="I3906:K3906">
    <cfRule type="expression" dxfId="8139" priority="4803">
      <formula>$B3906="Subetapa"</formula>
    </cfRule>
  </conditionalFormatting>
  <conditionalFormatting sqref="I3915:K3915">
    <cfRule type="expression" dxfId="8138" priority="4737">
      <formula>$B3915="Subetapa"</formula>
    </cfRule>
  </conditionalFormatting>
  <conditionalFormatting sqref="K3916:K3922">
    <cfRule type="expression" dxfId="8137" priority="4763">
      <formula>$B3916="Subetapa"</formula>
    </cfRule>
  </conditionalFormatting>
  <conditionalFormatting sqref="I3917:K3917">
    <cfRule type="expression" dxfId="8136" priority="4802">
      <formula>$B3917="Subetapa"</formula>
    </cfRule>
  </conditionalFormatting>
  <conditionalFormatting sqref="I3926:K3926">
    <cfRule type="expression" dxfId="8135" priority="4746">
      <formula>$B3926="Subetapa"</formula>
    </cfRule>
  </conditionalFormatting>
  <conditionalFormatting sqref="K3927:K3932 K3937:K3947">
    <cfRule type="expression" dxfId="8134" priority="4760">
      <formula>$B3927="Subetapa"</formula>
    </cfRule>
  </conditionalFormatting>
  <conditionalFormatting sqref="I3928:K3928">
    <cfRule type="expression" dxfId="8133" priority="4801">
      <formula>$B3928="Subetapa"</formula>
    </cfRule>
  </conditionalFormatting>
  <conditionalFormatting sqref="K3948:K3952">
    <cfRule type="expression" dxfId="8132" priority="4757">
      <formula>$B3948="Subetapa"</formula>
    </cfRule>
  </conditionalFormatting>
  <conditionalFormatting sqref="K3956:K3959 K3962:K3979">
    <cfRule type="expression" dxfId="8131" priority="4700">
      <formula>$B3956="Subetapa"</formula>
    </cfRule>
  </conditionalFormatting>
  <conditionalFormatting sqref="K4283:K4301 K4304:K4321">
    <cfRule type="expression" dxfId="8130" priority="4789">
      <formula>$B4283="Subetapa"</formula>
    </cfRule>
  </conditionalFormatting>
  <conditionalFormatting sqref="K4703:K4720">
    <cfRule type="expression" dxfId="8129" priority="4874">
      <formula>$B4703="Subetapa"</formula>
    </cfRule>
  </conditionalFormatting>
  <conditionalFormatting sqref="K4721:K4724">
    <cfRule type="expression" dxfId="8128" priority="4790">
      <formula>$B4721="Subetapa"</formula>
    </cfRule>
  </conditionalFormatting>
  <conditionalFormatting sqref="K4835:K4836 K4840:K4842 K4971:K4974 K4992:K4997 K5009:K5010">
    <cfRule type="expression" dxfId="8127" priority="4885">
      <formula>$B4835="Subetapa"</formula>
    </cfRule>
  </conditionalFormatting>
  <conditionalFormatting sqref="I4860:K4860">
    <cfRule type="expression" dxfId="8126" priority="4893">
      <formula>$B4860="Subetapa"</formula>
    </cfRule>
  </conditionalFormatting>
  <conditionalFormatting sqref="K4941:K4957">
    <cfRule type="expression" dxfId="8125" priority="4883">
      <formula>$B4941="Subetapa"</formula>
    </cfRule>
  </conditionalFormatting>
  <conditionalFormatting sqref="K4974:K4975 K4984:K4991">
    <cfRule type="expression" dxfId="8124" priority="4916">
      <formula>$B4974="Subetapa"</formula>
    </cfRule>
  </conditionalFormatting>
  <conditionalFormatting sqref="I2736:K2736">
    <cfRule type="expression" dxfId="8123" priority="4876">
      <formula>$B2736="Subetapa"</formula>
    </cfRule>
  </conditionalFormatting>
  <conditionalFormatting sqref="I2192:K2192 I4831:K4831">
    <cfRule type="expression" dxfId="8122" priority="4880">
      <formula>$B2192="Subetapa"</formula>
    </cfRule>
  </conditionalFormatting>
  <conditionalFormatting sqref="K3108:K3128 K3137:K3138">
    <cfRule type="expression" dxfId="8121" priority="4910">
      <formula>$B3108="Subetapa"</formula>
    </cfRule>
  </conditionalFormatting>
  <conditionalFormatting sqref="K4460:K4503">
    <cfRule type="expression" dxfId="8120" priority="4793">
      <formula>$B4460="Subetapa"</formula>
    </cfRule>
  </conditionalFormatting>
  <conditionalFormatting sqref="A195:A212">
    <cfRule type="expression" dxfId="8119" priority="4457">
      <formula>$B195="Subetapa"</formula>
    </cfRule>
  </conditionalFormatting>
  <conditionalFormatting sqref="A4976:A4983">
    <cfRule type="expression" dxfId="8118" priority="3729">
      <formula>$B4976="Subetapa"</formula>
    </cfRule>
    <cfRule type="expression" dxfId="8117" priority="3730">
      <formula>$B4976="Serviço"</formula>
    </cfRule>
  </conditionalFormatting>
  <conditionalFormatting sqref="A4:A151 A153:A194">
    <cfRule type="expression" dxfId="8116" priority="4406">
      <formula>$B4="Subetapa"</formula>
    </cfRule>
  </conditionalFormatting>
  <conditionalFormatting sqref="A271 A273">
    <cfRule type="expression" dxfId="8115" priority="3826">
      <formula>$B271="Serviço"</formula>
    </cfRule>
    <cfRule type="expression" dxfId="8114" priority="3827">
      <formula>$B271="Subetapa"</formula>
    </cfRule>
  </conditionalFormatting>
  <conditionalFormatting sqref="A287:A289 A295 A293 A291">
    <cfRule type="expression" dxfId="8113" priority="3830">
      <formula>$B287="Serviço"</formula>
    </cfRule>
    <cfRule type="expression" dxfId="8112" priority="3831">
      <formula>$B287="Subetapa"</formula>
    </cfRule>
  </conditionalFormatting>
  <conditionalFormatting sqref="A297">
    <cfRule type="expression" dxfId="8111" priority="3824">
      <formula>$B297="Serviço"</formula>
    </cfRule>
    <cfRule type="expression" dxfId="8110" priority="3825">
      <formula>$B297="Subetapa"</formula>
    </cfRule>
  </conditionalFormatting>
  <conditionalFormatting sqref="A345:A360">
    <cfRule type="expression" dxfId="8109" priority="4481">
      <formula>$B345="Subetapa"</formula>
    </cfRule>
  </conditionalFormatting>
  <conditionalFormatting sqref="A461:A463">
    <cfRule type="expression" dxfId="8108" priority="3822">
      <formula>$B461="Serviço"</formula>
    </cfRule>
    <cfRule type="expression" dxfId="8107" priority="3823">
      <formula>$B461="Subetapa"</formula>
    </cfRule>
  </conditionalFormatting>
  <conditionalFormatting sqref="A473:A476">
    <cfRule type="expression" dxfId="8106" priority="3820">
      <formula>$B473="Serviço"</formula>
    </cfRule>
    <cfRule type="expression" dxfId="8105" priority="3821">
      <formula>$B473="Subetapa"</formula>
    </cfRule>
  </conditionalFormatting>
  <conditionalFormatting sqref="A500:A501">
    <cfRule type="expression" dxfId="8104" priority="3818">
      <formula>$B500="Serviço"</formula>
    </cfRule>
    <cfRule type="expression" dxfId="8103" priority="3819">
      <formula>$B500="Subetapa"</formula>
    </cfRule>
  </conditionalFormatting>
  <conditionalFormatting sqref="A621:A639">
    <cfRule type="expression" dxfId="8102" priority="3816">
      <formula>$B621="Serviço"</formula>
    </cfRule>
    <cfRule type="expression" dxfId="8101" priority="3817">
      <formula>$B621="Subetapa"</formula>
    </cfRule>
  </conditionalFormatting>
  <conditionalFormatting sqref="A661:A663">
    <cfRule type="expression" dxfId="8100" priority="3813">
      <formula>$B661="Serviço"</formula>
    </cfRule>
  </conditionalFormatting>
  <conditionalFormatting sqref="A661:A664">
    <cfRule type="expression" dxfId="8099" priority="3814">
      <formula>$B661="Subetapa"</formula>
    </cfRule>
  </conditionalFormatting>
  <conditionalFormatting sqref="A787:A791 A793:A809">
    <cfRule type="expression" dxfId="8098" priority="4400">
      <formula>$B787="Subetapa"</formula>
    </cfRule>
  </conditionalFormatting>
  <conditionalFormatting sqref="A814:A834">
    <cfRule type="expression" dxfId="8097" priority="3807">
      <formula>$B814="Serviço"</formula>
    </cfRule>
    <cfRule type="expression" dxfId="8096" priority="3808">
      <formula>$B814="Subetapa"</formula>
    </cfRule>
  </conditionalFormatting>
  <conditionalFormatting sqref="A835:A838">
    <cfRule type="expression" dxfId="8095" priority="3805">
      <formula>$B835="Serviço"</formula>
    </cfRule>
    <cfRule type="expression" dxfId="8094" priority="3806">
      <formula>$B835="Subetapa"</formula>
    </cfRule>
  </conditionalFormatting>
  <conditionalFormatting sqref="A843:A847">
    <cfRule type="expression" dxfId="8093" priority="4458">
      <formula>$B843="Subetapa"</formula>
    </cfRule>
  </conditionalFormatting>
  <conditionalFormatting sqref="A848:A850">
    <cfRule type="expression" dxfId="8092" priority="4486">
      <formula>$B848="Subetapa"</formula>
    </cfRule>
  </conditionalFormatting>
  <conditionalFormatting sqref="A852:A860">
    <cfRule type="expression" dxfId="8091" priority="4438">
      <formula>$B852="Subetapa"</formula>
    </cfRule>
  </conditionalFormatting>
  <conditionalFormatting sqref="A860:A862">
    <cfRule type="expression" dxfId="8090" priority="4434">
      <formula>$B860="Subetapa"</formula>
    </cfRule>
  </conditionalFormatting>
  <conditionalFormatting sqref="A879:A882">
    <cfRule type="expression" dxfId="8089" priority="3795">
      <formula>$B879="Serviço"</formula>
    </cfRule>
    <cfRule type="expression" dxfId="8088" priority="3796">
      <formula>$B879="Subetapa"</formula>
    </cfRule>
  </conditionalFormatting>
  <conditionalFormatting sqref="A883:A884">
    <cfRule type="expression" dxfId="8087" priority="3791">
      <formula>$B883="Serviço"</formula>
    </cfRule>
    <cfRule type="expression" dxfId="8086" priority="3792">
      <formula>$B883="Subetapa"</formula>
    </cfRule>
  </conditionalFormatting>
  <conditionalFormatting sqref="A895:A896">
    <cfRule type="expression" dxfId="8085" priority="3803">
      <formula>$B895="Serviço"</formula>
    </cfRule>
    <cfRule type="expression" dxfId="8084" priority="3804">
      <formula>$B895="Subetapa"</formula>
    </cfRule>
  </conditionalFormatting>
  <conditionalFormatting sqref="A918:A929">
    <cfRule type="expression" dxfId="8083" priority="3870">
      <formula>$B918="Serviço"</formula>
    </cfRule>
    <cfRule type="expression" dxfId="8082" priority="3871">
      <formula>$B918="Subetapa"</formula>
    </cfRule>
  </conditionalFormatting>
  <conditionalFormatting sqref="A931:A942">
    <cfRule type="expression" dxfId="8081" priority="3882">
      <formula>$B931="Serviço"</formula>
    </cfRule>
    <cfRule type="expression" dxfId="8080" priority="3883">
      <formula>$B931="Subetapa"</formula>
    </cfRule>
  </conditionalFormatting>
  <conditionalFormatting sqref="A943:A956">
    <cfRule type="expression" dxfId="8079" priority="4074">
      <formula>$B943="Subetapa"</formula>
    </cfRule>
  </conditionalFormatting>
  <conditionalFormatting sqref="A957:A962 A1169:A1172">
    <cfRule type="expression" dxfId="8078" priority="4464">
      <formula>$B957="Subetapa"</formula>
    </cfRule>
  </conditionalFormatting>
  <conditionalFormatting sqref="A963:A989">
    <cfRule type="expression" dxfId="8077" priority="4072">
      <formula>$B963="Subetapa"</formula>
    </cfRule>
  </conditionalFormatting>
  <conditionalFormatting sqref="A979:A980">
    <cfRule type="expression" dxfId="8076" priority="4423">
      <formula>$B979="Subetapa"</formula>
    </cfRule>
  </conditionalFormatting>
  <conditionalFormatting sqref="A1175:A1185">
    <cfRule type="expression" dxfId="8075" priority="3790">
      <formula>$B1175="Subetapa"</formula>
    </cfRule>
  </conditionalFormatting>
  <conditionalFormatting sqref="A1175:A1185">
    <cfRule type="expression" dxfId="8074" priority="3789">
      <formula>$B1175="Serviço"</formula>
    </cfRule>
  </conditionalFormatting>
  <conditionalFormatting sqref="A1290:A1299">
    <cfRule type="expression" dxfId="8073" priority="3778">
      <formula>$B1290="Serviço"</formula>
    </cfRule>
  </conditionalFormatting>
  <conditionalFormatting sqref="A1301:A1310 A1312:A1321 A1323:A1332 A1334:A1343 A1345:A1346">
    <cfRule type="expression" dxfId="8072" priority="3787">
      <formula>$B1301="Subetapa"</formula>
    </cfRule>
  </conditionalFormatting>
  <conditionalFormatting sqref="A1302:A1310 A1313:A1321 A1324:A1332 A1335:A1343 A1356:A1373">
    <cfRule type="expression" dxfId="8071" priority="3785">
      <formula>$B1302="Subetapa"</formula>
    </cfRule>
  </conditionalFormatting>
  <conditionalFormatting sqref="A1257:A1265 A1268:A1276 A1279:A1287 A1302:A1310 A1313:A1321 A1324:A1332 A1335:A1343 A1357:A1361 A1363:A1367 A1369:A1373">
    <cfRule type="expression" dxfId="8070" priority="3784">
      <formula>$B1257="Serviço"</formula>
    </cfRule>
  </conditionalFormatting>
  <conditionalFormatting sqref="A1376:A1385">
    <cfRule type="expression" dxfId="8069" priority="3786">
      <formula>$B1376="Serviço"</formula>
    </cfRule>
  </conditionalFormatting>
  <conditionalFormatting sqref="A1549:A1624">
    <cfRule type="expression" dxfId="8068" priority="4377">
      <formula>$B1549="Subetapa"</formula>
    </cfRule>
  </conditionalFormatting>
  <conditionalFormatting sqref="A1627:A1636">
    <cfRule type="expression" dxfId="8067" priority="4375">
      <formula>$B1627="Subetapa"</formula>
    </cfRule>
  </conditionalFormatting>
  <conditionalFormatting sqref="A1639:A1648">
    <cfRule type="expression" dxfId="8066" priority="4372">
      <formula>$B1639="Subetapa"</formula>
    </cfRule>
  </conditionalFormatting>
  <conditionalFormatting sqref="A1814:A1822">
    <cfRule type="expression" dxfId="8065" priority="4426">
      <formula>$B1814="Subetapa"</formula>
    </cfRule>
  </conditionalFormatting>
  <conditionalFormatting sqref="A1868:A1891">
    <cfRule type="expression" dxfId="8064" priority="4352">
      <formula>$B1868="Subetapa"</formula>
    </cfRule>
  </conditionalFormatting>
  <conditionalFormatting sqref="A1882:A1892">
    <cfRule type="expression" dxfId="8063" priority="4357">
      <formula>$B1882="Subetapa"</formula>
    </cfRule>
  </conditionalFormatting>
  <conditionalFormatting sqref="A1893:A1904">
    <cfRule type="expression" dxfId="8062" priority="4346">
      <formula>$B1893="Subetapa"</formula>
    </cfRule>
  </conditionalFormatting>
  <conditionalFormatting sqref="A1907:A1916">
    <cfRule type="expression" dxfId="8061" priority="4334">
      <formula>$B1907="Subetapa"</formula>
    </cfRule>
  </conditionalFormatting>
  <conditionalFormatting sqref="A1908:A1916">
    <cfRule type="expression" dxfId="8060" priority="4336">
      <formula>$B1908="Subetapa"</formula>
    </cfRule>
  </conditionalFormatting>
  <conditionalFormatting sqref="A1918:A1928">
    <cfRule type="expression" dxfId="8059" priority="4327">
      <formula>$B1918="Subetapa"</formula>
    </cfRule>
  </conditionalFormatting>
  <conditionalFormatting sqref="A1920:A1928">
    <cfRule type="expression" dxfId="8058" priority="4329">
      <formula>$B1920="Subetapa"</formula>
    </cfRule>
  </conditionalFormatting>
  <conditionalFormatting sqref="A1930:A1941">
    <cfRule type="expression" dxfId="8057" priority="4321">
      <formula>$B1930="Subetapa"</formula>
    </cfRule>
  </conditionalFormatting>
  <conditionalFormatting sqref="A1943:A1954">
    <cfRule type="expression" dxfId="8056" priority="4315">
      <formula>$B1943="Subetapa"</formula>
    </cfRule>
  </conditionalFormatting>
  <conditionalFormatting sqref="A1956:A1967">
    <cfRule type="expression" dxfId="8055" priority="4309">
      <formula>$B1956="Subetapa"</formula>
    </cfRule>
  </conditionalFormatting>
  <conditionalFormatting sqref="A1969:A1980">
    <cfRule type="expression" dxfId="8054" priority="4303">
      <formula>$B1969="Subetapa"</formula>
    </cfRule>
  </conditionalFormatting>
  <conditionalFormatting sqref="A1982:A1992">
    <cfRule type="expression" dxfId="8053" priority="4296">
      <formula>$B1982="Subetapa"</formula>
    </cfRule>
  </conditionalFormatting>
  <conditionalFormatting sqref="A1994:A2004">
    <cfRule type="expression" dxfId="8052" priority="4289">
      <formula>$B1994="Subetapa"</formula>
    </cfRule>
  </conditionalFormatting>
  <conditionalFormatting sqref="A2006:A2016">
    <cfRule type="expression" dxfId="8051" priority="4340">
      <formula>$B2006="Subetapa"</formula>
    </cfRule>
  </conditionalFormatting>
  <conditionalFormatting sqref="A2008:A2017">
    <cfRule type="expression" dxfId="8050" priority="4342">
      <formula>$B2008="Subetapa"</formula>
    </cfRule>
  </conditionalFormatting>
  <conditionalFormatting sqref="A2021:A2028 A2018:A2019">
    <cfRule type="expression" dxfId="8049" priority="4285">
      <formula>$B2018="Subetapa"</formula>
    </cfRule>
  </conditionalFormatting>
  <conditionalFormatting sqref="A2031:A2040">
    <cfRule type="expression" dxfId="8048" priority="4283">
      <formula>$B2031="Subetapa"</formula>
    </cfRule>
  </conditionalFormatting>
  <conditionalFormatting sqref="A2043:A2052">
    <cfRule type="expression" dxfId="8047" priority="4280">
      <formula>$B2043="Subetapa"</formula>
    </cfRule>
  </conditionalFormatting>
  <conditionalFormatting sqref="A2054:A2055">
    <cfRule type="expression" dxfId="8046" priority="4274">
      <formula>$B2054="Subetapa"</formula>
    </cfRule>
  </conditionalFormatting>
  <conditionalFormatting sqref="A2055:A2065">
    <cfRule type="expression" dxfId="8045" priority="4272">
      <formula>$B2055="Subetapa"</formula>
    </cfRule>
  </conditionalFormatting>
  <conditionalFormatting sqref="A2056:A2066">
    <cfRule type="expression" dxfId="8044" priority="4277">
      <formula>$B2056="Subetapa"</formula>
    </cfRule>
  </conditionalFormatting>
  <conditionalFormatting sqref="A2105:A2112">
    <cfRule type="expression" dxfId="8043" priority="4251">
      <formula>$B2105="Subetapa"</formula>
    </cfRule>
  </conditionalFormatting>
  <conditionalFormatting sqref="A2113:A2118">
    <cfRule type="expression" dxfId="8042" priority="4244">
      <formula>$B2113="Subetapa"</formula>
    </cfRule>
  </conditionalFormatting>
  <conditionalFormatting sqref="A2120:A2125">
    <cfRule type="expression" dxfId="8041" priority="4237">
      <formula>$B2120="Subetapa"</formula>
    </cfRule>
  </conditionalFormatting>
  <conditionalFormatting sqref="A2127:A2132">
    <cfRule type="expression" dxfId="8040" priority="4230">
      <formula>$B2127="Subetapa"</formula>
    </cfRule>
  </conditionalFormatting>
  <conditionalFormatting sqref="A2134:A2139">
    <cfRule type="expression" dxfId="8039" priority="4223">
      <formula>$B2134="Subetapa"</formula>
    </cfRule>
  </conditionalFormatting>
  <conditionalFormatting sqref="A2179:A2180">
    <cfRule type="expression" dxfId="8038" priority="4466">
      <formula>$B2179="Subetapa"</formula>
    </cfRule>
  </conditionalFormatting>
  <conditionalFormatting sqref="A2181:A2207 A2317:A2330">
    <cfRule type="expression" dxfId="8037" priority="4411">
      <formula>$B2181="Subetapa"</formula>
    </cfRule>
  </conditionalFormatting>
  <conditionalFormatting sqref="A2212:A2223">
    <cfRule type="expression" dxfId="8036" priority="3895">
      <formula>$B2212="Subetapa"</formula>
    </cfRule>
  </conditionalFormatting>
  <conditionalFormatting sqref="A2224:A2243">
    <cfRule type="expression" dxfId="8035" priority="3896">
      <formula>$B2224="Subetapa"</formula>
    </cfRule>
  </conditionalFormatting>
  <conditionalFormatting sqref="A2338:A2341">
    <cfRule type="expression" dxfId="8034" priority="3771">
      <formula>$B2338="Serviço"</formula>
    </cfRule>
    <cfRule type="expression" dxfId="8033" priority="3772">
      <formula>$B2338="Subetapa"</formula>
    </cfRule>
  </conditionalFormatting>
  <conditionalFormatting sqref="A2347:A2348">
    <cfRule type="expression" dxfId="8032" priority="3769">
      <formula>$B2347="Serviço"</formula>
    </cfRule>
    <cfRule type="expression" dxfId="8031" priority="3770">
      <formula>$B2347="Subetapa"</formula>
    </cfRule>
  </conditionalFormatting>
  <conditionalFormatting sqref="A2349:A2350">
    <cfRule type="expression" dxfId="8030" priority="3767">
      <formula>$B2349="Serviço"</formula>
    </cfRule>
    <cfRule type="expression" dxfId="8029" priority="3768">
      <formula>$B2349="Subetapa"</formula>
    </cfRule>
  </conditionalFormatting>
  <conditionalFormatting sqref="A2356:A2357">
    <cfRule type="expression" dxfId="8028" priority="4210">
      <formula>$B2356="Subetapa"</formula>
    </cfRule>
  </conditionalFormatting>
  <conditionalFormatting sqref="A2359:A2367 A2369:A2373 A2344:A2345 A2390:A2434">
    <cfRule type="expression" dxfId="8027" priority="4430">
      <formula>$B2344="Subetapa"</formula>
    </cfRule>
  </conditionalFormatting>
  <conditionalFormatting sqref="A2374:A2378">
    <cfRule type="expression" dxfId="8026" priority="3765">
      <formula>$B2374="Serviço"</formula>
    </cfRule>
    <cfRule type="expression" dxfId="8025" priority="3766">
      <formula>$B2374="Subetapa"</formula>
    </cfRule>
  </conditionalFormatting>
  <conditionalFormatting sqref="A2379:A2388">
    <cfRule type="expression" dxfId="8024" priority="3763">
      <formula>$B2379="Subetapa"</formula>
    </cfRule>
  </conditionalFormatting>
  <conditionalFormatting sqref="A2380:A2383 A2385:A2388">
    <cfRule type="expression" dxfId="8023" priority="3764">
      <formula>$B2380="Serviço"</formula>
    </cfRule>
  </conditionalFormatting>
  <conditionalFormatting sqref="A2435:A2469">
    <cfRule type="expression" dxfId="8022" priority="4206">
      <formula>$B2435="Subetapa"</formula>
    </cfRule>
  </conditionalFormatting>
  <conditionalFormatting sqref="A2470:A2474">
    <cfRule type="expression" dxfId="8021" priority="3761">
      <formula>$B2470="Serviço"</formula>
    </cfRule>
  </conditionalFormatting>
  <conditionalFormatting sqref="A2637:A2661">
    <cfRule type="expression" dxfId="8020" priority="4059">
      <formula>$B2637="Subetapa"</formula>
    </cfRule>
  </conditionalFormatting>
  <conditionalFormatting sqref="A2662:A2669">
    <cfRule type="expression" dxfId="8019" priority="4051">
      <formula>$B2662="Subetapa"</formula>
    </cfRule>
  </conditionalFormatting>
  <conditionalFormatting sqref="A2670:A2672">
    <cfRule type="expression" dxfId="8018" priority="4053">
      <formula>$B2670="Subetapa"</formula>
    </cfRule>
  </conditionalFormatting>
  <conditionalFormatting sqref="A2673:A2674 A2690 A2682 A2687:A2688 A2684:A2685">
    <cfRule type="expression" dxfId="8017" priority="3760">
      <formula>$B2673="Serviço"</formula>
    </cfRule>
  </conditionalFormatting>
  <conditionalFormatting sqref="A2673:A2674 A2690 A2682 A2687:A2688 A2684:A2685">
    <cfRule type="expression" dxfId="8016" priority="3759">
      <formula>$B2673="Subetapa"</formula>
    </cfRule>
  </conditionalFormatting>
  <conditionalFormatting sqref="A2731:A2735">
    <cfRule type="expression" dxfId="8015" priority="4057">
      <formula>$B2731="Subetapa"</formula>
    </cfRule>
  </conditionalFormatting>
  <conditionalFormatting sqref="A2737:A2753">
    <cfRule type="expression" dxfId="8014" priority="4055">
      <formula>$B2737="Subetapa"</formula>
    </cfRule>
  </conditionalFormatting>
  <conditionalFormatting sqref="A2765:A2767">
    <cfRule type="expression" dxfId="8013" priority="3757">
      <formula>$B2765="Serviço"</formula>
    </cfRule>
  </conditionalFormatting>
  <conditionalFormatting sqref="A2765:A2767">
    <cfRule type="expression" dxfId="8012" priority="3758">
      <formula>$B2765="Subetapa"</formula>
    </cfRule>
  </conditionalFormatting>
  <conditionalFormatting sqref="A2772:A2787">
    <cfRule type="expression" dxfId="8011" priority="4203">
      <formula>$B2772="Subetapa"</formula>
    </cfRule>
  </conditionalFormatting>
  <conditionalFormatting sqref="A2806:A2816">
    <cfRule type="expression" dxfId="8010" priority="3756">
      <formula>$B2806="Subetapa"</formula>
    </cfRule>
  </conditionalFormatting>
  <conditionalFormatting sqref="A2806:A2816">
    <cfRule type="expression" dxfId="8009" priority="3755">
      <formula>$B2806="Serviço"</formula>
    </cfRule>
  </conditionalFormatting>
  <conditionalFormatting sqref="A2883:A2884 A3247:A3249 A3177:A3188">
    <cfRule type="expression" dxfId="8008" priority="3753">
      <formula>$B2883="Subetapa"</formula>
    </cfRule>
    <cfRule type="expression" dxfId="8007" priority="3754">
      <formula>$B2883="Serviço"</formula>
    </cfRule>
  </conditionalFormatting>
  <conditionalFormatting sqref="A2911:A2918">
    <cfRule type="expression" dxfId="8006" priority="4197">
      <formula>$B2911="Subetapa"</formula>
    </cfRule>
  </conditionalFormatting>
  <conditionalFormatting sqref="A2937:A2960">
    <cfRule type="expression" dxfId="8005" priority="4404">
      <formula>$B2937="Subetapa"</formula>
    </cfRule>
  </conditionalFormatting>
  <conditionalFormatting sqref="A3048:A3055 A3023:A3046">
    <cfRule type="expression" dxfId="8004" priority="4489">
      <formula>$B3023="Subetapa"</formula>
    </cfRule>
  </conditionalFormatting>
  <conditionalFormatting sqref="A3056:A3063">
    <cfRule type="expression" dxfId="8003" priority="3751">
      <formula>$B3056="Subetapa"</formula>
    </cfRule>
    <cfRule type="expression" dxfId="8002" priority="3752">
      <formula>$B3056="Serviço"</formula>
    </cfRule>
  </conditionalFormatting>
  <conditionalFormatting sqref="A3097:A3098">
    <cfRule type="expression" dxfId="8001" priority="3750">
      <formula>$B3097="Serviço"</formula>
    </cfRule>
  </conditionalFormatting>
  <conditionalFormatting sqref="A3097:A3098">
    <cfRule type="expression" dxfId="8000" priority="3749">
      <formula>$B3097="Subetapa"</formula>
    </cfRule>
  </conditionalFormatting>
  <conditionalFormatting sqref="A3099:A3106 A3108:A3128 A3137:A3138">
    <cfRule type="expression" dxfId="7999" priority="4431">
      <formula>$B3099="Subetapa"</formula>
    </cfRule>
  </conditionalFormatting>
  <conditionalFormatting sqref="A3129:A3136">
    <cfRule type="expression" dxfId="7998" priority="3747">
      <formula>$B3129="Subetapa"</formula>
    </cfRule>
    <cfRule type="expression" dxfId="7997" priority="3748">
      <formula>$B3129="Serviço"</formula>
    </cfRule>
  </conditionalFormatting>
  <conditionalFormatting sqref="A3350:A3379">
    <cfRule type="expression" dxfId="7996" priority="4183">
      <formula>$B3350="Subetapa"</formula>
    </cfRule>
  </conditionalFormatting>
  <conditionalFormatting sqref="A3380:A3463">
    <cfRule type="expression" dxfId="7995" priority="4187">
      <formula>$B3380="Subetapa"</formula>
    </cfRule>
  </conditionalFormatting>
  <conditionalFormatting sqref="A3464:A3475">
    <cfRule type="expression" dxfId="7994" priority="4185">
      <formula>$B3464="Subetapa"</formula>
    </cfRule>
  </conditionalFormatting>
  <conditionalFormatting sqref="A3623:A3625">
    <cfRule type="expression" dxfId="7993" priority="4168">
      <formula>$B3623="Subetapa"</formula>
    </cfRule>
  </conditionalFormatting>
  <conditionalFormatting sqref="A3626:A3628">
    <cfRule type="expression" dxfId="7992" priority="4176">
      <formula>$B3626="Subetapa"</formula>
    </cfRule>
  </conditionalFormatting>
  <conditionalFormatting sqref="A3640:A3643">
    <cfRule type="expression" dxfId="7991" priority="4172">
      <formula>$B3640="Subetapa"</formula>
    </cfRule>
  </conditionalFormatting>
  <conditionalFormatting sqref="A3662:A3673">
    <cfRule type="expression" dxfId="7990" priority="4174">
      <formula>$B3662="Subetapa"</formula>
    </cfRule>
  </conditionalFormatting>
  <conditionalFormatting sqref="A3674:A3678">
    <cfRule type="expression" dxfId="7989" priority="3743">
      <formula>$B3674="Serviço"</formula>
    </cfRule>
    <cfRule type="expression" dxfId="7988" priority="3744">
      <formula>$B3674="Subetapa"</formula>
    </cfRule>
  </conditionalFormatting>
  <conditionalFormatting sqref="A3679:A3683">
    <cfRule type="expression" dxfId="7987" priority="4170">
      <formula>$B3679="Subetapa"</formula>
    </cfRule>
  </conditionalFormatting>
  <conditionalFormatting sqref="A3684:A3688">
    <cfRule type="expression" dxfId="7986" priority="3741">
      <formula>$B3684="Serviço"</formula>
    </cfRule>
    <cfRule type="expression" dxfId="7985" priority="3742">
      <formula>$B3684="Subetapa"</formula>
    </cfRule>
  </conditionalFormatting>
  <conditionalFormatting sqref="A3699:A3708">
    <cfRule type="expression" dxfId="7984" priority="3739">
      <formula>$B3699="Serviço"</formula>
    </cfRule>
    <cfRule type="expression" dxfId="7983" priority="3740">
      <formula>$B3699="Subetapa"</formula>
    </cfRule>
  </conditionalFormatting>
  <conditionalFormatting sqref="A3722:A3724">
    <cfRule type="expression" dxfId="7982" priority="3737">
      <formula>$B3722="Serviço"</formula>
    </cfRule>
    <cfRule type="expression" dxfId="7981" priority="3738">
      <formula>$B3722="Subetapa"</formula>
    </cfRule>
  </conditionalFormatting>
  <conditionalFormatting sqref="A3731:A3758">
    <cfRule type="expression" dxfId="7980" priority="4042">
      <formula>$B3731="Subetapa"</formula>
    </cfRule>
  </conditionalFormatting>
  <conditionalFormatting sqref="A3767:A3787">
    <cfRule type="expression" dxfId="7979" priority="4190">
      <formula>$B3767="Subetapa"</formula>
    </cfRule>
  </conditionalFormatting>
  <conditionalFormatting sqref="A3788:A3793">
    <cfRule type="expression" dxfId="7978" priority="4034">
      <formula>$B3788="Subetapa"</formula>
    </cfRule>
  </conditionalFormatting>
  <conditionalFormatting sqref="A3794:A3807">
    <cfRule type="expression" dxfId="7977" priority="4156">
      <formula>$B3794="Subetapa"</formula>
    </cfRule>
  </conditionalFormatting>
  <conditionalFormatting sqref="A3808:A3815">
    <cfRule type="expression" dxfId="7976" priority="3736">
      <formula>$B3808="Serviço"</formula>
    </cfRule>
  </conditionalFormatting>
  <conditionalFormatting sqref="A3808:A3815">
    <cfRule type="expression" dxfId="7975" priority="3735">
      <formula>$B3808="Subetapa"</formula>
    </cfRule>
  </conditionalFormatting>
  <conditionalFormatting sqref="A3846:A3847">
    <cfRule type="expression" dxfId="7974" priority="4110">
      <formula>$B3846="Subetapa"</formula>
    </cfRule>
  </conditionalFormatting>
  <conditionalFormatting sqref="A3858:A3859">
    <cfRule type="expression" dxfId="7973" priority="4152">
      <formula>$B3858="Subetapa"</formula>
    </cfRule>
  </conditionalFormatting>
  <conditionalFormatting sqref="A3861:A3862">
    <cfRule type="expression" dxfId="7972" priority="4150">
      <formula>$B3861="Subetapa"</formula>
    </cfRule>
  </conditionalFormatting>
  <conditionalFormatting sqref="A3864:A3865">
    <cfRule type="expression" dxfId="7971" priority="4142">
      <formula>$B3864="Subetapa"</formula>
    </cfRule>
  </conditionalFormatting>
  <conditionalFormatting sqref="A3883:A3884">
    <cfRule type="expression" dxfId="7970" priority="4137">
      <formula>$B3883="Subetapa"</formula>
    </cfRule>
  </conditionalFormatting>
  <conditionalFormatting sqref="A3894:A3895">
    <cfRule type="expression" dxfId="7969" priority="4132">
      <formula>$B3894="Subetapa"</formula>
    </cfRule>
  </conditionalFormatting>
  <conditionalFormatting sqref="A3905:A3906">
    <cfRule type="expression" dxfId="7968" priority="4127">
      <formula>$B3905="Subetapa"</formula>
    </cfRule>
  </conditionalFormatting>
  <conditionalFormatting sqref="A3916:A3917">
    <cfRule type="expression" dxfId="7967" priority="4122">
      <formula>$B3916="Subetapa"</formula>
    </cfRule>
  </conditionalFormatting>
  <conditionalFormatting sqref="A3927:A3928">
    <cfRule type="expression" dxfId="7966" priority="4117">
      <formula>$B3927="Subetapa"</formula>
    </cfRule>
  </conditionalFormatting>
  <conditionalFormatting sqref="A3929:A3932">
    <cfRule type="expression" dxfId="7965" priority="3996">
      <formula>$B3929="Subetapa"</formula>
    </cfRule>
  </conditionalFormatting>
  <conditionalFormatting sqref="A3938:A3943">
    <cfRule type="expression" dxfId="7964" priority="4468">
      <formula>$B3938="Subetapa"</formula>
    </cfRule>
  </conditionalFormatting>
  <conditionalFormatting sqref="A3944:A3952">
    <cfRule type="expression" dxfId="7963" priority="3993">
      <formula>$B3944="Subetapa"</formula>
    </cfRule>
  </conditionalFormatting>
  <conditionalFormatting sqref="A3956:A3959">
    <cfRule type="expression" dxfId="7962" priority="3918">
      <formula>$B3956="Subetapa"</formula>
    </cfRule>
  </conditionalFormatting>
  <conditionalFormatting sqref="A3983:A3986">
    <cfRule type="expression" dxfId="7961" priority="3733">
      <formula>$B3983="Serviço"</formula>
    </cfRule>
  </conditionalFormatting>
  <conditionalFormatting sqref="A4041:A4043 A4051:A4056">
    <cfRule type="expression" dxfId="7960" priority="3732">
      <formula>$B4041="Serviço"</formula>
    </cfRule>
  </conditionalFormatting>
  <conditionalFormatting sqref="A4041:A4043 A4051:A4056">
    <cfRule type="expression" dxfId="7959" priority="3731">
      <formula>$B4041="Subetapa"</formula>
    </cfRule>
  </conditionalFormatting>
  <conditionalFormatting sqref="A4058:A4067">
    <cfRule type="expression" dxfId="7958" priority="4412">
      <formula>$B4058="Subetapa"</formula>
    </cfRule>
  </conditionalFormatting>
  <conditionalFormatting sqref="A4069:A4076">
    <cfRule type="expression" dxfId="7957" priority="4112">
      <formula>$B4069="Subetapa"</formula>
    </cfRule>
  </conditionalFormatting>
  <conditionalFormatting sqref="A4152:A4155 A4078:A4086">
    <cfRule type="expression" dxfId="7956" priority="4405">
      <formula>$B4078="Subetapa"</formula>
    </cfRule>
  </conditionalFormatting>
  <conditionalFormatting sqref="A4110:A4113 A4088:A4098">
    <cfRule type="expression" dxfId="7955" priority="4476">
      <formula>$B4088="Subetapa"</formula>
    </cfRule>
  </conditionalFormatting>
  <conditionalFormatting sqref="A4114:A4115">
    <cfRule type="expression" dxfId="7954" priority="3723">
      <formula>$B4114="Subetapa"</formula>
    </cfRule>
  </conditionalFormatting>
  <conditionalFormatting sqref="A4122:A4124">
    <cfRule type="expression" dxfId="7953" priority="3726">
      <formula>$B4122="Serviço"</formula>
    </cfRule>
    <cfRule type="expression" dxfId="7952" priority="3727">
      <formula>$B4122="Subetapa"</formula>
    </cfRule>
  </conditionalFormatting>
  <conditionalFormatting sqref="A4125:A4134">
    <cfRule type="expression" dxfId="7951" priority="4162">
      <formula>$B4125="Subetapa"</formula>
    </cfRule>
  </conditionalFormatting>
  <conditionalFormatting sqref="A4156:A4161">
    <cfRule type="expression" dxfId="7950" priority="3721">
      <formula>$B4156="Serviço"</formula>
    </cfRule>
    <cfRule type="expression" dxfId="7949" priority="3722">
      <formula>$B4156="Subetapa"</formula>
    </cfRule>
  </conditionalFormatting>
  <conditionalFormatting sqref="A4187:A4201">
    <cfRule type="expression" dxfId="7948" priority="4443">
      <formula>$B4187="Subetapa"</formula>
    </cfRule>
  </conditionalFormatting>
  <conditionalFormatting sqref="A4245:A4248">
    <cfRule type="expression" dxfId="7947" priority="3719">
      <formula>$B4245="Serviço"</formula>
    </cfRule>
    <cfRule type="expression" dxfId="7946" priority="3720">
      <formula>$B4245="Subetapa"</formula>
    </cfRule>
  </conditionalFormatting>
  <conditionalFormatting sqref="A4296:A4301">
    <cfRule type="expression" dxfId="7945" priority="4105">
      <formula>$B4296="Subetapa"</formula>
    </cfRule>
  </conditionalFormatting>
  <conditionalFormatting sqref="A4323:A4372">
    <cfRule type="expression" dxfId="7944" priority="4103">
      <formula>$B4323="Subetapa"</formula>
    </cfRule>
  </conditionalFormatting>
  <conditionalFormatting sqref="A4373:A4402">
    <cfRule type="expression" dxfId="7943" priority="3717">
      <formula>$B4373="Subetapa"</formula>
    </cfRule>
    <cfRule type="expression" dxfId="7942" priority="3718">
      <formula>$B4373="Serviço"</formula>
    </cfRule>
  </conditionalFormatting>
  <conditionalFormatting sqref="A4403:A4427">
    <cfRule type="expression" dxfId="7941" priority="4108">
      <formula>$B4403="Subetapa"</formula>
    </cfRule>
  </conditionalFormatting>
  <conditionalFormatting sqref="A4456:A4457">
    <cfRule type="expression" dxfId="7940" priority="4519">
      <formula>$B4456="Subetapa"</formula>
    </cfRule>
  </conditionalFormatting>
  <conditionalFormatting sqref="A4462:A4463">
    <cfRule type="expression" dxfId="7939" priority="4469">
      <formula>$B4462="Subetapa"</formula>
    </cfRule>
  </conditionalFormatting>
  <conditionalFormatting sqref="A4573:A4585 A4598:A4609">
    <cfRule type="expression" dxfId="7938" priority="4100">
      <formula>$B4573="Subetapa"</formula>
    </cfRule>
  </conditionalFormatting>
  <conditionalFormatting sqref="A4686:A4699">
    <cfRule type="expression" dxfId="7937" priority="3715">
      <formula>$B4686="Subetapa"</formula>
    </cfRule>
    <cfRule type="expression" dxfId="7936" priority="3716">
      <formula>$B4686="Serviço"</formula>
    </cfRule>
  </conditionalFormatting>
  <conditionalFormatting sqref="A4723:A4726 A4984:A5027 A3759:A3766 A3962:A3969">
    <cfRule type="expression" dxfId="7935" priority="4494">
      <formula>$B3759="Subetapa"</formula>
    </cfRule>
  </conditionalFormatting>
  <conditionalFormatting sqref="A4727:A4790">
    <cfRule type="expression" dxfId="7934" priority="4419">
      <formula>$B4727="Subetapa"</formula>
    </cfRule>
  </conditionalFormatting>
  <conditionalFormatting sqref="A4801:A4810">
    <cfRule type="expression" dxfId="7933" priority="3713">
      <formula>$B4801="Serviço"</formula>
    </cfRule>
    <cfRule type="expression" dxfId="7932" priority="3714">
      <formula>$B4801="Subetapa"</formula>
    </cfRule>
  </conditionalFormatting>
  <conditionalFormatting sqref="A4872:A4917 A4923:A4931">
    <cfRule type="expression" dxfId="7931" priority="4470">
      <formula>$B4872="Subetapa"</formula>
    </cfRule>
  </conditionalFormatting>
  <conditionalFormatting sqref="A4918:A4922">
    <cfRule type="expression" dxfId="7930" priority="3711">
      <formula>$B4918="Serviço"</formula>
    </cfRule>
    <cfRule type="expression" dxfId="7929" priority="3712">
      <formula>$B4918="Subetapa"</formula>
    </cfRule>
  </conditionalFormatting>
  <conditionalFormatting sqref="A4933:A4975">
    <cfRule type="expression" dxfId="7928" priority="4471">
      <formula>$B4933="Subetapa"</formula>
    </cfRule>
  </conditionalFormatting>
  <conditionalFormatting sqref="A303">
    <cfRule type="expression" dxfId="7927" priority="3837">
      <formula>$B303="Subetapa"</formula>
    </cfRule>
  </conditionalFormatting>
  <conditionalFormatting sqref="A810:A813 A839:A842">
    <cfRule type="expression" dxfId="7926" priority="3709">
      <formula>$B810="Subetapa"</formula>
    </cfRule>
  </conditionalFormatting>
  <conditionalFormatting sqref="A881">
    <cfRule type="expression" dxfId="7925" priority="3793">
      <formula>$B881="Serviço"</formula>
    </cfRule>
    <cfRule type="expression" dxfId="7924" priority="3794">
      <formula>$B881="Subetapa"</formula>
    </cfRule>
  </conditionalFormatting>
  <conditionalFormatting sqref="A894">
    <cfRule type="expression" dxfId="7923" priority="3797">
      <formula>$B894="Serviço"</formula>
    </cfRule>
    <cfRule type="expression" dxfId="7922" priority="3798">
      <formula>$B894="Subetapa"</formula>
    </cfRule>
  </conditionalFormatting>
  <conditionalFormatting sqref="A896">
    <cfRule type="expression" dxfId="7921" priority="3799">
      <formula>$B896="Serviço"</formula>
    </cfRule>
    <cfRule type="expression" dxfId="7920" priority="3800">
      <formula>$B896="Subetapa"</formula>
    </cfRule>
  </conditionalFormatting>
  <conditionalFormatting sqref="A923">
    <cfRule type="expression" dxfId="7919" priority="3860">
      <formula>$B923="Serviço"</formula>
    </cfRule>
    <cfRule type="expression" dxfId="7918" priority="3861">
      <formula>$B923="Subetapa"</formula>
    </cfRule>
  </conditionalFormatting>
  <conditionalFormatting sqref="A926">
    <cfRule type="expression" dxfId="7917" priority="3864">
      <formula>$B926="Serviço"</formula>
    </cfRule>
    <cfRule type="expression" dxfId="7916" priority="3865">
      <formula>$B926="Subetapa"</formula>
    </cfRule>
  </conditionalFormatting>
  <conditionalFormatting sqref="A929">
    <cfRule type="expression" dxfId="7915" priority="3866">
      <formula>$B929="Serviço"</formula>
    </cfRule>
    <cfRule type="expression" dxfId="7914" priority="3867">
      <formula>$B929="Subetapa"</formula>
    </cfRule>
  </conditionalFormatting>
  <conditionalFormatting sqref="A933">
    <cfRule type="expression" dxfId="7913" priority="3876">
      <formula>$B933="Serviço"</formula>
    </cfRule>
    <cfRule type="expression" dxfId="7912" priority="3877">
      <formula>$B933="Subetapa"</formula>
    </cfRule>
  </conditionalFormatting>
  <conditionalFormatting sqref="A936">
    <cfRule type="expression" dxfId="7911" priority="3874">
      <formula>$B936="Serviço"</formula>
    </cfRule>
    <cfRule type="expression" dxfId="7910" priority="3875">
      <formula>$B936="Subetapa"</formula>
    </cfRule>
  </conditionalFormatting>
  <conditionalFormatting sqref="A939">
    <cfRule type="expression" dxfId="7909" priority="3878">
      <formula>$B939="Serviço"</formula>
    </cfRule>
    <cfRule type="expression" dxfId="7908" priority="3879">
      <formula>$B939="Subetapa"</formula>
    </cfRule>
  </conditionalFormatting>
  <conditionalFormatting sqref="A942">
    <cfRule type="expression" dxfId="7907" priority="3880">
      <formula>$B942="Serviço"</formula>
    </cfRule>
    <cfRule type="expression" dxfId="7906" priority="3881">
      <formula>$B942="Subetapa"</formula>
    </cfRule>
  </conditionalFormatting>
  <conditionalFormatting sqref="A959 A962">
    <cfRule type="expression" dxfId="7905" priority="4508">
      <formula>$B959="Subetapa"</formula>
    </cfRule>
  </conditionalFormatting>
  <conditionalFormatting sqref="A1186:A1197 A2612:A2636 A3235:A3242 A3251:A3264 A4206:A4207 A4457:A4461 A2962:A2963 A3229:A3230 A3550:A3555 A3689:A3698 A4211:A4216 A4249:A4263 A4268:A4271 A3340:A3349 A3311:A3324 A3285:A3289 A3215:A3226">
    <cfRule type="expression" dxfId="7904" priority="4393">
      <formula>$B1186="Subetapa"</formula>
    </cfRule>
  </conditionalFormatting>
  <conditionalFormatting sqref="A1290">
    <cfRule type="expression" dxfId="7903" priority="3779">
      <formula>$B1290="Subetapa"</formula>
    </cfRule>
  </conditionalFormatting>
  <conditionalFormatting sqref="A1300">
    <cfRule type="expression" dxfId="7902" priority="3774">
      <formula>$B1300="Subetapa"</formula>
    </cfRule>
  </conditionalFormatting>
  <conditionalFormatting sqref="A1311">
    <cfRule type="expression" dxfId="7901" priority="3775">
      <formula>$B1311="Subetapa"</formula>
    </cfRule>
  </conditionalFormatting>
  <conditionalFormatting sqref="A1322">
    <cfRule type="expression" dxfId="7900" priority="3776">
      <formula>$B1322="Subetapa"</formula>
    </cfRule>
  </conditionalFormatting>
  <conditionalFormatting sqref="A1333">
    <cfRule type="expression" dxfId="7899" priority="3777">
      <formula>$B1333="Subetapa"</formula>
    </cfRule>
  </conditionalFormatting>
  <conditionalFormatting sqref="A1344">
    <cfRule type="expression" dxfId="7898" priority="3773">
      <formula>$B1344="Subetapa"</formula>
    </cfRule>
  </conditionalFormatting>
  <conditionalFormatting sqref="A1386:A1396 A1541 A1548 A1626 A1638 A1535">
    <cfRule type="expression" dxfId="7897" priority="4379">
      <formula>$B1386="Subetapa"</formula>
    </cfRule>
  </conditionalFormatting>
  <conditionalFormatting sqref="A1542:A1546">
    <cfRule type="expression" dxfId="7896" priority="3699">
      <formula>$B1542="Subetapa"</formula>
    </cfRule>
  </conditionalFormatting>
  <conditionalFormatting sqref="A1650:A1842">
    <cfRule type="expression" dxfId="7895" priority="3708">
      <formula>$B1650="Subetapa"</formula>
    </cfRule>
  </conditionalFormatting>
  <conditionalFormatting sqref="A1844:A1854">
    <cfRule type="expression" dxfId="7894" priority="3707">
      <formula>$B1844="Subetapa"</formula>
    </cfRule>
  </conditionalFormatting>
  <conditionalFormatting sqref="A1856:A1866">
    <cfRule type="expression" dxfId="7893" priority="3706">
      <formula>$B1856="Subetapa"</formula>
    </cfRule>
  </conditionalFormatting>
  <conditionalFormatting sqref="A1869 A1871:A1879">
    <cfRule type="expression" dxfId="7892" priority="4354">
      <formula>$B1869="Subetapa"</formula>
    </cfRule>
  </conditionalFormatting>
  <conditionalFormatting sqref="A1870">
    <cfRule type="expression" dxfId="7891" priority="4350">
      <formula>$B1870="Subetapa"</formula>
    </cfRule>
  </conditionalFormatting>
  <conditionalFormatting sqref="A1894 A1896:A1906">
    <cfRule type="expression" dxfId="7890" priority="4348">
      <formula>$B1894="Subetapa"</formula>
    </cfRule>
  </conditionalFormatting>
  <conditionalFormatting sqref="A1931 A1933:A1941">
    <cfRule type="expression" dxfId="7889" priority="4323">
      <formula>$B1931="Subetapa"</formula>
    </cfRule>
  </conditionalFormatting>
  <conditionalFormatting sqref="A1944 A1946:A1954">
    <cfRule type="expression" dxfId="7888" priority="4317">
      <formula>$B1944="Subetapa"</formula>
    </cfRule>
  </conditionalFormatting>
  <conditionalFormatting sqref="A1957 A1959:A1967">
    <cfRule type="expression" dxfId="7887" priority="4311">
      <formula>$B1957="Subetapa"</formula>
    </cfRule>
  </conditionalFormatting>
  <conditionalFormatting sqref="A1970 A1972:A1980">
    <cfRule type="expression" dxfId="7886" priority="4305">
      <formula>$B1970="Subetapa"</formula>
    </cfRule>
  </conditionalFormatting>
  <conditionalFormatting sqref="A2020">
    <cfRule type="expression" dxfId="7885" priority="4090">
      <formula>$B2020="Subetapa"</formula>
    </cfRule>
  </conditionalFormatting>
  <conditionalFormatting sqref="A2042:A2052">
    <cfRule type="expression" dxfId="7884" priority="3705">
      <formula>$B2042="Subetapa"</formula>
    </cfRule>
  </conditionalFormatting>
  <conditionalFormatting sqref="A2068">
    <cfRule type="expression" dxfId="7883" priority="4266">
      <formula>$B2068="Subetapa"</formula>
    </cfRule>
  </conditionalFormatting>
  <conditionalFormatting sqref="A2081">
    <cfRule type="expression" dxfId="7882" priority="4260">
      <formula>$B2081="Subetapa"</formula>
    </cfRule>
  </conditionalFormatting>
  <conditionalFormatting sqref="A2094">
    <cfRule type="expression" dxfId="7881" priority="4254">
      <formula>$B2094="Subetapa"</formula>
    </cfRule>
  </conditionalFormatting>
  <conditionalFormatting sqref="A2331:A2336">
    <cfRule type="expression" dxfId="7880" priority="3704">
      <formula>$B2331="Subetapa"</formula>
    </cfRule>
  </conditionalFormatting>
  <conditionalFormatting sqref="A2346">
    <cfRule type="expression" dxfId="7879" priority="4208">
      <formula>$B2346="Subetapa"</formula>
    </cfRule>
  </conditionalFormatting>
  <conditionalFormatting sqref="A2379 A2384">
    <cfRule type="expression" dxfId="7878" priority="3762">
      <formula>$B2379="Serviço"</formula>
    </cfRule>
  </conditionalFormatting>
  <conditionalFormatting sqref="A2692:A2718">
    <cfRule type="expression" dxfId="7877" priority="3698">
      <formula>$B2692="Subetapa"</formula>
    </cfRule>
  </conditionalFormatting>
  <conditionalFormatting sqref="A2756:A2764">
    <cfRule type="expression" dxfId="7876" priority="3694">
      <formula>$B2756="Subetapa"</formula>
    </cfRule>
  </conditionalFormatting>
  <conditionalFormatting sqref="A2768">
    <cfRule type="expression" dxfId="7875" priority="4202">
      <formula>$B2768="Subetapa"</formula>
    </cfRule>
  </conditionalFormatting>
  <conditionalFormatting sqref="A2876">
    <cfRule type="expression" dxfId="7874" priority="4200">
      <formula>$B2876="Subetapa"</formula>
    </cfRule>
  </conditionalFormatting>
  <conditionalFormatting sqref="A2885:A2889 A2905:A2910">
    <cfRule type="expression" dxfId="7873" priority="3697">
      <formula>$B2885="Subetapa"</formula>
    </cfRule>
  </conditionalFormatting>
  <conditionalFormatting sqref="A3107">
    <cfRule type="expression" dxfId="7872" priority="4192">
      <formula>$B3107="Subetapa"</formula>
    </cfRule>
  </conditionalFormatting>
  <conditionalFormatting sqref="A3561:A3575">
    <cfRule type="expression" dxfId="7871" priority="3703">
      <formula>$B3561="Subetapa"</formula>
    </cfRule>
  </conditionalFormatting>
  <conditionalFormatting sqref="A3577:A3588 A3618:A3621">
    <cfRule type="expression" dxfId="7870" priority="3702">
      <formula>$B3577="Subetapa"</formula>
    </cfRule>
  </conditionalFormatting>
  <conditionalFormatting sqref="A3816:A3845">
    <cfRule type="expression" dxfId="7869" priority="3696">
      <formula>$B3816="Subetapa"</formula>
    </cfRule>
  </conditionalFormatting>
  <conditionalFormatting sqref="A3848:A3850">
    <cfRule type="expression" dxfId="7868" priority="3700">
      <formula>$B3848="Subetapa"</formula>
    </cfRule>
  </conditionalFormatting>
  <conditionalFormatting sqref="A3937">
    <cfRule type="expression" dxfId="7867" priority="3997">
      <formula>$B3937="Subetapa"</formula>
    </cfRule>
  </conditionalFormatting>
  <conditionalFormatting sqref="A3991">
    <cfRule type="expression" dxfId="7866" priority="3734">
      <formula>$B3991="Serviço"</formula>
    </cfRule>
  </conditionalFormatting>
  <conditionalFormatting sqref="A4124">
    <cfRule type="expression" dxfId="7865" priority="3724">
      <formula>$B4124="Serviço"</formula>
    </cfRule>
    <cfRule type="expression" dxfId="7864" priority="3725">
      <formula>$B4124="Subetapa"</formula>
    </cfRule>
  </conditionalFormatting>
  <conditionalFormatting sqref="A4460">
    <cfRule type="expression" dxfId="7863" priority="4417">
      <formula>$B4460="Subetapa"</formula>
    </cfRule>
  </conditionalFormatting>
  <conditionalFormatting sqref="A4482">
    <cfRule type="expression" dxfId="7862" priority="4418">
      <formula>$B4482="Subetapa"</formula>
    </cfRule>
  </conditionalFormatting>
  <conditionalFormatting sqref="A4701:A4702">
    <cfRule type="expression" dxfId="7861" priority="3695">
      <formula>$B4701="Subetapa"</formula>
    </cfRule>
  </conditionalFormatting>
  <conditionalFormatting sqref="A323">
    <cfRule type="expression" dxfId="7860" priority="4507">
      <formula>$B323="Subetapa"</formula>
    </cfRule>
  </conditionalFormatting>
  <conditionalFormatting sqref="A1842">
    <cfRule type="expression" dxfId="7859" priority="4366">
      <formula>$B1842="Subetapa"</formula>
    </cfRule>
  </conditionalFormatting>
  <conditionalFormatting sqref="A2769">
    <cfRule type="expression" dxfId="7858" priority="3901">
      <formula>$B2769="Subetapa"</formula>
    </cfRule>
  </conditionalFormatting>
  <conditionalFormatting sqref="A2770">
    <cfRule type="expression" dxfId="7857" priority="3905">
      <formula>$B2770="Subetapa"</formula>
    </cfRule>
  </conditionalFormatting>
  <conditionalFormatting sqref="A2771">
    <cfRule type="expression" dxfId="7856" priority="3903">
      <formula>$B2771="Subetapa"</formula>
    </cfRule>
  </conditionalFormatting>
  <conditionalFormatting sqref="A4932">
    <cfRule type="expression" dxfId="7855" priority="4496">
      <formula>$B4932="Subetapa"</formula>
    </cfRule>
  </conditionalFormatting>
  <conditionalFormatting sqref="A2007">
    <cfRule type="expression" dxfId="7854" priority="4338">
      <formula>$B2007="Subetapa"</formula>
    </cfRule>
  </conditionalFormatting>
  <conditionalFormatting sqref="A3865">
    <cfRule type="expression" dxfId="7853" priority="4141">
      <formula>$B3865="Subetapa"</formula>
    </cfRule>
  </conditionalFormatting>
  <conditionalFormatting sqref="A3871">
    <cfRule type="expression" dxfId="7852" priority="3927">
      <formula>$B3871="Subetapa"</formula>
    </cfRule>
  </conditionalFormatting>
  <conditionalFormatting sqref="A3872">
    <cfRule type="expression" dxfId="7851" priority="3924">
      <formula>$B3872="Subetapa"</formula>
    </cfRule>
  </conditionalFormatting>
  <conditionalFormatting sqref="A3873">
    <cfRule type="expression" dxfId="7850" priority="3921">
      <formula>$B3873="Subetapa"</formula>
    </cfRule>
  </conditionalFormatting>
  <conditionalFormatting sqref="A3884">
    <cfRule type="expression" dxfId="7849" priority="4136">
      <formula>$B3884="Subetapa"</formula>
    </cfRule>
  </conditionalFormatting>
  <conditionalFormatting sqref="A3890">
    <cfRule type="expression" dxfId="7848" priority="3939">
      <formula>$B3890="Subetapa"</formula>
    </cfRule>
  </conditionalFormatting>
  <conditionalFormatting sqref="A3891">
    <cfRule type="expression" dxfId="7847" priority="3936">
      <formula>$B3891="Subetapa"</formula>
    </cfRule>
  </conditionalFormatting>
  <conditionalFormatting sqref="A3892">
    <cfRule type="expression" dxfId="7846" priority="3933">
      <formula>$B3892="Subetapa"</formula>
    </cfRule>
  </conditionalFormatting>
  <conditionalFormatting sqref="A3895">
    <cfRule type="expression" dxfId="7845" priority="4131">
      <formula>$B3895="Subetapa"</formula>
    </cfRule>
  </conditionalFormatting>
  <conditionalFormatting sqref="A3901">
    <cfRule type="expression" dxfId="7844" priority="3951">
      <formula>$B3901="Subetapa"</formula>
    </cfRule>
  </conditionalFormatting>
  <conditionalFormatting sqref="A3902">
    <cfRule type="expression" dxfId="7843" priority="3948">
      <formula>$B3902="Subetapa"</formula>
    </cfRule>
  </conditionalFormatting>
  <conditionalFormatting sqref="A3903">
    <cfRule type="expression" dxfId="7842" priority="3945">
      <formula>$B3903="Subetapa"</formula>
    </cfRule>
  </conditionalFormatting>
  <conditionalFormatting sqref="A3906">
    <cfRule type="expression" dxfId="7841" priority="4126">
      <formula>$B3906="Subetapa"</formula>
    </cfRule>
  </conditionalFormatting>
  <conditionalFormatting sqref="A3912">
    <cfRule type="expression" dxfId="7840" priority="3963">
      <formula>$B3912="Subetapa"</formula>
    </cfRule>
  </conditionalFormatting>
  <conditionalFormatting sqref="A3913">
    <cfRule type="expression" dxfId="7839" priority="3960">
      <formula>$B3913="Subetapa"</formula>
    </cfRule>
  </conditionalFormatting>
  <conditionalFormatting sqref="A3914">
    <cfRule type="expression" dxfId="7838" priority="3957">
      <formula>$B3914="Subetapa"</formula>
    </cfRule>
  </conditionalFormatting>
  <conditionalFormatting sqref="A3917">
    <cfRule type="expression" dxfId="7837" priority="4121">
      <formula>$B3917="Subetapa"</formula>
    </cfRule>
  </conditionalFormatting>
  <conditionalFormatting sqref="A3923">
    <cfRule type="expression" dxfId="7836" priority="3975">
      <formula>$B3923="Subetapa"</formula>
    </cfRule>
  </conditionalFormatting>
  <conditionalFormatting sqref="A3924">
    <cfRule type="expression" dxfId="7835" priority="3972">
      <formula>$B3924="Subetapa"</formula>
    </cfRule>
  </conditionalFormatting>
  <conditionalFormatting sqref="A3925">
    <cfRule type="expression" dxfId="7834" priority="3969">
      <formula>$B3925="Subetapa"</formula>
    </cfRule>
  </conditionalFormatting>
  <conditionalFormatting sqref="A3933">
    <cfRule type="expression" dxfId="7833" priority="3990">
      <formula>$B3933="Subetapa"</formula>
    </cfRule>
  </conditionalFormatting>
  <conditionalFormatting sqref="A3934">
    <cfRule type="expression" dxfId="7832" priority="3987">
      <formula>$B3934="Subetapa"</formula>
    </cfRule>
  </conditionalFormatting>
  <conditionalFormatting sqref="A3935">
    <cfRule type="expression" dxfId="7831" priority="3984">
      <formula>$B3935="Subetapa"</formula>
    </cfRule>
  </conditionalFormatting>
  <conditionalFormatting sqref="A3936">
    <cfRule type="expression" dxfId="7830" priority="3981">
      <formula>$B3936="Subetapa"</formula>
    </cfRule>
  </conditionalFormatting>
  <conditionalFormatting sqref="A3953">
    <cfRule type="expression" dxfId="7829" priority="3914">
      <formula>$B3953="Subetapa"</formula>
    </cfRule>
  </conditionalFormatting>
  <conditionalFormatting sqref="A3954">
    <cfRule type="expression" dxfId="7828" priority="3911">
      <formula>$B3954="Subetapa"</formula>
    </cfRule>
  </conditionalFormatting>
  <conditionalFormatting sqref="A3955">
    <cfRule type="expression" dxfId="7827" priority="3908">
      <formula>$B3955="Subetapa"</formula>
    </cfRule>
  </conditionalFormatting>
  <conditionalFormatting sqref="A1547">
    <cfRule type="expression" dxfId="7826" priority="4378">
      <formula>$B1547="Subetapa"</formula>
    </cfRule>
  </conditionalFormatting>
  <conditionalFormatting sqref="A1625">
    <cfRule type="expression" dxfId="7825" priority="4376">
      <formula>$B1625="Subetapa"</formula>
    </cfRule>
  </conditionalFormatting>
  <conditionalFormatting sqref="A1637">
    <cfRule type="expression" dxfId="7824" priority="4374">
      <formula>$B1637="Subetapa"</formula>
    </cfRule>
  </conditionalFormatting>
  <conditionalFormatting sqref="A1649">
    <cfRule type="expression" dxfId="7823" priority="4370">
      <formula>$B1649="Subetapa"</formula>
    </cfRule>
  </conditionalFormatting>
  <conditionalFormatting sqref="A1895">
    <cfRule type="expression" dxfId="7822" priority="4344">
      <formula>$B1895="Subetapa"</formula>
    </cfRule>
  </conditionalFormatting>
  <conditionalFormatting sqref="A3243">
    <cfRule type="expression" dxfId="7821" priority="3745">
      <formula>$B3243="Serviço"</formula>
    </cfRule>
  </conditionalFormatting>
  <conditionalFormatting sqref="A3622">
    <cfRule type="expression" dxfId="7820" priority="4189">
      <formula>$B3622="Subetapa"</formula>
    </cfRule>
  </conditionalFormatting>
  <conditionalFormatting sqref="A3860">
    <cfRule type="expression" dxfId="7819" priority="4148">
      <formula>$B3860="Subetapa"</formula>
    </cfRule>
  </conditionalFormatting>
  <conditionalFormatting sqref="A3970:A3979">
    <cfRule type="expression" dxfId="7818" priority="4028">
      <formula>$B3970="Subetapa"</formula>
    </cfRule>
  </conditionalFormatting>
  <conditionalFormatting sqref="A4068">
    <cfRule type="expression" dxfId="7817" priority="4153">
      <formula>$B4068="Subetapa"</formula>
    </cfRule>
  </conditionalFormatting>
  <conditionalFormatting sqref="A4077">
    <cfRule type="expression" dxfId="7816" priority="4154">
      <formula>$B4077="Subetapa"</formula>
    </cfRule>
  </conditionalFormatting>
  <conditionalFormatting sqref="A4087">
    <cfRule type="expression" dxfId="7815" priority="4166">
      <formula>$B4087="Subetapa"</formula>
    </cfRule>
  </conditionalFormatting>
  <conditionalFormatting sqref="A4205 A4235:A4244">
    <cfRule type="expression" dxfId="7814" priority="4095">
      <formula>$B4205="Subetapa"</formula>
    </cfRule>
  </conditionalFormatting>
  <conditionalFormatting sqref="A1536:A1540 A2877:A2882 A1016 A4135:A4138 A4283:A4290">
    <cfRule type="expression" dxfId="7813" priority="4077">
      <formula>$B1016="Subetapa"</formula>
    </cfRule>
  </conditionalFormatting>
  <conditionalFormatting sqref="A1843 A1855 A1867 A1917 A1929 A1942 A1955 A1968 A1981 A1993 A2005">
    <cfRule type="expression" dxfId="7812" priority="4065">
      <formula>$B1843="Subetapa"</formula>
    </cfRule>
  </conditionalFormatting>
  <conditionalFormatting sqref="A2041 A2053">
    <cfRule type="expression" dxfId="7811" priority="4063">
      <formula>$B2041="Subetapa"</formula>
    </cfRule>
  </conditionalFormatting>
  <conditionalFormatting sqref="A2168">
    <cfRule type="expression" dxfId="7810" priority="4082">
      <formula>$B2168="Subetapa"</formula>
    </cfRule>
  </conditionalFormatting>
  <conditionalFormatting sqref="A2208:A2211 A2277:A2278">
    <cfRule type="expression" dxfId="7809" priority="3690">
      <formula>$B2208="Subetapa"</formula>
    </cfRule>
  </conditionalFormatting>
  <conditionalFormatting sqref="A2525">
    <cfRule type="expression" dxfId="7808" priority="4213">
      <formula>$B2525="Subetapa"</formula>
    </cfRule>
  </conditionalFormatting>
  <conditionalFormatting sqref="A2755">
    <cfRule type="expression" dxfId="7807" priority="4204">
      <formula>$B2755="Subetapa"</formula>
    </cfRule>
  </conditionalFormatting>
  <conditionalFormatting sqref="A2875">
    <cfRule type="expression" dxfId="7806" priority="4019">
      <formula>$B2875="Subetapa"</formula>
    </cfRule>
  </conditionalFormatting>
  <conditionalFormatting sqref="A2936">
    <cfRule type="expression" dxfId="7805" priority="4195">
      <formula>$B2936="Subetapa"</formula>
    </cfRule>
  </conditionalFormatting>
  <conditionalFormatting sqref="A2961">
    <cfRule type="expression" dxfId="7804" priority="4194">
      <formula>$B2961="Subetapa"</formula>
    </cfRule>
  </conditionalFormatting>
  <conditionalFormatting sqref="A2964:A3021">
    <cfRule type="expression" dxfId="7803" priority="3689">
      <formula>$B2964="Subetapa"</formula>
    </cfRule>
  </conditionalFormatting>
  <conditionalFormatting sqref="A3022">
    <cfRule type="expression" dxfId="7802" priority="4193">
      <formula>$B3022="Subetapa"</formula>
    </cfRule>
  </conditionalFormatting>
  <conditionalFormatting sqref="A3709:A3713">
    <cfRule type="expression" dxfId="7801" priority="3693">
      <formula>$B3709="Subetapa"</formula>
    </cfRule>
  </conditionalFormatting>
  <conditionalFormatting sqref="A3715:A3721 A3725:A3730">
    <cfRule type="expression" dxfId="7800" priority="3692">
      <formula>$B3715="Subetapa"</formula>
    </cfRule>
  </conditionalFormatting>
  <conditionalFormatting sqref="A4023:A4028">
    <cfRule type="expression" dxfId="7799" priority="3691">
      <formula>$B4023="Subetapa"</formula>
    </cfRule>
  </conditionalFormatting>
  <conditionalFormatting sqref="A4272:A4277">
    <cfRule type="expression" dxfId="7798" priority="4032">
      <formula>$B4272="Subetapa"</formula>
    </cfRule>
  </conditionalFormatting>
  <conditionalFormatting sqref="A4700">
    <cfRule type="expression" dxfId="7797" priority="4107">
      <formula>$B4700="Subetapa"</formula>
    </cfRule>
  </conditionalFormatting>
  <conditionalFormatting sqref="A4722">
    <cfRule type="expression" dxfId="7796" priority="4096">
      <formula>$B4722="Subetapa"</formula>
    </cfRule>
  </conditionalFormatting>
  <conditionalFormatting sqref="A3089:A3092">
    <cfRule type="expression" dxfId="7795" priority="3710">
      <formula>$B3089="Subetapa"</formula>
    </cfRule>
  </conditionalFormatting>
  <conditionalFormatting sqref="A3191:A3194 A3207:A3214">
    <cfRule type="expression" dxfId="7794" priority="3701">
      <formula>$B3191="Subetapa"</formula>
    </cfRule>
  </conditionalFormatting>
  <conditionalFormatting sqref="A2019:A2040">
    <cfRule type="expression" dxfId="7793" priority="4092">
      <formula>$B2019="Subetapa"</formula>
    </cfRule>
  </conditionalFormatting>
  <conditionalFormatting sqref="A2067:A2078">
    <cfRule type="expression" dxfId="7792" priority="4268">
      <formula>$B2067="Subetapa"</formula>
    </cfRule>
  </conditionalFormatting>
  <conditionalFormatting sqref="A2069:A2079">
    <cfRule type="expression" dxfId="7791" priority="4270">
      <formula>$B2069="Subetapa"</formula>
    </cfRule>
  </conditionalFormatting>
  <conditionalFormatting sqref="A2080:A2091">
    <cfRule type="expression" dxfId="7790" priority="4262">
      <formula>$B2080="Subetapa"</formula>
    </cfRule>
  </conditionalFormatting>
  <conditionalFormatting sqref="A2082:A2092">
    <cfRule type="expression" dxfId="7789" priority="4264">
      <formula>$B2082="Subetapa"</formula>
    </cfRule>
  </conditionalFormatting>
  <conditionalFormatting sqref="A2093:A2104">
    <cfRule type="expression" dxfId="7788" priority="4256">
      <formula>$B2093="Subetapa"</formula>
    </cfRule>
  </conditionalFormatting>
  <conditionalFormatting sqref="A2095:A2104">
    <cfRule type="expression" dxfId="7787" priority="4258">
      <formula>$B2095="Subetapa"</formula>
    </cfRule>
  </conditionalFormatting>
  <conditionalFormatting sqref="A4107:A4109">
    <cfRule type="expression" dxfId="7786" priority="3728">
      <formula>$B4107="Subetapa"</formula>
    </cfRule>
  </conditionalFormatting>
  <conditionalFormatting sqref="A2170:A2172 A2">
    <cfRule type="expression" dxfId="7785" priority="4472">
      <formula>$B2="Subetapa"</formula>
    </cfRule>
  </conditionalFormatting>
  <conditionalFormatting sqref="A213 A215:A217">
    <cfRule type="expression" dxfId="7784" priority="4017">
      <formula>$B213="Subetapa"</formula>
    </cfRule>
  </conditionalFormatting>
  <conditionalFormatting sqref="A324:A343">
    <cfRule type="expression" dxfId="7783" priority="4504">
      <formula>$B324="Subetapa"</formula>
    </cfRule>
  </conditionalFormatting>
  <conditionalFormatting sqref="A738:A741">
    <cfRule type="expression" dxfId="7782" priority="3811">
      <formula>$B738="Serviço"</formula>
    </cfRule>
    <cfRule type="expression" dxfId="7781" priority="3812">
      <formula>$B738="Subetapa"</formula>
    </cfRule>
  </conditionalFormatting>
  <conditionalFormatting sqref="A759:A762">
    <cfRule type="expression" dxfId="7780" priority="3809">
      <formula>$B759="Serviço"</formula>
    </cfRule>
    <cfRule type="expression" dxfId="7779" priority="3810">
      <formula>$B759="Subetapa"</formula>
    </cfRule>
  </conditionalFormatting>
  <conditionalFormatting sqref="A779:A786">
    <cfRule type="expression" dxfId="7778" priority="3858">
      <formula>$B779="Serviço"</formula>
    </cfRule>
    <cfRule type="expression" dxfId="7777" priority="3859">
      <formula>$B779="Subetapa"</formula>
    </cfRule>
  </conditionalFormatting>
  <conditionalFormatting sqref="A920 A884">
    <cfRule type="expression" dxfId="7776" priority="3862">
      <formula>$B884="Serviço"</formula>
    </cfRule>
    <cfRule type="expression" dxfId="7775" priority="3863">
      <formula>$B884="Subetapa"</formula>
    </cfRule>
  </conditionalFormatting>
  <conditionalFormatting sqref="A906:A907">
    <cfRule type="expression" dxfId="7774" priority="3885">
      <formula>$B906="Subetapa"</formula>
    </cfRule>
  </conditionalFormatting>
  <conditionalFormatting sqref="A2119 A2126 A2133">
    <cfRule type="expression" dxfId="7773" priority="4061">
      <formula>$B2119="Subetapa"</formula>
    </cfRule>
  </conditionalFormatting>
  <conditionalFormatting sqref="A2267:A2268 A2274:A2275 A2212:A2261">
    <cfRule type="expression" dxfId="7772" priority="3897">
      <formula>$B2212="Serviço"</formula>
    </cfRule>
  </conditionalFormatting>
  <conditionalFormatting sqref="A2788:A2805">
    <cfRule type="expression" dxfId="7771" priority="4467">
      <formula>$B2788="Subetapa"</formula>
    </cfRule>
  </conditionalFormatting>
  <conditionalFormatting sqref="A2919:A2935">
    <cfRule type="expression" dxfId="7770" priority="4177">
      <formula>$B2919="Subetapa"</formula>
    </cfRule>
  </conditionalFormatting>
  <conditionalFormatting sqref="A3139:A3142">
    <cfRule type="expression" dxfId="7769" priority="3828">
      <formula>$B3139="Serviço"</formula>
    </cfRule>
    <cfRule type="expression" dxfId="7768" priority="3829">
      <formula>$B3139="Subetapa"</formula>
    </cfRule>
  </conditionalFormatting>
  <conditionalFormatting sqref="A4162">
    <cfRule type="expression" dxfId="7767" priority="4396">
      <formula>$B4162="Subetapa"</formula>
    </cfRule>
  </conditionalFormatting>
  <conditionalFormatting sqref="A3644:A3661">
    <cfRule type="expression" dxfId="7766" priority="4491">
      <formula>$B3644="Subetapa"</formula>
    </cfRule>
  </conditionalFormatting>
  <conditionalFormatting sqref="A4291:A4295">
    <cfRule type="expression" dxfId="7765" priority="4088">
      <formula>$B4291="Subetapa"</formula>
    </cfRule>
  </conditionalFormatting>
  <conditionalFormatting sqref="A263:A265 A3629:A3639 A267 A269 A320:A322 A304:A314">
    <cfRule type="expression" dxfId="7764" priority="4514">
      <formula>$B263="Subetapa"</formula>
    </cfRule>
  </conditionalFormatting>
  <conditionalFormatting sqref="A3065:A3088">
    <cfRule type="expression" dxfId="7763" priority="4500">
      <formula>$B3065="Subetapa"</formula>
    </cfRule>
  </conditionalFormatting>
  <conditionalFormatting sqref="A664">
    <cfRule type="expression" dxfId="7762" priority="3815">
      <formula>$B664="Serviço"</formula>
    </cfRule>
  </conditionalFormatting>
  <conditionalFormatting sqref="A872 A875 A878 A899 A905:A906 A990 A994 A1003:A1009 A1014 A1652:A1661 A1664:A1672 A1823 A1826:A1835 A1838:A1841 A2691 A3310 A3714 A4278 A4304:A4307 A4322 A2108:A2111 A4022 A1018">
    <cfRule type="expression" dxfId="7761" priority="4395">
      <formula>$B872="Subetapa"</formula>
    </cfRule>
  </conditionalFormatting>
  <conditionalFormatting sqref="A1374:A1385">
    <cfRule type="expression" dxfId="7760" priority="3869">
      <formula>$B1374="Subetapa"</formula>
    </cfRule>
  </conditionalFormatting>
  <conditionalFormatting sqref="A2475:A2524 A2607:A2611 A2719:A2730 A3189:A3190 A3556:A3560 A3290:A3309 A3231:A3234 A3250 A3244:A3246 A3992:A4021 A3987:A3990 A3980:A3982 A4217:A4234 A4208:A4210 A4163:A4165 A4139:A4150 A3227:A3228 A3851:A3857 A4099:A4109 A4114:A4121 A3485:A3549 A3195:A3206 A4264:A4267">
    <cfRule type="expression" dxfId="7759" priority="3801">
      <formula>$B2475="Serviço"</formula>
    </cfRule>
  </conditionalFormatting>
  <conditionalFormatting sqref="A2470:A2524 A2607:A2611 A2719:A2730 A3189:A3190 A3556:A3560 A3290:A3309 A3231:A3234 A3250 A3243:A3246 A3980:A4021 A4099:A4106 A4217:A4234 A4208:A4210 A4163:A4165 A4139:A4150 A3227:A3228 A3851:A3857 A4116:A4121 A3485:A3549 A3195:A3206 A4264:A4267">
    <cfRule type="expression" dxfId="7758" priority="3802">
      <formula>$B2470="Subetapa"</formula>
    </cfRule>
  </conditionalFormatting>
  <conditionalFormatting sqref="A2337 A867:A878 A897:A905 A995:A1013 A1015:A1018 A2140:A2143 A2342:A2343 A2754 A3476:A3484 A4463:A4494 A991:A993 A1173:A1174 A4306:A4321">
    <cfRule type="expression" dxfId="7757" priority="4391">
      <formula>$B867="Subetapa"</formula>
    </cfRule>
  </conditionalFormatting>
  <conditionalFormatting sqref="A2351:A2355">
    <cfRule type="expression" dxfId="7756" priority="4220">
      <formula>$B2351="Subetapa"</formula>
    </cfRule>
  </conditionalFormatting>
  <conditionalFormatting sqref="A1168">
    <cfRule type="expression" dxfId="7755" priority="4070">
      <formula>$B1168="Subetapa"</formula>
    </cfRule>
  </conditionalFormatting>
  <conditionalFormatting sqref="A2736">
    <cfRule type="expression" dxfId="7754" priority="4079">
      <formula>$B2736="Subetapa"</formula>
    </cfRule>
  </conditionalFormatting>
  <conditionalFormatting sqref="E290">
    <cfRule type="expression" dxfId="7753" priority="3489">
      <formula>$B290="Subetapa"</formula>
    </cfRule>
  </conditionalFormatting>
  <conditionalFormatting sqref="F290 B290:D290">
    <cfRule type="expression" dxfId="7752" priority="3490">
      <formula>$B290="Subetapa"</formula>
    </cfRule>
  </conditionalFormatting>
  <conditionalFormatting sqref="I290:K290">
    <cfRule type="expression" dxfId="7751" priority="3480">
      <formula>$B290="Subetapa"</formula>
    </cfRule>
  </conditionalFormatting>
  <conditionalFormatting sqref="A290">
    <cfRule type="expression" dxfId="7750" priority="3478">
      <formula>$B290="Subetapa"</formula>
    </cfRule>
  </conditionalFormatting>
  <conditionalFormatting sqref="E300">
    <cfRule type="expression" dxfId="7749" priority="3559">
      <formula>$B300="Subetapa"</formula>
    </cfRule>
  </conditionalFormatting>
  <conditionalFormatting sqref="F300 B300:D300">
    <cfRule type="expression" dxfId="7748" priority="3560">
      <formula>$B300="Subetapa"</formula>
    </cfRule>
  </conditionalFormatting>
  <conditionalFormatting sqref="I300:K300">
    <cfRule type="expression" dxfId="7747" priority="3550">
      <formula>$B300="Subetapa"</formula>
    </cfRule>
  </conditionalFormatting>
  <conditionalFormatting sqref="A300">
    <cfRule type="expression" dxfId="7746" priority="3548">
      <formula>$B300="Subetapa"</formula>
    </cfRule>
  </conditionalFormatting>
  <conditionalFormatting sqref="E274">
    <cfRule type="expression" dxfId="7745" priority="3643">
      <formula>$B274="Subetapa"</formula>
    </cfRule>
  </conditionalFormatting>
  <conditionalFormatting sqref="F274 B274:D274">
    <cfRule type="expression" dxfId="7744" priority="3644">
      <formula>$B274="Subetapa"</formula>
    </cfRule>
  </conditionalFormatting>
  <conditionalFormatting sqref="I274:K274">
    <cfRule type="expression" dxfId="7743" priority="3634">
      <formula>$B274="Subetapa"</formula>
    </cfRule>
  </conditionalFormatting>
  <conditionalFormatting sqref="A274">
    <cfRule type="expression" dxfId="7742" priority="3632">
      <formula>$B274="Subetapa"</formula>
    </cfRule>
  </conditionalFormatting>
  <conditionalFormatting sqref="E266">
    <cfRule type="expression" dxfId="7741" priority="3629">
      <formula>$B266="Subetapa"</formula>
    </cfRule>
  </conditionalFormatting>
  <conditionalFormatting sqref="F266 B266:D266">
    <cfRule type="expression" dxfId="7740" priority="3630">
      <formula>$B266="Subetapa"</formula>
    </cfRule>
  </conditionalFormatting>
  <conditionalFormatting sqref="I266:K266">
    <cfRule type="expression" dxfId="7739" priority="3620">
      <formula>$B266="Subetapa"</formula>
    </cfRule>
  </conditionalFormatting>
  <conditionalFormatting sqref="A266">
    <cfRule type="expression" dxfId="7738" priority="3618">
      <formula>$B266="Subetapa"</formula>
    </cfRule>
  </conditionalFormatting>
  <conditionalFormatting sqref="E268">
    <cfRule type="expression" dxfId="7737" priority="3615">
      <formula>$B268="Subetapa"</formula>
    </cfRule>
  </conditionalFormatting>
  <conditionalFormatting sqref="F268 B268:D268">
    <cfRule type="expression" dxfId="7736" priority="3616">
      <formula>$B268="Subetapa"</formula>
    </cfRule>
  </conditionalFormatting>
  <conditionalFormatting sqref="I268:K268">
    <cfRule type="expression" dxfId="7735" priority="3606">
      <formula>$B268="Subetapa"</formula>
    </cfRule>
  </conditionalFormatting>
  <conditionalFormatting sqref="A268">
    <cfRule type="expression" dxfId="7734" priority="3604">
      <formula>$B268="Subetapa"</formula>
    </cfRule>
  </conditionalFormatting>
  <conditionalFormatting sqref="E270">
    <cfRule type="expression" dxfId="7733" priority="3601">
      <formula>$B270="Subetapa"</formula>
    </cfRule>
  </conditionalFormatting>
  <conditionalFormatting sqref="F270 B270:D270">
    <cfRule type="expression" dxfId="7732" priority="3602">
      <formula>$B270="Subetapa"</formula>
    </cfRule>
  </conditionalFormatting>
  <conditionalFormatting sqref="I270:K270">
    <cfRule type="expression" dxfId="7731" priority="3592">
      <formula>$B270="Subetapa"</formula>
    </cfRule>
  </conditionalFormatting>
  <conditionalFormatting sqref="A270">
    <cfRule type="expression" dxfId="7730" priority="3590">
      <formula>$B270="Subetapa"</formula>
    </cfRule>
  </conditionalFormatting>
  <conditionalFormatting sqref="E272">
    <cfRule type="expression" dxfId="7729" priority="3587">
      <formula>$B272="Subetapa"</formula>
    </cfRule>
  </conditionalFormatting>
  <conditionalFormatting sqref="F272 B272:D272">
    <cfRule type="expression" dxfId="7728" priority="3588">
      <formula>$B272="Subetapa"</formula>
    </cfRule>
  </conditionalFormatting>
  <conditionalFormatting sqref="I272:K272">
    <cfRule type="expression" dxfId="7727" priority="3578">
      <formula>$B272="Subetapa"</formula>
    </cfRule>
  </conditionalFormatting>
  <conditionalFormatting sqref="A272">
    <cfRule type="expression" dxfId="7726" priority="3576">
      <formula>$B272="Subetapa"</formula>
    </cfRule>
  </conditionalFormatting>
  <conditionalFormatting sqref="E302">
    <cfRule type="expression" dxfId="7725" priority="3573">
      <formula>$B302="Subetapa"</formula>
    </cfRule>
  </conditionalFormatting>
  <conditionalFormatting sqref="F302 B302:D302">
    <cfRule type="expression" dxfId="7724" priority="3574">
      <formula>$B302="Subetapa"</formula>
    </cfRule>
  </conditionalFormatting>
  <conditionalFormatting sqref="I302:K302">
    <cfRule type="expression" dxfId="7723" priority="3564">
      <formula>$B302="Subetapa"</formula>
    </cfRule>
  </conditionalFormatting>
  <conditionalFormatting sqref="A302">
    <cfRule type="expression" dxfId="7722" priority="3562">
      <formula>$B302="Subetapa"</formula>
    </cfRule>
  </conditionalFormatting>
  <conditionalFormatting sqref="E298">
    <cfRule type="expression" dxfId="7721" priority="3545">
      <formula>$B298="Subetapa"</formula>
    </cfRule>
  </conditionalFormatting>
  <conditionalFormatting sqref="F298 B298:D298">
    <cfRule type="expression" dxfId="7720" priority="3546">
      <formula>$B298="Subetapa"</formula>
    </cfRule>
  </conditionalFormatting>
  <conditionalFormatting sqref="I298:K298">
    <cfRule type="expression" dxfId="7719" priority="3536">
      <formula>$B298="Subetapa"</formula>
    </cfRule>
  </conditionalFormatting>
  <conditionalFormatting sqref="A298">
    <cfRule type="expression" dxfId="7718" priority="3534">
      <formula>$B298="Subetapa"</formula>
    </cfRule>
  </conditionalFormatting>
  <conditionalFormatting sqref="E296">
    <cfRule type="expression" dxfId="7717" priority="3531">
      <formula>$B296="Subetapa"</formula>
    </cfRule>
  </conditionalFormatting>
  <conditionalFormatting sqref="F296 B296:D296">
    <cfRule type="expression" dxfId="7716" priority="3532">
      <formula>$B296="Subetapa"</formula>
    </cfRule>
  </conditionalFormatting>
  <conditionalFormatting sqref="I296:K296">
    <cfRule type="expression" dxfId="7715" priority="3522">
      <formula>$B296="Subetapa"</formula>
    </cfRule>
  </conditionalFormatting>
  <conditionalFormatting sqref="A296">
    <cfRule type="expression" dxfId="7714" priority="3520">
      <formula>$B296="Subetapa"</formula>
    </cfRule>
  </conditionalFormatting>
  <conditionalFormatting sqref="E294">
    <cfRule type="expression" dxfId="7713" priority="3517">
      <formula>$B294="Subetapa"</formula>
    </cfRule>
  </conditionalFormatting>
  <conditionalFormatting sqref="F294 B294:D294">
    <cfRule type="expression" dxfId="7712" priority="3518">
      <formula>$B294="Subetapa"</formula>
    </cfRule>
  </conditionalFormatting>
  <conditionalFormatting sqref="I294:K294">
    <cfRule type="expression" dxfId="7711" priority="3508">
      <formula>$B294="Subetapa"</formula>
    </cfRule>
  </conditionalFormatting>
  <conditionalFormatting sqref="A294">
    <cfRule type="expression" dxfId="7710" priority="3506">
      <formula>$B294="Subetapa"</formula>
    </cfRule>
  </conditionalFormatting>
  <conditionalFormatting sqref="E292">
    <cfRule type="expression" dxfId="7709" priority="3503">
      <formula>$B292="Subetapa"</formula>
    </cfRule>
  </conditionalFormatting>
  <conditionalFormatting sqref="F292 B292:D292">
    <cfRule type="expression" dxfId="7708" priority="3504">
      <formula>$B292="Subetapa"</formula>
    </cfRule>
  </conditionalFormatting>
  <conditionalFormatting sqref="I292:K292">
    <cfRule type="expression" dxfId="7707" priority="3494">
      <formula>$B292="Subetapa"</formula>
    </cfRule>
  </conditionalFormatting>
  <conditionalFormatting sqref="A292">
    <cfRule type="expression" dxfId="7706" priority="3492">
      <formula>$B292="Subetapa"</formula>
    </cfRule>
  </conditionalFormatting>
  <conditionalFormatting sqref="B2276:F2276">
    <cfRule type="expression" dxfId="7705" priority="3406">
      <formula>$B2276="Subetapa"</formula>
    </cfRule>
  </conditionalFormatting>
  <conditionalFormatting sqref="I2276:K2276">
    <cfRule type="expression" dxfId="7704" priority="3399">
      <formula>$B2276="Subetapa"</formula>
    </cfRule>
  </conditionalFormatting>
  <conditionalFormatting sqref="A2276">
    <cfRule type="expression" dxfId="7703" priority="3397">
      <formula>$B2276="Subetapa"</formula>
    </cfRule>
  </conditionalFormatting>
  <conditionalFormatting sqref="B2169:F2169">
    <cfRule type="expression" dxfId="7702" priority="3393">
      <formula>$B2169="Subetapa"</formula>
    </cfRule>
  </conditionalFormatting>
  <conditionalFormatting sqref="I2169:K2169">
    <cfRule type="expression" dxfId="7701" priority="3386">
      <formula>$B2169="Subetapa"</formula>
    </cfRule>
  </conditionalFormatting>
  <conditionalFormatting sqref="A2169">
    <cfRule type="expression" dxfId="7700" priority="3384">
      <formula>$B2169="Subetapa"</formula>
    </cfRule>
  </conditionalFormatting>
  <conditionalFormatting sqref="B2161:F2161">
    <cfRule type="expression" dxfId="7699" priority="3380">
      <formula>$B2161="Subetapa"</formula>
    </cfRule>
  </conditionalFormatting>
  <conditionalFormatting sqref="I2161:K2161">
    <cfRule type="expression" dxfId="7698" priority="3373">
      <formula>$B2161="Subetapa"</formula>
    </cfRule>
  </conditionalFormatting>
  <conditionalFormatting sqref="A2161">
    <cfRule type="expression" dxfId="7697" priority="3371">
      <formula>$B2161="Subetapa"</formula>
    </cfRule>
  </conditionalFormatting>
  <conditionalFormatting sqref="B892:B893">
    <cfRule type="expression" dxfId="7696" priority="3310">
      <formula>$B892="Serviço"</formula>
    </cfRule>
    <cfRule type="expression" dxfId="7695" priority="3311">
      <formula>$B892="Subetapa"</formula>
    </cfRule>
  </conditionalFormatting>
  <conditionalFormatting sqref="B891">
    <cfRule type="expression" dxfId="7694" priority="3306">
      <formula>$B891="Serviço"</formula>
    </cfRule>
    <cfRule type="expression" dxfId="7693" priority="3307">
      <formula>$B891="Subetapa"</formula>
    </cfRule>
  </conditionalFormatting>
  <conditionalFormatting sqref="B893">
    <cfRule type="expression" dxfId="7692" priority="3308">
      <formula>$B893="Serviço"</formula>
    </cfRule>
    <cfRule type="expression" dxfId="7691" priority="3309">
      <formula>$B893="Subetapa"</formula>
    </cfRule>
  </conditionalFormatting>
  <conditionalFormatting sqref="D891:F891 D892:D893 F892:F893 C891:C893">
    <cfRule type="expression" dxfId="7690" priority="3304">
      <formula>$B891="Serviço"</formula>
    </cfRule>
    <cfRule type="expression" dxfId="7689" priority="3305">
      <formula>$B891="Subetapa"</formula>
    </cfRule>
  </conditionalFormatting>
  <conditionalFormatting sqref="G891:H891">
    <cfRule type="expression" dxfId="7688" priority="3300">
      <formula>$B891="Serviço"</formula>
    </cfRule>
    <cfRule type="expression" dxfId="7687" priority="3301">
      <formula>$B891="Subetapa"</formula>
    </cfRule>
  </conditionalFormatting>
  <conditionalFormatting sqref="A892:A893">
    <cfRule type="expression" dxfId="7686" priority="3298">
      <formula>$B892="Serviço"</formula>
    </cfRule>
    <cfRule type="expression" dxfId="7685" priority="3299">
      <formula>$B892="Subetapa"</formula>
    </cfRule>
  </conditionalFormatting>
  <conditionalFormatting sqref="A891">
    <cfRule type="expression" dxfId="7684" priority="3294">
      <formula>$B891="Serviço"</formula>
    </cfRule>
    <cfRule type="expression" dxfId="7683" priority="3295">
      <formula>$B891="Subetapa"</formula>
    </cfRule>
  </conditionalFormatting>
  <conditionalFormatting sqref="A893">
    <cfRule type="expression" dxfId="7682" priority="3296">
      <formula>$B893="Serviço"</formula>
    </cfRule>
    <cfRule type="expression" dxfId="7681" priority="3297">
      <formula>$B893="Subetapa"</formula>
    </cfRule>
  </conditionalFormatting>
  <conditionalFormatting sqref="B889:B890">
    <cfRule type="expression" dxfId="7680" priority="3292">
      <formula>$B889="Serviço"</formula>
    </cfRule>
    <cfRule type="expression" dxfId="7679" priority="3293">
      <formula>$B889="Subetapa"</formula>
    </cfRule>
  </conditionalFormatting>
  <conditionalFormatting sqref="B888">
    <cfRule type="expression" dxfId="7678" priority="3288">
      <formula>$B888="Serviço"</formula>
    </cfRule>
    <cfRule type="expression" dxfId="7677" priority="3289">
      <formula>$B888="Subetapa"</formula>
    </cfRule>
  </conditionalFormatting>
  <conditionalFormatting sqref="B890">
    <cfRule type="expression" dxfId="7676" priority="3290">
      <formula>$B890="Serviço"</formula>
    </cfRule>
    <cfRule type="expression" dxfId="7675" priority="3291">
      <formula>$B890="Subetapa"</formula>
    </cfRule>
  </conditionalFormatting>
  <conditionalFormatting sqref="D888:F888 D889:D890 F889:F890 C888:C890">
    <cfRule type="expression" dxfId="7674" priority="3286">
      <formula>$B888="Serviço"</formula>
    </cfRule>
    <cfRule type="expression" dxfId="7673" priority="3287">
      <formula>$B888="Subetapa"</formula>
    </cfRule>
  </conditionalFormatting>
  <conditionalFormatting sqref="G888:H888">
    <cfRule type="expression" dxfId="7672" priority="3282">
      <formula>$B888="Serviço"</formula>
    </cfRule>
    <cfRule type="expression" dxfId="7671" priority="3283">
      <formula>$B888="Subetapa"</formula>
    </cfRule>
  </conditionalFormatting>
  <conditionalFormatting sqref="A889:A890">
    <cfRule type="expression" dxfId="7670" priority="3280">
      <formula>$B889="Serviço"</formula>
    </cfRule>
    <cfRule type="expression" dxfId="7669" priority="3281">
      <formula>$B889="Subetapa"</formula>
    </cfRule>
  </conditionalFormatting>
  <conditionalFormatting sqref="A888">
    <cfRule type="expression" dxfId="7668" priority="3276">
      <formula>$B888="Serviço"</formula>
    </cfRule>
    <cfRule type="expression" dxfId="7667" priority="3277">
      <formula>$B888="Subetapa"</formula>
    </cfRule>
  </conditionalFormatting>
  <conditionalFormatting sqref="A890">
    <cfRule type="expression" dxfId="7666" priority="3278">
      <formula>$B890="Serviço"</formula>
    </cfRule>
    <cfRule type="expression" dxfId="7665" priority="3279">
      <formula>$B890="Subetapa"</formula>
    </cfRule>
  </conditionalFormatting>
  <conditionalFormatting sqref="B886:B887">
    <cfRule type="expression" dxfId="7664" priority="3274">
      <formula>$B886="Serviço"</formula>
    </cfRule>
    <cfRule type="expression" dxfId="7663" priority="3275">
      <formula>$B886="Subetapa"</formula>
    </cfRule>
  </conditionalFormatting>
  <conditionalFormatting sqref="B885">
    <cfRule type="expression" dxfId="7662" priority="3270">
      <formula>$B885="Serviço"</formula>
    </cfRule>
    <cfRule type="expression" dxfId="7661" priority="3271">
      <formula>$B885="Subetapa"</formula>
    </cfRule>
  </conditionalFormatting>
  <conditionalFormatting sqref="B887">
    <cfRule type="expression" dxfId="7660" priority="3272">
      <formula>$B887="Serviço"</formula>
    </cfRule>
    <cfRule type="expression" dxfId="7659" priority="3273">
      <formula>$B887="Subetapa"</formula>
    </cfRule>
  </conditionalFormatting>
  <conditionalFormatting sqref="D885:F885 D886:D887 F886:F887 C885:C887">
    <cfRule type="expression" dxfId="7658" priority="3268">
      <formula>$B885="Serviço"</formula>
    </cfRule>
    <cfRule type="expression" dxfId="7657" priority="3269">
      <formula>$B885="Subetapa"</formula>
    </cfRule>
  </conditionalFormatting>
  <conditionalFormatting sqref="G885:H885">
    <cfRule type="expression" dxfId="7656" priority="3264">
      <formula>$B885="Serviço"</formula>
    </cfRule>
    <cfRule type="expression" dxfId="7655" priority="3265">
      <formula>$B885="Subetapa"</formula>
    </cfRule>
  </conditionalFormatting>
  <conditionalFormatting sqref="A886:A887">
    <cfRule type="expression" dxfId="7654" priority="3262">
      <formula>$B886="Serviço"</formula>
    </cfRule>
    <cfRule type="expression" dxfId="7653" priority="3263">
      <formula>$B886="Subetapa"</formula>
    </cfRule>
  </conditionalFormatting>
  <conditionalFormatting sqref="A885">
    <cfRule type="expression" dxfId="7652" priority="3258">
      <formula>$B885="Serviço"</formula>
    </cfRule>
    <cfRule type="expression" dxfId="7651" priority="3259">
      <formula>$B885="Subetapa"</formula>
    </cfRule>
  </conditionalFormatting>
  <conditionalFormatting sqref="A887">
    <cfRule type="expression" dxfId="7650" priority="3260">
      <formula>$B887="Serviço"</formula>
    </cfRule>
    <cfRule type="expression" dxfId="7649" priority="3261">
      <formula>$B887="Subetapa"</formula>
    </cfRule>
  </conditionalFormatting>
  <conditionalFormatting sqref="B1397:B1418">
    <cfRule type="expression" dxfId="7648" priority="3257">
      <formula>$B1397="Subetapa"</formula>
    </cfRule>
  </conditionalFormatting>
  <conditionalFormatting sqref="D1408:F1408 D1409:D1418 F1409:F1418 C1408:C1418">
    <cfRule type="expression" dxfId="7647" priority="3256">
      <formula>$B1408="Subetapa"</formula>
    </cfRule>
  </conditionalFormatting>
  <conditionalFormatting sqref="G1408:H1408">
    <cfRule type="expression" dxfId="7646" priority="3253">
      <formula>$B1408="Subetapa"</formula>
    </cfRule>
  </conditionalFormatting>
  <conditionalFormatting sqref="A1397:A1418">
    <cfRule type="expression" dxfId="7645" priority="3251">
      <formula>$B1397="Subetapa"</formula>
    </cfRule>
  </conditionalFormatting>
  <conditionalFormatting sqref="D1397:F1397 D1398:D1407 F1398:F1407 C1397:C1407">
    <cfRule type="expression" dxfId="7644" priority="3250">
      <formula>$B1397="Subetapa"</formula>
    </cfRule>
  </conditionalFormatting>
  <conditionalFormatting sqref="G1397:H1397">
    <cfRule type="expression" dxfId="7643" priority="3249">
      <formula>$B1397="Subetapa"</formula>
    </cfRule>
  </conditionalFormatting>
  <conditionalFormatting sqref="C1410:D1410">
    <cfRule type="expression" dxfId="7642" priority="3247">
      <formula>$B1410="Subetapa"</formula>
    </cfRule>
  </conditionalFormatting>
  <conditionalFormatting sqref="D1419:D1420 D1466:D1473 D1422:D1442 D1444:D1464 B1421:B1429 B1432:B1440 B1454:B1462 B1465:B1473 B1443:B1451">
    <cfRule type="expression" dxfId="7641" priority="3245">
      <formula>$B1419="Subetapa"</formula>
    </cfRule>
  </conditionalFormatting>
  <conditionalFormatting sqref="G1419:H1419">
    <cfRule type="expression" dxfId="7640" priority="3241">
      <formula>$B1419="Subetapa"</formula>
    </cfRule>
  </conditionalFormatting>
  <conditionalFormatting sqref="E1419:F1419">
    <cfRule type="expression" dxfId="7639" priority="3243">
      <formula>$B1419="Subetapa"</formula>
    </cfRule>
  </conditionalFormatting>
  <conditionalFormatting sqref="A1421:A1429 A1432:A1440 A1454:A1462 A1465:A1473 A1443:A1451">
    <cfRule type="expression" dxfId="7638" priority="3237">
      <formula>$B1421="Subetapa"</formula>
    </cfRule>
  </conditionalFormatting>
  <conditionalFormatting sqref="G1430:H1430">
    <cfRule type="expression" dxfId="7637" priority="3232">
      <formula>$B1430="Subetapa"</formula>
    </cfRule>
  </conditionalFormatting>
  <conditionalFormatting sqref="E1430:F1430">
    <cfRule type="expression" dxfId="7636" priority="3233">
      <formula>$B1430="Subetapa"</formula>
    </cfRule>
  </conditionalFormatting>
  <conditionalFormatting sqref="C1421:D1421">
    <cfRule type="expression" dxfId="7635" priority="3230">
      <formula>$B1421="Subetapa"</formula>
    </cfRule>
  </conditionalFormatting>
  <conditionalFormatting sqref="C1421:D1421">
    <cfRule type="expression" dxfId="7634" priority="3229">
      <formula>$B1421="Subetapa"</formula>
    </cfRule>
  </conditionalFormatting>
  <conditionalFormatting sqref="G1452:H1452">
    <cfRule type="expression" dxfId="7633" priority="3226">
      <formula>$B1452="Subetapa"</formula>
    </cfRule>
  </conditionalFormatting>
  <conditionalFormatting sqref="E1452:F1452">
    <cfRule type="expression" dxfId="7632" priority="3227">
      <formula>$B1452="Subetapa"</formula>
    </cfRule>
  </conditionalFormatting>
  <conditionalFormatting sqref="G1463:H1463">
    <cfRule type="expression" dxfId="7631" priority="3223">
      <formula>$B1463="Subetapa"</formula>
    </cfRule>
  </conditionalFormatting>
  <conditionalFormatting sqref="E1463:F1463">
    <cfRule type="expression" dxfId="7630" priority="3224">
      <formula>$B1463="Subetapa"</formula>
    </cfRule>
  </conditionalFormatting>
  <conditionalFormatting sqref="C1465:D1465">
    <cfRule type="expression" dxfId="7629" priority="3221">
      <formula>$B1465="Subetapa"</formula>
    </cfRule>
  </conditionalFormatting>
  <conditionalFormatting sqref="C1465:D1465">
    <cfRule type="expression" dxfId="7628" priority="3220">
      <formula>$B1465="Subetapa"</formula>
    </cfRule>
  </conditionalFormatting>
  <conditionalFormatting sqref="G1441:H1441">
    <cfRule type="expression" dxfId="7627" priority="3217">
      <formula>$B1441="Subetapa"</formula>
    </cfRule>
  </conditionalFormatting>
  <conditionalFormatting sqref="E1441:F1441">
    <cfRule type="expression" dxfId="7626" priority="3218">
      <formula>$B1441="Subetapa"</formula>
    </cfRule>
  </conditionalFormatting>
  <conditionalFormatting sqref="C1443:D1443">
    <cfRule type="expression" dxfId="7625" priority="3215">
      <formula>$B1443="Subetapa"</formula>
    </cfRule>
  </conditionalFormatting>
  <conditionalFormatting sqref="C1443:D1443">
    <cfRule type="expression" dxfId="7624" priority="3214">
      <formula>$B1443="Subetapa"</formula>
    </cfRule>
  </conditionalFormatting>
  <conditionalFormatting sqref="B1475:B1485 B1487:B1497 B1512:B1523 B1499:B1510">
    <cfRule type="expression" dxfId="7623" priority="3208">
      <formula>$B1475="Subetapa"</formula>
    </cfRule>
  </conditionalFormatting>
  <conditionalFormatting sqref="B1476 B1478:B1485 B1488 B1490:B1497 B1514 B1516:B1523 B1501 B1503:B1510 C1475:D1475 C1487:D1487 C1512:D1512 C1499:D1499">
    <cfRule type="expression" dxfId="7622" priority="3210">
      <formula>$B1475="Subetapa"</formula>
    </cfRule>
  </conditionalFormatting>
  <conditionalFormatting sqref="B1474:H1474">
    <cfRule type="expression" dxfId="7621" priority="3202">
      <formula>$B1474="Subetapa"</formula>
    </cfRule>
  </conditionalFormatting>
  <conditionalFormatting sqref="E1475 E1477">
    <cfRule type="expression" dxfId="7620" priority="3213">
      <formula>$B1475="Subetapa"</formula>
    </cfRule>
  </conditionalFormatting>
  <conditionalFormatting sqref="F1477 C1477:D1477">
    <cfRule type="expression" dxfId="7619" priority="3206">
      <formula>$B1477="Subetapa"</formula>
    </cfRule>
  </conditionalFormatting>
  <conditionalFormatting sqref="F1475">
    <cfRule type="expression" dxfId="7618" priority="3201">
      <formula>$B1475="Subetapa"</formula>
    </cfRule>
  </conditionalFormatting>
  <conditionalFormatting sqref="A1475:A1485 A1487:A1497 A1512:A1523 A1499:A1510">
    <cfRule type="expression" dxfId="7617" priority="3188">
      <formula>$B1475="Subetapa"</formula>
    </cfRule>
  </conditionalFormatting>
  <conditionalFormatting sqref="A1476 A1478:A1485 A1488 A1490:A1497 A1516:A1523 A1513:A1514 A1503:A1510 A1500:A1501">
    <cfRule type="expression" dxfId="7616" priority="3190">
      <formula>$B1476="Subetapa"</formula>
    </cfRule>
  </conditionalFormatting>
  <conditionalFormatting sqref="A1474">
    <cfRule type="expression" dxfId="7615" priority="3184">
      <formula>$B1474="Subetapa"</formula>
    </cfRule>
  </conditionalFormatting>
  <conditionalFormatting sqref="E1476:F1476">
    <cfRule type="expression" dxfId="7614" priority="3182">
      <formula>$B1476="Subetapa"</formula>
    </cfRule>
  </conditionalFormatting>
  <conditionalFormatting sqref="C1476:D1476">
    <cfRule type="expression" dxfId="7613" priority="3180">
      <formula>$B1476="Subetapa"</formula>
    </cfRule>
  </conditionalFormatting>
  <conditionalFormatting sqref="C1476:D1476">
    <cfRule type="expression" dxfId="7612" priority="3179">
      <formula>$B1476="Subetapa"</formula>
    </cfRule>
  </conditionalFormatting>
  <conditionalFormatting sqref="E1478:F1485 E1490:F1497 E1516:F1523 E1503:F1510">
    <cfRule type="expression" dxfId="7611" priority="3177">
      <formula>$B1478="Subetapa"</formula>
    </cfRule>
  </conditionalFormatting>
  <conditionalFormatting sqref="D1478:D1485 D1490:D1497 D1503:D1510 D1516:D1523">
    <cfRule type="expression" dxfId="7610" priority="3176">
      <formula>$B1478="Subetapa"</formula>
    </cfRule>
  </conditionalFormatting>
  <conditionalFormatting sqref="B1486:H1486">
    <cfRule type="expression" dxfId="7609" priority="3169">
      <formula>$B1486="Subetapa"</formula>
    </cfRule>
  </conditionalFormatting>
  <conditionalFormatting sqref="E1487 E1489">
    <cfRule type="expression" dxfId="7608" priority="3175">
      <formula>$B1487="Subetapa"</formula>
    </cfRule>
  </conditionalFormatting>
  <conditionalFormatting sqref="F1489 C1489:D1489">
    <cfRule type="expression" dxfId="7607" priority="3172">
      <formula>$B1489="Subetapa"</formula>
    </cfRule>
  </conditionalFormatting>
  <conditionalFormatting sqref="F1487">
    <cfRule type="expression" dxfId="7606" priority="3168">
      <formula>$B1487="Subetapa"</formula>
    </cfRule>
  </conditionalFormatting>
  <conditionalFormatting sqref="A1486">
    <cfRule type="expression" dxfId="7605" priority="3162">
      <formula>$B1486="Subetapa"</formula>
    </cfRule>
  </conditionalFormatting>
  <conditionalFormatting sqref="E1488:F1488">
    <cfRule type="expression" dxfId="7604" priority="3160">
      <formula>$B1488="Subetapa"</formula>
    </cfRule>
  </conditionalFormatting>
  <conditionalFormatting sqref="C1488:D1488">
    <cfRule type="expression" dxfId="7603" priority="3158">
      <formula>$B1488="Subetapa"</formula>
    </cfRule>
  </conditionalFormatting>
  <conditionalFormatting sqref="C1488:D1488">
    <cfRule type="expression" dxfId="7602" priority="3157">
      <formula>$B1488="Subetapa"</formula>
    </cfRule>
  </conditionalFormatting>
  <conditionalFormatting sqref="B1511:H1511">
    <cfRule type="expression" dxfId="7601" priority="3150">
      <formula>$B1511="Subetapa"</formula>
    </cfRule>
  </conditionalFormatting>
  <conditionalFormatting sqref="E1512 E1515">
    <cfRule type="expression" dxfId="7600" priority="3156">
      <formula>$B1512="Subetapa"</formula>
    </cfRule>
  </conditionalFormatting>
  <conditionalFormatting sqref="F1515 C1515:D1515">
    <cfRule type="expression" dxfId="7599" priority="3153">
      <formula>$B1515="Subetapa"</formula>
    </cfRule>
  </conditionalFormatting>
  <conditionalFormatting sqref="F1512">
    <cfRule type="expression" dxfId="7598" priority="3149">
      <formula>$B1512="Subetapa"</formula>
    </cfRule>
  </conditionalFormatting>
  <conditionalFormatting sqref="A1511">
    <cfRule type="expression" dxfId="7597" priority="3143">
      <formula>$B1511="Subetapa"</formula>
    </cfRule>
  </conditionalFormatting>
  <conditionalFormatting sqref="E1514:F1514">
    <cfRule type="expression" dxfId="7596" priority="3141">
      <formula>$B1514="Subetapa"</formula>
    </cfRule>
  </conditionalFormatting>
  <conditionalFormatting sqref="D1513:D1514">
    <cfRule type="expression" dxfId="7595" priority="3139">
      <formula>$B1513="Subetapa"</formula>
    </cfRule>
  </conditionalFormatting>
  <conditionalFormatting sqref="D1513:D1514">
    <cfRule type="expression" dxfId="7594" priority="3138">
      <formula>$B1513="Subetapa"</formula>
    </cfRule>
  </conditionalFormatting>
  <conditionalFormatting sqref="B1513">
    <cfRule type="expression" dxfId="7593" priority="3137">
      <formula>$B1513="Subetapa"</formula>
    </cfRule>
  </conditionalFormatting>
  <conditionalFormatting sqref="E1513:F1513">
    <cfRule type="expression" dxfId="7592" priority="3134">
      <formula>$B1513="Subetapa"</formula>
    </cfRule>
  </conditionalFormatting>
  <conditionalFormatting sqref="B1498:H1498">
    <cfRule type="expression" dxfId="7591" priority="3127">
      <formula>$B1498="Subetapa"</formula>
    </cfRule>
  </conditionalFormatting>
  <conditionalFormatting sqref="E1499 E1502">
    <cfRule type="expression" dxfId="7590" priority="3133">
      <formula>$B1499="Subetapa"</formula>
    </cfRule>
  </conditionalFormatting>
  <conditionalFormatting sqref="F1502 C1502:D1502">
    <cfRule type="expression" dxfId="7589" priority="3130">
      <formula>$B1502="Subetapa"</formula>
    </cfRule>
  </conditionalFormatting>
  <conditionalFormatting sqref="F1499">
    <cfRule type="expression" dxfId="7588" priority="3126">
      <formula>$B1499="Subetapa"</formula>
    </cfRule>
  </conditionalFormatting>
  <conditionalFormatting sqref="A1498">
    <cfRule type="expression" dxfId="7587" priority="3120">
      <formula>$B1498="Subetapa"</formula>
    </cfRule>
  </conditionalFormatting>
  <conditionalFormatting sqref="E1501:F1501">
    <cfRule type="expression" dxfId="7586" priority="3118">
      <formula>$B1501="Subetapa"</formula>
    </cfRule>
  </conditionalFormatting>
  <conditionalFormatting sqref="D1500:D1501">
    <cfRule type="expression" dxfId="7585" priority="3116">
      <formula>$B1500="Subetapa"</formula>
    </cfRule>
  </conditionalFormatting>
  <conditionalFormatting sqref="D1500:D1501">
    <cfRule type="expression" dxfId="7584" priority="3115">
      <formula>$B1500="Subetapa"</formula>
    </cfRule>
  </conditionalFormatting>
  <conditionalFormatting sqref="B1500">
    <cfRule type="expression" dxfId="7583" priority="3114">
      <formula>$B1500="Subetapa"</formula>
    </cfRule>
  </conditionalFormatting>
  <conditionalFormatting sqref="E1500:F1500">
    <cfRule type="expression" dxfId="7582" priority="3111">
      <formula>$B1500="Subetapa"</formula>
    </cfRule>
  </conditionalFormatting>
  <conditionalFormatting sqref="D1524:D1525 D1527:D1534 B1526:B1534">
    <cfRule type="expression" dxfId="7581" priority="3108">
      <formula>$B1524="Subetapa"</formula>
    </cfRule>
  </conditionalFormatting>
  <conditionalFormatting sqref="A1526:A1534">
    <cfRule type="expression" dxfId="7580" priority="3106">
      <formula>$B1526="Subetapa"</formula>
    </cfRule>
  </conditionalFormatting>
  <conditionalFormatting sqref="G1524:H1524">
    <cfRule type="expression" dxfId="7579" priority="3102">
      <formula>$B1524="Subetapa"</formula>
    </cfRule>
  </conditionalFormatting>
  <conditionalFormatting sqref="E1524:F1524">
    <cfRule type="expression" dxfId="7578" priority="3103">
      <formula>$B1524="Subetapa"</formula>
    </cfRule>
  </conditionalFormatting>
  <conditionalFormatting sqref="C1526:D1526">
    <cfRule type="expression" dxfId="7577" priority="3100">
      <formula>$B1526="Subetapa"</formula>
    </cfRule>
  </conditionalFormatting>
  <conditionalFormatting sqref="C1526:D1526">
    <cfRule type="expression" dxfId="7576" priority="3099">
      <formula>$B1526="Subetapa"</formula>
    </cfRule>
  </conditionalFormatting>
  <conditionalFormatting sqref="G2425:H2425">
    <cfRule type="expression" dxfId="7575" priority="3094">
      <formula>$B2425="Subetapa"</formula>
    </cfRule>
  </conditionalFormatting>
  <conditionalFormatting sqref="G2415:H2415">
    <cfRule type="expression" dxfId="7574" priority="3088">
      <formula>$B2415="Subetapa"</formula>
    </cfRule>
  </conditionalFormatting>
  <conditionalFormatting sqref="G2571:H2571">
    <cfRule type="expression" dxfId="7573" priority="3080">
      <formula>$B2571="Subetapa"</formula>
    </cfRule>
  </conditionalFormatting>
  <conditionalFormatting sqref="C2606:D2606 C2582:D2582 C2576:D2576 C2600:D2600 C2594:D2594 C2588:D2588">
    <cfRule type="expression" dxfId="7572" priority="3077">
      <formula>$B2576="Serviço"</formula>
    </cfRule>
  </conditionalFormatting>
  <conditionalFormatting sqref="C2606:D2606 C2582:D2582 C2576:D2576 C2600:D2600 C2594:D2594 C2588:D2588">
    <cfRule type="expression" dxfId="7571" priority="3078">
      <formula>$B2576="Subetapa"</formula>
    </cfRule>
  </conditionalFormatting>
  <conditionalFormatting sqref="G2577:H2577">
    <cfRule type="expression" dxfId="7570" priority="3072">
      <formula>$B2577="Subetapa"</formula>
    </cfRule>
  </conditionalFormatting>
  <conditionalFormatting sqref="G2601:H2601">
    <cfRule type="expression" dxfId="7569" priority="3066">
      <formula>$B2601="Subetapa"</formula>
    </cfRule>
  </conditionalFormatting>
  <conditionalFormatting sqref="G2595:H2595">
    <cfRule type="expression" dxfId="7568" priority="3060">
      <formula>$B2595="Subetapa"</formula>
    </cfRule>
  </conditionalFormatting>
  <conditionalFormatting sqref="E2639:E2641">
    <cfRule type="expression" dxfId="7567" priority="3058">
      <formula>$B2639="Subetapa"</formula>
    </cfRule>
  </conditionalFormatting>
  <conditionalFormatting sqref="G2638:H2638">
    <cfRule type="expression" dxfId="7566" priority="3053">
      <formula>$B2638="Subetapa"</formula>
    </cfRule>
  </conditionalFormatting>
  <conditionalFormatting sqref="E2643:E2645">
    <cfRule type="expression" dxfId="7565" priority="3052">
      <formula>$B2643="Subetapa"</formula>
    </cfRule>
  </conditionalFormatting>
  <conditionalFormatting sqref="G2642:H2642">
    <cfRule type="expression" dxfId="7564" priority="3047">
      <formula>$B2642="Subetapa"</formula>
    </cfRule>
  </conditionalFormatting>
  <conditionalFormatting sqref="E2647:E2649">
    <cfRule type="expression" dxfId="7563" priority="3046">
      <formula>$B2647="Subetapa"</formula>
    </cfRule>
  </conditionalFormatting>
  <conditionalFormatting sqref="G2646:H2646">
    <cfRule type="expression" dxfId="7562" priority="3041">
      <formula>$B2646="Subetapa"</formula>
    </cfRule>
  </conditionalFormatting>
  <conditionalFormatting sqref="E2655:E2657">
    <cfRule type="expression" dxfId="7561" priority="3040">
      <formula>$B2655="Subetapa"</formula>
    </cfRule>
  </conditionalFormatting>
  <conditionalFormatting sqref="G2654:H2654">
    <cfRule type="expression" dxfId="7560" priority="3035">
      <formula>$B2654="Subetapa"</formula>
    </cfRule>
  </conditionalFormatting>
  <conditionalFormatting sqref="E2651:E2653">
    <cfRule type="expression" dxfId="7559" priority="3034">
      <formula>$B2651="Subetapa"</formula>
    </cfRule>
  </conditionalFormatting>
  <conditionalFormatting sqref="G2650:H2650">
    <cfRule type="expression" dxfId="7558" priority="3029">
      <formula>$B2650="Subetapa"</formula>
    </cfRule>
  </conditionalFormatting>
  <conditionalFormatting sqref="D2675:F2676 D2679:F2679 F2677:F2678 D2677:D2678 F2680:F2681 F2689 B2675:B2681 B2689 F2683 D2680:D2684 B2683 C2675:C2684 F2686 B2686 C2685:D2690">
    <cfRule type="expression" dxfId="7557" priority="3027">
      <formula>$B2675="Subetapa"</formula>
    </cfRule>
  </conditionalFormatting>
  <conditionalFormatting sqref="G2676:H2676">
    <cfRule type="expression" dxfId="7556" priority="3021">
      <formula>$B2676="Subetapa"</formula>
    </cfRule>
  </conditionalFormatting>
  <conditionalFormatting sqref="G2688:H2688">
    <cfRule type="expression" dxfId="7555" priority="3019">
      <formula>$B2688="Subetapa"</formula>
    </cfRule>
    <cfRule type="expression" dxfId="7554" priority="3020">
      <formula>$B2688="Serviço"</formula>
    </cfRule>
  </conditionalFormatting>
  <conditionalFormatting sqref="K2675:K2681">
    <cfRule type="expression" dxfId="7553" priority="3014">
      <formula>$B2675="Subetapa"</formula>
    </cfRule>
  </conditionalFormatting>
  <conditionalFormatting sqref="A2675:A2681">
    <cfRule type="expression" dxfId="7552" priority="3011">
      <formula>$B2675="Subetapa"</formula>
    </cfRule>
  </conditionalFormatting>
  <conditionalFormatting sqref="G2679:H2679">
    <cfRule type="expression" dxfId="7551" priority="3007">
      <formula>$B2679="Subetapa"</formula>
    </cfRule>
  </conditionalFormatting>
  <conditionalFormatting sqref="I2689:K2689">
    <cfRule type="expression" dxfId="7550" priority="3000">
      <formula>$B2689="Subetapa"</formula>
    </cfRule>
  </conditionalFormatting>
  <conditionalFormatting sqref="A2689">
    <cfRule type="expression" dxfId="7549" priority="2998">
      <formula>$B2689="Subetapa"</formula>
    </cfRule>
  </conditionalFormatting>
  <conditionalFormatting sqref="G2662:H2662">
    <cfRule type="expression" dxfId="7548" priority="2996">
      <formula>$B2662="Subetapa"</formula>
    </cfRule>
  </conditionalFormatting>
  <conditionalFormatting sqref="G2744:H2744">
    <cfRule type="expression" dxfId="7547" priority="2995">
      <formula>$B2744="Subetapa"</formula>
    </cfRule>
  </conditionalFormatting>
  <conditionalFormatting sqref="D2826:F2827 B2835:B2840 D2835:F2840">
    <cfRule type="expression" dxfId="7546" priority="2991">
      <formula>$B2826="Serviço"</formula>
    </cfRule>
  </conditionalFormatting>
  <conditionalFormatting sqref="B2822:B2825">
    <cfRule type="expression" dxfId="7545" priority="2987">
      <formula>$B2822="Subetapa"</formula>
    </cfRule>
  </conditionalFormatting>
  <conditionalFormatting sqref="C2822:D2822">
    <cfRule type="expression" dxfId="7544" priority="2976">
      <formula>$B2822="Serviço"</formula>
    </cfRule>
    <cfRule type="expression" dxfId="7543" priority="2977">
      <formula>$B2822="Subetapa"</formula>
    </cfRule>
  </conditionalFormatting>
  <conditionalFormatting sqref="C2823:D2823">
    <cfRule type="expression" dxfId="7542" priority="2978">
      <formula>$A2823=2</formula>
    </cfRule>
  </conditionalFormatting>
  <conditionalFormatting sqref="C2824:D2824">
    <cfRule type="expression" dxfId="7541" priority="2981">
      <formula>$B2824="Serviço"</formula>
    </cfRule>
    <cfRule type="expression" dxfId="7540" priority="2982">
      <formula>$B2824="Subetapa"</formula>
    </cfRule>
  </conditionalFormatting>
  <conditionalFormatting sqref="C2825:D2825">
    <cfRule type="expression" dxfId="7539" priority="2983">
      <formula>$A2825=2</formula>
    </cfRule>
  </conditionalFormatting>
  <conditionalFormatting sqref="E2823">
    <cfRule type="expression" dxfId="7538" priority="2979">
      <formula>$B2823="Serviço"</formula>
    </cfRule>
  </conditionalFormatting>
  <conditionalFormatting sqref="E2825">
    <cfRule type="expression" dxfId="7537" priority="2989">
      <formula>$B2825="Serviço"</formula>
    </cfRule>
  </conditionalFormatting>
  <conditionalFormatting sqref="E2822:F2825">
    <cfRule type="expression" dxfId="7536" priority="2988">
      <formula>$B2822="Serviço"</formula>
    </cfRule>
  </conditionalFormatting>
  <conditionalFormatting sqref="E2822:F2823">
    <cfRule type="expression" dxfId="7535" priority="2980">
      <formula>$B2822="Subetapa"</formula>
    </cfRule>
  </conditionalFormatting>
  <conditionalFormatting sqref="E2824:F2825">
    <cfRule type="expression" dxfId="7534" priority="2990">
      <formula>$B2824="Subetapa"</formula>
    </cfRule>
  </conditionalFormatting>
  <conditionalFormatting sqref="B2822:B2825">
    <cfRule type="expression" dxfId="7533" priority="2986">
      <formula>$B2822="Serviço"</formula>
    </cfRule>
  </conditionalFormatting>
  <conditionalFormatting sqref="D2826:F2827 B2835:B2840 D2835:F2840">
    <cfRule type="expression" dxfId="7532" priority="2992">
      <formula>$B2826="Subetapa"</formula>
    </cfRule>
  </conditionalFormatting>
  <conditionalFormatting sqref="G2794:H2794">
    <cfRule type="expression" dxfId="7531" priority="2546">
      <formula>$B2794="Subetapa"</formula>
    </cfRule>
  </conditionalFormatting>
  <conditionalFormatting sqref="E2780">
    <cfRule type="expression" dxfId="7530" priority="2544">
      <formula>$B2780="Subetapa"</formula>
    </cfRule>
  </conditionalFormatting>
  <conditionalFormatting sqref="E2779:F2780">
    <cfRule type="expression" dxfId="7529" priority="2545">
      <formula>$B2779="Subetapa"</formula>
    </cfRule>
  </conditionalFormatting>
  <conditionalFormatting sqref="G2779:H2779">
    <cfRule type="expression" dxfId="7528" priority="2538">
      <formula>$B2779="Subetapa"</formula>
    </cfRule>
  </conditionalFormatting>
  <conditionalFormatting sqref="E2776">
    <cfRule type="expression" dxfId="7527" priority="2536">
      <formula>$B2776="Subetapa"</formula>
    </cfRule>
  </conditionalFormatting>
  <conditionalFormatting sqref="E2775:F2776">
    <cfRule type="expression" dxfId="7526" priority="2537">
      <formula>$B2775="Subetapa"</formula>
    </cfRule>
  </conditionalFormatting>
  <conditionalFormatting sqref="G2775:H2775">
    <cfRule type="expression" dxfId="7525" priority="2530">
      <formula>$B2775="Subetapa"</formula>
    </cfRule>
  </conditionalFormatting>
  <conditionalFormatting sqref="E2782">
    <cfRule type="expression" dxfId="7524" priority="2528">
      <formula>$B2782="Subetapa"</formula>
    </cfRule>
  </conditionalFormatting>
  <conditionalFormatting sqref="E2781:F2782">
    <cfRule type="expression" dxfId="7523" priority="2529">
      <formula>$B2781="Subetapa"</formula>
    </cfRule>
  </conditionalFormatting>
  <conditionalFormatting sqref="G2781:H2781">
    <cfRule type="expression" dxfId="7522" priority="2522">
      <formula>$B2781="Subetapa"</formula>
    </cfRule>
  </conditionalFormatting>
  <conditionalFormatting sqref="E2774">
    <cfRule type="expression" dxfId="7521" priority="2520">
      <formula>$B2774="Subetapa"</formula>
    </cfRule>
  </conditionalFormatting>
  <conditionalFormatting sqref="E2773:F2774">
    <cfRule type="expression" dxfId="7520" priority="2521">
      <formula>$B2773="Subetapa"</formula>
    </cfRule>
  </conditionalFormatting>
  <conditionalFormatting sqref="G2773:H2773">
    <cfRule type="expression" dxfId="7519" priority="2514">
      <formula>$B2773="Subetapa"</formula>
    </cfRule>
  </conditionalFormatting>
  <conditionalFormatting sqref="E2778">
    <cfRule type="expression" dxfId="7518" priority="2512">
      <formula>$B2778="Subetapa"</formula>
    </cfRule>
  </conditionalFormatting>
  <conditionalFormatting sqref="E2777:F2777 E2778">
    <cfRule type="expression" dxfId="7517" priority="2513">
      <formula>$B2777="Subetapa"</formula>
    </cfRule>
  </conditionalFormatting>
  <conditionalFormatting sqref="G2777:H2777">
    <cfRule type="expression" dxfId="7516" priority="2506">
      <formula>$B2777="Subetapa"</formula>
    </cfRule>
  </conditionalFormatting>
  <conditionalFormatting sqref="G2796:H2796">
    <cfRule type="expression" dxfId="7515" priority="2505">
      <formula>$B2796="Subetapa"</formula>
    </cfRule>
  </conditionalFormatting>
  <conditionalFormatting sqref="D2843:F2843 D2844 C2843:C2844">
    <cfRule type="expression" dxfId="7514" priority="2496">
      <formula>$B2843="Subetapa"</formula>
    </cfRule>
  </conditionalFormatting>
  <conditionalFormatting sqref="E2833:E2834">
    <cfRule type="expression" dxfId="7513" priority="2495">
      <formula>$B2833="Subetapa"</formula>
    </cfRule>
  </conditionalFormatting>
  <conditionalFormatting sqref="D2832:F2832 F2833:F2834 D2833:D2834 B2832:C2834">
    <cfRule type="expression" dxfId="7512" priority="2490">
      <formula>$B2832="Subetapa"</formula>
    </cfRule>
  </conditionalFormatting>
  <conditionalFormatting sqref="K2832:K2834">
    <cfRule type="expression" dxfId="7511" priority="2486">
      <formula>$B2832="Subetapa"</formula>
    </cfRule>
  </conditionalFormatting>
  <conditionalFormatting sqref="A2832:A2834">
    <cfRule type="expression" dxfId="7510" priority="2484">
      <formula>$B2832="Subetapa"</formula>
    </cfRule>
  </conditionalFormatting>
  <conditionalFormatting sqref="G2832:H2832">
    <cfRule type="expression" dxfId="7509" priority="2483">
      <formula>$B2832="Subetapa"</formula>
    </cfRule>
  </conditionalFormatting>
  <conditionalFormatting sqref="B2682 B2684">
    <cfRule type="expression" dxfId="7508" priority="2481">
      <formula>$B2682="Subetapa"</formula>
    </cfRule>
  </conditionalFormatting>
  <conditionalFormatting sqref="E2682:F2682 F2684">
    <cfRule type="expression" dxfId="7507" priority="2480">
      <formula>$B2682="Subetapa"</formula>
    </cfRule>
    <cfRule type="expression" dxfId="7506" priority="2482">
      <formula>$B2682="Serviço"</formula>
    </cfRule>
  </conditionalFormatting>
  <conditionalFormatting sqref="G2682:H2682">
    <cfRule type="expression" dxfId="7505" priority="2478">
      <formula>$B2682="Subetapa"</formula>
    </cfRule>
    <cfRule type="expression" dxfId="7504" priority="2479">
      <formula>$B2682="Serviço"</formula>
    </cfRule>
  </conditionalFormatting>
  <conditionalFormatting sqref="I2683:K2683">
    <cfRule type="expression" dxfId="7503" priority="2473">
      <formula>$B2683="Subetapa"</formula>
    </cfRule>
  </conditionalFormatting>
  <conditionalFormatting sqref="A2683">
    <cfRule type="expression" dxfId="7502" priority="2471">
      <formula>$B2683="Subetapa"</formula>
    </cfRule>
  </conditionalFormatting>
  <conditionalFormatting sqref="B2890:B2894">
    <cfRule type="expression" dxfId="7501" priority="2465">
      <formula>$B2890="Serviço"</formula>
    </cfRule>
    <cfRule type="expression" dxfId="7500" priority="2469">
      <formula>$B2890="Subetapa"</formula>
    </cfRule>
  </conditionalFormatting>
  <conditionalFormatting sqref="B2895:B2904">
    <cfRule type="expression" dxfId="7499" priority="2461">
      <formula>$B2895="Subetapa"</formula>
    </cfRule>
  </conditionalFormatting>
  <conditionalFormatting sqref="B2896:B2899 B2901:B2904">
    <cfRule type="expression" dxfId="7498" priority="2462">
      <formula>$B2896="Serviço"</formula>
    </cfRule>
  </conditionalFormatting>
  <conditionalFormatting sqref="B2895 B2900">
    <cfRule type="expression" dxfId="7497" priority="2457">
      <formula>$B2895="Serviço"</formula>
    </cfRule>
  </conditionalFormatting>
  <conditionalFormatting sqref="D2890:F2890 D2891:D2894 C2890:C2894">
    <cfRule type="expression" dxfId="7496" priority="2466">
      <formula>$B2890="Serviço"</formula>
    </cfRule>
    <cfRule type="expression" dxfId="7495" priority="2467">
      <formula>$B2890="Subetapa"</formula>
    </cfRule>
  </conditionalFormatting>
  <conditionalFormatting sqref="D2895:F2895 D2900:F2900 D2896:D2899 F2896:F2899 D2901:D2904 F2901:F2904 C2895:C2904">
    <cfRule type="expression" dxfId="7494" priority="2459">
      <formula>$B2895="Serviço"</formula>
    </cfRule>
    <cfRule type="expression" dxfId="7493" priority="2460">
      <formula>$B2895="Subetapa"</formula>
    </cfRule>
  </conditionalFormatting>
  <conditionalFormatting sqref="F2891:F2894">
    <cfRule type="expression" dxfId="7492" priority="2463">
      <formula>$A2891="Serviço"</formula>
    </cfRule>
    <cfRule type="expression" dxfId="7491" priority="2464">
      <formula>$A2891="Subetapa"</formula>
    </cfRule>
  </conditionalFormatting>
  <conditionalFormatting sqref="G2890:H2890">
    <cfRule type="expression" dxfId="7490" priority="2452">
      <formula>$B2890="Serviço"</formula>
    </cfRule>
    <cfRule type="expression" dxfId="7489" priority="2453">
      <formula>$B2890="Subetapa"</formula>
    </cfRule>
  </conditionalFormatting>
  <conditionalFormatting sqref="G2895:H2895 G2900:H2900">
    <cfRule type="expression" dxfId="7488" priority="2456">
      <formula>$B2895="Serviço"</formula>
    </cfRule>
  </conditionalFormatting>
  <conditionalFormatting sqref="G2895:H2895 G2900:H2900">
    <cfRule type="expression" dxfId="7487" priority="2451">
      <formula>$B2895="Subetapa"</formula>
    </cfRule>
  </conditionalFormatting>
  <conditionalFormatting sqref="K2895:K2904">
    <cfRule type="expression" dxfId="7486" priority="2444">
      <formula>$B2895="Serviço"</formula>
    </cfRule>
  </conditionalFormatting>
  <conditionalFormatting sqref="K2890:K2894">
    <cfRule type="expression" dxfId="7485" priority="2445">
      <formula>$B2890="Subetapa"</formula>
    </cfRule>
    <cfRule type="expression" dxfId="7484" priority="2446">
      <formula>$B2890="Serviço"</formula>
    </cfRule>
  </conditionalFormatting>
  <conditionalFormatting sqref="K2895:K2904">
    <cfRule type="expression" dxfId="7483" priority="2443">
      <formula>$B2895="Subetapa"</formula>
    </cfRule>
  </conditionalFormatting>
  <conditionalFormatting sqref="A2890:A2894">
    <cfRule type="expression" dxfId="7482" priority="2441">
      <formula>$B2890="Serviço"</formula>
    </cfRule>
    <cfRule type="expression" dxfId="7481" priority="2442">
      <formula>$B2890="Subetapa"</formula>
    </cfRule>
  </conditionalFormatting>
  <conditionalFormatting sqref="A2895:A2904">
    <cfRule type="expression" dxfId="7480" priority="2439">
      <formula>$B2895="Subetapa"</formula>
    </cfRule>
  </conditionalFormatting>
  <conditionalFormatting sqref="A2896:A2899 A2901:A2904">
    <cfRule type="expression" dxfId="7479" priority="2440">
      <formula>$B2896="Serviço"</formula>
    </cfRule>
  </conditionalFormatting>
  <conditionalFormatting sqref="A2895 A2900">
    <cfRule type="expression" dxfId="7478" priority="2438">
      <formula>$B2895="Serviço"</formula>
    </cfRule>
  </conditionalFormatting>
  <conditionalFormatting sqref="F2959:F2960">
    <cfRule type="expression" dxfId="7477" priority="2432">
      <formula>$B2959="Subetapa"</formula>
    </cfRule>
  </conditionalFormatting>
  <conditionalFormatting sqref="G3093:H3093">
    <cfRule type="expression" dxfId="7476" priority="2430">
      <formula>$B3093="Subetapa"</formula>
    </cfRule>
  </conditionalFormatting>
  <conditionalFormatting sqref="K3093:K3096">
    <cfRule type="expression" dxfId="7475" priority="2427">
      <formula>$B3093="Subetapa"</formula>
    </cfRule>
  </conditionalFormatting>
  <conditionalFormatting sqref="A3093:A3096">
    <cfRule type="expression" dxfId="7474" priority="2426">
      <formula>$B3093="Subetapa"</formula>
    </cfRule>
  </conditionalFormatting>
  <conditionalFormatting sqref="B3330:B3339">
    <cfRule type="expression" dxfId="7473" priority="2424">
      <formula>$B3330="Subetapa"</formula>
    </cfRule>
  </conditionalFormatting>
  <conditionalFormatting sqref="A3330:A3339">
    <cfRule type="expression" dxfId="7472" priority="2416">
      <formula>$B3330="Subetapa"</formula>
    </cfRule>
  </conditionalFormatting>
  <conditionalFormatting sqref="G3335:H3335">
    <cfRule type="expression" dxfId="7471" priority="2410">
      <formula>$B3335="Subetapa"</formula>
    </cfRule>
  </conditionalFormatting>
  <conditionalFormatting sqref="G3330:H3330">
    <cfRule type="expression" dxfId="7470" priority="2404">
      <formula>$B3330="Subetapa"</formula>
    </cfRule>
  </conditionalFormatting>
  <conditionalFormatting sqref="B3265:B3269">
    <cfRule type="expression" dxfId="7469" priority="2372">
      <formula>$B3265="Subetapa"</formula>
    </cfRule>
  </conditionalFormatting>
  <conditionalFormatting sqref="B3270:B3274">
    <cfRule type="expression" dxfId="7468" priority="2365">
      <formula>$B3270="Serviço"</formula>
    </cfRule>
    <cfRule type="expression" dxfId="7467" priority="2369">
      <formula>$B3270="Subetapa"</formula>
    </cfRule>
  </conditionalFormatting>
  <conditionalFormatting sqref="B3275:B3284">
    <cfRule type="expression" dxfId="7466" priority="2361">
      <formula>$B3275="Subetapa"</formula>
    </cfRule>
  </conditionalFormatting>
  <conditionalFormatting sqref="B3276:B3279 B3281:B3284">
    <cfRule type="expression" dxfId="7465" priority="2362">
      <formula>$B3276="Serviço"</formula>
    </cfRule>
  </conditionalFormatting>
  <conditionalFormatting sqref="B3275 B3280">
    <cfRule type="expression" dxfId="7464" priority="2357">
      <formula>$B3275="Serviço"</formula>
    </cfRule>
  </conditionalFormatting>
  <conditionalFormatting sqref="D3265:F3265 D3266:D3268 F3266:F3269 C3265:C3268">
    <cfRule type="expression" dxfId="7463" priority="2356">
      <formula>$B3265="Subetapa"</formula>
    </cfRule>
  </conditionalFormatting>
  <conditionalFormatting sqref="D3270:F3270 D3271:D3273 C3270:C3273">
    <cfRule type="expression" dxfId="7462" priority="2366">
      <formula>$B3270="Serviço"</formula>
    </cfRule>
    <cfRule type="expression" dxfId="7461" priority="2367">
      <formula>$B3270="Subetapa"</formula>
    </cfRule>
  </conditionalFormatting>
  <conditionalFormatting sqref="D3275:F3275 D3280:F3280 D3276:D3279 F3276:F3279 D3281:D3284 F3281:F3284 C3275:C3284">
    <cfRule type="expression" dxfId="7460" priority="2359">
      <formula>$B3275="Serviço"</formula>
    </cfRule>
    <cfRule type="expression" dxfId="7459" priority="2360">
      <formula>$B3275="Subetapa"</formula>
    </cfRule>
  </conditionalFormatting>
  <conditionalFormatting sqref="F3271:F3274">
    <cfRule type="expression" dxfId="7458" priority="2363">
      <formula>$A3271="Serviço"</formula>
    </cfRule>
    <cfRule type="expression" dxfId="7457" priority="2364">
      <formula>$A3271="Subetapa"</formula>
    </cfRule>
  </conditionalFormatting>
  <conditionalFormatting sqref="G3265:H3265">
    <cfRule type="expression" dxfId="7456" priority="2354">
      <formula>$B3265="Subetapa"</formula>
    </cfRule>
  </conditionalFormatting>
  <conditionalFormatting sqref="G3270:H3270">
    <cfRule type="expression" dxfId="7455" priority="2351">
      <formula>$B3270="Serviço"</formula>
    </cfRule>
    <cfRule type="expression" dxfId="7454" priority="2352">
      <formula>$B3270="Subetapa"</formula>
    </cfRule>
  </conditionalFormatting>
  <conditionalFormatting sqref="G3275:H3275 G3280:H3280">
    <cfRule type="expression" dxfId="7453" priority="2355">
      <formula>$B3275="Serviço"</formula>
    </cfRule>
  </conditionalFormatting>
  <conditionalFormatting sqref="G3275:H3275 G3280:H3280">
    <cfRule type="expression" dxfId="7452" priority="2350">
      <formula>$B3275="Subetapa"</formula>
    </cfRule>
  </conditionalFormatting>
  <conditionalFormatting sqref="K3275:K3284">
    <cfRule type="expression" dxfId="7451" priority="2339">
      <formula>$B3275="Serviço"</formula>
    </cfRule>
  </conditionalFormatting>
  <conditionalFormatting sqref="K3265:K3269">
    <cfRule type="expression" dxfId="7450" priority="2343">
      <formula>$B3265="Subetapa"</formula>
    </cfRule>
  </conditionalFormatting>
  <conditionalFormatting sqref="K3270:K3274">
    <cfRule type="expression" dxfId="7449" priority="2340">
      <formula>$B3270="Subetapa"</formula>
    </cfRule>
    <cfRule type="expression" dxfId="7448" priority="2341">
      <formula>$B3270="Serviço"</formula>
    </cfRule>
  </conditionalFormatting>
  <conditionalFormatting sqref="K3275:K3284">
    <cfRule type="expression" dxfId="7447" priority="2338">
      <formula>$B3275="Subetapa"</formula>
    </cfRule>
  </conditionalFormatting>
  <conditionalFormatting sqref="A3265:A3269">
    <cfRule type="expression" dxfId="7446" priority="2337">
      <formula>$B3265="Subetapa"</formula>
    </cfRule>
  </conditionalFormatting>
  <conditionalFormatting sqref="A3270:A3274">
    <cfRule type="expression" dxfId="7445" priority="2334">
      <formula>$B3270="Serviço"</formula>
    </cfRule>
    <cfRule type="expression" dxfId="7444" priority="2335">
      <formula>$B3270="Subetapa"</formula>
    </cfRule>
  </conditionalFormatting>
  <conditionalFormatting sqref="A3275:A3284">
    <cfRule type="expression" dxfId="7443" priority="2332">
      <formula>$B3275="Subetapa"</formula>
    </cfRule>
  </conditionalFormatting>
  <conditionalFormatting sqref="A3276:A3279 A3281:A3284">
    <cfRule type="expression" dxfId="7442" priority="2333">
      <formula>$B3276="Serviço"</formula>
    </cfRule>
  </conditionalFormatting>
  <conditionalFormatting sqref="A3275 A3280">
    <cfRule type="expression" dxfId="7441" priority="2331">
      <formula>$B3275="Serviço"</formula>
    </cfRule>
  </conditionalFormatting>
  <conditionalFormatting sqref="D3500:F3500 D3501:D3504 C3500:C3504">
    <cfRule type="expression" dxfId="7440" priority="2322">
      <formula>$B3500="Serviço"</formula>
    </cfRule>
  </conditionalFormatting>
  <conditionalFormatting sqref="F3501:F3504">
    <cfRule type="expression" dxfId="7439" priority="2320">
      <formula>$A3501="Serviço"</formula>
    </cfRule>
    <cfRule type="expression" dxfId="7438" priority="2321">
      <formula>$A3501="Subetapa"</formula>
    </cfRule>
  </conditionalFormatting>
  <conditionalFormatting sqref="G3500:H3500">
    <cfRule type="expression" dxfId="7437" priority="2319">
      <formula>$B3500="Subetapa"</formula>
    </cfRule>
  </conditionalFormatting>
  <conditionalFormatting sqref="G3500:H3500">
    <cfRule type="expression" dxfId="7436" priority="2318">
      <formula>$B3500="Serviço"</formula>
    </cfRule>
  </conditionalFormatting>
  <conditionalFormatting sqref="C3334:D3334">
    <cfRule type="expression" dxfId="7435" priority="2317">
      <formula>$B3334="Subetapa"</formula>
    </cfRule>
  </conditionalFormatting>
  <conditionalFormatting sqref="C3334:D3334">
    <cfRule type="expression" dxfId="7434" priority="2316">
      <formula>$B3334="Serviço"</formula>
    </cfRule>
  </conditionalFormatting>
  <conditionalFormatting sqref="C3339:D3339">
    <cfRule type="expression" dxfId="7433" priority="2315">
      <formula>$B3339="Subetapa"</formula>
    </cfRule>
  </conditionalFormatting>
  <conditionalFormatting sqref="C3339:D3339">
    <cfRule type="expression" dxfId="7432" priority="2314">
      <formula>$B3339="Serviço"</formula>
    </cfRule>
  </conditionalFormatting>
  <conditionalFormatting sqref="C3294:D3294">
    <cfRule type="expression" dxfId="7431" priority="2313">
      <formula>$B3294="Subetapa"</formula>
    </cfRule>
  </conditionalFormatting>
  <conditionalFormatting sqref="C3294:D3294">
    <cfRule type="expression" dxfId="7430" priority="2312">
      <formula>$B3294="Serviço"</formula>
    </cfRule>
  </conditionalFormatting>
  <conditionalFormatting sqref="C3274:D3274">
    <cfRule type="expression" dxfId="7429" priority="2311">
      <formula>$B3274="Subetapa"</formula>
    </cfRule>
  </conditionalFormatting>
  <conditionalFormatting sqref="C3274:D3274">
    <cfRule type="expression" dxfId="7428" priority="2310">
      <formula>$B3274="Serviço"</formula>
    </cfRule>
  </conditionalFormatting>
  <conditionalFormatting sqref="C3269:D3269">
    <cfRule type="expression" dxfId="7427" priority="2309">
      <formula>$B3269="Subetapa"</formula>
    </cfRule>
  </conditionalFormatting>
  <conditionalFormatting sqref="C3269:D3269">
    <cfRule type="expression" dxfId="7426" priority="2308">
      <formula>$B3269="Serviço"</formula>
    </cfRule>
  </conditionalFormatting>
  <conditionalFormatting sqref="C2378:D2378">
    <cfRule type="expression" dxfId="7425" priority="2307">
      <formula>$B2378="Subetapa"</formula>
    </cfRule>
  </conditionalFormatting>
  <conditionalFormatting sqref="C2378:D2378">
    <cfRule type="expression" dxfId="7424" priority="2306">
      <formula>$B2378="Serviço"</formula>
    </cfRule>
  </conditionalFormatting>
  <conditionalFormatting sqref="C2388:D2388">
    <cfRule type="expression" dxfId="7423" priority="2305">
      <formula>$B2388="Subetapa"</formula>
    </cfRule>
  </conditionalFormatting>
  <conditionalFormatting sqref="C2388:D2388">
    <cfRule type="expression" dxfId="7422" priority="2304">
      <formula>$B2388="Serviço"</formula>
    </cfRule>
  </conditionalFormatting>
  <conditionalFormatting sqref="C2419:D2419">
    <cfRule type="expression" dxfId="7421" priority="2303">
      <formula>$B2419="Subetapa"</formula>
    </cfRule>
  </conditionalFormatting>
  <conditionalFormatting sqref="C2419:D2419">
    <cfRule type="expression" dxfId="7420" priority="2302">
      <formula>$B2419="Serviço"</formula>
    </cfRule>
  </conditionalFormatting>
  <conditionalFormatting sqref="C2429:D2429">
    <cfRule type="expression" dxfId="7419" priority="2301">
      <formula>$B2429="Subetapa"</formula>
    </cfRule>
  </conditionalFormatting>
  <conditionalFormatting sqref="C2429:D2429">
    <cfRule type="expression" dxfId="7418" priority="2300">
      <formula>$B2429="Serviço"</formula>
    </cfRule>
  </conditionalFormatting>
  <conditionalFormatting sqref="G2566:H2566">
    <cfRule type="expression" dxfId="7417" priority="2293">
      <formula>$B2566="Subetapa"</formula>
    </cfRule>
  </conditionalFormatting>
  <conditionalFormatting sqref="C2570:D2570">
    <cfRule type="expression" dxfId="7416" priority="2290">
      <formula>$B2570="Serviço"</formula>
    </cfRule>
  </conditionalFormatting>
  <conditionalFormatting sqref="C2570:D2570">
    <cfRule type="expression" dxfId="7415" priority="2291">
      <formula>$B2570="Subetapa"</formula>
    </cfRule>
  </conditionalFormatting>
  <conditionalFormatting sqref="G2561:H2561">
    <cfRule type="expression" dxfId="7414" priority="2281">
      <formula>$B2561="Subetapa"</formula>
    </cfRule>
  </conditionalFormatting>
  <conditionalFormatting sqref="C2565:D2565">
    <cfRule type="expression" dxfId="7413" priority="2278">
      <formula>$B2565="Serviço"</formula>
    </cfRule>
  </conditionalFormatting>
  <conditionalFormatting sqref="C2565:D2565">
    <cfRule type="expression" dxfId="7412" priority="2279">
      <formula>$B2565="Subetapa"</formula>
    </cfRule>
  </conditionalFormatting>
  <conditionalFormatting sqref="G2546:H2546">
    <cfRule type="expression" dxfId="7411" priority="2269">
      <formula>$B2546="Subetapa"</formula>
    </cfRule>
  </conditionalFormatting>
  <conditionalFormatting sqref="C2550:D2550">
    <cfRule type="expression" dxfId="7410" priority="2266">
      <formula>$B2550="Serviço"</formula>
    </cfRule>
  </conditionalFormatting>
  <conditionalFormatting sqref="C2550:D2550">
    <cfRule type="expression" dxfId="7409" priority="2267">
      <formula>$B2550="Subetapa"</formula>
    </cfRule>
  </conditionalFormatting>
  <conditionalFormatting sqref="G2541:H2541">
    <cfRule type="expression" dxfId="7408" priority="2257">
      <formula>$B2541="Subetapa"</formula>
    </cfRule>
  </conditionalFormatting>
  <conditionalFormatting sqref="C2545:D2545">
    <cfRule type="expression" dxfId="7407" priority="2254">
      <formula>$B2545="Serviço"</formula>
    </cfRule>
  </conditionalFormatting>
  <conditionalFormatting sqref="C2545:D2545">
    <cfRule type="expression" dxfId="7406" priority="2255">
      <formula>$B2545="Subetapa"</formula>
    </cfRule>
  </conditionalFormatting>
  <conditionalFormatting sqref="G2536:H2536">
    <cfRule type="expression" dxfId="7405" priority="2245">
      <formula>$B2536="Subetapa"</formula>
    </cfRule>
  </conditionalFormatting>
  <conditionalFormatting sqref="C2540:D2540">
    <cfRule type="expression" dxfId="7404" priority="2242">
      <formula>$B2540="Serviço"</formula>
    </cfRule>
  </conditionalFormatting>
  <conditionalFormatting sqref="C2540:D2540">
    <cfRule type="expression" dxfId="7403" priority="2243">
      <formula>$B2540="Subetapa"</formula>
    </cfRule>
  </conditionalFormatting>
  <conditionalFormatting sqref="G2531:H2531">
    <cfRule type="expression" dxfId="7402" priority="2233">
      <formula>$B2531="Subetapa"</formula>
    </cfRule>
  </conditionalFormatting>
  <conditionalFormatting sqref="C2535:D2535">
    <cfRule type="expression" dxfId="7401" priority="2230">
      <formula>$B2535="Serviço"</formula>
    </cfRule>
  </conditionalFormatting>
  <conditionalFormatting sqref="C2535:D2535">
    <cfRule type="expression" dxfId="7400" priority="2231">
      <formula>$B2535="Subetapa"</formula>
    </cfRule>
  </conditionalFormatting>
  <conditionalFormatting sqref="G2589:H2589">
    <cfRule type="expression" dxfId="7399" priority="2225">
      <formula>$B2589="Subetapa"</formula>
    </cfRule>
  </conditionalFormatting>
  <conditionalFormatting sqref="G2583:H2583">
    <cfRule type="expression" dxfId="7398" priority="2219">
      <formula>$B2583="Subetapa"</formula>
    </cfRule>
  </conditionalFormatting>
  <conditionalFormatting sqref="G2556:H2556">
    <cfRule type="expression" dxfId="7397" priority="2209">
      <formula>$B2556="Subetapa"</formula>
    </cfRule>
  </conditionalFormatting>
  <conditionalFormatting sqref="C2560:D2560">
    <cfRule type="expression" dxfId="7396" priority="2206">
      <formula>$B2560="Serviço"</formula>
    </cfRule>
  </conditionalFormatting>
  <conditionalFormatting sqref="C2560:D2560">
    <cfRule type="expression" dxfId="7395" priority="2207">
      <formula>$B2560="Subetapa"</formula>
    </cfRule>
  </conditionalFormatting>
  <conditionalFormatting sqref="G2551:H2551">
    <cfRule type="expression" dxfId="7394" priority="2197">
      <formula>$B2551="Subetapa"</formula>
    </cfRule>
  </conditionalFormatting>
  <conditionalFormatting sqref="C2555:D2555">
    <cfRule type="expression" dxfId="7393" priority="2194">
      <formula>$B2555="Serviço"</formula>
    </cfRule>
  </conditionalFormatting>
  <conditionalFormatting sqref="C2555:D2555">
    <cfRule type="expression" dxfId="7392" priority="2195">
      <formula>$B2555="Subetapa"</formula>
    </cfRule>
  </conditionalFormatting>
  <conditionalFormatting sqref="G2420:H2420">
    <cfRule type="expression" dxfId="7391" priority="2189">
      <formula>$B2420="Subetapa"</formula>
    </cfRule>
  </conditionalFormatting>
  <conditionalFormatting sqref="C2424:D2424">
    <cfRule type="expression" dxfId="7390" priority="2187">
      <formula>$B2424="Subetapa"</formula>
    </cfRule>
  </conditionalFormatting>
  <conditionalFormatting sqref="C2424:D2424">
    <cfRule type="expression" dxfId="7389" priority="2186">
      <formula>$B2424="Serviço"</formula>
    </cfRule>
  </conditionalFormatting>
  <conditionalFormatting sqref="C3147:F3147">
    <cfRule type="expression" dxfId="7388" priority="2185">
      <formula>$B3147="Subetapa"</formula>
    </cfRule>
  </conditionalFormatting>
  <conditionalFormatting sqref="G3147:H3147">
    <cfRule type="expression" dxfId="7387" priority="2183">
      <formula>$B3147="Subetapa"</formula>
    </cfRule>
  </conditionalFormatting>
  <conditionalFormatting sqref="E3173:E3174">
    <cfRule type="expression" dxfId="7386" priority="2181">
      <formula>$B3173="Subetapa"</formula>
    </cfRule>
  </conditionalFormatting>
  <conditionalFormatting sqref="E3172:F3172">
    <cfRule type="expression" dxfId="7385" priority="2178">
      <formula>$B3172="Subetapa"</formula>
    </cfRule>
  </conditionalFormatting>
  <conditionalFormatting sqref="D3173:D3174 F3173:F3174">
    <cfRule type="expression" dxfId="7384" priority="2182">
      <formula>$B3173="Subetapa"</formula>
    </cfRule>
  </conditionalFormatting>
  <conditionalFormatting sqref="G3172:H3172">
    <cfRule type="expression" dxfId="7383" priority="2174">
      <formula>$B3172="Subetapa"</formula>
    </cfRule>
  </conditionalFormatting>
  <conditionalFormatting sqref="E3170:E3171">
    <cfRule type="expression" dxfId="7382" priority="2172">
      <formula>$B3170="Subetapa"</formula>
    </cfRule>
  </conditionalFormatting>
  <conditionalFormatting sqref="C3169:F3169">
    <cfRule type="expression" dxfId="7381" priority="2169">
      <formula>$B3169="Subetapa"</formula>
    </cfRule>
  </conditionalFormatting>
  <conditionalFormatting sqref="D3170:D3171 F3170:F3171">
    <cfRule type="expression" dxfId="7380" priority="2173">
      <formula>$B3170="Subetapa"</formula>
    </cfRule>
  </conditionalFormatting>
  <conditionalFormatting sqref="G3169:H3169">
    <cfRule type="expression" dxfId="7379" priority="2165">
      <formula>$B3169="Subetapa"</formula>
    </cfRule>
  </conditionalFormatting>
  <conditionalFormatting sqref="E3167:E3168">
    <cfRule type="expression" dxfId="7378" priority="2163">
      <formula>$B3167="Subetapa"</formula>
    </cfRule>
  </conditionalFormatting>
  <conditionalFormatting sqref="E3166:F3166">
    <cfRule type="expression" dxfId="7377" priority="2160">
      <formula>$B3166="Subetapa"</formula>
    </cfRule>
  </conditionalFormatting>
  <conditionalFormatting sqref="D3167:D3168 F3167:F3168">
    <cfRule type="expression" dxfId="7376" priority="2164">
      <formula>$B3167="Subetapa"</formula>
    </cfRule>
  </conditionalFormatting>
  <conditionalFormatting sqref="G3166:H3166">
    <cfRule type="expression" dxfId="7375" priority="2156">
      <formula>$B3166="Subetapa"</formula>
    </cfRule>
  </conditionalFormatting>
  <conditionalFormatting sqref="E3164:E3165">
    <cfRule type="expression" dxfId="7374" priority="2154">
      <formula>$B3164="Subetapa"</formula>
    </cfRule>
  </conditionalFormatting>
  <conditionalFormatting sqref="E3163:F3163">
    <cfRule type="expression" dxfId="7373" priority="2151">
      <formula>$B3163="Subetapa"</formula>
    </cfRule>
  </conditionalFormatting>
  <conditionalFormatting sqref="D3164:D3165 F3164:F3165">
    <cfRule type="expression" dxfId="7372" priority="2155">
      <formula>$B3164="Subetapa"</formula>
    </cfRule>
  </conditionalFormatting>
  <conditionalFormatting sqref="G3163:H3163">
    <cfRule type="expression" dxfId="7371" priority="2147">
      <formula>$B3163="Subetapa"</formula>
    </cfRule>
  </conditionalFormatting>
  <conditionalFormatting sqref="E3161:E3162">
    <cfRule type="expression" dxfId="7370" priority="2145">
      <formula>$B3161="Subetapa"</formula>
    </cfRule>
  </conditionalFormatting>
  <conditionalFormatting sqref="C3160:F3160">
    <cfRule type="expression" dxfId="7369" priority="2142">
      <formula>$B3160="Subetapa"</formula>
    </cfRule>
  </conditionalFormatting>
  <conditionalFormatting sqref="D3161:D3162 F3161:F3162">
    <cfRule type="expression" dxfId="7368" priority="2146">
      <formula>$B3161="Subetapa"</formula>
    </cfRule>
  </conditionalFormatting>
  <conditionalFormatting sqref="G3160:H3160">
    <cfRule type="expression" dxfId="7367" priority="2138">
      <formula>$B3160="Subetapa"</formula>
    </cfRule>
  </conditionalFormatting>
  <conditionalFormatting sqref="E3158:E3159">
    <cfRule type="expression" dxfId="7366" priority="2136">
      <formula>$B3158="Subetapa"</formula>
    </cfRule>
  </conditionalFormatting>
  <conditionalFormatting sqref="C3157:F3157">
    <cfRule type="expression" dxfId="7365" priority="2133">
      <formula>$B3157="Subetapa"</formula>
    </cfRule>
  </conditionalFormatting>
  <conditionalFormatting sqref="D3158:D3159 F3158:F3159">
    <cfRule type="expression" dxfId="7364" priority="2137">
      <formula>$B3158="Subetapa"</formula>
    </cfRule>
  </conditionalFormatting>
  <conditionalFormatting sqref="G3157:H3157">
    <cfRule type="expression" dxfId="7363" priority="2129">
      <formula>$B3157="Subetapa"</formula>
    </cfRule>
  </conditionalFormatting>
  <conditionalFormatting sqref="C3163:D3163">
    <cfRule type="expression" dxfId="7362" priority="2128">
      <formula>$B3163="Subetapa"</formula>
    </cfRule>
  </conditionalFormatting>
  <conditionalFormatting sqref="C3166:D3166">
    <cfRule type="expression" dxfId="7361" priority="2126">
      <formula>$B3166="Subetapa"</formula>
    </cfRule>
  </conditionalFormatting>
  <conditionalFormatting sqref="C3172:D3172">
    <cfRule type="expression" dxfId="7360" priority="2125">
      <formula>$B3172="Subetapa"</formula>
    </cfRule>
  </conditionalFormatting>
  <conditionalFormatting sqref="D3155:F3155 D3156 C3155:C3156">
    <cfRule type="expression" dxfId="7359" priority="2120">
      <formula>$B3155="Subetapa"</formula>
    </cfRule>
  </conditionalFormatting>
  <conditionalFormatting sqref="G3155:H3155">
    <cfRule type="expression" dxfId="7358" priority="2116">
      <formula>$B3155="Subetapa"</formula>
    </cfRule>
  </conditionalFormatting>
  <conditionalFormatting sqref="D3153:F3153 D3154 C3153:C3154">
    <cfRule type="expression" dxfId="7357" priority="2114">
      <formula>$B3153="Subetapa"</formula>
    </cfRule>
  </conditionalFormatting>
  <conditionalFormatting sqref="G3153:H3153">
    <cfRule type="expression" dxfId="7356" priority="2112">
      <formula>$B3153="Subetapa"</formula>
    </cfRule>
  </conditionalFormatting>
  <conditionalFormatting sqref="D3151:F3151 D3152 C3151:C3152">
    <cfRule type="expression" dxfId="7355" priority="2110">
      <formula>$B3151="Subetapa"</formula>
    </cfRule>
  </conditionalFormatting>
  <conditionalFormatting sqref="G3151:H3151">
    <cfRule type="expression" dxfId="7354" priority="2108">
      <formula>$B3151="Subetapa"</formula>
    </cfRule>
  </conditionalFormatting>
  <conditionalFormatting sqref="D3149:F3149 D3150 C3149:C3150">
    <cfRule type="expression" dxfId="7353" priority="2106">
      <formula>$B3149="Subetapa"</formula>
    </cfRule>
  </conditionalFormatting>
  <conditionalFormatting sqref="G3149:H3149">
    <cfRule type="expression" dxfId="7352" priority="2104">
      <formula>$B3149="Subetapa"</formula>
    </cfRule>
  </conditionalFormatting>
  <conditionalFormatting sqref="F3611:F3613 D3610:F3610 D3611:D3613 F3595:F3597 D3594:F3594 D3595:D3597 F3599:F3601 D3598:F3598 D3599:D3601 F3607:F3609 D3606:F3606 D3607:D3609 F3603:F3605 D3602:F3602 D3603:D3605 D3589:F3589 F3590:F3593 D3590:D3593 B3589:C3613">
    <cfRule type="expression" dxfId="7351" priority="2102">
      <formula>$B3589="Subetapa"</formula>
    </cfRule>
  </conditionalFormatting>
  <conditionalFormatting sqref="D3614:F3614 F3615:F3617 D3615:D3617 B3614:C3617">
    <cfRule type="expression" dxfId="7350" priority="2100">
      <formula>$B3614="Subetapa"</formula>
    </cfRule>
  </conditionalFormatting>
  <conditionalFormatting sqref="G3610:H3610">
    <cfRule type="expression" dxfId="7349" priority="2098">
      <formula>$B3610="Subetapa"</formula>
    </cfRule>
  </conditionalFormatting>
  <conditionalFormatting sqref="K3589:K3613">
    <cfRule type="expression" dxfId="7348" priority="2092">
      <formula>$B3589="Subetapa"</formula>
    </cfRule>
  </conditionalFormatting>
  <conditionalFormatting sqref="K3614:K3617">
    <cfRule type="expression" dxfId="7347" priority="2090">
      <formula>$B3614="Subetapa"</formula>
    </cfRule>
  </conditionalFormatting>
  <conditionalFormatting sqref="A3589:A3613">
    <cfRule type="expression" dxfId="7346" priority="2088">
      <formula>$B3589="Subetapa"</formula>
    </cfRule>
  </conditionalFormatting>
  <conditionalFormatting sqref="A3614:A3617">
    <cfRule type="expression" dxfId="7345" priority="2086">
      <formula>$B3614="Subetapa"</formula>
    </cfRule>
  </conditionalFormatting>
  <conditionalFormatting sqref="E3595:E3597">
    <cfRule type="expression" dxfId="7344" priority="2085">
      <formula>$B3595="Subetapa"</formula>
    </cfRule>
  </conditionalFormatting>
  <conditionalFormatting sqref="G3594:H3594">
    <cfRule type="expression" dxfId="7343" priority="2080">
      <formula>$B3594="Subetapa"</formula>
    </cfRule>
  </conditionalFormatting>
  <conditionalFormatting sqref="E3599:E3601">
    <cfRule type="expression" dxfId="7342" priority="2079">
      <formula>$B3599="Subetapa"</formula>
    </cfRule>
  </conditionalFormatting>
  <conditionalFormatting sqref="G3598:H3598">
    <cfRule type="expression" dxfId="7341" priority="2074">
      <formula>$B3598="Subetapa"</formula>
    </cfRule>
  </conditionalFormatting>
  <conditionalFormatting sqref="E3607:E3609">
    <cfRule type="expression" dxfId="7340" priority="2073">
      <formula>$B3607="Subetapa"</formula>
    </cfRule>
  </conditionalFormatting>
  <conditionalFormatting sqref="G3606:H3606">
    <cfRule type="expression" dxfId="7339" priority="2068">
      <formula>$B3606="Subetapa"</formula>
    </cfRule>
  </conditionalFormatting>
  <conditionalFormatting sqref="E3603:E3605">
    <cfRule type="expression" dxfId="7338" priority="2067">
      <formula>$B3603="Subetapa"</formula>
    </cfRule>
  </conditionalFormatting>
  <conditionalFormatting sqref="G3602:H3602">
    <cfRule type="expression" dxfId="7337" priority="2062">
      <formula>$B3602="Subetapa"</formula>
    </cfRule>
  </conditionalFormatting>
  <conditionalFormatting sqref="G3614:H3614">
    <cfRule type="expression" dxfId="7336" priority="2060">
      <formula>$B3614="Subetapa"</formula>
    </cfRule>
  </conditionalFormatting>
  <conditionalFormatting sqref="E3590:E3593">
    <cfRule type="expression" dxfId="7335" priority="2055">
      <formula>$B3590="Subetapa"</formula>
    </cfRule>
  </conditionalFormatting>
  <conditionalFormatting sqref="G3589:H3589">
    <cfRule type="expression" dxfId="7334" priority="2050">
      <formula>$B3589="Subetapa"</formula>
    </cfRule>
  </conditionalFormatting>
  <conditionalFormatting sqref="G3221:H3221">
    <cfRule type="expression" dxfId="7333" priority="2049">
      <formula>$B3221="Subetapa"</formula>
    </cfRule>
  </conditionalFormatting>
  <conditionalFormatting sqref="G3219:H3219">
    <cfRule type="expression" dxfId="7332" priority="2047">
      <formula>$B3219="Subetapa"</formula>
    </cfRule>
  </conditionalFormatting>
  <conditionalFormatting sqref="F3178 C3177:F3177">
    <cfRule type="expression" dxfId="7331" priority="2044">
      <formula>$B3177="Serviço"</formula>
    </cfRule>
    <cfRule type="expression" dxfId="7330" priority="2045">
      <formula>$B3177="Subetapa"</formula>
    </cfRule>
  </conditionalFormatting>
  <conditionalFormatting sqref="G3177:H3177">
    <cfRule type="expression" dxfId="7329" priority="2042">
      <formula>$B3177="Subetapa"</formula>
    </cfRule>
    <cfRule type="expression" dxfId="7328" priority="2043">
      <formula>$B3177="Serviço"</formula>
    </cfRule>
  </conditionalFormatting>
  <conditionalFormatting sqref="C3178:D3178">
    <cfRule type="expression" dxfId="7327" priority="2041">
      <formula>$B3178="Subetapa"</formula>
    </cfRule>
  </conditionalFormatting>
  <conditionalFormatting sqref="E3179:F3179 F3180">
    <cfRule type="expression" dxfId="7326" priority="2038">
      <formula>$B3179="Serviço"</formula>
    </cfRule>
    <cfRule type="expression" dxfId="7325" priority="2039">
      <formula>$B3179="Subetapa"</formula>
    </cfRule>
  </conditionalFormatting>
  <conditionalFormatting sqref="G3179:H3179">
    <cfRule type="expression" dxfId="7324" priority="2036">
      <formula>$B3179="Subetapa"</formula>
    </cfRule>
    <cfRule type="expression" dxfId="7323" priority="2037">
      <formula>$B3179="Serviço"</formula>
    </cfRule>
  </conditionalFormatting>
  <conditionalFormatting sqref="C3179:D3179">
    <cfRule type="expression" dxfId="7322" priority="2034">
      <formula>$B3179="Serviço"</formula>
    </cfRule>
    <cfRule type="expression" dxfId="7321" priority="2035">
      <formula>$B3179="Subetapa"</formula>
    </cfRule>
  </conditionalFormatting>
  <conditionalFormatting sqref="C3180:D3180">
    <cfRule type="expression" dxfId="7320" priority="2033">
      <formula>$B3180="Subetapa"</formula>
    </cfRule>
  </conditionalFormatting>
  <conditionalFormatting sqref="G3217:H3217">
    <cfRule type="expression" dxfId="7319" priority="2031">
      <formula>$B3217="Subetapa"</formula>
    </cfRule>
  </conditionalFormatting>
  <conditionalFormatting sqref="G3195:H3195">
    <cfRule type="expression" dxfId="7318" priority="2029">
      <formula>$B3195="Subetapa"</formula>
    </cfRule>
  </conditionalFormatting>
  <conditionalFormatting sqref="G3195:H3195">
    <cfRule type="expression" dxfId="7317" priority="2028">
      <formula>$B3195="Serviço"</formula>
    </cfRule>
  </conditionalFormatting>
  <conditionalFormatting sqref="D3699:F3699 D3700:D3703 F3700:F3703 C3699:C3703">
    <cfRule type="expression" dxfId="7316" priority="2026">
      <formula>$B3699="Subetapa"</formula>
    </cfRule>
    <cfRule type="expression" dxfId="7315" priority="2027">
      <formula>$B3699="Serviço"</formula>
    </cfRule>
  </conditionalFormatting>
  <conditionalFormatting sqref="G3699:H3699">
    <cfRule type="expression" dxfId="7314" priority="2024">
      <formula>$B3699="Serviço"</formula>
    </cfRule>
    <cfRule type="expression" dxfId="7313" priority="2025">
      <formula>$B3699="Subetapa"</formula>
    </cfRule>
  </conditionalFormatting>
  <conditionalFormatting sqref="D3656:D3657">
    <cfRule type="expression" dxfId="7312" priority="2023">
      <formula>$B3656="Subetapa"</formula>
    </cfRule>
  </conditionalFormatting>
  <conditionalFormatting sqref="G3654:H3654">
    <cfRule type="expression" dxfId="7311" priority="2021">
      <formula>$B3654="Subetapa"</formula>
    </cfRule>
  </conditionalFormatting>
  <conditionalFormatting sqref="F3655:F3657">
    <cfRule type="expression" dxfId="7310" priority="2020">
      <formula>$B3655="Subetapa"</formula>
    </cfRule>
  </conditionalFormatting>
  <conditionalFormatting sqref="G3790:H3790">
    <cfRule type="expression" dxfId="7309" priority="2017">
      <formula>$B3790="Subetapa"</formula>
    </cfRule>
  </conditionalFormatting>
  <conditionalFormatting sqref="B3207:B3208">
    <cfRule type="expression" dxfId="7308" priority="2013">
      <formula>$B3207="Subetapa"</formula>
    </cfRule>
  </conditionalFormatting>
  <conditionalFormatting sqref="F3208">
    <cfRule type="expression" dxfId="7307" priority="2014">
      <formula>$B3208="Subetapa"</formula>
    </cfRule>
  </conditionalFormatting>
  <conditionalFormatting sqref="C3207:F3207">
    <cfRule type="expression" dxfId="7306" priority="2016">
      <formula>$B3207="Subetapa"</formula>
    </cfRule>
  </conditionalFormatting>
  <conditionalFormatting sqref="G3207:H3207">
    <cfRule type="expression" dxfId="7305" priority="2011">
      <formula>$B3207="Subetapa"</formula>
    </cfRule>
  </conditionalFormatting>
  <conditionalFormatting sqref="C3208:D3208">
    <cfRule type="expression" dxfId="7304" priority="2009">
      <formula>$B3208="Serviço"</formula>
    </cfRule>
  </conditionalFormatting>
  <conditionalFormatting sqref="C3208:D3208">
    <cfRule type="expression" dxfId="7303" priority="2010">
      <formula>$B3208="Subetapa"</formula>
    </cfRule>
  </conditionalFormatting>
  <conditionalFormatting sqref="B3325:B3329">
    <cfRule type="expression" dxfId="7302" priority="2008">
      <formula>$B3325="Subetapa"</formula>
    </cfRule>
  </conditionalFormatting>
  <conditionalFormatting sqref="A3325:A3329">
    <cfRule type="expression" dxfId="7301" priority="1998">
      <formula>$B3325="Subetapa"</formula>
    </cfRule>
  </conditionalFormatting>
  <conditionalFormatting sqref="G3325:H3325">
    <cfRule type="expression" dxfId="7300" priority="1992">
      <formula>$B3325="Subetapa"</formula>
    </cfRule>
  </conditionalFormatting>
  <conditionalFormatting sqref="C3329:D3329">
    <cfRule type="expression" dxfId="7299" priority="1988">
      <formula>$B3329="Subetapa"</formula>
    </cfRule>
  </conditionalFormatting>
  <conditionalFormatting sqref="C3329:D3329">
    <cfRule type="expression" dxfId="7298" priority="1987">
      <formula>$B3329="Serviço"</formula>
    </cfRule>
  </conditionalFormatting>
  <conditionalFormatting sqref="G3779:H3779">
    <cfRule type="expression" dxfId="7297" priority="1986">
      <formula>$B3779="Subetapa"</formula>
    </cfRule>
  </conditionalFormatting>
  <conditionalFormatting sqref="E3966:F3966">
    <cfRule type="expression" dxfId="7296" priority="1983">
      <formula>$B3966="Subetapa"</formula>
    </cfRule>
  </conditionalFormatting>
  <conditionalFormatting sqref="G3966:H3966">
    <cfRule type="expression" dxfId="7295" priority="1982">
      <formula>$B3966="Subetapa"</formula>
    </cfRule>
  </conditionalFormatting>
  <conditionalFormatting sqref="C3962:F3962">
    <cfRule type="expression" dxfId="7294" priority="1979">
      <formula>$B3962="Subetapa"</formula>
    </cfRule>
  </conditionalFormatting>
  <conditionalFormatting sqref="G3962:H3962">
    <cfRule type="expression" dxfId="7293" priority="1978">
      <formula>$B3962="Subetapa"</formula>
    </cfRule>
  </conditionalFormatting>
  <conditionalFormatting sqref="B3960">
    <cfRule type="expression" dxfId="7292" priority="1974">
      <formula>$B3960="Subetapa"</formula>
    </cfRule>
  </conditionalFormatting>
  <conditionalFormatting sqref="B3961">
    <cfRule type="expression" dxfId="7291" priority="1971">
      <formula>$B3961="Subetapa"</formula>
    </cfRule>
  </conditionalFormatting>
  <conditionalFormatting sqref="C3960:D3960">
    <cfRule type="expression" dxfId="7290" priority="1975">
      <formula>$B3960="Subetapa"</formula>
    </cfRule>
  </conditionalFormatting>
  <conditionalFormatting sqref="F3961 C3961:D3961">
    <cfRule type="expression" dxfId="7289" priority="1976">
      <formula>$B3961="Subetapa"</formula>
    </cfRule>
  </conditionalFormatting>
  <conditionalFormatting sqref="F3960">
    <cfRule type="expression" dxfId="7288" priority="1977">
      <formula>$B3960="Subetapa"</formula>
    </cfRule>
  </conditionalFormatting>
  <conditionalFormatting sqref="G3960:H3960">
    <cfRule type="expression" dxfId="7287" priority="1970">
      <formula>$B3960="Subetapa"</formula>
    </cfRule>
  </conditionalFormatting>
  <conditionalFormatting sqref="E3960">
    <cfRule type="expression" dxfId="7286" priority="1973">
      <formula>$B3960="Subetapa"</formula>
    </cfRule>
  </conditionalFormatting>
  <conditionalFormatting sqref="K3960:K3961">
    <cfRule type="expression" dxfId="7285" priority="1966">
      <formula>$B3960="Subetapa"</formula>
    </cfRule>
  </conditionalFormatting>
  <conditionalFormatting sqref="A3960">
    <cfRule type="expression" dxfId="7284" priority="1965">
      <formula>$B3960="Subetapa"</formula>
    </cfRule>
  </conditionalFormatting>
  <conditionalFormatting sqref="A3961">
    <cfRule type="expression" dxfId="7283" priority="1964">
      <formula>$B3961="Subetapa"</formula>
    </cfRule>
  </conditionalFormatting>
  <conditionalFormatting sqref="C3964:F3964">
    <cfRule type="expression" dxfId="7282" priority="1959">
      <formula>$B3964="Subetapa"</formula>
    </cfRule>
  </conditionalFormatting>
  <conditionalFormatting sqref="G3964:H3964">
    <cfRule type="expression" dxfId="7281" priority="1958">
      <formula>$B3964="Subetapa"</formula>
    </cfRule>
  </conditionalFormatting>
  <conditionalFormatting sqref="D3966:D3967">
    <cfRule type="expression" dxfId="7280" priority="1955">
      <formula>$B3966="Subetapa"</formula>
    </cfRule>
  </conditionalFormatting>
  <conditionalFormatting sqref="C3967:D3967">
    <cfRule type="expression" dxfId="7279" priority="1956">
      <formula>$B3967="Subetapa"</formula>
    </cfRule>
  </conditionalFormatting>
  <conditionalFormatting sqref="F3967">
    <cfRule type="expression" dxfId="7278" priority="1953">
      <formula>$B3967="Subetapa"</formula>
    </cfRule>
  </conditionalFormatting>
  <conditionalFormatting sqref="B4031:B4040 C4038:D4038 C4032:D4032 C4034:D4034 C4040:D4040">
    <cfRule type="expression" dxfId="7277" priority="1948">
      <formula>$B4031="Subetapa"</formula>
    </cfRule>
  </conditionalFormatting>
  <conditionalFormatting sqref="C4037:F4037">
    <cfRule type="expression" dxfId="7276" priority="1950">
      <formula>$B4037="Subetapa"</formula>
    </cfRule>
  </conditionalFormatting>
  <conditionalFormatting sqref="G4037:H4037">
    <cfRule type="expression" dxfId="7275" priority="1944">
      <formula>$B4037="Subetapa"</formula>
    </cfRule>
  </conditionalFormatting>
  <conditionalFormatting sqref="K4031:K4040">
    <cfRule type="expression" dxfId="7274" priority="1940">
      <formula>$B4031="Subetapa"</formula>
    </cfRule>
  </conditionalFormatting>
  <conditionalFormatting sqref="A4031:A4040">
    <cfRule type="expression" dxfId="7273" priority="1939">
      <formula>$B4031="Subetapa"</formula>
    </cfRule>
  </conditionalFormatting>
  <conditionalFormatting sqref="E4035:F4035">
    <cfRule type="expression" dxfId="7272" priority="1936">
      <formula>$B4035="Subetapa"</formula>
    </cfRule>
  </conditionalFormatting>
  <conditionalFormatting sqref="G4035:H4035">
    <cfRule type="expression" dxfId="7271" priority="1935">
      <formula>$B4035="Subetapa"</formula>
    </cfRule>
  </conditionalFormatting>
  <conditionalFormatting sqref="C4031:F4031">
    <cfRule type="expression" dxfId="7270" priority="1932">
      <formula>$B4031="Subetapa"</formula>
    </cfRule>
  </conditionalFormatting>
  <conditionalFormatting sqref="G4031:H4031">
    <cfRule type="expression" dxfId="7269" priority="1931">
      <formula>$B4031="Subetapa"</formula>
    </cfRule>
  </conditionalFormatting>
  <conditionalFormatting sqref="B4029">
    <cfRule type="expression" dxfId="7268" priority="1927">
      <formula>$B4029="Subetapa"</formula>
    </cfRule>
  </conditionalFormatting>
  <conditionalFormatting sqref="B4030">
    <cfRule type="expression" dxfId="7267" priority="1924">
      <formula>$B4030="Subetapa"</formula>
    </cfRule>
  </conditionalFormatting>
  <conditionalFormatting sqref="C4029:D4029">
    <cfRule type="expression" dxfId="7266" priority="1928">
      <formula>$B4029="Subetapa"</formula>
    </cfRule>
  </conditionalFormatting>
  <conditionalFormatting sqref="F4030 C4030:D4030">
    <cfRule type="expression" dxfId="7265" priority="1929">
      <formula>$B4030="Subetapa"</formula>
    </cfRule>
  </conditionalFormatting>
  <conditionalFormatting sqref="F4029">
    <cfRule type="expression" dxfId="7264" priority="1930">
      <formula>$B4029="Subetapa"</formula>
    </cfRule>
  </conditionalFormatting>
  <conditionalFormatting sqref="G4029:H4029">
    <cfRule type="expression" dxfId="7263" priority="1923">
      <formula>$B4029="Subetapa"</formula>
    </cfRule>
  </conditionalFormatting>
  <conditionalFormatting sqref="E4029">
    <cfRule type="expression" dxfId="7262" priority="1926">
      <formula>$B4029="Subetapa"</formula>
    </cfRule>
  </conditionalFormatting>
  <conditionalFormatting sqref="K4029:K4030">
    <cfRule type="expression" dxfId="7261" priority="1919">
      <formula>$B4029="Subetapa"</formula>
    </cfRule>
  </conditionalFormatting>
  <conditionalFormatting sqref="A4029">
    <cfRule type="expression" dxfId="7260" priority="1918">
      <formula>$B4029="Subetapa"</formula>
    </cfRule>
  </conditionalFormatting>
  <conditionalFormatting sqref="A4030">
    <cfRule type="expression" dxfId="7259" priority="1917">
      <formula>$B4030="Subetapa"</formula>
    </cfRule>
  </conditionalFormatting>
  <conditionalFormatting sqref="C4033:F4033">
    <cfRule type="expression" dxfId="7258" priority="1912">
      <formula>$B4033="Subetapa"</formula>
    </cfRule>
  </conditionalFormatting>
  <conditionalFormatting sqref="G4033:H4033">
    <cfRule type="expression" dxfId="7257" priority="1911">
      <formula>$B4033="Subetapa"</formula>
    </cfRule>
  </conditionalFormatting>
  <conditionalFormatting sqref="D4035:D4036">
    <cfRule type="expression" dxfId="7256" priority="1908">
      <formula>$B4035="Subetapa"</formula>
    </cfRule>
  </conditionalFormatting>
  <conditionalFormatting sqref="C4036:D4036">
    <cfRule type="expression" dxfId="7255" priority="1909">
      <formula>$B4036="Subetapa"</formula>
    </cfRule>
  </conditionalFormatting>
  <conditionalFormatting sqref="F4036">
    <cfRule type="expression" dxfId="7254" priority="1906">
      <formula>$B4036="Subetapa"</formula>
    </cfRule>
  </conditionalFormatting>
  <conditionalFormatting sqref="B4049:F4049">
    <cfRule type="expression" dxfId="7253" priority="1904">
      <formula>$B4049="Subetapa"</formula>
    </cfRule>
  </conditionalFormatting>
  <conditionalFormatting sqref="F4050 B4050:D4050">
    <cfRule type="expression" dxfId="7252" priority="1902">
      <formula>$B4050="Subetapa"</formula>
    </cfRule>
  </conditionalFormatting>
  <conditionalFormatting sqref="G4049:H4049">
    <cfRule type="expression" dxfId="7251" priority="1898">
      <formula>$B4049="Subetapa"</formula>
    </cfRule>
  </conditionalFormatting>
  <conditionalFormatting sqref="K4049:K4050">
    <cfRule type="expression" dxfId="7250" priority="1893">
      <formula>$B4049="Subetapa"</formula>
    </cfRule>
  </conditionalFormatting>
  <conditionalFormatting sqref="A4049">
    <cfRule type="expression" dxfId="7249" priority="1892">
      <formula>$B4049="Subetapa"</formula>
    </cfRule>
  </conditionalFormatting>
  <conditionalFormatting sqref="A4050">
    <cfRule type="expression" dxfId="7248" priority="1890">
      <formula>$B4050="Subetapa"</formula>
    </cfRule>
  </conditionalFormatting>
  <conditionalFormatting sqref="B4044:B4048">
    <cfRule type="expression" dxfId="7247" priority="1884">
      <formula>$B4044="Subetapa"</formula>
    </cfRule>
  </conditionalFormatting>
  <conditionalFormatting sqref="D4044:F4044 D4045:D4048 F4045:F4048 C4044:C4048">
    <cfRule type="expression" dxfId="7246" priority="1885">
      <formula>$B4044="Subetapa"</formula>
    </cfRule>
  </conditionalFormatting>
  <conditionalFormatting sqref="G4044:H4044">
    <cfRule type="expression" dxfId="7245" priority="1882">
      <formula>$B4044="Subetapa"</formula>
    </cfRule>
  </conditionalFormatting>
  <conditionalFormatting sqref="K4044:K4048">
    <cfRule type="expression" dxfId="7244" priority="1878">
      <formula>$B4044="Subetapa"</formula>
    </cfRule>
  </conditionalFormatting>
  <conditionalFormatting sqref="A4044:A4048">
    <cfRule type="expression" dxfId="7243" priority="1876">
      <formula>$B4044="Subetapa"</formula>
    </cfRule>
  </conditionalFormatting>
  <conditionalFormatting sqref="D4039:F4039 D4040 C4039:C4040">
    <cfRule type="expression" dxfId="7242" priority="1875">
      <formula>$B4039="Subetapa"</formula>
    </cfRule>
  </conditionalFormatting>
  <conditionalFormatting sqref="G4039:H4039">
    <cfRule type="expression" dxfId="7241" priority="1874">
      <formula>$B4039="Subetapa"</formula>
    </cfRule>
  </conditionalFormatting>
  <conditionalFormatting sqref="E4079">
    <cfRule type="expression" dxfId="7240" priority="1873">
      <formula>$B4079="Subetapa"</formula>
    </cfRule>
  </conditionalFormatting>
  <conditionalFormatting sqref="G4078:H4078">
    <cfRule type="expression" dxfId="7239" priority="1869">
      <formula>$B4078="Subetapa"</formula>
    </cfRule>
  </conditionalFormatting>
  <conditionalFormatting sqref="G4062:H4062">
    <cfRule type="expression" dxfId="7238" priority="1868">
      <formula>$B4062="Subetapa"</formula>
    </cfRule>
  </conditionalFormatting>
  <conditionalFormatting sqref="E4081">
    <cfRule type="expression" dxfId="7237" priority="1867">
      <formula>$B4081="Subetapa"</formula>
    </cfRule>
  </conditionalFormatting>
  <conditionalFormatting sqref="G4080:H4080">
    <cfRule type="expression" dxfId="7236" priority="1863">
      <formula>$B4080="Subetapa"</formula>
    </cfRule>
  </conditionalFormatting>
  <conditionalFormatting sqref="B4302:B4303">
    <cfRule type="expression" dxfId="7235" priority="1857">
      <formula>$B4302="Serviço"</formula>
    </cfRule>
    <cfRule type="expression" dxfId="7234" priority="1861">
      <formula>$B4302="Subetapa"</formula>
    </cfRule>
  </conditionalFormatting>
  <conditionalFormatting sqref="D4302:F4302 D4303 F4303 C4302:C4303">
    <cfRule type="expression" dxfId="7233" priority="1859">
      <formula>$B4302="Serviço"</formula>
    </cfRule>
    <cfRule type="expression" dxfId="7232" priority="1860">
      <formula>$B4302="Subetapa"</formula>
    </cfRule>
  </conditionalFormatting>
  <conditionalFormatting sqref="G4302:H4302">
    <cfRule type="expression" dxfId="7231" priority="1855">
      <formula>$B4302="Serviço"</formula>
    </cfRule>
    <cfRule type="expression" dxfId="7230" priority="1856">
      <formula>$B4302="Subetapa"</formula>
    </cfRule>
  </conditionalFormatting>
  <conditionalFormatting sqref="K4302:K4303">
    <cfRule type="expression" dxfId="7229" priority="1851">
      <formula>$B4302="Subetapa"</formula>
    </cfRule>
    <cfRule type="expression" dxfId="7228" priority="1852">
      <formula>$B4302="Serviço"</formula>
    </cfRule>
  </conditionalFormatting>
  <conditionalFormatting sqref="A4302:A4303">
    <cfRule type="expression" dxfId="7227" priority="1849">
      <formula>$B4302="Serviço"</formula>
    </cfRule>
    <cfRule type="expression" dxfId="7226" priority="1850">
      <formula>$B4302="Subetapa"</formula>
    </cfRule>
  </conditionalFormatting>
  <conditionalFormatting sqref="E4676:F4676 C4679:D4679">
    <cfRule type="expression" dxfId="7225" priority="1844">
      <formula>$B4676="Subetapa"</formula>
    </cfRule>
  </conditionalFormatting>
  <conditionalFormatting sqref="G4676:H4676">
    <cfRule type="expression" dxfId="7224" priority="1845">
      <formula>$B4676="Subetapa"</formula>
    </cfRule>
  </conditionalFormatting>
  <conditionalFormatting sqref="C4680:D4680">
    <cfRule type="expression" dxfId="7223" priority="1835">
      <formula>$B4680="Subetapa"</formula>
    </cfRule>
  </conditionalFormatting>
  <conditionalFormatting sqref="D4664:F4664 D4665:D4666 C4668:D4668 C4664:C4666">
    <cfRule type="expression" dxfId="7222" priority="1830">
      <formula>$B4664="Subetapa"</formula>
    </cfRule>
  </conditionalFormatting>
  <conditionalFormatting sqref="G4664:H4664">
    <cfRule type="expression" dxfId="7221" priority="1831">
      <formula>$B4664="Subetapa"</formula>
    </cfRule>
  </conditionalFormatting>
  <conditionalFormatting sqref="D4669:D4670">
    <cfRule type="expression" dxfId="7220" priority="1828">
      <formula>$B4669="Subetapa"</formula>
    </cfRule>
  </conditionalFormatting>
  <conditionalFormatting sqref="D4625:F4625 D4626:D4628 C4625:C4628">
    <cfRule type="expression" dxfId="7219" priority="1823">
      <formula>$B4625="Subetapa"</formula>
    </cfRule>
  </conditionalFormatting>
  <conditionalFormatting sqref="G4625:H4625">
    <cfRule type="expression" dxfId="7218" priority="1824">
      <formula>$B4625="Subetapa"</formula>
    </cfRule>
  </conditionalFormatting>
  <conditionalFormatting sqref="C4629:D4629 C4634:D4634">
    <cfRule type="expression" dxfId="7217" priority="1821">
      <formula>$B4629="Subetapa"</formula>
    </cfRule>
  </conditionalFormatting>
  <conditionalFormatting sqref="D4615:F4615 D4616:D4618 C4615:C4618">
    <cfRule type="expression" dxfId="7216" priority="1816">
      <formula>$B4615="Subetapa"</formula>
    </cfRule>
  </conditionalFormatting>
  <conditionalFormatting sqref="G4615:H4615">
    <cfRule type="expression" dxfId="7215" priority="1817">
      <formula>$B4615="Subetapa"</formula>
    </cfRule>
  </conditionalFormatting>
  <conditionalFormatting sqref="C4619:D4619">
    <cfRule type="expression" dxfId="7214" priority="1814">
      <formula>$B4619="Subetapa"</formula>
    </cfRule>
  </conditionalFormatting>
  <conditionalFormatting sqref="D4610:F4610 D4611:D4613 C4610:C4613">
    <cfRule type="expression" dxfId="7213" priority="1809">
      <formula>$B4610="Subetapa"</formula>
    </cfRule>
  </conditionalFormatting>
  <conditionalFormatting sqref="G4610:H4610">
    <cfRule type="expression" dxfId="7212" priority="1810">
      <formula>$B4610="Subetapa"</formula>
    </cfRule>
  </conditionalFormatting>
  <conditionalFormatting sqref="C4614:D4614">
    <cfRule type="expression" dxfId="7211" priority="1807">
      <formula>$B4614="Subetapa"</formula>
    </cfRule>
  </conditionalFormatting>
  <conditionalFormatting sqref="C4667:D4667">
    <cfRule type="expression" dxfId="7210" priority="1805">
      <formula>$B4667="Subetapa"</formula>
    </cfRule>
  </conditionalFormatting>
  <conditionalFormatting sqref="C4678:D4678">
    <cfRule type="expression" dxfId="7209" priority="1803">
      <formula>$B4678="Subetapa"</formula>
    </cfRule>
  </conditionalFormatting>
  <conditionalFormatting sqref="D4671:F4671 D4672:D4674 C4671:C4674">
    <cfRule type="expression" dxfId="7208" priority="1798">
      <formula>$B4671="Subetapa"</formula>
    </cfRule>
  </conditionalFormatting>
  <conditionalFormatting sqref="G4671:H4671">
    <cfRule type="expression" dxfId="7207" priority="1799">
      <formula>$B4671="Subetapa"</formula>
    </cfRule>
  </conditionalFormatting>
  <conditionalFormatting sqref="C4675:D4675">
    <cfRule type="expression" dxfId="7206" priority="1796">
      <formula>$B4675="Subetapa"</formula>
    </cfRule>
  </conditionalFormatting>
  <conditionalFormatting sqref="D4676:D4677">
    <cfRule type="expression" dxfId="7205" priority="1794">
      <formula>$B4676="Subetapa"</formula>
    </cfRule>
  </conditionalFormatting>
  <conditionalFormatting sqref="D4630:F4630 D4631:D4633 C4630:C4633">
    <cfRule type="expression" dxfId="7204" priority="1792">
      <formula>$B4630="Subetapa"</formula>
    </cfRule>
  </conditionalFormatting>
  <conditionalFormatting sqref="G4630:H4630">
    <cfRule type="expression" dxfId="7203" priority="1793">
      <formula>$B4630="Subetapa"</formula>
    </cfRule>
  </conditionalFormatting>
  <conditionalFormatting sqref="D4681:F4681 D4682:D4684 C4681:C4684">
    <cfRule type="expression" dxfId="7202" priority="1787">
      <formula>$B4681="Subetapa"</formula>
    </cfRule>
  </conditionalFormatting>
  <conditionalFormatting sqref="G4681:H4681">
    <cfRule type="expression" dxfId="7201" priority="1788">
      <formula>$B4681="Subetapa"</formula>
    </cfRule>
  </conditionalFormatting>
  <conditionalFormatting sqref="C4685:D4685">
    <cfRule type="expression" dxfId="7200" priority="1785">
      <formula>$B4685="Subetapa"</formula>
    </cfRule>
  </conditionalFormatting>
  <conditionalFormatting sqref="K4586:K4597 A4586:B4597">
    <cfRule type="expression" dxfId="7199" priority="1712">
      <formula>$B4586="Subetapa"</formula>
    </cfRule>
  </conditionalFormatting>
  <conditionalFormatting sqref="G4592:H4592">
    <cfRule type="expression" dxfId="7198" priority="1705">
      <formula>$B4592="Subetapa"</formula>
    </cfRule>
  </conditionalFormatting>
  <conditionalFormatting sqref="C4597:D4597">
    <cfRule type="expression" dxfId="7197" priority="1702">
      <formula>$B4597="Serviço"</formula>
    </cfRule>
  </conditionalFormatting>
  <conditionalFormatting sqref="C4597:D4597">
    <cfRule type="expression" dxfId="7196" priority="1703">
      <formula>$B4597="Subetapa"</formula>
    </cfRule>
  </conditionalFormatting>
  <conditionalFormatting sqref="C4720:D4720">
    <cfRule type="expression" dxfId="7195" priority="1696">
      <formula>$B4720="Subetapa"</formula>
    </cfRule>
  </conditionalFormatting>
  <conditionalFormatting sqref="D4620:F4620 D4621:D4623 C4620:C4623">
    <cfRule type="expression" dxfId="7194" priority="1690">
      <formula>$B4620="Subetapa"</formula>
    </cfRule>
  </conditionalFormatting>
  <conditionalFormatting sqref="G4620:H4620">
    <cfRule type="expression" dxfId="7193" priority="1691">
      <formula>$B4620="Subetapa"</formula>
    </cfRule>
  </conditionalFormatting>
  <conditionalFormatting sqref="C4624:D4624">
    <cfRule type="expression" dxfId="7192" priority="1688">
      <formula>$B4624="Subetapa"</formula>
    </cfRule>
  </conditionalFormatting>
  <conditionalFormatting sqref="D4156:F4156 D4157 F4157 C4156:C4157">
    <cfRule type="expression" dxfId="7191" priority="1684">
      <formula>$B4156="Serviço"</formula>
    </cfRule>
    <cfRule type="expression" dxfId="7190" priority="1685">
      <formula>$B4156="Subetapa"</formula>
    </cfRule>
  </conditionalFormatting>
  <conditionalFormatting sqref="G4156:H4156">
    <cfRule type="expression" dxfId="7189" priority="1682">
      <formula>$B4156="Serviço"</formula>
    </cfRule>
    <cfRule type="expression" dxfId="7188" priority="1683">
      <formula>$B4156="Subetapa"</formula>
    </cfRule>
  </conditionalFormatting>
  <conditionalFormatting sqref="D4158:F4158 F4159 D4159:D4161 C4158:C4161">
    <cfRule type="expression" dxfId="7187" priority="1680">
      <formula>$B4158="Serviço"</formula>
    </cfRule>
    <cfRule type="expression" dxfId="7186" priority="1681">
      <formula>$B4158="Subetapa"</formula>
    </cfRule>
  </conditionalFormatting>
  <conditionalFormatting sqref="G4158:H4158">
    <cfRule type="expression" dxfId="7185" priority="1678">
      <formula>$B4158="Serviço"</formula>
    </cfRule>
    <cfRule type="expression" dxfId="7184" priority="1679">
      <formula>$B4158="Subetapa"</formula>
    </cfRule>
  </conditionalFormatting>
  <conditionalFormatting sqref="G4264:H4264">
    <cfRule type="expression" dxfId="7183" priority="1677">
      <formula>$B4264="Subetapa"</formula>
    </cfRule>
  </conditionalFormatting>
  <conditionalFormatting sqref="G4264:H4264">
    <cfRule type="expression" dxfId="7182" priority="1676">
      <formula>$B4264="Serviço"</formula>
    </cfRule>
  </conditionalFormatting>
  <conditionalFormatting sqref="E548:E550 E552:E554">
    <cfRule type="expression" dxfId="7181" priority="1675">
      <formula>$B548="Subetapa"</formula>
    </cfRule>
  </conditionalFormatting>
  <conditionalFormatting sqref="E564:E566">
    <cfRule type="expression" dxfId="7180" priority="1653">
      <formula>$B564="Subetapa"</formula>
    </cfRule>
  </conditionalFormatting>
  <conditionalFormatting sqref="E568:E570">
    <cfRule type="expression" dxfId="7179" priority="1631">
      <formula>$B568="Subetapa"</formula>
    </cfRule>
  </conditionalFormatting>
  <conditionalFormatting sqref="E490:E492">
    <cfRule type="expression" dxfId="7178" priority="1609">
      <formula>$B490="Subetapa"</formula>
    </cfRule>
  </conditionalFormatting>
  <conditionalFormatting sqref="E512">
    <cfRule type="expression" dxfId="7177" priority="1573">
      <formula>$B512="Subetapa"</formula>
    </cfRule>
  </conditionalFormatting>
  <conditionalFormatting sqref="E514">
    <cfRule type="expression" dxfId="7176" priority="1553">
      <formula>$B514="Subetapa"</formula>
    </cfRule>
  </conditionalFormatting>
  <conditionalFormatting sqref="B361:B364 D361:F361 D362 F362:F364 C361:C362 C364:D364">
    <cfRule type="expression" dxfId="7175" priority="1525">
      <formula>$B361="Subetapa"</formula>
    </cfRule>
  </conditionalFormatting>
  <conditionalFormatting sqref="E362:E364">
    <cfRule type="expression" dxfId="7174" priority="1527">
      <formula>$B362="Subetapa"</formula>
    </cfRule>
  </conditionalFormatting>
  <conditionalFormatting sqref="G361:H361">
    <cfRule type="expression" dxfId="7173" priority="1520">
      <formula>$B361="Subetapa"</formula>
    </cfRule>
  </conditionalFormatting>
  <conditionalFormatting sqref="K361:K364">
    <cfRule type="expression" dxfId="7172" priority="1515">
      <formula>$B361="Subetapa"</formula>
    </cfRule>
  </conditionalFormatting>
  <conditionalFormatting sqref="A361:A364">
    <cfRule type="expression" dxfId="7171" priority="1513">
      <formula>$B361="Subetapa"</formula>
    </cfRule>
  </conditionalFormatting>
  <conditionalFormatting sqref="C363:D363">
    <cfRule type="expression" dxfId="7170" priority="1511">
      <formula>$B363="Subetapa"</formula>
    </cfRule>
  </conditionalFormatting>
  <conditionalFormatting sqref="E1073 E1075:E1084 E1086 E1088:E1097 E1102:E1111 E1099:E1100 E1114:E1123 E1155:E1167 E1126:E1138">
    <cfRule type="expression" dxfId="7169" priority="1482">
      <formula>$B1073="Subetapa"</formula>
    </cfRule>
  </conditionalFormatting>
  <conditionalFormatting sqref="A1102:B1111 A1114:B1123 K1110:K1119 K1155:K1163 A1155:B1167 F1156 K1137:K1138 K1122:K1134 F1127 A1126:B1138">
    <cfRule type="expression" dxfId="7168" priority="1478">
      <formula>$B1102="Serviço"</formula>
    </cfRule>
  </conditionalFormatting>
  <conditionalFormatting sqref="A1102:B1111 A1114:B1123 K1110:K1119 K1155:K1163 A1155:B1167 F1156 K1137:K1138 K1122:K1134 F1127 A1126:B1138">
    <cfRule type="expression" dxfId="7167" priority="1479">
      <formula>$B1102="Subetapa"</formula>
    </cfRule>
  </conditionalFormatting>
  <conditionalFormatting sqref="B1019:F1019">
    <cfRule type="expression" dxfId="7166" priority="1481">
      <formula>$B1019="Subetapa"</formula>
    </cfRule>
  </conditionalFormatting>
  <conditionalFormatting sqref="A1019">
    <cfRule type="expression" dxfId="7165" priority="1475">
      <formula>$B1019="Subetapa"</formula>
    </cfRule>
  </conditionalFormatting>
  <conditionalFormatting sqref="F1075:F1082 A1072:B1073 F1088:F1095 A1075:B1086 F1102:F1109 A1088:B1100 C1073:D1073 C1075:D1082 C1088:D1095 C1102:D1109 C1100:D1100">
    <cfRule type="expression" dxfId="7164" priority="1470">
      <formula>$B1072="Serviço"</formula>
    </cfRule>
  </conditionalFormatting>
  <conditionalFormatting sqref="F1075:F1082 A1072:B1073 F1088:F1095 A1075:B1086 F1102:F1109 A1088:B1100 C1073:D1073 C1075:D1082 C1088:D1095 C1102:D1109 C1100:D1100">
    <cfRule type="expression" dxfId="7163" priority="1471">
      <formula>$B1072="Subetapa"</formula>
    </cfRule>
  </conditionalFormatting>
  <conditionalFormatting sqref="K1020:K1028 K1031:K1041 K1044:K1054 K1083:K1093 K1096:K1107 K1057:K1067 K1070:K1080">
    <cfRule type="expression" dxfId="7162" priority="1466">
      <formula>$B1020="Serviço"</formula>
    </cfRule>
  </conditionalFormatting>
  <conditionalFormatting sqref="K1020:K1028 K1031:K1041 K1044:K1054 K1083:K1093 K1096:K1107 K1057:K1067 K1070:K1080">
    <cfRule type="expression" dxfId="7161" priority="1467">
      <formula>$B1020="Subetapa"</formula>
    </cfRule>
  </conditionalFormatting>
  <conditionalFormatting sqref="B1073 B1083:B1084 B1075:B1080 B1086 B1096:B1097 B1088:B1093 B1110:B1111 B1102:B1107 B1099:B1100 B1122:B1123 B1114:B1119 B1137:B1138 B1129:B1134">
    <cfRule type="expression" dxfId="7160" priority="1465">
      <formula>$B1073="Serviço"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9" priority="1463">
      <formula>$B1072="Serviço"</formula>
    </cfRule>
  </conditionalFormatting>
  <conditionalFormatting sqref="F1083:F1084 D1083:D1084 D1085:F1085 F1096:F1097 D1096:D1097 D1098:F1098 F1110:F1111 D1110:D1111 D1112:F1112 F1122:F1123 D1122:D1123 D1124:F1124 F1137:F1138 C1072:F1072 C1083:C1085 C1096:C1098 C1110:C1112 C1122:C1124 C1137:D1138">
    <cfRule type="expression" dxfId="7158" priority="1464">
      <formula>$B1072="Subetapa"</formula>
    </cfRule>
  </conditionalFormatting>
  <conditionalFormatting sqref="A1073 A1083:A1084 A1075:A1080 A1086 A1096:A1097 A1088:A1093 A1110:A1111 A1102:A1107 A1099:A1100 A1122:A1123 A1114:A1119 A1137:A1138 A1129:A1134">
    <cfRule type="expression" dxfId="7157" priority="1462">
      <formula>$B1073="Serviço"</formula>
    </cfRule>
  </conditionalFormatting>
  <conditionalFormatting sqref="K1081:K1082">
    <cfRule type="expression" dxfId="7156" priority="1458">
      <formula>$B1081="Subetapa"</formula>
    </cfRule>
    <cfRule type="expression" dxfId="7155" priority="1459">
      <formula>$B1081="Serviço"</formula>
    </cfRule>
  </conditionalFormatting>
  <conditionalFormatting sqref="F1073">
    <cfRule type="expression" dxfId="7154" priority="1452">
      <formula>$B1073="Subetapa"</formula>
    </cfRule>
  </conditionalFormatting>
  <conditionalFormatting sqref="F1073">
    <cfRule type="expression" dxfId="7153" priority="1453">
      <formula>$B1073="Serviço"</formula>
    </cfRule>
  </conditionalFormatting>
  <conditionalFormatting sqref="I1019:K1019">
    <cfRule type="expression" dxfId="7152" priority="1450">
      <formula>$B1019="Subetapa"</formula>
    </cfRule>
  </conditionalFormatting>
  <conditionalFormatting sqref="E1022:E1032 E1034:E1045 E1047:E1058 E1060:E1071">
    <cfRule type="expression" dxfId="7151" priority="1444">
      <formula>$B1022="Subetapa"</formula>
    </cfRule>
  </conditionalFormatting>
  <conditionalFormatting sqref="F1023:F1030 D1023:D1030 D1036:D1043 F1036:F1043 D1049:D1056 F1049:F1056 D1062:D1069 A1020:B1071 F1062:F1069">
    <cfRule type="expression" dxfId="7150" priority="1438">
      <formula>$B1020="Serviço"</formula>
    </cfRule>
  </conditionalFormatting>
  <conditionalFormatting sqref="F1023:F1030 D1023:D1030 D1036:D1043 F1036:F1043 D1049:D1056 F1049:F1056 D1062:D1069 A1020:B1071 F1062:F1069">
    <cfRule type="expression" dxfId="7149" priority="1439">
      <formula>$B1020="Subetapa"</formula>
    </cfRule>
  </conditionalFormatting>
  <conditionalFormatting sqref="B1031:B1032 B1021:B1028 B1044:B1045 B1034:B1041 B1057:B1058 B1047:B1054 B1070:B1071 B1060:B1067">
    <cfRule type="expression" dxfId="7148" priority="1435">
      <formula>$B1021="Serviço"</formula>
    </cfRule>
  </conditionalFormatting>
  <conditionalFormatting sqref="F1031:F1032 D1031:D1032 D1033:F1033 F1044:F1045 D1044:D1045 D1046:F1046 F1057:F1058 D1057:D1058 D1059:F1059 F1070:F1071 C1020:F1020 C1031:C1033 C1044:C1046 C1057:C1059 C1070:D1071">
    <cfRule type="expression" dxfId="7147" priority="1433">
      <formula>$B1020="Serviço"</formula>
    </cfRule>
  </conditionalFormatting>
  <conditionalFormatting sqref="F1031:F1032 D1031:D1032 D1033:F1033 F1044:F1045 D1044:D1045 D1046:F1046 F1057:F1058 D1057:D1058 D1059:F1059 F1070:F1071 C1020:F1020 C1031:C1033 C1044:C1046 C1057:C1059 C1070:D1071">
    <cfRule type="expression" dxfId="7146" priority="1434">
      <formula>$B1020="Subetapa"</formula>
    </cfRule>
  </conditionalFormatting>
  <conditionalFormatting sqref="A1031:A1032 A1021:A1028 A1044:A1045 A1034:A1041 A1057:A1058 A1047:A1054 A1070:A1071 A1060:A1067">
    <cfRule type="expression" dxfId="7145" priority="1432">
      <formula>$B1021="Serviço"</formula>
    </cfRule>
  </conditionalFormatting>
  <conditionalFormatting sqref="K1029:K1030">
    <cfRule type="expression" dxfId="7144" priority="1428">
      <formula>$B1029="Subetapa"</formula>
    </cfRule>
    <cfRule type="expression" dxfId="7143" priority="1429">
      <formula>$B1029="Serviço"</formula>
    </cfRule>
  </conditionalFormatting>
  <conditionalFormatting sqref="F1021:F1022">
    <cfRule type="expression" dxfId="7142" priority="1422">
      <formula>$B1021="Subetapa"</formula>
    </cfRule>
  </conditionalFormatting>
  <conditionalFormatting sqref="F1021:F1022">
    <cfRule type="expression" dxfId="7141" priority="1423">
      <formula>$B1021="Serviço"</formula>
    </cfRule>
  </conditionalFormatting>
  <conditionalFormatting sqref="C1021:D1021">
    <cfRule type="expression" dxfId="7140" priority="1420">
      <formula>$B1021="Serviço"</formula>
    </cfRule>
  </conditionalFormatting>
  <conditionalFormatting sqref="C1021:D1021">
    <cfRule type="expression" dxfId="7139" priority="1421">
      <formula>$B1021="Subetapa"</formula>
    </cfRule>
  </conditionalFormatting>
  <conditionalFormatting sqref="C1022:D1022">
    <cfRule type="expression" dxfId="7138" priority="1418">
      <formula>$B1022="Subetapa"</formula>
    </cfRule>
  </conditionalFormatting>
  <conditionalFormatting sqref="K1042:K1043">
    <cfRule type="expression" dxfId="7137" priority="1412">
      <formula>$B1042="Subetapa"</formula>
    </cfRule>
    <cfRule type="expression" dxfId="7136" priority="1413">
      <formula>$B1042="Serviço"</formula>
    </cfRule>
  </conditionalFormatting>
  <conditionalFormatting sqref="F1034:F1035">
    <cfRule type="expression" dxfId="7135" priority="1408">
      <formula>$B1034="Subetapa"</formula>
    </cfRule>
  </conditionalFormatting>
  <conditionalFormatting sqref="F1034:F1035">
    <cfRule type="expression" dxfId="7134" priority="1409">
      <formula>$B1034="Serviço"</formula>
    </cfRule>
  </conditionalFormatting>
  <conditionalFormatting sqref="C1035:D1035">
    <cfRule type="expression" dxfId="7133" priority="1406">
      <formula>$B1035="Subetapa"</formula>
    </cfRule>
  </conditionalFormatting>
  <conditionalFormatting sqref="C1034:D1034">
    <cfRule type="expression" dxfId="7132" priority="1404">
      <formula>$B1034="Serviço"</formula>
    </cfRule>
  </conditionalFormatting>
  <conditionalFormatting sqref="C1034:D1034">
    <cfRule type="expression" dxfId="7131" priority="1405">
      <formula>$B1034="Subetapa"</formula>
    </cfRule>
  </conditionalFormatting>
  <conditionalFormatting sqref="G1020:H1020">
    <cfRule type="expression" dxfId="7130" priority="1402">
      <formula>$B1020="Subetapa"</formula>
    </cfRule>
  </conditionalFormatting>
  <conditionalFormatting sqref="G1033:H1033">
    <cfRule type="expression" dxfId="7129" priority="1400">
      <formula>$B1033="Subetapa"</formula>
    </cfRule>
  </conditionalFormatting>
  <conditionalFormatting sqref="K1055:K1056">
    <cfRule type="expression" dxfId="7128" priority="1394">
      <formula>$B1055="Subetapa"</formula>
    </cfRule>
    <cfRule type="expression" dxfId="7127" priority="1395">
      <formula>$B1055="Serviço"</formula>
    </cfRule>
  </conditionalFormatting>
  <conditionalFormatting sqref="F1047:F1048">
    <cfRule type="expression" dxfId="7126" priority="1390">
      <formula>$B1047="Subetapa"</formula>
    </cfRule>
  </conditionalFormatting>
  <conditionalFormatting sqref="F1047:F1048">
    <cfRule type="expression" dxfId="7125" priority="1391">
      <formula>$B1047="Serviço"</formula>
    </cfRule>
  </conditionalFormatting>
  <conditionalFormatting sqref="C1048:D1048">
    <cfRule type="expression" dxfId="7124" priority="1388">
      <formula>$B1048="Subetapa"</formula>
    </cfRule>
  </conditionalFormatting>
  <conditionalFormatting sqref="C1047:D1047">
    <cfRule type="expression" dxfId="7123" priority="1386">
      <formula>$B1047="Serviço"</formula>
    </cfRule>
  </conditionalFormatting>
  <conditionalFormatting sqref="C1047:D1047">
    <cfRule type="expression" dxfId="7122" priority="1387">
      <formula>$B1047="Subetapa"</formula>
    </cfRule>
  </conditionalFormatting>
  <conditionalFormatting sqref="E1074">
    <cfRule type="expression" dxfId="7121" priority="1382">
      <formula>$B1074="Subetapa"</formula>
    </cfRule>
  </conditionalFormatting>
  <conditionalFormatting sqref="A1074:B1074">
    <cfRule type="expression" dxfId="7120" priority="1380">
      <formula>$B1074="Serviço"</formula>
    </cfRule>
  </conditionalFormatting>
  <conditionalFormatting sqref="A1074:B1074">
    <cfRule type="expression" dxfId="7119" priority="1381">
      <formula>$B1074="Subetapa"</formula>
    </cfRule>
  </conditionalFormatting>
  <conditionalFormatting sqref="B1074">
    <cfRule type="expression" dxfId="7118" priority="1379">
      <formula>$B1074="Serviço"</formula>
    </cfRule>
  </conditionalFormatting>
  <conditionalFormatting sqref="A1074">
    <cfRule type="expression" dxfId="7117" priority="1378">
      <formula>$B1074="Serviço"</formula>
    </cfRule>
  </conditionalFormatting>
  <conditionalFormatting sqref="F1074">
    <cfRule type="expression" dxfId="7116" priority="1372">
      <formula>$B1074="Subetapa"</formula>
    </cfRule>
  </conditionalFormatting>
  <conditionalFormatting sqref="F1074">
    <cfRule type="expression" dxfId="7115" priority="1373">
      <formula>$B1074="Serviço"</formula>
    </cfRule>
  </conditionalFormatting>
  <conditionalFormatting sqref="C1074:D1074">
    <cfRule type="expression" dxfId="7114" priority="1370">
      <formula>$B1074="Subetapa"</formula>
    </cfRule>
  </conditionalFormatting>
  <conditionalFormatting sqref="G1046:H1046">
    <cfRule type="expression" dxfId="7113" priority="1368">
      <formula>$B1046="Subetapa"</formula>
    </cfRule>
  </conditionalFormatting>
  <conditionalFormatting sqref="G1072:H1072">
    <cfRule type="expression" dxfId="7112" priority="1366">
      <formula>$B1072="Subetapa"</formula>
    </cfRule>
  </conditionalFormatting>
  <conditionalFormatting sqref="K1094:K1095">
    <cfRule type="expression" dxfId="7111" priority="1360">
      <formula>$B1094="Subetapa"</formula>
    </cfRule>
    <cfRule type="expression" dxfId="7110" priority="1361">
      <formula>$B1094="Serviço"</formula>
    </cfRule>
  </conditionalFormatting>
  <conditionalFormatting sqref="F1086">
    <cfRule type="expression" dxfId="7109" priority="1356">
      <formula>$B1086="Subetapa"</formula>
    </cfRule>
  </conditionalFormatting>
  <conditionalFormatting sqref="F1086">
    <cfRule type="expression" dxfId="7108" priority="1357">
      <formula>$B1086="Serviço"</formula>
    </cfRule>
  </conditionalFormatting>
  <conditionalFormatting sqref="E1087">
    <cfRule type="expression" dxfId="7107" priority="1352">
      <formula>$B1087="Subetapa"</formula>
    </cfRule>
  </conditionalFormatting>
  <conditionalFormatting sqref="A1087:B1087">
    <cfRule type="expression" dxfId="7106" priority="1350">
      <formula>$B1087="Serviço"</formula>
    </cfRule>
  </conditionalFormatting>
  <conditionalFormatting sqref="A1087:B1087">
    <cfRule type="expression" dxfId="7105" priority="1351">
      <formula>$B1087="Subetapa"</formula>
    </cfRule>
  </conditionalFormatting>
  <conditionalFormatting sqref="B1087">
    <cfRule type="expression" dxfId="7104" priority="1349">
      <formula>$B1087="Serviço"</formula>
    </cfRule>
  </conditionalFormatting>
  <conditionalFormatting sqref="A1087">
    <cfRule type="expression" dxfId="7103" priority="1348">
      <formula>$B1087="Serviço"</formula>
    </cfRule>
  </conditionalFormatting>
  <conditionalFormatting sqref="F1087">
    <cfRule type="expression" dxfId="7102" priority="1342">
      <formula>$B1087="Subetapa"</formula>
    </cfRule>
  </conditionalFormatting>
  <conditionalFormatting sqref="F1087">
    <cfRule type="expression" dxfId="7101" priority="1343">
      <formula>$B1087="Serviço"</formula>
    </cfRule>
  </conditionalFormatting>
  <conditionalFormatting sqref="C1087:D1087">
    <cfRule type="expression" dxfId="7100" priority="1340">
      <formula>$B1087="Subetapa"</formula>
    </cfRule>
  </conditionalFormatting>
  <conditionalFormatting sqref="G1085:H1085">
    <cfRule type="expression" dxfId="7099" priority="1338">
      <formula>$B1085="Subetapa"</formula>
    </cfRule>
  </conditionalFormatting>
  <conditionalFormatting sqref="C1086:D1086">
    <cfRule type="expression" dxfId="7098" priority="1336">
      <formula>$B1086="Serviço"</formula>
    </cfRule>
  </conditionalFormatting>
  <conditionalFormatting sqref="C1086:D1086">
    <cfRule type="expression" dxfId="7097" priority="1337">
      <formula>$B1086="Subetapa"</formula>
    </cfRule>
  </conditionalFormatting>
  <conditionalFormatting sqref="K1108:K1109">
    <cfRule type="expression" dxfId="7096" priority="1317">
      <formula>$B1108="Subetapa"</formula>
    </cfRule>
    <cfRule type="expression" dxfId="7095" priority="1318">
      <formula>$B1108="Serviço"</formula>
    </cfRule>
  </conditionalFormatting>
  <conditionalFormatting sqref="F1099">
    <cfRule type="expression" dxfId="7094" priority="1313">
      <formula>$B1099="Subetapa"</formula>
    </cfRule>
  </conditionalFormatting>
  <conditionalFormatting sqref="F1099">
    <cfRule type="expression" dxfId="7093" priority="1314">
      <formula>$B1099="Serviço"</formula>
    </cfRule>
  </conditionalFormatting>
  <conditionalFormatting sqref="E1101">
    <cfRule type="expression" dxfId="7092" priority="1309">
      <formula>$B1101="Subetapa"</formula>
    </cfRule>
  </conditionalFormatting>
  <conditionalFormatting sqref="A1101:B1101">
    <cfRule type="expression" dxfId="7091" priority="1307">
      <formula>$B1101="Serviço"</formula>
    </cfRule>
  </conditionalFormatting>
  <conditionalFormatting sqref="A1101:B1101">
    <cfRule type="expression" dxfId="7090" priority="1308">
      <formula>$B1101="Subetapa"</formula>
    </cfRule>
  </conditionalFormatting>
  <conditionalFormatting sqref="B1101">
    <cfRule type="expression" dxfId="7089" priority="1306">
      <formula>$B1101="Serviço"</formula>
    </cfRule>
  </conditionalFormatting>
  <conditionalFormatting sqref="A1101">
    <cfRule type="expression" dxfId="7088" priority="1305">
      <formula>$B1101="Serviço"</formula>
    </cfRule>
  </conditionalFormatting>
  <conditionalFormatting sqref="F1101">
    <cfRule type="expression" dxfId="7087" priority="1299">
      <formula>$B1101="Subetapa"</formula>
    </cfRule>
  </conditionalFormatting>
  <conditionalFormatting sqref="F1101">
    <cfRule type="expression" dxfId="7086" priority="1300">
      <formula>$B1101="Serviço"</formula>
    </cfRule>
  </conditionalFormatting>
  <conditionalFormatting sqref="C1101:D1101">
    <cfRule type="expression" dxfId="7085" priority="1297">
      <formula>$B1101="Subetapa"</formula>
    </cfRule>
  </conditionalFormatting>
  <conditionalFormatting sqref="G1098:H1098">
    <cfRule type="expression" dxfId="7084" priority="1295">
      <formula>$B1098="Subetapa"</formula>
    </cfRule>
  </conditionalFormatting>
  <conditionalFormatting sqref="C1099:D1099">
    <cfRule type="expression" dxfId="7083" priority="1293">
      <formula>$B1099="Serviço"</formula>
    </cfRule>
  </conditionalFormatting>
  <conditionalFormatting sqref="C1099:D1099">
    <cfRule type="expression" dxfId="7082" priority="1294">
      <formula>$B1099="Subetapa"</formula>
    </cfRule>
  </conditionalFormatting>
  <conditionalFormatting sqref="F1100">
    <cfRule type="expression" dxfId="7081" priority="1286">
      <formula>$B1100="Subetapa"</formula>
    </cfRule>
  </conditionalFormatting>
  <conditionalFormatting sqref="F1100">
    <cfRule type="expression" dxfId="7080" priority="1287">
      <formula>$B1100="Serviço"</formula>
    </cfRule>
  </conditionalFormatting>
  <conditionalFormatting sqref="K1068:K1069">
    <cfRule type="expression" dxfId="7079" priority="1278">
      <formula>$B1068="Subetapa"</formula>
    </cfRule>
    <cfRule type="expression" dxfId="7078" priority="1279">
      <formula>$B1068="Serviço"</formula>
    </cfRule>
  </conditionalFormatting>
  <conditionalFormatting sqref="F1060:F1061">
    <cfRule type="expression" dxfId="7077" priority="1274">
      <formula>$B1060="Subetapa"</formula>
    </cfRule>
  </conditionalFormatting>
  <conditionalFormatting sqref="F1060:F1061">
    <cfRule type="expression" dxfId="7076" priority="1275">
      <formula>$B1060="Serviço"</formula>
    </cfRule>
  </conditionalFormatting>
  <conditionalFormatting sqref="C1061:D1061">
    <cfRule type="expression" dxfId="7075" priority="1272">
      <formula>$B1061="Subetapa"</formula>
    </cfRule>
  </conditionalFormatting>
  <conditionalFormatting sqref="G1059:H1059">
    <cfRule type="expression" dxfId="7074" priority="1270">
      <formula>$B1059="Subetapa"</formula>
    </cfRule>
  </conditionalFormatting>
  <conditionalFormatting sqref="C1060:D1060">
    <cfRule type="expression" dxfId="7073" priority="1265">
      <formula>$B1060="Serviço"</formula>
    </cfRule>
  </conditionalFormatting>
  <conditionalFormatting sqref="C1060:D1060">
    <cfRule type="expression" dxfId="7072" priority="1266">
      <formula>$B1060="Subetapa"</formula>
    </cfRule>
  </conditionalFormatting>
  <conditionalFormatting sqref="F1114:F1121 D1114:D1121 A1112:B1112">
    <cfRule type="expression" dxfId="7071" priority="1263">
      <formula>$B1112="Serviço"</formula>
    </cfRule>
  </conditionalFormatting>
  <conditionalFormatting sqref="F1114:F1121 D1114:D1121 A1112:B1112">
    <cfRule type="expression" dxfId="7070" priority="1264">
      <formula>$B1112="Subetapa"</formula>
    </cfRule>
  </conditionalFormatting>
  <conditionalFormatting sqref="K1120:K1121">
    <cfRule type="expression" dxfId="7069" priority="1257">
      <formula>$B1120="Subetapa"</formula>
    </cfRule>
    <cfRule type="expression" dxfId="7068" priority="1258">
      <formula>$B1120="Serviço"</formula>
    </cfRule>
  </conditionalFormatting>
  <conditionalFormatting sqref="E1113">
    <cfRule type="expression" dxfId="7067" priority="1253">
      <formula>$B1113="Subetapa"</formula>
    </cfRule>
  </conditionalFormatting>
  <conditionalFormatting sqref="A1113:B1113">
    <cfRule type="expression" dxfId="7066" priority="1251">
      <formula>$B1113="Serviço"</formula>
    </cfRule>
  </conditionalFormatting>
  <conditionalFormatting sqref="A1113:B1113">
    <cfRule type="expression" dxfId="7065" priority="1252">
      <formula>$B1113="Subetapa"</formula>
    </cfRule>
  </conditionalFormatting>
  <conditionalFormatting sqref="B1113">
    <cfRule type="expression" dxfId="7064" priority="1250">
      <formula>$B1113="Serviço"</formula>
    </cfRule>
  </conditionalFormatting>
  <conditionalFormatting sqref="A1113">
    <cfRule type="expression" dxfId="7063" priority="1249">
      <formula>$B1113="Serviço"</formula>
    </cfRule>
  </conditionalFormatting>
  <conditionalFormatting sqref="F1113">
    <cfRule type="expression" dxfId="7062" priority="1243">
      <formula>$B1113="Subetapa"</formula>
    </cfRule>
  </conditionalFormatting>
  <conditionalFormatting sqref="F1113">
    <cfRule type="expression" dxfId="7061" priority="1244">
      <formula>$B1113="Serviço"</formula>
    </cfRule>
  </conditionalFormatting>
  <conditionalFormatting sqref="C1113:D1113">
    <cfRule type="expression" dxfId="7060" priority="1241">
      <formula>$B1113="Subetapa"</formula>
    </cfRule>
  </conditionalFormatting>
  <conditionalFormatting sqref="G1112:H1112">
    <cfRule type="expression" dxfId="7059" priority="1239">
      <formula>$B1112="Subetapa"</formula>
    </cfRule>
  </conditionalFormatting>
  <conditionalFormatting sqref="I1139:K1139 I1141:K1148 I1151:K1153 I1166:K1167">
    <cfRule type="expression" dxfId="7058" priority="1234">
      <formula>$B1139="Serviço"</formula>
    </cfRule>
  </conditionalFormatting>
  <conditionalFormatting sqref="I1139:K1139 I1141:K1148 I1151:K1153 I1166:K1167">
    <cfRule type="expression" dxfId="7057" priority="1235">
      <formula>$B1139="Subetapa"</formula>
    </cfRule>
  </conditionalFormatting>
  <conditionalFormatting sqref="E1141:E1152">
    <cfRule type="expression" dxfId="7056" priority="1230">
      <formula>$B1141="Subetapa"</formula>
    </cfRule>
  </conditionalFormatting>
  <conditionalFormatting sqref="A1139:B1139 D1143:D1150 F1143:F1150 A1141:B1153 D1158:D1165 F1158:F1165">
    <cfRule type="expression" dxfId="7055" priority="1226">
      <formula>$B1139="Serviço"</formula>
    </cfRule>
  </conditionalFormatting>
  <conditionalFormatting sqref="A1139:B1139 D1143:D1150 F1143:F1150 A1141:B1153 D1158:D1165 F1158:F1165">
    <cfRule type="expression" dxfId="7054" priority="1227">
      <formula>$B1139="Subetapa"</formula>
    </cfRule>
  </conditionalFormatting>
  <conditionalFormatting sqref="B1151:B1152 B1141:B1148 B1166:B1167">
    <cfRule type="expression" dxfId="7053" priority="1225">
      <formula>$B1141="Serviço"</formula>
    </cfRule>
  </conditionalFormatting>
  <conditionalFormatting sqref="F1151:F1152 D1151:D1152 D1153:F1153 F1166:F1167 C1139:F1139 C1151:C1153 C1166:D1167">
    <cfRule type="expression" dxfId="7052" priority="1223">
      <formula>$B1139="Serviço"</formula>
    </cfRule>
  </conditionalFormatting>
  <conditionalFormatting sqref="F1151:F1152 D1151:D1152 D1153:F1153 F1166:F1167 C1139:F1139 C1151:C1153 C1166:D1167">
    <cfRule type="expression" dxfId="7051" priority="1224">
      <formula>$B1139="Subetapa"</formula>
    </cfRule>
  </conditionalFormatting>
  <conditionalFormatting sqref="A1151:A1152 A1141:A1148 A1166:A1167">
    <cfRule type="expression" dxfId="7050" priority="1222">
      <formula>$B1141="Serviço"</formula>
    </cfRule>
  </conditionalFormatting>
  <conditionalFormatting sqref="K1149:K1150">
    <cfRule type="expression" dxfId="7049" priority="1214">
      <formula>$B1149="Subetapa"</formula>
    </cfRule>
    <cfRule type="expression" dxfId="7048" priority="1215">
      <formula>$B1149="Serviço"</formula>
    </cfRule>
  </conditionalFormatting>
  <conditionalFormatting sqref="F1141:F1142">
    <cfRule type="expression" dxfId="7047" priority="1212">
      <formula>$B1141="Subetapa"</formula>
    </cfRule>
  </conditionalFormatting>
  <conditionalFormatting sqref="F1141:F1142">
    <cfRule type="expression" dxfId="7046" priority="1213">
      <formula>$B1141="Serviço"</formula>
    </cfRule>
  </conditionalFormatting>
  <conditionalFormatting sqref="C1142:D1142">
    <cfRule type="expression" dxfId="7045" priority="1210">
      <formula>$B1142="Subetapa"</formula>
    </cfRule>
  </conditionalFormatting>
  <conditionalFormatting sqref="G1139:H1139">
    <cfRule type="expression" dxfId="7044" priority="1208">
      <formula>$B1139="Subetapa"</formula>
    </cfRule>
  </conditionalFormatting>
  <conditionalFormatting sqref="C1141:D1141">
    <cfRule type="expression" dxfId="7043" priority="1203">
      <formula>$B1141="Serviço"</formula>
    </cfRule>
  </conditionalFormatting>
  <conditionalFormatting sqref="C1141:D1141">
    <cfRule type="expression" dxfId="7042" priority="1204">
      <formula>$B1141="Subetapa"</formula>
    </cfRule>
  </conditionalFormatting>
  <conditionalFormatting sqref="I1140:K1140">
    <cfRule type="expression" dxfId="7041" priority="1201">
      <formula>$B1140="Serviço"</formula>
    </cfRule>
  </conditionalFormatting>
  <conditionalFormatting sqref="I1140:K1140">
    <cfRule type="expression" dxfId="7040" priority="1202">
      <formula>$B1140="Subetapa"</formula>
    </cfRule>
  </conditionalFormatting>
  <conditionalFormatting sqref="E1140">
    <cfRule type="expression" dxfId="7039" priority="1197">
      <formula>$B1140="Subetapa"</formula>
    </cfRule>
  </conditionalFormatting>
  <conditionalFormatting sqref="A1140:B1140">
    <cfRule type="expression" dxfId="7038" priority="1195">
      <formula>$B1140="Serviço"</formula>
    </cfRule>
  </conditionalFormatting>
  <conditionalFormatting sqref="A1140:B1140">
    <cfRule type="expression" dxfId="7037" priority="1196">
      <formula>$B1140="Subetapa"</formula>
    </cfRule>
  </conditionalFormatting>
  <conditionalFormatting sqref="B1140">
    <cfRule type="expression" dxfId="7036" priority="1194">
      <formula>$B1140="Serviço"</formula>
    </cfRule>
  </conditionalFormatting>
  <conditionalFormatting sqref="A1140">
    <cfRule type="expression" dxfId="7035" priority="1193">
      <formula>$B1140="Serviço"</formula>
    </cfRule>
  </conditionalFormatting>
  <conditionalFormatting sqref="F1140">
    <cfRule type="expression" dxfId="7034" priority="1187">
      <formula>$B1140="Subetapa"</formula>
    </cfRule>
  </conditionalFormatting>
  <conditionalFormatting sqref="F1140">
    <cfRule type="expression" dxfId="7033" priority="1188">
      <formula>$B1140="Serviço"</formula>
    </cfRule>
  </conditionalFormatting>
  <conditionalFormatting sqref="C1140:D1140">
    <cfRule type="expression" dxfId="7032" priority="1185">
      <formula>$B1140="Subetapa"</formula>
    </cfRule>
  </conditionalFormatting>
  <conditionalFormatting sqref="K1164:K1165">
    <cfRule type="expression" dxfId="7031" priority="1175">
      <formula>$B1164="Subetapa"</formula>
    </cfRule>
    <cfRule type="expression" dxfId="7030" priority="1176">
      <formula>$B1164="Serviço"</formula>
    </cfRule>
  </conditionalFormatting>
  <conditionalFormatting sqref="F1155 F1157">
    <cfRule type="expression" dxfId="7029" priority="1173">
      <formula>$B1155="Subetapa"</formula>
    </cfRule>
  </conditionalFormatting>
  <conditionalFormatting sqref="F1155 F1157">
    <cfRule type="expression" dxfId="7028" priority="1174">
      <formula>$B1155="Serviço"</formula>
    </cfRule>
  </conditionalFormatting>
  <conditionalFormatting sqref="C1157:D1157">
    <cfRule type="expression" dxfId="7027" priority="1171">
      <formula>$B1157="Subetapa"</formula>
    </cfRule>
  </conditionalFormatting>
  <conditionalFormatting sqref="G1153:H1153">
    <cfRule type="expression" dxfId="7026" priority="1169">
      <formula>$B1153="Subetapa"</formula>
    </cfRule>
  </conditionalFormatting>
  <conditionalFormatting sqref="I1154:K1154">
    <cfRule type="expression" dxfId="7025" priority="1164">
      <formula>$B1154="Serviço"</formula>
    </cfRule>
  </conditionalFormatting>
  <conditionalFormatting sqref="I1154:K1154">
    <cfRule type="expression" dxfId="7024" priority="1165">
      <formula>$B1154="Subetapa"</formula>
    </cfRule>
  </conditionalFormatting>
  <conditionalFormatting sqref="E1154">
    <cfRule type="expression" dxfId="7023" priority="1160">
      <formula>$B1154="Subetapa"</formula>
    </cfRule>
  </conditionalFormatting>
  <conditionalFormatting sqref="A1154:B1154">
    <cfRule type="expression" dxfId="7022" priority="1158">
      <formula>$B1154="Serviço"</formula>
    </cfRule>
  </conditionalFormatting>
  <conditionalFormatting sqref="A1154:B1154">
    <cfRule type="expression" dxfId="7021" priority="1159">
      <formula>$B1154="Subetapa"</formula>
    </cfRule>
  </conditionalFormatting>
  <conditionalFormatting sqref="B1154">
    <cfRule type="expression" dxfId="7020" priority="1157">
      <formula>$B1154="Serviço"</formula>
    </cfRule>
  </conditionalFormatting>
  <conditionalFormatting sqref="A1154">
    <cfRule type="expression" dxfId="7019" priority="1156">
      <formula>$B1154="Serviço"</formula>
    </cfRule>
  </conditionalFormatting>
  <conditionalFormatting sqref="F1154">
    <cfRule type="expression" dxfId="7018" priority="1152">
      <formula>$B1154="Subetapa"</formula>
    </cfRule>
  </conditionalFormatting>
  <conditionalFormatting sqref="F1154">
    <cfRule type="expression" dxfId="7017" priority="1153">
      <formula>$B1154="Serviço"</formula>
    </cfRule>
  </conditionalFormatting>
  <conditionalFormatting sqref="C1154:D1154">
    <cfRule type="expression" dxfId="7016" priority="1150">
      <formula>$B1154="Subetapa"</formula>
    </cfRule>
  </conditionalFormatting>
  <conditionalFormatting sqref="C1156:D1156">
    <cfRule type="expression" dxfId="7015" priority="1142">
      <formula>$B1156="Serviço"</formula>
    </cfRule>
  </conditionalFormatting>
  <conditionalFormatting sqref="C1156:D1156">
    <cfRule type="expression" dxfId="7014" priority="1143">
      <formula>$B1156="Subetapa"</formula>
    </cfRule>
  </conditionalFormatting>
  <conditionalFormatting sqref="C1155:D1155">
    <cfRule type="expression" dxfId="7013" priority="1140">
      <formula>$B1155="Serviço"</formula>
    </cfRule>
  </conditionalFormatting>
  <conditionalFormatting sqref="C1155:D1155">
    <cfRule type="expression" dxfId="7012" priority="1141">
      <formula>$B1155="Subetapa"</formula>
    </cfRule>
  </conditionalFormatting>
  <conditionalFormatting sqref="F1129:F1136 D1129:D1136 A1124:B1124">
    <cfRule type="expression" dxfId="7011" priority="1138">
      <formula>$B1124="Serviço"</formula>
    </cfRule>
  </conditionalFormatting>
  <conditionalFormatting sqref="F1129:F1136 D1129:D1136 A1124:B1124">
    <cfRule type="expression" dxfId="7010" priority="1139">
      <formula>$B1124="Subetapa"</formula>
    </cfRule>
  </conditionalFormatting>
  <conditionalFormatting sqref="K1135:K1136">
    <cfRule type="expression" dxfId="7009" priority="1132">
      <formula>$B1135="Subetapa"</formula>
    </cfRule>
    <cfRule type="expression" dxfId="7008" priority="1133">
      <formula>$B1135="Serviço"</formula>
    </cfRule>
  </conditionalFormatting>
  <conditionalFormatting sqref="E1125">
    <cfRule type="expression" dxfId="7007" priority="1128">
      <formula>$B1125="Subetapa"</formula>
    </cfRule>
  </conditionalFormatting>
  <conditionalFormatting sqref="A1125:B1125">
    <cfRule type="expression" dxfId="7006" priority="1126">
      <formula>$B1125="Serviço"</formula>
    </cfRule>
  </conditionalFormatting>
  <conditionalFormatting sqref="A1125:B1125">
    <cfRule type="expression" dxfId="7005" priority="1127">
      <formula>$B1125="Subetapa"</formula>
    </cfRule>
  </conditionalFormatting>
  <conditionalFormatting sqref="B1125">
    <cfRule type="expression" dxfId="7004" priority="1125">
      <formula>$B1125="Serviço"</formula>
    </cfRule>
  </conditionalFormatting>
  <conditionalFormatting sqref="A1125">
    <cfRule type="expression" dxfId="7003" priority="1124">
      <formula>$B1125="Serviço"</formula>
    </cfRule>
  </conditionalFormatting>
  <conditionalFormatting sqref="F1125">
    <cfRule type="expression" dxfId="7002" priority="1120">
      <formula>$B1125="Subetapa"</formula>
    </cfRule>
  </conditionalFormatting>
  <conditionalFormatting sqref="F1125">
    <cfRule type="expression" dxfId="7001" priority="1121">
      <formula>$B1125="Serviço"</formula>
    </cfRule>
  </conditionalFormatting>
  <conditionalFormatting sqref="C1125:D1125">
    <cfRule type="expression" dxfId="7000" priority="1118">
      <formula>$B1125="Subetapa"</formula>
    </cfRule>
  </conditionalFormatting>
  <conditionalFormatting sqref="G1124:H1124">
    <cfRule type="expression" dxfId="6999" priority="1116">
      <formula>$B1124="Subetapa"</formula>
    </cfRule>
  </conditionalFormatting>
  <conditionalFormatting sqref="F1126 F1128">
    <cfRule type="expression" dxfId="6998" priority="1111">
      <formula>$B1126="Subetapa"</formula>
    </cfRule>
  </conditionalFormatting>
  <conditionalFormatting sqref="F1126 F1128">
    <cfRule type="expression" dxfId="6997" priority="1112">
      <formula>$B1126="Serviço"</formula>
    </cfRule>
  </conditionalFormatting>
  <conditionalFormatting sqref="C1128:D1128">
    <cfRule type="expression" dxfId="6996" priority="1109">
      <formula>$B1128="Subetapa"</formula>
    </cfRule>
  </conditionalFormatting>
  <conditionalFormatting sqref="C1127:D1127">
    <cfRule type="expression" dxfId="6995" priority="1101">
      <formula>$B1127="Serviço"</formula>
    </cfRule>
  </conditionalFormatting>
  <conditionalFormatting sqref="C1127:D1127">
    <cfRule type="expression" dxfId="6994" priority="1102">
      <formula>$B1127="Subetapa"</formula>
    </cfRule>
  </conditionalFormatting>
  <conditionalFormatting sqref="C1126:D1126">
    <cfRule type="expression" dxfId="6993" priority="1099">
      <formula>$B1126="Serviço"</formula>
    </cfRule>
  </conditionalFormatting>
  <conditionalFormatting sqref="C1126:D1126">
    <cfRule type="expression" dxfId="6992" priority="1100">
      <formula>$B1126="Subetapa"</formula>
    </cfRule>
  </conditionalFormatting>
  <conditionalFormatting sqref="C2828:C2831">
    <cfRule type="expression" dxfId="6991" priority="911">
      <formula>$B2828="Serviço"</formula>
    </cfRule>
  </conditionalFormatting>
  <conditionalFormatting sqref="C2828:C2831">
    <cfRule type="expression" dxfId="6990" priority="912">
      <formula>$B2828="Subetapa"</formula>
    </cfRule>
  </conditionalFormatting>
  <conditionalFormatting sqref="C1177:C1185">
    <cfRule type="expression" dxfId="6989" priority="906">
      <formula>$B1177="Subetapa"</formula>
    </cfRule>
  </conditionalFormatting>
  <conditionalFormatting sqref="C1312:C1321">
    <cfRule type="expression" dxfId="6988" priority="905">
      <formula>$B1312="Subetapa"</formula>
    </cfRule>
  </conditionalFormatting>
  <conditionalFormatting sqref="C1881:C1891">
    <cfRule type="expression" dxfId="6987" priority="1030">
      <formula>$B1881="Subetapa"</formula>
    </cfRule>
  </conditionalFormatting>
  <conditionalFormatting sqref="C1908:C1916">
    <cfRule type="expression" dxfId="6986" priority="1025">
      <formula>$B1908="Subetapa"</formula>
    </cfRule>
  </conditionalFormatting>
  <conditionalFormatting sqref="C1920:C1928">
    <cfRule type="expression" dxfId="6985" priority="1024">
      <formula>$B1920="Subetapa"</formula>
    </cfRule>
  </conditionalFormatting>
  <conditionalFormatting sqref="C2008:C2016">
    <cfRule type="expression" dxfId="6984" priority="1026">
      <formula>$B2008="Subetapa"</formula>
    </cfRule>
  </conditionalFormatting>
  <conditionalFormatting sqref="C2030:C2032 C2035:C2040">
    <cfRule type="expression" dxfId="6983" priority="1010">
      <formula>$B2030="Subetapa"</formula>
    </cfRule>
  </conditionalFormatting>
  <conditionalFormatting sqref="C2042:C2044 C2047:C2052">
    <cfRule type="expression" dxfId="6982" priority="1007">
      <formula>$B2042="Subetapa"</formula>
    </cfRule>
  </conditionalFormatting>
  <conditionalFormatting sqref="C2054:C2055">
    <cfRule type="expression" dxfId="6981" priority="1002">
      <formula>$B2054="Subetapa"</formula>
    </cfRule>
  </conditionalFormatting>
  <conditionalFormatting sqref="C2056:C2057 C2060:C2065">
    <cfRule type="expression" dxfId="6980" priority="1004">
      <formula>$B2056="Subetapa"</formula>
    </cfRule>
  </conditionalFormatting>
  <conditionalFormatting sqref="C2815:C2816">
    <cfRule type="expression" dxfId="6979" priority="889">
      <formula>$B2815="Subetapa"</formula>
    </cfRule>
  </conditionalFormatting>
  <conditionalFormatting sqref="C3858:C3859">
    <cfRule type="expression" dxfId="6978" priority="944">
      <formula>$B3858="Subetapa"</formula>
    </cfRule>
  </conditionalFormatting>
  <conditionalFormatting sqref="C3929:C3932">
    <cfRule type="expression" dxfId="6977" priority="924">
      <formula>$B3929="Subetapa"</formula>
    </cfRule>
  </conditionalFormatting>
  <conditionalFormatting sqref="C3939:C3940">
    <cfRule type="expression" dxfId="6976" priority="1043">
      <formula>$B3939="Subetapa"</formula>
    </cfRule>
  </conditionalFormatting>
  <conditionalFormatting sqref="C4726:C4749">
    <cfRule type="expression" dxfId="6975" priority="1038">
      <formula>$B4726="Subetapa"</formula>
    </cfRule>
  </conditionalFormatting>
  <conditionalFormatting sqref="C303:C304">
    <cfRule type="expression" dxfId="6974" priority="914">
      <formula>$B303="Subetapa"</formula>
    </cfRule>
  </conditionalFormatting>
  <conditionalFormatting sqref="C1868:C1869 C1871:C1879">
    <cfRule type="expression" dxfId="6973" priority="1029">
      <formula>$B1868="Subetapa"</formula>
    </cfRule>
  </conditionalFormatting>
  <conditionalFormatting sqref="C1893:C1894 C1896:C1904">
    <cfRule type="expression" dxfId="6972" priority="1027">
      <formula>$B1893="Subetapa"</formula>
    </cfRule>
  </conditionalFormatting>
  <conditionalFormatting sqref="C1930:C1931 C1933:C1941">
    <cfRule type="expression" dxfId="6971" priority="1022">
      <formula>$B1930="Subetapa"</formula>
    </cfRule>
  </conditionalFormatting>
  <conditionalFormatting sqref="C1943:C1944 C1946:C1954">
    <cfRule type="expression" dxfId="6970" priority="1020">
      <formula>$B1943="Subetapa"</formula>
    </cfRule>
  </conditionalFormatting>
  <conditionalFormatting sqref="C1956:C1957 C1959:C1967">
    <cfRule type="expression" dxfId="6969" priority="1018">
      <formula>$B1956="Subetapa"</formula>
    </cfRule>
  </conditionalFormatting>
  <conditionalFormatting sqref="C1969:C1970 C1972:C1980">
    <cfRule type="expression" dxfId="6968" priority="1016">
      <formula>$B1969="Subetapa"</formula>
    </cfRule>
  </conditionalFormatting>
  <conditionalFormatting sqref="C957:C962">
    <cfRule type="expression" dxfId="6967" priority="871">
      <formula>$B957="Subetapa"</formula>
    </cfRule>
  </conditionalFormatting>
  <conditionalFormatting sqref="C284:C286">
    <cfRule type="expression" dxfId="6966" priority="1045">
      <formula>$B284="Subetapa"</formula>
    </cfRule>
  </conditionalFormatting>
  <conditionalFormatting sqref="C321:C322">
    <cfRule type="expression" dxfId="6965" priority="1087">
      <formula>$B321="Subetapa"</formula>
    </cfRule>
  </conditionalFormatting>
  <conditionalFormatting sqref="C662:C664">
    <cfRule type="expression" dxfId="6964" priority="913">
      <formula>$B662="Serviço"</formula>
    </cfRule>
  </conditionalFormatting>
  <conditionalFormatting sqref="C867:C868">
    <cfRule type="expression" dxfId="6963" priority="1051">
      <formula>$B867="Subetapa"</formula>
    </cfRule>
  </conditionalFormatting>
  <conditionalFormatting sqref="C964:C966">
    <cfRule type="expression" dxfId="6962" priority="1039">
      <formula>$B964="Subetapa"</formula>
    </cfRule>
  </conditionalFormatting>
  <conditionalFormatting sqref="C967:C969">
    <cfRule type="expression" dxfId="6961" priority="1040">
      <formula>$B967="Subetapa"</formula>
    </cfRule>
  </conditionalFormatting>
  <conditionalFormatting sqref="C971:C972">
    <cfRule type="expression" dxfId="6960" priority="1053">
      <formula>$B971="Subetapa"</formula>
    </cfRule>
  </conditionalFormatting>
  <conditionalFormatting sqref="C974:C975">
    <cfRule type="expression" dxfId="6959" priority="1054">
      <formula>$B974="Subetapa"</formula>
    </cfRule>
  </conditionalFormatting>
  <conditionalFormatting sqref="C1345:C1347">
    <cfRule type="expression" dxfId="6958" priority="895">
      <formula>$B1345="Subetapa"</formula>
    </cfRule>
  </conditionalFormatting>
  <conditionalFormatting sqref="C1844:C1854">
    <cfRule type="expression" dxfId="6957" priority="1032">
      <formula>$B1844="Subetapa"</formula>
    </cfRule>
  </conditionalFormatting>
  <conditionalFormatting sqref="C1856:C1866">
    <cfRule type="expression" dxfId="6956" priority="1031">
      <formula>$B1856="Subetapa"</formula>
    </cfRule>
  </conditionalFormatting>
  <conditionalFormatting sqref="C1982:C1992">
    <cfRule type="expression" dxfId="6955" priority="1014">
      <formula>$B1982="Subetapa"</formula>
    </cfRule>
  </conditionalFormatting>
  <conditionalFormatting sqref="C1994:C2004">
    <cfRule type="expression" dxfId="6954" priority="1012">
      <formula>$B1994="Subetapa"</formula>
    </cfRule>
  </conditionalFormatting>
  <conditionalFormatting sqref="C2018:C2028">
    <cfRule type="expression" dxfId="6953" priority="940">
      <formula>$B2018="Subetapa"</formula>
    </cfRule>
  </conditionalFormatting>
  <conditionalFormatting sqref="C2033:C2034">
    <cfRule type="expression" dxfId="6952" priority="1008">
      <formula>$B2033="Subetapa"</formula>
    </cfRule>
  </conditionalFormatting>
  <conditionalFormatting sqref="C2045:C2046">
    <cfRule type="expression" dxfId="6951" priority="1005">
      <formula>$B2045="Subetapa"</formula>
    </cfRule>
  </conditionalFormatting>
  <conditionalFormatting sqref="C2058:C2059">
    <cfRule type="expression" dxfId="6950" priority="1003">
      <formula>$B2058="Subetapa"</formula>
    </cfRule>
  </conditionalFormatting>
  <conditionalFormatting sqref="C2067:C2068">
    <cfRule type="expression" dxfId="6949" priority="998">
      <formula>$B2067="Subetapa"</formula>
    </cfRule>
  </conditionalFormatting>
  <conditionalFormatting sqref="C2069:C2070 C2073:C2078">
    <cfRule type="expression" dxfId="6948" priority="1000">
      <formula>$B2069="Subetapa"</formula>
    </cfRule>
  </conditionalFormatting>
  <conditionalFormatting sqref="C2071:C2072">
    <cfRule type="expression" dxfId="6947" priority="999">
      <formula>$B2071="Subetapa"</formula>
    </cfRule>
  </conditionalFormatting>
  <conditionalFormatting sqref="C2080:C2081">
    <cfRule type="expression" dxfId="6946" priority="994">
      <formula>$B2080="Subetapa"</formula>
    </cfRule>
  </conditionalFormatting>
  <conditionalFormatting sqref="C2082:C2083 C2086:C2091">
    <cfRule type="expression" dxfId="6945" priority="996">
      <formula>$B2082="Subetapa"</formula>
    </cfRule>
  </conditionalFormatting>
  <conditionalFormatting sqref="C2084:C2085">
    <cfRule type="expression" dxfId="6944" priority="995">
      <formula>$B2084="Subetapa"</formula>
    </cfRule>
  </conditionalFormatting>
  <conditionalFormatting sqref="C2093:C2094">
    <cfRule type="expression" dxfId="6943" priority="989">
      <formula>$B2093="Subetapa"</formula>
    </cfRule>
  </conditionalFormatting>
  <conditionalFormatting sqref="C2095:C2096 C2099:C2104">
    <cfRule type="expression" dxfId="6942" priority="992">
      <formula>$B2095="Subetapa"</formula>
    </cfRule>
  </conditionalFormatting>
  <conditionalFormatting sqref="C2097:C2098">
    <cfRule type="expression" dxfId="6941" priority="990">
      <formula>$B2097="Subetapa"</formula>
    </cfRule>
  </conditionalFormatting>
  <conditionalFormatting sqref="C2106:C2111">
    <cfRule type="expression" dxfId="6940" priority="987">
      <formula>$B2106="Subetapa"</formula>
    </cfRule>
  </conditionalFormatting>
  <conditionalFormatting sqref="C2113:C2118">
    <cfRule type="expression" dxfId="6939" priority="986">
      <formula>$B2113="Subetapa"</formula>
    </cfRule>
  </conditionalFormatting>
  <conditionalFormatting sqref="C2120:C2125">
    <cfRule type="expression" dxfId="6938" priority="985">
      <formula>$B2120="Subetapa"</formula>
    </cfRule>
  </conditionalFormatting>
  <conditionalFormatting sqref="C2127:C2132">
    <cfRule type="expression" dxfId="6937" priority="983">
      <formula>$B2127="Subetapa"</formula>
    </cfRule>
  </conditionalFormatting>
  <conditionalFormatting sqref="C2134:C2139">
    <cfRule type="expression" dxfId="6936" priority="981">
      <formula>$B2134="Subetapa"</formula>
    </cfRule>
  </conditionalFormatting>
  <conditionalFormatting sqref="C2332:C2336">
    <cfRule type="expression" dxfId="6935" priority="979">
      <formula>$B2332="Subetapa"</formula>
    </cfRule>
  </conditionalFormatting>
  <conditionalFormatting sqref="C2757:C2759">
    <cfRule type="expression" dxfId="6934" priority="917">
      <formula>$B2757="Subetapa"</formula>
    </cfRule>
  </conditionalFormatting>
  <conditionalFormatting sqref="C2761:C2764">
    <cfRule type="expression" dxfId="6933" priority="919">
      <formula>$B2761="Subetapa"</formula>
    </cfRule>
  </conditionalFormatting>
  <conditionalFormatting sqref="C2772:C2785">
    <cfRule type="expression" dxfId="6932" priority="963">
      <formula>$B2772="Subetapa"</formula>
    </cfRule>
  </conditionalFormatting>
  <conditionalFormatting sqref="C2786:C2787">
    <cfRule type="expression" dxfId="6931" priority="1059">
      <formula>$A2786=2</formula>
    </cfRule>
  </conditionalFormatting>
  <conditionalFormatting sqref="C2914:C2915">
    <cfRule type="expression" dxfId="6930" priority="960">
      <formula>$I2914="SUBETAPA"</formula>
    </cfRule>
    <cfRule type="expression" dxfId="6929" priority="961">
      <formula>$I2914="CÉLULA CONSTRUTIVA"</formula>
    </cfRule>
    <cfRule type="expression" dxfId="6928" priority="962">
      <formula>$I2914="ETAPA"</formula>
    </cfRule>
  </conditionalFormatting>
  <conditionalFormatting sqref="C2916:C2917">
    <cfRule type="expression" dxfId="6927" priority="957">
      <formula>$I2916="SUBETAPA"</formula>
    </cfRule>
    <cfRule type="expression" dxfId="6926" priority="958">
      <formula>$I2916="CÉLULA CONSTRUTIVA"</formula>
    </cfRule>
    <cfRule type="expression" dxfId="6925" priority="959">
      <formula>$I2916="ETAPA"</formula>
    </cfRule>
  </conditionalFormatting>
  <conditionalFormatting sqref="C3427:C3429">
    <cfRule type="expression" dxfId="6924" priority="1061">
      <formula>$A3427="Subetapa"</formula>
    </cfRule>
  </conditionalFormatting>
  <conditionalFormatting sqref="C3619:C3621">
    <cfRule type="expression" dxfId="6923" priority="1063">
      <formula>$A3619="Subetapa"</formula>
    </cfRule>
  </conditionalFormatting>
  <conditionalFormatting sqref="C3927:C3928">
    <cfRule type="expression" dxfId="6922" priority="942">
      <formula>$B3927="Subetapa"</formula>
    </cfRule>
  </conditionalFormatting>
  <conditionalFormatting sqref="C3939:C3943">
    <cfRule type="expression" dxfId="6921" priority="1065">
      <formula>$B3939="Subetapa"</formula>
    </cfRule>
  </conditionalFormatting>
  <conditionalFormatting sqref="C3997:C3998">
    <cfRule type="expression" dxfId="6920" priority="883">
      <formula>$A3997="Serviço"</formula>
    </cfRule>
    <cfRule type="expression" dxfId="6919" priority="884">
      <formula>$A3997="Subetapa"</formula>
    </cfRule>
  </conditionalFormatting>
  <conditionalFormatting sqref="C4000:C4001">
    <cfRule type="expression" dxfId="6918" priority="885">
      <formula>$A4000="Serviço"</formula>
    </cfRule>
    <cfRule type="expression" dxfId="6917" priority="886">
      <formula>$A4000="Subetapa"</formula>
    </cfRule>
  </conditionalFormatting>
  <conditionalFormatting sqref="C4055:C4056">
    <cfRule type="expression" dxfId="6916" priority="875">
      <formula>$A4055="Serviço"</formula>
    </cfRule>
    <cfRule type="expression" dxfId="6915" priority="876">
      <formula>$A4055="Subetapa"</formula>
    </cfRule>
  </conditionalFormatting>
  <conditionalFormatting sqref="C4095:C4097">
    <cfRule type="expression" dxfId="6914" priority="1068">
      <formula>$B4095="Subetapa"</formula>
    </cfRule>
  </conditionalFormatting>
  <conditionalFormatting sqref="C4292:C4295">
    <cfRule type="expression" dxfId="6913" priority="941">
      <formula>$B4292="Subetapa"</formula>
    </cfRule>
  </conditionalFormatting>
  <conditionalFormatting sqref="C4751:C4758">
    <cfRule type="expression" dxfId="6912" priority="1069">
      <formula>$B4751="Subetapa"</formula>
    </cfRule>
  </conditionalFormatting>
  <conditionalFormatting sqref="C4880:C4888 C4833:C4838">
    <cfRule type="expression" dxfId="6911" priority="1044">
      <formula>$B4833="Subetapa"</formula>
    </cfRule>
  </conditionalFormatting>
  <conditionalFormatting sqref="C4942:C4974">
    <cfRule type="expression" dxfId="6910" priority="1075">
      <formula>$B4942="Subetapa"</formula>
    </cfRule>
  </conditionalFormatting>
  <conditionalFormatting sqref="C815:C823">
    <cfRule type="expression" dxfId="6909" priority="907">
      <formula>$B815="Serviço"</formula>
    </cfRule>
    <cfRule type="expression" dxfId="6908" priority="908">
      <formula>$B815="Subetapa"</formula>
    </cfRule>
  </conditionalFormatting>
  <conditionalFormatting sqref="C1256:C1265">
    <cfRule type="expression" dxfId="6907" priority="899">
      <formula>$B1256="Subetapa"</formula>
    </cfRule>
  </conditionalFormatting>
  <conditionalFormatting sqref="C1302:C1310">
    <cfRule type="expression" dxfId="6906" priority="896">
      <formula>$B1302="Serviço"</formula>
    </cfRule>
    <cfRule type="expression" dxfId="6905" priority="897">
      <formula>$B1302="Subetapa"</formula>
    </cfRule>
  </conditionalFormatting>
  <conditionalFormatting sqref="C1358:C1361">
    <cfRule type="expression" dxfId="6904" priority="900">
      <formula>$B1358="Serviço"</formula>
    </cfRule>
    <cfRule type="expression" dxfId="6903" priority="901">
      <formula>$B1358="Subetapa"</formula>
    </cfRule>
  </conditionalFormatting>
  <conditionalFormatting sqref="C1364:C1367">
    <cfRule type="expression" dxfId="6902" priority="902">
      <formula>$B1364="Serviço"</formula>
    </cfRule>
    <cfRule type="expression" dxfId="6901" priority="903">
      <formula>$B1364="Subetapa"</formula>
    </cfRule>
  </conditionalFormatting>
  <conditionalFormatting sqref="C1376:C1384">
    <cfRule type="expression" dxfId="6900" priority="904">
      <formula>$B1376="Subetapa"</formula>
    </cfRule>
  </conditionalFormatting>
  <conditionalFormatting sqref="C2476:C2479">
    <cfRule type="expression" dxfId="6899" priority="891">
      <formula>$B2476="Serviço"</formula>
    </cfRule>
  </conditionalFormatting>
  <conditionalFormatting sqref="C2481:C2484">
    <cfRule type="expression" dxfId="6898" priority="892">
      <formula>$B2481="Serviço"</formula>
    </cfRule>
  </conditionalFormatting>
  <conditionalFormatting sqref="C2486:C2489">
    <cfRule type="expression" dxfId="6897" priority="894">
      <formula>$B2486="Serviço"</formula>
    </cfRule>
  </conditionalFormatting>
  <conditionalFormatting sqref="C2521:C2524">
    <cfRule type="expression" dxfId="6896" priority="893">
      <formula>$B2521="Serviço"</formula>
    </cfRule>
  </conditionalFormatting>
  <conditionalFormatting sqref="C3886:C3889">
    <cfRule type="expression" dxfId="6895" priority="932">
      <formula>$B3886="Subetapa"</formula>
    </cfRule>
  </conditionalFormatting>
  <conditionalFormatting sqref="C3896:C3900">
    <cfRule type="expression" dxfId="6894" priority="930">
      <formula>$B3896="Subetapa"</formula>
    </cfRule>
  </conditionalFormatting>
  <conditionalFormatting sqref="C3907:C3911">
    <cfRule type="expression" dxfId="6893" priority="928">
      <formula>$B3907="Subetapa"</formula>
    </cfRule>
  </conditionalFormatting>
  <conditionalFormatting sqref="C3918:C3922">
    <cfRule type="expression" dxfId="6892" priority="926">
      <formula>$B3918="Subetapa"</formula>
    </cfRule>
  </conditionalFormatting>
  <conditionalFormatting sqref="C3948:C3952">
    <cfRule type="expression" dxfId="6891" priority="922">
      <formula>$B3948="Subetapa"</formula>
    </cfRule>
  </conditionalFormatting>
  <conditionalFormatting sqref="C4005:C4006">
    <cfRule type="expression" dxfId="6890" priority="877">
      <formula>$B4005="Subetapa"</formula>
    </cfRule>
  </conditionalFormatting>
  <conditionalFormatting sqref="C4008:C4009">
    <cfRule type="expression" dxfId="6889" priority="878">
      <formula>$B4008="Subetapa"</formula>
    </cfRule>
  </conditionalFormatting>
  <conditionalFormatting sqref="C4011:C4012">
    <cfRule type="expression" dxfId="6888" priority="879">
      <formula>$B4011="Subetapa"</formula>
    </cfRule>
  </conditionalFormatting>
  <conditionalFormatting sqref="C4014:C4015">
    <cfRule type="expression" dxfId="6887" priority="880">
      <formula>$B4014="Subetapa"</formula>
    </cfRule>
  </conditionalFormatting>
  <conditionalFormatting sqref="C4017:C4018">
    <cfRule type="expression" dxfId="6886" priority="881">
      <formula>$B4017="Subetapa"</formula>
    </cfRule>
  </conditionalFormatting>
  <conditionalFormatting sqref="C4020:C4021">
    <cfRule type="expression" dxfId="6885" priority="882">
      <formula>$B4020="Subetapa"</formula>
    </cfRule>
  </conditionalFormatting>
  <conditionalFormatting sqref="C4042:C4043">
    <cfRule type="expression" dxfId="6884" priority="874">
      <formula>$B4042="Subetapa"</formula>
    </cfRule>
  </conditionalFormatting>
  <conditionalFormatting sqref="C827:C834">
    <cfRule type="expression" dxfId="6883" priority="909">
      <formula>$B827="Serviço"</formula>
    </cfRule>
    <cfRule type="expression" dxfId="6882" priority="910">
      <formula>$B827="Subetapa"</formula>
    </cfRule>
  </conditionalFormatting>
  <conditionalFormatting sqref="C1348:C1355">
    <cfRule type="expression" dxfId="6881" priority="898">
      <formula>$B1348="Subetapa"</formula>
    </cfRule>
  </conditionalFormatting>
  <conditionalFormatting sqref="C1813:C1814">
    <cfRule type="expression" dxfId="6880" priority="1081">
      <formula>$B1813="Subetapa"</formula>
    </cfRule>
  </conditionalFormatting>
  <conditionalFormatting sqref="C2185:C2186">
    <cfRule type="expression" dxfId="6879" priority="1088">
      <formula>$B2185="Subetapa"</formula>
    </cfRule>
  </conditionalFormatting>
  <conditionalFormatting sqref="C2723:C2724">
    <cfRule type="expression" dxfId="6878" priority="890">
      <formula>$B2723="Serviço"</formula>
    </cfRule>
  </conditionalFormatting>
  <conditionalFormatting sqref="C3130:C3136">
    <cfRule type="expression" dxfId="6877" priority="888">
      <formula>$B3130="Subetapa"</formula>
    </cfRule>
  </conditionalFormatting>
  <conditionalFormatting sqref="C3143:C3144">
    <cfRule type="expression" dxfId="6876" priority="956">
      <formula>$B3143="Subetapa"</formula>
    </cfRule>
  </conditionalFormatting>
  <conditionalFormatting sqref="C4105:C4106">
    <cfRule type="expression" dxfId="6875" priority="872">
      <formula>$B4105="Subetapa"</formula>
    </cfRule>
  </conditionalFormatting>
  <conditionalFormatting sqref="C4108:C4109">
    <cfRule type="expression" dxfId="6874" priority="873">
      <formula>$B4108="Subetapa"</formula>
    </cfRule>
  </conditionalFormatting>
  <conditionalFormatting sqref="C4864:C4874">
    <cfRule type="expression" dxfId="6873" priority="1086">
      <formula>$B4864="Subetapa"</formula>
    </cfRule>
  </conditionalFormatting>
  <conditionalFormatting sqref="C4876:C4877">
    <cfRule type="expression" dxfId="6872" priority="1090">
      <formula>$B4876="Subetapa"</formula>
    </cfRule>
  </conditionalFormatting>
  <conditionalFormatting sqref="C3980:C3981">
    <cfRule type="expression" dxfId="6871" priority="887">
      <formula>$B3980="Subetapa"</formula>
    </cfRule>
  </conditionalFormatting>
  <conditionalFormatting sqref="C1419:C1420 C1466:C1473 C1422:C1442 C1444:C1464">
    <cfRule type="expression" dxfId="6870" priority="870">
      <formula>$B1419="Subetapa"</formula>
    </cfRule>
  </conditionalFormatting>
  <conditionalFormatting sqref="C1478:C1485 C1490:C1497 C1503:C1510 C1516:C1523">
    <cfRule type="expression" dxfId="6869" priority="868">
      <formula>$B1478="Subetapa"</formula>
    </cfRule>
  </conditionalFormatting>
  <conditionalFormatting sqref="C1513:C1514">
    <cfRule type="expression" dxfId="6868" priority="866">
      <formula>$B1513="Subetapa"</formula>
    </cfRule>
  </conditionalFormatting>
  <conditionalFormatting sqref="C1513:C1514">
    <cfRule type="expression" dxfId="6867" priority="865">
      <formula>$B1513="Subetapa"</formula>
    </cfRule>
  </conditionalFormatting>
  <conditionalFormatting sqref="C1500:C1501">
    <cfRule type="expression" dxfId="6866" priority="863">
      <formula>$B1500="Subetapa"</formula>
    </cfRule>
  </conditionalFormatting>
  <conditionalFormatting sqref="C1500:C1501">
    <cfRule type="expression" dxfId="6865" priority="862">
      <formula>$B1500="Subetapa"</formula>
    </cfRule>
  </conditionalFormatting>
  <conditionalFormatting sqref="C1524:C1525 C1527:C1534">
    <cfRule type="expression" dxfId="6864" priority="861">
      <formula>$B1524="Subetapa"</formula>
    </cfRule>
  </conditionalFormatting>
  <conditionalFormatting sqref="C2826:C2827 C2835:C2840">
    <cfRule type="expression" dxfId="6863" priority="851">
      <formula>$B2826="Serviço"</formula>
    </cfRule>
  </conditionalFormatting>
  <conditionalFormatting sqref="C2826:C2827 C2835:C2840">
    <cfRule type="expression" dxfId="6862" priority="852">
      <formula>$B2826="Subetapa"</formula>
    </cfRule>
  </conditionalFormatting>
  <conditionalFormatting sqref="C3173:C3174">
    <cfRule type="expression" dxfId="6861" priority="825">
      <formula>$B3173="Subetapa"</formula>
    </cfRule>
  </conditionalFormatting>
  <conditionalFormatting sqref="C3170:C3171">
    <cfRule type="expression" dxfId="6860" priority="823">
      <formula>$B3170="Subetapa"</formula>
    </cfRule>
  </conditionalFormatting>
  <conditionalFormatting sqref="C3167:C3168">
    <cfRule type="expression" dxfId="6859" priority="822">
      <formula>$B3167="Subetapa"</formula>
    </cfRule>
  </conditionalFormatting>
  <conditionalFormatting sqref="C3164:C3165">
    <cfRule type="expression" dxfId="6858" priority="820">
      <formula>$B3164="Subetapa"</formula>
    </cfRule>
  </conditionalFormatting>
  <conditionalFormatting sqref="C3161:C3162">
    <cfRule type="expression" dxfId="6857" priority="818">
      <formula>$B3161="Subetapa"</formula>
    </cfRule>
  </conditionalFormatting>
  <conditionalFormatting sqref="C3158:C3159">
    <cfRule type="expression" dxfId="6856" priority="817">
      <formula>$B3158="Subetapa"</formula>
    </cfRule>
  </conditionalFormatting>
  <conditionalFormatting sqref="C3656:C3657">
    <cfRule type="expression" dxfId="6855" priority="816">
      <formula>$B3656="Subetapa"</formula>
    </cfRule>
  </conditionalFormatting>
  <conditionalFormatting sqref="C3966:C3967">
    <cfRule type="expression" dxfId="6854" priority="814">
      <formula>$B3966="Subetapa"</formula>
    </cfRule>
  </conditionalFormatting>
  <conditionalFormatting sqref="C4035:C4036">
    <cfRule type="expression" dxfId="6853" priority="812">
      <formula>$B4035="Subetapa"</formula>
    </cfRule>
  </conditionalFormatting>
  <conditionalFormatting sqref="C4669:C4670">
    <cfRule type="expression" dxfId="6852" priority="810">
      <formula>$B4669="Subetapa"</formula>
    </cfRule>
  </conditionalFormatting>
  <conditionalFormatting sqref="C4676:C4677">
    <cfRule type="expression" dxfId="6851" priority="808">
      <formula>$B4676="Subetapa"</formula>
    </cfRule>
  </conditionalFormatting>
  <conditionalFormatting sqref="C1023:C1030 C1036:C1043 C1049:C1056 C1062:C1069">
    <cfRule type="expression" dxfId="6850" priority="804">
      <formula>$B1023="Serviço"</formula>
    </cfRule>
  </conditionalFormatting>
  <conditionalFormatting sqref="C1023:C1030 C1036:C1043 C1049:C1056 C1062:C1069">
    <cfRule type="expression" dxfId="6849" priority="805">
      <formula>$B1023="Subetapa"</formula>
    </cfRule>
  </conditionalFormatting>
  <conditionalFormatting sqref="C1114:C1121">
    <cfRule type="expression" dxfId="6848" priority="802">
      <formula>$B1114="Serviço"</formula>
    </cfRule>
  </conditionalFormatting>
  <conditionalFormatting sqref="C1114:C1121">
    <cfRule type="expression" dxfId="6847" priority="803">
      <formula>$B1114="Subetapa"</formula>
    </cfRule>
  </conditionalFormatting>
  <conditionalFormatting sqref="C1143:C1150 C1158:C1165">
    <cfRule type="expression" dxfId="6846" priority="800">
      <formula>$B1143="Serviço"</formula>
    </cfRule>
  </conditionalFormatting>
  <conditionalFormatting sqref="C1143:C1150 C1158:C1165">
    <cfRule type="expression" dxfId="6845" priority="801">
      <formula>$B1143="Subetapa"</formula>
    </cfRule>
  </conditionalFormatting>
  <conditionalFormatting sqref="C1129:C1136">
    <cfRule type="expression" dxfId="6844" priority="798">
      <formula>$B1129="Serviço"</formula>
    </cfRule>
  </conditionalFormatting>
  <conditionalFormatting sqref="C1129:C1136">
    <cfRule type="expression" dxfId="6843" priority="799">
      <formula>$B1129="Subetapa"</formula>
    </cfRule>
  </conditionalFormatting>
  <conditionalFormatting sqref="A3879:B3879">
    <cfRule type="expression" dxfId="6842" priority="794">
      <formula>$B3879="Subetapa"</formula>
    </cfRule>
  </conditionalFormatting>
  <conditionalFormatting sqref="B3875:B3877 B3881:B3882">
    <cfRule type="expression" dxfId="6841" priority="784">
      <formula>$B3875="Subetapa"</formula>
    </cfRule>
  </conditionalFormatting>
  <conditionalFormatting sqref="D3875:F3875 D3876:D3877 F3876:F3877 F3881:F3882 D3881:D3882">
    <cfRule type="expression" dxfId="6840" priority="785">
      <formula>$B3875="Subetapa"</formula>
    </cfRule>
  </conditionalFormatting>
  <conditionalFormatting sqref="A3875:A3877 A3881:A3882">
    <cfRule type="expression" dxfId="6839" priority="776">
      <formula>$B3875="Subetapa"</formula>
    </cfRule>
  </conditionalFormatting>
  <conditionalFormatting sqref="F3878 B3878 D3878">
    <cfRule type="expression" dxfId="6838" priority="773">
      <formula>$B3878="Subetapa"</formula>
    </cfRule>
  </conditionalFormatting>
  <conditionalFormatting sqref="D3879:D3880">
    <cfRule type="expression" dxfId="6837" priority="767">
      <formula>$B3879="Subetapa"</formula>
    </cfRule>
  </conditionalFormatting>
  <conditionalFormatting sqref="D3880">
    <cfRule type="expression" dxfId="6836" priority="763">
      <formula>$B3880="Subetapa"</formula>
    </cfRule>
  </conditionalFormatting>
  <conditionalFormatting sqref="F3880">
    <cfRule type="expression" dxfId="6835" priority="768">
      <formula>$B3880="Subetapa"</formula>
    </cfRule>
  </conditionalFormatting>
  <conditionalFormatting sqref="A3878">
    <cfRule type="expression" dxfId="6834" priority="759">
      <formula>$B3878="Subetapa"</formula>
    </cfRule>
  </conditionalFormatting>
  <conditionalFormatting sqref="G4071:H4071">
    <cfRule type="expression" dxfId="6833" priority="755">
      <formula>$B4071="Subetapa"</formula>
    </cfRule>
  </conditionalFormatting>
  <conditionalFormatting sqref="H3861:H3883">
    <cfRule type="expression" dxfId="6832" priority="751">
      <formula>$B3861="Subetapa"</formula>
    </cfRule>
  </conditionalFormatting>
  <conditionalFormatting sqref="G4495">
    <cfRule type="expression" dxfId="6831" priority="668">
      <formula>$B4495="Subetapa"</formula>
    </cfRule>
  </conditionalFormatting>
  <conditionalFormatting sqref="G4495">
    <cfRule type="expression" dxfId="6830" priority="667">
      <formula>$B4495="Serviço"</formula>
    </cfRule>
  </conditionalFormatting>
  <conditionalFormatting sqref="E768:E770">
    <cfRule type="expression" dxfId="6829" priority="666">
      <formula>$B768="Subetapa"</formula>
    </cfRule>
  </conditionalFormatting>
  <conditionalFormatting sqref="E1021">
    <cfRule type="expression" dxfId="6828" priority="664">
      <formula>$B1021="Subetapa"</formula>
    </cfRule>
  </conditionalFormatting>
  <conditionalFormatting sqref="I1386:J2041 I2843:J2882 I2526:J2606 I3143:J3176 I4403:J4451 I4455:J4458">
    <cfRule type="expression" dxfId="6827" priority="661">
      <formula>$B1386="Subetapa"</formula>
    </cfRule>
  </conditionalFormatting>
  <conditionalFormatting sqref="I1198:J1385 I4504:J4572">
    <cfRule type="expression" dxfId="6826" priority="659">
      <formula>$B1198="Serviço"</formula>
    </cfRule>
  </conditionalFormatting>
  <conditionalFormatting sqref="I1198:J1385 I4504:J4572">
    <cfRule type="expression" dxfId="6825" priority="660">
      <formula>$B1198="Subetapa"</formula>
    </cfRule>
  </conditionalFormatting>
  <conditionalFormatting sqref="I943:J959">
    <cfRule type="expression" dxfId="6824" priority="475">
      <formula>$B943="Subetapa"</formula>
    </cfRule>
  </conditionalFormatting>
  <conditionalFormatting sqref="I2317:J2330 I2203:J2207">
    <cfRule type="expression" dxfId="6823" priority="603">
      <formula>$B2203="Subetapa"</formula>
    </cfRule>
  </conditionalFormatting>
  <conditionalFormatting sqref="I2379:J2388">
    <cfRule type="expression" dxfId="6822" priority="355">
      <formula>$B2379="Serviço"</formula>
    </cfRule>
  </conditionalFormatting>
  <conditionalFormatting sqref="I2637:J2661">
    <cfRule type="expression" dxfId="6821" priority="467">
      <formula>$B2637="Subetapa"</formula>
    </cfRule>
  </conditionalFormatting>
  <conditionalFormatting sqref="I2662:J2669">
    <cfRule type="expression" dxfId="6820" priority="462">
      <formula>$B2662="Subetapa"</formula>
    </cfRule>
  </conditionalFormatting>
  <conditionalFormatting sqref="I2670:J2672">
    <cfRule type="expression" dxfId="6819" priority="464">
      <formula>$B2670="Subetapa"</formula>
    </cfRule>
  </conditionalFormatting>
  <conditionalFormatting sqref="I2731:J2735">
    <cfRule type="expression" dxfId="6818" priority="466">
      <formula>$B2731="Subetapa"</formula>
    </cfRule>
  </conditionalFormatting>
  <conditionalFormatting sqref="I2737:J2753">
    <cfRule type="expression" dxfId="6817" priority="465">
      <formula>$B2737="Subetapa"</formula>
    </cfRule>
  </conditionalFormatting>
  <conditionalFormatting sqref="I3243:J3246 I3177:J3188">
    <cfRule type="expression" dxfId="6816" priority="348">
      <formula>$B3177="Subetapa"</formula>
    </cfRule>
    <cfRule type="expression" dxfId="6815" priority="349">
      <formula>$B3177="Serviço"</formula>
    </cfRule>
  </conditionalFormatting>
  <conditionalFormatting sqref="I2957:J2960">
    <cfRule type="expression" dxfId="6814" priority="601">
      <formula>$B2957="Subetapa"</formula>
    </cfRule>
  </conditionalFormatting>
  <conditionalFormatting sqref="I3731:J3758">
    <cfRule type="expression" dxfId="6813" priority="458">
      <formula>$B3731="Subetapa"</formula>
    </cfRule>
  </conditionalFormatting>
  <conditionalFormatting sqref="I3767:J3787">
    <cfRule type="expression" dxfId="6812" priority="552">
      <formula>$B3767="Subetapa"</formula>
    </cfRule>
  </conditionalFormatting>
  <conditionalFormatting sqref="I3788:J3793">
    <cfRule type="expression" dxfId="6811" priority="454">
      <formula>$B3788="Subetapa"</formula>
    </cfRule>
  </conditionalFormatting>
  <conditionalFormatting sqref="I3794:J3807">
    <cfRule type="expression" dxfId="6810" priority="529">
      <formula>$B3794="Subetapa"</formula>
    </cfRule>
  </conditionalFormatting>
  <conditionalFormatting sqref="I4078:J4086">
    <cfRule type="expression" dxfId="6809" priority="604">
      <formula>$B4078="Subetapa"</formula>
    </cfRule>
  </conditionalFormatting>
  <conditionalFormatting sqref="I4373:J4402">
    <cfRule type="expression" dxfId="6808" priority="318">
      <formula>$B4373="Subetapa"</formula>
    </cfRule>
    <cfRule type="expression" dxfId="6807" priority="319">
      <formula>$B4373="Serviço"</formula>
    </cfRule>
  </conditionalFormatting>
  <conditionalFormatting sqref="I4686:J4699">
    <cfRule type="expression" dxfId="6806" priority="316">
      <formula>$B4686="Subetapa"</formula>
    </cfRule>
    <cfRule type="expression" dxfId="6805" priority="317">
      <formula>$B4686="Serviço"</formula>
    </cfRule>
  </conditionalFormatting>
  <conditionalFormatting sqref="I3759:J3766 I3816:J3820">
    <cfRule type="expression" dxfId="6804" priority="615">
      <formula>$B3759="Subetapa"</formula>
    </cfRule>
  </conditionalFormatting>
  <conditionalFormatting sqref="I4087:J4097">
    <cfRule type="expression" dxfId="6803" priority="538">
      <formula>$B4087="Subetapa"</formula>
    </cfRule>
  </conditionalFormatting>
  <conditionalFormatting sqref="I4235:J4244">
    <cfRule type="expression" dxfId="6802" priority="517">
      <formula>$B4235="Subetapa"</formula>
    </cfRule>
  </conditionalFormatting>
  <conditionalFormatting sqref="I2277:J2278 I2208:J2211">
    <cfRule type="expression" dxfId="6801" priority="291">
      <formula>$B2208="Subetapa"</formula>
    </cfRule>
  </conditionalFormatting>
  <conditionalFormatting sqref="I3709:J3713">
    <cfRule type="expression" dxfId="6800" priority="298">
      <formula>$B3709="Subetapa"</formula>
    </cfRule>
  </conditionalFormatting>
  <conditionalFormatting sqref="I3725:J3730 I3715:J3721">
    <cfRule type="expression" dxfId="6799" priority="294">
      <formula>$B3715="Subetapa"</formula>
    </cfRule>
  </conditionalFormatting>
  <conditionalFormatting sqref="I4023:J4028">
    <cfRule type="expression" dxfId="6798" priority="293">
      <formula>$B4023="Subetapa"</formula>
    </cfRule>
  </conditionalFormatting>
  <conditionalFormatting sqref="I4272:J4276">
    <cfRule type="expression" dxfId="6797" priority="452">
      <formula>$B4272="Subetapa"</formula>
    </cfRule>
  </conditionalFormatting>
  <conditionalFormatting sqref="I153:J213 I215:J217">
    <cfRule type="expression" dxfId="6796" priority="440">
      <formula>$B153="Subetapa"</formula>
    </cfRule>
  </conditionalFormatting>
  <conditionalFormatting sqref="I903:J907">
    <cfRule type="expression" dxfId="6795" priority="394">
      <formula>$B903="Subetapa"</formula>
    </cfRule>
  </conditionalFormatting>
  <conditionalFormatting sqref="I2267:J2268 I2274:J2275 I2212:J2261">
    <cfRule type="expression" dxfId="6794" priority="398">
      <formula>$B2212="Serviço"</formula>
    </cfRule>
  </conditionalFormatting>
  <conditionalFormatting sqref="I2817:J2831 I2835:J2842">
    <cfRule type="expression" dxfId="6793" priority="459">
      <formula>$B2817="Subetapa"</formula>
    </cfRule>
  </conditionalFormatting>
  <conditionalFormatting sqref="I2883:J2884">
    <cfRule type="expression" dxfId="6792" priority="347">
      <formula>$B2883="Serviço"</formula>
    </cfRule>
  </conditionalFormatting>
  <conditionalFormatting sqref="I2912:J2935">
    <cfRule type="expression" dxfId="6791" priority="543">
      <formula>$B2912="Subetapa"</formula>
    </cfRule>
  </conditionalFormatting>
  <conditionalFormatting sqref="I3821:J3850">
    <cfRule type="expression" dxfId="6790" priority="447">
      <formula>$B3821="Subetapa"</formula>
    </cfRule>
  </conditionalFormatting>
  <conditionalFormatting sqref="I4058:J4067">
    <cfRule type="expression" dxfId="6789" priority="484">
      <formula>$B4058="Subetapa"</formula>
    </cfRule>
  </conditionalFormatting>
  <conditionalFormatting sqref="I4573:J4585">
    <cfRule type="expression" dxfId="6788" priority="523">
      <formula>$B4573="Subetapa"</formula>
    </cfRule>
  </conditionalFormatting>
  <conditionalFormatting sqref="I4598:J4609">
    <cfRule type="expression" dxfId="6787" priority="297">
      <formula>$B4598="Subetapa"</formula>
    </cfRule>
  </conditionalFormatting>
  <conditionalFormatting sqref="I4725:J4790 I5013:J5019">
    <cfRule type="expression" dxfId="6786" priority="617">
      <formula>$B4725="Subetapa"</formula>
    </cfRule>
  </conditionalFormatting>
  <conditionalFormatting sqref="I661:J664">
    <cfRule type="expression" dxfId="6785" priority="378">
      <formula>$B661="Serviço"</formula>
    </cfRule>
  </conditionalFormatting>
  <conditionalFormatting sqref="I964:J969 I960:J962">
    <cfRule type="expression" dxfId="6784" priority="493">
      <formula>$B960="Subetapa"</formula>
    </cfRule>
  </conditionalFormatting>
  <conditionalFormatting sqref="I2042:J2052">
    <cfRule type="expression" dxfId="6783" priority="304">
      <formula>$B2042="Subetapa"</formula>
    </cfRule>
  </conditionalFormatting>
  <conditionalFormatting sqref="I2937:J2956">
    <cfRule type="expression" dxfId="6782" priority="307">
      <formula>$B2937="Subetapa"</formula>
    </cfRule>
  </conditionalFormatting>
  <conditionalFormatting sqref="I1169:J1174">
    <cfRule type="expression" dxfId="6781" priority="305">
      <formula>$B1169="Subetapa"</formula>
    </cfRule>
  </conditionalFormatting>
  <conditionalFormatting sqref="I2120:J2125">
    <cfRule type="expression" dxfId="6780" priority="303">
      <formula>$B2120="Subetapa"</formula>
    </cfRule>
  </conditionalFormatting>
  <conditionalFormatting sqref="I2127:J2132">
    <cfRule type="expression" dxfId="6779" priority="302">
      <formula>$B2127="Subetapa"</formula>
    </cfRule>
  </conditionalFormatting>
  <conditionalFormatting sqref="I2134:J2143">
    <cfRule type="expression" dxfId="6778" priority="301">
      <formula>$B2134="Subetapa"</formula>
    </cfRule>
  </conditionalFormatting>
  <conditionalFormatting sqref="I2356:J2357">
    <cfRule type="expression" dxfId="6777" priority="300">
      <formula>$B2356="Subetapa"</formula>
    </cfRule>
  </conditionalFormatting>
  <conditionalFormatting sqref="I2692:J2718">
    <cfRule type="expression" dxfId="6776" priority="296">
      <formula>$B2692="Subetapa"</formula>
    </cfRule>
  </conditionalFormatting>
  <conditionalFormatting sqref="I2885:J2889 I2905:J2910">
    <cfRule type="expression" dxfId="6775" priority="295">
      <formula>$B2885="Subetapa"</formula>
    </cfRule>
  </conditionalFormatting>
  <conditionalFormatting sqref="I3023:J3046">
    <cfRule type="expression" dxfId="6774" priority="306">
      <formula>$B3023="Subetapa"</formula>
    </cfRule>
  </conditionalFormatting>
  <conditionalFormatting sqref="I3191:J3194">
    <cfRule type="expression" dxfId="6773" priority="299">
      <formula>$B3191="Subetapa"</formula>
    </cfRule>
  </conditionalFormatting>
  <conditionalFormatting sqref="I4701:J4702">
    <cfRule type="expression" dxfId="6772" priority="292">
      <formula>$B4701="Subetapa"</formula>
    </cfRule>
  </conditionalFormatting>
  <conditionalFormatting sqref="I3065:J3088">
    <cfRule type="expression" dxfId="6771" priority="310">
      <formula>$B3065="Subetapa"</formula>
    </cfRule>
  </conditionalFormatting>
  <conditionalFormatting sqref="I461:J463">
    <cfRule type="expression" dxfId="6770" priority="385">
      <formula>$B461="Subetapa"</formula>
    </cfRule>
    <cfRule type="expression" dxfId="6769" priority="386">
      <formula>$B461="Serviço"</formula>
    </cfRule>
  </conditionalFormatting>
  <conditionalFormatting sqref="I473:J476">
    <cfRule type="expression" dxfId="6768" priority="383">
      <formula>$B473="Subetapa"</formula>
    </cfRule>
    <cfRule type="expression" dxfId="6767" priority="384">
      <formula>$B473="Serviço"</formula>
    </cfRule>
  </conditionalFormatting>
  <conditionalFormatting sqref="I500:J501">
    <cfRule type="expression" dxfId="6766" priority="381">
      <formula>$B500="Subetapa"</formula>
    </cfRule>
    <cfRule type="expression" dxfId="6765" priority="382">
      <formula>$B500="Serviço"</formula>
    </cfRule>
  </conditionalFormatting>
  <conditionalFormatting sqref="I621:J639">
    <cfRule type="expression" dxfId="6764" priority="379">
      <formula>$B621="Subetapa"</formula>
    </cfRule>
    <cfRule type="expression" dxfId="6763" priority="380">
      <formula>$B621="Serviço"</formula>
    </cfRule>
  </conditionalFormatting>
  <conditionalFormatting sqref="I661:J664">
    <cfRule type="expression" dxfId="6762" priority="377">
      <formula>$B661="Subetapa"</formula>
    </cfRule>
  </conditionalFormatting>
  <conditionalFormatting sqref="I738:J741">
    <cfRule type="expression" dxfId="6761" priority="375">
      <formula>$B738="Subetapa"</formula>
    </cfRule>
    <cfRule type="expression" dxfId="6760" priority="376">
      <formula>$B738="Serviço"</formula>
    </cfRule>
  </conditionalFormatting>
  <conditionalFormatting sqref="I759:J762">
    <cfRule type="expression" dxfId="6759" priority="373">
      <formula>$B759="Subetapa"</formula>
    </cfRule>
    <cfRule type="expression" dxfId="6758" priority="374">
      <formula>$B759="Serviço"</formula>
    </cfRule>
  </conditionalFormatting>
  <conditionalFormatting sqref="I779:J786">
    <cfRule type="expression" dxfId="6757" priority="387">
      <formula>$B779="Subetapa"</formula>
    </cfRule>
    <cfRule type="expression" dxfId="6756" priority="388">
      <formula>$B779="Serviço"</formula>
    </cfRule>
  </conditionalFormatting>
  <conditionalFormatting sqref="I814:J834">
    <cfRule type="expression" dxfId="6755" priority="371">
      <formula>$B814="Subetapa"</formula>
    </cfRule>
    <cfRule type="expression" dxfId="6754" priority="372">
      <formula>$B814="Serviço"</formula>
    </cfRule>
  </conditionalFormatting>
  <conditionalFormatting sqref="I835:J838">
    <cfRule type="expression" dxfId="6753" priority="369">
      <formula>$B835="Subetapa"</formula>
    </cfRule>
    <cfRule type="expression" dxfId="6752" priority="370">
      <formula>$B835="Serviço"</formula>
    </cfRule>
  </conditionalFormatting>
  <conditionalFormatting sqref="I879:J884">
    <cfRule type="expression" dxfId="6751" priority="391">
      <formula>$B879="Subetapa"</formula>
    </cfRule>
  </conditionalFormatting>
  <conditionalFormatting sqref="I2470:J2524 I2607:J2611 I2719:J2730 I3189:J3190 I3556:J3560 I3290:J3309 I3227:J3228 I3231:J3234 I3247:J3250 I3139:J3142 I3851:J3857 I3980:J4021 I4098:J4109 I4114:J4121 I4217:J4234 I4208:J4210 I4163:J4165 I4139:J4150 I885:J896 I3485:J3549 I3195:J3206 I4264:J4267">
    <cfRule type="expression" dxfId="6750" priority="367">
      <formula>$B885="Serviço"</formula>
    </cfRule>
  </conditionalFormatting>
  <conditionalFormatting sqref="I885:J896">
    <cfRule type="expression" dxfId="6749" priority="366">
      <formula>$B885="Subetapa"</formula>
    </cfRule>
  </conditionalFormatting>
  <conditionalFormatting sqref="I918:J929 I879:J884">
    <cfRule type="expression" dxfId="6748" priority="390">
      <formula>$B879="Serviço"</formula>
    </cfRule>
  </conditionalFormatting>
  <conditionalFormatting sqref="I918:J929">
    <cfRule type="expression" dxfId="6747" priority="389">
      <formula>$B918="Subetapa"</formula>
    </cfRule>
  </conditionalFormatting>
  <conditionalFormatting sqref="I931:J942">
    <cfRule type="expression" dxfId="6746" priority="392">
      <formula>$B931="Subetapa"</formula>
    </cfRule>
    <cfRule type="expression" dxfId="6745" priority="393">
      <formula>$B931="Serviço"</formula>
    </cfRule>
  </conditionalFormatting>
  <conditionalFormatting sqref="I1175:J1185">
    <cfRule type="expression" dxfId="6744" priority="364">
      <formula>$B1175="Subetapa"</formula>
    </cfRule>
    <cfRule type="expression" dxfId="6743" priority="365">
      <formula>$B1175="Serviço"</formula>
    </cfRule>
  </conditionalFormatting>
  <conditionalFormatting sqref="I2470:J2524 I2607:J2611 I2719:J2730 I3189:J3190 I3556:J3560 I3290:J3309 I3227:J3228 I3231:J3234 I3247:J3250 I3139:J3142 I3851:J3857 I3980:J4021 I4098:J4109 I4114:J4121 I4217:J4234 I4208:J4210 I4163:J4165 I4139:J4150 I3485:J3549 I3195:J3206 I4264:J4267">
    <cfRule type="expression" dxfId="6742" priority="368">
      <formula>$B2470="Subetapa"</formula>
    </cfRule>
  </conditionalFormatting>
  <conditionalFormatting sqref="I2181:J2187">
    <cfRule type="expression" dxfId="6741" priority="633">
      <formula>$B2181="Subetapa"</formula>
    </cfRule>
  </conditionalFormatting>
  <conditionalFormatting sqref="I2189:J2202">
    <cfRule type="expression" dxfId="6740" priority="634">
      <formula>$B2189="Subetapa"</formula>
    </cfRule>
  </conditionalFormatting>
  <conditionalFormatting sqref="I2267:J2268 I2274:J2275 I2212:J2261">
    <cfRule type="expression" dxfId="6739" priority="397">
      <formula>$B2212="Subetapa"</formula>
    </cfRule>
  </conditionalFormatting>
  <conditionalFormatting sqref="I2331:J2334">
    <cfRule type="expression" dxfId="6738" priority="560">
      <formula>$B2331="Subetapa"</formula>
    </cfRule>
  </conditionalFormatting>
  <conditionalFormatting sqref="I2335:J2337 I3561:J3565">
    <cfRule type="expression" dxfId="6737" priority="599">
      <formula>$B2335="Subetapa"</formula>
    </cfRule>
  </conditionalFormatting>
  <conditionalFormatting sqref="I2338:J2341">
    <cfRule type="expression" dxfId="6736" priority="362">
      <formula>$B2338="Subetapa"</formula>
    </cfRule>
    <cfRule type="expression" dxfId="6735" priority="363">
      <formula>$B2338="Serviço"</formula>
    </cfRule>
  </conditionalFormatting>
  <conditionalFormatting sqref="I2344:J2346 I2351:J2355">
    <cfRule type="expression" dxfId="6734" priority="562">
      <formula>$B2344="Subetapa"</formula>
    </cfRule>
  </conditionalFormatting>
  <conditionalFormatting sqref="I2347:J2348">
    <cfRule type="expression" dxfId="6733" priority="360">
      <formula>$B2347="Subetapa"</formula>
    </cfRule>
    <cfRule type="expression" dxfId="6732" priority="361">
      <formula>$B2347="Serviço"</formula>
    </cfRule>
  </conditionalFormatting>
  <conditionalFormatting sqref="I2349:J2350">
    <cfRule type="expression" dxfId="6731" priority="358">
      <formula>$B2349="Subetapa"</formula>
    </cfRule>
    <cfRule type="expression" dxfId="6730" priority="359">
      <formula>$B2349="Serviço"</formula>
    </cfRule>
  </conditionalFormatting>
  <conditionalFormatting sqref="I2359:J2367 I2369:J2373">
    <cfRule type="expression" dxfId="6729" priority="620">
      <formula>$B2359="Subetapa"</formula>
    </cfRule>
  </conditionalFormatting>
  <conditionalFormatting sqref="I2374:J2378">
    <cfRule type="expression" dxfId="6728" priority="356">
      <formula>$B2374="Subetapa"</formula>
    </cfRule>
    <cfRule type="expression" dxfId="6727" priority="357">
      <formula>$B2374="Serviço"</formula>
    </cfRule>
  </conditionalFormatting>
  <conditionalFormatting sqref="I2379:J2388">
    <cfRule type="expression" dxfId="6726" priority="354">
      <formula>$B2379="Subetapa"</formula>
    </cfRule>
  </conditionalFormatting>
  <conditionalFormatting sqref="I2765:J2767">
    <cfRule type="expression" dxfId="6725" priority="352">
      <formula>$B2765="Subetapa"</formula>
    </cfRule>
    <cfRule type="expression" dxfId="6724" priority="353">
      <formula>$B2765="Serviço"</formula>
    </cfRule>
  </conditionalFormatting>
  <conditionalFormatting sqref="I2806:J2816">
    <cfRule type="expression" dxfId="6723" priority="350">
      <formula>$B2806="Subetapa"</formula>
    </cfRule>
    <cfRule type="expression" dxfId="6722" priority="351">
      <formula>$B2806="Serviço"</formula>
    </cfRule>
  </conditionalFormatting>
  <conditionalFormatting sqref="I2883:J2884">
    <cfRule type="expression" dxfId="6721" priority="346">
      <formula>$B2883="Subetapa"</formula>
    </cfRule>
  </conditionalFormatting>
  <conditionalFormatting sqref="I3056:J3063">
    <cfRule type="expression" dxfId="6720" priority="344">
      <formula>$B3056="Subetapa"</formula>
    </cfRule>
    <cfRule type="expression" dxfId="6719" priority="345">
      <formula>$B3056="Serviço"</formula>
    </cfRule>
  </conditionalFormatting>
  <conditionalFormatting sqref="I3089:J3092 I3099:J3106">
    <cfRule type="expression" dxfId="6718" priority="635">
      <formula>$B3089="Subetapa"</formula>
    </cfRule>
  </conditionalFormatting>
  <conditionalFormatting sqref="I3097:J3098">
    <cfRule type="expression" dxfId="6717" priority="342">
      <formula>$B3097="Subetapa"</formula>
    </cfRule>
    <cfRule type="expression" dxfId="6716" priority="343">
      <formula>$B3097="Serviço"</formula>
    </cfRule>
  </conditionalFormatting>
  <conditionalFormatting sqref="I3129:J3136">
    <cfRule type="expression" dxfId="6715" priority="340">
      <formula>$B3129="Subetapa"</formula>
    </cfRule>
    <cfRule type="expression" dxfId="6714" priority="341">
      <formula>$B3129="Serviço"</formula>
    </cfRule>
  </conditionalFormatting>
  <conditionalFormatting sqref="I3350:J3379">
    <cfRule type="expression" dxfId="6713" priority="549">
      <formula>$B3350="Subetapa"</formula>
    </cfRule>
  </conditionalFormatting>
  <conditionalFormatting sqref="I3380:J3469">
    <cfRule type="expression" dxfId="6712" priority="551">
      <formula>$B3380="Subetapa"</formula>
    </cfRule>
  </conditionalFormatting>
  <conditionalFormatting sqref="I3577:J3588 I3618:J3622">
    <cfRule type="expression" dxfId="6711" priority="546">
      <formula>$B3577="Subetapa"</formula>
    </cfRule>
  </conditionalFormatting>
  <conditionalFormatting sqref="I3674:J3678">
    <cfRule type="expression" dxfId="6710" priority="338">
      <formula>$B3674="Subetapa"</formula>
    </cfRule>
    <cfRule type="expression" dxfId="6709" priority="339">
      <formula>$B3674="Serviço"</formula>
    </cfRule>
  </conditionalFormatting>
  <conditionalFormatting sqref="I3684:J3688">
    <cfRule type="expression" dxfId="6708" priority="336">
      <formula>$B3684="Subetapa"</formula>
    </cfRule>
    <cfRule type="expression" dxfId="6707" priority="337">
      <formula>$B3684="Serviço"</formula>
    </cfRule>
  </conditionalFormatting>
  <conditionalFormatting sqref="I3699:J3708">
    <cfRule type="expression" dxfId="6706" priority="334">
      <formula>$B3699="Subetapa"</formula>
    </cfRule>
    <cfRule type="expression" dxfId="6705" priority="335">
      <formula>$B3699="Serviço"</formula>
    </cfRule>
  </conditionalFormatting>
  <conditionalFormatting sqref="I3722:J3724">
    <cfRule type="expression" dxfId="6704" priority="332">
      <formula>$B3722="Subetapa"</formula>
    </cfRule>
    <cfRule type="expression" dxfId="6703" priority="333">
      <formula>$B3722="Serviço"</formula>
    </cfRule>
  </conditionalFormatting>
  <conditionalFormatting sqref="I3808:J3815">
    <cfRule type="expression" dxfId="6702" priority="330">
      <formula>$B3808="Subetapa"</formula>
    </cfRule>
    <cfRule type="expression" dxfId="6701" priority="331">
      <formula>$B3808="Serviço"</formula>
    </cfRule>
  </conditionalFormatting>
  <conditionalFormatting sqref="I3859:J3884">
    <cfRule type="expression" dxfId="6700" priority="409">
      <formula>$B3859="Subetapa"</formula>
    </cfRule>
  </conditionalFormatting>
  <conditionalFormatting sqref="I3890:J3891">
    <cfRule type="expression" dxfId="6699" priority="411">
      <formula>$B3890="Subetapa"</formula>
    </cfRule>
  </conditionalFormatting>
  <conditionalFormatting sqref="I3891:J3892">
    <cfRule type="expression" dxfId="6698" priority="410">
      <formula>$B3891="Subetapa"</formula>
    </cfRule>
  </conditionalFormatting>
  <conditionalFormatting sqref="I3901:J3902">
    <cfRule type="expression" dxfId="6697" priority="413">
      <formula>$B3901="Subetapa"</formula>
    </cfRule>
  </conditionalFormatting>
  <conditionalFormatting sqref="I3902:J3903">
    <cfRule type="expression" dxfId="6696" priority="412">
      <formula>$B3902="Subetapa"</formula>
    </cfRule>
  </conditionalFormatting>
  <conditionalFormatting sqref="I3912:J3913">
    <cfRule type="expression" dxfId="6695" priority="415">
      <formula>$B3912="Subetapa"</formula>
    </cfRule>
  </conditionalFormatting>
  <conditionalFormatting sqref="I3913:J3914">
    <cfRule type="expression" dxfId="6694" priority="414">
      <formula>$B3913="Subetapa"</formula>
    </cfRule>
  </conditionalFormatting>
  <conditionalFormatting sqref="I3923:J3924">
    <cfRule type="expression" dxfId="6693" priority="417">
      <formula>$B3923="Subetapa"</formula>
    </cfRule>
  </conditionalFormatting>
  <conditionalFormatting sqref="I3924:J3925">
    <cfRule type="expression" dxfId="6692" priority="416">
      <formula>$B3924="Subetapa"</formula>
    </cfRule>
  </conditionalFormatting>
  <conditionalFormatting sqref="I3933:J3934">
    <cfRule type="expression" dxfId="6691" priority="420">
      <formula>$B3933="Subetapa"</formula>
    </cfRule>
  </conditionalFormatting>
  <conditionalFormatting sqref="I3934:J3935">
    <cfRule type="expression" dxfId="6690" priority="419">
      <formula>$B3934="Subetapa"</formula>
    </cfRule>
  </conditionalFormatting>
  <conditionalFormatting sqref="I3935:J3936">
    <cfRule type="expression" dxfId="6689" priority="418">
      <formula>$B3935="Subetapa"</formula>
    </cfRule>
  </conditionalFormatting>
  <conditionalFormatting sqref="I3939:J3941">
    <cfRule type="expression" dxfId="6688" priority="636">
      <formula>$B3939="Subetapa"</formula>
    </cfRule>
  </conditionalFormatting>
  <conditionalFormatting sqref="I3953:J3954">
    <cfRule type="expression" dxfId="6687" priority="407">
      <formula>$B3953="Subetapa"</formula>
    </cfRule>
  </conditionalFormatting>
  <conditionalFormatting sqref="I3954:J3955">
    <cfRule type="expression" dxfId="6686" priority="406">
      <formula>$B3954="Subetapa"</formula>
    </cfRule>
  </conditionalFormatting>
  <conditionalFormatting sqref="I4041:J4043 I4051:J4056">
    <cfRule type="expression" dxfId="6685" priority="328">
      <formula>$B4041="Subetapa"</formula>
    </cfRule>
    <cfRule type="expression" dxfId="6684" priority="329">
      <formula>$B4041="Serviço"</formula>
    </cfRule>
  </conditionalFormatting>
  <conditionalFormatting sqref="I4068:J4077">
    <cfRule type="expression" dxfId="6683" priority="525">
      <formula>$B4068="Subetapa"</formula>
    </cfRule>
  </conditionalFormatting>
  <conditionalFormatting sqref="I4122:J4124">
    <cfRule type="expression" dxfId="6682" priority="324">
      <formula>$B4122="Subetapa"</formula>
    </cfRule>
    <cfRule type="expression" dxfId="6681" priority="325">
      <formula>$B4122="Serviço"</formula>
    </cfRule>
  </conditionalFormatting>
  <conditionalFormatting sqref="I4125:J4132">
    <cfRule type="expression" dxfId="6680" priority="537">
      <formula>$B4125="Subetapa"</formula>
    </cfRule>
  </conditionalFormatting>
  <conditionalFormatting sqref="I4152:J4155">
    <cfRule type="expression" dxfId="6679" priority="637">
      <formula>$B4152="Subetapa"</formula>
    </cfRule>
  </conditionalFormatting>
  <conditionalFormatting sqref="I4156:J4161">
    <cfRule type="expression" dxfId="6678" priority="322">
      <formula>$B4156="Subetapa"</formula>
    </cfRule>
    <cfRule type="expression" dxfId="6677" priority="323">
      <formula>$B4156="Serviço"</formula>
    </cfRule>
  </conditionalFormatting>
  <conditionalFormatting sqref="I4187:J4201">
    <cfRule type="expression" dxfId="6676" priority="621">
      <formula>$B4187="Subetapa"</formula>
    </cfRule>
  </conditionalFormatting>
  <conditionalFormatting sqref="I4245:J4248">
    <cfRule type="expression" dxfId="6675" priority="320">
      <formula>$B4245="Subetapa"</formula>
    </cfRule>
    <cfRule type="expression" dxfId="6674" priority="321">
      <formula>$B4245="Serviço"</formula>
    </cfRule>
  </conditionalFormatting>
  <conditionalFormatting sqref="I4279:J4282">
    <cfRule type="expression" dxfId="6673" priority="513">
      <formula>$B4279="Subetapa"</formula>
    </cfRule>
  </conditionalFormatting>
  <conditionalFormatting sqref="I4328:J4333">
    <cfRule type="expression" dxfId="6672" priority="629">
      <formula>$B4328="Subetapa"</formula>
    </cfRule>
  </conditionalFormatting>
  <conditionalFormatting sqref="I4334:J4370">
    <cfRule type="expression" dxfId="6671" priority="519">
      <formula>$B4334="Subetapa"</formula>
    </cfRule>
  </conditionalFormatting>
  <conditionalFormatting sqref="I4434:J4436">
    <cfRule type="expression" dxfId="6670" priority="638">
      <formula>$B4434="Subetapa"</formula>
    </cfRule>
  </conditionalFormatting>
  <conditionalFormatting sqref="I4459:J4460">
    <cfRule type="expression" dxfId="6669" priority="630">
      <formula>$B4459="Subetapa"</formula>
    </cfRule>
  </conditionalFormatting>
  <conditionalFormatting sqref="I4791:J4800 I4811:J4830">
    <cfRule type="expression" dxfId="6668" priority="640">
      <formula>$B4791="Subetapa"</formula>
    </cfRule>
  </conditionalFormatting>
  <conditionalFormatting sqref="I4801:J4810">
    <cfRule type="expression" dxfId="6667" priority="314">
      <formula>$B4801="Serviço"</formula>
    </cfRule>
    <cfRule type="expression" dxfId="6666" priority="315">
      <formula>$B4801="Subetapa"</formula>
    </cfRule>
  </conditionalFormatting>
  <conditionalFormatting sqref="I4832:J4834">
    <cfRule type="expression" dxfId="6665" priority="641">
      <formula>$B4832="Subetapa"</formula>
    </cfRule>
  </conditionalFormatting>
  <conditionalFormatting sqref="I4918:J4922">
    <cfRule type="expression" dxfId="6664" priority="312">
      <formula>$B4918="Serviço"</formula>
    </cfRule>
    <cfRule type="expression" dxfId="6663" priority="313">
      <formula>$B4918="Subetapa"</formula>
    </cfRule>
  </conditionalFormatting>
  <conditionalFormatting sqref="I4976:J4983">
    <cfRule type="expression" dxfId="6662" priority="326">
      <formula>$B4976="Subetapa"</formula>
    </cfRule>
    <cfRule type="expression" dxfId="6661" priority="327">
      <formula>$B4976="Serviço"</formula>
    </cfRule>
  </conditionalFormatting>
  <conditionalFormatting sqref="I345:J360 I370:J383 I385:J460">
    <cfRule type="expression" dxfId="6660" priority="479">
      <formula>$B345="Subetapa"</formula>
    </cfRule>
  </conditionalFormatting>
  <conditionalFormatting sqref="I1186:J1197">
    <cfRule type="expression" dxfId="6659" priority="311">
      <formula>$B1186="Subetapa"</formula>
    </cfRule>
  </conditionalFormatting>
  <conditionalFormatting sqref="I2053:J2119">
    <cfRule type="expression" dxfId="6658" priority="468">
      <formula>$B2053="Subetapa"</formula>
    </cfRule>
  </conditionalFormatting>
  <conditionalFormatting sqref="I2755:J2756">
    <cfRule type="expression" dxfId="6657" priority="460">
      <formula>$B2755="Subetapa"</formula>
    </cfRule>
  </conditionalFormatting>
  <conditionalFormatting sqref="I2770:J2771">
    <cfRule type="expression" dxfId="6656" priority="405">
      <formula>$B2770="Subetapa"</formula>
    </cfRule>
  </conditionalFormatting>
  <conditionalFormatting sqref="I3048:J3055">
    <cfRule type="expression" dxfId="6655" priority="309">
      <formula>$B3048="Subetapa"</formula>
    </cfRule>
  </conditionalFormatting>
  <conditionalFormatting sqref="I3623:J3673">
    <cfRule type="expression" dxfId="6654" priority="455">
      <formula>$B3623="Subetapa"</formula>
    </cfRule>
  </conditionalFormatting>
  <conditionalFormatting sqref="I3679:J3683">
    <cfRule type="expression" dxfId="6653" priority="308">
      <formula>$B3679="Subetapa"</formula>
    </cfRule>
  </conditionalFormatting>
  <conditionalFormatting sqref="I3885:J3889">
    <cfRule type="expression" dxfId="6652" priority="434">
      <formula>$B3885="Subetapa"</formula>
    </cfRule>
  </conditionalFormatting>
  <conditionalFormatting sqref="I3894:J3900">
    <cfRule type="expression" dxfId="6651" priority="431">
      <formula>$B3894="Subetapa"</formula>
    </cfRule>
  </conditionalFormatting>
  <conditionalFormatting sqref="I3905:J3911">
    <cfRule type="expression" dxfId="6650" priority="428">
      <formula>$B3905="Subetapa"</formula>
    </cfRule>
  </conditionalFormatting>
  <conditionalFormatting sqref="I3916:J3922">
    <cfRule type="expression" dxfId="6649" priority="425">
      <formula>$B3916="Subetapa"</formula>
    </cfRule>
  </conditionalFormatting>
  <conditionalFormatting sqref="I3927:J3932 I3937:J3947">
    <cfRule type="expression" dxfId="6648" priority="424">
      <formula>$B3927="Subetapa"</formula>
    </cfRule>
  </conditionalFormatting>
  <conditionalFormatting sqref="I3948:J3952">
    <cfRule type="expression" dxfId="6647" priority="421">
      <formula>$B3948="Subetapa"</formula>
    </cfRule>
  </conditionalFormatting>
  <conditionalFormatting sqref="I3956:J3959 I3962:J3979">
    <cfRule type="expression" dxfId="6646" priority="408">
      <formula>$B3956="Subetapa"</formula>
    </cfRule>
  </conditionalFormatting>
  <conditionalFormatting sqref="I4283:J4301 I4304:J4321">
    <cfRule type="expression" dxfId="6645" priority="444">
      <formula>$B4283="Subetapa"</formula>
    </cfRule>
  </conditionalFormatting>
  <conditionalFormatting sqref="I4703:J4720">
    <cfRule type="expression" dxfId="6644" priority="481">
      <formula>$B4703="Subetapa"</formula>
    </cfRule>
  </conditionalFormatting>
  <conditionalFormatting sqref="I4721:J4724">
    <cfRule type="expression" dxfId="6643" priority="445">
      <formula>$B4721="Subetapa"</formula>
    </cfRule>
  </conditionalFormatting>
  <conditionalFormatting sqref="I4835:J4836 I4840:J4842 I4971:J4974 I4992:J4997 I5009:J5010">
    <cfRule type="expression" dxfId="6642" priority="487">
      <formula>$B4835="Subetapa"</formula>
    </cfRule>
  </conditionalFormatting>
  <conditionalFormatting sqref="I4941:J4957">
    <cfRule type="expression" dxfId="6641" priority="485">
      <formula>$B4941="Subetapa"</formula>
    </cfRule>
  </conditionalFormatting>
  <conditionalFormatting sqref="I4974:J4975 I4984:J4991">
    <cfRule type="expression" dxfId="6640" priority="505">
      <formula>$B4974="Subetapa"</formula>
    </cfRule>
  </conditionalFormatting>
  <conditionalFormatting sqref="I3108:J3128 I3137:J3138">
    <cfRule type="expression" dxfId="6639" priority="499">
      <formula>$B3108="Subetapa"</formula>
    </cfRule>
  </conditionalFormatting>
  <conditionalFormatting sqref="I4460:J4503">
    <cfRule type="expression" dxfId="6638" priority="446">
      <formula>$B4460="Subetapa"</formula>
    </cfRule>
  </conditionalFormatting>
  <conditionalFormatting sqref="I2675:J2681">
    <cfRule type="expression" dxfId="6637" priority="288">
      <formula>$B2675="Subetapa"</formula>
    </cfRule>
  </conditionalFormatting>
  <conditionalFormatting sqref="I2832:J2834">
    <cfRule type="expression" dxfId="6636" priority="286">
      <formula>$B2832="Subetapa"</formula>
    </cfRule>
  </conditionalFormatting>
  <conditionalFormatting sqref="I2895:J2904">
    <cfRule type="expression" dxfId="6635" priority="283">
      <formula>$B2895="Serviço"</formula>
    </cfRule>
  </conditionalFormatting>
  <conditionalFormatting sqref="I2890:J2894">
    <cfRule type="expression" dxfId="6634" priority="284">
      <formula>$B2890="Subetapa"</formula>
    </cfRule>
    <cfRule type="expression" dxfId="6633" priority="285">
      <formula>$B2890="Serviço"</formula>
    </cfRule>
  </conditionalFormatting>
  <conditionalFormatting sqref="I2895:J2904">
    <cfRule type="expression" dxfId="6632" priority="282">
      <formula>$B2895="Subetapa"</formula>
    </cfRule>
  </conditionalFormatting>
  <conditionalFormatting sqref="I3093:J3096">
    <cfRule type="expression" dxfId="6631" priority="281">
      <formula>$B3093="Subetapa"</formula>
    </cfRule>
  </conditionalFormatting>
  <conditionalFormatting sqref="I3275:J3284">
    <cfRule type="expression" dxfId="6630" priority="274">
      <formula>$B3275="Serviço"</formula>
    </cfRule>
  </conditionalFormatting>
  <conditionalFormatting sqref="I3265:J3269">
    <cfRule type="expression" dxfId="6629" priority="278">
      <formula>$B3265="Subetapa"</formula>
    </cfRule>
  </conditionalFormatting>
  <conditionalFormatting sqref="I3270:J3274">
    <cfRule type="expression" dxfId="6628" priority="275">
      <formula>$B3270="Subetapa"</formula>
    </cfRule>
    <cfRule type="expression" dxfId="6627" priority="276">
      <formula>$B3270="Serviço"</formula>
    </cfRule>
  </conditionalFormatting>
  <conditionalFormatting sqref="I3275:J3284">
    <cfRule type="expression" dxfId="6626" priority="273">
      <formula>$B3275="Subetapa"</formula>
    </cfRule>
  </conditionalFormatting>
  <conditionalFormatting sqref="I3589:J3613">
    <cfRule type="expression" dxfId="6625" priority="271">
      <formula>$B3589="Subetapa"</formula>
    </cfRule>
  </conditionalFormatting>
  <conditionalFormatting sqref="I3614:J3617">
    <cfRule type="expression" dxfId="6624" priority="269">
      <formula>$B3614="Subetapa"</formula>
    </cfRule>
  </conditionalFormatting>
  <conditionalFormatting sqref="I3960:J3961">
    <cfRule type="expression" dxfId="6623" priority="265">
      <formula>$B3960="Subetapa"</formula>
    </cfRule>
  </conditionalFormatting>
  <conditionalFormatting sqref="I4031:J4040">
    <cfRule type="expression" dxfId="6622" priority="263">
      <formula>$B4031="Subetapa"</formula>
    </cfRule>
  </conditionalFormatting>
  <conditionalFormatting sqref="I4029:J4030">
    <cfRule type="expression" dxfId="6621" priority="261">
      <formula>$B4029="Subetapa"</formula>
    </cfRule>
  </conditionalFormatting>
  <conditionalFormatting sqref="I4049:J4050">
    <cfRule type="expression" dxfId="6620" priority="259">
      <formula>$B4049="Subetapa"</formula>
    </cfRule>
  </conditionalFormatting>
  <conditionalFormatting sqref="I4044:J4048">
    <cfRule type="expression" dxfId="6619" priority="257">
      <formula>$B4044="Subetapa"</formula>
    </cfRule>
  </conditionalFormatting>
  <conditionalFormatting sqref="I4302:J4303">
    <cfRule type="expression" dxfId="6618" priority="255">
      <formula>$B4302="Subetapa"</formula>
    </cfRule>
    <cfRule type="expression" dxfId="6617" priority="256">
      <formula>$B4302="Serviço"</formula>
    </cfRule>
  </conditionalFormatting>
  <conditionalFormatting sqref="I4592:J4597">
    <cfRule type="expression" dxfId="6616" priority="253">
      <formula>$B4592="Subetapa"</formula>
    </cfRule>
  </conditionalFormatting>
  <conditionalFormatting sqref="I361:J364">
    <cfRule type="expression" dxfId="6615" priority="238">
      <formula>$B361="Subetapa"</formula>
    </cfRule>
  </conditionalFormatting>
  <conditionalFormatting sqref="I1110:J1119 I1155:J1163 I1137:J1138 I1122:J1134">
    <cfRule type="expression" dxfId="6614" priority="233">
      <formula>$B1110="Serviço"</formula>
    </cfRule>
  </conditionalFormatting>
  <conditionalFormatting sqref="I1110:J1119 I1155:J1163 I1137:J1138 I1122:J1134">
    <cfRule type="expression" dxfId="6613" priority="234">
      <formula>$B1110="Subetapa"</formula>
    </cfRule>
  </conditionalFormatting>
  <conditionalFormatting sqref="I1020:J1028 I1031:J1041 I1044:J1054 I1083:J1093 I1096:J1107 I1057:J1067 I1070:J1080">
    <cfRule type="expression" dxfId="6612" priority="231">
      <formula>$B1020="Serviço"</formula>
    </cfRule>
  </conditionalFormatting>
  <conditionalFormatting sqref="I1020:J1028 I1031:J1041 I1044:J1054 I1083:J1093 I1096:J1107 I1057:J1067 I1070:J1080">
    <cfRule type="expression" dxfId="6611" priority="232">
      <formula>$B1020="Subetapa"</formula>
    </cfRule>
  </conditionalFormatting>
  <conditionalFormatting sqref="I1081:J1082">
    <cfRule type="expression" dxfId="6610" priority="229">
      <formula>$B1081="Subetapa"</formula>
    </cfRule>
    <cfRule type="expression" dxfId="6609" priority="230">
      <formula>$B1081="Serviço"</formula>
    </cfRule>
  </conditionalFormatting>
  <conditionalFormatting sqref="I1029:J1030">
    <cfRule type="expression" dxfId="6608" priority="227">
      <formula>$B1029="Subetapa"</formula>
    </cfRule>
    <cfRule type="expression" dxfId="6607" priority="228">
      <formula>$B1029="Serviço"</formula>
    </cfRule>
  </conditionalFormatting>
  <conditionalFormatting sqref="I1042:J1043">
    <cfRule type="expression" dxfId="6606" priority="225">
      <formula>$B1042="Subetapa"</formula>
    </cfRule>
    <cfRule type="expression" dxfId="6605" priority="226">
      <formula>$B1042="Serviço"</formula>
    </cfRule>
  </conditionalFormatting>
  <conditionalFormatting sqref="I1055:J1056">
    <cfRule type="expression" dxfId="6604" priority="223">
      <formula>$B1055="Subetapa"</formula>
    </cfRule>
    <cfRule type="expression" dxfId="6603" priority="224">
      <formula>$B1055="Serviço"</formula>
    </cfRule>
  </conditionalFormatting>
  <conditionalFormatting sqref="I1094:J1095">
    <cfRule type="expression" dxfId="6602" priority="221">
      <formula>$B1094="Subetapa"</formula>
    </cfRule>
    <cfRule type="expression" dxfId="6601" priority="222">
      <formula>$B1094="Serviço"</formula>
    </cfRule>
  </conditionalFormatting>
  <conditionalFormatting sqref="I1108:J1109">
    <cfRule type="expression" dxfId="6600" priority="219">
      <formula>$B1108="Subetapa"</formula>
    </cfRule>
    <cfRule type="expression" dxfId="6599" priority="220">
      <formula>$B1108="Serviço"</formula>
    </cfRule>
  </conditionalFormatting>
  <conditionalFormatting sqref="I1068:J1069">
    <cfRule type="expression" dxfId="6598" priority="217">
      <formula>$B1068="Subetapa"</formula>
    </cfRule>
    <cfRule type="expression" dxfId="6597" priority="218">
      <formula>$B1068="Serviço"</formula>
    </cfRule>
  </conditionalFormatting>
  <conditionalFormatting sqref="I1120:J1121">
    <cfRule type="expression" dxfId="6596" priority="215">
      <formula>$B1120="Subetapa"</formula>
    </cfRule>
    <cfRule type="expression" dxfId="6595" priority="216">
      <formula>$B1120="Serviço"</formula>
    </cfRule>
  </conditionalFormatting>
  <conditionalFormatting sqref="I1149:J1150">
    <cfRule type="expression" dxfId="6594" priority="213">
      <formula>$B1149="Subetapa"</formula>
    </cfRule>
    <cfRule type="expression" dxfId="6593" priority="214">
      <formula>$B1149="Serviço"</formula>
    </cfRule>
  </conditionalFormatting>
  <conditionalFormatting sqref="I1164:J1165">
    <cfRule type="expression" dxfId="6592" priority="211">
      <formula>$B1164="Subetapa"</formula>
    </cfRule>
    <cfRule type="expression" dxfId="6591" priority="212">
      <formula>$B1164="Serviço"</formula>
    </cfRule>
  </conditionalFormatting>
  <conditionalFormatting sqref="I1135:J1136">
    <cfRule type="expression" dxfId="6590" priority="209">
      <formula>$B1135="Subetapa"</formula>
    </cfRule>
    <cfRule type="expression" dxfId="6589" priority="210">
      <formula>$B1135="Serviço"</formula>
    </cfRule>
  </conditionalFormatting>
  <conditionalFormatting sqref="E3876:E3882">
    <cfRule type="expression" dxfId="6588" priority="208">
      <formula>$B3876="Subetapa"</formula>
    </cfRule>
  </conditionalFormatting>
  <conditionalFormatting sqref="B2244:B2259">
    <cfRule type="expression" dxfId="6587" priority="204">
      <formula>$B2244="Subetapa"</formula>
    </cfRule>
  </conditionalFormatting>
  <conditionalFormatting sqref="D2244:F2244 D2245:D2246 F2245:F2246 D2253:F2253 D2254:D2255 F2254:F2255 D2256:F2256 F2257:F2259 D2257:D2259 D2247:F2247 D2248:D2249 F2248:F2249 D2250:F2250 D2251:D2252 F2251:F2252">
    <cfRule type="expression" dxfId="6586" priority="205">
      <formula>$B2244="Serviço"</formula>
    </cfRule>
    <cfRule type="expression" dxfId="6585" priority="206">
      <formula>$B2244="Subetapa"</formula>
    </cfRule>
  </conditionalFormatting>
  <conditionalFormatting sqref="G2244">
    <cfRule type="expression" dxfId="6584" priority="202">
      <formula>$B2244="Subetapa"</formula>
    </cfRule>
  </conditionalFormatting>
  <conditionalFormatting sqref="G2244">
    <cfRule type="expression" dxfId="6583" priority="203">
      <formula>$B2244="Serviço"</formula>
    </cfRule>
  </conditionalFormatting>
  <conditionalFormatting sqref="A2244:A2259">
    <cfRule type="expression" dxfId="6582" priority="201">
      <formula>$B2244="Subetapa"</formula>
    </cfRule>
  </conditionalFormatting>
  <conditionalFormatting sqref="G2253">
    <cfRule type="expression" dxfId="6581" priority="199">
      <formula>$B2253="Subetapa"</formula>
    </cfRule>
  </conditionalFormatting>
  <conditionalFormatting sqref="G2253">
    <cfRule type="expression" dxfId="6580" priority="200">
      <formula>$B2253="Serviço"</formula>
    </cfRule>
  </conditionalFormatting>
  <conditionalFormatting sqref="B2267:B2268 B2260:B2261 B2274:B2275">
    <cfRule type="expression" dxfId="6579" priority="198">
      <formula>$B2260="Subetapa"</formula>
    </cfRule>
  </conditionalFormatting>
  <conditionalFormatting sqref="D2265 F2265 D2264:F2264 F2267:F2268 D2267:D2268 D2270 F2270 D2269:F2269 F2274:F2275 D2274:D2275">
    <cfRule type="expression" dxfId="6578" priority="196">
      <formula>$B2264="Serviço"</formula>
    </cfRule>
    <cfRule type="expression" dxfId="6577" priority="197">
      <formula>$B2264="Subetapa"</formula>
    </cfRule>
  </conditionalFormatting>
  <conditionalFormatting sqref="G2264">
    <cfRule type="expression" dxfId="6576" priority="195">
      <formula>$B2264="Serviço"</formula>
    </cfRule>
  </conditionalFormatting>
  <conditionalFormatting sqref="G2264">
    <cfRule type="expression" dxfId="6575" priority="194">
      <formula>$B2264="Subetapa"</formula>
    </cfRule>
  </conditionalFormatting>
  <conditionalFormatting sqref="A2267:A2268 A2260:A2261 A2274:A2275">
    <cfRule type="expression" dxfId="6574" priority="193">
      <formula>$B2260="Subetapa"</formula>
    </cfRule>
  </conditionalFormatting>
  <conditionalFormatting sqref="F2266 B2266 D2266">
    <cfRule type="expression" dxfId="6573" priority="190">
      <formula>$B2266="Subetapa"</formula>
    </cfRule>
  </conditionalFormatting>
  <conditionalFormatting sqref="K2266">
    <cfRule type="expression" dxfId="6572" priority="187">
      <formula>$B2266="Subetapa"</formula>
    </cfRule>
  </conditionalFormatting>
  <conditionalFormatting sqref="I2266:K2266">
    <cfRule type="expression" dxfId="6571" priority="184">
      <formula>$B2266="Subetapa"</formula>
    </cfRule>
  </conditionalFormatting>
  <conditionalFormatting sqref="A2266">
    <cfRule type="expression" dxfId="6570" priority="183">
      <formula>$B2266="Subetapa"</formula>
    </cfRule>
  </conditionalFormatting>
  <conditionalFormatting sqref="I2266:J2266">
    <cfRule type="expression" dxfId="6569" priority="181">
      <formula>$B2266="Subetapa"</formula>
    </cfRule>
  </conditionalFormatting>
  <conditionalFormatting sqref="G2256">
    <cfRule type="expression" dxfId="6568" priority="178">
      <formula>$B2256="Subetapa"</formula>
    </cfRule>
  </conditionalFormatting>
  <conditionalFormatting sqref="G2256">
    <cfRule type="expression" dxfId="6567" priority="179">
      <formula>$B2256="Serviço"</formula>
    </cfRule>
  </conditionalFormatting>
  <conditionalFormatting sqref="G2247">
    <cfRule type="expression" dxfId="6566" priority="176">
      <formula>$B2247="Subetapa"</formula>
    </cfRule>
  </conditionalFormatting>
  <conditionalFormatting sqref="G2247">
    <cfRule type="expression" dxfId="6565" priority="177">
      <formula>$B2247="Serviço"</formula>
    </cfRule>
  </conditionalFormatting>
  <conditionalFormatting sqref="D2261 F2261 D2260:F2260">
    <cfRule type="expression" dxfId="6564" priority="174">
      <formula>$B2260="Serviço"</formula>
    </cfRule>
    <cfRule type="expression" dxfId="6563" priority="175">
      <formula>$B2260="Subetapa"</formula>
    </cfRule>
  </conditionalFormatting>
  <conditionalFormatting sqref="G2260">
    <cfRule type="expression" dxfId="6562" priority="173">
      <formula>$B2260="Serviço"</formula>
    </cfRule>
  </conditionalFormatting>
  <conditionalFormatting sqref="G2260">
    <cfRule type="expression" dxfId="6561" priority="172">
      <formula>$B2260="Subetapa"</formula>
    </cfRule>
  </conditionalFormatting>
  <conditionalFormatting sqref="F2262 B2262 D2262">
    <cfRule type="expression" dxfId="6560" priority="169">
      <formula>$B2262="Subetapa"</formula>
    </cfRule>
  </conditionalFormatting>
  <conditionalFormatting sqref="K2262">
    <cfRule type="expression" dxfId="6559" priority="166">
      <formula>$B2262="Subetapa"</formula>
    </cfRule>
  </conditionalFormatting>
  <conditionalFormatting sqref="I2262:K2262">
    <cfRule type="expression" dxfId="6558" priority="163">
      <formula>$B2262="Subetapa"</formula>
    </cfRule>
  </conditionalFormatting>
  <conditionalFormatting sqref="A2262">
    <cfRule type="expression" dxfId="6557" priority="162">
      <formula>$B2262="Subetapa"</formula>
    </cfRule>
  </conditionalFormatting>
  <conditionalFormatting sqref="I2262:J2262">
    <cfRule type="expression" dxfId="6556" priority="160">
      <formula>$B2262="Subetapa"</formula>
    </cfRule>
  </conditionalFormatting>
  <conditionalFormatting sqref="G2269">
    <cfRule type="expression" dxfId="6555" priority="158">
      <formula>$B2269="Serviço"</formula>
    </cfRule>
  </conditionalFormatting>
  <conditionalFormatting sqref="G2269">
    <cfRule type="expression" dxfId="6554" priority="157">
      <formula>$B2269="Subetapa"</formula>
    </cfRule>
  </conditionalFormatting>
  <conditionalFormatting sqref="F2273 B2273 D2273">
    <cfRule type="expression" dxfId="6553" priority="154">
      <formula>$B2273="Subetapa"</formula>
    </cfRule>
  </conditionalFormatting>
  <conditionalFormatting sqref="K2273">
    <cfRule type="expression" dxfId="6552" priority="151">
      <formula>$B2273="Subetapa"</formula>
    </cfRule>
  </conditionalFormatting>
  <conditionalFormatting sqref="I2273:K2273">
    <cfRule type="expression" dxfId="6551" priority="148">
      <formula>$B2273="Subetapa"</formula>
    </cfRule>
  </conditionalFormatting>
  <conditionalFormatting sqref="A2273">
    <cfRule type="expression" dxfId="6550" priority="147">
      <formula>$B2273="Subetapa"</formula>
    </cfRule>
  </conditionalFormatting>
  <conditionalFormatting sqref="I2273:J2273">
    <cfRule type="expression" dxfId="6549" priority="145">
      <formula>$B2273="Subetapa"</formula>
    </cfRule>
  </conditionalFormatting>
  <conditionalFormatting sqref="B2271">
    <cfRule type="expression" dxfId="6548" priority="141">
      <formula>$B2271="Subetapa"</formula>
    </cfRule>
  </conditionalFormatting>
  <conditionalFormatting sqref="F2271 D2271">
    <cfRule type="expression" dxfId="6547" priority="143">
      <formula>$B2271="Subetapa"</formula>
    </cfRule>
  </conditionalFormatting>
  <conditionalFormatting sqref="K2271">
    <cfRule type="expression" dxfId="6546" priority="139">
      <formula>$B2271="Subetapa"</formula>
    </cfRule>
  </conditionalFormatting>
  <conditionalFormatting sqref="A2271">
    <cfRule type="expression" dxfId="6545" priority="137">
      <formula>$B2271="Subetapa"</formula>
    </cfRule>
  </conditionalFormatting>
  <conditionalFormatting sqref="I2271:J2271">
    <cfRule type="expression" dxfId="6544" priority="135">
      <formula>$B2271="Subetapa"</formula>
    </cfRule>
  </conditionalFormatting>
  <conditionalFormatting sqref="B2272">
    <cfRule type="expression" dxfId="6543" priority="133">
      <formula>$B2272="Serviço"</formula>
    </cfRule>
  </conditionalFormatting>
  <conditionalFormatting sqref="K2272">
    <cfRule type="expression" dxfId="6542" priority="132">
      <formula>$B2272="Serviço"</formula>
    </cfRule>
  </conditionalFormatting>
  <conditionalFormatting sqref="K2272">
    <cfRule type="expression" dxfId="6541" priority="131">
      <formula>$B2272="Subetapa"</formula>
    </cfRule>
  </conditionalFormatting>
  <conditionalFormatting sqref="A2272">
    <cfRule type="expression" dxfId="6540" priority="130">
      <formula>$B2272="Serviço"</formula>
    </cfRule>
  </conditionalFormatting>
  <conditionalFormatting sqref="I2272:J2272">
    <cfRule type="expression" dxfId="6539" priority="129">
      <formula>$B2272="Serviço"</formula>
    </cfRule>
  </conditionalFormatting>
  <conditionalFormatting sqref="I2272:J2272">
    <cfRule type="expression" dxfId="6538" priority="128">
      <formula>$B2272="Subetapa"</formula>
    </cfRule>
  </conditionalFormatting>
  <conditionalFormatting sqref="B2272">
    <cfRule type="expression" dxfId="6537" priority="125">
      <formula>$B2272="Subetapa"</formula>
    </cfRule>
  </conditionalFormatting>
  <conditionalFormatting sqref="F2272 D2272">
    <cfRule type="expression" dxfId="6536" priority="126">
      <formula>$B2272="Serviço"</formula>
    </cfRule>
    <cfRule type="expression" dxfId="6535" priority="127">
      <formula>$B2272="Subetapa"</formula>
    </cfRule>
  </conditionalFormatting>
  <conditionalFormatting sqref="A2272">
    <cfRule type="expression" dxfId="6534" priority="124">
      <formula>$B2272="Subetapa"</formula>
    </cfRule>
  </conditionalFormatting>
  <conditionalFormatting sqref="G2250">
    <cfRule type="expression" dxfId="6533" priority="122">
      <formula>$B2250="Subetapa"</formula>
    </cfRule>
  </conditionalFormatting>
  <conditionalFormatting sqref="G2250">
    <cfRule type="expression" dxfId="6532" priority="123">
      <formula>$B2250="Serviço"</formula>
    </cfRule>
  </conditionalFormatting>
  <conditionalFormatting sqref="E2685:F2685 F2687">
    <cfRule type="expression" dxfId="6531" priority="118">
      <formula>$B2685="Subetapa"</formula>
    </cfRule>
    <cfRule type="expression" dxfId="6530" priority="119">
      <formula>$B2685="Serviço"</formula>
    </cfRule>
  </conditionalFormatting>
  <conditionalFormatting sqref="G2685:H2685">
    <cfRule type="expression" dxfId="6529" priority="116">
      <formula>$B2685="Subetapa"</formula>
    </cfRule>
    <cfRule type="expression" dxfId="6528" priority="117">
      <formula>$B2685="Serviço"</formula>
    </cfRule>
  </conditionalFormatting>
  <conditionalFormatting sqref="I2686:K2686">
    <cfRule type="expression" dxfId="6527" priority="113">
      <formula>$B2686="Subetapa"</formula>
    </cfRule>
  </conditionalFormatting>
  <conditionalFormatting sqref="A2686">
    <cfRule type="expression" dxfId="6526" priority="111">
      <formula>$B2686="Subetapa"</formula>
    </cfRule>
  </conditionalFormatting>
  <conditionalFormatting sqref="G4586:H4586">
    <cfRule type="expression" dxfId="6525" priority="110">
      <formula>$B4586="Subetapa"</formula>
    </cfRule>
  </conditionalFormatting>
  <conditionalFormatting sqref="C4591:D4591">
    <cfRule type="expression" dxfId="6524" priority="108">
      <formula>$B4591="Serviço"</formula>
    </cfRule>
  </conditionalFormatting>
  <conditionalFormatting sqref="C4591:D4591">
    <cfRule type="expression" dxfId="6523" priority="109">
      <formula>$B4591="Subetapa"</formula>
    </cfRule>
  </conditionalFormatting>
  <conditionalFormatting sqref="I4586:J4591">
    <cfRule type="expression" dxfId="6522" priority="107">
      <formula>$B4586="Subetapa"</formula>
    </cfRule>
  </conditionalFormatting>
  <conditionalFormatting sqref="B4452:B4453">
    <cfRule type="expression" dxfId="6521" priority="106">
      <formula>$B4452="Subetapa"</formula>
    </cfRule>
  </conditionalFormatting>
  <conditionalFormatting sqref="K4452:K4453">
    <cfRule type="expression" dxfId="6520" priority="105">
      <formula>$B4452="Subetapa"</formula>
    </cfRule>
  </conditionalFormatting>
  <conditionalFormatting sqref="A4452:A4453">
    <cfRule type="expression" dxfId="6519" priority="104">
      <formula>$B4452="Subetapa"</formula>
    </cfRule>
  </conditionalFormatting>
  <conditionalFormatting sqref="E4452:F4452">
    <cfRule type="expression" dxfId="6518" priority="103">
      <formula>$B4452="Subetapa"</formula>
    </cfRule>
  </conditionalFormatting>
  <conditionalFormatting sqref="G4452:H4452">
    <cfRule type="expression" dxfId="6517" priority="102">
      <formula>$B4452="Subetapa"</formula>
    </cfRule>
  </conditionalFormatting>
  <conditionalFormatting sqref="D4452:D4453">
    <cfRule type="expression" dxfId="6516" priority="100">
      <formula>$B4452="Subetapa"</formula>
    </cfRule>
  </conditionalFormatting>
  <conditionalFormatting sqref="D4453">
    <cfRule type="expression" dxfId="6515" priority="101">
      <formula>$B4453="Subetapa"</formula>
    </cfRule>
  </conditionalFormatting>
  <conditionalFormatting sqref="F4453">
    <cfRule type="expression" dxfId="6514" priority="99">
      <formula>$B4453="Subetapa"</formula>
    </cfRule>
  </conditionalFormatting>
  <conditionalFormatting sqref="C4452 C4455">
    <cfRule type="expression" dxfId="6513" priority="98">
      <formula>$B4452="Subetapa"</formula>
    </cfRule>
  </conditionalFormatting>
  <conditionalFormatting sqref="I4452:J4453">
    <cfRule type="expression" dxfId="6512" priority="97">
      <formula>$B4452="Subetapa"</formula>
    </cfRule>
  </conditionalFormatting>
  <conditionalFormatting sqref="B4454">
    <cfRule type="expression" dxfId="6511" priority="96">
      <formula>$B4454="Subetapa"</formula>
    </cfRule>
  </conditionalFormatting>
  <conditionalFormatting sqref="B4454">
    <cfRule type="expression" dxfId="6510" priority="95">
      <formula>$B4454="Subetapa"</formula>
    </cfRule>
  </conditionalFormatting>
  <conditionalFormatting sqref="A4454">
    <cfRule type="expression" dxfId="6509" priority="94">
      <formula>$B4454="Subetapa"</formula>
    </cfRule>
  </conditionalFormatting>
  <conditionalFormatting sqref="A4454">
    <cfRule type="expression" dxfId="6508" priority="93">
      <formula>$B4454="Subetapa"</formula>
    </cfRule>
  </conditionalFormatting>
  <conditionalFormatting sqref="I4454:J4454">
    <cfRule type="expression" dxfId="6507" priority="92">
      <formula>$B4454="Subetapa"</formula>
    </cfRule>
  </conditionalFormatting>
  <conditionalFormatting sqref="C4453:C4454">
    <cfRule type="expression" dxfId="6506" priority="91">
      <formula>$B4453="Subetapa"</formula>
    </cfRule>
  </conditionalFormatting>
  <conditionalFormatting sqref="C4456:C4457">
    <cfRule type="expression" dxfId="6505" priority="90">
      <formula>$B4456="Subetapa"</formula>
    </cfRule>
  </conditionalFormatting>
  <conditionalFormatting sqref="D4659 F4659">
    <cfRule type="expression" dxfId="6504" priority="88">
      <formula>$B4659="Subetapa"</formula>
    </cfRule>
  </conditionalFormatting>
  <conditionalFormatting sqref="G4659:H4659">
    <cfRule type="expression" dxfId="6503" priority="89">
      <formula>$B4659="Subetapa"</formula>
    </cfRule>
  </conditionalFormatting>
  <conditionalFormatting sqref="D4662:D4663">
    <cfRule type="expression" dxfId="6502" priority="87">
      <formula>$B4662="Subetapa"</formula>
    </cfRule>
  </conditionalFormatting>
  <conditionalFormatting sqref="D4661">
    <cfRule type="expression" dxfId="6501" priority="86">
      <formula>$B4661="Subetapa"</formula>
    </cfRule>
  </conditionalFormatting>
  <conditionalFormatting sqref="G4383:H4383">
    <cfRule type="expression" dxfId="6500" priority="83">
      <formula>$B4383="Subetapa"</formula>
    </cfRule>
    <cfRule type="expression" dxfId="6499" priority="84">
      <formula>$B4383="Serviço"</formula>
    </cfRule>
  </conditionalFormatting>
  <conditionalFormatting sqref="D4384">
    <cfRule type="expression" dxfId="6498" priority="82">
      <formula>$B4384="Subetapa"</formula>
    </cfRule>
  </conditionalFormatting>
  <conditionalFormatting sqref="D4646:F4646 D4648:D4650 F4647:F4650 B4646:C4650">
    <cfRule type="expression" dxfId="6497" priority="79">
      <formula>$B4646="Subetapa"</formula>
    </cfRule>
    <cfRule type="expression" dxfId="6496" priority="80">
      <formula>$B4646="Serviço"</formula>
    </cfRule>
  </conditionalFormatting>
  <conditionalFormatting sqref="E4647:E4650">
    <cfRule type="expression" dxfId="6495" priority="81">
      <formula>$B4647="Subetapa"</formula>
    </cfRule>
  </conditionalFormatting>
  <conditionalFormatting sqref="K4646:K4650">
    <cfRule type="expression" dxfId="6494" priority="77">
      <formula>$B4646="Subetapa"</formula>
    </cfRule>
    <cfRule type="expression" dxfId="6493" priority="78">
      <formula>$B4646="Serviço"</formula>
    </cfRule>
  </conditionalFormatting>
  <conditionalFormatting sqref="A4646:A4650">
    <cfRule type="expression" dxfId="6492" priority="75">
      <formula>$B4646="Subetapa"</formula>
    </cfRule>
    <cfRule type="expression" dxfId="6491" priority="76">
      <formula>$B4646="Serviço"</formula>
    </cfRule>
  </conditionalFormatting>
  <conditionalFormatting sqref="I4646:J4650">
    <cfRule type="expression" dxfId="6490" priority="73">
      <formula>$B4646="Subetapa"</formula>
    </cfRule>
    <cfRule type="expression" dxfId="6489" priority="74">
      <formula>$B4646="Serviço"</formula>
    </cfRule>
  </conditionalFormatting>
  <conditionalFormatting sqref="G4646:H4646">
    <cfRule type="expression" dxfId="6488" priority="71">
      <formula>$B4646="Subetapa"</formula>
    </cfRule>
    <cfRule type="expression" dxfId="6487" priority="72">
      <formula>$B4646="Serviço"</formula>
    </cfRule>
  </conditionalFormatting>
  <conditionalFormatting sqref="E4659">
    <cfRule type="expression" dxfId="6486" priority="68">
      <formula>$B4659="Subetapa"</formula>
    </cfRule>
    <cfRule type="expression" dxfId="6485" priority="69">
      <formula>$B4659="Serviço"</formula>
    </cfRule>
  </conditionalFormatting>
  <conditionalFormatting sqref="D4654 F4654">
    <cfRule type="expression" dxfId="6484" priority="60">
      <formula>$B4654="Subetapa"</formula>
    </cfRule>
  </conditionalFormatting>
  <conditionalFormatting sqref="G4654:H4654">
    <cfRule type="expression" dxfId="6483" priority="61">
      <formula>$B4654="Subetapa"</formula>
    </cfRule>
  </conditionalFormatting>
  <conditionalFormatting sqref="D4657">
    <cfRule type="expression" dxfId="6482" priority="59">
      <formula>$B4657="Subetapa"</formula>
    </cfRule>
  </conditionalFormatting>
  <conditionalFormatting sqref="D4656">
    <cfRule type="expression" dxfId="6481" priority="58">
      <formula>$B4656="Subetapa"</formula>
    </cfRule>
  </conditionalFormatting>
  <conditionalFormatting sqref="E4654">
    <cfRule type="expression" dxfId="6480" priority="56">
      <formula>$B4654="Subetapa"</formula>
    </cfRule>
    <cfRule type="expression" dxfId="6479" priority="57">
      <formula>$B4654="Serviço"</formula>
    </cfRule>
  </conditionalFormatting>
  <conditionalFormatting sqref="D4658">
    <cfRule type="expression" dxfId="6478" priority="55">
      <formula>$B4658="Subetapa"</formula>
    </cfRule>
  </conditionalFormatting>
  <conditionalFormatting sqref="D4638:F4638 D4640:D4642 F4639:F4642 B4638:C4642">
    <cfRule type="expression" dxfId="6477" priority="40">
      <formula>$B4638="Subetapa"</formula>
    </cfRule>
    <cfRule type="expression" dxfId="6476" priority="41">
      <formula>$B4638="Serviço"</formula>
    </cfRule>
  </conditionalFormatting>
  <conditionalFormatting sqref="E4639:E4642">
    <cfRule type="expression" dxfId="6475" priority="42">
      <formula>$B4639="Subetapa"</formula>
    </cfRule>
  </conditionalFormatting>
  <conditionalFormatting sqref="K4638:K4642">
    <cfRule type="expression" dxfId="6474" priority="38">
      <formula>$B4638="Subetapa"</formula>
    </cfRule>
    <cfRule type="expression" dxfId="6473" priority="39">
      <formula>$B4638="Serviço"</formula>
    </cfRule>
  </conditionalFormatting>
  <conditionalFormatting sqref="A4638:A4642">
    <cfRule type="expression" dxfId="6472" priority="36">
      <formula>$B4638="Subetapa"</formula>
    </cfRule>
    <cfRule type="expression" dxfId="6471" priority="37">
      <formula>$B4638="Serviço"</formula>
    </cfRule>
  </conditionalFormatting>
  <conditionalFormatting sqref="I4638:J4642">
    <cfRule type="expression" dxfId="6470" priority="34">
      <formula>$B4638="Subetapa"</formula>
    </cfRule>
    <cfRule type="expression" dxfId="6469" priority="35">
      <formula>$B4638="Serviço"</formula>
    </cfRule>
  </conditionalFormatting>
  <conditionalFormatting sqref="G4638:H4638">
    <cfRule type="expression" dxfId="6468" priority="32">
      <formula>$B4638="Subetapa"</formula>
    </cfRule>
    <cfRule type="expression" dxfId="6467" priority="33">
      <formula>$B4638="Serviço"</formula>
    </cfRule>
  </conditionalFormatting>
  <conditionalFormatting sqref="D4639">
    <cfRule type="expression" dxfId="6466" priority="31">
      <formula>$B4639="Subetapa"</formula>
    </cfRule>
  </conditionalFormatting>
  <conditionalFormatting sqref="D4647">
    <cfRule type="expression" dxfId="6465" priority="30">
      <formula>$B4647="Subetapa"</formula>
    </cfRule>
  </conditionalFormatting>
  <conditionalFormatting sqref="G4378:H4378">
    <cfRule type="expression" dxfId="6464" priority="28">
      <formula>$B4378="Subetapa"</formula>
    </cfRule>
    <cfRule type="expression" dxfId="6463" priority="29">
      <formula>$B4378="Serviço"</formula>
    </cfRule>
  </conditionalFormatting>
  <conditionalFormatting sqref="D4379">
    <cfRule type="expression" dxfId="6462" priority="27">
      <formula>$B4379="Subetapa"</formula>
    </cfRule>
  </conditionalFormatting>
  <conditionalFormatting sqref="E556:E558">
    <cfRule type="expression" dxfId="6461" priority="26">
      <formula>$B556="Subetapa"</formula>
    </cfRule>
  </conditionalFormatting>
  <conditionalFormatting sqref="E560:E562">
    <cfRule type="expression" dxfId="6460" priority="25">
      <formula>$B560="Subetapa"</formula>
    </cfRule>
  </conditionalFormatting>
  <conditionalFormatting sqref="B315:D315">
    <cfRule type="expression" dxfId="6459" priority="24">
      <formula>$B315="Subetapa"</formula>
    </cfRule>
  </conditionalFormatting>
  <conditionalFormatting sqref="D313:D314 F313:F315">
    <cfRule type="expression" dxfId="6458" priority="23">
      <formula>$B313="Subetapa"</formula>
    </cfRule>
  </conditionalFormatting>
  <conditionalFormatting sqref="G312:H312">
    <cfRule type="expression" dxfId="6457" priority="22">
      <formula>$B312="Subetapa"</formula>
    </cfRule>
  </conditionalFormatting>
  <conditionalFormatting sqref="A315">
    <cfRule type="expression" dxfId="6456" priority="21">
      <formula>$B315="Subetapa"</formula>
    </cfRule>
  </conditionalFormatting>
  <conditionalFormatting sqref="C313:C314">
    <cfRule type="expression" dxfId="6455" priority="20">
      <formula>$B313="Subetapa"</formula>
    </cfRule>
  </conditionalFormatting>
  <conditionalFormatting sqref="D316:F316 D317:D319 F317:F319 B316:C319">
    <cfRule type="expression" dxfId="6454" priority="19">
      <formula>$B316="Subetapa"</formula>
    </cfRule>
  </conditionalFormatting>
  <conditionalFormatting sqref="G316:H316">
    <cfRule type="expression" dxfId="6453" priority="18">
      <formula>$B316="Subetapa"</formula>
    </cfRule>
  </conditionalFormatting>
  <conditionalFormatting sqref="A316:A319">
    <cfRule type="expression" dxfId="6452" priority="17">
      <formula>$B316="Subetapa"</formula>
    </cfRule>
  </conditionalFormatting>
  <conditionalFormatting sqref="C2347:C2348">
    <cfRule type="expression" dxfId="6451" priority="14">
      <formula>$B2347="Serviço"</formula>
    </cfRule>
    <cfRule type="expression" dxfId="6450" priority="15">
      <formula>$B2347="Subetapa"</formula>
    </cfRule>
  </conditionalFormatting>
  <conditionalFormatting sqref="C2349:C2350">
    <cfRule type="expression" dxfId="6449" priority="12">
      <formula>$B2349="Serviço"</formula>
    </cfRule>
    <cfRule type="expression" dxfId="6448" priority="13">
      <formula>$B2349="Subetapa"</formula>
    </cfRule>
  </conditionalFormatting>
  <conditionalFormatting sqref="C2356:C2357">
    <cfRule type="expression" dxfId="6447" priority="16">
      <formula>$B2356="Subetapa"</formula>
    </cfRule>
  </conditionalFormatting>
  <conditionalFormatting sqref="D2958">
    <cfRule type="expression" dxfId="6446" priority="11">
      <formula>$B2958="Subetapa"</formula>
    </cfRule>
  </conditionalFormatting>
  <conditionalFormatting sqref="F2778">
    <cfRule type="expression" dxfId="6445" priority="10">
      <formula>$B2778="Subetapa"</formula>
    </cfRule>
  </conditionalFormatting>
  <conditionalFormatting sqref="F2784">
    <cfRule type="expression" dxfId="6444" priority="9">
      <formula>$B2784="Subetapa"</formula>
    </cfRule>
  </conditionalFormatting>
  <conditionalFormatting sqref="F2795">
    <cfRule type="expression" dxfId="6443" priority="7">
      <formula>$B2795="Subetapa"</formula>
    </cfRule>
  </conditionalFormatting>
  <conditionalFormatting sqref="F2797">
    <cfRule type="expression" dxfId="6442" priority="6">
      <formula>$B2797="Subetapa"</formula>
    </cfRule>
  </conditionalFormatting>
  <conditionalFormatting sqref="F2799">
    <cfRule type="expression" dxfId="6441" priority="5">
      <formula>$B2799="Subetapa"</formula>
    </cfRule>
  </conditionalFormatting>
  <conditionalFormatting sqref="F2801">
    <cfRule type="expression" dxfId="6440" priority="4">
      <formula>$B2801="Subetapa"</formula>
    </cfRule>
  </conditionalFormatting>
  <conditionalFormatting sqref="F2803">
    <cfRule type="expression" dxfId="6439" priority="3">
      <formula>$B2803="Subetapa"</formula>
    </cfRule>
  </conditionalFormatting>
  <conditionalFormatting sqref="F2805">
    <cfRule type="expression" dxfId="6438" priority="2">
      <formula>$B2805="Subetapa"</formula>
    </cfRule>
  </conditionalFormatting>
  <conditionalFormatting sqref="F2793">
    <cfRule type="expression" dxfId="6437" priority="1">
      <formula>$B2793="Subetapa"</formula>
    </cfRule>
  </conditionalFormatting>
  <dataValidations count="2">
    <dataValidation type="list" allowBlank="1" showErrorMessage="1" sqref="B502:B620 B4249:B4301 B839:B878 B930 B3:B270 B275:B286 B4923:B4975 B4643:B4645 B464:B472 B2:C2 B640:B660 B299:B460 B742:B758 B787:B813 B897:B917 B763:B778 B1186:B1197 B2273 B2342:B2346 B665:B737 B1168:B1174 B3285:B3484 B2525:B2672 B2691:B2718 B2768:B2805 B2731:B2764 B2683 B2905:B3055 B3099:B3128 B2389:B2469 B3207:B3242 B3689:B3698 B3064:B3096 B3143:B3176 B3679:B3683 B3191:B3194 B3709:B3721 B3137:B3138 B3550:B3673 B3816:B3850 B3725:B3807 B1386:B2211 B4984:B5027 B4022:B4040 B4110:B4113 B4162:B4216 B2686 B4125:B4138 B4235:B4244 B3858:B3979 B4057:B4097 B4304:B4372 B4700:B4800 B4811:B4917 B477:B499 B2689 B2832:B2834 B2817:B2821 B2841:B2882 B2675:B2681 B2885:B2889 B3247:B3269 B4044:B4050 B4151:B4155 B943:B1019 B4403:B4494 B2266 B2262 B2271 B2276:B2337 B4651:B4685 B4573:B4637 B2351:B2373" xr:uid="{00000000-0002-0000-0300-000000000000}">
      <formula1>"Unidade Construtiva,Célula Construtiva,Etapa,Subetapa,Serviço,Insumo,Complemento do Insumo"</formula1>
    </dataValidation>
    <dataValidation type="list" allowBlank="1" showInputMessage="1" showErrorMessage="1" sqref="B4918:B4922 B931:B942 B918:B929 B779:B786 B271:B274 B287:B298 B461:B463 B473:B476 B500:B501 B621:B639 B661:B664 B738:B741 B759:B762 B814:B838 B1198:B1385 B1175:B1185 B2338:B2341 B2347:B2350 B2374:B2388 B2607:B2611 B2470:B2524 B2719:B2730 B879:B896 B2765:B2767 B2806:B2816 B2883:B2884 B3056:B3063 B3097:B3098 B3129:B3136 B3177:B3190 B3485:B3549 B3556:B3560 B3290:B3309 B3227:B3228 B3270:B3284 B3243:B3250 B3231:B3234 B3674:B3678 B3684:B3688 B3699:B3708 B3722:B3724 B3139:B3142 B3808:B3815 B3851:B3857 B3980:B4021 B3195:B3206 B4976:B4983 B4098:B4109 B4264:B4267 B4114:B4124 B4302:B4303 B4217:B4234 B4163:B4165 B4208:B4210 B4139:B4150 B4245:B4248 B2687:B2688 B4686:B4699 B4801:B4810 B4495:B4572 B2673:B2674 B2212:B2261 B2690 B2822:B2831 B2835:B2840 B2682 B2890:B2904 B4051:B4056 B4041:B4043 B4156:B4161 B1020:B1167 B2263:B2265 B2272 B2274:B2275 B2267:B2270 B2684:B2685 B4638:B4642 B4646:B4650 B4373:B4402" xr:uid="{C4ACBF0F-7FD0-49DB-B1DC-D273EDF7F370}">
      <formula1>"Unidade Construtiva,Célula Construtiva,Etapa,Subetapa,Serviço,Insumo,Complemento do Insumo"</formula1>
    </dataValidation>
  </dataValidations>
  <pageMargins left="0.511811024" right="0.511811024" top="0.78740157499999996" bottom="0.78740157499999996" header="0" footer="0"/>
  <pageSetup paperSize="9" orientation="portrait"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0">
    <tabColor rgb="FFFFFF00"/>
    <outlinePr summaryBelow="0"/>
  </sheetPr>
  <dimension ref="A1:I996"/>
  <sheetViews>
    <sheetView showGridLines="0" workbookViewId="0">
      <pane ySplit="1" topLeftCell="A2" activePane="bottomLeft" state="frozen"/>
      <selection activeCell="D3300" sqref="D3300"/>
      <selection pane="bottomLeft" activeCell="E837" sqref="E837"/>
    </sheetView>
  </sheetViews>
  <sheetFormatPr defaultColWidth="12.5703125" defaultRowHeight="15" customHeight="1" x14ac:dyDescent="0.2"/>
  <cols>
    <col min="1" max="1" width="9.85546875" customWidth="1"/>
    <col min="2" max="2" width="91.42578125" customWidth="1"/>
    <col min="3" max="3" width="9.140625" customWidth="1"/>
    <col min="4" max="4" width="17.7109375" hidden="1" customWidth="1"/>
    <col min="5" max="5" width="15.140625" customWidth="1"/>
    <col min="6" max="7" width="12.42578125" customWidth="1"/>
    <col min="8" max="8" width="31.42578125" customWidth="1"/>
    <col min="9" max="9" width="9.140625" customWidth="1"/>
    <col min="10" max="26" width="8.5703125" customWidth="1"/>
  </cols>
  <sheetData>
    <row r="1" spans="1:9" x14ac:dyDescent="0.25">
      <c r="A1" s="5" t="s">
        <v>58</v>
      </c>
      <c r="B1" s="5" t="s">
        <v>60</v>
      </c>
      <c r="C1" s="5" t="s">
        <v>61</v>
      </c>
      <c r="D1" s="18">
        <v>1</v>
      </c>
      <c r="E1" s="6" t="s">
        <v>1082</v>
      </c>
      <c r="F1" s="6" t="s">
        <v>1083</v>
      </c>
      <c r="G1" s="6" t="s">
        <v>1084</v>
      </c>
      <c r="H1" s="6" t="s">
        <v>65</v>
      </c>
      <c r="I1" s="4" t="s">
        <v>1085</v>
      </c>
    </row>
    <row r="2" spans="1:9" x14ac:dyDescent="0.25">
      <c r="A2" s="10">
        <f t="shared" ref="A2:A20" si="0">COUNTIFS($B$2:$B$996,B2)</f>
        <v>1</v>
      </c>
      <c r="B2" s="10" t="s">
        <v>208</v>
      </c>
      <c r="C2" s="11" t="s">
        <v>206</v>
      </c>
      <c r="D2" s="13">
        <f t="shared" ref="D2:D347" si="1">E2*$D$1</f>
        <v>13.69</v>
      </c>
      <c r="E2" s="13">
        <v>13.69</v>
      </c>
      <c r="F2" s="13" t="s">
        <v>1086</v>
      </c>
      <c r="G2" s="13" t="s">
        <v>1087</v>
      </c>
      <c r="H2" s="13"/>
      <c r="I2" s="4" t="s">
        <v>13</v>
      </c>
    </row>
    <row r="3" spans="1:9" x14ac:dyDescent="0.25">
      <c r="A3" s="10">
        <f t="shared" si="0"/>
        <v>1</v>
      </c>
      <c r="B3" s="10" t="s">
        <v>288</v>
      </c>
      <c r="C3" s="11" t="s">
        <v>206</v>
      </c>
      <c r="D3" s="13">
        <f t="shared" si="1"/>
        <v>13.73</v>
      </c>
      <c r="E3" s="13">
        <v>13.73</v>
      </c>
      <c r="F3" s="13" t="s">
        <v>1086</v>
      </c>
      <c r="G3" s="13" t="s">
        <v>1087</v>
      </c>
      <c r="H3" s="13" t="s">
        <v>1589</v>
      </c>
      <c r="I3" s="4" t="s">
        <v>13</v>
      </c>
    </row>
    <row r="4" spans="1:9" ht="14.25" x14ac:dyDescent="0.2">
      <c r="A4" s="10">
        <f t="shared" si="0"/>
        <v>1</v>
      </c>
      <c r="B4" s="82" t="s">
        <v>1732</v>
      </c>
      <c r="C4" s="83" t="s">
        <v>1736</v>
      </c>
      <c r="D4" s="84">
        <f>E4*$D$1</f>
        <v>3.82</v>
      </c>
      <c r="E4" s="84">
        <v>3.82</v>
      </c>
      <c r="F4" s="84" t="s">
        <v>1086</v>
      </c>
      <c r="G4" s="84" t="s">
        <v>1089</v>
      </c>
      <c r="H4" s="84"/>
      <c r="I4" s="85" t="s">
        <v>13</v>
      </c>
    </row>
    <row r="5" spans="1:9" ht="14.25" x14ac:dyDescent="0.2">
      <c r="A5" s="10">
        <f t="shared" si="0"/>
        <v>1</v>
      </c>
      <c r="B5" s="82" t="s">
        <v>1737</v>
      </c>
      <c r="C5" s="83" t="s">
        <v>206</v>
      </c>
      <c r="D5" s="84">
        <f>E5*$D$1</f>
        <v>15.5</v>
      </c>
      <c r="E5" s="84">
        <v>15.5</v>
      </c>
      <c r="F5" s="84" t="s">
        <v>1086</v>
      </c>
      <c r="G5" s="84" t="s">
        <v>1089</v>
      </c>
      <c r="H5" s="84"/>
      <c r="I5" s="85" t="s">
        <v>13</v>
      </c>
    </row>
    <row r="6" spans="1:9" x14ac:dyDescent="0.25">
      <c r="A6" s="10">
        <f t="shared" si="0"/>
        <v>1</v>
      </c>
      <c r="B6" s="10" t="s">
        <v>1088</v>
      </c>
      <c r="C6" s="11" t="s">
        <v>206</v>
      </c>
      <c r="D6" s="13">
        <f t="shared" si="1"/>
        <v>7.6873385012919897</v>
      </c>
      <c r="E6" s="13">
        <v>7.6873385012919897</v>
      </c>
      <c r="F6" s="13" t="s">
        <v>1086</v>
      </c>
      <c r="G6" s="13" t="s">
        <v>1089</v>
      </c>
      <c r="H6" s="13"/>
      <c r="I6" s="4" t="s">
        <v>13</v>
      </c>
    </row>
    <row r="7" spans="1:9" x14ac:dyDescent="0.25">
      <c r="A7" s="10">
        <f t="shared" si="0"/>
        <v>1</v>
      </c>
      <c r="B7" s="10" t="s">
        <v>1090</v>
      </c>
      <c r="C7" s="11" t="s">
        <v>206</v>
      </c>
      <c r="D7" s="13">
        <f t="shared" si="1"/>
        <v>8.2873385012919893</v>
      </c>
      <c r="E7" s="13">
        <v>8.2873385012919893</v>
      </c>
      <c r="F7" s="13" t="s">
        <v>1086</v>
      </c>
      <c r="G7" s="13" t="s">
        <v>1089</v>
      </c>
      <c r="H7" s="13"/>
      <c r="I7" s="4" t="s">
        <v>13</v>
      </c>
    </row>
    <row r="8" spans="1:9" x14ac:dyDescent="0.25">
      <c r="A8" s="10">
        <f t="shared" si="0"/>
        <v>1</v>
      </c>
      <c r="B8" s="10" t="s">
        <v>198</v>
      </c>
      <c r="C8" s="11" t="s">
        <v>206</v>
      </c>
      <c r="D8" s="13">
        <f t="shared" si="1"/>
        <v>302.92200000000003</v>
      </c>
      <c r="E8" s="13">
        <v>302.92200000000003</v>
      </c>
      <c r="F8" s="13" t="s">
        <v>1086</v>
      </c>
      <c r="G8" s="13" t="s">
        <v>1089</v>
      </c>
      <c r="H8" s="13"/>
      <c r="I8" s="4" t="s">
        <v>13</v>
      </c>
    </row>
    <row r="9" spans="1:9" x14ac:dyDescent="0.25">
      <c r="A9" s="10">
        <f t="shared" si="0"/>
        <v>1</v>
      </c>
      <c r="B9" s="10" t="s">
        <v>200</v>
      </c>
      <c r="C9" s="11" t="s">
        <v>206</v>
      </c>
      <c r="D9" s="13">
        <f t="shared" si="1"/>
        <v>466.33699999999999</v>
      </c>
      <c r="E9" s="13">
        <v>466.33699999999999</v>
      </c>
      <c r="F9" s="13" t="s">
        <v>1086</v>
      </c>
      <c r="G9" s="13" t="s">
        <v>1089</v>
      </c>
      <c r="H9" s="13"/>
      <c r="I9" s="4" t="s">
        <v>13</v>
      </c>
    </row>
    <row r="10" spans="1:9" x14ac:dyDescent="0.25">
      <c r="A10" s="10">
        <f t="shared" si="0"/>
        <v>1</v>
      </c>
      <c r="B10" s="10" t="s">
        <v>202</v>
      </c>
      <c r="C10" s="11" t="s">
        <v>206</v>
      </c>
      <c r="D10" s="13">
        <f t="shared" si="1"/>
        <v>937.63900000000001</v>
      </c>
      <c r="E10" s="13">
        <v>937.63900000000001</v>
      </c>
      <c r="F10" s="13" t="s">
        <v>1086</v>
      </c>
      <c r="G10" s="13" t="s">
        <v>1089</v>
      </c>
      <c r="H10" s="13"/>
      <c r="I10" s="4" t="s">
        <v>13</v>
      </c>
    </row>
    <row r="11" spans="1:9" x14ac:dyDescent="0.25">
      <c r="A11" s="10">
        <f t="shared" si="0"/>
        <v>1</v>
      </c>
      <c r="B11" s="10" t="s">
        <v>204</v>
      </c>
      <c r="C11" s="11" t="s">
        <v>206</v>
      </c>
      <c r="D11" s="13">
        <f t="shared" ref="D11:D31" si="2">E11*$D$1</f>
        <v>1609.6659999999999</v>
      </c>
      <c r="E11" s="13">
        <v>1609.6659999999999</v>
      </c>
      <c r="F11" s="13" t="s">
        <v>1086</v>
      </c>
      <c r="G11" s="13" t="s">
        <v>1089</v>
      </c>
      <c r="H11" s="13"/>
      <c r="I11" s="4" t="s">
        <v>13</v>
      </c>
    </row>
    <row r="12" spans="1:9" x14ac:dyDescent="0.25">
      <c r="A12" s="10">
        <f t="shared" si="0"/>
        <v>1</v>
      </c>
      <c r="B12" s="10" t="s">
        <v>213</v>
      </c>
      <c r="C12" s="11" t="s">
        <v>206</v>
      </c>
      <c r="D12" s="13">
        <f t="shared" si="2"/>
        <v>4.80068429029114</v>
      </c>
      <c r="E12" s="73">
        <v>4.80068429029114</v>
      </c>
      <c r="F12" s="13" t="s">
        <v>1086</v>
      </c>
      <c r="G12" s="13" t="s">
        <v>1089</v>
      </c>
      <c r="H12" s="73" t="s">
        <v>3499</v>
      </c>
      <c r="I12" s="4" t="s">
        <v>13</v>
      </c>
    </row>
    <row r="13" spans="1:9" x14ac:dyDescent="0.25">
      <c r="A13" s="10">
        <f t="shared" si="0"/>
        <v>1</v>
      </c>
      <c r="B13" s="10" t="s">
        <v>240</v>
      </c>
      <c r="C13" s="11" t="s">
        <v>206</v>
      </c>
      <c r="D13" s="13">
        <f t="shared" si="2"/>
        <v>5.0530855313352099</v>
      </c>
      <c r="E13" s="73">
        <v>5.0530855313352099</v>
      </c>
      <c r="F13" s="13" t="s">
        <v>1086</v>
      </c>
      <c r="G13" s="13" t="s">
        <v>1089</v>
      </c>
      <c r="H13" s="73" t="s">
        <v>3499</v>
      </c>
      <c r="I13" s="4" t="s">
        <v>13</v>
      </c>
    </row>
    <row r="14" spans="1:9" x14ac:dyDescent="0.25">
      <c r="A14" s="10">
        <f t="shared" si="0"/>
        <v>1</v>
      </c>
      <c r="B14" s="10" t="s">
        <v>215</v>
      </c>
      <c r="C14" s="11" t="s">
        <v>206</v>
      </c>
      <c r="D14" s="13">
        <f t="shared" si="2"/>
        <v>4.9405604085438029</v>
      </c>
      <c r="E14" s="73">
        <v>4.9405604085438029</v>
      </c>
      <c r="F14" s="13" t="s">
        <v>1086</v>
      </c>
      <c r="G14" s="13" t="s">
        <v>1089</v>
      </c>
      <c r="H14" s="73" t="s">
        <v>3499</v>
      </c>
      <c r="I14" s="4" t="s">
        <v>13</v>
      </c>
    </row>
    <row r="15" spans="1:9" x14ac:dyDescent="0.25">
      <c r="A15" s="10">
        <f t="shared" si="0"/>
        <v>1</v>
      </c>
      <c r="B15" s="10" t="s">
        <v>217</v>
      </c>
      <c r="C15" s="11" t="s">
        <v>206</v>
      </c>
      <c r="D15" s="13">
        <f t="shared" si="2"/>
        <v>5.0344353401833359</v>
      </c>
      <c r="E15" s="73">
        <v>5.0344353401833359</v>
      </c>
      <c r="F15" s="13" t="s">
        <v>1086</v>
      </c>
      <c r="G15" s="13" t="s">
        <v>1089</v>
      </c>
      <c r="H15" s="73" t="s">
        <v>3499</v>
      </c>
      <c r="I15" s="4" t="s">
        <v>13</v>
      </c>
    </row>
    <row r="16" spans="1:9" x14ac:dyDescent="0.25">
      <c r="A16" s="10">
        <f t="shared" si="0"/>
        <v>1</v>
      </c>
      <c r="B16" s="10" t="s">
        <v>244</v>
      </c>
      <c r="C16" s="11" t="s">
        <v>206</v>
      </c>
      <c r="D16" s="13">
        <f t="shared" si="2"/>
        <v>5.1608662250804</v>
      </c>
      <c r="E16" s="73">
        <v>5.1608662250804</v>
      </c>
      <c r="F16" s="13" t="s">
        <v>1086</v>
      </c>
      <c r="G16" s="13" t="s">
        <v>1089</v>
      </c>
      <c r="H16" s="73" t="s">
        <v>3499</v>
      </c>
      <c r="I16" s="4" t="s">
        <v>13</v>
      </c>
    </row>
    <row r="17" spans="1:9" x14ac:dyDescent="0.25">
      <c r="A17" s="10">
        <f t="shared" si="0"/>
        <v>1</v>
      </c>
      <c r="B17" s="10" t="s">
        <v>207</v>
      </c>
      <c r="C17" s="11" t="s">
        <v>206</v>
      </c>
      <c r="D17" s="13">
        <f t="shared" si="2"/>
        <v>5.2594749034506343</v>
      </c>
      <c r="E17" s="73">
        <v>5.2594749034506343</v>
      </c>
      <c r="F17" s="13" t="s">
        <v>1086</v>
      </c>
      <c r="G17" s="13" t="s">
        <v>1089</v>
      </c>
      <c r="H17" s="73" t="s">
        <v>3499</v>
      </c>
      <c r="I17" s="4" t="s">
        <v>13</v>
      </c>
    </row>
    <row r="18" spans="1:9" x14ac:dyDescent="0.25">
      <c r="A18" s="10">
        <f t="shared" si="0"/>
        <v>1</v>
      </c>
      <c r="B18" s="10" t="s">
        <v>211</v>
      </c>
      <c r="C18" s="11" t="s">
        <v>206</v>
      </c>
      <c r="D18" s="13">
        <f t="shared" si="2"/>
        <v>4.9248569626405612</v>
      </c>
      <c r="E18" s="73">
        <v>4.9248569626405612</v>
      </c>
      <c r="F18" s="13" t="s">
        <v>1086</v>
      </c>
      <c r="G18" s="13" t="s">
        <v>1089</v>
      </c>
      <c r="H18" s="73" t="s">
        <v>3499</v>
      </c>
      <c r="I18" s="4" t="s">
        <v>13</v>
      </c>
    </row>
    <row r="19" spans="1:9" x14ac:dyDescent="0.25">
      <c r="A19" s="10">
        <f t="shared" si="0"/>
        <v>1</v>
      </c>
      <c r="B19" s="10" t="s">
        <v>219</v>
      </c>
      <c r="C19" s="11" t="s">
        <v>206</v>
      </c>
      <c r="D19" s="13">
        <f t="shared" si="2"/>
        <v>6.1446196590167288</v>
      </c>
      <c r="E19" s="73">
        <v>6.1446196590167288</v>
      </c>
      <c r="F19" s="13" t="s">
        <v>1086</v>
      </c>
      <c r="G19" s="13" t="s">
        <v>1089</v>
      </c>
      <c r="H19" s="73" t="s">
        <v>3499</v>
      </c>
      <c r="I19" s="4" t="s">
        <v>13</v>
      </c>
    </row>
    <row r="20" spans="1:9" x14ac:dyDescent="0.25">
      <c r="A20" s="10">
        <f t="shared" si="0"/>
        <v>1</v>
      </c>
      <c r="B20" s="10" t="s">
        <v>247</v>
      </c>
      <c r="C20" s="11" t="s">
        <v>206</v>
      </c>
      <c r="D20" s="13">
        <f t="shared" si="2"/>
        <v>6.22</v>
      </c>
      <c r="E20" s="13">
        <v>6.22</v>
      </c>
      <c r="F20" s="13" t="s">
        <v>1086</v>
      </c>
      <c r="G20" s="13" t="s">
        <v>1089</v>
      </c>
      <c r="H20" s="13"/>
      <c r="I20" s="4" t="s">
        <v>13</v>
      </c>
    </row>
    <row r="21" spans="1:9" x14ac:dyDescent="0.25">
      <c r="A21" s="10">
        <f t="shared" ref="A21:A29" si="3">COUNTIFS($B$2:$B$876,B21)</f>
        <v>1</v>
      </c>
      <c r="B21" s="10" t="s">
        <v>5361</v>
      </c>
      <c r="C21" s="11" t="s">
        <v>197</v>
      </c>
      <c r="D21" s="13">
        <f>E21*$D$1</f>
        <v>8.67</v>
      </c>
      <c r="E21" s="73">
        <v>8.67</v>
      </c>
      <c r="F21" s="13" t="s">
        <v>1086</v>
      </c>
      <c r="G21" s="13" t="s">
        <v>1089</v>
      </c>
      <c r="H21" s="73" t="s">
        <v>3497</v>
      </c>
      <c r="I21" s="4" t="s">
        <v>13</v>
      </c>
    </row>
    <row r="22" spans="1:9" x14ac:dyDescent="0.25">
      <c r="A22" s="10">
        <f t="shared" si="3"/>
        <v>1</v>
      </c>
      <c r="B22" s="10" t="s">
        <v>3493</v>
      </c>
      <c r="C22" s="11" t="s">
        <v>197</v>
      </c>
      <c r="D22" s="13">
        <f t="shared" si="2"/>
        <v>8.67</v>
      </c>
      <c r="E22" s="73">
        <v>8.67</v>
      </c>
      <c r="F22" s="13" t="s">
        <v>1086</v>
      </c>
      <c r="G22" s="13" t="s">
        <v>1089</v>
      </c>
      <c r="H22" s="73" t="s">
        <v>3497</v>
      </c>
      <c r="I22" s="4" t="s">
        <v>13</v>
      </c>
    </row>
    <row r="23" spans="1:9" x14ac:dyDescent="0.25">
      <c r="A23" s="10">
        <f t="shared" si="3"/>
        <v>1</v>
      </c>
      <c r="B23" s="10" t="s">
        <v>3494</v>
      </c>
      <c r="C23" s="11" t="s">
        <v>197</v>
      </c>
      <c r="D23" s="13">
        <f>E23*$D$1</f>
        <v>8.67</v>
      </c>
      <c r="E23" s="73">
        <v>8.67</v>
      </c>
      <c r="F23" s="13" t="s">
        <v>1086</v>
      </c>
      <c r="G23" s="13" t="s">
        <v>1089</v>
      </c>
      <c r="H23" s="73" t="s">
        <v>3497</v>
      </c>
      <c r="I23" s="4" t="s">
        <v>13</v>
      </c>
    </row>
    <row r="24" spans="1:9" x14ac:dyDescent="0.25">
      <c r="A24" s="10">
        <f t="shared" si="3"/>
        <v>1</v>
      </c>
      <c r="B24" s="10" t="s">
        <v>5362</v>
      </c>
      <c r="C24" s="11" t="s">
        <v>197</v>
      </c>
      <c r="D24" s="13">
        <f t="shared" si="2"/>
        <v>8.67</v>
      </c>
      <c r="E24" s="73">
        <v>8.67</v>
      </c>
      <c r="F24" s="13" t="s">
        <v>1086</v>
      </c>
      <c r="G24" s="13" t="s">
        <v>1089</v>
      </c>
      <c r="H24" s="73" t="s">
        <v>3497</v>
      </c>
      <c r="I24" s="4" t="s">
        <v>13</v>
      </c>
    </row>
    <row r="25" spans="1:9" x14ac:dyDescent="0.25">
      <c r="A25" s="10">
        <f t="shared" si="3"/>
        <v>1</v>
      </c>
      <c r="B25" s="10" t="s">
        <v>3495</v>
      </c>
      <c r="C25" s="11" t="s">
        <v>197</v>
      </c>
      <c r="D25" s="13">
        <f>E25*$D$1</f>
        <v>8.19</v>
      </c>
      <c r="E25" s="73">
        <v>8.19</v>
      </c>
      <c r="F25" s="13" t="s">
        <v>1086</v>
      </c>
      <c r="G25" s="13" t="s">
        <v>1089</v>
      </c>
      <c r="H25" s="73" t="s">
        <v>3497</v>
      </c>
      <c r="I25" s="4" t="s">
        <v>13</v>
      </c>
    </row>
    <row r="26" spans="1:9" ht="14.25" customHeight="1" x14ac:dyDescent="0.25">
      <c r="A26" s="10">
        <f t="shared" si="3"/>
        <v>1</v>
      </c>
      <c r="B26" s="10" t="s">
        <v>5350</v>
      </c>
      <c r="C26" s="11" t="s">
        <v>197</v>
      </c>
      <c r="D26" s="13">
        <f>E26*$D$1</f>
        <v>8.19</v>
      </c>
      <c r="E26" s="73">
        <v>8.19</v>
      </c>
      <c r="F26" s="13" t="s">
        <v>1086</v>
      </c>
      <c r="G26" s="13" t="s">
        <v>1089</v>
      </c>
      <c r="H26" s="73" t="s">
        <v>3497</v>
      </c>
      <c r="I26" s="4" t="s">
        <v>13</v>
      </c>
    </row>
    <row r="27" spans="1:9" ht="14.25" customHeight="1" x14ac:dyDescent="0.25">
      <c r="A27" s="10">
        <f t="shared" si="3"/>
        <v>1</v>
      </c>
      <c r="B27" s="10" t="s">
        <v>5352</v>
      </c>
      <c r="C27" s="11" t="s">
        <v>197</v>
      </c>
      <c r="D27" s="13">
        <f t="shared" si="2"/>
        <v>8.19</v>
      </c>
      <c r="E27" s="73">
        <v>8.19</v>
      </c>
      <c r="F27" s="13" t="s">
        <v>1086</v>
      </c>
      <c r="G27" s="13" t="s">
        <v>1089</v>
      </c>
      <c r="H27" s="73" t="s">
        <v>3497</v>
      </c>
      <c r="I27" s="4" t="s">
        <v>13</v>
      </c>
    </row>
    <row r="28" spans="1:9" x14ac:dyDescent="0.25">
      <c r="A28" s="10">
        <f t="shared" si="3"/>
        <v>1</v>
      </c>
      <c r="B28" s="10" t="s">
        <v>3496</v>
      </c>
      <c r="C28" s="11" t="s">
        <v>197</v>
      </c>
      <c r="D28" s="13">
        <f>E28*$D$1</f>
        <v>8.19</v>
      </c>
      <c r="E28" s="73">
        <v>8.19</v>
      </c>
      <c r="F28" s="13" t="s">
        <v>1086</v>
      </c>
      <c r="G28" s="13" t="s">
        <v>1089</v>
      </c>
      <c r="H28" s="73" t="s">
        <v>3497</v>
      </c>
      <c r="I28" s="4" t="s">
        <v>13</v>
      </c>
    </row>
    <row r="29" spans="1:9" x14ac:dyDescent="0.25">
      <c r="A29" s="10">
        <f t="shared" si="3"/>
        <v>1</v>
      </c>
      <c r="B29" s="10" t="s">
        <v>5368</v>
      </c>
      <c r="C29" s="11" t="s">
        <v>197</v>
      </c>
      <c r="D29" s="13">
        <f t="shared" si="2"/>
        <v>8.7763609454436988</v>
      </c>
      <c r="E29" s="73">
        <f>(E21*E20)/E19</f>
        <v>8.7763609454436988</v>
      </c>
      <c r="F29" s="13" t="s">
        <v>1086</v>
      </c>
      <c r="G29" s="13" t="s">
        <v>1089</v>
      </c>
      <c r="H29" s="13"/>
      <c r="I29" s="4" t="s">
        <v>13</v>
      </c>
    </row>
    <row r="30" spans="1:9" x14ac:dyDescent="0.25">
      <c r="A30" s="10">
        <f t="shared" ref="A30:A61" si="4">COUNTIFS($B$2:$B$996,B30)</f>
        <v>1</v>
      </c>
      <c r="B30" s="10" t="s">
        <v>890</v>
      </c>
      <c r="C30" s="11" t="s">
        <v>197</v>
      </c>
      <c r="D30" s="13">
        <f t="shared" si="2"/>
        <v>305</v>
      </c>
      <c r="E30" s="13">
        <f>305</f>
        <v>305</v>
      </c>
      <c r="F30" s="13" t="s">
        <v>1086</v>
      </c>
      <c r="G30" s="13" t="s">
        <v>1091</v>
      </c>
      <c r="H30" s="13"/>
      <c r="I30" s="4" t="s">
        <v>13</v>
      </c>
    </row>
    <row r="31" spans="1:9" x14ac:dyDescent="0.25">
      <c r="A31" s="10">
        <f t="shared" si="4"/>
        <v>1</v>
      </c>
      <c r="B31" s="10" t="s">
        <v>398</v>
      </c>
      <c r="C31" s="11" t="s">
        <v>70</v>
      </c>
      <c r="D31" s="13">
        <f t="shared" si="2"/>
        <v>0.43</v>
      </c>
      <c r="E31" s="13">
        <v>0.43</v>
      </c>
      <c r="F31" s="13" t="s">
        <v>1086</v>
      </c>
      <c r="G31" s="13" t="s">
        <v>1091</v>
      </c>
      <c r="H31" s="13"/>
      <c r="I31" s="4" t="s">
        <v>13</v>
      </c>
    </row>
    <row r="32" spans="1:9" ht="15.75" customHeight="1" x14ac:dyDescent="0.25">
      <c r="A32" s="10">
        <f t="shared" si="4"/>
        <v>1</v>
      </c>
      <c r="B32" s="10" t="s">
        <v>99</v>
      </c>
      <c r="C32" s="11" t="s">
        <v>206</v>
      </c>
      <c r="D32" s="13">
        <f t="shared" si="1"/>
        <v>6.1</v>
      </c>
      <c r="E32" s="13">
        <v>6.1</v>
      </c>
      <c r="F32" s="13" t="s">
        <v>1086</v>
      </c>
      <c r="G32" s="13" t="s">
        <v>1092</v>
      </c>
      <c r="H32" s="13"/>
      <c r="I32" s="4" t="s">
        <v>13</v>
      </c>
    </row>
    <row r="33" spans="1:9" ht="15.75" customHeight="1" x14ac:dyDescent="0.25">
      <c r="A33" s="10">
        <f t="shared" si="4"/>
        <v>1</v>
      </c>
      <c r="B33" s="10" t="s">
        <v>299</v>
      </c>
      <c r="C33" s="11" t="s">
        <v>206</v>
      </c>
      <c r="D33" s="13">
        <f t="shared" si="1"/>
        <v>4.88</v>
      </c>
      <c r="E33" s="13">
        <v>4.88</v>
      </c>
      <c r="F33" s="13" t="s">
        <v>1086</v>
      </c>
      <c r="G33" s="13" t="s">
        <v>1092</v>
      </c>
      <c r="H33" s="13"/>
      <c r="I33" s="4" t="s">
        <v>13</v>
      </c>
    </row>
    <row r="34" spans="1:9" ht="14.25" x14ac:dyDescent="0.2">
      <c r="A34" s="10">
        <f t="shared" si="4"/>
        <v>1</v>
      </c>
      <c r="B34" s="82" t="s">
        <v>1733</v>
      </c>
      <c r="C34" s="83" t="s">
        <v>206</v>
      </c>
      <c r="D34" s="84">
        <f>E34*$D$1</f>
        <v>8.5370370370370363</v>
      </c>
      <c r="E34" s="84">
        <f>225.89/26.46</f>
        <v>8.5370370370370363</v>
      </c>
      <c r="F34" s="84" t="s">
        <v>1086</v>
      </c>
      <c r="G34" s="84" t="s">
        <v>1092</v>
      </c>
      <c r="H34" s="84"/>
      <c r="I34" s="85" t="s">
        <v>13</v>
      </c>
    </row>
    <row r="35" spans="1:9" ht="15.75" customHeight="1" x14ac:dyDescent="0.25">
      <c r="A35" s="10">
        <f t="shared" si="4"/>
        <v>1</v>
      </c>
      <c r="B35" s="10" t="s">
        <v>297</v>
      </c>
      <c r="C35" s="11" t="s">
        <v>206</v>
      </c>
      <c r="D35" s="13">
        <f t="shared" si="1"/>
        <v>9.1447124304267149</v>
      </c>
      <c r="E35" s="13">
        <v>9.1447124304267149</v>
      </c>
      <c r="F35" s="13" t="s">
        <v>1086</v>
      </c>
      <c r="G35" s="13" t="s">
        <v>1092</v>
      </c>
      <c r="H35" s="13"/>
      <c r="I35" s="4" t="s">
        <v>13</v>
      </c>
    </row>
    <row r="36" spans="1:9" ht="15.75" customHeight="1" x14ac:dyDescent="0.25">
      <c r="A36" s="10">
        <f t="shared" si="4"/>
        <v>1</v>
      </c>
      <c r="B36" s="10" t="s">
        <v>395</v>
      </c>
      <c r="C36" s="11" t="s">
        <v>197</v>
      </c>
      <c r="D36" s="13">
        <f t="shared" si="1"/>
        <v>2.5</v>
      </c>
      <c r="E36" s="13">
        <v>2.5</v>
      </c>
      <c r="F36" s="13" t="s">
        <v>1086</v>
      </c>
      <c r="G36" s="13" t="s">
        <v>1093</v>
      </c>
      <c r="H36" s="13"/>
      <c r="I36" s="4" t="s">
        <v>13</v>
      </c>
    </row>
    <row r="37" spans="1:9" ht="15.75" customHeight="1" x14ac:dyDescent="0.25">
      <c r="A37" s="10">
        <f t="shared" si="4"/>
        <v>1</v>
      </c>
      <c r="B37" s="10" t="s">
        <v>446</v>
      </c>
      <c r="C37" s="11" t="s">
        <v>70</v>
      </c>
      <c r="D37" s="13">
        <f t="shared" si="1"/>
        <v>14.27</v>
      </c>
      <c r="E37" s="13">
        <v>14.27</v>
      </c>
      <c r="F37" s="13" t="s">
        <v>1086</v>
      </c>
      <c r="G37" s="13" t="s">
        <v>1093</v>
      </c>
      <c r="H37" s="13"/>
      <c r="I37" s="4" t="s">
        <v>13</v>
      </c>
    </row>
    <row r="38" spans="1:9" ht="15.75" customHeight="1" x14ac:dyDescent="0.25">
      <c r="A38" s="10">
        <f t="shared" si="4"/>
        <v>1</v>
      </c>
      <c r="B38" s="10" t="s">
        <v>385</v>
      </c>
      <c r="C38" s="11" t="s">
        <v>197</v>
      </c>
      <c r="D38" s="13">
        <f t="shared" si="1"/>
        <v>7</v>
      </c>
      <c r="E38" s="13">
        <v>7</v>
      </c>
      <c r="F38" s="13" t="s">
        <v>1094</v>
      </c>
      <c r="G38" s="13" t="s">
        <v>1095</v>
      </c>
      <c r="H38" s="13"/>
      <c r="I38" s="4" t="s">
        <v>1096</v>
      </c>
    </row>
    <row r="39" spans="1:9" ht="15.75" customHeight="1" x14ac:dyDescent="0.25">
      <c r="A39" s="10">
        <f t="shared" si="4"/>
        <v>1</v>
      </c>
      <c r="B39" s="10" t="s">
        <v>388</v>
      </c>
      <c r="C39" s="11" t="s">
        <v>197</v>
      </c>
      <c r="D39" s="13">
        <f t="shared" si="1"/>
        <v>5.95</v>
      </c>
      <c r="E39" s="13">
        <v>5.95</v>
      </c>
      <c r="F39" s="13" t="s">
        <v>1094</v>
      </c>
      <c r="G39" s="13" t="s">
        <v>1095</v>
      </c>
      <c r="H39" s="13"/>
      <c r="I39" s="4" t="s">
        <v>1096</v>
      </c>
    </row>
    <row r="40" spans="1:9" ht="15.75" customHeight="1" x14ac:dyDescent="0.25">
      <c r="A40" s="10">
        <f t="shared" si="4"/>
        <v>1</v>
      </c>
      <c r="B40" s="10" t="s">
        <v>76</v>
      </c>
      <c r="C40" s="11" t="s">
        <v>197</v>
      </c>
      <c r="D40" s="13">
        <f t="shared" si="1"/>
        <v>2.95</v>
      </c>
      <c r="E40" s="13">
        <v>2.95</v>
      </c>
      <c r="F40" s="13" t="s">
        <v>1094</v>
      </c>
      <c r="G40" s="13" t="s">
        <v>1097</v>
      </c>
      <c r="H40" s="13"/>
      <c r="I40" s="4" t="s">
        <v>1098</v>
      </c>
    </row>
    <row r="41" spans="1:9" ht="15.75" customHeight="1" x14ac:dyDescent="0.25">
      <c r="A41" s="10">
        <f t="shared" si="4"/>
        <v>1</v>
      </c>
      <c r="B41" s="10" t="s">
        <v>367</v>
      </c>
      <c r="C41" s="11" t="s">
        <v>197</v>
      </c>
      <c r="D41" s="13">
        <f t="shared" si="1"/>
        <v>4.1861538461538466</v>
      </c>
      <c r="E41" s="13">
        <v>4.1861538461538466</v>
      </c>
      <c r="F41" s="13" t="s">
        <v>1094</v>
      </c>
      <c r="G41" s="13" t="s">
        <v>1097</v>
      </c>
      <c r="H41" s="13"/>
      <c r="I41" s="4" t="s">
        <v>1098</v>
      </c>
    </row>
    <row r="42" spans="1:9" ht="15.75" customHeight="1" x14ac:dyDescent="0.25">
      <c r="A42" s="10">
        <f t="shared" si="4"/>
        <v>1</v>
      </c>
      <c r="B42" s="10" t="s">
        <v>366</v>
      </c>
      <c r="C42" s="11" t="s">
        <v>197</v>
      </c>
      <c r="D42" s="13">
        <f t="shared" si="1"/>
        <v>3.9889743589743589</v>
      </c>
      <c r="E42" s="13">
        <v>3.9889743589743589</v>
      </c>
      <c r="F42" s="13" t="s">
        <v>1094</v>
      </c>
      <c r="G42" s="13" t="s">
        <v>1097</v>
      </c>
      <c r="H42" s="13"/>
      <c r="I42" s="4" t="s">
        <v>1098</v>
      </c>
    </row>
    <row r="43" spans="1:9" ht="15.75" customHeight="1" x14ac:dyDescent="0.25">
      <c r="A43" s="10">
        <f t="shared" si="4"/>
        <v>1</v>
      </c>
      <c r="B43" s="10" t="s">
        <v>365</v>
      </c>
      <c r="C43" s="11" t="s">
        <v>197</v>
      </c>
      <c r="D43" s="13">
        <f t="shared" si="1"/>
        <v>1.3760000000000001</v>
      </c>
      <c r="E43" s="13">
        <v>1.3760000000000001</v>
      </c>
      <c r="F43" s="13" t="s">
        <v>1094</v>
      </c>
      <c r="G43" s="13" t="s">
        <v>1097</v>
      </c>
      <c r="H43" s="13"/>
      <c r="I43" s="4" t="s">
        <v>1098</v>
      </c>
    </row>
    <row r="44" spans="1:9" ht="15.75" customHeight="1" x14ac:dyDescent="0.25">
      <c r="A44" s="10">
        <f t="shared" si="4"/>
        <v>1</v>
      </c>
      <c r="B44" s="10" t="s">
        <v>1099</v>
      </c>
      <c r="C44" s="11" t="s">
        <v>197</v>
      </c>
      <c r="D44" s="13">
        <f t="shared" si="1"/>
        <v>1.998</v>
      </c>
      <c r="E44" s="13">
        <v>1.998</v>
      </c>
      <c r="F44" s="13" t="s">
        <v>1094</v>
      </c>
      <c r="G44" s="13" t="s">
        <v>1097</v>
      </c>
      <c r="H44" s="13"/>
      <c r="I44" s="4" t="s">
        <v>1098</v>
      </c>
    </row>
    <row r="45" spans="1:9" ht="15.75" customHeight="1" x14ac:dyDescent="0.25">
      <c r="A45" s="10">
        <f t="shared" si="4"/>
        <v>1</v>
      </c>
      <c r="B45" s="10" t="s">
        <v>364</v>
      </c>
      <c r="C45" s="11" t="s">
        <v>197</v>
      </c>
      <c r="D45" s="13">
        <f t="shared" si="1"/>
        <v>1.998</v>
      </c>
      <c r="E45" s="13">
        <v>1.998</v>
      </c>
      <c r="F45" s="13" t="s">
        <v>1094</v>
      </c>
      <c r="G45" s="13" t="s">
        <v>1097</v>
      </c>
      <c r="H45" s="13"/>
      <c r="I45" s="4" t="s">
        <v>1098</v>
      </c>
    </row>
    <row r="46" spans="1:9" ht="15.75" customHeight="1" x14ac:dyDescent="0.25">
      <c r="A46" s="10">
        <f t="shared" si="4"/>
        <v>1</v>
      </c>
      <c r="B46" s="10" t="s">
        <v>363</v>
      </c>
      <c r="C46" s="11" t="s">
        <v>197</v>
      </c>
      <c r="D46" s="13">
        <f t="shared" si="1"/>
        <v>4.0199999999999996</v>
      </c>
      <c r="E46" s="13">
        <v>4.0199999999999996</v>
      </c>
      <c r="F46" s="13" t="s">
        <v>1094</v>
      </c>
      <c r="G46" s="13" t="s">
        <v>1097</v>
      </c>
      <c r="H46" s="13"/>
      <c r="I46" s="4" t="s">
        <v>1098</v>
      </c>
    </row>
    <row r="47" spans="1:9" ht="15.75" customHeight="1" x14ac:dyDescent="0.25">
      <c r="A47" s="10">
        <f t="shared" si="4"/>
        <v>1</v>
      </c>
      <c r="B47" s="10" t="s">
        <v>373</v>
      </c>
      <c r="C47" s="11" t="s">
        <v>197</v>
      </c>
      <c r="D47" s="13">
        <f t="shared" si="1"/>
        <v>4.1861538461538466</v>
      </c>
      <c r="E47" s="13">
        <v>4.1861538461538466</v>
      </c>
      <c r="F47" s="13" t="s">
        <v>1094</v>
      </c>
      <c r="G47" s="13" t="s">
        <v>1097</v>
      </c>
      <c r="H47" s="13"/>
      <c r="I47" s="4" t="s">
        <v>1098</v>
      </c>
    </row>
    <row r="48" spans="1:9" ht="15.75" customHeight="1" x14ac:dyDescent="0.25">
      <c r="A48" s="10">
        <f t="shared" si="4"/>
        <v>1</v>
      </c>
      <c r="B48" s="10" t="s">
        <v>372</v>
      </c>
      <c r="C48" s="11" t="s">
        <v>197</v>
      </c>
      <c r="D48" s="13">
        <f t="shared" si="1"/>
        <v>3.9889743589743589</v>
      </c>
      <c r="E48" s="13">
        <v>3.9889743589743589</v>
      </c>
      <c r="F48" s="13" t="s">
        <v>1094</v>
      </c>
      <c r="G48" s="13" t="s">
        <v>1097</v>
      </c>
      <c r="H48" s="13"/>
      <c r="I48" s="4" t="s">
        <v>1098</v>
      </c>
    </row>
    <row r="49" spans="1:9" ht="15.75" customHeight="1" x14ac:dyDescent="0.25">
      <c r="A49" s="10">
        <f t="shared" si="4"/>
        <v>1</v>
      </c>
      <c r="B49" s="10" t="s">
        <v>371</v>
      </c>
      <c r="C49" s="11" t="s">
        <v>197</v>
      </c>
      <c r="D49" s="13">
        <f t="shared" si="1"/>
        <v>1.4359999999999999</v>
      </c>
      <c r="E49" s="13">
        <v>1.4359999999999999</v>
      </c>
      <c r="F49" s="13" t="s">
        <v>1094</v>
      </c>
      <c r="G49" s="13" t="s">
        <v>1097</v>
      </c>
      <c r="H49" s="13"/>
      <c r="I49" s="4" t="s">
        <v>1098</v>
      </c>
    </row>
    <row r="50" spans="1:9" ht="15.75" customHeight="1" x14ac:dyDescent="0.25">
      <c r="A50" s="10">
        <f t="shared" si="4"/>
        <v>1</v>
      </c>
      <c r="B50" s="10" t="s">
        <v>370</v>
      </c>
      <c r="C50" s="11" t="s">
        <v>197</v>
      </c>
      <c r="D50" s="13">
        <f t="shared" si="1"/>
        <v>2.0979999999999999</v>
      </c>
      <c r="E50" s="13">
        <v>2.0979999999999999</v>
      </c>
      <c r="F50" s="13" t="s">
        <v>1094</v>
      </c>
      <c r="G50" s="13" t="s">
        <v>1097</v>
      </c>
      <c r="H50" s="13"/>
      <c r="I50" s="4" t="s">
        <v>1098</v>
      </c>
    </row>
    <row r="51" spans="1:9" ht="15.75" customHeight="1" x14ac:dyDescent="0.25">
      <c r="A51" s="10">
        <f t="shared" si="4"/>
        <v>1</v>
      </c>
      <c r="B51" s="10" t="s">
        <v>369</v>
      </c>
      <c r="C51" s="11" t="s">
        <v>197</v>
      </c>
      <c r="D51" s="13">
        <f t="shared" si="1"/>
        <v>4.1890000000000001</v>
      </c>
      <c r="E51" s="13">
        <v>4.1890000000000001</v>
      </c>
      <c r="F51" s="13" t="s">
        <v>1094</v>
      </c>
      <c r="G51" s="13" t="s">
        <v>1097</v>
      </c>
      <c r="H51" s="13"/>
      <c r="I51" s="4" t="s">
        <v>1098</v>
      </c>
    </row>
    <row r="52" spans="1:9" ht="15.75" customHeight="1" x14ac:dyDescent="0.25">
      <c r="A52" s="10">
        <f t="shared" si="4"/>
        <v>1</v>
      </c>
      <c r="B52" s="10" t="s">
        <v>376</v>
      </c>
      <c r="C52" s="11" t="s">
        <v>197</v>
      </c>
      <c r="D52" s="13">
        <f t="shared" si="1"/>
        <v>3.22</v>
      </c>
      <c r="E52" s="13">
        <v>3.22</v>
      </c>
      <c r="F52" s="13" t="s">
        <v>1094</v>
      </c>
      <c r="G52" s="13" t="s">
        <v>1097</v>
      </c>
      <c r="H52" s="13"/>
      <c r="I52" s="4" t="s">
        <v>1098</v>
      </c>
    </row>
    <row r="53" spans="1:9" ht="14.25" x14ac:dyDescent="0.2">
      <c r="A53" s="10">
        <f t="shared" si="4"/>
        <v>1</v>
      </c>
      <c r="B53" s="82" t="s">
        <v>1714</v>
      </c>
      <c r="C53" s="83" t="s">
        <v>197</v>
      </c>
      <c r="D53" s="84">
        <f t="shared" ref="D53:D61" si="5">E53*$D$1</f>
        <v>4.5</v>
      </c>
      <c r="E53" s="84">
        <v>4.5</v>
      </c>
      <c r="F53" s="84" t="s">
        <v>1094</v>
      </c>
      <c r="G53" s="84" t="s">
        <v>1100</v>
      </c>
      <c r="H53" s="84"/>
      <c r="I53" s="85" t="s">
        <v>1098</v>
      </c>
    </row>
    <row r="54" spans="1:9" ht="14.25" x14ac:dyDescent="0.2">
      <c r="A54" s="10">
        <f t="shared" si="4"/>
        <v>1</v>
      </c>
      <c r="B54" s="82" t="s">
        <v>1716</v>
      </c>
      <c r="C54" s="83" t="s">
        <v>197</v>
      </c>
      <c r="D54" s="84">
        <f t="shared" si="5"/>
        <v>6.5</v>
      </c>
      <c r="E54" s="84">
        <v>6.5</v>
      </c>
      <c r="F54" s="84" t="s">
        <v>1094</v>
      </c>
      <c r="G54" s="84" t="s">
        <v>1100</v>
      </c>
      <c r="H54" s="84"/>
      <c r="I54" s="85" t="s">
        <v>1098</v>
      </c>
    </row>
    <row r="55" spans="1:9" ht="14.25" x14ac:dyDescent="0.2">
      <c r="A55" s="10">
        <f t="shared" si="4"/>
        <v>1</v>
      </c>
      <c r="B55" s="82" t="s">
        <v>1718</v>
      </c>
      <c r="C55" s="83" t="s">
        <v>197</v>
      </c>
      <c r="D55" s="84">
        <f t="shared" si="5"/>
        <v>10</v>
      </c>
      <c r="E55" s="84">
        <v>10</v>
      </c>
      <c r="F55" s="84" t="s">
        <v>1094</v>
      </c>
      <c r="G55" s="84" t="s">
        <v>1100</v>
      </c>
      <c r="H55" s="84"/>
      <c r="I55" s="85" t="s">
        <v>1098</v>
      </c>
    </row>
    <row r="56" spans="1:9" ht="14.25" x14ac:dyDescent="0.2">
      <c r="A56" s="10">
        <f t="shared" si="4"/>
        <v>1</v>
      </c>
      <c r="B56" s="82" t="s">
        <v>1720</v>
      </c>
      <c r="C56" s="83" t="s">
        <v>197</v>
      </c>
      <c r="D56" s="84">
        <f t="shared" si="5"/>
        <v>9.5</v>
      </c>
      <c r="E56" s="84">
        <v>9.5</v>
      </c>
      <c r="F56" s="84" t="s">
        <v>1094</v>
      </c>
      <c r="G56" s="84" t="s">
        <v>1100</v>
      </c>
      <c r="H56" s="84"/>
      <c r="I56" s="85" t="s">
        <v>1098</v>
      </c>
    </row>
    <row r="57" spans="1:9" ht="14.25" x14ac:dyDescent="0.2">
      <c r="A57" s="10">
        <f t="shared" si="4"/>
        <v>1</v>
      </c>
      <c r="B57" s="82" t="s">
        <v>1730</v>
      </c>
      <c r="C57" s="83" t="s">
        <v>197</v>
      </c>
      <c r="D57" s="84">
        <f t="shared" si="5"/>
        <v>14.5</v>
      </c>
      <c r="E57" s="84">
        <v>14.5</v>
      </c>
      <c r="F57" s="84" t="s">
        <v>1094</v>
      </c>
      <c r="G57" s="84" t="s">
        <v>1100</v>
      </c>
      <c r="H57" s="84"/>
      <c r="I57" s="85" t="s">
        <v>1098</v>
      </c>
    </row>
    <row r="58" spans="1:9" ht="14.25" x14ac:dyDescent="0.2">
      <c r="A58" s="10">
        <f t="shared" si="4"/>
        <v>1</v>
      </c>
      <c r="B58" s="82" t="s">
        <v>1723</v>
      </c>
      <c r="C58" s="83" t="s">
        <v>197</v>
      </c>
      <c r="D58" s="84">
        <f t="shared" si="5"/>
        <v>4.8</v>
      </c>
      <c r="E58" s="84">
        <v>4.8</v>
      </c>
      <c r="F58" s="84" t="s">
        <v>1094</v>
      </c>
      <c r="G58" s="84" t="s">
        <v>1100</v>
      </c>
      <c r="H58" s="84"/>
      <c r="I58" s="85" t="s">
        <v>1098</v>
      </c>
    </row>
    <row r="59" spans="1:9" ht="14.25" x14ac:dyDescent="0.2">
      <c r="A59" s="10">
        <f t="shared" si="4"/>
        <v>1</v>
      </c>
      <c r="B59" s="82" t="s">
        <v>1725</v>
      </c>
      <c r="C59" s="83" t="s">
        <v>197</v>
      </c>
      <c r="D59" s="84">
        <f t="shared" si="5"/>
        <v>6.8</v>
      </c>
      <c r="E59" s="84">
        <v>6.8</v>
      </c>
      <c r="F59" s="84" t="s">
        <v>1094</v>
      </c>
      <c r="G59" s="84" t="s">
        <v>1100</v>
      </c>
      <c r="H59" s="84"/>
      <c r="I59" s="85" t="s">
        <v>1098</v>
      </c>
    </row>
    <row r="60" spans="1:9" ht="14.25" x14ac:dyDescent="0.2">
      <c r="A60" s="10">
        <f t="shared" si="4"/>
        <v>1</v>
      </c>
      <c r="B60" s="82" t="s">
        <v>1727</v>
      </c>
      <c r="C60" s="83" t="s">
        <v>197</v>
      </c>
      <c r="D60" s="84">
        <f t="shared" si="5"/>
        <v>9.8000000000000007</v>
      </c>
      <c r="E60" s="84">
        <v>9.8000000000000007</v>
      </c>
      <c r="F60" s="84" t="s">
        <v>1094</v>
      </c>
      <c r="G60" s="84" t="s">
        <v>1100</v>
      </c>
      <c r="H60" s="84"/>
      <c r="I60" s="85" t="s">
        <v>1098</v>
      </c>
    </row>
    <row r="61" spans="1:9" ht="14.25" x14ac:dyDescent="0.2">
      <c r="A61" s="10">
        <f t="shared" si="4"/>
        <v>1</v>
      </c>
      <c r="B61" s="82" t="s">
        <v>1729</v>
      </c>
      <c r="C61" s="83" t="s">
        <v>197</v>
      </c>
      <c r="D61" s="84">
        <f t="shared" si="5"/>
        <v>8.5</v>
      </c>
      <c r="E61" s="84">
        <v>8.5</v>
      </c>
      <c r="F61" s="84" t="s">
        <v>1094</v>
      </c>
      <c r="G61" s="84" t="s">
        <v>1100</v>
      </c>
      <c r="H61" s="84"/>
      <c r="I61" s="85" t="s">
        <v>1098</v>
      </c>
    </row>
    <row r="62" spans="1:9" ht="15.75" customHeight="1" x14ac:dyDescent="0.25">
      <c r="A62" s="10">
        <f t="shared" ref="A62:A93" si="6">COUNTIFS($B$2:$B$996,B62)</f>
        <v>1</v>
      </c>
      <c r="B62" s="10" t="s">
        <v>374</v>
      </c>
      <c r="C62" s="11" t="s">
        <v>197</v>
      </c>
      <c r="D62" s="13">
        <f t="shared" si="1"/>
        <v>3.3050000000000002</v>
      </c>
      <c r="E62" s="13">
        <v>3.3050000000000002</v>
      </c>
      <c r="F62" s="13" t="s">
        <v>1094</v>
      </c>
      <c r="G62" s="13" t="s">
        <v>1097</v>
      </c>
      <c r="H62" s="13"/>
      <c r="I62" s="4" t="s">
        <v>1098</v>
      </c>
    </row>
    <row r="63" spans="1:9" ht="15.75" customHeight="1" x14ac:dyDescent="0.25">
      <c r="A63" s="10">
        <f t="shared" si="6"/>
        <v>1</v>
      </c>
      <c r="B63" s="10" t="s">
        <v>377</v>
      </c>
      <c r="C63" s="11" t="s">
        <v>197</v>
      </c>
      <c r="D63" s="13">
        <f t="shared" si="1"/>
        <v>4.09</v>
      </c>
      <c r="E63" s="13">
        <v>4.09</v>
      </c>
      <c r="F63" s="13" t="s">
        <v>1094</v>
      </c>
      <c r="G63" s="13" t="s">
        <v>1097</v>
      </c>
      <c r="H63" s="13"/>
      <c r="I63" s="4" t="s">
        <v>1098</v>
      </c>
    </row>
    <row r="64" spans="1:9" ht="15.75" customHeight="1" x14ac:dyDescent="0.25">
      <c r="A64" s="10">
        <f t="shared" si="6"/>
        <v>1</v>
      </c>
      <c r="B64" s="10" t="s">
        <v>355</v>
      </c>
      <c r="C64" s="11" t="s">
        <v>197</v>
      </c>
      <c r="D64" s="13">
        <f t="shared" si="1"/>
        <v>1.69</v>
      </c>
      <c r="E64" s="13">
        <v>1.69</v>
      </c>
      <c r="F64" s="13" t="s">
        <v>1094</v>
      </c>
      <c r="G64" s="13" t="s">
        <v>1097</v>
      </c>
      <c r="H64" s="13"/>
      <c r="I64" s="4" t="s">
        <v>1098</v>
      </c>
    </row>
    <row r="65" spans="1:9" ht="15.75" customHeight="1" x14ac:dyDescent="0.25">
      <c r="A65" s="10">
        <f t="shared" si="6"/>
        <v>1</v>
      </c>
      <c r="B65" s="10" t="s">
        <v>358</v>
      </c>
      <c r="C65" s="11" t="s">
        <v>197</v>
      </c>
      <c r="D65" s="13">
        <f t="shared" si="1"/>
        <v>2.76</v>
      </c>
      <c r="E65" s="13">
        <v>2.76</v>
      </c>
      <c r="F65" s="13" t="s">
        <v>1094</v>
      </c>
      <c r="G65" s="13" t="s">
        <v>1097</v>
      </c>
      <c r="H65" s="13"/>
      <c r="I65" s="4" t="s">
        <v>1098</v>
      </c>
    </row>
    <row r="66" spans="1:9" ht="15.75" customHeight="1" x14ac:dyDescent="0.25">
      <c r="A66" s="10">
        <f t="shared" si="6"/>
        <v>1</v>
      </c>
      <c r="B66" s="10" t="s">
        <v>347</v>
      </c>
      <c r="C66" s="11" t="s">
        <v>197</v>
      </c>
      <c r="D66" s="13">
        <f>E66*$D$1</f>
        <v>1.4</v>
      </c>
      <c r="E66" s="13">
        <v>1.4</v>
      </c>
      <c r="F66" s="13" t="s">
        <v>1094</v>
      </c>
      <c r="G66" s="13" t="s">
        <v>1100</v>
      </c>
      <c r="H66" s="13"/>
      <c r="I66" s="4" t="s">
        <v>1098</v>
      </c>
    </row>
    <row r="67" spans="1:9" ht="15.75" customHeight="1" x14ac:dyDescent="0.25">
      <c r="A67" s="10">
        <f t="shared" si="6"/>
        <v>1</v>
      </c>
      <c r="B67" s="10" t="s">
        <v>1101</v>
      </c>
      <c r="C67" s="11" t="s">
        <v>197</v>
      </c>
      <c r="D67" s="13">
        <f>E67*$D$1</f>
        <v>0.99</v>
      </c>
      <c r="E67" s="13">
        <v>0.99</v>
      </c>
      <c r="F67" s="13" t="s">
        <v>1094</v>
      </c>
      <c r="G67" s="13" t="s">
        <v>1100</v>
      </c>
      <c r="H67" s="13"/>
      <c r="I67" s="4" t="s">
        <v>1098</v>
      </c>
    </row>
    <row r="68" spans="1:9" ht="15.75" customHeight="1" x14ac:dyDescent="0.25">
      <c r="A68" s="10">
        <f t="shared" si="6"/>
        <v>1</v>
      </c>
      <c r="B68" s="10" t="s">
        <v>2754</v>
      </c>
      <c r="C68" s="11" t="s">
        <v>197</v>
      </c>
      <c r="D68" s="13">
        <f t="shared" si="1"/>
        <v>1.1499999999999999</v>
      </c>
      <c r="E68" s="13">
        <f>E66*11.5/14</f>
        <v>1.1499999999999999</v>
      </c>
      <c r="F68" s="13" t="s">
        <v>1094</v>
      </c>
      <c r="G68" s="13" t="s">
        <v>1100</v>
      </c>
      <c r="H68" s="13"/>
      <c r="I68" s="4" t="s">
        <v>1098</v>
      </c>
    </row>
    <row r="69" spans="1:9" ht="15.75" customHeight="1" x14ac:dyDescent="0.25">
      <c r="A69" s="10">
        <f t="shared" si="6"/>
        <v>1</v>
      </c>
      <c r="B69" s="10" t="s">
        <v>2755</v>
      </c>
      <c r="C69" s="11" t="s">
        <v>197</v>
      </c>
      <c r="D69" s="13">
        <f t="shared" si="1"/>
        <v>1.9</v>
      </c>
      <c r="E69" s="13">
        <f>E66*19/14</f>
        <v>1.9</v>
      </c>
      <c r="F69" s="13" t="s">
        <v>1094</v>
      </c>
      <c r="G69" s="13" t="s">
        <v>1100</v>
      </c>
      <c r="H69" s="13"/>
      <c r="I69" s="4" t="s">
        <v>1098</v>
      </c>
    </row>
    <row r="70" spans="1:9" ht="15.75" customHeight="1" x14ac:dyDescent="0.25">
      <c r="A70" s="10">
        <f t="shared" si="6"/>
        <v>1</v>
      </c>
      <c r="B70" s="10" t="s">
        <v>341</v>
      </c>
      <c r="C70" s="11" t="s">
        <v>197</v>
      </c>
      <c r="D70" s="13">
        <f t="shared" si="1"/>
        <v>0.99</v>
      </c>
      <c r="E70" s="13">
        <v>0.99</v>
      </c>
      <c r="F70" s="13" t="s">
        <v>1094</v>
      </c>
      <c r="G70" s="13" t="s">
        <v>1100</v>
      </c>
      <c r="H70" s="13"/>
      <c r="I70" s="4" t="s">
        <v>1098</v>
      </c>
    </row>
    <row r="71" spans="1:9" ht="15.75" customHeight="1" x14ac:dyDescent="0.25">
      <c r="A71" s="10">
        <f t="shared" si="6"/>
        <v>1</v>
      </c>
      <c r="B71" s="10" t="s">
        <v>343</v>
      </c>
      <c r="C71" s="11" t="s">
        <v>197</v>
      </c>
      <c r="D71" s="13">
        <f t="shared" si="1"/>
        <v>1.24</v>
      </c>
      <c r="E71" s="13">
        <v>1.24</v>
      </c>
      <c r="F71" s="13" t="s">
        <v>1094</v>
      </c>
      <c r="G71" s="13" t="s">
        <v>1100</v>
      </c>
      <c r="H71" s="13"/>
      <c r="I71" s="4" t="s">
        <v>1098</v>
      </c>
    </row>
    <row r="72" spans="1:9" ht="15.75" customHeight="1" x14ac:dyDescent="0.25">
      <c r="A72" s="10">
        <f t="shared" si="6"/>
        <v>1</v>
      </c>
      <c r="B72" s="10" t="s">
        <v>345</v>
      </c>
      <c r="C72" s="11" t="s">
        <v>197</v>
      </c>
      <c r="D72" s="13">
        <f>E72*$D$1</f>
        <v>2.6</v>
      </c>
      <c r="E72" s="13">
        <v>2.6</v>
      </c>
      <c r="F72" s="13" t="s">
        <v>1094</v>
      </c>
      <c r="G72" s="13" t="s">
        <v>1100</v>
      </c>
      <c r="H72" s="13"/>
      <c r="I72" s="4" t="s">
        <v>1098</v>
      </c>
    </row>
    <row r="73" spans="1:9" ht="15.75" customHeight="1" x14ac:dyDescent="0.25">
      <c r="A73" s="10">
        <f t="shared" si="6"/>
        <v>1</v>
      </c>
      <c r="B73" s="10" t="s">
        <v>1593</v>
      </c>
      <c r="C73" s="11" t="s">
        <v>197</v>
      </c>
      <c r="D73" s="13">
        <f t="shared" si="1"/>
        <v>1.59</v>
      </c>
      <c r="E73" s="13">
        <v>1.59</v>
      </c>
      <c r="F73" s="13" t="s">
        <v>1094</v>
      </c>
      <c r="G73" s="13" t="s">
        <v>1100</v>
      </c>
      <c r="H73" s="13"/>
      <c r="I73" s="4" t="s">
        <v>1098</v>
      </c>
    </row>
    <row r="74" spans="1:9" ht="15.75" customHeight="1" x14ac:dyDescent="0.25">
      <c r="A74" s="10">
        <f t="shared" si="6"/>
        <v>1</v>
      </c>
      <c r="B74" s="10" t="s">
        <v>349</v>
      </c>
      <c r="C74" s="11" t="s">
        <v>197</v>
      </c>
      <c r="D74" s="13">
        <f t="shared" si="1"/>
        <v>2.7</v>
      </c>
      <c r="E74" s="13">
        <v>2.7</v>
      </c>
      <c r="F74" s="13" t="s">
        <v>1094</v>
      </c>
      <c r="G74" s="13" t="s">
        <v>1100</v>
      </c>
      <c r="H74" s="13"/>
      <c r="I74" s="4" t="s">
        <v>1098</v>
      </c>
    </row>
    <row r="75" spans="1:9" ht="15.75" customHeight="1" x14ac:dyDescent="0.25">
      <c r="A75" s="10">
        <f t="shared" si="6"/>
        <v>1</v>
      </c>
      <c r="B75" s="10" t="s">
        <v>1323</v>
      </c>
      <c r="C75" s="11" t="s">
        <v>197</v>
      </c>
      <c r="D75" s="13">
        <f>E75*$D$1</f>
        <v>3.4500000000000006</v>
      </c>
      <c r="E75" s="13">
        <f>E74/9*11.5</f>
        <v>3.4500000000000006</v>
      </c>
      <c r="F75" s="13" t="s">
        <v>1094</v>
      </c>
      <c r="G75" s="13" t="s">
        <v>1100</v>
      </c>
      <c r="H75" s="13"/>
      <c r="I75" s="4" t="s">
        <v>1098</v>
      </c>
    </row>
    <row r="76" spans="1:9" ht="15.75" customHeight="1" x14ac:dyDescent="0.25">
      <c r="A76" s="10">
        <f t="shared" si="6"/>
        <v>1</v>
      </c>
      <c r="B76" s="10" t="s">
        <v>1324</v>
      </c>
      <c r="C76" s="11" t="s">
        <v>197</v>
      </c>
      <c r="D76" s="13">
        <f>E76*$D$1</f>
        <v>5.7000000000000011</v>
      </c>
      <c r="E76" s="13">
        <f>E74/9*19</f>
        <v>5.7000000000000011</v>
      </c>
      <c r="F76" s="13" t="s">
        <v>1094</v>
      </c>
      <c r="G76" s="13" t="s">
        <v>1100</v>
      </c>
      <c r="H76" s="13"/>
      <c r="I76" s="4" t="s">
        <v>1098</v>
      </c>
    </row>
    <row r="77" spans="1:9" ht="15.75" customHeight="1" x14ac:dyDescent="0.25">
      <c r="A77" s="10">
        <f t="shared" si="6"/>
        <v>1</v>
      </c>
      <c r="B77" s="10" t="s">
        <v>383</v>
      </c>
      <c r="C77" s="11" t="s">
        <v>197</v>
      </c>
      <c r="D77" s="13">
        <f t="shared" si="1"/>
        <v>15</v>
      </c>
      <c r="E77" s="13">
        <v>15</v>
      </c>
      <c r="F77" s="13" t="s">
        <v>1094</v>
      </c>
      <c r="G77" s="13" t="s">
        <v>1100</v>
      </c>
      <c r="H77" s="4"/>
      <c r="I77" s="4" t="s">
        <v>1098</v>
      </c>
    </row>
    <row r="78" spans="1:9" ht="15.75" customHeight="1" x14ac:dyDescent="0.25">
      <c r="A78" s="10">
        <f t="shared" si="6"/>
        <v>1</v>
      </c>
      <c r="B78" s="10" t="s">
        <v>381</v>
      </c>
      <c r="C78" s="11" t="s">
        <v>197</v>
      </c>
      <c r="D78" s="13">
        <f t="shared" si="1"/>
        <v>11.99</v>
      </c>
      <c r="E78" s="13">
        <v>11.99</v>
      </c>
      <c r="F78" s="13" t="s">
        <v>1094</v>
      </c>
      <c r="G78" s="13" t="s">
        <v>1100</v>
      </c>
      <c r="H78" s="13"/>
      <c r="I78" s="4" t="s">
        <v>1098</v>
      </c>
    </row>
    <row r="79" spans="1:9" ht="15.75" customHeight="1" x14ac:dyDescent="0.25">
      <c r="A79" s="10">
        <f t="shared" si="6"/>
        <v>1</v>
      </c>
      <c r="B79" s="10" t="s">
        <v>351</v>
      </c>
      <c r="C79" s="11" t="s">
        <v>197</v>
      </c>
      <c r="D79" s="13">
        <f t="shared" si="1"/>
        <v>1.05</v>
      </c>
      <c r="E79" s="13">
        <v>1.05</v>
      </c>
      <c r="F79" s="13" t="s">
        <v>1094</v>
      </c>
      <c r="G79" s="13" t="s">
        <v>1100</v>
      </c>
      <c r="H79" s="13"/>
      <c r="I79" s="4" t="s">
        <v>1098</v>
      </c>
    </row>
    <row r="80" spans="1:9" ht="15.75" customHeight="1" x14ac:dyDescent="0.25">
      <c r="A80" s="10">
        <f t="shared" si="6"/>
        <v>1</v>
      </c>
      <c r="B80" s="10" t="s">
        <v>352</v>
      </c>
      <c r="C80" s="11" t="s">
        <v>197</v>
      </c>
      <c r="D80" s="13">
        <f t="shared" si="1"/>
        <v>1.18</v>
      </c>
      <c r="E80" s="13">
        <v>1.18</v>
      </c>
      <c r="F80" s="13" t="s">
        <v>1094</v>
      </c>
      <c r="G80" s="13" t="s">
        <v>1100</v>
      </c>
      <c r="H80" s="13"/>
      <c r="I80" s="4" t="s">
        <v>1098</v>
      </c>
    </row>
    <row r="81" spans="1:9" ht="15.75" customHeight="1" x14ac:dyDescent="0.25">
      <c r="A81" s="10">
        <f t="shared" si="6"/>
        <v>1</v>
      </c>
      <c r="B81" s="10" t="s">
        <v>353</v>
      </c>
      <c r="C81" s="11" t="s">
        <v>197</v>
      </c>
      <c r="D81" s="13">
        <f t="shared" si="1"/>
        <v>1.43</v>
      </c>
      <c r="E81" s="13">
        <v>1.43</v>
      </c>
      <c r="F81" s="13" t="s">
        <v>1094</v>
      </c>
      <c r="G81" s="13" t="s">
        <v>1100</v>
      </c>
      <c r="H81" s="13"/>
      <c r="I81" s="4" t="s">
        <v>1098</v>
      </c>
    </row>
    <row r="82" spans="1:9" ht="15.75" customHeight="1" x14ac:dyDescent="0.25">
      <c r="A82" s="10">
        <f t="shared" si="6"/>
        <v>1</v>
      </c>
      <c r="B82" s="10" t="s">
        <v>354</v>
      </c>
      <c r="C82" s="11" t="s">
        <v>197</v>
      </c>
      <c r="D82" s="13">
        <f>E82*$D$1</f>
        <v>1.72</v>
      </c>
      <c r="E82" s="13">
        <v>1.72</v>
      </c>
      <c r="F82" s="13" t="s">
        <v>1094</v>
      </c>
      <c r="G82" s="13" t="s">
        <v>1100</v>
      </c>
      <c r="H82" s="13"/>
      <c r="I82" s="4" t="s">
        <v>1098</v>
      </c>
    </row>
    <row r="83" spans="1:9" ht="15.75" customHeight="1" x14ac:dyDescent="0.25">
      <c r="A83" s="10">
        <f t="shared" si="6"/>
        <v>1</v>
      </c>
      <c r="B83" s="10" t="s">
        <v>1320</v>
      </c>
      <c r="C83" s="11" t="s">
        <v>197</v>
      </c>
      <c r="D83" s="13">
        <f t="shared" si="1"/>
        <v>2.3342857142857145</v>
      </c>
      <c r="E83" s="13">
        <f>E82/14*19</f>
        <v>2.3342857142857145</v>
      </c>
      <c r="F83" s="13" t="s">
        <v>1094</v>
      </c>
      <c r="G83" s="13" t="s">
        <v>1100</v>
      </c>
      <c r="H83" s="13"/>
      <c r="I83" s="4" t="s">
        <v>1098</v>
      </c>
    </row>
    <row r="84" spans="1:9" ht="15.75" customHeight="1" x14ac:dyDescent="0.25">
      <c r="A84" s="10">
        <f t="shared" si="6"/>
        <v>1</v>
      </c>
      <c r="B84" s="15" t="s">
        <v>359</v>
      </c>
      <c r="C84" s="11" t="s">
        <v>152</v>
      </c>
      <c r="D84" s="13">
        <f t="shared" si="1"/>
        <v>10.71</v>
      </c>
      <c r="E84" s="13">
        <v>10.71</v>
      </c>
      <c r="F84" s="13" t="s">
        <v>1102</v>
      </c>
      <c r="G84" s="13" t="s">
        <v>1103</v>
      </c>
      <c r="H84" s="13"/>
      <c r="I84" s="4" t="s">
        <v>1102</v>
      </c>
    </row>
    <row r="85" spans="1:9" ht="15.75" customHeight="1" x14ac:dyDescent="0.25">
      <c r="A85" s="10">
        <f t="shared" si="6"/>
        <v>1</v>
      </c>
      <c r="B85" s="15" t="s">
        <v>360</v>
      </c>
      <c r="C85" s="11" t="s">
        <v>152</v>
      </c>
      <c r="D85" s="13">
        <f t="shared" si="1"/>
        <v>12.41</v>
      </c>
      <c r="E85" s="13">
        <v>12.41</v>
      </c>
      <c r="F85" s="13" t="s">
        <v>1102</v>
      </c>
      <c r="G85" s="13" t="s">
        <v>1103</v>
      </c>
      <c r="H85" s="13"/>
      <c r="I85" s="4" t="s">
        <v>1102</v>
      </c>
    </row>
    <row r="86" spans="1:9" ht="15.75" customHeight="1" x14ac:dyDescent="0.25">
      <c r="A86" s="10">
        <f t="shared" si="6"/>
        <v>1</v>
      </c>
      <c r="B86" s="15" t="s">
        <v>361</v>
      </c>
      <c r="C86" s="11" t="s">
        <v>152</v>
      </c>
      <c r="D86" s="13">
        <f t="shared" si="1"/>
        <v>17.91</v>
      </c>
      <c r="E86" s="13">
        <v>17.91</v>
      </c>
      <c r="F86" s="13" t="s">
        <v>1102</v>
      </c>
      <c r="G86" s="13" t="s">
        <v>1103</v>
      </c>
      <c r="H86" s="13"/>
      <c r="I86" s="4" t="s">
        <v>1102</v>
      </c>
    </row>
    <row r="87" spans="1:9" ht="15.75" customHeight="1" x14ac:dyDescent="0.25">
      <c r="A87" s="10">
        <f t="shared" si="6"/>
        <v>1</v>
      </c>
      <c r="B87" s="15" t="s">
        <v>1329</v>
      </c>
      <c r="C87" s="11" t="s">
        <v>152</v>
      </c>
      <c r="D87" s="13">
        <f>E87*$D$1</f>
        <v>16.440000000000001</v>
      </c>
      <c r="E87" s="13">
        <v>16.440000000000001</v>
      </c>
      <c r="F87" s="13" t="s">
        <v>1102</v>
      </c>
      <c r="G87" s="13" t="s">
        <v>1103</v>
      </c>
      <c r="H87" s="13"/>
      <c r="I87" s="4" t="s">
        <v>1102</v>
      </c>
    </row>
    <row r="88" spans="1:9" ht="14.25" x14ac:dyDescent="0.2">
      <c r="A88" s="10">
        <f t="shared" si="6"/>
        <v>1</v>
      </c>
      <c r="B88" s="87" t="s">
        <v>1865</v>
      </c>
      <c r="C88" s="83" t="s">
        <v>152</v>
      </c>
      <c r="D88" s="84">
        <f>E88*$D$1</f>
        <v>43.48</v>
      </c>
      <c r="E88" s="84">
        <v>43.48</v>
      </c>
      <c r="F88" s="84" t="s">
        <v>1102</v>
      </c>
      <c r="G88" s="84" t="s">
        <v>1104</v>
      </c>
      <c r="H88" s="84"/>
      <c r="I88" s="85" t="s">
        <v>1102</v>
      </c>
    </row>
    <row r="89" spans="1:9" ht="15.75" customHeight="1" x14ac:dyDescent="0.25">
      <c r="A89" s="10">
        <f t="shared" si="6"/>
        <v>1</v>
      </c>
      <c r="B89" s="15" t="s">
        <v>492</v>
      </c>
      <c r="C89" s="11" t="s">
        <v>152</v>
      </c>
      <c r="D89" s="13">
        <f t="shared" si="1"/>
        <v>657.89</v>
      </c>
      <c r="E89" s="13">
        <v>657.89</v>
      </c>
      <c r="F89" s="13" t="s">
        <v>1102</v>
      </c>
      <c r="G89" s="13" t="s">
        <v>1104</v>
      </c>
      <c r="H89" s="13"/>
      <c r="I89" s="4" t="s">
        <v>1102</v>
      </c>
    </row>
    <row r="90" spans="1:9" ht="15.75" customHeight="1" x14ac:dyDescent="0.25">
      <c r="A90" s="10">
        <f t="shared" si="6"/>
        <v>1</v>
      </c>
      <c r="B90" s="15" t="s">
        <v>485</v>
      </c>
      <c r="C90" s="11" t="s">
        <v>152</v>
      </c>
      <c r="D90" s="13">
        <f t="shared" si="1"/>
        <v>633.27</v>
      </c>
      <c r="E90" s="13">
        <v>633.27</v>
      </c>
      <c r="F90" s="13" t="s">
        <v>1102</v>
      </c>
      <c r="G90" s="13" t="s">
        <v>1104</v>
      </c>
      <c r="H90" s="13"/>
      <c r="I90" s="4" t="s">
        <v>1102</v>
      </c>
    </row>
    <row r="91" spans="1:9" ht="15.75" customHeight="1" x14ac:dyDescent="0.25">
      <c r="A91" s="10">
        <f t="shared" si="6"/>
        <v>1</v>
      </c>
      <c r="B91" s="10" t="s">
        <v>77</v>
      </c>
      <c r="C91" s="11" t="s">
        <v>206</v>
      </c>
      <c r="D91" s="13">
        <f t="shared" si="1"/>
        <v>0.46</v>
      </c>
      <c r="E91" s="13">
        <v>0.46</v>
      </c>
      <c r="F91" s="13" t="s">
        <v>1102</v>
      </c>
      <c r="G91" s="13" t="s">
        <v>1105</v>
      </c>
      <c r="H91" s="13"/>
      <c r="I91" s="4" t="s">
        <v>1102</v>
      </c>
    </row>
    <row r="92" spans="1:9" ht="15.75" customHeight="1" x14ac:dyDescent="0.25">
      <c r="A92" s="10">
        <f t="shared" si="6"/>
        <v>1</v>
      </c>
      <c r="B92" s="10" t="s">
        <v>3128</v>
      </c>
      <c r="C92" s="11" t="s">
        <v>206</v>
      </c>
      <c r="D92" s="13">
        <f>E92*$D$1</f>
        <v>18.326666666666664</v>
      </c>
      <c r="E92" s="13">
        <f>274.9/15</f>
        <v>18.326666666666664</v>
      </c>
      <c r="F92" s="13" t="s">
        <v>1102</v>
      </c>
      <c r="G92" s="13" t="s">
        <v>1105</v>
      </c>
      <c r="H92" s="13"/>
      <c r="I92" s="4" t="s">
        <v>1102</v>
      </c>
    </row>
    <row r="93" spans="1:9" ht="15.75" customHeight="1" x14ac:dyDescent="0.25">
      <c r="A93" s="10">
        <f t="shared" si="6"/>
        <v>1</v>
      </c>
      <c r="B93" s="10" t="s">
        <v>392</v>
      </c>
      <c r="C93" s="11" t="s">
        <v>1106</v>
      </c>
      <c r="D93" s="13">
        <f t="shared" si="1"/>
        <v>2.5619999999999998</v>
      </c>
      <c r="E93" s="13">
        <v>2.5619999999999998</v>
      </c>
      <c r="F93" s="13" t="s">
        <v>1102</v>
      </c>
      <c r="G93" s="13" t="s">
        <v>1107</v>
      </c>
      <c r="H93" s="13"/>
      <c r="I93" s="4" t="s">
        <v>1102</v>
      </c>
    </row>
    <row r="94" spans="1:9" ht="15.75" customHeight="1" x14ac:dyDescent="0.25">
      <c r="A94" s="10">
        <f t="shared" ref="A94:A127" si="7">COUNTIFS($B$2:$B$996,B94)</f>
        <v>1</v>
      </c>
      <c r="B94" s="10" t="s">
        <v>481</v>
      </c>
      <c r="C94" s="11" t="s">
        <v>206</v>
      </c>
      <c r="D94" s="13">
        <f>E94*$D$1</f>
        <v>1.0645</v>
      </c>
      <c r="E94" s="13">
        <f>21.29/20</f>
        <v>1.0645</v>
      </c>
      <c r="F94" s="13" t="s">
        <v>1102</v>
      </c>
      <c r="G94" s="13" t="s">
        <v>1104</v>
      </c>
      <c r="H94" s="13"/>
      <c r="I94" s="4" t="s">
        <v>1102</v>
      </c>
    </row>
    <row r="95" spans="1:9" ht="15.75" customHeight="1" x14ac:dyDescent="0.25">
      <c r="A95" s="10">
        <f t="shared" si="7"/>
        <v>1</v>
      </c>
      <c r="B95" s="10" t="s">
        <v>658</v>
      </c>
      <c r="C95" s="11" t="s">
        <v>206</v>
      </c>
      <c r="D95" s="13">
        <f t="shared" si="1"/>
        <v>0.95</v>
      </c>
      <c r="E95" s="13">
        <f>19/20</f>
        <v>0.95</v>
      </c>
      <c r="F95" s="13" t="s">
        <v>1102</v>
      </c>
      <c r="G95" s="13" t="s">
        <v>1104</v>
      </c>
      <c r="H95" s="13"/>
      <c r="I95" s="4" t="s">
        <v>1102</v>
      </c>
    </row>
    <row r="96" spans="1:9" ht="15.75" customHeight="1" x14ac:dyDescent="0.25">
      <c r="A96" s="10">
        <f t="shared" si="7"/>
        <v>1</v>
      </c>
      <c r="B96" s="10" t="s">
        <v>1108</v>
      </c>
      <c r="C96" s="11" t="s">
        <v>206</v>
      </c>
      <c r="D96" s="13">
        <f t="shared" si="1"/>
        <v>4</v>
      </c>
      <c r="E96" s="13">
        <v>4</v>
      </c>
      <c r="F96" s="13" t="s">
        <v>1102</v>
      </c>
      <c r="G96" s="13" t="s">
        <v>1104</v>
      </c>
      <c r="H96" s="13"/>
      <c r="I96" s="4" t="s">
        <v>1102</v>
      </c>
    </row>
    <row r="97" spans="1:9" ht="15.75" customHeight="1" x14ac:dyDescent="0.25">
      <c r="A97" s="10">
        <f t="shared" si="7"/>
        <v>1</v>
      </c>
      <c r="B97" s="10" t="s">
        <v>1109</v>
      </c>
      <c r="C97" s="11" t="s">
        <v>206</v>
      </c>
      <c r="D97" s="13">
        <f t="shared" si="1"/>
        <v>1.36</v>
      </c>
      <c r="E97" s="13">
        <v>1.36</v>
      </c>
      <c r="F97" s="13" t="s">
        <v>1102</v>
      </c>
      <c r="G97" s="13" t="s">
        <v>1104</v>
      </c>
      <c r="H97" s="13"/>
      <c r="I97" s="4" t="s">
        <v>1102</v>
      </c>
    </row>
    <row r="98" spans="1:9" ht="15.75" customHeight="1" x14ac:dyDescent="0.25">
      <c r="A98" s="10">
        <f t="shared" si="7"/>
        <v>1</v>
      </c>
      <c r="B98" s="10" t="s">
        <v>487</v>
      </c>
      <c r="C98" s="11" t="s">
        <v>206</v>
      </c>
      <c r="D98" s="13">
        <f>E98*$D$1</f>
        <v>0.8</v>
      </c>
      <c r="E98" s="13">
        <v>0.8</v>
      </c>
      <c r="F98" s="13" t="s">
        <v>1102</v>
      </c>
      <c r="G98" s="13" t="s">
        <v>1107</v>
      </c>
      <c r="H98" s="13"/>
      <c r="I98" s="4" t="s">
        <v>1102</v>
      </c>
    </row>
    <row r="99" spans="1:9" ht="15.75" customHeight="1" x14ac:dyDescent="0.25">
      <c r="A99" s="10">
        <f t="shared" si="7"/>
        <v>1</v>
      </c>
      <c r="B99" s="10" t="s">
        <v>1409</v>
      </c>
      <c r="C99" s="11" t="s">
        <v>206</v>
      </c>
      <c r="D99" s="13">
        <f t="shared" si="1"/>
        <v>0.95</v>
      </c>
      <c r="E99" s="13">
        <v>0.95</v>
      </c>
      <c r="F99" s="13" t="s">
        <v>1102</v>
      </c>
      <c r="G99" s="13" t="s">
        <v>1107</v>
      </c>
      <c r="H99" s="13"/>
      <c r="I99" s="4" t="s">
        <v>1102</v>
      </c>
    </row>
    <row r="100" spans="1:9" ht="15.75" customHeight="1" x14ac:dyDescent="0.25">
      <c r="A100" s="10">
        <f t="shared" si="7"/>
        <v>1</v>
      </c>
      <c r="B100" s="10" t="s">
        <v>344</v>
      </c>
      <c r="C100" s="11" t="s">
        <v>206</v>
      </c>
      <c r="D100" s="13">
        <f t="shared" si="1"/>
        <v>19.116</v>
      </c>
      <c r="E100" s="13">
        <v>19.116</v>
      </c>
      <c r="F100" s="13" t="s">
        <v>1102</v>
      </c>
      <c r="G100" s="13" t="s">
        <v>1107</v>
      </c>
      <c r="H100" s="13"/>
      <c r="I100" s="4" t="s">
        <v>1102</v>
      </c>
    </row>
    <row r="101" spans="1:9" ht="15.75" customHeight="1" x14ac:dyDescent="0.25">
      <c r="A101" s="10">
        <f t="shared" si="7"/>
        <v>1</v>
      </c>
      <c r="B101" s="10" t="s">
        <v>386</v>
      </c>
      <c r="C101" s="11" t="s">
        <v>152</v>
      </c>
      <c r="D101" s="13">
        <f t="shared" si="1"/>
        <v>1.75</v>
      </c>
      <c r="E101" s="13">
        <v>1.75</v>
      </c>
      <c r="F101" s="13" t="s">
        <v>1102</v>
      </c>
      <c r="G101" s="13" t="s">
        <v>1107</v>
      </c>
      <c r="H101" s="13"/>
      <c r="I101" s="4" t="s">
        <v>1102</v>
      </c>
    </row>
    <row r="102" spans="1:9" ht="15.75" customHeight="1" x14ac:dyDescent="0.25">
      <c r="A102" s="10">
        <f>COUNTIFS($B$2:$B$996,B102)</f>
        <v>1</v>
      </c>
      <c r="B102" s="10" t="s">
        <v>496</v>
      </c>
      <c r="C102" s="11" t="s">
        <v>152</v>
      </c>
      <c r="D102" s="13">
        <f>E102*$D$1</f>
        <v>415</v>
      </c>
      <c r="E102" s="13">
        <v>415</v>
      </c>
      <c r="F102" s="13" t="s">
        <v>1102</v>
      </c>
      <c r="G102" s="13" t="s">
        <v>1107</v>
      </c>
      <c r="H102" s="13" t="s">
        <v>5451</v>
      </c>
      <c r="I102" s="4" t="s">
        <v>1102</v>
      </c>
    </row>
    <row r="103" spans="1:9" ht="15.75" customHeight="1" x14ac:dyDescent="0.25">
      <c r="A103" s="10">
        <f t="shared" si="7"/>
        <v>1</v>
      </c>
      <c r="B103" s="10" t="s">
        <v>5450</v>
      </c>
      <c r="C103" s="11" t="s">
        <v>152</v>
      </c>
      <c r="D103" s="13">
        <f t="shared" si="1"/>
        <v>45</v>
      </c>
      <c r="E103" s="13">
        <v>45</v>
      </c>
      <c r="F103" s="13" t="s">
        <v>1102</v>
      </c>
      <c r="G103" s="13" t="s">
        <v>1107</v>
      </c>
      <c r="H103" s="13" t="s">
        <v>5451</v>
      </c>
      <c r="I103" s="4" t="s">
        <v>1102</v>
      </c>
    </row>
    <row r="104" spans="1:9" ht="15.75" customHeight="1" x14ac:dyDescent="0.25">
      <c r="A104" s="10">
        <f>COUNTIFS($B$2:$B$996,B104)</f>
        <v>1</v>
      </c>
      <c r="B104" s="10" t="s">
        <v>445</v>
      </c>
      <c r="C104" s="11" t="s">
        <v>152</v>
      </c>
      <c r="D104" s="13">
        <f>E104*$D$1</f>
        <v>550</v>
      </c>
      <c r="E104" s="13">
        <v>550</v>
      </c>
      <c r="F104" s="13" t="s">
        <v>1102</v>
      </c>
      <c r="G104" s="13" t="s">
        <v>1107</v>
      </c>
      <c r="H104" s="13"/>
      <c r="I104" s="4" t="s">
        <v>1102</v>
      </c>
    </row>
    <row r="105" spans="1:9" ht="15.75" customHeight="1" x14ac:dyDescent="0.25">
      <c r="A105" s="10">
        <f t="shared" si="7"/>
        <v>1</v>
      </c>
      <c r="B105" s="10" t="s">
        <v>5453</v>
      </c>
      <c r="C105" s="11" t="s">
        <v>152</v>
      </c>
      <c r="D105" s="13">
        <f t="shared" si="1"/>
        <v>515</v>
      </c>
      <c r="E105" s="13">
        <v>515</v>
      </c>
      <c r="F105" s="13" t="s">
        <v>1102</v>
      </c>
      <c r="G105" s="13" t="s">
        <v>1107</v>
      </c>
      <c r="H105" s="13" t="s">
        <v>5451</v>
      </c>
      <c r="I105" s="4" t="s">
        <v>1102</v>
      </c>
    </row>
    <row r="106" spans="1:9" ht="15.75" customHeight="1" x14ac:dyDescent="0.25">
      <c r="A106" s="10">
        <f t="shared" si="7"/>
        <v>1</v>
      </c>
      <c r="B106" s="10" t="s">
        <v>616</v>
      </c>
      <c r="C106" s="11" t="s">
        <v>206</v>
      </c>
      <c r="D106" s="13">
        <f t="shared" si="1"/>
        <v>2.9449999999999998</v>
      </c>
      <c r="E106" s="13">
        <v>2.9449999999999998</v>
      </c>
      <c r="F106" s="13" t="s">
        <v>1102</v>
      </c>
      <c r="G106" s="13" t="s">
        <v>1107</v>
      </c>
      <c r="H106" s="13"/>
      <c r="I106" s="4" t="s">
        <v>1102</v>
      </c>
    </row>
    <row r="107" spans="1:9" ht="15.75" customHeight="1" x14ac:dyDescent="0.25">
      <c r="A107" s="10">
        <f t="shared" si="7"/>
        <v>1</v>
      </c>
      <c r="B107" s="10" t="s">
        <v>356</v>
      </c>
      <c r="C107" s="11" t="s">
        <v>152</v>
      </c>
      <c r="D107" s="13">
        <f t="shared" si="1"/>
        <v>425</v>
      </c>
      <c r="E107" s="13">
        <v>425</v>
      </c>
      <c r="F107" s="13" t="s">
        <v>1102</v>
      </c>
      <c r="G107" s="13" t="s">
        <v>1110</v>
      </c>
      <c r="H107" s="13"/>
      <c r="I107" s="4" t="s">
        <v>1102</v>
      </c>
    </row>
    <row r="108" spans="1:9" ht="15.75" customHeight="1" x14ac:dyDescent="0.25">
      <c r="A108" s="10">
        <f t="shared" si="7"/>
        <v>1</v>
      </c>
      <c r="B108" s="10" t="s">
        <v>486</v>
      </c>
      <c r="C108" s="11" t="s">
        <v>152</v>
      </c>
      <c r="D108" s="13">
        <f t="shared" si="1"/>
        <v>480</v>
      </c>
      <c r="E108" s="13">
        <v>480</v>
      </c>
      <c r="F108" s="13" t="s">
        <v>1102</v>
      </c>
      <c r="G108" s="13" t="s">
        <v>1110</v>
      </c>
      <c r="H108" s="13"/>
      <c r="I108" s="4" t="s">
        <v>1102</v>
      </c>
    </row>
    <row r="109" spans="1:9" ht="15.75" customHeight="1" x14ac:dyDescent="0.25">
      <c r="A109" s="10">
        <f t="shared" si="7"/>
        <v>1</v>
      </c>
      <c r="B109" s="10" t="s">
        <v>342</v>
      </c>
      <c r="C109" s="11" t="s">
        <v>152</v>
      </c>
      <c r="D109" s="13">
        <f t="shared" si="1"/>
        <v>425</v>
      </c>
      <c r="E109" s="13">
        <v>425</v>
      </c>
      <c r="F109" s="13" t="s">
        <v>1102</v>
      </c>
      <c r="G109" s="13" t="s">
        <v>1110</v>
      </c>
      <c r="H109" s="13"/>
      <c r="I109" s="4" t="s">
        <v>1102</v>
      </c>
    </row>
    <row r="110" spans="1:9" ht="15.75" customHeight="1" x14ac:dyDescent="0.25">
      <c r="A110" s="10">
        <f t="shared" si="7"/>
        <v>1</v>
      </c>
      <c r="B110" s="10" t="s">
        <v>1070</v>
      </c>
      <c r="C110" s="11" t="s">
        <v>70</v>
      </c>
      <c r="D110" s="13">
        <f t="shared" si="1"/>
        <v>75.900000000000006</v>
      </c>
      <c r="E110" s="13">
        <v>75.900000000000006</v>
      </c>
      <c r="F110" s="13" t="s">
        <v>1111</v>
      </c>
      <c r="G110" s="13" t="s">
        <v>1111</v>
      </c>
      <c r="H110" s="13"/>
      <c r="I110" s="4" t="s">
        <v>1112</v>
      </c>
    </row>
    <row r="111" spans="1:9" ht="15.75" customHeight="1" x14ac:dyDescent="0.25">
      <c r="A111" s="10">
        <f t="shared" si="7"/>
        <v>1</v>
      </c>
      <c r="B111" s="10" t="s">
        <v>1507</v>
      </c>
      <c r="C111" s="11" t="s">
        <v>70</v>
      </c>
      <c r="D111" s="13">
        <f>E111*$D$1</f>
        <v>180</v>
      </c>
      <c r="E111" s="13">
        <v>180</v>
      </c>
      <c r="F111" s="13" t="s">
        <v>1111</v>
      </c>
      <c r="G111" s="13" t="s">
        <v>1111</v>
      </c>
      <c r="H111" s="13"/>
      <c r="I111" s="4" t="s">
        <v>1112</v>
      </c>
    </row>
    <row r="112" spans="1:9" ht="15.75" customHeight="1" x14ac:dyDescent="0.25">
      <c r="A112" s="10">
        <f t="shared" si="7"/>
        <v>1</v>
      </c>
      <c r="B112" s="10" t="s">
        <v>733</v>
      </c>
      <c r="C112" s="11" t="s">
        <v>70</v>
      </c>
      <c r="D112" s="13">
        <f t="shared" si="1"/>
        <v>65.900000000000006</v>
      </c>
      <c r="E112" s="13">
        <v>65.900000000000006</v>
      </c>
      <c r="F112" s="13" t="s">
        <v>1111</v>
      </c>
      <c r="G112" s="13" t="s">
        <v>1111</v>
      </c>
      <c r="H112" s="13"/>
      <c r="I112" s="4" t="s">
        <v>1112</v>
      </c>
    </row>
    <row r="113" spans="1:9" ht="15.75" customHeight="1" x14ac:dyDescent="0.25">
      <c r="A113" s="10">
        <f t="shared" si="7"/>
        <v>1</v>
      </c>
      <c r="B113" s="10" t="s">
        <v>778</v>
      </c>
      <c r="C113" s="11" t="s">
        <v>70</v>
      </c>
      <c r="D113" s="13">
        <f t="shared" si="1"/>
        <v>102.9</v>
      </c>
      <c r="E113" s="13">
        <v>102.9</v>
      </c>
      <c r="F113" s="13" t="s">
        <v>1111</v>
      </c>
      <c r="G113" s="13" t="s">
        <v>1111</v>
      </c>
      <c r="H113" s="13"/>
      <c r="I113" s="4" t="s">
        <v>1112</v>
      </c>
    </row>
    <row r="114" spans="1:9" ht="15.75" customHeight="1" x14ac:dyDescent="0.25">
      <c r="A114" s="10">
        <f t="shared" si="7"/>
        <v>1</v>
      </c>
      <c r="B114" s="10" t="s">
        <v>1001</v>
      </c>
      <c r="C114" s="11" t="s">
        <v>1113</v>
      </c>
      <c r="D114" s="13">
        <f t="shared" si="1"/>
        <v>750</v>
      </c>
      <c r="E114" s="13">
        <v>750</v>
      </c>
      <c r="F114" s="13" t="s">
        <v>1114</v>
      </c>
      <c r="G114" s="13" t="s">
        <v>1114</v>
      </c>
      <c r="H114" s="13"/>
      <c r="I114" s="4" t="s">
        <v>1115</v>
      </c>
    </row>
    <row r="115" spans="1:9" ht="15.75" customHeight="1" x14ac:dyDescent="0.25">
      <c r="A115" s="10">
        <f t="shared" si="7"/>
        <v>1</v>
      </c>
      <c r="B115" s="10" t="s">
        <v>1003</v>
      </c>
      <c r="C115" s="11" t="s">
        <v>1113</v>
      </c>
      <c r="D115" s="13">
        <f t="shared" si="1"/>
        <v>750</v>
      </c>
      <c r="E115" s="13">
        <v>750</v>
      </c>
      <c r="F115" s="13" t="s">
        <v>1114</v>
      </c>
      <c r="G115" s="13" t="s">
        <v>1114</v>
      </c>
      <c r="H115" s="13"/>
      <c r="I115" s="4" t="s">
        <v>1115</v>
      </c>
    </row>
    <row r="116" spans="1:9" ht="15.75" customHeight="1" x14ac:dyDescent="0.25">
      <c r="A116" s="10">
        <f t="shared" si="7"/>
        <v>1</v>
      </c>
      <c r="B116" s="10" t="s">
        <v>1005</v>
      </c>
      <c r="C116" s="11" t="s">
        <v>1113</v>
      </c>
      <c r="D116" s="13">
        <f t="shared" si="1"/>
        <v>750</v>
      </c>
      <c r="E116" s="13">
        <v>750</v>
      </c>
      <c r="F116" s="13" t="s">
        <v>1114</v>
      </c>
      <c r="G116" s="13" t="s">
        <v>1114</v>
      </c>
      <c r="H116" s="13"/>
      <c r="I116" s="4" t="s">
        <v>1115</v>
      </c>
    </row>
    <row r="117" spans="1:9" ht="15.75" customHeight="1" x14ac:dyDescent="0.25">
      <c r="A117" s="10">
        <f t="shared" si="7"/>
        <v>1</v>
      </c>
      <c r="B117" s="10" t="s">
        <v>1022</v>
      </c>
      <c r="C117" s="11" t="s">
        <v>113</v>
      </c>
      <c r="D117" s="13">
        <f t="shared" si="1"/>
        <v>18.7148</v>
      </c>
      <c r="E117" s="13">
        <v>18.7148</v>
      </c>
      <c r="F117" s="13" t="s">
        <v>1116</v>
      </c>
      <c r="G117" s="13" t="s">
        <v>1117</v>
      </c>
      <c r="H117" s="13"/>
      <c r="I117" s="4" t="s">
        <v>1118</v>
      </c>
    </row>
    <row r="118" spans="1:9" ht="15.75" customHeight="1" x14ac:dyDescent="0.25">
      <c r="A118" s="10">
        <f t="shared" si="7"/>
        <v>1</v>
      </c>
      <c r="B118" s="10" t="s">
        <v>1026</v>
      </c>
      <c r="C118" s="11" t="s">
        <v>113</v>
      </c>
      <c r="D118" s="13">
        <f t="shared" si="1"/>
        <v>23.0336</v>
      </c>
      <c r="E118" s="13">
        <v>23.0336</v>
      </c>
      <c r="F118" s="13" t="s">
        <v>1116</v>
      </c>
      <c r="G118" s="13" t="s">
        <v>1117</v>
      </c>
      <c r="H118" s="13"/>
      <c r="I118" s="4" t="s">
        <v>1118</v>
      </c>
    </row>
    <row r="119" spans="1:9" ht="15.75" customHeight="1" x14ac:dyDescent="0.25">
      <c r="A119" s="10">
        <f t="shared" si="7"/>
        <v>1</v>
      </c>
      <c r="B119" s="10" t="s">
        <v>1028</v>
      </c>
      <c r="C119" s="11" t="s">
        <v>113</v>
      </c>
      <c r="D119" s="13">
        <f t="shared" si="1"/>
        <v>35.99</v>
      </c>
      <c r="E119" s="13">
        <v>35.99</v>
      </c>
      <c r="F119" s="13" t="s">
        <v>1116</v>
      </c>
      <c r="G119" s="13" t="s">
        <v>1117</v>
      </c>
      <c r="H119" s="13"/>
      <c r="I119" s="4" t="s">
        <v>1118</v>
      </c>
    </row>
    <row r="120" spans="1:9" ht="15.75" customHeight="1" x14ac:dyDescent="0.25">
      <c r="A120" s="10">
        <f t="shared" si="7"/>
        <v>1</v>
      </c>
      <c r="B120" s="10" t="s">
        <v>1030</v>
      </c>
      <c r="C120" s="11" t="s">
        <v>113</v>
      </c>
      <c r="D120" s="13">
        <f t="shared" si="1"/>
        <v>46.666666666666664</v>
      </c>
      <c r="E120" s="13">
        <v>46.666666666666664</v>
      </c>
      <c r="F120" s="13" t="s">
        <v>1116</v>
      </c>
      <c r="G120" s="13" t="s">
        <v>1117</v>
      </c>
      <c r="H120" s="13"/>
      <c r="I120" s="4" t="s">
        <v>1118</v>
      </c>
    </row>
    <row r="121" spans="1:9" ht="15.75" customHeight="1" x14ac:dyDescent="0.25">
      <c r="A121" s="10">
        <f t="shared" si="7"/>
        <v>1</v>
      </c>
      <c r="B121" s="10" t="s">
        <v>1031</v>
      </c>
      <c r="C121" s="11" t="s">
        <v>113</v>
      </c>
      <c r="D121" s="13">
        <f t="shared" si="1"/>
        <v>59.966666666666669</v>
      </c>
      <c r="E121" s="13">
        <v>59.966666666666669</v>
      </c>
      <c r="F121" s="13" t="s">
        <v>1116</v>
      </c>
      <c r="G121" s="13" t="s">
        <v>1117</v>
      </c>
      <c r="H121" s="13"/>
      <c r="I121" s="4" t="s">
        <v>1118</v>
      </c>
    </row>
    <row r="122" spans="1:9" ht="15.75" customHeight="1" x14ac:dyDescent="0.25">
      <c r="A122" s="10">
        <f t="shared" si="7"/>
        <v>1</v>
      </c>
      <c r="B122" s="10" t="s">
        <v>1119</v>
      </c>
      <c r="C122" s="11" t="s">
        <v>113</v>
      </c>
      <c r="D122" s="13">
        <f t="shared" si="1"/>
        <v>25</v>
      </c>
      <c r="E122" s="13">
        <v>25</v>
      </c>
      <c r="F122" s="13" t="s">
        <v>1116</v>
      </c>
      <c r="G122" s="13" t="s">
        <v>1120</v>
      </c>
      <c r="H122" s="13"/>
      <c r="I122" s="4" t="s">
        <v>1118</v>
      </c>
    </row>
    <row r="123" spans="1:9" ht="15.75" customHeight="1" x14ac:dyDescent="0.25">
      <c r="A123" s="10">
        <f t="shared" si="7"/>
        <v>1</v>
      </c>
      <c r="B123" s="10" t="s">
        <v>1033</v>
      </c>
      <c r="C123" s="11" t="s">
        <v>113</v>
      </c>
      <c r="D123" s="13">
        <f t="shared" si="1"/>
        <v>28</v>
      </c>
      <c r="E123" s="13">
        <v>28</v>
      </c>
      <c r="F123" s="13" t="s">
        <v>1116</v>
      </c>
      <c r="G123" s="13" t="s">
        <v>1120</v>
      </c>
      <c r="H123" s="13"/>
      <c r="I123" s="4" t="s">
        <v>1118</v>
      </c>
    </row>
    <row r="124" spans="1:9" ht="15.75" customHeight="1" x14ac:dyDescent="0.25">
      <c r="A124" s="10">
        <f t="shared" si="7"/>
        <v>1</v>
      </c>
      <c r="B124" s="10" t="s">
        <v>1020</v>
      </c>
      <c r="C124" s="11" t="s">
        <v>70</v>
      </c>
      <c r="D124" s="13">
        <f t="shared" si="1"/>
        <v>198.19</v>
      </c>
      <c r="E124" s="13">
        <v>198.19</v>
      </c>
      <c r="F124" s="13" t="s">
        <v>1116</v>
      </c>
      <c r="G124" s="13" t="s">
        <v>1121</v>
      </c>
      <c r="H124" s="13"/>
      <c r="I124" s="4" t="s">
        <v>1118</v>
      </c>
    </row>
    <row r="125" spans="1:9" ht="15.75" customHeight="1" x14ac:dyDescent="0.25">
      <c r="A125" s="10">
        <f t="shared" si="7"/>
        <v>1</v>
      </c>
      <c r="B125" s="10" t="s">
        <v>1007</v>
      </c>
      <c r="C125" s="11" t="s">
        <v>197</v>
      </c>
      <c r="D125" s="13">
        <f t="shared" si="1"/>
        <v>30657</v>
      </c>
      <c r="E125" s="13">
        <v>30657</v>
      </c>
      <c r="F125" s="13" t="s">
        <v>1116</v>
      </c>
      <c r="G125" s="13" t="s">
        <v>1121</v>
      </c>
      <c r="H125" s="13"/>
      <c r="I125" s="4" t="s">
        <v>1118</v>
      </c>
    </row>
    <row r="126" spans="1:9" ht="15.75" customHeight="1" x14ac:dyDescent="0.25">
      <c r="A126" s="10">
        <f t="shared" si="7"/>
        <v>1</v>
      </c>
      <c r="B126" s="10" t="s">
        <v>1018</v>
      </c>
      <c r="C126" s="11" t="s">
        <v>70</v>
      </c>
      <c r="D126" s="13">
        <f t="shared" si="1"/>
        <v>66.05</v>
      </c>
      <c r="E126" s="13">
        <v>66.05</v>
      </c>
      <c r="F126" s="13" t="s">
        <v>1116</v>
      </c>
      <c r="G126" s="13" t="s">
        <v>1121</v>
      </c>
      <c r="H126" s="13"/>
      <c r="I126" s="4" t="s">
        <v>1118</v>
      </c>
    </row>
    <row r="127" spans="1:9" ht="15.75" customHeight="1" x14ac:dyDescent="0.25">
      <c r="A127" s="10">
        <f t="shared" si="7"/>
        <v>1</v>
      </c>
      <c r="B127" s="10" t="s">
        <v>100</v>
      </c>
      <c r="C127" s="11" t="s">
        <v>70</v>
      </c>
      <c r="D127" s="13">
        <f t="shared" si="1"/>
        <v>21.31</v>
      </c>
      <c r="E127" s="13">
        <v>21.31</v>
      </c>
      <c r="F127" s="13" t="s">
        <v>1116</v>
      </c>
      <c r="G127" s="13" t="s">
        <v>1121</v>
      </c>
      <c r="H127" s="13"/>
      <c r="I127" s="4" t="s">
        <v>1118</v>
      </c>
    </row>
    <row r="128" spans="1:9" ht="15.75" customHeight="1" x14ac:dyDescent="0.25">
      <c r="A128" s="10">
        <f t="shared" ref="A128:A145" si="8">COUNTIFS($B$2:$B$996,B128)</f>
        <v>1</v>
      </c>
      <c r="B128" s="10" t="s">
        <v>73</v>
      </c>
      <c r="C128" s="11" t="s">
        <v>70</v>
      </c>
      <c r="D128" s="13">
        <f t="shared" si="1"/>
        <v>31</v>
      </c>
      <c r="E128" s="13">
        <v>31</v>
      </c>
      <c r="F128" s="13" t="s">
        <v>1116</v>
      </c>
      <c r="G128" s="13" t="s">
        <v>1121</v>
      </c>
      <c r="H128" s="13"/>
      <c r="I128" s="4" t="s">
        <v>1118</v>
      </c>
    </row>
    <row r="129" spans="1:9" ht="15.75" customHeight="1" x14ac:dyDescent="0.25">
      <c r="A129" s="10">
        <f t="shared" si="8"/>
        <v>1</v>
      </c>
      <c r="B129" s="10" t="s">
        <v>136</v>
      </c>
      <c r="C129" s="11" t="s">
        <v>70</v>
      </c>
      <c r="D129" s="13">
        <f t="shared" si="1"/>
        <v>97</v>
      </c>
      <c r="E129" s="13">
        <v>97</v>
      </c>
      <c r="F129" s="13" t="s">
        <v>1116</v>
      </c>
      <c r="G129" s="13" t="s">
        <v>1121</v>
      </c>
      <c r="H129" s="13"/>
      <c r="I129" s="4" t="s">
        <v>1118</v>
      </c>
    </row>
    <row r="130" spans="1:9" ht="15.75" customHeight="1" x14ac:dyDescent="0.25">
      <c r="A130" s="10">
        <f t="shared" si="8"/>
        <v>1</v>
      </c>
      <c r="B130" s="10" t="s">
        <v>1035</v>
      </c>
      <c r="C130" s="11" t="s">
        <v>197</v>
      </c>
      <c r="D130" s="13">
        <f>E130*$D$1</f>
        <v>120.08733624454149</v>
      </c>
      <c r="E130" s="13">
        <v>120.08733624454149</v>
      </c>
      <c r="F130" s="13" t="s">
        <v>1116</v>
      </c>
      <c r="G130" s="13" t="s">
        <v>1121</v>
      </c>
      <c r="H130" s="13"/>
      <c r="I130" s="4" t="s">
        <v>1118</v>
      </c>
    </row>
    <row r="131" spans="1:9" ht="15.75" customHeight="1" x14ac:dyDescent="0.25">
      <c r="A131" s="10">
        <f t="shared" si="8"/>
        <v>1</v>
      </c>
      <c r="B131" s="10" t="s">
        <v>1036</v>
      </c>
      <c r="C131" s="11" t="s">
        <v>197</v>
      </c>
      <c r="D131" s="13">
        <f>E131*$D$1</f>
        <v>382</v>
      </c>
      <c r="E131" s="13">
        <v>382</v>
      </c>
      <c r="F131" s="13" t="s">
        <v>1116</v>
      </c>
      <c r="G131" s="13" t="s">
        <v>1121</v>
      </c>
      <c r="H131" s="13"/>
      <c r="I131" s="4" t="s">
        <v>1118</v>
      </c>
    </row>
    <row r="132" spans="1:9" ht="15.75" customHeight="1" x14ac:dyDescent="0.25">
      <c r="A132" s="10">
        <f t="shared" si="8"/>
        <v>1</v>
      </c>
      <c r="B132" s="10" t="s">
        <v>158</v>
      </c>
      <c r="C132" s="11" t="s">
        <v>152</v>
      </c>
      <c r="D132" s="13">
        <f t="shared" si="1"/>
        <v>430.94</v>
      </c>
      <c r="E132" s="13">
        <v>430.94</v>
      </c>
      <c r="F132" s="13" t="s">
        <v>14</v>
      </c>
      <c r="G132" s="13" t="s">
        <v>14</v>
      </c>
      <c r="H132" s="13"/>
      <c r="I132" s="4" t="s">
        <v>1112</v>
      </c>
    </row>
    <row r="133" spans="1:9" ht="15.75" customHeight="1" x14ac:dyDescent="0.25">
      <c r="A133" s="10">
        <f t="shared" si="8"/>
        <v>1</v>
      </c>
      <c r="B133" s="10" t="s">
        <v>137</v>
      </c>
      <c r="C133" s="11" t="s">
        <v>152</v>
      </c>
      <c r="D133" s="13">
        <f t="shared" si="1"/>
        <v>352</v>
      </c>
      <c r="E133" s="13">
        <v>352</v>
      </c>
      <c r="F133" s="13" t="s">
        <v>14</v>
      </c>
      <c r="G133" s="13" t="s">
        <v>14</v>
      </c>
      <c r="H133" s="13"/>
      <c r="I133" s="4" t="s">
        <v>1112</v>
      </c>
    </row>
    <row r="134" spans="1:9" ht="15.75" customHeight="1" x14ac:dyDescent="0.25">
      <c r="A134" s="10">
        <f t="shared" si="8"/>
        <v>1</v>
      </c>
      <c r="B134" s="10" t="s">
        <v>1122</v>
      </c>
      <c r="C134" s="11" t="s">
        <v>152</v>
      </c>
      <c r="D134" s="13">
        <f t="shared" si="1"/>
        <v>502</v>
      </c>
      <c r="E134" s="13">
        <v>502</v>
      </c>
      <c r="F134" s="13" t="s">
        <v>14</v>
      </c>
      <c r="G134" s="13" t="s">
        <v>14</v>
      </c>
      <c r="H134" s="13"/>
      <c r="I134" s="4" t="s">
        <v>1112</v>
      </c>
    </row>
    <row r="135" spans="1:9" ht="15.75" customHeight="1" x14ac:dyDescent="0.25">
      <c r="A135" s="10">
        <f t="shared" si="8"/>
        <v>1</v>
      </c>
      <c r="B135" s="10" t="s">
        <v>74</v>
      </c>
      <c r="C135" s="11" t="s">
        <v>152</v>
      </c>
      <c r="D135" s="13">
        <f t="shared" si="1"/>
        <v>490</v>
      </c>
      <c r="E135" s="13">
        <v>490</v>
      </c>
      <c r="F135" s="13" t="s">
        <v>14</v>
      </c>
      <c r="G135" s="13" t="s">
        <v>14</v>
      </c>
      <c r="H135" s="13"/>
      <c r="I135" s="4" t="s">
        <v>1112</v>
      </c>
    </row>
    <row r="136" spans="1:9" ht="15.75" customHeight="1" x14ac:dyDescent="0.25">
      <c r="A136" s="10">
        <f t="shared" si="8"/>
        <v>1</v>
      </c>
      <c r="B136" s="10" t="s">
        <v>221</v>
      </c>
      <c r="C136" s="11" t="s">
        <v>152</v>
      </c>
      <c r="D136" s="13">
        <f t="shared" si="1"/>
        <v>492.99999999999994</v>
      </c>
      <c r="E136" s="13">
        <v>492.99999999999994</v>
      </c>
      <c r="F136" s="13" t="s">
        <v>14</v>
      </c>
      <c r="G136" s="13" t="s">
        <v>14</v>
      </c>
      <c r="H136" s="13"/>
      <c r="I136" s="4" t="s">
        <v>1112</v>
      </c>
    </row>
    <row r="137" spans="1:9" ht="15.75" customHeight="1" x14ac:dyDescent="0.25">
      <c r="A137" s="10">
        <f t="shared" si="8"/>
        <v>1</v>
      </c>
      <c r="B137" s="10" t="s">
        <v>249</v>
      </c>
      <c r="C137" s="11" t="s">
        <v>152</v>
      </c>
      <c r="D137" s="13">
        <f t="shared" si="1"/>
        <v>510</v>
      </c>
      <c r="E137" s="13">
        <v>510</v>
      </c>
      <c r="F137" s="13" t="s">
        <v>14</v>
      </c>
      <c r="G137" s="13" t="s">
        <v>14</v>
      </c>
      <c r="H137" s="13"/>
      <c r="I137" s="4" t="s">
        <v>1112</v>
      </c>
    </row>
    <row r="138" spans="1:9" ht="15.75" customHeight="1" x14ac:dyDescent="0.25">
      <c r="A138" s="10">
        <f t="shared" si="8"/>
        <v>1</v>
      </c>
      <c r="B138" s="10" t="s">
        <v>223</v>
      </c>
      <c r="C138" s="11" t="s">
        <v>152</v>
      </c>
      <c r="D138" s="13">
        <f t="shared" si="1"/>
        <v>517.65</v>
      </c>
      <c r="E138" s="13">
        <v>517.65</v>
      </c>
      <c r="F138" s="13" t="s">
        <v>14</v>
      </c>
      <c r="G138" s="13" t="s">
        <v>14</v>
      </c>
      <c r="H138" s="13"/>
      <c r="I138" s="4" t="s">
        <v>1112</v>
      </c>
    </row>
    <row r="139" spans="1:9" ht="15.75" customHeight="1" x14ac:dyDescent="0.25">
      <c r="A139" s="10">
        <f t="shared" si="8"/>
        <v>1</v>
      </c>
      <c r="B139" s="10" t="s">
        <v>251</v>
      </c>
      <c r="C139" s="11" t="s">
        <v>152</v>
      </c>
      <c r="D139" s="13">
        <f t="shared" si="1"/>
        <v>604.73</v>
      </c>
      <c r="E139" s="73">
        <v>604.73</v>
      </c>
      <c r="F139" s="13" t="s">
        <v>14</v>
      </c>
      <c r="G139" s="13" t="s">
        <v>14</v>
      </c>
      <c r="H139" s="73" t="s">
        <v>3497</v>
      </c>
      <c r="I139" s="4" t="s">
        <v>1112</v>
      </c>
    </row>
    <row r="140" spans="1:9" ht="15.75" customHeight="1" x14ac:dyDescent="0.25">
      <c r="A140" s="10">
        <f t="shared" si="8"/>
        <v>1</v>
      </c>
      <c r="B140" s="10" t="s">
        <v>225</v>
      </c>
      <c r="C140" s="11" t="s">
        <v>152</v>
      </c>
      <c r="D140" s="13">
        <f t="shared" si="1"/>
        <v>565</v>
      </c>
      <c r="E140" s="13">
        <v>565</v>
      </c>
      <c r="F140" s="13" t="s">
        <v>14</v>
      </c>
      <c r="G140" s="13" t="s">
        <v>14</v>
      </c>
      <c r="H140" s="13"/>
      <c r="I140" s="4" t="s">
        <v>1112</v>
      </c>
    </row>
    <row r="141" spans="1:9" ht="15.75" customHeight="1" x14ac:dyDescent="0.25">
      <c r="A141" s="10">
        <f t="shared" si="8"/>
        <v>1</v>
      </c>
      <c r="B141" s="10" t="s">
        <v>227</v>
      </c>
      <c r="C141" s="11" t="s">
        <v>152</v>
      </c>
      <c r="D141" s="13">
        <f t="shared" ref="D141:D147" si="9">E141*$D$1</f>
        <v>530</v>
      </c>
      <c r="E141" s="13">
        <v>530</v>
      </c>
      <c r="F141" s="13" t="s">
        <v>14</v>
      </c>
      <c r="G141" s="13" t="s">
        <v>14</v>
      </c>
      <c r="H141" s="13"/>
      <c r="I141" s="4" t="s">
        <v>1112</v>
      </c>
    </row>
    <row r="142" spans="1:9" ht="15.75" customHeight="1" x14ac:dyDescent="0.25">
      <c r="A142" s="10">
        <f t="shared" si="8"/>
        <v>1</v>
      </c>
      <c r="B142" s="10" t="s">
        <v>303</v>
      </c>
      <c r="C142" s="11" t="s">
        <v>152</v>
      </c>
      <c r="D142" s="13">
        <f t="shared" si="9"/>
        <v>560.52</v>
      </c>
      <c r="E142" s="73">
        <v>560.52</v>
      </c>
      <c r="F142" s="13" t="s">
        <v>14</v>
      </c>
      <c r="G142" s="13" t="s">
        <v>14</v>
      </c>
      <c r="H142" s="73" t="s">
        <v>3497</v>
      </c>
      <c r="I142" s="4" t="s">
        <v>1112</v>
      </c>
    </row>
    <row r="143" spans="1:9" ht="15.75" customHeight="1" x14ac:dyDescent="0.25">
      <c r="A143" s="10">
        <f t="shared" si="8"/>
        <v>1</v>
      </c>
      <c r="B143" s="10" t="s">
        <v>253</v>
      </c>
      <c r="C143" s="11" t="s">
        <v>152</v>
      </c>
      <c r="D143" s="13">
        <f t="shared" si="9"/>
        <v>550.14</v>
      </c>
      <c r="E143" s="73">
        <v>550.14</v>
      </c>
      <c r="F143" s="13" t="s">
        <v>14</v>
      </c>
      <c r="G143" s="13" t="s">
        <v>14</v>
      </c>
      <c r="H143" s="73" t="s">
        <v>3497</v>
      </c>
      <c r="I143" s="4" t="s">
        <v>1112</v>
      </c>
    </row>
    <row r="144" spans="1:9" ht="15.75" customHeight="1" x14ac:dyDescent="0.25">
      <c r="A144" s="10">
        <f t="shared" si="8"/>
        <v>1</v>
      </c>
      <c r="B144" s="10" t="s">
        <v>1591</v>
      </c>
      <c r="C144" s="11" t="s">
        <v>152</v>
      </c>
      <c r="D144" s="13">
        <f t="shared" si="9"/>
        <v>683.9</v>
      </c>
      <c r="E144" s="73">
        <v>683.9</v>
      </c>
      <c r="F144" s="13" t="s">
        <v>14</v>
      </c>
      <c r="G144" s="13" t="s">
        <v>14</v>
      </c>
      <c r="H144" s="73" t="s">
        <v>3497</v>
      </c>
      <c r="I144" s="4" t="s">
        <v>1112</v>
      </c>
    </row>
    <row r="145" spans="1:9" ht="15.75" customHeight="1" x14ac:dyDescent="0.25">
      <c r="A145" s="10">
        <f t="shared" si="8"/>
        <v>1</v>
      </c>
      <c r="B145" s="10" t="s">
        <v>3498</v>
      </c>
      <c r="C145" s="11" t="s">
        <v>152</v>
      </c>
      <c r="D145" s="13">
        <f t="shared" si="9"/>
        <v>757.72</v>
      </c>
      <c r="E145" s="73">
        <f>607.72+150</f>
        <v>757.72</v>
      </c>
      <c r="F145" s="13" t="s">
        <v>14</v>
      </c>
      <c r="G145" s="13" t="s">
        <v>14</v>
      </c>
      <c r="H145" s="73" t="s">
        <v>3497</v>
      </c>
      <c r="I145" s="4" t="s">
        <v>1112</v>
      </c>
    </row>
    <row r="146" spans="1:9" ht="15.75" customHeight="1" x14ac:dyDescent="0.25">
      <c r="A146" s="10">
        <f>COUNTIFS($B$2:$B$875,B146)</f>
        <v>1</v>
      </c>
      <c r="B146" s="10" t="s">
        <v>255</v>
      </c>
      <c r="C146" s="11" t="s">
        <v>152</v>
      </c>
      <c r="D146" s="13">
        <f t="shared" si="9"/>
        <v>607.72</v>
      </c>
      <c r="E146" s="73">
        <v>607.72</v>
      </c>
      <c r="F146" s="13" t="s">
        <v>14</v>
      </c>
      <c r="G146" s="13" t="s">
        <v>14</v>
      </c>
      <c r="H146" s="73" t="s">
        <v>3497</v>
      </c>
      <c r="I146" s="4" t="s">
        <v>1112</v>
      </c>
    </row>
    <row r="147" spans="1:9" ht="15.75" customHeight="1" x14ac:dyDescent="0.25">
      <c r="A147" s="10">
        <f t="shared" ref="A147:A166" si="10">COUNTIFS($B$2:$B$996,B147)</f>
        <v>1</v>
      </c>
      <c r="B147" s="10" t="s">
        <v>1592</v>
      </c>
      <c r="C147" s="11" t="s">
        <v>152</v>
      </c>
      <c r="D147" s="13">
        <f t="shared" si="9"/>
        <v>607.72</v>
      </c>
      <c r="E147" s="73">
        <v>607.72</v>
      </c>
      <c r="F147" s="13" t="s">
        <v>14</v>
      </c>
      <c r="G147" s="13" t="s">
        <v>14</v>
      </c>
      <c r="H147" s="73" t="s">
        <v>3497</v>
      </c>
      <c r="I147" s="4" t="s">
        <v>1112</v>
      </c>
    </row>
    <row r="148" spans="1:9" ht="15.75" customHeight="1" x14ac:dyDescent="0.25">
      <c r="A148" s="10">
        <f t="shared" si="10"/>
        <v>1</v>
      </c>
      <c r="B148" s="10" t="s">
        <v>257</v>
      </c>
      <c r="C148" s="11" t="s">
        <v>152</v>
      </c>
      <c r="D148" s="13">
        <f t="shared" si="1"/>
        <v>585.04</v>
      </c>
      <c r="E148" s="13">
        <v>585.04</v>
      </c>
      <c r="F148" s="13" t="s">
        <v>14</v>
      </c>
      <c r="G148" s="13" t="s">
        <v>14</v>
      </c>
      <c r="H148" s="13"/>
      <c r="I148" s="4" t="s">
        <v>1112</v>
      </c>
    </row>
    <row r="149" spans="1:9" ht="15.75" customHeight="1" x14ac:dyDescent="0.25">
      <c r="A149" s="10">
        <f t="shared" si="10"/>
        <v>1</v>
      </c>
      <c r="B149" s="10" t="s">
        <v>378</v>
      </c>
      <c r="C149" s="11" t="s">
        <v>152</v>
      </c>
      <c r="D149" s="13">
        <f t="shared" si="1"/>
        <v>468.86</v>
      </c>
      <c r="E149" s="13">
        <v>468.86</v>
      </c>
      <c r="F149" s="13" t="s">
        <v>14</v>
      </c>
      <c r="G149" s="13" t="s">
        <v>14</v>
      </c>
      <c r="H149" s="13"/>
      <c r="I149" s="4" t="s">
        <v>1112</v>
      </c>
    </row>
    <row r="150" spans="1:9" ht="15.75" customHeight="1" x14ac:dyDescent="0.25">
      <c r="A150" s="10">
        <f t="shared" si="10"/>
        <v>1</v>
      </c>
      <c r="B150" s="10" t="s">
        <v>379</v>
      </c>
      <c r="C150" s="11" t="s">
        <v>152</v>
      </c>
      <c r="D150" s="13">
        <f t="shared" si="1"/>
        <v>493.5</v>
      </c>
      <c r="E150" s="13">
        <v>493.5</v>
      </c>
      <c r="F150" s="13" t="s">
        <v>14</v>
      </c>
      <c r="G150" s="13" t="s">
        <v>14</v>
      </c>
      <c r="H150" s="13"/>
      <c r="I150" s="4" t="s">
        <v>1112</v>
      </c>
    </row>
    <row r="151" spans="1:9" ht="15.75" customHeight="1" x14ac:dyDescent="0.25">
      <c r="A151" s="10">
        <f t="shared" si="10"/>
        <v>1</v>
      </c>
      <c r="B151" s="10" t="s">
        <v>313</v>
      </c>
      <c r="C151" s="11" t="s">
        <v>206</v>
      </c>
      <c r="D151" s="13">
        <f t="shared" si="1"/>
        <v>4.4400000000000004</v>
      </c>
      <c r="E151" s="13">
        <v>4.4400000000000004</v>
      </c>
      <c r="F151" s="13" t="s">
        <v>14</v>
      </c>
      <c r="G151" s="13" t="s">
        <v>1123</v>
      </c>
      <c r="H151" s="13"/>
      <c r="I151" s="4" t="s">
        <v>1112</v>
      </c>
    </row>
    <row r="152" spans="1:9" ht="15.75" customHeight="1" x14ac:dyDescent="0.25">
      <c r="A152" s="10">
        <f t="shared" si="10"/>
        <v>1</v>
      </c>
      <c r="B152" s="10" t="s">
        <v>314</v>
      </c>
      <c r="C152" s="11" t="s">
        <v>206</v>
      </c>
      <c r="D152" s="13">
        <f t="shared" si="1"/>
        <v>0.4</v>
      </c>
      <c r="E152" s="13">
        <v>0.4</v>
      </c>
      <c r="F152" s="13" t="s">
        <v>14</v>
      </c>
      <c r="G152" s="13" t="s">
        <v>1123</v>
      </c>
      <c r="H152" s="13"/>
      <c r="I152" s="4" t="s">
        <v>1112</v>
      </c>
    </row>
    <row r="153" spans="1:9" ht="15.75" customHeight="1" x14ac:dyDescent="0.25">
      <c r="A153" s="10">
        <f t="shared" si="10"/>
        <v>1</v>
      </c>
      <c r="B153" s="10" t="s">
        <v>315</v>
      </c>
      <c r="C153" s="11" t="s">
        <v>206</v>
      </c>
      <c r="D153" s="13">
        <f t="shared" si="1"/>
        <v>0.4</v>
      </c>
      <c r="E153" s="13">
        <v>0.4</v>
      </c>
      <c r="F153" s="13" t="s">
        <v>14</v>
      </c>
      <c r="G153" s="13" t="s">
        <v>1123</v>
      </c>
      <c r="H153" s="13"/>
      <c r="I153" s="4" t="s">
        <v>1112</v>
      </c>
    </row>
    <row r="154" spans="1:9" ht="15.75" customHeight="1" x14ac:dyDescent="0.25">
      <c r="A154" s="10">
        <f t="shared" si="10"/>
        <v>1</v>
      </c>
      <c r="B154" s="10" t="s">
        <v>316</v>
      </c>
      <c r="C154" s="11" t="s">
        <v>206</v>
      </c>
      <c r="D154" s="13">
        <f t="shared" si="1"/>
        <v>0.2</v>
      </c>
      <c r="E154" s="13">
        <v>0.2</v>
      </c>
      <c r="F154" s="13" t="s">
        <v>14</v>
      </c>
      <c r="G154" s="13" t="s">
        <v>1123</v>
      </c>
      <c r="H154" s="13"/>
      <c r="I154" s="4" t="s">
        <v>1112</v>
      </c>
    </row>
    <row r="155" spans="1:9" ht="15.75" customHeight="1" x14ac:dyDescent="0.25">
      <c r="A155" s="10">
        <f t="shared" si="10"/>
        <v>1</v>
      </c>
      <c r="B155" s="10" t="s">
        <v>317</v>
      </c>
      <c r="C155" s="11" t="s">
        <v>197</v>
      </c>
      <c r="D155" s="13">
        <f t="shared" si="1"/>
        <v>0.5</v>
      </c>
      <c r="E155" s="13">
        <v>0.5</v>
      </c>
      <c r="F155" s="13" t="s">
        <v>14</v>
      </c>
      <c r="G155" s="13" t="s">
        <v>1123</v>
      </c>
      <c r="H155" s="13"/>
      <c r="I155" s="4" t="s">
        <v>1112</v>
      </c>
    </row>
    <row r="156" spans="1:9" ht="15.75" customHeight="1" x14ac:dyDescent="0.25">
      <c r="A156" s="10">
        <f t="shared" si="10"/>
        <v>1</v>
      </c>
      <c r="B156" s="10" t="s">
        <v>319</v>
      </c>
      <c r="C156" s="11" t="s">
        <v>197</v>
      </c>
      <c r="D156" s="13">
        <f t="shared" si="1"/>
        <v>12.5</v>
      </c>
      <c r="E156" s="13">
        <v>12.5</v>
      </c>
      <c r="F156" s="13" t="s">
        <v>14</v>
      </c>
      <c r="G156" s="13" t="s">
        <v>1123</v>
      </c>
      <c r="H156" s="13"/>
      <c r="I156" s="4" t="s">
        <v>1112</v>
      </c>
    </row>
    <row r="157" spans="1:9" ht="15.75" customHeight="1" x14ac:dyDescent="0.25">
      <c r="A157" s="10">
        <f t="shared" si="10"/>
        <v>1</v>
      </c>
      <c r="B157" s="10" t="s">
        <v>320</v>
      </c>
      <c r="C157" s="11" t="s">
        <v>1124</v>
      </c>
      <c r="D157" s="13">
        <f t="shared" si="1"/>
        <v>9.1300000000000008</v>
      </c>
      <c r="E157" s="13">
        <v>9.1300000000000008</v>
      </c>
      <c r="F157" s="13" t="s">
        <v>14</v>
      </c>
      <c r="G157" s="13" t="s">
        <v>1123</v>
      </c>
      <c r="H157" s="13"/>
      <c r="I157" s="4" t="s">
        <v>1112</v>
      </c>
    </row>
    <row r="158" spans="1:9" ht="15.75" customHeight="1" x14ac:dyDescent="0.25">
      <c r="A158" s="10">
        <f t="shared" si="10"/>
        <v>1</v>
      </c>
      <c r="B158" s="10" t="s">
        <v>321</v>
      </c>
      <c r="C158" s="11" t="s">
        <v>197</v>
      </c>
      <c r="D158" s="13">
        <f t="shared" si="1"/>
        <v>2.85</v>
      </c>
      <c r="E158" s="13">
        <v>2.85</v>
      </c>
      <c r="F158" s="13" t="s">
        <v>14</v>
      </c>
      <c r="G158" s="13" t="s">
        <v>1123</v>
      </c>
      <c r="H158" s="13"/>
      <c r="I158" s="4" t="s">
        <v>1112</v>
      </c>
    </row>
    <row r="159" spans="1:9" ht="15.75" customHeight="1" x14ac:dyDescent="0.25">
      <c r="A159" s="10">
        <f t="shared" si="10"/>
        <v>1</v>
      </c>
      <c r="B159" s="10" t="s">
        <v>322</v>
      </c>
      <c r="C159" s="11" t="s">
        <v>197</v>
      </c>
      <c r="D159" s="13">
        <f t="shared" si="1"/>
        <v>1.42</v>
      </c>
      <c r="E159" s="13">
        <v>1.42</v>
      </c>
      <c r="F159" s="13" t="s">
        <v>14</v>
      </c>
      <c r="G159" s="13" t="s">
        <v>1123</v>
      </c>
      <c r="H159" s="13"/>
      <c r="I159" s="4" t="s">
        <v>1112</v>
      </c>
    </row>
    <row r="160" spans="1:9" ht="15.75" customHeight="1" x14ac:dyDescent="0.25">
      <c r="A160" s="10">
        <f t="shared" si="10"/>
        <v>1</v>
      </c>
      <c r="B160" s="10" t="s">
        <v>323</v>
      </c>
      <c r="C160" s="11" t="s">
        <v>197</v>
      </c>
      <c r="D160" s="13">
        <f t="shared" si="1"/>
        <v>5.68</v>
      </c>
      <c r="E160" s="13">
        <v>5.68</v>
      </c>
      <c r="F160" s="13" t="s">
        <v>14</v>
      </c>
      <c r="G160" s="13" t="s">
        <v>1123</v>
      </c>
      <c r="H160" s="13"/>
      <c r="I160" s="4" t="s">
        <v>1112</v>
      </c>
    </row>
    <row r="161" spans="1:9" ht="15.75" customHeight="1" x14ac:dyDescent="0.25">
      <c r="A161" s="10">
        <f t="shared" si="10"/>
        <v>1</v>
      </c>
      <c r="B161" s="10" t="s">
        <v>324</v>
      </c>
      <c r="C161" s="11" t="s">
        <v>1124</v>
      </c>
      <c r="D161" s="13">
        <f t="shared" si="1"/>
        <v>2.2999999999999998</v>
      </c>
      <c r="E161" s="13">
        <v>2.2999999999999998</v>
      </c>
      <c r="F161" s="13" t="s">
        <v>14</v>
      </c>
      <c r="G161" s="13" t="s">
        <v>1123</v>
      </c>
      <c r="H161" s="13"/>
      <c r="I161" s="4" t="s">
        <v>1112</v>
      </c>
    </row>
    <row r="162" spans="1:9" ht="15.75" customHeight="1" x14ac:dyDescent="0.25">
      <c r="A162" s="10">
        <f t="shared" si="10"/>
        <v>1</v>
      </c>
      <c r="B162" s="10" t="s">
        <v>325</v>
      </c>
      <c r="C162" s="11" t="s">
        <v>1124</v>
      </c>
      <c r="D162" s="13">
        <f t="shared" si="1"/>
        <v>3.4</v>
      </c>
      <c r="E162" s="13">
        <v>3.4</v>
      </c>
      <c r="F162" s="13" t="s">
        <v>14</v>
      </c>
      <c r="G162" s="13" t="s">
        <v>1123</v>
      </c>
      <c r="H162" s="13"/>
      <c r="I162" s="4" t="s">
        <v>1112</v>
      </c>
    </row>
    <row r="163" spans="1:9" ht="15.75" customHeight="1" x14ac:dyDescent="0.25">
      <c r="A163" s="10">
        <f t="shared" si="10"/>
        <v>1</v>
      </c>
      <c r="B163" s="10" t="s">
        <v>326</v>
      </c>
      <c r="C163" s="11" t="s">
        <v>1124</v>
      </c>
      <c r="D163" s="13">
        <f t="shared" si="1"/>
        <v>1.1000000000000001</v>
      </c>
      <c r="E163" s="13">
        <v>1.1000000000000001</v>
      </c>
      <c r="F163" s="13" t="s">
        <v>14</v>
      </c>
      <c r="G163" s="13" t="s">
        <v>1123</v>
      </c>
      <c r="H163" s="13"/>
      <c r="I163" s="4" t="s">
        <v>1112</v>
      </c>
    </row>
    <row r="164" spans="1:9" ht="15.75" customHeight="1" x14ac:dyDescent="0.25">
      <c r="A164" s="10">
        <f t="shared" si="10"/>
        <v>1</v>
      </c>
      <c r="B164" s="10" t="s">
        <v>412</v>
      </c>
      <c r="C164" s="11" t="s">
        <v>113</v>
      </c>
      <c r="D164" s="13">
        <f t="shared" si="1"/>
        <v>0.31</v>
      </c>
      <c r="E164" s="13">
        <v>0.31</v>
      </c>
      <c r="F164" s="13" t="s">
        <v>1125</v>
      </c>
      <c r="G164" s="13" t="s">
        <v>1091</v>
      </c>
      <c r="H164" s="13"/>
      <c r="I164" s="4" t="s">
        <v>1091</v>
      </c>
    </row>
    <row r="165" spans="1:9" ht="15.75" customHeight="1" x14ac:dyDescent="0.25">
      <c r="A165" s="10">
        <f t="shared" si="10"/>
        <v>1</v>
      </c>
      <c r="B165" s="10" t="s">
        <v>413</v>
      </c>
      <c r="C165" s="11" t="s">
        <v>113</v>
      </c>
      <c r="D165" s="13">
        <f t="shared" si="1"/>
        <v>2.74</v>
      </c>
      <c r="E165" s="13">
        <v>2.74</v>
      </c>
      <c r="F165" s="13" t="s">
        <v>1125</v>
      </c>
      <c r="G165" s="13" t="s">
        <v>1091</v>
      </c>
      <c r="H165" s="13"/>
      <c r="I165" s="4" t="s">
        <v>1091</v>
      </c>
    </row>
    <row r="166" spans="1:9" ht="15.75" customHeight="1" x14ac:dyDescent="0.25">
      <c r="A166" s="10">
        <f t="shared" si="10"/>
        <v>1</v>
      </c>
      <c r="B166" s="10" t="s">
        <v>405</v>
      </c>
      <c r="C166" s="11" t="s">
        <v>206</v>
      </c>
      <c r="D166" s="13">
        <f t="shared" si="1"/>
        <v>3.43</v>
      </c>
      <c r="E166" s="13">
        <v>3.43</v>
      </c>
      <c r="F166" s="13" t="s">
        <v>1125</v>
      </c>
      <c r="G166" s="13" t="s">
        <v>1091</v>
      </c>
      <c r="H166" s="13"/>
      <c r="I166" s="4" t="s">
        <v>1091</v>
      </c>
    </row>
    <row r="167" spans="1:9" ht="15.75" customHeight="1" x14ac:dyDescent="0.25">
      <c r="A167" s="10">
        <f t="shared" ref="A167:A173" si="11">COUNTIFS($B$2:$B$979,B167)</f>
        <v>1</v>
      </c>
      <c r="B167" s="10" t="s">
        <v>418</v>
      </c>
      <c r="C167" s="11" t="s">
        <v>70</v>
      </c>
      <c r="D167" s="13">
        <f t="shared" si="1"/>
        <v>27.1</v>
      </c>
      <c r="E167" s="73">
        <v>27.1</v>
      </c>
      <c r="F167" s="13" t="s">
        <v>1125</v>
      </c>
      <c r="G167" s="13" t="s">
        <v>1091</v>
      </c>
      <c r="H167" s="13" t="s">
        <v>3527</v>
      </c>
      <c r="I167" s="4" t="s">
        <v>1091</v>
      </c>
    </row>
    <row r="168" spans="1:9" ht="15.75" customHeight="1" x14ac:dyDescent="0.25">
      <c r="A168" s="10">
        <f t="shared" si="11"/>
        <v>1</v>
      </c>
      <c r="B168" s="10" t="s">
        <v>408</v>
      </c>
      <c r="C168" s="11" t="s">
        <v>70</v>
      </c>
      <c r="D168" s="13">
        <f>E168*$D$1</f>
        <v>20.16</v>
      </c>
      <c r="E168" s="73">
        <v>20.16</v>
      </c>
      <c r="F168" s="13" t="s">
        <v>1125</v>
      </c>
      <c r="G168" s="13" t="s">
        <v>1091</v>
      </c>
      <c r="H168" s="13" t="s">
        <v>3527</v>
      </c>
      <c r="I168" s="4" t="s">
        <v>1091</v>
      </c>
    </row>
    <row r="169" spans="1:9" ht="15.75" customHeight="1" x14ac:dyDescent="0.25">
      <c r="A169" s="10">
        <f t="shared" si="11"/>
        <v>1</v>
      </c>
      <c r="B169" s="10" t="s">
        <v>3524</v>
      </c>
      <c r="C169" s="11" t="s">
        <v>70</v>
      </c>
      <c r="D169" s="13">
        <f>E169*$D$1</f>
        <v>34.513888888888893</v>
      </c>
      <c r="E169" s="73">
        <v>34.513888888888893</v>
      </c>
      <c r="F169" s="13" t="s">
        <v>1125</v>
      </c>
      <c r="G169" s="13" t="s">
        <v>1091</v>
      </c>
      <c r="H169" s="13" t="s">
        <v>3527</v>
      </c>
      <c r="I169" s="4" t="s">
        <v>1091</v>
      </c>
    </row>
    <row r="170" spans="1:9" ht="15.75" customHeight="1" x14ac:dyDescent="0.25">
      <c r="A170" s="10">
        <f t="shared" si="11"/>
        <v>1</v>
      </c>
      <c r="B170" s="10" t="s">
        <v>1444</v>
      </c>
      <c r="C170" s="11" t="s">
        <v>70</v>
      </c>
      <c r="D170" s="13">
        <f t="shared" si="1"/>
        <v>95</v>
      </c>
      <c r="E170" s="13">
        <v>95</v>
      </c>
      <c r="F170" s="13" t="s">
        <v>1125</v>
      </c>
      <c r="G170" s="13" t="s">
        <v>1091</v>
      </c>
      <c r="H170" s="13"/>
      <c r="I170" s="4" t="s">
        <v>1091</v>
      </c>
    </row>
    <row r="171" spans="1:9" ht="15.75" customHeight="1" x14ac:dyDescent="0.25">
      <c r="A171" s="10">
        <f t="shared" si="11"/>
        <v>1</v>
      </c>
      <c r="B171" s="10" t="s">
        <v>2771</v>
      </c>
      <c r="C171" s="11" t="s">
        <v>70</v>
      </c>
      <c r="D171" s="13">
        <f t="shared" si="1"/>
        <v>30.662500000000001</v>
      </c>
      <c r="E171" s="13">
        <f>60.21/(1.2*1.8)*1.1</f>
        <v>30.662500000000001</v>
      </c>
      <c r="F171" s="13" t="s">
        <v>1125</v>
      </c>
      <c r="G171" s="13" t="s">
        <v>1091</v>
      </c>
      <c r="H171" s="13"/>
      <c r="I171" s="4" t="s">
        <v>1091</v>
      </c>
    </row>
    <row r="172" spans="1:9" ht="15.75" customHeight="1" x14ac:dyDescent="0.25">
      <c r="A172" s="10">
        <f t="shared" si="11"/>
        <v>1</v>
      </c>
      <c r="B172" s="10" t="s">
        <v>2770</v>
      </c>
      <c r="C172" s="11" t="s">
        <v>70</v>
      </c>
      <c r="D172" s="13">
        <f t="shared" si="1"/>
        <v>62.847685185185185</v>
      </c>
      <c r="E172" s="13">
        <f>123.41/(1.2*1.8)*1.1</f>
        <v>62.847685185185185</v>
      </c>
      <c r="F172" s="13" t="s">
        <v>1125</v>
      </c>
      <c r="G172" s="13" t="s">
        <v>1091</v>
      </c>
      <c r="H172" s="13"/>
      <c r="I172" s="4" t="s">
        <v>1091</v>
      </c>
    </row>
    <row r="173" spans="1:9" ht="15.75" customHeight="1" x14ac:dyDescent="0.25">
      <c r="A173" s="10">
        <f t="shared" si="11"/>
        <v>1</v>
      </c>
      <c r="B173" s="10" t="s">
        <v>1391</v>
      </c>
      <c r="C173" s="11" t="s">
        <v>70</v>
      </c>
      <c r="D173" s="13">
        <f t="shared" si="1"/>
        <v>38.19444444444445</v>
      </c>
      <c r="E173" s="13">
        <f>75/(1.2*1.8)*1.1</f>
        <v>38.19444444444445</v>
      </c>
      <c r="F173" s="13" t="s">
        <v>1125</v>
      </c>
      <c r="G173" s="13" t="s">
        <v>1091</v>
      </c>
      <c r="H173" s="13"/>
      <c r="I173" s="4" t="s">
        <v>1091</v>
      </c>
    </row>
    <row r="174" spans="1:9" ht="15.75" customHeight="1" x14ac:dyDescent="0.25">
      <c r="A174" s="10">
        <f>COUNTIFS($B$2:$B$933,B174)</f>
        <v>1</v>
      </c>
      <c r="B174" s="10" t="s">
        <v>1390</v>
      </c>
      <c r="C174" s="11" t="s">
        <v>70</v>
      </c>
      <c r="D174" s="13">
        <f t="shared" si="1"/>
        <v>30.089583333333337</v>
      </c>
      <c r="E174" s="13">
        <f>78.78/(1.2*2.4)*1.1</f>
        <v>30.089583333333337</v>
      </c>
      <c r="F174" s="13" t="s">
        <v>1125</v>
      </c>
      <c r="G174" s="13" t="s">
        <v>1091</v>
      </c>
      <c r="H174" s="13"/>
      <c r="I174" s="4" t="s">
        <v>1091</v>
      </c>
    </row>
    <row r="175" spans="1:9" ht="15.75" customHeight="1" x14ac:dyDescent="0.25">
      <c r="A175" s="10">
        <f>COUNTIFS($B$2:$B$979,B175)</f>
        <v>1</v>
      </c>
      <c r="B175" s="10" t="s">
        <v>1392</v>
      </c>
      <c r="C175" s="11" t="s">
        <v>70</v>
      </c>
      <c r="D175" s="13">
        <f t="shared" ref="D175:D180" si="12">E175*$D$1</f>
        <v>84.027777777777786</v>
      </c>
      <c r="E175" s="13">
        <f>220/(1.2*2.4)*1.1</f>
        <v>84.027777777777786</v>
      </c>
      <c r="F175" s="13" t="s">
        <v>1125</v>
      </c>
      <c r="G175" s="13" t="s">
        <v>1091</v>
      </c>
      <c r="H175" s="13"/>
      <c r="I175" s="4" t="s">
        <v>1091</v>
      </c>
    </row>
    <row r="176" spans="1:9" ht="15.75" customHeight="1" x14ac:dyDescent="0.25">
      <c r="A176" s="10">
        <f>COUNTIFS($B$2:$B$979,B176)</f>
        <v>1</v>
      </c>
      <c r="B176" s="10" t="s">
        <v>1393</v>
      </c>
      <c r="C176" s="11" t="s">
        <v>70</v>
      </c>
      <c r="D176" s="13">
        <f t="shared" si="12"/>
        <v>117.21311475409837</v>
      </c>
      <c r="E176" s="13">
        <f>130/(2*0.61)*1.1</f>
        <v>117.21311475409837</v>
      </c>
      <c r="F176" s="13" t="s">
        <v>1125</v>
      </c>
      <c r="G176" s="13" t="s">
        <v>1125</v>
      </c>
      <c r="H176" s="13"/>
      <c r="I176" s="4" t="s">
        <v>1091</v>
      </c>
    </row>
    <row r="177" spans="1:9" ht="15.75" customHeight="1" x14ac:dyDescent="0.25">
      <c r="A177" s="10">
        <f>COUNTIFS($B$2:$B$979,B177)</f>
        <v>1</v>
      </c>
      <c r="B177" s="10" t="s">
        <v>1595</v>
      </c>
      <c r="C177" s="11" t="s">
        <v>70</v>
      </c>
      <c r="D177" s="13">
        <f t="shared" si="12"/>
        <v>13.019333333333332</v>
      </c>
      <c r="E177" s="13">
        <f>195.29/15</f>
        <v>13.019333333333332</v>
      </c>
      <c r="F177" s="13" t="s">
        <v>1125</v>
      </c>
      <c r="G177" s="13" t="s">
        <v>1125</v>
      </c>
      <c r="H177" s="13"/>
      <c r="I177" s="4" t="s">
        <v>1091</v>
      </c>
    </row>
    <row r="178" spans="1:9" ht="15.75" customHeight="1" x14ac:dyDescent="0.25">
      <c r="A178" s="10">
        <f>COUNTIFS($B$2:$B$979,B178)</f>
        <v>1</v>
      </c>
      <c r="B178" s="10" t="s">
        <v>416</v>
      </c>
      <c r="C178" s="11" t="s">
        <v>70</v>
      </c>
      <c r="D178" s="13">
        <f t="shared" si="12"/>
        <v>12.828666666666667</v>
      </c>
      <c r="E178" s="13">
        <v>12.828666666666667</v>
      </c>
      <c r="F178" s="13" t="s">
        <v>1125</v>
      </c>
      <c r="G178" s="13" t="s">
        <v>1125</v>
      </c>
      <c r="H178" s="13"/>
      <c r="I178" s="4" t="s">
        <v>1091</v>
      </c>
    </row>
    <row r="179" spans="1:9" ht="15.75" customHeight="1" x14ac:dyDescent="0.25">
      <c r="A179" s="10">
        <f>COUNTIFS($B$2:$B$950,B179)</f>
        <v>1</v>
      </c>
      <c r="B179" s="10" t="s">
        <v>3525</v>
      </c>
      <c r="C179" s="11" t="s">
        <v>113</v>
      </c>
      <c r="D179" s="13">
        <f t="shared" si="12"/>
        <v>3</v>
      </c>
      <c r="E179" s="73">
        <v>3</v>
      </c>
      <c r="F179" s="13" t="s">
        <v>1125</v>
      </c>
      <c r="G179" s="13" t="s">
        <v>1125</v>
      </c>
      <c r="H179" s="13" t="s">
        <v>3527</v>
      </c>
      <c r="I179" s="4" t="s">
        <v>1091</v>
      </c>
    </row>
    <row r="180" spans="1:9" ht="15.75" customHeight="1" x14ac:dyDescent="0.25">
      <c r="A180" s="10">
        <f>COUNTIFS($B$2:$B$950,B180)</f>
        <v>1</v>
      </c>
      <c r="B180" s="10" t="s">
        <v>3526</v>
      </c>
      <c r="C180" s="11" t="s">
        <v>113</v>
      </c>
      <c r="D180" s="13">
        <f t="shared" si="12"/>
        <v>0.6</v>
      </c>
      <c r="E180" s="73">
        <v>0.6</v>
      </c>
      <c r="F180" s="13" t="s">
        <v>1125</v>
      </c>
      <c r="G180" s="13" t="s">
        <v>1125</v>
      </c>
      <c r="H180" s="13" t="s">
        <v>3527</v>
      </c>
      <c r="I180" s="4" t="s">
        <v>1091</v>
      </c>
    </row>
    <row r="181" spans="1:9" ht="15.75" customHeight="1" x14ac:dyDescent="0.25">
      <c r="A181" s="10">
        <f t="shared" ref="A181:A244" si="13">COUNTIFS($B$2:$B$996,B181)</f>
        <v>1</v>
      </c>
      <c r="B181" s="10" t="s">
        <v>414</v>
      </c>
      <c r="C181" s="11" t="s">
        <v>197</v>
      </c>
      <c r="D181" s="13">
        <f t="shared" si="1"/>
        <v>0.09</v>
      </c>
      <c r="E181" s="13">
        <v>0.09</v>
      </c>
      <c r="F181" s="13" t="s">
        <v>1125</v>
      </c>
      <c r="G181" s="13" t="s">
        <v>1125</v>
      </c>
      <c r="H181" s="13"/>
      <c r="I181" s="4" t="s">
        <v>1091</v>
      </c>
    </row>
    <row r="182" spans="1:9" ht="15.75" customHeight="1" x14ac:dyDescent="0.25">
      <c r="A182" s="10">
        <f t="shared" si="13"/>
        <v>1</v>
      </c>
      <c r="B182" s="10" t="s">
        <v>415</v>
      </c>
      <c r="C182" s="11" t="s">
        <v>197</v>
      </c>
      <c r="D182" s="13">
        <f t="shared" si="1"/>
        <v>0.2</v>
      </c>
      <c r="E182" s="13">
        <v>0.2</v>
      </c>
      <c r="F182" s="13" t="s">
        <v>1125</v>
      </c>
      <c r="G182" s="13" t="s">
        <v>1125</v>
      </c>
      <c r="H182" s="13"/>
      <c r="I182" s="4" t="s">
        <v>1091</v>
      </c>
    </row>
    <row r="183" spans="1:9" ht="15.75" customHeight="1" x14ac:dyDescent="0.25">
      <c r="A183" s="10">
        <f t="shared" si="13"/>
        <v>1</v>
      </c>
      <c r="B183" s="10" t="s">
        <v>410</v>
      </c>
      <c r="C183" s="11" t="s">
        <v>113</v>
      </c>
      <c r="D183" s="13">
        <f t="shared" si="1"/>
        <v>7.03</v>
      </c>
      <c r="E183" s="13">
        <v>7.03</v>
      </c>
      <c r="F183" s="13" t="s">
        <v>1125</v>
      </c>
      <c r="G183" s="13" t="s">
        <v>1125</v>
      </c>
      <c r="H183" s="13"/>
      <c r="I183" s="4" t="s">
        <v>1091</v>
      </c>
    </row>
    <row r="184" spans="1:9" ht="15.75" customHeight="1" x14ac:dyDescent="0.25">
      <c r="A184" s="10">
        <f t="shared" si="13"/>
        <v>1</v>
      </c>
      <c r="B184" s="10" t="s">
        <v>423</v>
      </c>
      <c r="C184" s="11" t="s">
        <v>113</v>
      </c>
      <c r="D184" s="13">
        <f t="shared" si="1"/>
        <v>7.46</v>
      </c>
      <c r="E184" s="73">
        <v>7.46</v>
      </c>
      <c r="F184" s="13" t="s">
        <v>1125</v>
      </c>
      <c r="G184" s="13" t="s">
        <v>1125</v>
      </c>
      <c r="H184" s="13"/>
      <c r="I184" s="4" t="s">
        <v>1091</v>
      </c>
    </row>
    <row r="185" spans="1:9" ht="15.75" customHeight="1" x14ac:dyDescent="0.25">
      <c r="A185" s="10">
        <f t="shared" si="13"/>
        <v>1</v>
      </c>
      <c r="B185" s="10" t="s">
        <v>420</v>
      </c>
      <c r="C185" s="11" t="s">
        <v>113</v>
      </c>
      <c r="D185" s="13">
        <f>E185*$D$1</f>
        <v>8.64</v>
      </c>
      <c r="E185" s="73">
        <v>8.64</v>
      </c>
      <c r="F185" s="13" t="s">
        <v>1125</v>
      </c>
      <c r="G185" s="13" t="s">
        <v>1125</v>
      </c>
      <c r="H185" s="13"/>
      <c r="I185" s="4" t="s">
        <v>1091</v>
      </c>
    </row>
    <row r="186" spans="1:9" ht="15.75" customHeight="1" x14ac:dyDescent="0.25">
      <c r="A186" s="10">
        <f t="shared" si="13"/>
        <v>1</v>
      </c>
      <c r="B186" s="10" t="s">
        <v>411</v>
      </c>
      <c r="C186" s="11" t="s">
        <v>113</v>
      </c>
      <c r="D186" s="13">
        <f t="shared" si="1"/>
        <v>7.98</v>
      </c>
      <c r="E186" s="13">
        <v>7.98</v>
      </c>
      <c r="F186" s="13" t="s">
        <v>1125</v>
      </c>
      <c r="G186" s="13" t="s">
        <v>1125</v>
      </c>
      <c r="H186" s="13"/>
      <c r="I186" s="4" t="s">
        <v>1091</v>
      </c>
    </row>
    <row r="187" spans="1:9" ht="15.75" customHeight="1" x14ac:dyDescent="0.25">
      <c r="A187" s="10">
        <f t="shared" si="13"/>
        <v>1</v>
      </c>
      <c r="B187" s="10" t="s">
        <v>424</v>
      </c>
      <c r="C187" s="11" t="s">
        <v>113</v>
      </c>
      <c r="D187" s="13">
        <f t="shared" si="1"/>
        <v>7.98</v>
      </c>
      <c r="E187" s="13">
        <v>7.98</v>
      </c>
      <c r="F187" s="13" t="s">
        <v>1125</v>
      </c>
      <c r="G187" s="13" t="s">
        <v>1125</v>
      </c>
      <c r="H187" s="13"/>
      <c r="I187" s="4" t="s">
        <v>1091</v>
      </c>
    </row>
    <row r="188" spans="1:9" ht="15.75" customHeight="1" x14ac:dyDescent="0.25">
      <c r="A188" s="10">
        <f t="shared" si="13"/>
        <v>1</v>
      </c>
      <c r="B188" s="10" t="s">
        <v>421</v>
      </c>
      <c r="C188" s="11" t="s">
        <v>113</v>
      </c>
      <c r="D188" s="13">
        <f t="shared" si="1"/>
        <v>18.09</v>
      </c>
      <c r="E188" s="13">
        <v>18.09</v>
      </c>
      <c r="F188" s="13" t="s">
        <v>1125</v>
      </c>
      <c r="G188" s="13" t="s">
        <v>1125</v>
      </c>
      <c r="H188" s="13"/>
      <c r="I188" s="4" t="s">
        <v>1091</v>
      </c>
    </row>
    <row r="189" spans="1:9" ht="15.75" customHeight="1" x14ac:dyDescent="0.25">
      <c r="A189" s="10">
        <f t="shared" si="13"/>
        <v>1</v>
      </c>
      <c r="B189" s="10" t="s">
        <v>409</v>
      </c>
      <c r="C189" s="11" t="s">
        <v>197</v>
      </c>
      <c r="D189" s="13">
        <f t="shared" si="1"/>
        <v>0.504</v>
      </c>
      <c r="E189" s="13">
        <v>0.504</v>
      </c>
      <c r="F189" s="13" t="s">
        <v>1125</v>
      </c>
      <c r="G189" s="13" t="s">
        <v>1125</v>
      </c>
      <c r="H189" s="13"/>
      <c r="I189" s="4" t="s">
        <v>1091</v>
      </c>
    </row>
    <row r="190" spans="1:9" ht="15.75" customHeight="1" x14ac:dyDescent="0.25">
      <c r="A190" s="10">
        <f t="shared" si="13"/>
        <v>1</v>
      </c>
      <c r="B190" s="10" t="s">
        <v>394</v>
      </c>
      <c r="C190" s="11" t="s">
        <v>197</v>
      </c>
      <c r="D190" s="13">
        <f t="shared" si="1"/>
        <v>0.43359999999999999</v>
      </c>
      <c r="E190" s="13">
        <v>0.43359999999999999</v>
      </c>
      <c r="F190" s="13" t="s">
        <v>1125</v>
      </c>
      <c r="G190" s="13" t="s">
        <v>1125</v>
      </c>
      <c r="H190" s="13"/>
      <c r="I190" s="4" t="s">
        <v>1091</v>
      </c>
    </row>
    <row r="191" spans="1:9" ht="15.75" customHeight="1" x14ac:dyDescent="0.25">
      <c r="A191" s="10">
        <f t="shared" si="13"/>
        <v>1</v>
      </c>
      <c r="B191" s="10" t="s">
        <v>1585</v>
      </c>
      <c r="C191" s="11" t="s">
        <v>642</v>
      </c>
      <c r="D191" s="13">
        <f>E191*$D$1</f>
        <v>8.1</v>
      </c>
      <c r="E191" s="13">
        <f>405/(1*50)</f>
        <v>8.1</v>
      </c>
      <c r="F191" s="13" t="s">
        <v>1125</v>
      </c>
      <c r="G191" s="13" t="s">
        <v>1125</v>
      </c>
      <c r="H191" s="13"/>
      <c r="I191" s="4" t="s">
        <v>1091</v>
      </c>
    </row>
    <row r="192" spans="1:9" ht="15.75" customHeight="1" x14ac:dyDescent="0.25">
      <c r="A192" s="10">
        <f t="shared" si="13"/>
        <v>1</v>
      </c>
      <c r="B192" s="10" t="s">
        <v>1445</v>
      </c>
      <c r="C192" s="11" t="s">
        <v>113</v>
      </c>
      <c r="D192" s="13">
        <f>E192*$D$1</f>
        <v>7.5</v>
      </c>
      <c r="E192" s="13">
        <v>7.5</v>
      </c>
      <c r="F192" s="13" t="s">
        <v>1125</v>
      </c>
      <c r="G192" s="13" t="s">
        <v>1125</v>
      </c>
      <c r="H192" s="13"/>
      <c r="I192" s="4" t="s">
        <v>1091</v>
      </c>
    </row>
    <row r="193" spans="1:9" ht="15.75" customHeight="1" x14ac:dyDescent="0.25">
      <c r="A193" s="10">
        <f t="shared" si="13"/>
        <v>1</v>
      </c>
      <c r="B193" s="10" t="s">
        <v>1446</v>
      </c>
      <c r="C193" s="11" t="s">
        <v>113</v>
      </c>
      <c r="D193" s="13">
        <f>E193*$D$1</f>
        <v>6.5</v>
      </c>
      <c r="E193" s="13">
        <v>6.5</v>
      </c>
      <c r="F193" s="13" t="s">
        <v>1125</v>
      </c>
      <c r="G193" s="13" t="s">
        <v>1125</v>
      </c>
      <c r="H193" s="13"/>
      <c r="I193" s="4" t="s">
        <v>1091</v>
      </c>
    </row>
    <row r="194" spans="1:9" ht="15.75" customHeight="1" x14ac:dyDescent="0.25">
      <c r="A194" s="10">
        <f t="shared" si="13"/>
        <v>1</v>
      </c>
      <c r="B194" s="10" t="s">
        <v>1447</v>
      </c>
      <c r="C194" s="11" t="s">
        <v>113</v>
      </c>
      <c r="D194" s="13">
        <f>E194*$D$1</f>
        <v>15</v>
      </c>
      <c r="E194" s="13">
        <v>15</v>
      </c>
      <c r="F194" s="13" t="s">
        <v>1125</v>
      </c>
      <c r="G194" s="13" t="s">
        <v>1125</v>
      </c>
      <c r="H194" s="13"/>
      <c r="I194" s="4" t="s">
        <v>1091</v>
      </c>
    </row>
    <row r="195" spans="1:9" ht="15.75" customHeight="1" x14ac:dyDescent="0.25">
      <c r="A195" s="10">
        <f t="shared" si="13"/>
        <v>1</v>
      </c>
      <c r="B195" s="10" t="s">
        <v>1448</v>
      </c>
      <c r="C195" s="11" t="s">
        <v>197</v>
      </c>
      <c r="D195" s="13">
        <f>E195*$D$1</f>
        <v>0.5</v>
      </c>
      <c r="E195" s="13">
        <v>0.5</v>
      </c>
      <c r="F195" s="13" t="s">
        <v>1125</v>
      </c>
      <c r="G195" s="13" t="s">
        <v>1125</v>
      </c>
      <c r="H195" s="13"/>
      <c r="I195" s="4" t="s">
        <v>1091</v>
      </c>
    </row>
    <row r="196" spans="1:9" ht="15.75" customHeight="1" x14ac:dyDescent="0.25">
      <c r="A196" s="10">
        <f t="shared" si="13"/>
        <v>1</v>
      </c>
      <c r="B196" s="10" t="s">
        <v>401</v>
      </c>
      <c r="C196" s="11" t="s">
        <v>197</v>
      </c>
      <c r="D196" s="13">
        <f t="shared" si="1"/>
        <v>377.8363900815155</v>
      </c>
      <c r="E196" s="13">
        <v>377.8363900815155</v>
      </c>
      <c r="F196" s="13" t="s">
        <v>1125</v>
      </c>
      <c r="G196" s="13" t="s">
        <v>1125</v>
      </c>
      <c r="H196" s="13"/>
      <c r="I196" s="4" t="s">
        <v>1091</v>
      </c>
    </row>
    <row r="197" spans="1:9" ht="15.75" customHeight="1" x14ac:dyDescent="0.25">
      <c r="A197" s="10">
        <f t="shared" si="13"/>
        <v>1</v>
      </c>
      <c r="B197" s="10" t="s">
        <v>403</v>
      </c>
      <c r="C197" s="11" t="s">
        <v>197</v>
      </c>
      <c r="D197" s="13">
        <f t="shared" si="1"/>
        <v>58.988734923708691</v>
      </c>
      <c r="E197" s="13">
        <v>58.988734923708691</v>
      </c>
      <c r="F197" s="13" t="s">
        <v>1125</v>
      </c>
      <c r="G197" s="13" t="s">
        <v>1125</v>
      </c>
      <c r="H197" s="13"/>
      <c r="I197" s="4" t="s">
        <v>1091</v>
      </c>
    </row>
    <row r="198" spans="1:9" ht="15.75" customHeight="1" x14ac:dyDescent="0.25">
      <c r="A198" s="10">
        <f t="shared" si="13"/>
        <v>1</v>
      </c>
      <c r="B198" s="10" t="s">
        <v>856</v>
      </c>
      <c r="C198" s="11" t="s">
        <v>197</v>
      </c>
      <c r="D198" s="13">
        <f t="shared" si="1"/>
        <v>5.17</v>
      </c>
      <c r="E198" s="13">
        <v>5.17</v>
      </c>
      <c r="F198" s="13" t="s">
        <v>1125</v>
      </c>
      <c r="G198" s="13" t="s">
        <v>1125</v>
      </c>
      <c r="H198" s="13"/>
      <c r="I198" s="4" t="s">
        <v>1091</v>
      </c>
    </row>
    <row r="199" spans="1:9" ht="15.75" customHeight="1" x14ac:dyDescent="0.25">
      <c r="A199" s="10">
        <f t="shared" si="13"/>
        <v>1</v>
      </c>
      <c r="B199" s="10" t="s">
        <v>143</v>
      </c>
      <c r="C199" s="11" t="s">
        <v>788</v>
      </c>
      <c r="D199" s="13">
        <f t="shared" si="1"/>
        <v>110</v>
      </c>
      <c r="E199" s="13">
        <v>110</v>
      </c>
      <c r="F199" s="13" t="s">
        <v>1126</v>
      </c>
      <c r="G199" s="13" t="s">
        <v>1126</v>
      </c>
      <c r="H199" s="13"/>
      <c r="I199" s="4" t="s">
        <v>1127</v>
      </c>
    </row>
    <row r="200" spans="1:9" ht="15.75" customHeight="1" x14ac:dyDescent="0.25">
      <c r="A200" s="10">
        <f t="shared" si="13"/>
        <v>1</v>
      </c>
      <c r="B200" s="10" t="s">
        <v>133</v>
      </c>
      <c r="C200" s="11" t="s">
        <v>642</v>
      </c>
      <c r="D200" s="13">
        <f t="shared" si="1"/>
        <v>880</v>
      </c>
      <c r="E200" s="13">
        <v>880</v>
      </c>
      <c r="F200" s="13" t="s">
        <v>1126</v>
      </c>
      <c r="G200" s="13" t="s">
        <v>1126</v>
      </c>
      <c r="H200" s="13"/>
      <c r="I200" s="4" t="s">
        <v>1127</v>
      </c>
    </row>
    <row r="201" spans="1:9" ht="15.75" customHeight="1" x14ac:dyDescent="0.25">
      <c r="A201" s="10">
        <f t="shared" si="13"/>
        <v>1</v>
      </c>
      <c r="B201" s="10" t="s">
        <v>119</v>
      </c>
      <c r="C201" s="11" t="s">
        <v>197</v>
      </c>
      <c r="D201" s="13">
        <f t="shared" si="1"/>
        <v>45</v>
      </c>
      <c r="E201" s="13">
        <v>45</v>
      </c>
      <c r="F201" s="13" t="s">
        <v>1126</v>
      </c>
      <c r="G201" s="13" t="s">
        <v>1126</v>
      </c>
      <c r="H201" s="13"/>
      <c r="I201" s="4" t="s">
        <v>1127</v>
      </c>
    </row>
    <row r="202" spans="1:9" ht="15.75" customHeight="1" x14ac:dyDescent="0.25">
      <c r="A202" s="10">
        <f t="shared" si="13"/>
        <v>1</v>
      </c>
      <c r="B202" s="10" t="s">
        <v>108</v>
      </c>
      <c r="C202" s="11" t="s">
        <v>197</v>
      </c>
      <c r="D202" s="13">
        <f t="shared" si="1"/>
        <v>536.53</v>
      </c>
      <c r="E202" s="13">
        <v>536.53</v>
      </c>
      <c r="F202" s="13" t="s">
        <v>1126</v>
      </c>
      <c r="G202" s="13" t="s">
        <v>1126</v>
      </c>
      <c r="H202" s="13"/>
      <c r="I202" s="4" t="s">
        <v>1127</v>
      </c>
    </row>
    <row r="203" spans="1:9" ht="15.75" customHeight="1" x14ac:dyDescent="0.25">
      <c r="A203" s="10">
        <f t="shared" si="13"/>
        <v>1</v>
      </c>
      <c r="B203" s="10" t="s">
        <v>109</v>
      </c>
      <c r="C203" s="11" t="s">
        <v>197</v>
      </c>
      <c r="D203" s="13">
        <f t="shared" si="1"/>
        <v>520.85</v>
      </c>
      <c r="E203" s="13">
        <v>520.85</v>
      </c>
      <c r="F203" s="13" t="s">
        <v>1126</v>
      </c>
      <c r="G203" s="13" t="s">
        <v>1126</v>
      </c>
      <c r="H203" s="13"/>
      <c r="I203" s="4" t="s">
        <v>1127</v>
      </c>
    </row>
    <row r="204" spans="1:9" ht="15.75" customHeight="1" x14ac:dyDescent="0.25">
      <c r="A204" s="10">
        <f t="shared" si="13"/>
        <v>1</v>
      </c>
      <c r="B204" s="10" t="s">
        <v>141</v>
      </c>
      <c r="C204" s="11" t="s">
        <v>197</v>
      </c>
      <c r="D204" s="13">
        <f t="shared" si="1"/>
        <v>50</v>
      </c>
      <c r="E204" s="13">
        <v>50</v>
      </c>
      <c r="F204" s="13" t="s">
        <v>1126</v>
      </c>
      <c r="G204" s="13" t="s">
        <v>1126</v>
      </c>
      <c r="H204" s="13"/>
      <c r="I204" s="4" t="s">
        <v>1127</v>
      </c>
    </row>
    <row r="205" spans="1:9" ht="15.75" customHeight="1" x14ac:dyDescent="0.25">
      <c r="A205" s="10">
        <f t="shared" si="13"/>
        <v>1</v>
      </c>
      <c r="B205" s="10" t="s">
        <v>139</v>
      </c>
      <c r="C205" s="11" t="s">
        <v>113</v>
      </c>
      <c r="D205" s="13">
        <f t="shared" si="1"/>
        <v>5.2</v>
      </c>
      <c r="E205" s="13">
        <v>5.2</v>
      </c>
      <c r="F205" s="13" t="s">
        <v>1126</v>
      </c>
      <c r="G205" s="13" t="s">
        <v>1126</v>
      </c>
      <c r="H205" s="13"/>
      <c r="I205" s="4" t="s">
        <v>1127</v>
      </c>
    </row>
    <row r="206" spans="1:9" ht="15.75" customHeight="1" x14ac:dyDescent="0.25">
      <c r="A206" s="10">
        <f t="shared" si="13"/>
        <v>1</v>
      </c>
      <c r="B206" s="10" t="s">
        <v>128</v>
      </c>
      <c r="C206" s="11" t="s">
        <v>70</v>
      </c>
      <c r="D206" s="13">
        <f t="shared" si="1"/>
        <v>3.5</v>
      </c>
      <c r="E206" s="13">
        <v>3.5</v>
      </c>
      <c r="F206" s="13" t="s">
        <v>1126</v>
      </c>
      <c r="G206" s="13" t="s">
        <v>1126</v>
      </c>
      <c r="H206" s="13"/>
      <c r="I206" s="4" t="s">
        <v>1127</v>
      </c>
    </row>
    <row r="207" spans="1:9" ht="15.75" customHeight="1" x14ac:dyDescent="0.25">
      <c r="A207" s="10">
        <f t="shared" si="13"/>
        <v>1</v>
      </c>
      <c r="B207" s="10" t="s">
        <v>124</v>
      </c>
      <c r="C207" s="11" t="s">
        <v>113</v>
      </c>
      <c r="D207" s="13">
        <f t="shared" si="1"/>
        <v>2.73</v>
      </c>
      <c r="E207" s="13">
        <v>2.73</v>
      </c>
      <c r="F207" s="13" t="s">
        <v>1126</v>
      </c>
      <c r="G207" s="13" t="s">
        <v>1126</v>
      </c>
      <c r="H207" s="13"/>
      <c r="I207" s="4" t="s">
        <v>1127</v>
      </c>
    </row>
    <row r="208" spans="1:9" ht="15.75" customHeight="1" x14ac:dyDescent="0.25">
      <c r="A208" s="10">
        <f t="shared" si="13"/>
        <v>1</v>
      </c>
      <c r="B208" s="10" t="s">
        <v>146</v>
      </c>
      <c r="C208" s="11" t="s">
        <v>145</v>
      </c>
      <c r="D208" s="13">
        <f t="shared" si="1"/>
        <v>6500</v>
      </c>
      <c r="E208" s="13">
        <v>6500</v>
      </c>
      <c r="F208" s="13" t="s">
        <v>1128</v>
      </c>
      <c r="G208" s="13" t="s">
        <v>1128</v>
      </c>
      <c r="H208" s="13"/>
      <c r="I208" s="4" t="s">
        <v>1129</v>
      </c>
    </row>
    <row r="209" spans="1:9" ht="15.75" customHeight="1" x14ac:dyDescent="0.25">
      <c r="A209" s="10">
        <f t="shared" si="13"/>
        <v>1</v>
      </c>
      <c r="B209" s="10" t="s">
        <v>147</v>
      </c>
      <c r="C209" s="11" t="s">
        <v>145</v>
      </c>
      <c r="D209" s="13">
        <f t="shared" si="1"/>
        <v>900</v>
      </c>
      <c r="E209" s="13">
        <v>900</v>
      </c>
      <c r="F209" s="13" t="s">
        <v>1128</v>
      </c>
      <c r="G209" s="13" t="s">
        <v>1128</v>
      </c>
      <c r="H209" s="13"/>
      <c r="I209" s="4" t="s">
        <v>1129</v>
      </c>
    </row>
    <row r="210" spans="1:9" ht="15.75" customHeight="1" x14ac:dyDescent="0.25">
      <c r="A210" s="10">
        <f t="shared" si="13"/>
        <v>1</v>
      </c>
      <c r="B210" s="10" t="s">
        <v>150</v>
      </c>
      <c r="C210" s="11" t="s">
        <v>194</v>
      </c>
      <c r="D210" s="13">
        <f t="shared" si="1"/>
        <v>1200</v>
      </c>
      <c r="E210" s="13">
        <v>1200</v>
      </c>
      <c r="F210" s="13" t="s">
        <v>1128</v>
      </c>
      <c r="G210" s="13" t="s">
        <v>1128</v>
      </c>
      <c r="H210" s="13"/>
      <c r="I210" s="4" t="s">
        <v>1129</v>
      </c>
    </row>
    <row r="211" spans="1:9" ht="14.25" x14ac:dyDescent="0.2">
      <c r="A211" s="10">
        <f t="shared" si="13"/>
        <v>1</v>
      </c>
      <c r="B211" s="82" t="s">
        <v>1754</v>
      </c>
      <c r="C211" s="83" t="s">
        <v>194</v>
      </c>
      <c r="D211" s="84">
        <f>E211*$D$1</f>
        <v>24442.014536566567</v>
      </c>
      <c r="E211" s="84">
        <f>(950000*0.0257284363542806)/1</f>
        <v>24442.014536566567</v>
      </c>
      <c r="F211" s="84" t="s">
        <v>1128</v>
      </c>
      <c r="G211" s="84" t="s">
        <v>1128</v>
      </c>
      <c r="H211" s="84"/>
      <c r="I211" s="85" t="s">
        <v>1129</v>
      </c>
    </row>
    <row r="212" spans="1:9" ht="15.75" customHeight="1" x14ac:dyDescent="0.25">
      <c r="A212" s="10">
        <f t="shared" si="13"/>
        <v>1</v>
      </c>
      <c r="B212" s="10" t="s">
        <v>195</v>
      </c>
      <c r="C212" s="11" t="s">
        <v>194</v>
      </c>
      <c r="D212" s="13">
        <f t="shared" si="1"/>
        <v>26000</v>
      </c>
      <c r="E212" s="13">
        <v>26000</v>
      </c>
      <c r="F212" s="13" t="s">
        <v>1128</v>
      </c>
      <c r="G212" s="13" t="s">
        <v>1128</v>
      </c>
      <c r="H212" s="13"/>
      <c r="I212" s="4" t="s">
        <v>1129</v>
      </c>
    </row>
    <row r="213" spans="1:9" ht="15.75" customHeight="1" x14ac:dyDescent="0.25">
      <c r="A213" s="10">
        <f t="shared" si="13"/>
        <v>1</v>
      </c>
      <c r="B213" s="10" t="s">
        <v>193</v>
      </c>
      <c r="C213" s="11" t="s">
        <v>194</v>
      </c>
      <c r="D213" s="13">
        <f t="shared" si="1"/>
        <v>18500</v>
      </c>
      <c r="E213" s="13">
        <v>18500</v>
      </c>
      <c r="F213" s="13" t="s">
        <v>1128</v>
      </c>
      <c r="G213" s="13" t="s">
        <v>1128</v>
      </c>
      <c r="H213" s="13"/>
      <c r="I213" s="4" t="s">
        <v>1129</v>
      </c>
    </row>
    <row r="214" spans="1:9" ht="14.25" x14ac:dyDescent="0.2">
      <c r="A214" s="10">
        <f t="shared" si="13"/>
        <v>1</v>
      </c>
      <c r="B214" s="82" t="s">
        <v>1756</v>
      </c>
      <c r="C214" s="83" t="s">
        <v>113</v>
      </c>
      <c r="D214" s="84">
        <f>E214*$D$1</f>
        <v>0.8</v>
      </c>
      <c r="E214" s="84">
        <f>20/25</f>
        <v>0.8</v>
      </c>
      <c r="F214" s="84" t="s">
        <v>1167</v>
      </c>
      <c r="G214" s="84" t="s">
        <v>1091</v>
      </c>
      <c r="H214" s="84"/>
      <c r="I214" s="85" t="s">
        <v>1091</v>
      </c>
    </row>
    <row r="215" spans="1:9" ht="15.75" customHeight="1" x14ac:dyDescent="0.25">
      <c r="A215" s="10">
        <f t="shared" si="13"/>
        <v>1</v>
      </c>
      <c r="B215" s="10" t="s">
        <v>1064</v>
      </c>
      <c r="C215" s="11" t="s">
        <v>145</v>
      </c>
      <c r="D215" s="13">
        <f t="shared" si="1"/>
        <v>1500</v>
      </c>
      <c r="E215" s="13">
        <v>1500</v>
      </c>
      <c r="F215" s="13" t="s">
        <v>1128</v>
      </c>
      <c r="G215" s="13" t="s">
        <v>1128</v>
      </c>
      <c r="H215" s="13"/>
      <c r="I215" s="4" t="s">
        <v>1129</v>
      </c>
    </row>
    <row r="216" spans="1:9" ht="15.75" customHeight="1" x14ac:dyDescent="0.25">
      <c r="A216" s="10">
        <f t="shared" si="13"/>
        <v>1</v>
      </c>
      <c r="B216" s="10" t="s">
        <v>1043</v>
      </c>
      <c r="C216" s="11" t="s">
        <v>145</v>
      </c>
      <c r="D216" s="13">
        <f t="shared" si="1"/>
        <v>3200</v>
      </c>
      <c r="E216" s="13">
        <v>3200</v>
      </c>
      <c r="F216" s="13" t="s">
        <v>1128</v>
      </c>
      <c r="G216" s="13" t="s">
        <v>1128</v>
      </c>
      <c r="H216" s="13"/>
      <c r="I216" s="4" t="s">
        <v>1129</v>
      </c>
    </row>
    <row r="217" spans="1:9" ht="15.75" customHeight="1" x14ac:dyDescent="0.25">
      <c r="A217" s="10">
        <f t="shared" si="13"/>
        <v>1</v>
      </c>
      <c r="B217" s="10" t="s">
        <v>171</v>
      </c>
      <c r="C217" s="11" t="s">
        <v>145</v>
      </c>
      <c r="D217" s="13">
        <f t="shared" si="1"/>
        <v>33660</v>
      </c>
      <c r="E217" s="13">
        <v>33660</v>
      </c>
      <c r="F217" s="13" t="s">
        <v>1128</v>
      </c>
      <c r="G217" s="13" t="s">
        <v>1128</v>
      </c>
      <c r="H217" s="13"/>
      <c r="I217" s="4" t="s">
        <v>1129</v>
      </c>
    </row>
    <row r="218" spans="1:9" ht="15.75" customHeight="1" x14ac:dyDescent="0.25">
      <c r="A218" s="10">
        <f t="shared" si="13"/>
        <v>1</v>
      </c>
      <c r="B218" s="10" t="s">
        <v>173</v>
      </c>
      <c r="C218" s="11" t="s">
        <v>145</v>
      </c>
      <c r="D218" s="13">
        <f t="shared" si="1"/>
        <v>15000</v>
      </c>
      <c r="E218" s="13">
        <v>15000</v>
      </c>
      <c r="F218" s="13" t="s">
        <v>1128</v>
      </c>
      <c r="G218" s="13" t="s">
        <v>1128</v>
      </c>
      <c r="H218" s="13"/>
      <c r="I218" s="4" t="s">
        <v>1129</v>
      </c>
    </row>
    <row r="219" spans="1:9" ht="15.75" customHeight="1" x14ac:dyDescent="0.25">
      <c r="A219" s="10">
        <f t="shared" si="13"/>
        <v>1</v>
      </c>
      <c r="B219" s="10" t="s">
        <v>335</v>
      </c>
      <c r="C219" s="11" t="s">
        <v>1130</v>
      </c>
      <c r="D219" s="13">
        <f t="shared" si="1"/>
        <v>15000</v>
      </c>
      <c r="E219" s="13">
        <v>15000</v>
      </c>
      <c r="F219" s="13" t="s">
        <v>1128</v>
      </c>
      <c r="G219" s="13" t="s">
        <v>1128</v>
      </c>
      <c r="H219" s="13"/>
      <c r="I219" s="4" t="s">
        <v>1129</v>
      </c>
    </row>
    <row r="220" spans="1:9" ht="15.75" customHeight="1" x14ac:dyDescent="0.25">
      <c r="A220" s="10">
        <f t="shared" si="13"/>
        <v>1</v>
      </c>
      <c r="B220" s="10" t="s">
        <v>2179</v>
      </c>
      <c r="C220" s="11" t="s">
        <v>788</v>
      </c>
      <c r="D220" s="13">
        <f>E220*$D$1</f>
        <v>20</v>
      </c>
      <c r="E220" s="13">
        <v>20</v>
      </c>
      <c r="F220" s="13" t="s">
        <v>1128</v>
      </c>
      <c r="G220" s="13" t="s">
        <v>1128</v>
      </c>
      <c r="H220" s="13"/>
      <c r="I220" s="4" t="s">
        <v>1129</v>
      </c>
    </row>
    <row r="221" spans="1:9" ht="15.75" customHeight="1" x14ac:dyDescent="0.25">
      <c r="A221" s="10">
        <f t="shared" si="13"/>
        <v>1</v>
      </c>
      <c r="B221" s="10" t="s">
        <v>126</v>
      </c>
      <c r="C221" s="11" t="s">
        <v>197</v>
      </c>
      <c r="D221" s="13">
        <f t="shared" si="1"/>
        <v>32.9</v>
      </c>
      <c r="E221" s="13">
        <v>32.9</v>
      </c>
      <c r="F221" s="13" t="s">
        <v>1128</v>
      </c>
      <c r="G221" s="13" t="s">
        <v>1128</v>
      </c>
      <c r="H221" s="13"/>
      <c r="I221" s="4" t="s">
        <v>1129</v>
      </c>
    </row>
    <row r="222" spans="1:9" ht="15.75" customHeight="1" x14ac:dyDescent="0.25">
      <c r="A222" s="10">
        <f t="shared" si="13"/>
        <v>1</v>
      </c>
      <c r="B222" s="10" t="s">
        <v>331</v>
      </c>
      <c r="C222" s="11" t="s">
        <v>197</v>
      </c>
      <c r="D222" s="13">
        <f t="shared" si="1"/>
        <v>36.425026506170724</v>
      </c>
      <c r="E222" s="13">
        <v>36.425026506170724</v>
      </c>
      <c r="F222" s="13" t="s">
        <v>1128</v>
      </c>
      <c r="G222" s="13" t="s">
        <v>1128</v>
      </c>
      <c r="H222" s="13"/>
      <c r="I222" s="4" t="s">
        <v>1129</v>
      </c>
    </row>
    <row r="223" spans="1:9" ht="15.75" customHeight="1" x14ac:dyDescent="0.25">
      <c r="A223" s="10">
        <f t="shared" si="13"/>
        <v>1</v>
      </c>
      <c r="B223" s="10" t="s">
        <v>328</v>
      </c>
      <c r="C223" s="11" t="s">
        <v>1131</v>
      </c>
      <c r="D223" s="13">
        <f t="shared" si="1"/>
        <v>5.3064</v>
      </c>
      <c r="E223" s="13">
        <v>5.3064</v>
      </c>
      <c r="F223" s="13" t="s">
        <v>1128</v>
      </c>
      <c r="G223" s="13" t="s">
        <v>1128</v>
      </c>
      <c r="H223" s="13"/>
      <c r="I223" s="4" t="s">
        <v>1129</v>
      </c>
    </row>
    <row r="224" spans="1:9" ht="15.75" customHeight="1" x14ac:dyDescent="0.25">
      <c r="A224" s="10">
        <f t="shared" si="13"/>
        <v>1</v>
      </c>
      <c r="B224" s="10" t="s">
        <v>329</v>
      </c>
      <c r="C224" s="11" t="s">
        <v>194</v>
      </c>
      <c r="D224" s="13">
        <f t="shared" si="1"/>
        <v>39432.81</v>
      </c>
      <c r="E224" s="13">
        <v>39432.81</v>
      </c>
      <c r="F224" s="13" t="s">
        <v>1128</v>
      </c>
      <c r="G224" s="13" t="s">
        <v>1128</v>
      </c>
      <c r="H224" s="13"/>
      <c r="I224" s="4" t="s">
        <v>1129</v>
      </c>
    </row>
    <row r="225" spans="1:9" ht="15.75" customHeight="1" x14ac:dyDescent="0.25">
      <c r="A225" s="10">
        <f t="shared" si="13"/>
        <v>1</v>
      </c>
      <c r="B225" s="10" t="s">
        <v>1056</v>
      </c>
      <c r="C225" s="11" t="s">
        <v>145</v>
      </c>
      <c r="D225" s="13">
        <f t="shared" si="1"/>
        <v>1000</v>
      </c>
      <c r="E225" s="13">
        <v>1000</v>
      </c>
      <c r="F225" s="13" t="s">
        <v>1128</v>
      </c>
      <c r="G225" s="13" t="s">
        <v>1128</v>
      </c>
      <c r="H225" s="13"/>
      <c r="I225" s="4" t="s">
        <v>1129</v>
      </c>
    </row>
    <row r="226" spans="1:9" ht="15.75" customHeight="1" x14ac:dyDescent="0.25">
      <c r="A226" s="10">
        <f t="shared" si="13"/>
        <v>1</v>
      </c>
      <c r="B226" s="10" t="s">
        <v>1063</v>
      </c>
      <c r="C226" s="11" t="s">
        <v>145</v>
      </c>
      <c r="D226" s="13">
        <f t="shared" si="1"/>
        <v>4000</v>
      </c>
      <c r="E226" s="13">
        <v>4000</v>
      </c>
      <c r="F226" s="13" t="s">
        <v>1128</v>
      </c>
      <c r="G226" s="13" t="s">
        <v>1128</v>
      </c>
      <c r="H226" s="13"/>
      <c r="I226" s="4" t="s">
        <v>1129</v>
      </c>
    </row>
    <row r="227" spans="1:9" ht="15.75" customHeight="1" x14ac:dyDescent="0.25">
      <c r="A227" s="10">
        <f t="shared" si="13"/>
        <v>1</v>
      </c>
      <c r="B227" s="10" t="s">
        <v>1042</v>
      </c>
      <c r="C227" s="11" t="s">
        <v>145</v>
      </c>
      <c r="D227" s="13">
        <f t="shared" si="1"/>
        <v>1500</v>
      </c>
      <c r="E227" s="13">
        <v>1500</v>
      </c>
      <c r="F227" s="13" t="s">
        <v>1128</v>
      </c>
      <c r="G227" s="13" t="s">
        <v>1128</v>
      </c>
      <c r="H227" s="13"/>
      <c r="I227" s="4" t="s">
        <v>1129</v>
      </c>
    </row>
    <row r="228" spans="1:9" ht="15.75" customHeight="1" x14ac:dyDescent="0.25">
      <c r="A228" s="10">
        <f t="shared" si="13"/>
        <v>1</v>
      </c>
      <c r="B228" s="10" t="s">
        <v>1057</v>
      </c>
      <c r="C228" s="11" t="s">
        <v>145</v>
      </c>
      <c r="D228" s="13">
        <f t="shared" si="1"/>
        <v>1500</v>
      </c>
      <c r="E228" s="13">
        <v>1500</v>
      </c>
      <c r="F228" s="13" t="s">
        <v>1128</v>
      </c>
      <c r="G228" s="13" t="s">
        <v>1128</v>
      </c>
      <c r="H228" s="13"/>
      <c r="I228" s="4" t="s">
        <v>1129</v>
      </c>
    </row>
    <row r="229" spans="1:9" ht="15.75" customHeight="1" x14ac:dyDescent="0.25">
      <c r="A229" s="10">
        <f t="shared" si="13"/>
        <v>1</v>
      </c>
      <c r="B229" s="10" t="s">
        <v>1065</v>
      </c>
      <c r="C229" s="11" t="s">
        <v>145</v>
      </c>
      <c r="D229" s="13">
        <f t="shared" si="1"/>
        <v>2000</v>
      </c>
      <c r="E229" s="13">
        <v>2000</v>
      </c>
      <c r="F229" s="13" t="s">
        <v>1128</v>
      </c>
      <c r="G229" s="13" t="s">
        <v>1128</v>
      </c>
      <c r="H229" s="13"/>
      <c r="I229" s="4" t="s">
        <v>1129</v>
      </c>
    </row>
    <row r="230" spans="1:9" ht="15.75" customHeight="1" x14ac:dyDescent="0.25">
      <c r="A230" s="10">
        <f t="shared" si="13"/>
        <v>1</v>
      </c>
      <c r="B230" s="10" t="s">
        <v>174</v>
      </c>
      <c r="C230" s="11" t="s">
        <v>145</v>
      </c>
      <c r="D230" s="13">
        <f t="shared" si="1"/>
        <v>7000</v>
      </c>
      <c r="E230" s="13">
        <v>7000</v>
      </c>
      <c r="F230" s="13" t="s">
        <v>1128</v>
      </c>
      <c r="G230" s="13" t="s">
        <v>1128</v>
      </c>
      <c r="H230" s="13"/>
      <c r="I230" s="4" t="s">
        <v>1129</v>
      </c>
    </row>
    <row r="231" spans="1:9" ht="15.75" customHeight="1" x14ac:dyDescent="0.25">
      <c r="A231" s="10">
        <f t="shared" si="13"/>
        <v>1</v>
      </c>
      <c r="B231" s="10" t="s">
        <v>172</v>
      </c>
      <c r="C231" s="11" t="s">
        <v>145</v>
      </c>
      <c r="D231" s="13">
        <f t="shared" si="1"/>
        <v>32270</v>
      </c>
      <c r="E231" s="13">
        <v>32270</v>
      </c>
      <c r="F231" s="13" t="s">
        <v>1128</v>
      </c>
      <c r="G231" s="13" t="s">
        <v>1128</v>
      </c>
      <c r="H231" s="13"/>
      <c r="I231" s="4" t="s">
        <v>1129</v>
      </c>
    </row>
    <row r="232" spans="1:9" ht="15.75" customHeight="1" x14ac:dyDescent="0.25">
      <c r="A232" s="10">
        <f t="shared" si="13"/>
        <v>1</v>
      </c>
      <c r="B232" s="10" t="s">
        <v>787</v>
      </c>
      <c r="C232" s="11" t="s">
        <v>70</v>
      </c>
      <c r="D232" s="13">
        <f t="shared" si="1"/>
        <v>2140</v>
      </c>
      <c r="E232" s="13">
        <v>2140</v>
      </c>
      <c r="F232" s="13" t="s">
        <v>1132</v>
      </c>
      <c r="G232" s="13" t="s">
        <v>1133</v>
      </c>
      <c r="H232" s="13"/>
      <c r="I232" s="4" t="s">
        <v>1134</v>
      </c>
    </row>
    <row r="233" spans="1:9" ht="15.75" customHeight="1" x14ac:dyDescent="0.25">
      <c r="A233" s="10">
        <f t="shared" si="13"/>
        <v>1</v>
      </c>
      <c r="B233" s="10" t="s">
        <v>798</v>
      </c>
      <c r="C233" s="11" t="s">
        <v>70</v>
      </c>
      <c r="D233" s="13">
        <f t="shared" si="1"/>
        <v>768.5</v>
      </c>
      <c r="E233" s="13">
        <v>768.5</v>
      </c>
      <c r="F233" s="13" t="s">
        <v>1132</v>
      </c>
      <c r="G233" s="13" t="s">
        <v>1133</v>
      </c>
      <c r="H233" s="13"/>
      <c r="I233" s="4" t="s">
        <v>1134</v>
      </c>
    </row>
    <row r="234" spans="1:9" ht="15.75" customHeight="1" x14ac:dyDescent="0.25">
      <c r="A234" s="10">
        <f t="shared" si="13"/>
        <v>1</v>
      </c>
      <c r="B234" s="10" t="s">
        <v>797</v>
      </c>
      <c r="C234" s="11" t="s">
        <v>70</v>
      </c>
      <c r="D234" s="13">
        <f t="shared" si="1"/>
        <v>935.99</v>
      </c>
      <c r="E234" s="13">
        <v>935.99</v>
      </c>
      <c r="F234" s="13" t="s">
        <v>1132</v>
      </c>
      <c r="G234" s="13" t="s">
        <v>1133</v>
      </c>
      <c r="H234" s="13"/>
      <c r="I234" s="4" t="s">
        <v>1134</v>
      </c>
    </row>
    <row r="235" spans="1:9" ht="15.75" customHeight="1" x14ac:dyDescent="0.25">
      <c r="A235" s="10">
        <f t="shared" si="13"/>
        <v>1</v>
      </c>
      <c r="B235" s="10" t="s">
        <v>802</v>
      </c>
      <c r="C235" s="11" t="s">
        <v>113</v>
      </c>
      <c r="D235" s="13">
        <f t="shared" si="1"/>
        <v>530</v>
      </c>
      <c r="E235" s="13">
        <v>530</v>
      </c>
      <c r="F235" s="13" t="s">
        <v>1132</v>
      </c>
      <c r="G235" s="13" t="s">
        <v>1133</v>
      </c>
      <c r="H235" s="13"/>
      <c r="I235" s="4" t="s">
        <v>1134</v>
      </c>
    </row>
    <row r="236" spans="1:9" ht="15.75" customHeight="1" x14ac:dyDescent="0.25">
      <c r="A236" s="10">
        <f t="shared" si="13"/>
        <v>1</v>
      </c>
      <c r="B236" s="10" t="s">
        <v>800</v>
      </c>
      <c r="C236" s="11" t="s">
        <v>534</v>
      </c>
      <c r="D236" s="13">
        <f>E236*$D$1</f>
        <v>1014</v>
      </c>
      <c r="E236" s="13">
        <v>1014</v>
      </c>
      <c r="F236" s="13" t="s">
        <v>1132</v>
      </c>
      <c r="G236" s="13" t="s">
        <v>1133</v>
      </c>
      <c r="H236" s="13"/>
      <c r="I236" s="4" t="s">
        <v>1135</v>
      </c>
    </row>
    <row r="237" spans="1:9" ht="15.75" customHeight="1" x14ac:dyDescent="0.25">
      <c r="A237" s="10">
        <f t="shared" si="13"/>
        <v>1</v>
      </c>
      <c r="B237" s="10" t="s">
        <v>1534</v>
      </c>
      <c r="C237" s="11" t="s">
        <v>534</v>
      </c>
      <c r="D237" s="13">
        <f t="shared" si="1"/>
        <v>5040</v>
      </c>
      <c r="E237" s="13">
        <v>5040</v>
      </c>
      <c r="F237" s="13" t="s">
        <v>1132</v>
      </c>
      <c r="G237" s="13" t="s">
        <v>1133</v>
      </c>
      <c r="H237" s="13"/>
      <c r="I237" s="4" t="s">
        <v>1135</v>
      </c>
    </row>
    <row r="238" spans="1:9" ht="15.75" customHeight="1" x14ac:dyDescent="0.25">
      <c r="A238" s="10">
        <f t="shared" si="13"/>
        <v>1</v>
      </c>
      <c r="B238" s="10" t="s">
        <v>795</v>
      </c>
      <c r="C238" s="11" t="s">
        <v>70</v>
      </c>
      <c r="D238" s="13">
        <f t="shared" si="1"/>
        <v>1415.0275930380642</v>
      </c>
      <c r="E238" s="13">
        <v>1415.0275930380642</v>
      </c>
      <c r="F238" s="13" t="s">
        <v>1132</v>
      </c>
      <c r="G238" s="13" t="s">
        <v>1133</v>
      </c>
      <c r="H238" s="13"/>
      <c r="I238" s="4" t="s">
        <v>1134</v>
      </c>
    </row>
    <row r="239" spans="1:9" ht="15.75" customHeight="1" x14ac:dyDescent="0.25">
      <c r="A239" s="10">
        <f t="shared" si="13"/>
        <v>1</v>
      </c>
      <c r="B239" s="10" t="s">
        <v>805</v>
      </c>
      <c r="C239" s="11" t="s">
        <v>113</v>
      </c>
      <c r="D239" s="13">
        <f t="shared" si="1"/>
        <v>650</v>
      </c>
      <c r="E239" s="13">
        <v>650</v>
      </c>
      <c r="F239" s="13" t="s">
        <v>1132</v>
      </c>
      <c r="G239" s="13" t="s">
        <v>1136</v>
      </c>
      <c r="H239" s="13"/>
      <c r="I239" s="4" t="s">
        <v>1134</v>
      </c>
    </row>
    <row r="240" spans="1:9" ht="15.75" customHeight="1" x14ac:dyDescent="0.25">
      <c r="A240" s="10">
        <f t="shared" si="13"/>
        <v>1</v>
      </c>
      <c r="B240" s="10" t="s">
        <v>804</v>
      </c>
      <c r="C240" s="11" t="s">
        <v>113</v>
      </c>
      <c r="D240" s="13">
        <f t="shared" si="1"/>
        <v>80</v>
      </c>
      <c r="E240" s="13">
        <v>80</v>
      </c>
      <c r="F240" s="13" t="s">
        <v>1132</v>
      </c>
      <c r="G240" s="13" t="s">
        <v>1137</v>
      </c>
      <c r="H240" s="13"/>
      <c r="I240" s="4" t="s">
        <v>1138</v>
      </c>
    </row>
    <row r="241" spans="1:9" ht="15.75" customHeight="1" x14ac:dyDescent="0.25">
      <c r="A241" s="10">
        <f t="shared" si="13"/>
        <v>1</v>
      </c>
      <c r="B241" s="10" t="s">
        <v>796</v>
      </c>
      <c r="C241" s="11" t="s">
        <v>534</v>
      </c>
      <c r="D241" s="13">
        <f t="shared" si="1"/>
        <v>1031.7460317460318</v>
      </c>
      <c r="E241" s="13">
        <v>1031.7460317460318</v>
      </c>
      <c r="F241" s="13" t="s">
        <v>1132</v>
      </c>
      <c r="G241" s="13" t="s">
        <v>1137</v>
      </c>
      <c r="H241" s="13"/>
      <c r="I241" s="4" t="s">
        <v>1138</v>
      </c>
    </row>
    <row r="242" spans="1:9" ht="15.75" customHeight="1" x14ac:dyDescent="0.25">
      <c r="A242" s="10">
        <f t="shared" si="13"/>
        <v>1</v>
      </c>
      <c r="B242" s="10" t="s">
        <v>828</v>
      </c>
      <c r="C242" s="11" t="s">
        <v>534</v>
      </c>
      <c r="D242" s="13">
        <f t="shared" si="1"/>
        <v>4042.6711111111113</v>
      </c>
      <c r="E242" s="13">
        <f>E252/(0.9*2.1)*(1.4*2.1)</f>
        <v>4042.6711111111113</v>
      </c>
      <c r="F242" s="13" t="s">
        <v>1132</v>
      </c>
      <c r="G242" s="13" t="s">
        <v>1137</v>
      </c>
      <c r="H242" s="13" t="s">
        <v>1643</v>
      </c>
      <c r="I242" s="4" t="s">
        <v>1138</v>
      </c>
    </row>
    <row r="243" spans="1:9" ht="15.75" customHeight="1" x14ac:dyDescent="0.25">
      <c r="A243" s="10">
        <f t="shared" si="13"/>
        <v>1</v>
      </c>
      <c r="B243" s="10" t="s">
        <v>826</v>
      </c>
      <c r="C243" s="11" t="s">
        <v>534</v>
      </c>
      <c r="D243" s="13">
        <f>E243*$D$1</f>
        <v>3032.0033333333336</v>
      </c>
      <c r="E243" s="13">
        <f>E252/(0.9*2.1)*(1.05*2.1)</f>
        <v>3032.0033333333336</v>
      </c>
      <c r="F243" s="13" t="s">
        <v>1132</v>
      </c>
      <c r="G243" s="13" t="s">
        <v>1137</v>
      </c>
      <c r="H243" s="13" t="s">
        <v>1643</v>
      </c>
      <c r="I243" s="4" t="s">
        <v>1138</v>
      </c>
    </row>
    <row r="244" spans="1:9" ht="15.75" customHeight="1" x14ac:dyDescent="0.25">
      <c r="A244" s="10">
        <f t="shared" si="13"/>
        <v>1</v>
      </c>
      <c r="B244" s="10" t="s">
        <v>1539</v>
      </c>
      <c r="C244" s="11" t="s">
        <v>534</v>
      </c>
      <c r="D244" s="13">
        <f t="shared" si="1"/>
        <v>3176.3844444444453</v>
      </c>
      <c r="E244" s="13">
        <f>E252/(0.9*2.1)*(1.1*2.1)</f>
        <v>3176.3844444444453</v>
      </c>
      <c r="F244" s="13" t="s">
        <v>1132</v>
      </c>
      <c r="G244" s="13" t="s">
        <v>1137</v>
      </c>
      <c r="H244" s="13" t="s">
        <v>1643</v>
      </c>
      <c r="I244" s="4" t="s">
        <v>1138</v>
      </c>
    </row>
    <row r="245" spans="1:9" ht="15.75" customHeight="1" x14ac:dyDescent="0.25">
      <c r="A245" s="10">
        <f t="shared" ref="A245:A309" si="14">COUNTIFS($B$2:$B$996,B245)</f>
        <v>1</v>
      </c>
      <c r="B245" s="10" t="s">
        <v>824</v>
      </c>
      <c r="C245" s="11" t="s">
        <v>534</v>
      </c>
      <c r="D245" s="13">
        <f t="shared" si="1"/>
        <v>2887.6222222222223</v>
      </c>
      <c r="E245" s="13">
        <f>E252/(0.9*2.1)*(1*2.1)</f>
        <v>2887.6222222222223</v>
      </c>
      <c r="F245" s="13" t="s">
        <v>1132</v>
      </c>
      <c r="G245" s="13" t="s">
        <v>1137</v>
      </c>
      <c r="H245" s="13" t="s">
        <v>1643</v>
      </c>
      <c r="I245" s="4" t="s">
        <v>1138</v>
      </c>
    </row>
    <row r="246" spans="1:9" ht="15.75" customHeight="1" x14ac:dyDescent="0.25">
      <c r="A246" s="10">
        <f t="shared" si="14"/>
        <v>1</v>
      </c>
      <c r="B246" s="10" t="s">
        <v>830</v>
      </c>
      <c r="C246" s="11" t="s">
        <v>534</v>
      </c>
      <c r="D246" s="13">
        <f>E246*$D$1</f>
        <v>2209.5230485436896</v>
      </c>
      <c r="E246" s="13">
        <v>2209.5230485436896</v>
      </c>
      <c r="F246" s="13" t="s">
        <v>1132</v>
      </c>
      <c r="G246" s="13" t="s">
        <v>1137</v>
      </c>
      <c r="H246" s="13" t="s">
        <v>1643</v>
      </c>
      <c r="I246" s="4" t="s">
        <v>1138</v>
      </c>
    </row>
    <row r="247" spans="1:9" ht="15.75" customHeight="1" x14ac:dyDescent="0.25">
      <c r="A247" s="10">
        <f t="shared" si="14"/>
        <v>1</v>
      </c>
      <c r="B247" s="10" t="s">
        <v>807</v>
      </c>
      <c r="C247" s="11" t="s">
        <v>534</v>
      </c>
      <c r="D247" s="13">
        <f t="shared" si="1"/>
        <v>2209.5230485436896</v>
      </c>
      <c r="E247" s="13">
        <v>2209.5230485436896</v>
      </c>
      <c r="F247" s="13" t="s">
        <v>1132</v>
      </c>
      <c r="G247" s="13" t="s">
        <v>1137</v>
      </c>
      <c r="H247" s="13" t="s">
        <v>1643</v>
      </c>
      <c r="I247" s="4" t="s">
        <v>1138</v>
      </c>
    </row>
    <row r="248" spans="1:9" ht="15.75" customHeight="1" x14ac:dyDescent="0.25">
      <c r="A248" s="10">
        <f t="shared" si="14"/>
        <v>1</v>
      </c>
      <c r="B248" s="10" t="s">
        <v>1541</v>
      </c>
      <c r="C248" s="11" t="s">
        <v>534</v>
      </c>
      <c r="D248" s="13">
        <f>E248*$D$1</f>
        <v>2358.5676190476192</v>
      </c>
      <c r="E248" s="13">
        <f>E249/(0.6*2.1)*(0.6*2.2)</f>
        <v>2358.5676190476192</v>
      </c>
      <c r="F248" s="13" t="s">
        <v>1132</v>
      </c>
      <c r="G248" s="13" t="s">
        <v>1137</v>
      </c>
      <c r="H248" s="13" t="s">
        <v>1643</v>
      </c>
      <c r="I248" s="4" t="s">
        <v>1138</v>
      </c>
    </row>
    <row r="249" spans="1:9" ht="15.75" customHeight="1" x14ac:dyDescent="0.25">
      <c r="A249" s="10">
        <f t="shared" si="14"/>
        <v>1</v>
      </c>
      <c r="B249" s="10" t="s">
        <v>816</v>
      </c>
      <c r="C249" s="11" t="s">
        <v>534</v>
      </c>
      <c r="D249" s="13">
        <f t="shared" si="1"/>
        <v>2251.36</v>
      </c>
      <c r="E249" s="13">
        <v>2251.36</v>
      </c>
      <c r="F249" s="13" t="s">
        <v>1132</v>
      </c>
      <c r="G249" s="13" t="s">
        <v>1137</v>
      </c>
      <c r="H249" s="13" t="s">
        <v>1643</v>
      </c>
      <c r="I249" s="4" t="s">
        <v>1138</v>
      </c>
    </row>
    <row r="250" spans="1:9" ht="15.75" customHeight="1" x14ac:dyDescent="0.25">
      <c r="A250" s="10">
        <f t="shared" si="14"/>
        <v>2</v>
      </c>
      <c r="B250" s="10" t="s">
        <v>818</v>
      </c>
      <c r="C250" s="11" t="s">
        <v>534</v>
      </c>
      <c r="D250" s="13">
        <f t="shared" si="1"/>
        <v>2251.36</v>
      </c>
      <c r="E250" s="13">
        <v>2251.36</v>
      </c>
      <c r="F250" s="13" t="s">
        <v>1132</v>
      </c>
      <c r="G250" s="13" t="s">
        <v>1137</v>
      </c>
      <c r="H250" s="13" t="s">
        <v>1643</v>
      </c>
      <c r="I250" s="4" t="s">
        <v>1138</v>
      </c>
    </row>
    <row r="251" spans="1:9" ht="15.75" customHeight="1" x14ac:dyDescent="0.25">
      <c r="A251" s="10">
        <f t="shared" si="14"/>
        <v>1</v>
      </c>
      <c r="B251" s="10" t="s">
        <v>810</v>
      </c>
      <c r="C251" s="11" t="s">
        <v>534</v>
      </c>
      <c r="D251" s="13">
        <f t="shared" si="1"/>
        <v>2251.36</v>
      </c>
      <c r="E251" s="13">
        <v>2251.36</v>
      </c>
      <c r="F251" s="13" t="s">
        <v>1132</v>
      </c>
      <c r="G251" s="13" t="s">
        <v>1137</v>
      </c>
      <c r="H251" s="13" t="s">
        <v>1643</v>
      </c>
      <c r="I251" s="4" t="s">
        <v>1138</v>
      </c>
    </row>
    <row r="252" spans="1:9" ht="15.75" customHeight="1" x14ac:dyDescent="0.25">
      <c r="A252" s="10">
        <f t="shared" si="14"/>
        <v>1</v>
      </c>
      <c r="B252" s="10" t="s">
        <v>820</v>
      </c>
      <c r="C252" s="11" t="s">
        <v>534</v>
      </c>
      <c r="D252" s="13">
        <f t="shared" si="1"/>
        <v>2598.86</v>
      </c>
      <c r="E252" s="13">
        <v>2598.86</v>
      </c>
      <c r="F252" s="13" t="s">
        <v>1132</v>
      </c>
      <c r="G252" s="13" t="s">
        <v>1137</v>
      </c>
      <c r="H252" s="13" t="s">
        <v>1643</v>
      </c>
      <c r="I252" s="4" t="s">
        <v>1138</v>
      </c>
    </row>
    <row r="253" spans="1:9" ht="15.75" customHeight="1" x14ac:dyDescent="0.25">
      <c r="A253" s="10">
        <f t="shared" si="14"/>
        <v>1</v>
      </c>
      <c r="B253" s="10" t="s">
        <v>812</v>
      </c>
      <c r="C253" s="11" t="s">
        <v>534</v>
      </c>
      <c r="D253" s="13">
        <f t="shared" si="1"/>
        <v>2209.5230485436896</v>
      </c>
      <c r="E253" s="13">
        <v>2209.5230485436896</v>
      </c>
      <c r="F253" s="13" t="s">
        <v>1132</v>
      </c>
      <c r="G253" s="13" t="s">
        <v>1137</v>
      </c>
      <c r="H253" s="13" t="s">
        <v>1643</v>
      </c>
      <c r="I253" s="4" t="s">
        <v>1138</v>
      </c>
    </row>
    <row r="254" spans="1:9" ht="15.75" customHeight="1" x14ac:dyDescent="0.25">
      <c r="A254" s="10">
        <f t="shared" si="14"/>
        <v>1</v>
      </c>
      <c r="B254" s="10" t="s">
        <v>1540</v>
      </c>
      <c r="C254" s="11" t="s">
        <v>534</v>
      </c>
      <c r="D254" s="13">
        <f>E254*$D$1</f>
        <v>2209.5230485436896</v>
      </c>
      <c r="E254" s="13">
        <v>2209.5230485436896</v>
      </c>
      <c r="F254" s="13" t="s">
        <v>1132</v>
      </c>
      <c r="G254" s="13" t="s">
        <v>1137</v>
      </c>
      <c r="H254" s="13" t="s">
        <v>1643</v>
      </c>
      <c r="I254" s="4" t="s">
        <v>1138</v>
      </c>
    </row>
    <row r="255" spans="1:9" ht="15.75" customHeight="1" x14ac:dyDescent="0.25">
      <c r="A255" s="10">
        <f t="shared" si="14"/>
        <v>2</v>
      </c>
      <c r="B255" s="10" t="s">
        <v>818</v>
      </c>
      <c r="C255" s="11" t="s">
        <v>534</v>
      </c>
      <c r="D255" s="13">
        <f t="shared" si="1"/>
        <v>2251.36</v>
      </c>
      <c r="E255" s="13">
        <v>2251.36</v>
      </c>
      <c r="F255" s="13" t="s">
        <v>1132</v>
      </c>
      <c r="G255" s="13" t="s">
        <v>1137</v>
      </c>
      <c r="H255" s="13" t="s">
        <v>1643</v>
      </c>
      <c r="I255" s="4" t="s">
        <v>1138</v>
      </c>
    </row>
    <row r="256" spans="1:9" ht="15.75" customHeight="1" x14ac:dyDescent="0.25">
      <c r="A256" s="10">
        <f t="shared" si="14"/>
        <v>1</v>
      </c>
      <c r="B256" s="10" t="s">
        <v>814</v>
      </c>
      <c r="C256" s="11" t="s">
        <v>534</v>
      </c>
      <c r="D256" s="13">
        <f t="shared" si="1"/>
        <v>2209.5230485436896</v>
      </c>
      <c r="E256" s="13">
        <v>2209.5230485436896</v>
      </c>
      <c r="F256" s="13" t="s">
        <v>1132</v>
      </c>
      <c r="G256" s="13" t="s">
        <v>1137</v>
      </c>
      <c r="H256" s="13" t="s">
        <v>1643</v>
      </c>
      <c r="I256" s="4" t="s">
        <v>1138</v>
      </c>
    </row>
    <row r="257" spans="1:9" ht="15.75" customHeight="1" x14ac:dyDescent="0.25">
      <c r="A257" s="10">
        <f t="shared" si="14"/>
        <v>1</v>
      </c>
      <c r="B257" s="10" t="s">
        <v>832</v>
      </c>
      <c r="C257" s="11" t="s">
        <v>534</v>
      </c>
      <c r="D257" s="13">
        <f t="shared" si="1"/>
        <v>2251.36</v>
      </c>
      <c r="E257" s="13">
        <v>2251.36</v>
      </c>
      <c r="F257" s="13" t="s">
        <v>1132</v>
      </c>
      <c r="G257" s="13" t="s">
        <v>1137</v>
      </c>
      <c r="H257" s="13" t="s">
        <v>1643</v>
      </c>
      <c r="I257" s="4" t="s">
        <v>1138</v>
      </c>
    </row>
    <row r="258" spans="1:9" ht="15.75" customHeight="1" x14ac:dyDescent="0.25">
      <c r="A258" s="10">
        <f t="shared" si="14"/>
        <v>1</v>
      </c>
      <c r="B258" s="10" t="s">
        <v>822</v>
      </c>
      <c r="C258" s="11" t="s">
        <v>534</v>
      </c>
      <c r="D258" s="13">
        <f t="shared" si="1"/>
        <v>2660.7376190476193</v>
      </c>
      <c r="E258" s="13">
        <f>E252/(0.9*2.1)*(0.9*2.15)</f>
        <v>2660.7376190476193</v>
      </c>
      <c r="F258" s="13" t="s">
        <v>1132</v>
      </c>
      <c r="G258" s="13" t="s">
        <v>1137</v>
      </c>
      <c r="H258" s="13" t="s">
        <v>1643</v>
      </c>
      <c r="I258" s="4" t="s">
        <v>1138</v>
      </c>
    </row>
    <row r="259" spans="1:9" ht="15.75" customHeight="1" x14ac:dyDescent="0.25">
      <c r="A259" s="10">
        <f t="shared" si="14"/>
        <v>1</v>
      </c>
      <c r="B259" s="10" t="s">
        <v>1012</v>
      </c>
      <c r="C259" s="11" t="s">
        <v>534</v>
      </c>
      <c r="D259" s="13">
        <f t="shared" si="1"/>
        <v>1014</v>
      </c>
      <c r="E259" s="13">
        <v>1014</v>
      </c>
      <c r="F259" s="13" t="s">
        <v>1132</v>
      </c>
      <c r="G259" s="13" t="s">
        <v>1139</v>
      </c>
      <c r="H259" s="13"/>
      <c r="I259" s="4" t="s">
        <v>1140</v>
      </c>
    </row>
    <row r="260" spans="1:9" ht="15.75" customHeight="1" x14ac:dyDescent="0.25">
      <c r="A260" s="10">
        <f t="shared" si="14"/>
        <v>1</v>
      </c>
      <c r="B260" s="10" t="s">
        <v>799</v>
      </c>
      <c r="C260" s="11" t="s">
        <v>70</v>
      </c>
      <c r="D260" s="13">
        <f t="shared" si="1"/>
        <v>1533.99</v>
      </c>
      <c r="E260" s="13">
        <v>1533.99</v>
      </c>
      <c r="F260" s="13" t="s">
        <v>1132</v>
      </c>
      <c r="G260" s="13" t="s">
        <v>1139</v>
      </c>
      <c r="H260" s="13"/>
      <c r="I260" s="4" t="s">
        <v>1140</v>
      </c>
    </row>
    <row r="261" spans="1:9" ht="15.75" customHeight="1" x14ac:dyDescent="0.25">
      <c r="A261" s="10">
        <f t="shared" si="14"/>
        <v>1</v>
      </c>
      <c r="B261" s="10" t="s">
        <v>801</v>
      </c>
      <c r="C261" s="11" t="s">
        <v>70</v>
      </c>
      <c r="D261" s="13">
        <f t="shared" si="1"/>
        <v>3893.2833333333333</v>
      </c>
      <c r="E261" s="13">
        <v>3893.2833333333333</v>
      </c>
      <c r="F261" s="13" t="s">
        <v>1132</v>
      </c>
      <c r="G261" s="13" t="s">
        <v>1139</v>
      </c>
      <c r="H261" s="13"/>
      <c r="I261" s="4" t="s">
        <v>1140</v>
      </c>
    </row>
    <row r="262" spans="1:9" ht="15.75" customHeight="1" x14ac:dyDescent="0.25">
      <c r="A262" s="10">
        <f t="shared" si="14"/>
        <v>1</v>
      </c>
      <c r="B262" s="10" t="s">
        <v>3056</v>
      </c>
      <c r="C262" s="11" t="s">
        <v>113</v>
      </c>
      <c r="D262" s="13">
        <f>E262*$D$1</f>
        <v>150</v>
      </c>
      <c r="E262" s="13">
        <f>120+30</f>
        <v>150</v>
      </c>
      <c r="F262" s="13" t="s">
        <v>1132</v>
      </c>
      <c r="G262" s="13" t="s">
        <v>1141</v>
      </c>
      <c r="H262" s="13"/>
      <c r="I262" s="4" t="s">
        <v>1135</v>
      </c>
    </row>
    <row r="263" spans="1:9" ht="15.75" customHeight="1" x14ac:dyDescent="0.25">
      <c r="A263" s="10">
        <f t="shared" si="14"/>
        <v>1</v>
      </c>
      <c r="B263" s="10" t="s">
        <v>637</v>
      </c>
      <c r="C263" s="11" t="s">
        <v>70</v>
      </c>
      <c r="D263" s="13">
        <f t="shared" si="1"/>
        <v>568.92672413793116</v>
      </c>
      <c r="E263" s="13">
        <v>568.92672413793116</v>
      </c>
      <c r="F263" s="13" t="s">
        <v>1132</v>
      </c>
      <c r="G263" s="13" t="s">
        <v>1141</v>
      </c>
      <c r="H263" s="13"/>
      <c r="I263" s="4" t="s">
        <v>1135</v>
      </c>
    </row>
    <row r="264" spans="1:9" ht="15.75" customHeight="1" x14ac:dyDescent="0.25">
      <c r="A264" s="10">
        <f t="shared" si="14"/>
        <v>1</v>
      </c>
      <c r="B264" s="10" t="s">
        <v>837</v>
      </c>
      <c r="C264" s="11" t="s">
        <v>534</v>
      </c>
      <c r="D264" s="13">
        <f t="shared" si="1"/>
        <v>1100</v>
      </c>
      <c r="E264" s="13">
        <v>1100</v>
      </c>
      <c r="F264" s="13" t="s">
        <v>1132</v>
      </c>
      <c r="G264" s="13" t="s">
        <v>1141</v>
      </c>
      <c r="H264" s="13"/>
      <c r="I264" s="4" t="s">
        <v>1135</v>
      </c>
    </row>
    <row r="265" spans="1:9" ht="15.75" customHeight="1" x14ac:dyDescent="0.25">
      <c r="A265" s="10">
        <f t="shared" si="14"/>
        <v>1</v>
      </c>
      <c r="B265" s="10" t="s">
        <v>1535</v>
      </c>
      <c r="C265" s="11" t="s">
        <v>534</v>
      </c>
      <c r="D265" s="13">
        <f>E265*$D$1</f>
        <v>28645.08</v>
      </c>
      <c r="E265" s="13">
        <v>28645.08</v>
      </c>
      <c r="F265" s="13" t="s">
        <v>1132</v>
      </c>
      <c r="G265" s="13" t="s">
        <v>1141</v>
      </c>
      <c r="H265" s="13"/>
      <c r="I265" s="4" t="s">
        <v>1135</v>
      </c>
    </row>
    <row r="266" spans="1:9" ht="15.75" customHeight="1" x14ac:dyDescent="0.25">
      <c r="A266" s="10">
        <f t="shared" si="14"/>
        <v>1</v>
      </c>
      <c r="B266" s="10" t="s">
        <v>838</v>
      </c>
      <c r="C266" s="11" t="s">
        <v>534</v>
      </c>
      <c r="D266" s="13">
        <f t="shared" si="1"/>
        <v>13011.726190476189</v>
      </c>
      <c r="E266" s="13">
        <v>13011.726190476189</v>
      </c>
      <c r="F266" s="13" t="s">
        <v>1132</v>
      </c>
      <c r="G266" s="13" t="s">
        <v>1141</v>
      </c>
      <c r="H266" s="13"/>
      <c r="I266" s="4" t="s">
        <v>1135</v>
      </c>
    </row>
    <row r="267" spans="1:9" ht="15.75" customHeight="1" x14ac:dyDescent="0.25">
      <c r="A267" s="10">
        <f t="shared" si="14"/>
        <v>1</v>
      </c>
      <c r="B267" s="10" t="s">
        <v>839</v>
      </c>
      <c r="C267" s="11" t="s">
        <v>534</v>
      </c>
      <c r="D267" s="13">
        <f t="shared" si="1"/>
        <v>9302</v>
      </c>
      <c r="E267" s="13">
        <v>9302</v>
      </c>
      <c r="F267" s="13" t="s">
        <v>1132</v>
      </c>
      <c r="G267" s="13" t="s">
        <v>1141</v>
      </c>
      <c r="H267" s="13"/>
      <c r="I267" s="4" t="s">
        <v>1135</v>
      </c>
    </row>
    <row r="268" spans="1:9" ht="15.75" customHeight="1" x14ac:dyDescent="0.25">
      <c r="A268" s="10">
        <f t="shared" si="14"/>
        <v>1</v>
      </c>
      <c r="B268" s="10" t="s">
        <v>842</v>
      </c>
      <c r="C268" s="11" t="s">
        <v>534</v>
      </c>
      <c r="D268" s="13">
        <f t="shared" si="1"/>
        <v>1089.6084620689658</v>
      </c>
      <c r="E268" s="13">
        <v>1089.6084620689658</v>
      </c>
      <c r="F268" s="13" t="s">
        <v>1132</v>
      </c>
      <c r="G268" s="13" t="s">
        <v>1141</v>
      </c>
      <c r="H268" s="13"/>
      <c r="I268" s="4" t="s">
        <v>1135</v>
      </c>
    </row>
    <row r="269" spans="1:9" ht="15.75" customHeight="1" x14ac:dyDescent="0.25">
      <c r="A269" s="10">
        <f t="shared" si="14"/>
        <v>1</v>
      </c>
      <c r="B269" s="10" t="s">
        <v>844</v>
      </c>
      <c r="C269" s="11" t="s">
        <v>534</v>
      </c>
      <c r="D269" s="13">
        <f t="shared" si="1"/>
        <v>6500</v>
      </c>
      <c r="E269" s="13">
        <v>6500</v>
      </c>
      <c r="F269" s="13" t="s">
        <v>1132</v>
      </c>
      <c r="G269" s="13" t="s">
        <v>1141</v>
      </c>
      <c r="H269" s="13"/>
      <c r="I269" s="4" t="s">
        <v>1135</v>
      </c>
    </row>
    <row r="270" spans="1:9" ht="15.75" customHeight="1" x14ac:dyDescent="0.25">
      <c r="A270" s="10">
        <f t="shared" si="14"/>
        <v>1</v>
      </c>
      <c r="B270" s="10" t="s">
        <v>843</v>
      </c>
      <c r="C270" s="11" t="s">
        <v>534</v>
      </c>
      <c r="D270" s="13">
        <f t="shared" si="1"/>
        <v>2405</v>
      </c>
      <c r="E270" s="13">
        <v>2405</v>
      </c>
      <c r="F270" s="13" t="s">
        <v>1132</v>
      </c>
      <c r="G270" s="13" t="s">
        <v>1141</v>
      </c>
      <c r="H270" s="13"/>
      <c r="I270" s="4" t="s">
        <v>1135</v>
      </c>
    </row>
    <row r="271" spans="1:9" ht="15.75" customHeight="1" x14ac:dyDescent="0.25">
      <c r="A271" s="10">
        <f t="shared" si="14"/>
        <v>1</v>
      </c>
      <c r="B271" s="10" t="s">
        <v>840</v>
      </c>
      <c r="C271" s="11" t="s">
        <v>534</v>
      </c>
      <c r="D271" s="13">
        <f t="shared" si="1"/>
        <v>975</v>
      </c>
      <c r="E271" s="13">
        <v>975</v>
      </c>
      <c r="F271" s="13" t="s">
        <v>1132</v>
      </c>
      <c r="G271" s="13" t="s">
        <v>1141</v>
      </c>
      <c r="H271" s="13"/>
      <c r="I271" s="4" t="s">
        <v>1135</v>
      </c>
    </row>
    <row r="272" spans="1:9" ht="15.75" customHeight="1" x14ac:dyDescent="0.25">
      <c r="A272" s="10">
        <f t="shared" si="14"/>
        <v>1</v>
      </c>
      <c r="B272" s="10" t="s">
        <v>841</v>
      </c>
      <c r="C272" s="11" t="s">
        <v>534</v>
      </c>
      <c r="D272" s="13">
        <f t="shared" si="1"/>
        <v>2968</v>
      </c>
      <c r="E272" s="13">
        <v>2968</v>
      </c>
      <c r="F272" s="13" t="s">
        <v>1132</v>
      </c>
      <c r="G272" s="13" t="s">
        <v>1141</v>
      </c>
      <c r="H272" s="13"/>
      <c r="I272" s="4" t="s">
        <v>1135</v>
      </c>
    </row>
    <row r="273" spans="1:9" ht="15.75" customHeight="1" x14ac:dyDescent="0.25">
      <c r="A273" s="10">
        <f t="shared" si="14"/>
        <v>1</v>
      </c>
      <c r="B273" s="10" t="s">
        <v>1542</v>
      </c>
      <c r="C273" s="11" t="s">
        <v>534</v>
      </c>
      <c r="D273" s="13">
        <f>E273*$D$1</f>
        <v>3729.34</v>
      </c>
      <c r="E273" s="13">
        <v>3729.34</v>
      </c>
      <c r="F273" s="13" t="s">
        <v>1132</v>
      </c>
      <c r="G273" s="13" t="s">
        <v>1141</v>
      </c>
      <c r="H273" s="13"/>
      <c r="I273" s="4" t="s">
        <v>1135</v>
      </c>
    </row>
    <row r="274" spans="1:9" ht="15.75" customHeight="1" x14ac:dyDescent="0.25">
      <c r="A274" s="10">
        <f t="shared" si="14"/>
        <v>1</v>
      </c>
      <c r="B274" s="10" t="s">
        <v>1543</v>
      </c>
      <c r="C274" s="11" t="s">
        <v>534</v>
      </c>
      <c r="D274" s="13">
        <f>E274*$D$1</f>
        <v>3523.56</v>
      </c>
      <c r="E274" s="13">
        <v>3523.56</v>
      </c>
      <c r="F274" s="13" t="s">
        <v>1132</v>
      </c>
      <c r="G274" s="13" t="s">
        <v>1141</v>
      </c>
      <c r="H274" s="13"/>
      <c r="I274" s="4" t="s">
        <v>1135</v>
      </c>
    </row>
    <row r="275" spans="1:9" ht="15.75" customHeight="1" x14ac:dyDescent="0.25">
      <c r="A275" s="10">
        <f t="shared" si="14"/>
        <v>1</v>
      </c>
      <c r="B275" s="10" t="s">
        <v>1544</v>
      </c>
      <c r="C275" s="11" t="s">
        <v>534</v>
      </c>
      <c r="D275" s="13">
        <f>E275*$D$1</f>
        <v>1754.88</v>
      </c>
      <c r="E275" s="13">
        <v>1754.88</v>
      </c>
      <c r="F275" s="13" t="s">
        <v>1132</v>
      </c>
      <c r="G275" s="13" t="s">
        <v>1141</v>
      </c>
      <c r="H275" s="13"/>
      <c r="I275" s="4" t="s">
        <v>1135</v>
      </c>
    </row>
    <row r="276" spans="1:9" ht="15.75" customHeight="1" x14ac:dyDescent="0.25">
      <c r="A276" s="10">
        <f t="shared" si="14"/>
        <v>1</v>
      </c>
      <c r="B276" s="10" t="s">
        <v>1545</v>
      </c>
      <c r="C276" s="11" t="s">
        <v>534</v>
      </c>
      <c r="D276" s="13">
        <f>E276*$D$1</f>
        <v>1754.88</v>
      </c>
      <c r="E276" s="13">
        <v>1754.88</v>
      </c>
      <c r="F276" s="13" t="s">
        <v>1132</v>
      </c>
      <c r="G276" s="13" t="s">
        <v>1141</v>
      </c>
      <c r="H276" s="13"/>
      <c r="I276" s="4" t="s">
        <v>1135</v>
      </c>
    </row>
    <row r="277" spans="1:9" ht="15.75" customHeight="1" x14ac:dyDescent="0.25">
      <c r="A277" s="10">
        <f t="shared" si="14"/>
        <v>1</v>
      </c>
      <c r="B277" s="10" t="s">
        <v>431</v>
      </c>
      <c r="C277" s="11" t="s">
        <v>70</v>
      </c>
      <c r="D277" s="13">
        <f t="shared" si="1"/>
        <v>135.35555555555555</v>
      </c>
      <c r="E277" s="13">
        <v>135.35555555555555</v>
      </c>
      <c r="F277" s="13" t="s">
        <v>1132</v>
      </c>
      <c r="G277" s="13" t="s">
        <v>1141</v>
      </c>
      <c r="H277" s="13"/>
      <c r="I277" s="4" t="s">
        <v>1135</v>
      </c>
    </row>
    <row r="278" spans="1:9" ht="15.75" customHeight="1" x14ac:dyDescent="0.25">
      <c r="A278" s="10">
        <f t="shared" si="14"/>
        <v>1</v>
      </c>
      <c r="B278" s="10" t="s">
        <v>1596</v>
      </c>
      <c r="C278" s="11" t="s">
        <v>534</v>
      </c>
      <c r="D278" s="13">
        <f>E278*$D$1</f>
        <v>912.26415533980582</v>
      </c>
      <c r="E278" s="13">
        <f>(219169.63+75071.81+41713+38785.61+20961+20929.47+14994.09+13986.11+12679.48+4954.57+2353.88+1768.97+1211.23+1022.2+195+19.99)/515</f>
        <v>912.26415533980582</v>
      </c>
      <c r="F278" s="13" t="s">
        <v>1132</v>
      </c>
      <c r="G278" s="13" t="s">
        <v>1142</v>
      </c>
      <c r="H278" s="13"/>
      <c r="I278" s="4" t="s">
        <v>1140</v>
      </c>
    </row>
    <row r="279" spans="1:9" ht="15.75" customHeight="1" x14ac:dyDescent="0.25">
      <c r="A279" s="10">
        <f t="shared" si="14"/>
        <v>1</v>
      </c>
      <c r="B279" s="10" t="s">
        <v>836</v>
      </c>
      <c r="C279" s="11" t="s">
        <v>534</v>
      </c>
      <c r="D279" s="13">
        <f t="shared" si="1"/>
        <v>232.46</v>
      </c>
      <c r="E279" s="13">
        <v>232.46</v>
      </c>
      <c r="F279" s="13" t="s">
        <v>1132</v>
      </c>
      <c r="G279" s="13" t="s">
        <v>1142</v>
      </c>
      <c r="H279" s="13"/>
      <c r="I279" s="4" t="s">
        <v>1140</v>
      </c>
    </row>
    <row r="280" spans="1:9" ht="15.75" customHeight="1" x14ac:dyDescent="0.25">
      <c r="A280" s="10">
        <f t="shared" si="14"/>
        <v>1</v>
      </c>
      <c r="B280" s="10" t="s">
        <v>834</v>
      </c>
      <c r="C280" s="11" t="s">
        <v>534</v>
      </c>
      <c r="D280" s="13">
        <f t="shared" si="1"/>
        <v>1291.6400000000001</v>
      </c>
      <c r="E280" s="13">
        <f>1097.71+193.93</f>
        <v>1291.6400000000001</v>
      </c>
      <c r="F280" s="13" t="s">
        <v>1132</v>
      </c>
      <c r="G280" s="13" t="s">
        <v>1142</v>
      </c>
      <c r="H280" s="13"/>
      <c r="I280" s="4" t="s">
        <v>1140</v>
      </c>
    </row>
    <row r="281" spans="1:9" ht="14.25" x14ac:dyDescent="0.2">
      <c r="A281" s="10">
        <f t="shared" si="14"/>
        <v>1</v>
      </c>
      <c r="B281" s="82" t="s">
        <v>1688</v>
      </c>
      <c r="C281" s="83" t="s">
        <v>206</v>
      </c>
      <c r="D281" s="84">
        <f t="shared" si="1"/>
        <v>22</v>
      </c>
      <c r="E281" s="84">
        <v>22</v>
      </c>
      <c r="F281" s="84" t="s">
        <v>1143</v>
      </c>
      <c r="G281" s="84" t="s">
        <v>1143</v>
      </c>
      <c r="H281" s="84"/>
      <c r="I281" s="85" t="s">
        <v>1144</v>
      </c>
    </row>
    <row r="282" spans="1:9" ht="14.25" x14ac:dyDescent="0.2">
      <c r="A282" s="10">
        <f t="shared" si="14"/>
        <v>1</v>
      </c>
      <c r="B282" s="82" t="s">
        <v>1690</v>
      </c>
      <c r="C282" s="83" t="s">
        <v>206</v>
      </c>
      <c r="D282" s="84">
        <f t="shared" si="1"/>
        <v>25</v>
      </c>
      <c r="E282" s="84">
        <v>25</v>
      </c>
      <c r="F282" s="84" t="s">
        <v>1143</v>
      </c>
      <c r="G282" s="84" t="s">
        <v>1143</v>
      </c>
      <c r="H282" s="84"/>
      <c r="I282" s="85" t="s">
        <v>1144</v>
      </c>
    </row>
    <row r="283" spans="1:9" ht="14.25" x14ac:dyDescent="0.2">
      <c r="A283" s="10">
        <f t="shared" si="14"/>
        <v>1</v>
      </c>
      <c r="B283" s="82" t="s">
        <v>3141</v>
      </c>
      <c r="C283" s="83" t="s">
        <v>70</v>
      </c>
      <c r="D283" s="84">
        <f>E283*$D$1</f>
        <v>32</v>
      </c>
      <c r="E283" s="84">
        <v>32</v>
      </c>
      <c r="F283" s="84" t="s">
        <v>1143</v>
      </c>
      <c r="G283" s="84" t="s">
        <v>1143</v>
      </c>
      <c r="H283" s="84"/>
      <c r="I283" s="85" t="s">
        <v>1144</v>
      </c>
    </row>
    <row r="284" spans="1:9" ht="14.25" x14ac:dyDescent="0.2">
      <c r="A284" s="10">
        <f t="shared" si="14"/>
        <v>1</v>
      </c>
      <c r="B284" s="82" t="s">
        <v>1692</v>
      </c>
      <c r="C284" s="83" t="s">
        <v>206</v>
      </c>
      <c r="D284" s="84">
        <f t="shared" si="1"/>
        <v>30</v>
      </c>
      <c r="E284" s="84">
        <f>AVERAGE(24,36)</f>
        <v>30</v>
      </c>
      <c r="F284" s="84" t="s">
        <v>1143</v>
      </c>
      <c r="G284" s="84" t="s">
        <v>1143</v>
      </c>
      <c r="H284" s="84"/>
      <c r="I284" s="85" t="s">
        <v>1144</v>
      </c>
    </row>
    <row r="285" spans="1:9" ht="14.25" x14ac:dyDescent="0.2">
      <c r="A285" s="10">
        <f t="shared" si="14"/>
        <v>1</v>
      </c>
      <c r="B285" s="82" t="s">
        <v>1693</v>
      </c>
      <c r="C285" s="83" t="s">
        <v>206</v>
      </c>
      <c r="D285" s="84">
        <f t="shared" si="1"/>
        <v>9</v>
      </c>
      <c r="E285" s="84">
        <f>AVERAGE(6,12)</f>
        <v>9</v>
      </c>
      <c r="F285" s="84" t="s">
        <v>1143</v>
      </c>
      <c r="G285" s="84" t="s">
        <v>1143</v>
      </c>
      <c r="H285" s="84"/>
      <c r="I285" s="85" t="s">
        <v>1144</v>
      </c>
    </row>
    <row r="286" spans="1:9" ht="14.25" x14ac:dyDescent="0.2">
      <c r="A286" s="10">
        <f>COUNTIFS($B$2:$B$996,B286)</f>
        <v>1</v>
      </c>
      <c r="B286" s="82" t="s">
        <v>4166</v>
      </c>
      <c r="C286" s="83" t="s">
        <v>206</v>
      </c>
      <c r="D286" s="84">
        <f>E286*$D$1</f>
        <v>18.5</v>
      </c>
      <c r="E286" s="84">
        <v>18.5</v>
      </c>
      <c r="F286" s="84" t="s">
        <v>1143</v>
      </c>
      <c r="G286" s="84" t="s">
        <v>1143</v>
      </c>
      <c r="H286" s="84"/>
      <c r="I286" s="85" t="s">
        <v>1144</v>
      </c>
    </row>
    <row r="287" spans="1:9" ht="14.25" x14ac:dyDescent="0.2">
      <c r="A287" s="10">
        <f t="shared" si="14"/>
        <v>1</v>
      </c>
      <c r="B287" s="82" t="s">
        <v>1695</v>
      </c>
      <c r="C287" s="83" t="s">
        <v>206</v>
      </c>
      <c r="D287" s="84">
        <f t="shared" si="1"/>
        <v>9.8888888888888893</v>
      </c>
      <c r="E287" s="84">
        <f>178/18</f>
        <v>9.8888888888888893</v>
      </c>
      <c r="F287" s="84" t="s">
        <v>1143</v>
      </c>
      <c r="G287" s="84" t="s">
        <v>1143</v>
      </c>
      <c r="H287" s="84"/>
      <c r="I287" s="85" t="s">
        <v>1144</v>
      </c>
    </row>
    <row r="288" spans="1:9" ht="14.25" x14ac:dyDescent="0.2">
      <c r="A288" s="10">
        <f t="shared" si="14"/>
        <v>1</v>
      </c>
      <c r="B288" s="82" t="s">
        <v>1697</v>
      </c>
      <c r="C288" s="83" t="s">
        <v>206</v>
      </c>
      <c r="D288" s="84">
        <f t="shared" si="1"/>
        <v>9.8888888888888893</v>
      </c>
      <c r="E288" s="84">
        <f>178/18</f>
        <v>9.8888888888888893</v>
      </c>
      <c r="F288" s="84" t="s">
        <v>1143</v>
      </c>
      <c r="G288" s="84" t="s">
        <v>1143</v>
      </c>
      <c r="H288" s="84"/>
      <c r="I288" s="85" t="s">
        <v>1144</v>
      </c>
    </row>
    <row r="289" spans="1:9" ht="14.25" x14ac:dyDescent="0.2">
      <c r="A289" s="10">
        <f t="shared" si="14"/>
        <v>1</v>
      </c>
      <c r="B289" s="82" t="s">
        <v>1701</v>
      </c>
      <c r="C289" s="83" t="s">
        <v>206</v>
      </c>
      <c r="D289" s="84">
        <f t="shared" si="1"/>
        <v>9.8888888888888893</v>
      </c>
      <c r="E289" s="84">
        <f>178/18</f>
        <v>9.8888888888888893</v>
      </c>
      <c r="F289" s="84" t="s">
        <v>1143</v>
      </c>
      <c r="G289" s="84" t="s">
        <v>1143</v>
      </c>
      <c r="H289" s="84"/>
      <c r="I289" s="85" t="s">
        <v>1144</v>
      </c>
    </row>
    <row r="290" spans="1:9" ht="14.25" x14ac:dyDescent="0.2">
      <c r="A290" s="10">
        <f t="shared" si="14"/>
        <v>1</v>
      </c>
      <c r="B290" s="82" t="s">
        <v>1703</v>
      </c>
      <c r="C290" s="83" t="s">
        <v>206</v>
      </c>
      <c r="D290" s="84">
        <f t="shared" si="1"/>
        <v>24</v>
      </c>
      <c r="E290" s="84">
        <f>AVERAGE(20,28)</f>
        <v>24</v>
      </c>
      <c r="F290" s="84" t="s">
        <v>1143</v>
      </c>
      <c r="G290" s="84" t="s">
        <v>1143</v>
      </c>
      <c r="H290" s="84"/>
      <c r="I290" s="85" t="s">
        <v>1144</v>
      </c>
    </row>
    <row r="291" spans="1:9" ht="14.25" x14ac:dyDescent="0.2">
      <c r="A291" s="10">
        <f t="shared" si="14"/>
        <v>1</v>
      </c>
      <c r="B291" s="82" t="s">
        <v>1705</v>
      </c>
      <c r="C291" s="83" t="s">
        <v>206</v>
      </c>
      <c r="D291" s="84">
        <f t="shared" si="1"/>
        <v>24</v>
      </c>
      <c r="E291" s="84">
        <f>AVERAGE(20,28)</f>
        <v>24</v>
      </c>
      <c r="F291" s="84" t="s">
        <v>1143</v>
      </c>
      <c r="G291" s="84" t="s">
        <v>1143</v>
      </c>
      <c r="H291" s="84"/>
      <c r="I291" s="85" t="s">
        <v>1144</v>
      </c>
    </row>
    <row r="292" spans="1:9" ht="14.25" x14ac:dyDescent="0.2">
      <c r="A292" s="10">
        <f t="shared" si="14"/>
        <v>1</v>
      </c>
      <c r="B292" s="82" t="s">
        <v>1707</v>
      </c>
      <c r="C292" s="83" t="s">
        <v>206</v>
      </c>
      <c r="D292" s="84">
        <f t="shared" si="1"/>
        <v>24</v>
      </c>
      <c r="E292" s="84">
        <f>AVERAGE(20,28)</f>
        <v>24</v>
      </c>
      <c r="F292" s="84" t="s">
        <v>1143</v>
      </c>
      <c r="G292" s="84" t="s">
        <v>1143</v>
      </c>
      <c r="H292" s="84"/>
      <c r="I292" s="85" t="s">
        <v>1144</v>
      </c>
    </row>
    <row r="293" spans="1:9" ht="14.25" x14ac:dyDescent="0.2">
      <c r="A293" s="10">
        <f t="shared" si="14"/>
        <v>1</v>
      </c>
      <c r="B293" s="82" t="s">
        <v>1709</v>
      </c>
      <c r="C293" s="83" t="s">
        <v>1146</v>
      </c>
      <c r="D293" s="84">
        <f t="shared" si="1"/>
        <v>60</v>
      </c>
      <c r="E293" s="84">
        <f>AVERAGE(40,80)</f>
        <v>60</v>
      </c>
      <c r="F293" s="84" t="s">
        <v>1143</v>
      </c>
      <c r="G293" s="84" t="s">
        <v>1143</v>
      </c>
      <c r="H293" s="84"/>
      <c r="I293" s="85" t="s">
        <v>1144</v>
      </c>
    </row>
    <row r="294" spans="1:9" ht="14.25" x14ac:dyDescent="0.2">
      <c r="A294" s="10">
        <f t="shared" si="14"/>
        <v>1</v>
      </c>
      <c r="B294" s="82" t="s">
        <v>1711</v>
      </c>
      <c r="C294" s="83" t="s">
        <v>206</v>
      </c>
      <c r="D294" s="84">
        <f t="shared" si="1"/>
        <v>30</v>
      </c>
      <c r="E294" s="84">
        <v>30</v>
      </c>
      <c r="F294" s="84" t="s">
        <v>1143</v>
      </c>
      <c r="G294" s="84" t="s">
        <v>1143</v>
      </c>
      <c r="H294" s="84"/>
      <c r="I294" s="85" t="s">
        <v>1144</v>
      </c>
    </row>
    <row r="295" spans="1:9" ht="15.75" customHeight="1" x14ac:dyDescent="0.25">
      <c r="A295" s="10">
        <f t="shared" si="14"/>
        <v>1</v>
      </c>
      <c r="B295" s="10" t="s">
        <v>1669</v>
      </c>
      <c r="C295" s="11" t="s">
        <v>206</v>
      </c>
      <c r="D295" s="13">
        <f t="shared" si="1"/>
        <v>325</v>
      </c>
      <c r="E295" s="13">
        <v>325</v>
      </c>
      <c r="F295" s="13" t="s">
        <v>1143</v>
      </c>
      <c r="G295" s="13" t="s">
        <v>1143</v>
      </c>
      <c r="H295" s="13"/>
      <c r="I295" s="4" t="s">
        <v>1144</v>
      </c>
    </row>
    <row r="296" spans="1:9" ht="15.75" customHeight="1" x14ac:dyDescent="0.25">
      <c r="A296" s="10">
        <f t="shared" si="14"/>
        <v>1</v>
      </c>
      <c r="B296" s="10" t="s">
        <v>1647</v>
      </c>
      <c r="C296" s="11" t="s">
        <v>206</v>
      </c>
      <c r="D296" s="13">
        <f>E296*$D$1</f>
        <v>50</v>
      </c>
      <c r="E296" s="13">
        <v>50</v>
      </c>
      <c r="F296" s="13" t="s">
        <v>1143</v>
      </c>
      <c r="G296" s="13" t="s">
        <v>1143</v>
      </c>
      <c r="H296" s="13"/>
      <c r="I296" s="4" t="s">
        <v>1144</v>
      </c>
    </row>
    <row r="297" spans="1:9" ht="15.75" customHeight="1" x14ac:dyDescent="0.25">
      <c r="A297" s="10">
        <f t="shared" si="14"/>
        <v>1</v>
      </c>
      <c r="B297" s="10" t="s">
        <v>463</v>
      </c>
      <c r="C297" s="11" t="s">
        <v>206</v>
      </c>
      <c r="D297" s="13">
        <f t="shared" si="1"/>
        <v>11.33</v>
      </c>
      <c r="E297" s="13">
        <v>11.33</v>
      </c>
      <c r="F297" s="13" t="s">
        <v>1143</v>
      </c>
      <c r="G297" s="13" t="s">
        <v>1143</v>
      </c>
      <c r="H297" s="13"/>
      <c r="I297" s="4" t="s">
        <v>1144</v>
      </c>
    </row>
    <row r="298" spans="1:9" ht="15.75" customHeight="1" x14ac:dyDescent="0.25">
      <c r="A298" s="10">
        <f t="shared" si="14"/>
        <v>1</v>
      </c>
      <c r="B298" s="10" t="s">
        <v>1145</v>
      </c>
      <c r="C298" s="11" t="s">
        <v>70</v>
      </c>
      <c r="D298" s="13">
        <f>E298*$D$1</f>
        <v>8.9179999999999993</v>
      </c>
      <c r="E298" s="13">
        <f>445.9/50</f>
        <v>8.9179999999999993</v>
      </c>
      <c r="F298" s="13" t="s">
        <v>1143</v>
      </c>
      <c r="G298" s="13" t="s">
        <v>1143</v>
      </c>
      <c r="H298" s="13"/>
      <c r="I298" s="4" t="s">
        <v>1144</v>
      </c>
    </row>
    <row r="299" spans="1:9" ht="15.75" customHeight="1" x14ac:dyDescent="0.25">
      <c r="A299" s="10">
        <f t="shared" si="14"/>
        <v>1</v>
      </c>
      <c r="B299" s="10" t="s">
        <v>461</v>
      </c>
      <c r="C299" s="11" t="s">
        <v>206</v>
      </c>
      <c r="D299" s="13">
        <f t="shared" si="1"/>
        <v>11.055555555555555</v>
      </c>
      <c r="E299" s="13">
        <v>11.055555555555555</v>
      </c>
      <c r="F299" s="13" t="s">
        <v>1143</v>
      </c>
      <c r="G299" s="13" t="s">
        <v>1143</v>
      </c>
      <c r="H299" s="13"/>
      <c r="I299" s="4" t="s">
        <v>1144</v>
      </c>
    </row>
    <row r="300" spans="1:9" ht="15.75" customHeight="1" x14ac:dyDescent="0.25">
      <c r="A300" s="10">
        <f t="shared" si="14"/>
        <v>1</v>
      </c>
      <c r="B300" s="10" t="s">
        <v>448</v>
      </c>
      <c r="C300" s="11" t="s">
        <v>1146</v>
      </c>
      <c r="D300" s="13">
        <f t="shared" si="1"/>
        <v>19.440000000000001</v>
      </c>
      <c r="E300" s="13">
        <v>19.440000000000001</v>
      </c>
      <c r="F300" s="13" t="s">
        <v>1143</v>
      </c>
      <c r="G300" s="13" t="s">
        <v>1143</v>
      </c>
      <c r="H300" s="13"/>
      <c r="I300" s="4" t="s">
        <v>1144</v>
      </c>
    </row>
    <row r="301" spans="1:9" ht="14.25" x14ac:dyDescent="0.2">
      <c r="A301" s="10">
        <f t="shared" si="14"/>
        <v>1</v>
      </c>
      <c r="B301" s="82" t="s">
        <v>1860</v>
      </c>
      <c r="C301" s="83" t="s">
        <v>70</v>
      </c>
      <c r="D301" s="84">
        <f>E301*$D$1</f>
        <v>130</v>
      </c>
      <c r="E301" s="84">
        <v>130</v>
      </c>
      <c r="F301" s="84" t="s">
        <v>1143</v>
      </c>
      <c r="G301" s="84" t="s">
        <v>1143</v>
      </c>
      <c r="H301" s="84"/>
      <c r="I301" s="85" t="s">
        <v>1144</v>
      </c>
    </row>
    <row r="302" spans="1:9" ht="14.25" x14ac:dyDescent="0.2">
      <c r="A302" s="10">
        <f t="shared" si="14"/>
        <v>1</v>
      </c>
      <c r="B302" s="82" t="s">
        <v>1862</v>
      </c>
      <c r="C302" s="83" t="s">
        <v>70</v>
      </c>
      <c r="D302" s="84">
        <f>E302*$D$1</f>
        <v>220</v>
      </c>
      <c r="E302" s="84">
        <v>220</v>
      </c>
      <c r="F302" s="84" t="s">
        <v>1143</v>
      </c>
      <c r="G302" s="84" t="s">
        <v>1143</v>
      </c>
      <c r="H302" s="84"/>
      <c r="I302" s="85" t="s">
        <v>1144</v>
      </c>
    </row>
    <row r="303" spans="1:9" ht="14.25" x14ac:dyDescent="0.2">
      <c r="A303" s="10">
        <f t="shared" si="14"/>
        <v>1</v>
      </c>
      <c r="B303" s="82" t="s">
        <v>1863</v>
      </c>
      <c r="C303" s="83" t="s">
        <v>70</v>
      </c>
      <c r="D303" s="84">
        <f>E303*$D$1</f>
        <v>1200</v>
      </c>
      <c r="E303" s="84">
        <v>1200</v>
      </c>
      <c r="F303" s="84" t="s">
        <v>1143</v>
      </c>
      <c r="G303" s="84" t="s">
        <v>1143</v>
      </c>
      <c r="H303" s="84"/>
      <c r="I303" s="85" t="s">
        <v>1144</v>
      </c>
    </row>
    <row r="304" spans="1:9" ht="15.75" customHeight="1" x14ac:dyDescent="0.25">
      <c r="A304" s="10">
        <f t="shared" si="14"/>
        <v>1</v>
      </c>
      <c r="B304" s="10" t="s">
        <v>466</v>
      </c>
      <c r="C304" s="11" t="s">
        <v>206</v>
      </c>
      <c r="D304" s="13">
        <f t="shared" si="1"/>
        <v>29.277777777777779</v>
      </c>
      <c r="E304" s="13">
        <v>29.277777777777779</v>
      </c>
      <c r="F304" s="13" t="s">
        <v>1143</v>
      </c>
      <c r="G304" s="13" t="s">
        <v>1143</v>
      </c>
      <c r="H304" s="13"/>
      <c r="I304" s="4" t="s">
        <v>1144</v>
      </c>
    </row>
    <row r="305" spans="1:9" ht="15.75" customHeight="1" x14ac:dyDescent="0.25">
      <c r="A305" s="10">
        <f t="shared" si="14"/>
        <v>1</v>
      </c>
      <c r="B305" s="10" t="s">
        <v>468</v>
      </c>
      <c r="C305" s="11" t="s">
        <v>206</v>
      </c>
      <c r="D305" s="13">
        <f t="shared" si="1"/>
        <v>25.75</v>
      </c>
      <c r="E305" s="13">
        <v>25.75</v>
      </c>
      <c r="F305" s="13" t="s">
        <v>1143</v>
      </c>
      <c r="G305" s="13" t="s">
        <v>1143</v>
      </c>
      <c r="H305" s="13"/>
      <c r="I305" s="4" t="s">
        <v>1144</v>
      </c>
    </row>
    <row r="306" spans="1:9" ht="15.75" customHeight="1" x14ac:dyDescent="0.25">
      <c r="A306" s="10">
        <f t="shared" si="14"/>
        <v>1</v>
      </c>
      <c r="B306" s="10" t="s">
        <v>459</v>
      </c>
      <c r="C306" s="11" t="s">
        <v>70</v>
      </c>
      <c r="D306" s="13">
        <f t="shared" si="1"/>
        <v>37.99</v>
      </c>
      <c r="E306" s="13">
        <v>37.99</v>
      </c>
      <c r="F306" s="13" t="s">
        <v>1143</v>
      </c>
      <c r="G306" s="13" t="s">
        <v>1143</v>
      </c>
      <c r="H306" s="13"/>
      <c r="I306" s="4" t="s">
        <v>1144</v>
      </c>
    </row>
    <row r="307" spans="1:9" ht="15.75" customHeight="1" x14ac:dyDescent="0.25">
      <c r="A307" s="10">
        <f t="shared" si="14"/>
        <v>1</v>
      </c>
      <c r="B307" s="10" t="s">
        <v>453</v>
      </c>
      <c r="C307" s="11" t="s">
        <v>70</v>
      </c>
      <c r="D307" s="13">
        <f t="shared" si="1"/>
        <v>11.090769230769231</v>
      </c>
      <c r="E307" s="13">
        <v>11.090769230769231</v>
      </c>
      <c r="F307" s="13" t="s">
        <v>1143</v>
      </c>
      <c r="G307" s="13" t="s">
        <v>1143</v>
      </c>
      <c r="H307" s="13"/>
      <c r="I307" s="4" t="s">
        <v>1144</v>
      </c>
    </row>
    <row r="308" spans="1:9" ht="15.75" customHeight="1" x14ac:dyDescent="0.25">
      <c r="A308" s="10">
        <f t="shared" si="14"/>
        <v>1</v>
      </c>
      <c r="B308" s="10" t="s">
        <v>457</v>
      </c>
      <c r="C308" s="11" t="s">
        <v>70</v>
      </c>
      <c r="D308" s="13">
        <f t="shared" si="1"/>
        <v>57.02</v>
      </c>
      <c r="E308" s="13">
        <v>57.02</v>
      </c>
      <c r="F308" s="13" t="s">
        <v>1143</v>
      </c>
      <c r="G308" s="13" t="s">
        <v>1143</v>
      </c>
      <c r="H308" s="13"/>
      <c r="I308" s="4" t="s">
        <v>1144</v>
      </c>
    </row>
    <row r="309" spans="1:9" ht="15.75" customHeight="1" x14ac:dyDescent="0.25">
      <c r="A309" s="10">
        <f t="shared" si="14"/>
        <v>1</v>
      </c>
      <c r="B309" s="10" t="s">
        <v>455</v>
      </c>
      <c r="C309" s="11" t="s">
        <v>70</v>
      </c>
      <c r="D309" s="13">
        <f t="shared" si="1"/>
        <v>70.02</v>
      </c>
      <c r="E309" s="13">
        <v>70.02</v>
      </c>
      <c r="F309" s="13" t="s">
        <v>1143</v>
      </c>
      <c r="G309" s="13" t="s">
        <v>1143</v>
      </c>
      <c r="H309" s="13"/>
      <c r="I309" s="4" t="s">
        <v>1144</v>
      </c>
    </row>
    <row r="310" spans="1:9" ht="15.75" customHeight="1" x14ac:dyDescent="0.25">
      <c r="A310" s="10">
        <f t="shared" ref="A310:A373" si="15">COUNTIFS($B$2:$B$996,B310)</f>
        <v>1</v>
      </c>
      <c r="B310" s="10" t="s">
        <v>604</v>
      </c>
      <c r="C310" s="11" t="s">
        <v>70</v>
      </c>
      <c r="D310" s="13">
        <f t="shared" si="1"/>
        <v>30.555555555555557</v>
      </c>
      <c r="E310" s="13">
        <f>1100/(1.2*30)</f>
        <v>30.555555555555557</v>
      </c>
      <c r="F310" s="13" t="s">
        <v>1143</v>
      </c>
      <c r="G310" s="13" t="s">
        <v>1143</v>
      </c>
      <c r="H310" s="13"/>
      <c r="I310" s="4" t="s">
        <v>1144</v>
      </c>
    </row>
    <row r="311" spans="1:9" ht="15.75" customHeight="1" x14ac:dyDescent="0.25">
      <c r="A311" s="10">
        <f t="shared" si="15"/>
        <v>1</v>
      </c>
      <c r="B311" s="10" t="s">
        <v>602</v>
      </c>
      <c r="C311" s="11" t="s">
        <v>1146</v>
      </c>
      <c r="D311" s="13">
        <f t="shared" si="1"/>
        <v>7.16</v>
      </c>
      <c r="E311" s="13">
        <v>7.16</v>
      </c>
      <c r="F311" s="13" t="s">
        <v>1143</v>
      </c>
      <c r="G311" s="13" t="s">
        <v>1143</v>
      </c>
      <c r="H311" s="13"/>
      <c r="I311" s="4" t="s">
        <v>1144</v>
      </c>
    </row>
    <row r="312" spans="1:9" ht="15.75" customHeight="1" x14ac:dyDescent="0.25">
      <c r="A312" s="10">
        <f t="shared" si="15"/>
        <v>1</v>
      </c>
      <c r="B312" s="10" t="s">
        <v>606</v>
      </c>
      <c r="C312" s="11" t="s">
        <v>1146</v>
      </c>
      <c r="D312" s="13">
        <f t="shared" si="1"/>
        <v>26.563333333333333</v>
      </c>
      <c r="E312" s="13">
        <v>26.563333333333333</v>
      </c>
      <c r="F312" s="13" t="s">
        <v>1143</v>
      </c>
      <c r="G312" s="13" t="s">
        <v>1143</v>
      </c>
      <c r="H312" s="13"/>
      <c r="I312" s="4" t="s">
        <v>1144</v>
      </c>
    </row>
    <row r="313" spans="1:9" ht="15.75" customHeight="1" x14ac:dyDescent="0.25">
      <c r="A313" s="10">
        <f t="shared" si="15"/>
        <v>1</v>
      </c>
      <c r="B313" s="10" t="s">
        <v>452</v>
      </c>
      <c r="C313" s="11" t="s">
        <v>1146</v>
      </c>
      <c r="D313" s="13">
        <f t="shared" si="1"/>
        <v>23.52</v>
      </c>
      <c r="E313" s="13">
        <v>23.52</v>
      </c>
      <c r="F313" s="13" t="s">
        <v>1143</v>
      </c>
      <c r="G313" s="13" t="s">
        <v>1143</v>
      </c>
      <c r="H313" s="13"/>
      <c r="I313" s="4" t="s">
        <v>1144</v>
      </c>
    </row>
    <row r="314" spans="1:9" ht="15.75" customHeight="1" x14ac:dyDescent="0.25">
      <c r="A314" s="10">
        <f t="shared" si="15"/>
        <v>1</v>
      </c>
      <c r="B314" s="10" t="s">
        <v>469</v>
      </c>
      <c r="C314" s="11" t="s">
        <v>70</v>
      </c>
      <c r="D314" s="13">
        <f t="shared" si="1"/>
        <v>1.1000000000000001</v>
      </c>
      <c r="E314" s="13">
        <v>1.1000000000000001</v>
      </c>
      <c r="F314" s="13" t="s">
        <v>1143</v>
      </c>
      <c r="G314" s="13" t="s">
        <v>1143</v>
      </c>
      <c r="H314" s="13"/>
      <c r="I314" s="4" t="s">
        <v>1144</v>
      </c>
    </row>
    <row r="315" spans="1:9" ht="15.75" customHeight="1" x14ac:dyDescent="0.25">
      <c r="A315" s="10">
        <f t="shared" si="15"/>
        <v>1</v>
      </c>
      <c r="B315" s="10" t="s">
        <v>937</v>
      </c>
      <c r="C315" s="11" t="s">
        <v>197</v>
      </c>
      <c r="D315" s="13">
        <f t="shared" si="1"/>
        <v>5</v>
      </c>
      <c r="E315" s="13">
        <v>5</v>
      </c>
      <c r="F315" s="13" t="s">
        <v>1147</v>
      </c>
      <c r="G315" s="13" t="s">
        <v>1147</v>
      </c>
      <c r="H315" s="13"/>
      <c r="I315" s="4" t="s">
        <v>1148</v>
      </c>
    </row>
    <row r="316" spans="1:9" ht="15.75" customHeight="1" x14ac:dyDescent="0.25">
      <c r="A316" s="10">
        <f t="shared" si="15"/>
        <v>1</v>
      </c>
      <c r="B316" s="10" t="s">
        <v>936</v>
      </c>
      <c r="C316" s="11" t="s">
        <v>113</v>
      </c>
      <c r="D316" s="13">
        <f t="shared" si="1"/>
        <v>0.24</v>
      </c>
      <c r="E316" s="13">
        <v>0.24</v>
      </c>
      <c r="F316" s="13" t="s">
        <v>1147</v>
      </c>
      <c r="G316" s="13" t="s">
        <v>1147</v>
      </c>
      <c r="H316" s="13"/>
      <c r="I316" s="4" t="s">
        <v>1148</v>
      </c>
    </row>
    <row r="317" spans="1:9" ht="15.75" customHeight="1" x14ac:dyDescent="0.25">
      <c r="A317" s="10">
        <f t="shared" si="15"/>
        <v>1</v>
      </c>
      <c r="B317" s="10" t="s">
        <v>88</v>
      </c>
      <c r="C317" s="11" t="s">
        <v>197</v>
      </c>
      <c r="D317" s="13">
        <f t="shared" si="1"/>
        <v>185.37</v>
      </c>
      <c r="E317" s="13">
        <v>185.37</v>
      </c>
      <c r="F317" s="13" t="s">
        <v>1149</v>
      </c>
      <c r="G317" s="13" t="s">
        <v>1149</v>
      </c>
      <c r="H317" s="13"/>
      <c r="I317" s="4" t="s">
        <v>1148</v>
      </c>
    </row>
    <row r="318" spans="1:9" ht="15.75" customHeight="1" x14ac:dyDescent="0.25">
      <c r="A318" s="10">
        <f t="shared" si="15"/>
        <v>1</v>
      </c>
      <c r="B318" s="10" t="s">
        <v>993</v>
      </c>
      <c r="C318" s="11" t="s">
        <v>197</v>
      </c>
      <c r="D318" s="13">
        <f t="shared" si="1"/>
        <v>970</v>
      </c>
      <c r="E318" s="13">
        <v>970</v>
      </c>
      <c r="F318" s="13" t="s">
        <v>1150</v>
      </c>
      <c r="G318" s="13" t="s">
        <v>1151</v>
      </c>
      <c r="H318" s="13"/>
      <c r="I318" s="4" t="s">
        <v>1115</v>
      </c>
    </row>
    <row r="319" spans="1:9" ht="15.75" customHeight="1" x14ac:dyDescent="0.25">
      <c r="A319" s="10">
        <f t="shared" si="15"/>
        <v>1</v>
      </c>
      <c r="B319" s="10" t="s">
        <v>957</v>
      </c>
      <c r="C319" s="11" t="s">
        <v>197</v>
      </c>
      <c r="D319" s="13">
        <f t="shared" si="1"/>
        <v>225.38</v>
      </c>
      <c r="E319" s="13">
        <v>225.38</v>
      </c>
      <c r="F319" s="13" t="s">
        <v>1150</v>
      </c>
      <c r="G319" s="13" t="s">
        <v>1151</v>
      </c>
      <c r="H319" s="13"/>
      <c r="I319" s="4" t="s">
        <v>1115</v>
      </c>
    </row>
    <row r="320" spans="1:9" ht="15.75" customHeight="1" x14ac:dyDescent="0.25">
      <c r="A320" s="10">
        <f t="shared" si="15"/>
        <v>1</v>
      </c>
      <c r="B320" s="10" t="s">
        <v>991</v>
      </c>
      <c r="C320" s="11" t="s">
        <v>197</v>
      </c>
      <c r="D320" s="13">
        <f t="shared" si="1"/>
        <v>660</v>
      </c>
      <c r="E320" s="13">
        <v>660</v>
      </c>
      <c r="F320" s="13" t="s">
        <v>1150</v>
      </c>
      <c r="G320" s="13" t="s">
        <v>1152</v>
      </c>
      <c r="H320" s="13"/>
      <c r="I320" s="4" t="s">
        <v>1152</v>
      </c>
    </row>
    <row r="321" spans="1:9" ht="15.75" customHeight="1" x14ac:dyDescent="0.25">
      <c r="A321" s="10">
        <f t="shared" si="15"/>
        <v>1</v>
      </c>
      <c r="B321" s="10" t="s">
        <v>995</v>
      </c>
      <c r="C321" s="11" t="s">
        <v>197</v>
      </c>
      <c r="D321" s="13">
        <f t="shared" si="1"/>
        <v>1196.32</v>
      </c>
      <c r="E321" s="13">
        <v>1196.32</v>
      </c>
      <c r="F321" s="13" t="s">
        <v>1150</v>
      </c>
      <c r="G321" s="13" t="s">
        <v>1152</v>
      </c>
      <c r="H321" s="13"/>
      <c r="I321" s="4" t="s">
        <v>1152</v>
      </c>
    </row>
    <row r="322" spans="1:9" ht="15.75" customHeight="1" x14ac:dyDescent="0.25">
      <c r="A322" s="10">
        <f t="shared" si="15"/>
        <v>1</v>
      </c>
      <c r="B322" s="10" t="s">
        <v>1590</v>
      </c>
      <c r="C322" s="11" t="s">
        <v>197</v>
      </c>
      <c r="D322" s="13">
        <f>E322*$D$1</f>
        <v>1876.89</v>
      </c>
      <c r="E322" s="13">
        <v>1876.89</v>
      </c>
      <c r="F322" s="13" t="s">
        <v>1150</v>
      </c>
      <c r="G322" s="13" t="s">
        <v>1152</v>
      </c>
      <c r="H322" s="13"/>
      <c r="I322" s="4" t="s">
        <v>1152</v>
      </c>
    </row>
    <row r="323" spans="1:9" ht="15.75" customHeight="1" x14ac:dyDescent="0.25">
      <c r="A323" s="10">
        <f t="shared" si="15"/>
        <v>1</v>
      </c>
      <c r="B323" s="10" t="s">
        <v>981</v>
      </c>
      <c r="C323" s="11" t="s">
        <v>197</v>
      </c>
      <c r="D323" s="13">
        <f t="shared" si="1"/>
        <v>688.68</v>
      </c>
      <c r="E323" s="13">
        <v>688.68</v>
      </c>
      <c r="F323" s="13" t="s">
        <v>1150</v>
      </c>
      <c r="G323" s="13" t="s">
        <v>1152</v>
      </c>
      <c r="H323" s="13"/>
      <c r="I323" s="4" t="s">
        <v>1152</v>
      </c>
    </row>
    <row r="324" spans="1:9" ht="15.75" customHeight="1" x14ac:dyDescent="0.25">
      <c r="A324" s="10">
        <f t="shared" si="15"/>
        <v>1</v>
      </c>
      <c r="B324" s="10" t="s">
        <v>939</v>
      </c>
      <c r="C324" s="11" t="s">
        <v>197</v>
      </c>
      <c r="D324" s="13">
        <f t="shared" si="1"/>
        <v>26.9</v>
      </c>
      <c r="E324" s="13">
        <v>26.9</v>
      </c>
      <c r="F324" s="13" t="s">
        <v>1150</v>
      </c>
      <c r="G324" s="13" t="s">
        <v>1151</v>
      </c>
      <c r="H324" s="13"/>
      <c r="I324" s="4" t="s">
        <v>1115</v>
      </c>
    </row>
    <row r="325" spans="1:9" ht="15.75" customHeight="1" x14ac:dyDescent="0.25">
      <c r="A325" s="10">
        <f t="shared" si="15"/>
        <v>1</v>
      </c>
      <c r="B325" s="10" t="s">
        <v>959</v>
      </c>
      <c r="C325" s="11" t="s">
        <v>197</v>
      </c>
      <c r="D325" s="13">
        <f t="shared" si="1"/>
        <v>196.76</v>
      </c>
      <c r="E325" s="13">
        <v>196.76</v>
      </c>
      <c r="F325" s="13" t="s">
        <v>1150</v>
      </c>
      <c r="G325" s="13" t="s">
        <v>1151</v>
      </c>
      <c r="H325" s="13"/>
      <c r="I325" s="4" t="s">
        <v>1115</v>
      </c>
    </row>
    <row r="326" spans="1:9" ht="15.75" customHeight="1" x14ac:dyDescent="0.25">
      <c r="A326" s="10">
        <f t="shared" si="15"/>
        <v>1</v>
      </c>
      <c r="B326" s="10" t="s">
        <v>947</v>
      </c>
      <c r="C326" s="11" t="s">
        <v>197</v>
      </c>
      <c r="D326" s="13">
        <f t="shared" si="1"/>
        <v>65</v>
      </c>
      <c r="E326" s="13">
        <v>65</v>
      </c>
      <c r="F326" s="13" t="s">
        <v>1150</v>
      </c>
      <c r="G326" s="13" t="s">
        <v>1151</v>
      </c>
      <c r="H326" s="13"/>
      <c r="I326" s="4" t="s">
        <v>1115</v>
      </c>
    </row>
    <row r="327" spans="1:9" ht="15.75" customHeight="1" x14ac:dyDescent="0.25">
      <c r="A327" s="10">
        <f t="shared" si="15"/>
        <v>1</v>
      </c>
      <c r="B327" s="10" t="s">
        <v>966</v>
      </c>
      <c r="C327" s="11" t="s">
        <v>197</v>
      </c>
      <c r="D327" s="13">
        <f t="shared" si="1"/>
        <v>35.9</v>
      </c>
      <c r="E327" s="13">
        <v>35.9</v>
      </c>
      <c r="F327" s="13" t="s">
        <v>1150</v>
      </c>
      <c r="G327" s="13" t="s">
        <v>1151</v>
      </c>
      <c r="H327" s="13"/>
      <c r="I327" s="4" t="s">
        <v>1115</v>
      </c>
    </row>
    <row r="328" spans="1:9" ht="15.75" customHeight="1" x14ac:dyDescent="0.25">
      <c r="A328" s="10">
        <f t="shared" si="15"/>
        <v>1</v>
      </c>
      <c r="B328" s="10" t="s">
        <v>987</v>
      </c>
      <c r="C328" s="11" t="s">
        <v>197</v>
      </c>
      <c r="D328" s="13">
        <f t="shared" si="1"/>
        <v>900</v>
      </c>
      <c r="E328" s="13">
        <v>900</v>
      </c>
      <c r="F328" s="13" t="s">
        <v>1150</v>
      </c>
      <c r="G328" s="13" t="s">
        <v>1153</v>
      </c>
      <c r="H328" s="13"/>
      <c r="I328" s="4" t="s">
        <v>1115</v>
      </c>
    </row>
    <row r="329" spans="1:9" ht="15.75" customHeight="1" x14ac:dyDescent="0.25">
      <c r="A329" s="10">
        <f t="shared" si="15"/>
        <v>1</v>
      </c>
      <c r="B329" s="10" t="s">
        <v>1154</v>
      </c>
      <c r="C329" s="11" t="s">
        <v>197</v>
      </c>
      <c r="D329" s="13">
        <f t="shared" si="1"/>
        <v>736.50120000000004</v>
      </c>
      <c r="E329" s="13">
        <v>736.50120000000004</v>
      </c>
      <c r="F329" s="13" t="s">
        <v>1150</v>
      </c>
      <c r="G329" s="13" t="s">
        <v>32</v>
      </c>
      <c r="H329" s="13"/>
      <c r="I329" s="4" t="s">
        <v>1115</v>
      </c>
    </row>
    <row r="330" spans="1:9" ht="15.75" customHeight="1" x14ac:dyDescent="0.25">
      <c r="A330" s="10">
        <f t="shared" si="15"/>
        <v>1</v>
      </c>
      <c r="B330" s="10" t="s">
        <v>1155</v>
      </c>
      <c r="C330" s="11" t="s">
        <v>197</v>
      </c>
      <c r="D330" s="13">
        <f t="shared" si="1"/>
        <v>2556.62</v>
      </c>
      <c r="E330" s="13">
        <f>298.72+1295.7+962.2</f>
        <v>2556.62</v>
      </c>
      <c r="F330" s="13" t="s">
        <v>1150</v>
      </c>
      <c r="G330" s="13" t="s">
        <v>32</v>
      </c>
      <c r="H330" s="13"/>
      <c r="I330" s="4" t="s">
        <v>1115</v>
      </c>
    </row>
    <row r="331" spans="1:9" ht="15.75" customHeight="1" x14ac:dyDescent="0.25">
      <c r="A331" s="10">
        <f t="shared" si="15"/>
        <v>1</v>
      </c>
      <c r="B331" s="10" t="s">
        <v>933</v>
      </c>
      <c r="C331" s="11" t="s">
        <v>197</v>
      </c>
      <c r="D331" s="13">
        <f t="shared" si="1"/>
        <v>523.16999999999996</v>
      </c>
      <c r="E331" s="13">
        <v>523.16999999999996</v>
      </c>
      <c r="F331" s="13" t="s">
        <v>1150</v>
      </c>
      <c r="G331" s="13" t="s">
        <v>32</v>
      </c>
      <c r="H331" s="13"/>
      <c r="I331" s="4" t="s">
        <v>1115</v>
      </c>
    </row>
    <row r="332" spans="1:9" ht="15.75" customHeight="1" x14ac:dyDescent="0.25">
      <c r="A332" s="10">
        <f t="shared" si="15"/>
        <v>1</v>
      </c>
      <c r="B332" s="10" t="s">
        <v>1156</v>
      </c>
      <c r="C332" s="11" t="s">
        <v>197</v>
      </c>
      <c r="D332" s="13">
        <f t="shared" si="1"/>
        <v>1999</v>
      </c>
      <c r="E332" s="13">
        <v>1999</v>
      </c>
      <c r="F332" s="13" t="s">
        <v>1150</v>
      </c>
      <c r="G332" s="13" t="s">
        <v>32</v>
      </c>
      <c r="H332" s="13"/>
      <c r="I332" s="4" t="s">
        <v>1115</v>
      </c>
    </row>
    <row r="333" spans="1:9" ht="15.75" customHeight="1" x14ac:dyDescent="0.25">
      <c r="A333" s="10">
        <f t="shared" si="15"/>
        <v>1</v>
      </c>
      <c r="B333" s="10" t="s">
        <v>954</v>
      </c>
      <c r="C333" s="11" t="s">
        <v>197</v>
      </c>
      <c r="D333" s="13">
        <f t="shared" si="1"/>
        <v>2750.38</v>
      </c>
      <c r="E333" s="13">
        <v>2750.38</v>
      </c>
      <c r="F333" s="13" t="s">
        <v>1150</v>
      </c>
      <c r="G333" s="13" t="s">
        <v>32</v>
      </c>
      <c r="H333" s="13"/>
      <c r="I333" s="4" t="s">
        <v>1115</v>
      </c>
    </row>
    <row r="334" spans="1:9" ht="15.75" customHeight="1" x14ac:dyDescent="0.25">
      <c r="A334" s="10">
        <f t="shared" si="15"/>
        <v>1</v>
      </c>
      <c r="B334" s="10" t="s">
        <v>946</v>
      </c>
      <c r="C334" s="11" t="s">
        <v>197</v>
      </c>
      <c r="D334" s="13">
        <f t="shared" si="1"/>
        <v>272.89999999999998</v>
      </c>
      <c r="E334" s="13">
        <v>272.89999999999998</v>
      </c>
      <c r="F334" s="13" t="s">
        <v>1150</v>
      </c>
      <c r="G334" s="13" t="s">
        <v>32</v>
      </c>
      <c r="H334" s="13"/>
      <c r="I334" s="4" t="s">
        <v>1115</v>
      </c>
    </row>
    <row r="335" spans="1:9" ht="15.75" customHeight="1" x14ac:dyDescent="0.25">
      <c r="A335" s="10">
        <f t="shared" si="15"/>
        <v>1</v>
      </c>
      <c r="B335" s="10" t="s">
        <v>963</v>
      </c>
      <c r="C335" s="11" t="s">
        <v>197</v>
      </c>
      <c r="D335" s="13">
        <f t="shared" si="1"/>
        <v>460</v>
      </c>
      <c r="E335" s="13">
        <v>460</v>
      </c>
      <c r="F335" s="13" t="s">
        <v>1150</v>
      </c>
      <c r="G335" s="13" t="s">
        <v>32</v>
      </c>
      <c r="H335" s="13"/>
      <c r="I335" s="4" t="s">
        <v>1115</v>
      </c>
    </row>
    <row r="336" spans="1:9" ht="15.75" customHeight="1" x14ac:dyDescent="0.25">
      <c r="A336" s="10">
        <f t="shared" si="15"/>
        <v>1</v>
      </c>
      <c r="B336" s="10" t="s">
        <v>952</v>
      </c>
      <c r="C336" s="11" t="s">
        <v>197</v>
      </c>
      <c r="D336" s="13">
        <f t="shared" si="1"/>
        <v>1574.1</v>
      </c>
      <c r="E336" s="13">
        <v>1574.1</v>
      </c>
      <c r="F336" s="13" t="s">
        <v>1150</v>
      </c>
      <c r="G336" s="13" t="s">
        <v>32</v>
      </c>
      <c r="H336" s="13"/>
      <c r="I336" s="4" t="s">
        <v>1115</v>
      </c>
    </row>
    <row r="337" spans="1:9" ht="15.75" customHeight="1" x14ac:dyDescent="0.25">
      <c r="A337" s="10">
        <f t="shared" si="15"/>
        <v>1</v>
      </c>
      <c r="B337" s="10" t="s">
        <v>965</v>
      </c>
      <c r="C337" s="11" t="s">
        <v>197</v>
      </c>
      <c r="D337" s="13">
        <f t="shared" si="1"/>
        <v>203.9</v>
      </c>
      <c r="E337" s="13">
        <v>203.9</v>
      </c>
      <c r="F337" s="13" t="s">
        <v>1150</v>
      </c>
      <c r="G337" s="13" t="s">
        <v>32</v>
      </c>
      <c r="H337" s="13"/>
      <c r="I337" s="4" t="s">
        <v>1115</v>
      </c>
    </row>
    <row r="338" spans="1:9" ht="15.75" customHeight="1" x14ac:dyDescent="0.25">
      <c r="A338" s="10">
        <f t="shared" si="15"/>
        <v>1</v>
      </c>
      <c r="B338" s="10" t="s">
        <v>941</v>
      </c>
      <c r="C338" s="11" t="s">
        <v>197</v>
      </c>
      <c r="D338" s="13">
        <f t="shared" si="1"/>
        <v>1010.4012000000001</v>
      </c>
      <c r="E338" s="13">
        <v>1010.4012000000001</v>
      </c>
      <c r="F338" s="13" t="s">
        <v>1150</v>
      </c>
      <c r="G338" s="13" t="s">
        <v>32</v>
      </c>
      <c r="H338" s="13"/>
      <c r="I338" s="4" t="s">
        <v>1115</v>
      </c>
    </row>
    <row r="339" spans="1:9" ht="15.75" customHeight="1" x14ac:dyDescent="0.25">
      <c r="A339" s="10">
        <f t="shared" si="15"/>
        <v>1</v>
      </c>
      <c r="B339" s="10" t="s">
        <v>970</v>
      </c>
      <c r="C339" s="11" t="s">
        <v>197</v>
      </c>
      <c r="D339" s="13">
        <f t="shared" si="1"/>
        <v>396.87</v>
      </c>
      <c r="E339" s="13">
        <v>396.87</v>
      </c>
      <c r="F339" s="13" t="s">
        <v>1150</v>
      </c>
      <c r="G339" s="13" t="s">
        <v>32</v>
      </c>
      <c r="H339" s="13"/>
      <c r="I339" s="4" t="s">
        <v>1115</v>
      </c>
    </row>
    <row r="340" spans="1:9" ht="14.25" x14ac:dyDescent="0.2">
      <c r="A340" s="10">
        <f t="shared" si="15"/>
        <v>1</v>
      </c>
      <c r="B340" s="82" t="s">
        <v>2002</v>
      </c>
      <c r="C340" s="83" t="s">
        <v>197</v>
      </c>
      <c r="D340" s="84">
        <f>E340*$D$1</f>
        <v>215</v>
      </c>
      <c r="E340" s="84">
        <v>215</v>
      </c>
      <c r="F340" s="84" t="s">
        <v>1150</v>
      </c>
      <c r="G340" s="84" t="s">
        <v>32</v>
      </c>
      <c r="H340" s="84"/>
      <c r="I340" s="85" t="s">
        <v>1115</v>
      </c>
    </row>
    <row r="341" spans="1:9" ht="15.75" customHeight="1" x14ac:dyDescent="0.25">
      <c r="A341" s="10">
        <f t="shared" si="15"/>
        <v>1</v>
      </c>
      <c r="B341" s="10" t="s">
        <v>968</v>
      </c>
      <c r="C341" s="11" t="s">
        <v>197</v>
      </c>
      <c r="D341" s="13">
        <f t="shared" si="1"/>
        <v>760</v>
      </c>
      <c r="E341" s="13">
        <v>760</v>
      </c>
      <c r="F341" s="13" t="s">
        <v>1150</v>
      </c>
      <c r="G341" s="13" t="s">
        <v>32</v>
      </c>
      <c r="H341" s="13"/>
      <c r="I341" s="4" t="s">
        <v>1115</v>
      </c>
    </row>
    <row r="342" spans="1:9" ht="15.75" customHeight="1" x14ac:dyDescent="0.25">
      <c r="A342" s="10">
        <f t="shared" si="15"/>
        <v>1</v>
      </c>
      <c r="B342" s="10" t="s">
        <v>985</v>
      </c>
      <c r="C342" s="11" t="s">
        <v>197</v>
      </c>
      <c r="D342" s="13">
        <f t="shared" si="1"/>
        <v>493.7</v>
      </c>
      <c r="E342" s="13">
        <v>493.7</v>
      </c>
      <c r="F342" s="13" t="s">
        <v>1150</v>
      </c>
      <c r="G342" s="13" t="s">
        <v>1152</v>
      </c>
      <c r="H342" s="13"/>
      <c r="I342" s="4" t="s">
        <v>1152</v>
      </c>
    </row>
    <row r="343" spans="1:9" ht="15.75" customHeight="1" x14ac:dyDescent="0.25">
      <c r="A343" s="10">
        <f t="shared" si="15"/>
        <v>1</v>
      </c>
      <c r="B343" s="10" t="s">
        <v>983</v>
      </c>
      <c r="C343" s="11" t="s">
        <v>197</v>
      </c>
      <c r="D343" s="13">
        <f t="shared" si="1"/>
        <v>240.41</v>
      </c>
      <c r="E343" s="13">
        <v>240.41</v>
      </c>
      <c r="F343" s="13" t="s">
        <v>1150</v>
      </c>
      <c r="G343" s="13" t="s">
        <v>1152</v>
      </c>
      <c r="H343" s="13"/>
      <c r="I343" s="4" t="s">
        <v>1152</v>
      </c>
    </row>
    <row r="344" spans="1:9" ht="15.75" customHeight="1" x14ac:dyDescent="0.25">
      <c r="A344" s="10">
        <f t="shared" si="15"/>
        <v>1</v>
      </c>
      <c r="B344" s="10" t="s">
        <v>989</v>
      </c>
      <c r="C344" s="11" t="s">
        <v>197</v>
      </c>
      <c r="D344" s="13">
        <f t="shared" si="1"/>
        <v>84.8</v>
      </c>
      <c r="E344" s="13">
        <v>84.8</v>
      </c>
      <c r="F344" s="13" t="s">
        <v>1150</v>
      </c>
      <c r="G344" s="13" t="s">
        <v>1152</v>
      </c>
      <c r="H344" s="13"/>
      <c r="I344" s="4" t="s">
        <v>1152</v>
      </c>
    </row>
    <row r="345" spans="1:9" ht="15.75" customHeight="1" x14ac:dyDescent="0.25">
      <c r="A345" s="10">
        <f t="shared" si="15"/>
        <v>1</v>
      </c>
      <c r="B345" s="10" t="s">
        <v>950</v>
      </c>
      <c r="C345" s="11" t="s">
        <v>197</v>
      </c>
      <c r="D345" s="13">
        <f t="shared" si="1"/>
        <v>32</v>
      </c>
      <c r="E345" s="13">
        <v>32</v>
      </c>
      <c r="F345" s="13" t="s">
        <v>1150</v>
      </c>
      <c r="G345" s="13" t="s">
        <v>1152</v>
      </c>
      <c r="H345" s="13"/>
      <c r="I345" s="4" t="s">
        <v>1152</v>
      </c>
    </row>
    <row r="346" spans="1:9" ht="15.75" customHeight="1" x14ac:dyDescent="0.25">
      <c r="A346" s="10">
        <f t="shared" si="15"/>
        <v>1</v>
      </c>
      <c r="B346" s="10" t="s">
        <v>998</v>
      </c>
      <c r="C346" s="11" t="s">
        <v>197</v>
      </c>
      <c r="D346" s="13">
        <f t="shared" si="1"/>
        <v>293</v>
      </c>
      <c r="E346" s="13">
        <v>293</v>
      </c>
      <c r="F346" s="13" t="s">
        <v>1150</v>
      </c>
      <c r="G346" s="13" t="s">
        <v>1152</v>
      </c>
      <c r="H346" s="13"/>
      <c r="I346" s="4" t="s">
        <v>1152</v>
      </c>
    </row>
    <row r="347" spans="1:9" ht="15.75" customHeight="1" x14ac:dyDescent="0.25">
      <c r="A347" s="10">
        <f t="shared" si="15"/>
        <v>1</v>
      </c>
      <c r="B347" s="10" t="s">
        <v>955</v>
      </c>
      <c r="C347" s="11" t="s">
        <v>197</v>
      </c>
      <c r="D347" s="13">
        <f t="shared" si="1"/>
        <v>71.55</v>
      </c>
      <c r="E347" s="13">
        <v>71.55</v>
      </c>
      <c r="F347" s="13" t="s">
        <v>1150</v>
      </c>
      <c r="G347" s="13" t="s">
        <v>1152</v>
      </c>
      <c r="H347" s="13"/>
      <c r="I347" s="4" t="s">
        <v>1152</v>
      </c>
    </row>
    <row r="348" spans="1:9" ht="15.75" customHeight="1" x14ac:dyDescent="0.25">
      <c r="A348" s="10">
        <f t="shared" si="15"/>
        <v>1</v>
      </c>
      <c r="B348" s="10" t="s">
        <v>956</v>
      </c>
      <c r="C348" s="11" t="s">
        <v>197</v>
      </c>
      <c r="D348" s="13">
        <f t="shared" ref="D348:D817" si="16">E348*$D$1</f>
        <v>2117.89</v>
      </c>
      <c r="E348" s="13">
        <v>2117.89</v>
      </c>
      <c r="F348" s="13" t="s">
        <v>1150</v>
      </c>
      <c r="G348" s="13" t="s">
        <v>1157</v>
      </c>
      <c r="H348" s="13"/>
      <c r="I348" s="4" t="s">
        <v>1152</v>
      </c>
    </row>
    <row r="349" spans="1:9" ht="15.75" customHeight="1" x14ac:dyDescent="0.25">
      <c r="A349" s="10">
        <f t="shared" si="15"/>
        <v>1</v>
      </c>
      <c r="B349" s="10" t="s">
        <v>997</v>
      </c>
      <c r="C349" s="11" t="s">
        <v>197</v>
      </c>
      <c r="D349" s="13">
        <f t="shared" si="16"/>
        <v>396.67</v>
      </c>
      <c r="E349" s="13">
        <v>396.67</v>
      </c>
      <c r="F349" s="13" t="s">
        <v>1150</v>
      </c>
      <c r="G349" s="13" t="s">
        <v>1157</v>
      </c>
      <c r="H349" s="13"/>
      <c r="I349" s="4" t="s">
        <v>1152</v>
      </c>
    </row>
    <row r="350" spans="1:9" ht="15.75" customHeight="1" x14ac:dyDescent="0.25">
      <c r="A350" s="10">
        <f t="shared" si="15"/>
        <v>1</v>
      </c>
      <c r="B350" s="10" t="s">
        <v>958</v>
      </c>
      <c r="C350" s="11" t="s">
        <v>197</v>
      </c>
      <c r="D350" s="13">
        <f t="shared" si="16"/>
        <v>256.89999999999998</v>
      </c>
      <c r="E350" s="13">
        <v>256.89999999999998</v>
      </c>
      <c r="F350" s="13" t="s">
        <v>1150</v>
      </c>
      <c r="G350" s="13" t="s">
        <v>1157</v>
      </c>
      <c r="H350" s="13"/>
      <c r="I350" s="4" t="s">
        <v>1152</v>
      </c>
    </row>
    <row r="351" spans="1:9" ht="15.75" customHeight="1" x14ac:dyDescent="0.25">
      <c r="A351" s="10">
        <f t="shared" si="15"/>
        <v>1</v>
      </c>
      <c r="B351" s="10" t="s">
        <v>949</v>
      </c>
      <c r="C351" s="11" t="s">
        <v>197</v>
      </c>
      <c r="D351" s="13">
        <f t="shared" si="16"/>
        <v>8.9</v>
      </c>
      <c r="E351" s="13">
        <v>8.9</v>
      </c>
      <c r="F351" s="13" t="s">
        <v>1150</v>
      </c>
      <c r="G351" s="13" t="s">
        <v>1157</v>
      </c>
      <c r="H351" s="13"/>
      <c r="I351" s="4" t="s">
        <v>1152</v>
      </c>
    </row>
    <row r="352" spans="1:9" ht="15.75" customHeight="1" x14ac:dyDescent="0.25">
      <c r="A352" s="10">
        <f t="shared" si="15"/>
        <v>1</v>
      </c>
      <c r="B352" s="10" t="s">
        <v>971</v>
      </c>
      <c r="C352" s="11" t="s">
        <v>197</v>
      </c>
      <c r="D352" s="13">
        <f t="shared" si="16"/>
        <v>35</v>
      </c>
      <c r="E352" s="13">
        <v>35</v>
      </c>
      <c r="F352" s="13" t="s">
        <v>1150</v>
      </c>
      <c r="G352" s="13" t="s">
        <v>1157</v>
      </c>
      <c r="H352" s="13"/>
      <c r="I352" s="4" t="s">
        <v>1152</v>
      </c>
    </row>
    <row r="353" spans="1:9" ht="15.75" customHeight="1" x14ac:dyDescent="0.25">
      <c r="A353" s="10">
        <f t="shared" si="15"/>
        <v>1</v>
      </c>
      <c r="B353" s="10" t="s">
        <v>999</v>
      </c>
      <c r="C353" s="11" t="s">
        <v>197</v>
      </c>
      <c r="D353" s="13">
        <f t="shared" si="16"/>
        <v>493.84</v>
      </c>
      <c r="E353" s="13">
        <v>493.84</v>
      </c>
      <c r="F353" s="13" t="s">
        <v>1150</v>
      </c>
      <c r="G353" s="13" t="s">
        <v>1157</v>
      </c>
      <c r="H353" s="13"/>
      <c r="I353" s="4" t="s">
        <v>1152</v>
      </c>
    </row>
    <row r="354" spans="1:9" ht="15.75" customHeight="1" x14ac:dyDescent="0.25">
      <c r="A354" s="10">
        <f t="shared" si="15"/>
        <v>1</v>
      </c>
      <c r="B354" s="10" t="s">
        <v>975</v>
      </c>
      <c r="C354" s="11" t="s">
        <v>197</v>
      </c>
      <c r="D354" s="13">
        <f t="shared" si="16"/>
        <v>1054.93</v>
      </c>
      <c r="E354" s="13">
        <v>1054.93</v>
      </c>
      <c r="F354" s="13" t="s">
        <v>1150</v>
      </c>
      <c r="G354" s="13" t="s">
        <v>1157</v>
      </c>
      <c r="H354" s="13"/>
      <c r="I354" s="4" t="s">
        <v>1152</v>
      </c>
    </row>
    <row r="355" spans="1:9" ht="15.75" customHeight="1" x14ac:dyDescent="0.25">
      <c r="A355" s="10">
        <f t="shared" si="15"/>
        <v>1</v>
      </c>
      <c r="B355" s="10" t="s">
        <v>977</v>
      </c>
      <c r="C355" s="11" t="s">
        <v>197</v>
      </c>
      <c r="D355" s="13">
        <f t="shared" si="16"/>
        <v>1054.93</v>
      </c>
      <c r="E355" s="13">
        <v>1054.93</v>
      </c>
      <c r="F355" s="13" t="s">
        <v>1150</v>
      </c>
      <c r="G355" s="13" t="s">
        <v>1157</v>
      </c>
      <c r="H355" s="13"/>
      <c r="I355" s="4" t="s">
        <v>1152</v>
      </c>
    </row>
    <row r="356" spans="1:9" ht="15.75" customHeight="1" x14ac:dyDescent="0.25">
      <c r="A356" s="10">
        <f t="shared" si="15"/>
        <v>1</v>
      </c>
      <c r="B356" s="10" t="s">
        <v>973</v>
      </c>
      <c r="C356" s="11" t="s">
        <v>197</v>
      </c>
      <c r="D356" s="13">
        <f t="shared" si="16"/>
        <v>1054.93</v>
      </c>
      <c r="E356" s="13">
        <v>1054.93</v>
      </c>
      <c r="F356" s="13" t="s">
        <v>1150</v>
      </c>
      <c r="G356" s="13" t="s">
        <v>1157</v>
      </c>
      <c r="H356" s="13"/>
      <c r="I356" s="4" t="s">
        <v>1152</v>
      </c>
    </row>
    <row r="357" spans="1:9" ht="15.75" customHeight="1" x14ac:dyDescent="0.25">
      <c r="A357" s="10">
        <f t="shared" si="15"/>
        <v>1</v>
      </c>
      <c r="B357" s="10" t="s">
        <v>979</v>
      </c>
      <c r="C357" s="11" t="s">
        <v>197</v>
      </c>
      <c r="D357" s="13">
        <f t="shared" si="16"/>
        <v>1054.93</v>
      </c>
      <c r="E357" s="13">
        <v>1054.93</v>
      </c>
      <c r="F357" s="13" t="s">
        <v>1150</v>
      </c>
      <c r="G357" s="13" t="s">
        <v>1157</v>
      </c>
      <c r="H357" s="13"/>
      <c r="I357" s="4" t="s">
        <v>1152</v>
      </c>
    </row>
    <row r="358" spans="1:9" ht="15.75" customHeight="1" x14ac:dyDescent="0.25">
      <c r="A358" s="10">
        <f t="shared" si="15"/>
        <v>1</v>
      </c>
      <c r="B358" s="10" t="s">
        <v>438</v>
      </c>
      <c r="C358" s="11" t="s">
        <v>197</v>
      </c>
      <c r="D358" s="13">
        <f t="shared" si="16"/>
        <v>6200</v>
      </c>
      <c r="E358" s="13">
        <v>6200</v>
      </c>
      <c r="F358" s="13" t="s">
        <v>1150</v>
      </c>
      <c r="G358" s="13" t="s">
        <v>1157</v>
      </c>
      <c r="H358" s="13"/>
      <c r="I358" s="4" t="s">
        <v>1152</v>
      </c>
    </row>
    <row r="359" spans="1:9" ht="14.25" x14ac:dyDescent="0.2">
      <c r="A359" s="10">
        <f t="shared" si="15"/>
        <v>1</v>
      </c>
      <c r="B359" s="82" t="s">
        <v>1856</v>
      </c>
      <c r="C359" s="83" t="s">
        <v>70</v>
      </c>
      <c r="D359" s="84">
        <f>E359*$D$1</f>
        <v>180</v>
      </c>
      <c r="E359" s="84">
        <f>85+95</f>
        <v>180</v>
      </c>
      <c r="F359" s="84" t="s">
        <v>1201</v>
      </c>
      <c r="G359" s="84" t="s">
        <v>1201</v>
      </c>
      <c r="H359" s="84"/>
      <c r="I359" s="85" t="s">
        <v>1202</v>
      </c>
    </row>
    <row r="360" spans="1:9" ht="15.75" customHeight="1" x14ac:dyDescent="0.25">
      <c r="A360" s="10">
        <f t="shared" si="15"/>
        <v>1</v>
      </c>
      <c r="B360" s="10" t="s">
        <v>440</v>
      </c>
      <c r="C360" s="11" t="s">
        <v>197</v>
      </c>
      <c r="D360" s="13">
        <f t="shared" si="16"/>
        <v>1400</v>
      </c>
      <c r="E360" s="13">
        <v>1400</v>
      </c>
      <c r="F360" s="13" t="s">
        <v>1150</v>
      </c>
      <c r="G360" s="13" t="s">
        <v>1157</v>
      </c>
      <c r="H360" s="84"/>
      <c r="I360" s="4" t="s">
        <v>1152</v>
      </c>
    </row>
    <row r="361" spans="1:9" ht="14.25" x14ac:dyDescent="0.2">
      <c r="A361" s="10">
        <f t="shared" si="15"/>
        <v>1</v>
      </c>
      <c r="B361" s="471" t="s">
        <v>2920</v>
      </c>
      <c r="C361" s="472" t="s">
        <v>70</v>
      </c>
      <c r="D361" s="84">
        <f>E361*$D$1</f>
        <v>520</v>
      </c>
      <c r="E361" s="84">
        <v>520</v>
      </c>
      <c r="F361" s="84" t="s">
        <v>1167</v>
      </c>
      <c r="G361" s="84" t="s">
        <v>1091</v>
      </c>
      <c r="H361" s="84"/>
      <c r="I361" s="85" t="s">
        <v>1091</v>
      </c>
    </row>
    <row r="362" spans="1:9" ht="14.25" x14ac:dyDescent="0.2">
      <c r="A362" s="10">
        <f t="shared" si="15"/>
        <v>1</v>
      </c>
      <c r="B362" s="471" t="s">
        <v>2922</v>
      </c>
      <c r="C362" s="472" t="s">
        <v>70</v>
      </c>
      <c r="D362" s="84">
        <f>E362*$D$1</f>
        <v>580</v>
      </c>
      <c r="E362" s="84">
        <v>580</v>
      </c>
      <c r="F362" s="84" t="s">
        <v>1167</v>
      </c>
      <c r="G362" s="84" t="s">
        <v>1091</v>
      </c>
      <c r="H362" s="84"/>
      <c r="I362" s="85" t="s">
        <v>1091</v>
      </c>
    </row>
    <row r="363" spans="1:9" ht="14.25" x14ac:dyDescent="0.2">
      <c r="A363" s="10">
        <f t="shared" si="15"/>
        <v>1</v>
      </c>
      <c r="B363" s="471" t="s">
        <v>3008</v>
      </c>
      <c r="C363" s="472" t="s">
        <v>70</v>
      </c>
      <c r="D363" s="84">
        <f>E363*$D$1</f>
        <v>600</v>
      </c>
      <c r="E363" s="84">
        <v>600</v>
      </c>
      <c r="F363" s="84" t="s">
        <v>1167</v>
      </c>
      <c r="G363" s="84" t="s">
        <v>1091</v>
      </c>
      <c r="H363" s="84"/>
      <c r="I363" s="85" t="s">
        <v>1091</v>
      </c>
    </row>
    <row r="364" spans="1:9" ht="14.25" x14ac:dyDescent="0.2">
      <c r="A364" s="10">
        <f t="shared" si="15"/>
        <v>1</v>
      </c>
      <c r="B364" s="471" t="s">
        <v>3007</v>
      </c>
      <c r="C364" s="472" t="s">
        <v>70</v>
      </c>
      <c r="D364" s="84">
        <f>E364*$D$1</f>
        <v>590</v>
      </c>
      <c r="E364" s="84">
        <v>590</v>
      </c>
      <c r="F364" s="84" t="s">
        <v>1167</v>
      </c>
      <c r="G364" s="84" t="s">
        <v>1091</v>
      </c>
      <c r="H364" s="84"/>
      <c r="I364" s="85" t="s">
        <v>1091</v>
      </c>
    </row>
    <row r="365" spans="1:9" ht="14.25" x14ac:dyDescent="0.2">
      <c r="A365" s="10">
        <f t="shared" si="15"/>
        <v>1</v>
      </c>
      <c r="B365" s="471" t="s">
        <v>3009</v>
      </c>
      <c r="C365" s="472" t="s">
        <v>70</v>
      </c>
      <c r="D365" s="84">
        <f>E365*$D$1</f>
        <v>590</v>
      </c>
      <c r="E365" s="84">
        <v>590</v>
      </c>
      <c r="F365" s="84" t="s">
        <v>1167</v>
      </c>
      <c r="G365" s="84" t="s">
        <v>1091</v>
      </c>
      <c r="H365" s="84"/>
      <c r="I365" s="85" t="s">
        <v>1091</v>
      </c>
    </row>
    <row r="366" spans="1:9" ht="14.25" x14ac:dyDescent="0.2">
      <c r="A366" s="10">
        <f t="shared" si="15"/>
        <v>1</v>
      </c>
      <c r="B366" s="471" t="s">
        <v>3010</v>
      </c>
      <c r="C366" s="472" t="s">
        <v>70</v>
      </c>
      <c r="D366" s="84">
        <f t="shared" ref="D366:D373" si="17">E366*$D$1</f>
        <v>850</v>
      </c>
      <c r="E366" s="84">
        <v>850</v>
      </c>
      <c r="F366" s="84" t="s">
        <v>1167</v>
      </c>
      <c r="G366" s="84" t="s">
        <v>1091</v>
      </c>
      <c r="H366" s="84"/>
      <c r="I366" s="85" t="s">
        <v>1091</v>
      </c>
    </row>
    <row r="367" spans="1:9" ht="14.25" x14ac:dyDescent="0.2">
      <c r="A367" s="10">
        <f t="shared" si="15"/>
        <v>1</v>
      </c>
      <c r="B367" s="471" t="s">
        <v>3011</v>
      </c>
      <c r="C367" s="472" t="s">
        <v>70</v>
      </c>
      <c r="D367" s="84">
        <f t="shared" si="17"/>
        <v>850</v>
      </c>
      <c r="E367" s="84">
        <v>850</v>
      </c>
      <c r="F367" s="84" t="s">
        <v>1167</v>
      </c>
      <c r="G367" s="84" t="s">
        <v>1091</v>
      </c>
      <c r="H367" s="84"/>
      <c r="I367" s="85" t="s">
        <v>1091</v>
      </c>
    </row>
    <row r="368" spans="1:9" ht="14.25" x14ac:dyDescent="0.2">
      <c r="A368" s="10">
        <f t="shared" si="15"/>
        <v>1</v>
      </c>
      <c r="B368" s="471" t="s">
        <v>3012</v>
      </c>
      <c r="C368" s="472" t="s">
        <v>70</v>
      </c>
      <c r="D368" s="84">
        <f t="shared" si="17"/>
        <v>900</v>
      </c>
      <c r="E368" s="84">
        <v>900</v>
      </c>
      <c r="F368" s="84" t="s">
        <v>1167</v>
      </c>
      <c r="G368" s="84" t="s">
        <v>1091</v>
      </c>
      <c r="H368" s="84"/>
      <c r="I368" s="85" t="s">
        <v>1091</v>
      </c>
    </row>
    <row r="369" spans="1:9" ht="14.25" x14ac:dyDescent="0.2">
      <c r="A369" s="10">
        <f t="shared" si="15"/>
        <v>1</v>
      </c>
      <c r="B369" s="471" t="s">
        <v>3013</v>
      </c>
      <c r="C369" s="472" t="s">
        <v>70</v>
      </c>
      <c r="D369" s="84">
        <f t="shared" si="17"/>
        <v>850</v>
      </c>
      <c r="E369" s="84">
        <v>850</v>
      </c>
      <c r="F369" s="84" t="s">
        <v>1167</v>
      </c>
      <c r="G369" s="84" t="s">
        <v>1091</v>
      </c>
      <c r="H369" s="84"/>
      <c r="I369" s="85" t="s">
        <v>1091</v>
      </c>
    </row>
    <row r="370" spans="1:9" ht="14.25" x14ac:dyDescent="0.2">
      <c r="A370" s="10">
        <f t="shared" si="15"/>
        <v>1</v>
      </c>
      <c r="B370" s="471" t="s">
        <v>3022</v>
      </c>
      <c r="C370" s="472" t="s">
        <v>70</v>
      </c>
      <c r="D370" s="84">
        <f>E370*$D$1</f>
        <v>1050</v>
      </c>
      <c r="E370" s="84">
        <v>1050</v>
      </c>
      <c r="F370" s="84" t="s">
        <v>1167</v>
      </c>
      <c r="G370" s="84" t="s">
        <v>1091</v>
      </c>
      <c r="H370" s="84"/>
      <c r="I370" s="85" t="s">
        <v>1091</v>
      </c>
    </row>
    <row r="371" spans="1:9" ht="14.25" x14ac:dyDescent="0.2">
      <c r="A371" s="10">
        <f t="shared" si="15"/>
        <v>1</v>
      </c>
      <c r="B371" s="471" t="s">
        <v>3023</v>
      </c>
      <c r="C371" s="472" t="s">
        <v>70</v>
      </c>
      <c r="D371" s="84">
        <f t="shared" si="17"/>
        <v>780</v>
      </c>
      <c r="E371" s="84">
        <v>780</v>
      </c>
      <c r="F371" s="84" t="s">
        <v>1167</v>
      </c>
      <c r="G371" s="84" t="s">
        <v>1091</v>
      </c>
      <c r="H371" s="84"/>
      <c r="I371" s="85" t="s">
        <v>1091</v>
      </c>
    </row>
    <row r="372" spans="1:9" ht="14.25" x14ac:dyDescent="0.2">
      <c r="A372" s="10">
        <f t="shared" si="15"/>
        <v>1</v>
      </c>
      <c r="B372" s="471" t="s">
        <v>3024</v>
      </c>
      <c r="C372" s="472" t="s">
        <v>70</v>
      </c>
      <c r="D372" s="84">
        <f>E372*$D$1</f>
        <v>1100</v>
      </c>
      <c r="E372" s="84">
        <v>1100</v>
      </c>
      <c r="F372" s="84" t="s">
        <v>1167</v>
      </c>
      <c r="G372" s="84" t="s">
        <v>1091</v>
      </c>
      <c r="H372" s="84"/>
      <c r="I372" s="85" t="s">
        <v>1091</v>
      </c>
    </row>
    <row r="373" spans="1:9" ht="14.25" x14ac:dyDescent="0.2">
      <c r="A373" s="10">
        <f t="shared" si="15"/>
        <v>1</v>
      </c>
      <c r="B373" s="471" t="s">
        <v>3025</v>
      </c>
      <c r="C373" s="472" t="s">
        <v>70</v>
      </c>
      <c r="D373" s="84">
        <f t="shared" si="17"/>
        <v>750</v>
      </c>
      <c r="E373" s="84">
        <v>750</v>
      </c>
      <c r="F373" s="84" t="s">
        <v>1167</v>
      </c>
      <c r="G373" s="84" t="s">
        <v>1091</v>
      </c>
      <c r="H373" s="84"/>
      <c r="I373" s="85" t="s">
        <v>1091</v>
      </c>
    </row>
    <row r="374" spans="1:9" ht="14.25" x14ac:dyDescent="0.2">
      <c r="A374" s="10">
        <f t="shared" ref="A374:A437" si="18">COUNTIFS($B$2:$B$996,B374)</f>
        <v>1</v>
      </c>
      <c r="B374" s="471" t="s">
        <v>3016</v>
      </c>
      <c r="C374" s="472" t="s">
        <v>70</v>
      </c>
      <c r="D374" s="84">
        <f>E374*$D$1</f>
        <v>210</v>
      </c>
      <c r="E374" s="84">
        <v>210</v>
      </c>
      <c r="F374" s="84" t="s">
        <v>1167</v>
      </c>
      <c r="G374" s="84" t="s">
        <v>1091</v>
      </c>
      <c r="H374" s="84"/>
      <c r="I374" s="85" t="s">
        <v>1091</v>
      </c>
    </row>
    <row r="375" spans="1:9" ht="14.25" x14ac:dyDescent="0.2">
      <c r="A375" s="10">
        <f t="shared" si="18"/>
        <v>1</v>
      </c>
      <c r="B375" s="471" t="s">
        <v>2923</v>
      </c>
      <c r="C375" s="472" t="s">
        <v>70</v>
      </c>
      <c r="D375" s="84">
        <f>E375*$D$1</f>
        <v>83.1076167076167</v>
      </c>
      <c r="E375" s="84">
        <f>422.81/(2.75*1.85)</f>
        <v>83.1076167076167</v>
      </c>
      <c r="F375" s="84" t="s">
        <v>1167</v>
      </c>
      <c r="G375" s="84" t="s">
        <v>1091</v>
      </c>
      <c r="H375" s="84"/>
      <c r="I375" s="85" t="s">
        <v>1091</v>
      </c>
    </row>
    <row r="376" spans="1:9" ht="14.25" x14ac:dyDescent="0.2">
      <c r="A376" s="10">
        <f t="shared" si="18"/>
        <v>1</v>
      </c>
      <c r="B376" s="471" t="s">
        <v>2924</v>
      </c>
      <c r="C376" s="472" t="s">
        <v>70</v>
      </c>
      <c r="D376" s="84">
        <f>E376*$D$1</f>
        <v>89.694348894348892</v>
      </c>
      <c r="E376" s="84">
        <f>456.32/(2.75*1.85)</f>
        <v>89.694348894348892</v>
      </c>
      <c r="F376" s="84" t="s">
        <v>1167</v>
      </c>
      <c r="G376" s="84" t="s">
        <v>1091</v>
      </c>
      <c r="H376" s="84"/>
      <c r="I376" s="85" t="s">
        <v>1091</v>
      </c>
    </row>
    <row r="377" spans="1:9" ht="15.75" customHeight="1" x14ac:dyDescent="0.25">
      <c r="A377" s="10">
        <f t="shared" si="18"/>
        <v>1</v>
      </c>
      <c r="B377" s="10" t="s">
        <v>112</v>
      </c>
      <c r="C377" s="11" t="s">
        <v>113</v>
      </c>
      <c r="D377" s="13">
        <f t="shared" si="16"/>
        <v>29.5</v>
      </c>
      <c r="E377" s="13">
        <v>29.5</v>
      </c>
      <c r="F377" s="13" t="s">
        <v>1137</v>
      </c>
      <c r="G377" s="13" t="s">
        <v>1137</v>
      </c>
      <c r="H377" s="84"/>
      <c r="I377" s="4" t="s">
        <v>1158</v>
      </c>
    </row>
    <row r="378" spans="1:9" ht="15.75" customHeight="1" x14ac:dyDescent="0.25">
      <c r="A378" s="10">
        <f t="shared" si="18"/>
        <v>1</v>
      </c>
      <c r="B378" s="10" t="s">
        <v>117</v>
      </c>
      <c r="C378" s="11" t="s">
        <v>70</v>
      </c>
      <c r="D378" s="13">
        <f t="shared" si="16"/>
        <v>46.120293847566572</v>
      </c>
      <c r="E378" s="13">
        <v>46.120293847566572</v>
      </c>
      <c r="F378" s="13" t="s">
        <v>1137</v>
      </c>
      <c r="G378" s="13" t="s">
        <v>1137</v>
      </c>
      <c r="H378" s="84"/>
      <c r="I378" s="4" t="s">
        <v>1158</v>
      </c>
    </row>
    <row r="379" spans="1:9" ht="15.75" customHeight="1" x14ac:dyDescent="0.25">
      <c r="A379" s="10">
        <f t="shared" si="18"/>
        <v>1</v>
      </c>
      <c r="B379" s="10" t="s">
        <v>277</v>
      </c>
      <c r="C379" s="11" t="s">
        <v>70</v>
      </c>
      <c r="D379" s="13">
        <f t="shared" si="16"/>
        <v>59.297520661157016</v>
      </c>
      <c r="E379" s="13">
        <v>59.297520661157016</v>
      </c>
      <c r="F379" s="13" t="s">
        <v>1137</v>
      </c>
      <c r="G379" s="13" t="s">
        <v>1137</v>
      </c>
      <c r="H379" s="13"/>
      <c r="I379" s="4" t="s">
        <v>1158</v>
      </c>
    </row>
    <row r="380" spans="1:9" ht="15.75" customHeight="1" x14ac:dyDescent="0.25">
      <c r="A380" s="10">
        <f t="shared" si="18"/>
        <v>1</v>
      </c>
      <c r="B380" s="10" t="s">
        <v>1307</v>
      </c>
      <c r="C380" s="11" t="s">
        <v>70</v>
      </c>
      <c r="D380" s="13">
        <f>E380*$D$1</f>
        <v>92.851239669421474</v>
      </c>
      <c r="E380" s="13">
        <f>224.7/(1.1*2.2)</f>
        <v>92.851239669421474</v>
      </c>
      <c r="F380" s="13" t="s">
        <v>1137</v>
      </c>
      <c r="G380" s="13" t="s">
        <v>1137</v>
      </c>
      <c r="H380" s="13"/>
      <c r="I380" s="4" t="s">
        <v>1158</v>
      </c>
    </row>
    <row r="381" spans="1:9" ht="14.25" x14ac:dyDescent="0.2">
      <c r="A381" s="10">
        <f t="shared" si="18"/>
        <v>1</v>
      </c>
      <c r="B381" s="82" t="s">
        <v>1761</v>
      </c>
      <c r="C381" s="83" t="s">
        <v>70</v>
      </c>
      <c r="D381" s="84">
        <f>E381*$D$1</f>
        <v>37.96</v>
      </c>
      <c r="E381" s="84">
        <v>37.96</v>
      </c>
      <c r="F381" s="84" t="s">
        <v>1137</v>
      </c>
      <c r="G381" s="84" t="s">
        <v>1137</v>
      </c>
      <c r="H381" s="84"/>
      <c r="I381" s="85" t="s">
        <v>1158</v>
      </c>
    </row>
    <row r="382" spans="1:9" ht="15.75" customHeight="1" x14ac:dyDescent="0.25">
      <c r="A382" s="10">
        <f t="shared" si="18"/>
        <v>1</v>
      </c>
      <c r="B382" s="10" t="s">
        <v>131</v>
      </c>
      <c r="C382" s="11" t="s">
        <v>70</v>
      </c>
      <c r="D382" s="13">
        <f t="shared" si="16"/>
        <v>35.78</v>
      </c>
      <c r="E382" s="13">
        <v>35.78</v>
      </c>
      <c r="F382" s="13" t="s">
        <v>1137</v>
      </c>
      <c r="G382" s="13" t="s">
        <v>1137</v>
      </c>
      <c r="H382" s="13"/>
      <c r="I382" s="4" t="s">
        <v>1158</v>
      </c>
    </row>
    <row r="383" spans="1:9" ht="15.75" customHeight="1" x14ac:dyDescent="0.25">
      <c r="A383" s="10">
        <f t="shared" si="18"/>
        <v>1</v>
      </c>
      <c r="B383" s="10" t="s">
        <v>279</v>
      </c>
      <c r="C383" s="11" t="s">
        <v>70</v>
      </c>
      <c r="D383" s="13">
        <f t="shared" si="16"/>
        <v>46.002857142857138</v>
      </c>
      <c r="E383" s="13">
        <v>46.002857142857138</v>
      </c>
      <c r="F383" s="13" t="s">
        <v>1137</v>
      </c>
      <c r="G383" s="13" t="s">
        <v>1137</v>
      </c>
      <c r="H383" s="13"/>
      <c r="I383" s="4" t="s">
        <v>1158</v>
      </c>
    </row>
    <row r="384" spans="1:9" ht="15.75" customHeight="1" x14ac:dyDescent="0.25">
      <c r="A384" s="10">
        <f t="shared" si="18"/>
        <v>1</v>
      </c>
      <c r="B384" s="10" t="s">
        <v>83</v>
      </c>
      <c r="C384" s="11" t="s">
        <v>197</v>
      </c>
      <c r="D384" s="13">
        <f t="shared" si="16"/>
        <v>58.46</v>
      </c>
      <c r="E384" s="13">
        <v>58.46</v>
      </c>
      <c r="F384" s="13" t="s">
        <v>1137</v>
      </c>
      <c r="G384" s="13" t="s">
        <v>1137</v>
      </c>
      <c r="H384" s="13"/>
      <c r="I384" s="4" t="s">
        <v>1158</v>
      </c>
    </row>
    <row r="385" spans="1:9" ht="15.75" customHeight="1" x14ac:dyDescent="0.25">
      <c r="A385" s="10">
        <f t="shared" si="18"/>
        <v>1</v>
      </c>
      <c r="B385" s="10" t="s">
        <v>629</v>
      </c>
      <c r="C385" s="11" t="s">
        <v>70</v>
      </c>
      <c r="D385" s="13">
        <f t="shared" si="16"/>
        <v>557</v>
      </c>
      <c r="E385" s="13">
        <v>557</v>
      </c>
      <c r="F385" s="13" t="s">
        <v>1137</v>
      </c>
      <c r="G385" s="13" t="s">
        <v>1159</v>
      </c>
      <c r="H385" s="13"/>
      <c r="I385" s="4" t="s">
        <v>1160</v>
      </c>
    </row>
    <row r="386" spans="1:9" ht="15.75" customHeight="1" x14ac:dyDescent="0.25">
      <c r="A386" s="10">
        <f t="shared" si="18"/>
        <v>1</v>
      </c>
      <c r="B386" s="10" t="s">
        <v>233</v>
      </c>
      <c r="C386" s="11" t="s">
        <v>1146</v>
      </c>
      <c r="D386" s="13">
        <f t="shared" si="16"/>
        <v>15.55</v>
      </c>
      <c r="E386" s="13">
        <v>15.55</v>
      </c>
      <c r="F386" s="13" t="s">
        <v>1137</v>
      </c>
      <c r="G386" s="13" t="s">
        <v>1091</v>
      </c>
      <c r="H386" s="13"/>
      <c r="I386" s="4" t="s">
        <v>1091</v>
      </c>
    </row>
    <row r="387" spans="1:9" ht="14.25" x14ac:dyDescent="0.2">
      <c r="A387" s="10">
        <f t="shared" si="18"/>
        <v>1</v>
      </c>
      <c r="B387" s="82" t="s">
        <v>1867</v>
      </c>
      <c r="C387" s="83" t="s">
        <v>206</v>
      </c>
      <c r="D387" s="84">
        <f>E387*$D$1</f>
        <v>21.666666666666668</v>
      </c>
      <c r="E387" s="84">
        <f>390/18</f>
        <v>21.666666666666668</v>
      </c>
      <c r="F387" s="84" t="s">
        <v>1137</v>
      </c>
      <c r="G387" s="84" t="s">
        <v>1091</v>
      </c>
      <c r="H387" s="84"/>
      <c r="I387" s="85" t="s">
        <v>1091</v>
      </c>
    </row>
    <row r="388" spans="1:9" ht="14.25" x14ac:dyDescent="0.2">
      <c r="A388" s="10">
        <f t="shared" si="18"/>
        <v>1</v>
      </c>
      <c r="B388" s="82" t="s">
        <v>1868</v>
      </c>
      <c r="C388" s="83" t="s">
        <v>70</v>
      </c>
      <c r="D388" s="84">
        <f>E388*$D$1</f>
        <v>650</v>
      </c>
      <c r="E388" s="84">
        <f>130/(0.4*0.5)</f>
        <v>650</v>
      </c>
      <c r="F388" s="84" t="s">
        <v>1137</v>
      </c>
      <c r="G388" s="84" t="s">
        <v>1091</v>
      </c>
      <c r="H388" s="84"/>
      <c r="I388" s="85" t="s">
        <v>1091</v>
      </c>
    </row>
    <row r="389" spans="1:9" ht="14.25" x14ac:dyDescent="0.2">
      <c r="A389" s="10">
        <f t="shared" si="18"/>
        <v>1</v>
      </c>
      <c r="B389" s="82" t="s">
        <v>1869</v>
      </c>
      <c r="C389" s="83" t="s">
        <v>206</v>
      </c>
      <c r="D389" s="84">
        <f>E389*$D$1</f>
        <v>15.780000000000001</v>
      </c>
      <c r="E389" s="84">
        <f>78.9/5</f>
        <v>15.780000000000001</v>
      </c>
      <c r="F389" s="84" t="s">
        <v>1137</v>
      </c>
      <c r="G389" s="84" t="s">
        <v>1091</v>
      </c>
      <c r="H389" s="84"/>
      <c r="I389" s="85" t="s">
        <v>1091</v>
      </c>
    </row>
    <row r="390" spans="1:9" ht="15.75" customHeight="1" x14ac:dyDescent="0.25">
      <c r="A390" s="10">
        <f t="shared" si="18"/>
        <v>1</v>
      </c>
      <c r="B390" s="10" t="s">
        <v>1014</v>
      </c>
      <c r="C390" s="11" t="s">
        <v>70</v>
      </c>
      <c r="D390" s="13">
        <f t="shared" si="16"/>
        <v>119.77</v>
      </c>
      <c r="E390" s="13">
        <v>119.77</v>
      </c>
      <c r="F390" s="13" t="s">
        <v>1137</v>
      </c>
      <c r="G390" s="13" t="s">
        <v>1161</v>
      </c>
      <c r="H390" s="13"/>
      <c r="I390" s="4" t="s">
        <v>1160</v>
      </c>
    </row>
    <row r="391" spans="1:9" ht="15.75" customHeight="1" x14ac:dyDescent="0.25">
      <c r="A391" s="10">
        <f t="shared" si="18"/>
        <v>1</v>
      </c>
      <c r="B391" s="10" t="s">
        <v>571</v>
      </c>
      <c r="C391" s="11" t="s">
        <v>70</v>
      </c>
      <c r="D391" s="13">
        <f t="shared" si="16"/>
        <v>90</v>
      </c>
      <c r="E391" s="13">
        <v>90</v>
      </c>
      <c r="F391" s="13" t="s">
        <v>1137</v>
      </c>
      <c r="G391" s="13" t="s">
        <v>1159</v>
      </c>
      <c r="H391" s="13"/>
      <c r="I391" s="4" t="s">
        <v>1160</v>
      </c>
    </row>
    <row r="392" spans="1:9" ht="14.25" x14ac:dyDescent="0.2">
      <c r="A392" s="10">
        <f t="shared" si="18"/>
        <v>1</v>
      </c>
      <c r="B392" s="82" t="s">
        <v>1734</v>
      </c>
      <c r="C392" s="83" t="s">
        <v>534</v>
      </c>
      <c r="D392" s="84">
        <f>E392*$D$1</f>
        <v>21.12</v>
      </c>
      <c r="E392" s="84">
        <v>21.12</v>
      </c>
      <c r="F392" s="84" t="s">
        <v>1137</v>
      </c>
      <c r="G392" s="84" t="s">
        <v>1137</v>
      </c>
      <c r="H392" s="84"/>
      <c r="I392" s="85" t="s">
        <v>1158</v>
      </c>
    </row>
    <row r="393" spans="1:9" ht="15.75" customHeight="1" x14ac:dyDescent="0.25">
      <c r="A393" s="10">
        <f t="shared" si="18"/>
        <v>1</v>
      </c>
      <c r="B393" s="10" t="s">
        <v>84</v>
      </c>
      <c r="C393" s="11" t="s">
        <v>113</v>
      </c>
      <c r="D393" s="13">
        <f t="shared" si="16"/>
        <v>7</v>
      </c>
      <c r="E393" s="13">
        <v>7</v>
      </c>
      <c r="F393" s="13" t="s">
        <v>1137</v>
      </c>
      <c r="G393" s="13" t="s">
        <v>1137</v>
      </c>
      <c r="H393" s="13"/>
      <c r="I393" s="4" t="s">
        <v>1158</v>
      </c>
    </row>
    <row r="394" spans="1:9" ht="15.75" customHeight="1" x14ac:dyDescent="0.25">
      <c r="A394" s="10">
        <f t="shared" si="18"/>
        <v>1</v>
      </c>
      <c r="B394" s="10" t="s">
        <v>86</v>
      </c>
      <c r="C394" s="11" t="s">
        <v>113</v>
      </c>
      <c r="D394" s="13">
        <f t="shared" si="16"/>
        <v>7.3900000000000006</v>
      </c>
      <c r="E394" s="13">
        <f>22.17/3</f>
        <v>7.3900000000000006</v>
      </c>
      <c r="F394" s="13" t="s">
        <v>1137</v>
      </c>
      <c r="G394" s="13" t="s">
        <v>1137</v>
      </c>
      <c r="H394" s="13"/>
      <c r="I394" s="4" t="s">
        <v>1158</v>
      </c>
    </row>
    <row r="395" spans="1:9" ht="15.75" customHeight="1" x14ac:dyDescent="0.25">
      <c r="A395" s="10">
        <f t="shared" si="18"/>
        <v>1</v>
      </c>
      <c r="B395" s="10" t="s">
        <v>85</v>
      </c>
      <c r="C395" s="11" t="s">
        <v>70</v>
      </c>
      <c r="D395" s="13">
        <f t="shared" si="16"/>
        <v>46.5</v>
      </c>
      <c r="E395" s="13">
        <v>46.5</v>
      </c>
      <c r="F395" s="13" t="s">
        <v>1137</v>
      </c>
      <c r="G395" s="13" t="s">
        <v>1137</v>
      </c>
      <c r="H395" s="13"/>
      <c r="I395" s="4" t="s">
        <v>1158</v>
      </c>
    </row>
    <row r="396" spans="1:9" ht="15.75" customHeight="1" x14ac:dyDescent="0.25">
      <c r="A396" s="10">
        <f t="shared" si="18"/>
        <v>1</v>
      </c>
      <c r="B396" s="10" t="s">
        <v>82</v>
      </c>
      <c r="C396" s="11" t="s">
        <v>70</v>
      </c>
      <c r="D396" s="13">
        <f t="shared" si="16"/>
        <v>46.5</v>
      </c>
      <c r="E396" s="13">
        <v>46.5</v>
      </c>
      <c r="F396" s="13" t="s">
        <v>1137</v>
      </c>
      <c r="G396" s="13" t="s">
        <v>1137</v>
      </c>
      <c r="H396" s="13"/>
      <c r="I396" s="4" t="s">
        <v>1158</v>
      </c>
    </row>
    <row r="397" spans="1:9" ht="15.75" customHeight="1" x14ac:dyDescent="0.25">
      <c r="A397" s="10">
        <f t="shared" si="18"/>
        <v>1</v>
      </c>
      <c r="B397" s="10" t="s">
        <v>120</v>
      </c>
      <c r="C397" s="11" t="s">
        <v>152</v>
      </c>
      <c r="D397" s="13">
        <f t="shared" si="16"/>
        <v>1100</v>
      </c>
      <c r="E397" s="13">
        <v>1100</v>
      </c>
      <c r="F397" s="13" t="s">
        <v>1137</v>
      </c>
      <c r="G397" s="13" t="s">
        <v>1137</v>
      </c>
      <c r="H397" s="13"/>
      <c r="I397" s="4" t="s">
        <v>1158</v>
      </c>
    </row>
    <row r="398" spans="1:9" ht="15.75" customHeight="1" x14ac:dyDescent="0.25">
      <c r="A398" s="10">
        <f t="shared" si="18"/>
        <v>1</v>
      </c>
      <c r="B398" s="10" t="s">
        <v>1162</v>
      </c>
      <c r="C398" s="11" t="s">
        <v>113</v>
      </c>
      <c r="D398" s="13">
        <f t="shared" si="16"/>
        <v>5.62</v>
      </c>
      <c r="E398" s="13">
        <v>5.62</v>
      </c>
      <c r="F398" s="13" t="s">
        <v>1137</v>
      </c>
      <c r="G398" s="13" t="s">
        <v>1137</v>
      </c>
      <c r="H398" s="13"/>
      <c r="I398" s="4" t="s">
        <v>1158</v>
      </c>
    </row>
    <row r="399" spans="1:9" ht="15.75" customHeight="1" x14ac:dyDescent="0.25">
      <c r="A399" s="10">
        <f t="shared" si="18"/>
        <v>1</v>
      </c>
      <c r="B399" s="10" t="s">
        <v>129</v>
      </c>
      <c r="C399" s="11" t="s">
        <v>152</v>
      </c>
      <c r="D399" s="13">
        <f t="shared" si="16"/>
        <v>1350</v>
      </c>
      <c r="E399" s="13">
        <v>1350</v>
      </c>
      <c r="F399" s="13" t="s">
        <v>1137</v>
      </c>
      <c r="G399" s="13" t="s">
        <v>1137</v>
      </c>
      <c r="H399" s="13"/>
      <c r="I399" s="4" t="s">
        <v>1158</v>
      </c>
    </row>
    <row r="400" spans="1:9" ht="15.75" customHeight="1" x14ac:dyDescent="0.25">
      <c r="A400" s="10">
        <f t="shared" si="18"/>
        <v>1</v>
      </c>
      <c r="B400" s="10" t="s">
        <v>624</v>
      </c>
      <c r="C400" s="11" t="s">
        <v>152</v>
      </c>
      <c r="D400" s="13">
        <f t="shared" si="16"/>
        <v>1050</v>
      </c>
      <c r="E400" s="13">
        <v>1050</v>
      </c>
      <c r="F400" s="13" t="s">
        <v>1137</v>
      </c>
      <c r="G400" s="13" t="s">
        <v>1137</v>
      </c>
      <c r="H400" s="13"/>
      <c r="I400" s="4" t="s">
        <v>1158</v>
      </c>
    </row>
    <row r="401" spans="1:9" ht="15.75" customHeight="1" x14ac:dyDescent="0.25">
      <c r="A401" s="10">
        <f t="shared" si="18"/>
        <v>1</v>
      </c>
      <c r="B401" s="10" t="s">
        <v>123</v>
      </c>
      <c r="C401" s="11" t="s">
        <v>113</v>
      </c>
      <c r="D401" s="13">
        <f t="shared" si="16"/>
        <v>21.23</v>
      </c>
      <c r="E401" s="13">
        <v>21.23</v>
      </c>
      <c r="F401" s="13" t="s">
        <v>1137</v>
      </c>
      <c r="G401" s="13" t="s">
        <v>1137</v>
      </c>
      <c r="H401" s="13"/>
      <c r="I401" s="4" t="s">
        <v>1158</v>
      </c>
    </row>
    <row r="402" spans="1:9" ht="15.75" customHeight="1" x14ac:dyDescent="0.25">
      <c r="A402" s="10">
        <f t="shared" si="18"/>
        <v>1</v>
      </c>
      <c r="B402" s="10" t="s">
        <v>234</v>
      </c>
      <c r="C402" s="11" t="s">
        <v>113</v>
      </c>
      <c r="D402" s="13">
        <f t="shared" si="16"/>
        <v>42.46</v>
      </c>
      <c r="E402" s="13">
        <v>42.46</v>
      </c>
      <c r="F402" s="13" t="s">
        <v>1137</v>
      </c>
      <c r="G402" s="13" t="s">
        <v>1137</v>
      </c>
      <c r="H402" s="13"/>
      <c r="I402" s="4" t="s">
        <v>1158</v>
      </c>
    </row>
    <row r="403" spans="1:9" ht="15.75" customHeight="1" x14ac:dyDescent="0.25">
      <c r="A403" s="10">
        <f t="shared" si="18"/>
        <v>1</v>
      </c>
      <c r="B403" s="10" t="s">
        <v>275</v>
      </c>
      <c r="C403" s="11" t="s">
        <v>113</v>
      </c>
      <c r="D403" s="13">
        <f t="shared" si="16"/>
        <v>42.46</v>
      </c>
      <c r="E403" s="13">
        <v>42.46</v>
      </c>
      <c r="F403" s="13" t="s">
        <v>1137</v>
      </c>
      <c r="G403" s="13" t="s">
        <v>1137</v>
      </c>
      <c r="H403" s="13"/>
      <c r="I403" s="4" t="s">
        <v>1158</v>
      </c>
    </row>
    <row r="404" spans="1:9" ht="15.75" customHeight="1" x14ac:dyDescent="0.25">
      <c r="A404" s="10">
        <f t="shared" si="18"/>
        <v>1</v>
      </c>
      <c r="B404" s="10" t="s">
        <v>1008</v>
      </c>
      <c r="C404" s="11" t="s">
        <v>197</v>
      </c>
      <c r="D404" s="13">
        <f t="shared" si="16"/>
        <v>3300</v>
      </c>
      <c r="E404" s="13">
        <v>3300</v>
      </c>
      <c r="F404" s="13" t="s">
        <v>1137</v>
      </c>
      <c r="G404" s="13" t="s">
        <v>1161</v>
      </c>
      <c r="H404" s="13"/>
      <c r="I404" s="4" t="s">
        <v>1160</v>
      </c>
    </row>
    <row r="405" spans="1:9" ht="15.75" customHeight="1" x14ac:dyDescent="0.25">
      <c r="A405" s="10">
        <f t="shared" si="18"/>
        <v>1</v>
      </c>
      <c r="B405" s="10" t="s">
        <v>1163</v>
      </c>
      <c r="C405" s="11" t="s">
        <v>113</v>
      </c>
      <c r="D405" s="13">
        <f t="shared" si="16"/>
        <v>62.4</v>
      </c>
      <c r="E405" s="13">
        <v>62.4</v>
      </c>
      <c r="F405" s="13" t="s">
        <v>1137</v>
      </c>
      <c r="G405" s="13" t="s">
        <v>1161</v>
      </c>
      <c r="H405" s="13"/>
      <c r="I405" s="4" t="s">
        <v>1160</v>
      </c>
    </row>
    <row r="406" spans="1:9" ht="15.75" customHeight="1" x14ac:dyDescent="0.25">
      <c r="A406" s="10">
        <f t="shared" si="18"/>
        <v>1</v>
      </c>
      <c r="B406" s="10" t="s">
        <v>1048</v>
      </c>
      <c r="C406" s="11" t="s">
        <v>145</v>
      </c>
      <c r="D406" s="13">
        <f t="shared" si="16"/>
        <v>3400</v>
      </c>
      <c r="E406" s="13">
        <v>3400</v>
      </c>
      <c r="F406" s="13" t="s">
        <v>1164</v>
      </c>
      <c r="G406" s="13" t="s">
        <v>1164</v>
      </c>
      <c r="H406" s="13"/>
      <c r="I406" s="4" t="s">
        <v>1165</v>
      </c>
    </row>
    <row r="407" spans="1:9" ht="15.75" customHeight="1" x14ac:dyDescent="0.25">
      <c r="A407" s="10">
        <f t="shared" si="18"/>
        <v>1</v>
      </c>
      <c r="B407" s="10" t="s">
        <v>1046</v>
      </c>
      <c r="C407" s="11" t="s">
        <v>145</v>
      </c>
      <c r="D407" s="13">
        <f t="shared" si="16"/>
        <v>4550</v>
      </c>
      <c r="E407" s="13">
        <v>4550</v>
      </c>
      <c r="F407" s="13" t="s">
        <v>1164</v>
      </c>
      <c r="G407" s="13" t="s">
        <v>1164</v>
      </c>
      <c r="H407" s="13"/>
      <c r="I407" s="4" t="s">
        <v>1165</v>
      </c>
    </row>
    <row r="408" spans="1:9" ht="15.75" customHeight="1" x14ac:dyDescent="0.25">
      <c r="A408" s="10">
        <f t="shared" si="18"/>
        <v>1</v>
      </c>
      <c r="B408" s="10" t="s">
        <v>1068</v>
      </c>
      <c r="C408" s="11" t="s">
        <v>145</v>
      </c>
      <c r="D408" s="13">
        <f t="shared" si="16"/>
        <v>6500</v>
      </c>
      <c r="E408" s="13">
        <v>6500</v>
      </c>
      <c r="F408" s="13" t="s">
        <v>1164</v>
      </c>
      <c r="G408" s="13" t="s">
        <v>1164</v>
      </c>
      <c r="H408" s="13"/>
      <c r="I408" s="4" t="s">
        <v>1165</v>
      </c>
    </row>
    <row r="409" spans="1:9" ht="15.75" customHeight="1" x14ac:dyDescent="0.25">
      <c r="A409" s="10">
        <f t="shared" si="18"/>
        <v>1</v>
      </c>
      <c r="B409" s="10" t="s">
        <v>1047</v>
      </c>
      <c r="C409" s="11" t="s">
        <v>145</v>
      </c>
      <c r="D409" s="13">
        <f t="shared" si="16"/>
        <v>4200</v>
      </c>
      <c r="E409" s="13">
        <v>4200</v>
      </c>
      <c r="F409" s="13" t="s">
        <v>1164</v>
      </c>
      <c r="G409" s="13" t="s">
        <v>1164</v>
      </c>
      <c r="H409" s="13"/>
      <c r="I409" s="4" t="s">
        <v>1165</v>
      </c>
    </row>
    <row r="410" spans="1:9" ht="15.75" customHeight="1" x14ac:dyDescent="0.25">
      <c r="A410" s="10">
        <f t="shared" si="18"/>
        <v>1</v>
      </c>
      <c r="B410" s="10" t="s">
        <v>1058</v>
      </c>
      <c r="C410" s="11" t="s">
        <v>145</v>
      </c>
      <c r="D410" s="13">
        <f t="shared" si="16"/>
        <v>3000</v>
      </c>
      <c r="E410" s="13">
        <v>3000</v>
      </c>
      <c r="F410" s="13" t="s">
        <v>1164</v>
      </c>
      <c r="G410" s="13" t="s">
        <v>1164</v>
      </c>
      <c r="H410" s="13"/>
      <c r="I410" s="4" t="s">
        <v>1165</v>
      </c>
    </row>
    <row r="411" spans="1:9" ht="15.75" customHeight="1" x14ac:dyDescent="0.25">
      <c r="A411" s="10">
        <f t="shared" si="18"/>
        <v>1</v>
      </c>
      <c r="B411" s="10" t="s">
        <v>175</v>
      </c>
      <c r="C411" s="11" t="s">
        <v>145</v>
      </c>
      <c r="D411" s="13">
        <f t="shared" si="16"/>
        <v>4000</v>
      </c>
      <c r="E411" s="13">
        <v>4000</v>
      </c>
      <c r="F411" s="13" t="s">
        <v>1164</v>
      </c>
      <c r="G411" s="13" t="s">
        <v>1164</v>
      </c>
      <c r="H411" s="13"/>
      <c r="I411" s="4" t="s">
        <v>1165</v>
      </c>
    </row>
    <row r="412" spans="1:9" ht="15.75" customHeight="1" x14ac:dyDescent="0.25">
      <c r="A412" s="10">
        <f t="shared" si="18"/>
        <v>1</v>
      </c>
      <c r="B412" s="10" t="s">
        <v>1044</v>
      </c>
      <c r="C412" s="11" t="s">
        <v>145</v>
      </c>
      <c r="D412" s="13">
        <f t="shared" si="16"/>
        <v>3450</v>
      </c>
      <c r="E412" s="13">
        <v>3450</v>
      </c>
      <c r="F412" s="13" t="s">
        <v>1164</v>
      </c>
      <c r="G412" s="13" t="s">
        <v>1164</v>
      </c>
      <c r="H412" s="13"/>
      <c r="I412" s="4" t="s">
        <v>1165</v>
      </c>
    </row>
    <row r="413" spans="1:9" ht="15.75" customHeight="1" x14ac:dyDescent="0.25">
      <c r="A413" s="10">
        <f t="shared" si="18"/>
        <v>1</v>
      </c>
      <c r="B413" s="10" t="s">
        <v>1045</v>
      </c>
      <c r="C413" s="11" t="s">
        <v>145</v>
      </c>
      <c r="D413" s="13">
        <f t="shared" si="16"/>
        <v>5000</v>
      </c>
      <c r="E413" s="13">
        <v>5000</v>
      </c>
      <c r="F413" s="13" t="s">
        <v>1164</v>
      </c>
      <c r="G413" s="13" t="s">
        <v>1164</v>
      </c>
      <c r="H413" s="13"/>
      <c r="I413" s="4" t="s">
        <v>1165</v>
      </c>
    </row>
    <row r="414" spans="1:9" ht="15.75" customHeight="1" x14ac:dyDescent="0.25">
      <c r="A414" s="10">
        <f t="shared" si="18"/>
        <v>1</v>
      </c>
      <c r="B414" s="10" t="s">
        <v>1066</v>
      </c>
      <c r="C414" s="11" t="s">
        <v>145</v>
      </c>
      <c r="D414" s="13">
        <f t="shared" si="16"/>
        <v>3000</v>
      </c>
      <c r="E414" s="13">
        <v>3000</v>
      </c>
      <c r="F414" s="13" t="s">
        <v>1164</v>
      </c>
      <c r="G414" s="13" t="s">
        <v>1164</v>
      </c>
      <c r="H414" s="13"/>
      <c r="I414" s="4" t="s">
        <v>1165</v>
      </c>
    </row>
    <row r="415" spans="1:9" ht="15.75" customHeight="1" x14ac:dyDescent="0.25">
      <c r="A415" s="10">
        <f t="shared" si="18"/>
        <v>1</v>
      </c>
      <c r="B415" s="10" t="s">
        <v>1067</v>
      </c>
      <c r="C415" s="11" t="s">
        <v>145</v>
      </c>
      <c r="D415" s="13">
        <f t="shared" si="16"/>
        <v>2400</v>
      </c>
      <c r="E415" s="13">
        <v>2400</v>
      </c>
      <c r="F415" s="13" t="s">
        <v>1164</v>
      </c>
      <c r="G415" s="13" t="s">
        <v>1164</v>
      </c>
      <c r="H415" s="13"/>
      <c r="I415" s="4" t="s">
        <v>1165</v>
      </c>
    </row>
    <row r="416" spans="1:9" ht="15.75" customHeight="1" x14ac:dyDescent="0.25">
      <c r="A416" s="10">
        <f t="shared" si="18"/>
        <v>1</v>
      </c>
      <c r="B416" s="10" t="s">
        <v>1059</v>
      </c>
      <c r="C416" s="11" t="s">
        <v>145</v>
      </c>
      <c r="D416" s="13">
        <f t="shared" si="16"/>
        <v>2400</v>
      </c>
      <c r="E416" s="13">
        <v>2400</v>
      </c>
      <c r="F416" s="13" t="s">
        <v>1164</v>
      </c>
      <c r="G416" s="13" t="s">
        <v>1166</v>
      </c>
      <c r="H416" s="13"/>
      <c r="I416" s="4" t="s">
        <v>1165</v>
      </c>
    </row>
    <row r="417" spans="1:9" ht="15.75" customHeight="1" x14ac:dyDescent="0.25">
      <c r="A417" s="10">
        <f t="shared" si="18"/>
        <v>1</v>
      </c>
      <c r="B417" s="10" t="s">
        <v>700</v>
      </c>
      <c r="C417" s="11" t="s">
        <v>206</v>
      </c>
      <c r="D417" s="13">
        <f t="shared" si="16"/>
        <v>25.11</v>
      </c>
      <c r="E417" s="13">
        <v>25.11</v>
      </c>
      <c r="F417" s="13" t="s">
        <v>1167</v>
      </c>
      <c r="G417" s="13" t="s">
        <v>1091</v>
      </c>
      <c r="H417" s="13"/>
      <c r="I417" s="4" t="s">
        <v>1168</v>
      </c>
    </row>
    <row r="418" spans="1:9" ht="15.75" customHeight="1" x14ac:dyDescent="0.25">
      <c r="A418" s="10">
        <f t="shared" si="18"/>
        <v>1</v>
      </c>
      <c r="B418" s="10" t="s">
        <v>501</v>
      </c>
      <c r="C418" s="11" t="s">
        <v>206</v>
      </c>
      <c r="D418" s="13">
        <f t="shared" si="16"/>
        <v>22.95611111111111</v>
      </c>
      <c r="E418" s="13">
        <v>22.95611111111111</v>
      </c>
      <c r="F418" s="13" t="s">
        <v>1167</v>
      </c>
      <c r="G418" s="13" t="s">
        <v>1091</v>
      </c>
      <c r="H418" s="13"/>
      <c r="I418" s="4" t="s">
        <v>1168</v>
      </c>
    </row>
    <row r="419" spans="1:9" ht="15.75" customHeight="1" x14ac:dyDescent="0.25">
      <c r="A419" s="10">
        <f t="shared" si="18"/>
        <v>1</v>
      </c>
      <c r="B419" s="10" t="s">
        <v>450</v>
      </c>
      <c r="C419" s="11" t="s">
        <v>1146</v>
      </c>
      <c r="D419" s="13">
        <f t="shared" si="16"/>
        <v>66.666666666666671</v>
      </c>
      <c r="E419" s="13">
        <v>66.666666666666671</v>
      </c>
      <c r="F419" s="13" t="s">
        <v>1167</v>
      </c>
      <c r="G419" s="13" t="s">
        <v>1091</v>
      </c>
      <c r="H419" s="13"/>
      <c r="I419" s="4" t="s">
        <v>1168</v>
      </c>
    </row>
    <row r="420" spans="1:9" ht="15.75" customHeight="1" x14ac:dyDescent="0.25">
      <c r="A420" s="10">
        <f t="shared" si="18"/>
        <v>1</v>
      </c>
      <c r="B420" s="10" t="s">
        <v>503</v>
      </c>
      <c r="C420" s="11" t="s">
        <v>1146</v>
      </c>
      <c r="D420" s="13">
        <f t="shared" si="16"/>
        <v>19.34</v>
      </c>
      <c r="E420" s="13">
        <v>19.34</v>
      </c>
      <c r="F420" s="13" t="s">
        <v>1167</v>
      </c>
      <c r="G420" s="13" t="s">
        <v>1091</v>
      </c>
      <c r="H420" s="13"/>
      <c r="I420" s="4" t="s">
        <v>1168</v>
      </c>
    </row>
    <row r="421" spans="1:9" ht="15.75" customHeight="1" x14ac:dyDescent="0.25">
      <c r="A421" s="10">
        <f t="shared" si="18"/>
        <v>1</v>
      </c>
      <c r="B421" s="10" t="s">
        <v>483</v>
      </c>
      <c r="C421" s="11" t="s">
        <v>206</v>
      </c>
      <c r="D421" s="13">
        <f t="shared" si="16"/>
        <v>11.2295</v>
      </c>
      <c r="E421" s="13">
        <v>11.2295</v>
      </c>
      <c r="F421" s="13" t="s">
        <v>1167</v>
      </c>
      <c r="G421" s="13" t="s">
        <v>1091</v>
      </c>
      <c r="H421" s="13"/>
      <c r="I421" s="4" t="s">
        <v>1168</v>
      </c>
    </row>
    <row r="422" spans="1:9" ht="15.75" customHeight="1" x14ac:dyDescent="0.25">
      <c r="A422" s="10">
        <f t="shared" si="18"/>
        <v>1</v>
      </c>
      <c r="B422" s="10" t="s">
        <v>390</v>
      </c>
      <c r="C422" s="11" t="s">
        <v>206</v>
      </c>
      <c r="D422" s="13">
        <f t="shared" si="16"/>
        <v>190</v>
      </c>
      <c r="E422" s="13">
        <v>190</v>
      </c>
      <c r="F422" s="13" t="s">
        <v>1167</v>
      </c>
      <c r="G422" s="13" t="s">
        <v>1091</v>
      </c>
      <c r="H422" s="13"/>
      <c r="I422" s="4" t="s">
        <v>1168</v>
      </c>
    </row>
    <row r="423" spans="1:9" ht="15.75" customHeight="1" x14ac:dyDescent="0.25">
      <c r="A423" s="10">
        <f t="shared" si="18"/>
        <v>1</v>
      </c>
      <c r="B423" s="10" t="s">
        <v>107</v>
      </c>
      <c r="C423" s="11" t="s">
        <v>197</v>
      </c>
      <c r="D423" s="13">
        <f t="shared" si="16"/>
        <v>1052.1099999999999</v>
      </c>
      <c r="E423" s="13">
        <v>1052.1099999999999</v>
      </c>
      <c r="F423" s="13" t="s">
        <v>1167</v>
      </c>
      <c r="G423" s="13" t="s">
        <v>1091</v>
      </c>
      <c r="H423" s="13"/>
      <c r="I423" s="4" t="s">
        <v>1091</v>
      </c>
    </row>
    <row r="424" spans="1:9" ht="15.75" customHeight="1" x14ac:dyDescent="0.25">
      <c r="A424" s="10">
        <f t="shared" si="18"/>
        <v>1</v>
      </c>
      <c r="B424" s="10" t="s">
        <v>396</v>
      </c>
      <c r="C424" s="11" t="s">
        <v>197</v>
      </c>
      <c r="D424" s="13">
        <f t="shared" si="16"/>
        <v>0.37</v>
      </c>
      <c r="E424" s="13">
        <v>0.37</v>
      </c>
      <c r="F424" s="13" t="s">
        <v>1167</v>
      </c>
      <c r="G424" s="13" t="s">
        <v>1091</v>
      </c>
      <c r="H424" s="13"/>
      <c r="I424" s="4" t="s">
        <v>1091</v>
      </c>
    </row>
    <row r="425" spans="1:9" ht="15.75" customHeight="1" x14ac:dyDescent="0.25">
      <c r="A425" s="10">
        <f t="shared" si="18"/>
        <v>1</v>
      </c>
      <c r="B425" s="10" t="s">
        <v>118</v>
      </c>
      <c r="C425" s="11" t="s">
        <v>197</v>
      </c>
      <c r="D425" s="13">
        <f t="shared" si="16"/>
        <v>5.3</v>
      </c>
      <c r="E425" s="13">
        <v>5.3</v>
      </c>
      <c r="F425" s="13" t="s">
        <v>1167</v>
      </c>
      <c r="G425" s="13" t="s">
        <v>1091</v>
      </c>
      <c r="H425" s="13"/>
      <c r="I425" s="4" t="s">
        <v>1091</v>
      </c>
    </row>
    <row r="426" spans="1:9" ht="15.75" customHeight="1" x14ac:dyDescent="0.25">
      <c r="A426" s="10">
        <f t="shared" si="18"/>
        <v>1</v>
      </c>
      <c r="B426" s="10" t="s">
        <v>140</v>
      </c>
      <c r="C426" s="11" t="s">
        <v>197</v>
      </c>
      <c r="D426" s="13">
        <f t="shared" si="16"/>
        <v>1.7</v>
      </c>
      <c r="E426" s="13">
        <v>1.7</v>
      </c>
      <c r="F426" s="13" t="s">
        <v>1167</v>
      </c>
      <c r="G426" s="13" t="s">
        <v>1091</v>
      </c>
      <c r="H426" s="13"/>
      <c r="I426" s="4" t="s">
        <v>1091</v>
      </c>
    </row>
    <row r="427" spans="1:9" ht="15.75" customHeight="1" x14ac:dyDescent="0.25">
      <c r="A427" s="10">
        <f t="shared" si="18"/>
        <v>1</v>
      </c>
      <c r="B427" s="10" t="s">
        <v>710</v>
      </c>
      <c r="C427" s="11" t="s">
        <v>206</v>
      </c>
      <c r="D427" s="13">
        <f t="shared" si="16"/>
        <v>29.13</v>
      </c>
      <c r="E427" s="13">
        <v>29.13</v>
      </c>
      <c r="F427" s="13" t="s">
        <v>1167</v>
      </c>
      <c r="G427" s="13" t="s">
        <v>1091</v>
      </c>
      <c r="H427" s="13"/>
      <c r="I427" s="4" t="s">
        <v>1091</v>
      </c>
    </row>
    <row r="428" spans="1:9" ht="15.75" customHeight="1" x14ac:dyDescent="0.25">
      <c r="A428" s="10">
        <f t="shared" si="18"/>
        <v>1</v>
      </c>
      <c r="B428" s="10" t="s">
        <v>1169</v>
      </c>
      <c r="C428" s="11" t="s">
        <v>197</v>
      </c>
      <c r="D428" s="13">
        <f t="shared" si="16"/>
        <v>19.899999999999999</v>
      </c>
      <c r="E428" s="13">
        <v>19.899999999999999</v>
      </c>
      <c r="F428" s="13" t="s">
        <v>1167</v>
      </c>
      <c r="G428" s="13" t="s">
        <v>1091</v>
      </c>
      <c r="H428" s="13"/>
      <c r="I428" s="4" t="s">
        <v>1091</v>
      </c>
    </row>
    <row r="429" spans="1:9" ht="15.75" customHeight="1" x14ac:dyDescent="0.25">
      <c r="A429" s="10">
        <f t="shared" si="18"/>
        <v>1</v>
      </c>
      <c r="B429" s="10" t="s">
        <v>938</v>
      </c>
      <c r="C429" s="11" t="s">
        <v>197</v>
      </c>
      <c r="D429" s="13">
        <f t="shared" si="16"/>
        <v>75</v>
      </c>
      <c r="E429" s="13">
        <v>75</v>
      </c>
      <c r="F429" s="13" t="s">
        <v>1167</v>
      </c>
      <c r="G429" s="13" t="s">
        <v>1091</v>
      </c>
      <c r="H429" s="13"/>
      <c r="I429" s="4" t="s">
        <v>1168</v>
      </c>
    </row>
    <row r="430" spans="1:9" ht="15.75" customHeight="1" x14ac:dyDescent="0.25">
      <c r="A430" s="10">
        <f t="shared" si="18"/>
        <v>1</v>
      </c>
      <c r="B430" s="10" t="s">
        <v>808</v>
      </c>
      <c r="C430" s="11" t="s">
        <v>534</v>
      </c>
      <c r="D430" s="13">
        <f t="shared" si="16"/>
        <v>55</v>
      </c>
      <c r="E430" s="13">
        <v>55</v>
      </c>
      <c r="F430" s="13" t="s">
        <v>1167</v>
      </c>
      <c r="G430" s="13" t="s">
        <v>1091</v>
      </c>
      <c r="H430" s="13"/>
      <c r="I430" s="4" t="s">
        <v>1091</v>
      </c>
    </row>
    <row r="431" spans="1:9" ht="15.75" customHeight="1" x14ac:dyDescent="0.25">
      <c r="A431" s="10">
        <f t="shared" si="18"/>
        <v>1</v>
      </c>
      <c r="B431" s="10" t="s">
        <v>750</v>
      </c>
      <c r="C431" s="11" t="s">
        <v>197</v>
      </c>
      <c r="D431" s="13">
        <f t="shared" si="16"/>
        <v>11.26</v>
      </c>
      <c r="E431" s="13">
        <v>11.26</v>
      </c>
      <c r="F431" s="13" t="s">
        <v>1167</v>
      </c>
      <c r="G431" s="13" t="s">
        <v>1091</v>
      </c>
      <c r="H431" s="13"/>
      <c r="I431" s="4" t="s">
        <v>1091</v>
      </c>
    </row>
    <row r="432" spans="1:9" ht="15.75" customHeight="1" x14ac:dyDescent="0.25">
      <c r="A432" s="10">
        <f t="shared" si="18"/>
        <v>1</v>
      </c>
      <c r="B432" s="10" t="s">
        <v>1675</v>
      </c>
      <c r="C432" s="11" t="s">
        <v>1146</v>
      </c>
      <c r="D432" s="13">
        <f t="shared" ref="D432:D437" si="19">E432*$D$1</f>
        <v>13.5</v>
      </c>
      <c r="E432" s="13">
        <v>13.5</v>
      </c>
      <c r="F432" s="13" t="s">
        <v>1167</v>
      </c>
      <c r="G432" s="13" t="s">
        <v>1091</v>
      </c>
      <c r="H432" s="13"/>
      <c r="I432" s="4" t="s">
        <v>1091</v>
      </c>
    </row>
    <row r="433" spans="1:9" ht="15.75" customHeight="1" x14ac:dyDescent="0.25">
      <c r="A433" s="10">
        <f t="shared" si="18"/>
        <v>1</v>
      </c>
      <c r="B433" s="10" t="s">
        <v>1676</v>
      </c>
      <c r="C433" s="11" t="s">
        <v>197</v>
      </c>
      <c r="D433" s="13">
        <f t="shared" si="19"/>
        <v>6.9</v>
      </c>
      <c r="E433" s="13">
        <v>6.9</v>
      </c>
      <c r="F433" s="13" t="s">
        <v>1167</v>
      </c>
      <c r="G433" s="13" t="s">
        <v>1091</v>
      </c>
      <c r="H433" s="13"/>
      <c r="I433" s="4" t="s">
        <v>1091</v>
      </c>
    </row>
    <row r="434" spans="1:9" ht="15.75" customHeight="1" x14ac:dyDescent="0.25">
      <c r="A434" s="10">
        <f t="shared" si="18"/>
        <v>1</v>
      </c>
      <c r="B434" s="10" t="s">
        <v>1677</v>
      </c>
      <c r="C434" s="11" t="s">
        <v>1146</v>
      </c>
      <c r="D434" s="13">
        <f t="shared" si="19"/>
        <v>6.4</v>
      </c>
      <c r="E434" s="13">
        <v>6.4</v>
      </c>
      <c r="F434" s="13" t="s">
        <v>1167</v>
      </c>
      <c r="G434" s="13" t="s">
        <v>1091</v>
      </c>
      <c r="H434" s="13"/>
      <c r="I434" s="4" t="s">
        <v>1091</v>
      </c>
    </row>
    <row r="435" spans="1:9" ht="15.75" customHeight="1" x14ac:dyDescent="0.25">
      <c r="A435" s="10">
        <f t="shared" si="18"/>
        <v>1</v>
      </c>
      <c r="B435" s="10" t="s">
        <v>1678</v>
      </c>
      <c r="C435" s="11" t="s">
        <v>197</v>
      </c>
      <c r="D435" s="13">
        <f t="shared" si="19"/>
        <v>5.9889999999999999</v>
      </c>
      <c r="E435" s="13">
        <v>5.9889999999999999</v>
      </c>
      <c r="F435" s="13" t="s">
        <v>1167</v>
      </c>
      <c r="G435" s="13" t="s">
        <v>1091</v>
      </c>
      <c r="H435" s="13"/>
      <c r="I435" s="4" t="s">
        <v>1091</v>
      </c>
    </row>
    <row r="436" spans="1:9" ht="15.75" customHeight="1" x14ac:dyDescent="0.25">
      <c r="A436" s="10">
        <f t="shared" si="18"/>
        <v>1</v>
      </c>
      <c r="B436" s="10" t="s">
        <v>1679</v>
      </c>
      <c r="C436" s="11" t="s">
        <v>197</v>
      </c>
      <c r="D436" s="13">
        <f t="shared" si="19"/>
        <v>5.25</v>
      </c>
      <c r="E436" s="13">
        <v>5.25</v>
      </c>
      <c r="F436" s="13" t="s">
        <v>1167</v>
      </c>
      <c r="G436" s="13" t="s">
        <v>1091</v>
      </c>
      <c r="H436" s="13"/>
      <c r="I436" s="4" t="s">
        <v>1091</v>
      </c>
    </row>
    <row r="437" spans="1:9" ht="15.75" customHeight="1" x14ac:dyDescent="0.25">
      <c r="A437" s="10">
        <f t="shared" si="18"/>
        <v>1</v>
      </c>
      <c r="B437" s="10" t="s">
        <v>1680</v>
      </c>
      <c r="C437" s="11" t="s">
        <v>197</v>
      </c>
      <c r="D437" s="13">
        <f t="shared" si="19"/>
        <v>36.9</v>
      </c>
      <c r="E437" s="13">
        <v>36.9</v>
      </c>
      <c r="F437" s="13" t="s">
        <v>1167</v>
      </c>
      <c r="G437" s="13" t="s">
        <v>1091</v>
      </c>
      <c r="H437" s="13"/>
      <c r="I437" s="4" t="s">
        <v>1091</v>
      </c>
    </row>
    <row r="438" spans="1:9" ht="15.75" customHeight="1" x14ac:dyDescent="0.25">
      <c r="A438" s="10">
        <f t="shared" ref="A438:A501" si="20">COUNTIFS($B$2:$B$996,B438)</f>
        <v>1</v>
      </c>
      <c r="B438" s="10" t="s">
        <v>104</v>
      </c>
      <c r="C438" s="11" t="s">
        <v>197</v>
      </c>
      <c r="D438" s="13">
        <f t="shared" si="16"/>
        <v>1.89</v>
      </c>
      <c r="E438" s="13">
        <v>1.89</v>
      </c>
      <c r="F438" s="13" t="s">
        <v>1167</v>
      </c>
      <c r="G438" s="13" t="s">
        <v>1091</v>
      </c>
      <c r="H438" s="13"/>
      <c r="I438" s="4" t="s">
        <v>1091</v>
      </c>
    </row>
    <row r="439" spans="1:9" ht="15.75" customHeight="1" x14ac:dyDescent="0.25">
      <c r="A439" s="10">
        <f t="shared" si="20"/>
        <v>1</v>
      </c>
      <c r="B439" s="10" t="s">
        <v>499</v>
      </c>
      <c r="C439" s="11" t="s">
        <v>197</v>
      </c>
      <c r="D439" s="13">
        <f t="shared" si="16"/>
        <v>3.13</v>
      </c>
      <c r="E439" s="13">
        <v>3.13</v>
      </c>
      <c r="F439" s="13" t="s">
        <v>1167</v>
      </c>
      <c r="G439" s="13" t="s">
        <v>1091</v>
      </c>
      <c r="H439" s="13"/>
      <c r="I439" s="4" t="s">
        <v>1091</v>
      </c>
    </row>
    <row r="440" spans="1:9" ht="15.75" customHeight="1" x14ac:dyDescent="0.25">
      <c r="A440" s="10">
        <f t="shared" si="20"/>
        <v>1</v>
      </c>
      <c r="B440" s="10" t="s">
        <v>72</v>
      </c>
      <c r="C440" s="11" t="s">
        <v>70</v>
      </c>
      <c r="D440" s="13">
        <f t="shared" si="16"/>
        <v>1.25</v>
      </c>
      <c r="E440" s="13">
        <v>1.25</v>
      </c>
      <c r="F440" s="13" t="s">
        <v>1167</v>
      </c>
      <c r="G440" s="13" t="s">
        <v>1091</v>
      </c>
      <c r="H440" s="13"/>
      <c r="I440" s="4" t="s">
        <v>1091</v>
      </c>
    </row>
    <row r="441" spans="1:9" ht="15.75" customHeight="1" x14ac:dyDescent="0.25">
      <c r="A441" s="10">
        <f t="shared" si="20"/>
        <v>1</v>
      </c>
      <c r="B441" s="10" t="s">
        <v>311</v>
      </c>
      <c r="C441" s="11" t="s">
        <v>70</v>
      </c>
      <c r="D441" s="13">
        <f t="shared" si="16"/>
        <v>2.3025000000000002</v>
      </c>
      <c r="E441" s="13">
        <v>2.3025000000000002</v>
      </c>
      <c r="F441" s="13" t="s">
        <v>1167</v>
      </c>
      <c r="G441" s="13" t="s">
        <v>1091</v>
      </c>
      <c r="H441" s="13"/>
      <c r="I441" s="4" t="s">
        <v>1091</v>
      </c>
    </row>
    <row r="442" spans="1:9" ht="15.75" customHeight="1" x14ac:dyDescent="0.25">
      <c r="A442" s="10">
        <f t="shared" si="20"/>
        <v>1</v>
      </c>
      <c r="B442" s="10" t="s">
        <v>3127</v>
      </c>
      <c r="C442" s="11" t="s">
        <v>152</v>
      </c>
      <c r="D442" s="13">
        <f t="shared" si="16"/>
        <v>1377.4104683195592</v>
      </c>
      <c r="E442" s="13">
        <f>50/(1*0.33*0.11)</f>
        <v>1377.4104683195592</v>
      </c>
      <c r="F442" s="13" t="s">
        <v>1167</v>
      </c>
      <c r="G442" s="13" t="s">
        <v>1091</v>
      </c>
      <c r="H442" s="13"/>
      <c r="I442" s="4" t="s">
        <v>1091</v>
      </c>
    </row>
    <row r="443" spans="1:9" ht="15.75" customHeight="1" x14ac:dyDescent="0.25">
      <c r="A443" s="10">
        <f t="shared" si="20"/>
        <v>1</v>
      </c>
      <c r="B443" s="10" t="s">
        <v>541</v>
      </c>
      <c r="C443" s="11" t="s">
        <v>70</v>
      </c>
      <c r="D443" s="13">
        <f t="shared" si="16"/>
        <v>151.5151515151515</v>
      </c>
      <c r="E443" s="13">
        <f>50/(1*0.33)</f>
        <v>151.5151515151515</v>
      </c>
      <c r="F443" s="13" t="s">
        <v>1167</v>
      </c>
      <c r="G443" s="13" t="s">
        <v>1091</v>
      </c>
      <c r="H443" s="13"/>
      <c r="I443" s="4" t="s">
        <v>1091</v>
      </c>
    </row>
    <row r="444" spans="1:9" ht="15.75" customHeight="1" x14ac:dyDescent="0.25">
      <c r="A444" s="10">
        <f t="shared" si="20"/>
        <v>1</v>
      </c>
      <c r="B444" s="10" t="s">
        <v>944</v>
      </c>
      <c r="C444" s="11" t="s">
        <v>197</v>
      </c>
      <c r="D444" s="13">
        <f t="shared" si="16"/>
        <v>35.6</v>
      </c>
      <c r="E444" s="13">
        <v>35.6</v>
      </c>
      <c r="F444" s="13" t="s">
        <v>1167</v>
      </c>
      <c r="G444" s="13" t="s">
        <v>1091</v>
      </c>
      <c r="H444" s="13"/>
      <c r="I444" s="4" t="s">
        <v>1091</v>
      </c>
    </row>
    <row r="445" spans="1:9" ht="15.75" customHeight="1" x14ac:dyDescent="0.25">
      <c r="A445" s="10">
        <f t="shared" si="20"/>
        <v>1</v>
      </c>
      <c r="B445" s="10" t="s">
        <v>1024</v>
      </c>
      <c r="C445" s="11" t="s">
        <v>206</v>
      </c>
      <c r="D445" s="13">
        <f t="shared" si="16"/>
        <v>163.07</v>
      </c>
      <c r="E445" s="13">
        <v>163.07</v>
      </c>
      <c r="F445" s="13" t="s">
        <v>1167</v>
      </c>
      <c r="G445" s="13" t="s">
        <v>1091</v>
      </c>
      <c r="H445" s="13"/>
      <c r="I445" s="4" t="s">
        <v>1091</v>
      </c>
    </row>
    <row r="446" spans="1:9" ht="15.75" customHeight="1" x14ac:dyDescent="0.25">
      <c r="A446" s="10">
        <f t="shared" si="20"/>
        <v>1</v>
      </c>
      <c r="B446" s="10" t="s">
        <v>89</v>
      </c>
      <c r="C446" s="11" t="s">
        <v>194</v>
      </c>
      <c r="D446" s="13">
        <f t="shared" si="16"/>
        <v>215</v>
      </c>
      <c r="E446" s="13">
        <v>215</v>
      </c>
      <c r="F446" s="13" t="s">
        <v>1167</v>
      </c>
      <c r="G446" s="13" t="s">
        <v>1091</v>
      </c>
      <c r="H446" s="13"/>
      <c r="I446" s="4" t="s">
        <v>1091</v>
      </c>
    </row>
    <row r="447" spans="1:9" ht="15.75" customHeight="1" x14ac:dyDescent="0.25">
      <c r="A447" s="10">
        <f t="shared" si="20"/>
        <v>1</v>
      </c>
      <c r="B447" s="10" t="s">
        <v>851</v>
      </c>
      <c r="C447" s="11" t="s">
        <v>788</v>
      </c>
      <c r="D447" s="13">
        <f t="shared" si="16"/>
        <v>1.72</v>
      </c>
      <c r="E447" s="13">
        <f>86/50</f>
        <v>1.72</v>
      </c>
      <c r="F447" s="13" t="s">
        <v>1167</v>
      </c>
      <c r="G447" s="13" t="s">
        <v>1091</v>
      </c>
      <c r="H447" s="13"/>
      <c r="I447" s="4" t="s">
        <v>1091</v>
      </c>
    </row>
    <row r="448" spans="1:9" ht="15.75" customHeight="1" x14ac:dyDescent="0.25">
      <c r="A448" s="10">
        <f t="shared" si="20"/>
        <v>1</v>
      </c>
      <c r="B448" s="10" t="s">
        <v>1072</v>
      </c>
      <c r="C448" s="11" t="s">
        <v>152</v>
      </c>
      <c r="D448" s="13">
        <f t="shared" si="16"/>
        <v>134</v>
      </c>
      <c r="E448" s="13">
        <v>134</v>
      </c>
      <c r="F448" s="13" t="s">
        <v>1170</v>
      </c>
      <c r="G448" s="13" t="s">
        <v>1171</v>
      </c>
      <c r="H448" s="13"/>
      <c r="I448" s="4" t="s">
        <v>1170</v>
      </c>
    </row>
    <row r="449" spans="1:9" ht="15.75" customHeight="1" x14ac:dyDescent="0.25">
      <c r="A449" s="10">
        <f t="shared" si="20"/>
        <v>1</v>
      </c>
      <c r="B449" s="10" t="s">
        <v>443</v>
      </c>
      <c r="C449" s="11" t="s">
        <v>152</v>
      </c>
      <c r="D449" s="13">
        <f t="shared" si="16"/>
        <v>145</v>
      </c>
      <c r="E449" s="13">
        <v>145</v>
      </c>
      <c r="F449" s="13" t="s">
        <v>1170</v>
      </c>
      <c r="G449" s="13" t="s">
        <v>1171</v>
      </c>
      <c r="H449" s="13"/>
      <c r="I449" s="4" t="s">
        <v>1170</v>
      </c>
    </row>
    <row r="450" spans="1:9" ht="15.75" customHeight="1" x14ac:dyDescent="0.25">
      <c r="A450" s="10">
        <f t="shared" si="20"/>
        <v>1</v>
      </c>
      <c r="B450" s="10" t="s">
        <v>1061</v>
      </c>
      <c r="C450" s="11" t="s">
        <v>152</v>
      </c>
      <c r="D450" s="13">
        <f t="shared" si="16"/>
        <v>143</v>
      </c>
      <c r="E450" s="13">
        <v>143</v>
      </c>
      <c r="F450" s="13" t="s">
        <v>1170</v>
      </c>
      <c r="G450" s="13" t="s">
        <v>1172</v>
      </c>
      <c r="H450" s="13"/>
      <c r="I450" s="4" t="s">
        <v>1170</v>
      </c>
    </row>
    <row r="451" spans="1:9" ht="15.75" customHeight="1" x14ac:dyDescent="0.25">
      <c r="A451" s="10">
        <f t="shared" si="20"/>
        <v>1</v>
      </c>
      <c r="B451" s="10" t="s">
        <v>162</v>
      </c>
      <c r="C451" s="11" t="s">
        <v>152</v>
      </c>
      <c r="D451" s="13">
        <f t="shared" si="16"/>
        <v>151.20000000000002</v>
      </c>
      <c r="E451" s="13">
        <v>151.20000000000002</v>
      </c>
      <c r="F451" s="13" t="s">
        <v>1170</v>
      </c>
      <c r="G451" s="13" t="s">
        <v>1172</v>
      </c>
      <c r="H451" s="13"/>
      <c r="I451" s="4" t="s">
        <v>1170</v>
      </c>
    </row>
    <row r="452" spans="1:9" ht="15.75" customHeight="1" x14ac:dyDescent="0.25">
      <c r="A452" s="10">
        <f t="shared" si="20"/>
        <v>1</v>
      </c>
      <c r="B452" s="10" t="s">
        <v>729</v>
      </c>
      <c r="C452" s="11" t="s">
        <v>152</v>
      </c>
      <c r="D452" s="13">
        <f t="shared" si="16"/>
        <v>105.71</v>
      </c>
      <c r="E452" s="13">
        <v>105.71</v>
      </c>
      <c r="F452" s="13" t="s">
        <v>1170</v>
      </c>
      <c r="G452" s="13" t="s">
        <v>1172</v>
      </c>
      <c r="H452" s="13"/>
      <c r="I452" s="4" t="s">
        <v>1170</v>
      </c>
    </row>
    <row r="453" spans="1:9" ht="15.75" customHeight="1" x14ac:dyDescent="0.25">
      <c r="A453" s="10">
        <f t="shared" si="20"/>
        <v>1</v>
      </c>
      <c r="B453" s="10" t="s">
        <v>1071</v>
      </c>
      <c r="C453" s="11" t="s">
        <v>152</v>
      </c>
      <c r="D453" s="13">
        <f t="shared" si="16"/>
        <v>300</v>
      </c>
      <c r="E453" s="13">
        <v>300</v>
      </c>
      <c r="F453" s="13" t="s">
        <v>1170</v>
      </c>
      <c r="G453" s="13" t="s">
        <v>1172</v>
      </c>
      <c r="H453" s="13"/>
      <c r="I453" s="4" t="s">
        <v>1170</v>
      </c>
    </row>
    <row r="454" spans="1:9" ht="15.75" customHeight="1" x14ac:dyDescent="0.25">
      <c r="A454" s="10">
        <f t="shared" si="20"/>
        <v>1</v>
      </c>
      <c r="B454" s="10" t="s">
        <v>579</v>
      </c>
      <c r="C454" s="11" t="s">
        <v>206</v>
      </c>
      <c r="D454" s="13">
        <f t="shared" si="16"/>
        <v>4.25</v>
      </c>
      <c r="E454" s="13">
        <v>4.25</v>
      </c>
      <c r="F454" s="13" t="s">
        <v>1170</v>
      </c>
      <c r="G454" s="13" t="s">
        <v>1173</v>
      </c>
      <c r="H454" s="13"/>
      <c r="I454" s="4" t="s">
        <v>1170</v>
      </c>
    </row>
    <row r="455" spans="1:9" ht="15.75" customHeight="1" x14ac:dyDescent="0.25">
      <c r="A455" s="10">
        <f t="shared" si="20"/>
        <v>1</v>
      </c>
      <c r="B455" s="10" t="s">
        <v>500</v>
      </c>
      <c r="C455" s="11" t="s">
        <v>206</v>
      </c>
      <c r="D455" s="13">
        <f t="shared" si="16"/>
        <v>3.49</v>
      </c>
      <c r="E455" s="13">
        <v>3.49</v>
      </c>
      <c r="F455" s="13" t="s">
        <v>1170</v>
      </c>
      <c r="G455" s="13" t="s">
        <v>1173</v>
      </c>
      <c r="H455" s="13"/>
      <c r="I455" s="4" t="s">
        <v>1170</v>
      </c>
    </row>
    <row r="456" spans="1:9" ht="15.75" customHeight="1" x14ac:dyDescent="0.25">
      <c r="A456" s="10">
        <f t="shared" si="20"/>
        <v>1</v>
      </c>
      <c r="B456" s="10" t="s">
        <v>160</v>
      </c>
      <c r="C456" s="11" t="s">
        <v>206</v>
      </c>
      <c r="D456" s="13">
        <f t="shared" si="16"/>
        <v>0.76</v>
      </c>
      <c r="E456" s="13">
        <v>0.76</v>
      </c>
      <c r="F456" s="13" t="s">
        <v>1170</v>
      </c>
      <c r="G456" s="13" t="s">
        <v>1173</v>
      </c>
      <c r="H456" s="13"/>
      <c r="I456" s="4" t="s">
        <v>1170</v>
      </c>
    </row>
    <row r="457" spans="1:9" ht="15.75" customHeight="1" x14ac:dyDescent="0.25">
      <c r="A457" s="10">
        <f t="shared" si="20"/>
        <v>1</v>
      </c>
      <c r="B457" s="10" t="s">
        <v>899</v>
      </c>
      <c r="C457" s="11" t="s">
        <v>206</v>
      </c>
      <c r="D457" s="13">
        <f t="shared" si="16"/>
        <v>33</v>
      </c>
      <c r="E457" s="13">
        <v>33</v>
      </c>
      <c r="F457" s="13" t="s">
        <v>1170</v>
      </c>
      <c r="G457" s="13" t="s">
        <v>1173</v>
      </c>
      <c r="H457" s="13"/>
      <c r="I457" s="4" t="s">
        <v>1170</v>
      </c>
    </row>
    <row r="458" spans="1:9" ht="15.75" customHeight="1" x14ac:dyDescent="0.25">
      <c r="A458" s="10">
        <f t="shared" si="20"/>
        <v>1</v>
      </c>
      <c r="B458" s="10" t="s">
        <v>625</v>
      </c>
      <c r="C458" s="11" t="s">
        <v>70</v>
      </c>
      <c r="D458" s="13">
        <f t="shared" si="16"/>
        <v>75</v>
      </c>
      <c r="E458" s="13">
        <v>75</v>
      </c>
      <c r="F458" s="13" t="s">
        <v>1170</v>
      </c>
      <c r="G458" s="13" t="s">
        <v>1173</v>
      </c>
      <c r="H458" s="13"/>
      <c r="I458" s="4" t="s">
        <v>1170</v>
      </c>
    </row>
    <row r="459" spans="1:9" ht="15.75" customHeight="1" x14ac:dyDescent="0.25">
      <c r="A459" s="10">
        <f t="shared" si="20"/>
        <v>1</v>
      </c>
      <c r="B459" s="10" t="s">
        <v>619</v>
      </c>
      <c r="C459" s="11" t="s">
        <v>206</v>
      </c>
      <c r="D459" s="13">
        <f t="shared" si="16"/>
        <v>9.35</v>
      </c>
      <c r="E459" s="13">
        <v>9.35</v>
      </c>
      <c r="F459" s="13" t="s">
        <v>1170</v>
      </c>
      <c r="G459" s="13" t="s">
        <v>1173</v>
      </c>
      <c r="H459" s="13"/>
      <c r="I459" s="4" t="s">
        <v>1170</v>
      </c>
    </row>
    <row r="460" spans="1:9" x14ac:dyDescent="0.25">
      <c r="A460" s="10">
        <f t="shared" si="20"/>
        <v>1</v>
      </c>
      <c r="B460" s="10" t="s">
        <v>559</v>
      </c>
      <c r="C460" s="11" t="s">
        <v>70</v>
      </c>
      <c r="D460" s="13">
        <f t="shared" si="16"/>
        <v>75.598399999999998</v>
      </c>
      <c r="E460" s="13">
        <v>75.598399999999998</v>
      </c>
      <c r="F460" s="13" t="s">
        <v>1170</v>
      </c>
      <c r="G460" s="13" t="s">
        <v>1174</v>
      </c>
      <c r="H460" s="13"/>
      <c r="I460" s="4" t="s">
        <v>1175</v>
      </c>
    </row>
    <row r="461" spans="1:9" ht="15.75" customHeight="1" x14ac:dyDescent="0.25">
      <c r="A461" s="10">
        <f t="shared" si="20"/>
        <v>1</v>
      </c>
      <c r="B461" s="10" t="s">
        <v>2932</v>
      </c>
      <c r="C461" s="11" t="s">
        <v>788</v>
      </c>
      <c r="D461" s="13">
        <f>E461*$D$1</f>
        <v>60</v>
      </c>
      <c r="E461" s="13">
        <v>60</v>
      </c>
      <c r="F461" s="13" t="s">
        <v>1170</v>
      </c>
      <c r="G461" s="13" t="s">
        <v>1174</v>
      </c>
      <c r="H461" s="13" t="s">
        <v>2929</v>
      </c>
      <c r="I461" s="4" t="s">
        <v>1175</v>
      </c>
    </row>
    <row r="462" spans="1:9" ht="15.75" customHeight="1" x14ac:dyDescent="0.25">
      <c r="A462" s="10">
        <f t="shared" si="20"/>
        <v>1</v>
      </c>
      <c r="B462" s="10" t="s">
        <v>557</v>
      </c>
      <c r="C462" s="11" t="s">
        <v>788</v>
      </c>
      <c r="D462" s="13">
        <f>E462*$D$1</f>
        <v>44.8</v>
      </c>
      <c r="E462" s="13">
        <f>32*1.4</f>
        <v>44.8</v>
      </c>
      <c r="F462" s="13" t="s">
        <v>1170</v>
      </c>
      <c r="G462" s="13" t="s">
        <v>1174</v>
      </c>
      <c r="H462" s="13" t="s">
        <v>2929</v>
      </c>
      <c r="I462" s="4" t="s">
        <v>1175</v>
      </c>
    </row>
    <row r="463" spans="1:9" ht="15.75" customHeight="1" x14ac:dyDescent="0.25">
      <c r="A463" s="10">
        <f t="shared" si="20"/>
        <v>1</v>
      </c>
      <c r="B463" s="10" t="s">
        <v>2933</v>
      </c>
      <c r="C463" s="11" t="s">
        <v>788</v>
      </c>
      <c r="D463" s="13">
        <f>E463*$D$1</f>
        <v>45</v>
      </c>
      <c r="E463" s="13">
        <v>45</v>
      </c>
      <c r="F463" s="13" t="s">
        <v>1170</v>
      </c>
      <c r="G463" s="13" t="s">
        <v>1174</v>
      </c>
      <c r="H463" s="13" t="s">
        <v>2930</v>
      </c>
      <c r="I463" s="4" t="s">
        <v>1175</v>
      </c>
    </row>
    <row r="464" spans="1:9" ht="15.75" customHeight="1" x14ac:dyDescent="0.25">
      <c r="A464" s="10">
        <f t="shared" si="20"/>
        <v>1</v>
      </c>
      <c r="B464" s="10" t="s">
        <v>2927</v>
      </c>
      <c r="C464" s="11" t="s">
        <v>788</v>
      </c>
      <c r="D464" s="13">
        <f>E464*$D$1</f>
        <v>32.400000000000006</v>
      </c>
      <c r="E464" s="13">
        <f>24*1.35</f>
        <v>32.400000000000006</v>
      </c>
      <c r="F464" s="13" t="s">
        <v>1170</v>
      </c>
      <c r="G464" s="13" t="s">
        <v>1174</v>
      </c>
      <c r="H464" s="13" t="s">
        <v>2930</v>
      </c>
      <c r="I464" s="4" t="s">
        <v>1175</v>
      </c>
    </row>
    <row r="465" spans="1:9" ht="15.75" customHeight="1" x14ac:dyDescent="0.25">
      <c r="A465" s="10">
        <f t="shared" si="20"/>
        <v>1</v>
      </c>
      <c r="B465" s="10" t="s">
        <v>2928</v>
      </c>
      <c r="C465" s="11" t="s">
        <v>788</v>
      </c>
      <c r="D465" s="13">
        <f>E465*$D$1</f>
        <v>67.199999999999989</v>
      </c>
      <c r="E465" s="13">
        <f>48*1.4</f>
        <v>67.199999999999989</v>
      </c>
      <c r="F465" s="13" t="s">
        <v>1170</v>
      </c>
      <c r="G465" s="13" t="s">
        <v>1174</v>
      </c>
      <c r="H465" s="13" t="s">
        <v>2929</v>
      </c>
      <c r="I465" s="4" t="s">
        <v>1175</v>
      </c>
    </row>
    <row r="466" spans="1:9" ht="15.75" customHeight="1" x14ac:dyDescent="0.25">
      <c r="A466" s="10">
        <f t="shared" si="20"/>
        <v>1</v>
      </c>
      <c r="B466" s="10" t="s">
        <v>2931</v>
      </c>
      <c r="C466" s="11" t="s">
        <v>788</v>
      </c>
      <c r="D466" s="13">
        <f t="shared" si="16"/>
        <v>85</v>
      </c>
      <c r="E466" s="13">
        <v>85</v>
      </c>
      <c r="F466" s="13" t="s">
        <v>1170</v>
      </c>
      <c r="G466" s="13" t="s">
        <v>1174</v>
      </c>
      <c r="H466" s="13" t="s">
        <v>2929</v>
      </c>
      <c r="I466" s="4" t="s">
        <v>1175</v>
      </c>
    </row>
    <row r="467" spans="1:9" ht="14.25" x14ac:dyDescent="0.2">
      <c r="A467" s="10">
        <f t="shared" si="20"/>
        <v>1</v>
      </c>
      <c r="B467" s="82" t="s">
        <v>1938</v>
      </c>
      <c r="C467" s="83" t="s">
        <v>70</v>
      </c>
      <c r="D467" s="84">
        <f>E467*$D$1</f>
        <v>1350</v>
      </c>
      <c r="E467" s="84">
        <v>1350</v>
      </c>
      <c r="F467" s="84" t="s">
        <v>1132</v>
      </c>
      <c r="G467" s="84" t="s">
        <v>1133</v>
      </c>
      <c r="H467" s="84"/>
      <c r="I467" s="85" t="s">
        <v>1134</v>
      </c>
    </row>
    <row r="468" spans="1:9" ht="14.25" x14ac:dyDescent="0.2">
      <c r="A468" s="10">
        <f t="shared" si="20"/>
        <v>1</v>
      </c>
      <c r="B468" s="82" t="s">
        <v>1939</v>
      </c>
      <c r="C468" s="83" t="s">
        <v>70</v>
      </c>
      <c r="D468" s="84">
        <f>E468*$D$1</f>
        <v>980</v>
      </c>
      <c r="E468" s="84">
        <v>980</v>
      </c>
      <c r="F468" s="84" t="s">
        <v>1132</v>
      </c>
      <c r="G468" s="84" t="s">
        <v>1133</v>
      </c>
      <c r="H468" s="84"/>
      <c r="I468" s="85" t="s">
        <v>1134</v>
      </c>
    </row>
    <row r="469" spans="1:9" ht="14.25" x14ac:dyDescent="0.2">
      <c r="A469" s="10">
        <f t="shared" si="20"/>
        <v>1</v>
      </c>
      <c r="B469" s="82" t="s">
        <v>1940</v>
      </c>
      <c r="C469" s="83" t="s">
        <v>70</v>
      </c>
      <c r="D469" s="84">
        <f>E469*$D$1</f>
        <v>1350</v>
      </c>
      <c r="E469" s="84">
        <v>1350</v>
      </c>
      <c r="F469" s="84" t="s">
        <v>1132</v>
      </c>
      <c r="G469" s="84" t="s">
        <v>1133</v>
      </c>
      <c r="H469" s="84"/>
      <c r="I469" s="85" t="s">
        <v>1134</v>
      </c>
    </row>
    <row r="470" spans="1:9" ht="15.75" customHeight="1" x14ac:dyDescent="0.25">
      <c r="A470" s="10">
        <f t="shared" si="20"/>
        <v>1</v>
      </c>
      <c r="B470" s="10" t="s">
        <v>790</v>
      </c>
      <c r="C470" s="11" t="s">
        <v>113</v>
      </c>
      <c r="D470" s="13">
        <f t="shared" si="16"/>
        <v>36</v>
      </c>
      <c r="E470" s="13">
        <v>36</v>
      </c>
      <c r="F470" s="13" t="s">
        <v>1175</v>
      </c>
      <c r="G470" s="13" t="s">
        <v>1175</v>
      </c>
      <c r="H470" s="13"/>
      <c r="I470" s="4" t="s">
        <v>1175</v>
      </c>
    </row>
    <row r="471" spans="1:9" ht="15.75" customHeight="1" x14ac:dyDescent="0.25">
      <c r="A471" s="10">
        <f t="shared" si="20"/>
        <v>1</v>
      </c>
      <c r="B471" s="10" t="s">
        <v>793</v>
      </c>
      <c r="C471" s="11" t="s">
        <v>113</v>
      </c>
      <c r="D471" s="13">
        <f t="shared" si="16"/>
        <v>7.39</v>
      </c>
      <c r="E471" s="13">
        <v>7.39</v>
      </c>
      <c r="F471" s="13" t="s">
        <v>1175</v>
      </c>
      <c r="G471" s="13" t="s">
        <v>1175</v>
      </c>
      <c r="H471" s="13"/>
      <c r="I471" s="4" t="s">
        <v>1175</v>
      </c>
    </row>
    <row r="472" spans="1:9" ht="14.25" x14ac:dyDescent="0.2">
      <c r="A472" s="10">
        <f t="shared" si="20"/>
        <v>1</v>
      </c>
      <c r="B472" s="82" t="s">
        <v>1942</v>
      </c>
      <c r="C472" s="83" t="s">
        <v>1945</v>
      </c>
      <c r="D472" s="84">
        <f>E472*$D$1</f>
        <v>65</v>
      </c>
      <c r="E472" s="84">
        <f>AVERAGE(45,85)</f>
        <v>65</v>
      </c>
      <c r="F472" s="84" t="s">
        <v>1175</v>
      </c>
      <c r="G472" s="84" t="s">
        <v>1175</v>
      </c>
      <c r="H472" s="84"/>
      <c r="I472" s="85" t="s">
        <v>1175</v>
      </c>
    </row>
    <row r="473" spans="1:9" ht="14.25" x14ac:dyDescent="0.2">
      <c r="A473" s="10">
        <f t="shared" si="20"/>
        <v>1</v>
      </c>
      <c r="B473" s="82" t="s">
        <v>1944</v>
      </c>
      <c r="C473" s="83" t="s">
        <v>1945</v>
      </c>
      <c r="D473" s="84">
        <f>E473*$D$1</f>
        <v>155</v>
      </c>
      <c r="E473" s="84">
        <f>AVERAGE(120,190)</f>
        <v>155</v>
      </c>
      <c r="F473" s="84" t="s">
        <v>1175</v>
      </c>
      <c r="G473" s="84" t="s">
        <v>1175</v>
      </c>
      <c r="H473" s="84"/>
      <c r="I473" s="85" t="s">
        <v>1175</v>
      </c>
    </row>
    <row r="474" spans="1:9" ht="15.75" customHeight="1" x14ac:dyDescent="0.25">
      <c r="A474" s="10">
        <f t="shared" si="20"/>
        <v>1</v>
      </c>
      <c r="B474" s="10" t="s">
        <v>494</v>
      </c>
      <c r="C474" s="11" t="s">
        <v>206</v>
      </c>
      <c r="D474" s="13">
        <f t="shared" si="16"/>
        <v>5.9180000000000001</v>
      </c>
      <c r="E474" s="13">
        <v>5.9180000000000001</v>
      </c>
      <c r="F474" s="13" t="s">
        <v>1170</v>
      </c>
      <c r="G474" s="13" t="s">
        <v>1174</v>
      </c>
      <c r="H474" s="13"/>
      <c r="I474" s="4" t="s">
        <v>1170</v>
      </c>
    </row>
    <row r="475" spans="1:9" ht="15.75" customHeight="1" x14ac:dyDescent="0.25">
      <c r="A475" s="10">
        <f t="shared" si="20"/>
        <v>1</v>
      </c>
      <c r="B475" s="10" t="s">
        <v>490</v>
      </c>
      <c r="C475" s="11" t="s">
        <v>206</v>
      </c>
      <c r="D475" s="13">
        <f t="shared" si="16"/>
        <v>0.45</v>
      </c>
      <c r="E475" s="13">
        <v>0.45</v>
      </c>
      <c r="F475" s="13" t="s">
        <v>1170</v>
      </c>
      <c r="G475" s="13" t="s">
        <v>1174</v>
      </c>
      <c r="H475" s="13"/>
      <c r="I475" s="4" t="s">
        <v>1170</v>
      </c>
    </row>
    <row r="476" spans="1:9" ht="15.75" customHeight="1" x14ac:dyDescent="0.25">
      <c r="A476" s="10">
        <f t="shared" si="20"/>
        <v>1</v>
      </c>
      <c r="B476" s="10" t="s">
        <v>1009</v>
      </c>
      <c r="C476" s="11" t="s">
        <v>197</v>
      </c>
      <c r="D476" s="13">
        <f t="shared" si="16"/>
        <v>382</v>
      </c>
      <c r="E476" s="13">
        <v>382</v>
      </c>
      <c r="F476" s="13" t="s">
        <v>1137</v>
      </c>
      <c r="G476" s="13" t="s">
        <v>1176</v>
      </c>
      <c r="H476" s="13"/>
      <c r="I476" s="4" t="s">
        <v>1160</v>
      </c>
    </row>
    <row r="477" spans="1:9" ht="15.75" customHeight="1" x14ac:dyDescent="0.25">
      <c r="A477" s="10">
        <f t="shared" si="20"/>
        <v>1</v>
      </c>
      <c r="B477" s="10" t="s">
        <v>645</v>
      </c>
      <c r="C477" s="11" t="s">
        <v>70</v>
      </c>
      <c r="D477" s="13">
        <f t="shared" si="16"/>
        <v>11.1</v>
      </c>
      <c r="E477" s="13">
        <v>11.1</v>
      </c>
      <c r="F477" s="13" t="s">
        <v>38</v>
      </c>
      <c r="G477" s="13" t="s">
        <v>38</v>
      </c>
      <c r="H477" s="13"/>
      <c r="I477" s="4" t="s">
        <v>1177</v>
      </c>
    </row>
    <row r="478" spans="1:9" ht="15.75" customHeight="1" x14ac:dyDescent="0.25">
      <c r="A478" s="10">
        <f t="shared" si="20"/>
        <v>1</v>
      </c>
      <c r="B478" s="10" t="s">
        <v>644</v>
      </c>
      <c r="C478" s="11" t="s">
        <v>152</v>
      </c>
      <c r="D478" s="13">
        <f t="shared" si="16"/>
        <v>143.57</v>
      </c>
      <c r="E478" s="13">
        <v>143.57</v>
      </c>
      <c r="F478" s="13" t="s">
        <v>38</v>
      </c>
      <c r="G478" s="13" t="s">
        <v>38</v>
      </c>
      <c r="H478" s="13"/>
      <c r="I478" s="4" t="s">
        <v>1177</v>
      </c>
    </row>
    <row r="479" spans="1:9" ht="15.75" customHeight="1" x14ac:dyDescent="0.25">
      <c r="A479" s="10">
        <f t="shared" si="20"/>
        <v>1</v>
      </c>
      <c r="B479" s="10" t="s">
        <v>535</v>
      </c>
      <c r="C479" s="11" t="s">
        <v>197</v>
      </c>
      <c r="D479" s="13">
        <f t="shared" si="16"/>
        <v>409</v>
      </c>
      <c r="E479" s="13">
        <v>409</v>
      </c>
      <c r="F479" s="13" t="s">
        <v>1178</v>
      </c>
      <c r="G479" s="13" t="s">
        <v>1178</v>
      </c>
      <c r="H479" s="13"/>
      <c r="I479" s="4" t="s">
        <v>1175</v>
      </c>
    </row>
    <row r="480" spans="1:9" ht="15.75" customHeight="1" x14ac:dyDescent="0.25">
      <c r="A480" s="10">
        <f t="shared" si="20"/>
        <v>1</v>
      </c>
      <c r="B480" s="10" t="s">
        <v>1498</v>
      </c>
      <c r="C480" s="11" t="s">
        <v>70</v>
      </c>
      <c r="D480" s="13">
        <f t="shared" ref="D480:D488" si="21">E480*$D$1</f>
        <v>890</v>
      </c>
      <c r="E480" s="13">
        <v>890</v>
      </c>
      <c r="F480" s="13" t="s">
        <v>1178</v>
      </c>
      <c r="G480" s="13" t="s">
        <v>1178</v>
      </c>
      <c r="H480" s="13"/>
      <c r="I480" s="4" t="s">
        <v>1175</v>
      </c>
    </row>
    <row r="481" spans="1:9" ht="15.75" customHeight="1" x14ac:dyDescent="0.25">
      <c r="A481" s="10">
        <f t="shared" si="20"/>
        <v>1</v>
      </c>
      <c r="B481" s="10" t="s">
        <v>1527</v>
      </c>
      <c r="C481" s="11" t="s">
        <v>70</v>
      </c>
      <c r="D481" s="13">
        <f t="shared" si="21"/>
        <v>1850</v>
      </c>
      <c r="E481" s="13">
        <v>1850</v>
      </c>
      <c r="F481" s="13" t="s">
        <v>1178</v>
      </c>
      <c r="G481" s="13" t="s">
        <v>1178</v>
      </c>
      <c r="H481" s="13"/>
      <c r="I481" s="4" t="s">
        <v>1175</v>
      </c>
    </row>
    <row r="482" spans="1:9" ht="15.75" customHeight="1" x14ac:dyDescent="0.25">
      <c r="A482" s="10">
        <f t="shared" si="20"/>
        <v>1</v>
      </c>
      <c r="B482" s="10" t="s">
        <v>2873</v>
      </c>
      <c r="C482" s="11" t="s">
        <v>70</v>
      </c>
      <c r="D482" s="13">
        <f t="shared" si="21"/>
        <v>800</v>
      </c>
      <c r="E482" s="13">
        <v>800</v>
      </c>
      <c r="F482" s="13" t="s">
        <v>1178</v>
      </c>
      <c r="G482" s="13" t="s">
        <v>1178</v>
      </c>
      <c r="H482" s="13"/>
      <c r="I482" s="4" t="s">
        <v>1175</v>
      </c>
    </row>
    <row r="483" spans="1:9" ht="15.75" customHeight="1" x14ac:dyDescent="0.25">
      <c r="A483" s="10">
        <f t="shared" si="20"/>
        <v>1</v>
      </c>
      <c r="B483" s="10" t="s">
        <v>3032</v>
      </c>
      <c r="C483" s="11" t="s">
        <v>70</v>
      </c>
      <c r="D483" s="13">
        <f t="shared" si="21"/>
        <v>600</v>
      </c>
      <c r="E483" s="13">
        <v>600</v>
      </c>
      <c r="F483" s="13" t="s">
        <v>1178</v>
      </c>
      <c r="G483" s="13" t="s">
        <v>1178</v>
      </c>
      <c r="H483" s="13"/>
      <c r="I483" s="4" t="s">
        <v>1175</v>
      </c>
    </row>
    <row r="484" spans="1:9" ht="15.75" customHeight="1" x14ac:dyDescent="0.25">
      <c r="A484" s="10">
        <f t="shared" si="20"/>
        <v>1</v>
      </c>
      <c r="B484" s="10" t="s">
        <v>3052</v>
      </c>
      <c r="C484" s="11" t="s">
        <v>70</v>
      </c>
      <c r="D484" s="13">
        <f t="shared" si="21"/>
        <v>4800</v>
      </c>
      <c r="E484" s="13">
        <v>4800</v>
      </c>
      <c r="F484" s="13" t="s">
        <v>1178</v>
      </c>
      <c r="G484" s="13" t="s">
        <v>1178</v>
      </c>
      <c r="H484" s="13"/>
      <c r="I484" s="4" t="s">
        <v>1175</v>
      </c>
    </row>
    <row r="485" spans="1:9" ht="15.75" customHeight="1" x14ac:dyDescent="0.25">
      <c r="A485" s="10">
        <f t="shared" si="20"/>
        <v>1</v>
      </c>
      <c r="B485" s="10" t="s">
        <v>2875</v>
      </c>
      <c r="C485" s="11" t="s">
        <v>70</v>
      </c>
      <c r="D485" s="13">
        <f t="shared" si="21"/>
        <v>900</v>
      </c>
      <c r="E485" s="13">
        <v>900</v>
      </c>
      <c r="F485" s="13" t="s">
        <v>1178</v>
      </c>
      <c r="G485" s="13" t="s">
        <v>1178</v>
      </c>
      <c r="H485" s="13"/>
      <c r="I485" s="4" t="s">
        <v>1175</v>
      </c>
    </row>
    <row r="486" spans="1:9" ht="15.75" customHeight="1" x14ac:dyDescent="0.25">
      <c r="A486" s="10">
        <f t="shared" si="20"/>
        <v>1</v>
      </c>
      <c r="B486" s="10" t="s">
        <v>2879</v>
      </c>
      <c r="C486" s="11" t="s">
        <v>70</v>
      </c>
      <c r="D486" s="13">
        <f t="shared" si="21"/>
        <v>1300</v>
      </c>
      <c r="E486" s="13">
        <v>1300</v>
      </c>
      <c r="F486" s="13" t="s">
        <v>1178</v>
      </c>
      <c r="G486" s="13" t="s">
        <v>1178</v>
      </c>
      <c r="H486" s="13"/>
      <c r="I486" s="4" t="s">
        <v>1175</v>
      </c>
    </row>
    <row r="487" spans="1:9" ht="15.75" customHeight="1" x14ac:dyDescent="0.25">
      <c r="A487" s="10">
        <f t="shared" si="20"/>
        <v>1</v>
      </c>
      <c r="B487" s="10" t="s">
        <v>2881</v>
      </c>
      <c r="C487" s="11" t="s">
        <v>70</v>
      </c>
      <c r="D487" s="13">
        <f t="shared" si="21"/>
        <v>2200</v>
      </c>
      <c r="E487" s="13">
        <v>2200</v>
      </c>
      <c r="F487" s="13" t="s">
        <v>1178</v>
      </c>
      <c r="G487" s="13" t="s">
        <v>1178</v>
      </c>
      <c r="H487" s="13"/>
      <c r="I487" s="4" t="s">
        <v>1175</v>
      </c>
    </row>
    <row r="488" spans="1:9" ht="15.75" customHeight="1" x14ac:dyDescent="0.25">
      <c r="A488" s="10">
        <f t="shared" si="20"/>
        <v>1</v>
      </c>
      <c r="B488" s="10" t="s">
        <v>2877</v>
      </c>
      <c r="C488" s="11" t="s">
        <v>70</v>
      </c>
      <c r="D488" s="13">
        <f t="shared" si="21"/>
        <v>1300</v>
      </c>
      <c r="E488" s="13">
        <v>1300</v>
      </c>
      <c r="F488" s="13" t="s">
        <v>1178</v>
      </c>
      <c r="G488" s="13" t="s">
        <v>1178</v>
      </c>
      <c r="H488" s="13"/>
      <c r="I488" s="4" t="s">
        <v>1175</v>
      </c>
    </row>
    <row r="489" spans="1:9" ht="15.75" customHeight="1" x14ac:dyDescent="0.25">
      <c r="A489" s="10">
        <f t="shared" si="20"/>
        <v>1</v>
      </c>
      <c r="B489" s="10" t="s">
        <v>527</v>
      </c>
      <c r="C489" s="11" t="s">
        <v>70</v>
      </c>
      <c r="D489" s="13">
        <f t="shared" si="16"/>
        <v>480</v>
      </c>
      <c r="E489" s="13">
        <v>480</v>
      </c>
      <c r="F489" s="13" t="s">
        <v>1178</v>
      </c>
      <c r="G489" s="13" t="s">
        <v>1178</v>
      </c>
      <c r="H489" s="13"/>
      <c r="I489" s="4" t="s">
        <v>1175</v>
      </c>
    </row>
    <row r="490" spans="1:9" ht="14.25" x14ac:dyDescent="0.2">
      <c r="A490" s="10">
        <f t="shared" si="20"/>
        <v>1</v>
      </c>
      <c r="B490" s="82" t="s">
        <v>1850</v>
      </c>
      <c r="C490" s="83" t="s">
        <v>70</v>
      </c>
      <c r="D490" s="84">
        <f>E490*$D$1</f>
        <v>265.89999999999998</v>
      </c>
      <c r="E490" s="84">
        <v>265.89999999999998</v>
      </c>
      <c r="F490" s="84" t="s">
        <v>1178</v>
      </c>
      <c r="G490" s="84" t="s">
        <v>1178</v>
      </c>
      <c r="H490" s="84"/>
      <c r="I490" s="85" t="s">
        <v>1175</v>
      </c>
    </row>
    <row r="491" spans="1:9" ht="14.25" x14ac:dyDescent="0.2">
      <c r="A491" s="10">
        <f t="shared" si="20"/>
        <v>1</v>
      </c>
      <c r="B491" s="82" t="s">
        <v>1852</v>
      </c>
      <c r="C491" s="83" t="s">
        <v>70</v>
      </c>
      <c r="D491" s="84">
        <f>E491*$D$1</f>
        <v>480</v>
      </c>
      <c r="E491" s="84">
        <v>480</v>
      </c>
      <c r="F491" s="84" t="s">
        <v>1178</v>
      </c>
      <c r="G491" s="84" t="s">
        <v>1178</v>
      </c>
      <c r="H491" s="84"/>
      <c r="I491" s="85" t="s">
        <v>1175</v>
      </c>
    </row>
    <row r="492" spans="1:9" ht="14.25" x14ac:dyDescent="0.2">
      <c r="A492" s="10">
        <f t="shared" si="20"/>
        <v>1</v>
      </c>
      <c r="B492" s="82" t="s">
        <v>1853</v>
      </c>
      <c r="C492" s="83" t="s">
        <v>70</v>
      </c>
      <c r="D492" s="84">
        <f>E492*$D$1</f>
        <v>750</v>
      </c>
      <c r="E492" s="84">
        <v>750</v>
      </c>
      <c r="F492" s="84" t="s">
        <v>1178</v>
      </c>
      <c r="G492" s="84" t="s">
        <v>1178</v>
      </c>
      <c r="H492" s="84"/>
      <c r="I492" s="85" t="s">
        <v>1175</v>
      </c>
    </row>
    <row r="493" spans="1:9" ht="14.25" x14ac:dyDescent="0.2">
      <c r="A493" s="10">
        <f t="shared" si="20"/>
        <v>1</v>
      </c>
      <c r="B493" s="82" t="s">
        <v>1847</v>
      </c>
      <c r="C493" s="83" t="s">
        <v>70</v>
      </c>
      <c r="D493" s="84">
        <f>E493*$D$1</f>
        <v>650</v>
      </c>
      <c r="E493" s="84">
        <v>650</v>
      </c>
      <c r="F493" s="84" t="s">
        <v>1178</v>
      </c>
      <c r="G493" s="84" t="s">
        <v>1178</v>
      </c>
      <c r="H493" s="84"/>
      <c r="I493" s="85" t="s">
        <v>1175</v>
      </c>
    </row>
    <row r="494" spans="1:9" ht="15.75" customHeight="1" x14ac:dyDescent="0.25">
      <c r="A494" s="10">
        <f t="shared" si="20"/>
        <v>1</v>
      </c>
      <c r="B494" s="10" t="s">
        <v>537</v>
      </c>
      <c r="C494" s="11" t="s">
        <v>70</v>
      </c>
      <c r="D494" s="13">
        <f t="shared" si="16"/>
        <v>195</v>
      </c>
      <c r="E494" s="13">
        <v>195</v>
      </c>
      <c r="F494" s="13" t="s">
        <v>1178</v>
      </c>
      <c r="G494" s="13" t="s">
        <v>1178</v>
      </c>
      <c r="H494" s="13"/>
      <c r="I494" s="4" t="s">
        <v>1175</v>
      </c>
    </row>
    <row r="495" spans="1:9" ht="15.75" customHeight="1" x14ac:dyDescent="0.25">
      <c r="A495" s="10">
        <f t="shared" si="20"/>
        <v>1</v>
      </c>
      <c r="B495" s="10" t="s">
        <v>529</v>
      </c>
      <c r="C495" s="11" t="s">
        <v>70</v>
      </c>
      <c r="D495" s="13">
        <f>E495*$D$1</f>
        <v>650</v>
      </c>
      <c r="E495" s="13">
        <v>650</v>
      </c>
      <c r="F495" s="13" t="s">
        <v>1178</v>
      </c>
      <c r="G495" s="13" t="s">
        <v>1178</v>
      </c>
      <c r="H495" s="13"/>
      <c r="I495" s="4" t="s">
        <v>1175</v>
      </c>
    </row>
    <row r="496" spans="1:9" ht="15.75" customHeight="1" x14ac:dyDescent="0.25">
      <c r="A496" s="10">
        <f t="shared" si="20"/>
        <v>1</v>
      </c>
      <c r="B496" s="10" t="s">
        <v>1437</v>
      </c>
      <c r="C496" s="11" t="s">
        <v>70</v>
      </c>
      <c r="D496" s="13">
        <f t="shared" si="16"/>
        <v>650</v>
      </c>
      <c r="E496" s="13">
        <v>650</v>
      </c>
      <c r="F496" s="13" t="s">
        <v>1178</v>
      </c>
      <c r="G496" s="13" t="s">
        <v>1178</v>
      </c>
      <c r="H496" s="13"/>
      <c r="I496" s="4" t="s">
        <v>1175</v>
      </c>
    </row>
    <row r="497" spans="1:9" ht="15.75" customHeight="1" x14ac:dyDescent="0.25">
      <c r="A497" s="10">
        <f t="shared" si="20"/>
        <v>1</v>
      </c>
      <c r="B497" s="10" t="s">
        <v>649</v>
      </c>
      <c r="C497" s="11" t="s">
        <v>70</v>
      </c>
      <c r="D497" s="13">
        <f t="shared" si="16"/>
        <v>650</v>
      </c>
      <c r="E497" s="13">
        <v>650</v>
      </c>
      <c r="F497" s="13" t="s">
        <v>1178</v>
      </c>
      <c r="G497" s="13" t="s">
        <v>1178</v>
      </c>
      <c r="H497" s="13"/>
      <c r="I497" s="4" t="s">
        <v>1175</v>
      </c>
    </row>
    <row r="498" spans="1:9" ht="15.75" customHeight="1" x14ac:dyDescent="0.25">
      <c r="A498" s="10">
        <f t="shared" si="20"/>
        <v>1</v>
      </c>
      <c r="B498" s="10" t="s">
        <v>859</v>
      </c>
      <c r="C498" s="11" t="s">
        <v>70</v>
      </c>
      <c r="D498" s="13">
        <f t="shared" si="16"/>
        <v>650</v>
      </c>
      <c r="E498" s="13">
        <v>650</v>
      </c>
      <c r="F498" s="13" t="s">
        <v>1178</v>
      </c>
      <c r="G498" s="13" t="s">
        <v>1178</v>
      </c>
      <c r="H498" s="13"/>
      <c r="I498" s="4" t="s">
        <v>1175</v>
      </c>
    </row>
    <row r="499" spans="1:9" ht="15.75" customHeight="1" x14ac:dyDescent="0.25">
      <c r="A499" s="10">
        <f t="shared" si="20"/>
        <v>1</v>
      </c>
      <c r="B499" s="10" t="s">
        <v>531</v>
      </c>
      <c r="C499" s="11" t="s">
        <v>70</v>
      </c>
      <c r="D499" s="13">
        <f t="shared" si="16"/>
        <v>800</v>
      </c>
      <c r="E499" s="13">
        <v>800</v>
      </c>
      <c r="F499" s="13" t="s">
        <v>1178</v>
      </c>
      <c r="G499" s="13" t="s">
        <v>1178</v>
      </c>
      <c r="H499" s="13"/>
      <c r="I499" s="4" t="s">
        <v>1175</v>
      </c>
    </row>
    <row r="500" spans="1:9" ht="15.75" customHeight="1" x14ac:dyDescent="0.25">
      <c r="A500" s="10">
        <f t="shared" si="20"/>
        <v>1</v>
      </c>
      <c r="B500" s="10" t="s">
        <v>871</v>
      </c>
      <c r="C500" s="11" t="s">
        <v>70</v>
      </c>
      <c r="D500" s="13">
        <f>E500*$D$1</f>
        <v>800</v>
      </c>
      <c r="E500" s="13">
        <v>800</v>
      </c>
      <c r="F500" s="13" t="s">
        <v>1178</v>
      </c>
      <c r="G500" s="13" t="s">
        <v>1178</v>
      </c>
      <c r="H500" s="13"/>
      <c r="I500" s="4" t="s">
        <v>1175</v>
      </c>
    </row>
    <row r="501" spans="1:9" ht="15.75" customHeight="1" x14ac:dyDescent="0.25">
      <c r="A501" s="10">
        <f t="shared" si="20"/>
        <v>1</v>
      </c>
      <c r="B501" s="10" t="s">
        <v>2890</v>
      </c>
      <c r="C501" s="11" t="s">
        <v>70</v>
      </c>
      <c r="D501" s="13">
        <f t="shared" si="16"/>
        <v>3200</v>
      </c>
      <c r="E501" s="13">
        <v>3200</v>
      </c>
      <c r="F501" s="13" t="s">
        <v>1178</v>
      </c>
      <c r="G501" s="13" t="s">
        <v>1178</v>
      </c>
      <c r="H501" s="13"/>
      <c r="I501" s="4" t="s">
        <v>1175</v>
      </c>
    </row>
    <row r="502" spans="1:9" ht="15.75" customHeight="1" x14ac:dyDescent="0.25">
      <c r="A502" s="10">
        <f>COUNTIFS($B$2:$B$996,B502)</f>
        <v>1</v>
      </c>
      <c r="B502" s="10" t="s">
        <v>4221</v>
      </c>
      <c r="C502" s="11" t="s">
        <v>70</v>
      </c>
      <c r="D502" s="13">
        <f>E502*$D$1</f>
        <v>269.78527607361963</v>
      </c>
      <c r="E502" s="13">
        <f>1759/(6.52)</f>
        <v>269.78527607361963</v>
      </c>
      <c r="F502" s="13" t="s">
        <v>1178</v>
      </c>
      <c r="G502" s="13" t="s">
        <v>1178</v>
      </c>
      <c r="H502" s="13"/>
      <c r="I502" s="4" t="s">
        <v>1175</v>
      </c>
    </row>
    <row r="503" spans="1:9" ht="15.75" customHeight="1" x14ac:dyDescent="0.25">
      <c r="A503" s="10">
        <f t="shared" ref="A503:A509" si="22">COUNTIFS($B$2:$B$996,B503)</f>
        <v>1</v>
      </c>
      <c r="B503" s="10" t="s">
        <v>2886</v>
      </c>
      <c r="C503" s="11" t="s">
        <v>70</v>
      </c>
      <c r="D503" s="13">
        <f>E503*$D$1</f>
        <v>215.09433962264148</v>
      </c>
      <c r="E503" s="13">
        <f>1197/(1.59*3.5)</f>
        <v>215.09433962264148</v>
      </c>
      <c r="F503" s="13" t="s">
        <v>1178</v>
      </c>
      <c r="G503" s="13" t="s">
        <v>1178</v>
      </c>
      <c r="H503" s="13"/>
      <c r="I503" s="4" t="s">
        <v>1175</v>
      </c>
    </row>
    <row r="504" spans="1:9" ht="15.75" customHeight="1" x14ac:dyDescent="0.25">
      <c r="A504" s="10">
        <f t="shared" si="22"/>
        <v>1</v>
      </c>
      <c r="B504" s="10" t="s">
        <v>2887</v>
      </c>
      <c r="C504" s="11" t="s">
        <v>70</v>
      </c>
      <c r="D504" s="13">
        <f>E504*$D$1</f>
        <v>198.74213836477986</v>
      </c>
      <c r="E504" s="13">
        <f>1106/(1.59*3.5)</f>
        <v>198.74213836477986</v>
      </c>
      <c r="F504" s="13" t="s">
        <v>1178</v>
      </c>
      <c r="G504" s="13" t="s">
        <v>1178</v>
      </c>
      <c r="H504" s="13"/>
      <c r="I504" s="4" t="s">
        <v>1175</v>
      </c>
    </row>
    <row r="505" spans="1:9" ht="15.75" customHeight="1" x14ac:dyDescent="0.25">
      <c r="A505" s="10">
        <f t="shared" si="22"/>
        <v>1</v>
      </c>
      <c r="B505" s="10" t="s">
        <v>2888</v>
      </c>
      <c r="C505" s="11" t="s">
        <v>70</v>
      </c>
      <c r="D505" s="13">
        <f>E505*$D$1</f>
        <v>252.83018867924525</v>
      </c>
      <c r="E505" s="13">
        <f>1407/(1.59*3.5)</f>
        <v>252.83018867924525</v>
      </c>
      <c r="F505" s="13" t="s">
        <v>1178</v>
      </c>
      <c r="G505" s="13" t="s">
        <v>1178</v>
      </c>
      <c r="H505" s="13"/>
      <c r="I505" s="4" t="s">
        <v>1175</v>
      </c>
    </row>
    <row r="506" spans="1:9" ht="15.75" customHeight="1" x14ac:dyDescent="0.25">
      <c r="A506" s="10">
        <f t="shared" si="22"/>
        <v>1</v>
      </c>
      <c r="B506" s="10" t="s">
        <v>2953</v>
      </c>
      <c r="C506" s="11" t="s">
        <v>70</v>
      </c>
      <c r="D506" s="13">
        <f>E506*$D$1</f>
        <v>252.74034141958668</v>
      </c>
      <c r="E506" s="13">
        <f>2813/(3.18*3.5)</f>
        <v>252.74034141958668</v>
      </c>
      <c r="F506" s="13" t="s">
        <v>1178</v>
      </c>
      <c r="G506" s="13" t="s">
        <v>1178</v>
      </c>
      <c r="H506" s="13"/>
      <c r="I506" s="4" t="s">
        <v>1175</v>
      </c>
    </row>
    <row r="507" spans="1:9" ht="15.75" customHeight="1" x14ac:dyDescent="0.25">
      <c r="A507" s="10">
        <f t="shared" si="22"/>
        <v>1</v>
      </c>
      <c r="B507" s="10" t="s">
        <v>943</v>
      </c>
      <c r="C507" s="11" t="s">
        <v>197</v>
      </c>
      <c r="D507" s="13">
        <f t="shared" si="16"/>
        <v>0.34</v>
      </c>
      <c r="E507" s="13">
        <v>0.34</v>
      </c>
      <c r="F507" s="13" t="s">
        <v>1179</v>
      </c>
      <c r="G507" s="13" t="s">
        <v>1179</v>
      </c>
      <c r="H507" s="13"/>
      <c r="I507" s="4" t="s">
        <v>1151</v>
      </c>
    </row>
    <row r="508" spans="1:9" ht="15.75" customHeight="1" x14ac:dyDescent="0.25">
      <c r="A508" s="10">
        <f t="shared" si="22"/>
        <v>1</v>
      </c>
      <c r="B508" s="10" t="s">
        <v>960</v>
      </c>
      <c r="C508" s="11" t="s">
        <v>197</v>
      </c>
      <c r="D508" s="13">
        <f t="shared" si="16"/>
        <v>0.6</v>
      </c>
      <c r="E508" s="13">
        <v>0.6</v>
      </c>
      <c r="F508" s="13" t="s">
        <v>1179</v>
      </c>
      <c r="G508" s="13" t="s">
        <v>1179</v>
      </c>
      <c r="H508" s="13"/>
      <c r="I508" s="4" t="s">
        <v>1151</v>
      </c>
    </row>
    <row r="509" spans="1:9" ht="15.75" customHeight="1" x14ac:dyDescent="0.25">
      <c r="A509" s="10">
        <f t="shared" si="22"/>
        <v>1</v>
      </c>
      <c r="B509" s="10" t="s">
        <v>934</v>
      </c>
      <c r="C509" s="11" t="s">
        <v>197</v>
      </c>
      <c r="D509" s="13">
        <f t="shared" si="16"/>
        <v>0.34</v>
      </c>
      <c r="E509" s="13">
        <v>0.34</v>
      </c>
      <c r="F509" s="13" t="s">
        <v>1179</v>
      </c>
      <c r="G509" s="13" t="s">
        <v>1179</v>
      </c>
      <c r="H509" s="13"/>
      <c r="I509" s="4" t="s">
        <v>1151</v>
      </c>
    </row>
    <row r="510" spans="1:9" ht="15.75" customHeight="1" x14ac:dyDescent="0.25">
      <c r="A510" s="10"/>
      <c r="B510" s="10" t="s">
        <v>3500</v>
      </c>
      <c r="C510" s="11" t="s">
        <v>70</v>
      </c>
      <c r="D510" s="13">
        <f>E510*$D$1</f>
        <v>470.28409090909088</v>
      </c>
      <c r="E510" s="13">
        <v>470.28409090909088</v>
      </c>
      <c r="F510" s="13" t="s">
        <v>1201</v>
      </c>
      <c r="G510" s="13" t="s">
        <v>1201</v>
      </c>
      <c r="H510" s="13" t="s">
        <v>3501</v>
      </c>
      <c r="I510" s="4" t="s">
        <v>1202</v>
      </c>
    </row>
    <row r="511" spans="1:9" ht="15.75" customHeight="1" x14ac:dyDescent="0.25">
      <c r="A511" s="10"/>
      <c r="B511" s="10" t="s">
        <v>3448</v>
      </c>
      <c r="C511" s="11" t="s">
        <v>194</v>
      </c>
      <c r="D511" s="13">
        <f>E511*$D$1</f>
        <v>12000</v>
      </c>
      <c r="E511" s="13">
        <v>12000</v>
      </c>
      <c r="F511" s="13" t="s">
        <v>1201</v>
      </c>
      <c r="G511" s="13" t="s">
        <v>1201</v>
      </c>
      <c r="H511" s="13"/>
      <c r="I511" s="4" t="s">
        <v>1202</v>
      </c>
    </row>
    <row r="512" spans="1:9" ht="15.75" customHeight="1" x14ac:dyDescent="0.25">
      <c r="A512" s="10">
        <f t="shared" ref="A512:A577" si="23">COUNTIFS($B$2:$B$996,B512)</f>
        <v>1</v>
      </c>
      <c r="B512" s="10" t="s">
        <v>1016</v>
      </c>
      <c r="C512" s="11" t="s">
        <v>1180</v>
      </c>
      <c r="D512" s="13">
        <f t="shared" si="16"/>
        <v>0.26</v>
      </c>
      <c r="E512" s="13">
        <v>0.26</v>
      </c>
      <c r="F512" s="13" t="s">
        <v>1179</v>
      </c>
      <c r="G512" s="13" t="s">
        <v>1179</v>
      </c>
      <c r="H512" s="13"/>
      <c r="I512" s="4" t="s">
        <v>1151</v>
      </c>
    </row>
    <row r="513" spans="1:9" ht="15.75" customHeight="1" x14ac:dyDescent="0.25">
      <c r="A513" s="10">
        <f t="shared" si="23"/>
        <v>1</v>
      </c>
      <c r="B513" s="10" t="s">
        <v>3139</v>
      </c>
      <c r="C513" s="11" t="s">
        <v>642</v>
      </c>
      <c r="D513" s="13">
        <f>E513*$D$1</f>
        <v>90</v>
      </c>
      <c r="E513" s="13">
        <v>90</v>
      </c>
      <c r="F513" s="13" t="s">
        <v>1179</v>
      </c>
      <c r="G513" s="13" t="s">
        <v>1179</v>
      </c>
      <c r="H513" s="13"/>
      <c r="I513" s="4" t="s">
        <v>1151</v>
      </c>
    </row>
    <row r="514" spans="1:9" ht="15.75" customHeight="1" x14ac:dyDescent="0.25">
      <c r="A514" s="10">
        <f t="shared" si="23"/>
        <v>1</v>
      </c>
      <c r="B514" s="10" t="s">
        <v>961</v>
      </c>
      <c r="C514" s="11" t="s">
        <v>197</v>
      </c>
      <c r="D514" s="13">
        <f t="shared" si="16"/>
        <v>24.95</v>
      </c>
      <c r="E514" s="13">
        <v>24.95</v>
      </c>
      <c r="F514" s="13" t="s">
        <v>1179</v>
      </c>
      <c r="G514" s="13" t="s">
        <v>1179</v>
      </c>
      <c r="H514" s="13"/>
      <c r="I514" s="4" t="s">
        <v>1151</v>
      </c>
    </row>
    <row r="515" spans="1:9" ht="15.75" customHeight="1" x14ac:dyDescent="0.25">
      <c r="A515" s="10">
        <f t="shared" si="23"/>
        <v>1</v>
      </c>
      <c r="B515" s="10" t="s">
        <v>948</v>
      </c>
      <c r="C515" s="11" t="s">
        <v>197</v>
      </c>
      <c r="D515" s="13">
        <f t="shared" si="16"/>
        <v>5.95</v>
      </c>
      <c r="E515" s="13">
        <v>5.95</v>
      </c>
      <c r="F515" s="13" t="s">
        <v>1179</v>
      </c>
      <c r="G515" s="13" t="s">
        <v>1179</v>
      </c>
      <c r="H515" s="13"/>
      <c r="I515" s="4" t="s">
        <v>1151</v>
      </c>
    </row>
    <row r="516" spans="1:9" ht="15.75" customHeight="1" x14ac:dyDescent="0.25">
      <c r="A516" s="10">
        <f t="shared" si="23"/>
        <v>1</v>
      </c>
      <c r="B516" s="10" t="s">
        <v>935</v>
      </c>
      <c r="C516" s="11" t="s">
        <v>197</v>
      </c>
      <c r="D516" s="13">
        <f t="shared" si="16"/>
        <v>5.95</v>
      </c>
      <c r="E516" s="13">
        <v>5.95</v>
      </c>
      <c r="F516" s="13" t="s">
        <v>1179</v>
      </c>
      <c r="G516" s="13" t="s">
        <v>1179</v>
      </c>
      <c r="H516" s="13"/>
      <c r="I516" s="4" t="s">
        <v>1151</v>
      </c>
    </row>
    <row r="517" spans="1:9" ht="15.75" customHeight="1" x14ac:dyDescent="0.25">
      <c r="A517" s="10">
        <f t="shared" si="23"/>
        <v>1</v>
      </c>
      <c r="B517" s="10" t="s">
        <v>1017</v>
      </c>
      <c r="C517" s="11" t="s">
        <v>197</v>
      </c>
      <c r="D517" s="13">
        <f t="shared" si="16"/>
        <v>4</v>
      </c>
      <c r="E517" s="13">
        <v>4</v>
      </c>
      <c r="F517" s="13" t="s">
        <v>1179</v>
      </c>
      <c r="G517" s="13" t="s">
        <v>1179</v>
      </c>
      <c r="H517" s="13"/>
      <c r="I517" s="4" t="s">
        <v>1151</v>
      </c>
    </row>
    <row r="518" spans="1:9" ht="14.25" x14ac:dyDescent="0.2">
      <c r="A518" s="10">
        <f t="shared" si="23"/>
        <v>1</v>
      </c>
      <c r="B518" s="87" t="s">
        <v>1760</v>
      </c>
      <c r="C518" s="83" t="s">
        <v>206</v>
      </c>
      <c r="D518" s="84">
        <f>E518*$D$1</f>
        <v>15.85</v>
      </c>
      <c r="E518" s="84">
        <v>15.85</v>
      </c>
      <c r="F518" s="84" t="s">
        <v>1179</v>
      </c>
      <c r="G518" s="84" t="s">
        <v>1179</v>
      </c>
      <c r="H518" s="84"/>
      <c r="I518" s="85" t="s">
        <v>1151</v>
      </c>
    </row>
    <row r="519" spans="1:9" ht="15.75" customHeight="1" x14ac:dyDescent="0.25">
      <c r="A519" s="10">
        <f t="shared" si="23"/>
        <v>1</v>
      </c>
      <c r="B519" s="10" t="s">
        <v>1181</v>
      </c>
      <c r="C519" s="11" t="s">
        <v>206</v>
      </c>
      <c r="D519" s="13">
        <f t="shared" si="16"/>
        <v>17.63</v>
      </c>
      <c r="E519" s="13">
        <v>17.63</v>
      </c>
      <c r="F519" s="13" t="s">
        <v>1179</v>
      </c>
      <c r="G519" s="13" t="s">
        <v>1179</v>
      </c>
      <c r="H519" s="13"/>
      <c r="I519" s="4" t="s">
        <v>1151</v>
      </c>
    </row>
    <row r="520" spans="1:9" ht="15.75" customHeight="1" x14ac:dyDescent="0.25">
      <c r="A520" s="10">
        <f t="shared" si="23"/>
        <v>1</v>
      </c>
      <c r="B520" s="10" t="s">
        <v>232</v>
      </c>
      <c r="C520" s="11" t="s">
        <v>206</v>
      </c>
      <c r="D520" s="13">
        <f t="shared" si="16"/>
        <v>18.8</v>
      </c>
      <c r="E520" s="13">
        <v>18.8</v>
      </c>
      <c r="F520" s="13" t="s">
        <v>1179</v>
      </c>
      <c r="G520" s="13" t="s">
        <v>1179</v>
      </c>
      <c r="H520" s="13"/>
      <c r="I520" s="4" t="s">
        <v>1151</v>
      </c>
    </row>
    <row r="521" spans="1:9" ht="15.75" customHeight="1" x14ac:dyDescent="0.25">
      <c r="A521" s="10">
        <f t="shared" si="23"/>
        <v>1</v>
      </c>
      <c r="B521" s="10" t="s">
        <v>116</v>
      </c>
      <c r="C521" s="11" t="s">
        <v>206</v>
      </c>
      <c r="D521" s="13">
        <f t="shared" si="16"/>
        <v>13.08</v>
      </c>
      <c r="E521" s="13">
        <v>13.08</v>
      </c>
      <c r="F521" s="13" t="s">
        <v>1179</v>
      </c>
      <c r="G521" s="13" t="s">
        <v>1179</v>
      </c>
      <c r="H521" s="13"/>
      <c r="I521" s="4" t="s">
        <v>1151</v>
      </c>
    </row>
    <row r="522" spans="1:9" ht="15.75" customHeight="1" x14ac:dyDescent="0.25">
      <c r="A522" s="10">
        <f t="shared" si="23"/>
        <v>1</v>
      </c>
      <c r="B522" s="10" t="s">
        <v>87</v>
      </c>
      <c r="C522" s="11" t="s">
        <v>206</v>
      </c>
      <c r="D522" s="13">
        <f t="shared" si="16"/>
        <v>18.13</v>
      </c>
      <c r="E522" s="13">
        <v>18.13</v>
      </c>
      <c r="F522" s="13" t="s">
        <v>1179</v>
      </c>
      <c r="G522" s="13" t="s">
        <v>1179</v>
      </c>
      <c r="H522" s="13"/>
      <c r="I522" s="4" t="s">
        <v>1151</v>
      </c>
    </row>
    <row r="523" spans="1:9" ht="15.75" customHeight="1" x14ac:dyDescent="0.25">
      <c r="A523" s="10">
        <f t="shared" si="23"/>
        <v>1</v>
      </c>
      <c r="B523" s="10" t="s">
        <v>308</v>
      </c>
      <c r="C523" s="11" t="s">
        <v>206</v>
      </c>
      <c r="D523" s="13">
        <f t="shared" si="16"/>
        <v>12.7</v>
      </c>
      <c r="E523" s="13">
        <v>12.7</v>
      </c>
      <c r="F523" s="13" t="s">
        <v>1179</v>
      </c>
      <c r="G523" s="13" t="s">
        <v>1179</v>
      </c>
      <c r="H523" s="13" t="s">
        <v>1589</v>
      </c>
      <c r="I523" s="4" t="s">
        <v>1151</v>
      </c>
    </row>
    <row r="524" spans="1:9" ht="15.75" customHeight="1" x14ac:dyDescent="0.25">
      <c r="A524" s="10">
        <f t="shared" si="23"/>
        <v>1</v>
      </c>
      <c r="B524" s="10" t="s">
        <v>135</v>
      </c>
      <c r="C524" s="11" t="s">
        <v>206</v>
      </c>
      <c r="D524" s="13">
        <f t="shared" si="16"/>
        <v>15.65</v>
      </c>
      <c r="E524" s="13">
        <v>15.65</v>
      </c>
      <c r="F524" s="13" t="s">
        <v>1179</v>
      </c>
      <c r="G524" s="13" t="s">
        <v>1179</v>
      </c>
      <c r="H524" s="13"/>
      <c r="I524" s="4" t="s">
        <v>1151</v>
      </c>
    </row>
    <row r="525" spans="1:9" ht="15.75" customHeight="1" x14ac:dyDescent="0.25">
      <c r="A525" s="10">
        <f t="shared" si="23"/>
        <v>1</v>
      </c>
      <c r="B525" s="10" t="s">
        <v>1182</v>
      </c>
      <c r="C525" s="11" t="s">
        <v>206</v>
      </c>
      <c r="D525" s="13">
        <f t="shared" si="16"/>
        <v>15.9</v>
      </c>
      <c r="E525" s="13">
        <v>15.9</v>
      </c>
      <c r="F525" s="13" t="s">
        <v>1179</v>
      </c>
      <c r="G525" s="13" t="s">
        <v>1179</v>
      </c>
      <c r="H525" s="13"/>
      <c r="I525" s="4" t="s">
        <v>1151</v>
      </c>
    </row>
    <row r="526" spans="1:9" ht="15.75" customHeight="1" x14ac:dyDescent="0.25">
      <c r="A526" s="10">
        <f t="shared" si="23"/>
        <v>1</v>
      </c>
      <c r="B526" s="10" t="s">
        <v>1183</v>
      </c>
      <c r="C526" s="11" t="s">
        <v>206</v>
      </c>
      <c r="D526" s="13">
        <f t="shared" si="16"/>
        <v>16.04</v>
      </c>
      <c r="E526" s="13">
        <v>16.04</v>
      </c>
      <c r="F526" s="13" t="s">
        <v>1179</v>
      </c>
      <c r="G526" s="13" t="s">
        <v>1179</v>
      </c>
      <c r="H526" s="13"/>
      <c r="I526" s="4" t="s">
        <v>1151</v>
      </c>
    </row>
    <row r="527" spans="1:9" ht="15.75" customHeight="1" x14ac:dyDescent="0.25">
      <c r="A527" s="10">
        <f t="shared" si="23"/>
        <v>1</v>
      </c>
      <c r="B527" s="10" t="s">
        <v>75</v>
      </c>
      <c r="C527" s="11" t="s">
        <v>206</v>
      </c>
      <c r="D527" s="13">
        <f t="shared" si="16"/>
        <v>10.029999999999999</v>
      </c>
      <c r="E527" s="13">
        <v>10.029999999999999</v>
      </c>
      <c r="F527" s="13" t="s">
        <v>1179</v>
      </c>
      <c r="G527" s="13" t="s">
        <v>1179</v>
      </c>
      <c r="H527" s="13"/>
      <c r="I527" s="4" t="s">
        <v>1151</v>
      </c>
    </row>
    <row r="528" spans="1:9" ht="15.75" customHeight="1" x14ac:dyDescent="0.25">
      <c r="A528" s="10">
        <f t="shared" si="23"/>
        <v>1</v>
      </c>
      <c r="B528" s="10" t="s">
        <v>1023</v>
      </c>
      <c r="C528" s="11" t="s">
        <v>206</v>
      </c>
      <c r="D528" s="13">
        <f t="shared" si="16"/>
        <v>71.510000000000005</v>
      </c>
      <c r="E528" s="13">
        <v>71.510000000000005</v>
      </c>
      <c r="F528" s="13" t="s">
        <v>1179</v>
      </c>
      <c r="G528" s="13" t="s">
        <v>1179</v>
      </c>
      <c r="H528" s="13"/>
      <c r="I528" s="4" t="s">
        <v>1151</v>
      </c>
    </row>
    <row r="529" spans="1:9" ht="15.75" customHeight="1" x14ac:dyDescent="0.25">
      <c r="A529" s="10">
        <f t="shared" si="23"/>
        <v>1</v>
      </c>
      <c r="B529" s="10" t="s">
        <v>307</v>
      </c>
      <c r="C529" s="11" t="s">
        <v>70</v>
      </c>
      <c r="D529" s="13">
        <f t="shared" si="16"/>
        <v>59.4</v>
      </c>
      <c r="E529" s="13">
        <v>59.4</v>
      </c>
      <c r="F529" s="13" t="s">
        <v>1184</v>
      </c>
      <c r="G529" s="13" t="s">
        <v>1184</v>
      </c>
      <c r="H529" s="13"/>
      <c r="I529" s="4" t="s">
        <v>1185</v>
      </c>
    </row>
    <row r="530" spans="1:9" ht="15.75" customHeight="1" x14ac:dyDescent="0.25">
      <c r="A530" s="10">
        <f t="shared" si="23"/>
        <v>1</v>
      </c>
      <c r="B530" s="10" t="s">
        <v>209</v>
      </c>
      <c r="C530" s="11" t="s">
        <v>197</v>
      </c>
      <c r="D530" s="13">
        <f t="shared" si="16"/>
        <v>0.27</v>
      </c>
      <c r="E530" s="13">
        <v>0.27</v>
      </c>
      <c r="F530" s="13" t="s">
        <v>1175</v>
      </c>
      <c r="G530" s="13" t="s">
        <v>1091</v>
      </c>
      <c r="H530" s="13"/>
      <c r="I530" s="4" t="s">
        <v>1175</v>
      </c>
    </row>
    <row r="531" spans="1:9" ht="15.75" customHeight="1" x14ac:dyDescent="0.25">
      <c r="A531" s="10">
        <f t="shared" si="23"/>
        <v>1</v>
      </c>
      <c r="B531" s="10" t="s">
        <v>506</v>
      </c>
      <c r="C531" s="11" t="s">
        <v>197</v>
      </c>
      <c r="D531" s="13">
        <f t="shared" si="16"/>
        <v>0.08</v>
      </c>
      <c r="E531" s="13">
        <v>0.08</v>
      </c>
      <c r="F531" s="13" t="s">
        <v>1175</v>
      </c>
      <c r="G531" s="13" t="s">
        <v>1091</v>
      </c>
      <c r="H531" s="13"/>
      <c r="I531" s="4" t="s">
        <v>1175</v>
      </c>
    </row>
    <row r="532" spans="1:9" ht="15.75" customHeight="1" x14ac:dyDescent="0.25">
      <c r="A532" s="10">
        <f t="shared" si="23"/>
        <v>1</v>
      </c>
      <c r="B532" s="10" t="s">
        <v>521</v>
      </c>
      <c r="C532" s="11" t="s">
        <v>197</v>
      </c>
      <c r="D532" s="13">
        <f t="shared" si="16"/>
        <v>0.05</v>
      </c>
      <c r="E532" s="13">
        <v>0.05</v>
      </c>
      <c r="F532" s="13" t="s">
        <v>1175</v>
      </c>
      <c r="G532" s="13" t="s">
        <v>1091</v>
      </c>
      <c r="H532" s="13"/>
      <c r="I532" s="4" t="s">
        <v>1175</v>
      </c>
    </row>
    <row r="533" spans="1:9" ht="15.75" customHeight="1" x14ac:dyDescent="0.25">
      <c r="A533" s="10">
        <f t="shared" si="23"/>
        <v>1</v>
      </c>
      <c r="B533" s="10" t="s">
        <v>3044</v>
      </c>
      <c r="C533" s="11" t="s">
        <v>70</v>
      </c>
      <c r="D533" s="13">
        <f>E533*$D$1</f>
        <v>450</v>
      </c>
      <c r="E533" s="13">
        <v>450</v>
      </c>
      <c r="F533" s="13" t="s">
        <v>1175</v>
      </c>
      <c r="G533" s="13" t="s">
        <v>1091</v>
      </c>
      <c r="H533" s="13"/>
      <c r="I533" s="4" t="s">
        <v>1175</v>
      </c>
    </row>
    <row r="534" spans="1:9" ht="15.75" customHeight="1" x14ac:dyDescent="0.25">
      <c r="A534" s="10">
        <f t="shared" si="23"/>
        <v>1</v>
      </c>
      <c r="B534" s="10" t="s">
        <v>25</v>
      </c>
      <c r="C534" s="11" t="s">
        <v>70</v>
      </c>
      <c r="D534" s="13">
        <f t="shared" ref="D534:D540" si="24">E534*$D$1</f>
        <v>80</v>
      </c>
      <c r="E534" s="13">
        <v>80</v>
      </c>
      <c r="F534" s="13" t="s">
        <v>1175</v>
      </c>
      <c r="G534" s="13" t="s">
        <v>1091</v>
      </c>
      <c r="H534" s="13"/>
      <c r="I534" s="4" t="s">
        <v>1175</v>
      </c>
    </row>
    <row r="535" spans="1:9" ht="15.75" customHeight="1" x14ac:dyDescent="0.25">
      <c r="A535" s="10">
        <f t="shared" si="23"/>
        <v>1</v>
      </c>
      <c r="B535" s="10" t="s">
        <v>3045</v>
      </c>
      <c r="C535" s="11" t="s">
        <v>70</v>
      </c>
      <c r="D535" s="13">
        <f t="shared" si="24"/>
        <v>160</v>
      </c>
      <c r="E535" s="13">
        <v>160</v>
      </c>
      <c r="F535" s="13" t="s">
        <v>1175</v>
      </c>
      <c r="G535" s="13" t="s">
        <v>1091</v>
      </c>
      <c r="H535" s="13"/>
      <c r="I535" s="4" t="s">
        <v>1175</v>
      </c>
    </row>
    <row r="536" spans="1:9" ht="15.75" customHeight="1" x14ac:dyDescent="0.25">
      <c r="A536" s="10">
        <f t="shared" si="23"/>
        <v>1</v>
      </c>
      <c r="B536" s="10" t="s">
        <v>3046</v>
      </c>
      <c r="C536" s="11" t="s">
        <v>70</v>
      </c>
      <c r="D536" s="13">
        <f t="shared" si="24"/>
        <v>140</v>
      </c>
      <c r="E536" s="13">
        <v>140</v>
      </c>
      <c r="F536" s="13" t="s">
        <v>1175</v>
      </c>
      <c r="G536" s="13" t="s">
        <v>1091</v>
      </c>
      <c r="H536" s="13"/>
      <c r="I536" s="4" t="s">
        <v>1175</v>
      </c>
    </row>
    <row r="537" spans="1:9" ht="15.75" customHeight="1" x14ac:dyDescent="0.25">
      <c r="A537" s="10">
        <f t="shared" si="23"/>
        <v>1</v>
      </c>
      <c r="B537" s="10" t="s">
        <v>3047</v>
      </c>
      <c r="C537" s="11" t="s">
        <v>70</v>
      </c>
      <c r="D537" s="13">
        <f t="shared" si="24"/>
        <v>25</v>
      </c>
      <c r="E537" s="13">
        <v>25</v>
      </c>
      <c r="F537" s="13" t="s">
        <v>1175</v>
      </c>
      <c r="G537" s="13" t="s">
        <v>1091</v>
      </c>
      <c r="H537" s="13"/>
      <c r="I537" s="4" t="s">
        <v>1175</v>
      </c>
    </row>
    <row r="538" spans="1:9" ht="15.75" customHeight="1" x14ac:dyDescent="0.25">
      <c r="A538" s="10">
        <f t="shared" si="23"/>
        <v>1</v>
      </c>
      <c r="B538" s="10" t="s">
        <v>3048</v>
      </c>
      <c r="C538" s="11" t="s">
        <v>70</v>
      </c>
      <c r="D538" s="13">
        <f t="shared" si="24"/>
        <v>260</v>
      </c>
      <c r="E538" s="13">
        <v>260</v>
      </c>
      <c r="F538" s="13" t="s">
        <v>1175</v>
      </c>
      <c r="G538" s="13" t="s">
        <v>1091</v>
      </c>
      <c r="H538" s="13"/>
      <c r="I538" s="4" t="s">
        <v>1175</v>
      </c>
    </row>
    <row r="539" spans="1:9" ht="15.75" customHeight="1" x14ac:dyDescent="0.25">
      <c r="A539" s="10">
        <f t="shared" si="23"/>
        <v>1</v>
      </c>
      <c r="B539" s="10" t="s">
        <v>3049</v>
      </c>
      <c r="C539" s="11" t="s">
        <v>70</v>
      </c>
      <c r="D539" s="13">
        <f t="shared" si="24"/>
        <v>320</v>
      </c>
      <c r="E539" s="13">
        <v>320</v>
      </c>
      <c r="F539" s="13" t="s">
        <v>1175</v>
      </c>
      <c r="G539" s="13" t="s">
        <v>1091</v>
      </c>
      <c r="H539" s="13"/>
      <c r="I539" s="4" t="s">
        <v>1175</v>
      </c>
    </row>
    <row r="540" spans="1:9" ht="15.75" customHeight="1" x14ac:dyDescent="0.25">
      <c r="A540" s="10">
        <f t="shared" si="23"/>
        <v>1</v>
      </c>
      <c r="B540" s="10" t="s">
        <v>3050</v>
      </c>
      <c r="C540" s="11" t="s">
        <v>70</v>
      </c>
      <c r="D540" s="13">
        <f t="shared" si="24"/>
        <v>90</v>
      </c>
      <c r="E540" s="13">
        <v>90</v>
      </c>
      <c r="F540" s="13" t="s">
        <v>1175</v>
      </c>
      <c r="G540" s="13" t="s">
        <v>1091</v>
      </c>
      <c r="H540" s="13"/>
      <c r="I540" s="4" t="s">
        <v>1175</v>
      </c>
    </row>
    <row r="541" spans="1:9" ht="15.75" customHeight="1" x14ac:dyDescent="0.25">
      <c r="A541" s="10">
        <f t="shared" si="23"/>
        <v>1</v>
      </c>
      <c r="B541" s="10" t="s">
        <v>641</v>
      </c>
      <c r="C541" s="11" t="s">
        <v>70</v>
      </c>
      <c r="D541" s="13">
        <f t="shared" si="16"/>
        <v>1904.7619047619048</v>
      </c>
      <c r="E541" s="13">
        <v>1904.7619047619048</v>
      </c>
      <c r="F541" s="13" t="s">
        <v>1175</v>
      </c>
      <c r="G541" s="13" t="s">
        <v>1091</v>
      </c>
      <c r="H541" s="13"/>
      <c r="I541" s="4" t="s">
        <v>1175</v>
      </c>
    </row>
    <row r="542" spans="1:9" ht="15.75" customHeight="1" x14ac:dyDescent="0.25">
      <c r="A542" s="10">
        <f t="shared" si="23"/>
        <v>1</v>
      </c>
      <c r="B542" s="10" t="s">
        <v>640</v>
      </c>
      <c r="C542" s="11" t="s">
        <v>113</v>
      </c>
      <c r="D542" s="13">
        <f t="shared" si="16"/>
        <v>133.33333333333334</v>
      </c>
      <c r="E542" s="13">
        <v>133.33333333333334</v>
      </c>
      <c r="F542" s="13" t="s">
        <v>1175</v>
      </c>
      <c r="G542" s="13" t="s">
        <v>1091</v>
      </c>
      <c r="H542" s="13"/>
      <c r="I542" s="4" t="s">
        <v>1175</v>
      </c>
    </row>
    <row r="543" spans="1:9" x14ac:dyDescent="0.25">
      <c r="A543" s="10">
        <f t="shared" si="23"/>
        <v>1</v>
      </c>
      <c r="B543" s="82" t="s">
        <v>1735</v>
      </c>
      <c r="C543" s="83" t="s">
        <v>197</v>
      </c>
      <c r="D543" s="84">
        <f>E543*$D$1</f>
        <v>33.9</v>
      </c>
      <c r="E543" s="84">
        <v>33.9</v>
      </c>
      <c r="F543" s="84" t="s">
        <v>1175</v>
      </c>
      <c r="G543" s="84" t="s">
        <v>1091</v>
      </c>
      <c r="H543" s="84"/>
      <c r="I543" s="4" t="s">
        <v>1175</v>
      </c>
    </row>
    <row r="544" spans="1:9" ht="15.75" customHeight="1" x14ac:dyDescent="0.25">
      <c r="A544" s="10">
        <f t="shared" si="23"/>
        <v>1</v>
      </c>
      <c r="B544" s="10" t="s">
        <v>893</v>
      </c>
      <c r="C544" s="11" t="s">
        <v>642</v>
      </c>
      <c r="D544" s="13">
        <f t="shared" si="16"/>
        <v>85.55</v>
      </c>
      <c r="E544" s="13">
        <v>85.55</v>
      </c>
      <c r="F544" s="13" t="s">
        <v>1175</v>
      </c>
      <c r="G544" s="13" t="s">
        <v>1091</v>
      </c>
      <c r="H544" s="13"/>
      <c r="I544" s="4" t="s">
        <v>1175</v>
      </c>
    </row>
    <row r="545" spans="1:9" ht="15.75" customHeight="1" x14ac:dyDescent="0.25">
      <c r="A545" s="10">
        <f t="shared" si="23"/>
        <v>1</v>
      </c>
      <c r="B545" s="10" t="s">
        <v>2856</v>
      </c>
      <c r="C545" s="11" t="s">
        <v>206</v>
      </c>
      <c r="D545" s="13">
        <f>E545*$D$1</f>
        <v>38</v>
      </c>
      <c r="E545" s="13">
        <v>38</v>
      </c>
      <c r="F545" s="13" t="s">
        <v>1175</v>
      </c>
      <c r="G545" s="13" t="s">
        <v>1186</v>
      </c>
      <c r="H545" s="13"/>
      <c r="I545" s="4" t="s">
        <v>1175</v>
      </c>
    </row>
    <row r="546" spans="1:9" ht="15.75" customHeight="1" x14ac:dyDescent="0.25">
      <c r="A546" s="10">
        <f t="shared" si="23"/>
        <v>1</v>
      </c>
      <c r="B546" s="10" t="s">
        <v>661</v>
      </c>
      <c r="C546" s="11" t="s">
        <v>206</v>
      </c>
      <c r="D546" s="13">
        <f t="shared" si="16"/>
        <v>43.8</v>
      </c>
      <c r="E546" s="13">
        <v>43.8</v>
      </c>
      <c r="F546" s="13" t="s">
        <v>1175</v>
      </c>
      <c r="G546" s="13" t="s">
        <v>1186</v>
      </c>
      <c r="H546" s="13"/>
      <c r="I546" s="4" t="s">
        <v>1175</v>
      </c>
    </row>
    <row r="547" spans="1:9" ht="15.75" customHeight="1" x14ac:dyDescent="0.25">
      <c r="A547" s="10">
        <f t="shared" si="23"/>
        <v>1</v>
      </c>
      <c r="B547" s="10" t="s">
        <v>507</v>
      </c>
      <c r="C547" s="11" t="s">
        <v>206</v>
      </c>
      <c r="D547" s="13">
        <f t="shared" si="16"/>
        <v>11.15</v>
      </c>
      <c r="E547" s="13">
        <v>11.15</v>
      </c>
      <c r="F547" s="13" t="s">
        <v>1175</v>
      </c>
      <c r="G547" s="13" t="s">
        <v>1186</v>
      </c>
      <c r="H547" s="13"/>
      <c r="I547" s="4" t="s">
        <v>1175</v>
      </c>
    </row>
    <row r="548" spans="1:9" ht="15.75" customHeight="1" x14ac:dyDescent="0.25">
      <c r="A548" s="10">
        <f t="shared" si="23"/>
        <v>1</v>
      </c>
      <c r="B548" s="10" t="s">
        <v>868</v>
      </c>
      <c r="C548" s="11" t="s">
        <v>70</v>
      </c>
      <c r="D548" s="13">
        <f t="shared" si="16"/>
        <v>503</v>
      </c>
      <c r="E548" s="13">
        <v>503</v>
      </c>
      <c r="F548" s="13" t="s">
        <v>1175</v>
      </c>
      <c r="G548" s="13" t="s">
        <v>1175</v>
      </c>
      <c r="H548" s="13"/>
      <c r="I548" s="4" t="s">
        <v>1175</v>
      </c>
    </row>
    <row r="549" spans="1:9" ht="15.75" customHeight="1" x14ac:dyDescent="0.25">
      <c r="A549" s="10">
        <f t="shared" si="23"/>
        <v>1</v>
      </c>
      <c r="B549" s="10" t="s">
        <v>1011</v>
      </c>
      <c r="C549" s="11" t="s">
        <v>70</v>
      </c>
      <c r="D549" s="13">
        <f t="shared" si="16"/>
        <v>880</v>
      </c>
      <c r="E549" s="13">
        <v>880</v>
      </c>
      <c r="F549" s="13" t="s">
        <v>1175</v>
      </c>
      <c r="G549" s="13" t="s">
        <v>1175</v>
      </c>
      <c r="H549" s="13"/>
      <c r="I549" s="4" t="s">
        <v>1175</v>
      </c>
    </row>
    <row r="550" spans="1:9" ht="15.75" customHeight="1" x14ac:dyDescent="0.25">
      <c r="A550" s="10">
        <f t="shared" si="23"/>
        <v>1</v>
      </c>
      <c r="B550" s="10" t="s">
        <v>1455</v>
      </c>
      <c r="C550" s="11" t="s">
        <v>70</v>
      </c>
      <c r="D550" s="13">
        <f t="shared" si="16"/>
        <v>986.4</v>
      </c>
      <c r="E550" s="13">
        <f>411*1.2*2</f>
        <v>986.4</v>
      </c>
      <c r="F550" s="13" t="s">
        <v>1175</v>
      </c>
      <c r="G550" s="13" t="s">
        <v>1175</v>
      </c>
      <c r="H550" s="13"/>
      <c r="I550" s="4" t="s">
        <v>1175</v>
      </c>
    </row>
    <row r="551" spans="1:9" ht="15.75" customHeight="1" x14ac:dyDescent="0.25">
      <c r="A551" s="10">
        <f t="shared" si="23"/>
        <v>1</v>
      </c>
      <c r="B551" s="10" t="s">
        <v>912</v>
      </c>
      <c r="C551" s="11" t="s">
        <v>70</v>
      </c>
      <c r="D551" s="13">
        <f>E551*$D$1</f>
        <v>1200</v>
      </c>
      <c r="E551" s="13">
        <v>1200</v>
      </c>
      <c r="F551" s="13" t="s">
        <v>1175</v>
      </c>
      <c r="G551" s="13" t="s">
        <v>1175</v>
      </c>
      <c r="H551" s="13"/>
      <c r="I551" s="4" t="s">
        <v>1175</v>
      </c>
    </row>
    <row r="552" spans="1:9" ht="15.75" customHeight="1" x14ac:dyDescent="0.25">
      <c r="A552" s="10">
        <f t="shared" si="23"/>
        <v>1</v>
      </c>
      <c r="B552" s="10" t="s">
        <v>882</v>
      </c>
      <c r="C552" s="11" t="s">
        <v>70</v>
      </c>
      <c r="D552" s="13">
        <f t="shared" si="16"/>
        <v>1200</v>
      </c>
      <c r="E552" s="13">
        <v>1200</v>
      </c>
      <c r="F552" s="13" t="s">
        <v>1175</v>
      </c>
      <c r="G552" s="13" t="s">
        <v>1175</v>
      </c>
      <c r="H552" s="13"/>
      <c r="I552" s="4" t="s">
        <v>1175</v>
      </c>
    </row>
    <row r="553" spans="1:9" ht="15.75" customHeight="1" x14ac:dyDescent="0.25">
      <c r="A553" s="10">
        <f t="shared" si="23"/>
        <v>1</v>
      </c>
      <c r="B553" s="10" t="s">
        <v>883</v>
      </c>
      <c r="C553" s="11" t="s">
        <v>70</v>
      </c>
      <c r="D553" s="13">
        <f t="shared" si="16"/>
        <v>1200</v>
      </c>
      <c r="E553" s="13">
        <v>1200</v>
      </c>
      <c r="F553" s="13" t="s">
        <v>1175</v>
      </c>
      <c r="G553" s="13" t="s">
        <v>1175</v>
      </c>
      <c r="H553" s="13"/>
      <c r="I553" s="4" t="s">
        <v>1175</v>
      </c>
    </row>
    <row r="554" spans="1:9" ht="15.75" customHeight="1" x14ac:dyDescent="0.25">
      <c r="A554" s="10">
        <f t="shared" si="23"/>
        <v>1</v>
      </c>
      <c r="B554" s="10" t="s">
        <v>523</v>
      </c>
      <c r="C554" s="11" t="s">
        <v>70</v>
      </c>
      <c r="D554" s="13">
        <f t="shared" si="16"/>
        <v>251.36</v>
      </c>
      <c r="E554" s="13">
        <v>251.36</v>
      </c>
      <c r="F554" s="13" t="s">
        <v>1175</v>
      </c>
      <c r="G554" s="13" t="s">
        <v>1175</v>
      </c>
      <c r="H554" s="13"/>
      <c r="I554" s="4" t="s">
        <v>1175</v>
      </c>
    </row>
    <row r="555" spans="1:9" ht="15.75" customHeight="1" x14ac:dyDescent="0.25">
      <c r="A555" s="10">
        <f t="shared" si="23"/>
        <v>1</v>
      </c>
      <c r="B555" s="10" t="s">
        <v>505</v>
      </c>
      <c r="C555" s="11" t="s">
        <v>70</v>
      </c>
      <c r="D555" s="13">
        <f t="shared" si="16"/>
        <v>47.23</v>
      </c>
      <c r="E555" s="13">
        <v>47.23</v>
      </c>
      <c r="F555" s="13" t="s">
        <v>1175</v>
      </c>
      <c r="G555" s="13" t="s">
        <v>1175</v>
      </c>
      <c r="H555" s="13"/>
      <c r="I555" s="4" t="s">
        <v>1175</v>
      </c>
    </row>
    <row r="556" spans="1:9" ht="15.75" customHeight="1" x14ac:dyDescent="0.25">
      <c r="A556" s="10">
        <f t="shared" si="23"/>
        <v>1</v>
      </c>
      <c r="B556" s="10" t="s">
        <v>1510</v>
      </c>
      <c r="C556" s="11" t="s">
        <v>70</v>
      </c>
      <c r="D556" s="13">
        <f>E556*$D$1</f>
        <v>250</v>
      </c>
      <c r="E556" s="13">
        <v>250</v>
      </c>
      <c r="F556" s="13" t="s">
        <v>1175</v>
      </c>
      <c r="G556" s="13" t="s">
        <v>1175</v>
      </c>
      <c r="H556" s="13"/>
      <c r="I556" s="4" t="s">
        <v>1175</v>
      </c>
    </row>
    <row r="557" spans="1:9" ht="15.75" customHeight="1" x14ac:dyDescent="0.25">
      <c r="A557" s="10">
        <f t="shared" si="23"/>
        <v>1</v>
      </c>
      <c r="B557" s="10" t="s">
        <v>701</v>
      </c>
      <c r="C557" s="11" t="s">
        <v>70</v>
      </c>
      <c r="D557" s="13">
        <f t="shared" si="16"/>
        <v>56.675999999999995</v>
      </c>
      <c r="E557" s="13">
        <v>56.675999999999995</v>
      </c>
      <c r="F557" s="13" t="s">
        <v>1175</v>
      </c>
      <c r="G557" s="13" t="s">
        <v>1175</v>
      </c>
      <c r="H557" s="13"/>
      <c r="I557" s="4" t="s">
        <v>1175</v>
      </c>
    </row>
    <row r="558" spans="1:9" ht="14.25" x14ac:dyDescent="0.2">
      <c r="A558" s="10">
        <f t="shared" si="23"/>
        <v>1</v>
      </c>
      <c r="B558" s="82" t="s">
        <v>1799</v>
      </c>
      <c r="C558" s="83" t="s">
        <v>70</v>
      </c>
      <c r="D558" s="84">
        <f>E558*$D$1</f>
        <v>177</v>
      </c>
      <c r="E558" s="84">
        <v>177</v>
      </c>
      <c r="F558" s="84" t="s">
        <v>1175</v>
      </c>
      <c r="G558" s="84" t="s">
        <v>1175</v>
      </c>
      <c r="H558" s="84"/>
      <c r="I558" s="85" t="s">
        <v>1175</v>
      </c>
    </row>
    <row r="559" spans="1:9" ht="14.25" x14ac:dyDescent="0.2">
      <c r="A559" s="10">
        <f t="shared" si="23"/>
        <v>1</v>
      </c>
      <c r="B559" s="82" t="s">
        <v>1798</v>
      </c>
      <c r="C559" s="83" t="s">
        <v>70</v>
      </c>
      <c r="D559" s="84">
        <f>E559*$D$1</f>
        <v>63.59</v>
      </c>
      <c r="E559" s="84">
        <v>63.59</v>
      </c>
      <c r="F559" s="84" t="s">
        <v>1175</v>
      </c>
      <c r="G559" s="84" t="s">
        <v>1175</v>
      </c>
      <c r="H559" s="84"/>
      <c r="I559" s="85" t="s">
        <v>1175</v>
      </c>
    </row>
    <row r="560" spans="1:9" ht="15.75" customHeight="1" x14ac:dyDescent="0.25">
      <c r="A560" s="10">
        <f t="shared" si="23"/>
        <v>1</v>
      </c>
      <c r="B560" s="10" t="s">
        <v>638</v>
      </c>
      <c r="C560" s="11" t="s">
        <v>70</v>
      </c>
      <c r="D560" s="13">
        <f t="shared" si="16"/>
        <v>146.69999999999999</v>
      </c>
      <c r="E560" s="13">
        <v>146.69999999999999</v>
      </c>
      <c r="F560" s="13" t="s">
        <v>1175</v>
      </c>
      <c r="G560" s="13" t="s">
        <v>1175</v>
      </c>
      <c r="H560" s="13"/>
      <c r="I560" s="4" t="s">
        <v>1175</v>
      </c>
    </row>
    <row r="561" spans="1:9" ht="14.25" x14ac:dyDescent="0.2">
      <c r="A561" s="10">
        <f t="shared" si="23"/>
        <v>1</v>
      </c>
      <c r="B561" s="82" t="s">
        <v>3132</v>
      </c>
      <c r="C561" s="83" t="s">
        <v>70</v>
      </c>
      <c r="D561" s="84">
        <f t="shared" ref="D561:D571" si="25">E561*$D$1</f>
        <v>240</v>
      </c>
      <c r="E561" s="84">
        <v>240</v>
      </c>
      <c r="F561" s="84" t="s">
        <v>1175</v>
      </c>
      <c r="G561" s="84" t="s">
        <v>1175</v>
      </c>
      <c r="H561" s="84"/>
      <c r="I561" s="85" t="s">
        <v>1175</v>
      </c>
    </row>
    <row r="562" spans="1:9" ht="14.25" x14ac:dyDescent="0.2">
      <c r="A562" s="10">
        <f t="shared" si="23"/>
        <v>1</v>
      </c>
      <c r="B562" s="82" t="s">
        <v>3133</v>
      </c>
      <c r="C562" s="83" t="s">
        <v>70</v>
      </c>
      <c r="D562" s="84">
        <f t="shared" si="25"/>
        <v>216</v>
      </c>
      <c r="E562" s="84">
        <v>216</v>
      </c>
      <c r="F562" s="84" t="s">
        <v>1175</v>
      </c>
      <c r="G562" s="84" t="s">
        <v>1175</v>
      </c>
      <c r="H562" s="84"/>
      <c r="I562" s="85" t="s">
        <v>1175</v>
      </c>
    </row>
    <row r="563" spans="1:9" ht="14.25" x14ac:dyDescent="0.2">
      <c r="A563" s="10">
        <f t="shared" si="23"/>
        <v>1</v>
      </c>
      <c r="B563" s="82" t="s">
        <v>3134</v>
      </c>
      <c r="C563" s="83" t="s">
        <v>70</v>
      </c>
      <c r="D563" s="84">
        <f t="shared" si="25"/>
        <v>288</v>
      </c>
      <c r="E563" s="84">
        <v>288</v>
      </c>
      <c r="F563" s="84" t="s">
        <v>1175</v>
      </c>
      <c r="G563" s="84" t="s">
        <v>1175</v>
      </c>
      <c r="H563" s="84"/>
      <c r="I563" s="85" t="s">
        <v>1175</v>
      </c>
    </row>
    <row r="564" spans="1:9" ht="14.25" x14ac:dyDescent="0.2">
      <c r="A564" s="10">
        <f>COUNTIFS($B$2:$B$996,B564)</f>
        <v>1</v>
      </c>
      <c r="B564" s="82" t="s">
        <v>3534</v>
      </c>
      <c r="C564" s="83" t="s">
        <v>70</v>
      </c>
      <c r="D564" s="84">
        <f>E564*$D$1</f>
        <v>596.16</v>
      </c>
      <c r="E564" s="84">
        <f>16.56*36</f>
        <v>596.16</v>
      </c>
      <c r="F564" s="84" t="s">
        <v>1175</v>
      </c>
      <c r="G564" s="84" t="s">
        <v>1175</v>
      </c>
      <c r="H564" s="84"/>
      <c r="I564" s="85" t="s">
        <v>1175</v>
      </c>
    </row>
    <row r="565" spans="1:9" ht="14.25" x14ac:dyDescent="0.2">
      <c r="A565" s="10">
        <f>COUNTIFS($B$2:$B$996,B565)</f>
        <v>1</v>
      </c>
      <c r="B565" s="82" t="s">
        <v>3535</v>
      </c>
      <c r="C565" s="83" t="s">
        <v>70</v>
      </c>
      <c r="D565" s="84">
        <f>E565*$D$1</f>
        <v>636.48</v>
      </c>
      <c r="E565" s="84">
        <f>17.68*36</f>
        <v>636.48</v>
      </c>
      <c r="F565" s="84" t="s">
        <v>1175</v>
      </c>
      <c r="G565" s="84" t="s">
        <v>1175</v>
      </c>
      <c r="H565" s="84"/>
      <c r="I565" s="85" t="s">
        <v>1175</v>
      </c>
    </row>
    <row r="566" spans="1:9" ht="14.25" x14ac:dyDescent="0.2">
      <c r="A566" s="10">
        <f t="shared" si="23"/>
        <v>1</v>
      </c>
      <c r="B566" s="82" t="s">
        <v>3532</v>
      </c>
      <c r="C566" s="83" t="s">
        <v>70</v>
      </c>
      <c r="D566" s="84">
        <f t="shared" si="25"/>
        <v>993.59999999999991</v>
      </c>
      <c r="E566" s="84">
        <f>16.56*60</f>
        <v>993.59999999999991</v>
      </c>
      <c r="F566" s="84" t="s">
        <v>1175</v>
      </c>
      <c r="G566" s="84" t="s">
        <v>1175</v>
      </c>
      <c r="H566" s="84"/>
      <c r="I566" s="85" t="s">
        <v>1175</v>
      </c>
    </row>
    <row r="567" spans="1:9" ht="14.25" x14ac:dyDescent="0.2">
      <c r="A567" s="10">
        <f t="shared" si="23"/>
        <v>1</v>
      </c>
      <c r="B567" s="82" t="s">
        <v>3533</v>
      </c>
      <c r="C567" s="83" t="s">
        <v>70</v>
      </c>
      <c r="D567" s="84">
        <f t="shared" si="25"/>
        <v>1060.8</v>
      </c>
      <c r="E567" s="84">
        <f>17.68*60</f>
        <v>1060.8</v>
      </c>
      <c r="F567" s="84" t="s">
        <v>1175</v>
      </c>
      <c r="G567" s="84" t="s">
        <v>1175</v>
      </c>
      <c r="H567" s="84"/>
      <c r="I567" s="85" t="s">
        <v>1175</v>
      </c>
    </row>
    <row r="568" spans="1:9" ht="14.25" x14ac:dyDescent="0.2">
      <c r="A568" s="10">
        <f t="shared" si="23"/>
        <v>1</v>
      </c>
      <c r="B568" s="82" t="s">
        <v>3136</v>
      </c>
      <c r="C568" s="83" t="s">
        <v>70</v>
      </c>
      <c r="D568" s="84">
        <f t="shared" si="25"/>
        <v>170</v>
      </c>
      <c r="E568" s="84">
        <v>170</v>
      </c>
      <c r="F568" s="84" t="s">
        <v>1175</v>
      </c>
      <c r="G568" s="84" t="s">
        <v>1175</v>
      </c>
      <c r="H568" s="84"/>
      <c r="I568" s="85" t="s">
        <v>1175</v>
      </c>
    </row>
    <row r="569" spans="1:9" ht="14.25" x14ac:dyDescent="0.2">
      <c r="A569" s="10">
        <f t="shared" si="23"/>
        <v>1</v>
      </c>
      <c r="B569" s="82" t="s">
        <v>3135</v>
      </c>
      <c r="C569" s="83" t="s">
        <v>70</v>
      </c>
      <c r="D569" s="84">
        <f t="shared" si="25"/>
        <v>130.04</v>
      </c>
      <c r="E569" s="84">
        <v>130.04</v>
      </c>
      <c r="F569" s="84" t="s">
        <v>1175</v>
      </c>
      <c r="G569" s="84" t="s">
        <v>1175</v>
      </c>
      <c r="H569" s="84"/>
      <c r="I569" s="85" t="s">
        <v>1175</v>
      </c>
    </row>
    <row r="570" spans="1:9" ht="14.25" x14ac:dyDescent="0.2">
      <c r="A570" s="10">
        <f t="shared" si="23"/>
        <v>1</v>
      </c>
      <c r="B570" s="82" t="s">
        <v>1800</v>
      </c>
      <c r="C570" s="83" t="s">
        <v>70</v>
      </c>
      <c r="D570" s="84">
        <f t="shared" si="25"/>
        <v>69.944444444444443</v>
      </c>
      <c r="E570" s="84">
        <f>125.9/1.8</f>
        <v>69.944444444444443</v>
      </c>
      <c r="F570" s="84" t="s">
        <v>1175</v>
      </c>
      <c r="G570" s="84" t="s">
        <v>1175</v>
      </c>
      <c r="H570" s="84"/>
      <c r="I570" s="85" t="s">
        <v>1175</v>
      </c>
    </row>
    <row r="571" spans="1:9" ht="14.25" x14ac:dyDescent="0.2">
      <c r="A571" s="10">
        <f t="shared" si="23"/>
        <v>1</v>
      </c>
      <c r="B571" s="82" t="s">
        <v>1801</v>
      </c>
      <c r="C571" s="83" t="s">
        <v>70</v>
      </c>
      <c r="D571" s="84">
        <f t="shared" si="25"/>
        <v>75</v>
      </c>
      <c r="E571" s="84">
        <v>75</v>
      </c>
      <c r="F571" s="84" t="s">
        <v>1175</v>
      </c>
      <c r="G571" s="84" t="s">
        <v>1175</v>
      </c>
      <c r="H571" s="84"/>
      <c r="I571" s="85" t="s">
        <v>1175</v>
      </c>
    </row>
    <row r="572" spans="1:9" ht="14.25" x14ac:dyDescent="0.2">
      <c r="A572" s="10">
        <f t="shared" si="23"/>
        <v>1</v>
      </c>
      <c r="B572" s="82" t="s">
        <v>1802</v>
      </c>
      <c r="C572" s="83" t="s">
        <v>70</v>
      </c>
      <c r="D572" s="84">
        <f t="shared" ref="D572:D603" si="26">E572*$D$1</f>
        <v>62.9</v>
      </c>
      <c r="E572" s="84">
        <v>62.9</v>
      </c>
      <c r="F572" s="84" t="s">
        <v>1175</v>
      </c>
      <c r="G572" s="84" t="s">
        <v>1175</v>
      </c>
      <c r="H572" s="84"/>
      <c r="I572" s="85" t="s">
        <v>1175</v>
      </c>
    </row>
    <row r="573" spans="1:9" ht="14.25" x14ac:dyDescent="0.2">
      <c r="A573" s="10">
        <f t="shared" si="23"/>
        <v>1</v>
      </c>
      <c r="B573" s="82" t="s">
        <v>1803</v>
      </c>
      <c r="C573" s="83" t="s">
        <v>70</v>
      </c>
      <c r="D573" s="84">
        <f>E573*$D$1</f>
        <v>143.72999999999999</v>
      </c>
      <c r="E573" s="84">
        <v>143.72999999999999</v>
      </c>
      <c r="F573" s="84" t="s">
        <v>1175</v>
      </c>
      <c r="G573" s="84" t="s">
        <v>1175</v>
      </c>
      <c r="H573" s="84"/>
      <c r="I573" s="85" t="s">
        <v>1175</v>
      </c>
    </row>
    <row r="574" spans="1:9" ht="14.25" x14ac:dyDescent="0.2">
      <c r="A574" s="10">
        <f t="shared" si="23"/>
        <v>1</v>
      </c>
      <c r="B574" s="82" t="s">
        <v>1804</v>
      </c>
      <c r="C574" s="83" t="s">
        <v>70</v>
      </c>
      <c r="D574" s="84">
        <f t="shared" si="26"/>
        <v>119.99</v>
      </c>
      <c r="E574" s="84">
        <v>119.99</v>
      </c>
      <c r="F574" s="84" t="s">
        <v>1175</v>
      </c>
      <c r="G574" s="84" t="s">
        <v>1175</v>
      </c>
      <c r="H574" s="84"/>
      <c r="I574" s="85" t="s">
        <v>1175</v>
      </c>
    </row>
    <row r="575" spans="1:9" ht="14.25" x14ac:dyDescent="0.2">
      <c r="A575" s="10">
        <f t="shared" si="23"/>
        <v>1</v>
      </c>
      <c r="B575" s="82" t="s">
        <v>1805</v>
      </c>
      <c r="C575" s="83" t="s">
        <v>70</v>
      </c>
      <c r="D575" s="84">
        <f t="shared" si="26"/>
        <v>78.930000000000007</v>
      </c>
      <c r="E575" s="84">
        <v>78.930000000000007</v>
      </c>
      <c r="F575" s="84" t="s">
        <v>1175</v>
      </c>
      <c r="G575" s="84" t="s">
        <v>1175</v>
      </c>
      <c r="H575" s="84"/>
      <c r="I575" s="85" t="s">
        <v>1175</v>
      </c>
    </row>
    <row r="576" spans="1:9" ht="14.25" x14ac:dyDescent="0.2">
      <c r="A576" s="10">
        <f t="shared" si="23"/>
        <v>1</v>
      </c>
      <c r="B576" s="82" t="s">
        <v>1806</v>
      </c>
      <c r="C576" s="83" t="s">
        <v>70</v>
      </c>
      <c r="D576" s="84">
        <f t="shared" si="26"/>
        <v>143.76</v>
      </c>
      <c r="E576" s="84">
        <v>143.76</v>
      </c>
      <c r="F576" s="84" t="s">
        <v>1175</v>
      </c>
      <c r="G576" s="84" t="s">
        <v>1175</v>
      </c>
      <c r="H576" s="84"/>
      <c r="I576" s="85" t="s">
        <v>1175</v>
      </c>
    </row>
    <row r="577" spans="1:9" ht="14.25" x14ac:dyDescent="0.2">
      <c r="A577" s="10">
        <f t="shared" si="23"/>
        <v>1</v>
      </c>
      <c r="B577" s="82" t="s">
        <v>1807</v>
      </c>
      <c r="C577" s="83" t="s">
        <v>70</v>
      </c>
      <c r="D577" s="84">
        <f t="shared" si="26"/>
        <v>135</v>
      </c>
      <c r="E577" s="84">
        <v>135</v>
      </c>
      <c r="F577" s="84" t="s">
        <v>1175</v>
      </c>
      <c r="G577" s="84" t="s">
        <v>1175</v>
      </c>
      <c r="H577" s="84"/>
      <c r="I577" s="85" t="s">
        <v>1175</v>
      </c>
    </row>
    <row r="578" spans="1:9" ht="14.25" x14ac:dyDescent="0.2">
      <c r="A578" s="10">
        <f t="shared" ref="A578:A641" si="27">COUNTIFS($B$2:$B$996,B578)</f>
        <v>1</v>
      </c>
      <c r="B578" s="82" t="s">
        <v>1808</v>
      </c>
      <c r="C578" s="83" t="s">
        <v>70</v>
      </c>
      <c r="D578" s="84">
        <f t="shared" si="26"/>
        <v>220</v>
      </c>
      <c r="E578" s="84">
        <v>220</v>
      </c>
      <c r="F578" s="84" t="s">
        <v>1175</v>
      </c>
      <c r="G578" s="84" t="s">
        <v>1175</v>
      </c>
      <c r="H578" s="84"/>
      <c r="I578" s="85" t="s">
        <v>1175</v>
      </c>
    </row>
    <row r="579" spans="1:9" ht="14.25" x14ac:dyDescent="0.2">
      <c r="A579" s="10">
        <f t="shared" si="27"/>
        <v>1</v>
      </c>
      <c r="B579" s="82" t="s">
        <v>2986</v>
      </c>
      <c r="C579" s="83" t="s">
        <v>70</v>
      </c>
      <c r="D579" s="84">
        <f>E579*$D$1</f>
        <v>84.51</v>
      </c>
      <c r="E579" s="84">
        <v>84.51</v>
      </c>
      <c r="F579" s="84" t="s">
        <v>1175</v>
      </c>
      <c r="G579" s="84" t="s">
        <v>1175</v>
      </c>
      <c r="H579" s="84"/>
      <c r="I579" s="85" t="s">
        <v>1175</v>
      </c>
    </row>
    <row r="580" spans="1:9" ht="14.25" x14ac:dyDescent="0.2">
      <c r="A580" s="10">
        <f t="shared" si="27"/>
        <v>1</v>
      </c>
      <c r="B580" s="82" t="s">
        <v>1809</v>
      </c>
      <c r="C580" s="83" t="s">
        <v>70</v>
      </c>
      <c r="D580" s="84">
        <f t="shared" si="26"/>
        <v>115</v>
      </c>
      <c r="E580" s="84">
        <v>115</v>
      </c>
      <c r="F580" s="84" t="s">
        <v>1175</v>
      </c>
      <c r="G580" s="84" t="s">
        <v>1175</v>
      </c>
      <c r="H580" s="84"/>
      <c r="I580" s="85" t="s">
        <v>1175</v>
      </c>
    </row>
    <row r="581" spans="1:9" ht="14.25" x14ac:dyDescent="0.2">
      <c r="A581" s="10">
        <f t="shared" si="27"/>
        <v>1</v>
      </c>
      <c r="B581" s="82" t="s">
        <v>1810</v>
      </c>
      <c r="C581" s="83" t="s">
        <v>70</v>
      </c>
      <c r="D581" s="84">
        <f t="shared" si="26"/>
        <v>235</v>
      </c>
      <c r="E581" s="84">
        <v>235</v>
      </c>
      <c r="F581" s="84" t="s">
        <v>1175</v>
      </c>
      <c r="G581" s="84" t="s">
        <v>1175</v>
      </c>
      <c r="H581" s="84"/>
      <c r="I581" s="85" t="s">
        <v>1175</v>
      </c>
    </row>
    <row r="582" spans="1:9" ht="14.25" x14ac:dyDescent="0.2">
      <c r="A582" s="10">
        <f t="shared" si="27"/>
        <v>1</v>
      </c>
      <c r="B582" s="82" t="s">
        <v>1811</v>
      </c>
      <c r="C582" s="83" t="s">
        <v>70</v>
      </c>
      <c r="D582" s="84">
        <f t="shared" si="26"/>
        <v>568</v>
      </c>
      <c r="E582" s="84">
        <v>568</v>
      </c>
      <c r="F582" s="84" t="s">
        <v>1175</v>
      </c>
      <c r="G582" s="84" t="s">
        <v>1175</v>
      </c>
      <c r="H582" s="84"/>
      <c r="I582" s="85" t="s">
        <v>1175</v>
      </c>
    </row>
    <row r="583" spans="1:9" ht="14.25" x14ac:dyDescent="0.2">
      <c r="A583" s="10">
        <f t="shared" si="27"/>
        <v>1</v>
      </c>
      <c r="B583" s="82" t="s">
        <v>1812</v>
      </c>
      <c r="C583" s="83" t="s">
        <v>70</v>
      </c>
      <c r="D583" s="84">
        <f t="shared" si="26"/>
        <v>141</v>
      </c>
      <c r="E583" s="84">
        <v>141</v>
      </c>
      <c r="F583" s="84" t="s">
        <v>1175</v>
      </c>
      <c r="G583" s="84" t="s">
        <v>1175</v>
      </c>
      <c r="H583" s="84"/>
      <c r="I583" s="85" t="s">
        <v>1175</v>
      </c>
    </row>
    <row r="584" spans="1:9" ht="14.25" x14ac:dyDescent="0.2">
      <c r="A584" s="10">
        <f t="shared" si="27"/>
        <v>1</v>
      </c>
      <c r="B584" s="82" t="s">
        <v>1813</v>
      </c>
      <c r="C584" s="83" t="s">
        <v>70</v>
      </c>
      <c r="D584" s="84">
        <f t="shared" si="26"/>
        <v>135</v>
      </c>
      <c r="E584" s="84">
        <v>135</v>
      </c>
      <c r="F584" s="84" t="s">
        <v>1175</v>
      </c>
      <c r="G584" s="84" t="s">
        <v>1175</v>
      </c>
      <c r="H584" s="84"/>
      <c r="I584" s="85" t="s">
        <v>1175</v>
      </c>
    </row>
    <row r="585" spans="1:9" ht="14.25" x14ac:dyDescent="0.2">
      <c r="A585" s="10">
        <f t="shared" si="27"/>
        <v>1</v>
      </c>
      <c r="B585" s="82" t="s">
        <v>1814</v>
      </c>
      <c r="C585" s="83" t="s">
        <v>70</v>
      </c>
      <c r="D585" s="84">
        <f t="shared" si="26"/>
        <v>211</v>
      </c>
      <c r="E585" s="84">
        <v>211</v>
      </c>
      <c r="F585" s="84" t="s">
        <v>1175</v>
      </c>
      <c r="G585" s="84" t="s">
        <v>1175</v>
      </c>
      <c r="H585" s="84"/>
      <c r="I585" s="85" t="s">
        <v>1175</v>
      </c>
    </row>
    <row r="586" spans="1:9" ht="14.25" x14ac:dyDescent="0.2">
      <c r="A586" s="10">
        <f t="shared" si="27"/>
        <v>1</v>
      </c>
      <c r="B586" s="82" t="s">
        <v>1815</v>
      </c>
      <c r="C586" s="83" t="s">
        <v>70</v>
      </c>
      <c r="D586" s="84">
        <f t="shared" si="26"/>
        <v>175</v>
      </c>
      <c r="E586" s="84">
        <v>175</v>
      </c>
      <c r="F586" s="84" t="s">
        <v>1175</v>
      </c>
      <c r="G586" s="84" t="s">
        <v>1175</v>
      </c>
      <c r="H586" s="84"/>
      <c r="I586" s="85" t="s">
        <v>1175</v>
      </c>
    </row>
    <row r="587" spans="1:9" ht="14.25" x14ac:dyDescent="0.2">
      <c r="A587" s="10">
        <f t="shared" si="27"/>
        <v>1</v>
      </c>
      <c r="B587" s="82" t="s">
        <v>1816</v>
      </c>
      <c r="C587" s="83" t="s">
        <v>70</v>
      </c>
      <c r="D587" s="84">
        <f t="shared" si="26"/>
        <v>89</v>
      </c>
      <c r="E587" s="84">
        <v>89</v>
      </c>
      <c r="F587" s="84" t="s">
        <v>1175</v>
      </c>
      <c r="G587" s="84" t="s">
        <v>1175</v>
      </c>
      <c r="H587" s="84"/>
      <c r="I587" s="85" t="s">
        <v>1175</v>
      </c>
    </row>
    <row r="588" spans="1:9" ht="14.25" x14ac:dyDescent="0.2">
      <c r="A588" s="10">
        <f t="shared" si="27"/>
        <v>1</v>
      </c>
      <c r="B588" s="82" t="s">
        <v>1817</v>
      </c>
      <c r="C588" s="83" t="s">
        <v>70</v>
      </c>
      <c r="D588" s="84">
        <f t="shared" si="26"/>
        <v>104</v>
      </c>
      <c r="E588" s="84">
        <v>104</v>
      </c>
      <c r="F588" s="84" t="s">
        <v>1175</v>
      </c>
      <c r="G588" s="84" t="s">
        <v>1175</v>
      </c>
      <c r="H588" s="84"/>
      <c r="I588" s="85" t="s">
        <v>1175</v>
      </c>
    </row>
    <row r="589" spans="1:9" ht="14.25" x14ac:dyDescent="0.2">
      <c r="A589" s="10">
        <f t="shared" si="27"/>
        <v>1</v>
      </c>
      <c r="B589" s="82" t="s">
        <v>1818</v>
      </c>
      <c r="C589" s="83" t="s">
        <v>70</v>
      </c>
      <c r="D589" s="84">
        <f t="shared" si="26"/>
        <v>481.5</v>
      </c>
      <c r="E589" s="84">
        <f>963/2</f>
        <v>481.5</v>
      </c>
      <c r="F589" s="84" t="s">
        <v>1175</v>
      </c>
      <c r="G589" s="84" t="s">
        <v>1175</v>
      </c>
      <c r="H589" s="84"/>
      <c r="I589" s="85" t="s">
        <v>1175</v>
      </c>
    </row>
    <row r="590" spans="1:9" ht="14.25" x14ac:dyDescent="0.2">
      <c r="A590" s="10">
        <f t="shared" si="27"/>
        <v>1</v>
      </c>
      <c r="B590" s="82" t="s">
        <v>1819</v>
      </c>
      <c r="C590" s="83" t="s">
        <v>70</v>
      </c>
      <c r="D590" s="84">
        <f t="shared" si="26"/>
        <v>474</v>
      </c>
      <c r="E590" s="84">
        <v>474</v>
      </c>
      <c r="F590" s="84" t="s">
        <v>1175</v>
      </c>
      <c r="G590" s="84" t="s">
        <v>1175</v>
      </c>
      <c r="H590" s="84"/>
      <c r="I590" s="85" t="s">
        <v>1175</v>
      </c>
    </row>
    <row r="591" spans="1:9" ht="14.25" x14ac:dyDescent="0.2">
      <c r="A591" s="10">
        <f t="shared" si="27"/>
        <v>1</v>
      </c>
      <c r="B591" s="82" t="s">
        <v>1820</v>
      </c>
      <c r="C591" s="83" t="s">
        <v>70</v>
      </c>
      <c r="D591" s="84">
        <f t="shared" si="26"/>
        <v>1060</v>
      </c>
      <c r="E591" s="84">
        <v>1060</v>
      </c>
      <c r="F591" s="84" t="s">
        <v>1175</v>
      </c>
      <c r="G591" s="84" t="s">
        <v>1175</v>
      </c>
      <c r="H591" s="84"/>
      <c r="I591" s="85" t="s">
        <v>1175</v>
      </c>
    </row>
    <row r="592" spans="1:9" ht="14.25" x14ac:dyDescent="0.2">
      <c r="A592" s="10">
        <f t="shared" si="27"/>
        <v>1</v>
      </c>
      <c r="B592" s="82" t="s">
        <v>1821</v>
      </c>
      <c r="C592" s="83" t="s">
        <v>70</v>
      </c>
      <c r="D592" s="84">
        <f>E592*$D$1</f>
        <v>648</v>
      </c>
      <c r="E592" s="84">
        <v>648</v>
      </c>
      <c r="F592" s="84" t="s">
        <v>1175</v>
      </c>
      <c r="G592" s="84" t="s">
        <v>1175</v>
      </c>
      <c r="H592" s="84"/>
      <c r="I592" s="85" t="s">
        <v>1175</v>
      </c>
    </row>
    <row r="593" spans="1:9" ht="14.25" x14ac:dyDescent="0.2">
      <c r="A593" s="10">
        <f t="shared" si="27"/>
        <v>1</v>
      </c>
      <c r="B593" s="82" t="s">
        <v>1822</v>
      </c>
      <c r="C593" s="83" t="s">
        <v>70</v>
      </c>
      <c r="D593" s="84">
        <f>E593*$D$1</f>
        <v>300</v>
      </c>
      <c r="E593" s="84">
        <v>300</v>
      </c>
      <c r="F593" s="84" t="s">
        <v>1201</v>
      </c>
      <c r="G593" s="84" t="s">
        <v>1201</v>
      </c>
      <c r="H593" s="84"/>
      <c r="I593" s="85" t="s">
        <v>1202</v>
      </c>
    </row>
    <row r="594" spans="1:9" ht="14.25" x14ac:dyDescent="0.2">
      <c r="A594" s="10">
        <f t="shared" si="27"/>
        <v>1</v>
      </c>
      <c r="B594" s="82" t="s">
        <v>1823</v>
      </c>
      <c r="C594" s="83" t="s">
        <v>70</v>
      </c>
      <c r="D594" s="84">
        <f t="shared" si="26"/>
        <v>67.510000000000005</v>
      </c>
      <c r="E594" s="84">
        <v>67.510000000000005</v>
      </c>
      <c r="F594" s="84" t="s">
        <v>1175</v>
      </c>
      <c r="G594" s="84" t="s">
        <v>1175</v>
      </c>
      <c r="H594" s="84"/>
      <c r="I594" s="85" t="s">
        <v>1175</v>
      </c>
    </row>
    <row r="595" spans="1:9" ht="14.25" x14ac:dyDescent="0.2">
      <c r="A595" s="10">
        <f t="shared" si="27"/>
        <v>1</v>
      </c>
      <c r="B595" s="82" t="s">
        <v>1824</v>
      </c>
      <c r="C595" s="83" t="s">
        <v>70</v>
      </c>
      <c r="D595" s="84">
        <f t="shared" si="26"/>
        <v>160</v>
      </c>
      <c r="E595" s="84">
        <v>160</v>
      </c>
      <c r="F595" s="84" t="s">
        <v>1175</v>
      </c>
      <c r="G595" s="84" t="s">
        <v>1175</v>
      </c>
      <c r="H595" s="84"/>
      <c r="I595" s="85" t="s">
        <v>1175</v>
      </c>
    </row>
    <row r="596" spans="1:9" ht="14.25" x14ac:dyDescent="0.2">
      <c r="A596" s="10">
        <f t="shared" si="27"/>
        <v>1</v>
      </c>
      <c r="B596" s="82" t="s">
        <v>1825</v>
      </c>
      <c r="C596" s="83" t="s">
        <v>70</v>
      </c>
      <c r="D596" s="84">
        <f t="shared" si="26"/>
        <v>145</v>
      </c>
      <c r="E596" s="84">
        <v>145</v>
      </c>
      <c r="F596" s="84" t="s">
        <v>1175</v>
      </c>
      <c r="G596" s="84" t="s">
        <v>1175</v>
      </c>
      <c r="H596" s="84"/>
      <c r="I596" s="85" t="s">
        <v>1175</v>
      </c>
    </row>
    <row r="597" spans="1:9" ht="14.25" x14ac:dyDescent="0.2">
      <c r="A597" s="10">
        <f t="shared" si="27"/>
        <v>1</v>
      </c>
      <c r="B597" s="82" t="s">
        <v>1826</v>
      </c>
      <c r="C597" s="83" t="s">
        <v>70</v>
      </c>
      <c r="D597" s="84">
        <f t="shared" si="26"/>
        <v>630</v>
      </c>
      <c r="E597" s="84">
        <v>630</v>
      </c>
      <c r="F597" s="84" t="s">
        <v>1175</v>
      </c>
      <c r="G597" s="84" t="s">
        <v>1175</v>
      </c>
      <c r="H597" s="84"/>
      <c r="I597" s="85" t="s">
        <v>1175</v>
      </c>
    </row>
    <row r="598" spans="1:9" ht="14.25" x14ac:dyDescent="0.2">
      <c r="A598" s="10">
        <f t="shared" si="27"/>
        <v>1</v>
      </c>
      <c r="B598" s="82" t="s">
        <v>3040</v>
      </c>
      <c r="C598" s="83" t="s">
        <v>70</v>
      </c>
      <c r="D598" s="84">
        <f t="shared" si="26"/>
        <v>610</v>
      </c>
      <c r="E598" s="84">
        <f>290+320</f>
        <v>610</v>
      </c>
      <c r="F598" s="84" t="s">
        <v>1175</v>
      </c>
      <c r="G598" s="84" t="s">
        <v>1175</v>
      </c>
      <c r="H598" s="84"/>
      <c r="I598" s="85" t="s">
        <v>1175</v>
      </c>
    </row>
    <row r="599" spans="1:9" ht="14.25" x14ac:dyDescent="0.2">
      <c r="A599" s="10">
        <f t="shared" si="27"/>
        <v>1</v>
      </c>
      <c r="B599" s="82" t="s">
        <v>3039</v>
      </c>
      <c r="C599" s="83" t="s">
        <v>70</v>
      </c>
      <c r="D599" s="84">
        <f>E599*$D$1</f>
        <v>540</v>
      </c>
      <c r="E599" s="84">
        <f>240+300</f>
        <v>540</v>
      </c>
      <c r="F599" s="84" t="s">
        <v>1175</v>
      </c>
      <c r="G599" s="84" t="s">
        <v>1175</v>
      </c>
      <c r="H599" s="84"/>
      <c r="I599" s="85" t="s">
        <v>1175</v>
      </c>
    </row>
    <row r="600" spans="1:9" ht="14.25" x14ac:dyDescent="0.2">
      <c r="A600" s="10">
        <f t="shared" si="27"/>
        <v>1</v>
      </c>
      <c r="B600" s="82" t="s">
        <v>1827</v>
      </c>
      <c r="C600" s="83" t="s">
        <v>70</v>
      </c>
      <c r="D600" s="84">
        <f t="shared" si="26"/>
        <v>200</v>
      </c>
      <c r="E600" s="84">
        <v>200</v>
      </c>
      <c r="F600" s="84" t="s">
        <v>1175</v>
      </c>
      <c r="G600" s="84" t="s">
        <v>1175</v>
      </c>
      <c r="H600" s="84"/>
      <c r="I600" s="85" t="s">
        <v>1175</v>
      </c>
    </row>
    <row r="601" spans="1:9" ht="14.25" x14ac:dyDescent="0.2">
      <c r="A601" s="10">
        <f t="shared" si="27"/>
        <v>1</v>
      </c>
      <c r="B601" s="82" t="s">
        <v>1828</v>
      </c>
      <c r="C601" s="83" t="s">
        <v>70</v>
      </c>
      <c r="D601" s="84">
        <f t="shared" si="26"/>
        <v>250</v>
      </c>
      <c r="E601" s="84">
        <v>250</v>
      </c>
      <c r="F601" s="84" t="s">
        <v>1175</v>
      </c>
      <c r="G601" s="84" t="s">
        <v>1175</v>
      </c>
      <c r="H601" s="84"/>
      <c r="I601" s="85" t="s">
        <v>1175</v>
      </c>
    </row>
    <row r="602" spans="1:9" ht="14.25" x14ac:dyDescent="0.2">
      <c r="A602" s="10">
        <f t="shared" si="27"/>
        <v>1</v>
      </c>
      <c r="B602" s="82" t="s">
        <v>1829</v>
      </c>
      <c r="C602" s="83" t="s">
        <v>70</v>
      </c>
      <c r="D602" s="84">
        <f t="shared" si="26"/>
        <v>320</v>
      </c>
      <c r="E602" s="84">
        <v>320</v>
      </c>
      <c r="F602" s="84" t="s">
        <v>1175</v>
      </c>
      <c r="G602" s="84" t="s">
        <v>1175</v>
      </c>
      <c r="H602" s="84"/>
      <c r="I602" s="85" t="s">
        <v>1175</v>
      </c>
    </row>
    <row r="603" spans="1:9" ht="14.25" x14ac:dyDescent="0.2">
      <c r="A603" s="10">
        <f t="shared" si="27"/>
        <v>1</v>
      </c>
      <c r="B603" s="82" t="s">
        <v>1830</v>
      </c>
      <c r="C603" s="83" t="s">
        <v>70</v>
      </c>
      <c r="D603" s="84">
        <f t="shared" si="26"/>
        <v>72.63</v>
      </c>
      <c r="E603" s="84">
        <v>72.63</v>
      </c>
      <c r="F603" s="84" t="s">
        <v>1175</v>
      </c>
      <c r="G603" s="84" t="s">
        <v>1175</v>
      </c>
      <c r="H603" s="84"/>
      <c r="I603" s="85" t="s">
        <v>1175</v>
      </c>
    </row>
    <row r="604" spans="1:9" ht="14.25" x14ac:dyDescent="0.2">
      <c r="A604" s="10">
        <f t="shared" si="27"/>
        <v>1</v>
      </c>
      <c r="B604" s="82" t="s">
        <v>1831</v>
      </c>
      <c r="C604" s="83" t="s">
        <v>70</v>
      </c>
      <c r="D604" s="84">
        <f>E604*$D$1</f>
        <v>110</v>
      </c>
      <c r="E604" s="84">
        <v>110</v>
      </c>
      <c r="F604" s="84" t="s">
        <v>1175</v>
      </c>
      <c r="G604" s="84" t="s">
        <v>1175</v>
      </c>
      <c r="H604" s="84"/>
      <c r="I604" s="85" t="s">
        <v>1175</v>
      </c>
    </row>
    <row r="605" spans="1:9" ht="15.75" customHeight="1" x14ac:dyDescent="0.25">
      <c r="A605" s="10">
        <f t="shared" si="27"/>
        <v>1</v>
      </c>
      <c r="B605" s="10" t="s">
        <v>1187</v>
      </c>
      <c r="C605" s="11" t="s">
        <v>70</v>
      </c>
      <c r="D605" s="13">
        <f t="shared" si="16"/>
        <v>165</v>
      </c>
      <c r="E605" s="13">
        <v>165</v>
      </c>
      <c r="F605" s="13" t="s">
        <v>1175</v>
      </c>
      <c r="G605" s="13" t="s">
        <v>1175</v>
      </c>
      <c r="H605" s="13"/>
      <c r="I605" s="4" t="s">
        <v>1175</v>
      </c>
    </row>
    <row r="606" spans="1:9" ht="15.75" customHeight="1" x14ac:dyDescent="0.25">
      <c r="A606" s="10">
        <f t="shared" si="27"/>
        <v>1</v>
      </c>
      <c r="B606" s="10" t="s">
        <v>873</v>
      </c>
      <c r="C606" s="11" t="s">
        <v>70</v>
      </c>
      <c r="D606" s="13">
        <f t="shared" si="16"/>
        <v>372.9</v>
      </c>
      <c r="E606" s="13">
        <v>372.9</v>
      </c>
      <c r="F606" s="13" t="s">
        <v>1175</v>
      </c>
      <c r="G606" s="13" t="s">
        <v>1175</v>
      </c>
      <c r="H606" s="13"/>
      <c r="I606" s="4" t="s">
        <v>1175</v>
      </c>
    </row>
    <row r="607" spans="1:9" ht="15.75" customHeight="1" x14ac:dyDescent="0.25">
      <c r="A607" s="10">
        <f t="shared" si="27"/>
        <v>1</v>
      </c>
      <c r="B607" s="10" t="s">
        <v>1188</v>
      </c>
      <c r="C607" s="11" t="s">
        <v>70</v>
      </c>
      <c r="D607" s="13">
        <f t="shared" si="16"/>
        <v>123.38</v>
      </c>
      <c r="E607" s="13">
        <v>123.38</v>
      </c>
      <c r="F607" s="13" t="s">
        <v>1175</v>
      </c>
      <c r="G607" s="13" t="s">
        <v>1175</v>
      </c>
      <c r="H607" s="13"/>
      <c r="I607" s="4" t="s">
        <v>1175</v>
      </c>
    </row>
    <row r="608" spans="1:9" ht="15.75" customHeight="1" x14ac:dyDescent="0.25">
      <c r="A608" s="10">
        <f t="shared" si="27"/>
        <v>1</v>
      </c>
      <c r="B608" s="10" t="s">
        <v>706</v>
      </c>
      <c r="C608" s="11" t="s">
        <v>70</v>
      </c>
      <c r="D608" s="13">
        <f t="shared" si="16"/>
        <v>150</v>
      </c>
      <c r="E608" s="13">
        <v>150</v>
      </c>
      <c r="F608" s="13" t="s">
        <v>1175</v>
      </c>
      <c r="G608" s="13" t="s">
        <v>1175</v>
      </c>
      <c r="H608" s="13"/>
      <c r="I608" s="4" t="s">
        <v>1175</v>
      </c>
    </row>
    <row r="609" spans="1:9" ht="15.75" customHeight="1" x14ac:dyDescent="0.25">
      <c r="A609" s="10">
        <f t="shared" si="27"/>
        <v>1</v>
      </c>
      <c r="B609" s="10" t="s">
        <v>3035</v>
      </c>
      <c r="C609" s="11" t="s">
        <v>70</v>
      </c>
      <c r="D609" s="13">
        <f t="shared" ref="D609:D614" si="28">E609*$D$1</f>
        <v>590</v>
      </c>
      <c r="E609" s="13">
        <f>260+330</f>
        <v>590</v>
      </c>
      <c r="F609" s="13" t="s">
        <v>1175</v>
      </c>
      <c r="G609" s="13" t="s">
        <v>1175</v>
      </c>
      <c r="H609" s="13"/>
      <c r="I609" s="4" t="s">
        <v>1175</v>
      </c>
    </row>
    <row r="610" spans="1:9" ht="15.75" customHeight="1" x14ac:dyDescent="0.25">
      <c r="A610" s="10">
        <f t="shared" si="27"/>
        <v>1</v>
      </c>
      <c r="B610" s="10" t="s">
        <v>3041</v>
      </c>
      <c r="C610" s="11" t="s">
        <v>70</v>
      </c>
      <c r="D610" s="13">
        <f t="shared" si="28"/>
        <v>590</v>
      </c>
      <c r="E610" s="13">
        <f>260+330</f>
        <v>590</v>
      </c>
      <c r="F610" s="13" t="s">
        <v>1175</v>
      </c>
      <c r="G610" s="13" t="s">
        <v>1175</v>
      </c>
      <c r="H610" s="13"/>
      <c r="I610" s="4" t="s">
        <v>1175</v>
      </c>
    </row>
    <row r="611" spans="1:9" ht="15.75" customHeight="1" x14ac:dyDescent="0.25">
      <c r="A611" s="10">
        <f t="shared" si="27"/>
        <v>1</v>
      </c>
      <c r="B611" s="10" t="s">
        <v>3038</v>
      </c>
      <c r="C611" s="11" t="s">
        <v>70</v>
      </c>
      <c r="D611" s="13">
        <f t="shared" si="28"/>
        <v>590</v>
      </c>
      <c r="E611" s="13">
        <f>260+330</f>
        <v>590</v>
      </c>
      <c r="F611" s="13" t="s">
        <v>1175</v>
      </c>
      <c r="G611" s="13" t="s">
        <v>1175</v>
      </c>
      <c r="H611" s="13"/>
      <c r="I611" s="4" t="s">
        <v>1175</v>
      </c>
    </row>
    <row r="612" spans="1:9" ht="15.75" customHeight="1" x14ac:dyDescent="0.25">
      <c r="A612" s="10">
        <f t="shared" si="27"/>
        <v>1</v>
      </c>
      <c r="B612" s="10" t="s">
        <v>1504</v>
      </c>
      <c r="C612" s="11" t="s">
        <v>70</v>
      </c>
      <c r="D612" s="13">
        <f t="shared" si="28"/>
        <v>240</v>
      </c>
      <c r="E612" s="13">
        <f>180+60</f>
        <v>240</v>
      </c>
      <c r="F612" s="13" t="s">
        <v>1175</v>
      </c>
      <c r="G612" s="13" t="s">
        <v>1175</v>
      </c>
      <c r="H612" s="13"/>
      <c r="I612" s="4" t="s">
        <v>1175</v>
      </c>
    </row>
    <row r="613" spans="1:9" ht="15.75" customHeight="1" x14ac:dyDescent="0.25">
      <c r="A613" s="10">
        <f t="shared" si="27"/>
        <v>1</v>
      </c>
      <c r="B613" s="10" t="s">
        <v>1505</v>
      </c>
      <c r="C613" s="11" t="s">
        <v>70</v>
      </c>
      <c r="D613" s="13">
        <f t="shared" si="28"/>
        <v>269.76</v>
      </c>
      <c r="E613" s="13">
        <f>209.76+60</f>
        <v>269.76</v>
      </c>
      <c r="F613" s="13" t="s">
        <v>1175</v>
      </c>
      <c r="G613" s="13" t="s">
        <v>1175</v>
      </c>
      <c r="H613" s="13"/>
      <c r="I613" s="4" t="s">
        <v>1175</v>
      </c>
    </row>
    <row r="614" spans="1:9" ht="15.75" customHeight="1" x14ac:dyDescent="0.25">
      <c r="A614" s="10">
        <f t="shared" si="27"/>
        <v>1</v>
      </c>
      <c r="B614" s="10" t="s">
        <v>1506</v>
      </c>
      <c r="C614" s="11" t="s">
        <v>70</v>
      </c>
      <c r="D614" s="13">
        <f t="shared" si="28"/>
        <v>161.80000000000001</v>
      </c>
      <c r="E614" s="13">
        <f>101.8+60</f>
        <v>161.80000000000001</v>
      </c>
      <c r="F614" s="13" t="s">
        <v>1175</v>
      </c>
      <c r="G614" s="13" t="s">
        <v>1175</v>
      </c>
      <c r="H614" s="13"/>
      <c r="I614" s="4" t="s">
        <v>1175</v>
      </c>
    </row>
    <row r="615" spans="1:9" ht="15.75" customHeight="1" x14ac:dyDescent="0.25">
      <c r="A615" s="10">
        <f t="shared" si="27"/>
        <v>1</v>
      </c>
      <c r="B615" s="10" t="s">
        <v>877</v>
      </c>
      <c r="C615" s="11" t="s">
        <v>70</v>
      </c>
      <c r="D615" s="13">
        <f t="shared" si="16"/>
        <v>75.8</v>
      </c>
      <c r="E615" s="13">
        <v>75.8</v>
      </c>
      <c r="F615" s="13" t="s">
        <v>1175</v>
      </c>
      <c r="G615" s="13" t="s">
        <v>1175</v>
      </c>
      <c r="H615" s="13"/>
      <c r="I615" s="4" t="s">
        <v>1175</v>
      </c>
    </row>
    <row r="616" spans="1:9" ht="15.75" customHeight="1" x14ac:dyDescent="0.25">
      <c r="A616" s="10">
        <f t="shared" si="27"/>
        <v>1</v>
      </c>
      <c r="B616" s="10" t="s">
        <v>509</v>
      </c>
      <c r="C616" s="11" t="s">
        <v>70</v>
      </c>
      <c r="D616" s="13">
        <f t="shared" si="16"/>
        <v>75.8</v>
      </c>
      <c r="E616" s="13">
        <v>75.8</v>
      </c>
      <c r="F616" s="13" t="s">
        <v>1175</v>
      </c>
      <c r="G616" s="13" t="s">
        <v>1175</v>
      </c>
      <c r="H616" s="13"/>
      <c r="I616" s="4" t="s">
        <v>1175</v>
      </c>
    </row>
    <row r="617" spans="1:9" ht="15.75" customHeight="1" x14ac:dyDescent="0.25">
      <c r="A617" s="10">
        <f t="shared" si="27"/>
        <v>1</v>
      </c>
      <c r="B617" s="10" t="s">
        <v>663</v>
      </c>
      <c r="C617" s="11" t="s">
        <v>70</v>
      </c>
      <c r="D617" s="13">
        <f t="shared" si="16"/>
        <v>82</v>
      </c>
      <c r="E617" s="13">
        <v>82</v>
      </c>
      <c r="F617" s="13" t="s">
        <v>1175</v>
      </c>
      <c r="G617" s="13" t="s">
        <v>1175</v>
      </c>
      <c r="H617" s="13"/>
      <c r="I617" s="4" t="s">
        <v>1175</v>
      </c>
    </row>
    <row r="618" spans="1:9" ht="15.75" customHeight="1" x14ac:dyDescent="0.25">
      <c r="A618" s="10">
        <f t="shared" si="27"/>
        <v>1</v>
      </c>
      <c r="B618" s="10" t="s">
        <v>660</v>
      </c>
      <c r="C618" s="11" t="s">
        <v>70</v>
      </c>
      <c r="D618" s="13">
        <f t="shared" si="16"/>
        <v>178.8</v>
      </c>
      <c r="E618" s="13">
        <v>178.8</v>
      </c>
      <c r="F618" s="13" t="s">
        <v>1175</v>
      </c>
      <c r="G618" s="13" t="s">
        <v>1175</v>
      </c>
      <c r="H618" s="13"/>
      <c r="I618" s="4" t="s">
        <v>1175</v>
      </c>
    </row>
    <row r="619" spans="1:9" ht="15.75" customHeight="1" x14ac:dyDescent="0.25">
      <c r="A619" s="10">
        <f t="shared" si="27"/>
        <v>1</v>
      </c>
      <c r="B619" s="10" t="s">
        <v>667</v>
      </c>
      <c r="C619" s="11" t="s">
        <v>70</v>
      </c>
      <c r="D619" s="13">
        <f t="shared" si="16"/>
        <v>75.8</v>
      </c>
      <c r="E619" s="13">
        <v>75.8</v>
      </c>
      <c r="F619" s="13" t="s">
        <v>1175</v>
      </c>
      <c r="G619" s="13" t="s">
        <v>1175</v>
      </c>
      <c r="H619" s="13"/>
      <c r="I619" s="4" t="s">
        <v>1175</v>
      </c>
    </row>
    <row r="620" spans="1:9" ht="15.75" customHeight="1" x14ac:dyDescent="0.25">
      <c r="A620" s="10">
        <f t="shared" si="27"/>
        <v>1</v>
      </c>
      <c r="B620" s="10" t="s">
        <v>651</v>
      </c>
      <c r="C620" s="11" t="s">
        <v>70</v>
      </c>
      <c r="D620" s="13">
        <f t="shared" si="16"/>
        <v>116.1</v>
      </c>
      <c r="E620" s="13">
        <v>116.1</v>
      </c>
      <c r="F620" s="13" t="s">
        <v>1175</v>
      </c>
      <c r="G620" s="13" t="s">
        <v>1175</v>
      </c>
      <c r="H620" s="13"/>
      <c r="I620" s="4" t="s">
        <v>1175</v>
      </c>
    </row>
    <row r="621" spans="1:9" ht="15.75" customHeight="1" x14ac:dyDescent="0.25">
      <c r="A621" s="10">
        <f t="shared" si="27"/>
        <v>1</v>
      </c>
      <c r="B621" s="10" t="s">
        <v>653</v>
      </c>
      <c r="C621" s="11" t="s">
        <v>70</v>
      </c>
      <c r="D621" s="13">
        <f t="shared" si="16"/>
        <v>36.96</v>
      </c>
      <c r="E621" s="13">
        <v>36.96</v>
      </c>
      <c r="F621" s="13" t="s">
        <v>1175</v>
      </c>
      <c r="G621" s="13" t="s">
        <v>1175</v>
      </c>
      <c r="H621" s="13"/>
      <c r="I621" s="4" t="s">
        <v>1175</v>
      </c>
    </row>
    <row r="622" spans="1:9" ht="15.75" customHeight="1" x14ac:dyDescent="0.25">
      <c r="A622" s="10">
        <f t="shared" si="27"/>
        <v>1</v>
      </c>
      <c r="B622" s="16" t="s">
        <v>1189</v>
      </c>
      <c r="C622" s="11" t="s">
        <v>70</v>
      </c>
      <c r="D622" s="13">
        <f t="shared" si="16"/>
        <v>276</v>
      </c>
      <c r="E622" s="13">
        <v>276</v>
      </c>
      <c r="F622" s="13" t="s">
        <v>1175</v>
      </c>
      <c r="G622" s="13" t="s">
        <v>1175</v>
      </c>
      <c r="H622" s="13"/>
      <c r="I622" s="4" t="s">
        <v>1175</v>
      </c>
    </row>
    <row r="623" spans="1:9" ht="15.75" customHeight="1" x14ac:dyDescent="0.25">
      <c r="A623" s="10">
        <f t="shared" si="27"/>
        <v>1</v>
      </c>
      <c r="B623" s="10" t="s">
        <v>1190</v>
      </c>
      <c r="C623" s="11" t="s">
        <v>70</v>
      </c>
      <c r="D623" s="13">
        <f t="shared" si="16"/>
        <v>136.88999999999999</v>
      </c>
      <c r="E623" s="13">
        <v>136.88999999999999</v>
      </c>
      <c r="F623" s="13" t="s">
        <v>1175</v>
      </c>
      <c r="G623" s="13" t="s">
        <v>1175</v>
      </c>
      <c r="H623" s="13"/>
      <c r="I623" s="4" t="s">
        <v>1175</v>
      </c>
    </row>
    <row r="624" spans="1:9" ht="15.75" customHeight="1" x14ac:dyDescent="0.25">
      <c r="A624" s="10">
        <f t="shared" si="27"/>
        <v>1</v>
      </c>
      <c r="B624" s="10" t="s">
        <v>1191</v>
      </c>
      <c r="C624" s="11" t="s">
        <v>70</v>
      </c>
      <c r="D624" s="13">
        <f t="shared" si="16"/>
        <v>154.88999999999999</v>
      </c>
      <c r="E624" s="13">
        <v>154.88999999999999</v>
      </c>
      <c r="F624" s="13" t="s">
        <v>1175</v>
      </c>
      <c r="G624" s="13" t="s">
        <v>1175</v>
      </c>
      <c r="H624" s="13"/>
      <c r="I624" s="4" t="s">
        <v>1175</v>
      </c>
    </row>
    <row r="625" spans="1:9" ht="15.75" customHeight="1" x14ac:dyDescent="0.25">
      <c r="A625" s="10">
        <f t="shared" si="27"/>
        <v>1</v>
      </c>
      <c r="B625" s="10" t="s">
        <v>669</v>
      </c>
      <c r="C625" s="11" t="s">
        <v>70</v>
      </c>
      <c r="D625" s="13">
        <f t="shared" si="16"/>
        <v>80</v>
      </c>
      <c r="E625" s="13">
        <v>80</v>
      </c>
      <c r="F625" s="13" t="s">
        <v>1175</v>
      </c>
      <c r="G625" s="13" t="s">
        <v>1175</v>
      </c>
      <c r="H625" s="13"/>
      <c r="I625" s="4" t="s">
        <v>1175</v>
      </c>
    </row>
    <row r="626" spans="1:9" ht="15.75" customHeight="1" x14ac:dyDescent="0.25">
      <c r="A626" s="10">
        <f t="shared" si="27"/>
        <v>1</v>
      </c>
      <c r="B626" s="10" t="s">
        <v>892</v>
      </c>
      <c r="C626" s="11" t="s">
        <v>70</v>
      </c>
      <c r="D626" s="13">
        <f t="shared" si="16"/>
        <v>246.84</v>
      </c>
      <c r="E626" s="13">
        <v>246.84</v>
      </c>
      <c r="F626" s="13" t="s">
        <v>1175</v>
      </c>
      <c r="G626" s="13" t="s">
        <v>1175</v>
      </c>
      <c r="H626" s="13"/>
      <c r="I626" s="4" t="s">
        <v>1175</v>
      </c>
    </row>
    <row r="627" spans="1:9" ht="15.75" customHeight="1" x14ac:dyDescent="0.25">
      <c r="A627" s="10">
        <f t="shared" si="27"/>
        <v>1</v>
      </c>
      <c r="B627" s="10" t="s">
        <v>647</v>
      </c>
      <c r="C627" s="11" t="s">
        <v>70</v>
      </c>
      <c r="D627" s="13">
        <f t="shared" si="16"/>
        <v>109.89</v>
      </c>
      <c r="E627" s="13">
        <v>109.89</v>
      </c>
      <c r="F627" s="13" t="s">
        <v>1175</v>
      </c>
      <c r="G627" s="13" t="s">
        <v>1175</v>
      </c>
      <c r="H627" s="13"/>
      <c r="I627" s="4" t="s">
        <v>1175</v>
      </c>
    </row>
    <row r="628" spans="1:9" ht="15.75" customHeight="1" x14ac:dyDescent="0.25">
      <c r="A628" s="10">
        <f t="shared" si="27"/>
        <v>1</v>
      </c>
      <c r="B628" s="16" t="s">
        <v>675</v>
      </c>
      <c r="C628" s="11" t="s">
        <v>70</v>
      </c>
      <c r="D628" s="13">
        <f t="shared" si="16"/>
        <v>113.22</v>
      </c>
      <c r="E628" s="13">
        <v>113.22</v>
      </c>
      <c r="F628" s="13" t="s">
        <v>1175</v>
      </c>
      <c r="G628" s="13" t="s">
        <v>1175</v>
      </c>
      <c r="H628" s="13"/>
      <c r="I628" s="4" t="s">
        <v>1175</v>
      </c>
    </row>
    <row r="629" spans="1:9" ht="15.75" customHeight="1" x14ac:dyDescent="0.25">
      <c r="A629" s="10">
        <f t="shared" si="27"/>
        <v>1</v>
      </c>
      <c r="B629" s="10" t="s">
        <v>1192</v>
      </c>
      <c r="C629" s="11" t="s">
        <v>70</v>
      </c>
      <c r="D629" s="13">
        <f t="shared" si="16"/>
        <v>67.88</v>
      </c>
      <c r="E629" s="13">
        <v>67.88</v>
      </c>
      <c r="F629" s="13" t="s">
        <v>1175</v>
      </c>
      <c r="G629" s="13" t="s">
        <v>1175</v>
      </c>
      <c r="H629" s="13"/>
      <c r="I629" s="4" t="s">
        <v>1175</v>
      </c>
    </row>
    <row r="630" spans="1:9" ht="15.75" customHeight="1" x14ac:dyDescent="0.25">
      <c r="A630" s="10">
        <f t="shared" si="27"/>
        <v>1</v>
      </c>
      <c r="B630" s="10" t="s">
        <v>875</v>
      </c>
      <c r="C630" s="11" t="s">
        <v>70</v>
      </c>
      <c r="D630" s="13">
        <f t="shared" si="16"/>
        <v>165</v>
      </c>
      <c r="E630" s="13">
        <v>165</v>
      </c>
      <c r="F630" s="13" t="s">
        <v>1175</v>
      </c>
      <c r="G630" s="13" t="s">
        <v>1175</v>
      </c>
      <c r="H630" s="13"/>
      <c r="I630" s="4" t="s">
        <v>1175</v>
      </c>
    </row>
    <row r="631" spans="1:9" ht="15.75" customHeight="1" x14ac:dyDescent="0.25">
      <c r="A631" s="10">
        <f t="shared" si="27"/>
        <v>1</v>
      </c>
      <c r="B631" s="10" t="s">
        <v>657</v>
      </c>
      <c r="C631" s="11" t="s">
        <v>70</v>
      </c>
      <c r="D631" s="13">
        <f t="shared" si="16"/>
        <v>39.64</v>
      </c>
      <c r="E631" s="13">
        <v>39.64</v>
      </c>
      <c r="F631" s="13" t="s">
        <v>1175</v>
      </c>
      <c r="G631" s="13" t="s">
        <v>1175</v>
      </c>
      <c r="H631" s="13"/>
      <c r="I631" s="4" t="s">
        <v>1175</v>
      </c>
    </row>
    <row r="632" spans="1:9" ht="15.75" customHeight="1" x14ac:dyDescent="0.25">
      <c r="A632" s="10">
        <f t="shared" si="27"/>
        <v>1</v>
      </c>
      <c r="B632" s="10" t="s">
        <v>885</v>
      </c>
      <c r="C632" s="11" t="s">
        <v>70</v>
      </c>
      <c r="D632" s="13">
        <f t="shared" si="16"/>
        <v>112.71</v>
      </c>
      <c r="E632" s="13">
        <v>112.71</v>
      </c>
      <c r="F632" s="13" t="s">
        <v>1175</v>
      </c>
      <c r="G632" s="13" t="s">
        <v>1175</v>
      </c>
      <c r="H632" s="13"/>
      <c r="I632" s="4" t="s">
        <v>1175</v>
      </c>
    </row>
    <row r="633" spans="1:9" ht="15.75" customHeight="1" x14ac:dyDescent="0.25">
      <c r="A633" s="10">
        <f t="shared" si="27"/>
        <v>1</v>
      </c>
      <c r="B633" s="10" t="s">
        <v>635</v>
      </c>
      <c r="C633" s="11" t="s">
        <v>70</v>
      </c>
      <c r="D633" s="13">
        <f t="shared" si="16"/>
        <v>1036.9504748982358</v>
      </c>
      <c r="E633" s="13">
        <v>1036.9504748982358</v>
      </c>
      <c r="F633" s="13" t="s">
        <v>1175</v>
      </c>
      <c r="G633" s="13" t="s">
        <v>1175</v>
      </c>
      <c r="H633" s="13"/>
      <c r="I633" s="4" t="s">
        <v>1175</v>
      </c>
    </row>
    <row r="634" spans="1:9" ht="15.75" customHeight="1" x14ac:dyDescent="0.25">
      <c r="A634" s="10">
        <f t="shared" si="27"/>
        <v>1</v>
      </c>
      <c r="B634" s="10" t="s">
        <v>654</v>
      </c>
      <c r="C634" s="11" t="s">
        <v>70</v>
      </c>
      <c r="D634" s="13">
        <f t="shared" si="16"/>
        <v>89.9</v>
      </c>
      <c r="E634" s="13">
        <v>89.9</v>
      </c>
      <c r="F634" s="13" t="s">
        <v>1175</v>
      </c>
      <c r="G634" s="13" t="s">
        <v>1175</v>
      </c>
      <c r="H634" s="13"/>
      <c r="I634" s="4" t="s">
        <v>1175</v>
      </c>
    </row>
    <row r="635" spans="1:9" ht="15.75" customHeight="1" x14ac:dyDescent="0.25">
      <c r="A635" s="10">
        <f t="shared" si="27"/>
        <v>1</v>
      </c>
      <c r="B635" s="10" t="s">
        <v>664</v>
      </c>
      <c r="C635" s="11" t="s">
        <v>70</v>
      </c>
      <c r="D635" s="13">
        <f>E635*$D$1</f>
        <v>136.88999999999999</v>
      </c>
      <c r="E635" s="13">
        <v>136.88999999999999</v>
      </c>
      <c r="F635" s="13" t="s">
        <v>1175</v>
      </c>
      <c r="G635" s="13" t="s">
        <v>1175</v>
      </c>
      <c r="H635" s="13"/>
      <c r="I635" s="4" t="s">
        <v>1175</v>
      </c>
    </row>
    <row r="636" spans="1:9" ht="15.75" customHeight="1" x14ac:dyDescent="0.25">
      <c r="A636" s="10">
        <f t="shared" si="27"/>
        <v>1</v>
      </c>
      <c r="B636" s="10" t="s">
        <v>1496</v>
      </c>
      <c r="C636" s="11" t="s">
        <v>70</v>
      </c>
      <c r="D636" s="13">
        <f t="shared" si="16"/>
        <v>92.916666666666671</v>
      </c>
      <c r="E636" s="13">
        <f>E640/(0.6*1.2)*(1*1)</f>
        <v>92.916666666666671</v>
      </c>
      <c r="F636" s="13" t="s">
        <v>1175</v>
      </c>
      <c r="G636" s="13" t="s">
        <v>1175</v>
      </c>
      <c r="H636" s="13"/>
      <c r="I636" s="4" t="s">
        <v>1175</v>
      </c>
    </row>
    <row r="637" spans="1:9" ht="15.75" customHeight="1" x14ac:dyDescent="0.25">
      <c r="A637" s="10">
        <f t="shared" si="27"/>
        <v>1</v>
      </c>
      <c r="B637" s="10" t="s">
        <v>672</v>
      </c>
      <c r="C637" s="11" t="s">
        <v>70</v>
      </c>
      <c r="D637" s="13">
        <f t="shared" si="16"/>
        <v>140</v>
      </c>
      <c r="E637" s="13">
        <v>140</v>
      </c>
      <c r="F637" s="13" t="s">
        <v>1175</v>
      </c>
      <c r="G637" s="13" t="s">
        <v>1175</v>
      </c>
      <c r="H637" s="13"/>
      <c r="I637" s="4" t="s">
        <v>1175</v>
      </c>
    </row>
    <row r="638" spans="1:9" ht="15.75" customHeight="1" x14ac:dyDescent="0.25">
      <c r="A638" s="10">
        <f t="shared" si="27"/>
        <v>1</v>
      </c>
      <c r="B638" s="10" t="s">
        <v>1425</v>
      </c>
      <c r="C638" s="11" t="s">
        <v>70</v>
      </c>
      <c r="D638" s="13">
        <f t="shared" ref="D638:D647" si="29">E638*$D$1</f>
        <v>110.5</v>
      </c>
      <c r="E638" s="13">
        <v>110.5</v>
      </c>
      <c r="F638" s="13" t="s">
        <v>1175</v>
      </c>
      <c r="G638" s="13" t="s">
        <v>1175</v>
      </c>
      <c r="H638" s="13"/>
      <c r="I638" s="4" t="s">
        <v>1175</v>
      </c>
    </row>
    <row r="639" spans="1:9" ht="15.75" customHeight="1" x14ac:dyDescent="0.25">
      <c r="A639" s="10">
        <f t="shared" si="27"/>
        <v>1</v>
      </c>
      <c r="B639" s="10" t="s">
        <v>1426</v>
      </c>
      <c r="C639" s="11" t="s">
        <v>70</v>
      </c>
      <c r="D639" s="13">
        <f t="shared" si="29"/>
        <v>110.5</v>
      </c>
      <c r="E639" s="13">
        <f>E638</f>
        <v>110.5</v>
      </c>
      <c r="F639" s="13" t="s">
        <v>1175</v>
      </c>
      <c r="G639" s="13" t="s">
        <v>1175</v>
      </c>
      <c r="H639" s="13"/>
      <c r="I639" s="4" t="s">
        <v>1175</v>
      </c>
    </row>
    <row r="640" spans="1:9" ht="15.75" customHeight="1" x14ac:dyDescent="0.25">
      <c r="A640" s="10">
        <f t="shared" si="27"/>
        <v>1</v>
      </c>
      <c r="B640" s="10" t="s">
        <v>1427</v>
      </c>
      <c r="C640" s="11" t="s">
        <v>70</v>
      </c>
      <c r="D640" s="13">
        <f t="shared" si="29"/>
        <v>66.900000000000006</v>
      </c>
      <c r="E640" s="65">
        <v>66.900000000000006</v>
      </c>
      <c r="F640" s="13" t="s">
        <v>1175</v>
      </c>
      <c r="G640" s="13" t="s">
        <v>1175</v>
      </c>
      <c r="H640" s="13"/>
      <c r="I640" s="4" t="s">
        <v>1175</v>
      </c>
    </row>
    <row r="641" spans="1:9" ht="15.75" customHeight="1" x14ac:dyDescent="0.25">
      <c r="A641" s="10">
        <f t="shared" si="27"/>
        <v>1</v>
      </c>
      <c r="B641" s="10" t="s">
        <v>1428</v>
      </c>
      <c r="C641" s="11" t="s">
        <v>70</v>
      </c>
      <c r="D641" s="13">
        <f t="shared" si="29"/>
        <v>133.80000000000001</v>
      </c>
      <c r="E641" s="13">
        <f>E640/(0.6*1.2)*(1.2*1.2)</f>
        <v>133.80000000000001</v>
      </c>
      <c r="F641" s="13" t="s">
        <v>1175</v>
      </c>
      <c r="G641" s="13" t="s">
        <v>1175</v>
      </c>
      <c r="H641" s="13"/>
      <c r="I641" s="4" t="s">
        <v>1175</v>
      </c>
    </row>
    <row r="642" spans="1:9" ht="15.75" customHeight="1" x14ac:dyDescent="0.25">
      <c r="A642" s="10">
        <f t="shared" ref="A642:A711" si="30">COUNTIFS($B$2:$B$996,B642)</f>
        <v>1</v>
      </c>
      <c r="B642" s="10" t="s">
        <v>1429</v>
      </c>
      <c r="C642" s="11" t="s">
        <v>70</v>
      </c>
      <c r="D642" s="13">
        <f t="shared" si="29"/>
        <v>133.80000000000001</v>
      </c>
      <c r="E642" s="13">
        <f>E640/(0.6*1.2)*(1.2*1.2)</f>
        <v>133.80000000000001</v>
      </c>
      <c r="F642" s="13" t="s">
        <v>1175</v>
      </c>
      <c r="G642" s="13" t="s">
        <v>1175</v>
      </c>
      <c r="H642" s="13"/>
      <c r="I642" s="4" t="s">
        <v>1175</v>
      </c>
    </row>
    <row r="643" spans="1:9" ht="15.75" customHeight="1" x14ac:dyDescent="0.25">
      <c r="A643" s="10">
        <f t="shared" si="30"/>
        <v>1</v>
      </c>
      <c r="B643" s="10" t="s">
        <v>1430</v>
      </c>
      <c r="C643" s="11" t="s">
        <v>70</v>
      </c>
      <c r="D643" s="13">
        <f t="shared" si="29"/>
        <v>133.80000000000001</v>
      </c>
      <c r="E643" s="13">
        <f>E640/(0.6*1.2)*(1.2*1.2)</f>
        <v>133.80000000000001</v>
      </c>
      <c r="F643" s="13" t="s">
        <v>1175</v>
      </c>
      <c r="G643" s="13" t="s">
        <v>1175</v>
      </c>
      <c r="H643" s="13"/>
      <c r="I643" s="4" t="s">
        <v>1175</v>
      </c>
    </row>
    <row r="644" spans="1:9" ht="15.75" customHeight="1" x14ac:dyDescent="0.25">
      <c r="A644" s="10">
        <f t="shared" si="30"/>
        <v>1</v>
      </c>
      <c r="B644" s="10" t="s">
        <v>1431</v>
      </c>
      <c r="C644" s="11" t="s">
        <v>70</v>
      </c>
      <c r="D644" s="13">
        <f t="shared" si="29"/>
        <v>43.86</v>
      </c>
      <c r="E644" s="13">
        <v>43.86</v>
      </c>
      <c r="F644" s="13" t="s">
        <v>1175</v>
      </c>
      <c r="G644" s="13" t="s">
        <v>1175</v>
      </c>
      <c r="H644" s="13"/>
      <c r="I644" s="4" t="s">
        <v>1175</v>
      </c>
    </row>
    <row r="645" spans="1:9" ht="15.75" customHeight="1" x14ac:dyDescent="0.25">
      <c r="A645" s="10">
        <f t="shared" si="30"/>
        <v>1</v>
      </c>
      <c r="B645" s="10" t="s">
        <v>1490</v>
      </c>
      <c r="C645" s="11" t="s">
        <v>70</v>
      </c>
      <c r="D645" s="13">
        <f>E645*$D$1</f>
        <v>83.4</v>
      </c>
      <c r="E645" s="13">
        <v>83.4</v>
      </c>
      <c r="F645" s="13" t="s">
        <v>1175</v>
      </c>
      <c r="G645" s="13" t="s">
        <v>1175</v>
      </c>
      <c r="H645" s="13"/>
      <c r="I645" s="4" t="s">
        <v>1175</v>
      </c>
    </row>
    <row r="646" spans="1:9" ht="15.75" customHeight="1" x14ac:dyDescent="0.25">
      <c r="A646" s="10">
        <f t="shared" si="30"/>
        <v>1</v>
      </c>
      <c r="B646" s="10" t="s">
        <v>1494</v>
      </c>
      <c r="C646" s="11" t="s">
        <v>70</v>
      </c>
      <c r="D646" s="13">
        <f t="shared" si="29"/>
        <v>44.9</v>
      </c>
      <c r="E646" s="13">
        <v>44.9</v>
      </c>
      <c r="F646" s="13" t="s">
        <v>1175</v>
      </c>
      <c r="G646" s="13" t="s">
        <v>1175</v>
      </c>
      <c r="H646" s="13"/>
      <c r="I646" s="4" t="s">
        <v>1175</v>
      </c>
    </row>
    <row r="647" spans="1:9" ht="15.75" customHeight="1" x14ac:dyDescent="0.25">
      <c r="A647" s="10">
        <f t="shared" si="30"/>
        <v>1</v>
      </c>
      <c r="B647" s="10" t="s">
        <v>1500</v>
      </c>
      <c r="C647" s="11" t="s">
        <v>70</v>
      </c>
      <c r="D647" s="13">
        <f t="shared" si="29"/>
        <v>44.9</v>
      </c>
      <c r="E647" s="13">
        <v>44.9</v>
      </c>
      <c r="F647" s="13" t="s">
        <v>1175</v>
      </c>
      <c r="G647" s="13" t="s">
        <v>1175</v>
      </c>
      <c r="H647" s="13"/>
      <c r="I647" s="4" t="s">
        <v>1175</v>
      </c>
    </row>
    <row r="648" spans="1:9" ht="15.75" customHeight="1" x14ac:dyDescent="0.25">
      <c r="A648" s="10">
        <f t="shared" si="30"/>
        <v>1</v>
      </c>
      <c r="B648" s="10" t="s">
        <v>673</v>
      </c>
      <c r="C648" s="11" t="s">
        <v>70</v>
      </c>
      <c r="D648" s="13">
        <f t="shared" si="16"/>
        <v>44.9</v>
      </c>
      <c r="E648" s="13">
        <v>44.9</v>
      </c>
      <c r="F648" s="13" t="s">
        <v>1175</v>
      </c>
      <c r="G648" s="13" t="s">
        <v>1175</v>
      </c>
      <c r="H648" s="13"/>
      <c r="I648" s="4" t="s">
        <v>1175</v>
      </c>
    </row>
    <row r="649" spans="1:9" ht="15.75" customHeight="1" x14ac:dyDescent="0.25">
      <c r="A649" s="10">
        <f t="shared" si="30"/>
        <v>1</v>
      </c>
      <c r="B649" s="10" t="s">
        <v>508</v>
      </c>
      <c r="C649" s="11" t="s">
        <v>70</v>
      </c>
      <c r="D649" s="13">
        <f t="shared" si="16"/>
        <v>112.22500000000001</v>
      </c>
      <c r="E649" s="13">
        <v>112.22500000000001</v>
      </c>
      <c r="F649" s="13" t="s">
        <v>1175</v>
      </c>
      <c r="G649" s="13" t="s">
        <v>1175</v>
      </c>
      <c r="H649" s="13"/>
      <c r="I649" s="4" t="s">
        <v>1175</v>
      </c>
    </row>
    <row r="650" spans="1:9" ht="15.75" customHeight="1" x14ac:dyDescent="0.25">
      <c r="A650" s="10">
        <f t="shared" si="30"/>
        <v>1</v>
      </c>
      <c r="B650" s="10" t="s">
        <v>520</v>
      </c>
      <c r="C650" s="11" t="s">
        <v>70</v>
      </c>
      <c r="D650" s="13">
        <f t="shared" si="16"/>
        <v>83.95</v>
      </c>
      <c r="E650" s="13">
        <v>83.95</v>
      </c>
      <c r="F650" s="13" t="s">
        <v>1175</v>
      </c>
      <c r="G650" s="13" t="s">
        <v>1175</v>
      </c>
      <c r="H650" s="13"/>
      <c r="I650" s="4" t="s">
        <v>1175</v>
      </c>
    </row>
    <row r="651" spans="1:9" ht="15.75" customHeight="1" x14ac:dyDescent="0.25">
      <c r="A651" s="10">
        <f t="shared" si="30"/>
        <v>1</v>
      </c>
      <c r="B651" s="10" t="s">
        <v>525</v>
      </c>
      <c r="C651" s="11" t="s">
        <v>70</v>
      </c>
      <c r="D651" s="13">
        <f t="shared" si="16"/>
        <v>127.9</v>
      </c>
      <c r="E651" s="13">
        <v>127.9</v>
      </c>
      <c r="F651" s="13" t="s">
        <v>1175</v>
      </c>
      <c r="G651" s="13" t="s">
        <v>1175</v>
      </c>
      <c r="H651" s="13"/>
      <c r="I651" s="4" t="s">
        <v>1175</v>
      </c>
    </row>
    <row r="652" spans="1:9" ht="15.75" customHeight="1" x14ac:dyDescent="0.25">
      <c r="A652" s="10">
        <f t="shared" si="30"/>
        <v>1</v>
      </c>
      <c r="B652" s="10" t="s">
        <v>1422</v>
      </c>
      <c r="C652" s="11" t="s">
        <v>70</v>
      </c>
      <c r="D652" s="13">
        <f>E652*$D$1</f>
        <v>233.37</v>
      </c>
      <c r="E652" s="13">
        <v>233.37</v>
      </c>
      <c r="F652" s="13" t="s">
        <v>1175</v>
      </c>
      <c r="G652" s="13" t="s">
        <v>1175</v>
      </c>
      <c r="H652" s="13"/>
      <c r="I652" s="4" t="s">
        <v>1175</v>
      </c>
    </row>
    <row r="653" spans="1:9" ht="15.75" customHeight="1" x14ac:dyDescent="0.25">
      <c r="A653" s="10">
        <f t="shared" si="30"/>
        <v>1</v>
      </c>
      <c r="B653" s="10" t="s">
        <v>1423</v>
      </c>
      <c r="C653" s="11" t="s">
        <v>70</v>
      </c>
      <c r="D653" s="13">
        <f>E653*$D$1</f>
        <v>163.66</v>
      </c>
      <c r="E653" s="13">
        <v>163.66</v>
      </c>
      <c r="F653" s="13" t="s">
        <v>1175</v>
      </c>
      <c r="G653" s="13" t="s">
        <v>1175</v>
      </c>
      <c r="H653" s="13"/>
      <c r="I653" s="4" t="s">
        <v>1175</v>
      </c>
    </row>
    <row r="654" spans="1:9" ht="15.75" customHeight="1" x14ac:dyDescent="0.25">
      <c r="A654" s="10">
        <f t="shared" si="30"/>
        <v>1</v>
      </c>
      <c r="B654" s="10" t="s">
        <v>1424</v>
      </c>
      <c r="C654" s="11" t="s">
        <v>70</v>
      </c>
      <c r="D654" s="13">
        <f>E654*$D$1</f>
        <v>146.44</v>
      </c>
      <c r="E654" s="13">
        <v>146.44</v>
      </c>
      <c r="F654" s="13" t="s">
        <v>1175</v>
      </c>
      <c r="G654" s="13" t="s">
        <v>1175</v>
      </c>
      <c r="H654" s="13"/>
      <c r="I654" s="4" t="s">
        <v>1175</v>
      </c>
    </row>
    <row r="655" spans="1:9" ht="15.75" customHeight="1" x14ac:dyDescent="0.25">
      <c r="A655" s="10">
        <f t="shared" si="30"/>
        <v>1</v>
      </c>
      <c r="B655" s="10" t="s">
        <v>728</v>
      </c>
      <c r="C655" s="11" t="s">
        <v>70</v>
      </c>
      <c r="D655" s="13">
        <f t="shared" si="16"/>
        <v>79</v>
      </c>
      <c r="E655" s="13">
        <v>79</v>
      </c>
      <c r="F655" s="13" t="s">
        <v>1175</v>
      </c>
      <c r="G655" s="13" t="s">
        <v>1175</v>
      </c>
      <c r="H655" s="13"/>
      <c r="I655" s="4" t="s">
        <v>1175</v>
      </c>
    </row>
    <row r="656" spans="1:9" ht="15.75" customHeight="1" x14ac:dyDescent="0.25">
      <c r="A656" s="10">
        <f t="shared" si="30"/>
        <v>1</v>
      </c>
      <c r="B656" s="10" t="s">
        <v>731</v>
      </c>
      <c r="C656" s="11" t="s">
        <v>70</v>
      </c>
      <c r="D656" s="13">
        <f t="shared" si="16"/>
        <v>122.96296296296295</v>
      </c>
      <c r="E656" s="13">
        <v>122.96296296296295</v>
      </c>
      <c r="F656" s="13" t="s">
        <v>1175</v>
      </c>
      <c r="G656" s="13" t="s">
        <v>1175</v>
      </c>
      <c r="H656" s="13"/>
      <c r="I656" s="4" t="s">
        <v>1175</v>
      </c>
    </row>
    <row r="657" spans="1:9" ht="15.75" customHeight="1" x14ac:dyDescent="0.25">
      <c r="A657" s="10">
        <f t="shared" si="30"/>
        <v>1</v>
      </c>
      <c r="B657" s="10" t="s">
        <v>632</v>
      </c>
      <c r="C657" s="11" t="s">
        <v>70</v>
      </c>
      <c r="D657" s="13">
        <f t="shared" si="16"/>
        <v>138.4</v>
      </c>
      <c r="E657" s="13">
        <v>138.4</v>
      </c>
      <c r="F657" s="13" t="s">
        <v>1175</v>
      </c>
      <c r="G657" s="13" t="s">
        <v>1175</v>
      </c>
      <c r="H657" s="13"/>
      <c r="I657" s="4" t="s">
        <v>1175</v>
      </c>
    </row>
    <row r="658" spans="1:9" ht="15.75" customHeight="1" x14ac:dyDescent="0.25">
      <c r="A658" s="10">
        <f t="shared" si="30"/>
        <v>1</v>
      </c>
      <c r="B658" s="10" t="s">
        <v>677</v>
      </c>
      <c r="C658" s="11" t="s">
        <v>70</v>
      </c>
      <c r="D658" s="13">
        <f t="shared" si="16"/>
        <v>182.45</v>
      </c>
      <c r="E658" s="13">
        <v>182.45</v>
      </c>
      <c r="F658" s="13" t="s">
        <v>1175</v>
      </c>
      <c r="G658" s="13" t="s">
        <v>1175</v>
      </c>
      <c r="H658" s="13"/>
      <c r="I658" s="4" t="s">
        <v>1175</v>
      </c>
    </row>
    <row r="659" spans="1:9" ht="15.75" customHeight="1" x14ac:dyDescent="0.25">
      <c r="A659" s="10">
        <f t="shared" si="30"/>
        <v>1</v>
      </c>
      <c r="B659" s="10" t="s">
        <v>887</v>
      </c>
      <c r="C659" s="11" t="s">
        <v>70</v>
      </c>
      <c r="D659" s="13">
        <f t="shared" si="16"/>
        <v>280</v>
      </c>
      <c r="E659" s="13">
        <v>280</v>
      </c>
      <c r="F659" s="13" t="s">
        <v>1175</v>
      </c>
      <c r="G659" s="13" t="s">
        <v>1175</v>
      </c>
      <c r="H659" s="13"/>
      <c r="I659" s="4" t="s">
        <v>1175</v>
      </c>
    </row>
    <row r="660" spans="1:9" ht="15.75" customHeight="1" x14ac:dyDescent="0.25">
      <c r="A660" s="10">
        <f t="shared" si="30"/>
        <v>1</v>
      </c>
      <c r="B660" s="10" t="s">
        <v>1193</v>
      </c>
      <c r="C660" s="11" t="s">
        <v>70</v>
      </c>
      <c r="D660" s="13">
        <f t="shared" si="16"/>
        <v>250</v>
      </c>
      <c r="E660" s="13">
        <v>250</v>
      </c>
      <c r="F660" s="13" t="s">
        <v>1175</v>
      </c>
      <c r="G660" s="13" t="s">
        <v>1175</v>
      </c>
      <c r="H660" s="13"/>
      <c r="I660" s="4" t="s">
        <v>1175</v>
      </c>
    </row>
    <row r="661" spans="1:9" ht="15.75" customHeight="1" x14ac:dyDescent="0.25">
      <c r="A661" s="10">
        <f t="shared" si="30"/>
        <v>1</v>
      </c>
      <c r="B661" s="10" t="s">
        <v>1194</v>
      </c>
      <c r="C661" s="11" t="s">
        <v>70</v>
      </c>
      <c r="D661" s="13">
        <f t="shared" si="16"/>
        <v>332.1</v>
      </c>
      <c r="E661" s="13">
        <v>332.1</v>
      </c>
      <c r="F661" s="13" t="s">
        <v>1175</v>
      </c>
      <c r="G661" s="13" t="s">
        <v>1175</v>
      </c>
      <c r="H661" s="13"/>
      <c r="I661" s="4" t="s">
        <v>1175</v>
      </c>
    </row>
    <row r="662" spans="1:9" ht="15.75" customHeight="1" x14ac:dyDescent="0.25">
      <c r="A662" s="10">
        <f t="shared" si="30"/>
        <v>1</v>
      </c>
      <c r="B662" s="10" t="s">
        <v>691</v>
      </c>
      <c r="C662" s="11" t="s">
        <v>70</v>
      </c>
      <c r="D662" s="13">
        <f t="shared" si="16"/>
        <v>84.9</v>
      </c>
      <c r="E662" s="13">
        <v>84.9</v>
      </c>
      <c r="F662" s="13" t="s">
        <v>1175</v>
      </c>
      <c r="G662" s="13" t="s">
        <v>1175</v>
      </c>
      <c r="H662" s="13"/>
      <c r="I662" s="4" t="s">
        <v>1175</v>
      </c>
    </row>
    <row r="663" spans="1:9" ht="15.75" customHeight="1" x14ac:dyDescent="0.25">
      <c r="A663" s="10">
        <f t="shared" si="30"/>
        <v>1</v>
      </c>
      <c r="B663" s="10" t="s">
        <v>684</v>
      </c>
      <c r="C663" s="11" t="s">
        <v>70</v>
      </c>
      <c r="D663" s="13">
        <f t="shared" si="16"/>
        <v>68.900000000000006</v>
      </c>
      <c r="E663" s="13">
        <v>68.900000000000006</v>
      </c>
      <c r="F663" s="13" t="s">
        <v>1175</v>
      </c>
      <c r="G663" s="13" t="s">
        <v>1175</v>
      </c>
      <c r="H663" s="13"/>
      <c r="I663" s="4" t="s">
        <v>1175</v>
      </c>
    </row>
    <row r="664" spans="1:9" ht="15.75" customHeight="1" x14ac:dyDescent="0.25">
      <c r="A664" s="10">
        <f t="shared" si="30"/>
        <v>1</v>
      </c>
      <c r="B664" s="10" t="s">
        <v>689</v>
      </c>
      <c r="C664" s="11" t="s">
        <v>70</v>
      </c>
      <c r="D664" s="13">
        <f t="shared" si="16"/>
        <v>34.9</v>
      </c>
      <c r="E664" s="13">
        <v>34.9</v>
      </c>
      <c r="F664" s="13" t="s">
        <v>1175</v>
      </c>
      <c r="G664" s="13" t="s">
        <v>1175</v>
      </c>
      <c r="H664" s="13"/>
      <c r="I664" s="4" t="s">
        <v>1175</v>
      </c>
    </row>
    <row r="665" spans="1:9" ht="15.75" customHeight="1" x14ac:dyDescent="0.25">
      <c r="A665" s="10">
        <f t="shared" si="30"/>
        <v>1</v>
      </c>
      <c r="B665" s="10" t="s">
        <v>693</v>
      </c>
      <c r="C665" s="11" t="s">
        <v>70</v>
      </c>
      <c r="D665" s="13">
        <f t="shared" si="16"/>
        <v>144.9</v>
      </c>
      <c r="E665" s="13">
        <v>144.9</v>
      </c>
      <c r="F665" s="13" t="s">
        <v>1175</v>
      </c>
      <c r="G665" s="13" t="s">
        <v>1175</v>
      </c>
      <c r="H665" s="13"/>
      <c r="I665" s="4" t="s">
        <v>1175</v>
      </c>
    </row>
    <row r="666" spans="1:9" ht="15.75" customHeight="1" x14ac:dyDescent="0.25">
      <c r="A666" s="10">
        <f t="shared" si="30"/>
        <v>1</v>
      </c>
      <c r="B666" s="10" t="s">
        <v>682</v>
      </c>
      <c r="C666" s="11" t="s">
        <v>70</v>
      </c>
      <c r="D666" s="13">
        <f t="shared" si="16"/>
        <v>76.3</v>
      </c>
      <c r="E666" s="13">
        <v>76.3</v>
      </c>
      <c r="F666" s="13" t="s">
        <v>1175</v>
      </c>
      <c r="G666" s="13" t="s">
        <v>1175</v>
      </c>
      <c r="H666" s="13"/>
      <c r="I666" s="4" t="s">
        <v>1175</v>
      </c>
    </row>
    <row r="667" spans="1:9" ht="15.75" customHeight="1" x14ac:dyDescent="0.25">
      <c r="A667" s="10">
        <f t="shared" si="30"/>
        <v>1</v>
      </c>
      <c r="B667" s="10" t="s">
        <v>514</v>
      </c>
      <c r="C667" s="11" t="s">
        <v>70</v>
      </c>
      <c r="D667" s="13">
        <f t="shared" si="16"/>
        <v>85.9</v>
      </c>
      <c r="E667" s="13">
        <v>85.9</v>
      </c>
      <c r="F667" s="13" t="s">
        <v>1175</v>
      </c>
      <c r="G667" s="13" t="s">
        <v>1175</v>
      </c>
      <c r="H667" s="13"/>
      <c r="I667" s="4" t="s">
        <v>1175</v>
      </c>
    </row>
    <row r="668" spans="1:9" ht="15.75" customHeight="1" x14ac:dyDescent="0.25">
      <c r="A668" s="10">
        <f t="shared" si="30"/>
        <v>1</v>
      </c>
      <c r="B668" s="10" t="s">
        <v>5342</v>
      </c>
      <c r="C668" s="11" t="s">
        <v>70</v>
      </c>
      <c r="D668" s="13">
        <f>E668*$D$1</f>
        <v>394</v>
      </c>
      <c r="E668" s="13">
        <v>394</v>
      </c>
      <c r="F668" s="13" t="s">
        <v>1175</v>
      </c>
      <c r="G668" s="13" t="s">
        <v>1175</v>
      </c>
      <c r="H668" s="13" t="s">
        <v>4222</v>
      </c>
      <c r="I668" s="4" t="s">
        <v>1175</v>
      </c>
    </row>
    <row r="669" spans="1:9" ht="15.75" customHeight="1" x14ac:dyDescent="0.25">
      <c r="A669" s="10">
        <f>COUNTIFS($B$2:$B$996,B669)</f>
        <v>1</v>
      </c>
      <c r="B669" s="10" t="s">
        <v>5344</v>
      </c>
      <c r="C669" s="11" t="s">
        <v>70</v>
      </c>
      <c r="D669" s="13">
        <f>E669*$D$1</f>
        <v>337</v>
      </c>
      <c r="E669" s="13">
        <f>40+20+259+18</f>
        <v>337</v>
      </c>
      <c r="F669" s="13" t="s">
        <v>1175</v>
      </c>
      <c r="G669" s="13" t="s">
        <v>1175</v>
      </c>
      <c r="H669" s="13" t="s">
        <v>4222</v>
      </c>
      <c r="I669" s="4" t="s">
        <v>1175</v>
      </c>
    </row>
    <row r="670" spans="1:9" ht="15.75" customHeight="1" x14ac:dyDescent="0.25">
      <c r="A670" s="10">
        <f t="shared" si="30"/>
        <v>1</v>
      </c>
      <c r="B670" s="10" t="s">
        <v>5343</v>
      </c>
      <c r="C670" s="11" t="s">
        <v>70</v>
      </c>
      <c r="D670" s="13">
        <f>E670*$D$1</f>
        <v>298</v>
      </c>
      <c r="E670" s="13">
        <v>298</v>
      </c>
      <c r="F670" s="13" t="s">
        <v>1175</v>
      </c>
      <c r="G670" s="13" t="s">
        <v>1175</v>
      </c>
      <c r="H670" s="13" t="s">
        <v>4222</v>
      </c>
      <c r="I670" s="4" t="s">
        <v>1175</v>
      </c>
    </row>
    <row r="671" spans="1:9" ht="15.75" customHeight="1" x14ac:dyDescent="0.25">
      <c r="A671" s="10">
        <f>COUNTIFS($B$2:$B$996,B671)</f>
        <v>1</v>
      </c>
      <c r="B671" s="10" t="s">
        <v>5337</v>
      </c>
      <c r="C671" s="11" t="s">
        <v>70</v>
      </c>
      <c r="D671" s="13">
        <f>E671*$D$1</f>
        <v>147.4</v>
      </c>
      <c r="E671" s="13">
        <v>147.4</v>
      </c>
      <c r="F671" s="13" t="s">
        <v>1175</v>
      </c>
      <c r="G671" s="13" t="s">
        <v>1175</v>
      </c>
      <c r="H671" s="13" t="s">
        <v>4222</v>
      </c>
      <c r="I671" s="4" t="s">
        <v>1175</v>
      </c>
    </row>
    <row r="672" spans="1:9" ht="15.75" customHeight="1" x14ac:dyDescent="0.25">
      <c r="A672" s="10">
        <f t="shared" si="30"/>
        <v>1</v>
      </c>
      <c r="B672" s="10" t="s">
        <v>2849</v>
      </c>
      <c r="C672" s="11" t="s">
        <v>70</v>
      </c>
      <c r="D672" s="13">
        <f t="shared" ref="D672:D692" si="31">E672*$D$1</f>
        <v>588.79999999999995</v>
      </c>
      <c r="E672" s="13">
        <v>588.79999999999995</v>
      </c>
      <c r="F672" s="13" t="s">
        <v>1175</v>
      </c>
      <c r="G672" s="13" t="s">
        <v>1175</v>
      </c>
      <c r="H672" s="13"/>
      <c r="I672" s="4" t="s">
        <v>1175</v>
      </c>
    </row>
    <row r="673" spans="1:9" ht="15.75" customHeight="1" x14ac:dyDescent="0.25">
      <c r="A673" s="10">
        <f t="shared" si="30"/>
        <v>1</v>
      </c>
      <c r="B673" s="10" t="s">
        <v>2850</v>
      </c>
      <c r="C673" s="11" t="s">
        <v>70</v>
      </c>
      <c r="D673" s="13">
        <f t="shared" si="31"/>
        <v>588.79999999999995</v>
      </c>
      <c r="E673" s="13">
        <v>588.79999999999995</v>
      </c>
      <c r="F673" s="13" t="s">
        <v>1175</v>
      </c>
      <c r="G673" s="13" t="s">
        <v>1175</v>
      </c>
      <c r="H673" s="13"/>
      <c r="I673" s="4" t="s">
        <v>1175</v>
      </c>
    </row>
    <row r="674" spans="1:9" ht="15.75" customHeight="1" x14ac:dyDescent="0.25">
      <c r="A674" s="10">
        <f t="shared" si="30"/>
        <v>1</v>
      </c>
      <c r="B674" s="10" t="s">
        <v>2851</v>
      </c>
      <c r="C674" s="11" t="s">
        <v>70</v>
      </c>
      <c r="D674" s="13">
        <f t="shared" si="31"/>
        <v>315</v>
      </c>
      <c r="E674" s="13">
        <f>44090.55/139.97</f>
        <v>315</v>
      </c>
      <c r="F674" s="13" t="s">
        <v>1175</v>
      </c>
      <c r="G674" s="13" t="s">
        <v>1175</v>
      </c>
      <c r="H674" s="13" t="s">
        <v>4222</v>
      </c>
      <c r="I674" s="4" t="s">
        <v>1175</v>
      </c>
    </row>
    <row r="675" spans="1:9" ht="15.75" customHeight="1" x14ac:dyDescent="0.25">
      <c r="A675" s="10">
        <f t="shared" si="30"/>
        <v>1</v>
      </c>
      <c r="B675" s="10" t="s">
        <v>4226</v>
      </c>
      <c r="C675" s="11" t="s">
        <v>70</v>
      </c>
      <c r="D675" s="13">
        <f t="shared" si="31"/>
        <v>402.5</v>
      </c>
      <c r="E675" s="13">
        <v>402.5</v>
      </c>
      <c r="F675" s="13" t="s">
        <v>1175</v>
      </c>
      <c r="G675" s="13" t="s">
        <v>1175</v>
      </c>
      <c r="H675" s="13"/>
      <c r="I675" s="4" t="s">
        <v>1175</v>
      </c>
    </row>
    <row r="676" spans="1:9" ht="15.75" customHeight="1" x14ac:dyDescent="0.25">
      <c r="A676" s="10">
        <f>COUNTIFS($B$2:$B$996,B676)</f>
        <v>1</v>
      </c>
      <c r="B676" s="10" t="s">
        <v>4225</v>
      </c>
      <c r="C676" s="11" t="s">
        <v>70</v>
      </c>
      <c r="D676" s="13">
        <f>E676*$D$1</f>
        <v>402.5</v>
      </c>
      <c r="E676" s="13">
        <v>402.5</v>
      </c>
      <c r="F676" s="13" t="s">
        <v>1175</v>
      </c>
      <c r="G676" s="13" t="s">
        <v>1175</v>
      </c>
      <c r="H676" s="13"/>
      <c r="I676" s="4" t="s">
        <v>1175</v>
      </c>
    </row>
    <row r="677" spans="1:9" ht="15.75" customHeight="1" x14ac:dyDescent="0.25">
      <c r="A677" s="10">
        <f t="shared" si="30"/>
        <v>1</v>
      </c>
      <c r="B677" s="10" t="s">
        <v>2852</v>
      </c>
      <c r="C677" s="11" t="s">
        <v>70</v>
      </c>
      <c r="D677" s="13">
        <f t="shared" si="31"/>
        <v>315</v>
      </c>
      <c r="E677" s="13">
        <f>44090.55/139.97</f>
        <v>315</v>
      </c>
      <c r="F677" s="13" t="s">
        <v>1175</v>
      </c>
      <c r="G677" s="13" t="s">
        <v>1175</v>
      </c>
      <c r="H677" s="13" t="s">
        <v>4222</v>
      </c>
      <c r="I677" s="4" t="s">
        <v>1175</v>
      </c>
    </row>
    <row r="678" spans="1:9" ht="15.75" customHeight="1" x14ac:dyDescent="0.25">
      <c r="A678" s="10">
        <f t="shared" si="30"/>
        <v>1</v>
      </c>
      <c r="B678" s="10" t="s">
        <v>3000</v>
      </c>
      <c r="C678" s="11" t="s">
        <v>70</v>
      </c>
      <c r="D678" s="13">
        <f t="shared" si="31"/>
        <v>490</v>
      </c>
      <c r="E678" s="13">
        <f>1192743.3/2434.17</f>
        <v>490</v>
      </c>
      <c r="F678" s="13" t="s">
        <v>1175</v>
      </c>
      <c r="G678" s="13" t="s">
        <v>1175</v>
      </c>
      <c r="H678" s="13" t="s">
        <v>4222</v>
      </c>
      <c r="I678" s="4" t="s">
        <v>1175</v>
      </c>
    </row>
    <row r="679" spans="1:9" ht="15.75" customHeight="1" x14ac:dyDescent="0.25">
      <c r="A679" s="10">
        <f t="shared" si="30"/>
        <v>1</v>
      </c>
      <c r="B679" s="10" t="s">
        <v>3148</v>
      </c>
      <c r="C679" s="11" t="s">
        <v>70</v>
      </c>
      <c r="D679" s="13">
        <f t="shared" si="31"/>
        <v>588</v>
      </c>
      <c r="E679" s="13">
        <v>588</v>
      </c>
      <c r="F679" s="13" t="s">
        <v>1175</v>
      </c>
      <c r="G679" s="13" t="s">
        <v>1175</v>
      </c>
      <c r="H679" s="14">
        <f>0.05*0.05</f>
        <v>2.5000000000000005E-3</v>
      </c>
      <c r="I679" s="4" t="s">
        <v>1175</v>
      </c>
    </row>
    <row r="680" spans="1:9" ht="15.75" customHeight="1" x14ac:dyDescent="0.25">
      <c r="A680" s="10">
        <f t="shared" si="30"/>
        <v>1</v>
      </c>
      <c r="B680" s="10" t="s">
        <v>3149</v>
      </c>
      <c r="C680" s="11" t="s">
        <v>70</v>
      </c>
      <c r="D680" s="13">
        <f t="shared" si="31"/>
        <v>588</v>
      </c>
      <c r="E680" s="13">
        <v>588</v>
      </c>
      <c r="F680" s="13" t="s">
        <v>1175</v>
      </c>
      <c r="G680" s="13" t="s">
        <v>1175</v>
      </c>
      <c r="H680" s="14">
        <f>0.05*0.05</f>
        <v>2.5000000000000005E-3</v>
      </c>
      <c r="I680" s="4" t="s">
        <v>1175</v>
      </c>
    </row>
    <row r="681" spans="1:9" ht="15.75" customHeight="1" x14ac:dyDescent="0.25">
      <c r="A681" s="10">
        <f t="shared" si="30"/>
        <v>1</v>
      </c>
      <c r="B681" s="10" t="s">
        <v>3147</v>
      </c>
      <c r="C681" s="11" t="s">
        <v>70</v>
      </c>
      <c r="D681" s="13">
        <f t="shared" si="31"/>
        <v>780</v>
      </c>
      <c r="E681" s="13">
        <f>(3.9*400)/2</f>
        <v>780</v>
      </c>
      <c r="F681" s="13" t="s">
        <v>1175</v>
      </c>
      <c r="G681" s="13" t="s">
        <v>1175</v>
      </c>
      <c r="H681" s="14">
        <f>0.05*0.05</f>
        <v>2.5000000000000005E-3</v>
      </c>
      <c r="I681" s="4" t="s">
        <v>1175</v>
      </c>
    </row>
    <row r="682" spans="1:9" ht="15.75" customHeight="1" x14ac:dyDescent="0.25">
      <c r="A682" s="10">
        <f t="shared" si="30"/>
        <v>1</v>
      </c>
      <c r="B682" s="10" t="s">
        <v>2998</v>
      </c>
      <c r="C682" s="11" t="s">
        <v>70</v>
      </c>
      <c r="D682" s="13">
        <f t="shared" si="31"/>
        <v>780</v>
      </c>
      <c r="E682" s="13">
        <f>(3.9*400)/2</f>
        <v>780</v>
      </c>
      <c r="F682" s="13" t="s">
        <v>1175</v>
      </c>
      <c r="G682" s="13" t="s">
        <v>1175</v>
      </c>
      <c r="H682" s="14">
        <f>0.05*0.05</f>
        <v>2.5000000000000005E-3</v>
      </c>
      <c r="I682" s="4" t="s">
        <v>1175</v>
      </c>
    </row>
    <row r="683" spans="1:9" ht="15.75" customHeight="1" x14ac:dyDescent="0.25">
      <c r="A683" s="10">
        <f t="shared" si="30"/>
        <v>1</v>
      </c>
      <c r="B683" s="10" t="s">
        <v>2858</v>
      </c>
      <c r="C683" s="11" t="s">
        <v>70</v>
      </c>
      <c r="D683" s="13">
        <f t="shared" si="31"/>
        <v>780</v>
      </c>
      <c r="E683" s="13">
        <f>(3.9*400)/2</f>
        <v>780</v>
      </c>
      <c r="F683" s="13" t="s">
        <v>1175</v>
      </c>
      <c r="G683" s="13" t="s">
        <v>1175</v>
      </c>
      <c r="H683" s="13"/>
      <c r="I683" s="4" t="s">
        <v>1175</v>
      </c>
    </row>
    <row r="684" spans="1:9" ht="15.75" customHeight="1" x14ac:dyDescent="0.25">
      <c r="A684" s="10">
        <f t="shared" si="30"/>
        <v>1</v>
      </c>
      <c r="B684" s="10" t="s">
        <v>2859</v>
      </c>
      <c r="C684" s="11" t="s">
        <v>70</v>
      </c>
      <c r="D684" s="13">
        <f t="shared" si="31"/>
        <v>780</v>
      </c>
      <c r="E684" s="13">
        <f>(3.9*400)/2</f>
        <v>780</v>
      </c>
      <c r="F684" s="13" t="s">
        <v>1175</v>
      </c>
      <c r="G684" s="13" t="s">
        <v>1175</v>
      </c>
      <c r="H684" s="13"/>
      <c r="I684" s="4" t="s">
        <v>1175</v>
      </c>
    </row>
    <row r="685" spans="1:9" ht="15.75" customHeight="1" x14ac:dyDescent="0.25">
      <c r="A685" s="10">
        <f t="shared" si="30"/>
        <v>1</v>
      </c>
      <c r="B685" s="10" t="s">
        <v>2860</v>
      </c>
      <c r="C685" s="11" t="s">
        <v>70</v>
      </c>
      <c r="D685" s="13">
        <f t="shared" si="31"/>
        <v>489.99999999999994</v>
      </c>
      <c r="E685" s="13">
        <f>646.8/1.32</f>
        <v>489.99999999999994</v>
      </c>
      <c r="F685" s="13" t="s">
        <v>1175</v>
      </c>
      <c r="G685" s="13" t="s">
        <v>1175</v>
      </c>
      <c r="H685" s="13" t="s">
        <v>4222</v>
      </c>
      <c r="I685" s="4" t="s">
        <v>1175</v>
      </c>
    </row>
    <row r="686" spans="1:9" ht="15.75" customHeight="1" x14ac:dyDescent="0.25">
      <c r="A686" s="10">
        <f t="shared" si="30"/>
        <v>1</v>
      </c>
      <c r="B686" s="10" t="s">
        <v>2861</v>
      </c>
      <c r="C686" s="11" t="s">
        <v>70</v>
      </c>
      <c r="D686" s="13">
        <f t="shared" si="31"/>
        <v>489.99999999999994</v>
      </c>
      <c r="E686" s="13">
        <f>78674.4/160.56</f>
        <v>489.99999999999994</v>
      </c>
      <c r="F686" s="13" t="s">
        <v>1175</v>
      </c>
      <c r="G686" s="13" t="s">
        <v>1175</v>
      </c>
      <c r="H686" s="13" t="s">
        <v>4222</v>
      </c>
      <c r="I686" s="4" t="s">
        <v>1175</v>
      </c>
    </row>
    <row r="687" spans="1:9" ht="15.75" customHeight="1" x14ac:dyDescent="0.25">
      <c r="A687" s="10">
        <f t="shared" si="30"/>
        <v>1</v>
      </c>
      <c r="B687" s="10" t="s">
        <v>3001</v>
      </c>
      <c r="C687" s="11" t="s">
        <v>70</v>
      </c>
      <c r="D687" s="13">
        <f t="shared" si="31"/>
        <v>780</v>
      </c>
      <c r="E687" s="13">
        <f>(3.9*400)/2</f>
        <v>780</v>
      </c>
      <c r="F687" s="13" t="s">
        <v>1175</v>
      </c>
      <c r="G687" s="13" t="s">
        <v>1175</v>
      </c>
      <c r="H687" s="13"/>
      <c r="I687" s="4" t="s">
        <v>1175</v>
      </c>
    </row>
    <row r="688" spans="1:9" ht="15.75" customHeight="1" x14ac:dyDescent="0.25">
      <c r="A688" s="10">
        <f t="shared" si="30"/>
        <v>1</v>
      </c>
      <c r="B688" s="10" t="s">
        <v>3002</v>
      </c>
      <c r="C688" s="11" t="s">
        <v>70</v>
      </c>
      <c r="D688" s="13">
        <f t="shared" si="31"/>
        <v>490</v>
      </c>
      <c r="E688" s="13">
        <f>1271417.7/2594.73</f>
        <v>490</v>
      </c>
      <c r="F688" s="13" t="s">
        <v>1175</v>
      </c>
      <c r="G688" s="13" t="s">
        <v>1175</v>
      </c>
      <c r="H688" s="13" t="s">
        <v>4222</v>
      </c>
      <c r="I688" s="4" t="s">
        <v>1175</v>
      </c>
    </row>
    <row r="689" spans="1:9" ht="15.75" customHeight="1" x14ac:dyDescent="0.25">
      <c r="A689" s="10">
        <f t="shared" si="30"/>
        <v>1</v>
      </c>
      <c r="B689" s="10" t="s">
        <v>2864</v>
      </c>
      <c r="C689" s="11" t="s">
        <v>70</v>
      </c>
      <c r="D689" s="13">
        <f t="shared" si="31"/>
        <v>250</v>
      </c>
      <c r="E689" s="13">
        <v>250</v>
      </c>
      <c r="F689" s="13" t="s">
        <v>1175</v>
      </c>
      <c r="G689" s="13" t="s">
        <v>1175</v>
      </c>
      <c r="H689" s="13"/>
      <c r="I689" s="4" t="s">
        <v>1175</v>
      </c>
    </row>
    <row r="690" spans="1:9" ht="15.75" customHeight="1" x14ac:dyDescent="0.25">
      <c r="A690" s="10">
        <f t="shared" si="30"/>
        <v>1</v>
      </c>
      <c r="B690" s="10" t="s">
        <v>2865</v>
      </c>
      <c r="C690" s="11" t="s">
        <v>70</v>
      </c>
      <c r="D690" s="13">
        <f t="shared" si="31"/>
        <v>249</v>
      </c>
      <c r="E690" s="13">
        <f>3585.6/14.4</f>
        <v>249</v>
      </c>
      <c r="F690" s="13" t="s">
        <v>1175</v>
      </c>
      <c r="G690" s="13" t="s">
        <v>1175</v>
      </c>
      <c r="H690" s="13" t="s">
        <v>4222</v>
      </c>
      <c r="I690" s="4" t="s">
        <v>1175</v>
      </c>
    </row>
    <row r="691" spans="1:9" ht="15.75" customHeight="1" x14ac:dyDescent="0.25">
      <c r="A691" s="10">
        <f t="shared" si="30"/>
        <v>1</v>
      </c>
      <c r="B691" s="10" t="s">
        <v>2866</v>
      </c>
      <c r="C691" s="11" t="s">
        <v>70</v>
      </c>
      <c r="D691" s="13">
        <f t="shared" si="31"/>
        <v>250</v>
      </c>
      <c r="E691" s="13">
        <v>250</v>
      </c>
      <c r="F691" s="13" t="s">
        <v>1175</v>
      </c>
      <c r="G691" s="13" t="s">
        <v>1175</v>
      </c>
      <c r="H691" s="13"/>
      <c r="I691" s="4" t="s">
        <v>1175</v>
      </c>
    </row>
    <row r="692" spans="1:9" ht="15.75" customHeight="1" x14ac:dyDescent="0.25">
      <c r="A692" s="10">
        <f t="shared" si="30"/>
        <v>1</v>
      </c>
      <c r="B692" s="10" t="s">
        <v>2867</v>
      </c>
      <c r="C692" s="11" t="s">
        <v>70</v>
      </c>
      <c r="D692" s="13">
        <f t="shared" si="31"/>
        <v>249</v>
      </c>
      <c r="E692" s="13">
        <f>27636.51/110.99</f>
        <v>249</v>
      </c>
      <c r="F692" s="13" t="s">
        <v>1175</v>
      </c>
      <c r="G692" s="13" t="s">
        <v>1175</v>
      </c>
      <c r="H692" s="13" t="s">
        <v>4222</v>
      </c>
      <c r="I692" s="4" t="s">
        <v>1175</v>
      </c>
    </row>
    <row r="693" spans="1:9" ht="15.75" customHeight="1" x14ac:dyDescent="0.25">
      <c r="A693" s="10">
        <f t="shared" si="30"/>
        <v>1</v>
      </c>
      <c r="B693" s="10" t="s">
        <v>2868</v>
      </c>
      <c r="C693" s="11" t="s">
        <v>70</v>
      </c>
      <c r="D693" s="13">
        <f t="shared" ref="D693:D698" si="32">E693*$D$1</f>
        <v>250</v>
      </c>
      <c r="E693" s="13">
        <v>250</v>
      </c>
      <c r="F693" s="13" t="s">
        <v>1175</v>
      </c>
      <c r="G693" s="13" t="s">
        <v>1175</v>
      </c>
      <c r="H693" s="13"/>
      <c r="I693" s="4" t="s">
        <v>1175</v>
      </c>
    </row>
    <row r="694" spans="1:9" ht="15.75" customHeight="1" x14ac:dyDescent="0.25">
      <c r="A694" s="10">
        <f t="shared" si="30"/>
        <v>1</v>
      </c>
      <c r="B694" s="10" t="s">
        <v>2869</v>
      </c>
      <c r="C694" s="11" t="s">
        <v>70</v>
      </c>
      <c r="D694" s="13">
        <f t="shared" si="32"/>
        <v>249</v>
      </c>
      <c r="E694" s="13">
        <f>876.48/3.52</f>
        <v>249</v>
      </c>
      <c r="F694" s="13" t="s">
        <v>1175</v>
      </c>
      <c r="G694" s="13" t="s">
        <v>1175</v>
      </c>
      <c r="H694" s="13" t="s">
        <v>4222</v>
      </c>
      <c r="I694" s="4" t="s">
        <v>1175</v>
      </c>
    </row>
    <row r="695" spans="1:9" ht="15.75" customHeight="1" x14ac:dyDescent="0.25">
      <c r="A695" s="10">
        <f t="shared" si="30"/>
        <v>1</v>
      </c>
      <c r="B695" s="10" t="s">
        <v>2870</v>
      </c>
      <c r="C695" s="11" t="s">
        <v>70</v>
      </c>
      <c r="D695" s="13">
        <f t="shared" si="32"/>
        <v>250</v>
      </c>
      <c r="E695" s="13">
        <v>250</v>
      </c>
      <c r="F695" s="13" t="s">
        <v>1175</v>
      </c>
      <c r="G695" s="13" t="s">
        <v>1175</v>
      </c>
      <c r="H695" s="13"/>
      <c r="I695" s="4" t="s">
        <v>1175</v>
      </c>
    </row>
    <row r="696" spans="1:9" ht="15.75" customHeight="1" x14ac:dyDescent="0.25">
      <c r="A696" s="10">
        <f t="shared" si="30"/>
        <v>1</v>
      </c>
      <c r="B696" s="10" t="s">
        <v>2871</v>
      </c>
      <c r="C696" s="11" t="s">
        <v>70</v>
      </c>
      <c r="D696" s="13">
        <f t="shared" si="32"/>
        <v>249</v>
      </c>
      <c r="E696" s="13">
        <f>876.48/3.52</f>
        <v>249</v>
      </c>
      <c r="F696" s="13" t="s">
        <v>1175</v>
      </c>
      <c r="G696" s="13" t="s">
        <v>1175</v>
      </c>
      <c r="H696" s="13" t="s">
        <v>4222</v>
      </c>
      <c r="I696" s="4" t="s">
        <v>1175</v>
      </c>
    </row>
    <row r="697" spans="1:9" ht="15.75" customHeight="1" x14ac:dyDescent="0.25">
      <c r="A697" s="10">
        <f t="shared" si="30"/>
        <v>1</v>
      </c>
      <c r="B697" s="10" t="s">
        <v>2987</v>
      </c>
      <c r="C697" s="11" t="s">
        <v>70</v>
      </c>
      <c r="D697" s="13">
        <f t="shared" si="32"/>
        <v>560</v>
      </c>
      <c r="E697" s="13">
        <v>560</v>
      </c>
      <c r="F697" s="13" t="s">
        <v>1175</v>
      </c>
      <c r="G697" s="13" t="s">
        <v>1175</v>
      </c>
      <c r="H697" s="13"/>
      <c r="I697" s="4" t="s">
        <v>1175</v>
      </c>
    </row>
    <row r="698" spans="1:9" ht="15.75" customHeight="1" x14ac:dyDescent="0.25">
      <c r="A698" s="10">
        <f t="shared" si="30"/>
        <v>1</v>
      </c>
      <c r="B698" s="10" t="s">
        <v>2988</v>
      </c>
      <c r="C698" s="11" t="s">
        <v>70</v>
      </c>
      <c r="D698" s="13">
        <f t="shared" si="32"/>
        <v>249</v>
      </c>
      <c r="E698" s="13">
        <f>876.48/3.52</f>
        <v>249</v>
      </c>
      <c r="F698" s="13" t="s">
        <v>1175</v>
      </c>
      <c r="G698" s="13" t="s">
        <v>1175</v>
      </c>
      <c r="H698" s="13" t="s">
        <v>4222</v>
      </c>
      <c r="I698" s="4" t="s">
        <v>1175</v>
      </c>
    </row>
    <row r="699" spans="1:9" ht="15.75" customHeight="1" x14ac:dyDescent="0.25">
      <c r="A699" s="10">
        <f t="shared" si="30"/>
        <v>1</v>
      </c>
      <c r="B699" s="10" t="s">
        <v>2992</v>
      </c>
      <c r="C699" s="11" t="s">
        <v>70</v>
      </c>
      <c r="D699" s="13">
        <f>E699*$D$1</f>
        <v>480</v>
      </c>
      <c r="E699" s="13">
        <v>480</v>
      </c>
      <c r="F699" s="13" t="s">
        <v>1175</v>
      </c>
      <c r="G699" s="13" t="s">
        <v>1175</v>
      </c>
      <c r="H699" s="13"/>
      <c r="I699" s="4" t="s">
        <v>1175</v>
      </c>
    </row>
    <row r="700" spans="1:9" ht="15.75" customHeight="1" x14ac:dyDescent="0.25">
      <c r="A700" s="10">
        <f t="shared" si="30"/>
        <v>1</v>
      </c>
      <c r="B700" s="10" t="s">
        <v>2994</v>
      </c>
      <c r="C700" s="11" t="s">
        <v>70</v>
      </c>
      <c r="D700" s="13">
        <f>E700*$D$1</f>
        <v>249</v>
      </c>
      <c r="E700" s="13">
        <f>3585.6/14.4</f>
        <v>249</v>
      </c>
      <c r="F700" s="13" t="s">
        <v>1175</v>
      </c>
      <c r="G700" s="13" t="s">
        <v>1175</v>
      </c>
      <c r="H700" s="13" t="s">
        <v>4222</v>
      </c>
      <c r="I700" s="4" t="s">
        <v>1175</v>
      </c>
    </row>
    <row r="701" spans="1:9" ht="15.75" customHeight="1" x14ac:dyDescent="0.25">
      <c r="A701" s="10">
        <f t="shared" si="30"/>
        <v>1</v>
      </c>
      <c r="B701" s="10" t="s">
        <v>3006</v>
      </c>
      <c r="C701" s="11" t="s">
        <v>70</v>
      </c>
      <c r="D701" s="13">
        <f>E701*$D$1</f>
        <v>98</v>
      </c>
      <c r="E701" s="13">
        <v>98</v>
      </c>
      <c r="F701" s="13" t="s">
        <v>1175</v>
      </c>
      <c r="G701" s="13" t="s">
        <v>1175</v>
      </c>
      <c r="H701" s="13"/>
      <c r="I701" s="4" t="s">
        <v>1175</v>
      </c>
    </row>
    <row r="702" spans="1:9" ht="15.75" customHeight="1" x14ac:dyDescent="0.25">
      <c r="A702" s="10">
        <f t="shared" si="30"/>
        <v>1</v>
      </c>
      <c r="B702" s="10" t="s">
        <v>2847</v>
      </c>
      <c r="C702" s="11" t="s">
        <v>70</v>
      </c>
      <c r="D702" s="13">
        <f>E702*$D$1</f>
        <v>120</v>
      </c>
      <c r="E702" s="13">
        <v>120</v>
      </c>
      <c r="F702" s="13" t="s">
        <v>1175</v>
      </c>
      <c r="G702" s="13" t="s">
        <v>1175</v>
      </c>
      <c r="H702" s="13" t="s">
        <v>5455</v>
      </c>
      <c r="I702" s="4" t="s">
        <v>1175</v>
      </c>
    </row>
    <row r="703" spans="1:9" ht="15.75" customHeight="1" x14ac:dyDescent="0.25">
      <c r="A703" s="10">
        <f t="shared" si="30"/>
        <v>1</v>
      </c>
      <c r="B703" s="10" t="s">
        <v>2845</v>
      </c>
      <c r="C703" s="11" t="s">
        <v>70</v>
      </c>
      <c r="D703" s="13">
        <f>E703*$D$1</f>
        <v>200</v>
      </c>
      <c r="E703" s="13">
        <v>200</v>
      </c>
      <c r="F703" s="13" t="s">
        <v>1175</v>
      </c>
      <c r="G703" s="13" t="s">
        <v>1175</v>
      </c>
      <c r="H703" s="13"/>
      <c r="I703" s="4" t="s">
        <v>1175</v>
      </c>
    </row>
    <row r="704" spans="1:9" ht="15.75" customHeight="1" x14ac:dyDescent="0.25">
      <c r="A704" s="10">
        <f t="shared" si="30"/>
        <v>1</v>
      </c>
      <c r="B704" s="10" t="s">
        <v>518</v>
      </c>
      <c r="C704" s="11" t="s">
        <v>70</v>
      </c>
      <c r="D704" s="13">
        <f t="shared" si="16"/>
        <v>202.01</v>
      </c>
      <c r="E704" s="13">
        <v>202.01</v>
      </c>
      <c r="F704" s="13" t="s">
        <v>1175</v>
      </c>
      <c r="G704" s="13" t="s">
        <v>1175</v>
      </c>
      <c r="H704" s="13"/>
      <c r="I704" s="4" t="s">
        <v>1175</v>
      </c>
    </row>
    <row r="705" spans="1:9" ht="15.75" customHeight="1" x14ac:dyDescent="0.25">
      <c r="A705" s="10">
        <f t="shared" si="30"/>
        <v>1</v>
      </c>
      <c r="B705" s="10" t="s">
        <v>512</v>
      </c>
      <c r="C705" s="11" t="s">
        <v>70</v>
      </c>
      <c r="D705" s="13">
        <f t="shared" si="16"/>
        <v>47.8</v>
      </c>
      <c r="E705" s="13">
        <v>47.8</v>
      </c>
      <c r="F705" s="13" t="s">
        <v>1175</v>
      </c>
      <c r="G705" s="13" t="s">
        <v>1175</v>
      </c>
      <c r="H705" s="13"/>
      <c r="I705" s="4" t="s">
        <v>1175</v>
      </c>
    </row>
    <row r="706" spans="1:9" ht="15.75" customHeight="1" x14ac:dyDescent="0.25">
      <c r="A706" s="10">
        <f t="shared" si="30"/>
        <v>1</v>
      </c>
      <c r="B706" s="10" t="s">
        <v>686</v>
      </c>
      <c r="C706" s="11" t="s">
        <v>70</v>
      </c>
      <c r="D706" s="13">
        <f t="shared" si="16"/>
        <v>89.9</v>
      </c>
      <c r="E706" s="13">
        <v>89.9</v>
      </c>
      <c r="F706" s="13" t="s">
        <v>1175</v>
      </c>
      <c r="G706" s="13" t="s">
        <v>1175</v>
      </c>
      <c r="H706" s="13"/>
      <c r="I706" s="4" t="s">
        <v>1175</v>
      </c>
    </row>
    <row r="707" spans="1:9" ht="15.75" customHeight="1" x14ac:dyDescent="0.25">
      <c r="A707" s="10">
        <f t="shared" si="30"/>
        <v>1</v>
      </c>
      <c r="B707" s="10" t="s">
        <v>698</v>
      </c>
      <c r="C707" s="11" t="s">
        <v>70</v>
      </c>
      <c r="D707" s="13">
        <f>E707*$D$1</f>
        <v>183.21</v>
      </c>
      <c r="E707" s="13">
        <v>183.21</v>
      </c>
      <c r="F707" s="13" t="s">
        <v>1175</v>
      </c>
      <c r="G707" s="13" t="s">
        <v>1175</v>
      </c>
      <c r="H707" s="13"/>
      <c r="I707" s="4" t="s">
        <v>1175</v>
      </c>
    </row>
    <row r="708" spans="1:9" ht="15.75" customHeight="1" x14ac:dyDescent="0.25">
      <c r="A708" s="10">
        <f t="shared" si="30"/>
        <v>1</v>
      </c>
      <c r="B708" s="10" t="s">
        <v>1489</v>
      </c>
      <c r="C708" s="11" t="s">
        <v>70</v>
      </c>
      <c r="D708" s="13">
        <f t="shared" si="16"/>
        <v>183.21</v>
      </c>
      <c r="E708" s="13">
        <v>183.21</v>
      </c>
      <c r="F708" s="13" t="s">
        <v>1175</v>
      </c>
      <c r="G708" s="13" t="s">
        <v>1175</v>
      </c>
      <c r="H708" s="13"/>
      <c r="I708" s="4" t="s">
        <v>1175</v>
      </c>
    </row>
    <row r="709" spans="1:9" ht="15.75" customHeight="1" x14ac:dyDescent="0.25">
      <c r="A709" s="10">
        <f t="shared" si="30"/>
        <v>1</v>
      </c>
      <c r="B709" s="10" t="s">
        <v>695</v>
      </c>
      <c r="C709" s="11" t="s">
        <v>70</v>
      </c>
      <c r="D709" s="13">
        <f t="shared" si="16"/>
        <v>99.7</v>
      </c>
      <c r="E709" s="13">
        <v>99.7</v>
      </c>
      <c r="F709" s="13" t="s">
        <v>1175</v>
      </c>
      <c r="G709" s="13" t="s">
        <v>1175</v>
      </c>
      <c r="H709" s="13"/>
      <c r="I709" s="4" t="s">
        <v>1175</v>
      </c>
    </row>
    <row r="710" spans="1:9" ht="15.75" customHeight="1" x14ac:dyDescent="0.25">
      <c r="A710" s="10">
        <f t="shared" si="30"/>
        <v>1</v>
      </c>
      <c r="B710" s="10" t="s">
        <v>881</v>
      </c>
      <c r="C710" s="11" t="s">
        <v>70</v>
      </c>
      <c r="D710" s="13">
        <f t="shared" si="16"/>
        <v>17</v>
      </c>
      <c r="E710" s="13">
        <v>17</v>
      </c>
      <c r="F710" s="13" t="s">
        <v>1175</v>
      </c>
      <c r="G710" s="13" t="s">
        <v>1175</v>
      </c>
      <c r="H710" s="13"/>
      <c r="I710" s="4" t="s">
        <v>1175</v>
      </c>
    </row>
    <row r="711" spans="1:9" ht="15.75" customHeight="1" x14ac:dyDescent="0.25">
      <c r="A711" s="10">
        <f t="shared" si="30"/>
        <v>1</v>
      </c>
      <c r="B711" s="10" t="s">
        <v>516</v>
      </c>
      <c r="C711" s="11" t="s">
        <v>70</v>
      </c>
      <c r="D711" s="13">
        <f t="shared" si="16"/>
        <v>143.55000000000001</v>
      </c>
      <c r="E711" s="13">
        <v>143.55000000000001</v>
      </c>
      <c r="F711" s="13" t="s">
        <v>1175</v>
      </c>
      <c r="G711" s="13" t="s">
        <v>1175</v>
      </c>
      <c r="H711" s="13"/>
      <c r="I711" s="4" t="s">
        <v>1175</v>
      </c>
    </row>
    <row r="712" spans="1:9" ht="15.75" customHeight="1" x14ac:dyDescent="0.25">
      <c r="A712" s="10">
        <f t="shared" ref="A712:A775" si="33">COUNTIFS($B$2:$B$996,B712)</f>
        <v>1</v>
      </c>
      <c r="B712" s="10" t="s">
        <v>697</v>
      </c>
      <c r="C712" s="11" t="s">
        <v>70</v>
      </c>
      <c r="D712" s="13">
        <f t="shared" si="16"/>
        <v>160</v>
      </c>
      <c r="E712" s="13">
        <v>160</v>
      </c>
      <c r="F712" s="13" t="s">
        <v>1175</v>
      </c>
      <c r="G712" s="13" t="s">
        <v>1175</v>
      </c>
      <c r="H712" s="13"/>
      <c r="I712" s="4" t="s">
        <v>1175</v>
      </c>
    </row>
    <row r="713" spans="1:9" ht="15.75" customHeight="1" x14ac:dyDescent="0.25">
      <c r="A713" s="10">
        <f t="shared" si="33"/>
        <v>1</v>
      </c>
      <c r="B713" s="10" t="s">
        <v>1485</v>
      </c>
      <c r="C713" s="11" t="s">
        <v>70</v>
      </c>
      <c r="D713" s="13">
        <f>E713*$D$1</f>
        <v>107.9</v>
      </c>
      <c r="E713" s="13">
        <v>107.9</v>
      </c>
      <c r="F713" s="13" t="s">
        <v>1175</v>
      </c>
      <c r="G713" s="13" t="s">
        <v>1175</v>
      </c>
      <c r="H713" s="13"/>
      <c r="I713" s="4" t="s">
        <v>1175</v>
      </c>
    </row>
    <row r="714" spans="1:9" ht="15.75" customHeight="1" x14ac:dyDescent="0.25">
      <c r="A714" s="10">
        <f t="shared" si="33"/>
        <v>1</v>
      </c>
      <c r="B714" s="10" t="s">
        <v>1486</v>
      </c>
      <c r="C714" s="11" t="s">
        <v>70</v>
      </c>
      <c r="D714" s="13">
        <f>E714*$D$1</f>
        <v>76.349999999999994</v>
      </c>
      <c r="E714" s="13">
        <v>76.349999999999994</v>
      </c>
      <c r="F714" s="13" t="s">
        <v>1175</v>
      </c>
      <c r="G714" s="13" t="s">
        <v>1175</v>
      </c>
      <c r="H714" s="13"/>
      <c r="I714" s="4" t="s">
        <v>1175</v>
      </c>
    </row>
    <row r="715" spans="1:9" ht="15.75" customHeight="1" x14ac:dyDescent="0.25">
      <c r="A715" s="10">
        <f t="shared" si="33"/>
        <v>1</v>
      </c>
      <c r="B715" s="10" t="s">
        <v>679</v>
      </c>
      <c r="C715" s="11" t="s">
        <v>70</v>
      </c>
      <c r="D715" s="13">
        <f t="shared" si="16"/>
        <v>107.9</v>
      </c>
      <c r="E715" s="13">
        <v>107.9</v>
      </c>
      <c r="F715" s="13" t="s">
        <v>1175</v>
      </c>
      <c r="G715" s="13" t="s">
        <v>1175</v>
      </c>
      <c r="H715" s="13"/>
      <c r="I715" s="4" t="s">
        <v>1175</v>
      </c>
    </row>
    <row r="716" spans="1:9" ht="15.75" customHeight="1" x14ac:dyDescent="0.25">
      <c r="A716" s="10">
        <f t="shared" si="33"/>
        <v>1</v>
      </c>
      <c r="B716" s="10" t="s">
        <v>1434</v>
      </c>
      <c r="C716" s="11" t="s">
        <v>70</v>
      </c>
      <c r="D716" s="13">
        <f>E716*$D$1</f>
        <v>613</v>
      </c>
      <c r="E716" s="13">
        <f>358+105+150</f>
        <v>613</v>
      </c>
      <c r="F716" s="13" t="s">
        <v>1175</v>
      </c>
      <c r="G716" s="13" t="s">
        <v>1175</v>
      </c>
      <c r="H716" s="13"/>
      <c r="I716" s="4" t="s">
        <v>1175</v>
      </c>
    </row>
    <row r="717" spans="1:9" ht="15.75" customHeight="1" x14ac:dyDescent="0.25">
      <c r="A717" s="10">
        <f t="shared" si="33"/>
        <v>1</v>
      </c>
      <c r="B717" s="10" t="s">
        <v>1195</v>
      </c>
      <c r="C717" s="11" t="s">
        <v>113</v>
      </c>
      <c r="D717" s="13">
        <f t="shared" si="16"/>
        <v>7</v>
      </c>
      <c r="E717" s="13">
        <v>7</v>
      </c>
      <c r="F717" s="13" t="s">
        <v>1175</v>
      </c>
      <c r="G717" s="13" t="s">
        <v>1196</v>
      </c>
      <c r="H717" s="13"/>
      <c r="I717" s="4" t="s">
        <v>1175</v>
      </c>
    </row>
    <row r="718" spans="1:9" ht="15.75" customHeight="1" x14ac:dyDescent="0.25">
      <c r="A718" s="10">
        <f t="shared" si="33"/>
        <v>1</v>
      </c>
      <c r="B718" s="10" t="s">
        <v>1197</v>
      </c>
      <c r="C718" s="11" t="s">
        <v>113</v>
      </c>
      <c r="D718" s="13">
        <f t="shared" si="16"/>
        <v>14</v>
      </c>
      <c r="E718" s="13">
        <v>14</v>
      </c>
      <c r="F718" s="13" t="s">
        <v>1175</v>
      </c>
      <c r="G718" s="13" t="s">
        <v>1196</v>
      </c>
      <c r="H718" s="13"/>
      <c r="I718" s="4" t="s">
        <v>1175</v>
      </c>
    </row>
    <row r="719" spans="1:9" ht="15.75" customHeight="1" x14ac:dyDescent="0.25">
      <c r="A719" s="10">
        <f t="shared" si="33"/>
        <v>1</v>
      </c>
      <c r="B719" s="10" t="s">
        <v>709</v>
      </c>
      <c r="C719" s="11" t="s">
        <v>113</v>
      </c>
      <c r="D719" s="13">
        <f>E719*$D$1</f>
        <v>19.25</v>
      </c>
      <c r="E719" s="13">
        <f>385*0.05</f>
        <v>19.25</v>
      </c>
      <c r="F719" s="13" t="s">
        <v>1175</v>
      </c>
      <c r="G719" s="13" t="s">
        <v>1196</v>
      </c>
      <c r="H719" s="13"/>
      <c r="I719" s="4" t="s">
        <v>1175</v>
      </c>
    </row>
    <row r="720" spans="1:9" ht="15.75" customHeight="1" x14ac:dyDescent="0.25">
      <c r="A720" s="10">
        <f t="shared" si="33"/>
        <v>1</v>
      </c>
      <c r="B720" s="10" t="s">
        <v>1517</v>
      </c>
      <c r="C720" s="11" t="s">
        <v>113</v>
      </c>
      <c r="D720" s="13">
        <f>E720*$D$1</f>
        <v>77</v>
      </c>
      <c r="E720" s="13">
        <f>385*0.2</f>
        <v>77</v>
      </c>
      <c r="F720" s="13" t="s">
        <v>1175</v>
      </c>
      <c r="G720" s="13" t="s">
        <v>1196</v>
      </c>
      <c r="H720" s="13"/>
      <c r="I720" s="4" t="s">
        <v>1175</v>
      </c>
    </row>
    <row r="721" spans="1:9" ht="15.75" customHeight="1" x14ac:dyDescent="0.25">
      <c r="A721" s="10">
        <f t="shared" si="33"/>
        <v>1</v>
      </c>
      <c r="B721" s="10" t="s">
        <v>1674</v>
      </c>
      <c r="C721" s="11" t="s">
        <v>113</v>
      </c>
      <c r="D721" s="13">
        <f>E721*$D$1</f>
        <v>190</v>
      </c>
      <c r="E721" s="13">
        <f>285/0.3*0.2</f>
        <v>190</v>
      </c>
      <c r="F721" s="13" t="s">
        <v>1175</v>
      </c>
      <c r="G721" s="13" t="s">
        <v>1196</v>
      </c>
      <c r="H721" s="13"/>
      <c r="I721" s="4" t="s">
        <v>1175</v>
      </c>
    </row>
    <row r="722" spans="1:9" ht="15.75" customHeight="1" x14ac:dyDescent="0.25">
      <c r="A722" s="10">
        <f t="shared" si="33"/>
        <v>1</v>
      </c>
      <c r="B722" s="10" t="s">
        <v>1522</v>
      </c>
      <c r="C722" s="11" t="s">
        <v>113</v>
      </c>
      <c r="D722" s="13">
        <f t="shared" si="16"/>
        <v>151.68571428571428</v>
      </c>
      <c r="E722" s="13">
        <f>(53.09/0.07)*0.2</f>
        <v>151.68571428571428</v>
      </c>
      <c r="F722" s="13" t="s">
        <v>1175</v>
      </c>
      <c r="G722" s="13" t="s">
        <v>1196</v>
      </c>
      <c r="H722" s="13"/>
      <c r="I722" s="4" t="s">
        <v>1175</v>
      </c>
    </row>
    <row r="723" spans="1:9" ht="15.75" customHeight="1" x14ac:dyDescent="0.25">
      <c r="A723" s="10">
        <f t="shared" si="33"/>
        <v>1</v>
      </c>
      <c r="B723" s="10" t="s">
        <v>717</v>
      </c>
      <c r="C723" s="11" t="s">
        <v>113</v>
      </c>
      <c r="D723" s="13">
        <f t="shared" si="16"/>
        <v>50.25</v>
      </c>
      <c r="E723" s="13">
        <v>50.25</v>
      </c>
      <c r="F723" s="13" t="s">
        <v>1175</v>
      </c>
      <c r="G723" s="13" t="s">
        <v>1196</v>
      </c>
      <c r="H723" s="13"/>
      <c r="I723" s="4" t="s">
        <v>1175</v>
      </c>
    </row>
    <row r="724" spans="1:9" ht="15.75" customHeight="1" x14ac:dyDescent="0.25">
      <c r="A724" s="10">
        <f t="shared" si="33"/>
        <v>1</v>
      </c>
      <c r="B724" s="10" t="s">
        <v>715</v>
      </c>
      <c r="C724" s="11" t="s">
        <v>113</v>
      </c>
      <c r="D724" s="13">
        <f t="shared" si="16"/>
        <v>28.954166666666666</v>
      </c>
      <c r="E724" s="13">
        <v>28.954166666666666</v>
      </c>
      <c r="F724" s="13" t="s">
        <v>1175</v>
      </c>
      <c r="G724" s="13" t="s">
        <v>1196</v>
      </c>
      <c r="H724" s="13"/>
      <c r="I724" s="4" t="s">
        <v>1175</v>
      </c>
    </row>
    <row r="725" spans="1:9" ht="15.75" customHeight="1" x14ac:dyDescent="0.25">
      <c r="A725" s="10">
        <f t="shared" si="33"/>
        <v>1</v>
      </c>
      <c r="B725" s="10" t="s">
        <v>1516</v>
      </c>
      <c r="C725" s="11" t="s">
        <v>113</v>
      </c>
      <c r="D725" s="13">
        <f>E725*$D$1</f>
        <v>21.708333333333336</v>
      </c>
      <c r="E725" s="13">
        <f>52.1/2.4</f>
        <v>21.708333333333336</v>
      </c>
      <c r="F725" s="13" t="s">
        <v>1175</v>
      </c>
      <c r="G725" s="13" t="s">
        <v>1196</v>
      </c>
      <c r="H725" s="13"/>
      <c r="I725" s="4" t="s">
        <v>1175</v>
      </c>
    </row>
    <row r="726" spans="1:9" ht="15.75" customHeight="1" x14ac:dyDescent="0.25">
      <c r="A726" s="10">
        <f t="shared" si="33"/>
        <v>1</v>
      </c>
      <c r="B726" s="10" t="s">
        <v>1520</v>
      </c>
      <c r="C726" s="11" t="s">
        <v>113</v>
      </c>
      <c r="D726" s="13">
        <f>E726*$D$1</f>
        <v>35</v>
      </c>
      <c r="E726" s="13">
        <f>105/3</f>
        <v>35</v>
      </c>
      <c r="F726" s="13" t="s">
        <v>1175</v>
      </c>
      <c r="G726" s="13" t="s">
        <v>1196</v>
      </c>
      <c r="H726" s="13"/>
      <c r="I726" s="4" t="s">
        <v>1175</v>
      </c>
    </row>
    <row r="727" spans="1:9" ht="15.75" customHeight="1" x14ac:dyDescent="0.25">
      <c r="A727" s="10">
        <f t="shared" si="33"/>
        <v>1</v>
      </c>
      <c r="B727" s="10" t="s">
        <v>720</v>
      </c>
      <c r="C727" s="11" t="s">
        <v>113</v>
      </c>
      <c r="D727" s="13">
        <f t="shared" si="16"/>
        <v>21.53</v>
      </c>
      <c r="E727" s="13">
        <v>21.53</v>
      </c>
      <c r="F727" s="13" t="s">
        <v>1175</v>
      </c>
      <c r="G727" s="13" t="s">
        <v>1196</v>
      </c>
      <c r="H727" s="13"/>
      <c r="I727" s="4" t="s">
        <v>1175</v>
      </c>
    </row>
    <row r="728" spans="1:9" ht="15.75" customHeight="1" x14ac:dyDescent="0.25">
      <c r="A728" s="10">
        <f t="shared" si="33"/>
        <v>1</v>
      </c>
      <c r="B728" s="10" t="s">
        <v>722</v>
      </c>
      <c r="C728" s="11" t="s">
        <v>197</v>
      </c>
      <c r="D728" s="13">
        <f t="shared" si="16"/>
        <v>17.0928</v>
      </c>
      <c r="E728" s="13">
        <v>17.0928</v>
      </c>
      <c r="F728" s="13" t="s">
        <v>1175</v>
      </c>
      <c r="G728" s="13" t="s">
        <v>1196</v>
      </c>
      <c r="H728" s="13"/>
      <c r="I728" s="4" t="s">
        <v>1175</v>
      </c>
    </row>
    <row r="729" spans="1:9" ht="15.75" customHeight="1" x14ac:dyDescent="0.25">
      <c r="A729" s="10">
        <f t="shared" si="33"/>
        <v>1</v>
      </c>
      <c r="B729" s="10" t="s">
        <v>1198</v>
      </c>
      <c r="C729" s="11" t="s">
        <v>113</v>
      </c>
      <c r="D729" s="13">
        <f t="shared" si="16"/>
        <v>35.555555555555557</v>
      </c>
      <c r="E729" s="13">
        <v>35.555555555555557</v>
      </c>
      <c r="F729" s="13" t="s">
        <v>1175</v>
      </c>
      <c r="G729" s="13" t="s">
        <v>1196</v>
      </c>
      <c r="H729" s="13"/>
      <c r="I729" s="4" t="s">
        <v>1175</v>
      </c>
    </row>
    <row r="730" spans="1:9" ht="15.75" customHeight="1" x14ac:dyDescent="0.25">
      <c r="A730" s="10">
        <f t="shared" si="33"/>
        <v>1</v>
      </c>
      <c r="B730" s="10" t="s">
        <v>1199</v>
      </c>
      <c r="C730" s="11" t="s">
        <v>113</v>
      </c>
      <c r="D730" s="13">
        <f t="shared" si="16"/>
        <v>53.333333333333329</v>
      </c>
      <c r="E730" s="13">
        <v>53.333333333333329</v>
      </c>
      <c r="F730" s="13" t="s">
        <v>1175</v>
      </c>
      <c r="G730" s="13" t="s">
        <v>1196</v>
      </c>
      <c r="H730" s="13"/>
      <c r="I730" s="4" t="s">
        <v>1175</v>
      </c>
    </row>
    <row r="731" spans="1:9" ht="15.75" customHeight="1" x14ac:dyDescent="0.25">
      <c r="A731" s="10">
        <f t="shared" si="33"/>
        <v>1</v>
      </c>
      <c r="B731" s="10" t="s">
        <v>1200</v>
      </c>
      <c r="C731" s="11" t="s">
        <v>113</v>
      </c>
      <c r="D731" s="13">
        <f t="shared" si="16"/>
        <v>58.666666666666664</v>
      </c>
      <c r="E731" s="13">
        <v>58.666666666666664</v>
      </c>
      <c r="F731" s="13" t="s">
        <v>1175</v>
      </c>
      <c r="G731" s="13" t="s">
        <v>1196</v>
      </c>
      <c r="H731" s="13"/>
      <c r="I731" s="4" t="s">
        <v>1175</v>
      </c>
    </row>
    <row r="732" spans="1:9" ht="15.75" customHeight="1" x14ac:dyDescent="0.25">
      <c r="A732" s="10">
        <f t="shared" si="33"/>
        <v>1</v>
      </c>
      <c r="B732" s="10" t="s">
        <v>165</v>
      </c>
      <c r="C732" s="11" t="s">
        <v>152</v>
      </c>
      <c r="D732" s="13">
        <f t="shared" si="16"/>
        <v>2.7132000000000001</v>
      </c>
      <c r="E732" s="13">
        <v>2.7132000000000001</v>
      </c>
      <c r="F732" s="13" t="s">
        <v>1201</v>
      </c>
      <c r="G732" s="13" t="s">
        <v>1201</v>
      </c>
      <c r="H732" s="13"/>
      <c r="I732" s="4" t="s">
        <v>1202</v>
      </c>
    </row>
    <row r="733" spans="1:9" ht="15.75" customHeight="1" x14ac:dyDescent="0.25">
      <c r="A733" s="10">
        <f t="shared" si="33"/>
        <v>1</v>
      </c>
      <c r="B733" s="10" t="s">
        <v>167</v>
      </c>
      <c r="C733" s="11" t="s">
        <v>152</v>
      </c>
      <c r="D733" s="13">
        <f t="shared" si="16"/>
        <v>4.4982000000000006</v>
      </c>
      <c r="E733" s="13">
        <v>4.4982000000000006</v>
      </c>
      <c r="F733" s="13" t="s">
        <v>1201</v>
      </c>
      <c r="G733" s="13" t="s">
        <v>1201</v>
      </c>
      <c r="H733" s="13"/>
      <c r="I733" s="4" t="s">
        <v>1202</v>
      </c>
    </row>
    <row r="734" spans="1:9" ht="15.75" customHeight="1" x14ac:dyDescent="0.25">
      <c r="A734" s="10">
        <f t="shared" si="33"/>
        <v>1</v>
      </c>
      <c r="B734" s="10" t="s">
        <v>169</v>
      </c>
      <c r="C734" s="11" t="s">
        <v>152</v>
      </c>
      <c r="D734" s="13">
        <f t="shared" si="16"/>
        <v>9.2718000000000007</v>
      </c>
      <c r="E734" s="13">
        <v>9.2718000000000007</v>
      </c>
      <c r="F734" s="13" t="s">
        <v>1201</v>
      </c>
      <c r="G734" s="13" t="s">
        <v>1201</v>
      </c>
      <c r="H734" s="13"/>
      <c r="I734" s="4" t="s">
        <v>1202</v>
      </c>
    </row>
    <row r="735" spans="1:9" ht="15.75" customHeight="1" x14ac:dyDescent="0.25">
      <c r="A735" s="10">
        <f t="shared" si="33"/>
        <v>1</v>
      </c>
      <c r="B735" s="10" t="s">
        <v>153</v>
      </c>
      <c r="C735" s="11" t="s">
        <v>152</v>
      </c>
      <c r="D735" s="13">
        <f>E735*$D$1</f>
        <v>36.36</v>
      </c>
      <c r="E735" s="13">
        <v>36.36</v>
      </c>
      <c r="F735" s="13" t="s">
        <v>1201</v>
      </c>
      <c r="G735" s="13" t="s">
        <v>1201</v>
      </c>
      <c r="H735" s="13"/>
      <c r="I735" s="4" t="s">
        <v>1202</v>
      </c>
    </row>
    <row r="736" spans="1:9" ht="15.75" customHeight="1" x14ac:dyDescent="0.25">
      <c r="A736" s="10">
        <f t="shared" si="33"/>
        <v>1</v>
      </c>
      <c r="B736" s="10" t="s">
        <v>1312</v>
      </c>
      <c r="C736" s="11" t="s">
        <v>642</v>
      </c>
      <c r="D736" s="13">
        <f t="shared" si="16"/>
        <v>1.64</v>
      </c>
      <c r="E736" s="13">
        <v>1.64</v>
      </c>
      <c r="F736" s="13" t="s">
        <v>1201</v>
      </c>
      <c r="G736" s="13" t="s">
        <v>1201</v>
      </c>
      <c r="H736" s="13"/>
      <c r="I736" s="4" t="s">
        <v>1202</v>
      </c>
    </row>
    <row r="737" spans="1:9" ht="15.75" customHeight="1" x14ac:dyDescent="0.25">
      <c r="A737" s="10">
        <f t="shared" si="33"/>
        <v>1</v>
      </c>
      <c r="B737" s="10" t="s">
        <v>151</v>
      </c>
      <c r="C737" s="11" t="s">
        <v>152</v>
      </c>
      <c r="D737" s="13">
        <f t="shared" si="16"/>
        <v>320</v>
      </c>
      <c r="E737" s="13">
        <v>320</v>
      </c>
      <c r="F737" s="13" t="s">
        <v>1201</v>
      </c>
      <c r="G737" s="13" t="s">
        <v>1201</v>
      </c>
      <c r="H737" s="13"/>
      <c r="I737" s="4" t="s">
        <v>1202</v>
      </c>
    </row>
    <row r="738" spans="1:9" ht="15.75" customHeight="1" x14ac:dyDescent="0.25">
      <c r="A738" s="10">
        <f t="shared" si="33"/>
        <v>1</v>
      </c>
      <c r="B738" s="10" t="s">
        <v>334</v>
      </c>
      <c r="C738" s="11" t="s">
        <v>149</v>
      </c>
      <c r="D738" s="13">
        <f t="shared" si="16"/>
        <v>1300</v>
      </c>
      <c r="E738" s="13">
        <v>1300</v>
      </c>
      <c r="F738" s="13" t="s">
        <v>1201</v>
      </c>
      <c r="G738" s="13" t="s">
        <v>1201</v>
      </c>
      <c r="H738" s="13"/>
      <c r="I738" s="4" t="s">
        <v>1202</v>
      </c>
    </row>
    <row r="739" spans="1:9" ht="15.75" customHeight="1" x14ac:dyDescent="0.25">
      <c r="A739" s="10">
        <f t="shared" si="33"/>
        <v>1</v>
      </c>
      <c r="B739" s="10" t="s">
        <v>336</v>
      </c>
      <c r="C739" s="11" t="s">
        <v>194</v>
      </c>
      <c r="D739" s="13">
        <f t="shared" si="16"/>
        <v>93981.530500000008</v>
      </c>
      <c r="E739" s="13">
        <v>93981.530500000008</v>
      </c>
      <c r="F739" s="13" t="s">
        <v>1201</v>
      </c>
      <c r="G739" s="13" t="s">
        <v>1201</v>
      </c>
      <c r="H739" s="13"/>
      <c r="I739" s="4" t="s">
        <v>1202</v>
      </c>
    </row>
    <row r="740" spans="1:9" ht="15.75" customHeight="1" x14ac:dyDescent="0.25">
      <c r="A740" s="10">
        <f t="shared" si="33"/>
        <v>1</v>
      </c>
      <c r="B740" s="10" t="s">
        <v>190</v>
      </c>
      <c r="C740" s="11" t="s">
        <v>113</v>
      </c>
      <c r="D740" s="13">
        <f t="shared" si="16"/>
        <v>33</v>
      </c>
      <c r="E740" s="13">
        <v>33</v>
      </c>
      <c r="F740" s="13" t="s">
        <v>1201</v>
      </c>
      <c r="G740" s="13" t="s">
        <v>1201</v>
      </c>
      <c r="H740" s="13"/>
      <c r="I740" s="4" t="s">
        <v>1202</v>
      </c>
    </row>
    <row r="741" spans="1:9" ht="15.75" customHeight="1" x14ac:dyDescent="0.25">
      <c r="A741" s="10">
        <f t="shared" si="33"/>
        <v>1</v>
      </c>
      <c r="B741" s="10" t="s">
        <v>192</v>
      </c>
      <c r="C741" s="11" t="s">
        <v>113</v>
      </c>
      <c r="D741" s="13">
        <f t="shared" si="16"/>
        <v>39</v>
      </c>
      <c r="E741" s="13">
        <v>39</v>
      </c>
      <c r="F741" s="13" t="s">
        <v>1201</v>
      </c>
      <c r="G741" s="13" t="s">
        <v>1201</v>
      </c>
      <c r="H741" s="13"/>
      <c r="I741" s="4" t="s">
        <v>1202</v>
      </c>
    </row>
    <row r="742" spans="1:9" ht="14.25" x14ac:dyDescent="0.2">
      <c r="A742" s="10">
        <f t="shared" si="33"/>
        <v>1</v>
      </c>
      <c r="B742" s="82" t="s">
        <v>1743</v>
      </c>
      <c r="C742" s="83" t="s">
        <v>113</v>
      </c>
      <c r="D742" s="84">
        <f t="shared" ref="D742:D748" si="34">E742*$D$1</f>
        <v>52.800000000000004</v>
      </c>
      <c r="E742" s="84">
        <f>40*1.32</f>
        <v>52.800000000000004</v>
      </c>
      <c r="F742" s="84" t="s">
        <v>1201</v>
      </c>
      <c r="G742" s="84" t="s">
        <v>1201</v>
      </c>
      <c r="H742" s="84"/>
      <c r="I742" s="85" t="s">
        <v>1202</v>
      </c>
    </row>
    <row r="743" spans="1:9" ht="14.25" x14ac:dyDescent="0.2">
      <c r="A743" s="10">
        <f t="shared" si="33"/>
        <v>1</v>
      </c>
      <c r="B743" s="82" t="s">
        <v>1745</v>
      </c>
      <c r="C743" s="83" t="s">
        <v>113</v>
      </c>
      <c r="D743" s="84">
        <f t="shared" si="34"/>
        <v>66</v>
      </c>
      <c r="E743" s="84">
        <f>50*1.32</f>
        <v>66</v>
      </c>
      <c r="F743" s="84" t="s">
        <v>1201</v>
      </c>
      <c r="G743" s="84" t="s">
        <v>1201</v>
      </c>
      <c r="H743" s="84"/>
      <c r="I743" s="85" t="s">
        <v>1202</v>
      </c>
    </row>
    <row r="744" spans="1:9" ht="14.25" x14ac:dyDescent="0.2">
      <c r="A744" s="10">
        <f t="shared" si="33"/>
        <v>1</v>
      </c>
      <c r="B744" s="82" t="s">
        <v>1747</v>
      </c>
      <c r="C744" s="83" t="s">
        <v>113</v>
      </c>
      <c r="D744" s="84">
        <f t="shared" si="34"/>
        <v>79.2</v>
      </c>
      <c r="E744" s="84">
        <f>60*1.32</f>
        <v>79.2</v>
      </c>
      <c r="F744" s="84" t="s">
        <v>1201</v>
      </c>
      <c r="G744" s="84" t="s">
        <v>1201</v>
      </c>
      <c r="H744" s="84"/>
      <c r="I744" s="85" t="s">
        <v>1202</v>
      </c>
    </row>
    <row r="745" spans="1:9" ht="14.25" x14ac:dyDescent="0.2">
      <c r="A745" s="10">
        <f t="shared" si="33"/>
        <v>1</v>
      </c>
      <c r="B745" s="82" t="s">
        <v>1749</v>
      </c>
      <c r="C745" s="83" t="s">
        <v>113</v>
      </c>
      <c r="D745" s="84">
        <f t="shared" si="34"/>
        <v>92.4</v>
      </c>
      <c r="E745" s="84">
        <f>70*1.32</f>
        <v>92.4</v>
      </c>
      <c r="F745" s="84" t="s">
        <v>1201</v>
      </c>
      <c r="G745" s="84" t="s">
        <v>1201</v>
      </c>
      <c r="H745" s="84"/>
      <c r="I745" s="85" t="s">
        <v>1202</v>
      </c>
    </row>
    <row r="746" spans="1:9" ht="14.25" x14ac:dyDescent="0.2">
      <c r="A746" s="10">
        <f t="shared" si="33"/>
        <v>1</v>
      </c>
      <c r="B746" s="82" t="s">
        <v>1751</v>
      </c>
      <c r="C746" s="83" t="s">
        <v>113</v>
      </c>
      <c r="D746" s="84">
        <f t="shared" si="34"/>
        <v>105.60000000000001</v>
      </c>
      <c r="E746" s="84">
        <f>80*1.32</f>
        <v>105.60000000000001</v>
      </c>
      <c r="F746" s="84" t="s">
        <v>1201</v>
      </c>
      <c r="G746" s="84" t="s">
        <v>1201</v>
      </c>
      <c r="H746" s="84"/>
      <c r="I746" s="85" t="s">
        <v>1202</v>
      </c>
    </row>
    <row r="747" spans="1:9" ht="14.25" x14ac:dyDescent="0.2">
      <c r="A747" s="10">
        <f t="shared" si="33"/>
        <v>1</v>
      </c>
      <c r="B747" s="82" t="s">
        <v>1752</v>
      </c>
      <c r="C747" s="83" t="s">
        <v>113</v>
      </c>
      <c r="D747" s="84">
        <f t="shared" si="34"/>
        <v>150</v>
      </c>
      <c r="E747" s="84">
        <v>150</v>
      </c>
      <c r="F747" s="84" t="s">
        <v>1201</v>
      </c>
      <c r="G747" s="84" t="s">
        <v>1201</v>
      </c>
      <c r="H747" s="84"/>
      <c r="I747" s="85" t="s">
        <v>1202</v>
      </c>
    </row>
    <row r="748" spans="1:9" ht="14.25" x14ac:dyDescent="0.2">
      <c r="A748" s="10">
        <f t="shared" si="33"/>
        <v>1</v>
      </c>
      <c r="B748" s="82" t="s">
        <v>1753</v>
      </c>
      <c r="C748" s="83" t="s">
        <v>113</v>
      </c>
      <c r="D748" s="84">
        <f t="shared" si="34"/>
        <v>180</v>
      </c>
      <c r="E748" s="84">
        <v>180</v>
      </c>
      <c r="F748" s="84" t="s">
        <v>1201</v>
      </c>
      <c r="G748" s="84" t="s">
        <v>1201</v>
      </c>
      <c r="H748" s="84"/>
      <c r="I748" s="85" t="s">
        <v>1202</v>
      </c>
    </row>
    <row r="749" spans="1:9" ht="15.75" customHeight="1" x14ac:dyDescent="0.25">
      <c r="A749" s="10">
        <f t="shared" si="33"/>
        <v>1</v>
      </c>
      <c r="B749" s="10" t="s">
        <v>179</v>
      </c>
      <c r="C749" s="11" t="s">
        <v>113</v>
      </c>
      <c r="D749" s="13">
        <f t="shared" si="16"/>
        <v>60</v>
      </c>
      <c r="E749" s="13">
        <v>60</v>
      </c>
      <c r="F749" s="13" t="s">
        <v>1201</v>
      </c>
      <c r="G749" s="13" t="s">
        <v>1201</v>
      </c>
      <c r="H749" s="13"/>
      <c r="I749" s="4" t="s">
        <v>1202</v>
      </c>
    </row>
    <row r="750" spans="1:9" ht="15.75" customHeight="1" x14ac:dyDescent="0.25">
      <c r="A750" s="10">
        <f t="shared" si="33"/>
        <v>1</v>
      </c>
      <c r="B750" s="10" t="s">
        <v>180</v>
      </c>
      <c r="C750" s="11" t="s">
        <v>113</v>
      </c>
      <c r="D750" s="13">
        <f t="shared" si="16"/>
        <v>75</v>
      </c>
      <c r="E750" s="13">
        <v>75</v>
      </c>
      <c r="F750" s="13" t="s">
        <v>1201</v>
      </c>
      <c r="G750" s="13" t="s">
        <v>1201</v>
      </c>
      <c r="H750" s="13"/>
      <c r="I750" s="4" t="s">
        <v>1202</v>
      </c>
    </row>
    <row r="751" spans="1:9" ht="15.75" customHeight="1" x14ac:dyDescent="0.25">
      <c r="A751" s="10">
        <f t="shared" si="33"/>
        <v>1</v>
      </c>
      <c r="B751" s="10" t="s">
        <v>182</v>
      </c>
      <c r="C751" s="11" t="s">
        <v>113</v>
      </c>
      <c r="D751" s="13">
        <f t="shared" si="16"/>
        <v>150</v>
      </c>
      <c r="E751" s="13">
        <v>150</v>
      </c>
      <c r="F751" s="13" t="s">
        <v>1201</v>
      </c>
      <c r="G751" s="13" t="s">
        <v>1201</v>
      </c>
      <c r="H751" s="13"/>
      <c r="I751" s="4" t="s">
        <v>1202</v>
      </c>
    </row>
    <row r="752" spans="1:9" ht="15.75" customHeight="1" x14ac:dyDescent="0.25">
      <c r="A752" s="10">
        <f t="shared" si="33"/>
        <v>1</v>
      </c>
      <c r="B752" s="10" t="s">
        <v>184</v>
      </c>
      <c r="C752" s="11" t="s">
        <v>113</v>
      </c>
      <c r="D752" s="13">
        <f t="shared" si="16"/>
        <v>137.48633176818674</v>
      </c>
      <c r="E752" s="13">
        <f>(950000*0.974271563645719)/6732</f>
        <v>137.48633176818674</v>
      </c>
      <c r="F752" s="13" t="s">
        <v>1201</v>
      </c>
      <c r="G752" s="13" t="s">
        <v>1201</v>
      </c>
      <c r="H752" s="13" t="s">
        <v>5353</v>
      </c>
      <c r="I752" s="4" t="s">
        <v>1202</v>
      </c>
    </row>
    <row r="753" spans="1:9" ht="15.75" customHeight="1" x14ac:dyDescent="0.25">
      <c r="A753" s="10">
        <f t="shared" si="33"/>
        <v>1</v>
      </c>
      <c r="B753" s="10" t="s">
        <v>185</v>
      </c>
      <c r="C753" s="11" t="s">
        <v>113</v>
      </c>
      <c r="D753" s="13">
        <f t="shared" si="16"/>
        <v>120</v>
      </c>
      <c r="E753" s="13">
        <v>120</v>
      </c>
      <c r="F753" s="13" t="s">
        <v>1201</v>
      </c>
      <c r="G753" s="13" t="s">
        <v>1201</v>
      </c>
      <c r="H753" s="13"/>
      <c r="I753" s="4" t="s">
        <v>1202</v>
      </c>
    </row>
    <row r="754" spans="1:9" ht="15.75" customHeight="1" x14ac:dyDescent="0.25">
      <c r="A754" s="10">
        <f t="shared" si="33"/>
        <v>1</v>
      </c>
      <c r="B754" s="10" t="s">
        <v>186</v>
      </c>
      <c r="C754" s="11" t="s">
        <v>113</v>
      </c>
      <c r="D754" s="13">
        <f t="shared" si="16"/>
        <v>135</v>
      </c>
      <c r="E754" s="13">
        <v>135</v>
      </c>
      <c r="F754" s="13" t="s">
        <v>1201</v>
      </c>
      <c r="G754" s="13" t="s">
        <v>1201</v>
      </c>
      <c r="H754" s="13"/>
      <c r="I754" s="4" t="s">
        <v>1202</v>
      </c>
    </row>
    <row r="755" spans="1:9" ht="15.75" customHeight="1" x14ac:dyDescent="0.25">
      <c r="A755" s="10">
        <f t="shared" si="33"/>
        <v>1</v>
      </c>
      <c r="B755" s="10" t="s">
        <v>187</v>
      </c>
      <c r="C755" s="11" t="s">
        <v>113</v>
      </c>
      <c r="D755" s="13">
        <f t="shared" si="16"/>
        <v>150</v>
      </c>
      <c r="E755" s="13">
        <v>150</v>
      </c>
      <c r="F755" s="13" t="s">
        <v>1201</v>
      </c>
      <c r="G755" s="13" t="s">
        <v>1201</v>
      </c>
      <c r="H755" s="13"/>
      <c r="I755" s="4" t="s">
        <v>1202</v>
      </c>
    </row>
    <row r="756" spans="1:9" ht="15.75" customHeight="1" x14ac:dyDescent="0.25">
      <c r="A756" s="10">
        <f t="shared" si="33"/>
        <v>1</v>
      </c>
      <c r="B756" s="10" t="s">
        <v>188</v>
      </c>
      <c r="C756" s="11" t="s">
        <v>113</v>
      </c>
      <c r="D756" s="13">
        <f t="shared" si="16"/>
        <v>166.66666666666669</v>
      </c>
      <c r="E756" s="13">
        <v>166.66666666666669</v>
      </c>
      <c r="F756" s="13" t="s">
        <v>1201</v>
      </c>
      <c r="G756" s="13" t="s">
        <v>1201</v>
      </c>
      <c r="H756" s="13"/>
      <c r="I756" s="4" t="s">
        <v>1202</v>
      </c>
    </row>
    <row r="757" spans="1:9" ht="15.75" customHeight="1" x14ac:dyDescent="0.25">
      <c r="A757" s="10">
        <f t="shared" si="33"/>
        <v>1</v>
      </c>
      <c r="B757" s="10" t="s">
        <v>258</v>
      </c>
      <c r="C757" s="11" t="s">
        <v>70</v>
      </c>
      <c r="D757" s="13">
        <f t="shared" si="16"/>
        <v>435</v>
      </c>
      <c r="E757" s="13">
        <f>290*1.5</f>
        <v>435</v>
      </c>
      <c r="F757" s="13" t="s">
        <v>1201</v>
      </c>
      <c r="G757" s="13" t="s">
        <v>1201</v>
      </c>
      <c r="H757" s="13"/>
      <c r="I757" s="4" t="s">
        <v>1202</v>
      </c>
    </row>
    <row r="758" spans="1:9" ht="15.75" customHeight="1" x14ac:dyDescent="0.25">
      <c r="A758" s="10">
        <f t="shared" si="33"/>
        <v>1</v>
      </c>
      <c r="B758" s="10" t="s">
        <v>273</v>
      </c>
      <c r="C758" s="11" t="s">
        <v>70</v>
      </c>
      <c r="D758" s="13">
        <f t="shared" si="16"/>
        <v>166.34420509708741</v>
      </c>
      <c r="E758" s="13">
        <v>166.34420509708741</v>
      </c>
      <c r="F758" s="13" t="s">
        <v>1201</v>
      </c>
      <c r="G758" s="13" t="s">
        <v>1201</v>
      </c>
      <c r="H758" s="13" t="s">
        <v>1589</v>
      </c>
      <c r="I758" s="4" t="s">
        <v>1202</v>
      </c>
    </row>
    <row r="759" spans="1:9" ht="15.75" customHeight="1" x14ac:dyDescent="0.25">
      <c r="A759" s="10">
        <f t="shared" si="33"/>
        <v>1</v>
      </c>
      <c r="B759" s="10" t="s">
        <v>2910</v>
      </c>
      <c r="C759" s="11" t="s">
        <v>70</v>
      </c>
      <c r="D759" s="13">
        <f t="shared" ref="D759:D765" si="35">E759*$D$1</f>
        <v>985.16483516483504</v>
      </c>
      <c r="E759" s="13">
        <f>((6992/(3.22*2.6))+150)</f>
        <v>985.16483516483504</v>
      </c>
      <c r="F759" s="13" t="s">
        <v>1201</v>
      </c>
      <c r="G759" s="13" t="s">
        <v>1201</v>
      </c>
      <c r="H759" s="13"/>
      <c r="I759" s="4" t="s">
        <v>1202</v>
      </c>
    </row>
    <row r="760" spans="1:9" ht="14.25" x14ac:dyDescent="0.2">
      <c r="A760" s="10">
        <f t="shared" si="33"/>
        <v>1</v>
      </c>
      <c r="B760" s="471" t="s">
        <v>2912</v>
      </c>
      <c r="C760" s="472" t="s">
        <v>113</v>
      </c>
      <c r="D760" s="84">
        <f t="shared" si="35"/>
        <v>11.3</v>
      </c>
      <c r="E760" s="84">
        <v>11.3</v>
      </c>
      <c r="F760" s="84" t="s">
        <v>1125</v>
      </c>
      <c r="G760" s="84" t="s">
        <v>1091</v>
      </c>
      <c r="H760" s="13"/>
      <c r="I760" s="85" t="s">
        <v>1091</v>
      </c>
    </row>
    <row r="761" spans="1:9" ht="14.25" x14ac:dyDescent="0.2">
      <c r="A761" s="10">
        <f t="shared" si="33"/>
        <v>1</v>
      </c>
      <c r="B761" s="471" t="s">
        <v>2918</v>
      </c>
      <c r="C761" s="472" t="s">
        <v>70</v>
      </c>
      <c r="D761" s="84">
        <f t="shared" si="35"/>
        <v>198.02</v>
      </c>
      <c r="E761" s="84">
        <v>198.02</v>
      </c>
      <c r="F761" s="84" t="s">
        <v>1170</v>
      </c>
      <c r="G761" s="84" t="s">
        <v>1174</v>
      </c>
      <c r="H761" s="13"/>
      <c r="I761" s="85" t="s">
        <v>1175</v>
      </c>
    </row>
    <row r="762" spans="1:9" ht="14.25" x14ac:dyDescent="0.2">
      <c r="A762" s="10">
        <f t="shared" si="33"/>
        <v>1</v>
      </c>
      <c r="B762" s="471" t="s">
        <v>2916</v>
      </c>
      <c r="C762" s="472" t="s">
        <v>70</v>
      </c>
      <c r="D762" s="84">
        <f t="shared" si="35"/>
        <v>85</v>
      </c>
      <c r="E762" s="84">
        <f>508105.35/5977.71</f>
        <v>85</v>
      </c>
      <c r="F762" s="84" t="s">
        <v>1170</v>
      </c>
      <c r="G762" s="84" t="s">
        <v>1174</v>
      </c>
      <c r="H762" s="13"/>
      <c r="I762" s="85" t="s">
        <v>1175</v>
      </c>
    </row>
    <row r="763" spans="1:9" ht="14.25" x14ac:dyDescent="0.2">
      <c r="A763" s="10">
        <f t="shared" si="33"/>
        <v>1</v>
      </c>
      <c r="B763" s="471" t="s">
        <v>2914</v>
      </c>
      <c r="C763" s="472" t="s">
        <v>70</v>
      </c>
      <c r="D763" s="84">
        <f t="shared" si="35"/>
        <v>2315.8550312677658</v>
      </c>
      <c r="E763" s="84">
        <v>2315.8550312677658</v>
      </c>
      <c r="F763" s="84" t="s">
        <v>1170</v>
      </c>
      <c r="G763" s="84" t="s">
        <v>1174</v>
      </c>
      <c r="H763" s="13"/>
      <c r="I763" s="85" t="s">
        <v>1175</v>
      </c>
    </row>
    <row r="764" spans="1:9" ht="15.75" customHeight="1" x14ac:dyDescent="0.25">
      <c r="A764" s="10">
        <f t="shared" si="33"/>
        <v>1</v>
      </c>
      <c r="B764" s="10" t="s">
        <v>1673</v>
      </c>
      <c r="C764" s="11" t="s">
        <v>70</v>
      </c>
      <c r="D764" s="13">
        <f t="shared" si="35"/>
        <v>160</v>
      </c>
      <c r="E764" s="13">
        <v>160</v>
      </c>
      <c r="F764" s="13" t="s">
        <v>1201</v>
      </c>
      <c r="G764" s="13" t="s">
        <v>1201</v>
      </c>
      <c r="H764" s="13"/>
      <c r="I764" s="4" t="s">
        <v>1202</v>
      </c>
    </row>
    <row r="765" spans="1:9" ht="15.75" customHeight="1" x14ac:dyDescent="0.25">
      <c r="A765" s="10">
        <f t="shared" si="33"/>
        <v>1</v>
      </c>
      <c r="B765" s="10" t="s">
        <v>2942</v>
      </c>
      <c r="C765" s="11" t="s">
        <v>70</v>
      </c>
      <c r="D765" s="13">
        <f t="shared" si="35"/>
        <v>170</v>
      </c>
      <c r="E765" s="13">
        <v>170</v>
      </c>
      <c r="F765" s="13" t="s">
        <v>1201</v>
      </c>
      <c r="G765" s="13" t="s">
        <v>1201</v>
      </c>
      <c r="H765" s="13"/>
      <c r="I765" s="4" t="s">
        <v>1202</v>
      </c>
    </row>
    <row r="766" spans="1:9" ht="15.75" customHeight="1" x14ac:dyDescent="0.25">
      <c r="A766" s="10">
        <f t="shared" si="33"/>
        <v>1</v>
      </c>
      <c r="B766" s="10" t="s">
        <v>564</v>
      </c>
      <c r="C766" s="11" t="s">
        <v>70</v>
      </c>
      <c r="D766" s="13">
        <f t="shared" si="16"/>
        <v>100</v>
      </c>
      <c r="E766" s="13">
        <v>100</v>
      </c>
      <c r="F766" s="13" t="s">
        <v>1201</v>
      </c>
      <c r="G766" s="13" t="s">
        <v>1201</v>
      </c>
      <c r="H766" s="13"/>
      <c r="I766" s="4" t="s">
        <v>1202</v>
      </c>
    </row>
    <row r="767" spans="1:9" ht="15.75" customHeight="1" x14ac:dyDescent="0.25">
      <c r="A767" s="10">
        <f t="shared" si="33"/>
        <v>1</v>
      </c>
      <c r="B767" s="10" t="s">
        <v>2926</v>
      </c>
      <c r="C767" s="11" t="s">
        <v>113</v>
      </c>
      <c r="D767" s="13">
        <f>E767*$D$1</f>
        <v>250</v>
      </c>
      <c r="E767" s="13">
        <v>250</v>
      </c>
      <c r="F767" s="13" t="s">
        <v>1201</v>
      </c>
      <c r="G767" s="13" t="s">
        <v>1201</v>
      </c>
      <c r="H767" s="13"/>
      <c r="I767" s="4" t="s">
        <v>1202</v>
      </c>
    </row>
    <row r="768" spans="1:9" ht="15.75" customHeight="1" x14ac:dyDescent="0.25">
      <c r="A768" s="10">
        <f t="shared" si="33"/>
        <v>1</v>
      </c>
      <c r="B768" s="10" t="s">
        <v>566</v>
      </c>
      <c r="C768" s="11" t="s">
        <v>70</v>
      </c>
      <c r="D768" s="13">
        <f t="shared" si="16"/>
        <v>120</v>
      </c>
      <c r="E768" s="13">
        <v>120</v>
      </c>
      <c r="F768" s="13" t="s">
        <v>1201</v>
      </c>
      <c r="G768" s="13" t="s">
        <v>1201</v>
      </c>
      <c r="H768" s="13"/>
      <c r="I768" s="4" t="s">
        <v>1202</v>
      </c>
    </row>
    <row r="769" spans="1:9" ht="15.75" customHeight="1" x14ac:dyDescent="0.25">
      <c r="A769" s="10">
        <f t="shared" si="33"/>
        <v>1</v>
      </c>
      <c r="B769" s="10" t="s">
        <v>568</v>
      </c>
      <c r="C769" s="11" t="s">
        <v>70</v>
      </c>
      <c r="D769" s="13">
        <f t="shared" si="16"/>
        <v>219.20046110145017</v>
      </c>
      <c r="E769" s="13">
        <v>219.20046110145017</v>
      </c>
      <c r="F769" s="13" t="s">
        <v>1201</v>
      </c>
      <c r="G769" s="13" t="s">
        <v>1201</v>
      </c>
      <c r="H769" s="13"/>
      <c r="I769" s="4" t="s">
        <v>1202</v>
      </c>
    </row>
    <row r="770" spans="1:9" ht="15.75" customHeight="1" x14ac:dyDescent="0.25">
      <c r="A770" s="10">
        <f t="shared" si="33"/>
        <v>1</v>
      </c>
      <c r="B770" s="10" t="s">
        <v>560</v>
      </c>
      <c r="C770" s="11" t="s">
        <v>70</v>
      </c>
      <c r="D770" s="13">
        <f t="shared" si="16"/>
        <v>55</v>
      </c>
      <c r="E770" s="13">
        <v>55</v>
      </c>
      <c r="F770" s="13" t="s">
        <v>1201</v>
      </c>
      <c r="G770" s="13" t="s">
        <v>1201</v>
      </c>
      <c r="H770" s="13"/>
      <c r="I770" s="4" t="s">
        <v>1202</v>
      </c>
    </row>
    <row r="771" spans="1:9" ht="15.75" customHeight="1" x14ac:dyDescent="0.25">
      <c r="A771" s="10">
        <f t="shared" si="33"/>
        <v>1</v>
      </c>
      <c r="B771" s="10" t="s">
        <v>2949</v>
      </c>
      <c r="C771" s="11" t="s">
        <v>70</v>
      </c>
      <c r="D771" s="13">
        <f>E771*$D$1</f>
        <v>300</v>
      </c>
      <c r="E771" s="13">
        <v>300</v>
      </c>
      <c r="F771" s="13" t="s">
        <v>1201</v>
      </c>
      <c r="G771" s="13" t="s">
        <v>1201</v>
      </c>
      <c r="H771" s="13"/>
      <c r="I771" s="4" t="s">
        <v>1202</v>
      </c>
    </row>
    <row r="772" spans="1:9" ht="15.75" customHeight="1" x14ac:dyDescent="0.25">
      <c r="A772" s="10">
        <f t="shared" si="33"/>
        <v>1</v>
      </c>
      <c r="B772" s="10" t="s">
        <v>2935</v>
      </c>
      <c r="C772" s="11" t="s">
        <v>70</v>
      </c>
      <c r="D772" s="13">
        <f>E772*$D$1</f>
        <v>360</v>
      </c>
      <c r="E772" s="13">
        <v>360</v>
      </c>
      <c r="F772" s="13" t="s">
        <v>1201</v>
      </c>
      <c r="G772" s="13" t="s">
        <v>1201</v>
      </c>
      <c r="H772" s="13"/>
      <c r="I772" s="4" t="s">
        <v>1202</v>
      </c>
    </row>
    <row r="773" spans="1:9" ht="15.75" customHeight="1" x14ac:dyDescent="0.25">
      <c r="A773" s="10">
        <f t="shared" si="33"/>
        <v>1</v>
      </c>
      <c r="B773" s="10" t="s">
        <v>2936</v>
      </c>
      <c r="C773" s="11" t="s">
        <v>70</v>
      </c>
      <c r="D773" s="13">
        <f>E773*$D$1</f>
        <v>600</v>
      </c>
      <c r="E773" s="13">
        <v>600</v>
      </c>
      <c r="F773" s="13" t="s">
        <v>1201</v>
      </c>
      <c r="G773" s="13" t="s">
        <v>1201</v>
      </c>
      <c r="H773" s="13"/>
      <c r="I773" s="4" t="s">
        <v>1202</v>
      </c>
    </row>
    <row r="774" spans="1:9" ht="15.75" customHeight="1" x14ac:dyDescent="0.25">
      <c r="A774" s="10">
        <f t="shared" si="33"/>
        <v>1</v>
      </c>
      <c r="B774" s="10" t="s">
        <v>2941</v>
      </c>
      <c r="C774" s="11" t="s">
        <v>70</v>
      </c>
      <c r="D774" s="13">
        <f>E774*$D$1</f>
        <v>350</v>
      </c>
      <c r="E774" s="13">
        <v>350</v>
      </c>
      <c r="F774" s="13" t="s">
        <v>1201</v>
      </c>
      <c r="G774" s="13" t="s">
        <v>1201</v>
      </c>
      <c r="H774" s="13"/>
      <c r="I774" s="4" t="s">
        <v>1202</v>
      </c>
    </row>
    <row r="775" spans="1:9" ht="15.75" customHeight="1" x14ac:dyDescent="0.25">
      <c r="A775" s="10">
        <f t="shared" si="33"/>
        <v>1</v>
      </c>
      <c r="B775" s="10" t="s">
        <v>2940</v>
      </c>
      <c r="C775" s="11" t="s">
        <v>70</v>
      </c>
      <c r="D775" s="13">
        <f>E775*$D$1</f>
        <v>320</v>
      </c>
      <c r="E775" s="13">
        <v>320</v>
      </c>
      <c r="F775" s="13" t="s">
        <v>1201</v>
      </c>
      <c r="G775" s="13" t="s">
        <v>1201</v>
      </c>
      <c r="H775" s="13"/>
      <c r="I775" s="4" t="s">
        <v>1202</v>
      </c>
    </row>
    <row r="776" spans="1:9" ht="15.75" customHeight="1" x14ac:dyDescent="0.25">
      <c r="A776" s="10">
        <f t="shared" ref="A776:A848" si="36">COUNTIFS($B$2:$B$996,B776)</f>
        <v>1</v>
      </c>
      <c r="B776" s="10" t="s">
        <v>563</v>
      </c>
      <c r="C776" s="11" t="s">
        <v>70</v>
      </c>
      <c r="D776" s="13">
        <f t="shared" si="16"/>
        <v>60</v>
      </c>
      <c r="E776" s="13">
        <v>60</v>
      </c>
      <c r="F776" s="13" t="s">
        <v>1201</v>
      </c>
      <c r="G776" s="13" t="s">
        <v>1201</v>
      </c>
      <c r="H776" s="13"/>
      <c r="I776" s="4" t="s">
        <v>1202</v>
      </c>
    </row>
    <row r="777" spans="1:9" ht="15.75" customHeight="1" x14ac:dyDescent="0.25">
      <c r="A777" s="10">
        <f t="shared" si="36"/>
        <v>1</v>
      </c>
      <c r="B777" s="10" t="s">
        <v>569</v>
      </c>
      <c r="C777" s="11" t="s">
        <v>70</v>
      </c>
      <c r="D777" s="13">
        <f t="shared" si="16"/>
        <v>275</v>
      </c>
      <c r="E777" s="13">
        <v>275</v>
      </c>
      <c r="F777" s="13" t="s">
        <v>1201</v>
      </c>
      <c r="G777" s="13" t="s">
        <v>1201</v>
      </c>
      <c r="H777" s="13"/>
      <c r="I777" s="4" t="s">
        <v>1202</v>
      </c>
    </row>
    <row r="778" spans="1:9" ht="15.75" customHeight="1" x14ac:dyDescent="0.25">
      <c r="A778" s="10">
        <f t="shared" si="36"/>
        <v>1</v>
      </c>
      <c r="B778" s="10" t="s">
        <v>561</v>
      </c>
      <c r="C778" s="11" t="s">
        <v>70</v>
      </c>
      <c r="D778" s="13">
        <f t="shared" si="16"/>
        <v>35</v>
      </c>
      <c r="E778" s="13">
        <v>35</v>
      </c>
      <c r="F778" s="13" t="s">
        <v>1201</v>
      </c>
      <c r="G778" s="13" t="s">
        <v>1201</v>
      </c>
      <c r="H778" s="13"/>
      <c r="I778" s="4" t="s">
        <v>1202</v>
      </c>
    </row>
    <row r="779" spans="1:9" ht="15.75" customHeight="1" x14ac:dyDescent="0.25">
      <c r="A779" s="10">
        <f t="shared" si="36"/>
        <v>1</v>
      </c>
      <c r="B779" s="10" t="s">
        <v>567</v>
      </c>
      <c r="C779" s="11" t="s">
        <v>70</v>
      </c>
      <c r="D779" s="13">
        <f t="shared" si="16"/>
        <v>36</v>
      </c>
      <c r="E779" s="13">
        <v>36</v>
      </c>
      <c r="F779" s="13" t="s">
        <v>1201</v>
      </c>
      <c r="G779" s="13" t="s">
        <v>1201</v>
      </c>
      <c r="H779" s="13"/>
      <c r="I779" s="4" t="s">
        <v>1202</v>
      </c>
    </row>
    <row r="780" spans="1:9" ht="15.75" customHeight="1" x14ac:dyDescent="0.25">
      <c r="A780" s="10">
        <f t="shared" si="36"/>
        <v>1</v>
      </c>
      <c r="B780" s="10" t="s">
        <v>565</v>
      </c>
      <c r="C780" s="11" t="s">
        <v>70</v>
      </c>
      <c r="D780" s="13">
        <f t="shared" si="16"/>
        <v>36</v>
      </c>
      <c r="E780" s="13">
        <v>36</v>
      </c>
      <c r="F780" s="13" t="s">
        <v>1201</v>
      </c>
      <c r="G780" s="13" t="s">
        <v>1201</v>
      </c>
      <c r="H780" s="13"/>
      <c r="I780" s="4" t="s">
        <v>1202</v>
      </c>
    </row>
    <row r="781" spans="1:9" ht="15.75" customHeight="1" x14ac:dyDescent="0.25">
      <c r="A781" s="10">
        <f t="shared" si="36"/>
        <v>1</v>
      </c>
      <c r="B781" s="10" t="s">
        <v>633</v>
      </c>
      <c r="C781" s="11" t="s">
        <v>70</v>
      </c>
      <c r="D781" s="13">
        <f t="shared" si="16"/>
        <v>342.63975903614454</v>
      </c>
      <c r="E781" s="13">
        <f>5687.82/16.6</f>
        <v>342.63975903614454</v>
      </c>
      <c r="F781" s="13" t="s">
        <v>1201</v>
      </c>
      <c r="G781" s="13" t="s">
        <v>1201</v>
      </c>
      <c r="H781" s="13"/>
      <c r="I781" s="4" t="s">
        <v>1202</v>
      </c>
    </row>
    <row r="782" spans="1:9" ht="15.75" customHeight="1" x14ac:dyDescent="0.25">
      <c r="A782" s="10">
        <f t="shared" si="36"/>
        <v>1</v>
      </c>
      <c r="B782" s="10" t="s">
        <v>702</v>
      </c>
      <c r="C782" s="11" t="s">
        <v>70</v>
      </c>
      <c r="D782" s="13">
        <f t="shared" si="16"/>
        <v>25.5</v>
      </c>
      <c r="E782" s="13">
        <v>25.5</v>
      </c>
      <c r="F782" s="13" t="s">
        <v>1201</v>
      </c>
      <c r="G782" s="13" t="s">
        <v>1201</v>
      </c>
      <c r="H782" s="13"/>
      <c r="I782" s="4" t="s">
        <v>1202</v>
      </c>
    </row>
    <row r="783" spans="1:9" ht="15.75" customHeight="1" x14ac:dyDescent="0.25">
      <c r="A783" s="10">
        <f t="shared" si="36"/>
        <v>1</v>
      </c>
      <c r="B783" s="10" t="s">
        <v>1203</v>
      </c>
      <c r="C783" s="11" t="s">
        <v>70</v>
      </c>
      <c r="D783" s="13">
        <f t="shared" si="16"/>
        <v>25.5</v>
      </c>
      <c r="E783" s="13">
        <v>25.5</v>
      </c>
      <c r="F783" s="13" t="s">
        <v>1201</v>
      </c>
      <c r="G783" s="13" t="s">
        <v>1201</v>
      </c>
      <c r="H783" s="13"/>
      <c r="I783" s="4" t="s">
        <v>1202</v>
      </c>
    </row>
    <row r="784" spans="1:9" ht="15.75" customHeight="1" x14ac:dyDescent="0.25">
      <c r="A784" s="10">
        <f t="shared" si="36"/>
        <v>1</v>
      </c>
      <c r="B784" s="10" t="s">
        <v>439</v>
      </c>
      <c r="C784" s="11" t="s">
        <v>197</v>
      </c>
      <c r="D784" s="13">
        <f t="shared" si="16"/>
        <v>400</v>
      </c>
      <c r="E784" s="13">
        <v>400</v>
      </c>
      <c r="F784" s="13" t="s">
        <v>1201</v>
      </c>
      <c r="G784" s="13" t="s">
        <v>1201</v>
      </c>
      <c r="H784" s="13"/>
      <c r="I784" s="4" t="s">
        <v>1202</v>
      </c>
    </row>
    <row r="785" spans="1:9" ht="15.75" customHeight="1" x14ac:dyDescent="0.25">
      <c r="A785" s="10">
        <f t="shared" si="36"/>
        <v>1</v>
      </c>
      <c r="B785" s="10" t="s">
        <v>1204</v>
      </c>
      <c r="C785" s="11" t="s">
        <v>70</v>
      </c>
      <c r="D785" s="13">
        <f t="shared" si="16"/>
        <v>25</v>
      </c>
      <c r="E785" s="13">
        <v>25</v>
      </c>
      <c r="F785" s="13" t="s">
        <v>1201</v>
      </c>
      <c r="G785" s="13" t="s">
        <v>1201</v>
      </c>
      <c r="H785" s="13"/>
      <c r="I785" s="4" t="s">
        <v>1202</v>
      </c>
    </row>
    <row r="786" spans="1:9" ht="15.75" customHeight="1" x14ac:dyDescent="0.25">
      <c r="A786" s="10">
        <f t="shared" si="36"/>
        <v>1</v>
      </c>
      <c r="B786" s="10" t="s">
        <v>1039</v>
      </c>
      <c r="C786" s="11" t="s">
        <v>70</v>
      </c>
      <c r="D786" s="13">
        <f t="shared" si="16"/>
        <v>220</v>
      </c>
      <c r="E786" s="13">
        <v>220</v>
      </c>
      <c r="F786" s="13" t="s">
        <v>1201</v>
      </c>
      <c r="G786" s="13" t="s">
        <v>1201</v>
      </c>
      <c r="H786" s="13"/>
      <c r="I786" s="4" t="s">
        <v>1202</v>
      </c>
    </row>
    <row r="787" spans="1:9" ht="15.75" customHeight="1" x14ac:dyDescent="0.25">
      <c r="A787" s="10">
        <f t="shared" si="36"/>
        <v>1</v>
      </c>
      <c r="B787" s="10" t="s">
        <v>739</v>
      </c>
      <c r="C787" s="11" t="s">
        <v>197</v>
      </c>
      <c r="D787" s="13">
        <f t="shared" si="16"/>
        <v>25</v>
      </c>
      <c r="E787" s="13">
        <v>25</v>
      </c>
      <c r="F787" s="13" t="s">
        <v>1201</v>
      </c>
      <c r="G787" s="13" t="s">
        <v>1201</v>
      </c>
      <c r="H787" s="13"/>
      <c r="I787" s="4" t="s">
        <v>1202</v>
      </c>
    </row>
    <row r="788" spans="1:9" ht="15.75" customHeight="1" x14ac:dyDescent="0.25">
      <c r="A788" s="10">
        <f t="shared" si="36"/>
        <v>1</v>
      </c>
      <c r="B788" s="10" t="s">
        <v>3054</v>
      </c>
      <c r="C788" s="11" t="s">
        <v>113</v>
      </c>
      <c r="D788" s="13">
        <f>E788*$D$1</f>
        <v>24</v>
      </c>
      <c r="E788" s="13">
        <v>24</v>
      </c>
      <c r="F788" s="13" t="s">
        <v>1201</v>
      </c>
      <c r="G788" s="13" t="s">
        <v>1201</v>
      </c>
      <c r="H788" s="13"/>
      <c r="I788" s="4" t="s">
        <v>1202</v>
      </c>
    </row>
    <row r="789" spans="1:9" ht="15.75" customHeight="1" x14ac:dyDescent="0.25">
      <c r="A789" s="10">
        <f t="shared" si="36"/>
        <v>1</v>
      </c>
      <c r="B789" s="10" t="s">
        <v>742</v>
      </c>
      <c r="C789" s="11" t="s">
        <v>197</v>
      </c>
      <c r="D789" s="13">
        <f t="shared" si="16"/>
        <v>22</v>
      </c>
      <c r="E789" s="13">
        <v>22</v>
      </c>
      <c r="F789" s="13" t="s">
        <v>1201</v>
      </c>
      <c r="G789" s="13" t="s">
        <v>1201</v>
      </c>
      <c r="H789" s="13"/>
      <c r="I789" s="4" t="s">
        <v>1202</v>
      </c>
    </row>
    <row r="790" spans="1:9" ht="15.75" customHeight="1" x14ac:dyDescent="0.25">
      <c r="A790" s="10">
        <f t="shared" si="36"/>
        <v>1</v>
      </c>
      <c r="B790" s="10" t="s">
        <v>745</v>
      </c>
      <c r="C790" s="11" t="s">
        <v>197</v>
      </c>
      <c r="D790" s="13">
        <f t="shared" si="16"/>
        <v>50</v>
      </c>
      <c r="E790" s="13">
        <v>50</v>
      </c>
      <c r="F790" s="13" t="s">
        <v>1201</v>
      </c>
      <c r="G790" s="13" t="s">
        <v>1201</v>
      </c>
      <c r="H790" s="13"/>
      <c r="I790" s="4" t="s">
        <v>1202</v>
      </c>
    </row>
    <row r="791" spans="1:9" ht="15.75" customHeight="1" x14ac:dyDescent="0.25">
      <c r="A791" s="10">
        <f t="shared" si="36"/>
        <v>1</v>
      </c>
      <c r="B791" s="10" t="s">
        <v>747</v>
      </c>
      <c r="C791" s="11" t="s">
        <v>197</v>
      </c>
      <c r="D791" s="13">
        <f t="shared" si="16"/>
        <v>22</v>
      </c>
      <c r="E791" s="13">
        <v>22</v>
      </c>
      <c r="F791" s="13" t="s">
        <v>1201</v>
      </c>
      <c r="G791" s="13" t="s">
        <v>1201</v>
      </c>
      <c r="H791" s="13"/>
      <c r="I791" s="4" t="s">
        <v>1202</v>
      </c>
    </row>
    <row r="792" spans="1:9" ht="15.75" customHeight="1" x14ac:dyDescent="0.25">
      <c r="A792" s="10">
        <f t="shared" si="36"/>
        <v>1</v>
      </c>
      <c r="B792" s="10" t="s">
        <v>746</v>
      </c>
      <c r="C792" s="11" t="s">
        <v>197</v>
      </c>
      <c r="D792" s="13">
        <f t="shared" si="16"/>
        <v>22</v>
      </c>
      <c r="E792" s="13">
        <v>22</v>
      </c>
      <c r="F792" s="13" t="s">
        <v>1201</v>
      </c>
      <c r="G792" s="13" t="s">
        <v>1201</v>
      </c>
      <c r="H792" s="13"/>
      <c r="I792" s="4" t="s">
        <v>1202</v>
      </c>
    </row>
    <row r="793" spans="1:9" ht="15.75" customHeight="1" x14ac:dyDescent="0.25">
      <c r="A793" s="10">
        <f>COUNTIFS($B$2:$B$996,B793)</f>
        <v>1</v>
      </c>
      <c r="B793" s="10" t="s">
        <v>3529</v>
      </c>
      <c r="C793" s="11" t="s">
        <v>70</v>
      </c>
      <c r="D793" s="13">
        <f>E793*$D$1</f>
        <v>42</v>
      </c>
      <c r="E793" s="13">
        <v>42</v>
      </c>
      <c r="F793" s="13" t="s">
        <v>1201</v>
      </c>
      <c r="G793" s="13" t="s">
        <v>1201</v>
      </c>
      <c r="H793" s="13"/>
      <c r="I793" s="4" t="s">
        <v>1202</v>
      </c>
    </row>
    <row r="794" spans="1:9" ht="15.75" customHeight="1" x14ac:dyDescent="0.25">
      <c r="A794" s="10">
        <f t="shared" si="36"/>
        <v>1</v>
      </c>
      <c r="B794" s="10" t="s">
        <v>627</v>
      </c>
      <c r="C794" s="11" t="s">
        <v>70</v>
      </c>
      <c r="D794" s="13">
        <f t="shared" si="16"/>
        <v>16.75</v>
      </c>
      <c r="E794" s="13">
        <v>16.75</v>
      </c>
      <c r="F794" s="13" t="s">
        <v>1201</v>
      </c>
      <c r="G794" s="13" t="s">
        <v>1201</v>
      </c>
      <c r="H794" s="13"/>
      <c r="I794" s="4" t="s">
        <v>1202</v>
      </c>
    </row>
    <row r="795" spans="1:9" ht="15.75" customHeight="1" x14ac:dyDescent="0.25">
      <c r="A795" s="10">
        <f t="shared" si="36"/>
        <v>1</v>
      </c>
      <c r="B795" s="10" t="s">
        <v>630</v>
      </c>
      <c r="C795" s="11" t="s">
        <v>70</v>
      </c>
      <c r="D795" s="13">
        <f t="shared" si="16"/>
        <v>210</v>
      </c>
      <c r="E795" s="13">
        <v>210</v>
      </c>
      <c r="F795" s="13" t="s">
        <v>1201</v>
      </c>
      <c r="G795" s="13" t="s">
        <v>1201</v>
      </c>
      <c r="H795" s="13"/>
      <c r="I795" s="4" t="s">
        <v>1202</v>
      </c>
    </row>
    <row r="796" spans="1:9" ht="15.75" customHeight="1" x14ac:dyDescent="0.25">
      <c r="A796" s="10">
        <f t="shared" si="36"/>
        <v>1</v>
      </c>
      <c r="B796" s="10" t="s">
        <v>743</v>
      </c>
      <c r="C796" s="11" t="s">
        <v>197</v>
      </c>
      <c r="D796" s="13">
        <f t="shared" si="16"/>
        <v>28</v>
      </c>
      <c r="E796" s="13">
        <v>28</v>
      </c>
      <c r="F796" s="13" t="s">
        <v>1201</v>
      </c>
      <c r="G796" s="13" t="s">
        <v>1201</v>
      </c>
      <c r="H796" s="13"/>
      <c r="I796" s="4" t="s">
        <v>1202</v>
      </c>
    </row>
    <row r="797" spans="1:9" ht="15.75" customHeight="1" x14ac:dyDescent="0.25">
      <c r="A797" s="10">
        <f t="shared" si="36"/>
        <v>1</v>
      </c>
      <c r="B797" s="10" t="s">
        <v>744</v>
      </c>
      <c r="C797" s="11" t="s">
        <v>197</v>
      </c>
      <c r="D797" s="13">
        <f t="shared" si="16"/>
        <v>24</v>
      </c>
      <c r="E797" s="13">
        <v>24</v>
      </c>
      <c r="F797" s="13" t="s">
        <v>1201</v>
      </c>
      <c r="G797" s="13" t="s">
        <v>1201</v>
      </c>
      <c r="H797" s="13" t="s">
        <v>3055</v>
      </c>
      <c r="I797" s="4" t="s">
        <v>1202</v>
      </c>
    </row>
    <row r="798" spans="1:9" ht="15.75" customHeight="1" x14ac:dyDescent="0.25">
      <c r="A798" s="10">
        <f t="shared" si="36"/>
        <v>1</v>
      </c>
      <c r="B798" s="10" t="s">
        <v>1523</v>
      </c>
      <c r="C798" s="11" t="s">
        <v>197</v>
      </c>
      <c r="D798" s="13">
        <f>E798*$D$1</f>
        <v>24.5</v>
      </c>
      <c r="E798" s="13">
        <v>24.5</v>
      </c>
      <c r="F798" s="13" t="s">
        <v>1201</v>
      </c>
      <c r="G798" s="13" t="s">
        <v>1201</v>
      </c>
      <c r="H798" s="13"/>
      <c r="I798" s="4" t="s">
        <v>1202</v>
      </c>
    </row>
    <row r="799" spans="1:9" ht="15.75" customHeight="1" x14ac:dyDescent="0.25">
      <c r="A799" s="10">
        <f t="shared" si="36"/>
        <v>1</v>
      </c>
      <c r="B799" s="10" t="s">
        <v>1524</v>
      </c>
      <c r="C799" s="11" t="s">
        <v>197</v>
      </c>
      <c r="D799" s="13">
        <f>E799*$D$1</f>
        <v>22</v>
      </c>
      <c r="E799" s="13">
        <v>22</v>
      </c>
      <c r="F799" s="13" t="s">
        <v>1201</v>
      </c>
      <c r="G799" s="13" t="s">
        <v>1201</v>
      </c>
      <c r="H799" s="13"/>
      <c r="I799" s="4" t="s">
        <v>1202</v>
      </c>
    </row>
    <row r="800" spans="1:9" ht="15.75" customHeight="1" x14ac:dyDescent="0.25">
      <c r="A800" s="10">
        <f t="shared" si="36"/>
        <v>1</v>
      </c>
      <c r="B800" s="10" t="s">
        <v>543</v>
      </c>
      <c r="C800" s="11" t="s">
        <v>70</v>
      </c>
      <c r="D800" s="13">
        <f t="shared" si="16"/>
        <v>30</v>
      </c>
      <c r="E800" s="13">
        <v>30</v>
      </c>
      <c r="F800" s="13" t="s">
        <v>1201</v>
      </c>
      <c r="G800" s="13" t="s">
        <v>1201</v>
      </c>
      <c r="H800" s="13" t="s">
        <v>5380</v>
      </c>
      <c r="I800" s="4" t="s">
        <v>1202</v>
      </c>
    </row>
    <row r="801" spans="1:9" ht="15.75" customHeight="1" x14ac:dyDescent="0.25">
      <c r="A801" s="10">
        <f t="shared" si="36"/>
        <v>1</v>
      </c>
      <c r="B801" s="10" t="s">
        <v>735</v>
      </c>
      <c r="C801" s="11" t="s">
        <v>70</v>
      </c>
      <c r="D801" s="13">
        <f t="shared" si="16"/>
        <v>40</v>
      </c>
      <c r="E801" s="13">
        <v>40</v>
      </c>
      <c r="F801" s="13" t="s">
        <v>1201</v>
      </c>
      <c r="G801" s="13" t="s">
        <v>1201</v>
      </c>
      <c r="H801" s="13"/>
      <c r="I801" s="4" t="s">
        <v>1202</v>
      </c>
    </row>
    <row r="802" spans="1:9" ht="15.75" customHeight="1" x14ac:dyDescent="0.25">
      <c r="A802" s="10">
        <f t="shared" si="36"/>
        <v>1</v>
      </c>
      <c r="B802" s="10" t="s">
        <v>737</v>
      </c>
      <c r="C802" s="11" t="s">
        <v>70</v>
      </c>
      <c r="D802" s="13">
        <f t="shared" si="16"/>
        <v>40</v>
      </c>
      <c r="E802" s="13">
        <v>40</v>
      </c>
      <c r="F802" s="13" t="s">
        <v>1201</v>
      </c>
      <c r="G802" s="13" t="s">
        <v>1201</v>
      </c>
      <c r="H802" s="13"/>
      <c r="I802" s="4" t="s">
        <v>1202</v>
      </c>
    </row>
    <row r="803" spans="1:9" ht="15.75" customHeight="1" x14ac:dyDescent="0.25">
      <c r="A803" s="10">
        <f t="shared" si="36"/>
        <v>1</v>
      </c>
      <c r="B803" s="10" t="s">
        <v>736</v>
      </c>
      <c r="C803" s="11" t="s">
        <v>70</v>
      </c>
      <c r="D803" s="13">
        <f t="shared" si="16"/>
        <v>40</v>
      </c>
      <c r="E803" s="13">
        <v>40</v>
      </c>
      <c r="F803" s="13" t="s">
        <v>1201</v>
      </c>
      <c r="G803" s="13" t="s">
        <v>1201</v>
      </c>
      <c r="H803" s="13"/>
      <c r="I803" s="4" t="s">
        <v>1202</v>
      </c>
    </row>
    <row r="804" spans="1:9" ht="15.75" customHeight="1" x14ac:dyDescent="0.25">
      <c r="A804" s="10">
        <f t="shared" si="36"/>
        <v>1</v>
      </c>
      <c r="B804" s="10" t="s">
        <v>786</v>
      </c>
      <c r="C804" s="11" t="s">
        <v>70</v>
      </c>
      <c r="D804" s="13">
        <f t="shared" si="16"/>
        <v>40</v>
      </c>
      <c r="E804" s="13">
        <v>40</v>
      </c>
      <c r="F804" s="13" t="s">
        <v>1201</v>
      </c>
      <c r="G804" s="13" t="s">
        <v>1201</v>
      </c>
      <c r="H804" s="13"/>
      <c r="I804" s="4" t="s">
        <v>1202</v>
      </c>
    </row>
    <row r="805" spans="1:9" ht="15.75" customHeight="1" x14ac:dyDescent="0.25">
      <c r="A805" s="10">
        <f t="shared" si="36"/>
        <v>1</v>
      </c>
      <c r="B805" s="10" t="s">
        <v>779</v>
      </c>
      <c r="C805" s="11" t="s">
        <v>70</v>
      </c>
      <c r="D805" s="13">
        <f t="shared" si="16"/>
        <v>41</v>
      </c>
      <c r="E805" s="13">
        <v>41</v>
      </c>
      <c r="F805" s="13" t="s">
        <v>1201</v>
      </c>
      <c r="G805" s="13" t="s">
        <v>1201</v>
      </c>
      <c r="H805" s="13"/>
      <c r="I805" s="4" t="s">
        <v>1202</v>
      </c>
    </row>
    <row r="806" spans="1:9" ht="15.75" customHeight="1" x14ac:dyDescent="0.25">
      <c r="A806" s="10">
        <f t="shared" si="36"/>
        <v>1</v>
      </c>
      <c r="B806" s="10" t="s">
        <v>780</v>
      </c>
      <c r="C806" s="11" t="s">
        <v>70</v>
      </c>
      <c r="D806" s="13">
        <f t="shared" si="16"/>
        <v>55</v>
      </c>
      <c r="E806" s="13">
        <v>55</v>
      </c>
      <c r="F806" s="13" t="s">
        <v>1201</v>
      </c>
      <c r="G806" s="13" t="s">
        <v>1201</v>
      </c>
      <c r="H806" s="13"/>
      <c r="I806" s="4" t="s">
        <v>1202</v>
      </c>
    </row>
    <row r="807" spans="1:9" ht="15.75" customHeight="1" x14ac:dyDescent="0.25">
      <c r="A807" s="10">
        <f t="shared" si="36"/>
        <v>1</v>
      </c>
      <c r="B807" s="10" t="s">
        <v>3108</v>
      </c>
      <c r="C807" s="11" t="s">
        <v>70</v>
      </c>
      <c r="D807" s="13">
        <f>E807*$D$1</f>
        <v>40</v>
      </c>
      <c r="E807" s="13">
        <v>40</v>
      </c>
      <c r="F807" s="13" t="s">
        <v>1201</v>
      </c>
      <c r="G807" s="13" t="s">
        <v>1201</v>
      </c>
      <c r="H807" s="13"/>
      <c r="I807" s="4" t="s">
        <v>1202</v>
      </c>
    </row>
    <row r="808" spans="1:9" ht="15.75" customHeight="1" x14ac:dyDescent="0.25">
      <c r="A808" s="10">
        <f t="shared" si="36"/>
        <v>1</v>
      </c>
      <c r="B808" s="10" t="s">
        <v>782</v>
      </c>
      <c r="C808" s="11" t="s">
        <v>70</v>
      </c>
      <c r="D808" s="13">
        <f t="shared" si="16"/>
        <v>20</v>
      </c>
      <c r="E808" s="13">
        <v>20</v>
      </c>
      <c r="F808" s="13" t="s">
        <v>1201</v>
      </c>
      <c r="G808" s="13" t="s">
        <v>1201</v>
      </c>
      <c r="H808" s="13"/>
      <c r="I808" s="4" t="s">
        <v>1202</v>
      </c>
    </row>
    <row r="809" spans="1:9" ht="15.75" customHeight="1" x14ac:dyDescent="0.25">
      <c r="A809" s="10">
        <f t="shared" si="36"/>
        <v>1</v>
      </c>
      <c r="B809" s="10" t="s">
        <v>783</v>
      </c>
      <c r="C809" s="11" t="s">
        <v>70</v>
      </c>
      <c r="D809" s="13">
        <f t="shared" si="16"/>
        <v>40</v>
      </c>
      <c r="E809" s="13">
        <v>40</v>
      </c>
      <c r="F809" s="13" t="s">
        <v>1201</v>
      </c>
      <c r="G809" s="13" t="s">
        <v>1201</v>
      </c>
      <c r="H809" s="13"/>
      <c r="I809" s="4" t="s">
        <v>1202</v>
      </c>
    </row>
    <row r="810" spans="1:9" ht="15.75" customHeight="1" x14ac:dyDescent="0.25">
      <c r="A810" s="10">
        <f t="shared" si="36"/>
        <v>1</v>
      </c>
      <c r="B810" s="10" t="s">
        <v>575</v>
      </c>
      <c r="C810" s="11" t="s">
        <v>70</v>
      </c>
      <c r="D810" s="13">
        <f>E810*$D$1</f>
        <v>25</v>
      </c>
      <c r="E810" s="13">
        <v>25</v>
      </c>
      <c r="F810" s="13" t="s">
        <v>1201</v>
      </c>
      <c r="G810" s="13" t="s">
        <v>1201</v>
      </c>
      <c r="H810" s="13"/>
      <c r="I810" s="4" t="s">
        <v>1202</v>
      </c>
    </row>
    <row r="811" spans="1:9" ht="15.75" customHeight="1" x14ac:dyDescent="0.25">
      <c r="A811" s="10">
        <f t="shared" si="36"/>
        <v>1</v>
      </c>
      <c r="B811" s="10" t="s">
        <v>1443</v>
      </c>
      <c r="C811" s="11" t="s">
        <v>70</v>
      </c>
      <c r="D811" s="13">
        <f>E811*$D$1</f>
        <v>40</v>
      </c>
      <c r="E811" s="13">
        <v>40</v>
      </c>
      <c r="F811" s="13" t="s">
        <v>1201</v>
      </c>
      <c r="G811" s="13" t="s">
        <v>1201</v>
      </c>
      <c r="H811" s="13"/>
      <c r="I811" s="4" t="s">
        <v>1202</v>
      </c>
    </row>
    <row r="812" spans="1:9" ht="15.75" customHeight="1" x14ac:dyDescent="0.25">
      <c r="A812" s="10">
        <f t="shared" si="36"/>
        <v>1</v>
      </c>
      <c r="B812" s="10" t="s">
        <v>1457</v>
      </c>
      <c r="C812" s="11" t="s">
        <v>70</v>
      </c>
      <c r="D812" s="13">
        <f t="shared" si="16"/>
        <v>75</v>
      </c>
      <c r="E812" s="13">
        <v>75</v>
      </c>
      <c r="F812" s="13" t="s">
        <v>1201</v>
      </c>
      <c r="G812" s="13" t="s">
        <v>1201</v>
      </c>
      <c r="H812" s="13"/>
      <c r="I812" s="4" t="s">
        <v>1202</v>
      </c>
    </row>
    <row r="813" spans="1:9" ht="15.75" customHeight="1" x14ac:dyDescent="0.25">
      <c r="A813" s="10">
        <f t="shared" si="36"/>
        <v>1</v>
      </c>
      <c r="B813" s="10" t="s">
        <v>741</v>
      </c>
      <c r="C813" s="11" t="s">
        <v>70</v>
      </c>
      <c r="D813" s="13">
        <f t="shared" si="16"/>
        <v>25</v>
      </c>
      <c r="E813" s="13">
        <v>25</v>
      </c>
      <c r="F813" s="13" t="s">
        <v>1201</v>
      </c>
      <c r="G813" s="13" t="s">
        <v>1201</v>
      </c>
      <c r="H813" s="13"/>
      <c r="I813" s="4" t="s">
        <v>1202</v>
      </c>
    </row>
    <row r="814" spans="1:9" ht="15.75" customHeight="1" x14ac:dyDescent="0.25">
      <c r="A814" s="10">
        <f t="shared" si="36"/>
        <v>1</v>
      </c>
      <c r="B814" s="10" t="s">
        <v>734</v>
      </c>
      <c r="C814" s="11" t="s">
        <v>70</v>
      </c>
      <c r="D814" s="13">
        <f t="shared" si="16"/>
        <v>40</v>
      </c>
      <c r="E814" s="13">
        <v>40</v>
      </c>
      <c r="F814" s="13" t="s">
        <v>1201</v>
      </c>
      <c r="G814" s="13" t="s">
        <v>1201</v>
      </c>
      <c r="H814" s="13"/>
      <c r="I814" s="4" t="s">
        <v>1202</v>
      </c>
    </row>
    <row r="815" spans="1:9" ht="15.75" customHeight="1" x14ac:dyDescent="0.25">
      <c r="A815" s="10">
        <f t="shared" si="36"/>
        <v>1</v>
      </c>
      <c r="B815" s="10" t="s">
        <v>551</v>
      </c>
      <c r="C815" s="11" t="s">
        <v>197</v>
      </c>
      <c r="D815" s="13">
        <f t="shared" si="16"/>
        <v>15</v>
      </c>
      <c r="E815" s="13">
        <v>15</v>
      </c>
      <c r="F815" s="13" t="s">
        <v>1201</v>
      </c>
      <c r="G815" s="13" t="s">
        <v>1201</v>
      </c>
      <c r="H815" s="13"/>
      <c r="I815" s="4" t="s">
        <v>1202</v>
      </c>
    </row>
    <row r="816" spans="1:9" ht="15.75" customHeight="1" x14ac:dyDescent="0.25">
      <c r="A816" s="10">
        <f t="shared" si="36"/>
        <v>1</v>
      </c>
      <c r="B816" s="10" t="s">
        <v>2885</v>
      </c>
      <c r="C816" s="11" t="s">
        <v>70</v>
      </c>
      <c r="D816" s="13">
        <f>E816*$D$1</f>
        <v>50</v>
      </c>
      <c r="E816" s="13">
        <v>50</v>
      </c>
      <c r="F816" s="13" t="s">
        <v>1201</v>
      </c>
      <c r="G816" s="13" t="s">
        <v>1201</v>
      </c>
      <c r="H816" s="13"/>
      <c r="I816" s="4" t="s">
        <v>1202</v>
      </c>
    </row>
    <row r="817" spans="1:9" ht="15.75" customHeight="1" x14ac:dyDescent="0.25">
      <c r="A817" s="10">
        <f t="shared" si="36"/>
        <v>1</v>
      </c>
      <c r="B817" s="10" t="s">
        <v>552</v>
      </c>
      <c r="C817" s="11" t="s">
        <v>197</v>
      </c>
      <c r="D817" s="13">
        <f t="shared" si="16"/>
        <v>15</v>
      </c>
      <c r="E817" s="13">
        <v>15</v>
      </c>
      <c r="F817" s="13" t="s">
        <v>1201</v>
      </c>
      <c r="G817" s="13" t="s">
        <v>1201</v>
      </c>
      <c r="H817" s="13"/>
      <c r="I817" s="4" t="s">
        <v>1202</v>
      </c>
    </row>
    <row r="818" spans="1:9" ht="15.75" customHeight="1" x14ac:dyDescent="0.25">
      <c r="A818" s="10">
        <f t="shared" si="36"/>
        <v>1</v>
      </c>
      <c r="B818" s="10" t="s">
        <v>542</v>
      </c>
      <c r="C818" s="11" t="s">
        <v>197</v>
      </c>
      <c r="D818" s="13">
        <f t="shared" ref="D818:D972" si="37">E818*$D$1</f>
        <v>42</v>
      </c>
      <c r="E818" s="13">
        <v>42</v>
      </c>
      <c r="F818" s="13" t="s">
        <v>1201</v>
      </c>
      <c r="G818" s="13" t="s">
        <v>1201</v>
      </c>
      <c r="H818" s="13" t="s">
        <v>5380</v>
      </c>
      <c r="I818" s="4" t="s">
        <v>1202</v>
      </c>
    </row>
    <row r="819" spans="1:9" ht="15.75" customHeight="1" x14ac:dyDescent="0.25">
      <c r="A819" s="10">
        <f t="shared" si="36"/>
        <v>1</v>
      </c>
      <c r="B819" s="10" t="s">
        <v>3140</v>
      </c>
      <c r="C819" s="11" t="s">
        <v>70</v>
      </c>
      <c r="D819" s="13">
        <f>E819*$D$1</f>
        <v>307</v>
      </c>
      <c r="E819" s="13">
        <f>18+239+20+30</f>
        <v>307</v>
      </c>
      <c r="F819" s="13" t="s">
        <v>1201</v>
      </c>
      <c r="G819" s="13" t="s">
        <v>1201</v>
      </c>
      <c r="H819" s="13"/>
      <c r="I819" s="4" t="s">
        <v>1202</v>
      </c>
    </row>
    <row r="820" spans="1:9" ht="15.75" customHeight="1" x14ac:dyDescent="0.25">
      <c r="A820" s="10">
        <f t="shared" si="36"/>
        <v>1</v>
      </c>
      <c r="B820" s="10" t="s">
        <v>639</v>
      </c>
      <c r="C820" s="11" t="s">
        <v>70</v>
      </c>
      <c r="D820" s="13">
        <f>E820*$D$1</f>
        <v>150</v>
      </c>
      <c r="E820" s="13">
        <v>150</v>
      </c>
      <c r="F820" s="13" t="s">
        <v>1201</v>
      </c>
      <c r="G820" s="13" t="s">
        <v>1201</v>
      </c>
      <c r="H820" s="13"/>
      <c r="I820" s="4" t="s">
        <v>1202</v>
      </c>
    </row>
    <row r="821" spans="1:9" ht="15.75" customHeight="1" x14ac:dyDescent="0.25">
      <c r="A821" s="10">
        <f t="shared" si="36"/>
        <v>1</v>
      </c>
      <c r="B821" s="10" t="s">
        <v>1514</v>
      </c>
      <c r="C821" s="11" t="s">
        <v>70</v>
      </c>
      <c r="D821" s="13">
        <f t="shared" si="37"/>
        <v>80</v>
      </c>
      <c r="E821" s="13">
        <v>80</v>
      </c>
      <c r="F821" s="13" t="s">
        <v>1201</v>
      </c>
      <c r="G821" s="13" t="s">
        <v>1201</v>
      </c>
      <c r="H821" s="13"/>
      <c r="I821" s="4" t="s">
        <v>1202</v>
      </c>
    </row>
    <row r="822" spans="1:9" ht="15.75" customHeight="1" x14ac:dyDescent="0.25">
      <c r="A822" s="10">
        <f t="shared" si="36"/>
        <v>1</v>
      </c>
      <c r="B822" s="10" t="s">
        <v>3059</v>
      </c>
      <c r="C822" s="11" t="s">
        <v>70</v>
      </c>
      <c r="D822" s="13">
        <f>E822*$D$1</f>
        <v>85</v>
      </c>
      <c r="E822" s="13">
        <v>85</v>
      </c>
      <c r="F822" s="13" t="s">
        <v>1201</v>
      </c>
      <c r="G822" s="13" t="s">
        <v>1201</v>
      </c>
      <c r="H822" s="13"/>
      <c r="I822" s="4" t="s">
        <v>1202</v>
      </c>
    </row>
    <row r="823" spans="1:9" ht="15.75" customHeight="1" x14ac:dyDescent="0.25">
      <c r="A823" s="10">
        <f t="shared" si="36"/>
        <v>1</v>
      </c>
      <c r="B823" s="10" t="s">
        <v>550</v>
      </c>
      <c r="C823" s="11" t="s">
        <v>70</v>
      </c>
      <c r="D823" s="13">
        <f t="shared" si="37"/>
        <v>85</v>
      </c>
      <c r="E823" s="13">
        <v>85</v>
      </c>
      <c r="F823" s="13" t="s">
        <v>1201</v>
      </c>
      <c r="G823" s="13" t="s">
        <v>1201</v>
      </c>
      <c r="H823" s="13"/>
      <c r="I823" s="4" t="s">
        <v>1202</v>
      </c>
    </row>
    <row r="824" spans="1:9" ht="15.75" customHeight="1" x14ac:dyDescent="0.25">
      <c r="A824" s="10">
        <f t="shared" si="36"/>
        <v>1</v>
      </c>
      <c r="B824" s="10" t="s">
        <v>740</v>
      </c>
      <c r="C824" s="11" t="s">
        <v>197</v>
      </c>
      <c r="D824" s="13">
        <f t="shared" si="37"/>
        <v>25</v>
      </c>
      <c r="E824" s="13">
        <v>25</v>
      </c>
      <c r="F824" s="13" t="s">
        <v>1201</v>
      </c>
      <c r="G824" s="13" t="s">
        <v>1201</v>
      </c>
      <c r="H824" s="13"/>
      <c r="I824" s="4" t="s">
        <v>1202</v>
      </c>
    </row>
    <row r="825" spans="1:9" ht="15.75" customHeight="1" x14ac:dyDescent="0.25">
      <c r="A825" s="10">
        <f t="shared" si="36"/>
        <v>1</v>
      </c>
      <c r="B825" s="10" t="s">
        <v>476</v>
      </c>
      <c r="C825" s="11" t="s">
        <v>70</v>
      </c>
      <c r="D825" s="13">
        <f t="shared" si="37"/>
        <v>28</v>
      </c>
      <c r="E825" s="13">
        <v>28</v>
      </c>
      <c r="F825" s="13" t="s">
        <v>1201</v>
      </c>
      <c r="G825" s="13" t="s">
        <v>1201</v>
      </c>
      <c r="H825" s="13"/>
      <c r="I825" s="4" t="s">
        <v>1202</v>
      </c>
    </row>
    <row r="826" spans="1:9" ht="15.75" customHeight="1" x14ac:dyDescent="0.25">
      <c r="A826" s="10">
        <f t="shared" si="36"/>
        <v>1</v>
      </c>
      <c r="B826" s="10" t="s">
        <v>3151</v>
      </c>
      <c r="C826" s="11" t="s">
        <v>70</v>
      </c>
      <c r="D826" s="13">
        <f>E826*$D$1</f>
        <v>25</v>
      </c>
      <c r="E826" s="13">
        <v>25</v>
      </c>
      <c r="F826" s="13" t="s">
        <v>1201</v>
      </c>
      <c r="G826" s="13" t="s">
        <v>1201</v>
      </c>
      <c r="H826" s="13"/>
      <c r="I826" s="4" t="s">
        <v>1202</v>
      </c>
    </row>
    <row r="827" spans="1:9" ht="15.75" customHeight="1" x14ac:dyDescent="0.25">
      <c r="A827" s="10">
        <f t="shared" si="36"/>
        <v>1</v>
      </c>
      <c r="B827" s="10" t="s">
        <v>3152</v>
      </c>
      <c r="C827" s="11" t="s">
        <v>70</v>
      </c>
      <c r="D827" s="13">
        <f>E827*$D$1</f>
        <v>120</v>
      </c>
      <c r="E827" s="13">
        <v>120</v>
      </c>
      <c r="F827" s="13" t="s">
        <v>1201</v>
      </c>
      <c r="G827" s="13" t="s">
        <v>1201</v>
      </c>
      <c r="H827" s="13"/>
      <c r="I827" s="4" t="s">
        <v>1202</v>
      </c>
    </row>
    <row r="828" spans="1:9" ht="15.75" customHeight="1" x14ac:dyDescent="0.25">
      <c r="A828" s="10">
        <f t="shared" si="36"/>
        <v>1</v>
      </c>
      <c r="B828" s="10" t="s">
        <v>1648</v>
      </c>
      <c r="C828" s="11" t="s">
        <v>197</v>
      </c>
      <c r="D828" s="13">
        <f>E828*$D$1</f>
        <v>30</v>
      </c>
      <c r="E828" s="13">
        <v>30</v>
      </c>
      <c r="F828" s="13" t="s">
        <v>1201</v>
      </c>
      <c r="G828" s="13" t="s">
        <v>1201</v>
      </c>
      <c r="H828" s="13"/>
      <c r="I828" s="4" t="s">
        <v>1202</v>
      </c>
    </row>
    <row r="829" spans="1:9" ht="15.75" customHeight="1" x14ac:dyDescent="0.25">
      <c r="A829" s="10">
        <f t="shared" si="36"/>
        <v>1</v>
      </c>
      <c r="B829" s="10" t="s">
        <v>477</v>
      </c>
      <c r="C829" s="11" t="s">
        <v>197</v>
      </c>
      <c r="D829" s="13">
        <f t="shared" si="37"/>
        <v>30</v>
      </c>
      <c r="E829" s="13">
        <v>30</v>
      </c>
      <c r="F829" s="13" t="s">
        <v>1201</v>
      </c>
      <c r="G829" s="13" t="s">
        <v>1201</v>
      </c>
      <c r="H829" s="13"/>
      <c r="I829" s="4" t="s">
        <v>1202</v>
      </c>
    </row>
    <row r="830" spans="1:9" ht="15.75" customHeight="1" x14ac:dyDescent="0.25">
      <c r="A830" s="10">
        <f t="shared" si="36"/>
        <v>1</v>
      </c>
      <c r="B830" s="10" t="s">
        <v>474</v>
      </c>
      <c r="C830" s="11" t="s">
        <v>197</v>
      </c>
      <c r="D830" s="13">
        <f t="shared" si="37"/>
        <v>30</v>
      </c>
      <c r="E830" s="13">
        <v>30</v>
      </c>
      <c r="F830" s="13" t="s">
        <v>1201</v>
      </c>
      <c r="G830" s="13" t="s">
        <v>1201</v>
      </c>
      <c r="H830" s="13"/>
      <c r="I830" s="4" t="s">
        <v>1202</v>
      </c>
    </row>
    <row r="831" spans="1:9" ht="15.75" customHeight="1" x14ac:dyDescent="0.25">
      <c r="A831" s="10">
        <f t="shared" si="36"/>
        <v>1</v>
      </c>
      <c r="B831" s="10" t="s">
        <v>475</v>
      </c>
      <c r="C831" s="11" t="s">
        <v>197</v>
      </c>
      <c r="D831" s="13">
        <f>E831*$D$1</f>
        <v>30</v>
      </c>
      <c r="E831" s="13">
        <v>30</v>
      </c>
      <c r="F831" s="13" t="s">
        <v>1201</v>
      </c>
      <c r="G831" s="13" t="s">
        <v>1201</v>
      </c>
      <c r="H831" s="13"/>
      <c r="I831" s="4" t="s">
        <v>1202</v>
      </c>
    </row>
    <row r="832" spans="1:9" ht="15.75" customHeight="1" x14ac:dyDescent="0.25">
      <c r="A832" s="10">
        <f t="shared" si="36"/>
        <v>1</v>
      </c>
      <c r="B832" s="10" t="s">
        <v>2892</v>
      </c>
      <c r="C832" s="11" t="s">
        <v>70</v>
      </c>
      <c r="D832" s="13">
        <f t="shared" si="37"/>
        <v>75</v>
      </c>
      <c r="E832" s="13">
        <v>75</v>
      </c>
      <c r="F832" s="13" t="s">
        <v>1201</v>
      </c>
      <c r="G832" s="13" t="s">
        <v>1201</v>
      </c>
      <c r="H832" s="13"/>
      <c r="I832" s="4" t="s">
        <v>1202</v>
      </c>
    </row>
    <row r="833" spans="1:9" ht="15.75" customHeight="1" x14ac:dyDescent="0.25">
      <c r="A833" s="10">
        <f t="shared" si="36"/>
        <v>1</v>
      </c>
      <c r="B833" s="10" t="s">
        <v>3522</v>
      </c>
      <c r="C833" s="11" t="s">
        <v>70</v>
      </c>
      <c r="D833" s="13" t="e">
        <f>E833*$D$1</f>
        <v>#REF!</v>
      </c>
      <c r="E833" s="13" t="e">
        <f>(1311885.4+1252929.229)/CPU!I2153</f>
        <v>#REF!</v>
      </c>
      <c r="F833" s="13" t="s">
        <v>1201</v>
      </c>
      <c r="G833" s="13" t="s">
        <v>1201</v>
      </c>
      <c r="H833" s="13"/>
      <c r="I833" s="4" t="s">
        <v>1202</v>
      </c>
    </row>
    <row r="834" spans="1:9" ht="15.75" customHeight="1" x14ac:dyDescent="0.25">
      <c r="A834" s="10">
        <f t="shared" si="36"/>
        <v>1</v>
      </c>
      <c r="B834" s="10" t="s">
        <v>472</v>
      </c>
      <c r="C834" s="11" t="s">
        <v>197</v>
      </c>
      <c r="D834" s="13">
        <f t="shared" si="37"/>
        <v>30</v>
      </c>
      <c r="E834" s="13">
        <v>30</v>
      </c>
      <c r="F834" s="13" t="s">
        <v>1201</v>
      </c>
      <c r="G834" s="13" t="s">
        <v>1201</v>
      </c>
      <c r="H834" s="13"/>
      <c r="I834" s="4" t="s">
        <v>1202</v>
      </c>
    </row>
    <row r="835" spans="1:9" ht="15.75" customHeight="1" x14ac:dyDescent="0.25">
      <c r="A835" s="10">
        <f t="shared" si="36"/>
        <v>1</v>
      </c>
      <c r="B835" s="10" t="s">
        <v>473</v>
      </c>
      <c r="C835" s="11" t="s">
        <v>197</v>
      </c>
      <c r="D835" s="13">
        <f t="shared" si="37"/>
        <v>45</v>
      </c>
      <c r="E835" s="13">
        <v>45</v>
      </c>
      <c r="F835" s="13" t="s">
        <v>1201</v>
      </c>
      <c r="G835" s="13" t="s">
        <v>1201</v>
      </c>
      <c r="H835" s="13"/>
      <c r="I835" s="4" t="s">
        <v>1202</v>
      </c>
    </row>
    <row r="836" spans="1:9" ht="15.75" customHeight="1" x14ac:dyDescent="0.25">
      <c r="A836" s="10">
        <f t="shared" ref="A836:A843" si="38">COUNTIFS($B$2:$B$996,B836)</f>
        <v>1</v>
      </c>
      <c r="B836" s="10" t="s">
        <v>4194</v>
      </c>
      <c r="C836" s="11" t="s">
        <v>70</v>
      </c>
      <c r="D836" s="13">
        <f>E836*$D$1</f>
        <v>30</v>
      </c>
      <c r="E836" s="13">
        <v>30</v>
      </c>
      <c r="F836" s="13" t="s">
        <v>1201</v>
      </c>
      <c r="G836" s="13" t="s">
        <v>1201</v>
      </c>
      <c r="H836" s="1058" t="s">
        <v>2005</v>
      </c>
      <c r="I836" s="4" t="s">
        <v>1202</v>
      </c>
    </row>
    <row r="837" spans="1:9" ht="15.75" customHeight="1" x14ac:dyDescent="0.25">
      <c r="A837" s="10">
        <f t="shared" si="38"/>
        <v>1</v>
      </c>
      <c r="B837" s="10" t="s">
        <v>4195</v>
      </c>
      <c r="C837" s="11" t="s">
        <v>70</v>
      </c>
      <c r="D837" s="13">
        <f>E837*$D$1</f>
        <v>32</v>
      </c>
      <c r="E837" s="13">
        <v>32</v>
      </c>
      <c r="F837" s="13" t="s">
        <v>1201</v>
      </c>
      <c r="G837" s="13" t="s">
        <v>1201</v>
      </c>
      <c r="H837" s="13" t="s">
        <v>4197</v>
      </c>
      <c r="I837" s="4" t="s">
        <v>1202</v>
      </c>
    </row>
    <row r="838" spans="1:9" ht="15.75" customHeight="1" x14ac:dyDescent="0.25">
      <c r="A838" s="10">
        <f t="shared" si="38"/>
        <v>1</v>
      </c>
      <c r="B838" s="10" t="s">
        <v>4198</v>
      </c>
      <c r="C838" s="11" t="s">
        <v>70</v>
      </c>
      <c r="D838" s="13">
        <f t="shared" ref="D838:D843" si="39">E838*$D$1</f>
        <v>38</v>
      </c>
      <c r="E838" s="13">
        <v>38</v>
      </c>
      <c r="F838" s="13" t="s">
        <v>1201</v>
      </c>
      <c r="G838" s="13" t="s">
        <v>1201</v>
      </c>
      <c r="H838" s="13" t="s">
        <v>4204</v>
      </c>
      <c r="I838" s="4" t="s">
        <v>1202</v>
      </c>
    </row>
    <row r="839" spans="1:9" ht="15.75" customHeight="1" x14ac:dyDescent="0.25">
      <c r="A839" s="10">
        <f t="shared" si="38"/>
        <v>1</v>
      </c>
      <c r="B839" s="10" t="s">
        <v>4199</v>
      </c>
      <c r="C839" s="11" t="s">
        <v>70</v>
      </c>
      <c r="D839" s="13">
        <f t="shared" si="39"/>
        <v>45</v>
      </c>
      <c r="E839" s="13">
        <v>45</v>
      </c>
      <c r="F839" s="13" t="s">
        <v>1201</v>
      </c>
      <c r="G839" s="13" t="s">
        <v>1201</v>
      </c>
      <c r="H839" s="1058" t="s">
        <v>2005</v>
      </c>
      <c r="I839" s="4" t="s">
        <v>1202</v>
      </c>
    </row>
    <row r="840" spans="1:9" ht="15.75" customHeight="1" x14ac:dyDescent="0.25">
      <c r="A840" s="10">
        <f t="shared" si="38"/>
        <v>1</v>
      </c>
      <c r="B840" s="10" t="s">
        <v>4196</v>
      </c>
      <c r="C840" s="11" t="s">
        <v>70</v>
      </c>
      <c r="D840" s="13">
        <f t="shared" si="39"/>
        <v>45</v>
      </c>
      <c r="E840" s="13">
        <v>45</v>
      </c>
      <c r="F840" s="13" t="s">
        <v>1201</v>
      </c>
      <c r="G840" s="13" t="s">
        <v>1201</v>
      </c>
      <c r="H840" s="13" t="s">
        <v>4203</v>
      </c>
      <c r="I840" s="4" t="s">
        <v>1202</v>
      </c>
    </row>
    <row r="841" spans="1:9" ht="15.75" customHeight="1" x14ac:dyDescent="0.25">
      <c r="A841" s="10">
        <f t="shared" si="38"/>
        <v>1</v>
      </c>
      <c r="B841" s="10" t="s">
        <v>4200</v>
      </c>
      <c r="C841" s="11" t="s">
        <v>70</v>
      </c>
      <c r="D841" s="13">
        <f t="shared" si="39"/>
        <v>62</v>
      </c>
      <c r="E841" s="13">
        <v>62</v>
      </c>
      <c r="F841" s="13" t="s">
        <v>1201</v>
      </c>
      <c r="G841" s="13" t="s">
        <v>1201</v>
      </c>
      <c r="H841" s="13" t="s">
        <v>4206</v>
      </c>
      <c r="I841" s="4" t="s">
        <v>1202</v>
      </c>
    </row>
    <row r="842" spans="1:9" ht="15.75" customHeight="1" x14ac:dyDescent="0.25">
      <c r="A842" s="10">
        <f t="shared" si="38"/>
        <v>1</v>
      </c>
      <c r="B842" s="10" t="s">
        <v>4201</v>
      </c>
      <c r="C842" s="11" t="s">
        <v>70</v>
      </c>
      <c r="D842" s="13">
        <f t="shared" si="39"/>
        <v>35</v>
      </c>
      <c r="E842" s="13">
        <v>35</v>
      </c>
      <c r="F842" s="13" t="s">
        <v>1201</v>
      </c>
      <c r="G842" s="13" t="s">
        <v>1201</v>
      </c>
      <c r="H842" s="13" t="s">
        <v>4205</v>
      </c>
      <c r="I842" s="4" t="s">
        <v>1202</v>
      </c>
    </row>
    <row r="843" spans="1:9" ht="15.75" customHeight="1" x14ac:dyDescent="0.25">
      <c r="A843" s="10">
        <f t="shared" si="38"/>
        <v>1</v>
      </c>
      <c r="B843" s="10" t="s">
        <v>4202</v>
      </c>
      <c r="C843" s="11" t="s">
        <v>70</v>
      </c>
      <c r="D843" s="13">
        <f t="shared" si="39"/>
        <v>42</v>
      </c>
      <c r="E843" s="13">
        <v>42</v>
      </c>
      <c r="F843" s="13" t="s">
        <v>1201</v>
      </c>
      <c r="G843" s="13" t="s">
        <v>1201</v>
      </c>
      <c r="H843" s="13" t="s">
        <v>4205</v>
      </c>
      <c r="I843" s="4" t="s">
        <v>1202</v>
      </c>
    </row>
    <row r="844" spans="1:9" ht="15.75" customHeight="1" x14ac:dyDescent="0.25">
      <c r="A844" s="10">
        <f t="shared" si="36"/>
        <v>1</v>
      </c>
      <c r="B844" s="10" t="s">
        <v>572</v>
      </c>
      <c r="C844" s="11" t="s">
        <v>70</v>
      </c>
      <c r="D844" s="13">
        <f t="shared" si="37"/>
        <v>150</v>
      </c>
      <c r="E844" s="13">
        <v>150</v>
      </c>
      <c r="F844" s="13" t="s">
        <v>1201</v>
      </c>
      <c r="G844" s="13" t="s">
        <v>1201</v>
      </c>
      <c r="H844" s="13"/>
      <c r="I844" s="4" t="s">
        <v>1202</v>
      </c>
    </row>
    <row r="845" spans="1:9" ht="15.75" customHeight="1" x14ac:dyDescent="0.25">
      <c r="A845" s="10">
        <f t="shared" si="36"/>
        <v>1</v>
      </c>
      <c r="B845" s="10" t="s">
        <v>574</v>
      </c>
      <c r="C845" s="11" t="s">
        <v>70</v>
      </c>
      <c r="D845" s="13">
        <f t="shared" si="37"/>
        <v>150</v>
      </c>
      <c r="E845" s="13">
        <v>150</v>
      </c>
      <c r="F845" s="13" t="s">
        <v>1201</v>
      </c>
      <c r="G845" s="13" t="s">
        <v>1201</v>
      </c>
      <c r="H845" s="13"/>
      <c r="I845" s="4" t="s">
        <v>1202</v>
      </c>
    </row>
    <row r="846" spans="1:9" ht="15.75" customHeight="1" x14ac:dyDescent="0.25">
      <c r="A846" s="10">
        <f t="shared" si="36"/>
        <v>1</v>
      </c>
      <c r="B846" s="10" t="s">
        <v>927</v>
      </c>
      <c r="C846" s="11" t="s">
        <v>197</v>
      </c>
      <c r="D846" s="13">
        <f t="shared" si="37"/>
        <v>95</v>
      </c>
      <c r="E846" s="13">
        <v>95</v>
      </c>
      <c r="F846" s="13" t="s">
        <v>1201</v>
      </c>
      <c r="G846" s="13" t="s">
        <v>1201</v>
      </c>
      <c r="H846" s="13"/>
      <c r="I846" s="4" t="s">
        <v>1202</v>
      </c>
    </row>
    <row r="847" spans="1:9" ht="15.75" customHeight="1" x14ac:dyDescent="0.25">
      <c r="A847" s="10">
        <f t="shared" si="36"/>
        <v>1</v>
      </c>
      <c r="B847" s="10" t="s">
        <v>1054</v>
      </c>
      <c r="C847" s="11" t="s">
        <v>70</v>
      </c>
      <c r="D847" s="13">
        <f t="shared" si="37"/>
        <v>150</v>
      </c>
      <c r="E847" s="13">
        <v>150</v>
      </c>
      <c r="F847" s="13" t="s">
        <v>1201</v>
      </c>
      <c r="G847" s="13" t="s">
        <v>1201</v>
      </c>
      <c r="H847" s="13"/>
      <c r="I847" s="4" t="s">
        <v>1202</v>
      </c>
    </row>
    <row r="848" spans="1:9" ht="15.75" customHeight="1" x14ac:dyDescent="0.25">
      <c r="A848" s="10">
        <f t="shared" si="36"/>
        <v>1</v>
      </c>
      <c r="B848" s="10" t="s">
        <v>929</v>
      </c>
      <c r="C848" s="11" t="s">
        <v>70</v>
      </c>
      <c r="D848" s="13">
        <f t="shared" si="37"/>
        <v>95</v>
      </c>
      <c r="E848" s="13">
        <v>95</v>
      </c>
      <c r="F848" s="13" t="s">
        <v>1201</v>
      </c>
      <c r="G848" s="13" t="s">
        <v>1201</v>
      </c>
      <c r="H848" s="13"/>
      <c r="I848" s="4" t="s">
        <v>1202</v>
      </c>
    </row>
    <row r="849" spans="1:9" ht="15.75" customHeight="1" x14ac:dyDescent="0.25">
      <c r="A849" s="10">
        <f t="shared" ref="A849:A912" si="40">COUNTIFS($B$2:$B$996,B849)</f>
        <v>1</v>
      </c>
      <c r="B849" s="10" t="s">
        <v>925</v>
      </c>
      <c r="C849" s="11" t="s">
        <v>197</v>
      </c>
      <c r="D849" s="13">
        <f t="shared" si="37"/>
        <v>58</v>
      </c>
      <c r="E849" s="13">
        <v>58</v>
      </c>
      <c r="F849" s="13" t="s">
        <v>1201</v>
      </c>
      <c r="G849" s="13" t="s">
        <v>1201</v>
      </c>
      <c r="H849" s="13"/>
      <c r="I849" s="4" t="s">
        <v>1202</v>
      </c>
    </row>
    <row r="850" spans="1:9" ht="15.75" customHeight="1" x14ac:dyDescent="0.25">
      <c r="A850" s="10">
        <f t="shared" si="40"/>
        <v>1</v>
      </c>
      <c r="B850" s="10" t="s">
        <v>2944</v>
      </c>
      <c r="C850" s="11" t="s">
        <v>197</v>
      </c>
      <c r="D850" s="13">
        <f>E850*$D$1</f>
        <v>200</v>
      </c>
      <c r="E850" s="13">
        <v>200</v>
      </c>
      <c r="F850" s="13" t="s">
        <v>1201</v>
      </c>
      <c r="G850" s="13" t="s">
        <v>1201</v>
      </c>
      <c r="H850" s="13"/>
      <c r="I850" s="4" t="s">
        <v>1202</v>
      </c>
    </row>
    <row r="851" spans="1:9" ht="15.75" customHeight="1" x14ac:dyDescent="0.25">
      <c r="A851" s="10">
        <f t="shared" si="40"/>
        <v>1</v>
      </c>
      <c r="B851" s="10" t="s">
        <v>928</v>
      </c>
      <c r="C851" s="11" t="s">
        <v>197</v>
      </c>
      <c r="D851" s="13">
        <f t="shared" si="37"/>
        <v>85</v>
      </c>
      <c r="E851" s="13">
        <v>85</v>
      </c>
      <c r="F851" s="13" t="s">
        <v>1201</v>
      </c>
      <c r="G851" s="13" t="s">
        <v>1201</v>
      </c>
      <c r="H851" s="13"/>
      <c r="I851" s="4" t="s">
        <v>1202</v>
      </c>
    </row>
    <row r="852" spans="1:9" ht="15.75" customHeight="1" x14ac:dyDescent="0.25">
      <c r="A852" s="10">
        <f t="shared" si="40"/>
        <v>1</v>
      </c>
      <c r="B852" s="10" t="s">
        <v>1586</v>
      </c>
      <c r="C852" s="11" t="s">
        <v>642</v>
      </c>
      <c r="D852" s="13">
        <f>E852*$D$1</f>
        <v>80</v>
      </c>
      <c r="E852" s="13">
        <v>80</v>
      </c>
      <c r="F852" s="13" t="s">
        <v>1201</v>
      </c>
      <c r="G852" s="13" t="s">
        <v>1201</v>
      </c>
      <c r="H852" s="13"/>
      <c r="I852" s="4" t="s">
        <v>1202</v>
      </c>
    </row>
    <row r="853" spans="1:9" ht="15.75" customHeight="1" x14ac:dyDescent="0.25">
      <c r="A853" s="10">
        <f t="shared" si="40"/>
        <v>1</v>
      </c>
      <c r="B853" s="10" t="s">
        <v>3130</v>
      </c>
      <c r="C853" s="11" t="s">
        <v>642</v>
      </c>
      <c r="D853" s="13">
        <f>E853*$D$1</f>
        <v>150</v>
      </c>
      <c r="E853" s="13">
        <v>150</v>
      </c>
      <c r="F853" s="13" t="s">
        <v>1201</v>
      </c>
      <c r="G853" s="13" t="s">
        <v>1201</v>
      </c>
      <c r="H853" s="13"/>
      <c r="I853" s="4" t="s">
        <v>1202</v>
      </c>
    </row>
    <row r="854" spans="1:9" ht="15.75" customHeight="1" x14ac:dyDescent="0.25">
      <c r="A854" s="10">
        <f t="shared" si="40"/>
        <v>1</v>
      </c>
      <c r="B854" s="10" t="s">
        <v>930</v>
      </c>
      <c r="C854" s="11" t="s">
        <v>642</v>
      </c>
      <c r="D854" s="13">
        <f t="shared" si="37"/>
        <v>175</v>
      </c>
      <c r="E854" s="13">
        <v>175</v>
      </c>
      <c r="F854" s="13" t="s">
        <v>1201</v>
      </c>
      <c r="G854" s="13" t="s">
        <v>1201</v>
      </c>
      <c r="H854" s="13"/>
      <c r="I854" s="4" t="s">
        <v>1202</v>
      </c>
    </row>
    <row r="855" spans="1:9" ht="15.75" customHeight="1" x14ac:dyDescent="0.25">
      <c r="A855" s="10">
        <f t="shared" si="40"/>
        <v>1</v>
      </c>
      <c r="B855" s="10" t="s">
        <v>926</v>
      </c>
      <c r="C855" s="11" t="s">
        <v>197</v>
      </c>
      <c r="D855" s="13">
        <f t="shared" si="37"/>
        <v>58</v>
      </c>
      <c r="E855" s="13">
        <v>58</v>
      </c>
      <c r="F855" s="13" t="s">
        <v>1201</v>
      </c>
      <c r="G855" s="13" t="s">
        <v>1201</v>
      </c>
      <c r="H855" s="13"/>
      <c r="I855" s="4" t="s">
        <v>1202</v>
      </c>
    </row>
    <row r="856" spans="1:9" ht="15.75" customHeight="1" x14ac:dyDescent="0.25">
      <c r="A856" s="10">
        <f t="shared" si="40"/>
        <v>1</v>
      </c>
      <c r="B856" s="10" t="s">
        <v>432</v>
      </c>
      <c r="C856" s="11" t="s">
        <v>70</v>
      </c>
      <c r="D856" s="13">
        <f t="shared" si="37"/>
        <v>47</v>
      </c>
      <c r="E856" s="13">
        <v>47</v>
      </c>
      <c r="F856" s="13" t="s">
        <v>1201</v>
      </c>
      <c r="G856" s="13" t="s">
        <v>1201</v>
      </c>
      <c r="H856" s="13" t="s">
        <v>5380</v>
      </c>
      <c r="I856" s="4" t="s">
        <v>1202</v>
      </c>
    </row>
    <row r="857" spans="1:9" ht="15.75" customHeight="1" x14ac:dyDescent="0.25">
      <c r="A857" s="10">
        <f t="shared" si="40"/>
        <v>1</v>
      </c>
      <c r="B857" s="10" t="s">
        <v>435</v>
      </c>
      <c r="C857" s="11" t="s">
        <v>197</v>
      </c>
      <c r="D857" s="13">
        <f t="shared" si="37"/>
        <v>47</v>
      </c>
      <c r="E857" s="13">
        <v>47</v>
      </c>
      <c r="F857" s="13" t="s">
        <v>1201</v>
      </c>
      <c r="G857" s="13" t="s">
        <v>1201</v>
      </c>
      <c r="H857" s="13" t="s">
        <v>5380</v>
      </c>
      <c r="I857" s="4" t="s">
        <v>1202</v>
      </c>
    </row>
    <row r="858" spans="1:9" ht="15.75" customHeight="1" x14ac:dyDescent="0.25">
      <c r="A858" s="10">
        <f t="shared" si="40"/>
        <v>1</v>
      </c>
      <c r="B858" s="10" t="s">
        <v>436</v>
      </c>
      <c r="C858" s="11" t="s">
        <v>197</v>
      </c>
      <c r="D858" s="13">
        <f t="shared" si="37"/>
        <v>48</v>
      </c>
      <c r="E858" s="13">
        <v>48</v>
      </c>
      <c r="F858" s="13" t="s">
        <v>1201</v>
      </c>
      <c r="G858" s="13" t="s">
        <v>1201</v>
      </c>
      <c r="H858" s="13"/>
      <c r="I858" s="4" t="s">
        <v>1202</v>
      </c>
    </row>
    <row r="859" spans="1:9" ht="15.75" customHeight="1" x14ac:dyDescent="0.25">
      <c r="A859" s="10">
        <f t="shared" si="40"/>
        <v>1</v>
      </c>
      <c r="B859" s="10" t="s">
        <v>433</v>
      </c>
      <c r="C859" s="11" t="s">
        <v>197</v>
      </c>
      <c r="D859" s="13">
        <f t="shared" si="37"/>
        <v>48</v>
      </c>
      <c r="E859" s="13">
        <v>48</v>
      </c>
      <c r="F859" s="13" t="s">
        <v>1201</v>
      </c>
      <c r="G859" s="13" t="s">
        <v>1201</v>
      </c>
      <c r="H859" s="13"/>
      <c r="I859" s="4" t="s">
        <v>1202</v>
      </c>
    </row>
    <row r="860" spans="1:9" ht="15.75" customHeight="1" x14ac:dyDescent="0.25">
      <c r="A860" s="10">
        <f t="shared" si="40"/>
        <v>1</v>
      </c>
      <c r="B860" s="10" t="s">
        <v>434</v>
      </c>
      <c r="C860" s="11" t="s">
        <v>197</v>
      </c>
      <c r="D860" s="13">
        <f t="shared" si="37"/>
        <v>47</v>
      </c>
      <c r="E860" s="13">
        <v>47</v>
      </c>
      <c r="F860" s="13" t="s">
        <v>1201</v>
      </c>
      <c r="G860" s="13" t="s">
        <v>1201</v>
      </c>
      <c r="H860" s="13" t="s">
        <v>5380</v>
      </c>
      <c r="I860" s="4" t="s">
        <v>1202</v>
      </c>
    </row>
    <row r="861" spans="1:9" ht="15.75" customHeight="1" x14ac:dyDescent="0.25">
      <c r="A861" s="10">
        <f t="shared" si="40"/>
        <v>1</v>
      </c>
      <c r="B861" s="10" t="s">
        <v>544</v>
      </c>
      <c r="C861" s="11" t="s">
        <v>197</v>
      </c>
      <c r="D861" s="13">
        <f t="shared" si="37"/>
        <v>55</v>
      </c>
      <c r="E861" s="13">
        <v>55</v>
      </c>
      <c r="F861" s="13" t="s">
        <v>1201</v>
      </c>
      <c r="G861" s="13" t="s">
        <v>1201</v>
      </c>
      <c r="H861" s="13"/>
      <c r="I861" s="4" t="s">
        <v>1202</v>
      </c>
    </row>
    <row r="862" spans="1:9" ht="15.75" customHeight="1" x14ac:dyDescent="0.25">
      <c r="A862" s="10">
        <f t="shared" si="40"/>
        <v>1</v>
      </c>
      <c r="B862" s="10" t="s">
        <v>545</v>
      </c>
      <c r="C862" s="11" t="s">
        <v>197</v>
      </c>
      <c r="D862" s="13">
        <f t="shared" si="37"/>
        <v>75</v>
      </c>
      <c r="E862" s="13">
        <v>75</v>
      </c>
      <c r="F862" s="13" t="s">
        <v>1201</v>
      </c>
      <c r="G862" s="13" t="s">
        <v>1201</v>
      </c>
      <c r="H862" s="13"/>
      <c r="I862" s="4" t="s">
        <v>1202</v>
      </c>
    </row>
    <row r="863" spans="1:9" ht="15.75" customHeight="1" x14ac:dyDescent="0.25">
      <c r="A863" s="10">
        <f t="shared" si="40"/>
        <v>1</v>
      </c>
      <c r="B863" s="10" t="s">
        <v>546</v>
      </c>
      <c r="C863" s="11" t="s">
        <v>197</v>
      </c>
      <c r="D863" s="13">
        <f t="shared" si="37"/>
        <v>75</v>
      </c>
      <c r="E863" s="13">
        <v>75</v>
      </c>
      <c r="F863" s="13" t="s">
        <v>1201</v>
      </c>
      <c r="G863" s="13" t="s">
        <v>1201</v>
      </c>
      <c r="H863" s="13"/>
      <c r="I863" s="4" t="s">
        <v>1202</v>
      </c>
    </row>
    <row r="864" spans="1:9" ht="15.75" customHeight="1" x14ac:dyDescent="0.25">
      <c r="A864" s="10">
        <f t="shared" si="40"/>
        <v>1</v>
      </c>
      <c r="B864" s="10" t="s">
        <v>548</v>
      </c>
      <c r="C864" s="11" t="s">
        <v>197</v>
      </c>
      <c r="D864" s="13">
        <f t="shared" si="37"/>
        <v>50</v>
      </c>
      <c r="E864" s="13">
        <v>50</v>
      </c>
      <c r="F864" s="13" t="s">
        <v>1201</v>
      </c>
      <c r="G864" s="13" t="s">
        <v>1201</v>
      </c>
      <c r="H864" s="13"/>
      <c r="I864" s="4" t="s">
        <v>1202</v>
      </c>
    </row>
    <row r="865" spans="1:9" ht="15.75" customHeight="1" x14ac:dyDescent="0.25">
      <c r="A865" s="10">
        <f t="shared" si="40"/>
        <v>1</v>
      </c>
      <c r="B865" s="10" t="s">
        <v>549</v>
      </c>
      <c r="C865" s="11" t="s">
        <v>197</v>
      </c>
      <c r="D865" s="13">
        <f t="shared" si="37"/>
        <v>60</v>
      </c>
      <c r="E865" s="13">
        <v>60</v>
      </c>
      <c r="F865" s="13" t="s">
        <v>1201</v>
      </c>
      <c r="G865" s="13" t="s">
        <v>1201</v>
      </c>
      <c r="H865" s="13"/>
      <c r="I865" s="4" t="s">
        <v>1202</v>
      </c>
    </row>
    <row r="866" spans="1:9" ht="15.75" customHeight="1" x14ac:dyDescent="0.25">
      <c r="A866" s="10">
        <f t="shared" si="40"/>
        <v>1</v>
      </c>
      <c r="B866" s="10" t="s">
        <v>547</v>
      </c>
      <c r="C866" s="11" t="s">
        <v>197</v>
      </c>
      <c r="D866" s="13">
        <f t="shared" si="37"/>
        <v>50</v>
      </c>
      <c r="E866" s="13">
        <v>50</v>
      </c>
      <c r="F866" s="13" t="s">
        <v>1201</v>
      </c>
      <c r="G866" s="13" t="s">
        <v>1201</v>
      </c>
      <c r="H866" s="13"/>
      <c r="I866" s="4" t="s">
        <v>1202</v>
      </c>
    </row>
    <row r="867" spans="1:9" ht="15.75" customHeight="1" x14ac:dyDescent="0.25">
      <c r="A867" s="10">
        <f t="shared" si="40"/>
        <v>1</v>
      </c>
      <c r="B867" s="10" t="s">
        <v>3107</v>
      </c>
      <c r="C867" s="11" t="s">
        <v>70</v>
      </c>
      <c r="D867" s="13">
        <f>E867*$D$1</f>
        <v>400</v>
      </c>
      <c r="E867" s="13">
        <v>400</v>
      </c>
      <c r="F867" s="13" t="s">
        <v>1201</v>
      </c>
      <c r="G867" s="13" t="s">
        <v>1201</v>
      </c>
      <c r="H867" s="13"/>
      <c r="I867" s="4" t="s">
        <v>1202</v>
      </c>
    </row>
    <row r="868" spans="1:9" ht="15.75" customHeight="1" x14ac:dyDescent="0.25">
      <c r="A868" s="10">
        <f t="shared" si="40"/>
        <v>1</v>
      </c>
      <c r="B868" s="10" t="s">
        <v>846</v>
      </c>
      <c r="C868" s="11" t="s">
        <v>197</v>
      </c>
      <c r="D868" s="13">
        <f t="shared" si="37"/>
        <v>300</v>
      </c>
      <c r="E868" s="13">
        <v>300</v>
      </c>
      <c r="F868" s="13" t="s">
        <v>1201</v>
      </c>
      <c r="G868" s="13" t="s">
        <v>1201</v>
      </c>
      <c r="H868" s="13"/>
      <c r="I868" s="4" t="s">
        <v>1202</v>
      </c>
    </row>
    <row r="869" spans="1:9" ht="15.75" customHeight="1" x14ac:dyDescent="0.25">
      <c r="A869" s="10">
        <f t="shared" si="40"/>
        <v>1</v>
      </c>
      <c r="B869" s="10" t="s">
        <v>1568</v>
      </c>
      <c r="C869" s="11" t="s">
        <v>197</v>
      </c>
      <c r="D869" s="13">
        <f>E869*$D$1</f>
        <v>20</v>
      </c>
      <c r="E869" s="13">
        <v>20</v>
      </c>
      <c r="F869" s="13" t="s">
        <v>1201</v>
      </c>
      <c r="G869" s="13" t="s">
        <v>1201</v>
      </c>
      <c r="H869" s="13"/>
      <c r="I869" s="4" t="s">
        <v>1202</v>
      </c>
    </row>
    <row r="870" spans="1:9" ht="15.75" customHeight="1" x14ac:dyDescent="0.25">
      <c r="A870" s="10">
        <f t="shared" si="40"/>
        <v>1</v>
      </c>
      <c r="B870" s="10" t="s">
        <v>784</v>
      </c>
      <c r="C870" s="11" t="s">
        <v>197</v>
      </c>
      <c r="D870" s="13">
        <f t="shared" si="37"/>
        <v>40</v>
      </c>
      <c r="E870" s="13">
        <v>40</v>
      </c>
      <c r="F870" s="13" t="s">
        <v>1201</v>
      </c>
      <c r="G870" s="13" t="s">
        <v>1201</v>
      </c>
      <c r="H870" s="13"/>
      <c r="I870" s="4" t="s">
        <v>1202</v>
      </c>
    </row>
    <row r="871" spans="1:9" ht="15.75" customHeight="1" x14ac:dyDescent="0.25">
      <c r="A871" s="10">
        <f t="shared" si="40"/>
        <v>1</v>
      </c>
      <c r="B871" s="10" t="s">
        <v>785</v>
      </c>
      <c r="C871" s="11" t="s">
        <v>197</v>
      </c>
      <c r="D871" s="13">
        <f t="shared" si="37"/>
        <v>40</v>
      </c>
      <c r="E871" s="13">
        <v>40</v>
      </c>
      <c r="F871" s="13" t="s">
        <v>1201</v>
      </c>
      <c r="G871" s="13" t="s">
        <v>1201</v>
      </c>
      <c r="H871" s="13"/>
      <c r="I871" s="4" t="s">
        <v>1202</v>
      </c>
    </row>
    <row r="872" spans="1:9" ht="15.75" customHeight="1" x14ac:dyDescent="0.25">
      <c r="A872" s="10">
        <f t="shared" si="40"/>
        <v>1</v>
      </c>
      <c r="B872" s="10" t="s">
        <v>471</v>
      </c>
      <c r="C872" s="11" t="s">
        <v>197</v>
      </c>
      <c r="D872" s="13">
        <f t="shared" si="37"/>
        <v>35</v>
      </c>
      <c r="E872" s="13">
        <v>35</v>
      </c>
      <c r="F872" s="13" t="s">
        <v>1201</v>
      </c>
      <c r="G872" s="13" t="s">
        <v>1201</v>
      </c>
      <c r="H872" s="13"/>
      <c r="I872" s="4" t="s">
        <v>1202</v>
      </c>
    </row>
    <row r="873" spans="1:9" ht="15.75" customHeight="1" x14ac:dyDescent="0.25">
      <c r="A873" s="10">
        <f t="shared" si="40"/>
        <v>1</v>
      </c>
      <c r="B873" s="10" t="s">
        <v>924</v>
      </c>
      <c r="C873" s="11" t="s">
        <v>197</v>
      </c>
      <c r="D873" s="13">
        <f t="shared" si="37"/>
        <v>62</v>
      </c>
      <c r="E873" s="13">
        <v>62</v>
      </c>
      <c r="F873" s="13" t="s">
        <v>1201</v>
      </c>
      <c r="G873" s="13" t="s">
        <v>1201</v>
      </c>
      <c r="H873" s="13" t="s">
        <v>5380</v>
      </c>
      <c r="I873" s="4" t="s">
        <v>1202</v>
      </c>
    </row>
    <row r="874" spans="1:9" ht="15.75" customHeight="1" x14ac:dyDescent="0.25">
      <c r="A874" s="10">
        <f t="shared" si="40"/>
        <v>1</v>
      </c>
      <c r="B874" s="10" t="s">
        <v>1671</v>
      </c>
      <c r="C874" s="11" t="s">
        <v>70</v>
      </c>
      <c r="D874" s="13">
        <f>E874*$D$1</f>
        <v>27.4</v>
      </c>
      <c r="E874" s="13">
        <v>27.4</v>
      </c>
      <c r="F874" s="13" t="s">
        <v>1201</v>
      </c>
      <c r="G874" s="13" t="s">
        <v>1201</v>
      </c>
      <c r="H874" s="13"/>
      <c r="I874" s="4" t="s">
        <v>1202</v>
      </c>
    </row>
    <row r="875" spans="1:9" ht="15.75" customHeight="1" x14ac:dyDescent="0.25">
      <c r="A875" s="10">
        <f t="shared" si="40"/>
        <v>1</v>
      </c>
      <c r="B875" s="10" t="s">
        <v>470</v>
      </c>
      <c r="C875" s="11" t="s">
        <v>70</v>
      </c>
      <c r="D875" s="13">
        <f t="shared" si="37"/>
        <v>20</v>
      </c>
      <c r="E875" s="13">
        <v>20</v>
      </c>
      <c r="F875" s="13" t="s">
        <v>1201</v>
      </c>
      <c r="G875" s="13" t="s">
        <v>1201</v>
      </c>
      <c r="H875" s="13"/>
      <c r="I875" s="4" t="s">
        <v>1202</v>
      </c>
    </row>
    <row r="876" spans="1:9" ht="15.75" customHeight="1" x14ac:dyDescent="0.25">
      <c r="A876" s="10">
        <f t="shared" si="40"/>
        <v>1</v>
      </c>
      <c r="B876" s="10" t="s">
        <v>1080</v>
      </c>
      <c r="C876" s="11" t="s">
        <v>70</v>
      </c>
      <c r="D876" s="13">
        <f t="shared" si="37"/>
        <v>20</v>
      </c>
      <c r="E876" s="13">
        <v>20</v>
      </c>
      <c r="F876" s="13" t="s">
        <v>1201</v>
      </c>
      <c r="G876" s="13" t="s">
        <v>1201</v>
      </c>
      <c r="H876" s="13"/>
      <c r="I876" s="4" t="s">
        <v>1202</v>
      </c>
    </row>
    <row r="877" spans="1:9" ht="15.75" customHeight="1" x14ac:dyDescent="0.25">
      <c r="A877" s="10">
        <f t="shared" si="40"/>
        <v>1</v>
      </c>
      <c r="B877" s="10" t="s">
        <v>1081</v>
      </c>
      <c r="C877" s="11" t="s">
        <v>113</v>
      </c>
      <c r="D877" s="13">
        <f t="shared" si="37"/>
        <v>5</v>
      </c>
      <c r="E877" s="13">
        <v>5</v>
      </c>
      <c r="F877" s="13" t="s">
        <v>1201</v>
      </c>
      <c r="G877" s="13" t="s">
        <v>1201</v>
      </c>
      <c r="H877" s="13"/>
      <c r="I877" s="4" t="s">
        <v>1202</v>
      </c>
    </row>
    <row r="878" spans="1:9" ht="15.75" customHeight="1" x14ac:dyDescent="0.25">
      <c r="A878" s="10">
        <f t="shared" si="40"/>
        <v>1</v>
      </c>
      <c r="B878" s="10" t="s">
        <v>738</v>
      </c>
      <c r="C878" s="11" t="s">
        <v>197</v>
      </c>
      <c r="D878" s="13">
        <f t="shared" si="37"/>
        <v>75</v>
      </c>
      <c r="E878" s="13">
        <v>75</v>
      </c>
      <c r="F878" s="13" t="s">
        <v>1201</v>
      </c>
      <c r="G878" s="13" t="s">
        <v>1201</v>
      </c>
      <c r="H878" s="13"/>
      <c r="I878" s="4" t="s">
        <v>1202</v>
      </c>
    </row>
    <row r="879" spans="1:9" ht="15.75" customHeight="1" x14ac:dyDescent="0.25">
      <c r="A879" s="10">
        <f t="shared" si="40"/>
        <v>1</v>
      </c>
      <c r="B879" s="10" t="s">
        <v>478</v>
      </c>
      <c r="C879" s="11" t="s">
        <v>197</v>
      </c>
      <c r="D879" s="13">
        <f t="shared" si="37"/>
        <v>50</v>
      </c>
      <c r="E879" s="13">
        <v>50</v>
      </c>
      <c r="F879" s="13" t="s">
        <v>1201</v>
      </c>
      <c r="G879" s="13" t="s">
        <v>1201</v>
      </c>
      <c r="H879" s="13"/>
      <c r="I879" s="4" t="s">
        <v>1202</v>
      </c>
    </row>
    <row r="880" spans="1:9" ht="15.75" customHeight="1" x14ac:dyDescent="0.25">
      <c r="A880" s="10">
        <f t="shared" si="40"/>
        <v>1</v>
      </c>
      <c r="B880" s="10" t="s">
        <v>338</v>
      </c>
      <c r="C880" s="11" t="s">
        <v>642</v>
      </c>
      <c r="D880" s="13">
        <f t="shared" si="37"/>
        <v>290</v>
      </c>
      <c r="E880" s="13">
        <v>290</v>
      </c>
      <c r="F880" s="13" t="s">
        <v>1201</v>
      </c>
      <c r="G880" s="13" t="s">
        <v>1201</v>
      </c>
      <c r="H880" s="13"/>
      <c r="I880" s="4" t="s">
        <v>1202</v>
      </c>
    </row>
    <row r="881" spans="1:9" ht="15.75" customHeight="1" x14ac:dyDescent="0.25">
      <c r="A881" s="10">
        <f t="shared" si="40"/>
        <v>1</v>
      </c>
      <c r="B881" s="10" t="s">
        <v>339</v>
      </c>
      <c r="C881" s="11" t="s">
        <v>642</v>
      </c>
      <c r="D881" s="13">
        <f t="shared" si="37"/>
        <v>25</v>
      </c>
      <c r="E881" s="13">
        <v>25</v>
      </c>
      <c r="F881" s="13" t="s">
        <v>1201</v>
      </c>
      <c r="G881" s="13" t="s">
        <v>1201</v>
      </c>
      <c r="H881" s="13"/>
      <c r="I881" s="4" t="s">
        <v>1202</v>
      </c>
    </row>
    <row r="882" spans="1:9" ht="15.75" customHeight="1" x14ac:dyDescent="0.25">
      <c r="A882" s="10">
        <f t="shared" si="40"/>
        <v>1</v>
      </c>
      <c r="B882" s="10" t="s">
        <v>178</v>
      </c>
      <c r="C882" s="11" t="s">
        <v>152</v>
      </c>
      <c r="D882" s="13">
        <f t="shared" si="37"/>
        <v>45.45</v>
      </c>
      <c r="E882" s="13">
        <v>45.45</v>
      </c>
      <c r="F882" s="13" t="s">
        <v>1201</v>
      </c>
      <c r="G882" s="13" t="s">
        <v>1201</v>
      </c>
      <c r="H882" s="13"/>
      <c r="I882" s="4" t="s">
        <v>1202</v>
      </c>
    </row>
    <row r="883" spans="1:9" ht="15.75" customHeight="1" x14ac:dyDescent="0.25">
      <c r="A883" s="10">
        <f t="shared" si="40"/>
        <v>1</v>
      </c>
      <c r="B883" s="10" t="s">
        <v>176</v>
      </c>
      <c r="C883" s="11" t="s">
        <v>152</v>
      </c>
      <c r="D883" s="13">
        <f t="shared" si="37"/>
        <v>45.45</v>
      </c>
      <c r="E883" s="13">
        <v>45.45</v>
      </c>
      <c r="F883" s="13" t="s">
        <v>1201</v>
      </c>
      <c r="G883" s="13" t="s">
        <v>1201</v>
      </c>
      <c r="H883" s="13"/>
      <c r="I883" s="4" t="s">
        <v>1202</v>
      </c>
    </row>
    <row r="884" spans="1:9" ht="15.75" customHeight="1" x14ac:dyDescent="0.25">
      <c r="A884" s="10">
        <f t="shared" si="40"/>
        <v>1</v>
      </c>
      <c r="B884" s="10" t="s">
        <v>177</v>
      </c>
      <c r="C884" s="11" t="s">
        <v>152</v>
      </c>
      <c r="D884" s="13">
        <f t="shared" si="37"/>
        <v>68.180000000000007</v>
      </c>
      <c r="E884" s="13">
        <v>68.180000000000007</v>
      </c>
      <c r="F884" s="13" t="s">
        <v>1201</v>
      </c>
      <c r="G884" s="13" t="s">
        <v>1201</v>
      </c>
      <c r="H884" s="13"/>
      <c r="I884" s="4" t="s">
        <v>1202</v>
      </c>
    </row>
    <row r="885" spans="1:9" ht="15.75" customHeight="1" x14ac:dyDescent="0.25">
      <c r="A885" s="10">
        <f t="shared" si="40"/>
        <v>1</v>
      </c>
      <c r="B885" s="10" t="s">
        <v>156</v>
      </c>
      <c r="C885" s="11" t="s">
        <v>152</v>
      </c>
      <c r="D885" s="13">
        <f t="shared" si="37"/>
        <v>14.55</v>
      </c>
      <c r="E885" s="13">
        <v>14.55</v>
      </c>
      <c r="F885" s="13" t="s">
        <v>1201</v>
      </c>
      <c r="G885" s="13" t="s">
        <v>1201</v>
      </c>
      <c r="H885" s="13"/>
      <c r="I885" s="4" t="s">
        <v>1202</v>
      </c>
    </row>
    <row r="886" spans="1:9" ht="14.25" x14ac:dyDescent="0.2">
      <c r="A886" s="10">
        <f t="shared" si="40"/>
        <v>1</v>
      </c>
      <c r="B886" s="82" t="s">
        <v>1946</v>
      </c>
      <c r="C886" s="83" t="s">
        <v>70</v>
      </c>
      <c r="D886" s="84">
        <f t="shared" si="37"/>
        <v>850</v>
      </c>
      <c r="E886" s="84">
        <v>850</v>
      </c>
      <c r="F886" s="84" t="s">
        <v>1132</v>
      </c>
      <c r="G886" s="84" t="s">
        <v>1133</v>
      </c>
      <c r="H886" s="84"/>
      <c r="I886" s="85" t="s">
        <v>1134</v>
      </c>
    </row>
    <row r="887" spans="1:9" ht="14.25" x14ac:dyDescent="0.2">
      <c r="A887" s="10">
        <f t="shared" si="40"/>
        <v>1</v>
      </c>
      <c r="B887" s="82" t="s">
        <v>1949</v>
      </c>
      <c r="C887" s="83" t="s">
        <v>70</v>
      </c>
      <c r="D887" s="84">
        <f t="shared" si="37"/>
        <v>1200</v>
      </c>
      <c r="E887" s="84">
        <v>1200</v>
      </c>
      <c r="F887" s="84" t="s">
        <v>1132</v>
      </c>
      <c r="G887" s="84" t="s">
        <v>1133</v>
      </c>
      <c r="H887" s="84"/>
      <c r="I887" s="85" t="s">
        <v>1134</v>
      </c>
    </row>
    <row r="888" spans="1:9" ht="14.25" x14ac:dyDescent="0.2">
      <c r="A888" s="10">
        <f t="shared" si="40"/>
        <v>1</v>
      </c>
      <c r="B888" s="82" t="s">
        <v>1950</v>
      </c>
      <c r="C888" s="83" t="s">
        <v>70</v>
      </c>
      <c r="D888" s="84">
        <f t="shared" si="37"/>
        <v>950</v>
      </c>
      <c r="E888" s="84">
        <v>950</v>
      </c>
      <c r="F888" s="84" t="s">
        <v>1132</v>
      </c>
      <c r="G888" s="84" t="s">
        <v>1133</v>
      </c>
      <c r="H888" s="84"/>
      <c r="I888" s="85" t="s">
        <v>1134</v>
      </c>
    </row>
    <row r="889" spans="1:9" ht="14.25" x14ac:dyDescent="0.2">
      <c r="A889" s="10">
        <f t="shared" si="40"/>
        <v>1</v>
      </c>
      <c r="B889" s="82" t="s">
        <v>1951</v>
      </c>
      <c r="C889" s="83" t="s">
        <v>70</v>
      </c>
      <c r="D889" s="84">
        <f t="shared" si="37"/>
        <v>860</v>
      </c>
      <c r="E889" s="84">
        <v>860</v>
      </c>
      <c r="F889" s="84" t="s">
        <v>1132</v>
      </c>
      <c r="G889" s="84" t="s">
        <v>1133</v>
      </c>
      <c r="H889" s="84"/>
      <c r="I889" s="85" t="s">
        <v>1134</v>
      </c>
    </row>
    <row r="890" spans="1:9" ht="14.25" x14ac:dyDescent="0.2">
      <c r="A890" s="10">
        <f t="shared" si="40"/>
        <v>1</v>
      </c>
      <c r="B890" s="82" t="s">
        <v>3254</v>
      </c>
      <c r="C890" s="83" t="s">
        <v>113</v>
      </c>
      <c r="D890" s="84">
        <f t="shared" si="37"/>
        <v>820</v>
      </c>
      <c r="E890" s="84">
        <v>820</v>
      </c>
      <c r="F890" s="84" t="s">
        <v>1132</v>
      </c>
      <c r="G890" s="84" t="s">
        <v>1953</v>
      </c>
      <c r="H890" s="84"/>
      <c r="I890" s="85" t="s">
        <v>1135</v>
      </c>
    </row>
    <row r="891" spans="1:9" ht="14.25" x14ac:dyDescent="0.2">
      <c r="A891" s="10">
        <f t="shared" si="40"/>
        <v>1</v>
      </c>
      <c r="B891" s="82" t="s">
        <v>3255</v>
      </c>
      <c r="C891" s="83" t="s">
        <v>113</v>
      </c>
      <c r="D891" s="84">
        <f t="shared" si="37"/>
        <v>520</v>
      </c>
      <c r="E891" s="84">
        <v>520</v>
      </c>
      <c r="F891" s="84" t="s">
        <v>1132</v>
      </c>
      <c r="G891" s="84" t="s">
        <v>1953</v>
      </c>
      <c r="H891" s="84"/>
      <c r="I891" s="85" t="s">
        <v>1135</v>
      </c>
    </row>
    <row r="892" spans="1:9" ht="14.25" x14ac:dyDescent="0.2">
      <c r="A892" s="10">
        <f t="shared" si="40"/>
        <v>1</v>
      </c>
      <c r="B892" s="82" t="s">
        <v>3256</v>
      </c>
      <c r="C892" s="83" t="s">
        <v>70</v>
      </c>
      <c r="D892" s="84">
        <f>E892*$D$1</f>
        <v>1240</v>
      </c>
      <c r="E892" s="84">
        <v>1240</v>
      </c>
      <c r="F892" s="84" t="s">
        <v>1132</v>
      </c>
      <c r="G892" s="84" t="s">
        <v>1953</v>
      </c>
      <c r="H892" s="84"/>
      <c r="I892" s="85" t="s">
        <v>1135</v>
      </c>
    </row>
    <row r="893" spans="1:9" ht="14.25" x14ac:dyDescent="0.2">
      <c r="A893" s="10">
        <f t="shared" si="40"/>
        <v>1</v>
      </c>
      <c r="B893" s="82" t="s">
        <v>1952</v>
      </c>
      <c r="C893" s="83" t="s">
        <v>113</v>
      </c>
      <c r="D893" s="84">
        <f t="shared" si="37"/>
        <v>98.79</v>
      </c>
      <c r="E893" s="84">
        <v>98.79</v>
      </c>
      <c r="F893" s="84" t="s">
        <v>1132</v>
      </c>
      <c r="G893" s="84" t="s">
        <v>1953</v>
      </c>
      <c r="H893" s="84"/>
      <c r="I893" s="85" t="s">
        <v>1135</v>
      </c>
    </row>
    <row r="894" spans="1:9" ht="14.25" x14ac:dyDescent="0.2">
      <c r="A894" s="10">
        <f t="shared" si="40"/>
        <v>1</v>
      </c>
      <c r="B894" s="82" t="s">
        <v>1954</v>
      </c>
      <c r="C894" s="83" t="s">
        <v>70</v>
      </c>
      <c r="D894" s="84">
        <f>E894*$D$1</f>
        <v>1000</v>
      </c>
      <c r="E894" s="84">
        <v>1000</v>
      </c>
      <c r="F894" s="84" t="s">
        <v>1132</v>
      </c>
      <c r="G894" s="84" t="s">
        <v>1137</v>
      </c>
      <c r="H894" s="84"/>
      <c r="I894" s="85" t="s">
        <v>1138</v>
      </c>
    </row>
    <row r="895" spans="1:9" ht="14.25" x14ac:dyDescent="0.2">
      <c r="A895" s="10">
        <f t="shared" si="40"/>
        <v>1</v>
      </c>
      <c r="B895" s="82" t="s">
        <v>1955</v>
      </c>
      <c r="C895" s="83" t="s">
        <v>70</v>
      </c>
      <c r="D895" s="84">
        <f t="shared" si="37"/>
        <v>1358.5</v>
      </c>
      <c r="E895" s="84">
        <v>1358.5</v>
      </c>
      <c r="F895" s="84" t="s">
        <v>1132</v>
      </c>
      <c r="G895" s="84" t="s">
        <v>1137</v>
      </c>
      <c r="H895" s="84"/>
      <c r="I895" s="85" t="s">
        <v>1138</v>
      </c>
    </row>
    <row r="896" spans="1:9" ht="14.25" x14ac:dyDescent="0.2">
      <c r="A896" s="10">
        <f t="shared" si="40"/>
        <v>1</v>
      </c>
      <c r="B896" s="82" t="s">
        <v>1956</v>
      </c>
      <c r="C896" s="83" t="s">
        <v>70</v>
      </c>
      <c r="D896" s="84">
        <f t="shared" si="37"/>
        <v>1494.3500000000001</v>
      </c>
      <c r="E896" s="84">
        <f>1358.5*1.1</f>
        <v>1494.3500000000001</v>
      </c>
      <c r="F896" s="84" t="s">
        <v>1132</v>
      </c>
      <c r="G896" s="84" t="s">
        <v>1137</v>
      </c>
      <c r="H896" s="84"/>
      <c r="I896" s="85" t="s">
        <v>1138</v>
      </c>
    </row>
    <row r="897" spans="1:9" ht="14.25" x14ac:dyDescent="0.2">
      <c r="A897" s="10">
        <f t="shared" si="40"/>
        <v>1</v>
      </c>
      <c r="B897" s="82" t="s">
        <v>1957</v>
      </c>
      <c r="C897" s="83" t="s">
        <v>70</v>
      </c>
      <c r="D897" s="84">
        <f t="shared" si="37"/>
        <v>1494.3500000000001</v>
      </c>
      <c r="E897" s="84">
        <f>1358.5*1.1</f>
        <v>1494.3500000000001</v>
      </c>
      <c r="F897" s="84" t="s">
        <v>1132</v>
      </c>
      <c r="G897" s="84" t="s">
        <v>1137</v>
      </c>
      <c r="H897" s="84"/>
      <c r="I897" s="85" t="s">
        <v>1138</v>
      </c>
    </row>
    <row r="898" spans="1:9" ht="14.25" x14ac:dyDescent="0.2">
      <c r="A898" s="10">
        <f t="shared" si="40"/>
        <v>1</v>
      </c>
      <c r="B898" s="82" t="s">
        <v>1958</v>
      </c>
      <c r="C898" s="83" t="s">
        <v>70</v>
      </c>
      <c r="D898" s="84">
        <f t="shared" si="37"/>
        <v>1833.9750000000001</v>
      </c>
      <c r="E898" s="84">
        <f>1358.5*1.35</f>
        <v>1833.9750000000001</v>
      </c>
      <c r="F898" s="84" t="s">
        <v>1132</v>
      </c>
      <c r="G898" s="84" t="s">
        <v>1137</v>
      </c>
      <c r="H898" s="84"/>
      <c r="I898" s="85" t="s">
        <v>1138</v>
      </c>
    </row>
    <row r="899" spans="1:9" ht="14.25" x14ac:dyDescent="0.2">
      <c r="A899" s="10">
        <f t="shared" si="40"/>
        <v>1</v>
      </c>
      <c r="B899" s="82" t="s">
        <v>1959</v>
      </c>
      <c r="C899" s="83" t="s">
        <v>70</v>
      </c>
      <c r="D899" s="84">
        <f t="shared" si="37"/>
        <v>2037.75</v>
      </c>
      <c r="E899" s="84">
        <f>1358.5*1.5</f>
        <v>2037.75</v>
      </c>
      <c r="F899" s="84" t="s">
        <v>1132</v>
      </c>
      <c r="G899" s="84" t="s">
        <v>1137</v>
      </c>
      <c r="H899" s="84"/>
      <c r="I899" s="85" t="s">
        <v>1138</v>
      </c>
    </row>
    <row r="900" spans="1:9" ht="14.25" x14ac:dyDescent="0.2">
      <c r="A900" s="10">
        <f t="shared" si="40"/>
        <v>1</v>
      </c>
      <c r="B900" s="82" t="s">
        <v>1960</v>
      </c>
      <c r="C900" s="83" t="s">
        <v>534</v>
      </c>
      <c r="D900" s="84">
        <f>E900*$D$1</f>
        <v>1237.5</v>
      </c>
      <c r="E900" s="84">
        <f>1100*90/80</f>
        <v>1237.5</v>
      </c>
      <c r="F900" s="84" t="s">
        <v>1132</v>
      </c>
      <c r="G900" s="84" t="s">
        <v>1141</v>
      </c>
      <c r="H900" s="84"/>
      <c r="I900" s="85" t="s">
        <v>1135</v>
      </c>
    </row>
    <row r="901" spans="1:9" ht="14.25" x14ac:dyDescent="0.2">
      <c r="A901" s="10">
        <f t="shared" si="40"/>
        <v>1</v>
      </c>
      <c r="B901" s="82" t="s">
        <v>1948</v>
      </c>
      <c r="C901" s="83" t="s">
        <v>70</v>
      </c>
      <c r="D901" s="84">
        <f>E901*$D$1</f>
        <v>600</v>
      </c>
      <c r="E901" s="84">
        <v>600</v>
      </c>
      <c r="F901" s="84" t="s">
        <v>1132</v>
      </c>
      <c r="G901" s="84" t="s">
        <v>1141</v>
      </c>
      <c r="H901" s="84"/>
      <c r="I901" s="85" t="s">
        <v>1135</v>
      </c>
    </row>
    <row r="902" spans="1:9" ht="14.25" x14ac:dyDescent="0.2">
      <c r="A902" s="10">
        <f t="shared" si="40"/>
        <v>1</v>
      </c>
      <c r="B902" s="82" t="s">
        <v>1961</v>
      </c>
      <c r="C902" s="83" t="s">
        <v>534</v>
      </c>
      <c r="D902" s="84">
        <f t="shared" si="37"/>
        <v>2530</v>
      </c>
      <c r="E902" s="84">
        <v>2530</v>
      </c>
      <c r="F902" s="84" t="s">
        <v>1132</v>
      </c>
      <c r="G902" s="84" t="s">
        <v>1141</v>
      </c>
      <c r="H902" s="84"/>
      <c r="I902" s="85" t="s">
        <v>1135</v>
      </c>
    </row>
    <row r="903" spans="1:9" ht="14.25" x14ac:dyDescent="0.2">
      <c r="A903" s="10">
        <f t="shared" si="40"/>
        <v>1</v>
      </c>
      <c r="B903" s="82" t="s">
        <v>1962</v>
      </c>
      <c r="C903" s="83" t="s">
        <v>534</v>
      </c>
      <c r="D903" s="84">
        <f t="shared" si="37"/>
        <v>8681.8666666666668</v>
      </c>
      <c r="E903" s="84">
        <f>9302*(3.2*2.45)/(3.5*2.4)</f>
        <v>8681.8666666666668</v>
      </c>
      <c r="F903" s="84" t="s">
        <v>1132</v>
      </c>
      <c r="G903" s="84" t="s">
        <v>1141</v>
      </c>
      <c r="H903" s="84"/>
      <c r="I903" s="85" t="s">
        <v>1135</v>
      </c>
    </row>
    <row r="904" spans="1:9" ht="14.25" x14ac:dyDescent="0.2">
      <c r="A904" s="10">
        <f t="shared" si="40"/>
        <v>1</v>
      </c>
      <c r="B904" s="82" t="s">
        <v>1963</v>
      </c>
      <c r="C904" s="83" t="s">
        <v>534</v>
      </c>
      <c r="D904" s="84">
        <f t="shared" si="37"/>
        <v>7795.9619047619053</v>
      </c>
      <c r="E904" s="84">
        <f>9302*(3.2*2.2)/(3.5*2.4)</f>
        <v>7795.9619047619053</v>
      </c>
      <c r="F904" s="84" t="s">
        <v>1132</v>
      </c>
      <c r="G904" s="84" t="s">
        <v>1141</v>
      </c>
      <c r="H904" s="84"/>
      <c r="I904" s="85" t="s">
        <v>1135</v>
      </c>
    </row>
    <row r="905" spans="1:9" ht="14.25" x14ac:dyDescent="0.2">
      <c r="A905" s="10">
        <f t="shared" si="40"/>
        <v>1</v>
      </c>
      <c r="B905" s="82" t="s">
        <v>1964</v>
      </c>
      <c r="C905" s="83" t="s">
        <v>534</v>
      </c>
      <c r="D905" s="84">
        <f t="shared" si="37"/>
        <v>2192.6142857142859</v>
      </c>
      <c r="E905" s="84">
        <f>9302*(0.9*2.2)/(3.5*2.4)</f>
        <v>2192.6142857142859</v>
      </c>
      <c r="F905" s="84" t="s">
        <v>1132</v>
      </c>
      <c r="G905" s="84" t="s">
        <v>1141</v>
      </c>
      <c r="H905" s="84"/>
      <c r="I905" s="85" t="s">
        <v>1135</v>
      </c>
    </row>
    <row r="906" spans="1:9" ht="14.25" x14ac:dyDescent="0.2">
      <c r="A906" s="10">
        <f t="shared" si="40"/>
        <v>1</v>
      </c>
      <c r="B906" s="82" t="s">
        <v>1965</v>
      </c>
      <c r="C906" s="83" t="s">
        <v>534</v>
      </c>
      <c r="D906" s="84">
        <f t="shared" si="37"/>
        <v>1860.4</v>
      </c>
      <c r="E906" s="84">
        <f>9302*(1.5*1.12)/(3.5*2.4)</f>
        <v>1860.4</v>
      </c>
      <c r="F906" s="84" t="s">
        <v>1132</v>
      </c>
      <c r="G906" s="84" t="s">
        <v>1141</v>
      </c>
      <c r="H906" s="84"/>
      <c r="I906" s="85" t="s">
        <v>1135</v>
      </c>
    </row>
    <row r="907" spans="1:9" ht="14.25" x14ac:dyDescent="0.2">
      <c r="A907" s="10">
        <f t="shared" si="40"/>
        <v>1</v>
      </c>
      <c r="B907" s="82" t="s">
        <v>1966</v>
      </c>
      <c r="C907" s="83" t="s">
        <v>534</v>
      </c>
      <c r="D907" s="84">
        <f t="shared" si="37"/>
        <v>10453.67619047619</v>
      </c>
      <c r="E907" s="84">
        <f>9302*(3.2*2.95)/(3.5*2.4)</f>
        <v>10453.67619047619</v>
      </c>
      <c r="F907" s="84" t="s">
        <v>1132</v>
      </c>
      <c r="G907" s="84" t="s">
        <v>1141</v>
      </c>
      <c r="H907" s="84"/>
      <c r="I907" s="85" t="s">
        <v>1135</v>
      </c>
    </row>
    <row r="908" spans="1:9" ht="15.75" customHeight="1" x14ac:dyDescent="0.25">
      <c r="A908" s="10">
        <f t="shared" si="40"/>
        <v>1</v>
      </c>
      <c r="B908" s="10" t="s">
        <v>407</v>
      </c>
      <c r="C908" s="11" t="s">
        <v>70</v>
      </c>
      <c r="D908" s="13">
        <f t="shared" si="37"/>
        <v>70</v>
      </c>
      <c r="E908" s="13">
        <v>70</v>
      </c>
      <c r="F908" s="13" t="s">
        <v>1201</v>
      </c>
      <c r="G908" s="13" t="s">
        <v>1201</v>
      </c>
      <c r="H908" s="13"/>
      <c r="I908" s="4" t="s">
        <v>1202</v>
      </c>
    </row>
    <row r="909" spans="1:9" ht="15.75" customHeight="1" x14ac:dyDescent="0.25">
      <c r="A909" s="10">
        <f t="shared" si="40"/>
        <v>1</v>
      </c>
      <c r="B909" s="10" t="s">
        <v>1449</v>
      </c>
      <c r="C909" s="11" t="s">
        <v>70</v>
      </c>
      <c r="D909" s="13">
        <f>E909*$D$1</f>
        <v>70</v>
      </c>
      <c r="E909" s="13">
        <v>70</v>
      </c>
      <c r="F909" s="13" t="s">
        <v>1201</v>
      </c>
      <c r="G909" s="13" t="s">
        <v>1201</v>
      </c>
      <c r="H909" s="13"/>
      <c r="I909" s="4" t="s">
        <v>1202</v>
      </c>
    </row>
    <row r="910" spans="1:9" ht="15.75" customHeight="1" x14ac:dyDescent="0.25">
      <c r="A910" s="10">
        <f t="shared" si="40"/>
        <v>1</v>
      </c>
      <c r="B910" s="10" t="s">
        <v>229</v>
      </c>
      <c r="C910" s="11" t="s">
        <v>197</v>
      </c>
      <c r="D910" s="13">
        <f t="shared" si="37"/>
        <v>300</v>
      </c>
      <c r="E910" s="13">
        <v>300</v>
      </c>
      <c r="F910" s="13" t="s">
        <v>1201</v>
      </c>
      <c r="G910" s="13" t="s">
        <v>1201</v>
      </c>
      <c r="H910" s="13"/>
      <c r="I910" s="4" t="s">
        <v>1202</v>
      </c>
    </row>
    <row r="911" spans="1:9" ht="15.75" customHeight="1" x14ac:dyDescent="0.25">
      <c r="A911" s="10">
        <f t="shared" si="40"/>
        <v>1</v>
      </c>
      <c r="B911" s="10" t="s">
        <v>159</v>
      </c>
      <c r="C911" s="11" t="s">
        <v>152</v>
      </c>
      <c r="D911" s="13">
        <f t="shared" si="37"/>
        <v>40</v>
      </c>
      <c r="E911" s="13">
        <v>40</v>
      </c>
      <c r="F911" s="13" t="s">
        <v>1201</v>
      </c>
      <c r="G911" s="13" t="s">
        <v>1201</v>
      </c>
      <c r="H911" s="13"/>
      <c r="I911" s="4" t="s">
        <v>1202</v>
      </c>
    </row>
    <row r="912" spans="1:9" ht="15.75" customHeight="1" x14ac:dyDescent="0.25">
      <c r="A912" s="10">
        <f t="shared" si="40"/>
        <v>1</v>
      </c>
      <c r="B912" s="10" t="s">
        <v>309</v>
      </c>
      <c r="C912" s="11" t="s">
        <v>70</v>
      </c>
      <c r="D912" s="13">
        <f t="shared" si="37"/>
        <v>30</v>
      </c>
      <c r="E912" s="13">
        <v>30</v>
      </c>
      <c r="F912" s="13" t="s">
        <v>1201</v>
      </c>
      <c r="G912" s="13" t="s">
        <v>1201</v>
      </c>
      <c r="H912" s="13"/>
      <c r="I912" s="4" t="s">
        <v>1202</v>
      </c>
    </row>
    <row r="913" spans="1:9" ht="15.75" customHeight="1" x14ac:dyDescent="0.25">
      <c r="A913" s="10">
        <f t="shared" ref="A913:A976" si="41">COUNTIFS($B$2:$B$996,B913)</f>
        <v>1</v>
      </c>
      <c r="B913" s="10" t="s">
        <v>78</v>
      </c>
      <c r="C913" s="11" t="s">
        <v>70</v>
      </c>
      <c r="D913" s="13">
        <f t="shared" si="37"/>
        <v>10.5</v>
      </c>
      <c r="E913" s="13">
        <v>10.5</v>
      </c>
      <c r="F913" s="13" t="s">
        <v>1201</v>
      </c>
      <c r="G913" s="13" t="s">
        <v>1201</v>
      </c>
      <c r="H913" s="13"/>
      <c r="I913" s="4" t="s">
        <v>1202</v>
      </c>
    </row>
    <row r="914" spans="1:9" ht="15.75" customHeight="1" x14ac:dyDescent="0.25">
      <c r="A914" s="10">
        <f t="shared" si="41"/>
        <v>1</v>
      </c>
      <c r="B914" s="10" t="s">
        <v>792</v>
      </c>
      <c r="C914" s="11" t="s">
        <v>70</v>
      </c>
      <c r="D914" s="13">
        <f t="shared" si="37"/>
        <v>15</v>
      </c>
      <c r="E914" s="13">
        <v>15</v>
      </c>
      <c r="F914" s="13" t="s">
        <v>1201</v>
      </c>
      <c r="G914" s="13" t="s">
        <v>1201</v>
      </c>
      <c r="H914" s="13"/>
      <c r="I914" s="4" t="s">
        <v>1202</v>
      </c>
    </row>
    <row r="915" spans="1:9" ht="15.75" customHeight="1" x14ac:dyDescent="0.25">
      <c r="A915" s="10">
        <f t="shared" si="41"/>
        <v>1</v>
      </c>
      <c r="B915" s="10" t="s">
        <v>789</v>
      </c>
      <c r="C915" s="11" t="s">
        <v>70</v>
      </c>
      <c r="D915" s="13">
        <f t="shared" si="37"/>
        <v>30</v>
      </c>
      <c r="E915" s="13">
        <v>30</v>
      </c>
      <c r="F915" s="13" t="s">
        <v>1201</v>
      </c>
      <c r="G915" s="13" t="s">
        <v>1201</v>
      </c>
      <c r="H915" s="13"/>
      <c r="I915" s="4" t="s">
        <v>1202</v>
      </c>
    </row>
    <row r="916" spans="1:9" ht="15.75" customHeight="1" x14ac:dyDescent="0.25">
      <c r="A916" s="10">
        <f t="shared" si="41"/>
        <v>1</v>
      </c>
      <c r="B916" s="10" t="s">
        <v>90</v>
      </c>
      <c r="C916" s="11" t="s">
        <v>70</v>
      </c>
      <c r="D916" s="13">
        <f t="shared" si="37"/>
        <v>50</v>
      </c>
      <c r="E916" s="13">
        <v>50</v>
      </c>
      <c r="F916" s="13" t="s">
        <v>1201</v>
      </c>
      <c r="G916" s="13" t="s">
        <v>1201</v>
      </c>
      <c r="H916" s="13"/>
      <c r="I916" s="4" t="s">
        <v>1202</v>
      </c>
    </row>
    <row r="917" spans="1:9" ht="15.75" customHeight="1" x14ac:dyDescent="0.25">
      <c r="A917" s="10">
        <f t="shared" si="41"/>
        <v>1</v>
      </c>
      <c r="B917" s="10" t="s">
        <v>1074</v>
      </c>
      <c r="C917" s="11" t="s">
        <v>70</v>
      </c>
      <c r="D917" s="13">
        <f t="shared" si="37"/>
        <v>50</v>
      </c>
      <c r="E917" s="13">
        <v>50</v>
      </c>
      <c r="F917" s="13" t="s">
        <v>1201</v>
      </c>
      <c r="G917" s="13" t="s">
        <v>1201</v>
      </c>
      <c r="H917" s="13"/>
      <c r="I917" s="4" t="s">
        <v>1202</v>
      </c>
    </row>
    <row r="918" spans="1:9" ht="15.75" customHeight="1" x14ac:dyDescent="0.25">
      <c r="A918" s="10">
        <f t="shared" si="41"/>
        <v>1</v>
      </c>
      <c r="B918" s="10" t="s">
        <v>845</v>
      </c>
      <c r="C918" s="11" t="s">
        <v>534</v>
      </c>
      <c r="D918" s="13">
        <f t="shared" si="37"/>
        <v>300</v>
      </c>
      <c r="E918" s="13">
        <v>300</v>
      </c>
      <c r="F918" s="13" t="s">
        <v>1201</v>
      </c>
      <c r="G918" s="13" t="s">
        <v>1201</v>
      </c>
      <c r="H918" s="13"/>
      <c r="I918" s="4" t="s">
        <v>1202</v>
      </c>
    </row>
    <row r="919" spans="1:9" ht="15.75" customHeight="1" x14ac:dyDescent="0.25">
      <c r="A919" s="10">
        <f t="shared" si="41"/>
        <v>1</v>
      </c>
      <c r="B919" s="10" t="s">
        <v>908</v>
      </c>
      <c r="C919" s="11" t="s">
        <v>1146</v>
      </c>
      <c r="D919" s="13">
        <f t="shared" si="37"/>
        <v>34.719444444444441</v>
      </c>
      <c r="E919" s="13">
        <v>34.719444444444441</v>
      </c>
      <c r="F919" s="13" t="s">
        <v>1096</v>
      </c>
      <c r="G919" s="13" t="s">
        <v>1096</v>
      </c>
      <c r="H919" s="13"/>
      <c r="I919" s="4" t="s">
        <v>1096</v>
      </c>
    </row>
    <row r="920" spans="1:9" ht="15.75" customHeight="1" x14ac:dyDescent="0.25">
      <c r="A920" s="10">
        <f t="shared" si="41"/>
        <v>1</v>
      </c>
      <c r="B920" s="10" t="s">
        <v>910</v>
      </c>
      <c r="C920" s="11" t="s">
        <v>1146</v>
      </c>
      <c r="D920" s="13">
        <f t="shared" si="37"/>
        <v>49.972222222222221</v>
      </c>
      <c r="E920" s="13">
        <v>49.972222222222221</v>
      </c>
      <c r="F920" s="13" t="s">
        <v>1096</v>
      </c>
      <c r="G920" s="13" t="s">
        <v>1096</v>
      </c>
      <c r="H920" s="13"/>
      <c r="I920" s="4" t="s">
        <v>1096</v>
      </c>
    </row>
    <row r="921" spans="1:9" ht="15.75" customHeight="1" x14ac:dyDescent="0.25">
      <c r="A921" s="10">
        <f t="shared" si="41"/>
        <v>1</v>
      </c>
      <c r="B921" s="10" t="s">
        <v>768</v>
      </c>
      <c r="C921" s="11" t="s">
        <v>1146</v>
      </c>
      <c r="D921" s="13">
        <f t="shared" si="37"/>
        <v>6.47</v>
      </c>
      <c r="E921" s="13">
        <v>6.47</v>
      </c>
      <c r="F921" s="13" t="s">
        <v>1096</v>
      </c>
      <c r="G921" s="13" t="s">
        <v>1096</v>
      </c>
      <c r="H921" s="13"/>
      <c r="I921" s="4" t="s">
        <v>1096</v>
      </c>
    </row>
    <row r="922" spans="1:9" ht="15.75" customHeight="1" x14ac:dyDescent="0.25">
      <c r="A922" s="10">
        <f t="shared" si="41"/>
        <v>1</v>
      </c>
      <c r="B922" s="10" t="s">
        <v>1205</v>
      </c>
      <c r="C922" s="11" t="s">
        <v>206</v>
      </c>
      <c r="D922" s="13">
        <f t="shared" si="37"/>
        <v>12.78</v>
      </c>
      <c r="E922" s="13">
        <v>12.78</v>
      </c>
      <c r="F922" s="13" t="s">
        <v>1096</v>
      </c>
      <c r="G922" s="13" t="s">
        <v>1096</v>
      </c>
      <c r="H922" s="13"/>
      <c r="I922" s="4" t="s">
        <v>1096</v>
      </c>
    </row>
    <row r="923" spans="1:9" ht="14.25" x14ac:dyDescent="0.2">
      <c r="A923" s="10">
        <f t="shared" si="41"/>
        <v>2</v>
      </c>
      <c r="B923" s="82" t="s">
        <v>1077</v>
      </c>
      <c r="C923" s="83" t="s">
        <v>1146</v>
      </c>
      <c r="D923" s="84">
        <f t="shared" si="37"/>
        <v>40.25</v>
      </c>
      <c r="E923" s="84">
        <v>40.25</v>
      </c>
      <c r="F923" s="84" t="s">
        <v>1096</v>
      </c>
      <c r="G923" s="84" t="s">
        <v>1096</v>
      </c>
      <c r="H923" s="84"/>
      <c r="I923" s="85" t="s">
        <v>1096</v>
      </c>
    </row>
    <row r="924" spans="1:9" ht="14.25" x14ac:dyDescent="0.2">
      <c r="A924" s="10">
        <f t="shared" si="41"/>
        <v>1</v>
      </c>
      <c r="B924" s="82" t="s">
        <v>1078</v>
      </c>
      <c r="C924" s="83" t="s">
        <v>206</v>
      </c>
      <c r="D924" s="84">
        <f t="shared" si="37"/>
        <v>23.2</v>
      </c>
      <c r="E924" s="84">
        <v>23.2</v>
      </c>
      <c r="F924" s="84" t="s">
        <v>1096</v>
      </c>
      <c r="G924" s="84" t="s">
        <v>1096</v>
      </c>
      <c r="H924" s="84"/>
      <c r="I924" s="85" t="s">
        <v>1096</v>
      </c>
    </row>
    <row r="925" spans="1:9" ht="14.25" x14ac:dyDescent="0.2">
      <c r="A925" s="10">
        <f t="shared" si="41"/>
        <v>1</v>
      </c>
      <c r="B925" s="82" t="s">
        <v>102</v>
      </c>
      <c r="C925" s="83" t="s">
        <v>206</v>
      </c>
      <c r="D925" s="84">
        <f t="shared" si="37"/>
        <v>10</v>
      </c>
      <c r="E925" s="84">
        <v>10</v>
      </c>
      <c r="F925" s="84" t="s">
        <v>1096</v>
      </c>
      <c r="G925" s="84" t="s">
        <v>1096</v>
      </c>
      <c r="H925" s="84"/>
      <c r="I925" s="85" t="s">
        <v>1096</v>
      </c>
    </row>
    <row r="926" spans="1:9" ht="14.25" x14ac:dyDescent="0.2">
      <c r="A926" s="10">
        <f t="shared" si="41"/>
        <v>1</v>
      </c>
      <c r="B926" s="82" t="s">
        <v>101</v>
      </c>
      <c r="C926" s="83" t="s">
        <v>1146</v>
      </c>
      <c r="D926" s="84">
        <f t="shared" si="37"/>
        <v>8.5</v>
      </c>
      <c r="E926" s="84">
        <v>8.5</v>
      </c>
      <c r="F926" s="84" t="s">
        <v>1096</v>
      </c>
      <c r="G926" s="84" t="s">
        <v>1096</v>
      </c>
      <c r="H926" s="84"/>
      <c r="I926" s="85" t="s">
        <v>1096</v>
      </c>
    </row>
    <row r="927" spans="1:9" ht="15.75" customHeight="1" x14ac:dyDescent="0.25">
      <c r="A927" s="10">
        <f t="shared" si="41"/>
        <v>1</v>
      </c>
      <c r="B927" s="10" t="s">
        <v>759</v>
      </c>
      <c r="C927" s="11" t="s">
        <v>1146</v>
      </c>
      <c r="D927" s="13">
        <f t="shared" si="37"/>
        <v>43.027777777777779</v>
      </c>
      <c r="E927" s="13">
        <v>43.027777777777779</v>
      </c>
      <c r="F927" s="13" t="s">
        <v>1096</v>
      </c>
      <c r="G927" s="13" t="s">
        <v>1096</v>
      </c>
      <c r="H927" s="13"/>
      <c r="I927" s="4" t="s">
        <v>1096</v>
      </c>
    </row>
    <row r="928" spans="1:9" ht="15.75" customHeight="1" x14ac:dyDescent="0.25">
      <c r="A928" s="10">
        <f t="shared" si="41"/>
        <v>1</v>
      </c>
      <c r="B928" s="10" t="s">
        <v>756</v>
      </c>
      <c r="C928" s="11" t="s">
        <v>1146</v>
      </c>
      <c r="D928" s="13">
        <f t="shared" si="37"/>
        <v>21.99</v>
      </c>
      <c r="E928" s="13">
        <v>21.99</v>
      </c>
      <c r="F928" s="13" t="s">
        <v>1096</v>
      </c>
      <c r="G928" s="13" t="s">
        <v>1096</v>
      </c>
      <c r="H928" s="13"/>
      <c r="I928" s="4" t="s">
        <v>1096</v>
      </c>
    </row>
    <row r="929" spans="1:9" ht="15.75" customHeight="1" x14ac:dyDescent="0.25">
      <c r="A929" s="10">
        <f t="shared" si="41"/>
        <v>1</v>
      </c>
      <c r="B929" s="10" t="s">
        <v>749</v>
      </c>
      <c r="C929" s="11" t="s">
        <v>1146</v>
      </c>
      <c r="D929" s="13">
        <f t="shared" si="37"/>
        <v>50.12</v>
      </c>
      <c r="E929" s="13">
        <v>50.12</v>
      </c>
      <c r="F929" s="13" t="s">
        <v>1096</v>
      </c>
      <c r="G929" s="13" t="s">
        <v>1096</v>
      </c>
      <c r="H929" s="13"/>
      <c r="I929" s="4" t="s">
        <v>1096</v>
      </c>
    </row>
    <row r="930" spans="1:9" ht="15.75" customHeight="1" x14ac:dyDescent="0.25">
      <c r="A930" s="10">
        <f t="shared" si="41"/>
        <v>1</v>
      </c>
      <c r="B930" s="10" t="s">
        <v>751</v>
      </c>
      <c r="C930" s="11" t="s">
        <v>1146</v>
      </c>
      <c r="D930" s="13">
        <f t="shared" si="37"/>
        <v>137.24</v>
      </c>
      <c r="E930" s="13">
        <v>137.24</v>
      </c>
      <c r="F930" s="13" t="s">
        <v>1096</v>
      </c>
      <c r="G930" s="13" t="s">
        <v>1096</v>
      </c>
      <c r="H930" s="13"/>
      <c r="I930" s="4" t="s">
        <v>1096</v>
      </c>
    </row>
    <row r="931" spans="1:9" ht="15.75" customHeight="1" x14ac:dyDescent="0.25">
      <c r="A931" s="10">
        <f t="shared" si="41"/>
        <v>1</v>
      </c>
      <c r="B931" s="10" t="s">
        <v>765</v>
      </c>
      <c r="C931" s="11" t="s">
        <v>206</v>
      </c>
      <c r="D931" s="13">
        <f t="shared" si="37"/>
        <v>4.8</v>
      </c>
      <c r="E931" s="13">
        <f>120/25</f>
        <v>4.8</v>
      </c>
      <c r="F931" s="13" t="s">
        <v>1096</v>
      </c>
      <c r="G931" s="13" t="s">
        <v>1096</v>
      </c>
      <c r="H931" s="13"/>
      <c r="I931" s="4" t="s">
        <v>1096</v>
      </c>
    </row>
    <row r="932" spans="1:9" ht="15.75" customHeight="1" x14ac:dyDescent="0.25">
      <c r="A932" s="10">
        <f t="shared" si="41"/>
        <v>1</v>
      </c>
      <c r="B932" s="10" t="s">
        <v>538</v>
      </c>
      <c r="C932" s="11" t="s">
        <v>197</v>
      </c>
      <c r="D932" s="13">
        <f t="shared" si="37"/>
        <v>17.329999999999998</v>
      </c>
      <c r="E932" s="13">
        <v>17.329999999999998</v>
      </c>
      <c r="F932" s="13" t="s">
        <v>1096</v>
      </c>
      <c r="G932" s="13" t="s">
        <v>1096</v>
      </c>
      <c r="H932" s="13"/>
      <c r="I932" s="4" t="s">
        <v>1096</v>
      </c>
    </row>
    <row r="933" spans="1:9" ht="15.75" customHeight="1" x14ac:dyDescent="0.25">
      <c r="A933" s="10">
        <f t="shared" si="41"/>
        <v>1</v>
      </c>
      <c r="B933" s="10" t="s">
        <v>769</v>
      </c>
      <c r="C933" s="11" t="s">
        <v>206</v>
      </c>
      <c r="D933" s="13">
        <f t="shared" si="37"/>
        <v>9.0909090909090917</v>
      </c>
      <c r="E933" s="13">
        <f>200/22</f>
        <v>9.0909090909090917</v>
      </c>
      <c r="F933" s="13" t="s">
        <v>1096</v>
      </c>
      <c r="G933" s="13" t="s">
        <v>1096</v>
      </c>
      <c r="H933" s="13"/>
      <c r="I933" s="4" t="s">
        <v>1096</v>
      </c>
    </row>
    <row r="934" spans="1:9" ht="15.75" customHeight="1" x14ac:dyDescent="0.25">
      <c r="A934" s="10">
        <f t="shared" si="41"/>
        <v>1</v>
      </c>
      <c r="B934" s="10" t="s">
        <v>906</v>
      </c>
      <c r="C934" s="11" t="s">
        <v>1146</v>
      </c>
      <c r="D934" s="13">
        <f t="shared" si="37"/>
        <v>40.625</v>
      </c>
      <c r="E934" s="13">
        <v>40.625</v>
      </c>
      <c r="F934" s="13" t="s">
        <v>1096</v>
      </c>
      <c r="G934" s="13" t="s">
        <v>1096</v>
      </c>
      <c r="H934" s="13"/>
      <c r="I934" s="4" t="s">
        <v>1096</v>
      </c>
    </row>
    <row r="935" spans="1:9" ht="15.75" customHeight="1" x14ac:dyDescent="0.25">
      <c r="A935" s="10">
        <f t="shared" si="41"/>
        <v>1</v>
      </c>
      <c r="B935" s="10" t="s">
        <v>766</v>
      </c>
      <c r="C935" s="11" t="s">
        <v>1146</v>
      </c>
      <c r="D935" s="13">
        <f t="shared" si="37"/>
        <v>10.555555555555555</v>
      </c>
      <c r="E935" s="13">
        <f>190/18</f>
        <v>10.555555555555555</v>
      </c>
      <c r="F935" s="13" t="s">
        <v>1096</v>
      </c>
      <c r="G935" s="13" t="s">
        <v>1096</v>
      </c>
      <c r="H935" s="13"/>
      <c r="I935" s="4" t="s">
        <v>1096</v>
      </c>
    </row>
    <row r="936" spans="1:9" ht="15.75" customHeight="1" x14ac:dyDescent="0.25">
      <c r="A936" s="10">
        <f t="shared" si="41"/>
        <v>1</v>
      </c>
      <c r="B936" s="10" t="s">
        <v>1206</v>
      </c>
      <c r="C936" s="11" t="s">
        <v>1146</v>
      </c>
      <c r="D936" s="13">
        <f t="shared" si="37"/>
        <v>25.26</v>
      </c>
      <c r="E936" s="13">
        <v>25.26</v>
      </c>
      <c r="F936" s="13" t="s">
        <v>1096</v>
      </c>
      <c r="G936" s="13" t="s">
        <v>1096</v>
      </c>
      <c r="H936" s="13"/>
      <c r="I936" s="4" t="s">
        <v>1096</v>
      </c>
    </row>
    <row r="937" spans="1:9" ht="15.75" customHeight="1" x14ac:dyDescent="0.25">
      <c r="A937" s="10">
        <f t="shared" si="41"/>
        <v>1</v>
      </c>
      <c r="B937" s="10" t="s">
        <v>1207</v>
      </c>
      <c r="C937" s="11" t="s">
        <v>1146</v>
      </c>
      <c r="D937" s="13">
        <f t="shared" si="37"/>
        <v>231.57142857142901</v>
      </c>
      <c r="E937" s="13">
        <v>231.57142857142901</v>
      </c>
      <c r="F937" s="13" t="s">
        <v>1096</v>
      </c>
      <c r="G937" s="13" t="s">
        <v>1096</v>
      </c>
      <c r="H937" s="13"/>
      <c r="I937" s="4" t="s">
        <v>1096</v>
      </c>
    </row>
    <row r="938" spans="1:9" ht="15.75" customHeight="1" x14ac:dyDescent="0.25">
      <c r="A938" s="10">
        <f t="shared" si="41"/>
        <v>1</v>
      </c>
      <c r="B938" s="10" t="s">
        <v>1584</v>
      </c>
      <c r="C938" s="11" t="s">
        <v>206</v>
      </c>
      <c r="D938" s="13">
        <f>E938*$D$1</f>
        <v>74.88000000000001</v>
      </c>
      <c r="E938" s="13">
        <f>E939*1.3</f>
        <v>74.88000000000001</v>
      </c>
      <c r="F938" s="13" t="s">
        <v>1096</v>
      </c>
      <c r="G938" s="13" t="s">
        <v>1096</v>
      </c>
      <c r="H938" s="13"/>
      <c r="I938" s="4" t="s">
        <v>1096</v>
      </c>
    </row>
    <row r="939" spans="1:9" ht="15.75" customHeight="1" x14ac:dyDescent="0.25">
      <c r="A939" s="10">
        <f t="shared" si="41"/>
        <v>1</v>
      </c>
      <c r="B939" s="10" t="s">
        <v>1208</v>
      </c>
      <c r="C939" s="11" t="s">
        <v>206</v>
      </c>
      <c r="D939" s="13">
        <f t="shared" si="37"/>
        <v>57.6</v>
      </c>
      <c r="E939" s="13">
        <v>57.6</v>
      </c>
      <c r="F939" s="13" t="s">
        <v>1096</v>
      </c>
      <c r="G939" s="13" t="s">
        <v>1096</v>
      </c>
      <c r="H939" s="13"/>
      <c r="I939" s="4" t="s">
        <v>1096</v>
      </c>
    </row>
    <row r="940" spans="1:9" ht="15.75" customHeight="1" x14ac:dyDescent="0.25">
      <c r="A940" s="10">
        <f t="shared" si="41"/>
        <v>1</v>
      </c>
      <c r="B940" s="10" t="s">
        <v>1567</v>
      </c>
      <c r="C940" s="11" t="s">
        <v>1146</v>
      </c>
      <c r="D940" s="13">
        <f>E940*$D$1</f>
        <v>27.777777777777779</v>
      </c>
      <c r="E940" s="13">
        <f>500/18</f>
        <v>27.777777777777779</v>
      </c>
      <c r="F940" s="13" t="s">
        <v>1096</v>
      </c>
      <c r="G940" s="13" t="s">
        <v>1096</v>
      </c>
      <c r="H940" s="13"/>
      <c r="I940" s="4" t="s">
        <v>1096</v>
      </c>
    </row>
    <row r="941" spans="1:9" ht="15.75" customHeight="1" x14ac:dyDescent="0.25">
      <c r="A941" s="10">
        <f t="shared" si="41"/>
        <v>1</v>
      </c>
      <c r="B941" s="10" t="s">
        <v>1566</v>
      </c>
      <c r="C941" s="11" t="s">
        <v>1146</v>
      </c>
      <c r="D941" s="13">
        <f>E941*$D$1</f>
        <v>36.166666666666664</v>
      </c>
      <c r="E941" s="13">
        <f>651/18</f>
        <v>36.166666666666664</v>
      </c>
      <c r="F941" s="13" t="s">
        <v>1096</v>
      </c>
      <c r="G941" s="13" t="s">
        <v>1096</v>
      </c>
      <c r="H941" s="13"/>
      <c r="I941" s="4" t="s">
        <v>1096</v>
      </c>
    </row>
    <row r="942" spans="1:9" ht="15.75" customHeight="1" x14ac:dyDescent="0.25">
      <c r="A942" s="10">
        <f t="shared" si="41"/>
        <v>1</v>
      </c>
      <c r="B942" s="10" t="s">
        <v>1565</v>
      </c>
      <c r="C942" s="11" t="s">
        <v>1146</v>
      </c>
      <c r="D942" s="13">
        <f>E942*$D$1</f>
        <v>54.375</v>
      </c>
      <c r="E942" s="13">
        <f>870/16</f>
        <v>54.375</v>
      </c>
      <c r="F942" s="13" t="s">
        <v>1096</v>
      </c>
      <c r="G942" s="13" t="s">
        <v>1096</v>
      </c>
      <c r="H942" s="13"/>
      <c r="I942" s="4" t="s">
        <v>1096</v>
      </c>
    </row>
    <row r="943" spans="1:9" ht="15.75" customHeight="1" x14ac:dyDescent="0.25">
      <c r="A943" s="10">
        <f t="shared" si="41"/>
        <v>1</v>
      </c>
      <c r="B943" s="10" t="s">
        <v>1564</v>
      </c>
      <c r="C943" s="11" t="s">
        <v>1146</v>
      </c>
      <c r="D943" s="13">
        <f>E943*$D$1</f>
        <v>36.111111111111114</v>
      </c>
      <c r="E943" s="13">
        <v>36.111111111111114</v>
      </c>
      <c r="F943" s="13" t="s">
        <v>1096</v>
      </c>
      <c r="G943" s="13" t="s">
        <v>1096</v>
      </c>
      <c r="H943" s="13"/>
      <c r="I943" s="4" t="s">
        <v>1096</v>
      </c>
    </row>
    <row r="944" spans="1:9" ht="15.75" customHeight="1" x14ac:dyDescent="0.25">
      <c r="A944" s="10">
        <f t="shared" si="41"/>
        <v>1</v>
      </c>
      <c r="B944" s="10" t="s">
        <v>1563</v>
      </c>
      <c r="C944" s="11" t="s">
        <v>1146</v>
      </c>
      <c r="D944" s="13">
        <f>E944*$D$1</f>
        <v>37.875</v>
      </c>
      <c r="E944" s="13">
        <f>606/16</f>
        <v>37.875</v>
      </c>
      <c r="F944" s="13" t="s">
        <v>1096</v>
      </c>
      <c r="G944" s="13" t="s">
        <v>1096</v>
      </c>
      <c r="H944" s="13"/>
      <c r="I944" s="4" t="s">
        <v>1096</v>
      </c>
    </row>
    <row r="945" spans="1:9" ht="15.75" customHeight="1" x14ac:dyDescent="0.25">
      <c r="A945" s="10">
        <f t="shared" si="41"/>
        <v>1</v>
      </c>
      <c r="B945" s="10" t="s">
        <v>917</v>
      </c>
      <c r="C945" s="11" t="s">
        <v>1146</v>
      </c>
      <c r="D945" s="13">
        <f t="shared" si="37"/>
        <v>36.111111111111114</v>
      </c>
      <c r="E945" s="13">
        <v>36.111111111111114</v>
      </c>
      <c r="F945" s="13" t="s">
        <v>1096</v>
      </c>
      <c r="G945" s="13" t="s">
        <v>1096</v>
      </c>
      <c r="H945" s="13"/>
      <c r="I945" s="4" t="s">
        <v>1096</v>
      </c>
    </row>
    <row r="946" spans="1:9" ht="15.75" customHeight="1" x14ac:dyDescent="0.25">
      <c r="A946" s="10">
        <f t="shared" si="41"/>
        <v>1</v>
      </c>
      <c r="B946" s="10" t="s">
        <v>919</v>
      </c>
      <c r="C946" s="11" t="s">
        <v>1146</v>
      </c>
      <c r="D946" s="13">
        <f t="shared" si="37"/>
        <v>22.049999999999997</v>
      </c>
      <c r="E946" s="13">
        <v>22.049999999999997</v>
      </c>
      <c r="F946" s="13" t="s">
        <v>1096</v>
      </c>
      <c r="G946" s="13" t="s">
        <v>1096</v>
      </c>
      <c r="H946" s="13"/>
      <c r="I946" s="4" t="s">
        <v>1096</v>
      </c>
    </row>
    <row r="947" spans="1:9" ht="15.75" customHeight="1" x14ac:dyDescent="0.25">
      <c r="A947" s="10">
        <f t="shared" si="41"/>
        <v>1</v>
      </c>
      <c r="B947" s="10" t="s">
        <v>1209</v>
      </c>
      <c r="C947" s="11" t="s">
        <v>1146</v>
      </c>
      <c r="D947" s="13">
        <f t="shared" si="37"/>
        <v>32.233125000000001</v>
      </c>
      <c r="E947" s="13">
        <v>32.233125000000001</v>
      </c>
      <c r="F947" s="13" t="s">
        <v>1096</v>
      </c>
      <c r="G947" s="13" t="s">
        <v>1096</v>
      </c>
      <c r="H947" s="13"/>
      <c r="I947" s="4" t="s">
        <v>1096</v>
      </c>
    </row>
    <row r="948" spans="1:9" ht="15.75" customHeight="1" x14ac:dyDescent="0.25">
      <c r="A948" s="10">
        <f t="shared" si="41"/>
        <v>1</v>
      </c>
      <c r="B948" s="10" t="s">
        <v>1210</v>
      </c>
      <c r="C948" s="11" t="s">
        <v>1146</v>
      </c>
      <c r="D948" s="13">
        <f t="shared" si="37"/>
        <v>58.89875</v>
      </c>
      <c r="E948" s="13">
        <v>58.89875</v>
      </c>
      <c r="F948" s="13" t="s">
        <v>1096</v>
      </c>
      <c r="G948" s="13" t="s">
        <v>1096</v>
      </c>
      <c r="H948" s="13"/>
      <c r="I948" s="4" t="s">
        <v>1096</v>
      </c>
    </row>
    <row r="949" spans="1:9" ht="15.75" customHeight="1" x14ac:dyDescent="0.25">
      <c r="A949" s="10">
        <f t="shared" si="41"/>
        <v>1</v>
      </c>
      <c r="B949" s="10" t="s">
        <v>1211</v>
      </c>
      <c r="C949" s="11" t="s">
        <v>1146</v>
      </c>
      <c r="D949" s="13">
        <f t="shared" si="37"/>
        <v>70.478124999999991</v>
      </c>
      <c r="E949" s="13">
        <v>70.478124999999991</v>
      </c>
      <c r="F949" s="13" t="s">
        <v>1096</v>
      </c>
      <c r="G949" s="13" t="s">
        <v>1096</v>
      </c>
      <c r="H949" s="13"/>
      <c r="I949" s="4" t="s">
        <v>1096</v>
      </c>
    </row>
    <row r="950" spans="1:9" ht="15.75" customHeight="1" x14ac:dyDescent="0.25">
      <c r="A950" s="10">
        <f t="shared" si="41"/>
        <v>1</v>
      </c>
      <c r="B950" s="10" t="s">
        <v>1212</v>
      </c>
      <c r="C950" s="11" t="s">
        <v>1146</v>
      </c>
      <c r="D950" s="13">
        <f t="shared" si="37"/>
        <v>72.084374999999994</v>
      </c>
      <c r="E950" s="13">
        <v>72.084374999999994</v>
      </c>
      <c r="F950" s="13" t="s">
        <v>1096</v>
      </c>
      <c r="G950" s="13" t="s">
        <v>1096</v>
      </c>
      <c r="H950" s="13"/>
      <c r="I950" s="4" t="s">
        <v>1096</v>
      </c>
    </row>
    <row r="951" spans="1:9" ht="15.75" customHeight="1" x14ac:dyDescent="0.25">
      <c r="A951" s="10">
        <f t="shared" si="41"/>
        <v>1</v>
      </c>
      <c r="B951" s="10" t="s">
        <v>1213</v>
      </c>
      <c r="C951" s="11" t="s">
        <v>1146</v>
      </c>
      <c r="D951" s="13">
        <f t="shared" si="37"/>
        <v>25.833333333333332</v>
      </c>
      <c r="E951" s="13">
        <v>25.833333333333332</v>
      </c>
      <c r="F951" s="13" t="s">
        <v>1096</v>
      </c>
      <c r="G951" s="13" t="s">
        <v>1096</v>
      </c>
      <c r="H951" s="13"/>
      <c r="I951" s="4" t="s">
        <v>1096</v>
      </c>
    </row>
    <row r="952" spans="1:9" ht="15.75" customHeight="1" x14ac:dyDescent="0.25">
      <c r="A952" s="10">
        <f t="shared" si="41"/>
        <v>1</v>
      </c>
      <c r="B952" s="10" t="s">
        <v>1214</v>
      </c>
      <c r="C952" s="11" t="s">
        <v>1146</v>
      </c>
      <c r="D952" s="13">
        <f t="shared" si="37"/>
        <v>88.262499999999989</v>
      </c>
      <c r="E952" s="13">
        <v>88.262499999999989</v>
      </c>
      <c r="F952" s="13" t="s">
        <v>1096</v>
      </c>
      <c r="G952" s="13" t="s">
        <v>1096</v>
      </c>
      <c r="H952" s="13"/>
      <c r="I952" s="4" t="s">
        <v>1096</v>
      </c>
    </row>
    <row r="953" spans="1:9" ht="15.75" customHeight="1" x14ac:dyDescent="0.25">
      <c r="A953" s="10">
        <f t="shared" si="41"/>
        <v>1</v>
      </c>
      <c r="B953" s="10" t="s">
        <v>1215</v>
      </c>
      <c r="C953" s="11" t="s">
        <v>1146</v>
      </c>
      <c r="D953" s="13">
        <f t="shared" si="37"/>
        <v>28.833333333333332</v>
      </c>
      <c r="E953" s="13">
        <v>28.833333333333332</v>
      </c>
      <c r="F953" s="13" t="s">
        <v>1096</v>
      </c>
      <c r="G953" s="13" t="s">
        <v>1096</v>
      </c>
      <c r="H953" s="13"/>
      <c r="I953" s="4" t="s">
        <v>1096</v>
      </c>
    </row>
    <row r="954" spans="1:9" ht="15.75" customHeight="1" x14ac:dyDescent="0.25">
      <c r="A954" s="10">
        <f t="shared" si="41"/>
        <v>1</v>
      </c>
      <c r="B954" s="10" t="s">
        <v>865</v>
      </c>
      <c r="C954" s="11" t="s">
        <v>1146</v>
      </c>
      <c r="D954" s="13">
        <f t="shared" si="37"/>
        <v>69.444444444444443</v>
      </c>
      <c r="E954" s="13">
        <f>1250/18</f>
        <v>69.444444444444443</v>
      </c>
      <c r="F954" s="13" t="s">
        <v>1096</v>
      </c>
      <c r="G954" s="13" t="s">
        <v>1096</v>
      </c>
      <c r="H954" s="13"/>
      <c r="I954" s="4" t="s">
        <v>1096</v>
      </c>
    </row>
    <row r="955" spans="1:9" ht="15.75" customHeight="1" x14ac:dyDescent="0.25">
      <c r="A955" s="10">
        <f t="shared" si="41"/>
        <v>1</v>
      </c>
      <c r="B955" s="10" t="s">
        <v>921</v>
      </c>
      <c r="C955" s="11" t="s">
        <v>1146</v>
      </c>
      <c r="D955" s="13">
        <f t="shared" si="37"/>
        <v>62.432499999999997</v>
      </c>
      <c r="E955" s="13">
        <v>62.432499999999997</v>
      </c>
      <c r="F955" s="13" t="s">
        <v>1096</v>
      </c>
      <c r="G955" s="13" t="s">
        <v>1096</v>
      </c>
      <c r="H955" s="13"/>
      <c r="I955" s="4" t="s">
        <v>1096</v>
      </c>
    </row>
    <row r="956" spans="1:9" ht="15.75" customHeight="1" x14ac:dyDescent="0.25">
      <c r="A956" s="10">
        <f t="shared" si="41"/>
        <v>1</v>
      </c>
      <c r="B956" s="10" t="s">
        <v>923</v>
      </c>
      <c r="C956" s="11" t="s">
        <v>1146</v>
      </c>
      <c r="D956" s="13">
        <f t="shared" si="37"/>
        <v>38.277777777777779</v>
      </c>
      <c r="E956" s="13">
        <v>38.277777777777779</v>
      </c>
      <c r="F956" s="13" t="s">
        <v>1096</v>
      </c>
      <c r="G956" s="13" t="s">
        <v>1096</v>
      </c>
      <c r="H956" s="13"/>
      <c r="I956" s="4" t="s">
        <v>1096</v>
      </c>
    </row>
    <row r="957" spans="1:9" ht="15.75" customHeight="1" x14ac:dyDescent="0.25">
      <c r="A957" s="10">
        <f t="shared" si="41"/>
        <v>2</v>
      </c>
      <c r="B957" s="10" t="s">
        <v>852</v>
      </c>
      <c r="C957" s="11" t="s">
        <v>197</v>
      </c>
      <c r="D957" s="13">
        <f>E957*$D$1</f>
        <v>20.7</v>
      </c>
      <c r="E957" s="13">
        <v>20.7</v>
      </c>
      <c r="F957" s="13" t="s">
        <v>1096</v>
      </c>
      <c r="G957" s="13" t="s">
        <v>1096</v>
      </c>
      <c r="H957" s="13" t="s">
        <v>1589</v>
      </c>
      <c r="I957" s="4" t="s">
        <v>1096</v>
      </c>
    </row>
    <row r="958" spans="1:9" ht="15.75" customHeight="1" x14ac:dyDescent="0.25">
      <c r="A958" s="10">
        <f t="shared" si="41"/>
        <v>2</v>
      </c>
      <c r="B958" s="10" t="s">
        <v>852</v>
      </c>
      <c r="C958" s="11" t="s">
        <v>197</v>
      </c>
      <c r="D958" s="13">
        <f t="shared" si="37"/>
        <v>20.7</v>
      </c>
      <c r="E958" s="13">
        <v>20.7</v>
      </c>
      <c r="F958" s="13" t="s">
        <v>1096</v>
      </c>
      <c r="G958" s="13" t="s">
        <v>1096</v>
      </c>
      <c r="H958" s="13" t="s">
        <v>1589</v>
      </c>
      <c r="I958" s="4" t="s">
        <v>1096</v>
      </c>
    </row>
    <row r="959" spans="1:9" ht="15.75" customHeight="1" x14ac:dyDescent="0.25">
      <c r="A959" s="10">
        <f t="shared" si="41"/>
        <v>1</v>
      </c>
      <c r="B959" s="10" t="s">
        <v>103</v>
      </c>
      <c r="C959" s="11" t="s">
        <v>1146</v>
      </c>
      <c r="D959" s="13">
        <f t="shared" si="37"/>
        <v>16</v>
      </c>
      <c r="E959" s="13">
        <v>16</v>
      </c>
      <c r="F959" s="13" t="s">
        <v>1096</v>
      </c>
      <c r="G959" s="13" t="s">
        <v>1096</v>
      </c>
      <c r="H959" s="13"/>
      <c r="I959" s="4" t="s">
        <v>1096</v>
      </c>
    </row>
    <row r="960" spans="1:9" ht="15.75" customHeight="1" x14ac:dyDescent="0.25">
      <c r="A960" s="10">
        <f t="shared" si="41"/>
        <v>1</v>
      </c>
      <c r="B960" s="10" t="s">
        <v>1216</v>
      </c>
      <c r="C960" s="11" t="s">
        <v>206</v>
      </c>
      <c r="D960" s="13">
        <f t="shared" si="37"/>
        <v>6.666666666666667</v>
      </c>
      <c r="E960" s="13">
        <v>6.666666666666667</v>
      </c>
      <c r="F960" s="13" t="s">
        <v>1096</v>
      </c>
      <c r="G960" s="13" t="s">
        <v>1096</v>
      </c>
      <c r="H960" s="13"/>
      <c r="I960" s="4" t="s">
        <v>1096</v>
      </c>
    </row>
    <row r="961" spans="1:9" ht="15.75" customHeight="1" x14ac:dyDescent="0.25">
      <c r="A961" s="10">
        <f t="shared" si="41"/>
        <v>1</v>
      </c>
      <c r="B961" s="10" t="s">
        <v>897</v>
      </c>
      <c r="C961" s="11" t="s">
        <v>206</v>
      </c>
      <c r="D961" s="13">
        <f t="shared" si="37"/>
        <v>140</v>
      </c>
      <c r="E961" s="13">
        <v>140</v>
      </c>
      <c r="F961" s="13" t="s">
        <v>1096</v>
      </c>
      <c r="G961" s="13" t="s">
        <v>1096</v>
      </c>
      <c r="H961" s="13"/>
      <c r="I961" s="4" t="s">
        <v>1096</v>
      </c>
    </row>
    <row r="962" spans="1:9" ht="15.75" customHeight="1" x14ac:dyDescent="0.25">
      <c r="A962" s="10">
        <f t="shared" si="41"/>
        <v>1</v>
      </c>
      <c r="B962" s="10" t="s">
        <v>905</v>
      </c>
      <c r="C962" s="11" t="s">
        <v>206</v>
      </c>
      <c r="D962" s="13">
        <f t="shared" si="37"/>
        <v>8.3960000000000008</v>
      </c>
      <c r="E962" s="13">
        <v>8.3960000000000008</v>
      </c>
      <c r="F962" s="13" t="s">
        <v>1096</v>
      </c>
      <c r="G962" s="13" t="s">
        <v>1096</v>
      </c>
      <c r="H962" s="13"/>
      <c r="I962" s="4" t="s">
        <v>1096</v>
      </c>
    </row>
    <row r="963" spans="1:9" ht="15.75" customHeight="1" x14ac:dyDescent="0.25">
      <c r="A963" s="10">
        <f t="shared" si="41"/>
        <v>1</v>
      </c>
      <c r="B963" s="10" t="s">
        <v>903</v>
      </c>
      <c r="C963" s="11" t="s">
        <v>206</v>
      </c>
      <c r="D963" s="13">
        <f t="shared" si="37"/>
        <v>21.19047619047619</v>
      </c>
      <c r="E963" s="13">
        <v>21.19047619047619</v>
      </c>
      <c r="F963" s="13" t="s">
        <v>1096</v>
      </c>
      <c r="G963" s="13" t="s">
        <v>1096</v>
      </c>
      <c r="H963" s="13"/>
      <c r="I963" s="4" t="s">
        <v>1096</v>
      </c>
    </row>
    <row r="964" spans="1:9" ht="15.75" customHeight="1" x14ac:dyDescent="0.25">
      <c r="A964" s="10">
        <f t="shared" si="41"/>
        <v>1</v>
      </c>
      <c r="B964" s="10" t="s">
        <v>901</v>
      </c>
      <c r="C964" s="11" t="s">
        <v>206</v>
      </c>
      <c r="D964" s="13">
        <f>E964*$D$1</f>
        <v>28</v>
      </c>
      <c r="E964" s="13">
        <v>28</v>
      </c>
      <c r="F964" s="13" t="s">
        <v>1096</v>
      </c>
      <c r="G964" s="13" t="s">
        <v>1096</v>
      </c>
      <c r="H964" s="13"/>
      <c r="I964" s="4" t="s">
        <v>1096</v>
      </c>
    </row>
    <row r="965" spans="1:9" ht="15.75" customHeight="1" x14ac:dyDescent="0.25">
      <c r="A965" s="10">
        <f t="shared" si="41"/>
        <v>1</v>
      </c>
      <c r="B965" s="10" t="s">
        <v>3096</v>
      </c>
      <c r="C965" s="11" t="s">
        <v>206</v>
      </c>
      <c r="D965" s="13">
        <f>E965*$D$1</f>
        <v>26.4</v>
      </c>
      <c r="E965" s="13">
        <f>660/25</f>
        <v>26.4</v>
      </c>
      <c r="F965" s="13" t="s">
        <v>1096</v>
      </c>
      <c r="G965" s="13" t="s">
        <v>1096</v>
      </c>
      <c r="H965" s="13"/>
      <c r="I965" s="4" t="s">
        <v>1096</v>
      </c>
    </row>
    <row r="966" spans="1:9" ht="15.75" customHeight="1" x14ac:dyDescent="0.25">
      <c r="A966" s="10">
        <f t="shared" si="41"/>
        <v>1</v>
      </c>
      <c r="B966" s="10" t="s">
        <v>3098</v>
      </c>
      <c r="C966" s="11" t="s">
        <v>206</v>
      </c>
      <c r="D966" s="13">
        <f t="shared" si="37"/>
        <v>44.5</v>
      </c>
      <c r="E966" s="13">
        <v>44.5</v>
      </c>
      <c r="F966" s="13" t="s">
        <v>1096</v>
      </c>
      <c r="G966" s="13" t="s">
        <v>1096</v>
      </c>
      <c r="H966" s="13"/>
      <c r="I966" s="4" t="s">
        <v>1096</v>
      </c>
    </row>
    <row r="967" spans="1:9" ht="15.75" customHeight="1" x14ac:dyDescent="0.25">
      <c r="A967" s="10">
        <f t="shared" si="41"/>
        <v>1</v>
      </c>
      <c r="B967" s="10" t="s">
        <v>111</v>
      </c>
      <c r="C967" s="11" t="s">
        <v>1146</v>
      </c>
      <c r="D967" s="13">
        <f t="shared" si="37"/>
        <v>33.333333333333336</v>
      </c>
      <c r="E967" s="13">
        <f>600/18</f>
        <v>33.333333333333336</v>
      </c>
      <c r="F967" s="13" t="s">
        <v>1096</v>
      </c>
      <c r="G967" s="13" t="s">
        <v>1096</v>
      </c>
      <c r="H967" s="13"/>
      <c r="I967" s="4" t="s">
        <v>1096</v>
      </c>
    </row>
    <row r="968" spans="1:9" ht="15.75" customHeight="1" x14ac:dyDescent="0.25">
      <c r="A968" s="10">
        <f t="shared" si="41"/>
        <v>1</v>
      </c>
      <c r="B968" s="10" t="s">
        <v>1076</v>
      </c>
      <c r="C968" s="11" t="s">
        <v>1146</v>
      </c>
      <c r="D968" s="13">
        <f t="shared" si="37"/>
        <v>35.42</v>
      </c>
      <c r="E968" s="13">
        <v>35.42</v>
      </c>
      <c r="F968" s="13" t="s">
        <v>1096</v>
      </c>
      <c r="G968" s="13" t="s">
        <v>1096</v>
      </c>
      <c r="H968" s="13"/>
      <c r="I968" s="4" t="s">
        <v>1096</v>
      </c>
    </row>
    <row r="969" spans="1:9" ht="15.75" customHeight="1" x14ac:dyDescent="0.25">
      <c r="A969" s="10">
        <f t="shared" si="41"/>
        <v>1</v>
      </c>
      <c r="B969" s="10" t="s">
        <v>763</v>
      </c>
      <c r="C969" s="11" t="s">
        <v>1146</v>
      </c>
      <c r="D969" s="13">
        <f t="shared" si="37"/>
        <v>24.5</v>
      </c>
      <c r="E969" s="13">
        <v>24.5</v>
      </c>
      <c r="F969" s="13" t="s">
        <v>1096</v>
      </c>
      <c r="G969" s="13" t="s">
        <v>1096</v>
      </c>
      <c r="H969" s="13"/>
      <c r="I969" s="4" t="s">
        <v>1096</v>
      </c>
    </row>
    <row r="970" spans="1:9" ht="15.75" customHeight="1" x14ac:dyDescent="0.25">
      <c r="A970" s="10">
        <f t="shared" si="41"/>
        <v>1</v>
      </c>
      <c r="B970" s="10" t="s">
        <v>752</v>
      </c>
      <c r="C970" s="11" t="s">
        <v>1146</v>
      </c>
      <c r="D970" s="13">
        <f t="shared" si="37"/>
        <v>81.944444444444443</v>
      </c>
      <c r="E970" s="13">
        <f>295/3.6</f>
        <v>81.944444444444443</v>
      </c>
      <c r="F970" s="13" t="s">
        <v>1096</v>
      </c>
      <c r="G970" s="13" t="s">
        <v>1096</v>
      </c>
      <c r="H970" s="13"/>
      <c r="I970" s="4" t="s">
        <v>1096</v>
      </c>
    </row>
    <row r="971" spans="1:9" ht="15.75" customHeight="1" x14ac:dyDescent="0.25">
      <c r="A971" s="10">
        <f t="shared" si="41"/>
        <v>1</v>
      </c>
      <c r="B971" s="10" t="s">
        <v>3106</v>
      </c>
      <c r="C971" s="11" t="s">
        <v>70</v>
      </c>
      <c r="D971" s="13">
        <f>E971*$D$1</f>
        <v>80</v>
      </c>
      <c r="E971" s="13">
        <v>80</v>
      </c>
      <c r="F971" s="13" t="s">
        <v>1096</v>
      </c>
      <c r="G971" s="13" t="s">
        <v>1096</v>
      </c>
      <c r="H971" s="13"/>
      <c r="I971" s="4" t="s">
        <v>1096</v>
      </c>
    </row>
    <row r="972" spans="1:9" ht="15.75" customHeight="1" x14ac:dyDescent="0.25">
      <c r="A972" s="10">
        <f t="shared" si="41"/>
        <v>1</v>
      </c>
      <c r="B972" s="10" t="s">
        <v>761</v>
      </c>
      <c r="C972" s="11" t="s">
        <v>1146</v>
      </c>
      <c r="D972" s="13">
        <f t="shared" si="37"/>
        <v>40.25</v>
      </c>
      <c r="E972" s="13">
        <v>40.25</v>
      </c>
      <c r="F972" s="13" t="s">
        <v>1096</v>
      </c>
      <c r="G972" s="13" t="s">
        <v>1096</v>
      </c>
      <c r="H972" s="13"/>
      <c r="I972" s="4" t="s">
        <v>1096</v>
      </c>
    </row>
    <row r="973" spans="1:9" ht="14.25" x14ac:dyDescent="0.2">
      <c r="A973" s="10">
        <f t="shared" si="41"/>
        <v>1</v>
      </c>
      <c r="B973" s="82" t="s">
        <v>1898</v>
      </c>
      <c r="C973" s="83" t="s">
        <v>1146</v>
      </c>
      <c r="D973" s="84">
        <f>E973*$D$1</f>
        <v>20</v>
      </c>
      <c r="E973" s="84">
        <f>360/18</f>
        <v>20</v>
      </c>
      <c r="F973" s="84" t="s">
        <v>1096</v>
      </c>
      <c r="G973" s="84" t="s">
        <v>1096</v>
      </c>
      <c r="H973" s="84"/>
      <c r="I973" s="85" t="s">
        <v>1096</v>
      </c>
    </row>
    <row r="974" spans="1:9" ht="14.25" x14ac:dyDescent="0.2">
      <c r="A974" s="10">
        <f t="shared" si="41"/>
        <v>1</v>
      </c>
      <c r="B974" s="82" t="s">
        <v>1900</v>
      </c>
      <c r="C974" s="83" t="s">
        <v>1146</v>
      </c>
      <c r="D974" s="84">
        <f>E974*$D$1</f>
        <v>19.444444444444443</v>
      </c>
      <c r="E974" s="84">
        <f>350/18</f>
        <v>19.444444444444443</v>
      </c>
      <c r="F974" s="84" t="s">
        <v>1096</v>
      </c>
      <c r="G974" s="84" t="s">
        <v>1096</v>
      </c>
      <c r="H974" s="84"/>
      <c r="I974" s="85" t="s">
        <v>1096</v>
      </c>
    </row>
    <row r="975" spans="1:9" ht="14.25" x14ac:dyDescent="0.2">
      <c r="A975" s="10">
        <f t="shared" si="41"/>
        <v>1</v>
      </c>
      <c r="B975" s="82" t="s">
        <v>3092</v>
      </c>
      <c r="C975" s="83" t="s">
        <v>1146</v>
      </c>
      <c r="D975" s="84">
        <f>E975*$D$1</f>
        <v>45.470624999999998</v>
      </c>
      <c r="E975" s="84">
        <f>727.53/16</f>
        <v>45.470624999999998</v>
      </c>
      <c r="F975" s="84" t="s">
        <v>1096</v>
      </c>
      <c r="G975" s="84" t="s">
        <v>1096</v>
      </c>
      <c r="H975" s="84"/>
      <c r="I975" s="85" t="s">
        <v>1096</v>
      </c>
    </row>
    <row r="976" spans="1:9" ht="14.25" x14ac:dyDescent="0.2">
      <c r="A976" s="10">
        <f t="shared" si="41"/>
        <v>1</v>
      </c>
      <c r="B976" s="82" t="s">
        <v>3093</v>
      </c>
      <c r="C976" s="83" t="s">
        <v>1146</v>
      </c>
      <c r="D976" s="84">
        <f>E976*$D$1</f>
        <v>41.35125</v>
      </c>
      <c r="E976" s="84">
        <f>661.62/16</f>
        <v>41.35125</v>
      </c>
      <c r="F976" s="84" t="s">
        <v>1096</v>
      </c>
      <c r="G976" s="84" t="s">
        <v>1096</v>
      </c>
      <c r="H976" s="84"/>
      <c r="I976" s="85" t="s">
        <v>1096</v>
      </c>
    </row>
    <row r="977" spans="1:9" ht="14.25" x14ac:dyDescent="0.2">
      <c r="A977" s="10">
        <f t="shared" ref="A977:A996" si="42">COUNTIFS($B$2:$B$996,B977)</f>
        <v>1</v>
      </c>
      <c r="B977" s="82" t="s">
        <v>1901</v>
      </c>
      <c r="C977" s="83" t="s">
        <v>1146</v>
      </c>
      <c r="D977" s="84">
        <f t="shared" ref="D977:D996" si="43">E977*$D$1</f>
        <v>34.375</v>
      </c>
      <c r="E977" s="84">
        <f>550/16</f>
        <v>34.375</v>
      </c>
      <c r="F977" s="84" t="s">
        <v>1096</v>
      </c>
      <c r="G977" s="84" t="s">
        <v>1096</v>
      </c>
      <c r="H977" s="84"/>
      <c r="I977" s="85" t="s">
        <v>1096</v>
      </c>
    </row>
    <row r="978" spans="1:9" ht="14.25" x14ac:dyDescent="0.2">
      <c r="A978" s="10">
        <f t="shared" si="42"/>
        <v>1</v>
      </c>
      <c r="B978" s="82" t="s">
        <v>1902</v>
      </c>
      <c r="C978" s="83" t="s">
        <v>1146</v>
      </c>
      <c r="D978" s="84">
        <f t="shared" si="43"/>
        <v>55</v>
      </c>
      <c r="E978" s="84">
        <v>55</v>
      </c>
      <c r="F978" s="84" t="s">
        <v>1096</v>
      </c>
      <c r="G978" s="84" t="s">
        <v>1096</v>
      </c>
      <c r="H978" s="84"/>
      <c r="I978" s="85" t="s">
        <v>1096</v>
      </c>
    </row>
    <row r="979" spans="1:9" ht="14.25" x14ac:dyDescent="0.2">
      <c r="A979" s="10">
        <f t="shared" si="42"/>
        <v>1</v>
      </c>
      <c r="B979" s="82" t="s">
        <v>1903</v>
      </c>
      <c r="C979" s="83" t="s">
        <v>1146</v>
      </c>
      <c r="D979" s="84">
        <f t="shared" si="43"/>
        <v>50</v>
      </c>
      <c r="E979" s="84">
        <v>50</v>
      </c>
      <c r="F979" s="84" t="s">
        <v>1096</v>
      </c>
      <c r="G979" s="84" t="s">
        <v>1096</v>
      </c>
      <c r="H979" s="84"/>
      <c r="I979" s="85" t="s">
        <v>1096</v>
      </c>
    </row>
    <row r="980" spans="1:9" ht="14.25" x14ac:dyDescent="0.2">
      <c r="A980" s="10">
        <f t="shared" si="42"/>
        <v>1</v>
      </c>
      <c r="B980" s="82" t="s">
        <v>1904</v>
      </c>
      <c r="C980" s="83" t="s">
        <v>1146</v>
      </c>
      <c r="D980" s="84">
        <f>E980*$D$1</f>
        <v>66.21875</v>
      </c>
      <c r="E980" s="84">
        <f>211.9/3.2</f>
        <v>66.21875</v>
      </c>
      <c r="F980" s="84" t="s">
        <v>1096</v>
      </c>
      <c r="G980" s="84" t="s">
        <v>1096</v>
      </c>
      <c r="H980" s="84"/>
      <c r="I980" s="85" t="s">
        <v>1096</v>
      </c>
    </row>
    <row r="981" spans="1:9" ht="14.25" x14ac:dyDescent="0.2">
      <c r="A981" s="10">
        <f t="shared" si="42"/>
        <v>1</v>
      </c>
      <c r="B981" s="82" t="s">
        <v>1905</v>
      </c>
      <c r="C981" s="83" t="s">
        <v>1146</v>
      </c>
      <c r="D981" s="84">
        <f>E981*$D$1</f>
        <v>59.65625</v>
      </c>
      <c r="E981" s="84">
        <f>190.9/3.2</f>
        <v>59.65625</v>
      </c>
      <c r="F981" s="84" t="s">
        <v>1096</v>
      </c>
      <c r="G981" s="84" t="s">
        <v>1096</v>
      </c>
      <c r="H981" s="84"/>
      <c r="I981" s="85" t="s">
        <v>1096</v>
      </c>
    </row>
    <row r="982" spans="1:9" ht="14.25" x14ac:dyDescent="0.2">
      <c r="A982" s="10">
        <f t="shared" si="42"/>
        <v>1</v>
      </c>
      <c r="B982" s="82" t="s">
        <v>1906</v>
      </c>
      <c r="C982" s="83" t="s">
        <v>1146</v>
      </c>
      <c r="D982" s="84">
        <f>E982*$D$1</f>
        <v>66.306250000000006</v>
      </c>
      <c r="E982" s="84">
        <f>1060.9/16</f>
        <v>66.306250000000006</v>
      </c>
      <c r="F982" s="84" t="s">
        <v>1096</v>
      </c>
      <c r="G982" s="84" t="s">
        <v>1096</v>
      </c>
      <c r="H982" s="84"/>
      <c r="I982" s="85" t="s">
        <v>1096</v>
      </c>
    </row>
    <row r="983" spans="1:9" ht="14.25" x14ac:dyDescent="0.2">
      <c r="A983" s="10">
        <f t="shared" si="42"/>
        <v>1</v>
      </c>
      <c r="B983" s="82" t="s">
        <v>1907</v>
      </c>
      <c r="C983" s="83" t="s">
        <v>1146</v>
      </c>
      <c r="D983" s="84">
        <f t="shared" si="43"/>
        <v>54.243749999999999</v>
      </c>
      <c r="E983" s="84">
        <f>867.9/16</f>
        <v>54.243749999999999</v>
      </c>
      <c r="F983" s="84" t="s">
        <v>1096</v>
      </c>
      <c r="G983" s="84" t="s">
        <v>1096</v>
      </c>
      <c r="H983" s="84"/>
      <c r="I983" s="85" t="s">
        <v>1096</v>
      </c>
    </row>
    <row r="984" spans="1:9" ht="14.25" x14ac:dyDescent="0.2">
      <c r="A984" s="10">
        <f t="shared" si="42"/>
        <v>1</v>
      </c>
      <c r="B984" s="82" t="s">
        <v>1908</v>
      </c>
      <c r="C984" s="83" t="s">
        <v>1146</v>
      </c>
      <c r="D984" s="84">
        <f>E984*$D$1</f>
        <v>45.618749999999999</v>
      </c>
      <c r="E984" s="84">
        <f>729.9/16</f>
        <v>45.618749999999999</v>
      </c>
      <c r="F984" s="84" t="s">
        <v>1096</v>
      </c>
      <c r="G984" s="84" t="s">
        <v>1096</v>
      </c>
      <c r="H984" s="84"/>
      <c r="I984" s="85" t="s">
        <v>1096</v>
      </c>
    </row>
    <row r="985" spans="1:9" ht="14.25" x14ac:dyDescent="0.2">
      <c r="A985" s="10">
        <f t="shared" si="42"/>
        <v>1</v>
      </c>
      <c r="B985" s="82" t="s">
        <v>1909</v>
      </c>
      <c r="C985" s="83" t="s">
        <v>1146</v>
      </c>
      <c r="D985" s="84">
        <f t="shared" si="43"/>
        <v>55.431249999999999</v>
      </c>
      <c r="E985" s="84">
        <f>886.9/16</f>
        <v>55.431249999999999</v>
      </c>
      <c r="F985" s="84" t="s">
        <v>1096</v>
      </c>
      <c r="G985" s="84" t="s">
        <v>1096</v>
      </c>
      <c r="H985" s="84"/>
      <c r="I985" s="85" t="s">
        <v>1096</v>
      </c>
    </row>
    <row r="986" spans="1:9" ht="14.25" x14ac:dyDescent="0.2">
      <c r="A986" s="10">
        <f t="shared" si="42"/>
        <v>1</v>
      </c>
      <c r="B986" s="82" t="s">
        <v>1910</v>
      </c>
      <c r="C986" s="83" t="s">
        <v>1146</v>
      </c>
      <c r="D986" s="84">
        <f>E986*$D$1</f>
        <v>34.43888888888889</v>
      </c>
      <c r="E986" s="84">
        <f>619.9/18</f>
        <v>34.43888888888889</v>
      </c>
      <c r="F986" s="84" t="s">
        <v>1096</v>
      </c>
      <c r="G986" s="84" t="s">
        <v>1096</v>
      </c>
      <c r="H986" s="84"/>
      <c r="I986" s="85" t="s">
        <v>1096</v>
      </c>
    </row>
    <row r="987" spans="1:9" ht="14.25" x14ac:dyDescent="0.2">
      <c r="A987" s="10">
        <f t="shared" si="42"/>
        <v>1</v>
      </c>
      <c r="B987" s="82" t="s">
        <v>1911</v>
      </c>
      <c r="C987" s="83" t="s">
        <v>1146</v>
      </c>
      <c r="D987" s="84">
        <f t="shared" si="43"/>
        <v>42.772222222222219</v>
      </c>
      <c r="E987" s="84">
        <f>769.9/18</f>
        <v>42.772222222222219</v>
      </c>
      <c r="F987" s="84" t="s">
        <v>1096</v>
      </c>
      <c r="G987" s="84" t="s">
        <v>1096</v>
      </c>
      <c r="H987" s="84"/>
      <c r="I987" s="85" t="s">
        <v>1096</v>
      </c>
    </row>
    <row r="988" spans="1:9" ht="14.25" x14ac:dyDescent="0.2">
      <c r="A988" s="10">
        <f t="shared" si="42"/>
        <v>1</v>
      </c>
      <c r="B988" s="82" t="s">
        <v>1912</v>
      </c>
      <c r="C988" s="83" t="s">
        <v>1146</v>
      </c>
      <c r="D988" s="84">
        <f>E988*$D$1</f>
        <v>23.049999999999997</v>
      </c>
      <c r="E988" s="84">
        <f>414.9/18</f>
        <v>23.049999999999997</v>
      </c>
      <c r="F988" s="84" t="s">
        <v>1096</v>
      </c>
      <c r="G988" s="84" t="s">
        <v>1096</v>
      </c>
      <c r="H988" s="84"/>
      <c r="I988" s="85" t="s">
        <v>1096</v>
      </c>
    </row>
    <row r="989" spans="1:9" ht="14.25" x14ac:dyDescent="0.2">
      <c r="A989" s="10">
        <f t="shared" si="42"/>
        <v>2</v>
      </c>
      <c r="B989" s="82" t="s">
        <v>1077</v>
      </c>
      <c r="C989" s="83" t="s">
        <v>1146</v>
      </c>
      <c r="D989" s="84">
        <f t="shared" si="43"/>
        <v>40.25</v>
      </c>
      <c r="E989" s="84">
        <v>40.25</v>
      </c>
      <c r="F989" s="84" t="s">
        <v>1096</v>
      </c>
      <c r="G989" s="84" t="s">
        <v>1096</v>
      </c>
      <c r="H989" s="84"/>
      <c r="I989" s="85" t="s">
        <v>1096</v>
      </c>
    </row>
    <row r="990" spans="1:9" ht="14.25" x14ac:dyDescent="0.2">
      <c r="A990" s="10">
        <f t="shared" si="42"/>
        <v>1</v>
      </c>
      <c r="B990" s="82" t="s">
        <v>1913</v>
      </c>
      <c r="C990" s="83" t="s">
        <v>206</v>
      </c>
      <c r="D990" s="84">
        <f t="shared" si="43"/>
        <v>0.45</v>
      </c>
      <c r="E990" s="84">
        <v>0.45</v>
      </c>
      <c r="F990" s="84" t="s">
        <v>1096</v>
      </c>
      <c r="G990" s="84" t="s">
        <v>1096</v>
      </c>
      <c r="H990" s="84"/>
      <c r="I990" s="85" t="s">
        <v>1096</v>
      </c>
    </row>
    <row r="991" spans="1:9" ht="14.25" x14ac:dyDescent="0.2">
      <c r="A991" s="10">
        <f t="shared" si="42"/>
        <v>1</v>
      </c>
      <c r="B991" s="82" t="s">
        <v>1914</v>
      </c>
      <c r="C991" s="83" t="s">
        <v>206</v>
      </c>
      <c r="D991" s="84">
        <f t="shared" si="43"/>
        <v>13</v>
      </c>
      <c r="E991" s="84">
        <v>13</v>
      </c>
      <c r="F991" s="84" t="s">
        <v>1096</v>
      </c>
      <c r="G991" s="84" t="s">
        <v>1096</v>
      </c>
      <c r="H991" s="84"/>
      <c r="I991" s="85" t="s">
        <v>1096</v>
      </c>
    </row>
    <row r="992" spans="1:9" ht="14.25" x14ac:dyDescent="0.2">
      <c r="A992" s="10">
        <f t="shared" si="42"/>
        <v>1</v>
      </c>
      <c r="B992" s="82" t="s">
        <v>1915</v>
      </c>
      <c r="C992" s="83" t="s">
        <v>206</v>
      </c>
      <c r="D992" s="84">
        <f t="shared" si="43"/>
        <v>18</v>
      </c>
      <c r="E992" s="84">
        <v>18</v>
      </c>
      <c r="F992" s="84" t="s">
        <v>1096</v>
      </c>
      <c r="G992" s="84" t="s">
        <v>1096</v>
      </c>
      <c r="H992" s="84"/>
      <c r="I992" s="85" t="s">
        <v>1096</v>
      </c>
    </row>
    <row r="993" spans="1:9" ht="14.25" x14ac:dyDescent="0.2">
      <c r="A993" s="10">
        <f t="shared" si="42"/>
        <v>1</v>
      </c>
      <c r="B993" s="82" t="s">
        <v>1916</v>
      </c>
      <c r="C993" s="83" t="s">
        <v>1146</v>
      </c>
      <c r="D993" s="84">
        <f t="shared" si="43"/>
        <v>12</v>
      </c>
      <c r="E993" s="84">
        <v>12</v>
      </c>
      <c r="F993" s="84" t="s">
        <v>1096</v>
      </c>
      <c r="G993" s="84" t="s">
        <v>1096</v>
      </c>
      <c r="H993" s="84"/>
      <c r="I993" s="85" t="s">
        <v>1096</v>
      </c>
    </row>
    <row r="994" spans="1:9" ht="14.25" x14ac:dyDescent="0.2">
      <c r="A994" s="10">
        <f t="shared" si="42"/>
        <v>1</v>
      </c>
      <c r="B994" s="82" t="s">
        <v>1917</v>
      </c>
      <c r="C994" s="83" t="s">
        <v>206</v>
      </c>
      <c r="D994" s="84">
        <f t="shared" si="43"/>
        <v>30</v>
      </c>
      <c r="E994" s="84">
        <v>30</v>
      </c>
      <c r="F994" s="84" t="s">
        <v>1096</v>
      </c>
      <c r="G994" s="84" t="s">
        <v>1096</v>
      </c>
      <c r="H994" s="84"/>
      <c r="I994" s="85" t="s">
        <v>1096</v>
      </c>
    </row>
    <row r="995" spans="1:9" ht="14.25" x14ac:dyDescent="0.2">
      <c r="A995" s="10">
        <f t="shared" si="42"/>
        <v>1</v>
      </c>
      <c r="B995" s="82" t="s">
        <v>1918</v>
      </c>
      <c r="C995" s="83" t="s">
        <v>206</v>
      </c>
      <c r="D995" s="84">
        <f t="shared" si="43"/>
        <v>25</v>
      </c>
      <c r="E995" s="84">
        <v>25</v>
      </c>
      <c r="F995" s="84" t="s">
        <v>1096</v>
      </c>
      <c r="G995" s="84" t="s">
        <v>1096</v>
      </c>
      <c r="H995" s="84"/>
      <c r="I995" s="85" t="s">
        <v>1096</v>
      </c>
    </row>
    <row r="996" spans="1:9" ht="14.25" x14ac:dyDescent="0.2">
      <c r="A996" s="10">
        <f t="shared" si="42"/>
        <v>1</v>
      </c>
      <c r="B996" s="82" t="s">
        <v>1919</v>
      </c>
      <c r="C996" s="83" t="s">
        <v>206</v>
      </c>
      <c r="D996" s="84">
        <f t="shared" si="43"/>
        <v>26</v>
      </c>
      <c r="E996" s="84">
        <v>26</v>
      </c>
      <c r="F996" s="84" t="s">
        <v>1096</v>
      </c>
      <c r="G996" s="84" t="s">
        <v>1096</v>
      </c>
      <c r="H996" s="84"/>
      <c r="I996" s="85" t="s">
        <v>1096</v>
      </c>
    </row>
  </sheetData>
  <autoFilter ref="A1:G996" xr:uid="{00000000-0009-0000-0000-000004000000}"/>
  <conditionalFormatting sqref="B250">
    <cfRule type="expression" dxfId="6436" priority="10">
      <formula>$B250="Serviço"</formula>
    </cfRule>
    <cfRule type="expression" dxfId="6435" priority="11">
      <formula>$B250="Subetapa"</formula>
    </cfRule>
  </conditionalFormatting>
  <conditionalFormatting sqref="B473">
    <cfRule type="expression" dxfId="6434" priority="8">
      <formula>$B473="Subetapa"</formula>
    </cfRule>
    <cfRule type="expression" dxfId="6433" priority="9">
      <formula>$B473="Serviço"</formula>
    </cfRule>
  </conditionalFormatting>
  <conditionalFormatting sqref="E280">
    <cfRule type="cellIs" dxfId="6432" priority="12" operator="equal">
      <formula>"TETO"</formula>
    </cfRule>
    <cfRule type="cellIs" dxfId="6431" priority="13" operator="equal">
      <formula>"PAREDE"</formula>
    </cfRule>
    <cfRule type="cellIs" dxfId="6430" priority="14" operator="equal">
      <formula>"PISO"</formula>
    </cfRule>
    <cfRule type="cellIs" dxfId="6429" priority="15" operator="equal">
      <formula>"FACHADA"</formula>
    </cfRule>
  </conditionalFormatting>
  <conditionalFormatting sqref="B760:G760 B763:G763">
    <cfRule type="expression" dxfId="6428" priority="7">
      <formula>$A760=2</formula>
    </cfRule>
  </conditionalFormatting>
  <conditionalFormatting sqref="B361:G376">
    <cfRule type="expression" dxfId="6427" priority="6">
      <formula>$A361=2</formula>
    </cfRule>
  </conditionalFormatting>
  <conditionalFormatting sqref="B761:G761">
    <cfRule type="expression" dxfId="6426" priority="4">
      <formula>$A761=2</formula>
    </cfRule>
  </conditionalFormatting>
  <conditionalFormatting sqref="B762:G762">
    <cfRule type="expression" dxfId="6425" priority="3">
      <formula>$A762=2</formula>
    </cfRule>
  </conditionalFormatting>
  <conditionalFormatting sqref="B819">
    <cfRule type="expression" dxfId="6424" priority="1">
      <formula>$B819="Subetapa"</formula>
    </cfRule>
  </conditionalFormatting>
  <hyperlinks>
    <hyperlink ref="B622" r:id="rId1" xr:uid="{00000000-0004-0000-0400-000000000000}"/>
    <hyperlink ref="B628" r:id="rId2" xr:uid="{00000000-0004-0000-0400-000001000000}"/>
  </hyperlinks>
  <pageMargins left="0.511811024" right="0.511811024" top="0.78740157499999996" bottom="0.78740157499999996" header="0" footer="0"/>
  <pageSetup paperSize="9"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07165-BF99-4353-9A8A-5CB7B3E1B663}">
  <sheetPr>
    <tabColor rgb="FF92D050"/>
  </sheetPr>
  <dimension ref="A1:AL64"/>
  <sheetViews>
    <sheetView workbookViewId="0">
      <pane ySplit="8" topLeftCell="A9" activePane="bottomLeft" state="frozen"/>
      <selection pane="bottomLeft" sqref="A1:O1"/>
    </sheetView>
  </sheetViews>
  <sheetFormatPr defaultRowHeight="14.25" x14ac:dyDescent="0.2"/>
  <cols>
    <col min="1" max="1" width="4" style="1471" customWidth="1"/>
    <col min="2" max="2" width="38" style="1471" customWidth="1"/>
    <col min="3" max="3" width="5" style="1471" customWidth="1"/>
    <col min="4" max="4" width="1" style="1471" customWidth="1"/>
    <col min="5" max="7" width="10" style="1471" customWidth="1"/>
    <col min="8" max="8" width="1" style="1471" customWidth="1"/>
    <col min="9" max="11" width="10" style="1471" customWidth="1"/>
    <col min="12" max="12" width="1" style="1471" customWidth="1"/>
    <col min="13" max="14" width="11" style="1471" customWidth="1"/>
    <col min="15" max="15" width="12" style="1471" customWidth="1"/>
    <col min="16" max="38" width="9.140625" style="1471"/>
  </cols>
  <sheetData>
    <row r="1" spans="1:38" ht="32.1" customHeight="1" x14ac:dyDescent="0.2">
      <c r="A1" s="2038" t="s">
        <v>9154</v>
      </c>
      <c r="B1" s="2039"/>
      <c r="C1" s="2039"/>
      <c r="D1" s="2039"/>
      <c r="E1" s="2039"/>
      <c r="F1" s="2039"/>
      <c r="G1" s="2039"/>
      <c r="H1" s="2039"/>
      <c r="I1" s="2039"/>
      <c r="J1" s="2039"/>
      <c r="K1" s="2039"/>
      <c r="L1" s="2039"/>
      <c r="M1" s="2039"/>
      <c r="N1" s="2039"/>
      <c r="O1" s="2039"/>
      <c r="P1"/>
      <c r="Q1"/>
      <c r="R1"/>
      <c r="S1"/>
      <c r="T1"/>
      <c r="U1"/>
      <c r="V1"/>
      <c r="W1"/>
      <c r="X1"/>
      <c r="Y1"/>
      <c r="Z1"/>
      <c r="AA1"/>
      <c r="AB1"/>
      <c r="AC1"/>
      <c r="AD1"/>
      <c r="AE1"/>
      <c r="AF1"/>
      <c r="AG1"/>
      <c r="AH1"/>
      <c r="AI1"/>
      <c r="AJ1"/>
      <c r="AK1"/>
      <c r="AL1"/>
    </row>
    <row r="2" spans="1:38" ht="18" customHeight="1" x14ac:dyDescent="0.2">
      <c r="A2" s="1507" t="s">
        <v>2230</v>
      </c>
      <c r="B2" s="2034" t="s">
        <v>9153</v>
      </c>
      <c r="C2" s="2035"/>
      <c r="D2" s="2035"/>
      <c r="E2" s="2035"/>
      <c r="F2" s="2035"/>
      <c r="G2" s="2035"/>
      <c r="H2" s="2035"/>
      <c r="I2" s="2035"/>
      <c r="J2" s="2035"/>
      <c r="K2" s="2035"/>
      <c r="L2" s="2035"/>
      <c r="M2" s="2035"/>
      <c r="N2" s="2035"/>
      <c r="O2" s="2035"/>
      <c r="P2"/>
      <c r="Q2"/>
      <c r="R2"/>
      <c r="S2"/>
      <c r="T2"/>
      <c r="U2"/>
      <c r="V2"/>
      <c r="W2"/>
      <c r="X2"/>
      <c r="Y2"/>
      <c r="Z2"/>
      <c r="AA2"/>
      <c r="AB2"/>
      <c r="AC2"/>
      <c r="AD2"/>
      <c r="AE2"/>
      <c r="AF2"/>
      <c r="AG2"/>
      <c r="AH2"/>
      <c r="AI2"/>
      <c r="AJ2"/>
      <c r="AK2"/>
      <c r="AL2"/>
    </row>
    <row r="3" spans="1:38" ht="18" customHeight="1" x14ac:dyDescent="0.2">
      <c r="A3" s="1507" t="s">
        <v>9152</v>
      </c>
      <c r="B3" s="2034" t="s">
        <v>9151</v>
      </c>
      <c r="C3" s="2035"/>
      <c r="D3" s="2035"/>
      <c r="E3" s="2035"/>
      <c r="F3" s="2035"/>
      <c r="G3" s="2035"/>
      <c r="H3" s="2035"/>
      <c r="I3" s="2035"/>
      <c r="J3" s="2035"/>
      <c r="K3" s="2035"/>
      <c r="L3" s="2035"/>
      <c r="M3" s="2035"/>
      <c r="N3" s="2035"/>
      <c r="O3" s="2035"/>
      <c r="P3"/>
      <c r="Q3"/>
      <c r="R3"/>
      <c r="S3"/>
      <c r="T3"/>
      <c r="U3"/>
      <c r="V3"/>
      <c r="W3"/>
      <c r="X3"/>
      <c r="Y3"/>
      <c r="Z3"/>
      <c r="AA3"/>
      <c r="AB3"/>
      <c r="AC3"/>
      <c r="AD3"/>
      <c r="AE3"/>
      <c r="AF3"/>
      <c r="AG3"/>
      <c r="AH3"/>
      <c r="AI3"/>
      <c r="AJ3"/>
      <c r="AK3"/>
      <c r="AL3"/>
    </row>
    <row r="4" spans="1:38" ht="18" customHeight="1" x14ac:dyDescent="0.2">
      <c r="A4" s="1507" t="s">
        <v>2232</v>
      </c>
      <c r="B4" s="2034" t="s">
        <v>9150</v>
      </c>
      <c r="C4" s="2035"/>
      <c r="D4" s="2035"/>
      <c r="E4" s="2035"/>
      <c r="F4" s="2035"/>
      <c r="G4" s="2035"/>
      <c r="H4" s="2035"/>
      <c r="I4" s="2035"/>
      <c r="J4" s="2035"/>
      <c r="K4" s="2035"/>
      <c r="L4" s="2035"/>
      <c r="M4" s="2035"/>
      <c r="N4" s="2035"/>
      <c r="O4" s="2035"/>
      <c r="P4"/>
      <c r="Q4"/>
      <c r="R4"/>
      <c r="S4"/>
      <c r="T4"/>
      <c r="U4"/>
      <c r="V4"/>
      <c r="W4"/>
      <c r="X4"/>
      <c r="Y4"/>
      <c r="Z4"/>
      <c r="AA4"/>
      <c r="AB4"/>
      <c r="AC4"/>
      <c r="AD4"/>
      <c r="AE4"/>
      <c r="AF4"/>
      <c r="AG4"/>
      <c r="AH4"/>
      <c r="AI4"/>
      <c r="AJ4"/>
      <c r="AK4"/>
      <c r="AL4"/>
    </row>
    <row r="5" spans="1:38" ht="6" customHeight="1" x14ac:dyDescent="0.2">
      <c r="P5"/>
      <c r="Q5"/>
      <c r="R5"/>
      <c r="S5"/>
      <c r="T5"/>
      <c r="U5"/>
      <c r="V5"/>
      <c r="W5"/>
      <c r="X5"/>
      <c r="Y5"/>
      <c r="Z5"/>
      <c r="AA5"/>
      <c r="AB5"/>
      <c r="AC5"/>
      <c r="AD5"/>
      <c r="AE5"/>
      <c r="AF5"/>
      <c r="AG5"/>
      <c r="AH5"/>
      <c r="AI5"/>
      <c r="AJ5"/>
      <c r="AK5"/>
      <c r="AL5"/>
    </row>
    <row r="6" spans="1:38" ht="21.95" customHeight="1" x14ac:dyDescent="0.2">
      <c r="A6" s="1506"/>
      <c r="B6" s="1506"/>
      <c r="C6" s="1506"/>
      <c r="D6" s="1506"/>
      <c r="E6" s="2046" t="s">
        <v>5783</v>
      </c>
      <c r="F6" s="2047"/>
      <c r="G6" s="2047"/>
      <c r="H6" s="1506"/>
      <c r="I6" s="2048" t="s">
        <v>5782</v>
      </c>
      <c r="J6" s="2049"/>
      <c r="K6" s="2049"/>
      <c r="L6" s="1506"/>
      <c r="M6" s="2032" t="s">
        <v>9149</v>
      </c>
      <c r="N6" s="2033"/>
      <c r="O6" s="1505"/>
      <c r="P6"/>
      <c r="Q6"/>
      <c r="R6"/>
      <c r="S6"/>
      <c r="T6"/>
      <c r="U6"/>
      <c r="V6"/>
      <c r="W6"/>
      <c r="X6"/>
      <c r="Y6"/>
      <c r="Z6"/>
      <c r="AA6"/>
      <c r="AB6"/>
      <c r="AC6"/>
      <c r="AD6"/>
      <c r="AE6"/>
      <c r="AF6"/>
      <c r="AG6"/>
      <c r="AH6"/>
      <c r="AI6"/>
      <c r="AJ6"/>
      <c r="AK6"/>
      <c r="AL6"/>
    </row>
    <row r="7" spans="1:38" x14ac:dyDescent="0.2">
      <c r="A7" s="1503" t="s">
        <v>9148</v>
      </c>
      <c r="B7" s="1503" t="s">
        <v>60</v>
      </c>
      <c r="C7" s="1503" t="s">
        <v>1284</v>
      </c>
      <c r="D7" s="1504"/>
      <c r="E7" s="1503" t="s">
        <v>2210</v>
      </c>
      <c r="F7" s="1503" t="s">
        <v>2212</v>
      </c>
      <c r="G7" s="1503" t="s">
        <v>59</v>
      </c>
      <c r="H7" s="1504"/>
      <c r="I7" s="1503" t="s">
        <v>2210</v>
      </c>
      <c r="J7" s="1503" t="s">
        <v>2212</v>
      </c>
      <c r="K7" s="1503" t="s">
        <v>59</v>
      </c>
      <c r="L7" s="1504"/>
      <c r="M7" s="1503" t="s">
        <v>9147</v>
      </c>
      <c r="N7" s="1503" t="s">
        <v>9146</v>
      </c>
      <c r="O7" s="1503" t="s">
        <v>56</v>
      </c>
      <c r="P7"/>
      <c r="Q7"/>
      <c r="R7"/>
      <c r="S7"/>
      <c r="T7"/>
      <c r="U7"/>
      <c r="V7"/>
      <c r="W7"/>
      <c r="X7"/>
      <c r="Y7"/>
      <c r="Z7"/>
      <c r="AA7"/>
      <c r="AB7"/>
      <c r="AC7"/>
      <c r="AD7"/>
      <c r="AE7"/>
      <c r="AF7"/>
      <c r="AG7"/>
      <c r="AH7"/>
      <c r="AI7"/>
      <c r="AJ7"/>
      <c r="AK7"/>
      <c r="AL7"/>
    </row>
    <row r="8" spans="1:38" ht="15.95" customHeight="1" x14ac:dyDescent="0.2">
      <c r="A8" s="1500"/>
      <c r="B8" s="1502" t="s">
        <v>9145</v>
      </c>
      <c r="C8" s="1500"/>
      <c r="D8" s="1500"/>
      <c r="E8" s="1501">
        <v>1</v>
      </c>
      <c r="F8" s="1501">
        <v>1</v>
      </c>
      <c r="G8" s="1501">
        <v>24</v>
      </c>
      <c r="H8" s="1500"/>
      <c r="I8" s="1501">
        <v>1</v>
      </c>
      <c r="J8" s="1501">
        <v>1</v>
      </c>
      <c r="K8" s="1501">
        <v>24</v>
      </c>
      <c r="L8" s="1500"/>
      <c r="M8" s="1500"/>
      <c r="N8" s="1500"/>
      <c r="O8" s="1500"/>
      <c r="P8"/>
      <c r="Q8"/>
      <c r="R8"/>
      <c r="S8"/>
      <c r="T8"/>
      <c r="U8"/>
      <c r="V8"/>
      <c r="W8"/>
      <c r="X8"/>
      <c r="Y8"/>
      <c r="Z8"/>
      <c r="AA8"/>
      <c r="AB8"/>
      <c r="AC8"/>
      <c r="AD8"/>
      <c r="AE8"/>
      <c r="AF8"/>
      <c r="AG8"/>
      <c r="AH8"/>
      <c r="AI8"/>
      <c r="AJ8"/>
      <c r="AK8"/>
      <c r="AL8"/>
    </row>
    <row r="9" spans="1:38" ht="21.95" customHeight="1" x14ac:dyDescent="0.2">
      <c r="A9" s="2044" t="s">
        <v>9144</v>
      </c>
      <c r="B9" s="2045"/>
      <c r="C9" s="2045"/>
      <c r="D9" s="2045"/>
      <c r="E9" s="2045"/>
      <c r="F9" s="2045"/>
      <c r="G9" s="2045"/>
      <c r="H9" s="2045"/>
      <c r="I9" s="2045"/>
      <c r="J9" s="2045"/>
      <c r="K9" s="2045"/>
      <c r="L9" s="2045"/>
      <c r="M9" s="2045"/>
      <c r="N9" s="2045"/>
      <c r="O9" s="2045"/>
      <c r="P9"/>
      <c r="Q9"/>
      <c r="R9"/>
      <c r="S9"/>
      <c r="T9"/>
      <c r="U9"/>
      <c r="V9"/>
      <c r="W9"/>
      <c r="X9"/>
      <c r="Y9"/>
      <c r="Z9"/>
      <c r="AA9"/>
      <c r="AB9"/>
      <c r="AC9"/>
      <c r="AD9"/>
      <c r="AE9"/>
      <c r="AF9"/>
      <c r="AG9"/>
      <c r="AH9"/>
      <c r="AI9"/>
      <c r="AJ9"/>
      <c r="AK9"/>
      <c r="AL9"/>
    </row>
    <row r="10" spans="1:38" ht="18" customHeight="1" x14ac:dyDescent="0.2">
      <c r="A10" s="1496">
        <v>1</v>
      </c>
      <c r="B10" s="1497" t="s">
        <v>9143</v>
      </c>
      <c r="C10" s="1496" t="s">
        <v>534</v>
      </c>
      <c r="D10" s="1491"/>
      <c r="E10" s="1495"/>
      <c r="F10" s="1495">
        <v>12</v>
      </c>
      <c r="G10" s="1495">
        <v>16</v>
      </c>
      <c r="H10" s="1491"/>
      <c r="I10" s="1495"/>
      <c r="J10" s="1495">
        <v>11</v>
      </c>
      <c r="K10" s="1495">
        <v>16</v>
      </c>
      <c r="L10" s="1491"/>
      <c r="M10" s="1490">
        <f t="shared" ref="M10:M21" si="0">SUMPRODUCT($E$8:$G$8,E10:G10)</f>
        <v>396</v>
      </c>
      <c r="N10" s="1489">
        <f t="shared" ref="N10:N21" si="1">SUMPRODUCT($I$8:$K$8,I10:K10)</f>
        <v>395</v>
      </c>
      <c r="O10" s="1488">
        <f t="shared" ref="O10:O21" si="2">M10+N10</f>
        <v>791</v>
      </c>
      <c r="P10"/>
      <c r="Q10"/>
      <c r="R10"/>
      <c r="S10"/>
      <c r="T10"/>
      <c r="U10"/>
      <c r="V10"/>
      <c r="W10"/>
      <c r="X10"/>
      <c r="Y10"/>
      <c r="Z10"/>
      <c r="AA10"/>
      <c r="AB10"/>
      <c r="AC10"/>
      <c r="AD10"/>
      <c r="AE10"/>
      <c r="AF10"/>
      <c r="AG10"/>
      <c r="AH10"/>
      <c r="AI10"/>
      <c r="AJ10"/>
      <c r="AK10"/>
      <c r="AL10"/>
    </row>
    <row r="11" spans="1:38" ht="18" customHeight="1" x14ac:dyDescent="0.2">
      <c r="A11" s="1493">
        <v>2</v>
      </c>
      <c r="B11" s="1494" t="s">
        <v>9142</v>
      </c>
      <c r="C11" s="1493" t="s">
        <v>534</v>
      </c>
      <c r="D11" s="1491"/>
      <c r="E11" s="1492">
        <v>2</v>
      </c>
      <c r="F11" s="1492"/>
      <c r="G11" s="1492"/>
      <c r="H11" s="1491"/>
      <c r="I11" s="1492">
        <v>1</v>
      </c>
      <c r="J11" s="1492"/>
      <c r="K11" s="1492"/>
      <c r="L11" s="1491"/>
      <c r="M11" s="1490">
        <f t="shared" si="0"/>
        <v>2</v>
      </c>
      <c r="N11" s="1489">
        <f t="shared" si="1"/>
        <v>1</v>
      </c>
      <c r="O11" s="1488">
        <f t="shared" si="2"/>
        <v>3</v>
      </c>
      <c r="P11"/>
      <c r="Q11"/>
      <c r="R11"/>
      <c r="S11"/>
      <c r="T11"/>
      <c r="U11"/>
      <c r="V11"/>
      <c r="W11"/>
      <c r="X11"/>
      <c r="Y11"/>
      <c r="Z11"/>
      <c r="AA11"/>
      <c r="AB11"/>
      <c r="AC11"/>
      <c r="AD11"/>
      <c r="AE11"/>
      <c r="AF11"/>
      <c r="AG11"/>
      <c r="AH11"/>
      <c r="AI11"/>
      <c r="AJ11"/>
      <c r="AK11"/>
      <c r="AL11"/>
    </row>
    <row r="12" spans="1:38" ht="18" customHeight="1" x14ac:dyDescent="0.2">
      <c r="A12" s="1496">
        <v>3</v>
      </c>
      <c r="B12" s="1497" t="s">
        <v>9141</v>
      </c>
      <c r="C12" s="1496" t="s">
        <v>534</v>
      </c>
      <c r="D12" s="1491"/>
      <c r="E12" s="1495"/>
      <c r="F12" s="1495">
        <v>7</v>
      </c>
      <c r="G12" s="1495">
        <v>11</v>
      </c>
      <c r="H12" s="1491"/>
      <c r="I12" s="1495"/>
      <c r="J12" s="1495">
        <v>6</v>
      </c>
      <c r="K12" s="1495">
        <v>2</v>
      </c>
      <c r="L12" s="1491"/>
      <c r="M12" s="1490">
        <f t="shared" si="0"/>
        <v>271</v>
      </c>
      <c r="N12" s="1489">
        <f t="shared" si="1"/>
        <v>54</v>
      </c>
      <c r="O12" s="1488">
        <f t="shared" si="2"/>
        <v>325</v>
      </c>
      <c r="P12"/>
      <c r="Q12"/>
      <c r="R12"/>
      <c r="S12"/>
      <c r="T12"/>
      <c r="U12"/>
      <c r="V12"/>
      <c r="W12"/>
      <c r="X12"/>
      <c r="Y12"/>
      <c r="Z12"/>
      <c r="AA12"/>
      <c r="AB12"/>
      <c r="AC12"/>
      <c r="AD12"/>
      <c r="AE12"/>
      <c r="AF12"/>
      <c r="AG12"/>
      <c r="AH12"/>
      <c r="AI12"/>
      <c r="AJ12"/>
      <c r="AK12"/>
      <c r="AL12"/>
    </row>
    <row r="13" spans="1:38" ht="18" customHeight="1" x14ac:dyDescent="0.2">
      <c r="A13" s="1493">
        <v>4</v>
      </c>
      <c r="B13" s="1494" t="s">
        <v>9140</v>
      </c>
      <c r="C13" s="1493" t="s">
        <v>534</v>
      </c>
      <c r="D13" s="1491"/>
      <c r="E13" s="1492"/>
      <c r="F13" s="1492">
        <v>1</v>
      </c>
      <c r="G13" s="1492"/>
      <c r="H13" s="1491"/>
      <c r="I13" s="1492"/>
      <c r="J13" s="1492"/>
      <c r="K13" s="1492">
        <v>6</v>
      </c>
      <c r="L13" s="1491"/>
      <c r="M13" s="1490">
        <f t="shared" si="0"/>
        <v>1</v>
      </c>
      <c r="N13" s="1489">
        <f t="shared" si="1"/>
        <v>144</v>
      </c>
      <c r="O13" s="1488">
        <f t="shared" si="2"/>
        <v>145</v>
      </c>
      <c r="P13"/>
      <c r="Q13"/>
      <c r="R13"/>
      <c r="S13"/>
      <c r="T13"/>
      <c r="U13"/>
      <c r="V13"/>
      <c r="W13"/>
      <c r="X13"/>
      <c r="Y13"/>
      <c r="Z13"/>
      <c r="AA13"/>
      <c r="AB13"/>
      <c r="AC13"/>
      <c r="AD13"/>
      <c r="AE13"/>
      <c r="AF13"/>
      <c r="AG13"/>
      <c r="AH13"/>
      <c r="AI13"/>
      <c r="AJ13"/>
      <c r="AK13"/>
      <c r="AL13"/>
    </row>
    <row r="14" spans="1:38" ht="18" customHeight="1" x14ac:dyDescent="0.2">
      <c r="A14" s="1496">
        <v>5</v>
      </c>
      <c r="B14" s="1497" t="s">
        <v>9139</v>
      </c>
      <c r="C14" s="1496" t="s">
        <v>534</v>
      </c>
      <c r="D14" s="1491"/>
      <c r="E14" s="1495">
        <v>5</v>
      </c>
      <c r="F14" s="1495"/>
      <c r="G14" s="1495"/>
      <c r="H14" s="1491"/>
      <c r="I14" s="1495">
        <v>4</v>
      </c>
      <c r="J14" s="1495"/>
      <c r="K14" s="1495"/>
      <c r="L14" s="1491"/>
      <c r="M14" s="1490">
        <f t="shared" si="0"/>
        <v>5</v>
      </c>
      <c r="N14" s="1489">
        <f t="shared" si="1"/>
        <v>4</v>
      </c>
      <c r="O14" s="1488">
        <f t="shared" si="2"/>
        <v>9</v>
      </c>
      <c r="P14"/>
      <c r="Q14"/>
      <c r="R14"/>
      <c r="S14"/>
      <c r="T14"/>
      <c r="U14"/>
      <c r="V14"/>
      <c r="W14"/>
      <c r="X14"/>
      <c r="Y14"/>
      <c r="Z14"/>
      <c r="AA14"/>
      <c r="AB14"/>
      <c r="AC14"/>
      <c r="AD14"/>
      <c r="AE14"/>
      <c r="AF14"/>
      <c r="AG14"/>
      <c r="AH14"/>
      <c r="AI14"/>
      <c r="AJ14"/>
      <c r="AK14"/>
      <c r="AL14"/>
    </row>
    <row r="15" spans="1:38" ht="18" customHeight="1" x14ac:dyDescent="0.2">
      <c r="A15" s="1493">
        <v>6</v>
      </c>
      <c r="B15" s="1494" t="s">
        <v>9138</v>
      </c>
      <c r="C15" s="1493" t="s">
        <v>534</v>
      </c>
      <c r="D15" s="1491"/>
      <c r="E15" s="1492"/>
      <c r="F15" s="1492"/>
      <c r="G15" s="1492"/>
      <c r="H15" s="1491"/>
      <c r="I15" s="1492"/>
      <c r="J15" s="1492">
        <v>2</v>
      </c>
      <c r="K15" s="1492">
        <v>1</v>
      </c>
      <c r="L15" s="1491"/>
      <c r="M15" s="1490">
        <f t="shared" si="0"/>
        <v>0</v>
      </c>
      <c r="N15" s="1489">
        <f t="shared" si="1"/>
        <v>26</v>
      </c>
      <c r="O15" s="1488">
        <f t="shared" si="2"/>
        <v>26</v>
      </c>
      <c r="P15"/>
      <c r="Q15"/>
      <c r="R15"/>
      <c r="S15"/>
      <c r="T15"/>
      <c r="U15"/>
      <c r="V15"/>
      <c r="W15"/>
      <c r="X15"/>
      <c r="Y15"/>
      <c r="Z15"/>
      <c r="AA15"/>
      <c r="AB15"/>
      <c r="AC15"/>
      <c r="AD15"/>
      <c r="AE15"/>
      <c r="AF15"/>
      <c r="AG15"/>
      <c r="AH15"/>
      <c r="AI15"/>
      <c r="AJ15"/>
      <c r="AK15"/>
      <c r="AL15"/>
    </row>
    <row r="16" spans="1:38" ht="18" customHeight="1" x14ac:dyDescent="0.2">
      <c r="A16" s="1496">
        <v>7</v>
      </c>
      <c r="B16" s="1497" t="s">
        <v>9137</v>
      </c>
      <c r="C16" s="1496" t="s">
        <v>534</v>
      </c>
      <c r="D16" s="1491"/>
      <c r="E16" s="1495"/>
      <c r="F16" s="1495"/>
      <c r="G16" s="1495">
        <v>4</v>
      </c>
      <c r="H16" s="1491"/>
      <c r="I16" s="1495"/>
      <c r="J16" s="1495"/>
      <c r="K16" s="1495">
        <v>8</v>
      </c>
      <c r="L16" s="1491"/>
      <c r="M16" s="1490">
        <f t="shared" si="0"/>
        <v>96</v>
      </c>
      <c r="N16" s="1489">
        <f t="shared" si="1"/>
        <v>192</v>
      </c>
      <c r="O16" s="1488">
        <f t="shared" si="2"/>
        <v>288</v>
      </c>
      <c r="P16"/>
      <c r="Q16"/>
      <c r="R16"/>
      <c r="S16"/>
      <c r="T16"/>
      <c r="U16"/>
      <c r="V16"/>
      <c r="W16"/>
      <c r="X16"/>
      <c r="Y16"/>
      <c r="Z16"/>
      <c r="AA16"/>
      <c r="AB16"/>
      <c r="AC16"/>
      <c r="AD16"/>
      <c r="AE16"/>
      <c r="AF16"/>
      <c r="AG16"/>
      <c r="AH16"/>
      <c r="AI16"/>
      <c r="AJ16"/>
      <c r="AK16"/>
      <c r="AL16"/>
    </row>
    <row r="17" spans="1:38" ht="18" customHeight="1" x14ac:dyDescent="0.2">
      <c r="A17" s="1493">
        <v>8</v>
      </c>
      <c r="B17" s="1494" t="s">
        <v>9136</v>
      </c>
      <c r="C17" s="1493" t="s">
        <v>534</v>
      </c>
      <c r="D17" s="1491"/>
      <c r="E17" s="1492"/>
      <c r="F17" s="1492">
        <v>7</v>
      </c>
      <c r="G17" s="1492">
        <v>4</v>
      </c>
      <c r="H17" s="1491"/>
      <c r="I17" s="1492"/>
      <c r="J17" s="1492">
        <v>9</v>
      </c>
      <c r="K17" s="1492">
        <v>3</v>
      </c>
      <c r="L17" s="1491"/>
      <c r="M17" s="1490">
        <f t="shared" si="0"/>
        <v>103</v>
      </c>
      <c r="N17" s="1489">
        <f t="shared" si="1"/>
        <v>81</v>
      </c>
      <c r="O17" s="1488">
        <f t="shared" si="2"/>
        <v>184</v>
      </c>
      <c r="P17"/>
      <c r="Q17"/>
      <c r="R17"/>
      <c r="S17"/>
      <c r="T17"/>
      <c r="U17"/>
      <c r="V17"/>
      <c r="W17"/>
      <c r="X17"/>
      <c r="Y17"/>
      <c r="Z17"/>
      <c r="AA17"/>
      <c r="AB17"/>
      <c r="AC17"/>
      <c r="AD17"/>
      <c r="AE17"/>
      <c r="AF17"/>
      <c r="AG17"/>
      <c r="AH17"/>
      <c r="AI17"/>
      <c r="AJ17"/>
      <c r="AK17"/>
      <c r="AL17"/>
    </row>
    <row r="18" spans="1:38" ht="18" customHeight="1" x14ac:dyDescent="0.2">
      <c r="A18" s="1496">
        <v>9</v>
      </c>
      <c r="B18" s="1497" t="s">
        <v>9135</v>
      </c>
      <c r="C18" s="1496" t="s">
        <v>534</v>
      </c>
      <c r="D18" s="1491"/>
      <c r="E18" s="1495"/>
      <c r="F18" s="1495">
        <v>1</v>
      </c>
      <c r="G18" s="1495"/>
      <c r="H18" s="1491"/>
      <c r="I18" s="1495"/>
      <c r="J18" s="1495"/>
      <c r="K18" s="1495"/>
      <c r="L18" s="1491"/>
      <c r="M18" s="1490">
        <f t="shared" si="0"/>
        <v>1</v>
      </c>
      <c r="N18" s="1489">
        <f t="shared" si="1"/>
        <v>0</v>
      </c>
      <c r="O18" s="1488">
        <f t="shared" si="2"/>
        <v>1</v>
      </c>
      <c r="P18"/>
      <c r="Q18"/>
      <c r="R18"/>
      <c r="S18"/>
      <c r="T18"/>
      <c r="U18"/>
      <c r="V18"/>
      <c r="W18"/>
      <c r="X18"/>
      <c r="Y18"/>
      <c r="Z18"/>
      <c r="AA18"/>
      <c r="AB18"/>
      <c r="AC18"/>
      <c r="AD18"/>
      <c r="AE18"/>
      <c r="AF18"/>
      <c r="AG18"/>
      <c r="AH18"/>
      <c r="AI18"/>
      <c r="AJ18"/>
      <c r="AK18"/>
      <c r="AL18"/>
    </row>
    <row r="19" spans="1:38" ht="18" customHeight="1" x14ac:dyDescent="0.2">
      <c r="A19" s="1493">
        <v>10</v>
      </c>
      <c r="B19" s="1494" t="s">
        <v>9134</v>
      </c>
      <c r="C19" s="1493" t="s">
        <v>534</v>
      </c>
      <c r="D19" s="1491"/>
      <c r="E19" s="1492"/>
      <c r="F19" s="1492">
        <v>1</v>
      </c>
      <c r="G19" s="1492">
        <v>4</v>
      </c>
      <c r="H19" s="1491"/>
      <c r="I19" s="1492"/>
      <c r="J19" s="1492"/>
      <c r="K19" s="1492">
        <v>4</v>
      </c>
      <c r="L19" s="1491"/>
      <c r="M19" s="1490">
        <f t="shared" si="0"/>
        <v>97</v>
      </c>
      <c r="N19" s="1489">
        <f t="shared" si="1"/>
        <v>96</v>
      </c>
      <c r="O19" s="1488">
        <f t="shared" si="2"/>
        <v>193</v>
      </c>
      <c r="P19"/>
      <c r="Q19"/>
      <c r="R19"/>
      <c r="S19"/>
      <c r="T19"/>
      <c r="U19"/>
      <c r="V19"/>
      <c r="W19"/>
      <c r="X19"/>
      <c r="Y19"/>
      <c r="Z19"/>
      <c r="AA19"/>
      <c r="AB19"/>
      <c r="AC19"/>
      <c r="AD19"/>
      <c r="AE19"/>
      <c r="AF19"/>
      <c r="AG19"/>
      <c r="AH19"/>
      <c r="AI19"/>
      <c r="AJ19"/>
      <c r="AK19"/>
      <c r="AL19"/>
    </row>
    <row r="20" spans="1:38" ht="18" customHeight="1" x14ac:dyDescent="0.2">
      <c r="A20" s="1496">
        <v>11</v>
      </c>
      <c r="B20" s="1497" t="s">
        <v>9133</v>
      </c>
      <c r="C20" s="1496" t="s">
        <v>534</v>
      </c>
      <c r="D20" s="1491"/>
      <c r="E20" s="1495"/>
      <c r="F20" s="1495">
        <v>3</v>
      </c>
      <c r="G20" s="1495">
        <v>4</v>
      </c>
      <c r="H20" s="1491"/>
      <c r="I20" s="1495"/>
      <c r="J20" s="1495">
        <v>4</v>
      </c>
      <c r="K20" s="1495">
        <v>4</v>
      </c>
      <c r="L20" s="1491"/>
      <c r="M20" s="1490">
        <f t="shared" si="0"/>
        <v>99</v>
      </c>
      <c r="N20" s="1489">
        <f t="shared" si="1"/>
        <v>100</v>
      </c>
      <c r="O20" s="1488">
        <f t="shared" si="2"/>
        <v>199</v>
      </c>
      <c r="P20"/>
      <c r="Q20"/>
      <c r="R20"/>
      <c r="S20"/>
      <c r="T20"/>
      <c r="U20"/>
      <c r="V20"/>
      <c r="W20"/>
      <c r="X20"/>
      <c r="Y20"/>
      <c r="Z20"/>
      <c r="AA20"/>
      <c r="AB20"/>
      <c r="AC20"/>
      <c r="AD20"/>
      <c r="AE20"/>
      <c r="AF20"/>
      <c r="AG20"/>
      <c r="AH20"/>
      <c r="AI20"/>
      <c r="AJ20"/>
      <c r="AK20"/>
      <c r="AL20"/>
    </row>
    <row r="21" spans="1:38" ht="18" customHeight="1" x14ac:dyDescent="0.2">
      <c r="A21" s="1493">
        <v>12</v>
      </c>
      <c r="B21" s="1494" t="s">
        <v>9132</v>
      </c>
      <c r="C21" s="1493" t="s">
        <v>534</v>
      </c>
      <c r="D21" s="1491"/>
      <c r="E21" s="1492"/>
      <c r="F21" s="1492">
        <v>1</v>
      </c>
      <c r="G21" s="1492"/>
      <c r="H21" s="1491"/>
      <c r="I21" s="1492"/>
      <c r="J21" s="1492"/>
      <c r="K21" s="1492"/>
      <c r="L21" s="1491"/>
      <c r="M21" s="1490">
        <f t="shared" si="0"/>
        <v>1</v>
      </c>
      <c r="N21" s="1489">
        <f t="shared" si="1"/>
        <v>0</v>
      </c>
      <c r="O21" s="1488">
        <f t="shared" si="2"/>
        <v>1</v>
      </c>
      <c r="P21"/>
      <c r="Q21"/>
      <c r="R21"/>
      <c r="S21"/>
      <c r="T21"/>
      <c r="U21"/>
      <c r="V21"/>
      <c r="W21"/>
      <c r="X21"/>
      <c r="Y21"/>
      <c r="Z21"/>
      <c r="AA21"/>
      <c r="AB21"/>
      <c r="AC21"/>
      <c r="AD21"/>
      <c r="AE21"/>
      <c r="AF21"/>
      <c r="AG21"/>
      <c r="AH21"/>
      <c r="AI21"/>
      <c r="AJ21"/>
      <c r="AK21"/>
      <c r="AL21"/>
    </row>
    <row r="22" spans="1:38" ht="21.95" customHeight="1" x14ac:dyDescent="0.2">
      <c r="A22" s="2042" t="s">
        <v>9131</v>
      </c>
      <c r="B22" s="2043"/>
      <c r="C22" s="2043"/>
      <c r="D22" s="2043"/>
      <c r="E22" s="2043"/>
      <c r="F22" s="2043"/>
      <c r="G22" s="2043"/>
      <c r="H22" s="2043"/>
      <c r="I22" s="2043"/>
      <c r="J22" s="2043"/>
      <c r="K22" s="2043"/>
      <c r="L22" s="2043"/>
      <c r="M22" s="2043"/>
      <c r="N22" s="2043"/>
      <c r="O22" s="2043"/>
      <c r="P22"/>
      <c r="Q22"/>
      <c r="R22"/>
      <c r="S22"/>
      <c r="T22"/>
      <c r="U22"/>
      <c r="V22"/>
      <c r="W22"/>
      <c r="X22"/>
      <c r="Y22"/>
      <c r="Z22"/>
      <c r="AA22"/>
      <c r="AB22"/>
      <c r="AC22"/>
      <c r="AD22"/>
      <c r="AE22"/>
      <c r="AF22"/>
      <c r="AG22"/>
      <c r="AH22"/>
      <c r="AI22"/>
      <c r="AJ22"/>
      <c r="AK22"/>
      <c r="AL22"/>
    </row>
    <row r="23" spans="1:38" ht="18" customHeight="1" x14ac:dyDescent="0.2">
      <c r="A23" s="1496">
        <v>13</v>
      </c>
      <c r="B23" s="1497" t="s">
        <v>9130</v>
      </c>
      <c r="C23" s="1496" t="s">
        <v>534</v>
      </c>
      <c r="D23" s="1491"/>
      <c r="E23" s="1495"/>
      <c r="F23" s="1495">
        <v>6</v>
      </c>
      <c r="G23" s="1495">
        <v>12</v>
      </c>
      <c r="H23" s="1491"/>
      <c r="I23" s="1495">
        <v>3</v>
      </c>
      <c r="J23" s="1495"/>
      <c r="K23" s="1495">
        <v>12</v>
      </c>
      <c r="L23" s="1491"/>
      <c r="M23" s="1490">
        <f t="shared" ref="M23:M35" si="3">SUMPRODUCT($E$8:$G$8,E23:G23)</f>
        <v>294</v>
      </c>
      <c r="N23" s="1489">
        <f t="shared" ref="N23:N35" si="4">SUMPRODUCT($I$8:$K$8,I23:K23)</f>
        <v>291</v>
      </c>
      <c r="O23" s="1488">
        <f t="shared" ref="O23:O35" si="5">M23+N23</f>
        <v>585</v>
      </c>
      <c r="P23"/>
      <c r="Q23"/>
      <c r="R23"/>
      <c r="S23"/>
      <c r="T23"/>
      <c r="U23"/>
      <c r="V23"/>
      <c r="W23"/>
      <c r="X23"/>
      <c r="Y23"/>
      <c r="Z23"/>
      <c r="AA23"/>
      <c r="AB23"/>
      <c r="AC23"/>
      <c r="AD23"/>
      <c r="AE23"/>
      <c r="AF23"/>
      <c r="AG23"/>
      <c r="AH23"/>
      <c r="AI23"/>
      <c r="AJ23"/>
      <c r="AK23"/>
      <c r="AL23"/>
    </row>
    <row r="24" spans="1:38" ht="18" customHeight="1" x14ac:dyDescent="0.2">
      <c r="A24" s="1493">
        <v>14</v>
      </c>
      <c r="B24" s="1494" t="s">
        <v>9129</v>
      </c>
      <c r="C24" s="1493" t="s">
        <v>534</v>
      </c>
      <c r="D24" s="1491"/>
      <c r="E24" s="1492"/>
      <c r="F24" s="1492">
        <v>1</v>
      </c>
      <c r="G24" s="1492">
        <v>4</v>
      </c>
      <c r="H24" s="1491"/>
      <c r="I24" s="1492"/>
      <c r="J24" s="1492">
        <v>1</v>
      </c>
      <c r="K24" s="1492">
        <v>3</v>
      </c>
      <c r="L24" s="1491"/>
      <c r="M24" s="1490">
        <f t="shared" si="3"/>
        <v>97</v>
      </c>
      <c r="N24" s="1489">
        <f t="shared" si="4"/>
        <v>73</v>
      </c>
      <c r="O24" s="1488">
        <f t="shared" si="5"/>
        <v>170</v>
      </c>
      <c r="P24"/>
      <c r="Q24"/>
      <c r="R24"/>
      <c r="S24"/>
      <c r="T24"/>
      <c r="U24"/>
      <c r="V24"/>
      <c r="W24"/>
      <c r="X24"/>
      <c r="Y24"/>
      <c r="Z24"/>
      <c r="AA24"/>
      <c r="AB24"/>
      <c r="AC24"/>
      <c r="AD24"/>
      <c r="AE24"/>
      <c r="AF24"/>
      <c r="AG24"/>
      <c r="AH24"/>
      <c r="AI24"/>
      <c r="AJ24"/>
      <c r="AK24"/>
      <c r="AL24"/>
    </row>
    <row r="25" spans="1:38" ht="18" customHeight="1" x14ac:dyDescent="0.2">
      <c r="A25" s="1496">
        <v>15</v>
      </c>
      <c r="B25" s="1497" t="s">
        <v>9128</v>
      </c>
      <c r="C25" s="1496" t="s">
        <v>534</v>
      </c>
      <c r="D25" s="1491"/>
      <c r="E25" s="1495">
        <v>10</v>
      </c>
      <c r="F25" s="1495"/>
      <c r="G25" s="1495"/>
      <c r="H25" s="1491"/>
      <c r="I25" s="1495">
        <v>8</v>
      </c>
      <c r="J25" s="1495"/>
      <c r="K25" s="1495"/>
      <c r="L25" s="1491"/>
      <c r="M25" s="1490">
        <f t="shared" si="3"/>
        <v>10</v>
      </c>
      <c r="N25" s="1489">
        <f t="shared" si="4"/>
        <v>8</v>
      </c>
      <c r="O25" s="1488">
        <f t="shared" si="5"/>
        <v>18</v>
      </c>
      <c r="P25"/>
      <c r="Q25"/>
      <c r="R25"/>
      <c r="S25"/>
      <c r="T25"/>
      <c r="U25"/>
      <c r="V25"/>
      <c r="W25"/>
      <c r="X25"/>
      <c r="Y25"/>
      <c r="Z25"/>
      <c r="AA25"/>
      <c r="AB25"/>
      <c r="AC25"/>
      <c r="AD25"/>
      <c r="AE25"/>
      <c r="AF25"/>
      <c r="AG25"/>
      <c r="AH25"/>
      <c r="AI25"/>
      <c r="AJ25"/>
      <c r="AK25"/>
      <c r="AL25"/>
    </row>
    <row r="26" spans="1:38" ht="18" customHeight="1" x14ac:dyDescent="0.2">
      <c r="A26" s="1493">
        <v>16</v>
      </c>
      <c r="B26" s="1494" t="s">
        <v>9127</v>
      </c>
      <c r="C26" s="1493" t="s">
        <v>534</v>
      </c>
      <c r="D26" s="1491"/>
      <c r="E26" s="1499">
        <f>SUM(E16:E18)</f>
        <v>0</v>
      </c>
      <c r="F26" s="1499">
        <f>SUM(F16:F18)</f>
        <v>8</v>
      </c>
      <c r="G26" s="1499">
        <f>SUM(G16:G18)</f>
        <v>8</v>
      </c>
      <c r="H26" s="1491"/>
      <c r="I26" s="1499">
        <f>SUM(I16:I18)</f>
        <v>0</v>
      </c>
      <c r="J26" s="1499">
        <f>SUM(J16:J18)</f>
        <v>9</v>
      </c>
      <c r="K26" s="1499">
        <f>SUM(K16:K18)</f>
        <v>11</v>
      </c>
      <c r="L26" s="1491"/>
      <c r="M26" s="1490">
        <f t="shared" si="3"/>
        <v>200</v>
      </c>
      <c r="N26" s="1489">
        <f t="shared" si="4"/>
        <v>273</v>
      </c>
      <c r="O26" s="1488">
        <f t="shared" si="5"/>
        <v>473</v>
      </c>
      <c r="P26"/>
      <c r="Q26"/>
      <c r="R26"/>
      <c r="S26"/>
      <c r="T26"/>
      <c r="U26"/>
      <c r="V26"/>
      <c r="W26"/>
      <c r="X26"/>
      <c r="Y26"/>
      <c r="Z26"/>
      <c r="AA26"/>
      <c r="AB26"/>
      <c r="AC26"/>
      <c r="AD26"/>
      <c r="AE26"/>
      <c r="AF26"/>
      <c r="AG26"/>
      <c r="AH26"/>
      <c r="AI26"/>
      <c r="AJ26"/>
      <c r="AK26"/>
      <c r="AL26"/>
    </row>
    <row r="27" spans="1:38" ht="18" customHeight="1" x14ac:dyDescent="0.2">
      <c r="A27" s="1496">
        <v>17</v>
      </c>
      <c r="B27" s="1497" t="s">
        <v>9126</v>
      </c>
      <c r="C27" s="1496" t="s">
        <v>534</v>
      </c>
      <c r="D27" s="1491"/>
      <c r="E27" s="1498">
        <f>SUM(E12:E15)</f>
        <v>5</v>
      </c>
      <c r="F27" s="1498">
        <f>SUM(F12:F15)</f>
        <v>8</v>
      </c>
      <c r="G27" s="1498">
        <f>SUM(G12:G15)</f>
        <v>11</v>
      </c>
      <c r="H27" s="1491"/>
      <c r="I27" s="1498">
        <f>SUM(I12:I15)</f>
        <v>4</v>
      </c>
      <c r="J27" s="1498">
        <f>SUM(J12:J15)</f>
        <v>8</v>
      </c>
      <c r="K27" s="1498">
        <f>SUM(K12:K15)</f>
        <v>9</v>
      </c>
      <c r="L27" s="1491"/>
      <c r="M27" s="1490">
        <f t="shared" si="3"/>
        <v>277</v>
      </c>
      <c r="N27" s="1489">
        <f t="shared" si="4"/>
        <v>228</v>
      </c>
      <c r="O27" s="1488">
        <f t="shared" si="5"/>
        <v>505</v>
      </c>
      <c r="P27"/>
      <c r="Q27"/>
      <c r="R27"/>
      <c r="S27"/>
      <c r="T27"/>
      <c r="U27"/>
      <c r="V27"/>
      <c r="W27"/>
      <c r="X27"/>
      <c r="Y27"/>
      <c r="Z27"/>
      <c r="AA27"/>
      <c r="AB27"/>
      <c r="AC27"/>
      <c r="AD27"/>
      <c r="AE27"/>
      <c r="AF27"/>
      <c r="AG27"/>
      <c r="AH27"/>
      <c r="AI27"/>
      <c r="AJ27"/>
      <c r="AK27"/>
      <c r="AL27"/>
    </row>
    <row r="28" spans="1:38" ht="18" customHeight="1" x14ac:dyDescent="0.2">
      <c r="A28" s="1493">
        <v>18</v>
      </c>
      <c r="B28" s="1494" t="s">
        <v>9125</v>
      </c>
      <c r="C28" s="1493" t="s">
        <v>534</v>
      </c>
      <c r="D28" s="1491"/>
      <c r="E28" s="1492"/>
      <c r="F28" s="1492">
        <v>6</v>
      </c>
      <c r="G28" s="1492">
        <v>12</v>
      </c>
      <c r="H28" s="1491"/>
      <c r="I28" s="1492">
        <v>3</v>
      </c>
      <c r="J28" s="1492"/>
      <c r="K28" s="1492">
        <v>12</v>
      </c>
      <c r="L28" s="1491"/>
      <c r="M28" s="1490">
        <f t="shared" si="3"/>
        <v>294</v>
      </c>
      <c r="N28" s="1489">
        <f t="shared" si="4"/>
        <v>291</v>
      </c>
      <c r="O28" s="1488">
        <f t="shared" si="5"/>
        <v>585</v>
      </c>
      <c r="P28"/>
      <c r="Q28"/>
      <c r="R28"/>
      <c r="S28"/>
      <c r="T28"/>
      <c r="U28"/>
      <c r="V28"/>
      <c r="W28"/>
      <c r="X28"/>
      <c r="Y28"/>
      <c r="Z28"/>
      <c r="AA28"/>
      <c r="AB28"/>
      <c r="AC28"/>
      <c r="AD28"/>
      <c r="AE28"/>
      <c r="AF28"/>
      <c r="AG28"/>
      <c r="AH28"/>
      <c r="AI28"/>
      <c r="AJ28"/>
      <c r="AK28"/>
      <c r="AL28"/>
    </row>
    <row r="29" spans="1:38" ht="18" customHeight="1" x14ac:dyDescent="0.2">
      <c r="A29" s="1496">
        <v>19</v>
      </c>
      <c r="B29" s="1497" t="s">
        <v>9124</v>
      </c>
      <c r="C29" s="1496" t="s">
        <v>534</v>
      </c>
      <c r="D29" s="1491"/>
      <c r="E29" s="1498">
        <f>SUM(E12:E19)</f>
        <v>5</v>
      </c>
      <c r="F29" s="1498">
        <f>SUM(F12:F19)</f>
        <v>17</v>
      </c>
      <c r="G29" s="1498">
        <f>SUM(G12:G19)</f>
        <v>23</v>
      </c>
      <c r="H29" s="1491"/>
      <c r="I29" s="1498">
        <f>SUM(I12:I19)</f>
        <v>4</v>
      </c>
      <c r="J29" s="1498">
        <f>SUM(J12:J19)</f>
        <v>17</v>
      </c>
      <c r="K29" s="1498">
        <f>SUM(K12:K19)</f>
        <v>24</v>
      </c>
      <c r="L29" s="1491"/>
      <c r="M29" s="1490">
        <f t="shared" si="3"/>
        <v>574</v>
      </c>
      <c r="N29" s="1489">
        <f t="shared" si="4"/>
        <v>597</v>
      </c>
      <c r="O29" s="1488">
        <f t="shared" si="5"/>
        <v>1171</v>
      </c>
      <c r="P29"/>
      <c r="Q29"/>
      <c r="R29"/>
      <c r="S29"/>
      <c r="T29"/>
      <c r="U29"/>
      <c r="V29"/>
      <c r="W29"/>
      <c r="X29"/>
      <c r="Y29"/>
      <c r="Z29"/>
      <c r="AA29"/>
      <c r="AB29"/>
      <c r="AC29"/>
      <c r="AD29"/>
      <c r="AE29"/>
      <c r="AF29"/>
      <c r="AG29"/>
      <c r="AH29"/>
      <c r="AI29"/>
      <c r="AJ29"/>
      <c r="AK29"/>
      <c r="AL29"/>
    </row>
    <row r="30" spans="1:38" ht="18" customHeight="1" x14ac:dyDescent="0.2">
      <c r="A30" s="1493">
        <v>20</v>
      </c>
      <c r="B30" s="1494" t="s">
        <v>9123</v>
      </c>
      <c r="C30" s="1493" t="s">
        <v>534</v>
      </c>
      <c r="D30" s="1491"/>
      <c r="E30" s="1499">
        <f>SUM(E10:E11)</f>
        <v>2</v>
      </c>
      <c r="F30" s="1499">
        <f>SUM(F10:F11)</f>
        <v>12</v>
      </c>
      <c r="G30" s="1499">
        <f>SUM(G10:G11)</f>
        <v>16</v>
      </c>
      <c r="H30" s="1491"/>
      <c r="I30" s="1499">
        <f>SUM(I10:I11)</f>
        <v>1</v>
      </c>
      <c r="J30" s="1499">
        <f>SUM(J10:J11)</f>
        <v>11</v>
      </c>
      <c r="K30" s="1499">
        <f>SUM(K10:K11)</f>
        <v>16</v>
      </c>
      <c r="L30" s="1491"/>
      <c r="M30" s="1490">
        <f t="shared" si="3"/>
        <v>398</v>
      </c>
      <c r="N30" s="1489">
        <f t="shared" si="4"/>
        <v>396</v>
      </c>
      <c r="O30" s="1488">
        <f t="shared" si="5"/>
        <v>794</v>
      </c>
      <c r="P30"/>
      <c r="Q30"/>
      <c r="R30"/>
      <c r="S30"/>
      <c r="T30"/>
      <c r="U30"/>
      <c r="V30"/>
      <c r="W30"/>
      <c r="X30"/>
      <c r="Y30"/>
      <c r="Z30"/>
      <c r="AA30"/>
      <c r="AB30"/>
      <c r="AC30"/>
      <c r="AD30"/>
      <c r="AE30"/>
      <c r="AF30"/>
      <c r="AG30"/>
      <c r="AH30"/>
      <c r="AI30"/>
      <c r="AJ30"/>
      <c r="AK30"/>
      <c r="AL30"/>
    </row>
    <row r="31" spans="1:38" ht="18" customHeight="1" x14ac:dyDescent="0.2">
      <c r="A31" s="1496">
        <v>21</v>
      </c>
      <c r="B31" s="1497" t="s">
        <v>9122</v>
      </c>
      <c r="C31" s="1496" t="s">
        <v>534</v>
      </c>
      <c r="D31" s="1491"/>
      <c r="E31" s="1498">
        <f>SUM(E10:E11)</f>
        <v>2</v>
      </c>
      <c r="F31" s="1498">
        <f>SUM(F10:F11)</f>
        <v>12</v>
      </c>
      <c r="G31" s="1498">
        <f>SUM(G10:G11)</f>
        <v>16</v>
      </c>
      <c r="H31" s="1491"/>
      <c r="I31" s="1498">
        <f>SUM(I10:I11)</f>
        <v>1</v>
      </c>
      <c r="J31" s="1498">
        <f>SUM(J10:J11)</f>
        <v>11</v>
      </c>
      <c r="K31" s="1498">
        <f>SUM(K10:K11)</f>
        <v>16</v>
      </c>
      <c r="L31" s="1491"/>
      <c r="M31" s="1490">
        <f t="shared" si="3"/>
        <v>398</v>
      </c>
      <c r="N31" s="1489">
        <f t="shared" si="4"/>
        <v>396</v>
      </c>
      <c r="O31" s="1488">
        <f t="shared" si="5"/>
        <v>794</v>
      </c>
      <c r="P31"/>
      <c r="Q31"/>
      <c r="R31"/>
      <c r="S31"/>
      <c r="T31"/>
      <c r="U31"/>
      <c r="V31"/>
      <c r="W31"/>
      <c r="X31"/>
      <c r="Y31"/>
      <c r="Z31"/>
      <c r="AA31"/>
      <c r="AB31"/>
      <c r="AC31"/>
      <c r="AD31"/>
      <c r="AE31"/>
      <c r="AF31"/>
      <c r="AG31"/>
      <c r="AH31"/>
      <c r="AI31"/>
      <c r="AJ31"/>
      <c r="AK31"/>
      <c r="AL31"/>
    </row>
    <row r="32" spans="1:38" ht="18" customHeight="1" x14ac:dyDescent="0.2">
      <c r="A32" s="1493">
        <v>22</v>
      </c>
      <c r="B32" s="1494" t="s">
        <v>9121</v>
      </c>
      <c r="C32" s="1493" t="s">
        <v>534</v>
      </c>
      <c r="D32" s="1491"/>
      <c r="E32" s="1499">
        <f>SUM(E10:E11)*4</f>
        <v>8</v>
      </c>
      <c r="F32" s="1499">
        <f>SUM(F10:F11)*4</f>
        <v>48</v>
      </c>
      <c r="G32" s="1499">
        <f>SUM(G10:G11)*4</f>
        <v>64</v>
      </c>
      <c r="H32" s="1491"/>
      <c r="I32" s="1499">
        <f>SUM(I10:I11)*4</f>
        <v>4</v>
      </c>
      <c r="J32" s="1499">
        <f>SUM(J10:J11)*4</f>
        <v>44</v>
      </c>
      <c r="K32" s="1499">
        <f>SUM(K10:K11)*4</f>
        <v>64</v>
      </c>
      <c r="L32" s="1491"/>
      <c r="M32" s="1490">
        <f t="shared" si="3"/>
        <v>1592</v>
      </c>
      <c r="N32" s="1489">
        <f t="shared" si="4"/>
        <v>1584</v>
      </c>
      <c r="O32" s="1488">
        <f t="shared" si="5"/>
        <v>3176</v>
      </c>
      <c r="P32"/>
      <c r="Q32"/>
      <c r="R32"/>
      <c r="S32"/>
      <c r="T32"/>
      <c r="U32"/>
      <c r="V32"/>
      <c r="W32"/>
      <c r="X32"/>
      <c r="Y32"/>
      <c r="Z32"/>
      <c r="AA32"/>
      <c r="AB32"/>
      <c r="AC32"/>
      <c r="AD32"/>
      <c r="AE32"/>
      <c r="AF32"/>
      <c r="AG32"/>
      <c r="AH32"/>
      <c r="AI32"/>
      <c r="AJ32"/>
      <c r="AK32"/>
      <c r="AL32"/>
    </row>
    <row r="33" spans="1:38" ht="18" customHeight="1" x14ac:dyDescent="0.2">
      <c r="A33" s="1496">
        <v>23</v>
      </c>
      <c r="B33" s="1497" t="s">
        <v>9120</v>
      </c>
      <c r="C33" s="1496" t="s">
        <v>534</v>
      </c>
      <c r="D33" s="1491"/>
      <c r="E33" s="1498">
        <f>SUM(E12:E15)</f>
        <v>5</v>
      </c>
      <c r="F33" s="1498">
        <f>SUM(F12:F15)</f>
        <v>8</v>
      </c>
      <c r="G33" s="1498">
        <f>SUM(G12:G15)</f>
        <v>11</v>
      </c>
      <c r="H33" s="1491"/>
      <c r="I33" s="1498">
        <f>SUM(I12:I15)</f>
        <v>4</v>
      </c>
      <c r="J33" s="1498">
        <f>SUM(J12:J15)</f>
        <v>8</v>
      </c>
      <c r="K33" s="1498">
        <f>SUM(K12:K15)</f>
        <v>9</v>
      </c>
      <c r="L33" s="1491"/>
      <c r="M33" s="1490">
        <f t="shared" si="3"/>
        <v>277</v>
      </c>
      <c r="N33" s="1489">
        <f t="shared" si="4"/>
        <v>228</v>
      </c>
      <c r="O33" s="1488">
        <f t="shared" si="5"/>
        <v>505</v>
      </c>
      <c r="P33"/>
      <c r="Q33"/>
      <c r="R33"/>
      <c r="S33"/>
      <c r="T33"/>
      <c r="U33"/>
      <c r="V33"/>
      <c r="W33"/>
      <c r="X33"/>
      <c r="Y33"/>
      <c r="Z33"/>
      <c r="AA33"/>
      <c r="AB33"/>
      <c r="AC33"/>
      <c r="AD33"/>
      <c r="AE33"/>
      <c r="AF33"/>
      <c r="AG33"/>
      <c r="AH33"/>
      <c r="AI33"/>
      <c r="AJ33"/>
      <c r="AK33"/>
      <c r="AL33"/>
    </row>
    <row r="34" spans="1:38" ht="18" customHeight="1" x14ac:dyDescent="0.2">
      <c r="A34" s="1493">
        <v>24</v>
      </c>
      <c r="B34" s="1494" t="s">
        <v>9119</v>
      </c>
      <c r="C34" s="1493" t="s">
        <v>534</v>
      </c>
      <c r="D34" s="1491"/>
      <c r="E34" s="1499">
        <f>SUM(E16:E18)</f>
        <v>0</v>
      </c>
      <c r="F34" s="1499">
        <f>SUM(F16:F18)</f>
        <v>8</v>
      </c>
      <c r="G34" s="1499">
        <f>SUM(G16:G18)</f>
        <v>8</v>
      </c>
      <c r="H34" s="1491"/>
      <c r="I34" s="1499">
        <f>SUM(I16:I18)</f>
        <v>0</v>
      </c>
      <c r="J34" s="1499">
        <f>SUM(J16:J18)</f>
        <v>9</v>
      </c>
      <c r="K34" s="1499">
        <f>SUM(K16:K18)</f>
        <v>11</v>
      </c>
      <c r="L34" s="1491"/>
      <c r="M34" s="1490">
        <f t="shared" si="3"/>
        <v>200</v>
      </c>
      <c r="N34" s="1489">
        <f t="shared" si="4"/>
        <v>273</v>
      </c>
      <c r="O34" s="1488">
        <f t="shared" si="5"/>
        <v>473</v>
      </c>
      <c r="P34"/>
      <c r="Q34"/>
      <c r="R34"/>
      <c r="S34"/>
      <c r="T34"/>
      <c r="U34"/>
      <c r="V34"/>
      <c r="W34"/>
      <c r="X34"/>
      <c r="Y34"/>
      <c r="Z34"/>
      <c r="AA34"/>
      <c r="AB34"/>
      <c r="AC34"/>
      <c r="AD34"/>
      <c r="AE34"/>
      <c r="AF34"/>
      <c r="AG34"/>
      <c r="AH34"/>
      <c r="AI34"/>
      <c r="AJ34"/>
      <c r="AK34"/>
      <c r="AL34"/>
    </row>
    <row r="35" spans="1:38" ht="18" customHeight="1" x14ac:dyDescent="0.2">
      <c r="A35" s="1496">
        <v>25</v>
      </c>
      <c r="B35" s="1497" t="s">
        <v>9118</v>
      </c>
      <c r="C35" s="1496" t="s">
        <v>534</v>
      </c>
      <c r="D35" s="1491"/>
      <c r="E35" s="1498">
        <f>E19</f>
        <v>0</v>
      </c>
      <c r="F35" s="1498">
        <f>F19</f>
        <v>1</v>
      </c>
      <c r="G35" s="1498">
        <f>G19</f>
        <v>4</v>
      </c>
      <c r="H35" s="1491"/>
      <c r="I35" s="1498">
        <f>I19</f>
        <v>0</v>
      </c>
      <c r="J35" s="1498">
        <f>J19</f>
        <v>0</v>
      </c>
      <c r="K35" s="1498">
        <f>K19</f>
        <v>4</v>
      </c>
      <c r="L35" s="1491"/>
      <c r="M35" s="1490">
        <f t="shared" si="3"/>
        <v>97</v>
      </c>
      <c r="N35" s="1489">
        <f t="shared" si="4"/>
        <v>96</v>
      </c>
      <c r="O35" s="1488">
        <f t="shared" si="5"/>
        <v>193</v>
      </c>
      <c r="P35"/>
      <c r="Q35"/>
      <c r="R35"/>
      <c r="S35"/>
      <c r="T35"/>
      <c r="U35"/>
      <c r="V35"/>
      <c r="W35"/>
      <c r="X35"/>
      <c r="Y35"/>
      <c r="Z35"/>
      <c r="AA35"/>
      <c r="AB35"/>
      <c r="AC35"/>
      <c r="AD35"/>
      <c r="AE35"/>
      <c r="AF35"/>
      <c r="AG35"/>
      <c r="AH35"/>
      <c r="AI35"/>
      <c r="AJ35"/>
      <c r="AK35"/>
      <c r="AL35"/>
    </row>
    <row r="36" spans="1:38" ht="21.95" customHeight="1" x14ac:dyDescent="0.2">
      <c r="A36" s="2036" t="s">
        <v>9117</v>
      </c>
      <c r="B36" s="2037"/>
      <c r="C36" s="2037"/>
      <c r="D36" s="2037"/>
      <c r="E36" s="2037"/>
      <c r="F36" s="2037"/>
      <c r="G36" s="2037"/>
      <c r="H36" s="2037"/>
      <c r="I36" s="2037"/>
      <c r="J36" s="2037"/>
      <c r="K36" s="2037"/>
      <c r="L36" s="2037"/>
      <c r="M36" s="2037"/>
      <c r="N36" s="2037"/>
      <c r="O36" s="2037"/>
      <c r="P36"/>
      <c r="Q36"/>
      <c r="R36"/>
      <c r="S36"/>
      <c r="T36"/>
      <c r="U36"/>
      <c r="V36"/>
      <c r="W36"/>
      <c r="X36"/>
      <c r="Y36"/>
      <c r="Z36"/>
      <c r="AA36"/>
      <c r="AB36"/>
      <c r="AC36"/>
      <c r="AD36"/>
      <c r="AE36"/>
      <c r="AF36"/>
      <c r="AG36"/>
      <c r="AH36"/>
      <c r="AI36"/>
      <c r="AJ36"/>
      <c r="AK36"/>
      <c r="AL36"/>
    </row>
    <row r="37" spans="1:38" ht="18" customHeight="1" x14ac:dyDescent="0.2">
      <c r="A37" s="1493">
        <v>26</v>
      </c>
      <c r="B37" s="1494" t="s">
        <v>9116</v>
      </c>
      <c r="C37" s="1493" t="s">
        <v>534</v>
      </c>
      <c r="D37" s="1491"/>
      <c r="E37" s="1492"/>
      <c r="F37" s="1492">
        <v>1</v>
      </c>
      <c r="G37" s="1492">
        <v>4</v>
      </c>
      <c r="H37" s="1491"/>
      <c r="I37" s="1492"/>
      <c r="J37" s="1492"/>
      <c r="K37" s="1492">
        <v>4</v>
      </c>
      <c r="L37" s="1491"/>
      <c r="M37" s="1490">
        <f>SUMPRODUCT($E$8:$G$8,E37:G37)</f>
        <v>97</v>
      </c>
      <c r="N37" s="1489">
        <f>SUMPRODUCT($I$8:$K$8,I37:K37)</f>
        <v>96</v>
      </c>
      <c r="O37" s="1488">
        <f>M37+N37</f>
        <v>193</v>
      </c>
      <c r="P37"/>
      <c r="Q37"/>
      <c r="R37"/>
      <c r="S37"/>
      <c r="T37"/>
      <c r="U37"/>
      <c r="V37"/>
      <c r="W37"/>
      <c r="X37"/>
      <c r="Y37"/>
      <c r="Z37"/>
      <c r="AA37"/>
      <c r="AB37"/>
      <c r="AC37"/>
      <c r="AD37"/>
      <c r="AE37"/>
      <c r="AF37"/>
      <c r="AG37"/>
      <c r="AH37"/>
      <c r="AI37"/>
      <c r="AJ37"/>
      <c r="AK37"/>
      <c r="AL37"/>
    </row>
    <row r="38" spans="1:38" ht="18" customHeight="1" x14ac:dyDescent="0.2">
      <c r="A38" s="1496">
        <v>27</v>
      </c>
      <c r="B38" s="1497" t="s">
        <v>9115</v>
      </c>
      <c r="C38" s="1496" t="s">
        <v>534</v>
      </c>
      <c r="D38" s="1491"/>
      <c r="E38" s="1495"/>
      <c r="F38" s="1495"/>
      <c r="G38" s="1495">
        <v>4</v>
      </c>
      <c r="H38" s="1491"/>
      <c r="I38" s="1495"/>
      <c r="J38" s="1495"/>
      <c r="K38" s="1495">
        <v>4</v>
      </c>
      <c r="L38" s="1491"/>
      <c r="M38" s="1490">
        <f>SUMPRODUCT($E$8:$G$8,E38:G38)</f>
        <v>96</v>
      </c>
      <c r="N38" s="1489">
        <f>SUMPRODUCT($I$8:$K$8,I38:K38)</f>
        <v>96</v>
      </c>
      <c r="O38" s="1488">
        <f>M38+N38</f>
        <v>192</v>
      </c>
      <c r="P38"/>
      <c r="Q38"/>
      <c r="R38"/>
      <c r="S38"/>
      <c r="T38"/>
      <c r="U38"/>
      <c r="V38"/>
      <c r="W38"/>
      <c r="X38"/>
      <c r="Y38"/>
      <c r="Z38"/>
      <c r="AA38"/>
      <c r="AB38"/>
      <c r="AC38"/>
      <c r="AD38"/>
      <c r="AE38"/>
      <c r="AF38"/>
      <c r="AG38"/>
      <c r="AH38"/>
      <c r="AI38"/>
      <c r="AJ38"/>
      <c r="AK38"/>
      <c r="AL38"/>
    </row>
    <row r="39" spans="1:38" ht="21.95" customHeight="1" x14ac:dyDescent="0.2">
      <c r="A39" s="2040" t="s">
        <v>9114</v>
      </c>
      <c r="B39" s="2041"/>
      <c r="C39" s="2041"/>
      <c r="D39" s="2041"/>
      <c r="E39" s="2041"/>
      <c r="F39" s="2041"/>
      <c r="G39" s="2041"/>
      <c r="H39" s="2041"/>
      <c r="I39" s="2041"/>
      <c r="J39" s="2041"/>
      <c r="K39" s="2041"/>
      <c r="L39" s="2041"/>
      <c r="M39" s="2041"/>
      <c r="N39" s="2041"/>
      <c r="O39" s="2041"/>
      <c r="P39"/>
      <c r="Q39"/>
      <c r="R39"/>
      <c r="S39"/>
      <c r="T39"/>
      <c r="U39"/>
      <c r="V39"/>
      <c r="W39"/>
      <c r="X39"/>
      <c r="Y39"/>
      <c r="Z39"/>
      <c r="AA39"/>
      <c r="AB39"/>
      <c r="AC39"/>
      <c r="AD39"/>
      <c r="AE39"/>
      <c r="AF39"/>
      <c r="AG39"/>
      <c r="AH39"/>
      <c r="AI39"/>
      <c r="AJ39"/>
      <c r="AK39"/>
      <c r="AL39"/>
    </row>
    <row r="40" spans="1:38" ht="18" customHeight="1" x14ac:dyDescent="0.2">
      <c r="A40" s="1493">
        <v>28</v>
      </c>
      <c r="B40" s="1494" t="s">
        <v>9113</v>
      </c>
      <c r="C40" s="1493" t="s">
        <v>534</v>
      </c>
      <c r="D40" s="1491"/>
      <c r="E40" s="1492"/>
      <c r="F40" s="1492">
        <v>16</v>
      </c>
      <c r="G40" s="1492">
        <v>19</v>
      </c>
      <c r="H40" s="1491"/>
      <c r="I40" s="1492"/>
      <c r="J40" s="1492">
        <v>21</v>
      </c>
      <c r="K40" s="1492">
        <v>20</v>
      </c>
      <c r="L40" s="1491"/>
      <c r="M40" s="1490">
        <f>SUMPRODUCT($E$8:$G$8,E40:G40)</f>
        <v>472</v>
      </c>
      <c r="N40" s="1489">
        <f>SUMPRODUCT($I$8:$K$8,I40:K40)</f>
        <v>501</v>
      </c>
      <c r="O40" s="1488">
        <f>M40+N40</f>
        <v>973</v>
      </c>
      <c r="P40"/>
      <c r="Q40"/>
      <c r="R40"/>
      <c r="S40"/>
      <c r="T40"/>
      <c r="U40"/>
      <c r="V40"/>
      <c r="W40"/>
      <c r="X40"/>
      <c r="Y40"/>
      <c r="Z40"/>
      <c r="AA40"/>
      <c r="AB40"/>
      <c r="AC40"/>
      <c r="AD40"/>
      <c r="AE40"/>
      <c r="AF40"/>
      <c r="AG40"/>
      <c r="AH40"/>
      <c r="AI40"/>
      <c r="AJ40"/>
      <c r="AK40"/>
      <c r="AL40"/>
    </row>
    <row r="41" spans="1:38" x14ac:dyDescent="0.2">
      <c r="P41"/>
      <c r="Q41"/>
      <c r="R41"/>
      <c r="S41"/>
      <c r="T41"/>
      <c r="U41"/>
      <c r="V41"/>
      <c r="W41"/>
      <c r="X41"/>
      <c r="Y41"/>
      <c r="Z41"/>
      <c r="AA41"/>
      <c r="AB41"/>
      <c r="AC41"/>
      <c r="AD41"/>
      <c r="AE41"/>
      <c r="AF41"/>
      <c r="AG41"/>
      <c r="AH41"/>
      <c r="AI41"/>
      <c r="AJ41"/>
      <c r="AK41"/>
      <c r="AL41"/>
    </row>
    <row r="42" spans="1:38" ht="20.100000000000001" customHeight="1" x14ac:dyDescent="0.2">
      <c r="B42" s="1487" t="s">
        <v>9112</v>
      </c>
      <c r="M42" s="1486">
        <f>SUM(M10:M21)</f>
        <v>1072</v>
      </c>
      <c r="N42" s="1485">
        <f>SUM(N10:N21)</f>
        <v>1093</v>
      </c>
      <c r="O42" s="1484">
        <f>SUM(O10:O21)</f>
        <v>2165</v>
      </c>
      <c r="P42"/>
      <c r="Q42"/>
      <c r="R42"/>
      <c r="S42"/>
      <c r="T42"/>
      <c r="U42"/>
      <c r="V42"/>
      <c r="W42"/>
      <c r="X42"/>
      <c r="Y42"/>
      <c r="Z42"/>
      <c r="AA42"/>
      <c r="AB42"/>
      <c r="AC42"/>
      <c r="AD42"/>
      <c r="AE42"/>
      <c r="AF42"/>
      <c r="AG42"/>
      <c r="AH42"/>
      <c r="AI42"/>
      <c r="AJ42"/>
      <c r="AK42"/>
      <c r="AL42"/>
    </row>
    <row r="43" spans="1:38" ht="20.100000000000001" customHeight="1" x14ac:dyDescent="0.2">
      <c r="B43" s="1487" t="s">
        <v>9111</v>
      </c>
      <c r="M43" s="1486">
        <f>SUM(M23:M35)</f>
        <v>4708</v>
      </c>
      <c r="N43" s="1485">
        <f>SUM(N23:N35)</f>
        <v>4734</v>
      </c>
      <c r="O43" s="1484">
        <f>SUM(O23:O35)</f>
        <v>9442</v>
      </c>
      <c r="P43"/>
      <c r="Q43"/>
      <c r="R43"/>
      <c r="S43"/>
      <c r="T43"/>
      <c r="U43"/>
      <c r="V43"/>
      <c r="W43"/>
      <c r="X43"/>
      <c r="Y43"/>
      <c r="Z43"/>
      <c r="AA43"/>
      <c r="AB43"/>
      <c r="AC43"/>
      <c r="AD43"/>
      <c r="AE43"/>
      <c r="AF43"/>
      <c r="AG43"/>
      <c r="AH43"/>
      <c r="AI43"/>
      <c r="AJ43"/>
      <c r="AK43"/>
      <c r="AL43"/>
    </row>
    <row r="44" spans="1:38" ht="20.100000000000001" customHeight="1" x14ac:dyDescent="0.2">
      <c r="B44" s="1487" t="s">
        <v>9110</v>
      </c>
      <c r="M44" s="1486">
        <f>SUM(M37:M38)</f>
        <v>193</v>
      </c>
      <c r="N44" s="1485">
        <f>SUM(N37:N38)</f>
        <v>192</v>
      </c>
      <c r="O44" s="1484">
        <f>SUM(O37:O38)</f>
        <v>385</v>
      </c>
      <c r="P44"/>
      <c r="Q44"/>
      <c r="R44"/>
      <c r="S44"/>
      <c r="T44"/>
      <c r="U44"/>
      <c r="V44"/>
      <c r="W44"/>
      <c r="X44"/>
      <c r="Y44"/>
      <c r="Z44"/>
      <c r="AA44"/>
      <c r="AB44"/>
      <c r="AC44"/>
      <c r="AD44"/>
      <c r="AE44"/>
      <c r="AF44"/>
      <c r="AG44"/>
      <c r="AH44"/>
      <c r="AI44"/>
      <c r="AJ44"/>
      <c r="AK44"/>
      <c r="AL44"/>
    </row>
    <row r="45" spans="1:38" ht="20.100000000000001" customHeight="1" x14ac:dyDescent="0.2">
      <c r="B45" s="1487" t="s">
        <v>9109</v>
      </c>
      <c r="M45" s="1486">
        <f>SUM(M40:M40)</f>
        <v>472</v>
      </c>
      <c r="N45" s="1485">
        <f>SUM(N40:N40)</f>
        <v>501</v>
      </c>
      <c r="O45" s="1484">
        <f>SUM(O40:O40)</f>
        <v>973</v>
      </c>
      <c r="P45"/>
      <c r="Q45"/>
      <c r="R45"/>
      <c r="S45"/>
      <c r="T45"/>
      <c r="U45"/>
      <c r="V45"/>
      <c r="W45"/>
      <c r="X45"/>
      <c r="Y45"/>
      <c r="Z45"/>
      <c r="AA45"/>
      <c r="AB45"/>
      <c r="AC45"/>
      <c r="AD45"/>
      <c r="AE45"/>
      <c r="AF45"/>
      <c r="AG45"/>
      <c r="AH45"/>
      <c r="AI45"/>
      <c r="AJ45"/>
      <c r="AK45"/>
      <c r="AL45"/>
    </row>
    <row r="46" spans="1:38" x14ac:dyDescent="0.2">
      <c r="P46"/>
      <c r="Q46"/>
      <c r="R46"/>
      <c r="S46"/>
      <c r="T46"/>
      <c r="U46"/>
      <c r="V46"/>
      <c r="W46"/>
      <c r="X46"/>
      <c r="Y46"/>
      <c r="Z46"/>
      <c r="AA46"/>
      <c r="AB46"/>
      <c r="AC46"/>
      <c r="AD46"/>
      <c r="AE46"/>
      <c r="AF46"/>
      <c r="AG46"/>
      <c r="AH46"/>
      <c r="AI46"/>
      <c r="AJ46"/>
      <c r="AK46"/>
      <c r="AL46"/>
    </row>
    <row r="47" spans="1:38" ht="24.95" customHeight="1" x14ac:dyDescent="0.25">
      <c r="B47" s="1483" t="s">
        <v>9108</v>
      </c>
      <c r="M47" s="1482">
        <f>SUM(M42:M45)</f>
        <v>6445</v>
      </c>
      <c r="N47" s="1481">
        <f>SUM(N42:N45)</f>
        <v>6520</v>
      </c>
      <c r="O47" s="1480">
        <f>SUM(O42:O45)</f>
        <v>12965</v>
      </c>
      <c r="P47"/>
      <c r="Q47"/>
      <c r="R47"/>
      <c r="S47"/>
      <c r="T47"/>
      <c r="U47"/>
      <c r="V47"/>
      <c r="W47"/>
      <c r="X47"/>
      <c r="Y47"/>
      <c r="Z47"/>
      <c r="AA47"/>
      <c r="AB47"/>
      <c r="AC47"/>
      <c r="AD47"/>
      <c r="AE47"/>
      <c r="AF47"/>
      <c r="AG47"/>
      <c r="AH47"/>
      <c r="AI47"/>
      <c r="AJ47"/>
      <c r="AK47"/>
      <c r="AL47"/>
    </row>
    <row r="48" spans="1:38" x14ac:dyDescent="0.2">
      <c r="P48"/>
      <c r="Q48"/>
      <c r="R48"/>
      <c r="S48"/>
      <c r="T48"/>
      <c r="U48"/>
      <c r="V48"/>
      <c r="W48"/>
      <c r="X48"/>
      <c r="Y48"/>
      <c r="Z48"/>
      <c r="AA48"/>
      <c r="AB48"/>
      <c r="AC48"/>
      <c r="AD48"/>
      <c r="AE48"/>
      <c r="AF48"/>
      <c r="AG48"/>
      <c r="AH48"/>
      <c r="AI48"/>
      <c r="AJ48"/>
      <c r="AK48"/>
      <c r="AL48"/>
    </row>
    <row r="49" spans="1:38" x14ac:dyDescent="0.2">
      <c r="A49" s="2030" t="s">
        <v>9107</v>
      </c>
      <c r="B49" s="2031"/>
      <c r="C49" s="2031"/>
      <c r="D49" s="2031"/>
      <c r="E49" s="2031"/>
      <c r="F49" s="2031"/>
      <c r="G49" s="2031"/>
      <c r="H49" s="2031"/>
      <c r="I49" s="2031"/>
      <c r="J49" s="2031"/>
      <c r="K49" s="2031"/>
      <c r="L49" s="2031"/>
      <c r="M49" s="2031"/>
      <c r="N49" s="2031"/>
      <c r="O49" s="2031"/>
      <c r="P49"/>
      <c r="Q49"/>
      <c r="R49"/>
      <c r="S49"/>
      <c r="T49"/>
      <c r="U49"/>
      <c r="V49"/>
      <c r="W49"/>
      <c r="X49"/>
      <c r="Y49"/>
      <c r="Z49"/>
      <c r="AA49"/>
      <c r="AB49"/>
      <c r="AC49"/>
      <c r="AD49"/>
      <c r="AE49"/>
      <c r="AF49"/>
      <c r="AG49"/>
      <c r="AH49"/>
      <c r="AI49"/>
      <c r="AJ49"/>
      <c r="AK49"/>
      <c r="AL49"/>
    </row>
    <row r="50" spans="1:38" x14ac:dyDescent="0.2">
      <c r="A50" s="2030" t="s">
        <v>9106</v>
      </c>
      <c r="B50" s="2031"/>
      <c r="C50" s="2031"/>
      <c r="D50" s="2031"/>
      <c r="E50" s="2031"/>
      <c r="F50" s="2031"/>
      <c r="G50" s="2031"/>
      <c r="H50" s="2031"/>
      <c r="I50" s="2031"/>
      <c r="J50" s="2031"/>
      <c r="K50" s="2031"/>
      <c r="L50" s="2031"/>
      <c r="M50" s="2031"/>
      <c r="N50" s="2031"/>
      <c r="O50" s="2031"/>
      <c r="P50"/>
      <c r="Q50"/>
      <c r="R50"/>
      <c r="S50"/>
      <c r="T50"/>
      <c r="U50"/>
      <c r="V50"/>
      <c r="W50"/>
      <c r="X50"/>
      <c r="Y50"/>
      <c r="Z50"/>
      <c r="AA50"/>
      <c r="AB50"/>
      <c r="AC50"/>
      <c r="AD50"/>
      <c r="AE50"/>
      <c r="AF50"/>
      <c r="AG50"/>
      <c r="AH50"/>
      <c r="AI50"/>
      <c r="AJ50"/>
      <c r="AK50"/>
      <c r="AL50"/>
    </row>
    <row r="51" spans="1:38" x14ac:dyDescent="0.2">
      <c r="A51" s="2030" t="s">
        <v>9105</v>
      </c>
      <c r="B51" s="2031"/>
      <c r="C51" s="2031"/>
      <c r="D51" s="2031"/>
      <c r="E51" s="2031"/>
      <c r="F51" s="2031"/>
      <c r="G51" s="2031"/>
      <c r="H51" s="2031"/>
      <c r="I51" s="2031"/>
      <c r="J51" s="2031"/>
      <c r="K51" s="2031"/>
      <c r="L51" s="2031"/>
      <c r="M51" s="2031"/>
      <c r="N51" s="2031"/>
      <c r="O51" s="2031"/>
      <c r="P51"/>
      <c r="Q51"/>
      <c r="R51"/>
      <c r="S51"/>
      <c r="T51"/>
      <c r="U51"/>
      <c r="V51"/>
      <c r="W51"/>
      <c r="X51"/>
      <c r="Y51"/>
      <c r="Z51"/>
      <c r="AA51"/>
      <c r="AB51"/>
      <c r="AC51"/>
      <c r="AD51"/>
      <c r="AE51"/>
      <c r="AF51"/>
      <c r="AG51"/>
      <c r="AH51"/>
      <c r="AI51"/>
      <c r="AJ51"/>
      <c r="AK51"/>
      <c r="AL51"/>
    </row>
    <row r="52" spans="1:38" x14ac:dyDescent="0.2">
      <c r="A52" s="2030" t="s">
        <v>9104</v>
      </c>
      <c r="B52" s="2031"/>
      <c r="C52" s="2031"/>
      <c r="D52" s="2031"/>
      <c r="E52" s="2031"/>
      <c r="F52" s="2031"/>
      <c r="G52" s="2031"/>
      <c r="H52" s="2031"/>
      <c r="I52" s="2031"/>
      <c r="J52" s="2031"/>
      <c r="K52" s="2031"/>
      <c r="L52" s="2031"/>
      <c r="M52" s="2031"/>
      <c r="N52" s="2031"/>
      <c r="O52" s="2031"/>
      <c r="P52"/>
      <c r="Q52"/>
      <c r="R52"/>
      <c r="S52"/>
      <c r="T52"/>
      <c r="U52"/>
      <c r="V52"/>
      <c r="W52"/>
      <c r="X52"/>
      <c r="Y52"/>
      <c r="Z52"/>
      <c r="AA52"/>
      <c r="AB52"/>
      <c r="AC52"/>
      <c r="AD52"/>
      <c r="AE52"/>
      <c r="AF52"/>
      <c r="AG52"/>
      <c r="AH52"/>
      <c r="AI52"/>
      <c r="AJ52"/>
      <c r="AK52"/>
      <c r="AL52"/>
    </row>
    <row r="53" spans="1:38" ht="12.75" x14ac:dyDescent="0.2">
      <c r="A53"/>
      <c r="B53"/>
      <c r="C53"/>
      <c r="D53"/>
      <c r="E53"/>
      <c r="F53"/>
      <c r="G53"/>
      <c r="H53"/>
      <c r="I53"/>
      <c r="J53"/>
      <c r="K53"/>
      <c r="L53"/>
      <c r="M53"/>
      <c r="N53"/>
      <c r="O53"/>
      <c r="P53"/>
      <c r="Q53"/>
      <c r="R53"/>
      <c r="S53"/>
      <c r="T53"/>
      <c r="U53"/>
      <c r="V53"/>
      <c r="W53"/>
      <c r="X53"/>
      <c r="Y53"/>
      <c r="Z53"/>
      <c r="AA53"/>
      <c r="AB53"/>
      <c r="AC53"/>
      <c r="AD53"/>
      <c r="AE53"/>
      <c r="AF53"/>
      <c r="AG53"/>
      <c r="AH53"/>
      <c r="AI53"/>
      <c r="AJ53"/>
      <c r="AK53"/>
      <c r="AL53"/>
    </row>
    <row r="54" spans="1:38" ht="12.75" x14ac:dyDescent="0.2">
      <c r="A54"/>
      <c r="B54"/>
      <c r="C54"/>
      <c r="D54"/>
      <c r="E54"/>
      <c r="F54"/>
      <c r="G54"/>
      <c r="H54"/>
      <c r="I54"/>
      <c r="J54"/>
      <c r="K54"/>
      <c r="L54"/>
      <c r="M54"/>
      <c r="N54"/>
      <c r="O54"/>
      <c r="P54"/>
      <c r="Q54"/>
      <c r="R54"/>
      <c r="S54"/>
      <c r="T54"/>
      <c r="U54"/>
      <c r="V54"/>
      <c r="W54"/>
      <c r="X54"/>
      <c r="Y54"/>
      <c r="Z54"/>
      <c r="AA54"/>
      <c r="AB54"/>
      <c r="AC54"/>
      <c r="AD54"/>
      <c r="AE54"/>
      <c r="AF54"/>
      <c r="AG54"/>
      <c r="AH54"/>
      <c r="AI54"/>
      <c r="AJ54"/>
      <c r="AK54"/>
      <c r="AL54"/>
    </row>
    <row r="55" spans="1:38" ht="12.75" x14ac:dyDescent="0.2">
      <c r="A55"/>
      <c r="B55"/>
      <c r="C55"/>
      <c r="D55"/>
      <c r="E55"/>
      <c r="F55"/>
      <c r="G55"/>
      <c r="H55"/>
      <c r="I55"/>
      <c r="J55"/>
      <c r="K55"/>
      <c r="L55"/>
      <c r="M55"/>
      <c r="N55"/>
      <c r="O55"/>
      <c r="P55"/>
      <c r="Q55"/>
      <c r="R55"/>
      <c r="S55"/>
      <c r="T55"/>
      <c r="U55"/>
      <c r="V55"/>
      <c r="W55"/>
      <c r="X55"/>
      <c r="Y55"/>
      <c r="Z55"/>
      <c r="AA55"/>
      <c r="AB55"/>
      <c r="AC55"/>
      <c r="AD55"/>
      <c r="AE55"/>
      <c r="AF55"/>
      <c r="AG55"/>
      <c r="AH55"/>
      <c r="AI55"/>
      <c r="AJ55"/>
      <c r="AK55"/>
      <c r="AL55"/>
    </row>
    <row r="56" spans="1:38" ht="12.75" x14ac:dyDescent="0.2">
      <c r="A56"/>
      <c r="B56"/>
      <c r="C56"/>
      <c r="D56"/>
      <c r="E56"/>
      <c r="F56"/>
      <c r="G56"/>
      <c r="H56"/>
      <c r="I56"/>
      <c r="J56"/>
      <c r="K56"/>
      <c r="L56"/>
      <c r="M56"/>
      <c r="N56"/>
      <c r="O56"/>
      <c r="P56"/>
      <c r="Q56"/>
      <c r="R56"/>
      <c r="S56"/>
      <c r="T56"/>
      <c r="U56"/>
      <c r="V56"/>
      <c r="W56"/>
      <c r="X56"/>
      <c r="Y56"/>
      <c r="Z56"/>
      <c r="AA56"/>
      <c r="AB56"/>
      <c r="AC56"/>
      <c r="AD56"/>
      <c r="AE56"/>
      <c r="AF56"/>
      <c r="AG56"/>
      <c r="AH56"/>
      <c r="AI56"/>
      <c r="AJ56"/>
      <c r="AK56"/>
      <c r="AL56"/>
    </row>
    <row r="57" spans="1:38" ht="12.75" x14ac:dyDescent="0.2">
      <c r="A57"/>
      <c r="B57"/>
      <c r="C57"/>
      <c r="D57"/>
      <c r="E57"/>
      <c r="F57"/>
      <c r="G57"/>
      <c r="H57"/>
      <c r="I57"/>
      <c r="J57"/>
      <c r="K57"/>
      <c r="L57"/>
      <c r="M57"/>
      <c r="N57"/>
      <c r="O57"/>
      <c r="P57"/>
      <c r="Q57"/>
      <c r="R57"/>
      <c r="S57"/>
      <c r="T57"/>
      <c r="U57"/>
      <c r="V57"/>
      <c r="W57"/>
      <c r="X57"/>
      <c r="Y57"/>
      <c r="Z57"/>
      <c r="AA57"/>
      <c r="AB57"/>
      <c r="AC57"/>
      <c r="AD57"/>
      <c r="AE57"/>
      <c r="AF57"/>
      <c r="AG57"/>
      <c r="AH57"/>
      <c r="AI57"/>
      <c r="AJ57"/>
      <c r="AK57"/>
      <c r="AL57"/>
    </row>
    <row r="58" spans="1:38" ht="12.75" x14ac:dyDescent="0.2">
      <c r="A58"/>
      <c r="B58"/>
      <c r="C58"/>
      <c r="D58"/>
      <c r="E58"/>
      <c r="F58"/>
      <c r="G58"/>
      <c r="H58"/>
      <c r="I58"/>
      <c r="J58"/>
      <c r="K58"/>
      <c r="L58"/>
      <c r="M58"/>
      <c r="N58"/>
      <c r="O58"/>
      <c r="P58"/>
      <c r="Q58"/>
      <c r="R58"/>
      <c r="S58"/>
      <c r="T58"/>
      <c r="U58"/>
      <c r="V58"/>
      <c r="W58"/>
      <c r="X58"/>
      <c r="Y58"/>
      <c r="Z58"/>
      <c r="AA58"/>
      <c r="AB58"/>
      <c r="AC58"/>
      <c r="AD58"/>
      <c r="AE58"/>
      <c r="AF58"/>
      <c r="AG58"/>
      <c r="AH58"/>
      <c r="AI58"/>
      <c r="AJ58"/>
      <c r="AK58"/>
      <c r="AL58"/>
    </row>
    <row r="59" spans="1:38" ht="12.75" x14ac:dyDescent="0.2">
      <c r="A59"/>
      <c r="B59"/>
      <c r="C59"/>
      <c r="D59"/>
      <c r="E59"/>
      <c r="F59"/>
      <c r="G59"/>
      <c r="H59"/>
      <c r="I59"/>
      <c r="J59"/>
      <c r="K59"/>
      <c r="L59"/>
      <c r="M59"/>
      <c r="N59"/>
      <c r="O59"/>
      <c r="P59"/>
      <c r="Q59"/>
      <c r="R59"/>
      <c r="S59"/>
      <c r="T59"/>
      <c r="U59"/>
      <c r="V59"/>
      <c r="W59"/>
      <c r="X59"/>
      <c r="Y59"/>
      <c r="Z59"/>
      <c r="AA59"/>
      <c r="AB59"/>
      <c r="AC59"/>
      <c r="AD59"/>
      <c r="AE59"/>
      <c r="AF59"/>
      <c r="AG59"/>
      <c r="AH59"/>
      <c r="AI59"/>
      <c r="AJ59"/>
      <c r="AK59"/>
      <c r="AL59"/>
    </row>
    <row r="60" spans="1:38" ht="12.75" x14ac:dyDescent="0.2">
      <c r="A60"/>
      <c r="B60"/>
      <c r="C60"/>
      <c r="D60"/>
      <c r="E60"/>
      <c r="F60"/>
      <c r="G60"/>
      <c r="H60"/>
      <c r="I60"/>
      <c r="J60"/>
      <c r="K60"/>
      <c r="L60"/>
      <c r="M60"/>
      <c r="N60"/>
      <c r="O60"/>
      <c r="P60"/>
      <c r="Q60"/>
      <c r="R60"/>
      <c r="S60"/>
      <c r="T60"/>
      <c r="U60"/>
      <c r="V60"/>
      <c r="W60"/>
      <c r="X60"/>
      <c r="Y60"/>
      <c r="Z60"/>
      <c r="AA60"/>
      <c r="AB60"/>
      <c r="AC60"/>
      <c r="AD60"/>
      <c r="AE60"/>
      <c r="AF60"/>
      <c r="AG60"/>
      <c r="AH60"/>
      <c r="AI60"/>
      <c r="AJ60"/>
      <c r="AK60"/>
      <c r="AL60"/>
    </row>
    <row r="61" spans="1:38" ht="12.75" x14ac:dyDescent="0.2">
      <c r="A61"/>
      <c r="B61"/>
      <c r="C61"/>
      <c r="D61"/>
      <c r="E61"/>
      <c r="F61"/>
      <c r="G61"/>
      <c r="H61"/>
      <c r="I61"/>
      <c r="J61"/>
      <c r="K61"/>
      <c r="L61"/>
      <c r="M61"/>
      <c r="N61"/>
      <c r="O61"/>
      <c r="P61"/>
      <c r="Q61"/>
      <c r="R61"/>
      <c r="S61"/>
      <c r="T61"/>
      <c r="U61"/>
      <c r="V61"/>
      <c r="W61"/>
      <c r="X61"/>
      <c r="Y61"/>
      <c r="Z61"/>
      <c r="AA61"/>
      <c r="AB61"/>
      <c r="AC61"/>
      <c r="AD61"/>
      <c r="AE61"/>
      <c r="AF61"/>
      <c r="AG61"/>
      <c r="AH61"/>
      <c r="AI61"/>
      <c r="AJ61"/>
      <c r="AK61"/>
      <c r="AL61"/>
    </row>
    <row r="62" spans="1:38" ht="12.75" x14ac:dyDescent="0.2">
      <c r="A62"/>
      <c r="B62"/>
      <c r="C62"/>
      <c r="D62"/>
      <c r="E62"/>
      <c r="F62"/>
      <c r="G62"/>
      <c r="H62"/>
      <c r="I62"/>
      <c r="J62"/>
      <c r="K62"/>
      <c r="L62"/>
      <c r="M62"/>
      <c r="N62"/>
      <c r="O62"/>
      <c r="P62"/>
      <c r="Q62"/>
      <c r="R62"/>
      <c r="S62"/>
      <c r="T62"/>
      <c r="U62"/>
      <c r="V62"/>
      <c r="W62"/>
      <c r="X62"/>
      <c r="Y62"/>
      <c r="Z62"/>
      <c r="AA62"/>
      <c r="AB62"/>
      <c r="AC62"/>
      <c r="AD62"/>
      <c r="AE62"/>
      <c r="AF62"/>
      <c r="AG62"/>
      <c r="AH62"/>
      <c r="AI62"/>
      <c r="AJ62"/>
      <c r="AK62"/>
      <c r="AL62"/>
    </row>
    <row r="63" spans="1:38" ht="12.75" x14ac:dyDescent="0.2">
      <c r="A63"/>
      <c r="B63"/>
      <c r="C63"/>
      <c r="D63"/>
      <c r="E63"/>
      <c r="F63"/>
      <c r="G63"/>
      <c r="H63"/>
      <c r="I63"/>
      <c r="J63"/>
      <c r="K63"/>
      <c r="L63"/>
      <c r="M63"/>
      <c r="N63"/>
      <c r="O63"/>
      <c r="P63"/>
      <c r="Q63"/>
      <c r="R63"/>
      <c r="S63"/>
      <c r="T63"/>
      <c r="U63"/>
      <c r="V63"/>
      <c r="W63"/>
      <c r="X63"/>
      <c r="Y63"/>
      <c r="Z63"/>
      <c r="AA63"/>
      <c r="AB63"/>
      <c r="AC63"/>
      <c r="AD63"/>
      <c r="AE63"/>
      <c r="AF63"/>
      <c r="AG63"/>
      <c r="AH63"/>
      <c r="AI63"/>
      <c r="AJ63"/>
      <c r="AK63"/>
      <c r="AL63"/>
    </row>
    <row r="64" spans="1:38" ht="12.75" x14ac:dyDescent="0.2">
      <c r="A64"/>
      <c r="B64"/>
      <c r="C64"/>
      <c r="D64"/>
      <c r="E64"/>
      <c r="F64"/>
      <c r="G64"/>
      <c r="H64"/>
      <c r="I64"/>
      <c r="J64"/>
      <c r="K64"/>
      <c r="L64"/>
      <c r="M64"/>
      <c r="N64"/>
      <c r="O64"/>
      <c r="P64"/>
      <c r="Q64"/>
      <c r="R64"/>
      <c r="S64"/>
      <c r="T64"/>
      <c r="U64"/>
      <c r="V64"/>
      <c r="W64"/>
      <c r="X64"/>
      <c r="Y64"/>
      <c r="Z64"/>
      <c r="AA64"/>
      <c r="AB64"/>
      <c r="AC64"/>
      <c r="AD64"/>
      <c r="AE64"/>
      <c r="AF64"/>
      <c r="AG64"/>
      <c r="AH64"/>
      <c r="AI64"/>
      <c r="AJ64"/>
      <c r="AK64"/>
      <c r="AL64"/>
    </row>
  </sheetData>
  <mergeCells count="15">
    <mergeCell ref="A1:O1"/>
    <mergeCell ref="B3:O3"/>
    <mergeCell ref="A50:O50"/>
    <mergeCell ref="A39:O39"/>
    <mergeCell ref="A22:O22"/>
    <mergeCell ref="A9:O9"/>
    <mergeCell ref="E6:G6"/>
    <mergeCell ref="I6:K6"/>
    <mergeCell ref="B4:O4"/>
    <mergeCell ref="A51:O51"/>
    <mergeCell ref="M6:N6"/>
    <mergeCell ref="A52:O52"/>
    <mergeCell ref="B2:O2"/>
    <mergeCell ref="A36:O36"/>
    <mergeCell ref="A49:O49"/>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39</vt:i4>
      </vt:variant>
      <vt:variant>
        <vt:lpstr>Intervalos Nomeados</vt:lpstr>
      </vt:variant>
      <vt:variant>
        <vt:i4>10</vt:i4>
      </vt:variant>
    </vt:vector>
  </HeadingPairs>
  <TitlesOfParts>
    <vt:vector size="49" baseType="lpstr">
      <vt:lpstr>Ger_Executivo_Manual</vt:lpstr>
      <vt:lpstr>Orçamento</vt:lpstr>
      <vt:lpstr>Composições</vt:lpstr>
      <vt:lpstr>Insumos (2)</vt:lpstr>
      <vt:lpstr>CAPA</vt:lpstr>
      <vt:lpstr>PROJETOS</vt:lpstr>
      <vt:lpstr>Ger_Tec e Adm</vt:lpstr>
      <vt:lpstr>Ger_Executivo_Cartesian</vt:lpstr>
      <vt:lpstr>EAP</vt:lpstr>
      <vt:lpstr>EAP - app</vt:lpstr>
      <vt:lpstr>EPCs</vt:lpstr>
      <vt:lpstr>CANTEIRO</vt:lpstr>
      <vt:lpstr>Cont.Tecnol.</vt:lpstr>
      <vt:lpstr>ESQUADRIAS</vt:lpstr>
      <vt:lpstr>CPU</vt:lpstr>
      <vt:lpstr>Insumos</vt:lpstr>
      <vt:lpstr>Estacas</vt:lpstr>
      <vt:lpstr>Fund. Rasa | Contenção</vt:lpstr>
      <vt:lpstr>Resumo Estrutura</vt:lpstr>
      <vt:lpstr>Cálculo de apoio</vt:lpstr>
      <vt:lpstr>Escoramento</vt:lpstr>
      <vt:lpstr>IMPERMEABILIZAÇÃO</vt:lpstr>
      <vt:lpstr>LOUÇAS E METAIS</vt:lpstr>
      <vt:lpstr>PISCINA</vt:lpstr>
      <vt:lpstr>Equipamentos Especiais</vt:lpstr>
      <vt:lpstr>ELÉTRICO</vt:lpstr>
      <vt:lpstr>HIDROSSANITÁRIO v3</vt:lpstr>
      <vt:lpstr>HIDROSSANITÁRIO</vt:lpstr>
      <vt:lpstr>PPCI</vt:lpstr>
      <vt:lpstr>SPRINKLERS</vt:lpstr>
      <vt:lpstr>TELECOMUNICAÇÃO (2)</vt:lpstr>
      <vt:lpstr>MÃO DE OBRA ELETRICA</vt:lpstr>
      <vt:lpstr>MÃO DE OBRA HIDRO</vt:lpstr>
      <vt:lpstr>Bombeamento - Extra</vt:lpstr>
      <vt:lpstr>GÁS</vt:lpstr>
      <vt:lpstr>AUTOMAÇÃO</vt:lpstr>
      <vt:lpstr>CLIMATIZAÇÃO</vt:lpstr>
      <vt:lpstr>ILUMINAÇÃO</vt:lpstr>
      <vt:lpstr>MOBILIÁRIO</vt:lpstr>
      <vt:lpstr>AUTOMAÇÃO!Area_de_impressao</vt:lpstr>
      <vt:lpstr>CAPA!Area_de_impressao</vt:lpstr>
      <vt:lpstr>CLIMATIZAÇÃO!Area_de_impressao</vt:lpstr>
      <vt:lpstr>ESQUADRIAS!Area_de_impressao</vt:lpstr>
      <vt:lpstr>Estacas!Area_de_impressao</vt:lpstr>
      <vt:lpstr>'Fund. Rasa | Contenção'!Area_de_impressao</vt:lpstr>
      <vt:lpstr>GÁS!Area_de_impressao</vt:lpstr>
      <vt:lpstr>ILUMINAÇÃO!Area_de_impressao</vt:lpstr>
      <vt:lpstr>MOBILIÁRIO!Area_de_impressao</vt:lpstr>
      <vt:lpstr>MOBILIÁRIO!Print_Area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Furlan</dc:creator>
  <cp:lastModifiedBy>Leonardo Cartesian</cp:lastModifiedBy>
  <dcterms:created xsi:type="dcterms:W3CDTF">2011-02-08T17:53:57Z</dcterms:created>
  <dcterms:modified xsi:type="dcterms:W3CDTF">2026-04-20T18:01:41Z</dcterms:modified>
</cp:coreProperties>
</file>